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x-emf" Extension="emf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ms-office.activeX+xml" PartName="/xl/activeX/activeX1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drawing+xml" PartName="/xl/drawings/drawing1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drawing+xml" PartName="/xl/drawings/drawing12.xml"/>
  <Override ContentType="application/vnd.openxmlformats-officedocument.drawing+xml" PartName="/xl/drawings/drawing13.xml"/>
  <Override ContentType="application/vnd.openxmlformats-officedocument.drawing+xml" PartName="/xl/drawings/drawing14.xml"/>
  <Override ContentType="application/vnd.openxmlformats-officedocument.drawing+xml" PartName="/xl/drawings/drawing15.xml"/>
  <Override ContentType="application/vnd.openxmlformats-officedocument.drawing+xml" PartName="/xl/drawings/drawing16.xml"/>
  <Override ContentType="application/vnd.openxmlformats-officedocument.drawing+xml" PartName="/xl/drawings/drawing17.xml"/>
  <Override ContentType="application/vnd.openxmlformats-officedocument.drawing+xml" PartName="/xl/drawings/drawing18.xml"/>
  <Override ContentType="application/vnd.openxmlformats-officedocument.drawing+xml" PartName="/xl/drawings/drawing19.xml"/>
  <Override ContentType="application/vnd.openxmlformats-officedocument.drawing+xml" PartName="/xl/drawings/drawing2.xml"/>
  <Override ContentType="application/vnd.openxmlformats-officedocument.drawing+xml" PartName="/xl/drawings/drawing20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3.xml"/>
  <Override ContentType="application/vnd.openxmlformats-officedocument.spreadsheetml.externalLink+xml" PartName="/xl/externalLinks/externalLink4.xml"/>
  <Override ContentType="application/vnd.openxmlformats-officedocument.spreadsheetml.externalLink+xml" PartName="/xl/externalLinks/externalLink5.xml"/>
  <Override ContentType="application/vnd.openxmlformats-officedocument.spreadsheetml.externalLink+xml" PartName="/xl/externalLinks/externalLink6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7995" yWindow="1815" windowWidth="19440" windowHeight="5460" tabRatio="806"/>
  </bookViews>
  <sheets>
    <sheet name="ImportantDisclosures" sheetId="88" r:id="rId1"/>
    <sheet name="CircularReferenceAlert" sheetId="91" r:id="rId2"/>
    <sheet name="Key assumptions" sheetId="6" r:id="rId3"/>
    <sheet name="MW-Cache" sheetId="45" state="veryHidden" r:id="rId4"/>
    <sheet name="__FDSCACHE__" sheetId="46" state="veryHidden" r:id="rId5"/>
    <sheet name="Income statement" sheetId="14" r:id="rId6"/>
    <sheet name="Balance sheet" sheetId="13" r:id="rId7"/>
    <sheet name="Cash flow statement" sheetId="12" r:id="rId8"/>
    <sheet name="DDM" sheetId="39" r:id="rId9"/>
    <sheet name="Segments" sheetId="27" r:id="rId10"/>
    <sheet name="Capex" sheetId="10" r:id="rId11"/>
    <sheet name="Assets" sheetId="11" r:id="rId12"/>
    <sheet name="Other" sheetId="37" r:id="rId13"/>
    <sheet name="E&amp;P - FAS69" sheetId="7" r:id="rId14"/>
    <sheet name="GoM oil spill" sheetId="47" r:id="rId15"/>
    <sheet name="R&amp;M" sheetId="69" r:id="rId16"/>
    <sheet name="Reserves" sheetId="9" r:id="rId17"/>
    <sheet name="Production - Total" sheetId="5" r:id="rId18"/>
    <sheet name="Production - Oil" sheetId="4" r:id="rId19"/>
    <sheet name="Production - Gas" sheetId="1" r:id="rId20"/>
    <sheet name="Woodmac profile - Oil" sheetId="3" r:id="rId21"/>
    <sheet name="Woodmac profile - Gas" sheetId="2" r:id="rId22"/>
    <sheet name="Woodmac profile - capex" sheetId="30" r:id="rId23"/>
    <sheet name="IndexInformation" sheetId="89" r:id="rId24"/>
    <sheet name="ModPubIndex" sheetId="90" r:id="rId25"/>
  </sheets>
  <externalReferences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_FDS_HYPERLINK_TOGGLE_STATE__" hidden="1">"ON"</definedName>
    <definedName name="_10__123Graph_BR_M_VOLUMES" hidden="1">[1]RD!$U$123:$AR$123</definedName>
    <definedName name="_10__123Graph_XR_M_MARGINS" hidden="1">[1]RD!$U$5:$AR$5</definedName>
    <definedName name="_10__123Graph_XR_M_VOLUMES" hidden="1">[1]RD!$U$5:$AR$5</definedName>
    <definedName name="_11__123Graph_BR_M_MARGINS" hidden="1">[1]RD!$U$130:$AR$130</definedName>
    <definedName name="_11__123Graph_XR_M_MARGINS" hidden="1">[1]RD!$U$5:$AR$5</definedName>
    <definedName name="_11__123Graph_XR_M_VOLUMES" hidden="1">[1]RD!$U$5:$AR$5</definedName>
    <definedName name="_12__123Graph_BR_M_VOLUMES" hidden="1">[1]RD!$U$123:$AR$123</definedName>
    <definedName name="_12__123Graph_XR_M_VOLUMES" hidden="1">[1]RD!$U$5:$AR$5</definedName>
    <definedName name="_13__123Graph_XR_M_MARGINS" hidden="1">[1]RD!$U$5:$AR$5</definedName>
    <definedName name="_14__123Graph_XR_M_VOLUMES" hidden="1">[1]RD!$U$5:$AR$5</definedName>
    <definedName name="_7__123Graph_BR_M_MARGINS" hidden="1">[1]RD!$U$130:$AR$130</definedName>
    <definedName name="_8__123Graph_BR_M_MARGINS" hidden="1">[1]RD!$U$130:$AR$130</definedName>
    <definedName name="_8__123Graph_BR_M_VOLUMES" hidden="1">[1]RD!$U$123:$AR$123</definedName>
    <definedName name="_9__123Graph_BR_M_MARGINS" hidden="1">[1]RD!$U$130:$AR$130</definedName>
    <definedName name="_9__123Graph_BR_M_VOLUMES" hidden="1">[1]RD!$U$123:$AR$123</definedName>
    <definedName name="_9__123Graph_XR_M_MARGINS" hidden="1">[1]RD!$U$5:$AR$5</definedName>
    <definedName name="_B1">[2]Annual!$G$18</definedName>
    <definedName name="_bdm.02E29E7B1053433EA3CCCBE4E5141596.edm" hidden="1">[3]Sheet1!$A:$IV</definedName>
    <definedName name="_bdm.23EA7BD8EEB34B50B3E3FAC1DF2DD313.edm" hidden="1">Capex!$1:$1048576</definedName>
    <definedName name="_bdm.41155FEC2F08470C81E79FC171D1DC57.edm" hidden="1">'Balance sheet'!$1:$1048576</definedName>
    <definedName name="_bdm.44F2CA4AD65B4E4BB18A32868ACF3F13.edm" hidden="1">'Woodmac profile - capex'!$1:$1048576</definedName>
    <definedName name="_bdm.5A83AB33687E415DBEA4F097D7F38975.edm" hidden="1">'Woodmac profile - Oil'!$1:$1048576</definedName>
    <definedName name="_bdm.A46237E21F4C446E9EA2B6BB235AC4B5.edm" hidden="1">[4]Downstream!$A:$IV</definedName>
    <definedName name="_bdm.ABA47D9F1118495FABC925C2FC9A997F.edm" hidden="1">[4]FAS69!$A:$IV</definedName>
    <definedName name="_bdm.BC5EFA2FE3714334B6355DFF84ED9523.edm" hidden="1">[4]Upstream!$A:$IV</definedName>
    <definedName name="_bdm.CB1543376208464C83F4A24962AF8A0D.edm" hidden="1">'Woodmac profile - Oil'!$1:$1048576</definedName>
    <definedName name="_bdm.D0308D2799214725B4C9972799EC6131.edm" hidden="1">Capex!$1:$1048576</definedName>
    <definedName name="_bdm.ECC77B3759D94E71BB11CA5EA87017CA.edm" hidden="1">DDM!$1:$1048576</definedName>
    <definedName name="_D1">[2]Annual!$I$18</definedName>
    <definedName name="_F1">[2]Annual!$K$18</definedName>
    <definedName name="_xlnm._FilterDatabase" localSheetId="21" hidden="1">'Woodmac profile - Gas'!$A$293:$BT$361</definedName>
    <definedName name="_xlnm._FilterDatabase" localSheetId="20" hidden="1">'Woodmac profile - Oil'!$A$336:$BS$409</definedName>
    <definedName name="_fy2001">'[5]5 yr Sales and Earnings'!$C$1:$C$170</definedName>
    <definedName name="_Order1" hidden="1">255</definedName>
    <definedName name="_Order2" hidden="1">255</definedName>
    <definedName name="_R">"Formula removed, name can be deleted."</definedName>
    <definedName name="_scenchg_count">1</definedName>
    <definedName name="AAA_DOCTOPS" hidden="1">"AAA_SET"</definedName>
    <definedName name="AAA_duser" hidden="1">"OFF"</definedName>
    <definedName name="AAB_Addin5" hidden="1">"AAB_Description for addin 5,Description for addin 5,Description for addin 5,Description for addin 5,Description for addin 5,Description for addin 5"</definedName>
    <definedName name="AdditionalInstructions">IndexInformation!$B$42</definedName>
    <definedName name="Address" localSheetId="0">ImportantDisclosures!$A$2:$A$2</definedName>
    <definedName name="ANA" localSheetId="24">ModPubIndex!$A$7</definedName>
    <definedName name="anscount" hidden="1">1</definedName>
    <definedName name="Authors" localSheetId="0">ImportantDisclosures!$A$7</definedName>
    <definedName name="Authors" localSheetId="23">IndexInformation!$B$18</definedName>
    <definedName name="BRO" localSheetId="24">ModPubIndex!$A$1</definedName>
    <definedName name="Buttons" localSheetId="1">CircularReferenceAlert!$B$13:$B$15</definedName>
    <definedName name="CopyrightStamp">ImportantDisclosures!$A$27</definedName>
    <definedName name="COU" localSheetId="24">ModPubIndex!$A$5</definedName>
    <definedName name="CQEnd" localSheetId="23">IndexInformation!$B$31</definedName>
    <definedName name="Currency" localSheetId="23">IndexInformation!$B$24</definedName>
    <definedName name="CurrentStockPrice" localSheetId="23">IndexInformation!$B$23</definedName>
    <definedName name="CurrQtrEPS" localSheetId="23">IndexInformation!$B$29</definedName>
    <definedName name="CurrYearEPS" localSheetId="23">IndexInformation!$B$11</definedName>
    <definedName name="CurrYearTotalRevenue" localSheetId="23">IndexInformation!$B$10</definedName>
    <definedName name="CurrYearTotalRevenueActual" localSheetId="23">IndexInformation!$B$32</definedName>
    <definedName name="CUSIP" localSheetId="23">IndexInformation!$B$20</definedName>
    <definedName name="CYEnd" localSheetId="23">IndexInformation!$B$30</definedName>
    <definedName name="Date" localSheetId="0">ImportantDisclosures!$A$8</definedName>
    <definedName name="Deleted" localSheetId="23">IndexInformation!$B$27</definedName>
    <definedName name="Description" localSheetId="23">IndexInformation!$B$7</definedName>
    <definedName name="Discipline" localSheetId="23">IndexInformation!$B$3</definedName>
    <definedName name="DISCIPLINE" localSheetId="24">ModPubIndex!$A$12</definedName>
    <definedName name="DisclosuresText">ImportantDisclosures!$A$22</definedName>
    <definedName name="Distribution" localSheetId="23">IndexInformation!$B$26</definedName>
    <definedName name="DistTable" localSheetId="0">ImportantDisclosures!#REF!</definedName>
    <definedName name="DistTablePreamble" localSheetId="0">ImportantDisclosures!#REF!</definedName>
    <definedName name="DOCDAT" localSheetId="24">ModPubIndex!$A$2</definedName>
    <definedName name="DOCTIME" localSheetId="24">ModPubIndex!$A$3</definedName>
    <definedName name="DocType" localSheetId="23">IndexInformation!$B$5</definedName>
    <definedName name="EMAIL_ALERT" localSheetId="24">ModPubIndex!$A$10</definedName>
    <definedName name="EmailAlert" localSheetId="23">IndexInformation!$B$28</definedName>
    <definedName name="FDD_0_0" hidden="1">"A30681"</definedName>
    <definedName name="FDD_0_1" hidden="1">"A31047"</definedName>
    <definedName name="FDD_0_10" hidden="1">"A34334"</definedName>
    <definedName name="FDD_0_11" hidden="1">"A34699"</definedName>
    <definedName name="FDD_0_12" hidden="1">"A35064"</definedName>
    <definedName name="FDD_0_13" hidden="1">"A35430"</definedName>
    <definedName name="FDD_0_14" hidden="1">"A35795"</definedName>
    <definedName name="FDD_0_2" hidden="1">"A31412"</definedName>
    <definedName name="FDD_0_3" hidden="1">"A31777"</definedName>
    <definedName name="FDD_0_4" hidden="1">"A32142"</definedName>
    <definedName name="FDD_0_5" hidden="1">"A32508"</definedName>
    <definedName name="FDD_0_6" hidden="1">"A32873"</definedName>
    <definedName name="FDD_0_7" hidden="1">"A33238"</definedName>
    <definedName name="FDD_0_8" hidden="1">"A33603"</definedName>
    <definedName name="FDD_0_9" hidden="1">"A33969"</definedName>
    <definedName name="FDD_1_0" hidden="1">"U25569"</definedName>
    <definedName name="FDD_10_0" hidden="1">"A25569"</definedName>
    <definedName name="FDD_100_0" hidden="1">"A25569"</definedName>
    <definedName name="FDD_101_0" hidden="1">"A25569"</definedName>
    <definedName name="FDD_102_0" hidden="1">"A25569"</definedName>
    <definedName name="FDD_103_0" hidden="1">"A25569"</definedName>
    <definedName name="FDD_104_0" hidden="1">"A25569"</definedName>
    <definedName name="FDD_105_0" hidden="1">"A25569"</definedName>
    <definedName name="FDD_106_0" hidden="1">"A25569"</definedName>
    <definedName name="FDD_107_0" hidden="1">"A25569"</definedName>
    <definedName name="FDD_108_0" hidden="1">"A25569"</definedName>
    <definedName name="FDD_109_0" hidden="1">"A25569"</definedName>
    <definedName name="FDD_11_0" hidden="1">"A25569"</definedName>
    <definedName name="FDD_110_0" hidden="1">"A25569"</definedName>
    <definedName name="FDD_111_0" hidden="1">"A25569"</definedName>
    <definedName name="FDD_112_0" hidden="1">"A25569"</definedName>
    <definedName name="FDD_113_0" hidden="1">"A25569"</definedName>
    <definedName name="FDD_114_0" hidden="1">"A25569"</definedName>
    <definedName name="FDD_115_0" hidden="1">"A25569"</definedName>
    <definedName name="FDD_116_0" hidden="1">"A25569"</definedName>
    <definedName name="FDD_117_0" hidden="1">"A30681"</definedName>
    <definedName name="FDD_117_1" hidden="1">"A31047"</definedName>
    <definedName name="FDD_117_10" hidden="1">"A34334"</definedName>
    <definedName name="FDD_117_11" hidden="1">"A34699"</definedName>
    <definedName name="FDD_117_12" hidden="1">"A35064"</definedName>
    <definedName name="FDD_117_13" hidden="1">"A35430"</definedName>
    <definedName name="FDD_117_14" hidden="1">"A35795"</definedName>
    <definedName name="FDD_117_2" hidden="1">"A31412"</definedName>
    <definedName name="FDD_117_3" hidden="1">"A31777"</definedName>
    <definedName name="FDD_117_4" hidden="1">"A32142"</definedName>
    <definedName name="FDD_117_5" hidden="1">"A32508"</definedName>
    <definedName name="FDD_117_6" hidden="1">"A32873"</definedName>
    <definedName name="FDD_117_7" hidden="1">"A33238"</definedName>
    <definedName name="FDD_117_8" hidden="1">"A33603"</definedName>
    <definedName name="FDD_117_9" hidden="1">"A33969"</definedName>
    <definedName name="FDD_118_0" hidden="1">"A30681"</definedName>
    <definedName name="FDD_118_1" hidden="1">"A31047"</definedName>
    <definedName name="FDD_118_10" hidden="1">"A34334"</definedName>
    <definedName name="FDD_118_11" hidden="1">"A34699"</definedName>
    <definedName name="FDD_118_12" hidden="1">"A35064"</definedName>
    <definedName name="FDD_118_13" hidden="1">"A35430"</definedName>
    <definedName name="FDD_118_14" hidden="1">"A35795"</definedName>
    <definedName name="FDD_118_2" hidden="1">"A31412"</definedName>
    <definedName name="FDD_118_3" hidden="1">"A31777"</definedName>
    <definedName name="FDD_118_4" hidden="1">"A32142"</definedName>
    <definedName name="FDD_118_5" hidden="1">"A32508"</definedName>
    <definedName name="FDD_118_6" hidden="1">"A32873"</definedName>
    <definedName name="FDD_118_7" hidden="1">"A33238"</definedName>
    <definedName name="FDD_118_8" hidden="1">"A33603"</definedName>
    <definedName name="FDD_118_9" hidden="1">"A33969"</definedName>
    <definedName name="FDD_119_0" hidden="1">"A30681"</definedName>
    <definedName name="FDD_119_1" hidden="1">"A31047"</definedName>
    <definedName name="FDD_119_10" hidden="1">"A34334"</definedName>
    <definedName name="FDD_119_11" hidden="1">"A34699"</definedName>
    <definedName name="FDD_119_12" hidden="1">"A35064"</definedName>
    <definedName name="FDD_119_13" hidden="1">"A35430"</definedName>
    <definedName name="FDD_119_14" hidden="1">"A35795"</definedName>
    <definedName name="FDD_119_2" hidden="1">"A31412"</definedName>
    <definedName name="FDD_119_3" hidden="1">"A31777"</definedName>
    <definedName name="FDD_119_4" hidden="1">"A32142"</definedName>
    <definedName name="FDD_119_5" hidden="1">"A32508"</definedName>
    <definedName name="FDD_119_6" hidden="1">"A32873"</definedName>
    <definedName name="FDD_119_7" hidden="1">"A33238"</definedName>
    <definedName name="FDD_119_8" hidden="1">"A33603"</definedName>
    <definedName name="FDD_119_9" hidden="1">"A33969"</definedName>
    <definedName name="FDD_12_0" hidden="1">"A25569"</definedName>
    <definedName name="FDD_120_0" hidden="1">"A30681"</definedName>
    <definedName name="FDD_120_1" hidden="1">"A31047"</definedName>
    <definedName name="FDD_120_10" hidden="1">"A34334"</definedName>
    <definedName name="FDD_120_11" hidden="1">"A34699"</definedName>
    <definedName name="FDD_120_12" hidden="1">"A35064"</definedName>
    <definedName name="FDD_120_13" hidden="1">"A35430"</definedName>
    <definedName name="FDD_120_14" hidden="1">"A35795"</definedName>
    <definedName name="FDD_120_2" hidden="1">"A31412"</definedName>
    <definedName name="FDD_120_3" hidden="1">"A31777"</definedName>
    <definedName name="FDD_120_4" hidden="1">"A32142"</definedName>
    <definedName name="FDD_120_5" hidden="1">"A32508"</definedName>
    <definedName name="FDD_120_6" hidden="1">"A32873"</definedName>
    <definedName name="FDD_120_7" hidden="1">"A33238"</definedName>
    <definedName name="FDD_120_8" hidden="1">"A33603"</definedName>
    <definedName name="FDD_120_9" hidden="1">"A33969"</definedName>
    <definedName name="FDD_121_0" hidden="1">"A30681"</definedName>
    <definedName name="FDD_121_1" hidden="1">"A31047"</definedName>
    <definedName name="FDD_121_10" hidden="1">"A34334"</definedName>
    <definedName name="FDD_121_11" hidden="1">"A34699"</definedName>
    <definedName name="FDD_121_12" hidden="1">"A35064"</definedName>
    <definedName name="FDD_121_13" hidden="1">"A35430"</definedName>
    <definedName name="FDD_121_14" hidden="1">"A35795"</definedName>
    <definedName name="FDD_121_2" hidden="1">"A31412"</definedName>
    <definedName name="FDD_121_3" hidden="1">"A31777"</definedName>
    <definedName name="FDD_121_4" hidden="1">"A32142"</definedName>
    <definedName name="FDD_121_5" hidden="1">"A32508"</definedName>
    <definedName name="FDD_121_6" hidden="1">"A32873"</definedName>
    <definedName name="FDD_121_7" hidden="1">"A33238"</definedName>
    <definedName name="FDD_121_8" hidden="1">"A33603"</definedName>
    <definedName name="FDD_121_9" hidden="1">"A33969"</definedName>
    <definedName name="FDD_122_0" hidden="1">"A30681"</definedName>
    <definedName name="FDD_122_1" hidden="1">"A31047"</definedName>
    <definedName name="FDD_122_10" hidden="1">"A34334"</definedName>
    <definedName name="FDD_122_11" hidden="1">"A34699"</definedName>
    <definedName name="FDD_122_12" hidden="1">"A35064"</definedName>
    <definedName name="FDD_122_13" hidden="1">"A35430"</definedName>
    <definedName name="FDD_122_14" hidden="1">"A35795"</definedName>
    <definedName name="FDD_122_2" hidden="1">"A31412"</definedName>
    <definedName name="FDD_122_3" hidden="1">"A31777"</definedName>
    <definedName name="FDD_122_4" hidden="1">"A32142"</definedName>
    <definedName name="FDD_122_5" hidden="1">"A32508"</definedName>
    <definedName name="FDD_122_6" hidden="1">"A32873"</definedName>
    <definedName name="FDD_122_7" hidden="1">"A33238"</definedName>
    <definedName name="FDD_122_8" hidden="1">"A33603"</definedName>
    <definedName name="FDD_122_9" hidden="1">"A33969"</definedName>
    <definedName name="FDD_123_0" hidden="1">"A30681"</definedName>
    <definedName name="FDD_123_1" hidden="1">"A31047"</definedName>
    <definedName name="FDD_123_10" hidden="1">"A34334"</definedName>
    <definedName name="FDD_123_11" hidden="1">"A34699"</definedName>
    <definedName name="FDD_123_12" hidden="1">"A35064"</definedName>
    <definedName name="FDD_123_13" hidden="1">"A35430"</definedName>
    <definedName name="FDD_123_14" hidden="1">"A35795"</definedName>
    <definedName name="FDD_123_2" hidden="1">"A31412"</definedName>
    <definedName name="FDD_123_3" hidden="1">"A31777"</definedName>
    <definedName name="FDD_123_4" hidden="1">"A32142"</definedName>
    <definedName name="FDD_123_5" hidden="1">"A32508"</definedName>
    <definedName name="FDD_123_6" hidden="1">"A32873"</definedName>
    <definedName name="FDD_123_7" hidden="1">"A33238"</definedName>
    <definedName name="FDD_123_8" hidden="1">"A33603"</definedName>
    <definedName name="FDD_123_9" hidden="1">"A33969"</definedName>
    <definedName name="FDD_124_0" hidden="1">"A30681"</definedName>
    <definedName name="FDD_124_1" hidden="1">"A31047"</definedName>
    <definedName name="FDD_124_10" hidden="1">"A34334"</definedName>
    <definedName name="FDD_124_11" hidden="1">"A34699"</definedName>
    <definedName name="FDD_124_12" hidden="1">"A35064"</definedName>
    <definedName name="FDD_124_13" hidden="1">"A35430"</definedName>
    <definedName name="FDD_124_14" hidden="1">"A35795"</definedName>
    <definedName name="FDD_124_2" hidden="1">"A31412"</definedName>
    <definedName name="FDD_124_3" hidden="1">"A31777"</definedName>
    <definedName name="FDD_124_4" hidden="1">"A32142"</definedName>
    <definedName name="FDD_124_5" hidden="1">"A32508"</definedName>
    <definedName name="FDD_124_6" hidden="1">"A32873"</definedName>
    <definedName name="FDD_124_7" hidden="1">"A33238"</definedName>
    <definedName name="FDD_124_8" hidden="1">"A33603"</definedName>
    <definedName name="FDD_124_9" hidden="1">"A33969"</definedName>
    <definedName name="FDD_125_0" hidden="1">"A30681"</definedName>
    <definedName name="FDD_125_1" hidden="1">"A31047"</definedName>
    <definedName name="FDD_125_10" hidden="1">"A34334"</definedName>
    <definedName name="FDD_125_11" hidden="1">"A34699"</definedName>
    <definedName name="FDD_125_12" hidden="1">"A35064"</definedName>
    <definedName name="FDD_125_13" hidden="1">"A35430"</definedName>
    <definedName name="FDD_125_14" hidden="1">"A35795"</definedName>
    <definedName name="FDD_125_2" hidden="1">"A31412"</definedName>
    <definedName name="FDD_125_3" hidden="1">"A31777"</definedName>
    <definedName name="FDD_125_4" hidden="1">"A32142"</definedName>
    <definedName name="FDD_125_5" hidden="1">"A32508"</definedName>
    <definedName name="FDD_125_6" hidden="1">"A32873"</definedName>
    <definedName name="FDD_125_7" hidden="1">"A33238"</definedName>
    <definedName name="FDD_125_8" hidden="1">"A33603"</definedName>
    <definedName name="FDD_125_9" hidden="1">"A33969"</definedName>
    <definedName name="FDD_126_0" hidden="1">"A30681"</definedName>
    <definedName name="FDD_126_1" hidden="1">"A31047"</definedName>
    <definedName name="FDD_126_10" hidden="1">"A34334"</definedName>
    <definedName name="FDD_126_11" hidden="1">"A34699"</definedName>
    <definedName name="FDD_126_12" hidden="1">"A35064"</definedName>
    <definedName name="FDD_126_13" hidden="1">"A35430"</definedName>
    <definedName name="FDD_126_14" hidden="1">"A35795"</definedName>
    <definedName name="FDD_126_2" hidden="1">"A31412"</definedName>
    <definedName name="FDD_126_3" hidden="1">"A31777"</definedName>
    <definedName name="FDD_126_4" hidden="1">"A32142"</definedName>
    <definedName name="FDD_126_5" hidden="1">"A32508"</definedName>
    <definedName name="FDD_126_6" hidden="1">"A32873"</definedName>
    <definedName name="FDD_126_7" hidden="1">"A33238"</definedName>
    <definedName name="FDD_126_8" hidden="1">"A33603"</definedName>
    <definedName name="FDD_126_9" hidden="1">"A33969"</definedName>
    <definedName name="FDD_127_0" hidden="1">"A30681"</definedName>
    <definedName name="FDD_127_1" hidden="1">"A31047"</definedName>
    <definedName name="FDD_127_10" hidden="1">"A34334"</definedName>
    <definedName name="FDD_127_11" hidden="1">"A34699"</definedName>
    <definedName name="FDD_127_12" hidden="1">"A35064"</definedName>
    <definedName name="FDD_127_13" hidden="1">"A35430"</definedName>
    <definedName name="FDD_127_14" hidden="1">"A35795"</definedName>
    <definedName name="FDD_127_2" hidden="1">"A31412"</definedName>
    <definedName name="FDD_127_3" hidden="1">"A31777"</definedName>
    <definedName name="FDD_127_4" hidden="1">"A32142"</definedName>
    <definedName name="FDD_127_5" hidden="1">"A32508"</definedName>
    <definedName name="FDD_127_6" hidden="1">"A32873"</definedName>
    <definedName name="FDD_127_7" hidden="1">"A33238"</definedName>
    <definedName name="FDD_127_8" hidden="1">"A33603"</definedName>
    <definedName name="FDD_127_9" hidden="1">"A33969"</definedName>
    <definedName name="FDD_128_0" hidden="1">"A30681"</definedName>
    <definedName name="FDD_128_1" hidden="1">"A31047"</definedName>
    <definedName name="FDD_128_10" hidden="1">"A34334"</definedName>
    <definedName name="FDD_128_11" hidden="1">"A34699"</definedName>
    <definedName name="FDD_128_12" hidden="1">"A35064"</definedName>
    <definedName name="FDD_128_13" hidden="1">"A35430"</definedName>
    <definedName name="FDD_128_14" hidden="1">"A35795"</definedName>
    <definedName name="FDD_128_2" hidden="1">"A31412"</definedName>
    <definedName name="FDD_128_3" hidden="1">"A31777"</definedName>
    <definedName name="FDD_128_4" hidden="1">"A32142"</definedName>
    <definedName name="FDD_128_5" hidden="1">"A32508"</definedName>
    <definedName name="FDD_128_6" hidden="1">"A32873"</definedName>
    <definedName name="FDD_128_7" hidden="1">"A33238"</definedName>
    <definedName name="FDD_128_8" hidden="1">"A33603"</definedName>
    <definedName name="FDD_128_9" hidden="1">"A33969"</definedName>
    <definedName name="FDD_129_0" hidden="1">"A30681"</definedName>
    <definedName name="FDD_129_1" hidden="1">"A31047"</definedName>
    <definedName name="FDD_129_10" hidden="1">"A34334"</definedName>
    <definedName name="FDD_129_11" hidden="1">"A34699"</definedName>
    <definedName name="FDD_129_12" hidden="1">"A35064"</definedName>
    <definedName name="FDD_129_13" hidden="1">"A35430"</definedName>
    <definedName name="FDD_129_14" hidden="1">"A35795"</definedName>
    <definedName name="FDD_129_2" hidden="1">"A31412"</definedName>
    <definedName name="FDD_129_3" hidden="1">"A31777"</definedName>
    <definedName name="FDD_129_4" hidden="1">"A32142"</definedName>
    <definedName name="FDD_129_5" hidden="1">"A32508"</definedName>
    <definedName name="FDD_129_6" hidden="1">"A32873"</definedName>
    <definedName name="FDD_129_7" hidden="1">"A33238"</definedName>
    <definedName name="FDD_129_8" hidden="1">"A33603"</definedName>
    <definedName name="FDD_129_9" hidden="1">"A33969"</definedName>
    <definedName name="FDD_13_0" hidden="1">"A25569"</definedName>
    <definedName name="FDD_130_0" hidden="1">"A30681"</definedName>
    <definedName name="FDD_130_1" hidden="1">"A31047"</definedName>
    <definedName name="FDD_130_10" hidden="1">"A34334"</definedName>
    <definedName name="FDD_130_11" hidden="1">"A34699"</definedName>
    <definedName name="FDD_130_12" hidden="1">"A35064"</definedName>
    <definedName name="FDD_130_13" hidden="1">"A35430"</definedName>
    <definedName name="FDD_130_14" hidden="1">"A35795"</definedName>
    <definedName name="FDD_130_2" hidden="1">"A31412"</definedName>
    <definedName name="FDD_130_3" hidden="1">"A31777"</definedName>
    <definedName name="FDD_130_4" hidden="1">"A32142"</definedName>
    <definedName name="FDD_130_5" hidden="1">"A32508"</definedName>
    <definedName name="FDD_130_6" hidden="1">"A32873"</definedName>
    <definedName name="FDD_130_7" hidden="1">"A33238"</definedName>
    <definedName name="FDD_130_8" hidden="1">"A33603"</definedName>
    <definedName name="FDD_130_9" hidden="1">"A33969"</definedName>
    <definedName name="FDD_131_0" hidden="1">"A30681"</definedName>
    <definedName name="FDD_131_1" hidden="1">"A31047"</definedName>
    <definedName name="FDD_131_10" hidden="1">"A34334"</definedName>
    <definedName name="FDD_131_11" hidden="1">"A34699"</definedName>
    <definedName name="FDD_131_12" hidden="1">"A35064"</definedName>
    <definedName name="FDD_131_13" hidden="1">"A35430"</definedName>
    <definedName name="FDD_131_14" hidden="1">"A35795"</definedName>
    <definedName name="FDD_131_2" hidden="1">"A31412"</definedName>
    <definedName name="FDD_131_3" hidden="1">"A31777"</definedName>
    <definedName name="FDD_131_4" hidden="1">"A32142"</definedName>
    <definedName name="FDD_131_5" hidden="1">"A32508"</definedName>
    <definedName name="FDD_131_6" hidden="1">"A32873"</definedName>
    <definedName name="FDD_131_7" hidden="1">"A33238"</definedName>
    <definedName name="FDD_131_8" hidden="1">"A33603"</definedName>
    <definedName name="FDD_131_9" hidden="1">"A33969"</definedName>
    <definedName name="FDD_132_0" hidden="1">"U30681"</definedName>
    <definedName name="FDD_132_1" hidden="1">"U31047"</definedName>
    <definedName name="FDD_132_10" hidden="1">"U34334"</definedName>
    <definedName name="FDD_132_11" hidden="1">"U34699"</definedName>
    <definedName name="FDD_132_12" hidden="1">"U35064"</definedName>
    <definedName name="FDD_132_13" hidden="1">"U35430"</definedName>
    <definedName name="FDD_132_14" hidden="1">"U35795"</definedName>
    <definedName name="FDD_132_2" hidden="1">"U31412"</definedName>
    <definedName name="FDD_132_3" hidden="1">"U31777"</definedName>
    <definedName name="FDD_132_4" hidden="1">"U32142"</definedName>
    <definedName name="FDD_132_5" hidden="1">"U32508"</definedName>
    <definedName name="FDD_132_6" hidden="1">"U32873"</definedName>
    <definedName name="FDD_132_7" hidden="1">"U33238"</definedName>
    <definedName name="FDD_132_8" hidden="1">"U33603"</definedName>
    <definedName name="FDD_132_9" hidden="1">"U33969"</definedName>
    <definedName name="FDD_133_0" hidden="1">"A30681"</definedName>
    <definedName name="FDD_133_1" hidden="1">"A31047"</definedName>
    <definedName name="FDD_133_10" hidden="1">"A34334"</definedName>
    <definedName name="FDD_133_11" hidden="1">"A34699"</definedName>
    <definedName name="FDD_133_12" hidden="1">"A35064"</definedName>
    <definedName name="FDD_133_13" hidden="1">"A35430"</definedName>
    <definedName name="FDD_133_14" hidden="1">"A35795"</definedName>
    <definedName name="FDD_133_2" hidden="1">"A31412"</definedName>
    <definedName name="FDD_133_3" hidden="1">"A31777"</definedName>
    <definedName name="FDD_133_4" hidden="1">"A32142"</definedName>
    <definedName name="FDD_133_5" hidden="1">"A32508"</definedName>
    <definedName name="FDD_133_6" hidden="1">"A32873"</definedName>
    <definedName name="FDD_133_7" hidden="1">"A33238"</definedName>
    <definedName name="FDD_133_8" hidden="1">"A33603"</definedName>
    <definedName name="FDD_133_9" hidden="1">"A33969"</definedName>
    <definedName name="FDD_134_0" hidden="1">"A30681"</definedName>
    <definedName name="FDD_134_1" hidden="1">"A31047"</definedName>
    <definedName name="FDD_134_10" hidden="1">"A34334"</definedName>
    <definedName name="FDD_134_11" hidden="1">"A34699"</definedName>
    <definedName name="FDD_134_12" hidden="1">"A35064"</definedName>
    <definedName name="FDD_134_13" hidden="1">"A35430"</definedName>
    <definedName name="FDD_134_14" hidden="1">"A35795"</definedName>
    <definedName name="FDD_134_2" hidden="1">"A31412"</definedName>
    <definedName name="FDD_134_3" hidden="1">"A31777"</definedName>
    <definedName name="FDD_134_4" hidden="1">"A32142"</definedName>
    <definedName name="FDD_134_5" hidden="1">"A32508"</definedName>
    <definedName name="FDD_134_6" hidden="1">"A32873"</definedName>
    <definedName name="FDD_134_7" hidden="1">"A33238"</definedName>
    <definedName name="FDD_134_8" hidden="1">"A33603"</definedName>
    <definedName name="FDD_134_9" hidden="1">"A33969"</definedName>
    <definedName name="FDD_135_0" hidden="1">"A30681"</definedName>
    <definedName name="FDD_135_1" hidden="1">"A31047"</definedName>
    <definedName name="FDD_135_10" hidden="1">"A34334"</definedName>
    <definedName name="FDD_135_11" hidden="1">"A34699"</definedName>
    <definedName name="FDD_135_12" hidden="1">"A35064"</definedName>
    <definedName name="FDD_135_13" hidden="1">"A35430"</definedName>
    <definedName name="FDD_135_14" hidden="1">"A35795"</definedName>
    <definedName name="FDD_135_2" hidden="1">"A31412"</definedName>
    <definedName name="FDD_135_3" hidden="1">"A31777"</definedName>
    <definedName name="FDD_135_4" hidden="1">"A32142"</definedName>
    <definedName name="FDD_135_5" hidden="1">"A32508"</definedName>
    <definedName name="FDD_135_6" hidden="1">"A32873"</definedName>
    <definedName name="FDD_135_7" hidden="1">"A33238"</definedName>
    <definedName name="FDD_135_8" hidden="1">"A33603"</definedName>
    <definedName name="FDD_135_9" hidden="1">"A33969"</definedName>
    <definedName name="FDD_136_0" hidden="1">"A30681"</definedName>
    <definedName name="FDD_136_1" hidden="1">"A31047"</definedName>
    <definedName name="FDD_136_10" hidden="1">"A34334"</definedName>
    <definedName name="FDD_136_11" hidden="1">"A34699"</definedName>
    <definedName name="FDD_136_12" hidden="1">"A35064"</definedName>
    <definedName name="FDD_136_13" hidden="1">"A35430"</definedName>
    <definedName name="FDD_136_14" hidden="1">"A35795"</definedName>
    <definedName name="FDD_136_2" hidden="1">"A31412"</definedName>
    <definedName name="FDD_136_3" hidden="1">"A31777"</definedName>
    <definedName name="FDD_136_4" hidden="1">"A32142"</definedName>
    <definedName name="FDD_136_5" hidden="1">"A32508"</definedName>
    <definedName name="FDD_136_6" hidden="1">"A32873"</definedName>
    <definedName name="FDD_136_7" hidden="1">"A33238"</definedName>
    <definedName name="FDD_136_8" hidden="1">"A33603"</definedName>
    <definedName name="FDD_136_9" hidden="1">"A33969"</definedName>
    <definedName name="FDD_137_0" hidden="1">"A30681"</definedName>
    <definedName name="FDD_137_1" hidden="1">"A31047"</definedName>
    <definedName name="FDD_137_10" hidden="1">"A34334"</definedName>
    <definedName name="FDD_137_11" hidden="1">"A34699"</definedName>
    <definedName name="FDD_137_12" hidden="1">"A35064"</definedName>
    <definedName name="FDD_137_13" hidden="1">"A35430"</definedName>
    <definedName name="FDD_137_14" hidden="1">"A35795"</definedName>
    <definedName name="FDD_137_2" hidden="1">"A31412"</definedName>
    <definedName name="FDD_137_3" hidden="1">"A31777"</definedName>
    <definedName name="FDD_137_4" hidden="1">"A32142"</definedName>
    <definedName name="FDD_137_5" hidden="1">"A32508"</definedName>
    <definedName name="FDD_137_6" hidden="1">"A32873"</definedName>
    <definedName name="FDD_137_7" hidden="1">"A33238"</definedName>
    <definedName name="FDD_137_8" hidden="1">"A33603"</definedName>
    <definedName name="FDD_137_9" hidden="1">"A33969"</definedName>
    <definedName name="FDD_138_0" hidden="1">"A30681"</definedName>
    <definedName name="FDD_138_1" hidden="1">"A31047"</definedName>
    <definedName name="FDD_138_10" hidden="1">"A34334"</definedName>
    <definedName name="FDD_138_11" hidden="1">"A34699"</definedName>
    <definedName name="FDD_138_12" hidden="1">"A35064"</definedName>
    <definedName name="FDD_138_13" hidden="1">"A35430"</definedName>
    <definedName name="FDD_138_14" hidden="1">"A35795"</definedName>
    <definedName name="FDD_138_2" hidden="1">"A31412"</definedName>
    <definedName name="FDD_138_3" hidden="1">"A31777"</definedName>
    <definedName name="FDD_138_4" hidden="1">"A32142"</definedName>
    <definedName name="FDD_138_5" hidden="1">"A32508"</definedName>
    <definedName name="FDD_138_6" hidden="1">"A32873"</definedName>
    <definedName name="FDD_138_7" hidden="1">"A33238"</definedName>
    <definedName name="FDD_138_8" hidden="1">"A33603"</definedName>
    <definedName name="FDD_138_9" hidden="1">"A33969"</definedName>
    <definedName name="FDD_139_0" hidden="1">"A30681"</definedName>
    <definedName name="FDD_139_1" hidden="1">"A31047"</definedName>
    <definedName name="FDD_139_10" hidden="1">"U34334"</definedName>
    <definedName name="FDD_139_11" hidden="1">"U34699"</definedName>
    <definedName name="FDD_139_12" hidden="1">"U35064"</definedName>
    <definedName name="FDD_139_13" hidden="1">"U35430"</definedName>
    <definedName name="FDD_139_14" hidden="1">"U35795"</definedName>
    <definedName name="FDD_139_2" hidden="1">"A31412"</definedName>
    <definedName name="FDD_139_3" hidden="1">"U31777"</definedName>
    <definedName name="FDD_139_4" hidden="1">"U32142"</definedName>
    <definedName name="FDD_139_5" hidden="1">"U32508"</definedName>
    <definedName name="FDD_139_6" hidden="1">"U32873"</definedName>
    <definedName name="FDD_139_7" hidden="1">"U33238"</definedName>
    <definedName name="FDD_139_8" hidden="1">"U33603"</definedName>
    <definedName name="FDD_139_9" hidden="1">"U33969"</definedName>
    <definedName name="FDD_14_0" hidden="1">"A25569"</definedName>
    <definedName name="FDD_140_0" hidden="1">"A25569"</definedName>
    <definedName name="FDD_141_0" hidden="1">"A30681"</definedName>
    <definedName name="FDD_141_1" hidden="1">"A31047"</definedName>
    <definedName name="FDD_141_10" hidden="1">"A34334"</definedName>
    <definedName name="FDD_141_11" hidden="1">"A34699"</definedName>
    <definedName name="FDD_141_12" hidden="1">"A35064"</definedName>
    <definedName name="FDD_141_13" hidden="1">"A35430"</definedName>
    <definedName name="FDD_141_14" hidden="1">"A35795"</definedName>
    <definedName name="FDD_141_2" hidden="1">"A31412"</definedName>
    <definedName name="FDD_141_3" hidden="1">"A31777"</definedName>
    <definedName name="FDD_141_4" hidden="1">"A32142"</definedName>
    <definedName name="FDD_141_5" hidden="1">"A32508"</definedName>
    <definedName name="FDD_141_6" hidden="1">"A32873"</definedName>
    <definedName name="FDD_141_7" hidden="1">"A33238"</definedName>
    <definedName name="FDD_141_8" hidden="1">"A33603"</definedName>
    <definedName name="FDD_141_9" hidden="1">"A33969"</definedName>
    <definedName name="FDD_142_0" hidden="1">"A30681"</definedName>
    <definedName name="FDD_142_1" hidden="1">"A31047"</definedName>
    <definedName name="FDD_142_10" hidden="1">"A34334"</definedName>
    <definedName name="FDD_142_11" hidden="1">"A34699"</definedName>
    <definedName name="FDD_142_12" hidden="1">"A35064"</definedName>
    <definedName name="FDD_142_13" hidden="1">"A35430"</definedName>
    <definedName name="FDD_142_14" hidden="1">"A35795"</definedName>
    <definedName name="FDD_142_2" hidden="1">"A31412"</definedName>
    <definedName name="FDD_142_3" hidden="1">"A31777"</definedName>
    <definedName name="FDD_142_4" hidden="1">"A32142"</definedName>
    <definedName name="FDD_142_5" hidden="1">"A32508"</definedName>
    <definedName name="FDD_142_6" hidden="1">"A32873"</definedName>
    <definedName name="FDD_142_7" hidden="1">"A33238"</definedName>
    <definedName name="FDD_142_8" hidden="1">"A33603"</definedName>
    <definedName name="FDD_142_9" hidden="1">"A33969"</definedName>
    <definedName name="FDD_143_0" hidden="1">"A30681"</definedName>
    <definedName name="FDD_143_1" hidden="1">"A31047"</definedName>
    <definedName name="FDD_143_10" hidden="1">"A34334"</definedName>
    <definedName name="FDD_143_11" hidden="1">"A34699"</definedName>
    <definedName name="FDD_143_12" hidden="1">"A35064"</definedName>
    <definedName name="FDD_143_13" hidden="1">"A35430"</definedName>
    <definedName name="FDD_143_14" hidden="1">"A35795"</definedName>
    <definedName name="FDD_143_2" hidden="1">"A31412"</definedName>
    <definedName name="FDD_143_3" hidden="1">"A31777"</definedName>
    <definedName name="FDD_143_4" hidden="1">"A32142"</definedName>
    <definedName name="FDD_143_5" hidden="1">"A32508"</definedName>
    <definedName name="FDD_143_6" hidden="1">"A32873"</definedName>
    <definedName name="FDD_143_7" hidden="1">"A33238"</definedName>
    <definedName name="FDD_143_8" hidden="1">"A33603"</definedName>
    <definedName name="FDD_143_9" hidden="1">"A33969"</definedName>
    <definedName name="FDD_144_0" hidden="1">"A30681"</definedName>
    <definedName name="FDD_144_1" hidden="1">"A31047"</definedName>
    <definedName name="FDD_144_10" hidden="1">"A34334"</definedName>
    <definedName name="FDD_144_11" hidden="1">"A34699"</definedName>
    <definedName name="FDD_144_12" hidden="1">"A35064"</definedName>
    <definedName name="FDD_144_13" hidden="1">"A35430"</definedName>
    <definedName name="FDD_144_14" hidden="1">"A35795"</definedName>
    <definedName name="FDD_144_2" hidden="1">"A31412"</definedName>
    <definedName name="FDD_144_3" hidden="1">"A31777"</definedName>
    <definedName name="FDD_144_4" hidden="1">"A32142"</definedName>
    <definedName name="FDD_144_5" hidden="1">"A32508"</definedName>
    <definedName name="FDD_144_6" hidden="1">"A32873"</definedName>
    <definedName name="FDD_144_7" hidden="1">"A33238"</definedName>
    <definedName name="FDD_144_8" hidden="1">"A33603"</definedName>
    <definedName name="FDD_144_9" hidden="1">"A33969"</definedName>
    <definedName name="FDD_145_0" hidden="1">"A30681"</definedName>
    <definedName name="FDD_145_1" hidden="1">"A31047"</definedName>
    <definedName name="FDD_145_10" hidden="1">"A34334"</definedName>
    <definedName name="FDD_145_11" hidden="1">"A34699"</definedName>
    <definedName name="FDD_145_12" hidden="1">"A35064"</definedName>
    <definedName name="FDD_145_13" hidden="1">"A35430"</definedName>
    <definedName name="FDD_145_14" hidden="1">"A35795"</definedName>
    <definedName name="FDD_145_2" hidden="1">"A31412"</definedName>
    <definedName name="FDD_145_3" hidden="1">"A31777"</definedName>
    <definedName name="FDD_145_4" hidden="1">"A32142"</definedName>
    <definedName name="FDD_145_5" hidden="1">"A32508"</definedName>
    <definedName name="FDD_145_6" hidden="1">"A32873"</definedName>
    <definedName name="FDD_145_7" hidden="1">"A33238"</definedName>
    <definedName name="FDD_145_8" hidden="1">"A33603"</definedName>
    <definedName name="FDD_145_9" hidden="1">"A33969"</definedName>
    <definedName name="FDD_146_0" hidden="1">"A30681"</definedName>
    <definedName name="FDD_146_1" hidden="1">"A31047"</definedName>
    <definedName name="FDD_146_10" hidden="1">"A34334"</definedName>
    <definedName name="FDD_146_11" hidden="1">"A34699"</definedName>
    <definedName name="FDD_146_12" hidden="1">"A35064"</definedName>
    <definedName name="FDD_146_13" hidden="1">"A35430"</definedName>
    <definedName name="FDD_146_14" hidden="1">"A35795"</definedName>
    <definedName name="FDD_146_2" hidden="1">"A31412"</definedName>
    <definedName name="FDD_146_3" hidden="1">"A31777"</definedName>
    <definedName name="FDD_146_4" hidden="1">"A32142"</definedName>
    <definedName name="FDD_146_5" hidden="1">"A32508"</definedName>
    <definedName name="FDD_146_6" hidden="1">"A32873"</definedName>
    <definedName name="FDD_146_7" hidden="1">"A33238"</definedName>
    <definedName name="FDD_146_8" hidden="1">"A33603"</definedName>
    <definedName name="FDD_146_9" hidden="1">"A33969"</definedName>
    <definedName name="FDD_147_0" hidden="1">"U30681"</definedName>
    <definedName name="FDD_147_1" hidden="1">"U31047"</definedName>
    <definedName name="FDD_147_10" hidden="1">"U34334"</definedName>
    <definedName name="FDD_147_11" hidden="1">"U34699"</definedName>
    <definedName name="FDD_147_12" hidden="1">"U35064"</definedName>
    <definedName name="FDD_147_13" hidden="1">"U35430"</definedName>
    <definedName name="FDD_147_14" hidden="1">"U35795"</definedName>
    <definedName name="FDD_147_2" hidden="1">"U31412"</definedName>
    <definedName name="FDD_147_3" hidden="1">"U31777"</definedName>
    <definedName name="FDD_147_4" hidden="1">"U32142"</definedName>
    <definedName name="FDD_147_5" hidden="1">"U32508"</definedName>
    <definedName name="FDD_147_6" hidden="1">"U32873"</definedName>
    <definedName name="FDD_147_7" hidden="1">"U33238"</definedName>
    <definedName name="FDD_147_8" hidden="1">"U33603"</definedName>
    <definedName name="FDD_147_9" hidden="1">"U33969"</definedName>
    <definedName name="FDD_148_0" hidden="1">"A30681"</definedName>
    <definedName name="FDD_148_1" hidden="1">"A31047"</definedName>
    <definedName name="FDD_148_10" hidden="1">"A34334"</definedName>
    <definedName name="FDD_148_11" hidden="1">"A34699"</definedName>
    <definedName name="FDD_148_12" hidden="1">"A35064"</definedName>
    <definedName name="FDD_148_13" hidden="1">"A35430"</definedName>
    <definedName name="FDD_148_14" hidden="1">"A35795"</definedName>
    <definedName name="FDD_148_2" hidden="1">"A31412"</definedName>
    <definedName name="FDD_148_3" hidden="1">"A31777"</definedName>
    <definedName name="FDD_148_4" hidden="1">"A32142"</definedName>
    <definedName name="FDD_148_5" hidden="1">"A32508"</definedName>
    <definedName name="FDD_148_6" hidden="1">"A32873"</definedName>
    <definedName name="FDD_148_7" hidden="1">"A33238"</definedName>
    <definedName name="FDD_148_8" hidden="1">"A33603"</definedName>
    <definedName name="FDD_148_9" hidden="1">"A33969"</definedName>
    <definedName name="FDD_149_0" hidden="1">"U30681"</definedName>
    <definedName name="FDD_149_1" hidden="1">"U31047"</definedName>
    <definedName name="FDD_149_10" hidden="1">"U34334"</definedName>
    <definedName name="FDD_149_11" hidden="1">"U34699"</definedName>
    <definedName name="FDD_149_12" hidden="1">"U35064"</definedName>
    <definedName name="FDD_149_13" hidden="1">"U35430"</definedName>
    <definedName name="FDD_149_14" hidden="1">"A35795"</definedName>
    <definedName name="FDD_149_2" hidden="1">"U31412"</definedName>
    <definedName name="FDD_149_3" hidden="1">"U31777"</definedName>
    <definedName name="FDD_149_4" hidden="1">"U32142"</definedName>
    <definedName name="FDD_149_5" hidden="1">"U32508"</definedName>
    <definedName name="FDD_149_6" hidden="1">"U32873"</definedName>
    <definedName name="FDD_149_7" hidden="1">"U33238"</definedName>
    <definedName name="FDD_149_8" hidden="1">"U33603"</definedName>
    <definedName name="FDD_149_9" hidden="1">"U33969"</definedName>
    <definedName name="FDD_15_0" hidden="1">"A25569"</definedName>
    <definedName name="FDD_151_0" hidden="1">"A30681"</definedName>
    <definedName name="FDD_151_1" hidden="1">"A31047"</definedName>
    <definedName name="FDD_151_10" hidden="1">"A34334"</definedName>
    <definedName name="FDD_151_11" hidden="1">"A34699"</definedName>
    <definedName name="FDD_151_12" hidden="1">"A35064"</definedName>
    <definedName name="FDD_151_13" hidden="1">"A35430"</definedName>
    <definedName name="FDD_151_14" hidden="1">"A35795"</definedName>
    <definedName name="FDD_151_2" hidden="1">"A31412"</definedName>
    <definedName name="FDD_151_3" hidden="1">"A31777"</definedName>
    <definedName name="FDD_151_4" hidden="1">"A32142"</definedName>
    <definedName name="FDD_151_5" hidden="1">"A32508"</definedName>
    <definedName name="FDD_151_6" hidden="1">"A32873"</definedName>
    <definedName name="FDD_151_7" hidden="1">"A33238"</definedName>
    <definedName name="FDD_151_8" hidden="1">"A33603"</definedName>
    <definedName name="FDD_151_9" hidden="1">"A33969"</definedName>
    <definedName name="FDD_152_0" hidden="1">"A30681"</definedName>
    <definedName name="FDD_152_1" hidden="1">"A31047"</definedName>
    <definedName name="FDD_152_10" hidden="1">"A34334"</definedName>
    <definedName name="FDD_152_11" hidden="1">"A34699"</definedName>
    <definedName name="FDD_152_12" hidden="1">"A35064"</definedName>
    <definedName name="FDD_152_13" hidden="1">"A35430"</definedName>
    <definedName name="FDD_152_14" hidden="1">"A35795"</definedName>
    <definedName name="FDD_152_15" hidden="1">"E36160"</definedName>
    <definedName name="FDD_152_2" hidden="1">"A31412"</definedName>
    <definedName name="FDD_152_3" hidden="1">"A31777"</definedName>
    <definedName name="FDD_152_4" hidden="1">"A32142"</definedName>
    <definedName name="FDD_152_5" hidden="1">"A32508"</definedName>
    <definedName name="FDD_152_6" hidden="1">"A32873"</definedName>
    <definedName name="FDD_152_7" hidden="1">"A33238"</definedName>
    <definedName name="FDD_152_8" hidden="1">"A33603"</definedName>
    <definedName name="FDD_152_9" hidden="1">"A33969"</definedName>
    <definedName name="FDD_153_0" hidden="1">"A30681"</definedName>
    <definedName name="FDD_153_1" hidden="1">"A31047"</definedName>
    <definedName name="FDD_153_10" hidden="1">"A34334"</definedName>
    <definedName name="FDD_153_11" hidden="1">"A34699"</definedName>
    <definedName name="FDD_153_12" hidden="1">"A35064"</definedName>
    <definedName name="FDD_153_13" hidden="1">"A35430"</definedName>
    <definedName name="FDD_153_14" hidden="1">"A35795"</definedName>
    <definedName name="FDD_153_2" hidden="1">"A31412"</definedName>
    <definedName name="FDD_153_3" hidden="1">"A31777"</definedName>
    <definedName name="FDD_153_4" hidden="1">"A32142"</definedName>
    <definedName name="FDD_153_5" hidden="1">"A32508"</definedName>
    <definedName name="FDD_153_6" hidden="1">"A32873"</definedName>
    <definedName name="FDD_153_7" hidden="1">"A33238"</definedName>
    <definedName name="FDD_153_8" hidden="1">"A33603"</definedName>
    <definedName name="FDD_153_9" hidden="1">"A33969"</definedName>
    <definedName name="FDD_154_0" hidden="1">"A30681"</definedName>
    <definedName name="FDD_154_1" hidden="1">"A31047"</definedName>
    <definedName name="FDD_154_10" hidden="1">"A34334"</definedName>
    <definedName name="FDD_154_11" hidden="1">"A34699"</definedName>
    <definedName name="FDD_154_12" hidden="1">"A35064"</definedName>
    <definedName name="FDD_154_13" hidden="1">"A35430"</definedName>
    <definedName name="FDD_154_14" hidden="1">"A35795"</definedName>
    <definedName name="FDD_154_2" hidden="1">"A31412"</definedName>
    <definedName name="FDD_154_3" hidden="1">"A31777"</definedName>
    <definedName name="FDD_154_4" hidden="1">"A32142"</definedName>
    <definedName name="FDD_154_5" hidden="1">"A32508"</definedName>
    <definedName name="FDD_154_6" hidden="1">"A32873"</definedName>
    <definedName name="FDD_154_7" hidden="1">"A33238"</definedName>
    <definedName name="FDD_154_8" hidden="1">"A33603"</definedName>
    <definedName name="FDD_154_9" hidden="1">"A33969"</definedName>
    <definedName name="FDD_155_0" hidden="1">"A25569"</definedName>
    <definedName name="FDD_156_0" hidden="1">"A30681"</definedName>
    <definedName name="FDD_156_1" hidden="1">"A31047"</definedName>
    <definedName name="FDD_156_10" hidden="1">"A34334"</definedName>
    <definedName name="FDD_156_11" hidden="1">"A34699"</definedName>
    <definedName name="FDD_156_12" hidden="1">"A35064"</definedName>
    <definedName name="FDD_156_13" hidden="1">"A35430"</definedName>
    <definedName name="FDD_156_14" hidden="1">"A35795"</definedName>
    <definedName name="FDD_156_15" hidden="1">"E36160"</definedName>
    <definedName name="FDD_156_2" hidden="1">"A31412"</definedName>
    <definedName name="FDD_156_3" hidden="1">"A31777"</definedName>
    <definedName name="FDD_156_4" hidden="1">"A32142"</definedName>
    <definedName name="FDD_156_5" hidden="1">"A32508"</definedName>
    <definedName name="FDD_156_6" hidden="1">"A32873"</definedName>
    <definedName name="FDD_156_7" hidden="1">"A33238"</definedName>
    <definedName name="FDD_156_8" hidden="1">"A33603"</definedName>
    <definedName name="FDD_156_9" hidden="1">"A33969"</definedName>
    <definedName name="FDD_157_0" hidden="1">"A30681"</definedName>
    <definedName name="FDD_157_1" hidden="1">"A31047"</definedName>
    <definedName name="FDD_157_10" hidden="1">"A34334"</definedName>
    <definedName name="FDD_157_11" hidden="1">"A34699"</definedName>
    <definedName name="FDD_157_12" hidden="1">"A35064"</definedName>
    <definedName name="FDD_157_13" hidden="1">"A35430"</definedName>
    <definedName name="FDD_157_14" hidden="1">"A35795"</definedName>
    <definedName name="FDD_157_2" hidden="1">"A31412"</definedName>
    <definedName name="FDD_157_3" hidden="1">"A31777"</definedName>
    <definedName name="FDD_157_4" hidden="1">"A32142"</definedName>
    <definedName name="FDD_157_5" hidden="1">"A32508"</definedName>
    <definedName name="FDD_157_6" hidden="1">"A32873"</definedName>
    <definedName name="FDD_157_7" hidden="1">"A33238"</definedName>
    <definedName name="FDD_157_8" hidden="1">"A33603"</definedName>
    <definedName name="FDD_157_9" hidden="1">"A33969"</definedName>
    <definedName name="FDD_158_0" hidden="1">"A30681"</definedName>
    <definedName name="FDD_158_1" hidden="1">"A31047"</definedName>
    <definedName name="FDD_158_10" hidden="1">"A34334"</definedName>
    <definedName name="FDD_158_11" hidden="1">"A34699"</definedName>
    <definedName name="FDD_158_12" hidden="1">"A35064"</definedName>
    <definedName name="FDD_158_13" hidden="1">"A35430"</definedName>
    <definedName name="FDD_158_14" hidden="1">"A35795"</definedName>
    <definedName name="FDD_158_15" hidden="1">"E36160"</definedName>
    <definedName name="FDD_158_2" hidden="1">"A31412"</definedName>
    <definedName name="FDD_158_3" hidden="1">"A31777"</definedName>
    <definedName name="FDD_158_4" hidden="1">"A32142"</definedName>
    <definedName name="FDD_158_5" hidden="1">"A32508"</definedName>
    <definedName name="FDD_158_6" hidden="1">"A32873"</definedName>
    <definedName name="FDD_158_7" hidden="1">"A33238"</definedName>
    <definedName name="FDD_158_8" hidden="1">"A33603"</definedName>
    <definedName name="FDD_158_9" hidden="1">"A33969"</definedName>
    <definedName name="FDD_159_0" hidden="1">"A30681"</definedName>
    <definedName name="FDD_159_1" hidden="1">"A31047"</definedName>
    <definedName name="FDD_159_10" hidden="1">"A34334"</definedName>
    <definedName name="FDD_159_11" hidden="1">"A34699"</definedName>
    <definedName name="FDD_159_12" hidden="1">"A35064"</definedName>
    <definedName name="FDD_159_13" hidden="1">"A35430"</definedName>
    <definedName name="FDD_159_14" hidden="1">"A35795"</definedName>
    <definedName name="FDD_159_2" hidden="1">"A31412"</definedName>
    <definedName name="FDD_159_3" hidden="1">"A31777"</definedName>
    <definedName name="FDD_159_4" hidden="1">"A32142"</definedName>
    <definedName name="FDD_159_5" hidden="1">"A32508"</definedName>
    <definedName name="FDD_159_6" hidden="1">"A32873"</definedName>
    <definedName name="FDD_159_7" hidden="1">"A33238"</definedName>
    <definedName name="FDD_159_8" hidden="1">"A33603"</definedName>
    <definedName name="FDD_159_9" hidden="1">"A33969"</definedName>
    <definedName name="FDD_16_0" hidden="1">"A25569"</definedName>
    <definedName name="FDD_160_0" hidden="1">"A30681"</definedName>
    <definedName name="FDD_160_1" hidden="1">"A31047"</definedName>
    <definedName name="FDD_160_10" hidden="1">"A34334"</definedName>
    <definedName name="FDD_160_11" hidden="1">"A34699"</definedName>
    <definedName name="FDD_160_12" hidden="1">"A35064"</definedName>
    <definedName name="FDD_160_13" hidden="1">"A35430"</definedName>
    <definedName name="FDD_160_14" hidden="1">"A35795"</definedName>
    <definedName name="FDD_160_15" hidden="1">"E36160"</definedName>
    <definedName name="FDD_160_2" hidden="1">"A31412"</definedName>
    <definedName name="FDD_160_3" hidden="1">"A31777"</definedName>
    <definedName name="FDD_160_4" hidden="1">"A32142"</definedName>
    <definedName name="FDD_160_5" hidden="1">"A32508"</definedName>
    <definedName name="FDD_160_6" hidden="1">"A32873"</definedName>
    <definedName name="FDD_160_7" hidden="1">"A33238"</definedName>
    <definedName name="FDD_160_8" hidden="1">"A33603"</definedName>
    <definedName name="FDD_160_9" hidden="1">"A33969"</definedName>
    <definedName name="FDD_161_0" hidden="1">"A30681"</definedName>
    <definedName name="FDD_161_1" hidden="1">"A31047"</definedName>
    <definedName name="FDD_161_10" hidden="1">"A34334"</definedName>
    <definedName name="FDD_161_11" hidden="1">"A34699"</definedName>
    <definedName name="FDD_161_12" hidden="1">"A35064"</definedName>
    <definedName name="FDD_161_13" hidden="1">"A35430"</definedName>
    <definedName name="FDD_161_14" hidden="1">"A35795"</definedName>
    <definedName name="FDD_161_2" hidden="1">"A31412"</definedName>
    <definedName name="FDD_161_3" hidden="1">"A31777"</definedName>
    <definedName name="FDD_161_4" hidden="1">"A32142"</definedName>
    <definedName name="FDD_161_5" hidden="1">"A32508"</definedName>
    <definedName name="FDD_161_6" hidden="1">"A32873"</definedName>
    <definedName name="FDD_161_7" hidden="1">"A33238"</definedName>
    <definedName name="FDD_161_8" hidden="1">"A33603"</definedName>
    <definedName name="FDD_161_9" hidden="1">"A33969"</definedName>
    <definedName name="FDD_162_0" hidden="1">"A30681"</definedName>
    <definedName name="FDD_162_1" hidden="1">"A31047"</definedName>
    <definedName name="FDD_162_10" hidden="1">"A34334"</definedName>
    <definedName name="FDD_162_11" hidden="1">"A34699"</definedName>
    <definedName name="FDD_162_12" hidden="1">"A35064"</definedName>
    <definedName name="FDD_162_13" hidden="1">"A35430"</definedName>
    <definedName name="FDD_162_14" hidden="1">"A35795"</definedName>
    <definedName name="FDD_162_2" hidden="1">"A31412"</definedName>
    <definedName name="FDD_162_3" hidden="1">"A31777"</definedName>
    <definedName name="FDD_162_4" hidden="1">"A32142"</definedName>
    <definedName name="FDD_162_5" hidden="1">"A32508"</definedName>
    <definedName name="FDD_162_6" hidden="1">"A32873"</definedName>
    <definedName name="FDD_162_7" hidden="1">"A33238"</definedName>
    <definedName name="FDD_162_8" hidden="1">"A33603"</definedName>
    <definedName name="FDD_162_9" hidden="1">"A33969"</definedName>
    <definedName name="FDD_163_0" hidden="1">"A30681"</definedName>
    <definedName name="FDD_163_1" hidden="1">"A31047"</definedName>
    <definedName name="FDD_163_10" hidden="1">"A34334"</definedName>
    <definedName name="FDD_163_11" hidden="1">"A34699"</definedName>
    <definedName name="FDD_163_12" hidden="1">"A35064"</definedName>
    <definedName name="FDD_163_13" hidden="1">"A35430"</definedName>
    <definedName name="FDD_163_14" hidden="1">"A35795"</definedName>
    <definedName name="FDD_163_2" hidden="1">"A31412"</definedName>
    <definedName name="FDD_163_3" hidden="1">"A31777"</definedName>
    <definedName name="FDD_163_4" hidden="1">"A32142"</definedName>
    <definedName name="FDD_163_5" hidden="1">"A32508"</definedName>
    <definedName name="FDD_163_6" hidden="1">"A32873"</definedName>
    <definedName name="FDD_163_7" hidden="1">"A33238"</definedName>
    <definedName name="FDD_163_8" hidden="1">"A33603"</definedName>
    <definedName name="FDD_163_9" hidden="1">"A33969"</definedName>
    <definedName name="FDD_164_0" hidden="1">"A25569"</definedName>
    <definedName name="FDD_165_0" hidden="1">"A30681"</definedName>
    <definedName name="FDD_165_1" hidden="1">"A31047"</definedName>
    <definedName name="FDD_165_10" hidden="1">"A34334"</definedName>
    <definedName name="FDD_165_11" hidden="1">"A34699"</definedName>
    <definedName name="FDD_165_12" hidden="1">"A35064"</definedName>
    <definedName name="FDD_165_13" hidden="1">"A35430"</definedName>
    <definedName name="FDD_165_14" hidden="1">"A35795"</definedName>
    <definedName name="FDD_165_2" hidden="1">"A31412"</definedName>
    <definedName name="FDD_165_3" hidden="1">"A31777"</definedName>
    <definedName name="FDD_165_4" hidden="1">"A32142"</definedName>
    <definedName name="FDD_165_5" hidden="1">"A32508"</definedName>
    <definedName name="FDD_165_6" hidden="1">"A32873"</definedName>
    <definedName name="FDD_165_7" hidden="1">"A33238"</definedName>
    <definedName name="FDD_165_8" hidden="1">"A33603"</definedName>
    <definedName name="FDD_165_9" hidden="1">"A33969"</definedName>
    <definedName name="FDD_166_0" hidden="1">"A30681"</definedName>
    <definedName name="FDD_166_1" hidden="1">"A31047"</definedName>
    <definedName name="FDD_166_10" hidden="1">"A34334"</definedName>
    <definedName name="FDD_166_11" hidden="1">"A34699"</definedName>
    <definedName name="FDD_166_12" hidden="1">"A35064"</definedName>
    <definedName name="FDD_166_13" hidden="1">"A35430"</definedName>
    <definedName name="FDD_166_14" hidden="1">"A35795"</definedName>
    <definedName name="FDD_166_2" hidden="1">"A31412"</definedName>
    <definedName name="FDD_166_3" hidden="1">"A31777"</definedName>
    <definedName name="FDD_166_4" hidden="1">"A32142"</definedName>
    <definedName name="FDD_166_5" hidden="1">"A32508"</definedName>
    <definedName name="FDD_166_6" hidden="1">"A32873"</definedName>
    <definedName name="FDD_166_7" hidden="1">"A33238"</definedName>
    <definedName name="FDD_166_8" hidden="1">"A33603"</definedName>
    <definedName name="FDD_166_9" hidden="1">"A33969"</definedName>
    <definedName name="FDD_167_0" hidden="1">"A30681"</definedName>
    <definedName name="FDD_167_1" hidden="1">"A31047"</definedName>
    <definedName name="FDD_167_10" hidden="1">"A34334"</definedName>
    <definedName name="FDD_167_11" hidden="1">"A34699"</definedName>
    <definedName name="FDD_167_12" hidden="1">"A35064"</definedName>
    <definedName name="FDD_167_13" hidden="1">"A35430"</definedName>
    <definedName name="FDD_167_14" hidden="1">"A35795"</definedName>
    <definedName name="FDD_167_2" hidden="1">"A31412"</definedName>
    <definedName name="FDD_167_3" hidden="1">"A31777"</definedName>
    <definedName name="FDD_167_4" hidden="1">"A32142"</definedName>
    <definedName name="FDD_167_5" hidden="1">"A32508"</definedName>
    <definedName name="FDD_167_6" hidden="1">"A32873"</definedName>
    <definedName name="FDD_167_7" hidden="1">"A33238"</definedName>
    <definedName name="FDD_167_8" hidden="1">"A33603"</definedName>
    <definedName name="FDD_167_9" hidden="1">"A33969"</definedName>
    <definedName name="FDD_168_0" hidden="1">"E36160"</definedName>
    <definedName name="FDD_168_1" hidden="1">"E36525"</definedName>
    <definedName name="FDD_168_2" hidden="1">"E36891"</definedName>
    <definedName name="FDD_169_0" hidden="1">"A30681"</definedName>
    <definedName name="FDD_169_1" hidden="1">"A31047"</definedName>
    <definedName name="FDD_169_10" hidden="1">"A34334"</definedName>
    <definedName name="FDD_169_11" hidden="1">"A34699"</definedName>
    <definedName name="FDD_169_12" hidden="1">"A35064"</definedName>
    <definedName name="FDD_169_13" hidden="1">"A35430"</definedName>
    <definedName name="FDD_169_14" hidden="1">"A35795"</definedName>
    <definedName name="FDD_169_2" hidden="1">"A31412"</definedName>
    <definedName name="FDD_169_3" hidden="1">"A31777"</definedName>
    <definedName name="FDD_169_4" hidden="1">"A32142"</definedName>
    <definedName name="FDD_169_5" hidden="1">"A32508"</definedName>
    <definedName name="FDD_169_6" hidden="1">"A32873"</definedName>
    <definedName name="FDD_169_7" hidden="1">"A33238"</definedName>
    <definedName name="FDD_169_8" hidden="1">"A33603"</definedName>
    <definedName name="FDD_169_9" hidden="1">"A33969"</definedName>
    <definedName name="FDD_17_0" hidden="1">"A25569"</definedName>
    <definedName name="FDD_170_0" hidden="1">"A30681"</definedName>
    <definedName name="FDD_170_1" hidden="1">"A31047"</definedName>
    <definedName name="FDD_170_10" hidden="1">"A34334"</definedName>
    <definedName name="FDD_170_11" hidden="1">"A34699"</definedName>
    <definedName name="FDD_170_12" hidden="1">"A35064"</definedName>
    <definedName name="FDD_170_13" hidden="1">"A35430"</definedName>
    <definedName name="FDD_170_14" hidden="1">"A35795"</definedName>
    <definedName name="FDD_170_2" hidden="1">"A31412"</definedName>
    <definedName name="FDD_170_3" hidden="1">"A31777"</definedName>
    <definedName name="FDD_170_4" hidden="1">"A32142"</definedName>
    <definedName name="FDD_170_5" hidden="1">"A32508"</definedName>
    <definedName name="FDD_170_6" hidden="1">"A32873"</definedName>
    <definedName name="FDD_170_7" hidden="1">"A33238"</definedName>
    <definedName name="FDD_170_8" hidden="1">"A33603"</definedName>
    <definedName name="FDD_170_9" hidden="1">"A33969"</definedName>
    <definedName name="FDD_171_0" hidden="1">"A30681"</definedName>
    <definedName name="FDD_171_1" hidden="1">"A31047"</definedName>
    <definedName name="FDD_171_10" hidden="1">"A34334"</definedName>
    <definedName name="FDD_171_11" hidden="1">"A34699"</definedName>
    <definedName name="FDD_171_12" hidden="1">"A35064"</definedName>
    <definedName name="FDD_171_13" hidden="1">"A35430"</definedName>
    <definedName name="FDD_171_14" hidden="1">"A35795"</definedName>
    <definedName name="FDD_171_2" hidden="1">"A31412"</definedName>
    <definedName name="FDD_171_3" hidden="1">"A31777"</definedName>
    <definedName name="FDD_171_4" hidden="1">"A32142"</definedName>
    <definedName name="FDD_171_5" hidden="1">"A32508"</definedName>
    <definedName name="FDD_171_6" hidden="1">"A32873"</definedName>
    <definedName name="FDD_171_7" hidden="1">"A33238"</definedName>
    <definedName name="FDD_171_8" hidden="1">"A33603"</definedName>
    <definedName name="FDD_171_9" hidden="1">"A33969"</definedName>
    <definedName name="FDD_172_0" hidden="1">"A30681"</definedName>
    <definedName name="FDD_172_1" hidden="1">"A31047"</definedName>
    <definedName name="FDD_172_10" hidden="1">"A34334"</definedName>
    <definedName name="FDD_172_11" hidden="1">"A34699"</definedName>
    <definedName name="FDD_172_12" hidden="1">"A35064"</definedName>
    <definedName name="FDD_172_13" hidden="1">"A35430"</definedName>
    <definedName name="FDD_172_14" hidden="1">"A35795"</definedName>
    <definedName name="FDD_172_2" hidden="1">"A31412"</definedName>
    <definedName name="FDD_172_3" hidden="1">"A31777"</definedName>
    <definedName name="FDD_172_4" hidden="1">"A32142"</definedName>
    <definedName name="FDD_172_5" hidden="1">"A32508"</definedName>
    <definedName name="FDD_172_6" hidden="1">"A32873"</definedName>
    <definedName name="FDD_172_7" hidden="1">"A33238"</definedName>
    <definedName name="FDD_172_8" hidden="1">"A33603"</definedName>
    <definedName name="FDD_172_9" hidden="1">"A33969"</definedName>
    <definedName name="FDD_173_0" hidden="1">"A30681"</definedName>
    <definedName name="FDD_173_1" hidden="1">"A31047"</definedName>
    <definedName name="FDD_173_10" hidden="1">"A34334"</definedName>
    <definedName name="FDD_173_11" hidden="1">"A34699"</definedName>
    <definedName name="FDD_173_12" hidden="1">"A35064"</definedName>
    <definedName name="FDD_173_13" hidden="1">"A35430"</definedName>
    <definedName name="FDD_173_14" hidden="1">"A35795"</definedName>
    <definedName name="FDD_173_2" hidden="1">"A31412"</definedName>
    <definedName name="FDD_173_3" hidden="1">"A31777"</definedName>
    <definedName name="FDD_173_4" hidden="1">"A32142"</definedName>
    <definedName name="FDD_173_5" hidden="1">"A32508"</definedName>
    <definedName name="FDD_173_6" hidden="1">"A32873"</definedName>
    <definedName name="FDD_173_7" hidden="1">"A33238"</definedName>
    <definedName name="FDD_173_8" hidden="1">"A33603"</definedName>
    <definedName name="FDD_173_9" hidden="1">"A33969"</definedName>
    <definedName name="FDD_174_0" hidden="1">"A30681"</definedName>
    <definedName name="FDD_174_1" hidden="1">"A31047"</definedName>
    <definedName name="FDD_174_10" hidden="1">"A34334"</definedName>
    <definedName name="FDD_174_11" hidden="1">"A34699"</definedName>
    <definedName name="FDD_174_12" hidden="1">"A35064"</definedName>
    <definedName name="FDD_174_13" hidden="1">"A35430"</definedName>
    <definedName name="FDD_174_14" hidden="1">"A35795"</definedName>
    <definedName name="FDD_174_2" hidden="1">"A31412"</definedName>
    <definedName name="FDD_174_3" hidden="1">"A31777"</definedName>
    <definedName name="FDD_174_4" hidden="1">"A32142"</definedName>
    <definedName name="FDD_174_5" hidden="1">"A32508"</definedName>
    <definedName name="FDD_174_6" hidden="1">"A32873"</definedName>
    <definedName name="FDD_174_7" hidden="1">"A33238"</definedName>
    <definedName name="FDD_174_8" hidden="1">"A33603"</definedName>
    <definedName name="FDD_174_9" hidden="1">"A33969"</definedName>
    <definedName name="FDD_175_0" hidden="1">"E36160"</definedName>
    <definedName name="FDD_175_1" hidden="1">"E36525"</definedName>
    <definedName name="FDD_175_2" hidden="1">"E36891"</definedName>
    <definedName name="FDD_176_0" hidden="1">"E36160"</definedName>
    <definedName name="FDD_176_1" hidden="1">"E36525"</definedName>
    <definedName name="FDD_176_2" hidden="1">"E36891"</definedName>
    <definedName name="FDD_177_0" hidden="1">"E36160"</definedName>
    <definedName name="FDD_177_1" hidden="1">"E36525"</definedName>
    <definedName name="FDD_177_2" hidden="1">"E36891"</definedName>
    <definedName name="FDD_178_0" hidden="1">"E36160"</definedName>
    <definedName name="FDD_178_1" hidden="1">"E36525"</definedName>
    <definedName name="FDD_178_2" hidden="1">"E36891"</definedName>
    <definedName name="FDD_179_0" hidden="1">"E36160"</definedName>
    <definedName name="FDD_179_1" hidden="1">"E36525"</definedName>
    <definedName name="FDD_179_2" hidden="1">"E36891"</definedName>
    <definedName name="FDD_18_0" hidden="1">"A25569"</definedName>
    <definedName name="FDD_180_0" hidden="1">"E36160"</definedName>
    <definedName name="FDD_180_1" hidden="1">"E36525"</definedName>
    <definedName name="FDD_180_2" hidden="1">"E36891"</definedName>
    <definedName name="FDD_181_0" hidden="1">"E36160"</definedName>
    <definedName name="FDD_181_1" hidden="1">"E36525"</definedName>
    <definedName name="FDD_181_2" hidden="1">"E36891"</definedName>
    <definedName name="FDD_182_0" hidden="1">"E36160"</definedName>
    <definedName name="FDD_182_1" hidden="1">"E36525"</definedName>
    <definedName name="FDD_182_2" hidden="1">"E36891"</definedName>
    <definedName name="FDD_183_0" hidden="1">"E36160"</definedName>
    <definedName name="FDD_183_1" hidden="1">"E36525"</definedName>
    <definedName name="FDD_183_2" hidden="1">"E36891"</definedName>
    <definedName name="FDD_184_0" hidden="1">"E36160"</definedName>
    <definedName name="FDD_184_1" hidden="1">"E36525"</definedName>
    <definedName name="FDD_184_2" hidden="1">"E36891"</definedName>
    <definedName name="FDD_185_0" hidden="1">"E36160"</definedName>
    <definedName name="FDD_185_1" hidden="1">"E36525"</definedName>
    <definedName name="FDD_185_2" hidden="1">"E36891"</definedName>
    <definedName name="FDD_186_0" hidden="1">"E36160"</definedName>
    <definedName name="FDD_186_1" hidden="1">"E36525"</definedName>
    <definedName name="FDD_186_2" hidden="1">"E36891"</definedName>
    <definedName name="FDD_187_0" hidden="1">"E36160"</definedName>
    <definedName name="FDD_187_1" hidden="1">"E36525"</definedName>
    <definedName name="FDD_187_2" hidden="1">"E36891"</definedName>
    <definedName name="FDD_188_0" hidden="1">"A30681"</definedName>
    <definedName name="FDD_188_1" hidden="1">"A31047"</definedName>
    <definedName name="FDD_188_10" hidden="1">"A34334"</definedName>
    <definedName name="FDD_188_11" hidden="1">"A34699"</definedName>
    <definedName name="FDD_188_12" hidden="1">"A35064"</definedName>
    <definedName name="FDD_188_13" hidden="1">"A35430"</definedName>
    <definedName name="FDD_188_14" hidden="1">"A35795"</definedName>
    <definedName name="FDD_188_2" hidden="1">"A31412"</definedName>
    <definedName name="FDD_188_3" hidden="1">"A31777"</definedName>
    <definedName name="FDD_188_4" hidden="1">"A32142"</definedName>
    <definedName name="FDD_188_5" hidden="1">"A32508"</definedName>
    <definedName name="FDD_188_6" hidden="1">"A32873"</definedName>
    <definedName name="FDD_188_7" hidden="1">"A33238"</definedName>
    <definedName name="FDD_188_8" hidden="1">"A33603"</definedName>
    <definedName name="FDD_188_9" hidden="1">"A33969"</definedName>
    <definedName name="FDD_189_0" hidden="1">"A30681"</definedName>
    <definedName name="FDD_189_1" hidden="1">"A31047"</definedName>
    <definedName name="FDD_189_10" hidden="1">"A34334"</definedName>
    <definedName name="FDD_189_11" hidden="1">"A34699"</definedName>
    <definedName name="FDD_189_12" hidden="1">"A35064"</definedName>
    <definedName name="FDD_189_13" hidden="1">"A35430"</definedName>
    <definedName name="FDD_189_14" hidden="1">"A35795"</definedName>
    <definedName name="FDD_189_2" hidden="1">"A31412"</definedName>
    <definedName name="FDD_189_3" hidden="1">"A31777"</definedName>
    <definedName name="FDD_189_4" hidden="1">"A32142"</definedName>
    <definedName name="FDD_189_5" hidden="1">"A32508"</definedName>
    <definedName name="FDD_189_6" hidden="1">"A32873"</definedName>
    <definedName name="FDD_189_7" hidden="1">"A33238"</definedName>
    <definedName name="FDD_189_8" hidden="1">"A33603"</definedName>
    <definedName name="FDD_189_9" hidden="1">"A33969"</definedName>
    <definedName name="FDD_19_0" hidden="1">"A25569"</definedName>
    <definedName name="FDD_190_0" hidden="1">"A30681"</definedName>
    <definedName name="FDD_190_1" hidden="1">"A31047"</definedName>
    <definedName name="FDD_190_10" hidden="1">"A34334"</definedName>
    <definedName name="FDD_190_11" hidden="1">"A34699"</definedName>
    <definedName name="FDD_190_12" hidden="1">"A35064"</definedName>
    <definedName name="FDD_190_13" hidden="1">"A35430"</definedName>
    <definedName name="FDD_190_14" hidden="1">"A35795"</definedName>
    <definedName name="FDD_190_2" hidden="1">"A31412"</definedName>
    <definedName name="FDD_190_3" hidden="1">"A31777"</definedName>
    <definedName name="FDD_190_4" hidden="1">"A32142"</definedName>
    <definedName name="FDD_190_5" hidden="1">"A32508"</definedName>
    <definedName name="FDD_190_6" hidden="1">"A32873"</definedName>
    <definedName name="FDD_190_7" hidden="1">"A33238"</definedName>
    <definedName name="FDD_190_8" hidden="1">"A33603"</definedName>
    <definedName name="FDD_190_9" hidden="1">"A33969"</definedName>
    <definedName name="FDD_191_0" hidden="1">"A30681"</definedName>
    <definedName name="FDD_191_1" hidden="1">"A31047"</definedName>
    <definedName name="FDD_191_10" hidden="1">"A34334"</definedName>
    <definedName name="FDD_191_11" hidden="1">"A34699"</definedName>
    <definedName name="FDD_191_12" hidden="1">"A35064"</definedName>
    <definedName name="FDD_191_13" hidden="1">"A35430"</definedName>
    <definedName name="FDD_191_14" hidden="1">"A35795"</definedName>
    <definedName name="FDD_191_2" hidden="1">"A31412"</definedName>
    <definedName name="FDD_191_3" hidden="1">"A31777"</definedName>
    <definedName name="FDD_191_4" hidden="1">"A32142"</definedName>
    <definedName name="FDD_191_5" hidden="1">"A32508"</definedName>
    <definedName name="FDD_191_6" hidden="1">"A32873"</definedName>
    <definedName name="FDD_191_7" hidden="1">"A33238"</definedName>
    <definedName name="FDD_191_8" hidden="1">"A33603"</definedName>
    <definedName name="FDD_191_9" hidden="1">"A33969"</definedName>
    <definedName name="FDD_192_0" hidden="1">"E36160"</definedName>
    <definedName name="FDD_192_1" hidden="1">"E36525"</definedName>
    <definedName name="FDD_192_2" hidden="1">"E36891"</definedName>
    <definedName name="FDD_193_0" hidden="1">"A30681"</definedName>
    <definedName name="FDD_193_1" hidden="1">"A31047"</definedName>
    <definedName name="FDD_193_10" hidden="1">"A34334"</definedName>
    <definedName name="FDD_193_11" hidden="1">"A34699"</definedName>
    <definedName name="FDD_193_12" hidden="1">"A35064"</definedName>
    <definedName name="FDD_193_13" hidden="1">"A35430"</definedName>
    <definedName name="FDD_193_14" hidden="1">"A35795"</definedName>
    <definedName name="FDD_193_2" hidden="1">"A31412"</definedName>
    <definedName name="FDD_193_3" hidden="1">"A31777"</definedName>
    <definedName name="FDD_193_4" hidden="1">"A32142"</definedName>
    <definedName name="FDD_193_5" hidden="1">"A32508"</definedName>
    <definedName name="FDD_193_6" hidden="1">"A32873"</definedName>
    <definedName name="FDD_193_7" hidden="1">"A33238"</definedName>
    <definedName name="FDD_193_8" hidden="1">"A33603"</definedName>
    <definedName name="FDD_193_9" hidden="1">"A33969"</definedName>
    <definedName name="FDD_194_0" hidden="1">"A30681"</definedName>
    <definedName name="FDD_194_1" hidden="1">"A31047"</definedName>
    <definedName name="FDD_194_10" hidden="1">"A34334"</definedName>
    <definedName name="FDD_194_11" hidden="1">"A34699"</definedName>
    <definedName name="FDD_194_12" hidden="1">"A35064"</definedName>
    <definedName name="FDD_194_13" hidden="1">"A35430"</definedName>
    <definedName name="FDD_194_14" hidden="1">"A35795"</definedName>
    <definedName name="FDD_194_2" hidden="1">"A31412"</definedName>
    <definedName name="FDD_194_3" hidden="1">"A31777"</definedName>
    <definedName name="FDD_194_4" hidden="1">"A32142"</definedName>
    <definedName name="FDD_194_5" hidden="1">"A32508"</definedName>
    <definedName name="FDD_194_6" hidden="1">"A32873"</definedName>
    <definedName name="FDD_194_7" hidden="1">"A33238"</definedName>
    <definedName name="FDD_194_8" hidden="1">"A33603"</definedName>
    <definedName name="FDD_194_9" hidden="1">"A33969"</definedName>
    <definedName name="FDD_195_0" hidden="1">"A30681"</definedName>
    <definedName name="FDD_195_1" hidden="1">"A31047"</definedName>
    <definedName name="FDD_195_10" hidden="1">"A34334"</definedName>
    <definedName name="FDD_195_11" hidden="1">"A34699"</definedName>
    <definedName name="FDD_195_12" hidden="1">"A35064"</definedName>
    <definedName name="FDD_195_13" hidden="1">"A35430"</definedName>
    <definedName name="FDD_195_14" hidden="1">"A35795"</definedName>
    <definedName name="FDD_195_2" hidden="1">"A31412"</definedName>
    <definedName name="FDD_195_3" hidden="1">"A31777"</definedName>
    <definedName name="FDD_195_4" hidden="1">"A32142"</definedName>
    <definedName name="FDD_195_5" hidden="1">"A32508"</definedName>
    <definedName name="FDD_195_6" hidden="1">"A32873"</definedName>
    <definedName name="FDD_195_7" hidden="1">"A33238"</definedName>
    <definedName name="FDD_195_8" hidden="1">"A33603"</definedName>
    <definedName name="FDD_195_9" hidden="1">"A33969"</definedName>
    <definedName name="FDD_196_0" hidden="1">"E36160"</definedName>
    <definedName name="FDD_196_1" hidden="1">"E36525"</definedName>
    <definedName name="FDD_196_2" hidden="1">"E36891"</definedName>
    <definedName name="FDD_197_0" hidden="1">"A30681"</definedName>
    <definedName name="FDD_197_1" hidden="1">"A31047"</definedName>
    <definedName name="FDD_197_10" hidden="1">"A34334"</definedName>
    <definedName name="FDD_197_11" hidden="1">"A34699"</definedName>
    <definedName name="FDD_197_12" hidden="1">"A35064"</definedName>
    <definedName name="FDD_197_13" hidden="1">"A35430"</definedName>
    <definedName name="FDD_197_14" hidden="1">"A35795"</definedName>
    <definedName name="FDD_197_2" hidden="1">"A31412"</definedName>
    <definedName name="FDD_197_3" hidden="1">"A31777"</definedName>
    <definedName name="FDD_197_4" hidden="1">"A32142"</definedName>
    <definedName name="FDD_197_5" hidden="1">"A32508"</definedName>
    <definedName name="FDD_197_6" hidden="1">"A32873"</definedName>
    <definedName name="FDD_197_7" hidden="1">"A33238"</definedName>
    <definedName name="FDD_197_8" hidden="1">"A33603"</definedName>
    <definedName name="FDD_197_9" hidden="1">"A33969"</definedName>
    <definedName name="FDD_198_0" hidden="1">"A30681"</definedName>
    <definedName name="FDD_198_1" hidden="1">"A31047"</definedName>
    <definedName name="FDD_198_10" hidden="1">"U34334"</definedName>
    <definedName name="FDD_198_11" hidden="1">"U34699"</definedName>
    <definedName name="FDD_198_12" hidden="1">"U35064"</definedName>
    <definedName name="FDD_198_13" hidden="1">"U35430"</definedName>
    <definedName name="FDD_198_14" hidden="1">"U35795"</definedName>
    <definedName name="FDD_198_2" hidden="1">"A31412"</definedName>
    <definedName name="FDD_198_3" hidden="1">"U31777"</definedName>
    <definedName name="FDD_198_4" hidden="1">"U32142"</definedName>
    <definedName name="FDD_198_5" hidden="1">"U32508"</definedName>
    <definedName name="FDD_198_6" hidden="1">"U32873"</definedName>
    <definedName name="FDD_198_7" hidden="1">"U33238"</definedName>
    <definedName name="FDD_198_8" hidden="1">"U33603"</definedName>
    <definedName name="FDD_198_9" hidden="1">"U33969"</definedName>
    <definedName name="FDD_199_0" hidden="1">"E36160"</definedName>
    <definedName name="FDD_199_1" hidden="1">"E36525"</definedName>
    <definedName name="FDD_199_2" hidden="1">"E36891"</definedName>
    <definedName name="FDD_2_0" hidden="1">"A25569"</definedName>
    <definedName name="FDD_20_0" hidden="1">"A25569"</definedName>
    <definedName name="FDD_200_0" hidden="1">"E36160"</definedName>
    <definedName name="FDD_200_1" hidden="1">"E36525"</definedName>
    <definedName name="FDD_200_2" hidden="1">"E36891"</definedName>
    <definedName name="FDD_201_0" hidden="1">"A30681"</definedName>
    <definedName name="FDD_201_1" hidden="1">"A31047"</definedName>
    <definedName name="FDD_201_10" hidden="1">"A34334"</definedName>
    <definedName name="FDD_201_11" hidden="1">"A34699"</definedName>
    <definedName name="FDD_201_12" hidden="1">"A35064"</definedName>
    <definedName name="FDD_201_13" hidden="1">"A35430"</definedName>
    <definedName name="FDD_201_14" hidden="1">"A35795"</definedName>
    <definedName name="FDD_201_2" hidden="1">"A31412"</definedName>
    <definedName name="FDD_201_3" hidden="1">"A31777"</definedName>
    <definedName name="FDD_201_4" hidden="1">"A32142"</definedName>
    <definedName name="FDD_201_5" hidden="1">"A32508"</definedName>
    <definedName name="FDD_201_6" hidden="1">"A32873"</definedName>
    <definedName name="FDD_201_7" hidden="1">"A33238"</definedName>
    <definedName name="FDD_201_8" hidden="1">"A33603"</definedName>
    <definedName name="FDD_201_9" hidden="1">"A33969"</definedName>
    <definedName name="FDD_202_0" hidden="1">"A30681"</definedName>
    <definedName name="FDD_202_1" hidden="1">"A31047"</definedName>
    <definedName name="FDD_202_10" hidden="1">"A34334"</definedName>
    <definedName name="FDD_202_11" hidden="1">"A34699"</definedName>
    <definedName name="FDD_202_12" hidden="1">"A35064"</definedName>
    <definedName name="FDD_202_13" hidden="1">"A35430"</definedName>
    <definedName name="FDD_202_14" hidden="1">"A35795"</definedName>
    <definedName name="FDD_202_2" hidden="1">"A31412"</definedName>
    <definedName name="FDD_202_3" hidden="1">"A31777"</definedName>
    <definedName name="FDD_202_4" hidden="1">"A32142"</definedName>
    <definedName name="FDD_202_5" hidden="1">"A32508"</definedName>
    <definedName name="FDD_202_6" hidden="1">"A32873"</definedName>
    <definedName name="FDD_202_7" hidden="1">"A33238"</definedName>
    <definedName name="FDD_202_8" hidden="1">"A33603"</definedName>
    <definedName name="FDD_202_9" hidden="1">"A33969"</definedName>
    <definedName name="FDD_203_0" hidden="1">"E36160"</definedName>
    <definedName name="FDD_203_1" hidden="1">"E36525"</definedName>
    <definedName name="FDD_203_2" hidden="1">"E36891"</definedName>
    <definedName name="FDD_204_0" hidden="1">"A25569"</definedName>
    <definedName name="FDD_205_0" hidden="1">"A25569"</definedName>
    <definedName name="FDD_206_0" hidden="1">"A25569"</definedName>
    <definedName name="FDD_207_0" hidden="1">"A25569"</definedName>
    <definedName name="FDD_208_0" hidden="1">"E36160"</definedName>
    <definedName name="FDD_208_1" hidden="1">"E36525"</definedName>
    <definedName name="FDD_208_2" hidden="1">"E36891"</definedName>
    <definedName name="FDD_209_0" hidden="1">"A25569"</definedName>
    <definedName name="FDD_21_0" hidden="1">"A25569"</definedName>
    <definedName name="FDD_210_0" hidden="1">"A25569"</definedName>
    <definedName name="FDD_211_0" hidden="1">"A25569"</definedName>
    <definedName name="FDD_212_0" hidden="1">"A25569"</definedName>
    <definedName name="FDD_213_0" hidden="1">"E36160"</definedName>
    <definedName name="FDD_213_1" hidden="1">"E36525"</definedName>
    <definedName name="FDD_213_2" hidden="1">"E36891"</definedName>
    <definedName name="FDD_214_0" hidden="1">"A25569"</definedName>
    <definedName name="FDD_215_0" hidden="1">"A25569"</definedName>
    <definedName name="FDD_216_0" hidden="1">"A25569"</definedName>
    <definedName name="FDD_217_0" hidden="1">"A25569"</definedName>
    <definedName name="FDD_218_0" hidden="1">"E36160"</definedName>
    <definedName name="FDD_218_1" hidden="1">"E36525"</definedName>
    <definedName name="FDD_218_2" hidden="1">"E36891"</definedName>
    <definedName name="FDD_219_0" hidden="1">"U25569"</definedName>
    <definedName name="FDD_22_0" hidden="1">"A25569"</definedName>
    <definedName name="FDD_220_0" hidden="1">"U25569"</definedName>
    <definedName name="FDD_221_0" hidden="1">"U25569"</definedName>
    <definedName name="FDD_222_0" hidden="1">"U25569"</definedName>
    <definedName name="FDD_223_0" hidden="1">"E36160"</definedName>
    <definedName name="FDD_223_1" hidden="1">"E36525"</definedName>
    <definedName name="FDD_223_2" hidden="1">"E36891"</definedName>
    <definedName name="FDD_224_0" hidden="1">"A25569"</definedName>
    <definedName name="FDD_225_0" hidden="1">"A25569"</definedName>
    <definedName name="FDD_226_0" hidden="1">"A25569"</definedName>
    <definedName name="FDD_227_0" hidden="1">"A25569"</definedName>
    <definedName name="FDD_228_0" hidden="1">"E36160"</definedName>
    <definedName name="FDD_228_1" hidden="1">"E36525"</definedName>
    <definedName name="FDD_228_2" hidden="1">"E36891"</definedName>
    <definedName name="FDD_229_0" hidden="1">"A25569"</definedName>
    <definedName name="FDD_23_0" hidden="1">"A25569"</definedName>
    <definedName name="FDD_230_0" hidden="1">"A25569"</definedName>
    <definedName name="FDD_231_0" hidden="1">"A25569"</definedName>
    <definedName name="FDD_232_0" hidden="1">"A25569"</definedName>
    <definedName name="FDD_233_0" hidden="1">"A25569"</definedName>
    <definedName name="FDD_234_0" hidden="1">"A25569"</definedName>
    <definedName name="FDD_235_0" hidden="1">"A25569"</definedName>
    <definedName name="FDD_236_0" hidden="1">"A25569"</definedName>
    <definedName name="FDD_237_0" hidden="1">"A25569"</definedName>
    <definedName name="FDD_238_0" hidden="1">"A30681"</definedName>
    <definedName name="FDD_238_1" hidden="1">"A31047"</definedName>
    <definedName name="FDD_238_10" hidden="1">"A34334"</definedName>
    <definedName name="FDD_238_11" hidden="1">"A34699"</definedName>
    <definedName name="FDD_238_12" hidden="1">"A35064"</definedName>
    <definedName name="FDD_238_13" hidden="1">"A35430"</definedName>
    <definedName name="FDD_238_14" hidden="1">"A35795"</definedName>
    <definedName name="FDD_238_2" hidden="1">"A31412"</definedName>
    <definedName name="FDD_238_3" hidden="1">"A31777"</definedName>
    <definedName name="FDD_238_4" hidden="1">"A32142"</definedName>
    <definedName name="FDD_238_5" hidden="1">"A32508"</definedName>
    <definedName name="FDD_238_6" hidden="1">"A32873"</definedName>
    <definedName name="FDD_238_7" hidden="1">"A33238"</definedName>
    <definedName name="FDD_238_8" hidden="1">"A33603"</definedName>
    <definedName name="FDD_238_9" hidden="1">"A33969"</definedName>
    <definedName name="FDD_24_0" hidden="1">"A25569"</definedName>
    <definedName name="FDD_243_0" hidden="1">"E36160"</definedName>
    <definedName name="FDD_243_1" hidden="1">"E36525"</definedName>
    <definedName name="FDD_243_2" hidden="1">"E36891"</definedName>
    <definedName name="FDD_244_0" hidden="1">"A25569"</definedName>
    <definedName name="FDD_245_0" hidden="1">"A25569"</definedName>
    <definedName name="FDD_246_0" hidden="1">"A25569"</definedName>
    <definedName name="FDD_247_0" hidden="1">"A25569"</definedName>
    <definedName name="FDD_248_0" hidden="1">"E36160"</definedName>
    <definedName name="FDD_248_1" hidden="1">"E36525"</definedName>
    <definedName name="FDD_248_2" hidden="1">"E36891"</definedName>
    <definedName name="FDD_249_0" hidden="1">"A25569"</definedName>
    <definedName name="FDD_25_0" hidden="1">"A25569"</definedName>
    <definedName name="FDD_250_0" hidden="1">"A25569"</definedName>
    <definedName name="FDD_251_0" hidden="1">"A25569"</definedName>
    <definedName name="FDD_252_0" hidden="1">"A25569"</definedName>
    <definedName name="FDD_253_0" hidden="1">"E36160"</definedName>
    <definedName name="FDD_253_1" hidden="1">"E36525"</definedName>
    <definedName name="FDD_253_2" hidden="1">"E36891"</definedName>
    <definedName name="FDD_254_0" hidden="1">"E36160"</definedName>
    <definedName name="FDD_254_1" hidden="1">"E36525"</definedName>
    <definedName name="FDD_254_2" hidden="1">"E36891"</definedName>
    <definedName name="FDD_255_0" hidden="1">"E36160"</definedName>
    <definedName name="FDD_255_1" hidden="1">"E36525"</definedName>
    <definedName name="FDD_255_2" hidden="1">"E36891"</definedName>
    <definedName name="FDD_256_0" hidden="1">"U36160"</definedName>
    <definedName name="FDD_256_1" hidden="1">"U36525"</definedName>
    <definedName name="FDD_256_2" hidden="1">"U36891"</definedName>
    <definedName name="FDD_257_0" hidden="1">"E36160"</definedName>
    <definedName name="FDD_257_1" hidden="1">"E36525"</definedName>
    <definedName name="FDD_257_2" hidden="1">"E36891"</definedName>
    <definedName name="FDD_258_0" hidden="1">"E36160"</definedName>
    <definedName name="FDD_258_1" hidden="1">"E36525"</definedName>
    <definedName name="FDD_258_2" hidden="1">"E36891"</definedName>
    <definedName name="FDD_259_0" hidden="1">"E36160"</definedName>
    <definedName name="FDD_259_1" hidden="1">"E36525"</definedName>
    <definedName name="FDD_259_2" hidden="1">"E36891"</definedName>
    <definedName name="FDD_26_0" hidden="1">"A25569"</definedName>
    <definedName name="FDD_260_0" hidden="1">"E36160"</definedName>
    <definedName name="FDD_260_1" hidden="1">"E36525"</definedName>
    <definedName name="FDD_260_2" hidden="1">"E36891"</definedName>
    <definedName name="FDD_261_0" hidden="1">"E36160"</definedName>
    <definedName name="FDD_261_1" hidden="1">"E36525"</definedName>
    <definedName name="FDD_261_2" hidden="1">"E36891"</definedName>
    <definedName name="FDD_264_0" hidden="1">"E36160"</definedName>
    <definedName name="FDD_264_1" hidden="1">"E36525"</definedName>
    <definedName name="FDD_264_2" hidden="1">"E36891"</definedName>
    <definedName name="FDD_265_0" hidden="1">"A25569"</definedName>
    <definedName name="FDD_266_0" hidden="1">"A25569"</definedName>
    <definedName name="FDD_267_0" hidden="1">"A25569"</definedName>
    <definedName name="FDD_268_0" hidden="1">"A25569"</definedName>
    <definedName name="FDD_269_0" hidden="1">"E36160"</definedName>
    <definedName name="FDD_269_1" hidden="1">"E36525"</definedName>
    <definedName name="FDD_269_2" hidden="1">"E36891"</definedName>
    <definedName name="FDD_27_0" hidden="1">"A25569"</definedName>
    <definedName name="FDD_270_0" hidden="1">"A25569"</definedName>
    <definedName name="FDD_271_0" hidden="1">"A25569"</definedName>
    <definedName name="FDD_272_0" hidden="1">"A25569"</definedName>
    <definedName name="FDD_273_0" hidden="1">"A25569"</definedName>
    <definedName name="FDD_274_0" hidden="1">"E36160"</definedName>
    <definedName name="FDD_274_1" hidden="1">"E36525"</definedName>
    <definedName name="FDD_274_2" hidden="1">"E36891"</definedName>
    <definedName name="FDD_275_0" hidden="1">"A25569"</definedName>
    <definedName name="FDD_276_0" hidden="1">"A25569"</definedName>
    <definedName name="FDD_277_0" hidden="1">"A25569"</definedName>
    <definedName name="FDD_278_0" hidden="1">"A25569"</definedName>
    <definedName name="FDD_279_0" hidden="1">"E36160"</definedName>
    <definedName name="FDD_279_1" hidden="1">"E36525"</definedName>
    <definedName name="FDD_279_2" hidden="1">"E36891"</definedName>
    <definedName name="FDD_28_0" hidden="1">"A25569"</definedName>
    <definedName name="FDD_280_0" hidden="1">"E36160"</definedName>
    <definedName name="FDD_280_1" hidden="1">"E36525"</definedName>
    <definedName name="FDD_280_2" hidden="1">"E36891"</definedName>
    <definedName name="FDD_281_0" hidden="1">"E36160"</definedName>
    <definedName name="FDD_281_1" hidden="1">"E36525"</definedName>
    <definedName name="FDD_281_2" hidden="1">"E36891"</definedName>
    <definedName name="FDD_282_0" hidden="1">"E36160"</definedName>
    <definedName name="FDD_282_1" hidden="1">"E36525"</definedName>
    <definedName name="FDD_282_2" hidden="1">"E36891"</definedName>
    <definedName name="FDD_283_0" hidden="1">"E36160"</definedName>
    <definedName name="FDD_283_1" hidden="1">"E36525"</definedName>
    <definedName name="FDD_283_2" hidden="1">"E36891"</definedName>
    <definedName name="FDD_284_0" hidden="1">"A30681"</definedName>
    <definedName name="FDD_284_1" hidden="1">"A31047"</definedName>
    <definedName name="FDD_284_10" hidden="1">"A34334"</definedName>
    <definedName name="FDD_284_11" hidden="1">"A34699"</definedName>
    <definedName name="FDD_284_12" hidden="1">"A35064"</definedName>
    <definedName name="FDD_284_13" hidden="1">"A35430"</definedName>
    <definedName name="FDD_284_14" hidden="1">"A35795"</definedName>
    <definedName name="FDD_284_2" hidden="1">"A31412"</definedName>
    <definedName name="FDD_284_3" hidden="1">"A31777"</definedName>
    <definedName name="FDD_284_4" hidden="1">"A32142"</definedName>
    <definedName name="FDD_284_5" hidden="1">"A32508"</definedName>
    <definedName name="FDD_284_6" hidden="1">"A32873"</definedName>
    <definedName name="FDD_284_7" hidden="1">"A33238"</definedName>
    <definedName name="FDD_284_8" hidden="1">"A33603"</definedName>
    <definedName name="FDD_284_9" hidden="1">"A33969"</definedName>
    <definedName name="FDD_285_0" hidden="1">"A35795"</definedName>
    <definedName name="FDD_285_1" hidden="1">"E36160"</definedName>
    <definedName name="FDD_285_10" hidden="1">"E39447"</definedName>
    <definedName name="FDD_285_11" hidden="1">"E39813"</definedName>
    <definedName name="FDD_285_12" hidden="1">"E40178"</definedName>
    <definedName name="FDD_285_13" hidden="1">"E40543"</definedName>
    <definedName name="FDD_285_14" hidden="1">"E40908"</definedName>
    <definedName name="FDD_285_15" hidden="1">"E41274"</definedName>
    <definedName name="FDD_285_16" hidden="1">"E41639"</definedName>
    <definedName name="FDD_285_17" hidden="1">"E42004"</definedName>
    <definedName name="FDD_285_18" hidden="1">"E42369"</definedName>
    <definedName name="FDD_285_19" hidden="1">"E42735"</definedName>
    <definedName name="FDD_285_2" hidden="1">"E36525"</definedName>
    <definedName name="FDD_285_20" hidden="1">"E43100"</definedName>
    <definedName name="FDD_285_21" hidden="1">"E43465"</definedName>
    <definedName name="FDD_285_22" hidden="1">"E43830"</definedName>
    <definedName name="FDD_285_23" hidden="1">"E44196"</definedName>
    <definedName name="FDD_285_24" hidden="1">"E44561"</definedName>
    <definedName name="FDD_285_25" hidden="1">"E44926"</definedName>
    <definedName name="FDD_285_3" hidden="1">"E36891"</definedName>
    <definedName name="FDD_285_4" hidden="1">"E37256"</definedName>
    <definedName name="FDD_285_5" hidden="1">"E37621"</definedName>
    <definedName name="FDD_285_6" hidden="1">"E37986"</definedName>
    <definedName name="FDD_285_7" hidden="1">"E38352"</definedName>
    <definedName name="FDD_285_8" hidden="1">"E38717"</definedName>
    <definedName name="FDD_285_9" hidden="1">"E39082"</definedName>
    <definedName name="FDD_286_0" hidden="1">"E36160"</definedName>
    <definedName name="FDD_286_1" hidden="1">"E36525"</definedName>
    <definedName name="FDD_286_10" hidden="1">"E39813"</definedName>
    <definedName name="FDD_286_11" hidden="1">"E40178"</definedName>
    <definedName name="FDD_286_12" hidden="1">"E40543"</definedName>
    <definedName name="FDD_286_13" hidden="1">"E40908"</definedName>
    <definedName name="FDD_286_14" hidden="1">"E41274"</definedName>
    <definedName name="FDD_286_15" hidden="1">"E41639"</definedName>
    <definedName name="FDD_286_16" hidden="1">"E42004"</definedName>
    <definedName name="FDD_286_17" hidden="1">"E42369"</definedName>
    <definedName name="FDD_286_18" hidden="1">"E42735"</definedName>
    <definedName name="FDD_286_19" hidden="1">"E43100"</definedName>
    <definedName name="FDD_286_2" hidden="1">"E36891"</definedName>
    <definedName name="FDD_286_20" hidden="1">"E43465"</definedName>
    <definedName name="FDD_286_21" hidden="1">"E43830"</definedName>
    <definedName name="FDD_286_22" hidden="1">"E44196"</definedName>
    <definedName name="FDD_286_23" hidden="1">"E44561"</definedName>
    <definedName name="FDD_286_24" hidden="1">"E44926"</definedName>
    <definedName name="FDD_286_3" hidden="1">"E37256"</definedName>
    <definedName name="FDD_286_4" hidden="1">"E37621"</definedName>
    <definedName name="FDD_286_5" hidden="1">"E37986"</definedName>
    <definedName name="FDD_286_6" hidden="1">"E38352"</definedName>
    <definedName name="FDD_286_7" hidden="1">"E38717"</definedName>
    <definedName name="FDD_286_8" hidden="1">"E39082"</definedName>
    <definedName name="FDD_286_9" hidden="1">"E39447"</definedName>
    <definedName name="FDD_287_0" hidden="1">"A25569"</definedName>
    <definedName name="FDD_288_0" hidden="1">"A25569"</definedName>
    <definedName name="FDD_289_0" hidden="1">"A36890"</definedName>
    <definedName name="FDD_29_0" hidden="1">"A25569"</definedName>
    <definedName name="FDD_290_0" hidden="1">"A36890"</definedName>
    <definedName name="FDD_291_0" hidden="1">"A25569"</definedName>
    <definedName name="FDD_295_0" hidden="1">"U25569"</definedName>
    <definedName name="FDD_296_0" hidden="1">"A25569"</definedName>
    <definedName name="FDD_297_0" hidden="1">"A25569"</definedName>
    <definedName name="FDD_298_0" hidden="1">"A25569"</definedName>
    <definedName name="FDD_299_0" hidden="1">"A25569"</definedName>
    <definedName name="FDD_3_0" hidden="1">"A25569"</definedName>
    <definedName name="FDD_30_0" hidden="1">"A25569"</definedName>
    <definedName name="FDD_300_0" hidden="1">"U25569"</definedName>
    <definedName name="FDD_301_0" hidden="1">"U35795"</definedName>
    <definedName name="FDD_301_1" hidden="1">"U36160"</definedName>
    <definedName name="FDD_301_2" hidden="1">"U36525"</definedName>
    <definedName name="FDD_302_0" hidden="1">"U35795"</definedName>
    <definedName name="FDD_302_1" hidden="1">"U36160"</definedName>
    <definedName name="FDD_302_2" hidden="1">"U36525"</definedName>
    <definedName name="FDD_303_0" hidden="1">"U35795"</definedName>
    <definedName name="FDD_303_1" hidden="1">"U36160"</definedName>
    <definedName name="FDD_303_2" hidden="1">"U36525"</definedName>
    <definedName name="FDD_304_0" hidden="1">"U35795"</definedName>
    <definedName name="FDD_304_1" hidden="1">"U36160"</definedName>
    <definedName name="FDD_304_2" hidden="1">"U36525"</definedName>
    <definedName name="FDD_305_0" hidden="1">"A30681"</definedName>
    <definedName name="FDD_305_1" hidden="1">"A31047"</definedName>
    <definedName name="FDD_305_10" hidden="1">"U34334"</definedName>
    <definedName name="FDD_305_11" hidden="1">"U34699"</definedName>
    <definedName name="FDD_305_12" hidden="1">"U35064"</definedName>
    <definedName name="FDD_305_13" hidden="1">"U35430"</definedName>
    <definedName name="FDD_305_14" hidden="1">"U35795"</definedName>
    <definedName name="FDD_305_2" hidden="1">"A31412"</definedName>
    <definedName name="FDD_305_3" hidden="1">"U31777"</definedName>
    <definedName name="FDD_305_4" hidden="1">"U32142"</definedName>
    <definedName name="FDD_305_5" hidden="1">"U32508"</definedName>
    <definedName name="FDD_305_6" hidden="1">"U32873"</definedName>
    <definedName name="FDD_305_7" hidden="1">"U33238"</definedName>
    <definedName name="FDD_305_8" hidden="1">"U33603"</definedName>
    <definedName name="FDD_305_9" hidden="1">"U33969"</definedName>
    <definedName name="FDD_306_0" hidden="1">"U35795"</definedName>
    <definedName name="FDD_306_1" hidden="1">"E36160"</definedName>
    <definedName name="FDD_306_2" hidden="1">"U36525"</definedName>
    <definedName name="FDD_307_0" hidden="1">"A35795"</definedName>
    <definedName name="FDD_307_1" hidden="1">"U36160"</definedName>
    <definedName name="FDD_307_2" hidden="1">"U36525"</definedName>
    <definedName name="FDD_31_0" hidden="1">"A25569"</definedName>
    <definedName name="FDD_32_0" hidden="1">"A25569"</definedName>
    <definedName name="FDD_33_0" hidden="1">"A25569"</definedName>
    <definedName name="FDD_34_0" hidden="1">"A25569"</definedName>
    <definedName name="FDD_35_0" hidden="1">"A25569"</definedName>
    <definedName name="FDD_36_0" hidden="1">"A25569"</definedName>
    <definedName name="FDD_37_0" hidden="1">"A25569"</definedName>
    <definedName name="FDD_38_0" hidden="1">"A25569"</definedName>
    <definedName name="FDD_39_0" hidden="1">"A25569"</definedName>
    <definedName name="FDD_4_0" hidden="1">"A25569"</definedName>
    <definedName name="FDD_40_0" hidden="1">"A25569"</definedName>
    <definedName name="FDD_41_0" hidden="1">"U25569"</definedName>
    <definedName name="FDD_42_0" hidden="1">"U25569"</definedName>
    <definedName name="FDD_43_0" hidden="1">"A25569"</definedName>
    <definedName name="FDD_44_0" hidden="1">"A30681"</definedName>
    <definedName name="FDD_44_1" hidden="1">"A31047"</definedName>
    <definedName name="FDD_44_10" hidden="1">"A34334"</definedName>
    <definedName name="FDD_44_11" hidden="1">"A34699"</definedName>
    <definedName name="FDD_44_12" hidden="1">"A35064"</definedName>
    <definedName name="FDD_44_13" hidden="1">"A35430"</definedName>
    <definedName name="FDD_44_14" hidden="1">"A35795"</definedName>
    <definedName name="FDD_44_2" hidden="1">"A31412"</definedName>
    <definedName name="FDD_44_3" hidden="1">"A31777"</definedName>
    <definedName name="FDD_44_4" hidden="1">"A32142"</definedName>
    <definedName name="FDD_44_5" hidden="1">"A32508"</definedName>
    <definedName name="FDD_44_6" hidden="1">"A32873"</definedName>
    <definedName name="FDD_44_7" hidden="1">"A33238"</definedName>
    <definedName name="FDD_44_8" hidden="1">"A33603"</definedName>
    <definedName name="FDD_44_9" hidden="1">"A33969"</definedName>
    <definedName name="FDD_45_0" hidden="1">"A30681"</definedName>
    <definedName name="FDD_45_1" hidden="1">"A31047"</definedName>
    <definedName name="FDD_45_10" hidden="1">"A34334"</definedName>
    <definedName name="FDD_45_11" hidden="1">"A34699"</definedName>
    <definedName name="FDD_45_12" hidden="1">"A35064"</definedName>
    <definedName name="FDD_45_13" hidden="1">"A35430"</definedName>
    <definedName name="FDD_45_14" hidden="1">"A35795"</definedName>
    <definedName name="FDD_45_2" hidden="1">"A31412"</definedName>
    <definedName name="FDD_45_3" hidden="1">"A31777"</definedName>
    <definedName name="FDD_45_4" hidden="1">"A32142"</definedName>
    <definedName name="FDD_45_5" hidden="1">"A32508"</definedName>
    <definedName name="FDD_45_6" hidden="1">"A32873"</definedName>
    <definedName name="FDD_45_7" hidden="1">"A33238"</definedName>
    <definedName name="FDD_45_8" hidden="1">"A33603"</definedName>
    <definedName name="FDD_45_9" hidden="1">"A33969"</definedName>
    <definedName name="FDD_46_0" hidden="1">"A30681"</definedName>
    <definedName name="FDD_46_1" hidden="1">"A31047"</definedName>
    <definedName name="FDD_46_10" hidden="1">"A34334"</definedName>
    <definedName name="FDD_46_11" hidden="1">"A34699"</definedName>
    <definedName name="FDD_46_12" hidden="1">"A35064"</definedName>
    <definedName name="FDD_46_13" hidden="1">"A35430"</definedName>
    <definedName name="FDD_46_14" hidden="1">"A35795"</definedName>
    <definedName name="FDD_46_2" hidden="1">"A31412"</definedName>
    <definedName name="FDD_46_3" hidden="1">"A31777"</definedName>
    <definedName name="FDD_46_4" hidden="1">"A32142"</definedName>
    <definedName name="FDD_46_5" hidden="1">"A32508"</definedName>
    <definedName name="FDD_46_6" hidden="1">"A32873"</definedName>
    <definedName name="FDD_46_7" hidden="1">"A33238"</definedName>
    <definedName name="FDD_46_8" hidden="1">"A33603"</definedName>
    <definedName name="FDD_46_9" hidden="1">"A33969"</definedName>
    <definedName name="FDD_47_0" hidden="1">"A30681"</definedName>
    <definedName name="FDD_47_1" hidden="1">"A31047"</definedName>
    <definedName name="FDD_47_10" hidden="1">"A34334"</definedName>
    <definedName name="FDD_47_11" hidden="1">"A34699"</definedName>
    <definedName name="FDD_47_12" hidden="1">"A35064"</definedName>
    <definedName name="FDD_47_13" hidden="1">"A35430"</definedName>
    <definedName name="FDD_47_14" hidden="1">"A35795"</definedName>
    <definedName name="FDD_47_2" hidden="1">"A31412"</definedName>
    <definedName name="FDD_47_3" hidden="1">"A31777"</definedName>
    <definedName name="FDD_47_4" hidden="1">"A32142"</definedName>
    <definedName name="FDD_47_5" hidden="1">"A32508"</definedName>
    <definedName name="FDD_47_6" hidden="1">"A32873"</definedName>
    <definedName name="FDD_47_7" hidden="1">"A33238"</definedName>
    <definedName name="FDD_47_8" hidden="1">"A33603"</definedName>
    <definedName name="FDD_47_9" hidden="1">"A33969"</definedName>
    <definedName name="FDD_48_0" hidden="1">"A30681"</definedName>
    <definedName name="FDD_48_1" hidden="1">"A31047"</definedName>
    <definedName name="FDD_48_10" hidden="1">"A34334"</definedName>
    <definedName name="FDD_48_11" hidden="1">"A34699"</definedName>
    <definedName name="FDD_48_12" hidden="1">"A35064"</definedName>
    <definedName name="FDD_48_13" hidden="1">"A35430"</definedName>
    <definedName name="FDD_48_14" hidden="1">"A35795"</definedName>
    <definedName name="FDD_48_2" hidden="1">"A31412"</definedName>
    <definedName name="FDD_48_3" hidden="1">"A31777"</definedName>
    <definedName name="FDD_48_4" hidden="1">"A32142"</definedName>
    <definedName name="FDD_48_5" hidden="1">"A32508"</definedName>
    <definedName name="FDD_48_6" hidden="1">"A32873"</definedName>
    <definedName name="FDD_48_7" hidden="1">"A33238"</definedName>
    <definedName name="FDD_48_8" hidden="1">"A33603"</definedName>
    <definedName name="FDD_48_9" hidden="1">"A33969"</definedName>
    <definedName name="FDD_49_0" hidden="1">"A30681"</definedName>
    <definedName name="FDD_49_1" hidden="1">"A31047"</definedName>
    <definedName name="FDD_49_10" hidden="1">"A34334"</definedName>
    <definedName name="FDD_49_11" hidden="1">"A34699"</definedName>
    <definedName name="FDD_49_12" hidden="1">"A35064"</definedName>
    <definedName name="FDD_49_13" hidden="1">"A35430"</definedName>
    <definedName name="FDD_49_14" hidden="1">"A35795"</definedName>
    <definedName name="FDD_49_2" hidden="1">"A31412"</definedName>
    <definedName name="FDD_49_3" hidden="1">"A31777"</definedName>
    <definedName name="FDD_49_4" hidden="1">"A32142"</definedName>
    <definedName name="FDD_49_5" hidden="1">"A32508"</definedName>
    <definedName name="FDD_49_6" hidden="1">"A32873"</definedName>
    <definedName name="FDD_49_7" hidden="1">"A33238"</definedName>
    <definedName name="FDD_49_8" hidden="1">"A33603"</definedName>
    <definedName name="FDD_49_9" hidden="1">"A33969"</definedName>
    <definedName name="FDD_5_0" hidden="1">"A25569"</definedName>
    <definedName name="FDD_50_0" hidden="1">"A30681"</definedName>
    <definedName name="FDD_50_1" hidden="1">"A31047"</definedName>
    <definedName name="FDD_50_10" hidden="1">"A34334"</definedName>
    <definedName name="FDD_50_11" hidden="1">"A34699"</definedName>
    <definedName name="FDD_50_12" hidden="1">"A35064"</definedName>
    <definedName name="FDD_50_13" hidden="1">"A35430"</definedName>
    <definedName name="FDD_50_14" hidden="1">"A35795"</definedName>
    <definedName name="FDD_50_2" hidden="1">"A31412"</definedName>
    <definedName name="FDD_50_3" hidden="1">"A31777"</definedName>
    <definedName name="FDD_50_4" hidden="1">"A32142"</definedName>
    <definedName name="FDD_50_5" hidden="1">"A32508"</definedName>
    <definedName name="FDD_50_6" hidden="1">"A32873"</definedName>
    <definedName name="FDD_50_7" hidden="1">"A33238"</definedName>
    <definedName name="FDD_50_8" hidden="1">"A33603"</definedName>
    <definedName name="FDD_50_9" hidden="1">"A33969"</definedName>
    <definedName name="FDD_51_0" hidden="1">"A30681"</definedName>
    <definedName name="FDD_51_1" hidden="1">"A31047"</definedName>
    <definedName name="FDD_51_10" hidden="1">"A34334"</definedName>
    <definedName name="FDD_51_11" hidden="1">"A34699"</definedName>
    <definedName name="FDD_51_12" hidden="1">"A35064"</definedName>
    <definedName name="FDD_51_13" hidden="1">"A35430"</definedName>
    <definedName name="FDD_51_14" hidden="1">"A35795"</definedName>
    <definedName name="FDD_51_2" hidden="1">"A31412"</definedName>
    <definedName name="FDD_51_3" hidden="1">"A31777"</definedName>
    <definedName name="FDD_51_4" hidden="1">"A32142"</definedName>
    <definedName name="FDD_51_5" hidden="1">"A32508"</definedName>
    <definedName name="FDD_51_6" hidden="1">"A32873"</definedName>
    <definedName name="FDD_51_7" hidden="1">"A33238"</definedName>
    <definedName name="FDD_51_8" hidden="1">"A33603"</definedName>
    <definedName name="FDD_51_9" hidden="1">"A33969"</definedName>
    <definedName name="FDD_52_0" hidden="1">"A30681"</definedName>
    <definedName name="FDD_52_1" hidden="1">"A31047"</definedName>
    <definedName name="FDD_52_10" hidden="1">"A34334"</definedName>
    <definedName name="FDD_52_11" hidden="1">"A34699"</definedName>
    <definedName name="FDD_52_12" hidden="1">"A35064"</definedName>
    <definedName name="FDD_52_13" hidden="1">"A35430"</definedName>
    <definedName name="FDD_52_14" hidden="1">"A35795"</definedName>
    <definedName name="FDD_52_2" hidden="1">"A31412"</definedName>
    <definedName name="FDD_52_3" hidden="1">"A31777"</definedName>
    <definedName name="FDD_52_4" hidden="1">"A32142"</definedName>
    <definedName name="FDD_52_5" hidden="1">"A32508"</definedName>
    <definedName name="FDD_52_6" hidden="1">"A32873"</definedName>
    <definedName name="FDD_52_7" hidden="1">"A33238"</definedName>
    <definedName name="FDD_52_8" hidden="1">"A33603"</definedName>
    <definedName name="FDD_52_9" hidden="1">"A33969"</definedName>
    <definedName name="FDD_53_0" hidden="1">"U30681"</definedName>
    <definedName name="FDD_53_1" hidden="1">"A31047"</definedName>
    <definedName name="FDD_53_10" hidden="1">"A34334"</definedName>
    <definedName name="FDD_53_11" hidden="1">"A34699"</definedName>
    <definedName name="FDD_53_12" hidden="1">"A35064"</definedName>
    <definedName name="FDD_53_13" hidden="1">"A35430"</definedName>
    <definedName name="FDD_53_14" hidden="1">"A35795"</definedName>
    <definedName name="FDD_53_2" hidden="1">"A31412"</definedName>
    <definedName name="FDD_53_3" hidden="1">"A31777"</definedName>
    <definedName name="FDD_53_4" hidden="1">"A32142"</definedName>
    <definedName name="FDD_53_5" hidden="1">"A32508"</definedName>
    <definedName name="FDD_53_6" hidden="1">"A32873"</definedName>
    <definedName name="FDD_53_7" hidden="1">"A33238"</definedName>
    <definedName name="FDD_53_8" hidden="1">"A33603"</definedName>
    <definedName name="FDD_53_9" hidden="1">"A33969"</definedName>
    <definedName name="FDD_54_0" hidden="1">"A30681"</definedName>
    <definedName name="FDD_54_1" hidden="1">"A31047"</definedName>
    <definedName name="FDD_54_10" hidden="1">"A34334"</definedName>
    <definedName name="FDD_54_11" hidden="1">"A34699"</definedName>
    <definedName name="FDD_54_12" hidden="1">"A35064"</definedName>
    <definedName name="FDD_54_13" hidden="1">"A35430"</definedName>
    <definedName name="FDD_54_14" hidden="1">"A35795"</definedName>
    <definedName name="FDD_54_2" hidden="1">"A31412"</definedName>
    <definedName name="FDD_54_3" hidden="1">"A31777"</definedName>
    <definedName name="FDD_54_4" hidden="1">"A32142"</definedName>
    <definedName name="FDD_54_5" hidden="1">"A32508"</definedName>
    <definedName name="FDD_54_6" hidden="1">"A32873"</definedName>
    <definedName name="FDD_54_7" hidden="1">"A33238"</definedName>
    <definedName name="FDD_54_8" hidden="1">"A33603"</definedName>
    <definedName name="FDD_54_9" hidden="1">"A33969"</definedName>
    <definedName name="FDD_55_0" hidden="1">"A30681"</definedName>
    <definedName name="FDD_55_1" hidden="1">"A31047"</definedName>
    <definedName name="FDD_55_10" hidden="1">"A34334"</definedName>
    <definedName name="FDD_55_11" hidden="1">"A34699"</definedName>
    <definedName name="FDD_55_12" hidden="1">"A35064"</definedName>
    <definedName name="FDD_55_13" hidden="1">"A35430"</definedName>
    <definedName name="FDD_55_14" hidden="1">"A35795"</definedName>
    <definedName name="FDD_55_2" hidden="1">"A31412"</definedName>
    <definedName name="FDD_55_3" hidden="1">"A31777"</definedName>
    <definedName name="FDD_55_4" hidden="1">"A32142"</definedName>
    <definedName name="FDD_55_5" hidden="1">"A32508"</definedName>
    <definedName name="FDD_55_6" hidden="1">"A32873"</definedName>
    <definedName name="FDD_55_7" hidden="1">"A33238"</definedName>
    <definedName name="FDD_55_8" hidden="1">"A33603"</definedName>
    <definedName name="FDD_55_9" hidden="1">"A33969"</definedName>
    <definedName name="FDD_56_0" hidden="1">"A30681"</definedName>
    <definedName name="FDD_56_1" hidden="1">"A31047"</definedName>
    <definedName name="FDD_56_10" hidden="1">"A34334"</definedName>
    <definedName name="FDD_56_11" hidden="1">"A34699"</definedName>
    <definedName name="FDD_56_12" hidden="1">"A35064"</definedName>
    <definedName name="FDD_56_13" hidden="1">"A35430"</definedName>
    <definedName name="FDD_56_14" hidden="1">"A35795"</definedName>
    <definedName name="FDD_56_2" hidden="1">"A31412"</definedName>
    <definedName name="FDD_56_3" hidden="1">"A31777"</definedName>
    <definedName name="FDD_56_4" hidden="1">"A32142"</definedName>
    <definedName name="FDD_56_5" hidden="1">"A32508"</definedName>
    <definedName name="FDD_56_6" hidden="1">"A32873"</definedName>
    <definedName name="FDD_56_7" hidden="1">"A33238"</definedName>
    <definedName name="FDD_56_8" hidden="1">"A33603"</definedName>
    <definedName name="FDD_56_9" hidden="1">"A33969"</definedName>
    <definedName name="FDD_57_0" hidden="1">"A30681"</definedName>
    <definedName name="FDD_57_1" hidden="1">"A31047"</definedName>
    <definedName name="FDD_57_10" hidden="1">"A34334"</definedName>
    <definedName name="FDD_57_11" hidden="1">"A34699"</definedName>
    <definedName name="FDD_57_12" hidden="1">"A35064"</definedName>
    <definedName name="FDD_57_13" hidden="1">"A35430"</definedName>
    <definedName name="FDD_57_14" hidden="1">"A35795"</definedName>
    <definedName name="FDD_57_2" hidden="1">"A31412"</definedName>
    <definedName name="FDD_57_3" hidden="1">"A31777"</definedName>
    <definedName name="FDD_57_4" hidden="1">"A32142"</definedName>
    <definedName name="FDD_57_5" hidden="1">"A32508"</definedName>
    <definedName name="FDD_57_6" hidden="1">"A32873"</definedName>
    <definedName name="FDD_57_7" hidden="1">"A33238"</definedName>
    <definedName name="FDD_57_8" hidden="1">"A33603"</definedName>
    <definedName name="FDD_57_9" hidden="1">"A33969"</definedName>
    <definedName name="FDD_58_0" hidden="1">"A30681"</definedName>
    <definedName name="FDD_58_1" hidden="1">"A31047"</definedName>
    <definedName name="FDD_58_10" hidden="1">"A34334"</definedName>
    <definedName name="FDD_58_11" hidden="1">"A34699"</definedName>
    <definedName name="FDD_58_12" hidden="1">"A35064"</definedName>
    <definedName name="FDD_58_13" hidden="1">"A35430"</definedName>
    <definedName name="FDD_58_14" hidden="1">"A35795"</definedName>
    <definedName name="FDD_58_2" hidden="1">"A31412"</definedName>
    <definedName name="FDD_58_3" hidden="1">"A31777"</definedName>
    <definedName name="FDD_58_4" hidden="1">"A32142"</definedName>
    <definedName name="FDD_58_5" hidden="1">"A32508"</definedName>
    <definedName name="FDD_58_6" hidden="1">"A32873"</definedName>
    <definedName name="FDD_58_7" hidden="1">"A33238"</definedName>
    <definedName name="FDD_58_8" hidden="1">"A33603"</definedName>
    <definedName name="FDD_58_9" hidden="1">"A33969"</definedName>
    <definedName name="FDD_59_0" hidden="1">"A30681"</definedName>
    <definedName name="FDD_59_1" hidden="1">"A31047"</definedName>
    <definedName name="FDD_59_10" hidden="1">"A34334"</definedName>
    <definedName name="FDD_59_11" hidden="1">"A34699"</definedName>
    <definedName name="FDD_59_12" hidden="1">"A35064"</definedName>
    <definedName name="FDD_59_13" hidden="1">"A35430"</definedName>
    <definedName name="FDD_59_14" hidden="1">"A35795"</definedName>
    <definedName name="FDD_59_2" hidden="1">"A31412"</definedName>
    <definedName name="FDD_59_3" hidden="1">"A31777"</definedName>
    <definedName name="FDD_59_4" hidden="1">"A32142"</definedName>
    <definedName name="FDD_59_5" hidden="1">"A32508"</definedName>
    <definedName name="FDD_59_6" hidden="1">"A32873"</definedName>
    <definedName name="FDD_59_7" hidden="1">"A33238"</definedName>
    <definedName name="FDD_59_8" hidden="1">"A33603"</definedName>
    <definedName name="FDD_59_9" hidden="1">"A33969"</definedName>
    <definedName name="FDD_6_0" hidden="1">"A25569"</definedName>
    <definedName name="FDD_60_0" hidden="1">"A30681"</definedName>
    <definedName name="FDD_60_1" hidden="1">"A31047"</definedName>
    <definedName name="FDD_60_10" hidden="1">"A34334"</definedName>
    <definedName name="FDD_60_11" hidden="1">"A34699"</definedName>
    <definedName name="FDD_60_12" hidden="1">"A35064"</definedName>
    <definedName name="FDD_60_13" hidden="1">"A35430"</definedName>
    <definedName name="FDD_60_14" hidden="1">"A35795"</definedName>
    <definedName name="FDD_60_2" hidden="1">"A31412"</definedName>
    <definedName name="FDD_60_3" hidden="1">"A31777"</definedName>
    <definedName name="FDD_60_4" hidden="1">"A32142"</definedName>
    <definedName name="FDD_60_5" hidden="1">"A32508"</definedName>
    <definedName name="FDD_60_6" hidden="1">"A32873"</definedName>
    <definedName name="FDD_60_7" hidden="1">"A33238"</definedName>
    <definedName name="FDD_60_8" hidden="1">"A33603"</definedName>
    <definedName name="FDD_60_9" hidden="1">"A33969"</definedName>
    <definedName name="FDD_61_0" hidden="1">"A30681"</definedName>
    <definedName name="FDD_61_1" hidden="1">"A31047"</definedName>
    <definedName name="FDD_61_10" hidden="1">"A34334"</definedName>
    <definedName name="FDD_61_11" hidden="1">"A34699"</definedName>
    <definedName name="FDD_61_12" hidden="1">"A35064"</definedName>
    <definedName name="FDD_61_13" hidden="1">"A35430"</definedName>
    <definedName name="FDD_61_14" hidden="1">"A35795"</definedName>
    <definedName name="FDD_61_2" hidden="1">"A31412"</definedName>
    <definedName name="FDD_61_3" hidden="1">"A31777"</definedName>
    <definedName name="FDD_61_4" hidden="1">"A32142"</definedName>
    <definedName name="FDD_61_5" hidden="1">"A32508"</definedName>
    <definedName name="FDD_61_6" hidden="1">"A32873"</definedName>
    <definedName name="FDD_61_7" hidden="1">"A33238"</definedName>
    <definedName name="FDD_61_8" hidden="1">"A33603"</definedName>
    <definedName name="FDD_61_9" hidden="1">"A33969"</definedName>
    <definedName name="FDD_62_0" hidden="1">"A30681"</definedName>
    <definedName name="FDD_62_1" hidden="1">"A31047"</definedName>
    <definedName name="FDD_62_10" hidden="1">"A34334"</definedName>
    <definedName name="FDD_62_11" hidden="1">"A34699"</definedName>
    <definedName name="FDD_62_12" hidden="1">"A35064"</definedName>
    <definedName name="FDD_62_13" hidden="1">"A35430"</definedName>
    <definedName name="FDD_62_14" hidden="1">"A35795"</definedName>
    <definedName name="FDD_62_2" hidden="1">"A31412"</definedName>
    <definedName name="FDD_62_3" hidden="1">"A31777"</definedName>
    <definedName name="FDD_62_4" hidden="1">"A32142"</definedName>
    <definedName name="FDD_62_5" hidden="1">"A32508"</definedName>
    <definedName name="FDD_62_6" hidden="1">"A32873"</definedName>
    <definedName name="FDD_62_7" hidden="1">"A33238"</definedName>
    <definedName name="FDD_62_8" hidden="1">"A33603"</definedName>
    <definedName name="FDD_62_9" hidden="1">"A33969"</definedName>
    <definedName name="FDD_63_0" hidden="1">"A30681"</definedName>
    <definedName name="FDD_63_1" hidden="1">"A31047"</definedName>
    <definedName name="FDD_63_10" hidden="1">"A34334"</definedName>
    <definedName name="FDD_63_11" hidden="1">"A34699"</definedName>
    <definedName name="FDD_63_12" hidden="1">"A35064"</definedName>
    <definedName name="FDD_63_13" hidden="1">"A35430"</definedName>
    <definedName name="FDD_63_14" hidden="1">"A35795"</definedName>
    <definedName name="FDD_63_2" hidden="1">"A31412"</definedName>
    <definedName name="FDD_63_3" hidden="1">"A31777"</definedName>
    <definedName name="FDD_63_4" hidden="1">"A32142"</definedName>
    <definedName name="FDD_63_5" hidden="1">"A32508"</definedName>
    <definedName name="FDD_63_6" hidden="1">"A32873"</definedName>
    <definedName name="FDD_63_7" hidden="1">"A33238"</definedName>
    <definedName name="FDD_63_8" hidden="1">"A33603"</definedName>
    <definedName name="FDD_63_9" hidden="1">"A33969"</definedName>
    <definedName name="FDD_64_0" hidden="1">"A30681"</definedName>
    <definedName name="FDD_64_1" hidden="1">"A31047"</definedName>
    <definedName name="FDD_64_10" hidden="1">"A34334"</definedName>
    <definedName name="FDD_64_11" hidden="1">"A34699"</definedName>
    <definedName name="FDD_64_12" hidden="1">"A35064"</definedName>
    <definedName name="FDD_64_13" hidden="1">"A35430"</definedName>
    <definedName name="FDD_64_14" hidden="1">"A35795"</definedName>
    <definedName name="FDD_64_2" hidden="1">"A31412"</definedName>
    <definedName name="FDD_64_3" hidden="1">"A31777"</definedName>
    <definedName name="FDD_64_4" hidden="1">"A32142"</definedName>
    <definedName name="FDD_64_5" hidden="1">"A32508"</definedName>
    <definedName name="FDD_64_6" hidden="1">"A32873"</definedName>
    <definedName name="FDD_64_7" hidden="1">"A33238"</definedName>
    <definedName name="FDD_64_8" hidden="1">"A33603"</definedName>
    <definedName name="FDD_64_9" hidden="1">"A33969"</definedName>
    <definedName name="FDD_65_0" hidden="1">"A30681"</definedName>
    <definedName name="FDD_65_1" hidden="1">"A31047"</definedName>
    <definedName name="FDD_65_10" hidden="1">"A34334"</definedName>
    <definedName name="FDD_65_11" hidden="1">"A34699"</definedName>
    <definedName name="FDD_65_12" hidden="1">"A35064"</definedName>
    <definedName name="FDD_65_13" hidden="1">"A35430"</definedName>
    <definedName name="FDD_65_14" hidden="1">"A35795"</definedName>
    <definedName name="FDD_65_2" hidden="1">"A31412"</definedName>
    <definedName name="FDD_65_3" hidden="1">"A31777"</definedName>
    <definedName name="FDD_65_4" hidden="1">"A32142"</definedName>
    <definedName name="FDD_65_5" hidden="1">"A32508"</definedName>
    <definedName name="FDD_65_6" hidden="1">"A32873"</definedName>
    <definedName name="FDD_65_7" hidden="1">"A33238"</definedName>
    <definedName name="FDD_65_8" hidden="1">"A33603"</definedName>
    <definedName name="FDD_65_9" hidden="1">"A33969"</definedName>
    <definedName name="FDD_66_0" hidden="1">"A30681"</definedName>
    <definedName name="FDD_66_1" hidden="1">"A31047"</definedName>
    <definedName name="FDD_66_10" hidden="1">"A34334"</definedName>
    <definedName name="FDD_66_11" hidden="1">"A34699"</definedName>
    <definedName name="FDD_66_12" hidden="1">"A35064"</definedName>
    <definedName name="FDD_66_13" hidden="1">"A35430"</definedName>
    <definedName name="FDD_66_14" hidden="1">"A35795"</definedName>
    <definedName name="FDD_66_2" hidden="1">"A31412"</definedName>
    <definedName name="FDD_66_3" hidden="1">"A31777"</definedName>
    <definedName name="FDD_66_4" hidden="1">"A32142"</definedName>
    <definedName name="FDD_66_5" hidden="1">"A32508"</definedName>
    <definedName name="FDD_66_6" hidden="1">"A32873"</definedName>
    <definedName name="FDD_66_7" hidden="1">"A33238"</definedName>
    <definedName name="FDD_66_8" hidden="1">"A33603"</definedName>
    <definedName name="FDD_66_9" hidden="1">"A33969"</definedName>
    <definedName name="FDD_67_0" hidden="1">"A30681"</definedName>
    <definedName name="FDD_67_1" hidden="1">"A31047"</definedName>
    <definedName name="FDD_67_10" hidden="1">"A34334"</definedName>
    <definedName name="FDD_67_11" hidden="1">"A34699"</definedName>
    <definedName name="FDD_67_12" hidden="1">"A35064"</definedName>
    <definedName name="FDD_67_13" hidden="1">"A35430"</definedName>
    <definedName name="FDD_67_14" hidden="1">"A35795"</definedName>
    <definedName name="FDD_67_2" hidden="1">"A31412"</definedName>
    <definedName name="FDD_67_3" hidden="1">"A31777"</definedName>
    <definedName name="FDD_67_4" hidden="1">"A32142"</definedName>
    <definedName name="FDD_67_5" hidden="1">"A32508"</definedName>
    <definedName name="FDD_67_6" hidden="1">"A32873"</definedName>
    <definedName name="FDD_67_7" hidden="1">"A33238"</definedName>
    <definedName name="FDD_67_8" hidden="1">"A33603"</definedName>
    <definedName name="FDD_67_9" hidden="1">"A33969"</definedName>
    <definedName name="FDD_68_0" hidden="1">"A30681"</definedName>
    <definedName name="FDD_68_1" hidden="1">"A31047"</definedName>
    <definedName name="FDD_68_10" hidden="1">"A34334"</definedName>
    <definedName name="FDD_68_11" hidden="1">"A34699"</definedName>
    <definedName name="FDD_68_12" hidden="1">"A35064"</definedName>
    <definedName name="FDD_68_13" hidden="1">"A35430"</definedName>
    <definedName name="FDD_68_14" hidden="1">"A35795"</definedName>
    <definedName name="FDD_68_2" hidden="1">"A31412"</definedName>
    <definedName name="FDD_68_3" hidden="1">"A31777"</definedName>
    <definedName name="FDD_68_4" hidden="1">"A32142"</definedName>
    <definedName name="FDD_68_5" hidden="1">"A32508"</definedName>
    <definedName name="FDD_68_6" hidden="1">"A32873"</definedName>
    <definedName name="FDD_68_7" hidden="1">"A33238"</definedName>
    <definedName name="FDD_68_8" hidden="1">"A33603"</definedName>
    <definedName name="FDD_68_9" hidden="1">"A33969"</definedName>
    <definedName name="FDD_69_0" hidden="1">"U30681"</definedName>
    <definedName name="FDD_69_1" hidden="1">"A31047"</definedName>
    <definedName name="FDD_69_10" hidden="1">"A34334"</definedName>
    <definedName name="FDD_69_11" hidden="1">"A34699"</definedName>
    <definedName name="FDD_69_12" hidden="1">"A35064"</definedName>
    <definedName name="FDD_69_13" hidden="1">"A35430"</definedName>
    <definedName name="FDD_69_14" hidden="1">"A35795"</definedName>
    <definedName name="FDD_69_2" hidden="1">"A31412"</definedName>
    <definedName name="FDD_69_3" hidden="1">"A31777"</definedName>
    <definedName name="FDD_69_4" hidden="1">"A32142"</definedName>
    <definedName name="FDD_69_5" hidden="1">"A32508"</definedName>
    <definedName name="FDD_69_6" hidden="1">"A32873"</definedName>
    <definedName name="FDD_69_7" hidden="1">"A33238"</definedName>
    <definedName name="FDD_69_8" hidden="1">"A33603"</definedName>
    <definedName name="FDD_69_9" hidden="1">"A33969"</definedName>
    <definedName name="FDD_7_0" hidden="1">"A25569"</definedName>
    <definedName name="FDD_70_0" hidden="1">"A30681"</definedName>
    <definedName name="FDD_70_1" hidden="1">"A31047"</definedName>
    <definedName name="FDD_70_10" hidden="1">"A34334"</definedName>
    <definedName name="FDD_70_11" hidden="1">"A34699"</definedName>
    <definedName name="FDD_70_12" hidden="1">"A35064"</definedName>
    <definedName name="FDD_70_13" hidden="1">"A35430"</definedName>
    <definedName name="FDD_70_14" hidden="1">"A35795"</definedName>
    <definedName name="FDD_70_2" hidden="1">"A31412"</definedName>
    <definedName name="FDD_70_3" hidden="1">"A31777"</definedName>
    <definedName name="FDD_70_4" hidden="1">"A32142"</definedName>
    <definedName name="FDD_70_5" hidden="1">"A32508"</definedName>
    <definedName name="FDD_70_6" hidden="1">"A32873"</definedName>
    <definedName name="FDD_70_7" hidden="1">"A33238"</definedName>
    <definedName name="FDD_70_8" hidden="1">"A33603"</definedName>
    <definedName name="FDD_70_9" hidden="1">"A33969"</definedName>
    <definedName name="FDD_71_0" hidden="1">"A30681"</definedName>
    <definedName name="FDD_71_1" hidden="1">"A31047"</definedName>
    <definedName name="FDD_71_10" hidden="1">"A34334"</definedName>
    <definedName name="FDD_71_11" hidden="1">"A34699"</definedName>
    <definedName name="FDD_71_12" hidden="1">"A35064"</definedName>
    <definedName name="FDD_71_13" hidden="1">"A35430"</definedName>
    <definedName name="FDD_71_14" hidden="1">"A35795"</definedName>
    <definedName name="FDD_71_2" hidden="1">"A31412"</definedName>
    <definedName name="FDD_71_3" hidden="1">"A31777"</definedName>
    <definedName name="FDD_71_4" hidden="1">"A32142"</definedName>
    <definedName name="FDD_71_5" hidden="1">"A32508"</definedName>
    <definedName name="FDD_71_6" hidden="1">"A32873"</definedName>
    <definedName name="FDD_71_7" hidden="1">"A33238"</definedName>
    <definedName name="FDD_71_8" hidden="1">"A33603"</definedName>
    <definedName name="FDD_71_9" hidden="1">"A33969"</definedName>
    <definedName name="FDD_72_0" hidden="1">"A30681"</definedName>
    <definedName name="FDD_72_1" hidden="1">"A31047"</definedName>
    <definedName name="FDD_72_10" hidden="1">"A34334"</definedName>
    <definedName name="FDD_72_11" hidden="1">"A34699"</definedName>
    <definedName name="FDD_72_12" hidden="1">"A35064"</definedName>
    <definedName name="FDD_72_13" hidden="1">"A35430"</definedName>
    <definedName name="FDD_72_14" hidden="1">"A35795"</definedName>
    <definedName name="FDD_72_2" hidden="1">"A31412"</definedName>
    <definedName name="FDD_72_3" hidden="1">"A31777"</definedName>
    <definedName name="FDD_72_4" hidden="1">"A32142"</definedName>
    <definedName name="FDD_72_5" hidden="1">"A32508"</definedName>
    <definedName name="FDD_72_6" hidden="1">"A32873"</definedName>
    <definedName name="FDD_72_7" hidden="1">"A33238"</definedName>
    <definedName name="FDD_72_8" hidden="1">"A33603"</definedName>
    <definedName name="FDD_72_9" hidden="1">"A33969"</definedName>
    <definedName name="FDD_73_0" hidden="1">"A30681"</definedName>
    <definedName name="FDD_73_1" hidden="1">"A31047"</definedName>
    <definedName name="FDD_73_10" hidden="1">"A34334"</definedName>
    <definedName name="FDD_73_11" hidden="1">"A34699"</definedName>
    <definedName name="FDD_73_12" hidden="1">"A35064"</definedName>
    <definedName name="FDD_73_13" hidden="1">"A35430"</definedName>
    <definedName name="FDD_73_14" hidden="1">"A35795"</definedName>
    <definedName name="FDD_73_2" hidden="1">"A31412"</definedName>
    <definedName name="FDD_73_3" hidden="1">"A31777"</definedName>
    <definedName name="FDD_73_4" hidden="1">"A32142"</definedName>
    <definedName name="FDD_73_5" hidden="1">"A32508"</definedName>
    <definedName name="FDD_73_6" hidden="1">"A32873"</definedName>
    <definedName name="FDD_73_7" hidden="1">"A33238"</definedName>
    <definedName name="FDD_73_8" hidden="1">"A33603"</definedName>
    <definedName name="FDD_73_9" hidden="1">"A33969"</definedName>
    <definedName name="FDD_74_0" hidden="1">"A30681"</definedName>
    <definedName name="FDD_74_1" hidden="1">"A31047"</definedName>
    <definedName name="FDD_74_10" hidden="1">"A34334"</definedName>
    <definedName name="FDD_74_11" hidden="1">"A34699"</definedName>
    <definedName name="FDD_74_12" hidden="1">"A35064"</definedName>
    <definedName name="FDD_74_13" hidden="1">"A35430"</definedName>
    <definedName name="FDD_74_14" hidden="1">"A35795"</definedName>
    <definedName name="FDD_74_2" hidden="1">"A31412"</definedName>
    <definedName name="FDD_74_3" hidden="1">"A31777"</definedName>
    <definedName name="FDD_74_4" hidden="1">"A32142"</definedName>
    <definedName name="FDD_74_5" hidden="1">"A32508"</definedName>
    <definedName name="FDD_74_6" hidden="1">"A32873"</definedName>
    <definedName name="FDD_74_7" hidden="1">"A33238"</definedName>
    <definedName name="FDD_74_8" hidden="1">"A33603"</definedName>
    <definedName name="FDD_74_9" hidden="1">"A33969"</definedName>
    <definedName name="FDD_75_0" hidden="1">"A30681"</definedName>
    <definedName name="FDD_75_1" hidden="1">"A31047"</definedName>
    <definedName name="FDD_75_10" hidden="1">"A34334"</definedName>
    <definedName name="FDD_75_11" hidden="1">"A34699"</definedName>
    <definedName name="FDD_75_12" hidden="1">"A35064"</definedName>
    <definedName name="FDD_75_13" hidden="1">"A35430"</definedName>
    <definedName name="FDD_75_14" hidden="1">"A35795"</definedName>
    <definedName name="FDD_75_2" hidden="1">"A31412"</definedName>
    <definedName name="FDD_75_3" hidden="1">"A31777"</definedName>
    <definedName name="FDD_75_4" hidden="1">"A32142"</definedName>
    <definedName name="FDD_75_5" hidden="1">"A32508"</definedName>
    <definedName name="FDD_75_6" hidden="1">"A32873"</definedName>
    <definedName name="FDD_75_7" hidden="1">"A33238"</definedName>
    <definedName name="FDD_75_8" hidden="1">"A33603"</definedName>
    <definedName name="FDD_75_9" hidden="1">"A33969"</definedName>
    <definedName name="FDD_76_0" hidden="1">"A30681"</definedName>
    <definedName name="FDD_76_1" hidden="1">"A31047"</definedName>
    <definedName name="FDD_76_10" hidden="1">"A34334"</definedName>
    <definedName name="FDD_76_11" hidden="1">"A34699"</definedName>
    <definedName name="FDD_76_12" hidden="1">"A35064"</definedName>
    <definedName name="FDD_76_13" hidden="1">"A35430"</definedName>
    <definedName name="FDD_76_14" hidden="1">"A35795"</definedName>
    <definedName name="FDD_76_2" hidden="1">"A31412"</definedName>
    <definedName name="FDD_76_3" hidden="1">"A31777"</definedName>
    <definedName name="FDD_76_4" hidden="1">"A32142"</definedName>
    <definedName name="FDD_76_5" hidden="1">"A32508"</definedName>
    <definedName name="FDD_76_6" hidden="1">"A32873"</definedName>
    <definedName name="FDD_76_7" hidden="1">"A33238"</definedName>
    <definedName name="FDD_76_8" hidden="1">"A33603"</definedName>
    <definedName name="FDD_76_9" hidden="1">"A33969"</definedName>
    <definedName name="FDD_77_0" hidden="1">"A30681"</definedName>
    <definedName name="FDD_77_1" hidden="1">"A31047"</definedName>
    <definedName name="FDD_77_10" hidden="1">"A34334"</definedName>
    <definedName name="FDD_77_11" hidden="1">"A34699"</definedName>
    <definedName name="FDD_77_12" hidden="1">"A35064"</definedName>
    <definedName name="FDD_77_13" hidden="1">"A35430"</definedName>
    <definedName name="FDD_77_14" hidden="1">"A35795"</definedName>
    <definedName name="FDD_77_2" hidden="1">"A31412"</definedName>
    <definedName name="FDD_77_3" hidden="1">"A31777"</definedName>
    <definedName name="FDD_77_4" hidden="1">"A32142"</definedName>
    <definedName name="FDD_77_5" hidden="1">"A32508"</definedName>
    <definedName name="FDD_77_6" hidden="1">"A32873"</definedName>
    <definedName name="FDD_77_7" hidden="1">"A33238"</definedName>
    <definedName name="FDD_77_8" hidden="1">"A33603"</definedName>
    <definedName name="FDD_77_9" hidden="1">"A33969"</definedName>
    <definedName name="FDD_78_0" hidden="1">"A30681"</definedName>
    <definedName name="FDD_78_1" hidden="1">"A31047"</definedName>
    <definedName name="FDD_78_10" hidden="1">"A34334"</definedName>
    <definedName name="FDD_78_11" hidden="1">"A34699"</definedName>
    <definedName name="FDD_78_12" hidden="1">"A35064"</definedName>
    <definedName name="FDD_78_13" hidden="1">"A35430"</definedName>
    <definedName name="FDD_78_14" hidden="1">"A35795"</definedName>
    <definedName name="FDD_78_2" hidden="1">"A31412"</definedName>
    <definedName name="FDD_78_3" hidden="1">"A31777"</definedName>
    <definedName name="FDD_78_4" hidden="1">"A32142"</definedName>
    <definedName name="FDD_78_5" hidden="1">"A32508"</definedName>
    <definedName name="FDD_78_6" hidden="1">"A32873"</definedName>
    <definedName name="FDD_78_7" hidden="1">"A33238"</definedName>
    <definedName name="FDD_78_8" hidden="1">"A33603"</definedName>
    <definedName name="FDD_78_9" hidden="1">"A33969"</definedName>
    <definedName name="FDD_79_0" hidden="1">"A30681"</definedName>
    <definedName name="FDD_79_1" hidden="1">"A31047"</definedName>
    <definedName name="FDD_79_10" hidden="1">"A34334"</definedName>
    <definedName name="FDD_79_11" hidden="1">"A34699"</definedName>
    <definedName name="FDD_79_12" hidden="1">"A35064"</definedName>
    <definedName name="FDD_79_13" hidden="1">"A35430"</definedName>
    <definedName name="FDD_79_14" hidden="1">"A35795"</definedName>
    <definedName name="FDD_79_2" hidden="1">"A31412"</definedName>
    <definedName name="FDD_79_3" hidden="1">"A31777"</definedName>
    <definedName name="FDD_79_4" hidden="1">"A32142"</definedName>
    <definedName name="FDD_79_5" hidden="1">"A32508"</definedName>
    <definedName name="FDD_79_6" hidden="1">"A32873"</definedName>
    <definedName name="FDD_79_7" hidden="1">"A33238"</definedName>
    <definedName name="FDD_79_8" hidden="1">"A33603"</definedName>
    <definedName name="FDD_79_9" hidden="1">"A33969"</definedName>
    <definedName name="FDD_8_0" hidden="1">"A25569"</definedName>
    <definedName name="FDD_80_0" hidden="1">"A30681"</definedName>
    <definedName name="FDD_80_1" hidden="1">"A31047"</definedName>
    <definedName name="FDD_80_10" hidden="1">"A34334"</definedName>
    <definedName name="FDD_80_11" hidden="1">"A34699"</definedName>
    <definedName name="FDD_80_12" hidden="1">"A35064"</definedName>
    <definedName name="FDD_80_13" hidden="1">"A35430"</definedName>
    <definedName name="FDD_80_14" hidden="1">"A35795"</definedName>
    <definedName name="FDD_80_2" hidden="1">"A31412"</definedName>
    <definedName name="FDD_80_3" hidden="1">"A31777"</definedName>
    <definedName name="FDD_80_4" hidden="1">"A32142"</definedName>
    <definedName name="FDD_80_5" hidden="1">"A32508"</definedName>
    <definedName name="FDD_80_6" hidden="1">"A32873"</definedName>
    <definedName name="FDD_80_7" hidden="1">"A33238"</definedName>
    <definedName name="FDD_80_8" hidden="1">"A33603"</definedName>
    <definedName name="FDD_80_9" hidden="1">"A33969"</definedName>
    <definedName name="FDD_81_0" hidden="1">"A30681"</definedName>
    <definedName name="FDD_81_1" hidden="1">"A31047"</definedName>
    <definedName name="FDD_81_10" hidden="1">"A34334"</definedName>
    <definedName name="FDD_81_11" hidden="1">"A34699"</definedName>
    <definedName name="FDD_81_12" hidden="1">"A35064"</definedName>
    <definedName name="FDD_81_13" hidden="1">"A35430"</definedName>
    <definedName name="FDD_81_14" hidden="1">"A35795"</definedName>
    <definedName name="FDD_81_2" hidden="1">"A31412"</definedName>
    <definedName name="FDD_81_3" hidden="1">"A31777"</definedName>
    <definedName name="FDD_81_4" hidden="1">"A32142"</definedName>
    <definedName name="FDD_81_5" hidden="1">"A32508"</definedName>
    <definedName name="FDD_81_6" hidden="1">"A32873"</definedName>
    <definedName name="FDD_81_7" hidden="1">"A33238"</definedName>
    <definedName name="FDD_81_8" hidden="1">"A33603"</definedName>
    <definedName name="FDD_81_9" hidden="1">"A33969"</definedName>
    <definedName name="FDD_82_0" hidden="1">"A30681"</definedName>
    <definedName name="FDD_82_1" hidden="1">"A31047"</definedName>
    <definedName name="FDD_82_10" hidden="1">"A34334"</definedName>
    <definedName name="FDD_82_11" hidden="1">"A34699"</definedName>
    <definedName name="FDD_82_12" hidden="1">"A35064"</definedName>
    <definedName name="FDD_82_13" hidden="1">"A35430"</definedName>
    <definedName name="FDD_82_14" hidden="1">"A35795"</definedName>
    <definedName name="FDD_82_2" hidden="1">"A31412"</definedName>
    <definedName name="FDD_82_3" hidden="1">"A31777"</definedName>
    <definedName name="FDD_82_4" hidden="1">"A32142"</definedName>
    <definedName name="FDD_82_5" hidden="1">"A32508"</definedName>
    <definedName name="FDD_82_6" hidden="1">"A32873"</definedName>
    <definedName name="FDD_82_7" hidden="1">"A33238"</definedName>
    <definedName name="FDD_82_8" hidden="1">"A33603"</definedName>
    <definedName name="FDD_82_9" hidden="1">"A33969"</definedName>
    <definedName name="FDD_83_0" hidden="1">"A30681"</definedName>
    <definedName name="FDD_83_1" hidden="1">"A31047"</definedName>
    <definedName name="FDD_83_10" hidden="1">"A34334"</definedName>
    <definedName name="FDD_83_11" hidden="1">"A34699"</definedName>
    <definedName name="FDD_83_12" hidden="1">"A35064"</definedName>
    <definedName name="FDD_83_13" hidden="1">"A35430"</definedName>
    <definedName name="FDD_83_14" hidden="1">"A35795"</definedName>
    <definedName name="FDD_83_2" hidden="1">"A31412"</definedName>
    <definedName name="FDD_83_3" hidden="1">"A31777"</definedName>
    <definedName name="FDD_83_4" hidden="1">"A32142"</definedName>
    <definedName name="FDD_83_5" hidden="1">"A32508"</definedName>
    <definedName name="FDD_83_6" hidden="1">"A32873"</definedName>
    <definedName name="FDD_83_7" hidden="1">"A33238"</definedName>
    <definedName name="FDD_83_8" hidden="1">"A33603"</definedName>
    <definedName name="FDD_83_9" hidden="1">"A33969"</definedName>
    <definedName name="FDD_84_0" hidden="1">"A30681"</definedName>
    <definedName name="FDD_84_1" hidden="1">"A31047"</definedName>
    <definedName name="FDD_84_10" hidden="1">"A34334"</definedName>
    <definedName name="FDD_84_11" hidden="1">"A34699"</definedName>
    <definedName name="FDD_84_12" hidden="1">"A35064"</definedName>
    <definedName name="FDD_84_13" hidden="1">"A35430"</definedName>
    <definedName name="FDD_84_14" hidden="1">"A35795"</definedName>
    <definedName name="FDD_84_2" hidden="1">"A31412"</definedName>
    <definedName name="FDD_84_3" hidden="1">"A31777"</definedName>
    <definedName name="FDD_84_4" hidden="1">"A32142"</definedName>
    <definedName name="FDD_84_5" hidden="1">"A32508"</definedName>
    <definedName name="FDD_84_6" hidden="1">"A32873"</definedName>
    <definedName name="FDD_84_7" hidden="1">"A33238"</definedName>
    <definedName name="FDD_84_8" hidden="1">"A33603"</definedName>
    <definedName name="FDD_84_9" hidden="1">"A33969"</definedName>
    <definedName name="FDD_85_0" hidden="1">"A30681"</definedName>
    <definedName name="FDD_85_1" hidden="1">"A31047"</definedName>
    <definedName name="FDD_85_10" hidden="1">"A34334"</definedName>
    <definedName name="FDD_85_11" hidden="1">"A34699"</definedName>
    <definedName name="FDD_85_12" hidden="1">"A35064"</definedName>
    <definedName name="FDD_85_13" hidden="1">"A35430"</definedName>
    <definedName name="FDD_85_14" hidden="1">"A35795"</definedName>
    <definedName name="FDD_85_2" hidden="1">"A31412"</definedName>
    <definedName name="FDD_85_3" hidden="1">"A31777"</definedName>
    <definedName name="FDD_85_4" hidden="1">"A32142"</definedName>
    <definedName name="FDD_85_5" hidden="1">"A32508"</definedName>
    <definedName name="FDD_85_6" hidden="1">"A32873"</definedName>
    <definedName name="FDD_85_7" hidden="1">"A33238"</definedName>
    <definedName name="FDD_85_8" hidden="1">"A33603"</definedName>
    <definedName name="FDD_85_9" hidden="1">"A33969"</definedName>
    <definedName name="FDD_86_0" hidden="1">"A30681"</definedName>
    <definedName name="FDD_86_1" hidden="1">"A31047"</definedName>
    <definedName name="FDD_86_10" hidden="1">"A34334"</definedName>
    <definedName name="FDD_86_11" hidden="1">"A34699"</definedName>
    <definedName name="FDD_86_12" hidden="1">"A35064"</definedName>
    <definedName name="FDD_86_13" hidden="1">"A35430"</definedName>
    <definedName name="FDD_86_14" hidden="1">"A35795"</definedName>
    <definedName name="FDD_86_2" hidden="1">"A31412"</definedName>
    <definedName name="FDD_86_3" hidden="1">"A31777"</definedName>
    <definedName name="FDD_86_4" hidden="1">"A32142"</definedName>
    <definedName name="FDD_86_5" hidden="1">"A32508"</definedName>
    <definedName name="FDD_86_6" hidden="1">"A32873"</definedName>
    <definedName name="FDD_86_7" hidden="1">"A33238"</definedName>
    <definedName name="FDD_86_8" hidden="1">"A33603"</definedName>
    <definedName name="FDD_86_9" hidden="1">"A33969"</definedName>
    <definedName name="FDD_87_0" hidden="1">"A30681"</definedName>
    <definedName name="FDD_87_1" hidden="1">"A31047"</definedName>
    <definedName name="FDD_87_10" hidden="1">"A34334"</definedName>
    <definedName name="FDD_87_11" hidden="1">"A34699"</definedName>
    <definedName name="FDD_87_12" hidden="1">"A35064"</definedName>
    <definedName name="FDD_87_13" hidden="1">"A35430"</definedName>
    <definedName name="FDD_87_14" hidden="1">"A35795"</definedName>
    <definedName name="FDD_87_2" hidden="1">"A31412"</definedName>
    <definedName name="FDD_87_3" hidden="1">"A31777"</definedName>
    <definedName name="FDD_87_4" hidden="1">"A32142"</definedName>
    <definedName name="FDD_87_5" hidden="1">"A32508"</definedName>
    <definedName name="FDD_87_6" hidden="1">"A32873"</definedName>
    <definedName name="FDD_87_7" hidden="1">"A33238"</definedName>
    <definedName name="FDD_87_8" hidden="1">"A33603"</definedName>
    <definedName name="FDD_87_9" hidden="1">"A33969"</definedName>
    <definedName name="FDD_88_0" hidden="1">"A30681"</definedName>
    <definedName name="FDD_88_1" hidden="1">"A31047"</definedName>
    <definedName name="FDD_88_10" hidden="1">"A34334"</definedName>
    <definedName name="FDD_88_11" hidden="1">"A34699"</definedName>
    <definedName name="FDD_88_12" hidden="1">"A35064"</definedName>
    <definedName name="FDD_88_13" hidden="1">"A35430"</definedName>
    <definedName name="FDD_88_14" hidden="1">"A35795"</definedName>
    <definedName name="FDD_88_2" hidden="1">"A31412"</definedName>
    <definedName name="FDD_88_3" hidden="1">"A31777"</definedName>
    <definedName name="FDD_88_4" hidden="1">"A32142"</definedName>
    <definedName name="FDD_88_5" hidden="1">"A32508"</definedName>
    <definedName name="FDD_88_6" hidden="1">"A32873"</definedName>
    <definedName name="FDD_88_7" hidden="1">"A33238"</definedName>
    <definedName name="FDD_88_8" hidden="1">"A33603"</definedName>
    <definedName name="FDD_88_9" hidden="1">"A33969"</definedName>
    <definedName name="FDD_89_0" hidden="1">"A30681"</definedName>
    <definedName name="FDD_89_1" hidden="1">"A31047"</definedName>
    <definedName name="FDD_89_10" hidden="1">"A34334"</definedName>
    <definedName name="FDD_89_11" hidden="1">"A34699"</definedName>
    <definedName name="FDD_89_12" hidden="1">"A35064"</definedName>
    <definedName name="FDD_89_13" hidden="1">"A35430"</definedName>
    <definedName name="FDD_89_14" hidden="1">"A35795"</definedName>
    <definedName name="FDD_89_2" hidden="1">"A31412"</definedName>
    <definedName name="FDD_89_3" hidden="1">"A31777"</definedName>
    <definedName name="FDD_89_4" hidden="1">"A32142"</definedName>
    <definedName name="FDD_89_5" hidden="1">"A32508"</definedName>
    <definedName name="FDD_89_6" hidden="1">"A32873"</definedName>
    <definedName name="FDD_89_7" hidden="1">"A33238"</definedName>
    <definedName name="FDD_89_8" hidden="1">"A33603"</definedName>
    <definedName name="FDD_89_9" hidden="1">"A33969"</definedName>
    <definedName name="FDD_9_0" hidden="1">"A25569"</definedName>
    <definedName name="FDD_90_0" hidden="1">"A30681"</definedName>
    <definedName name="FDD_90_1" hidden="1">"A31047"</definedName>
    <definedName name="FDD_90_10" hidden="1">"A34334"</definedName>
    <definedName name="FDD_90_11" hidden="1">"A34699"</definedName>
    <definedName name="FDD_90_12" hidden="1">"A35064"</definedName>
    <definedName name="FDD_90_13" hidden="1">"A35430"</definedName>
    <definedName name="FDD_90_14" hidden="1">"A35795"</definedName>
    <definedName name="FDD_90_2" hidden="1">"A31412"</definedName>
    <definedName name="FDD_90_3" hidden="1">"A31777"</definedName>
    <definedName name="FDD_90_4" hidden="1">"A32142"</definedName>
    <definedName name="FDD_90_5" hidden="1">"A32508"</definedName>
    <definedName name="FDD_90_6" hidden="1">"A32873"</definedName>
    <definedName name="FDD_90_7" hidden="1">"A33238"</definedName>
    <definedName name="FDD_90_8" hidden="1">"A33603"</definedName>
    <definedName name="FDD_90_9" hidden="1">"A33969"</definedName>
    <definedName name="FDD_91_0" hidden="1">"A30681"</definedName>
    <definedName name="FDD_91_1" hidden="1">"A31047"</definedName>
    <definedName name="FDD_91_10" hidden="1">"A34334"</definedName>
    <definedName name="FDD_91_11" hidden="1">"A34699"</definedName>
    <definedName name="FDD_91_12" hidden="1">"A35064"</definedName>
    <definedName name="FDD_91_13" hidden="1">"A35430"</definedName>
    <definedName name="FDD_91_14" hidden="1">"A35795"</definedName>
    <definedName name="FDD_91_2" hidden="1">"A31412"</definedName>
    <definedName name="FDD_91_3" hidden="1">"A31777"</definedName>
    <definedName name="FDD_91_4" hidden="1">"A32142"</definedName>
    <definedName name="FDD_91_5" hidden="1">"A32508"</definedName>
    <definedName name="FDD_91_6" hidden="1">"A32873"</definedName>
    <definedName name="FDD_91_7" hidden="1">"A33238"</definedName>
    <definedName name="FDD_91_8" hidden="1">"A33603"</definedName>
    <definedName name="FDD_91_9" hidden="1">"A33969"</definedName>
    <definedName name="FDD_92_0" hidden="1">"A30681"</definedName>
    <definedName name="FDD_92_1" hidden="1">"A31047"</definedName>
    <definedName name="FDD_92_10" hidden="1">"A34334"</definedName>
    <definedName name="FDD_92_11" hidden="1">"A34699"</definedName>
    <definedName name="FDD_92_12" hidden="1">"A35064"</definedName>
    <definedName name="FDD_92_13" hidden="1">"A35430"</definedName>
    <definedName name="FDD_92_14" hidden="1">"A35795"</definedName>
    <definedName name="FDD_92_2" hidden="1">"A31412"</definedName>
    <definedName name="FDD_92_3" hidden="1">"A31777"</definedName>
    <definedName name="FDD_92_4" hidden="1">"A32142"</definedName>
    <definedName name="FDD_92_5" hidden="1">"A32508"</definedName>
    <definedName name="FDD_92_6" hidden="1">"A32873"</definedName>
    <definedName name="FDD_92_7" hidden="1">"A33238"</definedName>
    <definedName name="FDD_92_8" hidden="1">"A33603"</definedName>
    <definedName name="FDD_92_9" hidden="1">"A33969"</definedName>
    <definedName name="FDD_93_0" hidden="1">"A30681"</definedName>
    <definedName name="FDD_93_1" hidden="1">"A31047"</definedName>
    <definedName name="FDD_93_10" hidden="1">"A34334"</definedName>
    <definedName name="FDD_93_11" hidden="1">"A34699"</definedName>
    <definedName name="FDD_93_12" hidden="1">"A35064"</definedName>
    <definedName name="FDD_93_13" hidden="1">"A35430"</definedName>
    <definedName name="FDD_93_14" hidden="1">"A35795"</definedName>
    <definedName name="FDD_93_2" hidden="1">"A31412"</definedName>
    <definedName name="FDD_93_3" hidden="1">"A31777"</definedName>
    <definedName name="FDD_93_4" hidden="1">"A32142"</definedName>
    <definedName name="FDD_93_5" hidden="1">"A32508"</definedName>
    <definedName name="FDD_93_6" hidden="1">"A32873"</definedName>
    <definedName name="FDD_93_7" hidden="1">"A33238"</definedName>
    <definedName name="FDD_93_8" hidden="1">"A33603"</definedName>
    <definedName name="FDD_93_9" hidden="1">"A33969"</definedName>
    <definedName name="FDD_94_0" hidden="1">"A30681"</definedName>
    <definedName name="FDD_94_1" hidden="1">"A31047"</definedName>
    <definedName name="FDD_94_10" hidden="1">"A34334"</definedName>
    <definedName name="FDD_94_11" hidden="1">"A34699"</definedName>
    <definedName name="FDD_94_12" hidden="1">"A35064"</definedName>
    <definedName name="FDD_94_13" hidden="1">"A35430"</definedName>
    <definedName name="FDD_94_14" hidden="1">"A35795"</definedName>
    <definedName name="FDD_94_2" hidden="1">"A31412"</definedName>
    <definedName name="FDD_94_3" hidden="1">"A31777"</definedName>
    <definedName name="FDD_94_4" hidden="1">"A32142"</definedName>
    <definedName name="FDD_94_5" hidden="1">"A32508"</definedName>
    <definedName name="FDD_94_6" hidden="1">"A32873"</definedName>
    <definedName name="FDD_94_7" hidden="1">"A33238"</definedName>
    <definedName name="FDD_94_8" hidden="1">"A33603"</definedName>
    <definedName name="FDD_94_9" hidden="1">"A33969"</definedName>
    <definedName name="FDD_95_0" hidden="1">"A30681"</definedName>
    <definedName name="FDD_95_1" hidden="1">"A31047"</definedName>
    <definedName name="FDD_95_10" hidden="1">"A34334"</definedName>
    <definedName name="FDD_95_11" hidden="1">"A34699"</definedName>
    <definedName name="FDD_95_12" hidden="1">"A35064"</definedName>
    <definedName name="FDD_95_13" hidden="1">"A35430"</definedName>
    <definedName name="FDD_95_14" hidden="1">"A35795"</definedName>
    <definedName name="FDD_95_2" hidden="1">"A31412"</definedName>
    <definedName name="FDD_95_3" hidden="1">"A31777"</definedName>
    <definedName name="FDD_95_4" hidden="1">"A32142"</definedName>
    <definedName name="FDD_95_5" hidden="1">"A32508"</definedName>
    <definedName name="FDD_95_6" hidden="1">"A32873"</definedName>
    <definedName name="FDD_95_7" hidden="1">"A33238"</definedName>
    <definedName name="FDD_95_8" hidden="1">"A33603"</definedName>
    <definedName name="FDD_95_9" hidden="1">"A33969"</definedName>
    <definedName name="FDD_96_0" hidden="1">"U30681"</definedName>
    <definedName name="FDD_96_1" hidden="1">"A31047"</definedName>
    <definedName name="FDD_96_10" hidden="1">"A34334"</definedName>
    <definedName name="FDD_96_11" hidden="1">"A34699"</definedName>
    <definedName name="FDD_96_12" hidden="1">"A35064"</definedName>
    <definedName name="FDD_96_13" hidden="1">"A35430"</definedName>
    <definedName name="FDD_96_14" hidden="1">"A35795"</definedName>
    <definedName name="FDD_96_2" hidden="1">"A31412"</definedName>
    <definedName name="FDD_96_3" hidden="1">"A31777"</definedName>
    <definedName name="FDD_96_4" hidden="1">"A32142"</definedName>
    <definedName name="FDD_96_5" hidden="1">"A32508"</definedName>
    <definedName name="FDD_96_6" hidden="1">"A32873"</definedName>
    <definedName name="FDD_96_7" hidden="1">"A33238"</definedName>
    <definedName name="FDD_96_8" hidden="1">"A33603"</definedName>
    <definedName name="FDD_96_9" hidden="1">"A33969"</definedName>
    <definedName name="FDD_97_0" hidden="1">"U30681"</definedName>
    <definedName name="FDD_97_1" hidden="1">"A31047"</definedName>
    <definedName name="FDD_97_10" hidden="1">"A34334"</definedName>
    <definedName name="FDD_97_11" hidden="1">"A34699"</definedName>
    <definedName name="FDD_97_12" hidden="1">"A35064"</definedName>
    <definedName name="FDD_97_13" hidden="1">"A35430"</definedName>
    <definedName name="FDD_97_14" hidden="1">"A35795"</definedName>
    <definedName name="FDD_97_2" hidden="1">"A31412"</definedName>
    <definedName name="FDD_97_3" hidden="1">"A31777"</definedName>
    <definedName name="FDD_97_4" hidden="1">"A32142"</definedName>
    <definedName name="FDD_97_5" hidden="1">"A32508"</definedName>
    <definedName name="FDD_97_6" hidden="1">"A32873"</definedName>
    <definedName name="FDD_97_7" hidden="1">"A33238"</definedName>
    <definedName name="FDD_97_8" hidden="1">"A33603"</definedName>
    <definedName name="FDD_97_9" hidden="1">"A33969"</definedName>
    <definedName name="FDD_98_0" hidden="1">"U30681"</definedName>
    <definedName name="FDD_98_1" hidden="1">"A31047"</definedName>
    <definedName name="FDD_98_10" hidden="1">"A34334"</definedName>
    <definedName name="FDD_98_11" hidden="1">"A34699"</definedName>
    <definedName name="FDD_98_12" hidden="1">"A35064"</definedName>
    <definedName name="FDD_98_13" hidden="1">"A35430"</definedName>
    <definedName name="FDD_98_14" hidden="1">"A35795"</definedName>
    <definedName name="FDD_98_2" hidden="1">"A31412"</definedName>
    <definedName name="FDD_98_3" hidden="1">"A31777"</definedName>
    <definedName name="FDD_98_4" hidden="1">"A32142"</definedName>
    <definedName name="FDD_98_5" hidden="1">"A32508"</definedName>
    <definedName name="FDD_98_6" hidden="1">"A32873"</definedName>
    <definedName name="FDD_98_7" hidden="1">"A33238"</definedName>
    <definedName name="FDD_98_8" hidden="1">"A33603"</definedName>
    <definedName name="FDD_98_9" hidden="1">"A33969"</definedName>
    <definedName name="FDD_99_0" hidden="1">"U30681"</definedName>
    <definedName name="FDD_99_1" hidden="1">"A31047"</definedName>
    <definedName name="FDD_99_10" hidden="1">"A34334"</definedName>
    <definedName name="FDD_99_11" hidden="1">"A34699"</definedName>
    <definedName name="FDD_99_12" hidden="1">"A35064"</definedName>
    <definedName name="FDD_99_13" hidden="1">"A35430"</definedName>
    <definedName name="FDD_99_14" hidden="1">"A35795"</definedName>
    <definedName name="FDD_99_2" hidden="1">"A31412"</definedName>
    <definedName name="FDD_99_3" hidden="1">"A31777"</definedName>
    <definedName name="FDD_99_4" hidden="1">"A32142"</definedName>
    <definedName name="FDD_99_5" hidden="1">"A32508"</definedName>
    <definedName name="FDD_99_6" hidden="1">"A32873"</definedName>
    <definedName name="FDD_99_7" hidden="1">"A33238"</definedName>
    <definedName name="FDD_99_8" hidden="1">"A33603"</definedName>
    <definedName name="FDD_99_9" hidden="1">"A33969"</definedName>
    <definedName name="FiveYearGrowthRate" localSheetId="23">IndexInformation!$B$16</definedName>
    <definedName name="FollowingYearEPS" localSheetId="23">IndexInformation!$B$15</definedName>
    <definedName name="FollowingYearTotalRevenue" localSheetId="23">IndexInformation!$B$14</definedName>
    <definedName name="FollowingYearTotalRevenueActual" localSheetId="23">IndexInformation!$B$34</definedName>
    <definedName name="High_Ratio">" 100+"</definedName>
    <definedName name="HL" localSheetId="24">ModPubIndex!$A$8</definedName>
    <definedName name="IND" localSheetId="24">ModPubIndex!$A$9</definedName>
    <definedName name="Industry" localSheetId="0">ImportantDisclosures!$A$12</definedName>
    <definedName name="IndustryId">IndexInformation!$B$40</definedName>
    <definedName name="IndustryRating" localSheetId="0">ImportantDisclosures!$A$13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BROKER_REC_NO_REUT" hidden="1">"c5315"</definedName>
    <definedName name="IQ_AVG_BROKER_REC_REUT" hidden="1">"c3630"</definedName>
    <definedName name="IQ_AVG_DAILY_VOL" hidden="1">"c65"</definedName>
    <definedName name="IQ_AVG_INDUSTRY_REC" hidden="1">"c4455"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ROK_COMMISSION" hidden="1">"c3514"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"c3460"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FLOW_ACT_OR_EST" hidden="1">"c4154"</definedName>
    <definedName name="IQ_CASH_INTEREST" hidden="1">"c120"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OSITS_INTEREST_SECURITIES" hidden="1">"c5509"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PAYOUT" hidden="1">"c3005"</definedName>
    <definedName name="IQ_DISTRIBUTABLE_CASH_SHARE" hidden="1">"c3003"</definedName>
    <definedName name="IQ_DISTRIBUTABLE_CASH_SHARE_ACT_OR_EST" hidden="1">"c4286"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REUT" hidden="1">"c5314"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EQ_INC" hidden="1">"c3498"</definedName>
    <definedName name="IQ_EBIT_EQ_INC_EXCL_SBC" hidden="1">"c3502"</definedName>
    <definedName name="IQ_EBIT_EXCL_SBC" hidden="1">"c3082"</definedName>
    <definedName name="IQ_EBIT_GW_ACT_OR_EST" hidden="1">"c4306"</definedName>
    <definedName name="IQ_EBIT_INT" hidden="1">"c360"</definedName>
    <definedName name="IQ_EBIT_MARGIN" hidden="1">"c359"</definedName>
    <definedName name="IQ_EBIT_OVER_IE" hidden="1">"c1369"</definedName>
    <definedName name="IQ_EBIT_SBC_ACT_OR_EST" hidden="1">"c4316"</definedName>
    <definedName name="IQ_EBIT_SBC_GW_ACT_OR_EST" hidden="1">"c4320"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REUT" hidden="1">"c3640"</definedName>
    <definedName name="IQ_EBITDA_EXCL_SBC" hidden="1">"c3081"</definedName>
    <definedName name="IQ_EBITDA_HIGH_EST" hidden="1">"c370"</definedName>
    <definedName name="IQ_EBITDA_HIGH_EST_REUT" hidden="1">"c3642"</definedName>
    <definedName name="IQ_EBITDA_INT" hidden="1">"c373"</definedName>
    <definedName name="IQ_EBITDA_LOW_EST" hidden="1">"c371"</definedName>
    <definedName name="IQ_EBITDA_LOW_EST_REUT" hidden="1">"c3643"</definedName>
    <definedName name="IQ_EBITDA_MARGIN" hidden="1">"c372"</definedName>
    <definedName name="IQ_EBITDA_MEDIAN_EST" hidden="1">"c1663"</definedName>
    <definedName name="IQ_EBITDA_MEDIAN_EST_REUT" hidden="1">"c3641"</definedName>
    <definedName name="IQ_EBITDA_NUM_EST" hidden="1">"c374"</definedName>
    <definedName name="IQ_EBITDA_NUM_EST_REUT" hidden="1">"c3644"</definedName>
    <definedName name="IQ_EBITDA_OVER_TOTAL_IE" hidden="1">"c1371"</definedName>
    <definedName name="IQ_EBITDA_SBC_ACT_OR_EST" hidden="1">"c4337"</definedName>
    <definedName name="IQ_EBITDA_STDDEV_EST" hidden="1">"c375"</definedName>
    <definedName name="IQ_EBITDA_STDDEV_EST_REUT" hidden="1">"c3645"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SBC_ACT_OR_EST" hidden="1">"c4350"</definedName>
    <definedName name="IQ_EBT_SBC_GW_ACT_OR_EST" hidden="1">"c4354"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EST" hidden="1">"c399"</definedName>
    <definedName name="IQ_EPS_EST_REUT" hidden="1">"c5453"</definedName>
    <definedName name="IQ_EPS_HIGH_EST" hidden="1">"c400"</definedName>
    <definedName name="IQ_EPS_HIGH_EST_REUT" hidden="1">"c5454"</definedName>
    <definedName name="IQ_EPS_LOW_EST" hidden="1">"c401"</definedName>
    <definedName name="IQ_EPS_LOW_EST_REUT" hidden="1">"c5455"</definedName>
    <definedName name="IQ_EPS_MEDIAN_EST" hidden="1">"c1661"</definedName>
    <definedName name="IQ_EPS_MEDIAN_EST_REUT" hidden="1">"c5456"</definedName>
    <definedName name="IQ_EPS_NORM" hidden="1">"c1902"</definedName>
    <definedName name="IQ_EPS_NUM_EST" hidden="1">"c402"</definedName>
    <definedName name="IQ_EPS_NUM_EST_REUT" hidden="1">"c5451"</definedName>
    <definedName name="IQ_EPS_SBC_ACT_OR_EST" hidden="1">"c4376"</definedName>
    <definedName name="IQ_EPS_SBC_GW_ACT_OR_EST" hidden="1">"c4380"</definedName>
    <definedName name="IQ_EPS_STDDEV_EST" hidden="1">"c403"</definedName>
    <definedName name="IQ_EPS_STDDEV_EST_REUT" hidden="1">"c5452"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CURRENCY" hidden="1">"c2140"</definedName>
    <definedName name="IQ_EST_CURRENCY_REUT" hidden="1">"c5437"</definedName>
    <definedName name="IQ_EST_DATE" hidden="1">"c1634"</definedName>
    <definedName name="IQ_EST_DATE_REUT" hidden="1">"c5438"</definedName>
    <definedName name="IQ_EST_EPS_GROWTH_1YR" hidden="1">"c1636"</definedName>
    <definedName name="IQ_EST_EPS_GROWTH_1YR_REUT" hidden="1">"c3646"</definedName>
    <definedName name="IQ_EST_EPS_GROWTH_5YR" hidden="1">"c1655"</definedName>
    <definedName name="IQ_EST_EPS_GROWTH_5YR_REUT" hidden="1">"c3633"</definedName>
    <definedName name="IQ_EST_EPS_GROWTH_Q_1YR" hidden="1">"c1641"</definedName>
    <definedName name="IQ_EST_EPS_GROWTH_Q_1YR_REUT" hidden="1">"c5410"</definedName>
    <definedName name="IQ_EST_VENDOR" hidden="1">"c5564"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DJ_ACT_OR_EST" hidden="1">"c4435"</definedName>
    <definedName name="IQ_FFO_PAYOUT_RATIO" hidden="1">"c3492"</definedName>
    <definedName name="IQ_FFO_SHARE_ACT_OR_EST" hidden="1">"c4446"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NOTES_PAY_TOTAL" hidden="1">"c5522"</definedName>
    <definedName name="IQ_FIN_DIV_REV" hidden="1">"c437"</definedName>
    <definedName name="IQ_FIN_DIV_ST_DEBT_TOTAL" hidden="1">"c5527"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_TARGET_PRICE_REUT" hidden="1">"c5317"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DUSTRY" hidden="1">"c3601"</definedName>
    <definedName name="IQ_INDUSTRY_GROUP" hidden="1">"c3602"</definedName>
    <definedName name="IQ_INDUSTRY_SECTOR" hidden="1">"c3603"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REUT" hidden="1">"c5318"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CAPEX_ACT_OR_EST" hidden="1">"c4458"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DIAN_TARGET_PRICE_REUT" hidden="1">"c5316"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REUT" hidden="1">"c4048"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BC_ACT_OR_EST" hidden="1">"c4474"</definedName>
    <definedName name="IQ_NI_SBC_GW_ACT_OR_EST" hidden="1">"c4478"</definedName>
    <definedName name="IQ_NI_SFAS" hidden="1">"c795"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MORT" hidden="1">"c5563"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REUT" hidden="1">"c4049"</definedName>
    <definedName name="IQ_PE_NORMALIZED" hidden="1">"c2207"</definedName>
    <definedName name="IQ_PE_RATIO" hidden="1">"c1610"</definedName>
    <definedName name="IQ_PEG_FWD" hidden="1">"c1863"</definedName>
    <definedName name="IQ_PEG_FWD_REUT" hidden="1">"c4052"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ICE_OVER_BVPS" hidden="1">"c1412"</definedName>
    <definedName name="IQ_PRICE_OVER_LTM_EPS" hidden="1">"c1413"</definedName>
    <definedName name="IQ_PRICE_TARGET" hidden="1">"c82"</definedName>
    <definedName name="IQ_PRICE_TARGET_REUT" hidden="1">"c3631"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CURRING_PROFIT_ACT_OR_EST" hidden="1">"c4507"</definedName>
    <definedName name="IQ_RECURRING_PROFIT_SHARE_ACT_OR_EST" hidden="1">"c4508"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STDDEV_EST_REUT" hidden="1">"c3639"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EST_REUT" hidden="1">"c3634"</definedName>
    <definedName name="IQ_REVENUE_HIGH_EST" hidden="1">"c1127"</definedName>
    <definedName name="IQ_REVENUE_HIGH_EST_REUT" hidden="1">"c3636"</definedName>
    <definedName name="IQ_REVENUE_LOW_EST" hidden="1">"c1128"</definedName>
    <definedName name="IQ_REVENUE_LOW_EST_REUT" hidden="1">"c3637"</definedName>
    <definedName name="IQ_REVENUE_MEDIAN_EST" hidden="1">"c1662"</definedName>
    <definedName name="IQ_REVENUE_MEDIAN_EST_REUT" hidden="1">"c3635"</definedName>
    <definedName name="IQ_REVENUE_NUM_EST" hidden="1">"c1129"</definedName>
    <definedName name="IQ_REVENUE_NUM_EST_REUT" hidden="1">"c3638"</definedName>
    <definedName name="IQ_REVISION_DATE_" hidden="1">39358.4284837963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_PURCHASED_RESELL" hidden="1">"c5513"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BANK" hidden="1">"c2637"</definedName>
    <definedName name="IQ_SP_BANK_ACTION" hidden="1">"c2636"</definedName>
    <definedName name="IQ_SP_BANK_DATE" hidden="1">"c2635"</definedName>
    <definedName name="IQ_SP_DATE" hidden="1">"c2172"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OUTLOOK_WATCH" hidden="1">"c2639"</definedName>
    <definedName name="IQ_SP_OUTLOOK_WATCH_DATE" hidden="1">"c2638"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NUM_REUT" hidden="1">"c5319"</definedName>
    <definedName name="IQ_TARGET_PRICE_STDDEV" hidden="1">"c1654"</definedName>
    <definedName name="IQ_TARGET_PRICE_STDDEV_REUT" hidden="1">"c5320"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BITDA_FWD_REUT" hidden="1">"c4050"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REUT" hidden="1">"c4051"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KeepVersions" localSheetId="23">IndexInformation!$B$8</definedName>
    <definedName name="LabelList">OFFSET(LabelData,1,0,ROWS(LabelData)-1,1)</definedName>
    <definedName name="LanguageCode">IndexInformation!$B$38</definedName>
    <definedName name="LastCell" localSheetId="0">ImportantDisclosures!$A$22</definedName>
    <definedName name="Linking_Text_2">'Income statement'!$AQ$23</definedName>
    <definedName name="M_PlaceofPath" hidden="1">"F:\CMOTZ\excel\ati\ATI_VDF.XLS"</definedName>
    <definedName name="MacroVersion" localSheetId="23">IndexInformation!$B$1</definedName>
    <definedName name="MaxChange" localSheetId="1">CircularReferenceAlert!$B$9</definedName>
    <definedName name="MaxIterations" localSheetId="1">CircularReferenceAlert!$B$8</definedName>
    <definedName name="ModelPrice" localSheetId="0">ImportantDisclosures!$A$14</definedName>
    <definedName name="Multiplier" localSheetId="23">IndexInformation!$B$35</definedName>
    <definedName name="na">"  n/a "</definedName>
    <definedName name="NextYearEPS" localSheetId="23">IndexInformation!$B$13</definedName>
    <definedName name="NextYearTotalRevenue" localSheetId="23">IndexInformation!$B$12</definedName>
    <definedName name="NextYearTotalRevenueActual" localSheetId="23">IndexInformation!$B$33</definedName>
    <definedName name="NvsASD">"V2000-12-31"</definedName>
    <definedName name="NvsAutoDrillOk">"VN"</definedName>
    <definedName name="NvsElapsedTime">0.000516666666953824</definedName>
    <definedName name="NvsEndTime">37585.5170123843</definedName>
    <definedName name="NvsInstSpec">"%"</definedName>
    <definedName name="NvsLayoutType">"M3"</definedName>
    <definedName name="NvsNplSpec">"%,X,RNF..,CNF.."</definedName>
    <definedName name="NvsPanelEffdt">"V1997-07-09"</definedName>
    <definedName name="NvsPanelSetid">"V01"</definedName>
    <definedName name="NvsReqBU">"V01"</definedName>
    <definedName name="NvsReqBUOnly">"VN"</definedName>
    <definedName name="NvsTransLed">"VN"</definedName>
    <definedName name="NvsTreeASD">"V2000-12-31"</definedName>
    <definedName name="NvsValTbl.ACCOUNT">"GL_ACCOUNT_TBL"</definedName>
    <definedName name="ObjectType">IndexInformation!$B$37</definedName>
    <definedName name="PANA" localSheetId="24">ModPubIndex!$A$11</definedName>
    <definedName name="PathName" localSheetId="23">IndexInformation!$B$25</definedName>
    <definedName name="_xlnm.Print_Area" localSheetId="6">'Balance sheet'!$A$1:$CD$119</definedName>
    <definedName name="_xlnm.Print_Area" localSheetId="7">'Cash flow statement'!$A$1:$CD$61</definedName>
    <definedName name="_xlnm.Print_Area" localSheetId="8">DDM!$L$8:$P$30</definedName>
    <definedName name="_xlnm.Print_Area" localSheetId="5">'Income statement'!$A$1:$CD$146</definedName>
    <definedName name="_xlnm.Print_Area" localSheetId="9">Segments!$A$1:$CD$95</definedName>
    <definedName name="_xlnm.Print_Area">#REF!</definedName>
    <definedName name="_xlnm.Print_Titles">#REF!</definedName>
    <definedName name="PrintAll">[6]!PrintAll</definedName>
    <definedName name="PRODUCT" localSheetId="24">ModPubIndex!$A$6</definedName>
    <definedName name="ProjectName">{"Client Name or Project Name"}</definedName>
    <definedName name="PSYM" localSheetId="24">ModPubIndex!$A$4</definedName>
    <definedName name="PublishDate" localSheetId="23">IndexInformation!$B$2</definedName>
    <definedName name="Rating" localSheetId="23">IndexInformation!$B$9</definedName>
    <definedName name="RatingsDefined" localSheetId="0">ImportantDisclosures!$A$21</definedName>
    <definedName name="RatingsDefs" localSheetId="0">ImportantDisclosures!#REF!</definedName>
    <definedName name="RegACDisclosure" localSheetId="0">ImportantDisclosures!#REF!</definedName>
    <definedName name="RepairedName0484" hidden="1">"iQShowAnnual"</definedName>
    <definedName name="RepairedName1170" hidden="1">"iQShowAnnual"</definedName>
    <definedName name="RepairedName18759" hidden="1">"iQShowAnnual"</definedName>
    <definedName name="ResearchTopic" localSheetId="23">IndexInformation!$B$4</definedName>
    <definedName name="RIC" localSheetId="23">IndexInformation!$B$21</definedName>
    <definedName name="SAPBEXhrIndnt" hidden="1">1</definedName>
    <definedName name="SAPBEXrevision" hidden="1">1</definedName>
    <definedName name="SAPBEXsysID" hidden="1">"DP2"</definedName>
    <definedName name="SAPBEXwbID" hidden="1">"2PQ3FIKNNFNPZ70XJ0L661080"</definedName>
    <definedName name="SECSettlement" localSheetId="0">ImportantDisclosures!#REF!</definedName>
    <definedName name="SEDOL" localSheetId="23">IndexInformation!$B$22</definedName>
    <definedName name="sencount" hidden="1">1</definedName>
    <definedName name="SourceDefined" localSheetId="0">ImportantDisclosures!$A$19</definedName>
    <definedName name="StockRating" localSheetId="0">ImportantDisclosures!$A$11</definedName>
    <definedName name="SubjectCode" localSheetId="23">IndexInformation!$B$6</definedName>
    <definedName name="SubmitterUserId">IndexInformation!$B$39</definedName>
    <definedName name="SUPPRESSED" localSheetId="24">ModPubIndex!$A$13</definedName>
    <definedName name="Tarceva.new">{"Client Name or Project Name"}</definedName>
    <definedName name="TargetPrice" localSheetId="0">ImportantDisclosures!$A$15</definedName>
    <definedName name="TemplateRegion">IndexInformation!$B$36</definedName>
    <definedName name="Ticker" localSheetId="0">ImportantDisclosures!$A$10</definedName>
    <definedName name="TickerRegion">IndexInformation!$B$41</definedName>
    <definedName name="Tickers" localSheetId="23">IndexInformation!$B$19</definedName>
    <definedName name="trc_XLS_DATASHEET_ProtectDate">35417.7656018519</definedName>
    <definedName name="UpdateReason" localSheetId="23">IndexInformation!$B$17</definedName>
    <definedName name="USRegDisclosures" localSheetId="0">ImportantDisclosures!#REF!</definedName>
    <definedName name="Version.WIRE">1</definedName>
  </definedNames>
  <calcPr calcId="145621" calcMode="autoNoTable" iterate="1"/>
</workbook>
</file>

<file path=xl/calcChain.xml><?xml version="1.0" encoding="utf-8"?>
<calcChain xmlns="http://schemas.openxmlformats.org/spreadsheetml/2006/main">
  <c r="BP73" i="69" l="1"/>
  <c r="BO25" i="7"/>
  <c r="BN72" i="69"/>
  <c r="CD345" i="1"/>
  <c r="CD348" i="1"/>
  <c r="BY348" i="1"/>
  <c r="CD338" i="4"/>
  <c r="BY338" i="4"/>
  <c r="CD358" i="4"/>
  <c r="BY358" i="4"/>
  <c r="CD341" i="4"/>
  <c r="BY341" i="4"/>
  <c r="BO156" i="5" l="1"/>
  <c r="BO154" i="5"/>
  <c r="BO152" i="5"/>
  <c r="BO150" i="5"/>
  <c r="BO148" i="5"/>
  <c r="BO146" i="5"/>
  <c r="BO110" i="5"/>
  <c r="BO107" i="5"/>
  <c r="BO106" i="5"/>
  <c r="BO102" i="5"/>
  <c r="BO101" i="5"/>
  <c r="BO100" i="5"/>
  <c r="BO99" i="5"/>
  <c r="BO98" i="5"/>
  <c r="BO97" i="5"/>
  <c r="BO96" i="5"/>
  <c r="BO95" i="5"/>
  <c r="BO94" i="5"/>
  <c r="BO93" i="5"/>
  <c r="BO92" i="5"/>
  <c r="BO91" i="5"/>
  <c r="BO87" i="5"/>
  <c r="BO141" i="5" s="1"/>
  <c r="BO86" i="5"/>
  <c r="BO85" i="5"/>
  <c r="BO139" i="5" s="1"/>
  <c r="BO81" i="5"/>
  <c r="BO80" i="5"/>
  <c r="BO79" i="5"/>
  <c r="BO78" i="5"/>
  <c r="BO77" i="5"/>
  <c r="BO76" i="5"/>
  <c r="BO72" i="5"/>
  <c r="BO71" i="5"/>
  <c r="BO67" i="5"/>
  <c r="BO66" i="5"/>
  <c r="BO65" i="5"/>
  <c r="BO54" i="5"/>
  <c r="BO53" i="5"/>
  <c r="BO161" i="5" s="1"/>
  <c r="BO52" i="5"/>
  <c r="BO160" i="5" s="1"/>
  <c r="BO49" i="5"/>
  <c r="BO48" i="5"/>
  <c r="BO47" i="5"/>
  <c r="BO155" i="5" s="1"/>
  <c r="BO46" i="5"/>
  <c r="BO45" i="5"/>
  <c r="BO153" i="5" s="1"/>
  <c r="BO44" i="5"/>
  <c r="BO43" i="5"/>
  <c r="BO151" i="5" s="1"/>
  <c r="BO42" i="5"/>
  <c r="BO41" i="5"/>
  <c r="BO149" i="5" s="1"/>
  <c r="BO40" i="5"/>
  <c r="BO39" i="5"/>
  <c r="BO147" i="5" s="1"/>
  <c r="BO38" i="5"/>
  <c r="BO37" i="5"/>
  <c r="BO145" i="5" s="1"/>
  <c r="BO157" i="5" s="1"/>
  <c r="BO33" i="5"/>
  <c r="BO32" i="5"/>
  <c r="BO140" i="5" s="1"/>
  <c r="BO31" i="5"/>
  <c r="BO27" i="5"/>
  <c r="BO135" i="5" s="1"/>
  <c r="BO26" i="5"/>
  <c r="BO134" i="5" s="1"/>
  <c r="BO25" i="5"/>
  <c r="BO133" i="5" s="1"/>
  <c r="BO24" i="5"/>
  <c r="BO132" i="5" s="1"/>
  <c r="BO23" i="5"/>
  <c r="BO131" i="5" s="1"/>
  <c r="BO22" i="5"/>
  <c r="BO130" i="5" s="1"/>
  <c r="BO18" i="5"/>
  <c r="BO17" i="5"/>
  <c r="BO13" i="5"/>
  <c r="BO12" i="5"/>
  <c r="BO11" i="5"/>
  <c r="BO28" i="5"/>
  <c r="BO19" i="5"/>
  <c r="BN164" i="5"/>
  <c r="BM164" i="5"/>
  <c r="BL164" i="5"/>
  <c r="BK164" i="5"/>
  <c r="BN153" i="5"/>
  <c r="BM153" i="5"/>
  <c r="BL153" i="5"/>
  <c r="BK153" i="5"/>
  <c r="BO14" i="5" l="1"/>
  <c r="BP122" i="6" l="1"/>
  <c r="BP121" i="6"/>
  <c r="BP119" i="6"/>
  <c r="BP118" i="6"/>
  <c r="BP115" i="6"/>
  <c r="BP114" i="6"/>
  <c r="BP105" i="6"/>
  <c r="BP104" i="6"/>
  <c r="BP102" i="6"/>
  <c r="BP101" i="6"/>
  <c r="BP98" i="6"/>
  <c r="BP97" i="6"/>
  <c r="BP88" i="6"/>
  <c r="BP87" i="6"/>
  <c r="BP85" i="6"/>
  <c r="BP84" i="6"/>
  <c r="BP81" i="6"/>
  <c r="BP80" i="6"/>
  <c r="BY71" i="6"/>
  <c r="BT71" i="6"/>
  <c r="BY70" i="6"/>
  <c r="BT70" i="6"/>
  <c r="BY68" i="6"/>
  <c r="BT68" i="6"/>
  <c r="BY67" i="6"/>
  <c r="BT67" i="6"/>
  <c r="BN113" i="10"/>
  <c r="BO124" i="10"/>
  <c r="BO122" i="10"/>
  <c r="BO121" i="10"/>
  <c r="BN164" i="4" l="1"/>
  <c r="BM164" i="4"/>
  <c r="BM380" i="4" s="1"/>
  <c r="BM382" i="4" s="1"/>
  <c r="BL164" i="4"/>
  <c r="BL380" i="4" s="1"/>
  <c r="BL381" i="4" s="1"/>
  <c r="BK164" i="4"/>
  <c r="BK380" i="4" s="1"/>
  <c r="BN164" i="1"/>
  <c r="BM164" i="1"/>
  <c r="BL164" i="1"/>
  <c r="BK164" i="1"/>
  <c r="BO161" i="1"/>
  <c r="BO160" i="1"/>
  <c r="BO156" i="1"/>
  <c r="BO155" i="1"/>
  <c r="BO154" i="1"/>
  <c r="BO153" i="1"/>
  <c r="BO152" i="1"/>
  <c r="BO151" i="1"/>
  <c r="BO150" i="1"/>
  <c r="BO149" i="1"/>
  <c r="BO147" i="1"/>
  <c r="BO146" i="1"/>
  <c r="BO145" i="1"/>
  <c r="BO141" i="1"/>
  <c r="BO140" i="1"/>
  <c r="BO139" i="1"/>
  <c r="BO135" i="1"/>
  <c r="BO134" i="1"/>
  <c r="BO133" i="1"/>
  <c r="BO131" i="1"/>
  <c r="BO130" i="1"/>
  <c r="BO126" i="1"/>
  <c r="BO125" i="1"/>
  <c r="BO121" i="1"/>
  <c r="BO120" i="1"/>
  <c r="BO119" i="1"/>
  <c r="BO34" i="1"/>
  <c r="BO34" i="5" s="1"/>
  <c r="BO28" i="1"/>
  <c r="BO14" i="1"/>
  <c r="BN385" i="4"/>
  <c r="BM385" i="4"/>
  <c r="BL385" i="4"/>
  <c r="BK385" i="4"/>
  <c r="BN380" i="4"/>
  <c r="BN381" i="4" s="1"/>
  <c r="BO377" i="4"/>
  <c r="BO376" i="4"/>
  <c r="BO378" i="4" s="1"/>
  <c r="BO372" i="4"/>
  <c r="BO371" i="4"/>
  <c r="BO370" i="4"/>
  <c r="BO369" i="4"/>
  <c r="BN369" i="4"/>
  <c r="BM369" i="4"/>
  <c r="BL369" i="4"/>
  <c r="BK369" i="4"/>
  <c r="BO368" i="4"/>
  <c r="BO367" i="4"/>
  <c r="BO366" i="4"/>
  <c r="BO365" i="4"/>
  <c r="BO364" i="4"/>
  <c r="BO363" i="4"/>
  <c r="BO362" i="4"/>
  <c r="BO361" i="4"/>
  <c r="BO373" i="4" s="1"/>
  <c r="BO357" i="4"/>
  <c r="BO356" i="4"/>
  <c r="BO358" i="4" s="1"/>
  <c r="BO355" i="4"/>
  <c r="BO351" i="4"/>
  <c r="BO350" i="4"/>
  <c r="BO349" i="4"/>
  <c r="BO348" i="4"/>
  <c r="BO347" i="4"/>
  <c r="BO346" i="4"/>
  <c r="BO352" i="4" s="1"/>
  <c r="BO342" i="4"/>
  <c r="BO341" i="4"/>
  <c r="BO343" i="4" s="1"/>
  <c r="BN341" i="4"/>
  <c r="BM341" i="4"/>
  <c r="BL341" i="4"/>
  <c r="BK341" i="4"/>
  <c r="BO338" i="4"/>
  <c r="BN338" i="4"/>
  <c r="BM338" i="4"/>
  <c r="BL338" i="4"/>
  <c r="BK338" i="4"/>
  <c r="BO337" i="4"/>
  <c r="BO336" i="4"/>
  <c r="BO335" i="4"/>
  <c r="BO161" i="4"/>
  <c r="BO160" i="4"/>
  <c r="BO156" i="4"/>
  <c r="BO155" i="4"/>
  <c r="BO154" i="4"/>
  <c r="BO153" i="4"/>
  <c r="BO152" i="4"/>
  <c r="BO151" i="4"/>
  <c r="BO150" i="4"/>
  <c r="BO149" i="4"/>
  <c r="BO148" i="4"/>
  <c r="BO147" i="4"/>
  <c r="BO146" i="4"/>
  <c r="BO145" i="4"/>
  <c r="BO141" i="4"/>
  <c r="BO140" i="4"/>
  <c r="BO139" i="4"/>
  <c r="BO135" i="4"/>
  <c r="BO134" i="4"/>
  <c r="BO133" i="4"/>
  <c r="BO132" i="4"/>
  <c r="BO131" i="4"/>
  <c r="BO130" i="4"/>
  <c r="BO126" i="4"/>
  <c r="BO125" i="4"/>
  <c r="BO121" i="4"/>
  <c r="BO162" i="4"/>
  <c r="BO157" i="4"/>
  <c r="BO142" i="4"/>
  <c r="BO136" i="4"/>
  <c r="BO127" i="4"/>
  <c r="BO122" i="4"/>
  <c r="BO120" i="4"/>
  <c r="BO119" i="4"/>
  <c r="BO57" i="4"/>
  <c r="BO119" i="5" l="1"/>
  <c r="BO121" i="5"/>
  <c r="BO126" i="5"/>
  <c r="BO56" i="5"/>
  <c r="BO164" i="5" s="1"/>
  <c r="BO120" i="5"/>
  <c r="BO125" i="5"/>
  <c r="BN382" i="4"/>
  <c r="BK381" i="4"/>
  <c r="BK382" i="4"/>
  <c r="BO380" i="4"/>
  <c r="BM381" i="4"/>
  <c r="BL382" i="4"/>
  <c r="BO164" i="4"/>
  <c r="BO99" i="4"/>
  <c r="BO86" i="4"/>
  <c r="BO88" i="4"/>
  <c r="BO82" i="4"/>
  <c r="BO68" i="4"/>
  <c r="BO66" i="4"/>
  <c r="BO56" i="4"/>
  <c r="BO52" i="4"/>
  <c r="BO54" i="4"/>
  <c r="BO34" i="4"/>
  <c r="BO31" i="4"/>
  <c r="BJ31" i="4"/>
  <c r="BO28" i="4"/>
  <c r="BO26" i="4"/>
  <c r="BO19" i="4"/>
  <c r="BO17" i="4"/>
  <c r="BO14" i="4"/>
  <c r="BO11" i="4"/>
  <c r="BO220" i="9"/>
  <c r="BO217" i="9"/>
  <c r="BO216" i="9"/>
  <c r="BO211" i="9"/>
  <c r="BO210" i="9"/>
  <c r="BO206" i="9"/>
  <c r="BO205" i="9"/>
  <c r="BO202" i="9"/>
  <c r="BO201" i="9"/>
  <c r="BO99" i="9"/>
  <c r="BO98" i="9"/>
  <c r="BO97" i="9"/>
  <c r="BO96" i="9"/>
  <c r="BO95" i="9"/>
  <c r="BO156" i="9" s="1"/>
  <c r="BO94" i="9"/>
  <c r="BO93" i="9"/>
  <c r="BO92" i="9"/>
  <c r="BO91" i="9"/>
  <c r="BO78" i="9"/>
  <c r="BO65" i="9"/>
  <c r="BO90" i="9" s="1"/>
  <c r="BO56" i="9"/>
  <c r="BO117" i="9" s="1"/>
  <c r="BO55" i="9"/>
  <c r="BO116" i="9" s="1"/>
  <c r="BO53" i="9"/>
  <c r="BO114" i="9" s="1"/>
  <c r="BO52" i="9"/>
  <c r="BO155" i="9" s="1"/>
  <c r="BO51" i="9"/>
  <c r="BO112" i="9" s="1"/>
  <c r="BO50" i="9"/>
  <c r="BO111" i="9" s="1"/>
  <c r="BO193" i="9" s="1"/>
  <c r="BO49" i="9"/>
  <c r="BO110" i="9" s="1"/>
  <c r="BO48" i="9"/>
  <c r="BO109" i="9" s="1"/>
  <c r="BO32" i="9"/>
  <c r="BO31" i="9"/>
  <c r="BO29" i="9"/>
  <c r="BO28" i="9"/>
  <c r="BO27" i="9"/>
  <c r="BO26" i="9"/>
  <c r="BO25" i="9"/>
  <c r="BO24" i="9"/>
  <c r="BO20" i="9"/>
  <c r="BO19" i="9"/>
  <c r="BO18" i="9"/>
  <c r="BO215" i="9" s="1"/>
  <c r="BO17" i="9"/>
  <c r="BO16" i="9"/>
  <c r="BO15" i="9"/>
  <c r="BO14" i="9"/>
  <c r="BO13" i="9"/>
  <c r="BO12" i="9"/>
  <c r="BO11" i="9"/>
  <c r="BO22" i="7"/>
  <c r="BN22" i="7"/>
  <c r="BM22" i="7"/>
  <c r="BL22" i="7"/>
  <c r="BK22" i="7"/>
  <c r="BO21" i="7"/>
  <c r="BN19" i="7"/>
  <c r="BM19" i="7"/>
  <c r="BL19" i="7"/>
  <c r="BK19" i="7"/>
  <c r="BO13" i="7"/>
  <c r="BO532" i="7"/>
  <c r="BO529" i="7"/>
  <c r="BO528" i="7"/>
  <c r="BO527" i="7"/>
  <c r="BO526" i="7"/>
  <c r="BO525" i="7"/>
  <c r="BO524" i="7"/>
  <c r="BO521" i="7"/>
  <c r="BO520" i="7"/>
  <c r="BO537" i="7"/>
  <c r="BO535" i="7"/>
  <c r="BO868" i="7"/>
  <c r="BO865" i="7"/>
  <c r="BO862" i="7"/>
  <c r="BO861" i="7"/>
  <c r="BO860" i="7"/>
  <c r="BO859" i="7"/>
  <c r="BO858" i="7"/>
  <c r="BO857" i="7"/>
  <c r="BO854" i="7"/>
  <c r="BO853" i="7"/>
  <c r="BO800" i="7"/>
  <c r="BO808" i="7" s="1"/>
  <c r="BO811" i="7" s="1"/>
  <c r="BO814" i="7" s="1"/>
  <c r="BO739" i="7"/>
  <c r="BO789" i="7" s="1"/>
  <c r="BO728" i="7"/>
  <c r="BO726" i="7"/>
  <c r="BO724" i="7"/>
  <c r="BO685" i="7"/>
  <c r="BO693" i="7" s="1"/>
  <c r="BO696" i="7" s="1"/>
  <c r="BO699" i="7" s="1"/>
  <c r="BO630" i="7"/>
  <c r="BO638" i="7" s="1"/>
  <c r="BO641" i="7" s="1"/>
  <c r="BO644" i="7" s="1"/>
  <c r="BO580" i="7"/>
  <c r="BO588" i="7" s="1"/>
  <c r="BO591" i="7" s="1"/>
  <c r="AY19" i="7"/>
  <c r="AX19" i="7"/>
  <c r="AW19" i="7"/>
  <c r="AV19" i="7"/>
  <c r="BD19" i="7"/>
  <c r="BC19" i="7"/>
  <c r="BB19" i="7"/>
  <c r="BA19" i="7"/>
  <c r="BF19" i="7"/>
  <c r="BG19" i="7"/>
  <c r="BH19" i="7"/>
  <c r="BI19" i="7"/>
  <c r="BO468" i="7"/>
  <c r="BO476" i="7" s="1"/>
  <c r="BO479" i="7" s="1"/>
  <c r="BO426" i="7"/>
  <c r="BO423" i="7"/>
  <c r="BO422" i="7"/>
  <c r="BO421" i="7"/>
  <c r="BO420" i="7"/>
  <c r="BO419" i="7"/>
  <c r="BO418" i="7"/>
  <c r="BO123" i="10" s="1"/>
  <c r="BO415" i="7"/>
  <c r="BO414" i="7"/>
  <c r="BO386" i="7"/>
  <c r="BO389" i="7" s="1"/>
  <c r="BO397" i="7"/>
  <c r="BO405" i="7" s="1"/>
  <c r="BO408" i="7" s="1"/>
  <c r="BO326" i="7"/>
  <c r="BO334" i="7" s="1"/>
  <c r="BO337" i="7" s="1"/>
  <c r="BO311" i="7"/>
  <c r="BO274" i="7"/>
  <c r="BO282" i="7" s="1"/>
  <c r="BO285" i="7" s="1"/>
  <c r="BO231" i="7"/>
  <c r="BO228" i="7"/>
  <c r="BO227" i="7"/>
  <c r="BO226" i="7"/>
  <c r="BO225" i="7"/>
  <c r="BO224" i="7"/>
  <c r="BO223" i="7"/>
  <c r="BO120" i="10" s="1"/>
  <c r="BO220" i="7"/>
  <c r="BO219" i="7"/>
  <c r="BO221" i="7" s="1"/>
  <c r="BO202" i="7"/>
  <c r="BO210" i="7" s="1"/>
  <c r="BO213" i="7" s="1"/>
  <c r="BO183" i="7"/>
  <c r="BO191" i="7" s="1"/>
  <c r="BO194" i="7" s="1"/>
  <c r="BO141" i="7"/>
  <c r="BO48" i="7" s="1"/>
  <c r="BO138" i="7"/>
  <c r="BO45" i="7" s="1"/>
  <c r="BO137" i="7"/>
  <c r="BO136" i="7"/>
  <c r="BO43" i="7" s="1"/>
  <c r="BO135" i="7"/>
  <c r="BO42" i="7" s="1"/>
  <c r="BO134" i="7"/>
  <c r="BO41" i="7" s="1"/>
  <c r="BO133" i="7"/>
  <c r="BO130" i="7"/>
  <c r="BO37" i="7" s="1"/>
  <c r="BO129" i="7"/>
  <c r="BO109" i="7"/>
  <c r="BO112" i="7"/>
  <c r="BO120" i="7" s="1"/>
  <c r="BO123" i="7" s="1"/>
  <c r="BO93" i="7"/>
  <c r="BO101" i="7" s="1"/>
  <c r="BO104" i="7" s="1"/>
  <c r="BO116" i="10"/>
  <c r="BN109" i="10"/>
  <c r="BO112" i="10"/>
  <c r="BN112" i="10"/>
  <c r="BO113" i="10"/>
  <c r="BO88" i="10"/>
  <c r="BO87" i="10"/>
  <c r="BO86" i="10"/>
  <c r="BO85" i="10"/>
  <c r="BO89" i="10" s="1"/>
  <c r="BN74" i="11"/>
  <c r="BI74" i="11"/>
  <c r="BO45" i="11"/>
  <c r="BO44" i="11"/>
  <c r="BO43" i="11"/>
  <c r="BO41" i="11"/>
  <c r="BO26" i="11"/>
  <c r="BO19" i="11"/>
  <c r="BO39" i="11"/>
  <c r="BO38" i="11"/>
  <c r="BO35" i="11"/>
  <c r="BO209" i="9" l="1"/>
  <c r="BO224" i="9"/>
  <c r="BO121" i="9"/>
  <c r="BO122" i="9" s="1"/>
  <c r="BO223" i="9"/>
  <c r="BO183" i="9"/>
  <c r="BO113" i="9"/>
  <c r="BO157" i="9" s="1"/>
  <c r="BO219" i="9"/>
  <c r="BO131" i="7"/>
  <c r="BO168" i="7"/>
  <c r="BO119" i="10"/>
  <c r="BO172" i="7"/>
  <c r="BO312" i="7"/>
  <c r="BO316" i="7"/>
  <c r="BO670" i="7"/>
  <c r="BO672" i="7"/>
  <c r="BO674" i="7"/>
  <c r="BO677" i="7"/>
  <c r="BO731" i="7"/>
  <c r="BO840" i="7"/>
  <c r="BO842" i="7"/>
  <c r="BO844" i="7"/>
  <c r="BO315" i="7"/>
  <c r="BO416" i="7"/>
  <c r="BO424" i="7" s="1"/>
  <c r="BO427" i="7" s="1"/>
  <c r="BO671" i="7"/>
  <c r="BO673" i="7"/>
  <c r="BO675" i="7"/>
  <c r="BO725" i="7"/>
  <c r="BO727" i="7"/>
  <c r="BO729" i="7"/>
  <c r="BO839" i="7"/>
  <c r="BO841" i="7"/>
  <c r="BO843" i="7"/>
  <c r="BO846" i="7"/>
  <c r="BO522" i="7"/>
  <c r="BO530" i="7" s="1"/>
  <c r="BO533" i="7" s="1"/>
  <c r="BO130" i="10"/>
  <c r="BO129" i="10"/>
  <c r="BO132" i="10"/>
  <c r="BO128" i="10"/>
  <c r="BO131" i="10"/>
  <c r="BO127" i="10"/>
  <c r="BO109" i="10"/>
  <c r="BO115" i="10" s="1"/>
  <c r="BO382" i="4"/>
  <c r="BO381" i="4"/>
  <c r="BO787" i="7"/>
  <c r="BO786" i="7"/>
  <c r="BO855" i="7"/>
  <c r="BO747" i="7"/>
  <c r="BO784" i="7"/>
  <c r="BO788" i="7"/>
  <c r="BO785" i="7"/>
  <c r="BO229" i="7"/>
  <c r="BO262" i="7"/>
  <c r="BO261" i="7"/>
  <c r="BO259" i="7"/>
  <c r="BO263" i="7"/>
  <c r="BO260" i="7"/>
  <c r="BO264" i="7"/>
  <c r="BO169" i="7"/>
  <c r="BO173" i="7"/>
  <c r="BO366" i="7"/>
  <c r="BO453" i="7"/>
  <c r="BO457" i="7"/>
  <c r="BO508" i="7"/>
  <c r="BO40" i="7"/>
  <c r="BO44" i="7"/>
  <c r="BO170" i="7"/>
  <c r="CI173" i="7"/>
  <c r="BO363" i="7"/>
  <c r="BO367" i="7"/>
  <c r="BO454" i="7"/>
  <c r="BO458" i="7"/>
  <c r="BO505" i="7"/>
  <c r="BO509" i="7"/>
  <c r="BO36" i="7"/>
  <c r="BO139" i="7"/>
  <c r="BO171" i="7"/>
  <c r="BO313" i="7"/>
  <c r="BO318" i="7"/>
  <c r="BO364" i="7"/>
  <c r="BO368" i="7"/>
  <c r="BO455" i="7"/>
  <c r="BO506" i="7"/>
  <c r="BO510" i="7"/>
  <c r="BO314" i="7"/>
  <c r="BO365" i="7"/>
  <c r="BO370" i="7"/>
  <c r="BO507" i="7"/>
  <c r="BO512" i="7"/>
  <c r="BO38" i="7"/>
  <c r="AN25" i="30"/>
  <c r="AM25" i="30"/>
  <c r="AO25" i="30" s="1"/>
  <c r="AN181" i="30"/>
  <c r="AM181" i="30"/>
  <c r="AO181" i="30" s="1"/>
  <c r="AN98" i="30"/>
  <c r="AM98" i="30"/>
  <c r="AC476" i="3"/>
  <c r="X380" i="2"/>
  <c r="Y380" i="2"/>
  <c r="AM149" i="2"/>
  <c r="AM92" i="2"/>
  <c r="X463" i="3"/>
  <c r="X430" i="3"/>
  <c r="AM24" i="3"/>
  <c r="AM173" i="3"/>
  <c r="BO225" i="9" l="1"/>
  <c r="BO226" i="9"/>
  <c r="BO46" i="7"/>
  <c r="BO456" i="7"/>
  <c r="BO460" i="7"/>
  <c r="BO750" i="7"/>
  <c r="BO753" i="7" s="1"/>
  <c r="BO12" i="7" s="1"/>
  <c r="BO14" i="7" s="1"/>
  <c r="BO791" i="7"/>
  <c r="BO863" i="7"/>
  <c r="BO898" i="7"/>
  <c r="BO894" i="7"/>
  <c r="BO896" i="7"/>
  <c r="BO897" i="7"/>
  <c r="BO899" i="7"/>
  <c r="BO895" i="7"/>
  <c r="BO142" i="7"/>
  <c r="CH173" i="7"/>
  <c r="BO175" i="7"/>
  <c r="BO232" i="7"/>
  <c r="BO266" i="7"/>
  <c r="AO98" i="30"/>
  <c r="BO16" i="6"/>
  <c r="BO15" i="6"/>
  <c r="BO14" i="6"/>
  <c r="BO13" i="6"/>
  <c r="BO12" i="6"/>
  <c r="BO52" i="6"/>
  <c r="BO45" i="6"/>
  <c r="BO43" i="6"/>
  <c r="BO42" i="6"/>
  <c r="BO41" i="6"/>
  <c r="BO40" i="6"/>
  <c r="BO39" i="6"/>
  <c r="BO49" i="7" l="1"/>
  <c r="BO9" i="7"/>
  <c r="BO866" i="7"/>
  <c r="BO869" i="7" s="1"/>
  <c r="BO901" i="7"/>
  <c r="CD56" i="37" l="1"/>
  <c r="BY56" i="37"/>
  <c r="CD37" i="37"/>
  <c r="BY37" i="37"/>
  <c r="CC70" i="47" l="1"/>
  <c r="CB70" i="47"/>
  <c r="CA70" i="47"/>
  <c r="BZ70" i="47"/>
  <c r="BX70" i="47"/>
  <c r="BW70" i="47"/>
  <c r="BV70" i="47"/>
  <c r="BU70" i="47"/>
  <c r="BP70" i="47"/>
  <c r="BQ70" i="47"/>
  <c r="BR70" i="47"/>
  <c r="BS70" i="47"/>
  <c r="BN70" i="47"/>
  <c r="BM70" i="47"/>
  <c r="CC11" i="69"/>
  <c r="CB11" i="69"/>
  <c r="CA11" i="69"/>
  <c r="BZ11" i="69"/>
  <c r="BX11" i="69"/>
  <c r="BW11" i="69"/>
  <c r="BV11" i="69"/>
  <c r="BU11" i="69"/>
  <c r="BS11" i="69"/>
  <c r="BR11" i="69"/>
  <c r="BQ11" i="69"/>
  <c r="BY11" i="69" l="1"/>
  <c r="CD11" i="69"/>
  <c r="CK18" i="69" l="1"/>
  <c r="CJ18" i="69"/>
  <c r="CI18" i="69"/>
  <c r="CL218" i="13"/>
  <c r="CI218" i="13"/>
  <c r="CJ60" i="14"/>
  <c r="CI60" i="14"/>
  <c r="CW61" i="6"/>
  <c r="CV61" i="6"/>
  <c r="CU61" i="6"/>
  <c r="CT61" i="6"/>
  <c r="CS61" i="6"/>
  <c r="CQ61" i="6"/>
  <c r="CN61" i="6"/>
  <c r="CL61" i="6"/>
  <c r="CK61" i="6"/>
  <c r="CJ61" i="6"/>
  <c r="CI61" i="6"/>
  <c r="CH61" i="6"/>
  <c r="BO183" i="12"/>
  <c r="BO180" i="12"/>
  <c r="BO179" i="12"/>
  <c r="BO178" i="12"/>
  <c r="BO177" i="12"/>
  <c r="BO176" i="12"/>
  <c r="BO175" i="12"/>
  <c r="BO174" i="12"/>
  <c r="BO173" i="12"/>
  <c r="BO55" i="12" s="1"/>
  <c r="BO168" i="12"/>
  <c r="BO167" i="12"/>
  <c r="BO166" i="12"/>
  <c r="BO165" i="12"/>
  <c r="BO164" i="12"/>
  <c r="BO163" i="12"/>
  <c r="BO162" i="12"/>
  <c r="BO45" i="12" s="1"/>
  <c r="BO157" i="12"/>
  <c r="BO152" i="12"/>
  <c r="BO151" i="12"/>
  <c r="BO40" i="12"/>
  <c r="BO38" i="12"/>
  <c r="BO137" i="12"/>
  <c r="BO47" i="12" l="1"/>
  <c r="BO54" i="12"/>
  <c r="BO46" i="12"/>
  <c r="BO53" i="12"/>
  <c r="BO64" i="13" l="1"/>
  <c r="BO59" i="13"/>
  <c r="BO58" i="13"/>
  <c r="BO57" i="13"/>
  <c r="BO56" i="13"/>
  <c r="BO55" i="13"/>
  <c r="BO54" i="13"/>
  <c r="BO53" i="13"/>
  <c r="BO46" i="13"/>
  <c r="BO45" i="13"/>
  <c r="BO44" i="13"/>
  <c r="BO73" i="13" s="1"/>
  <c r="BO43" i="13"/>
  <c r="BO42" i="13"/>
  <c r="BO41" i="13"/>
  <c r="BO36" i="13"/>
  <c r="BO33" i="13"/>
  <c r="BO32" i="13"/>
  <c r="BO31" i="13"/>
  <c r="BO30" i="13"/>
  <c r="BO29" i="13"/>
  <c r="BO28" i="13"/>
  <c r="BO27" i="13"/>
  <c r="BO26" i="13"/>
  <c r="BO22" i="13"/>
  <c r="BO21" i="13"/>
  <c r="BO20" i="13"/>
  <c r="BO19" i="13"/>
  <c r="BO18" i="13"/>
  <c r="BO17" i="13"/>
  <c r="BO16" i="13"/>
  <c r="BO15" i="13"/>
  <c r="BO14" i="13"/>
  <c r="BO13" i="13"/>
  <c r="BO12" i="13"/>
  <c r="BO11" i="13"/>
  <c r="BO82" i="13"/>
  <c r="BO66" i="69"/>
  <c r="BO65" i="69"/>
  <c r="BO64" i="69"/>
  <c r="BO63" i="69"/>
  <c r="BO60" i="69"/>
  <c r="BN67" i="69"/>
  <c r="CH98" i="69" s="1"/>
  <c r="BN66" i="69"/>
  <c r="BN65" i="69"/>
  <c r="BN64" i="69"/>
  <c r="BN63" i="69"/>
  <c r="BN60" i="69"/>
  <c r="BO54" i="69"/>
  <c r="BO53" i="69"/>
  <c r="BO52" i="69"/>
  <c r="BN55" i="69"/>
  <c r="BO43" i="69"/>
  <c r="BO42" i="69"/>
  <c r="BO41" i="69"/>
  <c r="BN44" i="69"/>
  <c r="BN47" i="69" s="1"/>
  <c r="BO37" i="69"/>
  <c r="BO36" i="69"/>
  <c r="BO35" i="69"/>
  <c r="BN38" i="69"/>
  <c r="BN27" i="69"/>
  <c r="BN21" i="69"/>
  <c r="BN17" i="69"/>
  <c r="BN55" i="47"/>
  <c r="BN54" i="47"/>
  <c r="BN53" i="47"/>
  <c r="BN50" i="47"/>
  <c r="BN40" i="47"/>
  <c r="BI40" i="47"/>
  <c r="BO15" i="47"/>
  <c r="BO13" i="47"/>
  <c r="BO10" i="47"/>
  <c r="BN25" i="7"/>
  <c r="BN64" i="37"/>
  <c r="BN63" i="37"/>
  <c r="BN57" i="37"/>
  <c r="BN52" i="37"/>
  <c r="BN37" i="37"/>
  <c r="BN44" i="37"/>
  <c r="BN29" i="37"/>
  <c r="BN79" i="11"/>
  <c r="BN73" i="11"/>
  <c r="BN32" i="11"/>
  <c r="BN34" i="11"/>
  <c r="BO17" i="10"/>
  <c r="BO13" i="10"/>
  <c r="BO12" i="10"/>
  <c r="BN21" i="10"/>
  <c r="BN11" i="10"/>
  <c r="BN14" i="10" s="1"/>
  <c r="BN83" i="27"/>
  <c r="BN71" i="6"/>
  <c r="BN88" i="6" s="1"/>
  <c r="BN105" i="6" s="1"/>
  <c r="BN122" i="6" s="1"/>
  <c r="BN70" i="6"/>
  <c r="BN87" i="6" s="1"/>
  <c r="BN104" i="6" s="1"/>
  <c r="BN121" i="6" s="1"/>
  <c r="BN68" i="6"/>
  <c r="BN85" i="6" s="1"/>
  <c r="BN102" i="6" s="1"/>
  <c r="BN119" i="6" s="1"/>
  <c r="BN67" i="6"/>
  <c r="BN84" i="6" s="1"/>
  <c r="BN101" i="6" s="1"/>
  <c r="BN118" i="6" s="1"/>
  <c r="BN64" i="6"/>
  <c r="BN81" i="6" s="1"/>
  <c r="BN98" i="6" s="1"/>
  <c r="BN115" i="6" s="1"/>
  <c r="BN63" i="6"/>
  <c r="BN80" i="6" s="1"/>
  <c r="BN97" i="6" s="1"/>
  <c r="BN114" i="6" s="1"/>
  <c r="BN235" i="12"/>
  <c r="BN234" i="12"/>
  <c r="BN232" i="12"/>
  <c r="BN231" i="12"/>
  <c r="BN230" i="12"/>
  <c r="BN229" i="12"/>
  <c r="BN227" i="12"/>
  <c r="BN203" i="12" s="1"/>
  <c r="BN225" i="12"/>
  <c r="BN224" i="12"/>
  <c r="BN223" i="12"/>
  <c r="BN222" i="12"/>
  <c r="BN220" i="12"/>
  <c r="BN219" i="12"/>
  <c r="BN218" i="12"/>
  <c r="BN217" i="12"/>
  <c r="BN216" i="12"/>
  <c r="BN215" i="12"/>
  <c r="BN209" i="12"/>
  <c r="BN196" i="12"/>
  <c r="BN194" i="12"/>
  <c r="BN55" i="12"/>
  <c r="BN54" i="12"/>
  <c r="BN53" i="12"/>
  <c r="BN47" i="12"/>
  <c r="BN46" i="12"/>
  <c r="BN45" i="12"/>
  <c r="BN40" i="12"/>
  <c r="BN39" i="12"/>
  <c r="BN38" i="12"/>
  <c r="BN18" i="12"/>
  <c r="BN170" i="12"/>
  <c r="BN49" i="12" s="1"/>
  <c r="BN159" i="12"/>
  <c r="BN208" i="12" s="1"/>
  <c r="BN49" i="13"/>
  <c r="BN101" i="14"/>
  <c r="BN200" i="12" l="1"/>
  <c r="BN202" i="12"/>
  <c r="BO49" i="13"/>
  <c r="BN201" i="12"/>
  <c r="BN205" i="12"/>
  <c r="BN49" i="69"/>
  <c r="CI98" i="69" s="1"/>
  <c r="CK98" i="69" s="1"/>
  <c r="BN204" i="12"/>
  <c r="BO47" i="13"/>
  <c r="BN43" i="12"/>
  <c r="BO34" i="13"/>
  <c r="BN206" i="12"/>
  <c r="BO60" i="13"/>
  <c r="BN48" i="12"/>
  <c r="BN67" i="37"/>
  <c r="BN65" i="37"/>
  <c r="BN23" i="10"/>
  <c r="BN51" i="12"/>
  <c r="BZ71" i="6"/>
  <c r="BZ70" i="6"/>
  <c r="CA70" i="6" s="1"/>
  <c r="CB70" i="6" s="1"/>
  <c r="CC70" i="6" s="1"/>
  <c r="BZ68" i="6"/>
  <c r="CA68" i="6" s="1"/>
  <c r="CB68" i="6" s="1"/>
  <c r="CC68" i="6" s="1"/>
  <c r="BZ67" i="6"/>
  <c r="CD64" i="6"/>
  <c r="BY64" i="6"/>
  <c r="BT64" i="6"/>
  <c r="CD63" i="6"/>
  <c r="BY63" i="6"/>
  <c r="BT63" i="6"/>
  <c r="BO50" i="13" l="1"/>
  <c r="CA67" i="6"/>
  <c r="CD70" i="6"/>
  <c r="CA71" i="6"/>
  <c r="CB71" i="6" s="1"/>
  <c r="CC71" i="6" s="1"/>
  <c r="CD68" i="6"/>
  <c r="CD71" i="6" l="1"/>
  <c r="CB67" i="6"/>
  <c r="CC67" i="6" l="1"/>
  <c r="CD67" i="6" l="1"/>
  <c r="CD364" i="4" l="1"/>
  <c r="CD352" i="4"/>
  <c r="BY352" i="4"/>
  <c r="BT338" i="4"/>
  <c r="BY364" i="4"/>
  <c r="U321" i="2" l="1"/>
  <c r="V321" i="2"/>
  <c r="W321" i="2"/>
  <c r="X321" i="2"/>
  <c r="Y321" i="2"/>
  <c r="Z321" i="2"/>
  <c r="AA321" i="2"/>
  <c r="AB321" i="2"/>
  <c r="AC321" i="2"/>
  <c r="AD321" i="2"/>
  <c r="AE321" i="2"/>
  <c r="AF321" i="2"/>
  <c r="AG321" i="2"/>
  <c r="AH321" i="2"/>
  <c r="AI321" i="2"/>
  <c r="AJ321" i="2"/>
  <c r="AK321" i="2"/>
  <c r="AL321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U370" i="3"/>
  <c r="V370" i="3"/>
  <c r="W370" i="3"/>
  <c r="X370" i="3"/>
  <c r="Y370" i="3"/>
  <c r="Z370" i="3"/>
  <c r="AA370" i="3"/>
  <c r="AB370" i="3"/>
  <c r="AC370" i="3"/>
  <c r="AD370" i="3"/>
  <c r="AE370" i="3"/>
  <c r="AF370" i="3"/>
  <c r="AG370" i="3"/>
  <c r="AH370" i="3"/>
  <c r="AI370" i="3"/>
  <c r="AJ370" i="3"/>
  <c r="AK370" i="3"/>
  <c r="AL370" i="3"/>
  <c r="AM370" i="3"/>
  <c r="AM237" i="30"/>
  <c r="AN237" i="30"/>
  <c r="AM238" i="30"/>
  <c r="AN238" i="30"/>
  <c r="AM134" i="30"/>
  <c r="AN134" i="30"/>
  <c r="AM111" i="30"/>
  <c r="AN111" i="30"/>
  <c r="AM90" i="30"/>
  <c r="AN90" i="30"/>
  <c r="AM27" i="30"/>
  <c r="AN27" i="30"/>
  <c r="AM28" i="30"/>
  <c r="AO28" i="30" s="1"/>
  <c r="AN28" i="30"/>
  <c r="AM29" i="30"/>
  <c r="AN29" i="30"/>
  <c r="AM30" i="30"/>
  <c r="AO30" i="30" s="1"/>
  <c r="AN30" i="30"/>
  <c r="AM107" i="2"/>
  <c r="AM13" i="2"/>
  <c r="AM14" i="2"/>
  <c r="AM15" i="2"/>
  <c r="AM16" i="2"/>
  <c r="AM27" i="3"/>
  <c r="AO238" i="30" l="1"/>
  <c r="AO29" i="30"/>
  <c r="AO27" i="30"/>
  <c r="AO237" i="30"/>
  <c r="AO90" i="30"/>
  <c r="AO111" i="30"/>
  <c r="AO134" i="30"/>
  <c r="BX85" i="6"/>
  <c r="CC85" i="6" s="1"/>
  <c r="BW85" i="6"/>
  <c r="CB85" i="6" s="1"/>
  <c r="BV85" i="6"/>
  <c r="CA85" i="6" s="1"/>
  <c r="BX84" i="6"/>
  <c r="CC84" i="6" s="1"/>
  <c r="BW84" i="6"/>
  <c r="CB84" i="6" s="1"/>
  <c r="BV84" i="6"/>
  <c r="CA84" i="6" s="1"/>
  <c r="BU85" i="6"/>
  <c r="BZ85" i="6" s="1"/>
  <c r="BU84" i="6"/>
  <c r="BZ84" i="6" s="1"/>
  <c r="CD80" i="6" l="1"/>
  <c r="BY80" i="6"/>
  <c r="BT80" i="6"/>
  <c r="BZ88" i="6"/>
  <c r="BY88" i="6"/>
  <c r="BT88" i="6"/>
  <c r="BZ87" i="6"/>
  <c r="BY87" i="6"/>
  <c r="BT87" i="6"/>
  <c r="BY85" i="6"/>
  <c r="BT85" i="6"/>
  <c r="BY84" i="6"/>
  <c r="BT84" i="6"/>
  <c r="CD81" i="6"/>
  <c r="BY81" i="6"/>
  <c r="BT81" i="6"/>
  <c r="CA87" i="6" l="1"/>
  <c r="CB87" i="6" s="1"/>
  <c r="CC87" i="6" s="1"/>
  <c r="CA88" i="6"/>
  <c r="CB88" i="6" s="1"/>
  <c r="CC88" i="6" s="1"/>
  <c r="CD85" i="6"/>
  <c r="CD88" i="6" l="1"/>
  <c r="CD87" i="6"/>
  <c r="CD84" i="6" l="1"/>
  <c r="CI24" i="10" l="1"/>
  <c r="BT12" i="10"/>
  <c r="BQ101" i="6"/>
  <c r="BQ102" i="6" s="1"/>
  <c r="BR101" i="6"/>
  <c r="BR102" i="6" s="1"/>
  <c r="BS101" i="6"/>
  <c r="BS102" i="6" s="1"/>
  <c r="BV101" i="6" l="1"/>
  <c r="BV102" i="6" s="1"/>
  <c r="BU101" i="6"/>
  <c r="CA101" i="6"/>
  <c r="CA102" i="6" s="1"/>
  <c r="BW101" i="6"/>
  <c r="BX101" i="6"/>
  <c r="CB101" i="6" l="1"/>
  <c r="CB102" i="6" s="1"/>
  <c r="BW102" i="6"/>
  <c r="BX102" i="6"/>
  <c r="CC101" i="6"/>
  <c r="CC102" i="6" s="1"/>
  <c r="BZ101" i="6"/>
  <c r="BZ102" i="6" s="1"/>
  <c r="BU102" i="6"/>
  <c r="CL217" i="13" l="1"/>
  <c r="CI217" i="13"/>
  <c r="CN60" i="6"/>
  <c r="CL60" i="6"/>
  <c r="CK60" i="6"/>
  <c r="CJ60" i="6"/>
  <c r="CI60" i="6"/>
  <c r="CH60" i="6"/>
  <c r="CW60" i="6"/>
  <c r="CV60" i="6"/>
  <c r="CU60" i="6"/>
  <c r="CT60" i="6"/>
  <c r="CS60" i="6"/>
  <c r="CQ60" i="6"/>
  <c r="CJ59" i="14"/>
  <c r="CI59" i="14"/>
  <c r="BM70" i="6" l="1"/>
  <c r="BM87" i="6" s="1"/>
  <c r="BM104" i="6" s="1"/>
  <c r="BM121" i="6" s="1"/>
  <c r="BM71" i="6"/>
  <c r="BM88" i="6" s="1"/>
  <c r="BM105" i="6" s="1"/>
  <c r="BM122" i="6" s="1"/>
  <c r="BM63" i="6"/>
  <c r="BM80" i="6" s="1"/>
  <c r="BM97" i="6" s="1"/>
  <c r="BM114" i="6" s="1"/>
  <c r="BM64" i="6"/>
  <c r="BM81" i="6" s="1"/>
  <c r="BM98" i="6" s="1"/>
  <c r="BM115" i="6" s="1"/>
  <c r="BM67" i="6"/>
  <c r="BM84" i="6" s="1"/>
  <c r="BM101" i="6" s="1"/>
  <c r="BM118" i="6" s="1"/>
  <c r="BM68" i="6"/>
  <c r="BM85" i="6" s="1"/>
  <c r="BM102" i="6" s="1"/>
  <c r="BM119" i="6" s="1"/>
  <c r="BM60" i="69"/>
  <c r="BM63" i="69"/>
  <c r="BM64" i="69"/>
  <c r="BM65" i="69"/>
  <c r="BM66" i="69"/>
  <c r="BM67" i="69"/>
  <c r="CH97" i="69" s="1"/>
  <c r="BM55" i="69"/>
  <c r="BM73" i="69" s="1"/>
  <c r="BM44" i="69"/>
  <c r="BM47" i="69" s="1"/>
  <c r="BM38" i="69"/>
  <c r="BM72" i="69" s="1"/>
  <c r="BM17" i="69"/>
  <c r="BM14" i="69"/>
  <c r="BM65" i="47"/>
  <c r="BM66" i="47"/>
  <c r="BM67" i="47"/>
  <c r="BM68" i="47"/>
  <c r="BM55" i="47"/>
  <c r="BM54" i="47"/>
  <c r="BM53" i="47"/>
  <c r="BM51" i="47"/>
  <c r="BM50" i="47"/>
  <c r="BM40" i="47"/>
  <c r="BM28" i="47"/>
  <c r="BM25" i="7"/>
  <c r="BM63" i="37"/>
  <c r="BM64" i="37"/>
  <c r="BM52" i="37"/>
  <c r="BM57" i="37"/>
  <c r="BM44" i="37"/>
  <c r="BM36" i="37"/>
  <c r="BM86" i="11"/>
  <c r="BM79" i="11"/>
  <c r="BN67" i="11" s="1"/>
  <c r="BM34" i="11"/>
  <c r="BM32" i="11"/>
  <c r="BM113" i="10"/>
  <c r="BM112" i="10"/>
  <c r="BM195" i="12" s="1"/>
  <c r="BM21" i="10"/>
  <c r="BM11" i="10"/>
  <c r="BM14" i="10" s="1"/>
  <c r="BM19" i="10" s="1"/>
  <c r="BM89" i="27"/>
  <c r="BM90" i="27"/>
  <c r="BM83" i="27"/>
  <c r="BM76" i="27"/>
  <c r="BM58" i="27"/>
  <c r="BM33" i="27"/>
  <c r="BM34" i="27"/>
  <c r="BM36" i="27"/>
  <c r="BM38" i="27"/>
  <c r="BM44" i="27"/>
  <c r="BM194" i="12"/>
  <c r="BM196" i="12"/>
  <c r="BM209" i="12"/>
  <c r="BM215" i="12"/>
  <c r="BM216" i="12"/>
  <c r="BM217" i="12"/>
  <c r="BM218" i="12"/>
  <c r="BM219" i="12"/>
  <c r="BM220" i="12"/>
  <c r="BM222" i="12"/>
  <c r="BM223" i="12"/>
  <c r="BM224" i="12"/>
  <c r="BM225" i="12"/>
  <c r="BM227" i="12"/>
  <c r="BM203" i="12" s="1"/>
  <c r="BM229" i="12"/>
  <c r="BM230" i="12"/>
  <c r="BM231" i="12"/>
  <c r="BM232" i="12"/>
  <c r="BM234" i="12"/>
  <c r="BM235" i="12"/>
  <c r="BM170" i="12"/>
  <c r="BM159" i="12"/>
  <c r="BM38" i="12"/>
  <c r="BM39" i="12"/>
  <c r="BM40" i="12"/>
  <c r="BM45" i="12"/>
  <c r="BM46" i="12"/>
  <c r="BM47" i="12"/>
  <c r="BM53" i="12"/>
  <c r="BM54" i="12"/>
  <c r="BM55" i="12"/>
  <c r="BM18" i="12"/>
  <c r="BM101" i="14"/>
  <c r="CJ45" i="69" l="1"/>
  <c r="CJ97" i="69"/>
  <c r="BM43" i="12"/>
  <c r="BM67" i="37"/>
  <c r="BM49" i="12"/>
  <c r="BM65" i="37"/>
  <c r="BM49" i="69"/>
  <c r="BM206" i="12"/>
  <c r="BM205" i="12"/>
  <c r="BM204" i="12"/>
  <c r="BM202" i="12"/>
  <c r="BM201" i="12"/>
  <c r="BM200" i="12"/>
  <c r="BM208" i="12"/>
  <c r="BM91" i="27"/>
  <c r="BM109" i="10"/>
  <c r="BM48" i="12"/>
  <c r="BM51" i="12" l="1"/>
  <c r="BM75" i="69"/>
  <c r="BM76" i="69" s="1"/>
  <c r="CI97" i="69"/>
  <c r="CK97" i="69" s="1"/>
  <c r="CL97" i="69" s="1"/>
  <c r="CD365" i="1" l="1"/>
  <c r="BY365" i="1"/>
  <c r="CD385" i="1"/>
  <c r="BY385" i="1"/>
  <c r="BT385" i="1"/>
  <c r="U354" i="3" l="1"/>
  <c r="V354" i="3"/>
  <c r="W354" i="3"/>
  <c r="X354" i="3"/>
  <c r="Y354" i="3"/>
  <c r="Z354" i="3"/>
  <c r="AA354" i="3"/>
  <c r="AB354" i="3"/>
  <c r="AC354" i="3"/>
  <c r="AD354" i="3"/>
  <c r="AE354" i="3"/>
  <c r="AF354" i="3"/>
  <c r="AG354" i="3"/>
  <c r="AH354" i="3"/>
  <c r="AI354" i="3"/>
  <c r="AJ354" i="3"/>
  <c r="AK354" i="3"/>
  <c r="AL354" i="3"/>
  <c r="AM354" i="3"/>
  <c r="BJ62" i="14" l="1"/>
  <c r="CD45" i="6" l="1"/>
  <c r="BI44" i="37" l="1"/>
  <c r="BH44" i="37"/>
  <c r="BG44" i="37"/>
  <c r="BF44" i="37"/>
  <c r="BD44" i="37"/>
  <c r="BC44" i="37"/>
  <c r="BB44" i="37"/>
  <c r="BA44" i="37"/>
  <c r="AY44" i="37"/>
  <c r="AX44" i="37"/>
  <c r="AW44" i="37"/>
  <c r="AV44" i="37"/>
  <c r="AT44" i="37"/>
  <c r="AS44" i="37"/>
  <c r="AR44" i="37"/>
  <c r="AQ44" i="37"/>
  <c r="AO44" i="37"/>
  <c r="AN44" i="37"/>
  <c r="AM44" i="37"/>
  <c r="AL44" i="37"/>
  <c r="AJ44" i="37"/>
  <c r="AI44" i="37"/>
  <c r="AH44" i="37"/>
  <c r="AG44" i="37"/>
  <c r="AE44" i="37"/>
  <c r="AD44" i="37"/>
  <c r="AC44" i="37"/>
  <c r="AB44" i="37"/>
  <c r="BK44" i="37"/>
  <c r="BL44" i="37"/>
  <c r="AF44" i="37" l="1"/>
  <c r="AK44" i="37"/>
  <c r="AP44" i="37"/>
  <c r="AU44" i="37"/>
  <c r="AZ44" i="37"/>
  <c r="BE44" i="37"/>
  <c r="BJ44" i="37"/>
  <c r="BL18" i="12" l="1"/>
  <c r="CL216" i="13"/>
  <c r="CI216" i="13"/>
  <c r="CJ58" i="14"/>
  <c r="CI58" i="14"/>
  <c r="CW59" i="6"/>
  <c r="CV59" i="6"/>
  <c r="CU59" i="6"/>
  <c r="CT59" i="6"/>
  <c r="CS59" i="6"/>
  <c r="CQ59" i="6"/>
  <c r="CN59" i="6"/>
  <c r="CL59" i="6"/>
  <c r="CK59" i="6"/>
  <c r="CJ59" i="6"/>
  <c r="CI59" i="6"/>
  <c r="CH59" i="6"/>
  <c r="CR61" i="6" s="1"/>
  <c r="BL113" i="10"/>
  <c r="BL70" i="6" l="1"/>
  <c r="BL71" i="6"/>
  <c r="BL63" i="6"/>
  <c r="BL64" i="6"/>
  <c r="BL67" i="6"/>
  <c r="BL68" i="6"/>
  <c r="BL63" i="69"/>
  <c r="BL64" i="69"/>
  <c r="BL65" i="69"/>
  <c r="BL66" i="69"/>
  <c r="BL67" i="69"/>
  <c r="BL60" i="69"/>
  <c r="BL55" i="69"/>
  <c r="BL44" i="69"/>
  <c r="BL47" i="69" s="1"/>
  <c r="BL38" i="69"/>
  <c r="BL72" i="69" s="1"/>
  <c r="CI45" i="69" s="1"/>
  <c r="BL17" i="69"/>
  <c r="BL65" i="47"/>
  <c r="BL66" i="47"/>
  <c r="BL67" i="47"/>
  <c r="BL68" i="47"/>
  <c r="BL55" i="47"/>
  <c r="BL54" i="47"/>
  <c r="BL53" i="47"/>
  <c r="BL51" i="47"/>
  <c r="BL50" i="47"/>
  <c r="BL40" i="47"/>
  <c r="BL25" i="7"/>
  <c r="BL64" i="37"/>
  <c r="BL52" i="37"/>
  <c r="BL57" i="37"/>
  <c r="BL36" i="37"/>
  <c r="BL86" i="11"/>
  <c r="BL79" i="11"/>
  <c r="BL34" i="11"/>
  <c r="BL14" i="69"/>
  <c r="BL32" i="11"/>
  <c r="BL112" i="10"/>
  <c r="BL195" i="12" s="1"/>
  <c r="BL21" i="10"/>
  <c r="BL11" i="10"/>
  <c r="BL14" i="10" s="1"/>
  <c r="BL19" i="10" s="1"/>
  <c r="BL11" i="12" s="1"/>
  <c r="BL90" i="27"/>
  <c r="BL89" i="27"/>
  <c r="BL83" i="27"/>
  <c r="BL76" i="27"/>
  <c r="BL33" i="27"/>
  <c r="BL34" i="27"/>
  <c r="BL36" i="27"/>
  <c r="BL38" i="27"/>
  <c r="BL44" i="27"/>
  <c r="BL194" i="12"/>
  <c r="BL196" i="12"/>
  <c r="BL209" i="12"/>
  <c r="BL215" i="12"/>
  <c r="BL216" i="12"/>
  <c r="BL217" i="12"/>
  <c r="BL218" i="12"/>
  <c r="BL219" i="12"/>
  <c r="BL220" i="12"/>
  <c r="BL222" i="12"/>
  <c r="BL223" i="12"/>
  <c r="BL224" i="12"/>
  <c r="BL225" i="12"/>
  <c r="BL227" i="12"/>
  <c r="BL203" i="12" s="1"/>
  <c r="BL229" i="12"/>
  <c r="BL230" i="12"/>
  <c r="BL231" i="12"/>
  <c r="BL232" i="12"/>
  <c r="BL234" i="12"/>
  <c r="BL235" i="12"/>
  <c r="BL206" i="12" l="1"/>
  <c r="BL201" i="12"/>
  <c r="BL200" i="12"/>
  <c r="BL202" i="12"/>
  <c r="BL91" i="27"/>
  <c r="BL84" i="6"/>
  <c r="BL101" i="6" s="1"/>
  <c r="BL118" i="6" s="1"/>
  <c r="BL80" i="6"/>
  <c r="BL97" i="6" s="1"/>
  <c r="BL114" i="6" s="1"/>
  <c r="BL87" i="6"/>
  <c r="BL104" i="6" s="1"/>
  <c r="BL121" i="6" s="1"/>
  <c r="BL85" i="6"/>
  <c r="BL102" i="6" s="1"/>
  <c r="BL119" i="6" s="1"/>
  <c r="BL81" i="6"/>
  <c r="BL98" i="6" s="1"/>
  <c r="BL115" i="6" s="1"/>
  <c r="BL88" i="6"/>
  <c r="BL105" i="6" s="1"/>
  <c r="BL122" i="6" s="1"/>
  <c r="BL49" i="69"/>
  <c r="BL205" i="12"/>
  <c r="BL204" i="12"/>
  <c r="BL109" i="10"/>
  <c r="BL170" i="12"/>
  <c r="BL49" i="12" s="1"/>
  <c r="BL159" i="12"/>
  <c r="BL43" i="12" s="1"/>
  <c r="BL38" i="12"/>
  <c r="BL39" i="12"/>
  <c r="BL40" i="12"/>
  <c r="BL45" i="12"/>
  <c r="BL46" i="12"/>
  <c r="BL47" i="12"/>
  <c r="BL53" i="12"/>
  <c r="BL54" i="12"/>
  <c r="BL55" i="12"/>
  <c r="BL208" i="12" l="1"/>
  <c r="BL48" i="12"/>
  <c r="BL51" i="12"/>
  <c r="BL118" i="14"/>
  <c r="BM118" i="14" s="1"/>
  <c r="BN118" i="14" s="1"/>
  <c r="BL117" i="14"/>
  <c r="BM117" i="14" s="1"/>
  <c r="BN117" i="14" s="1"/>
  <c r="BL116" i="14"/>
  <c r="BM116" i="14" s="1"/>
  <c r="BN116" i="14" s="1"/>
  <c r="BL114" i="14"/>
  <c r="BL101" i="14"/>
  <c r="BL27" i="37" l="1"/>
  <c r="BM114" i="14"/>
  <c r="BN114" i="14" s="1"/>
  <c r="AM310" i="2"/>
  <c r="V398" i="3"/>
  <c r="W398" i="3"/>
  <c r="X398" i="3"/>
  <c r="Y398" i="3"/>
  <c r="Z398" i="3"/>
  <c r="AA398" i="3"/>
  <c r="AB398" i="3"/>
  <c r="AC398" i="3"/>
  <c r="AD398" i="3"/>
  <c r="AE398" i="3"/>
  <c r="AF398" i="3"/>
  <c r="AG398" i="3"/>
  <c r="AH398" i="3"/>
  <c r="AI398" i="3"/>
  <c r="AJ398" i="3"/>
  <c r="AK398" i="3"/>
  <c r="AL398" i="3"/>
  <c r="U398" i="3"/>
  <c r="U392" i="3"/>
  <c r="V392" i="3"/>
  <c r="W392" i="3"/>
  <c r="X392" i="3"/>
  <c r="Y392" i="3"/>
  <c r="Z392" i="3"/>
  <c r="AA392" i="3"/>
  <c r="AB392" i="3"/>
  <c r="AC392" i="3"/>
  <c r="AD392" i="3"/>
  <c r="AE392" i="3"/>
  <c r="AF392" i="3"/>
  <c r="AG392" i="3"/>
  <c r="AH392" i="3"/>
  <c r="AI392" i="3"/>
  <c r="AJ392" i="3"/>
  <c r="AK392" i="3"/>
  <c r="AL392" i="3"/>
  <c r="AM392" i="3"/>
  <c r="U393" i="3"/>
  <c r="V393" i="3"/>
  <c r="W393" i="3"/>
  <c r="X393" i="3"/>
  <c r="Y393" i="3"/>
  <c r="Z393" i="3"/>
  <c r="AA393" i="3"/>
  <c r="AB393" i="3"/>
  <c r="AC393" i="3"/>
  <c r="AD393" i="3"/>
  <c r="AE393" i="3"/>
  <c r="AF393" i="3"/>
  <c r="AG393" i="3"/>
  <c r="AH393" i="3"/>
  <c r="AI393" i="3"/>
  <c r="AJ393" i="3"/>
  <c r="AK393" i="3"/>
  <c r="AL393" i="3"/>
  <c r="AM393" i="3"/>
  <c r="U394" i="3"/>
  <c r="V394" i="3"/>
  <c r="W394" i="3"/>
  <c r="X394" i="3"/>
  <c r="Y394" i="3"/>
  <c r="Z394" i="3"/>
  <c r="AA394" i="3"/>
  <c r="AB394" i="3"/>
  <c r="AC394" i="3"/>
  <c r="AD394" i="3"/>
  <c r="AE394" i="3"/>
  <c r="AF394" i="3"/>
  <c r="AG394" i="3"/>
  <c r="AH394" i="3"/>
  <c r="AI394" i="3"/>
  <c r="AJ394" i="3"/>
  <c r="AK394" i="3"/>
  <c r="AL394" i="3"/>
  <c r="AM394" i="3"/>
  <c r="U395" i="3"/>
  <c r="V395" i="3"/>
  <c r="W395" i="3"/>
  <c r="X395" i="3"/>
  <c r="Y395" i="3"/>
  <c r="Z395" i="3"/>
  <c r="AA395" i="3"/>
  <c r="AB395" i="3"/>
  <c r="AC395" i="3"/>
  <c r="AD395" i="3"/>
  <c r="AE395" i="3"/>
  <c r="AF395" i="3"/>
  <c r="AG395" i="3"/>
  <c r="AH395" i="3"/>
  <c r="AI395" i="3"/>
  <c r="AJ395" i="3"/>
  <c r="AK395" i="3"/>
  <c r="AL395" i="3"/>
  <c r="AM395" i="3"/>
  <c r="U396" i="3"/>
  <c r="V396" i="3"/>
  <c r="W396" i="3"/>
  <c r="X396" i="3"/>
  <c r="Y396" i="3"/>
  <c r="Z396" i="3"/>
  <c r="AA396" i="3"/>
  <c r="AB396" i="3"/>
  <c r="AC396" i="3"/>
  <c r="AD396" i="3"/>
  <c r="AE396" i="3"/>
  <c r="AF396" i="3"/>
  <c r="AG396" i="3"/>
  <c r="AH396" i="3"/>
  <c r="AI396" i="3"/>
  <c r="AJ396" i="3"/>
  <c r="AK396" i="3"/>
  <c r="AL396" i="3"/>
  <c r="AM396" i="3"/>
  <c r="U397" i="3"/>
  <c r="V397" i="3"/>
  <c r="W397" i="3"/>
  <c r="X397" i="3"/>
  <c r="Y397" i="3"/>
  <c r="Z397" i="3"/>
  <c r="AA397" i="3"/>
  <c r="AB397" i="3"/>
  <c r="AC397" i="3"/>
  <c r="AD397" i="3"/>
  <c r="AE397" i="3"/>
  <c r="AF397" i="3"/>
  <c r="AG397" i="3"/>
  <c r="AH397" i="3"/>
  <c r="AI397" i="3"/>
  <c r="AJ397" i="3"/>
  <c r="AK397" i="3"/>
  <c r="AL397" i="3"/>
  <c r="AM397" i="3"/>
  <c r="AM398" i="3"/>
  <c r="U399" i="3"/>
  <c r="V399" i="3"/>
  <c r="W399" i="3"/>
  <c r="X399" i="3"/>
  <c r="Y399" i="3"/>
  <c r="Z399" i="3"/>
  <c r="AA399" i="3"/>
  <c r="AB399" i="3"/>
  <c r="AC399" i="3"/>
  <c r="AD399" i="3"/>
  <c r="AE399" i="3"/>
  <c r="AF399" i="3"/>
  <c r="AG399" i="3"/>
  <c r="AH399" i="3"/>
  <c r="AI399" i="3"/>
  <c r="AJ399" i="3"/>
  <c r="AK399" i="3"/>
  <c r="AL399" i="3"/>
  <c r="AM399" i="3"/>
  <c r="U400" i="3"/>
  <c r="V400" i="3"/>
  <c r="W400" i="3"/>
  <c r="X400" i="3"/>
  <c r="Y400" i="3"/>
  <c r="Z400" i="3"/>
  <c r="AA400" i="3"/>
  <c r="AB400" i="3"/>
  <c r="AC400" i="3"/>
  <c r="AD400" i="3"/>
  <c r="AE400" i="3"/>
  <c r="AF400" i="3"/>
  <c r="AG400" i="3"/>
  <c r="AH400" i="3"/>
  <c r="AI400" i="3"/>
  <c r="AJ400" i="3"/>
  <c r="AK400" i="3"/>
  <c r="AL400" i="3"/>
  <c r="AM400" i="3"/>
  <c r="U401" i="3"/>
  <c r="V401" i="3"/>
  <c r="W401" i="3"/>
  <c r="X401" i="3"/>
  <c r="Y401" i="3"/>
  <c r="Z401" i="3"/>
  <c r="AA401" i="3"/>
  <c r="AB401" i="3"/>
  <c r="AC401" i="3"/>
  <c r="AD401" i="3"/>
  <c r="AE401" i="3"/>
  <c r="AF401" i="3"/>
  <c r="AG401" i="3"/>
  <c r="AH401" i="3"/>
  <c r="AI401" i="3"/>
  <c r="AJ401" i="3"/>
  <c r="AK401" i="3"/>
  <c r="AL401" i="3"/>
  <c r="AM401" i="3"/>
  <c r="U402" i="3"/>
  <c r="V402" i="3"/>
  <c r="W402" i="3"/>
  <c r="X402" i="3"/>
  <c r="Y402" i="3"/>
  <c r="Z402" i="3"/>
  <c r="AA402" i="3"/>
  <c r="AB402" i="3"/>
  <c r="AC402" i="3"/>
  <c r="AD402" i="3"/>
  <c r="AE402" i="3"/>
  <c r="AF402" i="3"/>
  <c r="AG402" i="3"/>
  <c r="AH402" i="3"/>
  <c r="AI402" i="3"/>
  <c r="AJ402" i="3"/>
  <c r="AK402" i="3"/>
  <c r="AL402" i="3"/>
  <c r="U403" i="3"/>
  <c r="V403" i="3"/>
  <c r="W403" i="3"/>
  <c r="X403" i="3"/>
  <c r="Y403" i="3"/>
  <c r="Z403" i="3"/>
  <c r="AA403" i="3"/>
  <c r="AB403" i="3"/>
  <c r="AC403" i="3"/>
  <c r="AD403" i="3"/>
  <c r="AE403" i="3"/>
  <c r="AF403" i="3"/>
  <c r="AG403" i="3"/>
  <c r="AH403" i="3"/>
  <c r="AI403" i="3"/>
  <c r="AJ403" i="3"/>
  <c r="AK403" i="3"/>
  <c r="AL403" i="3"/>
  <c r="U404" i="3"/>
  <c r="V404" i="3"/>
  <c r="W404" i="3"/>
  <c r="X404" i="3"/>
  <c r="Y404" i="3"/>
  <c r="Z404" i="3"/>
  <c r="AA404" i="3"/>
  <c r="AB404" i="3"/>
  <c r="AC404" i="3"/>
  <c r="AD404" i="3"/>
  <c r="AE404" i="3"/>
  <c r="AF404" i="3"/>
  <c r="AG404" i="3"/>
  <c r="AH404" i="3"/>
  <c r="AI404" i="3"/>
  <c r="AJ404" i="3"/>
  <c r="AK404" i="3"/>
  <c r="AL404" i="3"/>
  <c r="U405" i="3"/>
  <c r="V405" i="3"/>
  <c r="W405" i="3"/>
  <c r="X405" i="3"/>
  <c r="Y405" i="3"/>
  <c r="Z405" i="3"/>
  <c r="AA405" i="3"/>
  <c r="AB405" i="3"/>
  <c r="AC405" i="3"/>
  <c r="AD405" i="3"/>
  <c r="AE405" i="3"/>
  <c r="AF405" i="3"/>
  <c r="AG405" i="3"/>
  <c r="AH405" i="3"/>
  <c r="AI405" i="3"/>
  <c r="AJ405" i="3"/>
  <c r="AK405" i="3"/>
  <c r="AL405" i="3"/>
  <c r="U406" i="3"/>
  <c r="V406" i="3"/>
  <c r="W406" i="3"/>
  <c r="X406" i="3"/>
  <c r="Y406" i="3"/>
  <c r="Z406" i="3"/>
  <c r="AA406" i="3"/>
  <c r="AB406" i="3"/>
  <c r="AC406" i="3"/>
  <c r="AD406" i="3"/>
  <c r="AE406" i="3"/>
  <c r="AF406" i="3"/>
  <c r="AG406" i="3"/>
  <c r="AH406" i="3"/>
  <c r="AI406" i="3"/>
  <c r="AJ406" i="3"/>
  <c r="AK406" i="3"/>
  <c r="AL406" i="3"/>
  <c r="U369" i="3"/>
  <c r="V369" i="3"/>
  <c r="W369" i="3"/>
  <c r="X369" i="3"/>
  <c r="Y369" i="3"/>
  <c r="Z369" i="3"/>
  <c r="AA369" i="3"/>
  <c r="AB369" i="3"/>
  <c r="AC369" i="3"/>
  <c r="AD369" i="3"/>
  <c r="AE369" i="3"/>
  <c r="AF369" i="3"/>
  <c r="AG369" i="3"/>
  <c r="AH369" i="3"/>
  <c r="AI369" i="3"/>
  <c r="AJ369" i="3"/>
  <c r="AK369" i="3"/>
  <c r="AL369" i="3"/>
  <c r="AM369" i="3"/>
  <c r="U371" i="3"/>
  <c r="V371" i="3"/>
  <c r="W371" i="3"/>
  <c r="X371" i="3"/>
  <c r="Y371" i="3"/>
  <c r="Z371" i="3"/>
  <c r="AA371" i="3"/>
  <c r="AB371" i="3"/>
  <c r="AC371" i="3"/>
  <c r="AD371" i="3"/>
  <c r="AE371" i="3"/>
  <c r="AF371" i="3"/>
  <c r="AG371" i="3"/>
  <c r="AH371" i="3"/>
  <c r="AI371" i="3"/>
  <c r="AJ371" i="3"/>
  <c r="AK371" i="3"/>
  <c r="AL371" i="3"/>
  <c r="AM371" i="3"/>
  <c r="U372" i="3"/>
  <c r="V372" i="3"/>
  <c r="W372" i="3"/>
  <c r="X372" i="3"/>
  <c r="Y372" i="3"/>
  <c r="Z372" i="3"/>
  <c r="AA372" i="3"/>
  <c r="AB372" i="3"/>
  <c r="AC372" i="3"/>
  <c r="AD372" i="3"/>
  <c r="AE372" i="3"/>
  <c r="AF372" i="3"/>
  <c r="AG372" i="3"/>
  <c r="AH372" i="3"/>
  <c r="AI372" i="3"/>
  <c r="AJ372" i="3"/>
  <c r="AK372" i="3"/>
  <c r="AL372" i="3"/>
  <c r="AM372" i="3"/>
  <c r="U373" i="3"/>
  <c r="V373" i="3"/>
  <c r="W373" i="3"/>
  <c r="X373" i="3"/>
  <c r="Y373" i="3"/>
  <c r="Z373" i="3"/>
  <c r="AA373" i="3"/>
  <c r="AB373" i="3"/>
  <c r="AC373" i="3"/>
  <c r="AD373" i="3"/>
  <c r="AE373" i="3"/>
  <c r="AF373" i="3"/>
  <c r="AG373" i="3"/>
  <c r="AH373" i="3"/>
  <c r="AI373" i="3"/>
  <c r="AJ373" i="3"/>
  <c r="AK373" i="3"/>
  <c r="AL373" i="3"/>
  <c r="AM373" i="3"/>
  <c r="U374" i="3"/>
  <c r="V374" i="3"/>
  <c r="W374" i="3"/>
  <c r="X374" i="3"/>
  <c r="Y374" i="3"/>
  <c r="Z374" i="3"/>
  <c r="AA374" i="3"/>
  <c r="AB374" i="3"/>
  <c r="AC374" i="3"/>
  <c r="AD374" i="3"/>
  <c r="AE374" i="3"/>
  <c r="AF374" i="3"/>
  <c r="AG374" i="3"/>
  <c r="AH374" i="3"/>
  <c r="AI374" i="3"/>
  <c r="AJ374" i="3"/>
  <c r="AK374" i="3"/>
  <c r="AL374" i="3"/>
  <c r="AM374" i="3"/>
  <c r="U375" i="3"/>
  <c r="V375" i="3"/>
  <c r="W375" i="3"/>
  <c r="X375" i="3"/>
  <c r="Y375" i="3"/>
  <c r="Z375" i="3"/>
  <c r="AA375" i="3"/>
  <c r="AB375" i="3"/>
  <c r="AC375" i="3"/>
  <c r="AD375" i="3"/>
  <c r="AE375" i="3"/>
  <c r="AF375" i="3"/>
  <c r="AG375" i="3"/>
  <c r="AH375" i="3"/>
  <c r="AI375" i="3"/>
  <c r="AJ375" i="3"/>
  <c r="AK375" i="3"/>
  <c r="AL375" i="3"/>
  <c r="AM375" i="3"/>
  <c r="U376" i="3"/>
  <c r="V376" i="3"/>
  <c r="W376" i="3"/>
  <c r="X376" i="3"/>
  <c r="Y376" i="3"/>
  <c r="Z376" i="3"/>
  <c r="AA376" i="3"/>
  <c r="AB376" i="3"/>
  <c r="AC376" i="3"/>
  <c r="AD376" i="3"/>
  <c r="AE376" i="3"/>
  <c r="AF376" i="3"/>
  <c r="AG376" i="3"/>
  <c r="AH376" i="3"/>
  <c r="AI376" i="3"/>
  <c r="AJ376" i="3"/>
  <c r="AK376" i="3"/>
  <c r="AL376" i="3"/>
  <c r="AM376" i="3"/>
  <c r="U377" i="3"/>
  <c r="V377" i="3"/>
  <c r="W377" i="3"/>
  <c r="X377" i="3"/>
  <c r="Y377" i="3"/>
  <c r="Z377" i="3"/>
  <c r="AA377" i="3"/>
  <c r="AB377" i="3"/>
  <c r="AC377" i="3"/>
  <c r="AD377" i="3"/>
  <c r="AE377" i="3"/>
  <c r="AF377" i="3"/>
  <c r="AG377" i="3"/>
  <c r="AH377" i="3"/>
  <c r="AI377" i="3"/>
  <c r="AJ377" i="3"/>
  <c r="AK377" i="3"/>
  <c r="AL377" i="3"/>
  <c r="AM377" i="3"/>
  <c r="U378" i="3"/>
  <c r="V378" i="3"/>
  <c r="W378" i="3"/>
  <c r="X378" i="3"/>
  <c r="Y378" i="3"/>
  <c r="Z378" i="3"/>
  <c r="AA378" i="3"/>
  <c r="AB378" i="3"/>
  <c r="AC378" i="3"/>
  <c r="AD378" i="3"/>
  <c r="AE378" i="3"/>
  <c r="AF378" i="3"/>
  <c r="AG378" i="3"/>
  <c r="AH378" i="3"/>
  <c r="AI378" i="3"/>
  <c r="AJ378" i="3"/>
  <c r="AK378" i="3"/>
  <c r="AL378" i="3"/>
  <c r="AM378" i="3"/>
  <c r="U379" i="3"/>
  <c r="V379" i="3"/>
  <c r="W379" i="3"/>
  <c r="X379" i="3"/>
  <c r="Y379" i="3"/>
  <c r="Z379" i="3"/>
  <c r="AA379" i="3"/>
  <c r="AB379" i="3"/>
  <c r="AC379" i="3"/>
  <c r="AD379" i="3"/>
  <c r="AE379" i="3"/>
  <c r="AF379" i="3"/>
  <c r="AG379" i="3"/>
  <c r="AH379" i="3"/>
  <c r="AI379" i="3"/>
  <c r="AJ379" i="3"/>
  <c r="AK379" i="3"/>
  <c r="AL379" i="3"/>
  <c r="AM379" i="3"/>
  <c r="U380" i="3"/>
  <c r="V380" i="3"/>
  <c r="W380" i="3"/>
  <c r="X380" i="3"/>
  <c r="Y380" i="3"/>
  <c r="Z380" i="3"/>
  <c r="AA380" i="3"/>
  <c r="AB380" i="3"/>
  <c r="AC380" i="3"/>
  <c r="AD380" i="3"/>
  <c r="AE380" i="3"/>
  <c r="AF380" i="3"/>
  <c r="AG380" i="3"/>
  <c r="AH380" i="3"/>
  <c r="AI380" i="3"/>
  <c r="AJ380" i="3"/>
  <c r="AK380" i="3"/>
  <c r="AL380" i="3"/>
  <c r="AM380" i="3"/>
  <c r="U381" i="3"/>
  <c r="V381" i="3"/>
  <c r="W381" i="3"/>
  <c r="X381" i="3"/>
  <c r="Y381" i="3"/>
  <c r="Z381" i="3"/>
  <c r="AA381" i="3"/>
  <c r="AB381" i="3"/>
  <c r="AC381" i="3"/>
  <c r="AD381" i="3"/>
  <c r="AE381" i="3"/>
  <c r="AF381" i="3"/>
  <c r="AG381" i="3"/>
  <c r="AH381" i="3"/>
  <c r="AI381" i="3"/>
  <c r="AJ381" i="3"/>
  <c r="AK381" i="3"/>
  <c r="AL381" i="3"/>
  <c r="AM381" i="3"/>
  <c r="U382" i="3"/>
  <c r="V382" i="3"/>
  <c r="W382" i="3"/>
  <c r="X382" i="3"/>
  <c r="Y382" i="3"/>
  <c r="Z382" i="3"/>
  <c r="AA382" i="3"/>
  <c r="AB382" i="3"/>
  <c r="AC382" i="3"/>
  <c r="AD382" i="3"/>
  <c r="AE382" i="3"/>
  <c r="AF382" i="3"/>
  <c r="AG382" i="3"/>
  <c r="AH382" i="3"/>
  <c r="AI382" i="3"/>
  <c r="AJ382" i="3"/>
  <c r="AK382" i="3"/>
  <c r="AL382" i="3"/>
  <c r="AM382" i="3"/>
  <c r="U383" i="3"/>
  <c r="V383" i="3"/>
  <c r="W383" i="3"/>
  <c r="X383" i="3"/>
  <c r="Y383" i="3"/>
  <c r="Z383" i="3"/>
  <c r="AA383" i="3"/>
  <c r="AB383" i="3"/>
  <c r="AC383" i="3"/>
  <c r="AD383" i="3"/>
  <c r="AE383" i="3"/>
  <c r="AF383" i="3"/>
  <c r="AG383" i="3"/>
  <c r="AH383" i="3"/>
  <c r="AI383" i="3"/>
  <c r="AJ383" i="3"/>
  <c r="AK383" i="3"/>
  <c r="AL383" i="3"/>
  <c r="AM383" i="3"/>
  <c r="U384" i="3"/>
  <c r="V384" i="3"/>
  <c r="W384" i="3"/>
  <c r="X384" i="3"/>
  <c r="Y384" i="3"/>
  <c r="Z384" i="3"/>
  <c r="AA384" i="3"/>
  <c r="AB384" i="3"/>
  <c r="AC384" i="3"/>
  <c r="AD384" i="3"/>
  <c r="AE384" i="3"/>
  <c r="AF384" i="3"/>
  <c r="AG384" i="3"/>
  <c r="AH384" i="3"/>
  <c r="AI384" i="3"/>
  <c r="AJ384" i="3"/>
  <c r="AK384" i="3"/>
  <c r="AL384" i="3"/>
  <c r="AM384" i="3"/>
  <c r="U385" i="3"/>
  <c r="V385" i="3"/>
  <c r="W385" i="3"/>
  <c r="X385" i="3"/>
  <c r="Y385" i="3"/>
  <c r="Z385" i="3"/>
  <c r="AA385" i="3"/>
  <c r="AB385" i="3"/>
  <c r="AC385" i="3"/>
  <c r="AD385" i="3"/>
  <c r="AE385" i="3"/>
  <c r="AF385" i="3"/>
  <c r="AG385" i="3"/>
  <c r="AH385" i="3"/>
  <c r="AI385" i="3"/>
  <c r="AJ385" i="3"/>
  <c r="AK385" i="3"/>
  <c r="AL385" i="3"/>
  <c r="AM385" i="3"/>
  <c r="U386" i="3"/>
  <c r="V386" i="3"/>
  <c r="W386" i="3"/>
  <c r="X386" i="3"/>
  <c r="Y386" i="3"/>
  <c r="Z386" i="3"/>
  <c r="AA386" i="3"/>
  <c r="AB386" i="3"/>
  <c r="AC386" i="3"/>
  <c r="AD386" i="3"/>
  <c r="AE386" i="3"/>
  <c r="AF386" i="3"/>
  <c r="AG386" i="3"/>
  <c r="AH386" i="3"/>
  <c r="AI386" i="3"/>
  <c r="AJ386" i="3"/>
  <c r="AK386" i="3"/>
  <c r="AL386" i="3"/>
  <c r="AM386" i="3"/>
  <c r="U387" i="3"/>
  <c r="V387" i="3"/>
  <c r="W387" i="3"/>
  <c r="X387" i="3"/>
  <c r="Y387" i="3"/>
  <c r="Z387" i="3"/>
  <c r="AA387" i="3"/>
  <c r="AB387" i="3"/>
  <c r="AC387" i="3"/>
  <c r="AD387" i="3"/>
  <c r="AE387" i="3"/>
  <c r="AF387" i="3"/>
  <c r="AG387" i="3"/>
  <c r="AH387" i="3"/>
  <c r="AI387" i="3"/>
  <c r="AJ387" i="3"/>
  <c r="AK387" i="3"/>
  <c r="AL387" i="3"/>
  <c r="AM387" i="3"/>
  <c r="U388" i="3"/>
  <c r="V388" i="3"/>
  <c r="W388" i="3"/>
  <c r="X388" i="3"/>
  <c r="Y388" i="3"/>
  <c r="Z388" i="3"/>
  <c r="AA388" i="3"/>
  <c r="AB388" i="3"/>
  <c r="AC388" i="3"/>
  <c r="AD388" i="3"/>
  <c r="AE388" i="3"/>
  <c r="AF388" i="3"/>
  <c r="AG388" i="3"/>
  <c r="AH388" i="3"/>
  <c r="AI388" i="3"/>
  <c r="AJ388" i="3"/>
  <c r="AK388" i="3"/>
  <c r="AL388" i="3"/>
  <c r="AM388" i="3"/>
  <c r="U389" i="3"/>
  <c r="V389" i="3"/>
  <c r="W389" i="3"/>
  <c r="X389" i="3"/>
  <c r="Y389" i="3"/>
  <c r="Z389" i="3"/>
  <c r="AA389" i="3"/>
  <c r="AB389" i="3"/>
  <c r="AC389" i="3"/>
  <c r="AD389" i="3"/>
  <c r="AE389" i="3"/>
  <c r="AF389" i="3"/>
  <c r="AG389" i="3"/>
  <c r="AH389" i="3"/>
  <c r="AI389" i="3"/>
  <c r="AJ389" i="3"/>
  <c r="AK389" i="3"/>
  <c r="AL389" i="3"/>
  <c r="AM389" i="3"/>
  <c r="U390" i="3"/>
  <c r="V390" i="3"/>
  <c r="W390" i="3"/>
  <c r="X390" i="3"/>
  <c r="Y390" i="3"/>
  <c r="Z390" i="3"/>
  <c r="AA390" i="3"/>
  <c r="AB390" i="3"/>
  <c r="AC390" i="3"/>
  <c r="AD390" i="3"/>
  <c r="AE390" i="3"/>
  <c r="AF390" i="3"/>
  <c r="AG390" i="3"/>
  <c r="AH390" i="3"/>
  <c r="AI390" i="3"/>
  <c r="AJ390" i="3"/>
  <c r="AK390" i="3"/>
  <c r="AL390" i="3"/>
  <c r="AM390" i="3"/>
  <c r="U391" i="3"/>
  <c r="V391" i="3"/>
  <c r="W391" i="3"/>
  <c r="X391" i="3"/>
  <c r="Y391" i="3"/>
  <c r="Z391" i="3"/>
  <c r="AA391" i="3"/>
  <c r="AB391" i="3"/>
  <c r="AC391" i="3"/>
  <c r="AD391" i="3"/>
  <c r="AE391" i="3"/>
  <c r="AF391" i="3"/>
  <c r="AG391" i="3"/>
  <c r="AH391" i="3"/>
  <c r="AI391" i="3"/>
  <c r="AJ391" i="3"/>
  <c r="AK391" i="3"/>
  <c r="AL391" i="3"/>
  <c r="AM391" i="3"/>
  <c r="U347" i="3"/>
  <c r="V347" i="3"/>
  <c r="W347" i="3"/>
  <c r="X347" i="3"/>
  <c r="Y347" i="3"/>
  <c r="Z347" i="3"/>
  <c r="AA347" i="3"/>
  <c r="AB347" i="3"/>
  <c r="AC347" i="3"/>
  <c r="AD347" i="3"/>
  <c r="AE347" i="3"/>
  <c r="AF347" i="3"/>
  <c r="AG347" i="3"/>
  <c r="AH347" i="3"/>
  <c r="AI347" i="3"/>
  <c r="AJ347" i="3"/>
  <c r="AK347" i="3"/>
  <c r="AL347" i="3"/>
  <c r="AM347" i="3"/>
  <c r="U348" i="3"/>
  <c r="V348" i="3"/>
  <c r="W348" i="3"/>
  <c r="X348" i="3"/>
  <c r="Y348" i="3"/>
  <c r="Z348" i="3"/>
  <c r="AA348" i="3"/>
  <c r="AB348" i="3"/>
  <c r="AC348" i="3"/>
  <c r="AD348" i="3"/>
  <c r="AE348" i="3"/>
  <c r="AF348" i="3"/>
  <c r="AG348" i="3"/>
  <c r="AH348" i="3"/>
  <c r="AI348" i="3"/>
  <c r="AJ348" i="3"/>
  <c r="AK348" i="3"/>
  <c r="AL348" i="3"/>
  <c r="AM348" i="3"/>
  <c r="U349" i="3"/>
  <c r="V349" i="3"/>
  <c r="W349" i="3"/>
  <c r="X349" i="3"/>
  <c r="Y349" i="3"/>
  <c r="Z349" i="3"/>
  <c r="AA349" i="3"/>
  <c r="AB349" i="3"/>
  <c r="AC349" i="3"/>
  <c r="AD349" i="3"/>
  <c r="AE349" i="3"/>
  <c r="AF349" i="3"/>
  <c r="AG349" i="3"/>
  <c r="AH349" i="3"/>
  <c r="AI349" i="3"/>
  <c r="AJ349" i="3"/>
  <c r="AK349" i="3"/>
  <c r="AL349" i="3"/>
  <c r="AM349" i="3"/>
  <c r="U350" i="3"/>
  <c r="V350" i="3"/>
  <c r="W350" i="3"/>
  <c r="X350" i="3"/>
  <c r="Y350" i="3"/>
  <c r="Z350" i="3"/>
  <c r="AA350" i="3"/>
  <c r="AB350" i="3"/>
  <c r="AC350" i="3"/>
  <c r="AD350" i="3"/>
  <c r="AE350" i="3"/>
  <c r="AF350" i="3"/>
  <c r="AG350" i="3"/>
  <c r="AH350" i="3"/>
  <c r="AI350" i="3"/>
  <c r="AJ350" i="3"/>
  <c r="AK350" i="3"/>
  <c r="AL350" i="3"/>
  <c r="AM350" i="3"/>
  <c r="U351" i="3"/>
  <c r="V351" i="3"/>
  <c r="W351" i="3"/>
  <c r="X351" i="3"/>
  <c r="Y351" i="3"/>
  <c r="Z351" i="3"/>
  <c r="AA351" i="3"/>
  <c r="AB351" i="3"/>
  <c r="AC351" i="3"/>
  <c r="AD351" i="3"/>
  <c r="AE351" i="3"/>
  <c r="AF351" i="3"/>
  <c r="AG351" i="3"/>
  <c r="AH351" i="3"/>
  <c r="AI351" i="3"/>
  <c r="AJ351" i="3"/>
  <c r="AK351" i="3"/>
  <c r="AL351" i="3"/>
  <c r="AM351" i="3"/>
  <c r="U352" i="3"/>
  <c r="V352" i="3"/>
  <c r="W352" i="3"/>
  <c r="X352" i="3"/>
  <c r="Y352" i="3"/>
  <c r="Z352" i="3"/>
  <c r="AA352" i="3"/>
  <c r="AB352" i="3"/>
  <c r="AC352" i="3"/>
  <c r="AD352" i="3"/>
  <c r="AE352" i="3"/>
  <c r="AF352" i="3"/>
  <c r="AG352" i="3"/>
  <c r="AH352" i="3"/>
  <c r="AI352" i="3"/>
  <c r="AJ352" i="3"/>
  <c r="AK352" i="3"/>
  <c r="AL352" i="3"/>
  <c r="AM352" i="3"/>
  <c r="U353" i="3"/>
  <c r="V353" i="3"/>
  <c r="W353" i="3"/>
  <c r="X353" i="3"/>
  <c r="Y353" i="3"/>
  <c r="Z353" i="3"/>
  <c r="AA353" i="3"/>
  <c r="AB353" i="3"/>
  <c r="AC353" i="3"/>
  <c r="AD353" i="3"/>
  <c r="AE353" i="3"/>
  <c r="AF353" i="3"/>
  <c r="AG353" i="3"/>
  <c r="AH353" i="3"/>
  <c r="AI353" i="3"/>
  <c r="AJ353" i="3"/>
  <c r="AK353" i="3"/>
  <c r="AL353" i="3"/>
  <c r="AM353" i="3"/>
  <c r="U355" i="3"/>
  <c r="V355" i="3"/>
  <c r="W355" i="3"/>
  <c r="X355" i="3"/>
  <c r="Y355" i="3"/>
  <c r="Z355" i="3"/>
  <c r="AA355" i="3"/>
  <c r="AB355" i="3"/>
  <c r="AC355" i="3"/>
  <c r="AD355" i="3"/>
  <c r="AE355" i="3"/>
  <c r="AF355" i="3"/>
  <c r="AG355" i="3"/>
  <c r="AH355" i="3"/>
  <c r="AI355" i="3"/>
  <c r="AJ355" i="3"/>
  <c r="AK355" i="3"/>
  <c r="AL355" i="3"/>
  <c r="AM355" i="3"/>
  <c r="U356" i="3"/>
  <c r="V356" i="3"/>
  <c r="W356" i="3"/>
  <c r="X356" i="3"/>
  <c r="Y356" i="3"/>
  <c r="Z356" i="3"/>
  <c r="AA356" i="3"/>
  <c r="AB356" i="3"/>
  <c r="AC356" i="3"/>
  <c r="AD356" i="3"/>
  <c r="AE356" i="3"/>
  <c r="AF356" i="3"/>
  <c r="AG356" i="3"/>
  <c r="AH356" i="3"/>
  <c r="AI356" i="3"/>
  <c r="AJ356" i="3"/>
  <c r="AK356" i="3"/>
  <c r="AL356" i="3"/>
  <c r="AM356" i="3"/>
  <c r="U357" i="3"/>
  <c r="V357" i="3"/>
  <c r="W357" i="3"/>
  <c r="X357" i="3"/>
  <c r="Y357" i="3"/>
  <c r="Z357" i="3"/>
  <c r="AA357" i="3"/>
  <c r="AB357" i="3"/>
  <c r="AC357" i="3"/>
  <c r="AD357" i="3"/>
  <c r="AE357" i="3"/>
  <c r="AF357" i="3"/>
  <c r="AG357" i="3"/>
  <c r="AH357" i="3"/>
  <c r="AI357" i="3"/>
  <c r="AJ357" i="3"/>
  <c r="AK357" i="3"/>
  <c r="AL357" i="3"/>
  <c r="AM357" i="3"/>
  <c r="U358" i="3"/>
  <c r="V358" i="3"/>
  <c r="W358" i="3"/>
  <c r="X358" i="3"/>
  <c r="Y358" i="3"/>
  <c r="Z358" i="3"/>
  <c r="AA358" i="3"/>
  <c r="AB358" i="3"/>
  <c r="AC358" i="3"/>
  <c r="AD358" i="3"/>
  <c r="AE358" i="3"/>
  <c r="AF358" i="3"/>
  <c r="AG358" i="3"/>
  <c r="AH358" i="3"/>
  <c r="AI358" i="3"/>
  <c r="AJ358" i="3"/>
  <c r="AK358" i="3"/>
  <c r="AL358" i="3"/>
  <c r="AM358" i="3"/>
  <c r="U359" i="3"/>
  <c r="V359" i="3"/>
  <c r="W359" i="3"/>
  <c r="X359" i="3"/>
  <c r="Y359" i="3"/>
  <c r="Z359" i="3"/>
  <c r="AA359" i="3"/>
  <c r="AB359" i="3"/>
  <c r="AC359" i="3"/>
  <c r="AD359" i="3"/>
  <c r="AE359" i="3"/>
  <c r="AF359" i="3"/>
  <c r="AG359" i="3"/>
  <c r="AH359" i="3"/>
  <c r="AI359" i="3"/>
  <c r="AJ359" i="3"/>
  <c r="AK359" i="3"/>
  <c r="AL359" i="3"/>
  <c r="AM359" i="3"/>
  <c r="U360" i="3"/>
  <c r="V360" i="3"/>
  <c r="W360" i="3"/>
  <c r="X360" i="3"/>
  <c r="Y360" i="3"/>
  <c r="Z360" i="3"/>
  <c r="AA360" i="3"/>
  <c r="AB360" i="3"/>
  <c r="AC360" i="3"/>
  <c r="AD360" i="3"/>
  <c r="AE360" i="3"/>
  <c r="AF360" i="3"/>
  <c r="AG360" i="3"/>
  <c r="AH360" i="3"/>
  <c r="AI360" i="3"/>
  <c r="AJ360" i="3"/>
  <c r="AK360" i="3"/>
  <c r="AL360" i="3"/>
  <c r="AM360" i="3"/>
  <c r="U361" i="3"/>
  <c r="V361" i="3"/>
  <c r="W361" i="3"/>
  <c r="X361" i="3"/>
  <c r="Y361" i="3"/>
  <c r="Z361" i="3"/>
  <c r="AA361" i="3"/>
  <c r="AB361" i="3"/>
  <c r="AC361" i="3"/>
  <c r="AD361" i="3"/>
  <c r="AE361" i="3"/>
  <c r="AF361" i="3"/>
  <c r="AG361" i="3"/>
  <c r="AH361" i="3"/>
  <c r="AI361" i="3"/>
  <c r="AJ361" i="3"/>
  <c r="AK361" i="3"/>
  <c r="AL361" i="3"/>
  <c r="AM361" i="3"/>
  <c r="U362" i="3"/>
  <c r="V362" i="3"/>
  <c r="W362" i="3"/>
  <c r="X362" i="3"/>
  <c r="Y362" i="3"/>
  <c r="Z362" i="3"/>
  <c r="AA362" i="3"/>
  <c r="AB362" i="3"/>
  <c r="AC362" i="3"/>
  <c r="AD362" i="3"/>
  <c r="AE362" i="3"/>
  <c r="AF362" i="3"/>
  <c r="AG362" i="3"/>
  <c r="AH362" i="3"/>
  <c r="AI362" i="3"/>
  <c r="AJ362" i="3"/>
  <c r="AK362" i="3"/>
  <c r="AL362" i="3"/>
  <c r="AM362" i="3"/>
  <c r="U363" i="3"/>
  <c r="V363" i="3"/>
  <c r="W363" i="3"/>
  <c r="X363" i="3"/>
  <c r="Y363" i="3"/>
  <c r="Z363" i="3"/>
  <c r="AA363" i="3"/>
  <c r="AB363" i="3"/>
  <c r="AC363" i="3"/>
  <c r="AD363" i="3"/>
  <c r="AE363" i="3"/>
  <c r="AF363" i="3"/>
  <c r="AG363" i="3"/>
  <c r="AH363" i="3"/>
  <c r="AI363" i="3"/>
  <c r="AJ363" i="3"/>
  <c r="AK363" i="3"/>
  <c r="AL363" i="3"/>
  <c r="AM363" i="3"/>
  <c r="U364" i="3"/>
  <c r="V364" i="3"/>
  <c r="W364" i="3"/>
  <c r="X364" i="3"/>
  <c r="Y364" i="3"/>
  <c r="Z364" i="3"/>
  <c r="AA364" i="3"/>
  <c r="AB364" i="3"/>
  <c r="AC364" i="3"/>
  <c r="AD364" i="3"/>
  <c r="AE364" i="3"/>
  <c r="AF364" i="3"/>
  <c r="AG364" i="3"/>
  <c r="AH364" i="3"/>
  <c r="AI364" i="3"/>
  <c r="AJ364" i="3"/>
  <c r="AK364" i="3"/>
  <c r="AL364" i="3"/>
  <c r="AM364" i="3"/>
  <c r="U365" i="3"/>
  <c r="V365" i="3"/>
  <c r="W365" i="3"/>
  <c r="X365" i="3"/>
  <c r="Y365" i="3"/>
  <c r="Z365" i="3"/>
  <c r="AA365" i="3"/>
  <c r="AB365" i="3"/>
  <c r="AC365" i="3"/>
  <c r="AD365" i="3"/>
  <c r="AE365" i="3"/>
  <c r="AF365" i="3"/>
  <c r="AG365" i="3"/>
  <c r="AH365" i="3"/>
  <c r="AI365" i="3"/>
  <c r="AJ365" i="3"/>
  <c r="AK365" i="3"/>
  <c r="AL365" i="3"/>
  <c r="AM365" i="3"/>
  <c r="U366" i="3"/>
  <c r="V366" i="3"/>
  <c r="W366" i="3"/>
  <c r="X366" i="3"/>
  <c r="Y366" i="3"/>
  <c r="Z366" i="3"/>
  <c r="AA366" i="3"/>
  <c r="AB366" i="3"/>
  <c r="AC366" i="3"/>
  <c r="AD366" i="3"/>
  <c r="AE366" i="3"/>
  <c r="AF366" i="3"/>
  <c r="AG366" i="3"/>
  <c r="AH366" i="3"/>
  <c r="AI366" i="3"/>
  <c r="AJ366" i="3"/>
  <c r="AK366" i="3"/>
  <c r="AL366" i="3"/>
  <c r="AM366" i="3"/>
  <c r="U367" i="3"/>
  <c r="V367" i="3"/>
  <c r="W367" i="3"/>
  <c r="X367" i="3"/>
  <c r="Y367" i="3"/>
  <c r="Z367" i="3"/>
  <c r="AA367" i="3"/>
  <c r="AB367" i="3"/>
  <c r="AC367" i="3"/>
  <c r="AD367" i="3"/>
  <c r="AE367" i="3"/>
  <c r="AF367" i="3"/>
  <c r="AG367" i="3"/>
  <c r="AH367" i="3"/>
  <c r="AI367" i="3"/>
  <c r="AJ367" i="3"/>
  <c r="AK367" i="3"/>
  <c r="AL367" i="3"/>
  <c r="AM367" i="3"/>
  <c r="U368" i="3"/>
  <c r="V368" i="3"/>
  <c r="W368" i="3"/>
  <c r="X368" i="3"/>
  <c r="Y368" i="3"/>
  <c r="Z368" i="3"/>
  <c r="AA368" i="3"/>
  <c r="AB368" i="3"/>
  <c r="AC368" i="3"/>
  <c r="AD368" i="3"/>
  <c r="AE368" i="3"/>
  <c r="AF368" i="3"/>
  <c r="AG368" i="3"/>
  <c r="AH368" i="3"/>
  <c r="AI368" i="3"/>
  <c r="AJ368" i="3"/>
  <c r="AK368" i="3"/>
  <c r="AL368" i="3"/>
  <c r="AM368" i="3"/>
  <c r="AM87" i="30"/>
  <c r="AN87" i="30"/>
  <c r="AM112" i="30"/>
  <c r="AO112" i="30" s="1"/>
  <c r="AN112" i="30"/>
  <c r="AM113" i="30"/>
  <c r="AO113" i="30" s="1"/>
  <c r="AN113" i="30"/>
  <c r="AM114" i="30"/>
  <c r="AN114" i="30"/>
  <c r="AM115" i="30"/>
  <c r="AO115" i="30" s="1"/>
  <c r="AN115" i="30"/>
  <c r="AM116" i="30"/>
  <c r="AO116" i="30" s="1"/>
  <c r="AN116" i="30"/>
  <c r="AM117" i="30"/>
  <c r="AO117" i="30" s="1"/>
  <c r="AN117" i="30"/>
  <c r="AM118" i="30"/>
  <c r="AO118" i="30" s="1"/>
  <c r="AN118" i="30"/>
  <c r="AM119" i="30"/>
  <c r="AO119" i="30" s="1"/>
  <c r="AN119" i="30"/>
  <c r="AM120" i="30"/>
  <c r="AO120" i="30" s="1"/>
  <c r="AN120" i="30"/>
  <c r="AM121" i="30"/>
  <c r="AO121" i="30" s="1"/>
  <c r="AN121" i="30"/>
  <c r="AM122" i="30"/>
  <c r="AO122" i="30" s="1"/>
  <c r="AN122" i="30"/>
  <c r="AM123" i="30"/>
  <c r="AN123" i="30"/>
  <c r="AM124" i="30"/>
  <c r="AO124" i="30" s="1"/>
  <c r="AN124" i="30"/>
  <c r="AM125" i="30"/>
  <c r="AO125" i="30" s="1"/>
  <c r="AN125" i="30"/>
  <c r="AM126" i="30"/>
  <c r="AO126" i="30" s="1"/>
  <c r="AN126" i="30"/>
  <c r="AM127" i="30"/>
  <c r="AO127" i="30" s="1"/>
  <c r="AN127" i="30"/>
  <c r="AM128" i="30"/>
  <c r="AN128" i="30"/>
  <c r="AM129" i="30"/>
  <c r="AO129" i="30" s="1"/>
  <c r="AN129" i="30"/>
  <c r="AM130" i="30"/>
  <c r="AO130" i="30" s="1"/>
  <c r="AN130" i="30"/>
  <c r="AM131" i="30"/>
  <c r="AO131" i="30" s="1"/>
  <c r="AN131" i="30"/>
  <c r="AM132" i="30"/>
  <c r="AN132" i="30"/>
  <c r="AM133" i="30"/>
  <c r="AO133" i="30" s="1"/>
  <c r="AN133" i="30"/>
  <c r="AM135" i="30"/>
  <c r="AO135" i="30" s="1"/>
  <c r="AN135" i="30"/>
  <c r="AM136" i="30"/>
  <c r="AO136" i="30" s="1"/>
  <c r="AN136" i="30"/>
  <c r="AM137" i="30"/>
  <c r="AO137" i="30" s="1"/>
  <c r="AN137" i="30"/>
  <c r="AM138" i="30"/>
  <c r="AO138" i="30" s="1"/>
  <c r="AN138" i="30"/>
  <c r="AM139" i="30"/>
  <c r="AO139" i="30" s="1"/>
  <c r="AN139" i="30"/>
  <c r="AM140" i="30"/>
  <c r="AO140" i="30" s="1"/>
  <c r="AN140" i="30"/>
  <c r="AM141" i="30"/>
  <c r="AO141" i="30" s="1"/>
  <c r="AN141" i="30"/>
  <c r="AM142" i="30"/>
  <c r="AO142" i="30" s="1"/>
  <c r="AN142" i="30"/>
  <c r="AM143" i="30"/>
  <c r="AO143" i="30" s="1"/>
  <c r="AN143" i="30"/>
  <c r="AM144" i="30"/>
  <c r="AO144" i="30" s="1"/>
  <c r="AN144" i="30"/>
  <c r="AM145" i="30"/>
  <c r="AO145" i="30" s="1"/>
  <c r="AN145" i="30"/>
  <c r="AM146" i="30"/>
  <c r="AO146" i="30" s="1"/>
  <c r="AN146" i="30"/>
  <c r="AM147" i="30"/>
  <c r="AO147" i="30" s="1"/>
  <c r="AN147" i="30"/>
  <c r="AM148" i="30"/>
  <c r="AO148" i="30" s="1"/>
  <c r="AN148" i="30"/>
  <c r="AM149" i="30"/>
  <c r="AO149" i="30" s="1"/>
  <c r="AN149" i="30"/>
  <c r="AM150" i="30"/>
  <c r="AN150" i="30"/>
  <c r="AM151" i="30"/>
  <c r="AO151" i="30" s="1"/>
  <c r="AN151" i="30"/>
  <c r="AM152" i="30"/>
  <c r="AO152" i="30" s="1"/>
  <c r="AN152" i="30"/>
  <c r="AM153" i="30"/>
  <c r="AO153" i="30" s="1"/>
  <c r="AN153" i="30"/>
  <c r="AM154" i="30"/>
  <c r="AO154" i="30" s="1"/>
  <c r="AN154" i="30"/>
  <c r="AM155" i="30"/>
  <c r="AO155" i="30" s="1"/>
  <c r="AN155" i="30"/>
  <c r="AM156" i="30"/>
  <c r="AO156" i="30" s="1"/>
  <c r="AN156" i="30"/>
  <c r="AM157" i="30"/>
  <c r="AO157" i="30" s="1"/>
  <c r="AN157" i="30"/>
  <c r="AM158" i="30"/>
  <c r="AO158" i="30" s="1"/>
  <c r="AN158" i="30"/>
  <c r="AM159" i="30"/>
  <c r="AO159" i="30" s="1"/>
  <c r="AN159" i="30"/>
  <c r="AM160" i="30"/>
  <c r="AO160" i="30" s="1"/>
  <c r="AN160" i="30"/>
  <c r="AM161" i="30"/>
  <c r="AO161" i="30" s="1"/>
  <c r="AN161" i="30"/>
  <c r="AM162" i="30"/>
  <c r="AO162" i="30" s="1"/>
  <c r="AN162" i="30"/>
  <c r="AM163" i="30"/>
  <c r="AO163" i="30" s="1"/>
  <c r="AN163" i="30"/>
  <c r="AM164" i="30"/>
  <c r="AO164" i="30" s="1"/>
  <c r="AN164" i="30"/>
  <c r="AM165" i="30"/>
  <c r="AN165" i="30"/>
  <c r="AM166" i="30"/>
  <c r="AO166" i="30" s="1"/>
  <c r="AN166" i="30"/>
  <c r="AM167" i="30"/>
  <c r="AO167" i="30" s="1"/>
  <c r="AN167" i="30"/>
  <c r="AM168" i="30"/>
  <c r="AO168" i="30" s="1"/>
  <c r="AN168" i="30"/>
  <c r="AM169" i="30"/>
  <c r="AO169" i="30" s="1"/>
  <c r="AN169" i="30"/>
  <c r="AM170" i="30"/>
  <c r="AO170" i="30" s="1"/>
  <c r="AN170" i="30"/>
  <c r="AM171" i="30"/>
  <c r="AO171" i="30" s="1"/>
  <c r="AN171" i="30"/>
  <c r="AM172" i="30"/>
  <c r="AO172" i="30" s="1"/>
  <c r="AN172" i="30"/>
  <c r="AM173" i="30"/>
  <c r="AO173" i="30" s="1"/>
  <c r="AN173" i="30"/>
  <c r="AM174" i="30"/>
  <c r="AN174" i="30"/>
  <c r="AM175" i="30"/>
  <c r="AO175" i="30" s="1"/>
  <c r="AN175" i="30"/>
  <c r="AM176" i="30"/>
  <c r="AO176" i="30" s="1"/>
  <c r="AN176" i="30"/>
  <c r="AM177" i="30"/>
  <c r="AO177" i="30" s="1"/>
  <c r="AN177" i="30"/>
  <c r="AM178" i="30"/>
  <c r="AN178" i="30"/>
  <c r="AM179" i="30"/>
  <c r="AO179" i="30" s="1"/>
  <c r="AN179" i="30"/>
  <c r="AM180" i="30"/>
  <c r="AO180" i="30" s="1"/>
  <c r="AN180" i="30"/>
  <c r="AM182" i="30"/>
  <c r="AO182" i="30" s="1"/>
  <c r="AN182" i="30"/>
  <c r="AM183" i="30"/>
  <c r="AO183" i="30" s="1"/>
  <c r="AN183" i="30"/>
  <c r="AM184" i="30"/>
  <c r="AO184" i="30" s="1"/>
  <c r="AN184" i="30"/>
  <c r="AM185" i="30"/>
  <c r="AO185" i="30" s="1"/>
  <c r="AN185" i="30"/>
  <c r="AM186" i="30"/>
  <c r="AN186" i="30"/>
  <c r="AM187" i="30"/>
  <c r="AN187" i="30"/>
  <c r="AM188" i="30"/>
  <c r="AN188" i="30"/>
  <c r="AM189" i="30"/>
  <c r="AN189" i="30"/>
  <c r="AM190" i="30"/>
  <c r="AO190" i="30" s="1"/>
  <c r="AN190" i="30"/>
  <c r="AM191" i="30"/>
  <c r="AN191" i="30"/>
  <c r="AM192" i="30"/>
  <c r="AN192" i="30"/>
  <c r="AM193" i="30"/>
  <c r="AN193" i="30"/>
  <c r="AM194" i="30"/>
  <c r="AN194" i="30"/>
  <c r="AM195" i="30"/>
  <c r="AO195" i="30" s="1"/>
  <c r="AN195" i="30"/>
  <c r="AM196" i="30"/>
  <c r="AO196" i="30" s="1"/>
  <c r="AN196" i="30"/>
  <c r="AM197" i="30"/>
  <c r="AO197" i="30" s="1"/>
  <c r="AN197" i="30"/>
  <c r="AM198" i="30"/>
  <c r="AO198" i="30" s="1"/>
  <c r="AN198" i="30"/>
  <c r="AM199" i="30"/>
  <c r="AO199" i="30" s="1"/>
  <c r="AN199" i="30"/>
  <c r="AM200" i="30"/>
  <c r="AO200" i="30" s="1"/>
  <c r="AN200" i="30"/>
  <c r="AM201" i="30"/>
  <c r="AO201" i="30" s="1"/>
  <c r="AN201" i="30"/>
  <c r="AM202" i="30"/>
  <c r="AO202" i="30" s="1"/>
  <c r="AN202" i="30"/>
  <c r="AM203" i="30"/>
  <c r="AO203" i="30" s="1"/>
  <c r="AN203" i="30"/>
  <c r="AM204" i="30"/>
  <c r="AO204" i="30" s="1"/>
  <c r="AN204" i="30"/>
  <c r="AM205" i="30"/>
  <c r="AO205" i="30" s="1"/>
  <c r="AN205" i="30"/>
  <c r="AM206" i="30"/>
  <c r="AO206" i="30" s="1"/>
  <c r="AN206" i="30"/>
  <c r="AM207" i="30"/>
  <c r="AO207" i="30" s="1"/>
  <c r="AN207" i="30"/>
  <c r="AM208" i="30"/>
  <c r="AO208" i="30" s="1"/>
  <c r="AN208" i="30"/>
  <c r="AM209" i="30"/>
  <c r="AO209" i="30" s="1"/>
  <c r="AN209" i="30"/>
  <c r="AM210" i="30"/>
  <c r="AO210" i="30" s="1"/>
  <c r="AN210" i="30"/>
  <c r="AM211" i="30"/>
  <c r="AO211" i="30" s="1"/>
  <c r="AN211" i="30"/>
  <c r="AM212" i="30"/>
  <c r="AO212" i="30" s="1"/>
  <c r="AN212" i="30"/>
  <c r="AM213" i="30"/>
  <c r="AO213" i="30" s="1"/>
  <c r="AN213" i="30"/>
  <c r="AM214" i="30"/>
  <c r="AO214" i="30" s="1"/>
  <c r="AN214" i="30"/>
  <c r="AM215" i="30"/>
  <c r="AO215" i="30" s="1"/>
  <c r="AN215" i="30"/>
  <c r="AM216" i="30"/>
  <c r="AO216" i="30" s="1"/>
  <c r="AN216" i="30"/>
  <c r="AM217" i="30"/>
  <c r="AO217" i="30" s="1"/>
  <c r="AN217" i="30"/>
  <c r="AM218" i="30"/>
  <c r="AO218" i="30" s="1"/>
  <c r="AN218" i="30"/>
  <c r="AM219" i="30"/>
  <c r="AO219" i="30" s="1"/>
  <c r="AN219" i="30"/>
  <c r="AM220" i="30"/>
  <c r="AO220" i="30" s="1"/>
  <c r="AN220" i="30"/>
  <c r="AM221" i="30"/>
  <c r="AO221" i="30" s="1"/>
  <c r="AN221" i="30"/>
  <c r="AM222" i="30"/>
  <c r="AO222" i="30" s="1"/>
  <c r="AN222" i="30"/>
  <c r="AM223" i="30"/>
  <c r="AO223" i="30" s="1"/>
  <c r="AN223" i="30"/>
  <c r="AM224" i="30"/>
  <c r="AO224" i="30" s="1"/>
  <c r="AN224" i="30"/>
  <c r="AM225" i="30"/>
  <c r="AO225" i="30" s="1"/>
  <c r="AN225" i="30"/>
  <c r="AM226" i="30"/>
  <c r="AO226" i="30" s="1"/>
  <c r="AN226" i="30"/>
  <c r="AM227" i="30"/>
  <c r="AO227" i="30" s="1"/>
  <c r="AN227" i="30"/>
  <c r="AM228" i="30"/>
  <c r="AO228" i="30" s="1"/>
  <c r="AN228" i="30"/>
  <c r="AM229" i="30"/>
  <c r="AN229" i="30"/>
  <c r="AM230" i="30"/>
  <c r="AO230" i="30" s="1"/>
  <c r="AN230" i="30"/>
  <c r="AM231" i="30"/>
  <c r="AO231" i="30" s="1"/>
  <c r="AN231" i="30"/>
  <c r="AM232" i="30"/>
  <c r="AO232" i="30" s="1"/>
  <c r="AN232" i="30"/>
  <c r="AM233" i="30"/>
  <c r="AO233" i="30" s="1"/>
  <c r="AN233" i="30"/>
  <c r="AM234" i="30"/>
  <c r="AO234" i="30" s="1"/>
  <c r="AN234" i="30"/>
  <c r="AM235" i="30"/>
  <c r="AO235" i="30" s="1"/>
  <c r="AN235" i="30"/>
  <c r="AM236" i="30"/>
  <c r="AO236" i="30" s="1"/>
  <c r="AN236" i="30"/>
  <c r="AM239" i="30"/>
  <c r="AO239" i="30" s="1"/>
  <c r="AN239" i="30"/>
  <c r="AM240" i="30"/>
  <c r="AO240" i="30" s="1"/>
  <c r="AN240" i="30"/>
  <c r="AM241" i="30"/>
  <c r="AO241" i="30" s="1"/>
  <c r="AN241" i="30"/>
  <c r="AM242" i="30"/>
  <c r="AO242" i="30" s="1"/>
  <c r="AN242" i="30"/>
  <c r="AM243" i="30"/>
  <c r="AO243" i="30" s="1"/>
  <c r="AN243" i="30"/>
  <c r="AM244" i="30"/>
  <c r="AO244" i="30" s="1"/>
  <c r="AN244" i="30"/>
  <c r="AM245" i="30"/>
  <c r="AO245" i="30" s="1"/>
  <c r="AN245" i="30"/>
  <c r="AM246" i="30"/>
  <c r="AO246" i="30" s="1"/>
  <c r="AN246" i="30"/>
  <c r="AM247" i="30"/>
  <c r="AO247" i="30" s="1"/>
  <c r="AN247" i="30"/>
  <c r="AM248" i="30"/>
  <c r="AO248" i="30" s="1"/>
  <c r="AN248" i="30"/>
  <c r="AM249" i="30"/>
  <c r="AO249" i="30" s="1"/>
  <c r="AN249" i="30"/>
  <c r="AM250" i="30"/>
  <c r="AO250" i="30" s="1"/>
  <c r="AN250" i="30"/>
  <c r="AM251" i="30"/>
  <c r="AN251" i="30"/>
  <c r="AM252" i="30"/>
  <c r="AO252" i="30" s="1"/>
  <c r="AN252" i="30"/>
  <c r="AM253" i="30"/>
  <c r="AO253" i="30" s="1"/>
  <c r="AN253" i="30"/>
  <c r="AM254" i="30"/>
  <c r="AO254" i="30" s="1"/>
  <c r="AN254" i="30"/>
  <c r="AM255" i="30"/>
  <c r="AO255" i="30" s="1"/>
  <c r="AN255" i="30"/>
  <c r="AM256" i="30"/>
  <c r="AO256" i="30" s="1"/>
  <c r="AN256" i="30"/>
  <c r="AM257" i="30"/>
  <c r="AO257" i="30" s="1"/>
  <c r="AN257" i="30"/>
  <c r="AM258" i="30"/>
  <c r="AO258" i="30" s="1"/>
  <c r="AN258" i="30"/>
  <c r="AM259" i="30"/>
  <c r="AO259" i="30" s="1"/>
  <c r="AN259" i="30"/>
  <c r="AM260" i="30"/>
  <c r="AO260" i="30" s="1"/>
  <c r="AN260" i="30"/>
  <c r="AM261" i="30"/>
  <c r="AN261" i="30"/>
  <c r="AM262" i="30"/>
  <c r="AN262" i="30"/>
  <c r="AM263" i="30"/>
  <c r="AN263" i="30"/>
  <c r="AM264" i="30"/>
  <c r="AN264" i="30"/>
  <c r="AM265" i="30"/>
  <c r="AN265" i="30"/>
  <c r="AM266" i="30"/>
  <c r="AN266" i="30"/>
  <c r="AM267" i="30"/>
  <c r="AO267" i="30" s="1"/>
  <c r="AN267" i="30"/>
  <c r="AM268" i="30"/>
  <c r="AO268" i="30" s="1"/>
  <c r="AN268" i="30"/>
  <c r="AM269" i="30"/>
  <c r="AO269" i="30" s="1"/>
  <c r="AN269" i="30"/>
  <c r="AM270" i="30"/>
  <c r="AO270" i="30" s="1"/>
  <c r="AN270" i="30"/>
  <c r="AM271" i="30"/>
  <c r="AO271" i="30" s="1"/>
  <c r="AN271" i="30"/>
  <c r="AM272" i="30"/>
  <c r="AO272" i="30" s="1"/>
  <c r="AN272" i="30"/>
  <c r="AM273" i="30"/>
  <c r="AO273" i="30" s="1"/>
  <c r="AN273" i="30"/>
  <c r="AM274" i="30"/>
  <c r="AO274" i="30" s="1"/>
  <c r="AN274" i="30"/>
  <c r="AM275" i="30"/>
  <c r="AO275" i="30" s="1"/>
  <c r="AN275" i="30"/>
  <c r="AM276" i="30"/>
  <c r="AO276" i="30" s="1"/>
  <c r="AN276" i="30"/>
  <c r="AM277" i="30"/>
  <c r="AO277" i="30" s="1"/>
  <c r="AN277" i="30"/>
  <c r="AM278" i="30"/>
  <c r="AO278" i="30" s="1"/>
  <c r="AN278" i="30"/>
  <c r="AM279" i="30"/>
  <c r="AO279" i="30" s="1"/>
  <c r="AN279" i="30"/>
  <c r="AM280" i="30"/>
  <c r="AN280" i="30"/>
  <c r="AM281" i="30"/>
  <c r="AN281" i="30"/>
  <c r="AM282" i="30"/>
  <c r="AN282" i="30"/>
  <c r="AM283" i="30"/>
  <c r="AN283" i="30"/>
  <c r="AM284" i="30"/>
  <c r="AO284" i="30" s="1"/>
  <c r="AN284" i="30"/>
  <c r="AM285" i="30"/>
  <c r="AO285" i="30" s="1"/>
  <c r="AN285" i="30"/>
  <c r="AM286" i="30"/>
  <c r="AO286" i="30" s="1"/>
  <c r="AN286" i="30"/>
  <c r="AM287" i="30"/>
  <c r="AO287" i="30" s="1"/>
  <c r="AN287" i="30"/>
  <c r="AM288" i="30"/>
  <c r="AO288" i="30" s="1"/>
  <c r="AN288" i="30"/>
  <c r="AM289" i="30"/>
  <c r="AO289" i="30" s="1"/>
  <c r="AN289" i="30"/>
  <c r="AM105" i="2"/>
  <c r="AM81" i="2"/>
  <c r="AM61" i="2"/>
  <c r="AM107" i="3"/>
  <c r="AO114" i="30" l="1"/>
  <c r="BM27" i="37"/>
  <c r="AO123" i="30"/>
  <c r="AO186" i="30"/>
  <c r="AO128" i="30"/>
  <c r="AO188" i="30"/>
  <c r="AO266" i="30"/>
  <c r="AO264" i="30"/>
  <c r="AO194" i="30"/>
  <c r="AO192" i="30"/>
  <c r="AO165" i="30"/>
  <c r="AO132" i="30"/>
  <c r="AO87" i="30"/>
  <c r="AO283" i="30"/>
  <c r="AO281" i="30"/>
  <c r="AO262" i="30"/>
  <c r="AO263" i="30"/>
  <c r="AO251" i="30"/>
  <c r="AO229" i="30"/>
  <c r="AO193" i="30"/>
  <c r="AO189" i="30"/>
  <c r="AO178" i="30"/>
  <c r="AO150" i="30"/>
  <c r="AO282" i="30"/>
  <c r="AO280" i="30"/>
  <c r="AO265" i="30"/>
  <c r="AO261" i="30"/>
  <c r="AO191" i="30"/>
  <c r="AO187" i="30"/>
  <c r="AO174" i="30"/>
  <c r="BK21" i="69" l="1"/>
  <c r="BI21" i="69"/>
  <c r="BH21" i="69"/>
  <c r="BG21" i="69"/>
  <c r="BF21" i="69"/>
  <c r="BD21" i="69"/>
  <c r="BC21" i="69"/>
  <c r="BB21" i="69"/>
  <c r="BA21" i="69"/>
  <c r="AY21" i="69"/>
  <c r="AX21" i="69"/>
  <c r="AW21" i="69"/>
  <c r="AV21" i="69"/>
  <c r="BU77" i="69"/>
  <c r="BZ77" i="69" s="1"/>
  <c r="BZ73" i="69"/>
  <c r="BU73" i="69"/>
  <c r="BN73" i="69"/>
  <c r="BL73" i="69"/>
  <c r="CC73" i="69"/>
  <c r="CA73" i="69"/>
  <c r="BX73" i="69"/>
  <c r="BW73" i="69"/>
  <c r="BV73" i="69"/>
  <c r="BS73" i="69"/>
  <c r="BR73" i="69"/>
  <c r="BQ73" i="69"/>
  <c r="BO11" i="69"/>
  <c r="AT22" i="69"/>
  <c r="AS22" i="69"/>
  <c r="AR22" i="69"/>
  <c r="AQ22" i="69"/>
  <c r="AW22" i="69"/>
  <c r="AV22" i="69"/>
  <c r="BA22" i="69"/>
  <c r="CD14" i="69"/>
  <c r="BY14" i="69"/>
  <c r="BT14" i="69"/>
  <c r="BO14" i="69"/>
  <c r="CD17" i="69"/>
  <c r="BY17" i="69"/>
  <c r="BT17" i="69"/>
  <c r="BO17" i="69"/>
  <c r="BK17" i="69"/>
  <c r="BI17" i="69"/>
  <c r="BH17" i="69"/>
  <c r="BG17" i="69"/>
  <c r="BF17" i="69"/>
  <c r="BD17" i="69"/>
  <c r="BC17" i="69"/>
  <c r="BB17" i="69"/>
  <c r="BA17" i="69"/>
  <c r="AY17" i="69"/>
  <c r="AX17" i="69"/>
  <c r="AW17" i="69"/>
  <c r="AV17" i="69"/>
  <c r="AT17" i="69"/>
  <c r="AR17" i="69"/>
  <c r="AQ17" i="69"/>
  <c r="AN17" i="69"/>
  <c r="AM17" i="69"/>
  <c r="AL17" i="69"/>
  <c r="AJ17" i="69"/>
  <c r="AI17" i="69"/>
  <c r="AH17" i="69"/>
  <c r="AG17" i="69"/>
  <c r="AF17" i="69"/>
  <c r="AE17" i="69"/>
  <c r="AD17" i="69"/>
  <c r="AC17" i="69"/>
  <c r="AB17" i="69"/>
  <c r="AA17" i="69"/>
  <c r="Z17" i="69"/>
  <c r="Y17" i="69"/>
  <c r="X17" i="69"/>
  <c r="W17" i="69"/>
  <c r="V17" i="69"/>
  <c r="Q17" i="69"/>
  <c r="U17" i="69"/>
  <c r="T17" i="69"/>
  <c r="S17" i="69"/>
  <c r="R17" i="69"/>
  <c r="BY73" i="69" l="1"/>
  <c r="BT11" i="69"/>
  <c r="CB73" i="69"/>
  <c r="CD73" i="69" s="1"/>
  <c r="BZ76" i="69"/>
  <c r="BW76" i="69"/>
  <c r="CB76" i="69" s="1"/>
  <c r="CC76" i="69"/>
  <c r="BV76" i="69"/>
  <c r="CA76" i="69" s="1"/>
  <c r="CD76" i="69" l="1"/>
  <c r="BY76" i="69"/>
  <c r="AK18" i="12"/>
  <c r="AP18" i="12"/>
  <c r="AU18" i="12"/>
  <c r="AV18" i="12"/>
  <c r="AW18" i="12"/>
  <c r="AX18" i="12"/>
  <c r="AY18" i="12"/>
  <c r="BA18" i="12"/>
  <c r="BB18" i="12"/>
  <c r="BC18" i="12"/>
  <c r="BD18" i="12"/>
  <c r="BF18" i="12"/>
  <c r="BG18" i="12"/>
  <c r="BH18" i="12"/>
  <c r="BI18" i="12"/>
  <c r="BK18" i="12"/>
  <c r="BO18" i="12" s="1"/>
  <c r="BT18" i="12"/>
  <c r="BY18" i="12"/>
  <c r="CD18" i="12"/>
  <c r="CD91" i="47"/>
  <c r="BY91" i="47"/>
  <c r="BK53" i="47"/>
  <c r="BK51" i="47"/>
  <c r="BK50" i="47"/>
  <c r="CD71" i="47"/>
  <c r="BY71" i="47"/>
  <c r="BI70" i="47"/>
  <c r="BH70" i="47"/>
  <c r="BG70" i="47"/>
  <c r="BF70" i="47"/>
  <c r="BH71" i="47"/>
  <c r="BG71" i="47"/>
  <c r="BF71" i="47"/>
  <c r="BG67" i="47"/>
  <c r="BG66" i="47"/>
  <c r="BG65" i="47"/>
  <c r="BF64" i="47"/>
  <c r="BZ69" i="47"/>
  <c r="BU69" i="47"/>
  <c r="CA68" i="47"/>
  <c r="CA67" i="47"/>
  <c r="CA66" i="47"/>
  <c r="CA65" i="47"/>
  <c r="BZ64" i="47"/>
  <c r="BV68" i="47"/>
  <c r="BV67" i="47"/>
  <c r="BV66" i="47"/>
  <c r="BV65" i="47"/>
  <c r="BU64" i="47"/>
  <c r="BP69" i="47"/>
  <c r="BQ69" i="47" s="1"/>
  <c r="BQ68" i="47"/>
  <c r="BN68" i="47" s="1"/>
  <c r="BQ67" i="47"/>
  <c r="BN67" i="47" s="1"/>
  <c r="BQ66" i="47"/>
  <c r="BN66" i="47" s="1"/>
  <c r="BQ65" i="47"/>
  <c r="BN65" i="47" s="1"/>
  <c r="BP64" i="47"/>
  <c r="BL70" i="47"/>
  <c r="BK70" i="47"/>
  <c r="BK64" i="47"/>
  <c r="BK55" i="47"/>
  <c r="BK54" i="47"/>
  <c r="BJ18" i="12" l="1"/>
  <c r="AZ18" i="12"/>
  <c r="BE18" i="12"/>
  <c r="BZ71" i="47"/>
  <c r="BK49" i="47"/>
  <c r="BQ71" i="47"/>
  <c r="BU71" i="47"/>
  <c r="BF69" i="47"/>
  <c r="BP71" i="47"/>
  <c r="BH69" i="47"/>
  <c r="CA69" i="47"/>
  <c r="CA71" i="47" s="1"/>
  <c r="BV69" i="47"/>
  <c r="BV71" i="47" s="1"/>
  <c r="BR69" i="47"/>
  <c r="BR71" i="47" s="1"/>
  <c r="CD24" i="7"/>
  <c r="BY24" i="7"/>
  <c r="CI498" i="7"/>
  <c r="CI356" i="7"/>
  <c r="CI304" i="7"/>
  <c r="CB69" i="47" l="1"/>
  <c r="BW69" i="47"/>
  <c r="BW71" i="47" s="1"/>
  <c r="BS69" i="47"/>
  <c r="BS71" i="47" s="1"/>
  <c r="CH18" i="69"/>
  <c r="CK17" i="69"/>
  <c r="CJ17" i="69"/>
  <c r="CI17" i="69"/>
  <c r="CH17" i="69"/>
  <c r="CK16" i="69"/>
  <c r="CJ16" i="69"/>
  <c r="CI16" i="69"/>
  <c r="CH16" i="69"/>
  <c r="CK15" i="69"/>
  <c r="CJ15" i="69"/>
  <c r="CI15" i="69"/>
  <c r="CH15" i="69"/>
  <c r="CK14" i="69"/>
  <c r="CJ14" i="69"/>
  <c r="CI14" i="69"/>
  <c r="CH14" i="69"/>
  <c r="CK13" i="69"/>
  <c r="CJ13" i="69"/>
  <c r="CI13" i="69"/>
  <c r="CH13" i="69"/>
  <c r="CK12" i="69"/>
  <c r="CJ12" i="69"/>
  <c r="CI12" i="69"/>
  <c r="CH12" i="69"/>
  <c r="CK11" i="69"/>
  <c r="CJ11" i="69"/>
  <c r="CI11" i="69"/>
  <c r="CH11" i="69"/>
  <c r="CK10" i="69"/>
  <c r="CJ10" i="69"/>
  <c r="CI10" i="69"/>
  <c r="CH10" i="69"/>
  <c r="CK9" i="69"/>
  <c r="CK19" i="69" s="1"/>
  <c r="CJ9" i="69"/>
  <c r="CI9" i="69"/>
  <c r="CI19" i="69" s="1"/>
  <c r="CH9" i="69"/>
  <c r="CH19" i="69" s="1"/>
  <c r="CJ19" i="69" l="1"/>
  <c r="BX69" i="47"/>
  <c r="BX71" i="47" s="1"/>
  <c r="CC69" i="47"/>
  <c r="CC71" i="47" s="1"/>
  <c r="CB71" i="47"/>
  <c r="CL215" i="13"/>
  <c r="CI215" i="13"/>
  <c r="CW58" i="6"/>
  <c r="CV58" i="6"/>
  <c r="CU58" i="6"/>
  <c r="CT58" i="6"/>
  <c r="CS58" i="6"/>
  <c r="CQ58" i="6"/>
  <c r="CN58" i="6"/>
  <c r="CL58" i="6"/>
  <c r="CK58" i="6"/>
  <c r="CJ58" i="6"/>
  <c r="CI58" i="6"/>
  <c r="CH58" i="6"/>
  <c r="CR60" i="6" s="1"/>
  <c r="CJ57" i="14"/>
  <c r="CI57" i="14"/>
  <c r="AF90" i="47"/>
  <c r="AF91" i="47"/>
  <c r="AF92" i="47"/>
  <c r="AF93" i="47"/>
  <c r="AF94" i="47" l="1"/>
  <c r="BK71" i="6"/>
  <c r="BO71" i="6" s="1"/>
  <c r="BK70" i="6"/>
  <c r="BO70" i="6" s="1"/>
  <c r="BK68" i="6"/>
  <c r="BO68" i="6" s="1"/>
  <c r="BK67" i="6"/>
  <c r="BO67" i="6" s="1"/>
  <c r="BK64" i="6"/>
  <c r="BO64" i="6" s="1"/>
  <c r="BK63" i="6"/>
  <c r="BO63" i="6" s="1"/>
  <c r="BK81" i="6" l="1"/>
  <c r="BK85" i="6"/>
  <c r="BK88" i="6"/>
  <c r="BK80" i="6"/>
  <c r="BK84" i="6"/>
  <c r="BK87" i="6"/>
  <c r="BK67" i="69"/>
  <c r="CH105" i="69" s="1"/>
  <c r="BK66" i="69"/>
  <c r="BK65" i="69"/>
  <c r="BK64" i="69"/>
  <c r="BK63" i="69"/>
  <c r="BK60" i="69"/>
  <c r="BK55" i="69"/>
  <c r="BK44" i="69"/>
  <c r="BK38" i="69"/>
  <c r="BK27" i="69"/>
  <c r="BK73" i="69" l="1"/>
  <c r="BO55" i="69"/>
  <c r="BO38" i="69"/>
  <c r="BK72" i="69"/>
  <c r="CJ105" i="69" s="1"/>
  <c r="BK47" i="69"/>
  <c r="BK49" i="69" s="1"/>
  <c r="BO44" i="69"/>
  <c r="BK105" i="6"/>
  <c r="BK122" i="6" s="1"/>
  <c r="BO88" i="6"/>
  <c r="BK104" i="6"/>
  <c r="BK121" i="6" s="1"/>
  <c r="BO87" i="6"/>
  <c r="BK102" i="6"/>
  <c r="BK119" i="6" s="1"/>
  <c r="BO85" i="6"/>
  <c r="BK101" i="6"/>
  <c r="BK118" i="6" s="1"/>
  <c r="BO84" i="6"/>
  <c r="BK98" i="6"/>
  <c r="BK115" i="6" s="1"/>
  <c r="BO81" i="6"/>
  <c r="BK97" i="6"/>
  <c r="BK114" i="6" s="1"/>
  <c r="BO80" i="6"/>
  <c r="BK40" i="47"/>
  <c r="BK25" i="7"/>
  <c r="BK64" i="37"/>
  <c r="BK63" i="37"/>
  <c r="BK57" i="37"/>
  <c r="BK52" i="37"/>
  <c r="BK27" i="37"/>
  <c r="BI29" i="37"/>
  <c r="BK79" i="11"/>
  <c r="BF79" i="11"/>
  <c r="BG79" i="11"/>
  <c r="BH79" i="11"/>
  <c r="BI79" i="11"/>
  <c r="CH45" i="69" l="1"/>
  <c r="BK75" i="69"/>
  <c r="BK76" i="69" s="1"/>
  <c r="CI105" i="69"/>
  <c r="CK105" i="69" s="1"/>
  <c r="CL105" i="69" s="1"/>
  <c r="BK67" i="37"/>
  <c r="BK65" i="37"/>
  <c r="BK14" i="69"/>
  <c r="BK34" i="11" l="1"/>
  <c r="BK32" i="11"/>
  <c r="BK113" i="10"/>
  <c r="BK112" i="10"/>
  <c r="BK109" i="10" l="1"/>
  <c r="BK21" i="10"/>
  <c r="BO21" i="10" s="1"/>
  <c r="BK11" i="10"/>
  <c r="BO11" i="10" s="1"/>
  <c r="BO14" i="10" s="1"/>
  <c r="BO19" i="10" s="1"/>
  <c r="BK90" i="27"/>
  <c r="BK89" i="27"/>
  <c r="BK83" i="27"/>
  <c r="BK76" i="27"/>
  <c r="BK44" i="27"/>
  <c r="BK38" i="27"/>
  <c r="BK36" i="27"/>
  <c r="BK34" i="27"/>
  <c r="BK33" i="27"/>
  <c r="BK235" i="12"/>
  <c r="BK234" i="12"/>
  <c r="BK232" i="12"/>
  <c r="BK231" i="12"/>
  <c r="BK230" i="12"/>
  <c r="BK229" i="12"/>
  <c r="BK227" i="12"/>
  <c r="BK203" i="12" s="1"/>
  <c r="BK225" i="12"/>
  <c r="BK224" i="12"/>
  <c r="BK223" i="12"/>
  <c r="BK222" i="12"/>
  <c r="BK220" i="12"/>
  <c r="BK219" i="12"/>
  <c r="BK218" i="12"/>
  <c r="BK217" i="12"/>
  <c r="BK216" i="12"/>
  <c r="BK215" i="12"/>
  <c r="BK209" i="12"/>
  <c r="BK196" i="12"/>
  <c r="BK195" i="12"/>
  <c r="BK194" i="12"/>
  <c r="BK170" i="12"/>
  <c r="BK159" i="12"/>
  <c r="BK55" i="12"/>
  <c r="BK54" i="12"/>
  <c r="BK53" i="12"/>
  <c r="BK47" i="12"/>
  <c r="BK46" i="12"/>
  <c r="BK45" i="12"/>
  <c r="BK40" i="12"/>
  <c r="BK39" i="12"/>
  <c r="BK38" i="12"/>
  <c r="BK200" i="12" l="1"/>
  <c r="BK202" i="12"/>
  <c r="BK49" i="12"/>
  <c r="BK48" i="12" s="1"/>
  <c r="BO170" i="12"/>
  <c r="BO49" i="12" s="1"/>
  <c r="BO48" i="12" s="1"/>
  <c r="BK206" i="12"/>
  <c r="BO23" i="10"/>
  <c r="BK43" i="12"/>
  <c r="BO159" i="12"/>
  <c r="BO43" i="12" s="1"/>
  <c r="BK201" i="12"/>
  <c r="BK204" i="12"/>
  <c r="BK14" i="10"/>
  <c r="BK19" i="10" s="1"/>
  <c r="BK208" i="12"/>
  <c r="BK205" i="12"/>
  <c r="BK91" i="27"/>
  <c r="BK51" i="12"/>
  <c r="BK101" i="14"/>
  <c r="BO51" i="12" l="1"/>
  <c r="BJ151" i="1"/>
  <c r="AO131" i="3"/>
  <c r="BJ16" i="6" l="1"/>
  <c r="BJ15" i="6"/>
  <c r="BJ14" i="6"/>
  <c r="BJ134" i="4" l="1"/>
  <c r="BJ45" i="11"/>
  <c r="BJ26" i="11"/>
  <c r="BE39" i="11"/>
  <c r="BJ39" i="11"/>
  <c r="BJ38" i="11"/>
  <c r="BJ35" i="11"/>
  <c r="BJ220" i="9"/>
  <c r="BJ205" i="9"/>
  <c r="BJ201" i="9"/>
  <c r="BJ99" i="9"/>
  <c r="BJ98" i="9"/>
  <c r="BJ97" i="9"/>
  <c r="BJ96" i="9"/>
  <c r="BJ95" i="9"/>
  <c r="BJ94" i="9"/>
  <c r="BJ93" i="9"/>
  <c r="BJ92" i="9"/>
  <c r="BJ91" i="9"/>
  <c r="BJ56" i="9"/>
  <c r="BJ55" i="9"/>
  <c r="BJ53" i="9"/>
  <c r="BJ52" i="9"/>
  <c r="BJ51" i="9"/>
  <c r="BJ112" i="9" s="1"/>
  <c r="BJ50" i="9"/>
  <c r="BJ111" i="9" s="1"/>
  <c r="BJ49" i="9"/>
  <c r="BJ110" i="9" s="1"/>
  <c r="BJ48" i="9"/>
  <c r="BJ109" i="9" s="1"/>
  <c r="BI153" i="5"/>
  <c r="BI164" i="5" s="1"/>
  <c r="BH153" i="5"/>
  <c r="BH164" i="5" s="1"/>
  <c r="BG153" i="5"/>
  <c r="BG164" i="5" s="1"/>
  <c r="BF153" i="5"/>
  <c r="BF164" i="5" s="1"/>
  <c r="BJ107" i="5"/>
  <c r="BJ106" i="5"/>
  <c r="BJ101" i="5"/>
  <c r="BJ100" i="5"/>
  <c r="BJ98" i="5"/>
  <c r="BJ97" i="5"/>
  <c r="BJ96" i="5"/>
  <c r="BJ95" i="5"/>
  <c r="BJ94" i="5"/>
  <c r="BJ93" i="5"/>
  <c r="BJ92" i="5"/>
  <c r="BJ91" i="5"/>
  <c r="BJ87" i="5"/>
  <c r="BJ86" i="5"/>
  <c r="BJ85" i="5"/>
  <c r="BJ81" i="5"/>
  <c r="BJ80" i="5"/>
  <c r="BJ79" i="5"/>
  <c r="BJ78" i="5"/>
  <c r="BJ77" i="5"/>
  <c r="BJ72" i="5"/>
  <c r="BJ71" i="5"/>
  <c r="BJ67" i="5"/>
  <c r="BJ66" i="5"/>
  <c r="BJ65" i="5"/>
  <c r="BJ53" i="5"/>
  <c r="BJ48" i="5"/>
  <c r="BJ47" i="5"/>
  <c r="BJ46" i="5"/>
  <c r="BJ45" i="5"/>
  <c r="BJ44" i="5"/>
  <c r="BJ43" i="5"/>
  <c r="BJ42" i="5"/>
  <c r="BJ41" i="5"/>
  <c r="BJ40" i="5"/>
  <c r="BJ39" i="5"/>
  <c r="BJ38" i="5"/>
  <c r="BJ37" i="5"/>
  <c r="BJ33" i="5"/>
  <c r="BJ32" i="5"/>
  <c r="BJ31" i="5"/>
  <c r="BJ27" i="5"/>
  <c r="BJ26" i="5"/>
  <c r="BJ25" i="5"/>
  <c r="BJ24" i="5"/>
  <c r="BJ23" i="5"/>
  <c r="BJ22" i="5"/>
  <c r="BJ18" i="5"/>
  <c r="BJ13" i="5"/>
  <c r="BJ124" i="10"/>
  <c r="BJ122" i="10"/>
  <c r="BJ121" i="10"/>
  <c r="BJ520" i="7"/>
  <c r="BJ521" i="7"/>
  <c r="BJ524" i="7"/>
  <c r="BJ525" i="7"/>
  <c r="BJ526" i="7"/>
  <c r="BJ527" i="7"/>
  <c r="BJ528" i="7"/>
  <c r="BJ529" i="7"/>
  <c r="BJ532" i="7"/>
  <c r="BE537" i="7"/>
  <c r="BJ537" i="7"/>
  <c r="BJ536" i="7"/>
  <c r="BJ535" i="7"/>
  <c r="BJ854" i="7"/>
  <c r="BJ853" i="7"/>
  <c r="BE854" i="7"/>
  <c r="BE853" i="7"/>
  <c r="AZ854" i="7"/>
  <c r="AZ853" i="7"/>
  <c r="AU854" i="7"/>
  <c r="AU853" i="7"/>
  <c r="BJ800" i="7"/>
  <c r="BJ808" i="7" s="1"/>
  <c r="BJ811" i="7" s="1"/>
  <c r="BJ814" i="7" s="1"/>
  <c r="BJ739" i="7"/>
  <c r="BJ747" i="7" s="1"/>
  <c r="BJ750" i="7" s="1"/>
  <c r="BJ753" i="7" s="1"/>
  <c r="BJ12" i="7" s="1"/>
  <c r="BJ685" i="7"/>
  <c r="BJ693" i="7" s="1"/>
  <c r="BJ731" i="7" s="1"/>
  <c r="BI852" i="7"/>
  <c r="BH852" i="7"/>
  <c r="BG852" i="7"/>
  <c r="BF852" i="7"/>
  <c r="BI797" i="7"/>
  <c r="BH797" i="7"/>
  <c r="BG797" i="7"/>
  <c r="BF797" i="7"/>
  <c r="BI736" i="7"/>
  <c r="BH736" i="7"/>
  <c r="BG736" i="7"/>
  <c r="BF736" i="7"/>
  <c r="BI682" i="7"/>
  <c r="BH682" i="7"/>
  <c r="BG682" i="7"/>
  <c r="BF682" i="7"/>
  <c r="BI627" i="7"/>
  <c r="BH627" i="7"/>
  <c r="BG627" i="7"/>
  <c r="BF627" i="7"/>
  <c r="BI577" i="7"/>
  <c r="BH577" i="7"/>
  <c r="BG577" i="7"/>
  <c r="BF577" i="7"/>
  <c r="BI519" i="7"/>
  <c r="BH519" i="7"/>
  <c r="BG519" i="7"/>
  <c r="BF519" i="7"/>
  <c r="BI465" i="7"/>
  <c r="BH465" i="7"/>
  <c r="BG465" i="7"/>
  <c r="BF465" i="7"/>
  <c r="BI413" i="7"/>
  <c r="BH413" i="7"/>
  <c r="BG413" i="7"/>
  <c r="BF413" i="7"/>
  <c r="BI394" i="7"/>
  <c r="BH394" i="7"/>
  <c r="BG394" i="7"/>
  <c r="BF394" i="7"/>
  <c r="BI375" i="7"/>
  <c r="BH375" i="7"/>
  <c r="BG375" i="7"/>
  <c r="BF375" i="7"/>
  <c r="BI323" i="7"/>
  <c r="BH323" i="7"/>
  <c r="BG323" i="7"/>
  <c r="BF323" i="7"/>
  <c r="BI271" i="7"/>
  <c r="BH271" i="7"/>
  <c r="BG271" i="7"/>
  <c r="BF271" i="7"/>
  <c r="BI218" i="7"/>
  <c r="BH218" i="7"/>
  <c r="BG218" i="7"/>
  <c r="BF218" i="7"/>
  <c r="BI199" i="7"/>
  <c r="BH199" i="7"/>
  <c r="BG199" i="7"/>
  <c r="BF199" i="7"/>
  <c r="BI180" i="7"/>
  <c r="BH180" i="7"/>
  <c r="BG180" i="7"/>
  <c r="BF180" i="7"/>
  <c r="BI128" i="7"/>
  <c r="BH128" i="7"/>
  <c r="BG128" i="7"/>
  <c r="BF128" i="7"/>
  <c r="BI109" i="7"/>
  <c r="BH109" i="7"/>
  <c r="BG109" i="7"/>
  <c r="BF109" i="7"/>
  <c r="BI90" i="7"/>
  <c r="BH90" i="7"/>
  <c r="BG90" i="7"/>
  <c r="BF90" i="7"/>
  <c r="BI35" i="7"/>
  <c r="BH35" i="7"/>
  <c r="BG35" i="7"/>
  <c r="BF35" i="7"/>
  <c r="BI25" i="7"/>
  <c r="BH25" i="7"/>
  <c r="BG25" i="7"/>
  <c r="BF25" i="7"/>
  <c r="BI22" i="7"/>
  <c r="BH22" i="7"/>
  <c r="BG22" i="7"/>
  <c r="BF22" i="7"/>
  <c r="BI164" i="1"/>
  <c r="BH164" i="1"/>
  <c r="BG164" i="1"/>
  <c r="BF164" i="1"/>
  <c r="BJ161" i="1"/>
  <c r="BJ160" i="1"/>
  <c r="BJ156" i="1"/>
  <c r="BJ155" i="1"/>
  <c r="BJ154" i="1"/>
  <c r="BJ153" i="1"/>
  <c r="BJ152" i="1"/>
  <c r="BJ150" i="1"/>
  <c r="BJ149" i="1"/>
  <c r="BJ147" i="1"/>
  <c r="BJ146" i="1"/>
  <c r="BJ145" i="1"/>
  <c r="BJ141" i="1"/>
  <c r="BJ140" i="1"/>
  <c r="BJ139" i="1"/>
  <c r="BJ135" i="1"/>
  <c r="BJ134" i="1"/>
  <c r="BJ133" i="1"/>
  <c r="BJ131" i="1"/>
  <c r="BJ130" i="1"/>
  <c r="BJ126" i="1"/>
  <c r="BJ125" i="1"/>
  <c r="BJ121" i="1"/>
  <c r="BJ120" i="1"/>
  <c r="BJ119" i="1"/>
  <c r="BJ54" i="1"/>
  <c r="BJ34" i="1"/>
  <c r="BJ28" i="1"/>
  <c r="BJ19" i="1"/>
  <c r="BJ14" i="1"/>
  <c r="BI164" i="4"/>
  <c r="BH164" i="4"/>
  <c r="BG164" i="4"/>
  <c r="BF164" i="4"/>
  <c r="BJ102" i="5"/>
  <c r="BJ99" i="4"/>
  <c r="BJ99" i="5" s="1"/>
  <c r="BJ161" i="4"/>
  <c r="BJ155" i="4"/>
  <c r="BJ154" i="4"/>
  <c r="BJ152" i="4"/>
  <c r="BJ151" i="4"/>
  <c r="BJ150" i="4"/>
  <c r="BJ149" i="4"/>
  <c r="BJ148" i="4"/>
  <c r="BJ147" i="4"/>
  <c r="BJ146" i="4"/>
  <c r="BJ145" i="4"/>
  <c r="BJ141" i="4"/>
  <c r="BJ140" i="4"/>
  <c r="BJ139" i="4"/>
  <c r="BJ135" i="4"/>
  <c r="BJ133" i="4"/>
  <c r="BJ132" i="4"/>
  <c r="BJ131" i="4"/>
  <c r="BJ126" i="4"/>
  <c r="BJ121" i="4"/>
  <c r="BJ88" i="4"/>
  <c r="BJ76" i="4"/>
  <c r="BJ82" i="4" s="1"/>
  <c r="BJ56" i="4"/>
  <c r="BJ34" i="4"/>
  <c r="BJ54" i="4"/>
  <c r="BJ54" i="5" s="1"/>
  <c r="BE56" i="4"/>
  <c r="AZ56" i="4"/>
  <c r="BJ49" i="4"/>
  <c r="BJ49" i="5" s="1"/>
  <c r="BE49" i="4"/>
  <c r="BJ52" i="4"/>
  <c r="BJ52" i="5" s="1"/>
  <c r="BJ28" i="4"/>
  <c r="BJ19" i="4"/>
  <c r="BJ17" i="4"/>
  <c r="BJ17" i="5" s="1"/>
  <c r="BJ14" i="4"/>
  <c r="BJ12" i="4"/>
  <c r="BJ120" i="4" s="1"/>
  <c r="BJ11" i="4"/>
  <c r="BJ11" i="5" s="1"/>
  <c r="BJ648" i="7"/>
  <c r="BJ630" i="7"/>
  <c r="BJ671" i="7" s="1"/>
  <c r="BJ580" i="7"/>
  <c r="BJ588" i="7" s="1"/>
  <c r="BJ591" i="7" s="1"/>
  <c r="BJ594" i="7" s="1"/>
  <c r="BJ468" i="7"/>
  <c r="BJ508" i="7" s="1"/>
  <c r="BJ426" i="7"/>
  <c r="BJ423" i="7"/>
  <c r="BJ422" i="7"/>
  <c r="BJ421" i="7"/>
  <c r="BJ420" i="7"/>
  <c r="BJ419" i="7"/>
  <c r="BJ418" i="7"/>
  <c r="BJ123" i="10" s="1"/>
  <c r="BJ415" i="7"/>
  <c r="BJ414" i="7"/>
  <c r="BJ397" i="7"/>
  <c r="BJ405" i="7" s="1"/>
  <c r="BJ408" i="7" s="1"/>
  <c r="BJ386" i="7"/>
  <c r="BJ389" i="7" s="1"/>
  <c r="BJ326" i="7"/>
  <c r="BJ368" i="7" s="1"/>
  <c r="BJ274" i="7"/>
  <c r="BJ311" i="7" s="1"/>
  <c r="BJ231" i="7"/>
  <c r="BJ228" i="7"/>
  <c r="BJ227" i="7"/>
  <c r="BJ226" i="7"/>
  <c r="BJ225" i="7"/>
  <c r="BJ224" i="7"/>
  <c r="BJ223" i="7"/>
  <c r="BJ120" i="10" s="1"/>
  <c r="BJ220" i="7"/>
  <c r="BJ219" i="7"/>
  <c r="BJ210" i="7"/>
  <c r="BJ213" i="7" s="1"/>
  <c r="BJ183" i="7"/>
  <c r="BJ191" i="7" s="1"/>
  <c r="BJ194" i="7" s="1"/>
  <c r="BE852" i="7"/>
  <c r="BD852" i="7"/>
  <c r="BC852" i="7"/>
  <c r="BB852" i="7"/>
  <c r="BA852" i="7"/>
  <c r="BE797" i="7"/>
  <c r="BD797" i="7"/>
  <c r="BC797" i="7"/>
  <c r="BB797" i="7"/>
  <c r="BA797" i="7"/>
  <c r="BE736" i="7"/>
  <c r="BD736" i="7"/>
  <c r="BC736" i="7"/>
  <c r="BB736" i="7"/>
  <c r="BA736" i="7"/>
  <c r="BE682" i="7"/>
  <c r="BD682" i="7"/>
  <c r="BC682" i="7"/>
  <c r="BB682" i="7"/>
  <c r="BA682" i="7"/>
  <c r="BE627" i="7"/>
  <c r="BD627" i="7"/>
  <c r="BC627" i="7"/>
  <c r="BB627" i="7"/>
  <c r="BA627" i="7"/>
  <c r="BE577" i="7"/>
  <c r="BD577" i="7"/>
  <c r="BC577" i="7"/>
  <c r="BB577" i="7"/>
  <c r="BA577" i="7"/>
  <c r="BE519" i="7"/>
  <c r="BD519" i="7"/>
  <c r="BC519" i="7"/>
  <c r="BB519" i="7"/>
  <c r="BA519" i="7"/>
  <c r="BE465" i="7"/>
  <c r="BD465" i="7"/>
  <c r="BC465" i="7"/>
  <c r="BB465" i="7"/>
  <c r="BA465" i="7"/>
  <c r="BE413" i="7"/>
  <c r="BD413" i="7"/>
  <c r="BC413" i="7"/>
  <c r="BB413" i="7"/>
  <c r="BA413" i="7"/>
  <c r="BE394" i="7"/>
  <c r="BD394" i="7"/>
  <c r="BC394" i="7"/>
  <c r="BB394" i="7"/>
  <c r="BA394" i="7"/>
  <c r="BE375" i="7"/>
  <c r="BD375" i="7"/>
  <c r="BC375" i="7"/>
  <c r="BB375" i="7"/>
  <c r="BA375" i="7"/>
  <c r="BE323" i="7"/>
  <c r="BD323" i="7"/>
  <c r="BC323" i="7"/>
  <c r="BB323" i="7"/>
  <c r="BA323" i="7"/>
  <c r="BE271" i="7"/>
  <c r="BD271" i="7"/>
  <c r="BC271" i="7"/>
  <c r="BB271" i="7"/>
  <c r="BA271" i="7"/>
  <c r="BE218" i="7"/>
  <c r="BD218" i="7"/>
  <c r="BC218" i="7"/>
  <c r="BB218" i="7"/>
  <c r="BA218" i="7"/>
  <c r="BE199" i="7"/>
  <c r="BD199" i="7"/>
  <c r="BC199" i="7"/>
  <c r="BB199" i="7"/>
  <c r="BA199" i="7"/>
  <c r="BE180" i="7"/>
  <c r="BD180" i="7"/>
  <c r="BC180" i="7"/>
  <c r="BB180" i="7"/>
  <c r="BA180" i="7"/>
  <c r="BE128" i="7"/>
  <c r="BD128" i="7"/>
  <c r="BC128" i="7"/>
  <c r="BB128" i="7"/>
  <c r="BA128" i="7"/>
  <c r="BE109" i="7"/>
  <c r="BD109" i="7"/>
  <c r="BC109" i="7"/>
  <c r="BB109" i="7"/>
  <c r="BA109" i="7"/>
  <c r="BE90" i="7"/>
  <c r="BD90" i="7"/>
  <c r="BC90" i="7"/>
  <c r="BB90" i="7"/>
  <c r="BA90" i="7"/>
  <c r="BE35" i="7"/>
  <c r="BD35" i="7"/>
  <c r="BC35" i="7"/>
  <c r="BB35" i="7"/>
  <c r="BA35" i="7"/>
  <c r="BJ141" i="7"/>
  <c r="CI172" i="7" s="1"/>
  <c r="BJ138" i="7"/>
  <c r="BJ137" i="7"/>
  <c r="BJ136" i="7"/>
  <c r="BJ135" i="7"/>
  <c r="BJ134" i="7"/>
  <c r="BJ133" i="7"/>
  <c r="BJ130" i="7"/>
  <c r="BJ129" i="7"/>
  <c r="BJ112" i="7"/>
  <c r="BJ120" i="7" s="1"/>
  <c r="BJ123" i="7" s="1"/>
  <c r="BJ93" i="7"/>
  <c r="BJ101" i="7" s="1"/>
  <c r="BJ104" i="7" s="1"/>
  <c r="BJ45" i="6"/>
  <c r="BJ67" i="69" s="1"/>
  <c r="BJ43" i="6"/>
  <c r="BJ64" i="69" s="1"/>
  <c r="BJ42" i="6"/>
  <c r="BJ65" i="69" s="1"/>
  <c r="BJ41" i="6"/>
  <c r="BJ66" i="69" s="1"/>
  <c r="BJ40" i="6"/>
  <c r="BJ60" i="69" s="1"/>
  <c r="BJ39" i="6"/>
  <c r="BJ63" i="69" s="1"/>
  <c r="BJ19" i="5" l="1"/>
  <c r="BJ34" i="5"/>
  <c r="BJ114" i="9"/>
  <c r="BJ224" i="9" s="1"/>
  <c r="BJ156" i="4"/>
  <c r="BJ136" i="1"/>
  <c r="BJ157" i="1"/>
  <c r="BJ153" i="4"/>
  <c r="BJ160" i="4"/>
  <c r="BJ127" i="1"/>
  <c r="BJ162" i="1"/>
  <c r="BJ103" i="4"/>
  <c r="BJ142" i="4"/>
  <c r="BJ122" i="1"/>
  <c r="BJ12" i="5"/>
  <c r="BJ120" i="5" s="1"/>
  <c r="BJ164" i="1"/>
  <c r="BJ165" i="1" s="1"/>
  <c r="BJ116" i="9"/>
  <c r="BJ130" i="4"/>
  <c r="BJ142" i="1"/>
  <c r="BJ117" i="9"/>
  <c r="BJ151" i="9"/>
  <c r="BJ430" i="7"/>
  <c r="BJ125" i="4"/>
  <c r="BJ127" i="4" s="1"/>
  <c r="BJ76" i="5"/>
  <c r="BJ130" i="5" s="1"/>
  <c r="BJ165" i="9"/>
  <c r="BJ119" i="4"/>
  <c r="BJ122" i="4" s="1"/>
  <c r="BJ146" i="9"/>
  <c r="BJ42" i="7"/>
  <c r="BJ44" i="7"/>
  <c r="BJ36" i="11" s="1"/>
  <c r="BJ37" i="11" s="1"/>
  <c r="BJ538" i="7"/>
  <c r="BJ48" i="7"/>
  <c r="BJ841" i="7"/>
  <c r="BJ37" i="7"/>
  <c r="BJ43" i="7"/>
  <c r="BJ839" i="7"/>
  <c r="BJ41" i="7"/>
  <c r="BJ45" i="7"/>
  <c r="BJ506" i="7"/>
  <c r="BJ843" i="7"/>
  <c r="BJ223" i="9"/>
  <c r="BJ121" i="9"/>
  <c r="BJ122" i="9" s="1"/>
  <c r="BJ113" i="9"/>
  <c r="BJ150" i="9"/>
  <c r="BJ156" i="9"/>
  <c r="BJ166" i="9"/>
  <c r="BJ155" i="9"/>
  <c r="BJ131" i="7"/>
  <c r="BJ171" i="7" s="1"/>
  <c r="BJ36" i="7"/>
  <c r="BJ119" i="10"/>
  <c r="BJ40" i="7"/>
  <c r="BJ221" i="7"/>
  <c r="BJ260" i="7" s="1"/>
  <c r="BJ315" i="7"/>
  <c r="BJ313" i="7"/>
  <c r="BJ316" i="7"/>
  <c r="BJ314" i="7"/>
  <c r="BJ312" i="7"/>
  <c r="BJ416" i="7"/>
  <c r="BJ424" i="7" s="1"/>
  <c r="BJ427" i="7" s="1"/>
  <c r="BJ510" i="7"/>
  <c r="BJ724" i="7"/>
  <c r="BJ726" i="7"/>
  <c r="BJ728" i="7"/>
  <c r="BJ674" i="7"/>
  <c r="BJ672" i="7"/>
  <c r="BJ670" i="7"/>
  <c r="BJ785" i="7"/>
  <c r="BJ787" i="7"/>
  <c r="BJ789" i="7"/>
  <c r="BJ846" i="7"/>
  <c r="BJ522" i="7"/>
  <c r="BJ530" i="7" s="1"/>
  <c r="BJ533" i="7" s="1"/>
  <c r="BJ366" i="7"/>
  <c r="BJ725" i="7"/>
  <c r="BJ727" i="7"/>
  <c r="BJ729" i="7"/>
  <c r="BJ675" i="7"/>
  <c r="BJ673" i="7"/>
  <c r="BJ784" i="7"/>
  <c r="BJ786" i="7"/>
  <c r="BJ788" i="7"/>
  <c r="BJ791" i="7"/>
  <c r="BJ840" i="7"/>
  <c r="BJ842" i="7"/>
  <c r="BJ844" i="7"/>
  <c r="BJ126" i="5"/>
  <c r="BJ132" i="5"/>
  <c r="BJ148" i="5"/>
  <c r="BJ152" i="5"/>
  <c r="BJ156" i="5"/>
  <c r="BJ28" i="5"/>
  <c r="BJ121" i="5"/>
  <c r="BJ133" i="5"/>
  <c r="BJ139" i="5"/>
  <c r="BJ145" i="5"/>
  <c r="BJ149" i="5"/>
  <c r="BJ153" i="5"/>
  <c r="BJ134" i="5"/>
  <c r="BJ140" i="5"/>
  <c r="BJ146" i="5"/>
  <c r="BJ150" i="5"/>
  <c r="BJ154" i="5"/>
  <c r="BJ160" i="5"/>
  <c r="BJ119" i="5"/>
  <c r="BJ125" i="5"/>
  <c r="BJ131" i="5"/>
  <c r="BJ135" i="5"/>
  <c r="BJ141" i="5"/>
  <c r="BJ147" i="5"/>
  <c r="BJ151" i="5"/>
  <c r="BJ155" i="5"/>
  <c r="BJ161" i="5"/>
  <c r="BJ162" i="4"/>
  <c r="BJ136" i="4"/>
  <c r="BJ363" i="7"/>
  <c r="BJ364" i="7"/>
  <c r="BJ365" i="7"/>
  <c r="BJ367" i="7"/>
  <c r="BJ505" i="7"/>
  <c r="BJ509" i="7"/>
  <c r="BJ507" i="7"/>
  <c r="BJ282" i="7"/>
  <c r="BJ318" i="7" s="1"/>
  <c r="BO188" i="9" l="1"/>
  <c r="BO127" i="9"/>
  <c r="BO189" i="9"/>
  <c r="BO126" i="9"/>
  <c r="BJ14" i="5"/>
  <c r="BJ56" i="5" s="1"/>
  <c r="BJ157" i="4"/>
  <c r="BJ164" i="4" s="1"/>
  <c r="BJ226" i="9"/>
  <c r="BJ453" i="7"/>
  <c r="BJ169" i="7"/>
  <c r="BJ173" i="7"/>
  <c r="BJ455" i="7"/>
  <c r="BJ454" i="7"/>
  <c r="BJ460" i="7"/>
  <c r="BJ458" i="7"/>
  <c r="BJ167" i="9"/>
  <c r="BJ157" i="9"/>
  <c r="BJ152" i="9"/>
  <c r="BJ225" i="9"/>
  <c r="BJ457" i="7"/>
  <c r="BJ456" i="7"/>
  <c r="BJ139" i="7"/>
  <c r="CH172" i="7" s="1"/>
  <c r="BJ38" i="7"/>
  <c r="BJ46" i="7" s="1"/>
  <c r="BJ172" i="7"/>
  <c r="BJ170" i="7"/>
  <c r="BJ168" i="7"/>
  <c r="BJ229" i="7"/>
  <c r="BJ263" i="7"/>
  <c r="BJ261" i="7"/>
  <c r="BJ259" i="7"/>
  <c r="BJ264" i="7"/>
  <c r="BJ262" i="7"/>
  <c r="BJ157" i="5"/>
  <c r="U335" i="2"/>
  <c r="V335" i="2"/>
  <c r="W335" i="2"/>
  <c r="X335" i="2"/>
  <c r="Y335" i="2"/>
  <c r="Z335" i="2"/>
  <c r="AA335" i="2"/>
  <c r="AB335" i="2"/>
  <c r="AC335" i="2"/>
  <c r="AD335" i="2"/>
  <c r="AE335" i="2"/>
  <c r="AF335" i="2"/>
  <c r="AG335" i="2"/>
  <c r="AH335" i="2"/>
  <c r="AI335" i="2"/>
  <c r="AJ335" i="2"/>
  <c r="AK335" i="2"/>
  <c r="AL335" i="2"/>
  <c r="AM335" i="2"/>
  <c r="U336" i="2"/>
  <c r="V336" i="2"/>
  <c r="W336" i="2"/>
  <c r="X336" i="2"/>
  <c r="Y336" i="2"/>
  <c r="Z336" i="2"/>
  <c r="AA336" i="2"/>
  <c r="AB336" i="2"/>
  <c r="AC336" i="2"/>
  <c r="AD336" i="2"/>
  <c r="AE336" i="2"/>
  <c r="AF336" i="2"/>
  <c r="AG336" i="2"/>
  <c r="AH336" i="2"/>
  <c r="AI336" i="2"/>
  <c r="AJ336" i="2"/>
  <c r="AK336" i="2"/>
  <c r="AL336" i="2"/>
  <c r="AM336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296" i="2"/>
  <c r="AN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Y296" i="2"/>
  <c r="BJ232" i="7" l="1"/>
  <c r="BJ266" i="7"/>
  <c r="BJ49" i="7"/>
  <c r="BJ9" i="7"/>
  <c r="BJ142" i="7"/>
  <c r="BJ175" i="7"/>
  <c r="AM77" i="30"/>
  <c r="AN77" i="30"/>
  <c r="AM173" i="2"/>
  <c r="AM113" i="2"/>
  <c r="AM50" i="2"/>
  <c r="AM18" i="2"/>
  <c r="AM201" i="3"/>
  <c r="AM181" i="3"/>
  <c r="AM135" i="3"/>
  <c r="AM29" i="3"/>
  <c r="AO77" i="30" l="1"/>
  <c r="CL214" i="13" l="1"/>
  <c r="CI214" i="13"/>
  <c r="CJ56" i="14"/>
  <c r="CI56" i="14"/>
  <c r="CW62" i="6"/>
  <c r="CV62" i="6"/>
  <c r="CU62" i="6"/>
  <c r="CT62" i="6"/>
  <c r="CS62" i="6"/>
  <c r="CQ62" i="6"/>
  <c r="CW57" i="6"/>
  <c r="CV57" i="6"/>
  <c r="CU57" i="6"/>
  <c r="CT57" i="6"/>
  <c r="CS57" i="6"/>
  <c r="CQ57" i="6"/>
  <c r="CN57" i="6"/>
  <c r="CL57" i="6"/>
  <c r="CK57" i="6"/>
  <c r="CJ57" i="6"/>
  <c r="CI57" i="6"/>
  <c r="CH57" i="6"/>
  <c r="CR59" i="6" s="1"/>
  <c r="BJ94" i="14"/>
  <c r="BJ54" i="69"/>
  <c r="BJ53" i="69"/>
  <c r="BJ52" i="69"/>
  <c r="BJ46" i="69"/>
  <c r="BJ43" i="69"/>
  <c r="BJ42" i="69"/>
  <c r="BJ41" i="69"/>
  <c r="BJ35" i="69"/>
  <c r="BJ36" i="69"/>
  <c r="BJ37" i="69"/>
  <c r="BJ82" i="13"/>
  <c r="BJ119" i="12"/>
  <c r="BJ123" i="12"/>
  <c r="BJ124" i="12"/>
  <c r="BJ125" i="12"/>
  <c r="BI113" i="10"/>
  <c r="BI112" i="10"/>
  <c r="BJ17" i="10"/>
  <c r="CC10" i="12"/>
  <c r="CB10" i="12"/>
  <c r="CA10" i="12"/>
  <c r="BZ10" i="12"/>
  <c r="BX10" i="12"/>
  <c r="BW10" i="12"/>
  <c r="BV10" i="12"/>
  <c r="BU10" i="12"/>
  <c r="BS10" i="12"/>
  <c r="BR10" i="12"/>
  <c r="BQ10" i="12"/>
  <c r="BP10" i="12"/>
  <c r="BI47" i="12"/>
  <c r="BH47" i="12"/>
  <c r="BG47" i="12"/>
  <c r="BF47" i="12"/>
  <c r="BI46" i="12"/>
  <c r="BH46" i="12"/>
  <c r="BG46" i="12"/>
  <c r="BF46" i="12"/>
  <c r="BI45" i="12"/>
  <c r="BH45" i="12"/>
  <c r="BG45" i="12"/>
  <c r="BF45" i="12"/>
  <c r="BI109" i="10" l="1"/>
  <c r="BT45" i="6"/>
  <c r="BI36" i="37"/>
  <c r="BJ19" i="12"/>
  <c r="BJ39" i="12" s="1"/>
  <c r="BE19" i="12"/>
  <c r="CD54" i="27" l="1"/>
  <c r="BY54" i="27"/>
  <c r="BT54" i="27"/>
  <c r="BI67" i="6" l="1"/>
  <c r="BI84" i="6" s="1"/>
  <c r="BI101" i="6" s="1"/>
  <c r="BI118" i="6" s="1"/>
  <c r="BI68" i="6"/>
  <c r="BI85" i="6" s="1"/>
  <c r="BI102" i="6" s="1"/>
  <c r="BI119" i="6" s="1"/>
  <c r="BI70" i="6"/>
  <c r="BI87" i="6" s="1"/>
  <c r="BI104" i="6" s="1"/>
  <c r="BI121" i="6" s="1"/>
  <c r="BI71" i="6"/>
  <c r="BI88" i="6" s="1"/>
  <c r="BI105" i="6" s="1"/>
  <c r="BI122" i="6" s="1"/>
  <c r="BI63" i="6"/>
  <c r="BI80" i="6" s="1"/>
  <c r="BI97" i="6" s="1"/>
  <c r="BI114" i="6" s="1"/>
  <c r="BI64" i="6"/>
  <c r="BI81" i="6" s="1"/>
  <c r="BI98" i="6" s="1"/>
  <c r="BI115" i="6" s="1"/>
  <c r="BI66" i="69"/>
  <c r="BI65" i="69"/>
  <c r="BI64" i="69"/>
  <c r="BI63" i="69"/>
  <c r="BI60" i="69"/>
  <c r="BI55" i="69"/>
  <c r="BI73" i="69" s="1"/>
  <c r="BI44" i="69"/>
  <c r="BI38" i="69"/>
  <c r="BI72" i="69" s="1"/>
  <c r="BI27" i="69"/>
  <c r="BI50" i="47"/>
  <c r="BI53" i="47"/>
  <c r="BI54" i="47"/>
  <c r="BI55" i="47"/>
  <c r="BI63" i="37"/>
  <c r="BI64" i="37"/>
  <c r="BI52" i="37"/>
  <c r="BI57" i="37"/>
  <c r="BI73" i="11"/>
  <c r="BI34" i="11"/>
  <c r="BI32" i="11"/>
  <c r="BJ32" i="11" s="1"/>
  <c r="BJ13" i="10"/>
  <c r="BJ12" i="10"/>
  <c r="BJ17" i="69" s="1"/>
  <c r="BI21" i="10"/>
  <c r="BI11" i="10"/>
  <c r="BI89" i="27"/>
  <c r="BI90" i="27"/>
  <c r="BI76" i="27"/>
  <c r="BI83" i="27"/>
  <c r="BI33" i="27"/>
  <c r="BI34" i="27"/>
  <c r="BI36" i="27"/>
  <c r="BI38" i="27"/>
  <c r="BI44" i="27"/>
  <c r="BJ231" i="12"/>
  <c r="BJ230" i="12"/>
  <c r="BJ229" i="12"/>
  <c r="BJ223" i="12"/>
  <c r="BJ220" i="12"/>
  <c r="BJ219" i="12"/>
  <c r="BJ218" i="12"/>
  <c r="BJ217" i="12"/>
  <c r="BJ216" i="12"/>
  <c r="BI215" i="12"/>
  <c r="BI216" i="12"/>
  <c r="BI217" i="12"/>
  <c r="BI218" i="12"/>
  <c r="BI219" i="12"/>
  <c r="BI220" i="12"/>
  <c r="BI222" i="12"/>
  <c r="BI223" i="12"/>
  <c r="BI224" i="12"/>
  <c r="BI225" i="12"/>
  <c r="BI227" i="12"/>
  <c r="BI203" i="12" s="1"/>
  <c r="BI229" i="12"/>
  <c r="BI230" i="12"/>
  <c r="BI231" i="12"/>
  <c r="BI232" i="12"/>
  <c r="BI234" i="12"/>
  <c r="BI235" i="12"/>
  <c r="BI209" i="12"/>
  <c r="BK181" i="12"/>
  <c r="BL181" i="12"/>
  <c r="BM181" i="12"/>
  <c r="BN181" i="12"/>
  <c r="BJ183" i="12"/>
  <c r="BJ182" i="12"/>
  <c r="BJ180" i="12"/>
  <c r="BJ179" i="12"/>
  <c r="BJ178" i="12"/>
  <c r="BJ177" i="12"/>
  <c r="BJ176" i="12"/>
  <c r="BJ175" i="12"/>
  <c r="BJ174" i="12"/>
  <c r="BJ173" i="12"/>
  <c r="BJ55" i="12" s="1"/>
  <c r="BJ169" i="12"/>
  <c r="BJ168" i="12"/>
  <c r="BJ167" i="12"/>
  <c r="BJ166" i="12"/>
  <c r="BJ165" i="12"/>
  <c r="BJ164" i="12"/>
  <c r="BJ163" i="12"/>
  <c r="BJ162" i="12"/>
  <c r="BJ158" i="12"/>
  <c r="BJ157" i="12"/>
  <c r="BJ234" i="12" s="1"/>
  <c r="BJ232" i="12"/>
  <c r="BJ152" i="12"/>
  <c r="BJ227" i="12" s="1"/>
  <c r="BJ151" i="12"/>
  <c r="BJ225" i="12" s="1"/>
  <c r="BJ150" i="12"/>
  <c r="BJ224" i="12" s="1"/>
  <c r="BJ222" i="12"/>
  <c r="BJ141" i="12"/>
  <c r="BJ38" i="12"/>
  <c r="BJ137" i="12"/>
  <c r="BI181" i="12"/>
  <c r="BI57" i="12" s="1"/>
  <c r="BI170" i="12"/>
  <c r="BI49" i="12" s="1"/>
  <c r="BI159" i="12"/>
  <c r="BI43" i="12" s="1"/>
  <c r="BI38" i="12"/>
  <c r="BI39" i="12"/>
  <c r="BI40" i="12"/>
  <c r="BI53" i="12"/>
  <c r="BI54" i="12"/>
  <c r="BI55" i="12"/>
  <c r="BJ64" i="13"/>
  <c r="BJ59" i="13"/>
  <c r="BJ58" i="13"/>
  <c r="BJ57" i="13"/>
  <c r="BJ56" i="13"/>
  <c r="BJ55" i="13"/>
  <c r="BJ54" i="13"/>
  <c r="BJ53" i="13"/>
  <c r="BJ49" i="13"/>
  <c r="BJ46" i="13"/>
  <c r="BJ45" i="13"/>
  <c r="BJ44" i="13"/>
  <c r="BJ43" i="13"/>
  <c r="BJ42" i="13"/>
  <c r="BJ41" i="13"/>
  <c r="BJ36" i="13"/>
  <c r="BJ33" i="13"/>
  <c r="BJ32" i="13"/>
  <c r="BJ31" i="13"/>
  <c r="BJ30" i="13"/>
  <c r="BJ29" i="13"/>
  <c r="BJ28" i="13"/>
  <c r="BJ27" i="13"/>
  <c r="BJ26" i="13"/>
  <c r="BJ22" i="13"/>
  <c r="BJ21" i="13"/>
  <c r="BJ20" i="13"/>
  <c r="BJ19" i="13"/>
  <c r="BJ18" i="13"/>
  <c r="BJ17" i="13"/>
  <c r="BJ16" i="13"/>
  <c r="BJ15" i="13"/>
  <c r="BJ14" i="13"/>
  <c r="BJ13" i="13"/>
  <c r="BJ12" i="13"/>
  <c r="BJ11" i="13"/>
  <c r="BI101" i="14"/>
  <c r="BI200" i="12" l="1"/>
  <c r="BJ45" i="12"/>
  <c r="BI202" i="12"/>
  <c r="BJ47" i="12"/>
  <c r="BI201" i="12"/>
  <c r="BJ34" i="13"/>
  <c r="BJ54" i="12"/>
  <c r="BN57" i="12"/>
  <c r="BN56" i="12" s="1"/>
  <c r="BN184" i="12"/>
  <c r="BN60" i="12" s="1"/>
  <c r="BO181" i="12"/>
  <c r="BO57" i="12" s="1"/>
  <c r="BO56" i="12" s="1"/>
  <c r="BM57" i="12"/>
  <c r="BM56" i="12" s="1"/>
  <c r="BM184" i="12"/>
  <c r="BL57" i="12"/>
  <c r="BL56" i="12" s="1"/>
  <c r="BL184" i="12"/>
  <c r="BL60" i="12" s="1"/>
  <c r="CJ96" i="69"/>
  <c r="CK44" i="69"/>
  <c r="CJ95" i="69"/>
  <c r="BI47" i="69"/>
  <c r="BI49" i="69" s="1"/>
  <c r="BK57" i="12"/>
  <c r="BK56" i="12" s="1"/>
  <c r="BK184" i="12"/>
  <c r="BK60" i="12" s="1"/>
  <c r="BJ215" i="12"/>
  <c r="BJ40" i="12"/>
  <c r="BI204" i="12"/>
  <c r="BI51" i="12"/>
  <c r="BI48" i="12"/>
  <c r="BJ46" i="12"/>
  <c r="BJ53" i="12"/>
  <c r="BJ60" i="13"/>
  <c r="BI67" i="37"/>
  <c r="BI206" i="12"/>
  <c r="BI65" i="37"/>
  <c r="BI91" i="27"/>
  <c r="BI208" i="12"/>
  <c r="BI184" i="12"/>
  <c r="BI60" i="12" s="1"/>
  <c r="BJ170" i="12"/>
  <c r="BJ49" i="12" s="1"/>
  <c r="BJ181" i="12"/>
  <c r="BJ57" i="12" s="1"/>
  <c r="BJ47" i="13"/>
  <c r="BJ50" i="13" s="1"/>
  <c r="BI205" i="12"/>
  <c r="BI56" i="12"/>
  <c r="BN59" i="12" l="1"/>
  <c r="BI59" i="12"/>
  <c r="BL59" i="12"/>
  <c r="BM60" i="12"/>
  <c r="BM59" i="12" s="1"/>
  <c r="BO184" i="12"/>
  <c r="BK59" i="12"/>
  <c r="CI96" i="69"/>
  <c r="CI95" i="69"/>
  <c r="BJ56" i="12"/>
  <c r="BJ48" i="12"/>
  <c r="BO60" i="12" l="1"/>
  <c r="BO59" i="12" s="1"/>
  <c r="AO299" i="30" l="1"/>
  <c r="AO298" i="30"/>
  <c r="AL298" i="30"/>
  <c r="AK298" i="30"/>
  <c r="AJ298" i="30"/>
  <c r="AI298" i="30"/>
  <c r="AH298" i="30"/>
  <c r="AG298" i="30"/>
  <c r="AF298" i="30"/>
  <c r="AE298" i="30"/>
  <c r="AD298" i="30"/>
  <c r="AC298" i="30"/>
  <c r="AB298" i="30"/>
  <c r="AA298" i="30"/>
  <c r="Z298" i="30"/>
  <c r="Y298" i="30"/>
  <c r="AN297" i="30"/>
  <c r="AM297" i="30"/>
  <c r="AO297" i="30" s="1"/>
  <c r="AL297" i="30"/>
  <c r="AK297" i="30"/>
  <c r="AJ297" i="30"/>
  <c r="AI297" i="30"/>
  <c r="AH297" i="30"/>
  <c r="AG297" i="30"/>
  <c r="AF297" i="30"/>
  <c r="AE297" i="30"/>
  <c r="AD297" i="30"/>
  <c r="AC297" i="30"/>
  <c r="AB297" i="30"/>
  <c r="AA297" i="30"/>
  <c r="Z297" i="30"/>
  <c r="Y297" i="30"/>
  <c r="B346" i="3" l="1"/>
  <c r="AM91" i="30" l="1"/>
  <c r="AO91" i="30" s="1"/>
  <c r="AN91" i="30"/>
  <c r="AM92" i="30"/>
  <c r="AO92" i="30" s="1"/>
  <c r="AN92" i="30"/>
  <c r="AM93" i="30"/>
  <c r="AO93" i="30" s="1"/>
  <c r="AN93" i="30"/>
  <c r="AM94" i="30"/>
  <c r="AO94" i="30" s="1"/>
  <c r="AN94" i="30"/>
  <c r="AM95" i="30"/>
  <c r="AO95" i="30" s="1"/>
  <c r="AN95" i="30"/>
  <c r="AM96" i="30"/>
  <c r="AO96" i="30" s="1"/>
  <c r="AN96" i="30"/>
  <c r="AM97" i="30"/>
  <c r="AO97" i="30" s="1"/>
  <c r="AN97" i="30"/>
  <c r="AM99" i="30"/>
  <c r="AO99" i="30" s="1"/>
  <c r="AN99" i="30"/>
  <c r="AM100" i="30"/>
  <c r="AO100" i="30" s="1"/>
  <c r="AN100" i="30"/>
  <c r="AM101" i="30"/>
  <c r="AO101" i="30" s="1"/>
  <c r="AN101" i="30"/>
  <c r="AM102" i="30"/>
  <c r="AO102" i="30" s="1"/>
  <c r="AN102" i="30"/>
  <c r="AM103" i="30"/>
  <c r="AO103" i="30" s="1"/>
  <c r="AN103" i="30"/>
  <c r="AM104" i="30"/>
  <c r="AO104" i="30" s="1"/>
  <c r="AN104" i="30"/>
  <c r="AM105" i="30"/>
  <c r="AO105" i="30" s="1"/>
  <c r="AN105" i="30"/>
  <c r="AM106" i="30"/>
  <c r="AO106" i="30" s="1"/>
  <c r="AN106" i="30"/>
  <c r="AM107" i="30"/>
  <c r="AO107" i="30" s="1"/>
  <c r="AN107" i="30"/>
  <c r="AM108" i="30"/>
  <c r="AO108" i="30" s="1"/>
  <c r="AN108" i="30"/>
  <c r="AM109" i="30"/>
  <c r="AN109" i="30"/>
  <c r="AM110" i="30"/>
  <c r="AO110" i="30" s="1"/>
  <c r="AN110" i="30"/>
  <c r="AM217" i="2"/>
  <c r="AM218" i="2"/>
  <c r="AM219" i="2"/>
  <c r="AM220" i="2"/>
  <c r="AM221" i="2"/>
  <c r="AM222" i="2"/>
  <c r="AM223" i="2"/>
  <c r="AM224" i="2"/>
  <c r="AM225" i="2"/>
  <c r="AM226" i="2"/>
  <c r="AM227" i="2"/>
  <c r="AM228" i="2"/>
  <c r="AM229" i="2"/>
  <c r="AM230" i="2"/>
  <c r="AM231" i="2"/>
  <c r="AM232" i="2"/>
  <c r="AM233" i="2"/>
  <c r="AM234" i="2"/>
  <c r="AM235" i="2"/>
  <c r="AM236" i="2"/>
  <c r="AM237" i="2"/>
  <c r="AM238" i="2"/>
  <c r="AM239" i="2"/>
  <c r="AM240" i="2"/>
  <c r="AM241" i="2"/>
  <c r="AM162" i="2"/>
  <c r="AM112" i="2"/>
  <c r="AM78" i="2"/>
  <c r="AM79" i="2"/>
  <c r="AM80" i="2"/>
  <c r="AM82" i="2"/>
  <c r="AM83" i="2"/>
  <c r="AM84" i="2"/>
  <c r="AM85" i="2"/>
  <c r="AM86" i="2"/>
  <c r="AM87" i="2"/>
  <c r="AM88" i="2"/>
  <c r="AM89" i="2"/>
  <c r="AM90" i="2"/>
  <c r="AM91" i="2"/>
  <c r="AM93" i="2"/>
  <c r="AM94" i="2"/>
  <c r="AM95" i="2"/>
  <c r="AM96" i="2"/>
  <c r="AM75" i="2"/>
  <c r="AM76" i="2"/>
  <c r="AM77" i="2"/>
  <c r="AM71" i="2"/>
  <c r="AM72" i="2"/>
  <c r="AM73" i="2"/>
  <c r="AO109" i="30" l="1"/>
  <c r="AM244" i="3"/>
  <c r="AM245" i="3"/>
  <c r="AM246" i="3"/>
  <c r="AM247" i="3"/>
  <c r="AM248" i="3"/>
  <c r="AM249" i="3"/>
  <c r="AM250" i="3"/>
  <c r="AM251" i="3"/>
  <c r="AM252" i="3"/>
  <c r="AM253" i="3"/>
  <c r="AM254" i="3"/>
  <c r="AM255" i="3"/>
  <c r="AM256" i="3"/>
  <c r="AM257" i="3"/>
  <c r="AM258" i="3"/>
  <c r="AM243" i="3"/>
  <c r="AM178" i="3"/>
  <c r="AM134" i="3"/>
  <c r="AM115" i="3"/>
  <c r="AM116" i="3"/>
  <c r="AM117" i="3"/>
  <c r="AM118" i="3"/>
  <c r="AM114" i="3"/>
  <c r="AM113" i="3"/>
  <c r="AM111" i="3"/>
  <c r="AM112" i="3"/>
  <c r="AM109" i="3"/>
  <c r="AM110" i="3"/>
  <c r="AM108" i="3"/>
  <c r="AM106" i="3"/>
  <c r="AM105" i="3"/>
  <c r="AM100" i="3"/>
  <c r="AM101" i="3"/>
  <c r="AM102" i="3"/>
  <c r="AM103" i="3"/>
  <c r="AM104" i="3"/>
  <c r="AM94" i="3"/>
  <c r="AM95" i="3"/>
  <c r="AM96" i="3"/>
  <c r="AM97" i="3"/>
  <c r="AM98" i="3"/>
  <c r="AM90" i="3"/>
  <c r="AM91" i="3"/>
  <c r="AM92" i="3"/>
  <c r="CD62" i="27" l="1"/>
  <c r="BY62" i="27"/>
  <c r="BT62" i="27"/>
  <c r="CD55" i="69"/>
  <c r="BY55" i="69"/>
  <c r="BT55" i="69"/>
  <c r="CD359" i="1"/>
  <c r="BY359" i="1"/>
  <c r="BT359" i="1"/>
  <c r="CL213" i="13" l="1"/>
  <c r="CI213" i="13"/>
  <c r="CL219" i="13"/>
  <c r="CI219" i="13"/>
  <c r="CL212" i="13"/>
  <c r="CI212" i="13"/>
  <c r="CJ55" i="14"/>
  <c r="CI55" i="14"/>
  <c r="CL62" i="6"/>
  <c r="CW56" i="6"/>
  <c r="CV56" i="6"/>
  <c r="CU56" i="6"/>
  <c r="CT56" i="6"/>
  <c r="CS56" i="6"/>
  <c r="CQ56" i="6"/>
  <c r="CN56" i="6"/>
  <c r="CL56" i="6"/>
  <c r="CK56" i="6"/>
  <c r="CJ56" i="6"/>
  <c r="CI56" i="6"/>
  <c r="CH56" i="6"/>
  <c r="CR62" i="6" l="1"/>
  <c r="CR58" i="6"/>
  <c r="BH70" i="6"/>
  <c r="BH71" i="6"/>
  <c r="BH63" i="6"/>
  <c r="BH80" i="6" s="1"/>
  <c r="BH97" i="6" s="1"/>
  <c r="BH114" i="6" s="1"/>
  <c r="BH64" i="6"/>
  <c r="BH81" i="6" s="1"/>
  <c r="BH98" i="6" s="1"/>
  <c r="BH115" i="6" s="1"/>
  <c r="BH67" i="6"/>
  <c r="BH68" i="6"/>
  <c r="BH60" i="69"/>
  <c r="BH63" i="69"/>
  <c r="BH64" i="69"/>
  <c r="BH65" i="69"/>
  <c r="BH66" i="69"/>
  <c r="BH67" i="69"/>
  <c r="BH55" i="69"/>
  <c r="BH73" i="69" s="1"/>
  <c r="BH44" i="69"/>
  <c r="BH47" i="69" s="1"/>
  <c r="BH38" i="69"/>
  <c r="BH27" i="69"/>
  <c r="BH55" i="47"/>
  <c r="BH54" i="47"/>
  <c r="BH53" i="47"/>
  <c r="BH23" i="47"/>
  <c r="BH50" i="47" s="1"/>
  <c r="BH64" i="37"/>
  <c r="BH52" i="37"/>
  <c r="BH57" i="37"/>
  <c r="BH34" i="11"/>
  <c r="BH32" i="11"/>
  <c r="BH113" i="10"/>
  <c r="BH112" i="10"/>
  <c r="BH21" i="10"/>
  <c r="BH11" i="10"/>
  <c r="BH89" i="27"/>
  <c r="BH90" i="27"/>
  <c r="BH83" i="27"/>
  <c r="BH76" i="27"/>
  <c r="BH33" i="27"/>
  <c r="BH34" i="27"/>
  <c r="BH36" i="27"/>
  <c r="BH38" i="27"/>
  <c r="BH44" i="27"/>
  <c r="BH215" i="12"/>
  <c r="BH216" i="12"/>
  <c r="BH217" i="12"/>
  <c r="BH218" i="12"/>
  <c r="BH219" i="12"/>
  <c r="BH220" i="12"/>
  <c r="BH222" i="12"/>
  <c r="BH223" i="12"/>
  <c r="BH224" i="12"/>
  <c r="BH225" i="12"/>
  <c r="BH227" i="12"/>
  <c r="BH203" i="12" s="1"/>
  <c r="BH229" i="12"/>
  <c r="BH230" i="12"/>
  <c r="BH231" i="12"/>
  <c r="BH232" i="12"/>
  <c r="BH234" i="12"/>
  <c r="BH235" i="12"/>
  <c r="BH209" i="12"/>
  <c r="BH194" i="12"/>
  <c r="BH196" i="12"/>
  <c r="BH181" i="12"/>
  <c r="BH57" i="12" s="1"/>
  <c r="BH170" i="12"/>
  <c r="BH49" i="12" s="1"/>
  <c r="BH48" i="12" s="1"/>
  <c r="BH159" i="12"/>
  <c r="BH43" i="12" s="1"/>
  <c r="BH38" i="12"/>
  <c r="BH39" i="12"/>
  <c r="BH40" i="12"/>
  <c r="BH53" i="12"/>
  <c r="BH54" i="12"/>
  <c r="BH55" i="12"/>
  <c r="BH101" i="14"/>
  <c r="BH51" i="12" l="1"/>
  <c r="BH206" i="12"/>
  <c r="BH201" i="12"/>
  <c r="BH91" i="27"/>
  <c r="BH49" i="69"/>
  <c r="BH75" i="69" s="1"/>
  <c r="BH14" i="10"/>
  <c r="BH19" i="10" s="1"/>
  <c r="BH205" i="12"/>
  <c r="BH109" i="10"/>
  <c r="BH84" i="6"/>
  <c r="BH101" i="6" s="1"/>
  <c r="BH118" i="6" s="1"/>
  <c r="BH87" i="6"/>
  <c r="BH104" i="6" s="1"/>
  <c r="BH121" i="6" s="1"/>
  <c r="BH85" i="6"/>
  <c r="BH102" i="6" s="1"/>
  <c r="BH119" i="6" s="1"/>
  <c r="BH88" i="6"/>
  <c r="BH105" i="6" s="1"/>
  <c r="BH122" i="6" s="1"/>
  <c r="BH195" i="12"/>
  <c r="BH72" i="69"/>
  <c r="CJ44" i="69" s="1"/>
  <c r="BH184" i="12"/>
  <c r="BH60" i="12" s="1"/>
  <c r="BH208" i="12"/>
  <c r="BH204" i="12"/>
  <c r="BH202" i="12"/>
  <c r="BH200" i="12"/>
  <c r="BH56" i="12"/>
  <c r="BH59" i="12" l="1"/>
  <c r="BH76" i="69"/>
  <c r="AM56" i="30" l="1"/>
  <c r="AO56" i="30" s="1"/>
  <c r="AN56" i="30"/>
  <c r="AM57" i="30"/>
  <c r="AO57" i="30" s="1"/>
  <c r="AN57" i="30"/>
  <c r="AM58" i="30"/>
  <c r="AO58" i="30" s="1"/>
  <c r="AN58" i="30"/>
  <c r="AM59" i="30"/>
  <c r="AO59" i="30" s="1"/>
  <c r="AN59" i="30"/>
  <c r="AM60" i="30"/>
  <c r="AO60" i="30" s="1"/>
  <c r="AN60" i="30"/>
  <c r="AM61" i="30"/>
  <c r="AO61" i="30" s="1"/>
  <c r="AN61" i="30"/>
  <c r="AM62" i="30"/>
  <c r="AO62" i="30" s="1"/>
  <c r="AN62" i="30"/>
  <c r="AM63" i="30"/>
  <c r="AO63" i="30" s="1"/>
  <c r="AN63" i="30"/>
  <c r="AM64" i="30"/>
  <c r="AO64" i="30" s="1"/>
  <c r="AN64" i="30"/>
  <c r="AM65" i="30"/>
  <c r="AO65" i="30" s="1"/>
  <c r="AN65" i="30"/>
  <c r="AM66" i="30"/>
  <c r="AN66" i="30"/>
  <c r="AM33" i="2"/>
  <c r="AM34" i="2"/>
  <c r="AM35" i="2"/>
  <c r="AM36" i="2"/>
  <c r="AM11" i="2"/>
  <c r="AM53" i="3"/>
  <c r="AM54" i="3"/>
  <c r="AO66" i="30" l="1"/>
  <c r="CJ37" i="7" l="1"/>
  <c r="CJ38" i="7"/>
  <c r="CJ36" i="7"/>
  <c r="AA41" i="12" l="1"/>
  <c r="Z41" i="12"/>
  <c r="Y41" i="12"/>
  <c r="X41" i="12"/>
  <c r="W41" i="12"/>
  <c r="V41" i="12"/>
  <c r="U41" i="12"/>
  <c r="T41" i="12"/>
  <c r="S41" i="12"/>
  <c r="R41" i="12"/>
  <c r="Q41" i="12"/>
  <c r="P41" i="12"/>
  <c r="O41" i="12"/>
  <c r="N41" i="12"/>
  <c r="M41" i="12"/>
  <c r="L41" i="12"/>
  <c r="K41" i="12"/>
  <c r="J41" i="12"/>
  <c r="I41" i="12"/>
  <c r="H41" i="12"/>
  <c r="G41" i="12"/>
  <c r="F41" i="12"/>
  <c r="AC100" i="47"/>
  <c r="AB100" i="47"/>
  <c r="AB97" i="47"/>
  <c r="AF96" i="47"/>
  <c r="AK96" i="47"/>
  <c r="AP96" i="47"/>
  <c r="AU96" i="47"/>
  <c r="AZ96" i="47"/>
  <c r="BB99" i="47"/>
  <c r="BB41" i="12" s="1"/>
  <c r="BD99" i="47"/>
  <c r="BD41" i="12" s="1"/>
  <c r="BG99" i="47"/>
  <c r="BG41" i="12" s="1"/>
  <c r="EQ78" i="47"/>
  <c r="AB99" i="47" l="1"/>
  <c r="AB41" i="12" s="1"/>
  <c r="BD96" i="47" l="1"/>
  <c r="BB96" i="47"/>
  <c r="BG96" i="47"/>
  <c r="BA97" i="47"/>
  <c r="BF97" i="47"/>
  <c r="CD15" i="47"/>
  <c r="BY15" i="47"/>
  <c r="BT15" i="47"/>
  <c r="CC11" i="47"/>
  <c r="CB11" i="47"/>
  <c r="CA11" i="47"/>
  <c r="BZ11" i="47"/>
  <c r="BX11" i="47"/>
  <c r="BW11" i="47"/>
  <c r="BV11" i="47"/>
  <c r="BU11" i="47"/>
  <c r="BS11" i="47"/>
  <c r="BR11" i="47"/>
  <c r="BQ11" i="47"/>
  <c r="BP11" i="47"/>
  <c r="CD10" i="47"/>
  <c r="BY10" i="47"/>
  <c r="BT10" i="47"/>
  <c r="BJ15" i="47"/>
  <c r="BN11" i="47"/>
  <c r="BM11" i="47"/>
  <c r="BM14" i="47" s="1"/>
  <c r="BL11" i="47"/>
  <c r="BL14" i="47" s="1"/>
  <c r="BK11" i="47"/>
  <c r="BO11" i="47" l="1"/>
  <c r="BC97" i="47"/>
  <c r="BA99" i="47"/>
  <c r="BA41" i="12" s="1"/>
  <c r="BF96" i="47"/>
  <c r="BF99" i="47"/>
  <c r="BF41" i="12" s="1"/>
  <c r="CD11" i="47"/>
  <c r="BT11" i="47"/>
  <c r="BY11" i="47"/>
  <c r="BJ204" i="12"/>
  <c r="BJ203" i="12"/>
  <c r="BJ202" i="12"/>
  <c r="BJ201" i="12"/>
  <c r="BJ200" i="12"/>
  <c r="BJ196" i="12"/>
  <c r="BI196" i="12"/>
  <c r="CD19" i="12"/>
  <c r="BY19" i="12"/>
  <c r="BT19" i="12"/>
  <c r="BO19" i="12"/>
  <c r="BO39" i="12" s="1"/>
  <c r="BJ209" i="12"/>
  <c r="BJ205" i="12" s="1"/>
  <c r="F19" i="12"/>
  <c r="G19" i="12"/>
  <c r="L19" i="12"/>
  <c r="L209" i="12" s="1"/>
  <c r="Q19" i="12"/>
  <c r="Q209" i="12" s="1"/>
  <c r="V19" i="12"/>
  <c r="V209" i="12" s="1"/>
  <c r="AA19" i="12"/>
  <c r="AA209" i="12" s="1"/>
  <c r="AF19" i="12"/>
  <c r="AF209" i="12" s="1"/>
  <c r="AF39" i="12"/>
  <c r="BG235" i="12"/>
  <c r="BG234" i="12"/>
  <c r="BG232" i="12"/>
  <c r="BG231" i="12"/>
  <c r="BG230" i="12"/>
  <c r="BG229" i="12"/>
  <c r="BG227" i="12"/>
  <c r="BG203" i="12" s="1"/>
  <c r="BG225" i="12"/>
  <c r="BG224" i="12"/>
  <c r="BG223" i="12"/>
  <c r="BG222" i="12"/>
  <c r="BG220" i="12"/>
  <c r="BG219" i="12"/>
  <c r="BG218" i="12"/>
  <c r="BG217" i="12"/>
  <c r="BG216" i="12"/>
  <c r="BG215" i="12"/>
  <c r="BF235" i="12"/>
  <c r="BF234" i="12"/>
  <c r="BF232" i="12"/>
  <c r="BF231" i="12"/>
  <c r="BF230" i="12"/>
  <c r="BF229" i="12"/>
  <c r="BF227" i="12"/>
  <c r="BF203" i="12" s="1"/>
  <c r="BF225" i="12"/>
  <c r="BF224" i="12"/>
  <c r="BF223" i="12"/>
  <c r="BF222" i="12"/>
  <c r="BF220" i="12"/>
  <c r="BF219" i="12"/>
  <c r="BF218" i="12"/>
  <c r="BF217" i="12"/>
  <c r="BF216" i="12"/>
  <c r="BF215" i="12"/>
  <c r="BG209" i="12"/>
  <c r="BF209" i="12"/>
  <c r="BG196" i="12"/>
  <c r="BG194" i="12"/>
  <c r="BF196" i="12"/>
  <c r="BF194" i="12"/>
  <c r="L235" i="12"/>
  <c r="L234" i="12"/>
  <c r="L232" i="12"/>
  <c r="L231" i="12"/>
  <c r="L230" i="12"/>
  <c r="L229" i="12"/>
  <c r="L227" i="12"/>
  <c r="L203" i="12" s="1"/>
  <c r="L225" i="12"/>
  <c r="L224" i="12"/>
  <c r="L223" i="12"/>
  <c r="L222" i="12"/>
  <c r="L220" i="12"/>
  <c r="L219" i="12"/>
  <c r="L218" i="12"/>
  <c r="L217" i="12"/>
  <c r="L216" i="12"/>
  <c r="L215" i="12"/>
  <c r="L196" i="12"/>
  <c r="L195" i="12"/>
  <c r="L194" i="12"/>
  <c r="Q235" i="12"/>
  <c r="Q234" i="12"/>
  <c r="Q232" i="12"/>
  <c r="Q231" i="12"/>
  <c r="Q230" i="12"/>
  <c r="Q229" i="12"/>
  <c r="Q227" i="12"/>
  <c r="Q203" i="12" s="1"/>
  <c r="Q225" i="12"/>
  <c r="Q224" i="12"/>
  <c r="Q223" i="12"/>
  <c r="Q222" i="12"/>
  <c r="Q220" i="12"/>
  <c r="Q219" i="12"/>
  <c r="Q218" i="12"/>
  <c r="Q217" i="12"/>
  <c r="Q216" i="12"/>
  <c r="Q215" i="12"/>
  <c r="Q196" i="12"/>
  <c r="Q195" i="12"/>
  <c r="Q194" i="12"/>
  <c r="V235" i="12"/>
  <c r="V234" i="12"/>
  <c r="V232" i="12"/>
  <c r="V231" i="12"/>
  <c r="V230" i="12"/>
  <c r="V229" i="12"/>
  <c r="V227" i="12"/>
  <c r="V203" i="12" s="1"/>
  <c r="V225" i="12"/>
  <c r="V224" i="12"/>
  <c r="V223" i="12"/>
  <c r="V222" i="12"/>
  <c r="V220" i="12"/>
  <c r="V219" i="12"/>
  <c r="V218" i="12"/>
  <c r="V217" i="12"/>
  <c r="V216" i="12"/>
  <c r="V215" i="12"/>
  <c r="V196" i="12"/>
  <c r="V195" i="12"/>
  <c r="V194" i="12"/>
  <c r="AA235" i="12"/>
  <c r="AA234" i="12"/>
  <c r="AA232" i="12"/>
  <c r="AA231" i="12"/>
  <c r="AA230" i="12"/>
  <c r="AA229" i="12"/>
  <c r="AA227" i="12"/>
  <c r="AA203" i="12" s="1"/>
  <c r="AA225" i="12"/>
  <c r="AA224" i="12"/>
  <c r="AA223" i="12"/>
  <c r="AA222" i="12"/>
  <c r="AA220" i="12"/>
  <c r="AA219" i="12"/>
  <c r="AA218" i="12"/>
  <c r="AA217" i="12"/>
  <c r="AA216" i="12"/>
  <c r="AA215" i="12"/>
  <c r="AA196" i="12"/>
  <c r="AA195" i="12"/>
  <c r="AA194" i="12"/>
  <c r="AF235" i="12"/>
  <c r="AF234" i="12"/>
  <c r="AF232" i="12"/>
  <c r="AF231" i="12"/>
  <c r="AF230" i="12"/>
  <c r="AF229" i="12"/>
  <c r="AF227" i="12"/>
  <c r="AF203" i="12" s="1"/>
  <c r="AF225" i="12"/>
  <c r="AF224" i="12"/>
  <c r="AF223" i="12"/>
  <c r="AF222" i="12"/>
  <c r="AF220" i="12"/>
  <c r="AF219" i="12"/>
  <c r="AF218" i="12"/>
  <c r="AF217" i="12"/>
  <c r="AF216" i="12"/>
  <c r="AF215" i="12"/>
  <c r="AF196" i="12"/>
  <c r="AF195" i="12"/>
  <c r="AF194" i="12"/>
  <c r="AK232" i="12"/>
  <c r="AK231" i="12"/>
  <c r="AK230" i="12"/>
  <c r="AK229" i="12"/>
  <c r="AK227" i="12"/>
  <c r="AK203" i="12" s="1"/>
  <c r="AK225" i="12"/>
  <c r="AK224" i="12"/>
  <c r="AK223" i="12"/>
  <c r="AK222" i="12"/>
  <c r="AK220" i="12"/>
  <c r="AK219" i="12"/>
  <c r="AK218" i="12"/>
  <c r="AK217" i="12"/>
  <c r="AK216" i="12"/>
  <c r="AK215" i="12"/>
  <c r="AK196" i="12"/>
  <c r="AK195" i="12"/>
  <c r="AP232" i="12"/>
  <c r="AP231" i="12"/>
  <c r="AP230" i="12"/>
  <c r="AP229" i="12"/>
  <c r="AP227" i="12"/>
  <c r="AP203" i="12" s="1"/>
  <c r="AP225" i="12"/>
  <c r="AP224" i="12"/>
  <c r="AP223" i="12"/>
  <c r="AP222" i="12"/>
  <c r="AP220" i="12"/>
  <c r="AP219" i="12"/>
  <c r="AP218" i="12"/>
  <c r="AP217" i="12"/>
  <c r="AP216" i="12"/>
  <c r="AP215" i="12"/>
  <c r="AP195" i="12"/>
  <c r="AU234" i="12"/>
  <c r="AU232" i="12"/>
  <c r="AU231" i="12"/>
  <c r="AU230" i="12"/>
  <c r="AU229" i="12"/>
  <c r="AU227" i="12"/>
  <c r="AU203" i="12" s="1"/>
  <c r="AU225" i="12"/>
  <c r="AU224" i="12"/>
  <c r="AU223" i="12"/>
  <c r="AU222" i="12"/>
  <c r="AU220" i="12"/>
  <c r="AU219" i="12"/>
  <c r="AU218" i="12"/>
  <c r="AU217" i="12"/>
  <c r="AU216" i="12"/>
  <c r="AU215" i="12"/>
  <c r="AU196" i="12"/>
  <c r="AZ234" i="12"/>
  <c r="AZ232" i="12"/>
  <c r="AZ231" i="12"/>
  <c r="AZ230" i="12"/>
  <c r="AZ229" i="12"/>
  <c r="AZ227" i="12"/>
  <c r="AZ203" i="12" s="1"/>
  <c r="AZ225" i="12"/>
  <c r="AZ224" i="12"/>
  <c r="AZ223" i="12"/>
  <c r="AZ222" i="12"/>
  <c r="AZ220" i="12"/>
  <c r="AZ219" i="12"/>
  <c r="AZ218" i="12"/>
  <c r="AZ217" i="12"/>
  <c r="AZ216" i="12"/>
  <c r="AZ215" i="12"/>
  <c r="AZ196" i="12"/>
  <c r="BE196" i="12"/>
  <c r="BE215" i="12"/>
  <c r="BE216" i="12"/>
  <c r="BE217" i="12"/>
  <c r="BE218" i="12"/>
  <c r="BE219" i="12"/>
  <c r="BE220" i="12"/>
  <c r="BE222" i="12"/>
  <c r="BE223" i="12"/>
  <c r="BE224" i="12"/>
  <c r="BE225" i="12"/>
  <c r="BE227" i="12"/>
  <c r="BE203" i="12" s="1"/>
  <c r="BE229" i="12"/>
  <c r="BE230" i="12"/>
  <c r="BE231" i="12"/>
  <c r="BE232" i="12"/>
  <c r="BE234" i="12"/>
  <c r="L200" i="12" l="1"/>
  <c r="AA202" i="12"/>
  <c r="Q202" i="12"/>
  <c r="AA201" i="12"/>
  <c r="L201" i="12"/>
  <c r="AP202" i="12"/>
  <c r="AZ201" i="12"/>
  <c r="AU201" i="12"/>
  <c r="AF200" i="12"/>
  <c r="AF202" i="12"/>
  <c r="AU204" i="12"/>
  <c r="AP201" i="12"/>
  <c r="V202" i="12"/>
  <c r="Q205" i="12"/>
  <c r="AF206" i="12"/>
  <c r="BG200" i="12"/>
  <c r="BG202" i="12"/>
  <c r="BC96" i="47"/>
  <c r="BC99" i="47"/>
  <c r="BC41" i="12" s="1"/>
  <c r="AA200" i="12"/>
  <c r="Q201" i="12"/>
  <c r="BF202" i="12"/>
  <c r="AK200" i="12"/>
  <c r="AK202" i="12"/>
  <c r="Q200" i="12"/>
  <c r="Q206" i="12"/>
  <c r="AU200" i="12"/>
  <c r="AU202" i="12"/>
  <c r="AF204" i="12"/>
  <c r="AA204" i="12"/>
  <c r="AA206" i="12"/>
  <c r="V201" i="12"/>
  <c r="L202" i="12"/>
  <c r="BF205" i="12"/>
  <c r="BG201" i="12"/>
  <c r="BG204" i="12"/>
  <c r="V206" i="12"/>
  <c r="AK201" i="12"/>
  <c r="BF206" i="12"/>
  <c r="AZ202" i="12"/>
  <c r="L205" i="12"/>
  <c r="L204" i="12"/>
  <c r="BF200" i="12"/>
  <c r="BG205" i="12"/>
  <c r="BG206" i="12"/>
  <c r="BE201" i="12"/>
  <c r="AP200" i="12"/>
  <c r="AP204" i="12"/>
  <c r="AA205" i="12"/>
  <c r="L206" i="12"/>
  <c r="BF201" i="12"/>
  <c r="BF204" i="12"/>
  <c r="BE204" i="12"/>
  <c r="AZ200" i="12"/>
  <c r="AK204" i="12"/>
  <c r="AF201" i="12"/>
  <c r="V200" i="12"/>
  <c r="V204" i="12"/>
  <c r="V205" i="12"/>
  <c r="BE202" i="12"/>
  <c r="BE200" i="12"/>
  <c r="AZ204" i="12"/>
  <c r="Q204" i="12"/>
  <c r="AF205" i="12"/>
  <c r="AB68" i="37" l="1"/>
  <c r="Z68" i="37"/>
  <c r="Y68" i="37"/>
  <c r="X68" i="37"/>
  <c r="W68" i="37"/>
  <c r="U68" i="37"/>
  <c r="T68" i="37"/>
  <c r="S68" i="37"/>
  <c r="R68" i="37"/>
  <c r="P68" i="37"/>
  <c r="O68" i="37"/>
  <c r="N68" i="37"/>
  <c r="M68" i="37"/>
  <c r="BP45" i="13"/>
  <c r="BQ45" i="13" s="1"/>
  <c r="BR45" i="13" s="1"/>
  <c r="BS45" i="13" s="1"/>
  <c r="BT45" i="13" s="1"/>
  <c r="BU45" i="13" s="1"/>
  <c r="BV45" i="13" s="1"/>
  <c r="BW45" i="13" s="1"/>
  <c r="BX45" i="13" s="1"/>
  <c r="BY45" i="13" s="1"/>
  <c r="BZ45" i="13" s="1"/>
  <c r="CA45" i="13" s="1"/>
  <c r="CB45" i="13" s="1"/>
  <c r="CC45" i="13" s="1"/>
  <c r="CD45" i="13" s="1"/>
  <c r="BG64" i="37"/>
  <c r="BF64" i="37"/>
  <c r="BD64" i="37"/>
  <c r="BC64" i="37"/>
  <c r="BB64" i="37"/>
  <c r="BA64" i="37"/>
  <c r="AY64" i="37"/>
  <c r="AX64" i="37"/>
  <c r="AW64" i="37"/>
  <c r="AV64" i="37"/>
  <c r="AU64" i="37"/>
  <c r="AT64" i="37"/>
  <c r="AS64" i="37"/>
  <c r="AR64" i="37"/>
  <c r="AQ64" i="37"/>
  <c r="AO64" i="37"/>
  <c r="AN64" i="37"/>
  <c r="AM64" i="37"/>
  <c r="AL64" i="37"/>
  <c r="AJ64" i="37"/>
  <c r="AI64" i="37"/>
  <c r="AH64" i="37"/>
  <c r="AG64" i="37"/>
  <c r="AF64" i="37"/>
  <c r="AE64" i="37"/>
  <c r="AD64" i="37"/>
  <c r="AC64" i="37"/>
  <c r="AB64" i="37"/>
  <c r="AA64" i="37"/>
  <c r="Z64" i="37"/>
  <c r="Y64" i="37"/>
  <c r="X64" i="37"/>
  <c r="W64" i="37"/>
  <c r="V64" i="37"/>
  <c r="U64" i="37"/>
  <c r="T64" i="37"/>
  <c r="S64" i="37"/>
  <c r="R64" i="37"/>
  <c r="Q64" i="37"/>
  <c r="P64" i="37"/>
  <c r="O64" i="37"/>
  <c r="N64" i="37"/>
  <c r="M64" i="37"/>
  <c r="L64" i="37"/>
  <c r="K64" i="37"/>
  <c r="J64" i="37"/>
  <c r="I64" i="37"/>
  <c r="H64" i="37"/>
  <c r="BG63" i="37"/>
  <c r="BF63" i="37"/>
  <c r="BD63" i="37"/>
  <c r="BC63" i="37"/>
  <c r="BB63" i="37"/>
  <c r="BA63" i="37"/>
  <c r="AY63" i="37"/>
  <c r="AX63" i="37"/>
  <c r="AW63" i="37"/>
  <c r="AV63" i="37"/>
  <c r="AT63" i="37"/>
  <c r="AS63" i="37"/>
  <c r="AR63" i="37"/>
  <c r="AQ63" i="37"/>
  <c r="AO63" i="37"/>
  <c r="AN63" i="37"/>
  <c r="AM63" i="37"/>
  <c r="AL63" i="37"/>
  <c r="AJ63" i="37"/>
  <c r="AF63" i="37"/>
  <c r="AA63" i="37"/>
  <c r="Z63" i="37"/>
  <c r="Y63" i="37"/>
  <c r="X63" i="37"/>
  <c r="W63" i="37"/>
  <c r="V63" i="37"/>
  <c r="U63" i="37"/>
  <c r="T63" i="37"/>
  <c r="S63" i="37"/>
  <c r="R63" i="37"/>
  <c r="Q63" i="37"/>
  <c r="P63" i="37"/>
  <c r="O63" i="37"/>
  <c r="N63" i="37"/>
  <c r="M63" i="37"/>
  <c r="L63" i="37"/>
  <c r="K63" i="37"/>
  <c r="J63" i="37"/>
  <c r="I63" i="37"/>
  <c r="H63" i="37"/>
  <c r="AA65" i="37" l="1"/>
  <c r="AN65" i="37"/>
  <c r="H65" i="37"/>
  <c r="L65" i="37"/>
  <c r="P65" i="37"/>
  <c r="T65" i="37"/>
  <c r="X65" i="37"/>
  <c r="AF65" i="37"/>
  <c r="AJ65" i="37"/>
  <c r="AW65" i="37"/>
  <c r="AZ63" i="37"/>
  <c r="BE63" i="37"/>
  <c r="AR65" i="37"/>
  <c r="AV65" i="37"/>
  <c r="BA65" i="37"/>
  <c r="BF65" i="37"/>
  <c r="AO65" i="37"/>
  <c r="AS65" i="37"/>
  <c r="BB65" i="37"/>
  <c r="I65" i="37"/>
  <c r="M65" i="37"/>
  <c r="Q65" i="37"/>
  <c r="U65" i="37"/>
  <c r="Y65" i="37"/>
  <c r="BG65" i="37"/>
  <c r="N67" i="37"/>
  <c r="N65" i="37"/>
  <c r="Z67" i="37"/>
  <c r="Z65" i="37"/>
  <c r="K67" i="37"/>
  <c r="K65" i="37"/>
  <c r="O67" i="37"/>
  <c r="O65" i="37"/>
  <c r="S67" i="37"/>
  <c r="S65" i="37"/>
  <c r="W67" i="37"/>
  <c r="W65" i="37"/>
  <c r="J67" i="37"/>
  <c r="J65" i="37"/>
  <c r="AT67" i="37"/>
  <c r="AT65" i="37"/>
  <c r="AX67" i="37"/>
  <c r="AX65" i="37"/>
  <c r="BC67" i="37"/>
  <c r="BC65" i="37"/>
  <c r="AL67" i="37"/>
  <c r="AL65" i="37"/>
  <c r="AQ67" i="37"/>
  <c r="AQ65" i="37"/>
  <c r="AY67" i="37"/>
  <c r="AY65" i="37"/>
  <c r="BD67" i="37"/>
  <c r="BD65" i="37"/>
  <c r="R67" i="37"/>
  <c r="R65" i="37"/>
  <c r="V67" i="37"/>
  <c r="V65" i="37"/>
  <c r="AM67" i="37"/>
  <c r="AM65" i="37"/>
  <c r="BE64" i="37"/>
  <c r="H67" i="37"/>
  <c r="L67" i="37"/>
  <c r="P67" i="37"/>
  <c r="T67" i="37"/>
  <c r="X67" i="37"/>
  <c r="AF67" i="37"/>
  <c r="AJ67" i="37"/>
  <c r="AN67" i="37"/>
  <c r="AR67" i="37"/>
  <c r="AV67" i="37"/>
  <c r="BA67" i="37"/>
  <c r="BF67" i="37"/>
  <c r="I67" i="37"/>
  <c r="M67" i="37"/>
  <c r="Q67" i="37"/>
  <c r="U67" i="37"/>
  <c r="Y67" i="37"/>
  <c r="AO67" i="37"/>
  <c r="AS67" i="37"/>
  <c r="AW67" i="37"/>
  <c r="BB67" i="37"/>
  <c r="BG67" i="37"/>
  <c r="AZ64" i="37"/>
  <c r="AA67" i="37"/>
  <c r="AZ65" i="37" l="1"/>
  <c r="BE67" i="37"/>
  <c r="BE65" i="37"/>
  <c r="AZ67" i="37"/>
  <c r="CD83" i="27" l="1"/>
  <c r="BY83" i="27"/>
  <c r="BT83" i="27"/>
  <c r="BO83" i="27"/>
  <c r="CD28" i="14" l="1"/>
  <c r="BY28" i="14"/>
  <c r="BT28" i="14"/>
  <c r="BO27" i="47"/>
  <c r="BD74" i="47"/>
  <c r="BC74" i="47" s="1"/>
  <c r="BB74" i="47" s="1"/>
  <c r="BA74" i="47" s="1"/>
  <c r="BI74" i="47"/>
  <c r="BH74" i="47"/>
  <c r="BG74" i="47"/>
  <c r="BF74" i="47"/>
  <c r="BL74" i="47"/>
  <c r="BK74" i="47"/>
  <c r="BS74" i="47"/>
  <c r="BR74" i="47"/>
  <c r="BQ74" i="47"/>
  <c r="BN74" i="47" s="1"/>
  <c r="BP74" i="47"/>
  <c r="BM74" i="47" s="1"/>
  <c r="BX74" i="47"/>
  <c r="BW74" i="47"/>
  <c r="BV74" i="47"/>
  <c r="BU74" i="47"/>
  <c r="CC74" i="47"/>
  <c r="CB74" i="47"/>
  <c r="CA74" i="47"/>
  <c r="BZ74" i="47"/>
  <c r="CH74" i="47"/>
  <c r="CG74" i="47"/>
  <c r="CF74" i="47"/>
  <c r="CE74" i="47"/>
  <c r="CM74" i="47"/>
  <c r="CL74" i="47"/>
  <c r="CK74" i="47"/>
  <c r="CJ74" i="47"/>
  <c r="CR74" i="47"/>
  <c r="CQ74" i="47"/>
  <c r="CP74" i="47"/>
  <c r="CO74" i="47"/>
  <c r="CW74" i="47"/>
  <c r="CV74" i="47"/>
  <c r="CU74" i="47"/>
  <c r="CT74" i="47"/>
  <c r="DB74" i="47"/>
  <c r="DA74" i="47"/>
  <c r="CZ74" i="47"/>
  <c r="CY74" i="47"/>
  <c r="DG74" i="47"/>
  <c r="DF74" i="47"/>
  <c r="DE74" i="47"/>
  <c r="DD74" i="47"/>
  <c r="DL74" i="47"/>
  <c r="DK74" i="47"/>
  <c r="DJ74" i="47"/>
  <c r="DI74" i="47"/>
  <c r="DQ74" i="47"/>
  <c r="DP74" i="47"/>
  <c r="DO74" i="47"/>
  <c r="DN74" i="47"/>
  <c r="DV74" i="47"/>
  <c r="DU74" i="47"/>
  <c r="DT74" i="47"/>
  <c r="DS74" i="47"/>
  <c r="EA74" i="47"/>
  <c r="DZ74" i="47"/>
  <c r="DY74" i="47"/>
  <c r="DX74" i="47"/>
  <c r="EF74" i="47"/>
  <c r="EE74" i="47"/>
  <c r="ED74" i="47"/>
  <c r="EC74" i="47"/>
  <c r="EK74" i="47"/>
  <c r="EJ74" i="47"/>
  <c r="EI74" i="47"/>
  <c r="EH74" i="47"/>
  <c r="EM74" i="47"/>
  <c r="EN74" i="47"/>
  <c r="EO74" i="47"/>
  <c r="EP74" i="47"/>
  <c r="EQ75" i="47"/>
  <c r="EQ71" i="47"/>
  <c r="EP71" i="47" s="1"/>
  <c r="EO78" i="47" s="1"/>
  <c r="EG71" i="47"/>
  <c r="EE71" i="47" s="1"/>
  <c r="EB71" i="47"/>
  <c r="EA71" i="47" s="1"/>
  <c r="DW71" i="47"/>
  <c r="DV71" i="47" s="1"/>
  <c r="DR71" i="47"/>
  <c r="DQ71" i="47" s="1"/>
  <c r="DM71" i="47"/>
  <c r="DK71" i="47" s="1"/>
  <c r="DH71" i="47"/>
  <c r="DG71" i="47" s="1"/>
  <c r="DC71" i="47"/>
  <c r="DB71" i="47" s="1"/>
  <c r="CX71" i="47"/>
  <c r="CW71" i="47" s="1"/>
  <c r="CS71" i="47"/>
  <c r="CQ71" i="47" s="1"/>
  <c r="CN71" i="47"/>
  <c r="CM71" i="47" s="1"/>
  <c r="CI71" i="47"/>
  <c r="CH71" i="47" s="1"/>
  <c r="BT71" i="47"/>
  <c r="BE71" i="47"/>
  <c r="BD71" i="47" s="1"/>
  <c r="BJ68" i="47"/>
  <c r="BG68" i="47" s="1"/>
  <c r="BG69" i="47" s="1"/>
  <c r="EO75" i="47" l="1"/>
  <c r="EO81" i="47"/>
  <c r="CZ71" i="47"/>
  <c r="CU71" i="47"/>
  <c r="CV71" i="47"/>
  <c r="DL71" i="47"/>
  <c r="CT71" i="47"/>
  <c r="CY71" i="47"/>
  <c r="DI71" i="47"/>
  <c r="BC71" i="47"/>
  <c r="DN71" i="47"/>
  <c r="EO71" i="47"/>
  <c r="EN78" i="47" s="1"/>
  <c r="BA71" i="47"/>
  <c r="BB71" i="47"/>
  <c r="DO71" i="47"/>
  <c r="DS71" i="47"/>
  <c r="CE71" i="47"/>
  <c r="DA71" i="47"/>
  <c r="DP71" i="47"/>
  <c r="DT71" i="47"/>
  <c r="EC71" i="47"/>
  <c r="EM71" i="47"/>
  <c r="CF71" i="47"/>
  <c r="DU71" i="47"/>
  <c r="EF71" i="47"/>
  <c r="EN71" i="47"/>
  <c r="CR71" i="47"/>
  <c r="CG71" i="47"/>
  <c r="CJ71" i="47"/>
  <c r="DY71" i="47"/>
  <c r="CL71" i="47"/>
  <c r="CP71" i="47"/>
  <c r="DF71" i="47"/>
  <c r="DJ71" i="47"/>
  <c r="DZ71" i="47"/>
  <c r="ED71" i="47"/>
  <c r="DD71" i="47"/>
  <c r="DX71" i="47"/>
  <c r="CK71" i="47"/>
  <c r="CO71" i="47"/>
  <c r="DE71" i="47"/>
  <c r="EO82" i="47" l="1"/>
  <c r="EM78" i="47"/>
  <c r="EK78" i="47" s="1"/>
  <c r="EL78" i="47" s="1"/>
  <c r="EP79" i="47"/>
  <c r="DZ81" i="47"/>
  <c r="BX81" i="47"/>
  <c r="BY81" i="47" s="1"/>
  <c r="CA81" i="47"/>
  <c r="CK81" i="47"/>
  <c r="DI81" i="47"/>
  <c r="DA81" i="47"/>
  <c r="DU81" i="47"/>
  <c r="CJ81" i="47"/>
  <c r="DE81" i="47"/>
  <c r="DQ81" i="47"/>
  <c r="DR81" i="47" s="1"/>
  <c r="EM81" i="47"/>
  <c r="CV81" i="47"/>
  <c r="CQ81" i="47"/>
  <c r="DD81" i="47"/>
  <c r="DY81" i="47"/>
  <c r="DO81" i="47"/>
  <c r="CR81" i="47"/>
  <c r="CS81" i="47" s="1"/>
  <c r="CU81" i="47"/>
  <c r="CG81" i="47"/>
  <c r="CH81" i="47"/>
  <c r="CP81" i="47"/>
  <c r="CL81" i="47"/>
  <c r="CM81" i="47"/>
  <c r="DV81" i="47"/>
  <c r="CF81" i="47"/>
  <c r="DT81" i="47"/>
  <c r="EK81" i="47"/>
  <c r="EL81" i="47" s="1"/>
  <c r="CZ81" i="47"/>
  <c r="EN75" i="47"/>
  <c r="EO79" i="47" s="1"/>
  <c r="EN81" i="47"/>
  <c r="CT81" i="47"/>
  <c r="CE81" i="47"/>
  <c r="EA81" i="47"/>
  <c r="CC81" i="47"/>
  <c r="DL81" i="47"/>
  <c r="DM81" i="47" s="1"/>
  <c r="DG81" i="47"/>
  <c r="CY81" i="47"/>
  <c r="DF81" i="47"/>
  <c r="DB81" i="47"/>
  <c r="CO81" i="47"/>
  <c r="DX81" i="47"/>
  <c r="DS81" i="47"/>
  <c r="BZ81" i="47"/>
  <c r="DN81" i="47"/>
  <c r="CB81" i="47"/>
  <c r="CW81" i="47"/>
  <c r="DJ81" i="47"/>
  <c r="DK81" i="47"/>
  <c r="DP81" i="47"/>
  <c r="BW81" i="47"/>
  <c r="BU81" i="47"/>
  <c r="BQ81" i="47"/>
  <c r="BR81" i="47"/>
  <c r="BS81" i="47"/>
  <c r="BV81" i="47"/>
  <c r="BP81" i="47"/>
  <c r="CD81" i="47" l="1"/>
  <c r="DH81" i="47"/>
  <c r="EB81" i="47"/>
  <c r="DW81" i="47"/>
  <c r="CI81" i="47"/>
  <c r="EM75" i="47"/>
  <c r="EN82" i="47"/>
  <c r="CX81" i="47"/>
  <c r="DC81" i="47"/>
  <c r="CN81" i="47"/>
  <c r="BT81" i="47"/>
  <c r="EN79" i="47" l="1"/>
  <c r="EK75" i="47"/>
  <c r="EM82" i="47"/>
  <c r="EK82" i="47" l="1"/>
  <c r="EL82" i="47" s="1"/>
  <c r="EL75" i="47"/>
  <c r="EM79" i="47" s="1"/>
  <c r="EQ79" i="47" s="1"/>
  <c r="CW55" i="6" l="1"/>
  <c r="CV55" i="6"/>
  <c r="CU55" i="6"/>
  <c r="CT55" i="6"/>
  <c r="CS55" i="6"/>
  <c r="CQ55" i="6"/>
  <c r="CN55" i="6"/>
  <c r="CL55" i="6"/>
  <c r="CK55" i="6"/>
  <c r="CJ55" i="6"/>
  <c r="CI55" i="6"/>
  <c r="CH55" i="6"/>
  <c r="CR57" i="6" s="1"/>
  <c r="CJ54" i="14"/>
  <c r="CI54" i="14"/>
  <c r="BF11" i="10"/>
  <c r="BG11" i="10"/>
  <c r="BG14" i="10" s="1"/>
  <c r="BG74" i="14"/>
  <c r="BF74" i="14"/>
  <c r="BD74" i="14"/>
  <c r="BC74" i="14"/>
  <c r="BB74" i="14"/>
  <c r="BA74" i="14"/>
  <c r="AY74" i="14"/>
  <c r="AX74" i="14"/>
  <c r="AW74" i="14"/>
  <c r="AV74" i="14"/>
  <c r="AT74" i="14"/>
  <c r="AS74" i="14"/>
  <c r="AR74" i="14"/>
  <c r="BJ11" i="10" l="1"/>
  <c r="BJ14" i="10" s="1"/>
  <c r="BJ19" i="10" s="1"/>
  <c r="BJ11" i="12" s="1"/>
  <c r="BG70" i="6"/>
  <c r="BG71" i="6"/>
  <c r="BG63" i="6"/>
  <c r="BG64" i="6"/>
  <c r="BG67" i="6"/>
  <c r="BG68" i="6"/>
  <c r="BG67" i="69"/>
  <c r="BG66" i="69"/>
  <c r="BG65" i="69"/>
  <c r="BG64" i="69"/>
  <c r="BG63" i="69"/>
  <c r="BG60" i="69"/>
  <c r="BG55" i="69"/>
  <c r="BG73" i="69" s="1"/>
  <c r="BG44" i="69"/>
  <c r="BG47" i="69" s="1"/>
  <c r="BG38" i="69"/>
  <c r="BG72" i="69" s="1"/>
  <c r="BG27" i="69"/>
  <c r="BG55" i="47"/>
  <c r="BG54" i="47"/>
  <c r="BG53" i="47"/>
  <c r="BG23" i="47"/>
  <c r="BG50" i="47" s="1"/>
  <c r="BG57" i="37"/>
  <c r="BG52" i="37"/>
  <c r="BG34" i="11"/>
  <c r="BG32" i="11"/>
  <c r="BG113" i="10"/>
  <c r="BG112" i="10"/>
  <c r="BG195" i="12" s="1"/>
  <c r="BG19" i="10"/>
  <c r="BG21" i="10"/>
  <c r="BG90" i="27"/>
  <c r="BG89" i="27"/>
  <c r="BG83" i="27"/>
  <c r="BG76" i="27"/>
  <c r="BG44" i="27"/>
  <c r="BG42" i="27"/>
  <c r="BG38" i="27"/>
  <c r="BG36" i="27"/>
  <c r="BG34" i="27"/>
  <c r="BG33" i="27"/>
  <c r="BG118" i="14"/>
  <c r="BH118" i="14" s="1"/>
  <c r="BG117" i="14"/>
  <c r="BH117" i="14" s="1"/>
  <c r="BG116" i="14"/>
  <c r="BG114" i="14"/>
  <c r="BG101" i="14"/>
  <c r="BG181" i="12"/>
  <c r="BG57" i="12" s="1"/>
  <c r="BG170" i="12"/>
  <c r="BG49" i="12" s="1"/>
  <c r="BG159" i="12"/>
  <c r="BG208" i="12" s="1"/>
  <c r="BG55" i="12"/>
  <c r="BG54" i="12"/>
  <c r="BG53" i="12"/>
  <c r="BG40" i="12"/>
  <c r="BG39" i="12"/>
  <c r="BG38" i="12"/>
  <c r="BG48" i="12" l="1"/>
  <c r="CJ104" i="69"/>
  <c r="CI44" i="69"/>
  <c r="CJ94" i="69"/>
  <c r="CH104" i="69"/>
  <c r="CH94" i="69"/>
  <c r="BG27" i="37"/>
  <c r="BH114" i="14"/>
  <c r="BH27" i="37" s="1"/>
  <c r="BH116" i="14"/>
  <c r="BI116" i="14" s="1"/>
  <c r="BG85" i="6"/>
  <c r="BG102" i="6" s="1"/>
  <c r="BG119" i="6" s="1"/>
  <c r="BG81" i="6"/>
  <c r="BG98" i="6" s="1"/>
  <c r="BG115" i="6" s="1"/>
  <c r="BG88" i="6"/>
  <c r="BG105" i="6" s="1"/>
  <c r="BG122" i="6" s="1"/>
  <c r="BG84" i="6"/>
  <c r="BG101" i="6" s="1"/>
  <c r="BG118" i="6" s="1"/>
  <c r="BG80" i="6"/>
  <c r="BG97" i="6" s="1"/>
  <c r="BG114" i="6" s="1"/>
  <c r="BG87" i="6"/>
  <c r="BG104" i="6" s="1"/>
  <c r="BG121" i="6" s="1"/>
  <c r="BG43" i="12"/>
  <c r="BG51" i="12" s="1"/>
  <c r="BG109" i="10"/>
  <c r="BG49" i="69"/>
  <c r="BG184" i="12"/>
  <c r="BG60" i="12" s="1"/>
  <c r="BG91" i="27"/>
  <c r="BG56" i="12"/>
  <c r="AN295" i="2"/>
  <c r="AL295" i="2"/>
  <c r="AK295" i="2"/>
  <c r="AJ295" i="2"/>
  <c r="AI295" i="2"/>
  <c r="AH295" i="2"/>
  <c r="AG295" i="2"/>
  <c r="AF295" i="2"/>
  <c r="AE295" i="2"/>
  <c r="AD295" i="2"/>
  <c r="AC295" i="2"/>
  <c r="AB295" i="2"/>
  <c r="AA295" i="2"/>
  <c r="Z295" i="2"/>
  <c r="Y295" i="2"/>
  <c r="BT365" i="1"/>
  <c r="BY345" i="1"/>
  <c r="CI104" i="69" l="1"/>
  <c r="CK104" i="69" s="1"/>
  <c r="CL104" i="69" s="1"/>
  <c r="CI94" i="69"/>
  <c r="CK94" i="69" s="1"/>
  <c r="CL94" i="69" s="1"/>
  <c r="BI114" i="14"/>
  <c r="BI27" i="37" s="1"/>
  <c r="BG59" i="12"/>
  <c r="BT358" i="4"/>
  <c r="AM11" i="30" l="1"/>
  <c r="AN11" i="30"/>
  <c r="AM12" i="30"/>
  <c r="AO12" i="30" s="1"/>
  <c r="AN12" i="30"/>
  <c r="AM13" i="30"/>
  <c r="AO13" i="30" s="1"/>
  <c r="AN13" i="30"/>
  <c r="AM14" i="30"/>
  <c r="AO14" i="30" s="1"/>
  <c r="AN14" i="30"/>
  <c r="AM15" i="30"/>
  <c r="AO15" i="30" s="1"/>
  <c r="AN15" i="30"/>
  <c r="AM16" i="30"/>
  <c r="AO16" i="30" s="1"/>
  <c r="AN16" i="30"/>
  <c r="AM17" i="30"/>
  <c r="AO17" i="30" s="1"/>
  <c r="AN17" i="30"/>
  <c r="AM18" i="30"/>
  <c r="AO18" i="30" s="1"/>
  <c r="AN18" i="30"/>
  <c r="AM19" i="30"/>
  <c r="AO19" i="30" s="1"/>
  <c r="AN19" i="30"/>
  <c r="AM20" i="30"/>
  <c r="AO20" i="30" s="1"/>
  <c r="AN20" i="30"/>
  <c r="AM21" i="30"/>
  <c r="AO21" i="30" s="1"/>
  <c r="AN21" i="30"/>
  <c r="AM22" i="30"/>
  <c r="AO22" i="30" s="1"/>
  <c r="AN22" i="30"/>
  <c r="AM23" i="30"/>
  <c r="AO23" i="30" s="1"/>
  <c r="AN23" i="30"/>
  <c r="AM24" i="30"/>
  <c r="AO24" i="30" s="1"/>
  <c r="AN24" i="30"/>
  <c r="AM26" i="30"/>
  <c r="AO26" i="30" s="1"/>
  <c r="AN26" i="30"/>
  <c r="AM31" i="30"/>
  <c r="AO31" i="30" s="1"/>
  <c r="AN31" i="30"/>
  <c r="AM32" i="30"/>
  <c r="AO32" i="30" s="1"/>
  <c r="AN32" i="30"/>
  <c r="AM33" i="30"/>
  <c r="AO33" i="30" s="1"/>
  <c r="AN33" i="30"/>
  <c r="AM34" i="30"/>
  <c r="AO34" i="30" s="1"/>
  <c r="AN34" i="30"/>
  <c r="AM35" i="30"/>
  <c r="AO35" i="30" s="1"/>
  <c r="AN35" i="30"/>
  <c r="AM36" i="30"/>
  <c r="AO36" i="30" s="1"/>
  <c r="AN36" i="30"/>
  <c r="AM37" i="30"/>
  <c r="AO37" i="30" s="1"/>
  <c r="AN37" i="30"/>
  <c r="AM38" i="30"/>
  <c r="AO38" i="30" s="1"/>
  <c r="AN38" i="30"/>
  <c r="AM39" i="30"/>
  <c r="AO39" i="30" s="1"/>
  <c r="AN39" i="30"/>
  <c r="AM40" i="30"/>
  <c r="AO40" i="30" s="1"/>
  <c r="AN40" i="30"/>
  <c r="AM41" i="30"/>
  <c r="AO41" i="30" s="1"/>
  <c r="AN41" i="30"/>
  <c r="AM42" i="30"/>
  <c r="AO42" i="30" s="1"/>
  <c r="AN42" i="30"/>
  <c r="AM43" i="30"/>
  <c r="AO43" i="30" s="1"/>
  <c r="AN43" i="30"/>
  <c r="AM44" i="30"/>
  <c r="AO44" i="30" s="1"/>
  <c r="AN44" i="30"/>
  <c r="AM45" i="30"/>
  <c r="AO45" i="30" s="1"/>
  <c r="AN45" i="30"/>
  <c r="AM46" i="30"/>
  <c r="AN46" i="30"/>
  <c r="AM47" i="30"/>
  <c r="AO47" i="30" s="1"/>
  <c r="AN47" i="30"/>
  <c r="AM48" i="30"/>
  <c r="AO48" i="30" s="1"/>
  <c r="AN48" i="30"/>
  <c r="AM49" i="30"/>
  <c r="AO49" i="30" s="1"/>
  <c r="AN49" i="30"/>
  <c r="AM50" i="30"/>
  <c r="AO50" i="30" s="1"/>
  <c r="AN50" i="30"/>
  <c r="AM51" i="30"/>
  <c r="AO51" i="30" s="1"/>
  <c r="AN51" i="30"/>
  <c r="AM52" i="30"/>
  <c r="AO52" i="30" s="1"/>
  <c r="AN52" i="30"/>
  <c r="AM53" i="30"/>
  <c r="AO53" i="30" s="1"/>
  <c r="AN53" i="30"/>
  <c r="AM54" i="30"/>
  <c r="AO54" i="30" s="1"/>
  <c r="AN54" i="30"/>
  <c r="AM55" i="30"/>
  <c r="AO55" i="30" s="1"/>
  <c r="AN55" i="30"/>
  <c r="AM67" i="30"/>
  <c r="AO67" i="30" s="1"/>
  <c r="AN67" i="30"/>
  <c r="AM68" i="30"/>
  <c r="AO68" i="30" s="1"/>
  <c r="AN68" i="30"/>
  <c r="AM69" i="30"/>
  <c r="AO69" i="30" s="1"/>
  <c r="AN69" i="30"/>
  <c r="AM70" i="30"/>
  <c r="AO70" i="30" s="1"/>
  <c r="AN70" i="30"/>
  <c r="AM71" i="30"/>
  <c r="AO71" i="30" s="1"/>
  <c r="AN71" i="30"/>
  <c r="AM72" i="30"/>
  <c r="AO72" i="30" s="1"/>
  <c r="AN72" i="30"/>
  <c r="AM73" i="30"/>
  <c r="AO73" i="30" s="1"/>
  <c r="AN73" i="30"/>
  <c r="AM74" i="30"/>
  <c r="AN74" i="30"/>
  <c r="AM75" i="30"/>
  <c r="AN75" i="30"/>
  <c r="AM76" i="30"/>
  <c r="AO76" i="30" s="1"/>
  <c r="AN76" i="30"/>
  <c r="AM78" i="30"/>
  <c r="AO78" i="30" s="1"/>
  <c r="AN78" i="30"/>
  <c r="AM79" i="30"/>
  <c r="AN79" i="30"/>
  <c r="AM80" i="30"/>
  <c r="AO80" i="30" s="1"/>
  <c r="AN80" i="30"/>
  <c r="AM81" i="30"/>
  <c r="AO81" i="30" s="1"/>
  <c r="AN81" i="30"/>
  <c r="AM82" i="30"/>
  <c r="AO82" i="30" s="1"/>
  <c r="AN82" i="30"/>
  <c r="AM83" i="30"/>
  <c r="AO83" i="30" s="1"/>
  <c r="AN83" i="30"/>
  <c r="AM84" i="30"/>
  <c r="AO84" i="30" s="1"/>
  <c r="AN84" i="30"/>
  <c r="AM85" i="30"/>
  <c r="AO85" i="30" s="1"/>
  <c r="AN85" i="30"/>
  <c r="AM86" i="30"/>
  <c r="AO86" i="30" s="1"/>
  <c r="AN86" i="30"/>
  <c r="AM88" i="30"/>
  <c r="AO88" i="30" s="1"/>
  <c r="AN88" i="30"/>
  <c r="AM89" i="30"/>
  <c r="AO89" i="30" s="1"/>
  <c r="AN89" i="30"/>
  <c r="AM213" i="2"/>
  <c r="AM214" i="2"/>
  <c r="AM215" i="2"/>
  <c r="AM216" i="2"/>
  <c r="AM138" i="2"/>
  <c r="AM139" i="2"/>
  <c r="AM140" i="2"/>
  <c r="AM141" i="2"/>
  <c r="AM142" i="2"/>
  <c r="AM143" i="2"/>
  <c r="AM144" i="2"/>
  <c r="AM145" i="2"/>
  <c r="AM146" i="2"/>
  <c r="AM147" i="2"/>
  <c r="AM148" i="2"/>
  <c r="AM150" i="2"/>
  <c r="AM151" i="2"/>
  <c r="AM152" i="2"/>
  <c r="AM153" i="2"/>
  <c r="AM154" i="2"/>
  <c r="AM155" i="2"/>
  <c r="AM156" i="2"/>
  <c r="AM157" i="2"/>
  <c r="AM39" i="2"/>
  <c r="AM239" i="3"/>
  <c r="AM240" i="3"/>
  <c r="AM241" i="3"/>
  <c r="AM242" i="3"/>
  <c r="AM259" i="3"/>
  <c r="AM164" i="3"/>
  <c r="AM165" i="3"/>
  <c r="AM166" i="3"/>
  <c r="AM167" i="3"/>
  <c r="AM168" i="3"/>
  <c r="AM169" i="3"/>
  <c r="AM170" i="3"/>
  <c r="AM171" i="3"/>
  <c r="AM172" i="3"/>
  <c r="AM174" i="3"/>
  <c r="AM175" i="3"/>
  <c r="AM176" i="3"/>
  <c r="AM177" i="3"/>
  <c r="AM179" i="3"/>
  <c r="AM58" i="3"/>
  <c r="AO79" i="30" l="1"/>
  <c r="AO75" i="30"/>
  <c r="AO74" i="30"/>
  <c r="AO46" i="30"/>
  <c r="AO11" i="30"/>
  <c r="E13" i="39" l="1"/>
  <c r="CI11" i="10" l="1"/>
  <c r="CI12" i="10"/>
  <c r="CI13" i="10"/>
  <c r="CI14" i="10"/>
  <c r="CI15" i="10"/>
  <c r="CI21" i="10"/>
  <c r="CI22" i="10"/>
  <c r="CI23" i="10"/>
  <c r="CI10" i="10"/>
  <c r="BT635" i="7" l="1"/>
  <c r="CH39" i="6"/>
  <c r="CI39" i="6"/>
  <c r="CJ39" i="6"/>
  <c r="CK39" i="6"/>
  <c r="CL39" i="6"/>
  <c r="CM39" i="6"/>
  <c r="CN39" i="6"/>
  <c r="CH40" i="6"/>
  <c r="CI40" i="6"/>
  <c r="CJ40" i="6"/>
  <c r="CK40" i="6"/>
  <c r="CL40" i="6"/>
  <c r="CM40" i="6"/>
  <c r="CN40" i="6"/>
  <c r="CH41" i="6"/>
  <c r="CI41" i="6"/>
  <c r="CJ41" i="6"/>
  <c r="CK41" i="6"/>
  <c r="CL41" i="6"/>
  <c r="CM41" i="6"/>
  <c r="CN41" i="6"/>
  <c r="CH42" i="6"/>
  <c r="CI42" i="6"/>
  <c r="CJ42" i="6"/>
  <c r="CK42" i="6"/>
  <c r="CL42" i="6"/>
  <c r="CM42" i="6"/>
  <c r="CN42" i="6"/>
  <c r="CH43" i="6"/>
  <c r="CI43" i="6"/>
  <c r="CJ43" i="6"/>
  <c r="CK43" i="6"/>
  <c r="CL43" i="6"/>
  <c r="CM43" i="6"/>
  <c r="CN43" i="6"/>
  <c r="CH44" i="6"/>
  <c r="CI44" i="6"/>
  <c r="CJ44" i="6"/>
  <c r="CK44" i="6"/>
  <c r="CL44" i="6"/>
  <c r="CM44" i="6"/>
  <c r="CN44" i="6"/>
  <c r="CH45" i="6"/>
  <c r="CI45" i="6"/>
  <c r="CJ45" i="6"/>
  <c r="CK45" i="6"/>
  <c r="CL45" i="6"/>
  <c r="CM45" i="6"/>
  <c r="CN45" i="6"/>
  <c r="CH46" i="6"/>
  <c r="CI46" i="6"/>
  <c r="CJ46" i="6"/>
  <c r="CK46" i="6"/>
  <c r="CL46" i="6"/>
  <c r="CM46" i="6"/>
  <c r="CN46" i="6"/>
  <c r="CH47" i="6"/>
  <c r="CI47" i="6"/>
  <c r="CJ47" i="6"/>
  <c r="CK47" i="6"/>
  <c r="CL47" i="6"/>
  <c r="CM47" i="6"/>
  <c r="CN47" i="6"/>
  <c r="CH48" i="6"/>
  <c r="CI48" i="6"/>
  <c r="CJ48" i="6"/>
  <c r="CK48" i="6"/>
  <c r="CL48" i="6"/>
  <c r="CM48" i="6"/>
  <c r="CN48" i="6"/>
  <c r="CH49" i="6"/>
  <c r="CI49" i="6"/>
  <c r="CJ49" i="6"/>
  <c r="CK49" i="6"/>
  <c r="CL49" i="6"/>
  <c r="CM49" i="6"/>
  <c r="CN49" i="6"/>
  <c r="CH50" i="6"/>
  <c r="CI50" i="6"/>
  <c r="CJ50" i="6"/>
  <c r="CK50" i="6"/>
  <c r="CL50" i="6"/>
  <c r="CM50" i="6"/>
  <c r="CN50" i="6"/>
  <c r="CH51" i="6"/>
  <c r="CI51" i="6"/>
  <c r="CJ51" i="6"/>
  <c r="CK51" i="6"/>
  <c r="CL51" i="6"/>
  <c r="CN51" i="6"/>
  <c r="CH52" i="6"/>
  <c r="CI52" i="6"/>
  <c r="CJ52" i="6"/>
  <c r="CK52" i="6"/>
  <c r="CL52" i="6"/>
  <c r="CN52" i="6"/>
  <c r="CH53" i="6"/>
  <c r="CI53" i="6"/>
  <c r="CJ53" i="6"/>
  <c r="CK53" i="6"/>
  <c r="CL53" i="6"/>
  <c r="CN53" i="6"/>
  <c r="CH54" i="6"/>
  <c r="CR56" i="6" s="1"/>
  <c r="CI54" i="6"/>
  <c r="CJ54" i="6"/>
  <c r="CK54" i="6"/>
  <c r="CL54" i="6"/>
  <c r="CN54" i="6"/>
  <c r="CH62" i="6"/>
  <c r="CI62" i="6"/>
  <c r="CJ62" i="6"/>
  <c r="CK62" i="6"/>
  <c r="CN62" i="6"/>
  <c r="CQ38" i="6"/>
  <c r="CS38" i="6"/>
  <c r="CT38" i="6"/>
  <c r="CU38" i="6"/>
  <c r="CV38" i="6"/>
  <c r="CW38" i="6"/>
  <c r="CQ39" i="6"/>
  <c r="CS39" i="6"/>
  <c r="CT39" i="6"/>
  <c r="CU39" i="6"/>
  <c r="CV39" i="6"/>
  <c r="CW39" i="6"/>
  <c r="CQ40" i="6"/>
  <c r="CS40" i="6"/>
  <c r="CT40" i="6"/>
  <c r="CU40" i="6"/>
  <c r="CV40" i="6"/>
  <c r="CW40" i="6"/>
  <c r="CQ41" i="6"/>
  <c r="CS41" i="6"/>
  <c r="CT41" i="6"/>
  <c r="CU41" i="6"/>
  <c r="CV41" i="6"/>
  <c r="CW41" i="6"/>
  <c r="CQ42" i="6"/>
  <c r="CS42" i="6"/>
  <c r="CT42" i="6"/>
  <c r="CU42" i="6"/>
  <c r="CV42" i="6"/>
  <c r="CW42" i="6"/>
  <c r="CQ43" i="6"/>
  <c r="CS43" i="6"/>
  <c r="CT43" i="6"/>
  <c r="CU43" i="6"/>
  <c r="CV43" i="6"/>
  <c r="CW43" i="6"/>
  <c r="CQ44" i="6"/>
  <c r="CS44" i="6"/>
  <c r="CT44" i="6"/>
  <c r="CU44" i="6"/>
  <c r="CV44" i="6"/>
  <c r="CW44" i="6"/>
  <c r="CQ45" i="6"/>
  <c r="CS45" i="6"/>
  <c r="CT45" i="6"/>
  <c r="CU45" i="6"/>
  <c r="CV45" i="6"/>
  <c r="CW45" i="6"/>
  <c r="CQ46" i="6"/>
  <c r="CS46" i="6"/>
  <c r="CT46" i="6"/>
  <c r="CU46" i="6"/>
  <c r="CV46" i="6"/>
  <c r="CW46" i="6"/>
  <c r="CQ47" i="6"/>
  <c r="CS47" i="6"/>
  <c r="CT47" i="6"/>
  <c r="CU47" i="6"/>
  <c r="CV47" i="6"/>
  <c r="CW47" i="6"/>
  <c r="CQ48" i="6"/>
  <c r="CS48" i="6"/>
  <c r="CT48" i="6"/>
  <c r="CU48" i="6"/>
  <c r="CV48" i="6"/>
  <c r="CW48" i="6"/>
  <c r="CQ49" i="6"/>
  <c r="CS49" i="6"/>
  <c r="CT49" i="6"/>
  <c r="CU49" i="6"/>
  <c r="CV49" i="6"/>
  <c r="CW49" i="6"/>
  <c r="CQ50" i="6"/>
  <c r="CS50" i="6"/>
  <c r="CT50" i="6"/>
  <c r="CU50" i="6"/>
  <c r="CV50" i="6"/>
  <c r="CW50" i="6"/>
  <c r="CQ51" i="6"/>
  <c r="CS51" i="6"/>
  <c r="CT51" i="6"/>
  <c r="CU51" i="6"/>
  <c r="CV51" i="6"/>
  <c r="CW51" i="6"/>
  <c r="CQ52" i="6"/>
  <c r="CS52" i="6"/>
  <c r="CT52" i="6"/>
  <c r="CU52" i="6"/>
  <c r="CV52" i="6"/>
  <c r="CW52" i="6"/>
  <c r="CQ53" i="6"/>
  <c r="CS53" i="6"/>
  <c r="CT53" i="6"/>
  <c r="CU53" i="6"/>
  <c r="CV53" i="6"/>
  <c r="CW53" i="6"/>
  <c r="CQ54" i="6"/>
  <c r="CS54" i="6"/>
  <c r="CT54" i="6"/>
  <c r="CU54" i="6"/>
  <c r="CV54" i="6"/>
  <c r="CW54" i="6"/>
  <c r="CC632" i="7"/>
  <c r="CB632" i="7"/>
  <c r="CA632" i="7"/>
  <c r="BZ632" i="7"/>
  <c r="BX632" i="7"/>
  <c r="BW632" i="7"/>
  <c r="BV632" i="7"/>
  <c r="BU632" i="7"/>
  <c r="BS632" i="7"/>
  <c r="BR632" i="7"/>
  <c r="BQ632" i="7"/>
  <c r="BP632" i="7"/>
  <c r="CR55" i="6" l="1"/>
  <c r="BT73" i="69"/>
  <c r="CD370" i="4"/>
  <c r="BY370" i="4"/>
  <c r="BT370" i="4"/>
  <c r="CD368" i="4"/>
  <c r="BY368" i="4"/>
  <c r="BT368" i="4"/>
  <c r="CD367" i="4"/>
  <c r="BY367" i="4"/>
  <c r="BT367" i="4"/>
  <c r="CD366" i="4"/>
  <c r="BY366" i="4"/>
  <c r="BT366" i="4"/>
  <c r="CD365" i="4"/>
  <c r="BY365" i="4"/>
  <c r="BT365" i="4"/>
  <c r="CD363" i="4"/>
  <c r="BY363" i="4"/>
  <c r="BT363" i="4"/>
  <c r="BT364" i="4"/>
  <c r="CD362" i="4"/>
  <c r="BY362" i="4"/>
  <c r="BT362" i="4"/>
  <c r="BT352" i="4"/>
  <c r="BT345" i="1"/>
  <c r="BY524" i="7" l="1"/>
  <c r="BT524" i="7"/>
  <c r="CD524" i="7"/>
  <c r="CC665" i="7"/>
  <c r="CB665" i="7"/>
  <c r="CA665" i="7"/>
  <c r="BZ665" i="7"/>
  <c r="BX665" i="7"/>
  <c r="BW665" i="7"/>
  <c r="BV665" i="7"/>
  <c r="BU665" i="7"/>
  <c r="BS665" i="7"/>
  <c r="BR665" i="7"/>
  <c r="BQ665" i="7"/>
  <c r="BP665" i="7"/>
  <c r="CC677" i="7" l="1"/>
  <c r="CB677" i="7"/>
  <c r="CA677" i="7"/>
  <c r="BZ677" i="7"/>
  <c r="BX677" i="7"/>
  <c r="BW677" i="7"/>
  <c r="BV677" i="7"/>
  <c r="BU677" i="7"/>
  <c r="BS677" i="7"/>
  <c r="BR677" i="7"/>
  <c r="BQ677" i="7"/>
  <c r="BP677" i="7"/>
  <c r="CC672" i="7"/>
  <c r="CB672" i="7"/>
  <c r="CA672" i="7"/>
  <c r="BZ672" i="7"/>
  <c r="BX672" i="7"/>
  <c r="BW672" i="7"/>
  <c r="BV672" i="7"/>
  <c r="BU672" i="7"/>
  <c r="BS672" i="7"/>
  <c r="BR672" i="7"/>
  <c r="BQ672" i="7"/>
  <c r="BP672" i="7"/>
  <c r="CC656" i="7"/>
  <c r="CB656" i="7"/>
  <c r="CA656" i="7"/>
  <c r="BZ656" i="7"/>
  <c r="BX656" i="7"/>
  <c r="BW656" i="7"/>
  <c r="BV656" i="7"/>
  <c r="BU656" i="7"/>
  <c r="BS656" i="7"/>
  <c r="BR656" i="7"/>
  <c r="BQ656" i="7"/>
  <c r="BP656" i="7"/>
  <c r="AJ627" i="7"/>
  <c r="AI627" i="7"/>
  <c r="AH627" i="7"/>
  <c r="AG627" i="7"/>
  <c r="AE627" i="7"/>
  <c r="AD627" i="7"/>
  <c r="AC627" i="7"/>
  <c r="AB627" i="7"/>
  <c r="Z627" i="7"/>
  <c r="Y627" i="7"/>
  <c r="X627" i="7"/>
  <c r="W627" i="7"/>
  <c r="U627" i="7"/>
  <c r="T627" i="7"/>
  <c r="S627" i="7"/>
  <c r="R627" i="7"/>
  <c r="P627" i="7"/>
  <c r="O627" i="7"/>
  <c r="N627" i="7"/>
  <c r="M627" i="7"/>
  <c r="K627" i="7"/>
  <c r="J627" i="7"/>
  <c r="I627" i="7"/>
  <c r="H627" i="7"/>
  <c r="CE74" i="13" l="1"/>
  <c r="W336" i="3"/>
  <c r="X336" i="3"/>
  <c r="Y336" i="3"/>
  <c r="Z336" i="3"/>
  <c r="AA336" i="3"/>
  <c r="AB336" i="3"/>
  <c r="AC336" i="3"/>
  <c r="AD336" i="3"/>
  <c r="AE336" i="3"/>
  <c r="AF336" i="3"/>
  <c r="AG336" i="3"/>
  <c r="AH336" i="3"/>
  <c r="AI336" i="3"/>
  <c r="AJ336" i="3"/>
  <c r="AK336" i="3"/>
  <c r="AL336" i="3"/>
  <c r="V336" i="3" l="1"/>
  <c r="CD11" i="37" l="1"/>
  <c r="BY11" i="37"/>
  <c r="BT11" i="37"/>
  <c r="A7" i="14" l="1"/>
  <c r="A6" i="12"/>
  <c r="BT119" i="6"/>
  <c r="BO119" i="6"/>
  <c r="BU118" i="6"/>
  <c r="BU119" i="6" s="1"/>
  <c r="BT118" i="6"/>
  <c r="BO118" i="6"/>
  <c r="BV118" i="6" l="1"/>
  <c r="BX122" i="6"/>
  <c r="BW122" i="6"/>
  <c r="BV122" i="6"/>
  <c r="BU122" i="6"/>
  <c r="BT122" i="6"/>
  <c r="BO122" i="6"/>
  <c r="BU121" i="6"/>
  <c r="BV121" i="6" s="1"/>
  <c r="BW121" i="6" s="1"/>
  <c r="BX121" i="6" s="1"/>
  <c r="BT121" i="6"/>
  <c r="BO121" i="6"/>
  <c r="BY122" i="6" l="1"/>
  <c r="BW118" i="6"/>
  <c r="BV119" i="6"/>
  <c r="BY121" i="6"/>
  <c r="BW119" i="6" l="1"/>
  <c r="BX118" i="6"/>
  <c r="BX119" i="6" s="1"/>
  <c r="BY119" i="6" l="1"/>
  <c r="BY118" i="6"/>
  <c r="CD376" i="1"/>
  <c r="BY376" i="1"/>
  <c r="BT376" i="1"/>
  <c r="BT56" i="37"/>
  <c r="BY45" i="6"/>
  <c r="BO67" i="69"/>
  <c r="AE55" i="47"/>
  <c r="AD55" i="47"/>
  <c r="AC55" i="47"/>
  <c r="AJ55" i="47"/>
  <c r="AI55" i="47"/>
  <c r="AH55" i="47"/>
  <c r="AG55" i="47"/>
  <c r="AJ54" i="47"/>
  <c r="AI54" i="47"/>
  <c r="AJ53" i="47"/>
  <c r="AI53" i="47"/>
  <c r="AO55" i="47"/>
  <c r="AN55" i="47"/>
  <c r="AM55" i="47"/>
  <c r="AL55" i="47"/>
  <c r="AO54" i="47"/>
  <c r="AN54" i="47"/>
  <c r="AM54" i="47"/>
  <c r="AL54" i="47"/>
  <c r="AO53" i="47"/>
  <c r="AN53" i="47"/>
  <c r="AM53" i="47"/>
  <c r="AL53" i="47"/>
  <c r="AT55" i="47"/>
  <c r="AS55" i="47"/>
  <c r="AR55" i="47"/>
  <c r="AQ55" i="47"/>
  <c r="AT54" i="47"/>
  <c r="AS54" i="47"/>
  <c r="AR54" i="47"/>
  <c r="AQ54" i="47"/>
  <c r="AT53" i="47"/>
  <c r="AS53" i="47"/>
  <c r="AR53" i="47"/>
  <c r="AQ53" i="47"/>
  <c r="AV54" i="47"/>
  <c r="AW54" i="47"/>
  <c r="AX54" i="47"/>
  <c r="AY54" i="47"/>
  <c r="BA54" i="47"/>
  <c r="BF55" i="47"/>
  <c r="BF54" i="47"/>
  <c r="BF53" i="47"/>
  <c r="CD27" i="47"/>
  <c r="BY27" i="47"/>
  <c r="BT27" i="47"/>
  <c r="CL211" i="13" l="1"/>
  <c r="CI211" i="13"/>
  <c r="CJ53" i="14"/>
  <c r="CI53" i="14"/>
  <c r="AZ29" i="37" l="1"/>
  <c r="BE29" i="37"/>
  <c r="BC29" i="37"/>
  <c r="AY29" i="37"/>
  <c r="BA29" i="37"/>
  <c r="BD29" i="37"/>
  <c r="BF29" i="37"/>
  <c r="BB30" i="37"/>
  <c r="BB29" i="37" s="1"/>
  <c r="BF113" i="10"/>
  <c r="BJ113" i="10" s="1"/>
  <c r="BF76" i="27"/>
  <c r="BJ132" i="10" l="1"/>
  <c r="BJ128" i="10"/>
  <c r="BJ130" i="10"/>
  <c r="BJ127" i="10"/>
  <c r="BJ131" i="10"/>
  <c r="BJ129" i="10"/>
  <c r="CD25" i="27"/>
  <c r="BY25" i="27"/>
  <c r="BT25" i="27"/>
  <c r="BO25" i="27"/>
  <c r="BJ25" i="27"/>
  <c r="BF83" i="27"/>
  <c r="BJ83" i="27" s="1"/>
  <c r="BD83" i="27"/>
  <c r="BB83" i="27"/>
  <c r="BA83" i="27"/>
  <c r="AY83" i="27"/>
  <c r="AW83" i="27"/>
  <c r="AV83" i="27"/>
  <c r="AT83" i="27"/>
  <c r="AS83" i="27"/>
  <c r="AR83" i="27"/>
  <c r="AQ83" i="27"/>
  <c r="AO83" i="27"/>
  <c r="AN83" i="27"/>
  <c r="AM83" i="27"/>
  <c r="AL83" i="27"/>
  <c r="AJ83" i="27"/>
  <c r="AI83" i="27"/>
  <c r="AH83" i="27"/>
  <c r="AG83" i="27"/>
  <c r="AF83" i="27"/>
  <c r="AE83" i="27"/>
  <c r="AD83" i="27"/>
  <c r="AC83" i="27"/>
  <c r="AB83" i="27"/>
  <c r="AA83" i="27"/>
  <c r="Z83" i="27"/>
  <c r="Y83" i="27"/>
  <c r="X83" i="27"/>
  <c r="W83" i="27"/>
  <c r="V83" i="27"/>
  <c r="U83" i="27"/>
  <c r="T83" i="27"/>
  <c r="S83" i="27"/>
  <c r="R83" i="27"/>
  <c r="Q83" i="27"/>
  <c r="P83" i="27"/>
  <c r="O83" i="27"/>
  <c r="N83" i="27"/>
  <c r="M83" i="27"/>
  <c r="BC83" i="27"/>
  <c r="AZ82" i="13" l="1"/>
  <c r="BE82" i="13"/>
  <c r="BF71" i="6" l="1"/>
  <c r="BJ71" i="6" s="1"/>
  <c r="BF70" i="6"/>
  <c r="BJ70" i="6" s="1"/>
  <c r="BF68" i="6"/>
  <c r="BJ68" i="6" s="1"/>
  <c r="BF67" i="6"/>
  <c r="BJ67" i="6" s="1"/>
  <c r="BF64" i="6"/>
  <c r="BF63" i="6"/>
  <c r="BF55" i="69"/>
  <c r="BF73" i="69" s="1"/>
  <c r="BF44" i="69"/>
  <c r="BF38" i="69"/>
  <c r="BF72" i="69" s="1"/>
  <c r="BF27" i="69"/>
  <c r="BF51" i="47"/>
  <c r="BF23" i="47"/>
  <c r="BF31" i="47" s="1"/>
  <c r="BF80" i="6" l="1"/>
  <c r="BF97" i="6" s="1"/>
  <c r="BF114" i="6" s="1"/>
  <c r="BJ63" i="6"/>
  <c r="CJ103" i="69"/>
  <c r="CH44" i="69"/>
  <c r="BF47" i="69"/>
  <c r="BF49" i="69" s="1"/>
  <c r="CI103" i="69" s="1"/>
  <c r="BJ44" i="69"/>
  <c r="BF81" i="6"/>
  <c r="BF98" i="6" s="1"/>
  <c r="BF115" i="6" s="1"/>
  <c r="BJ64" i="6"/>
  <c r="BF84" i="6"/>
  <c r="BF101" i="6" s="1"/>
  <c r="BF118" i="6" s="1"/>
  <c r="BJ118" i="6" s="1"/>
  <c r="BF87" i="6"/>
  <c r="BF104" i="6" s="1"/>
  <c r="BF121" i="6" s="1"/>
  <c r="BF85" i="6"/>
  <c r="BF102" i="6" s="1"/>
  <c r="BF119" i="6" s="1"/>
  <c r="BF88" i="6"/>
  <c r="BJ80" i="6"/>
  <c r="BF50" i="47"/>
  <c r="BF49" i="47" s="1"/>
  <c r="BF57" i="37"/>
  <c r="BF52" i="37"/>
  <c r="BF36" i="37"/>
  <c r="BF27" i="37"/>
  <c r="BF21" i="37"/>
  <c r="BF22" i="37" s="1"/>
  <c r="BG24" i="37" s="1"/>
  <c r="BF13" i="37"/>
  <c r="BF12" i="37"/>
  <c r="BF86" i="11"/>
  <c r="BF72" i="11" s="1"/>
  <c r="BF73" i="11"/>
  <c r="BF34" i="11"/>
  <c r="BF32" i="11"/>
  <c r="BF112" i="10"/>
  <c r="BJ112" i="10" s="1"/>
  <c r="BJ109" i="10" s="1"/>
  <c r="BF21" i="10"/>
  <c r="BJ21" i="10" s="1"/>
  <c r="BF14" i="10"/>
  <c r="BF19" i="10" s="1"/>
  <c r="BF90" i="27"/>
  <c r="BJ90" i="27" s="1"/>
  <c r="BF89" i="27"/>
  <c r="BJ89" i="27" s="1"/>
  <c r="BF44" i="27"/>
  <c r="BF42" i="27"/>
  <c r="BF38" i="27"/>
  <c r="BF36" i="27"/>
  <c r="BF34" i="27"/>
  <c r="BF33" i="27"/>
  <c r="BF17" i="27"/>
  <c r="BF181" i="12"/>
  <c r="BF57" i="12" s="1"/>
  <c r="BF170" i="12"/>
  <c r="BF49" i="12" s="1"/>
  <c r="BF159" i="12"/>
  <c r="BF55" i="12"/>
  <c r="BF54" i="12"/>
  <c r="BF53" i="12"/>
  <c r="BF40" i="12"/>
  <c r="BF39" i="12"/>
  <c r="BF38" i="12"/>
  <c r="BF109" i="13"/>
  <c r="BF145" i="14"/>
  <c r="BF140" i="14"/>
  <c r="BF137" i="14"/>
  <c r="BF135" i="14"/>
  <c r="BF101" i="14"/>
  <c r="BJ81" i="6" l="1"/>
  <c r="BF208" i="12"/>
  <c r="BJ159" i="12"/>
  <c r="BF48" i="12"/>
  <c r="BJ87" i="6"/>
  <c r="BJ84" i="6"/>
  <c r="BJ91" i="27"/>
  <c r="BJ23" i="10"/>
  <c r="BJ43" i="11"/>
  <c r="BF195" i="12"/>
  <c r="BF43" i="12"/>
  <c r="BF51" i="12" s="1"/>
  <c r="BF109" i="10"/>
  <c r="BJ85" i="6"/>
  <c r="BF105" i="6"/>
  <c r="BF122" i="6" s="1"/>
  <c r="BJ88" i="6"/>
  <c r="BJ119" i="6"/>
  <c r="BF91" i="27"/>
  <c r="BF23" i="10"/>
  <c r="BF184" i="12"/>
  <c r="BF60" i="12" s="1"/>
  <c r="BF13" i="12"/>
  <c r="BF56" i="12"/>
  <c r="BJ43" i="12" l="1"/>
  <c r="BJ51" i="12" s="1"/>
  <c r="BJ184" i="12"/>
  <c r="BJ60" i="12" s="1"/>
  <c r="BJ208" i="12"/>
  <c r="BJ43" i="10"/>
  <c r="BF59" i="12"/>
  <c r="BF67" i="69"/>
  <c r="BF66" i="69"/>
  <c r="BF65" i="69"/>
  <c r="BF64" i="69"/>
  <c r="BF63" i="69"/>
  <c r="BF60" i="69"/>
  <c r="BE145" i="4"/>
  <c r="BD164" i="5"/>
  <c r="BC164" i="5"/>
  <c r="BB164" i="5"/>
  <c r="BA164" i="5"/>
  <c r="BJ59" i="12" l="1"/>
  <c r="BF75" i="69"/>
  <c r="BF76" i="69" s="1"/>
  <c r="CH103" i="69"/>
  <c r="CK103" i="69" s="1"/>
  <c r="CL103" i="69" s="1"/>
  <c r="AM209" i="2" l="1"/>
  <c r="AM210" i="2"/>
  <c r="AM211" i="2"/>
  <c r="AM212" i="2"/>
  <c r="AM106" i="2"/>
  <c r="AM62" i="2"/>
  <c r="AM236" i="3"/>
  <c r="AM237" i="3"/>
  <c r="AM238" i="3"/>
  <c r="AM126" i="3"/>
  <c r="AM127" i="3"/>
  <c r="AM128" i="3"/>
  <c r="AM81" i="3"/>
  <c r="AM82" i="3"/>
  <c r="AB41" i="7" l="1"/>
  <c r="AC41" i="7"/>
  <c r="AD41" i="7"/>
  <c r="AE41" i="7"/>
  <c r="AG41" i="7"/>
  <c r="AH41" i="7"/>
  <c r="AI41" i="7"/>
  <c r="AJ41" i="7"/>
  <c r="AL41" i="7"/>
  <c r="AM41" i="7"/>
  <c r="AN41" i="7"/>
  <c r="AO41" i="7"/>
  <c r="BD153" i="5" l="1"/>
  <c r="BC153" i="5"/>
  <c r="BB153" i="5"/>
  <c r="BA153" i="5"/>
  <c r="BD22" i="7"/>
  <c r="BC22" i="7"/>
  <c r="BB22" i="7"/>
  <c r="BA22" i="7"/>
  <c r="BE12" i="9"/>
  <c r="BE32" i="9" l="1"/>
  <c r="BE31" i="9"/>
  <c r="BE30" i="9"/>
  <c r="BJ23" i="9" s="1"/>
  <c r="BJ30" i="9" s="1"/>
  <c r="BO23" i="9" s="1"/>
  <c r="BO30" i="9" s="1"/>
  <c r="BE24" i="9"/>
  <c r="BE48" i="9" s="1"/>
  <c r="BE38" i="11" l="1"/>
  <c r="BE35" i="11"/>
  <c r="BE44" i="69" l="1"/>
  <c r="BE41" i="10"/>
  <c r="BE125" i="12" l="1"/>
  <c r="BE124" i="12"/>
  <c r="BE123" i="12"/>
  <c r="BE120" i="12"/>
  <c r="BE119" i="12"/>
  <c r="BE104" i="12"/>
  <c r="BE103" i="12"/>
  <c r="BE60" i="12"/>
  <c r="BE55" i="12"/>
  <c r="BE54" i="12"/>
  <c r="BE53" i="12"/>
  <c r="BE47" i="12"/>
  <c r="BE46" i="12"/>
  <c r="BE45" i="12"/>
  <c r="BE40" i="12"/>
  <c r="BE38" i="12"/>
  <c r="BE209" i="12"/>
  <c r="BE205" i="12" s="1"/>
  <c r="BE64" i="13"/>
  <c r="BE133" i="13" s="1"/>
  <c r="BE63" i="13"/>
  <c r="BE59" i="13"/>
  <c r="BE58" i="13"/>
  <c r="BE57" i="13"/>
  <c r="BE56" i="13"/>
  <c r="BE55" i="13"/>
  <c r="BE54" i="13"/>
  <c r="BE53" i="13"/>
  <c r="BJ83" i="12" s="1"/>
  <c r="BE49" i="13"/>
  <c r="BE46" i="13"/>
  <c r="BE45" i="13"/>
  <c r="BE44" i="13"/>
  <c r="BE43" i="13"/>
  <c r="BE42" i="13"/>
  <c r="BE41" i="13"/>
  <c r="BJ72" i="12" s="1"/>
  <c r="BE36" i="13"/>
  <c r="BE33" i="13"/>
  <c r="BE52" i="37" s="1"/>
  <c r="BE32" i="13"/>
  <c r="BE31" i="13"/>
  <c r="BE30" i="13"/>
  <c r="BJ79" i="12" s="1"/>
  <c r="BE29" i="13"/>
  <c r="BE28" i="13"/>
  <c r="BJ75" i="12" s="1"/>
  <c r="BE27" i="13"/>
  <c r="BJ71" i="12" s="1"/>
  <c r="BE26" i="13"/>
  <c r="BE22" i="13"/>
  <c r="BE21" i="13"/>
  <c r="BE20" i="13"/>
  <c r="BE19" i="13"/>
  <c r="BE18" i="13"/>
  <c r="BJ80" i="12" s="1"/>
  <c r="BE17" i="13"/>
  <c r="BE16" i="13"/>
  <c r="BE15" i="13"/>
  <c r="BE14" i="13"/>
  <c r="BJ109" i="12" s="1"/>
  <c r="BE13" i="13"/>
  <c r="BJ108" i="12" s="1"/>
  <c r="BE12" i="13"/>
  <c r="BJ107" i="12" s="1"/>
  <c r="BE11" i="13"/>
  <c r="BE116" i="27" s="1"/>
  <c r="BE104" i="14"/>
  <c r="BE100" i="14"/>
  <c r="BE99" i="14"/>
  <c r="BE98" i="14"/>
  <c r="BE97" i="14"/>
  <c r="BE96" i="14"/>
  <c r="BE95" i="14"/>
  <c r="BE94" i="14"/>
  <c r="BE93" i="14"/>
  <c r="BE80" i="14"/>
  <c r="BE78" i="14"/>
  <c r="BE35" i="14"/>
  <c r="BE145" i="14" s="1"/>
  <c r="BE31" i="14"/>
  <c r="BE235" i="12" s="1"/>
  <c r="BE206" i="12" s="1"/>
  <c r="BE28" i="14"/>
  <c r="BE27" i="14"/>
  <c r="BE24" i="14"/>
  <c r="BE23" i="14"/>
  <c r="BE22" i="14"/>
  <c r="BE21" i="14"/>
  <c r="BE20" i="14"/>
  <c r="BE194" i="12" s="1"/>
  <c r="BE19" i="14"/>
  <c r="BE18" i="14"/>
  <c r="BE17" i="14"/>
  <c r="BE14" i="14"/>
  <c r="BE13" i="14"/>
  <c r="BE12" i="14"/>
  <c r="BE11" i="14"/>
  <c r="BE10" i="14"/>
  <c r="BE51" i="6"/>
  <c r="BE50" i="6"/>
  <c r="BE43" i="6"/>
  <c r="BE42" i="6"/>
  <c r="BE41" i="6"/>
  <c r="BE40" i="6"/>
  <c r="BE39" i="6"/>
  <c r="BE33" i="6"/>
  <c r="BE32" i="6"/>
  <c r="BE31" i="6"/>
  <c r="BE30" i="6"/>
  <c r="BE26" i="6"/>
  <c r="BE25" i="6"/>
  <c r="BE24" i="6"/>
  <c r="BE23" i="6"/>
  <c r="BE20" i="6"/>
  <c r="BE19" i="6"/>
  <c r="BE16" i="6"/>
  <c r="BE15" i="6"/>
  <c r="BE14" i="6"/>
  <c r="BE13" i="6"/>
  <c r="BE12" i="6"/>
  <c r="BE62" i="27"/>
  <c r="BE83" i="14" s="1"/>
  <c r="BE60" i="27"/>
  <c r="BE81" i="14" s="1"/>
  <c r="BE56" i="27"/>
  <c r="BE77" i="14" s="1"/>
  <c r="BE55" i="27"/>
  <c r="BE76" i="14" s="1"/>
  <c r="BE54" i="27"/>
  <c r="BE75" i="14" s="1"/>
  <c r="BE53" i="27"/>
  <c r="BE74" i="14" s="1"/>
  <c r="BE52" i="27"/>
  <c r="BE73" i="14" s="1"/>
  <c r="BE51" i="27"/>
  <c r="BE26" i="27"/>
  <c r="BE25" i="27"/>
  <c r="BE109" i="13" s="1"/>
  <c r="BE21" i="27"/>
  <c r="BE20" i="27"/>
  <c r="BE19" i="27"/>
  <c r="BE15" i="27"/>
  <c r="BE14" i="27"/>
  <c r="BE13" i="27"/>
  <c r="BE12" i="27"/>
  <c r="BE11" i="27"/>
  <c r="BE10" i="27"/>
  <c r="BE124" i="10"/>
  <c r="BE122" i="10"/>
  <c r="BE121" i="10"/>
  <c r="BE108" i="10"/>
  <c r="BE88" i="10"/>
  <c r="BE87" i="10"/>
  <c r="BE86" i="10"/>
  <c r="BE85" i="10"/>
  <c r="BE25" i="10"/>
  <c r="BE17" i="10"/>
  <c r="BE16" i="10"/>
  <c r="BE13" i="10"/>
  <c r="BE12" i="10"/>
  <c r="BE11" i="10"/>
  <c r="BE71" i="10"/>
  <c r="BE85" i="11"/>
  <c r="BE45" i="11"/>
  <c r="BE26" i="11"/>
  <c r="BE11" i="37"/>
  <c r="BE138" i="27" s="1"/>
  <c r="BE93" i="47"/>
  <c r="BE92" i="47"/>
  <c r="BE91" i="47"/>
  <c r="BE90" i="47"/>
  <c r="BE40" i="47"/>
  <c r="BE158" i="13" s="1"/>
  <c r="BE37" i="47"/>
  <c r="BE156" i="13" s="1"/>
  <c r="BE34" i="47"/>
  <c r="BE153" i="13" s="1"/>
  <c r="BE29" i="47"/>
  <c r="BE148" i="13" s="1"/>
  <c r="BE23" i="47"/>
  <c r="BE144" i="13" s="1"/>
  <c r="BE16" i="47"/>
  <c r="BE99" i="47" s="1"/>
  <c r="BE41" i="12" s="1"/>
  <c r="BE15" i="47"/>
  <c r="BE14" i="47"/>
  <c r="BE13" i="47"/>
  <c r="BE10" i="47"/>
  <c r="BE14" i="69"/>
  <c r="BE11" i="69"/>
  <c r="BE10" i="69"/>
  <c r="BE9" i="69"/>
  <c r="BE21" i="69" s="1"/>
  <c r="BE55" i="69"/>
  <c r="BE107" i="5"/>
  <c r="BE106" i="5"/>
  <c r="BE102" i="5"/>
  <c r="BE100" i="5"/>
  <c r="BE98" i="5"/>
  <c r="BE96" i="5"/>
  <c r="BE94" i="5"/>
  <c r="BE93" i="5"/>
  <c r="BE92" i="5"/>
  <c r="BE91" i="5"/>
  <c r="BE87" i="5"/>
  <c r="BE86" i="5"/>
  <c r="BE85" i="5"/>
  <c r="BE81" i="5"/>
  <c r="BE80" i="5"/>
  <c r="BE79" i="5"/>
  <c r="BE77" i="5"/>
  <c r="BE72" i="5"/>
  <c r="BE71" i="5"/>
  <c r="BE67" i="5"/>
  <c r="BE66" i="5"/>
  <c r="BE65" i="5"/>
  <c r="BE53" i="5"/>
  <c r="BE48" i="5"/>
  <c r="BE47" i="5"/>
  <c r="BE46" i="5"/>
  <c r="BE45" i="5"/>
  <c r="BE44" i="5"/>
  <c r="BE43" i="5"/>
  <c r="BE42" i="5"/>
  <c r="BE41" i="5"/>
  <c r="BE40" i="5"/>
  <c r="BE39" i="5"/>
  <c r="BE38" i="5"/>
  <c r="BE37" i="5"/>
  <c r="BE33" i="5"/>
  <c r="BE32" i="5"/>
  <c r="BE27" i="5"/>
  <c r="BE25" i="5"/>
  <c r="BE24" i="5"/>
  <c r="BE23" i="5"/>
  <c r="BE22" i="5"/>
  <c r="BE18" i="5"/>
  <c r="BE13" i="5"/>
  <c r="BE161" i="1"/>
  <c r="BE160" i="1"/>
  <c r="BE156" i="1"/>
  <c r="BE154" i="1"/>
  <c r="BE153" i="1"/>
  <c r="BE152" i="1"/>
  <c r="BE150" i="1"/>
  <c r="BE147" i="1"/>
  <c r="BE146" i="1"/>
  <c r="BE145" i="1"/>
  <c r="BE141" i="1"/>
  <c r="BE140" i="1"/>
  <c r="BE139" i="1"/>
  <c r="BE135" i="1"/>
  <c r="BE134" i="1"/>
  <c r="BE133" i="1"/>
  <c r="BE131" i="1"/>
  <c r="BE130" i="1"/>
  <c r="BE126" i="1"/>
  <c r="BE125" i="1"/>
  <c r="BE121" i="1"/>
  <c r="BE120" i="1"/>
  <c r="BE119" i="1"/>
  <c r="BE54" i="1"/>
  <c r="BE49" i="1"/>
  <c r="BE34" i="1"/>
  <c r="BE28" i="1"/>
  <c r="BE19" i="1"/>
  <c r="BE14" i="1"/>
  <c r="BE20" i="9"/>
  <c r="BE19" i="9"/>
  <c r="BE17" i="9"/>
  <c r="BE16" i="9"/>
  <c r="BE14" i="9"/>
  <c r="BE13" i="9"/>
  <c r="BE68" i="37" l="1"/>
  <c r="BE27" i="69"/>
  <c r="BJ91" i="12"/>
  <c r="BJ88" i="12"/>
  <c r="BJ216" i="9"/>
  <c r="BJ210" i="9" s="1"/>
  <c r="BJ217" i="9"/>
  <c r="BJ211" i="9" s="1"/>
  <c r="BE162" i="1"/>
  <c r="BJ111" i="12"/>
  <c r="BJ78" i="12"/>
  <c r="BJ94" i="12"/>
  <c r="CI20" i="10"/>
  <c r="BE17" i="69"/>
  <c r="BE127" i="1"/>
  <c r="BE142" i="1"/>
  <c r="BJ92" i="12"/>
  <c r="BJ93" i="12"/>
  <c r="BJ118" i="12"/>
  <c r="BE137" i="14"/>
  <c r="BE140" i="14"/>
  <c r="BE121" i="5"/>
  <c r="BE39" i="12"/>
  <c r="BE141" i="5"/>
  <c r="BE148" i="5"/>
  <c r="BE126" i="5"/>
  <c r="BE161" i="5"/>
  <c r="BE147" i="5"/>
  <c r="BE56" i="1"/>
  <c r="BE136" i="1"/>
  <c r="BE17" i="27"/>
  <c r="BE22" i="27" s="1"/>
  <c r="BE27" i="27" s="1"/>
  <c r="BE36" i="14" s="1"/>
  <c r="BE49" i="14" s="1"/>
  <c r="BE135" i="14"/>
  <c r="BE122" i="1"/>
  <c r="BE14" i="10"/>
  <c r="BE19" i="10" s="1"/>
  <c r="BE83" i="27"/>
  <c r="BE145" i="5"/>
  <c r="BE140" i="5"/>
  <c r="BE146" i="5"/>
  <c r="BE34" i="13"/>
  <c r="BE58" i="27"/>
  <c r="BE72" i="27" s="1"/>
  <c r="BE38" i="14"/>
  <c r="BE72" i="14"/>
  <c r="BE130" i="13"/>
  <c r="BE47" i="13"/>
  <c r="BE50" i="13" s="1"/>
  <c r="BE126" i="13"/>
  <c r="BE65" i="13"/>
  <c r="BE73" i="13"/>
  <c r="BE74" i="13"/>
  <c r="BE134" i="13"/>
  <c r="BE137" i="13" s="1"/>
  <c r="BE150" i="5"/>
  <c r="BE152" i="5"/>
  <c r="BE154" i="5"/>
  <c r="BE156" i="5"/>
  <c r="BE131" i="5"/>
  <c r="BE133" i="5"/>
  <c r="BE135" i="5"/>
  <c r="BE89" i="10"/>
  <c r="BE77" i="10" s="1"/>
  <c r="BE60" i="13"/>
  <c r="BE73" i="11"/>
  <c r="BE13" i="37"/>
  <c r="BE161" i="4"/>
  <c r="BE156" i="4"/>
  <c r="BE155" i="4"/>
  <c r="BE154" i="4"/>
  <c r="BE152" i="4"/>
  <c r="BE151" i="4"/>
  <c r="BE150" i="4"/>
  <c r="BE149" i="4"/>
  <c r="BE148" i="4"/>
  <c r="BE147" i="4"/>
  <c r="BE146" i="4"/>
  <c r="BE141" i="4"/>
  <c r="BE140" i="4"/>
  <c r="BE135" i="4"/>
  <c r="BE133" i="4"/>
  <c r="BE132" i="4"/>
  <c r="BE131" i="4"/>
  <c r="BE126" i="4"/>
  <c r="BE121" i="4"/>
  <c r="BE88" i="4"/>
  <c r="BE99" i="4"/>
  <c r="BE99" i="5" s="1"/>
  <c r="BE153" i="5" s="1"/>
  <c r="BE76" i="4"/>
  <c r="BE76" i="5" s="1"/>
  <c r="BE130" i="5" s="1"/>
  <c r="BE14" i="4"/>
  <c r="BE19" i="4"/>
  <c r="BE19" i="5" s="1"/>
  <c r="BE28" i="4"/>
  <c r="BE288" i="7" s="1"/>
  <c r="BE34" i="4"/>
  <c r="BE34" i="5" s="1"/>
  <c r="BE52" i="4"/>
  <c r="BE52" i="5" s="1"/>
  <c r="BE160" i="5" s="1"/>
  <c r="BE49" i="5"/>
  <c r="BE31" i="4"/>
  <c r="BE31" i="5" s="1"/>
  <c r="BE139" i="5" s="1"/>
  <c r="BE26" i="4"/>
  <c r="BE26" i="5" s="1"/>
  <c r="BE28" i="5" s="1"/>
  <c r="BE17" i="4"/>
  <c r="BE17" i="5" s="1"/>
  <c r="BE125" i="5" s="1"/>
  <c r="BE12" i="4"/>
  <c r="BE12" i="5" s="1"/>
  <c r="BE120" i="5" s="1"/>
  <c r="BE11" i="4"/>
  <c r="BE11" i="5" s="1"/>
  <c r="BE119" i="5" s="1"/>
  <c r="AZ14" i="4"/>
  <c r="BE220" i="9"/>
  <c r="BE205" i="9"/>
  <c r="BE201" i="9"/>
  <c r="BE99" i="9"/>
  <c r="BE98" i="9"/>
  <c r="BE96" i="9"/>
  <c r="BE95" i="9"/>
  <c r="BJ140" i="9" s="1"/>
  <c r="BE94" i="9"/>
  <c r="BE93" i="9"/>
  <c r="BE92" i="9"/>
  <c r="BE91" i="9"/>
  <c r="BE56" i="9"/>
  <c r="BE117" i="9" s="1"/>
  <c r="BE55" i="9"/>
  <c r="BE53" i="9"/>
  <c r="BE114" i="9" s="1"/>
  <c r="BE52" i="9"/>
  <c r="BJ139" i="9" s="1"/>
  <c r="BE51" i="9"/>
  <c r="BE112" i="9" s="1"/>
  <c r="BE50" i="9"/>
  <c r="BE111" i="9" s="1"/>
  <c r="BE49" i="9"/>
  <c r="BE110" i="9" s="1"/>
  <c r="BF85" i="9"/>
  <c r="BG85" i="9"/>
  <c r="BH85" i="9"/>
  <c r="BI85" i="9"/>
  <c r="BE23" i="9"/>
  <c r="AZ93" i="9"/>
  <c r="BE878" i="7"/>
  <c r="BE877" i="7"/>
  <c r="BE868" i="7"/>
  <c r="BE865" i="7"/>
  <c r="BE862" i="7"/>
  <c r="BE861" i="7"/>
  <c r="BE860" i="7"/>
  <c r="BE859" i="7"/>
  <c r="BE858" i="7"/>
  <c r="BE857" i="7"/>
  <c r="BE823" i="7"/>
  <c r="BE822" i="7"/>
  <c r="BE768" i="7"/>
  <c r="BE763" i="7"/>
  <c r="BE762" i="7"/>
  <c r="BE758" i="7"/>
  <c r="BE708" i="7"/>
  <c r="BE707" i="7"/>
  <c r="BE685" i="7"/>
  <c r="BE693" i="7" s="1"/>
  <c r="BE696" i="7" s="1"/>
  <c r="BE699" i="7" s="1"/>
  <c r="BE549" i="7"/>
  <c r="BE548" i="7"/>
  <c r="BE536" i="7"/>
  <c r="BE535" i="7"/>
  <c r="BE532" i="7"/>
  <c r="BE529" i="7"/>
  <c r="BE528" i="7"/>
  <c r="BE527" i="7"/>
  <c r="BE526" i="7"/>
  <c r="BE525" i="7"/>
  <c r="BE524" i="7"/>
  <c r="BE521" i="7"/>
  <c r="BE520" i="7"/>
  <c r="BE488" i="7"/>
  <c r="BE487" i="7"/>
  <c r="BE483" i="7"/>
  <c r="BE435" i="7"/>
  <c r="BE436" i="7" s="1"/>
  <c r="BE431" i="7"/>
  <c r="BE430" i="7"/>
  <c r="BE426" i="7"/>
  <c r="BE423" i="7"/>
  <c r="BE422" i="7"/>
  <c r="BE421" i="7"/>
  <c r="BE420" i="7"/>
  <c r="BE419" i="7"/>
  <c r="BE418" i="7"/>
  <c r="BE123" i="10" s="1"/>
  <c r="BE415" i="7"/>
  <c r="BE414" i="7"/>
  <c r="BE346" i="7"/>
  <c r="BE345" i="7"/>
  <c r="BE341" i="7"/>
  <c r="BE294" i="7"/>
  <c r="BE293" i="7"/>
  <c r="BE289" i="7"/>
  <c r="BE241" i="7"/>
  <c r="BE240" i="7"/>
  <c r="BE236" i="7"/>
  <c r="BE231" i="7"/>
  <c r="BE228" i="7"/>
  <c r="BE227" i="7"/>
  <c r="BE226" i="7"/>
  <c r="BE225" i="7"/>
  <c r="BE224" i="7"/>
  <c r="BE223" i="7"/>
  <c r="BE120" i="10" s="1"/>
  <c r="BE220" i="7"/>
  <c r="BE219" i="7"/>
  <c r="BE151" i="7"/>
  <c r="BE150" i="7"/>
  <c r="BE146" i="7"/>
  <c r="BE141" i="7"/>
  <c r="CI171" i="7" s="1"/>
  <c r="BE138" i="7"/>
  <c r="BE137" i="7"/>
  <c r="BE136" i="7"/>
  <c r="BE135" i="7"/>
  <c r="BE134" i="7"/>
  <c r="BE133" i="7"/>
  <c r="BE119" i="10" s="1"/>
  <c r="BE130" i="7"/>
  <c r="BE129" i="7"/>
  <c r="BE58" i="7"/>
  <c r="BE57" i="7"/>
  <c r="BE25" i="7"/>
  <c r="BE22" i="7"/>
  <c r="BE800" i="7"/>
  <c r="BE808" i="7" s="1"/>
  <c r="BE811" i="7" s="1"/>
  <c r="BE739" i="7"/>
  <c r="BE580" i="7"/>
  <c r="BE468" i="7"/>
  <c r="BE510" i="7" s="1"/>
  <c r="BE397" i="7"/>
  <c r="BE405" i="7" s="1"/>
  <c r="BE408" i="7" s="1"/>
  <c r="BE386" i="7"/>
  <c r="BE389" i="7" s="1"/>
  <c r="BE326" i="7"/>
  <c r="BE334" i="7" s="1"/>
  <c r="BE370" i="7" s="1"/>
  <c r="BE274" i="7"/>
  <c r="BE282" i="7" s="1"/>
  <c r="BE318" i="7" s="1"/>
  <c r="BE202" i="7"/>
  <c r="BE210" i="7" s="1"/>
  <c r="BE213" i="7" s="1"/>
  <c r="BE183" i="7"/>
  <c r="BE191" i="7" s="1"/>
  <c r="BE194" i="7" s="1"/>
  <c r="BE112" i="7"/>
  <c r="BE120" i="7" s="1"/>
  <c r="BE123" i="7" s="1"/>
  <c r="BE93" i="7"/>
  <c r="BE101" i="7" s="1"/>
  <c r="BE104" i="7" s="1"/>
  <c r="BE90" i="13" l="1"/>
  <c r="BE54" i="4"/>
  <c r="BE235" i="7"/>
  <c r="BE119" i="4"/>
  <c r="BE54" i="14"/>
  <c r="BE116" i="9"/>
  <c r="BJ132" i="9" s="1"/>
  <c r="BE588" i="7"/>
  <c r="BE522" i="7"/>
  <c r="BE530" i="7" s="1"/>
  <c r="BE533" i="7" s="1"/>
  <c r="BE39" i="14"/>
  <c r="BE55" i="14" s="1"/>
  <c r="BE197" i="12"/>
  <c r="BE210" i="12"/>
  <c r="BE14" i="5"/>
  <c r="BE120" i="4"/>
  <c r="BE130" i="4"/>
  <c r="BE134" i="4"/>
  <c r="BE153" i="4"/>
  <c r="BE157" i="4" s="1"/>
  <c r="BE160" i="4"/>
  <c r="BE162" i="4" s="1"/>
  <c r="BE11" i="12"/>
  <c r="CJ20" i="10"/>
  <c r="CH20" i="10" s="1"/>
  <c r="BE134" i="5"/>
  <c r="BE150" i="9"/>
  <c r="BE340" i="7"/>
  <c r="BE342" i="7" s="1"/>
  <c r="BE82" i="4"/>
  <c r="BE702" i="7" s="1"/>
  <c r="BE125" i="4"/>
  <c r="BE127" i="4" s="1"/>
  <c r="BE139" i="4"/>
  <c r="BE142" i="4" s="1"/>
  <c r="BE67" i="13"/>
  <c r="BE43" i="7"/>
  <c r="BE37" i="7"/>
  <c r="BE41" i="7"/>
  <c r="BE416" i="7"/>
  <c r="BE453" i="7" s="1"/>
  <c r="BE42" i="7"/>
  <c r="BE131" i="7"/>
  <c r="BE169" i="7" s="1"/>
  <c r="BE75" i="13"/>
  <c r="BE79" i="14"/>
  <c r="BE76" i="13"/>
  <c r="BE121" i="27"/>
  <c r="BE156" i="9"/>
  <c r="BE151" i="9"/>
  <c r="BE166" i="9"/>
  <c r="BE221" i="7"/>
  <c r="BE262" i="7" s="1"/>
  <c r="BE45" i="7"/>
  <c r="BE726" i="7"/>
  <c r="BE476" i="7"/>
  <c r="BE512" i="7" s="1"/>
  <c r="BE36" i="7"/>
  <c r="BE729" i="7"/>
  <c r="BE731" i="7"/>
  <c r="BE855" i="7"/>
  <c r="BE898" i="7" s="1"/>
  <c r="BE725" i="7"/>
  <c r="BE40" i="7"/>
  <c r="BE311" i="7"/>
  <c r="BE315" i="7"/>
  <c r="BE364" i="7"/>
  <c r="BE368" i="7"/>
  <c r="BE507" i="7"/>
  <c r="BE785" i="7"/>
  <c r="BE789" i="7"/>
  <c r="BE839" i="7"/>
  <c r="BE843" i="7"/>
  <c r="BE312" i="7"/>
  <c r="BE316" i="7"/>
  <c r="BE365" i="7"/>
  <c r="BE508" i="7"/>
  <c r="BE786" i="7"/>
  <c r="BE840" i="7"/>
  <c r="BE844" i="7"/>
  <c r="BE313" i="7"/>
  <c r="BE366" i="7"/>
  <c r="BE505" i="7"/>
  <c r="BE509" i="7"/>
  <c r="BE727" i="7"/>
  <c r="BE787" i="7"/>
  <c r="BE841" i="7"/>
  <c r="BE846" i="7"/>
  <c r="BE314" i="7"/>
  <c r="BE363" i="7"/>
  <c r="BE367" i="7"/>
  <c r="BE506" i="7"/>
  <c r="BE724" i="7"/>
  <c r="BE728" i="7"/>
  <c r="BE784" i="7"/>
  <c r="BE788" i="7"/>
  <c r="BE842" i="7"/>
  <c r="BE27" i="10"/>
  <c r="BE26" i="10"/>
  <c r="BE243" i="7"/>
  <c r="BE53" i="7"/>
  <c r="BE432" i="7"/>
  <c r="BE290" i="7"/>
  <c r="BE303" i="7" s="1"/>
  <c r="BE109" i="9"/>
  <c r="BO184" i="9" s="1"/>
  <c r="BE113" i="9"/>
  <c r="BJ141" i="9" s="1"/>
  <c r="BE155" i="9"/>
  <c r="BE165" i="9"/>
  <c r="BE145" i="7"/>
  <c r="BE147" i="7" s="1"/>
  <c r="BE764" i="7"/>
  <c r="BE438" i="7"/>
  <c r="BE296" i="7"/>
  <c r="BE297" i="7" s="1"/>
  <c r="BE237" i="7"/>
  <c r="BE250" i="7" s="1"/>
  <c r="BE50" i="14" l="1"/>
  <c r="BE172" i="7"/>
  <c r="BE122" i="4"/>
  <c r="BE54" i="5"/>
  <c r="BE56" i="5" s="1"/>
  <c r="BE100" i="10" s="1"/>
  <c r="BE482" i="7"/>
  <c r="BT421" i="7"/>
  <c r="BT136" i="7"/>
  <c r="BE168" i="7"/>
  <c r="BE139" i="7"/>
  <c r="CH171" i="7" s="1"/>
  <c r="BE424" i="7"/>
  <c r="BE427" i="7" s="1"/>
  <c r="BE461" i="7" s="1"/>
  <c r="BJ126" i="9"/>
  <c r="BJ127" i="9"/>
  <c r="BE136" i="4"/>
  <c r="BE899" i="7"/>
  <c r="BE259" i="7"/>
  <c r="BE264" i="7"/>
  <c r="BE263" i="7"/>
  <c r="BE260" i="7"/>
  <c r="BE244" i="7"/>
  <c r="BE896" i="7"/>
  <c r="BE171" i="7"/>
  <c r="BE455" i="7"/>
  <c r="BE897" i="7"/>
  <c r="BE448" i="7"/>
  <c r="BE458" i="7"/>
  <c r="BE454" i="7"/>
  <c r="BE358" i="7"/>
  <c r="BE353" i="7"/>
  <c r="BE348" i="7"/>
  <c r="BE349" i="7" s="1"/>
  <c r="BE163" i="7"/>
  <c r="BE301" i="7"/>
  <c r="BE354" i="7"/>
  <c r="BE159" i="7"/>
  <c r="BE300" i="7"/>
  <c r="BE162" i="7"/>
  <c r="BE153" i="7"/>
  <c r="BE154" i="7" s="1"/>
  <c r="BE304" i="7"/>
  <c r="BE308" i="7" s="1"/>
  <c r="BE305" i="7"/>
  <c r="BE443" i="7"/>
  <c r="BE352" i="7"/>
  <c r="BE356" i="7"/>
  <c r="BE360" i="7" s="1"/>
  <c r="BE355" i="7"/>
  <c r="BE442" i="7"/>
  <c r="BE158" i="7"/>
  <c r="BE170" i="7"/>
  <c r="BE38" i="7"/>
  <c r="BE80" i="7" s="1"/>
  <c r="BE173" i="7"/>
  <c r="BE261" i="7"/>
  <c r="BE229" i="7"/>
  <c r="BE232" i="7" s="1"/>
  <c r="BE267" i="7" s="1"/>
  <c r="BE302" i="7"/>
  <c r="BE306" i="7"/>
  <c r="BE445" i="7"/>
  <c r="BE446" i="7"/>
  <c r="BE450" i="7" s="1"/>
  <c r="BE439" i="7"/>
  <c r="BE456" i="7"/>
  <c r="BE457" i="7"/>
  <c r="BE357" i="7"/>
  <c r="BE460" i="7"/>
  <c r="BE447" i="7"/>
  <c r="BE444" i="7"/>
  <c r="BE863" i="7"/>
  <c r="BE866" i="7" s="1"/>
  <c r="BE869" i="7" s="1"/>
  <c r="BE894" i="7"/>
  <c r="BE895" i="7"/>
  <c r="BE121" i="9"/>
  <c r="BE122" i="9" s="1"/>
  <c r="BE223" i="9"/>
  <c r="BE225" i="9" s="1"/>
  <c r="BE224" i="9"/>
  <c r="BE226" i="9" s="1"/>
  <c r="BE152" i="9"/>
  <c r="BE93" i="10" s="1"/>
  <c r="BE167" i="9"/>
  <c r="BE157" i="9"/>
  <c r="BE160" i="7"/>
  <c r="BE161" i="7"/>
  <c r="BE165" i="7" s="1"/>
  <c r="BE157" i="7"/>
  <c r="BE52" i="7"/>
  <c r="BE778" i="7"/>
  <c r="BE781" i="7" s="1"/>
  <c r="BE776" i="7"/>
  <c r="BE774" i="7"/>
  <c r="BE779" i="7"/>
  <c r="BE777" i="7"/>
  <c r="BE775" i="7"/>
  <c r="BE570" i="7"/>
  <c r="BE569" i="7"/>
  <c r="BE566" i="7"/>
  <c r="BE565" i="7"/>
  <c r="BE568" i="7"/>
  <c r="BE572" i="7"/>
  <c r="BE567" i="7"/>
  <c r="BE249" i="7"/>
  <c r="BE252" i="7"/>
  <c r="BE248" i="7"/>
  <c r="BE251" i="7"/>
  <c r="BE256" i="7" s="1"/>
  <c r="BE247" i="7"/>
  <c r="BE254" i="7"/>
  <c r="BE253" i="7"/>
  <c r="BE164" i="4" l="1"/>
  <c r="BE165" i="4" s="1"/>
  <c r="BE484" i="7"/>
  <c r="BE490" i="7"/>
  <c r="BE491" i="7" s="1"/>
  <c r="BE142" i="7"/>
  <c r="BE176" i="7" s="1"/>
  <c r="BE175" i="7"/>
  <c r="BE78" i="7"/>
  <c r="BE77" i="7"/>
  <c r="BE79" i="7"/>
  <c r="BE82" i="7"/>
  <c r="BE901" i="7"/>
  <c r="BE266" i="7"/>
  <c r="BE60" i="7" l="1"/>
  <c r="BE61" i="7" s="1"/>
  <c r="BE495" i="7"/>
  <c r="BE497" i="7"/>
  <c r="BE500" i="7"/>
  <c r="BE494" i="7"/>
  <c r="BE498" i="7"/>
  <c r="BE502" i="7" s="1"/>
  <c r="BE499" i="7"/>
  <c r="BE54" i="7"/>
  <c r="BE496" i="7"/>
  <c r="BY635" i="7"/>
  <c r="AY60" i="7"/>
  <c r="AX60" i="7"/>
  <c r="AW60" i="7"/>
  <c r="AV60" i="7"/>
  <c r="AT60" i="7"/>
  <c r="AS60" i="7"/>
  <c r="AR60" i="7"/>
  <c r="AQ60" i="7"/>
  <c r="AO60" i="7"/>
  <c r="AN60" i="7"/>
  <c r="AM60" i="7"/>
  <c r="AL60" i="7"/>
  <c r="AJ60" i="7"/>
  <c r="AI60" i="7"/>
  <c r="AH60" i="7"/>
  <c r="AG60" i="7"/>
  <c r="AE60" i="7"/>
  <c r="AD60" i="7"/>
  <c r="AC60" i="7"/>
  <c r="AB60" i="7"/>
  <c r="Z60" i="7"/>
  <c r="Y60" i="7"/>
  <c r="X60" i="7"/>
  <c r="W60" i="7"/>
  <c r="U60" i="7"/>
  <c r="T60" i="7"/>
  <c r="S60" i="7"/>
  <c r="R60" i="7"/>
  <c r="P60" i="7"/>
  <c r="O60" i="7"/>
  <c r="N60" i="7"/>
  <c r="M60" i="7"/>
  <c r="K60" i="7"/>
  <c r="J60" i="7"/>
  <c r="I60" i="7"/>
  <c r="H60" i="7"/>
  <c r="BE67" i="7" l="1"/>
  <c r="BE64" i="7"/>
  <c r="BE65" i="7"/>
  <c r="BE69" i="7"/>
  <c r="BE66" i="7"/>
  <c r="CD635" i="7"/>
  <c r="CL210" i="13" l="1"/>
  <c r="CI210" i="13"/>
  <c r="CJ52" i="14"/>
  <c r="CI52" i="14"/>
  <c r="BJ55" i="69" l="1"/>
  <c r="BE47" i="69"/>
  <c r="BD76" i="27"/>
  <c r="BD25" i="7" l="1"/>
  <c r="BD70" i="6"/>
  <c r="BD71" i="6"/>
  <c r="BD63" i="6"/>
  <c r="BD64" i="6"/>
  <c r="BD67" i="6"/>
  <c r="BD68" i="6"/>
  <c r="BD63" i="69"/>
  <c r="BD64" i="69"/>
  <c r="BD65" i="69"/>
  <c r="BD66" i="69"/>
  <c r="BD67" i="69"/>
  <c r="CH93" i="69" s="1"/>
  <c r="BD60" i="69"/>
  <c r="BD55" i="69"/>
  <c r="BD44" i="69"/>
  <c r="BD47" i="69" s="1"/>
  <c r="BD38" i="69"/>
  <c r="BD50" i="47"/>
  <c r="BD73" i="69" l="1"/>
  <c r="BD49" i="69"/>
  <c r="CI93" i="69" s="1"/>
  <c r="CK93" i="69" s="1"/>
  <c r="BD72" i="69"/>
  <c r="CK43" i="69" s="1"/>
  <c r="BD38" i="47"/>
  <c r="BD26" i="47"/>
  <c r="BC29" i="47"/>
  <c r="BD57" i="37"/>
  <c r="BD79" i="11"/>
  <c r="BD32" i="11"/>
  <c r="BE32" i="11" s="1"/>
  <c r="BD34" i="11"/>
  <c r="BD113" i="10"/>
  <c r="BD112" i="10"/>
  <c r="BD21" i="10"/>
  <c r="BD14" i="10"/>
  <c r="BD19" i="10" s="1"/>
  <c r="BD11" i="12" s="1"/>
  <c r="BD89" i="27"/>
  <c r="BD90" i="27"/>
  <c r="BD44" i="27"/>
  <c r="BD42" i="27"/>
  <c r="BD38" i="27"/>
  <c r="BD36" i="27"/>
  <c r="BD34" i="27"/>
  <c r="BD33" i="27"/>
  <c r="BE170" i="12"/>
  <c r="BE49" i="12" s="1"/>
  <c r="BD181" i="12"/>
  <c r="BD57" i="12" s="1"/>
  <c r="BD159" i="12"/>
  <c r="BD38" i="12"/>
  <c r="BD39" i="12"/>
  <c r="BD40" i="12"/>
  <c r="BD45" i="12"/>
  <c r="BD46" i="12"/>
  <c r="BD47" i="12"/>
  <c r="BD53" i="12"/>
  <c r="BD54" i="12"/>
  <c r="BD55" i="12"/>
  <c r="BD75" i="69" l="1"/>
  <c r="BD76" i="69" s="1"/>
  <c r="BD53" i="47"/>
  <c r="BD54" i="47"/>
  <c r="BE26" i="47"/>
  <c r="BE147" i="13" s="1"/>
  <c r="BD55" i="47"/>
  <c r="BE38" i="47"/>
  <c r="BE157" i="13" s="1"/>
  <c r="CJ93" i="69"/>
  <c r="CL93" i="69" s="1"/>
  <c r="BD43" i="12"/>
  <c r="BD91" i="27"/>
  <c r="BE48" i="12"/>
  <c r="BD109" i="10"/>
  <c r="BD56" i="12"/>
  <c r="BD101" i="14"/>
  <c r="BD38" i="14"/>
  <c r="BE129" i="13" l="1"/>
  <c r="BE131" i="13" s="1"/>
  <c r="BE135" i="13" s="1"/>
  <c r="BD10" i="12"/>
  <c r="BD12" i="12" s="1"/>
  <c r="BD25" i="12" l="1"/>
  <c r="CC67" i="69"/>
  <c r="CB67" i="69"/>
  <c r="CA67" i="69"/>
  <c r="BZ67" i="69"/>
  <c r="BX67" i="69"/>
  <c r="BW67" i="69"/>
  <c r="BV67" i="69"/>
  <c r="BU67" i="69"/>
  <c r="BS67" i="69"/>
  <c r="BR67" i="69"/>
  <c r="BQ67" i="69"/>
  <c r="BP67" i="69"/>
  <c r="BT114" i="6" l="1"/>
  <c r="BD88" i="6"/>
  <c r="BD87" i="6"/>
  <c r="BD85" i="6"/>
  <c r="BD84" i="6"/>
  <c r="BD81" i="6"/>
  <c r="BD80" i="6"/>
  <c r="BD102" i="6"/>
  <c r="BD119" i="6" s="1"/>
  <c r="BZ122" i="6"/>
  <c r="BJ122" i="6"/>
  <c r="BZ121" i="6"/>
  <c r="BJ121" i="6"/>
  <c r="BZ119" i="6"/>
  <c r="BZ118" i="6"/>
  <c r="BJ114" i="6"/>
  <c r="BO114" i="6"/>
  <c r="BQ114" i="6"/>
  <c r="BR114" i="6"/>
  <c r="BS114" i="6"/>
  <c r="BU114" i="6"/>
  <c r="BV114" i="6"/>
  <c r="BW114" i="6"/>
  <c r="BX114" i="6"/>
  <c r="BZ114" i="6"/>
  <c r="CA114" i="6"/>
  <c r="CB114" i="6"/>
  <c r="CC114" i="6"/>
  <c r="BJ115" i="6"/>
  <c r="BO115" i="6"/>
  <c r="BQ115" i="6"/>
  <c r="BR115" i="6"/>
  <c r="BS115" i="6"/>
  <c r="BT115" i="6"/>
  <c r="BU115" i="6"/>
  <c r="BV115" i="6"/>
  <c r="BW115" i="6"/>
  <c r="BX115" i="6"/>
  <c r="BZ115" i="6"/>
  <c r="CA115" i="6"/>
  <c r="CB115" i="6"/>
  <c r="CC115" i="6"/>
  <c r="CD115" i="6"/>
  <c r="BY115" i="6"/>
  <c r="CD114" i="6"/>
  <c r="BY114" i="6"/>
  <c r="BT348" i="1"/>
  <c r="BD97" i="6" l="1"/>
  <c r="BD101" i="6"/>
  <c r="BD118" i="6" s="1"/>
  <c r="BD104" i="6"/>
  <c r="BD121" i="6" s="1"/>
  <c r="BD98" i="6"/>
  <c r="BD105" i="6"/>
  <c r="BD122" i="6" s="1"/>
  <c r="CA121" i="6"/>
  <c r="CB121" i="6" s="1"/>
  <c r="CC121" i="6" s="1"/>
  <c r="CD121" i="6" s="1"/>
  <c r="CA122" i="6"/>
  <c r="CB122" i="6" s="1"/>
  <c r="CC122" i="6" s="1"/>
  <c r="CA118" i="6"/>
  <c r="CB118" i="6" s="1"/>
  <c r="CC118" i="6" s="1"/>
  <c r="CA119" i="6"/>
  <c r="CB119" i="6" s="1"/>
  <c r="CC119" i="6" s="1"/>
  <c r="BD115" i="6" l="1"/>
  <c r="BD114" i="6"/>
  <c r="CD118" i="6"/>
  <c r="CD119" i="6"/>
  <c r="CD122" i="6"/>
  <c r="CH15" i="6" l="1"/>
  <c r="BO28" i="14" l="1"/>
  <c r="BT24" i="7"/>
  <c r="CD49" i="69"/>
  <c r="BY49" i="69"/>
  <c r="BT49" i="69"/>
  <c r="BO49" i="69"/>
  <c r="CD38" i="69"/>
  <c r="BY38" i="69"/>
  <c r="BT38" i="69"/>
  <c r="BQ104" i="6"/>
  <c r="BR104" i="6" s="1"/>
  <c r="BS104" i="6" s="1"/>
  <c r="BU104" i="6" s="1"/>
  <c r="CD98" i="6"/>
  <c r="BY98" i="6"/>
  <c r="BT98" i="6"/>
  <c r="BO98" i="6"/>
  <c r="BJ98" i="6"/>
  <c r="CD97" i="6"/>
  <c r="BY97" i="6"/>
  <c r="BT97" i="6"/>
  <c r="BO97" i="6"/>
  <c r="BJ97" i="6"/>
  <c r="BQ105" i="6" l="1"/>
  <c r="BR105" i="6" s="1"/>
  <c r="BS105" i="6" s="1"/>
  <c r="BU105" i="6" s="1"/>
  <c r="BV104" i="6"/>
  <c r="BW104" i="6" s="1"/>
  <c r="BX104" i="6" s="1"/>
  <c r="BZ104" i="6" s="1"/>
  <c r="BT104" i="6"/>
  <c r="BV105" i="6" l="1"/>
  <c r="BW105" i="6" s="1"/>
  <c r="BX105" i="6" s="1"/>
  <c r="BZ105" i="6" s="1"/>
  <c r="BT105" i="6"/>
  <c r="CA104" i="6"/>
  <c r="CB104" i="6" s="1"/>
  <c r="CC104" i="6" s="1"/>
  <c r="BY104" i="6"/>
  <c r="BY105" i="6" l="1"/>
  <c r="CD104" i="6"/>
  <c r="CA105" i="6"/>
  <c r="CB105" i="6" s="1"/>
  <c r="CC105" i="6" s="1"/>
  <c r="CD105" i="6" l="1"/>
  <c r="BT76" i="69"/>
  <c r="CL209" i="13" l="1"/>
  <c r="CI209" i="13"/>
  <c r="CJ51" i="14"/>
  <c r="CI51" i="14"/>
  <c r="CR54" i="6"/>
  <c r="BC28" i="47" l="1"/>
  <c r="BC26" i="47"/>
  <c r="BC54" i="47" l="1"/>
  <c r="BC70" i="6"/>
  <c r="BC87" i="6" s="1"/>
  <c r="BC104" i="6" s="1"/>
  <c r="BC71" i="6"/>
  <c r="BC88" i="6" s="1"/>
  <c r="BC105" i="6" s="1"/>
  <c r="BC67" i="6"/>
  <c r="BC84" i="6" s="1"/>
  <c r="BC101" i="6" s="1"/>
  <c r="BC68" i="6"/>
  <c r="BC85" i="6" s="1"/>
  <c r="BC102" i="6" s="1"/>
  <c r="BC64" i="6"/>
  <c r="BC81" i="6" s="1"/>
  <c r="BC98" i="6" s="1"/>
  <c r="BC63" i="6"/>
  <c r="BC80" i="6" s="1"/>
  <c r="BC97" i="6" s="1"/>
  <c r="BC63" i="69"/>
  <c r="BC64" i="69"/>
  <c r="BC65" i="69"/>
  <c r="BC66" i="69"/>
  <c r="BC67" i="69"/>
  <c r="CH92" i="69" s="1"/>
  <c r="BC60" i="69"/>
  <c r="BC55" i="69"/>
  <c r="BC73" i="69" s="1"/>
  <c r="BC44" i="69"/>
  <c r="BC47" i="69" s="1"/>
  <c r="BC38" i="69"/>
  <c r="BC72" i="69" s="1"/>
  <c r="BC27" i="69"/>
  <c r="BB50" i="47"/>
  <c r="BC50" i="47"/>
  <c r="BB51" i="47"/>
  <c r="BC51" i="47"/>
  <c r="BC38" i="47"/>
  <c r="BC31" i="47"/>
  <c r="BC25" i="7"/>
  <c r="BC52" i="37"/>
  <c r="BC57" i="37"/>
  <c r="BC86" i="11"/>
  <c r="BC72" i="11" s="1"/>
  <c r="BC79" i="11"/>
  <c r="BC73" i="11"/>
  <c r="BC34" i="11"/>
  <c r="BC32" i="11"/>
  <c r="BC112" i="10"/>
  <c r="BC21" i="10"/>
  <c r="BC14" i="10"/>
  <c r="BC19" i="10" s="1"/>
  <c r="BC89" i="27"/>
  <c r="BC90" i="27"/>
  <c r="BC76" i="27"/>
  <c r="BC42" i="27"/>
  <c r="BC44" i="27"/>
  <c r="BC38" i="27"/>
  <c r="BC33" i="27"/>
  <c r="BC34" i="27"/>
  <c r="BC36" i="27"/>
  <c r="BC17" i="27"/>
  <c r="BC135" i="14"/>
  <c r="BC137" i="14"/>
  <c r="BC140" i="14"/>
  <c r="BC145" i="14"/>
  <c r="BC101" i="14"/>
  <c r="BC72" i="14"/>
  <c r="BC73" i="14"/>
  <c r="BC75" i="14"/>
  <c r="BC77" i="14"/>
  <c r="BC78" i="14"/>
  <c r="BC80" i="14"/>
  <c r="BC81" i="14"/>
  <c r="BC83" i="14"/>
  <c r="CJ92" i="69" l="1"/>
  <c r="CJ43" i="69"/>
  <c r="BC42" i="47"/>
  <c r="BC55" i="47"/>
  <c r="BC53" i="47"/>
  <c r="BB49" i="47"/>
  <c r="BC91" i="27"/>
  <c r="BC109" i="10"/>
  <c r="BC49" i="69"/>
  <c r="CI92" i="69" s="1"/>
  <c r="CK92" i="69" s="1"/>
  <c r="BC23" i="10"/>
  <c r="BC38" i="14"/>
  <c r="BC181" i="12"/>
  <c r="BC159" i="12"/>
  <c r="BC38" i="12"/>
  <c r="BC39" i="12"/>
  <c r="BC40" i="12"/>
  <c r="BC45" i="12"/>
  <c r="BC46" i="12"/>
  <c r="BC47" i="12"/>
  <c r="BC53" i="12"/>
  <c r="BC54" i="12"/>
  <c r="BC55" i="12"/>
  <c r="BC47" i="13"/>
  <c r="BC50" i="13" s="1"/>
  <c r="BC60" i="13"/>
  <c r="CL92" i="69" l="1"/>
  <c r="BC57" i="12"/>
  <c r="BC56" i="12" s="1"/>
  <c r="BC43" i="12"/>
  <c r="BC10" i="12" l="1"/>
  <c r="BC25" i="12" s="1"/>
  <c r="BC119" i="6"/>
  <c r="BC115" i="6"/>
  <c r="BC122" i="6"/>
  <c r="BC121" i="6"/>
  <c r="BC118" i="6"/>
  <c r="BC114" i="6"/>
  <c r="BI67" i="69"/>
  <c r="CH95" i="69" s="1"/>
  <c r="CK95" i="69" s="1"/>
  <c r="CL95" i="69" s="1"/>
  <c r="CD67" i="69"/>
  <c r="BY67" i="69"/>
  <c r="BT67" i="69"/>
  <c r="BI75" i="69" l="1"/>
  <c r="BI76" i="69" s="1"/>
  <c r="CH96" i="69"/>
  <c r="CK96" i="69" s="1"/>
  <c r="CL96" i="69" s="1"/>
  <c r="BY88" i="10"/>
  <c r="BT88" i="10"/>
  <c r="BJ88" i="10"/>
  <c r="CD71" i="10"/>
  <c r="BY71" i="10"/>
  <c r="BT71" i="10"/>
  <c r="BO71" i="10"/>
  <c r="BJ71" i="10"/>
  <c r="BT87" i="10"/>
  <c r="BT86" i="10"/>
  <c r="BJ87" i="10"/>
  <c r="BJ86" i="10"/>
  <c r="BY87" i="10"/>
  <c r="BY86" i="10"/>
  <c r="BJ183" i="9" l="1"/>
  <c r="BJ179" i="9"/>
  <c r="BJ189" i="9"/>
  <c r="BJ188" i="9"/>
  <c r="BE183" i="9"/>
  <c r="BE179" i="9"/>
  <c r="CD10" i="69" l="1"/>
  <c r="BY10" i="69"/>
  <c r="BT10" i="69"/>
  <c r="BO10" i="69"/>
  <c r="BT341" i="4"/>
  <c r="CL208" i="13" l="1"/>
  <c r="CI208" i="13"/>
  <c r="CJ50" i="14"/>
  <c r="CI50" i="14"/>
  <c r="CR53" i="6"/>
  <c r="AY165" i="1"/>
  <c r="AX165" i="1"/>
  <c r="AW165" i="1"/>
  <c r="AV165" i="1"/>
  <c r="AO165" i="1"/>
  <c r="AN165" i="1"/>
  <c r="AM165" i="1"/>
  <c r="AL165" i="1"/>
  <c r="AJ165" i="1"/>
  <c r="AI165" i="1"/>
  <c r="AH165" i="1"/>
  <c r="AG165" i="1"/>
  <c r="AF165" i="1"/>
  <c r="AE165" i="1"/>
  <c r="AD165" i="1"/>
  <c r="AC165" i="1"/>
  <c r="AB165" i="1"/>
  <c r="AA165" i="1"/>
  <c r="Z165" i="1"/>
  <c r="Y165" i="1"/>
  <c r="X165" i="1"/>
  <c r="W165" i="1"/>
  <c r="V165" i="1"/>
  <c r="U165" i="1"/>
  <c r="T165" i="1"/>
  <c r="S165" i="1"/>
  <c r="R165" i="1"/>
  <c r="Q165" i="1"/>
  <c r="P165" i="1"/>
  <c r="O165" i="1"/>
  <c r="N165" i="1"/>
  <c r="M165" i="1"/>
  <c r="K165" i="1"/>
  <c r="J165" i="1"/>
  <c r="I165" i="1"/>
  <c r="H165" i="1"/>
  <c r="AY165" i="4"/>
  <c r="AX165" i="4"/>
  <c r="AW165" i="4"/>
  <c r="AV165" i="4"/>
  <c r="AO165" i="4"/>
  <c r="AN165" i="4"/>
  <c r="AM165" i="4"/>
  <c r="AL165" i="4"/>
  <c r="AJ165" i="4"/>
  <c r="AI165" i="4"/>
  <c r="AH165" i="4"/>
  <c r="AG165" i="4"/>
  <c r="AE165" i="4"/>
  <c r="AD165" i="4"/>
  <c r="AC165" i="4"/>
  <c r="AB165" i="4"/>
  <c r="Z165" i="4"/>
  <c r="Y165" i="4"/>
  <c r="X165" i="4"/>
  <c r="W165" i="4"/>
  <c r="U165" i="4"/>
  <c r="T165" i="4"/>
  <c r="S165" i="4"/>
  <c r="R165" i="4"/>
  <c r="P165" i="4"/>
  <c r="O165" i="4"/>
  <c r="N165" i="4"/>
  <c r="M165" i="4"/>
  <c r="K165" i="4"/>
  <c r="J165" i="4"/>
  <c r="I165" i="4"/>
  <c r="H165" i="4"/>
  <c r="BB158" i="13"/>
  <c r="BB156" i="13"/>
  <c r="BB180" i="13" s="1"/>
  <c r="BB153" i="13"/>
  <c r="BB177" i="13" s="1"/>
  <c r="BB148" i="13"/>
  <c r="BB172" i="13" s="1"/>
  <c r="BB144" i="13"/>
  <c r="BB168" i="13" s="1"/>
  <c r="BB55" i="69"/>
  <c r="BB73" i="69" s="1"/>
  <c r="BB44" i="69"/>
  <c r="BB47" i="69" s="1"/>
  <c r="BB67" i="69"/>
  <c r="BB66" i="69"/>
  <c r="BB65" i="69"/>
  <c r="BB64" i="69"/>
  <c r="BB63" i="69"/>
  <c r="BB60" i="69"/>
  <c r="BB38" i="69"/>
  <c r="BB72" i="69" s="1"/>
  <c r="CJ91" i="69" l="1"/>
  <c r="CI43" i="69"/>
  <c r="BB182" i="13"/>
  <c r="BB68" i="37"/>
  <c r="CJ209" i="13"/>
  <c r="CH91" i="69"/>
  <c r="BB49" i="69"/>
  <c r="CI91" i="69" s="1"/>
  <c r="CK91" i="69" l="1"/>
  <c r="CL91" i="69" s="1"/>
  <c r="BB75" i="69"/>
  <c r="BB76" i="69" s="1"/>
  <c r="BB38" i="47"/>
  <c r="BB26" i="47"/>
  <c r="BB28" i="47"/>
  <c r="BB25" i="7"/>
  <c r="BB57" i="37"/>
  <c r="BB79" i="11"/>
  <c r="BC67" i="11" s="1"/>
  <c r="BB34" i="11"/>
  <c r="BB32" i="11"/>
  <c r="BB113" i="10"/>
  <c r="BB112" i="10"/>
  <c r="BB21" i="10"/>
  <c r="BB14" i="10"/>
  <c r="BB19" i="10" s="1"/>
  <c r="BB181" i="12"/>
  <c r="BB57" i="12" s="1"/>
  <c r="BB170" i="12"/>
  <c r="BB159" i="12"/>
  <c r="BB43" i="12" s="1"/>
  <c r="BB55" i="12"/>
  <c r="BB54" i="12"/>
  <c r="BB53" i="12"/>
  <c r="BB47" i="12"/>
  <c r="BB46" i="12"/>
  <c r="BB45" i="12"/>
  <c r="BB40" i="12"/>
  <c r="BB39" i="12"/>
  <c r="BB38" i="12"/>
  <c r="BB90" i="27"/>
  <c r="BB89" i="27"/>
  <c r="BB117" i="14"/>
  <c r="BC117" i="14" s="1"/>
  <c r="BB116" i="14"/>
  <c r="BC116" i="14" s="1"/>
  <c r="BB118" i="14"/>
  <c r="BC118" i="14" s="1"/>
  <c r="BB114" i="14"/>
  <c r="BC114" i="14" s="1"/>
  <c r="BC27" i="37" s="1"/>
  <c r="BB101" i="14"/>
  <c r="BB76" i="27"/>
  <c r="BB44" i="27"/>
  <c r="BB43" i="27"/>
  <c r="BB42" i="27"/>
  <c r="BB38" i="27"/>
  <c r="BB37" i="27"/>
  <c r="BB36" i="27"/>
  <c r="BB35" i="27"/>
  <c r="BB34" i="27"/>
  <c r="BB33" i="27"/>
  <c r="AZ51" i="6"/>
  <c r="BB71" i="6"/>
  <c r="BB70" i="6"/>
  <c r="BB68" i="6"/>
  <c r="BB67" i="6"/>
  <c r="BB64" i="6"/>
  <c r="BB81" i="6" s="1"/>
  <c r="BB98" i="6" s="1"/>
  <c r="BB115" i="6" s="1"/>
  <c r="BB63" i="6"/>
  <c r="BB80" i="6" s="1"/>
  <c r="BB97" i="6" s="1"/>
  <c r="BB114" i="6" s="1"/>
  <c r="BB157" i="13" l="1"/>
  <c r="BB181" i="13" s="1"/>
  <c r="BB183" i="13" s="1"/>
  <c r="BB55" i="47"/>
  <c r="BB147" i="13"/>
  <c r="BB171" i="13" s="1"/>
  <c r="BB54" i="47"/>
  <c r="BB53" i="47"/>
  <c r="BB27" i="37"/>
  <c r="CK209" i="13"/>
  <c r="BB91" i="27"/>
  <c r="BB40" i="27"/>
  <c r="BB45" i="27" s="1"/>
  <c r="BB84" i="6"/>
  <c r="BB87" i="6"/>
  <c r="BB104" i="6" s="1"/>
  <c r="BB121" i="6" s="1"/>
  <c r="BB85" i="6"/>
  <c r="BB88" i="6"/>
  <c r="BB105" i="6" s="1"/>
  <c r="BB122" i="6" s="1"/>
  <c r="BB109" i="10"/>
  <c r="BB184" i="12"/>
  <c r="BB56" i="12"/>
  <c r="BB185" i="13" l="1"/>
  <c r="BB174" i="13"/>
  <c r="BB60" i="12"/>
  <c r="BB102" i="6"/>
  <c r="BB119" i="6" s="1"/>
  <c r="BB101" i="6"/>
  <c r="BB118" i="6" s="1"/>
  <c r="AR124" i="4" l="1"/>
  <c r="AM245" i="2" l="1"/>
  <c r="AM244" i="2"/>
  <c r="AM243" i="2"/>
  <c r="AM242" i="2"/>
  <c r="AM208" i="2"/>
  <c r="AM207" i="2"/>
  <c r="AM206" i="2"/>
  <c r="AM205" i="2"/>
  <c r="AM204" i="2"/>
  <c r="AM203" i="2"/>
  <c r="AM202" i="2"/>
  <c r="AM201" i="2"/>
  <c r="AM200" i="2"/>
  <c r="AM199" i="2"/>
  <c r="AM198" i="2"/>
  <c r="AM197" i="2"/>
  <c r="AM196" i="2"/>
  <c r="AM195" i="2"/>
  <c r="AM194" i="2"/>
  <c r="AM193" i="2"/>
  <c r="AM192" i="2"/>
  <c r="AM191" i="2"/>
  <c r="AM190" i="2"/>
  <c r="AM189" i="2"/>
  <c r="AM188" i="2"/>
  <c r="AM187" i="2"/>
  <c r="AM186" i="2"/>
  <c r="AM185" i="2"/>
  <c r="AM184" i="2"/>
  <c r="AM183" i="2"/>
  <c r="AM182" i="2"/>
  <c r="AM181" i="2"/>
  <c r="AM180" i="2"/>
  <c r="AM179" i="2"/>
  <c r="AM178" i="2"/>
  <c r="AM177" i="2"/>
  <c r="AM176" i="2"/>
  <c r="AM175" i="2"/>
  <c r="AM174" i="2"/>
  <c r="AM172" i="2"/>
  <c r="AM171" i="2"/>
  <c r="AM170" i="2"/>
  <c r="AM169" i="2"/>
  <c r="AM168" i="2"/>
  <c r="AM167" i="2"/>
  <c r="AM166" i="2"/>
  <c r="AM165" i="2"/>
  <c r="AM164" i="2"/>
  <c r="AM163" i="2"/>
  <c r="AM161" i="2"/>
  <c r="AM160" i="2"/>
  <c r="AM159" i="2"/>
  <c r="AM158" i="2"/>
  <c r="AM137" i="2"/>
  <c r="AM136" i="2"/>
  <c r="AM135" i="2"/>
  <c r="AM134" i="2"/>
  <c r="AM133" i="2"/>
  <c r="AM132" i="2"/>
  <c r="AM131" i="2"/>
  <c r="AM130" i="2"/>
  <c r="AM129" i="2"/>
  <c r="AM128" i="2"/>
  <c r="AM127" i="2"/>
  <c r="AM126" i="2"/>
  <c r="AM125" i="2"/>
  <c r="AM124" i="2"/>
  <c r="AM123" i="2"/>
  <c r="AM122" i="2"/>
  <c r="AM295" i="2" s="1"/>
  <c r="AM121" i="2"/>
  <c r="AM120" i="2"/>
  <c r="AM119" i="2"/>
  <c r="AM118" i="2"/>
  <c r="AM117" i="2"/>
  <c r="AM116" i="2"/>
  <c r="AM115" i="2"/>
  <c r="AM114" i="2"/>
  <c r="AM111" i="2"/>
  <c r="AM110" i="2"/>
  <c r="AM109" i="2"/>
  <c r="AM108" i="2"/>
  <c r="AM104" i="2"/>
  <c r="AM103" i="2"/>
  <c r="AM102" i="2"/>
  <c r="AM101" i="2"/>
  <c r="AM100" i="2"/>
  <c r="AM99" i="2"/>
  <c r="AM98" i="2"/>
  <c r="AM97" i="2"/>
  <c r="AM74" i="2"/>
  <c r="AM70" i="2"/>
  <c r="AM69" i="2"/>
  <c r="AM68" i="2"/>
  <c r="AM67" i="2"/>
  <c r="AM66" i="2"/>
  <c r="AM65" i="2"/>
  <c r="AM64" i="2"/>
  <c r="AM63" i="2"/>
  <c r="AM60" i="2"/>
  <c r="AM52" i="2"/>
  <c r="AM51" i="2"/>
  <c r="AM49" i="2"/>
  <c r="AM48" i="2"/>
  <c r="AM47" i="2"/>
  <c r="AM46" i="2"/>
  <c r="AM45" i="2"/>
  <c r="AM44" i="2"/>
  <c r="AM43" i="2"/>
  <c r="AM42" i="2"/>
  <c r="AM41" i="2"/>
  <c r="AM40" i="2"/>
  <c r="AM38" i="2"/>
  <c r="AM37" i="2"/>
  <c r="AM32" i="2"/>
  <c r="AM31" i="2"/>
  <c r="AM30" i="2"/>
  <c r="AM29" i="2"/>
  <c r="AM28" i="2"/>
  <c r="AM27" i="2"/>
  <c r="AM26" i="2"/>
  <c r="AM25" i="2"/>
  <c r="AM24" i="2"/>
  <c r="AM23" i="2"/>
  <c r="AM22" i="2"/>
  <c r="AM21" i="2"/>
  <c r="AM20" i="2"/>
  <c r="AM19" i="2"/>
  <c r="AM17" i="2"/>
  <c r="AM12" i="2"/>
  <c r="AM10" i="2"/>
  <c r="AM264" i="3"/>
  <c r="AM263" i="3"/>
  <c r="AM262" i="3"/>
  <c r="AM261" i="3"/>
  <c r="AM260" i="3"/>
  <c r="AM235" i="3"/>
  <c r="AM234" i="3"/>
  <c r="AM233" i="3"/>
  <c r="AM232" i="3"/>
  <c r="AM231" i="3"/>
  <c r="AM230" i="3"/>
  <c r="AM229" i="3"/>
  <c r="AM228" i="3"/>
  <c r="AM227" i="3"/>
  <c r="AM226" i="3"/>
  <c r="AM225" i="3"/>
  <c r="AM224" i="3"/>
  <c r="AM223" i="3"/>
  <c r="AM222" i="3"/>
  <c r="AM221" i="3"/>
  <c r="AM220" i="3"/>
  <c r="AM219" i="3"/>
  <c r="AM218" i="3"/>
  <c r="AM217" i="3"/>
  <c r="AM216" i="3"/>
  <c r="AM215" i="3"/>
  <c r="AM214" i="3"/>
  <c r="AM213" i="3"/>
  <c r="AM212" i="3"/>
  <c r="AM211" i="3"/>
  <c r="AM210" i="3"/>
  <c r="AM209" i="3"/>
  <c r="AM208" i="3"/>
  <c r="AM207" i="3"/>
  <c r="AM206" i="3"/>
  <c r="AM205" i="3"/>
  <c r="AM204" i="3"/>
  <c r="AM203" i="3"/>
  <c r="AM202" i="3"/>
  <c r="AM200" i="3"/>
  <c r="AM199" i="3"/>
  <c r="AM198" i="3"/>
  <c r="AM197" i="3"/>
  <c r="AM196" i="3"/>
  <c r="AM195" i="3"/>
  <c r="AM194" i="3"/>
  <c r="AM193" i="3"/>
  <c r="AM192" i="3"/>
  <c r="AM191" i="3"/>
  <c r="AM190" i="3"/>
  <c r="AM189" i="3"/>
  <c r="AM188" i="3"/>
  <c r="AM187" i="3"/>
  <c r="AM186" i="3"/>
  <c r="AM185" i="3"/>
  <c r="AM184" i="3"/>
  <c r="AM183" i="3"/>
  <c r="AM182" i="3"/>
  <c r="AM180" i="3"/>
  <c r="AM163" i="3"/>
  <c r="AM162" i="3"/>
  <c r="AM161" i="3"/>
  <c r="AM160" i="3"/>
  <c r="AM159" i="3"/>
  <c r="AM158" i="3"/>
  <c r="AM157" i="3"/>
  <c r="AM156" i="3"/>
  <c r="AM155" i="3"/>
  <c r="AM154" i="3"/>
  <c r="AM153" i="3"/>
  <c r="AM152" i="3"/>
  <c r="AM151" i="3"/>
  <c r="AM150" i="3"/>
  <c r="AM149" i="3"/>
  <c r="AM148" i="3"/>
  <c r="AM147" i="3"/>
  <c r="AM146" i="3"/>
  <c r="AM145" i="3"/>
  <c r="AM144" i="3"/>
  <c r="AM143" i="3"/>
  <c r="AM142" i="3"/>
  <c r="AM141" i="3"/>
  <c r="AM140" i="3"/>
  <c r="AM139" i="3"/>
  <c r="AM138" i="3"/>
  <c r="AM137" i="3"/>
  <c r="AM136" i="3"/>
  <c r="AM133" i="3"/>
  <c r="AM132" i="3"/>
  <c r="AM131" i="3"/>
  <c r="AM130" i="3"/>
  <c r="AM129" i="3"/>
  <c r="AM125" i="3"/>
  <c r="AM124" i="3"/>
  <c r="AM123" i="3"/>
  <c r="AM122" i="3"/>
  <c r="AM121" i="3"/>
  <c r="AM120" i="3"/>
  <c r="AM119" i="3"/>
  <c r="AM99" i="3"/>
  <c r="AM93" i="3"/>
  <c r="AM89" i="3"/>
  <c r="AM88" i="3"/>
  <c r="AM87" i="3"/>
  <c r="AM86" i="3"/>
  <c r="AM85" i="3"/>
  <c r="AM84" i="3"/>
  <c r="AM83" i="3"/>
  <c r="AM80" i="3"/>
  <c r="AM73" i="3"/>
  <c r="AM72" i="3"/>
  <c r="AM71" i="3"/>
  <c r="AM70" i="3"/>
  <c r="AM69" i="3"/>
  <c r="AM68" i="3"/>
  <c r="AM67" i="3"/>
  <c r="AM66" i="3"/>
  <c r="AM65" i="3"/>
  <c r="AM64" i="3"/>
  <c r="AM63" i="3"/>
  <c r="AM62" i="3"/>
  <c r="AM61" i="3"/>
  <c r="AM60" i="3"/>
  <c r="AM59" i="3"/>
  <c r="AM57" i="3"/>
  <c r="AM56" i="3"/>
  <c r="AM55" i="3"/>
  <c r="AM52" i="3"/>
  <c r="AM51" i="3"/>
  <c r="AM50" i="3"/>
  <c r="AM49" i="3"/>
  <c r="AM48" i="3"/>
  <c r="AM47" i="3"/>
  <c r="AM46" i="3"/>
  <c r="AM45" i="3"/>
  <c r="AM44" i="3"/>
  <c r="AM43" i="3"/>
  <c r="AM42" i="3"/>
  <c r="AM41" i="3"/>
  <c r="AM40" i="3"/>
  <c r="AM39" i="3"/>
  <c r="AM38" i="3"/>
  <c r="AM37" i="3"/>
  <c r="AM36" i="3"/>
  <c r="AM35" i="3"/>
  <c r="AM34" i="3"/>
  <c r="AM33" i="3"/>
  <c r="AM32" i="3"/>
  <c r="AM31" i="3"/>
  <c r="AM30" i="3"/>
  <c r="AM28" i="3"/>
  <c r="AM26" i="3"/>
  <c r="AM25" i="3"/>
  <c r="AM23" i="3"/>
  <c r="AM22" i="3"/>
  <c r="AM21" i="3"/>
  <c r="AM20" i="3"/>
  <c r="AM19" i="3"/>
  <c r="AM18" i="3"/>
  <c r="AM17" i="3"/>
  <c r="AM16" i="3"/>
  <c r="AM15" i="3"/>
  <c r="AM14" i="3"/>
  <c r="AM13" i="3"/>
  <c r="AM12" i="3"/>
  <c r="AM11" i="3"/>
  <c r="AM10" i="3"/>
  <c r="EP81" i="47" l="1"/>
  <c r="EQ82" i="47" l="1"/>
  <c r="EP82" i="47" s="1"/>
  <c r="BA79" i="11" l="1"/>
  <c r="CL207" i="13" l="1"/>
  <c r="CI207" i="13"/>
  <c r="CJ49" i="14"/>
  <c r="CI49" i="14"/>
  <c r="CR52" i="6"/>
  <c r="BA51" i="47" l="1"/>
  <c r="BA50" i="47"/>
  <c r="BA25" i="7"/>
  <c r="BA49" i="47" l="1"/>
  <c r="BA36" i="37"/>
  <c r="BA90" i="27"/>
  <c r="BE90" i="27" s="1"/>
  <c r="BA89" i="27"/>
  <c r="BE89" i="27" s="1"/>
  <c r="BA71" i="6"/>
  <c r="BE71" i="6" s="1"/>
  <c r="BA70" i="6"/>
  <c r="BE70" i="6" s="1"/>
  <c r="BA68" i="6"/>
  <c r="BE68" i="6" s="1"/>
  <c r="BA67" i="6"/>
  <c r="BE67" i="6" s="1"/>
  <c r="BA64" i="6"/>
  <c r="BE64" i="6" s="1"/>
  <c r="BA63" i="6"/>
  <c r="BE63" i="6" s="1"/>
  <c r="BE91" i="27" l="1"/>
  <c r="BA87" i="6"/>
  <c r="BE87" i="6" s="1"/>
  <c r="BA85" i="6"/>
  <c r="BE85" i="6" s="1"/>
  <c r="BA81" i="6"/>
  <c r="BA88" i="6"/>
  <c r="BE88" i="6" s="1"/>
  <c r="BA84" i="6"/>
  <c r="BE84" i="6" s="1"/>
  <c r="BA80" i="6"/>
  <c r="BA91" i="27"/>
  <c r="BA34" i="11"/>
  <c r="BE34" i="11" s="1"/>
  <c r="BE41" i="11" s="1"/>
  <c r="BA32" i="11"/>
  <c r="BA113" i="10"/>
  <c r="BE113" i="10" s="1"/>
  <c r="BA112" i="10"/>
  <c r="BA21" i="10"/>
  <c r="BE21" i="10" s="1"/>
  <c r="BE43" i="11" s="1"/>
  <c r="BA14" i="10"/>
  <c r="BA27" i="37"/>
  <c r="BA21" i="37"/>
  <c r="BA22" i="37" s="1"/>
  <c r="BA57" i="37"/>
  <c r="BA52" i="37"/>
  <c r="BE96" i="13"/>
  <c r="BA94" i="47"/>
  <c r="BA96" i="47" s="1"/>
  <c r="BA38" i="47"/>
  <c r="BA31" i="47"/>
  <c r="BA39" i="12"/>
  <c r="BA55" i="12"/>
  <c r="BA54" i="12"/>
  <c r="BA53" i="12"/>
  <c r="BA47" i="12"/>
  <c r="BA46" i="12"/>
  <c r="BA45" i="12"/>
  <c r="BA40" i="12"/>
  <c r="BA38" i="12"/>
  <c r="BA181" i="12"/>
  <c r="BA159" i="12"/>
  <c r="BA109" i="13"/>
  <c r="BA104" i="6" l="1"/>
  <c r="BE104" i="6" s="1"/>
  <c r="BE112" i="10"/>
  <c r="EL71" i="47"/>
  <c r="BA98" i="6"/>
  <c r="BE98" i="6" s="1"/>
  <c r="BE81" i="6"/>
  <c r="BA97" i="6"/>
  <c r="BE97" i="6" s="1"/>
  <c r="BE80" i="6"/>
  <c r="BA105" i="6"/>
  <c r="BA121" i="6"/>
  <c r="BE121" i="6" s="1"/>
  <c r="BA43" i="12"/>
  <c r="BE159" i="12"/>
  <c r="BE208" i="12" s="1"/>
  <c r="BE211" i="12" s="1"/>
  <c r="BA57" i="12"/>
  <c r="BA56" i="12" s="1"/>
  <c r="BE181" i="12"/>
  <c r="BE57" i="12" s="1"/>
  <c r="BE56" i="12" s="1"/>
  <c r="BA55" i="47"/>
  <c r="BA53" i="47"/>
  <c r="BE94" i="47"/>
  <c r="BE96" i="47" s="1"/>
  <c r="BE23" i="10"/>
  <c r="BE131" i="10"/>
  <c r="BE130" i="10"/>
  <c r="BE128" i="10"/>
  <c r="BE129" i="10"/>
  <c r="BE127" i="10"/>
  <c r="BE132" i="10"/>
  <c r="BA13" i="12"/>
  <c r="BB24" i="37"/>
  <c r="BA115" i="6"/>
  <c r="BE115" i="6" s="1"/>
  <c r="BA101" i="6"/>
  <c r="BA102" i="6"/>
  <c r="BA109" i="10"/>
  <c r="BA101" i="14"/>
  <c r="BE101" i="14" s="1"/>
  <c r="BE129" i="12" s="1"/>
  <c r="BA38" i="14"/>
  <c r="BA15" i="14"/>
  <c r="BA25" i="14" s="1"/>
  <c r="BA55" i="69"/>
  <c r="BA73" i="69" s="1"/>
  <c r="BE73" i="69" s="1"/>
  <c r="BA44" i="69"/>
  <c r="BA47" i="69" s="1"/>
  <c r="BA38" i="69"/>
  <c r="BA44" i="27"/>
  <c r="BA42" i="27"/>
  <c r="BE42" i="27" s="1"/>
  <c r="BA38" i="27"/>
  <c r="BE38" i="27" s="1"/>
  <c r="BA36" i="27"/>
  <c r="BE36" i="27" s="1"/>
  <c r="BA35" i="27"/>
  <c r="BE13" i="7" s="1"/>
  <c r="BA34" i="27"/>
  <c r="BE34" i="27" s="1"/>
  <c r="BA33" i="27"/>
  <c r="BE33" i="27" s="1"/>
  <c r="BE21" i="7" s="1"/>
  <c r="BA10" i="12" l="1"/>
  <c r="BA25" i="12" s="1"/>
  <c r="BA114" i="6"/>
  <c r="BE114" i="6" s="1"/>
  <c r="BE68" i="12"/>
  <c r="BE195" i="12"/>
  <c r="BE109" i="10"/>
  <c r="BE110" i="10" s="1"/>
  <c r="BE67" i="12"/>
  <c r="BE28" i="7"/>
  <c r="BE29" i="7" s="1"/>
  <c r="EJ71" i="47"/>
  <c r="EK71" i="47"/>
  <c r="EI71" i="47"/>
  <c r="EH71" i="47"/>
  <c r="BA119" i="6"/>
  <c r="BE119" i="6" s="1"/>
  <c r="BE102" i="6"/>
  <c r="BA118" i="6"/>
  <c r="BE118" i="6" s="1"/>
  <c r="BE101" i="6"/>
  <c r="BA72" i="69"/>
  <c r="CH43" i="69" s="1"/>
  <c r="BE38" i="69"/>
  <c r="BE49" i="69" s="1"/>
  <c r="BA122" i="6"/>
  <c r="BE122" i="6" s="1"/>
  <c r="BE105" i="6"/>
  <c r="BE43" i="12"/>
  <c r="BA29" i="14"/>
  <c r="CC455" i="7"/>
  <c r="CB455" i="7"/>
  <c r="CA455" i="7"/>
  <c r="BZ455" i="7"/>
  <c r="BX455" i="7"/>
  <c r="BW455" i="7"/>
  <c r="BV455" i="7"/>
  <c r="BU455" i="7"/>
  <c r="BS455" i="7"/>
  <c r="BR455" i="7"/>
  <c r="BQ455" i="7"/>
  <c r="BP455" i="7"/>
  <c r="BE10" i="12" l="1"/>
  <c r="BE25" i="12" s="1"/>
  <c r="EJ78" i="47"/>
  <c r="EI78" i="47" s="1"/>
  <c r="EH78" i="47" s="1"/>
  <c r="EF78" i="47" s="1"/>
  <c r="BE43" i="10"/>
  <c r="BE44" i="10" s="1"/>
  <c r="BE46" i="10" s="1"/>
  <c r="BE115" i="10"/>
  <c r="EH81" i="47"/>
  <c r="EF81" i="47"/>
  <c r="EG81" i="47" s="1"/>
  <c r="ED81" i="47"/>
  <c r="EC81" i="47"/>
  <c r="EE81" i="47"/>
  <c r="EJ75" i="47"/>
  <c r="EJ81" i="47"/>
  <c r="EI81" i="47"/>
  <c r="CJ102" i="69"/>
  <c r="BE72" i="69"/>
  <c r="BE51" i="12"/>
  <c r="BE59" i="12" s="1"/>
  <c r="CC27" i="7"/>
  <c r="CB27" i="7"/>
  <c r="CA27" i="7"/>
  <c r="BZ27" i="7"/>
  <c r="BX27" i="7"/>
  <c r="BW27" i="7"/>
  <c r="BV27" i="7"/>
  <c r="BU27" i="7"/>
  <c r="BS27" i="7"/>
  <c r="BR27" i="7"/>
  <c r="BQ27" i="7"/>
  <c r="BP27" i="7"/>
  <c r="CD342" i="4"/>
  <c r="BY342" i="4"/>
  <c r="BT342" i="4"/>
  <c r="CD379" i="1"/>
  <c r="BY379" i="1"/>
  <c r="BT379" i="1"/>
  <c r="EK79" i="47" l="1"/>
  <c r="EG78" i="47"/>
  <c r="EE78" i="47"/>
  <c r="ED78" i="47" s="1"/>
  <c r="EC78" i="47" s="1"/>
  <c r="EA78" i="47" s="1"/>
  <c r="EI75" i="47"/>
  <c r="EJ82" i="47"/>
  <c r="BE12" i="12"/>
  <c r="BA67" i="69"/>
  <c r="CH102" i="69" s="1"/>
  <c r="BA66" i="69"/>
  <c r="BA65" i="69"/>
  <c r="BA64" i="69"/>
  <c r="BA63" i="69"/>
  <c r="BA60" i="69"/>
  <c r="CD372" i="1"/>
  <c r="BY372" i="1"/>
  <c r="BT372" i="1"/>
  <c r="CD371" i="4"/>
  <c r="BY371" i="4"/>
  <c r="BT371" i="4"/>
  <c r="CD369" i="4"/>
  <c r="BY369" i="4"/>
  <c r="BT369" i="4"/>
  <c r="CD361" i="4"/>
  <c r="BY361" i="4"/>
  <c r="BT361" i="4"/>
  <c r="EB78" i="47" l="1"/>
  <c r="DZ78" i="47"/>
  <c r="DY78" i="47" s="1"/>
  <c r="DX78" i="47" s="1"/>
  <c r="DV78" i="47" s="1"/>
  <c r="EJ79" i="47"/>
  <c r="EH75" i="47"/>
  <c r="EI79" i="47" s="1"/>
  <c r="EI82" i="47"/>
  <c r="DW78" i="47" l="1"/>
  <c r="DU78" i="47"/>
  <c r="DT78" i="47" s="1"/>
  <c r="DS78" i="47" s="1"/>
  <c r="DQ78" i="47" s="1"/>
  <c r="EF75" i="47"/>
  <c r="EH82" i="47"/>
  <c r="AY164" i="5"/>
  <c r="AX164" i="5"/>
  <c r="AW164" i="5"/>
  <c r="AV164" i="5"/>
  <c r="AY153" i="5"/>
  <c r="AX153" i="5"/>
  <c r="AW153" i="5"/>
  <c r="AV153" i="5"/>
  <c r="AR153" i="5"/>
  <c r="AS153" i="5"/>
  <c r="AT153" i="5"/>
  <c r="AZ24" i="4"/>
  <c r="AZ107" i="5"/>
  <c r="AZ106" i="5"/>
  <c r="AZ102" i="5"/>
  <c r="AZ100" i="5"/>
  <c r="AZ98" i="5"/>
  <c r="AZ96" i="5"/>
  <c r="AZ95" i="5"/>
  <c r="AZ94" i="5"/>
  <c r="AZ93" i="5"/>
  <c r="AZ92" i="5"/>
  <c r="AZ91" i="5"/>
  <c r="AZ87" i="5"/>
  <c r="AZ86" i="5"/>
  <c r="AZ85" i="5"/>
  <c r="AZ81" i="5"/>
  <c r="AZ80" i="5"/>
  <c r="AZ79" i="5"/>
  <c r="AZ78" i="5"/>
  <c r="AZ77" i="5"/>
  <c r="AZ72" i="5"/>
  <c r="AZ71" i="5"/>
  <c r="AZ67" i="5"/>
  <c r="AZ66" i="5"/>
  <c r="AZ65" i="5"/>
  <c r="AZ53" i="5"/>
  <c r="AZ49" i="5"/>
  <c r="AZ48" i="5"/>
  <c r="AZ47" i="5"/>
  <c r="AZ46" i="5"/>
  <c r="AZ45" i="5"/>
  <c r="AZ44" i="5"/>
  <c r="AZ43" i="5"/>
  <c r="AZ42" i="5"/>
  <c r="AZ41" i="5"/>
  <c r="AZ40" i="5"/>
  <c r="AZ39" i="5"/>
  <c r="AZ38" i="5"/>
  <c r="AZ37" i="5"/>
  <c r="AZ33" i="5"/>
  <c r="AZ32" i="5"/>
  <c r="AZ27" i="5"/>
  <c r="AZ25" i="5"/>
  <c r="AZ24" i="5"/>
  <c r="AZ23" i="5"/>
  <c r="AZ22" i="5"/>
  <c r="AZ18" i="5"/>
  <c r="AZ13" i="5"/>
  <c r="DP78" i="47" l="1"/>
  <c r="DO78" i="47" s="1"/>
  <c r="DN78" i="47" s="1"/>
  <c r="DL78" i="47" s="1"/>
  <c r="DR78" i="47"/>
  <c r="EF82" i="47"/>
  <c r="EG82" i="47" s="1"/>
  <c r="EE75" i="47"/>
  <c r="EG75" i="47"/>
  <c r="EH79" i="47" s="1"/>
  <c r="EL79" i="47" s="1"/>
  <c r="AZ152" i="5"/>
  <c r="AZ148" i="5"/>
  <c r="AZ156" i="5"/>
  <c r="AZ131" i="5"/>
  <c r="AZ135" i="5"/>
  <c r="AZ126" i="5"/>
  <c r="AZ132" i="5"/>
  <c r="AZ145" i="5"/>
  <c r="AZ149" i="5"/>
  <c r="AZ121" i="5"/>
  <c r="AZ133" i="5"/>
  <c r="AZ140" i="5"/>
  <c r="AZ150" i="5"/>
  <c r="AZ154" i="5"/>
  <c r="AZ146" i="5"/>
  <c r="AZ141" i="5"/>
  <c r="AZ147" i="5"/>
  <c r="AZ161" i="5"/>
  <c r="DM78" i="47" l="1"/>
  <c r="DK78" i="47"/>
  <c r="DJ78" i="47" s="1"/>
  <c r="DI78" i="47" s="1"/>
  <c r="DG78" i="47" s="1"/>
  <c r="EF79" i="47"/>
  <c r="ED75" i="47"/>
  <c r="EE79" i="47" s="1"/>
  <c r="EE82" i="47"/>
  <c r="AZ126" i="4"/>
  <c r="AZ862" i="7"/>
  <c r="AZ129" i="7"/>
  <c r="AY22" i="7"/>
  <c r="AX22" i="7"/>
  <c r="AW22" i="7"/>
  <c r="AV22" i="7"/>
  <c r="DH78" i="47" l="1"/>
  <c r="DF78" i="47"/>
  <c r="DE78" i="47" s="1"/>
  <c r="DD78" i="47" s="1"/>
  <c r="DB78" i="47" s="1"/>
  <c r="EC75" i="47"/>
  <c r="ED79" i="47" s="1"/>
  <c r="ED82" i="47"/>
  <c r="AZ161" i="1"/>
  <c r="AZ160" i="1"/>
  <c r="AZ156" i="1"/>
  <c r="AZ154" i="1"/>
  <c r="AZ153" i="1"/>
  <c r="AZ152" i="1"/>
  <c r="AZ150" i="1"/>
  <c r="AZ149" i="1"/>
  <c r="AZ147" i="1"/>
  <c r="AZ146" i="1"/>
  <c r="AZ145" i="1"/>
  <c r="AZ141" i="1"/>
  <c r="AZ140" i="1"/>
  <c r="AZ139" i="1"/>
  <c r="AZ135" i="1"/>
  <c r="AZ134" i="1"/>
  <c r="AZ133" i="1"/>
  <c r="AZ131" i="1"/>
  <c r="AZ130" i="1"/>
  <c r="AZ126" i="1"/>
  <c r="AZ125" i="1"/>
  <c r="AZ121" i="1"/>
  <c r="AZ120" i="1"/>
  <c r="AZ119" i="1"/>
  <c r="AZ161" i="4"/>
  <c r="AZ156" i="4"/>
  <c r="AZ155" i="4"/>
  <c r="AZ154" i="4"/>
  <c r="AZ152" i="4"/>
  <c r="AZ151" i="4"/>
  <c r="AZ150" i="4"/>
  <c r="AZ149" i="4"/>
  <c r="AZ148" i="4"/>
  <c r="AZ147" i="4"/>
  <c r="AZ146" i="4"/>
  <c r="AZ145" i="4"/>
  <c r="AZ141" i="4"/>
  <c r="AZ140" i="4"/>
  <c r="AZ135" i="4"/>
  <c r="AZ133" i="4"/>
  <c r="AZ132" i="4"/>
  <c r="AZ131" i="4"/>
  <c r="AZ121" i="4"/>
  <c r="AZ99" i="4"/>
  <c r="AZ99" i="5" s="1"/>
  <c r="AZ153" i="5" s="1"/>
  <c r="AZ76" i="4"/>
  <c r="AZ130" i="4" s="1"/>
  <c r="AZ54" i="4"/>
  <c r="AZ54" i="5" s="1"/>
  <c r="AZ52" i="4"/>
  <c r="AZ52" i="5" s="1"/>
  <c r="AZ160" i="5" s="1"/>
  <c r="AZ34" i="4"/>
  <c r="AZ34" i="5" s="1"/>
  <c r="AZ31" i="4"/>
  <c r="AZ31" i="5" s="1"/>
  <c r="AZ139" i="5" s="1"/>
  <c r="AZ28" i="4"/>
  <c r="AZ288" i="7" s="1"/>
  <c r="AZ26" i="4"/>
  <c r="AZ26" i="5" s="1"/>
  <c r="AZ19" i="4"/>
  <c r="AZ17" i="4"/>
  <c r="AZ17" i="5" s="1"/>
  <c r="AZ125" i="5" s="1"/>
  <c r="AZ145" i="7"/>
  <c r="AZ12" i="4"/>
  <c r="AZ12" i="5" s="1"/>
  <c r="AZ120" i="5" s="1"/>
  <c r="AZ11" i="4"/>
  <c r="AZ11" i="5" s="1"/>
  <c r="AZ25" i="10"/>
  <c r="AZ124" i="10"/>
  <c r="AZ122" i="10"/>
  <c r="AZ121" i="10"/>
  <c r="AZ108" i="10"/>
  <c r="AY79" i="11"/>
  <c r="AZ76" i="11"/>
  <c r="BE70" i="11" s="1"/>
  <c r="AY73" i="11"/>
  <c r="AU76" i="11"/>
  <c r="AZ70" i="11" s="1"/>
  <c r="AZ85" i="11"/>
  <c r="AZ73" i="11" s="1"/>
  <c r="AZ39" i="11"/>
  <c r="AZ38" i="11"/>
  <c r="AZ35" i="11"/>
  <c r="AZ26" i="11"/>
  <c r="AZ45" i="11"/>
  <c r="AZ20" i="9"/>
  <c r="AZ56" i="9" s="1"/>
  <c r="AZ19" i="9"/>
  <c r="AZ12" i="9"/>
  <c r="AZ17" i="9"/>
  <c r="AZ53" i="9" s="1"/>
  <c r="AZ16" i="9"/>
  <c r="AZ52" i="9" s="1"/>
  <c r="BE139" i="9" s="1"/>
  <c r="AZ14" i="9"/>
  <c r="AZ50" i="9" s="1"/>
  <c r="AZ13" i="9"/>
  <c r="AZ49" i="9" s="1"/>
  <c r="AZ51" i="9"/>
  <c r="AZ99" i="9"/>
  <c r="AZ98" i="9"/>
  <c r="AZ96" i="9"/>
  <c r="AZ95" i="9"/>
  <c r="BE140" i="9" s="1"/>
  <c r="AZ94" i="9"/>
  <c r="AZ92" i="9"/>
  <c r="AZ91" i="9"/>
  <c r="AZ537" i="7"/>
  <c r="AZ536" i="7"/>
  <c r="AZ535" i="7"/>
  <c r="AZ532" i="7"/>
  <c r="AZ529" i="7"/>
  <c r="AZ528" i="7"/>
  <c r="AZ527" i="7"/>
  <c r="AZ526" i="7"/>
  <c r="AZ525" i="7"/>
  <c r="AZ524" i="7"/>
  <c r="AZ521" i="7"/>
  <c r="AZ520" i="7"/>
  <c r="AZ800" i="7"/>
  <c r="AZ844" i="7" s="1"/>
  <c r="AZ763" i="7"/>
  <c r="AZ739" i="7"/>
  <c r="AZ788" i="7" s="1"/>
  <c r="AZ685" i="7"/>
  <c r="AZ729" i="7" s="1"/>
  <c r="AZ468" i="7"/>
  <c r="AZ509" i="7" s="1"/>
  <c r="AZ430" i="7"/>
  <c r="AZ426" i="7"/>
  <c r="AZ423" i="7"/>
  <c r="AZ422" i="7"/>
  <c r="AZ421" i="7"/>
  <c r="AZ420" i="7"/>
  <c r="AZ419" i="7"/>
  <c r="AZ418" i="7"/>
  <c r="AZ123" i="10" s="1"/>
  <c r="AZ415" i="7"/>
  <c r="AZ414" i="7"/>
  <c r="AZ397" i="7"/>
  <c r="AZ405" i="7" s="1"/>
  <c r="AZ408" i="7" s="1"/>
  <c r="AZ386" i="7"/>
  <c r="AZ389" i="7" s="1"/>
  <c r="AZ326" i="7"/>
  <c r="AZ367" i="7" s="1"/>
  <c r="AZ274" i="7"/>
  <c r="AZ231" i="7"/>
  <c r="AZ228" i="7"/>
  <c r="AZ227" i="7"/>
  <c r="AZ226" i="7"/>
  <c r="AZ225" i="7"/>
  <c r="AZ224" i="7"/>
  <c r="AZ223" i="7"/>
  <c r="AZ220" i="7"/>
  <c r="AZ219" i="7"/>
  <c r="AZ202" i="7"/>
  <c r="AZ183" i="7"/>
  <c r="AZ146" i="7"/>
  <c r="AZ141" i="7"/>
  <c r="CI170" i="7" s="1"/>
  <c r="AZ138" i="7"/>
  <c r="AZ137" i="7"/>
  <c r="AZ136" i="7"/>
  <c r="AZ135" i="7"/>
  <c r="AZ134" i="7"/>
  <c r="AZ133" i="7"/>
  <c r="AZ130" i="7"/>
  <c r="AU141" i="7"/>
  <c r="CI169" i="7" s="1"/>
  <c r="AU138" i="7"/>
  <c r="AU137" i="7"/>
  <c r="AU136" i="7"/>
  <c r="AU135" i="7"/>
  <c r="AU134" i="7"/>
  <c r="AU133" i="7"/>
  <c r="AU130" i="7"/>
  <c r="AU129" i="7"/>
  <c r="AZ112" i="7"/>
  <c r="AZ120" i="7" s="1"/>
  <c r="AZ123" i="7" s="1"/>
  <c r="AZ93" i="7"/>
  <c r="AZ101" i="7" s="1"/>
  <c r="AZ104" i="7" s="1"/>
  <c r="AZ88" i="10"/>
  <c r="AZ87" i="10"/>
  <c r="AZ86" i="10"/>
  <c r="AZ85" i="10"/>
  <c r="AZ340" i="7" l="1"/>
  <c r="AZ762" i="7"/>
  <c r="AZ764" i="7" s="1"/>
  <c r="AZ778" i="7" s="1"/>
  <c r="AZ781" i="7" s="1"/>
  <c r="BJ202" i="9"/>
  <c r="BJ206" i="9"/>
  <c r="BJ171" i="9"/>
  <c r="BJ161" i="9"/>
  <c r="DC78" i="47"/>
  <c r="DA78" i="47"/>
  <c r="CZ78" i="47" s="1"/>
  <c r="CY78" i="47" s="1"/>
  <c r="CW78" i="47" s="1"/>
  <c r="EA75" i="47"/>
  <c r="EC82" i="47"/>
  <c r="BE216" i="9"/>
  <c r="BE210" i="9" s="1"/>
  <c r="BE217" i="9"/>
  <c r="BE211" i="9" s="1"/>
  <c r="AZ55" i="9"/>
  <c r="AZ48" i="9"/>
  <c r="AZ165" i="9" s="1"/>
  <c r="BE202" i="9"/>
  <c r="BE206" i="9"/>
  <c r="AZ122" i="1"/>
  <c r="AZ220" i="9"/>
  <c r="AZ162" i="1"/>
  <c r="AZ119" i="4"/>
  <c r="AZ201" i="9"/>
  <c r="AZ89" i="10"/>
  <c r="AZ134" i="4"/>
  <c r="AZ136" i="4" s="1"/>
  <c r="AZ205" i="9"/>
  <c r="AZ120" i="4"/>
  <c r="AZ153" i="4"/>
  <c r="AZ157" i="4" s="1"/>
  <c r="AZ160" i="4"/>
  <c r="AZ162" i="4" s="1"/>
  <c r="AZ136" i="1"/>
  <c r="AZ119" i="5"/>
  <c r="AZ14" i="5"/>
  <c r="AZ76" i="5"/>
  <c r="AZ130" i="5" s="1"/>
  <c r="AZ82" i="4"/>
  <c r="AZ139" i="4"/>
  <c r="AZ142" i="4" s="1"/>
  <c r="AZ142" i="1"/>
  <c r="AZ28" i="5"/>
  <c r="AZ134" i="5"/>
  <c r="AZ125" i="4"/>
  <c r="AZ127" i="4" s="1"/>
  <c r="AZ127" i="1"/>
  <c r="AZ45" i="7"/>
  <c r="AZ156" i="9"/>
  <c r="AZ150" i="9"/>
  <c r="AZ151" i="9"/>
  <c r="AZ37" i="7"/>
  <c r="AZ43" i="7"/>
  <c r="AZ416" i="7"/>
  <c r="AZ454" i="7" s="1"/>
  <c r="AU131" i="7"/>
  <c r="AU139" i="7" s="1"/>
  <c r="AZ131" i="7"/>
  <c r="AZ170" i="7" s="1"/>
  <c r="AZ44" i="7"/>
  <c r="AZ36" i="11" s="1"/>
  <c r="AZ37" i="11" s="1"/>
  <c r="AZ48" i="7"/>
  <c r="AZ119" i="10"/>
  <c r="AZ40" i="7"/>
  <c r="AZ725" i="7"/>
  <c r="AZ841" i="7"/>
  <c r="AZ41" i="7"/>
  <c r="AZ505" i="7"/>
  <c r="AZ839" i="7"/>
  <c r="AZ843" i="7"/>
  <c r="AZ191" i="7"/>
  <c r="AZ221" i="7"/>
  <c r="AZ261" i="7" s="1"/>
  <c r="AZ120" i="10"/>
  <c r="AZ210" i="7"/>
  <c r="AZ363" i="7"/>
  <c r="AZ366" i="7"/>
  <c r="AZ368" i="7"/>
  <c r="AZ506" i="7"/>
  <c r="AZ508" i="7"/>
  <c r="AZ510" i="7"/>
  <c r="AZ724" i="7"/>
  <c r="AZ726" i="7"/>
  <c r="AZ728" i="7"/>
  <c r="AZ747" i="7"/>
  <c r="AZ785" i="7"/>
  <c r="AZ787" i="7"/>
  <c r="AZ789" i="7"/>
  <c r="AZ840" i="7"/>
  <c r="AZ842" i="7"/>
  <c r="AZ522" i="7"/>
  <c r="AZ530" i="7" s="1"/>
  <c r="AZ533" i="7" s="1"/>
  <c r="AZ540" i="7" s="1"/>
  <c r="AZ364" i="7"/>
  <c r="AZ507" i="7"/>
  <c r="AZ727" i="7"/>
  <c r="AZ784" i="7"/>
  <c r="AZ786" i="7"/>
  <c r="AZ36" i="7"/>
  <c r="AZ147" i="7"/>
  <c r="AZ312" i="7"/>
  <c r="AZ314" i="7"/>
  <c r="AZ316" i="7"/>
  <c r="AZ311" i="7"/>
  <c r="AZ313" i="7"/>
  <c r="AZ315" i="7"/>
  <c r="AZ111" i="9"/>
  <c r="AZ116" i="9"/>
  <c r="AZ166" i="9"/>
  <c r="AZ110" i="9"/>
  <c r="AZ112" i="9"/>
  <c r="AZ114" i="9"/>
  <c r="AZ117" i="9"/>
  <c r="AZ202" i="9"/>
  <c r="AZ206" i="9"/>
  <c r="AZ217" i="9"/>
  <c r="AZ211" i="9" s="1"/>
  <c r="AZ216" i="9"/>
  <c r="AZ210" i="9" s="1"/>
  <c r="AZ113" i="9"/>
  <c r="BE141" i="9" s="1"/>
  <c r="AZ193" i="9"/>
  <c r="AZ109" i="9"/>
  <c r="AU142" i="7" l="1"/>
  <c r="CH169" i="7"/>
  <c r="BJ184" i="9"/>
  <c r="BJ180" i="9"/>
  <c r="BJ172" i="9"/>
  <c r="BJ162" i="9"/>
  <c r="BJ170" i="9"/>
  <c r="BJ160" i="9"/>
  <c r="AZ155" i="9"/>
  <c r="AZ11" i="7"/>
  <c r="CI44" i="7"/>
  <c r="CV78" i="47"/>
  <c r="CU78" i="47" s="1"/>
  <c r="CT78" i="47" s="1"/>
  <c r="CR78" i="47" s="1"/>
  <c r="CX78" i="47"/>
  <c r="EA82" i="47"/>
  <c r="EB82" i="47" s="1"/>
  <c r="DZ75" i="47"/>
  <c r="EA79" i="47" s="1"/>
  <c r="EB75" i="47"/>
  <c r="EC79" i="47" s="1"/>
  <c r="EG79" i="47" s="1"/>
  <c r="AZ157" i="7"/>
  <c r="BE127" i="9"/>
  <c r="BE126" i="9"/>
  <c r="BE188" i="9"/>
  <c r="BE189" i="9"/>
  <c r="BE132" i="9"/>
  <c r="AZ122" i="4"/>
  <c r="AZ164" i="4" s="1"/>
  <c r="AZ165" i="4" s="1"/>
  <c r="AZ139" i="7"/>
  <c r="AZ702" i="7"/>
  <c r="AZ262" i="7"/>
  <c r="AZ424" i="7"/>
  <c r="AZ427" i="7" s="1"/>
  <c r="AZ453" i="7"/>
  <c r="AZ455" i="7"/>
  <c r="AZ456" i="7"/>
  <c r="AZ457" i="7"/>
  <c r="AZ173" i="7"/>
  <c r="AZ168" i="7"/>
  <c r="AZ775" i="7"/>
  <c r="AZ776" i="7"/>
  <c r="AZ779" i="7"/>
  <c r="AZ162" i="7"/>
  <c r="AZ458" i="7"/>
  <c r="AZ777" i="7"/>
  <c r="AZ774" i="7"/>
  <c r="AZ163" i="7"/>
  <c r="AZ171" i="7"/>
  <c r="AZ172" i="7"/>
  <c r="AZ38" i="7"/>
  <c r="AZ82" i="7" s="1"/>
  <c r="AZ169" i="7"/>
  <c r="AZ160" i="7"/>
  <c r="AZ161" i="7"/>
  <c r="AZ165" i="7" s="1"/>
  <c r="AZ229" i="7"/>
  <c r="AZ232" i="7" s="1"/>
  <c r="AZ264" i="7"/>
  <c r="AZ260" i="7"/>
  <c r="AZ263" i="7"/>
  <c r="AZ259" i="7"/>
  <c r="AZ213" i="7"/>
  <c r="AZ194" i="7"/>
  <c r="AZ569" i="7"/>
  <c r="AZ565" i="7"/>
  <c r="AZ568" i="7"/>
  <c r="AZ750" i="7"/>
  <c r="AZ791" i="7"/>
  <c r="AZ572" i="7"/>
  <c r="AZ567" i="7"/>
  <c r="AZ570" i="7"/>
  <c r="AZ566" i="7"/>
  <c r="AZ158" i="7"/>
  <c r="AZ159" i="7"/>
  <c r="AZ152" i="9"/>
  <c r="AZ121" i="9"/>
  <c r="AZ122" i="9" s="1"/>
  <c r="AZ224" i="9"/>
  <c r="AZ226" i="9" s="1"/>
  <c r="AZ223" i="9"/>
  <c r="AZ225" i="9" s="1"/>
  <c r="AZ183" i="9"/>
  <c r="AZ179" i="9"/>
  <c r="AZ175" i="9"/>
  <c r="AZ167" i="9"/>
  <c r="AZ157" i="9"/>
  <c r="AZ142" i="7" l="1"/>
  <c r="AZ176" i="7" s="1"/>
  <c r="CH170" i="7"/>
  <c r="AZ460" i="7"/>
  <c r="CS78" i="47"/>
  <c r="CQ78" i="47"/>
  <c r="CP78" i="47" s="1"/>
  <c r="CO78" i="47" s="1"/>
  <c r="CM78" i="47" s="1"/>
  <c r="DY75" i="47"/>
  <c r="DZ82" i="47"/>
  <c r="AZ175" i="7"/>
  <c r="AZ80" i="7"/>
  <c r="AZ266" i="7"/>
  <c r="AZ78" i="7"/>
  <c r="AZ77" i="7"/>
  <c r="AZ81" i="7"/>
  <c r="CN78" i="47" l="1"/>
  <c r="CL78" i="47"/>
  <c r="CK78" i="47" s="1"/>
  <c r="CJ78" i="47" s="1"/>
  <c r="CH78" i="47" s="1"/>
  <c r="DZ79" i="47"/>
  <c r="DX75" i="47"/>
  <c r="DY79" i="47" s="1"/>
  <c r="DY82" i="47"/>
  <c r="CG78" i="47" l="1"/>
  <c r="CF78" i="47" s="1"/>
  <c r="CE78" i="47" s="1"/>
  <c r="CC78" i="47" s="1"/>
  <c r="CI78" i="47"/>
  <c r="DV75" i="47"/>
  <c r="DX82" i="47"/>
  <c r="CB78" i="47" l="1"/>
  <c r="CA78" i="47" s="1"/>
  <c r="BZ78" i="47" s="1"/>
  <c r="BX78" i="47" s="1"/>
  <c r="CD78" i="47"/>
  <c r="DV82" i="47"/>
  <c r="DW82" i="47" s="1"/>
  <c r="DW75" i="47"/>
  <c r="DX79" i="47" s="1"/>
  <c r="EB79" i="47" s="1"/>
  <c r="DU75" i="47"/>
  <c r="BO11" i="37"/>
  <c r="BW78" i="47" l="1"/>
  <c r="BV78" i="47" s="1"/>
  <c r="BU78" i="47" s="1"/>
  <c r="BS78" i="47" s="1"/>
  <c r="BY78" i="47"/>
  <c r="DV79" i="47"/>
  <c r="DT75" i="47"/>
  <c r="DU82" i="47"/>
  <c r="BO54" i="27"/>
  <c r="BJ54" i="27"/>
  <c r="BT78" i="47" l="1"/>
  <c r="BR78" i="47"/>
  <c r="BQ78" i="47" s="1"/>
  <c r="BP78" i="47" s="1"/>
  <c r="BN78" i="47" s="1"/>
  <c r="DU79" i="47"/>
  <c r="DS75" i="47"/>
  <c r="DT79" i="47" s="1"/>
  <c r="DT82" i="47"/>
  <c r="DQ75" i="47" l="1"/>
  <c r="DS82" i="47"/>
  <c r="BT473" i="7" l="1"/>
  <c r="DQ82" i="47"/>
  <c r="DR82" i="47" s="1"/>
  <c r="DP75" i="47"/>
  <c r="DR75" i="47"/>
  <c r="DS79" i="47" s="1"/>
  <c r="DW79" i="47" s="1"/>
  <c r="BT226" i="7"/>
  <c r="BT279" i="7" l="1"/>
  <c r="BP279" i="7" s="1"/>
  <c r="BT331" i="7"/>
  <c r="BY331" i="7" s="1"/>
  <c r="DQ79" i="47"/>
  <c r="DO75" i="47"/>
  <c r="DP79" i="47" s="1"/>
  <c r="DP82" i="47"/>
  <c r="BY136" i="7"/>
  <c r="BS635" i="7"/>
  <c r="BR635" i="7"/>
  <c r="BP635" i="7"/>
  <c r="BQ635" i="7"/>
  <c r="BP473" i="7"/>
  <c r="BY473" i="7"/>
  <c r="BY279" i="7"/>
  <c r="BY226" i="7"/>
  <c r="BP226" i="7"/>
  <c r="AY86" i="11"/>
  <c r="AY72" i="11" s="1"/>
  <c r="AX86" i="11"/>
  <c r="CR51" i="6"/>
  <c r="CJ48" i="14"/>
  <c r="CI48" i="14"/>
  <c r="CL206" i="13"/>
  <c r="CI206" i="13"/>
  <c r="AY158" i="13"/>
  <c r="AY156" i="13"/>
  <c r="AY180" i="13" s="1"/>
  <c r="AY153" i="13"/>
  <c r="AY177" i="13" s="1"/>
  <c r="AY148" i="13"/>
  <c r="AY172" i="13" s="1"/>
  <c r="AY147" i="13"/>
  <c r="AY171" i="13" s="1"/>
  <c r="CK207" i="13" s="1"/>
  <c r="AY144" i="13"/>
  <c r="AY168" i="13" s="1"/>
  <c r="AY67" i="69"/>
  <c r="CH101" i="69" s="1"/>
  <c r="AY66" i="69"/>
  <c r="AY65" i="69"/>
  <c r="AY64" i="69"/>
  <c r="AY63" i="69"/>
  <c r="AY60" i="69"/>
  <c r="AY113" i="10"/>
  <c r="AY112" i="10"/>
  <c r="AY34" i="11"/>
  <c r="AX34" i="11"/>
  <c r="AY32" i="11"/>
  <c r="AZ32" i="11" s="1"/>
  <c r="AX32" i="11"/>
  <c r="AZ60" i="12"/>
  <c r="AZ55" i="12"/>
  <c r="AZ54" i="12"/>
  <c r="AZ53" i="12"/>
  <c r="AZ47" i="12"/>
  <c r="AZ46" i="12"/>
  <c r="AZ45" i="12"/>
  <c r="AZ40" i="12"/>
  <c r="AZ38" i="12"/>
  <c r="AY60" i="12"/>
  <c r="AY55" i="12"/>
  <c r="AY54" i="12"/>
  <c r="AY53" i="12"/>
  <c r="AY47" i="12"/>
  <c r="AY46" i="12"/>
  <c r="AY45" i="12"/>
  <c r="AY40" i="12"/>
  <c r="AY38" i="12"/>
  <c r="AX60" i="12"/>
  <c r="AX55" i="12"/>
  <c r="AX54" i="12"/>
  <c r="AX53" i="12"/>
  <c r="AX47" i="12"/>
  <c r="AX46" i="12"/>
  <c r="AX45" i="12"/>
  <c r="AX40" i="12"/>
  <c r="AX38" i="12"/>
  <c r="AW60" i="12"/>
  <c r="AW55" i="12"/>
  <c r="AW54" i="12"/>
  <c r="AW53" i="12"/>
  <c r="AW47" i="12"/>
  <c r="AW46" i="12"/>
  <c r="AW45" i="12"/>
  <c r="AW40" i="12"/>
  <c r="AW38" i="12"/>
  <c r="AV55" i="12"/>
  <c r="AV54" i="12"/>
  <c r="AV53" i="12"/>
  <c r="AV47" i="12"/>
  <c r="AV46" i="12"/>
  <c r="AV45" i="12"/>
  <c r="AV40" i="12"/>
  <c r="AV38" i="12"/>
  <c r="AY51" i="47"/>
  <c r="AY50" i="47"/>
  <c r="AZ43" i="6"/>
  <c r="AZ42" i="6"/>
  <c r="AZ41" i="6"/>
  <c r="AZ40" i="6"/>
  <c r="AZ39" i="6"/>
  <c r="AY49" i="47" l="1"/>
  <c r="BP331" i="7"/>
  <c r="AY182" i="13"/>
  <c r="AY68" i="37"/>
  <c r="DN75" i="47"/>
  <c r="DO82" i="47"/>
  <c r="BW635" i="7"/>
  <c r="BU635" i="7"/>
  <c r="BX635" i="7"/>
  <c r="BV635" i="7"/>
  <c r="CD136" i="7"/>
  <c r="CJ207" i="13"/>
  <c r="AY109" i="10"/>
  <c r="CD473" i="7"/>
  <c r="BU473" i="7"/>
  <c r="BV473" i="7" s="1"/>
  <c r="BW473" i="7" s="1"/>
  <c r="BQ473" i="7"/>
  <c r="BR473" i="7" s="1"/>
  <c r="BS473" i="7" s="1"/>
  <c r="BU331" i="7"/>
  <c r="BV331" i="7" s="1"/>
  <c r="BW331" i="7" s="1"/>
  <c r="BX331" i="7" s="1"/>
  <c r="CD331" i="7"/>
  <c r="BQ279" i="7"/>
  <c r="BR279" i="7" s="1"/>
  <c r="BU279" i="7"/>
  <c r="CD279" i="7"/>
  <c r="BQ226" i="7"/>
  <c r="BR226" i="7" s="1"/>
  <c r="BS226" i="7" s="1"/>
  <c r="CD226" i="7"/>
  <c r="BU226" i="7"/>
  <c r="BV226" i="7" s="1"/>
  <c r="AY174" i="13"/>
  <c r="AZ64" i="13"/>
  <c r="AZ63" i="13"/>
  <c r="AZ59" i="13"/>
  <c r="AZ58" i="13"/>
  <c r="AZ57" i="13"/>
  <c r="AZ56" i="13"/>
  <c r="AZ55" i="13"/>
  <c r="AZ54" i="13"/>
  <c r="AZ53" i="13"/>
  <c r="BE83" i="12" s="1"/>
  <c r="AZ49" i="13"/>
  <c r="AZ46" i="13"/>
  <c r="AZ45" i="13"/>
  <c r="AZ44" i="13"/>
  <c r="AZ43" i="13"/>
  <c r="AZ42" i="13"/>
  <c r="AZ41" i="13"/>
  <c r="BE72" i="12" s="1"/>
  <c r="AZ36" i="13"/>
  <c r="AZ33" i="13"/>
  <c r="BE131" i="12" s="1"/>
  <c r="AZ32" i="13"/>
  <c r="AZ31" i="13"/>
  <c r="AZ30" i="13"/>
  <c r="AZ29" i="13"/>
  <c r="AZ28" i="13"/>
  <c r="BE75" i="12" s="1"/>
  <c r="AZ27" i="13"/>
  <c r="BE71" i="12" s="1"/>
  <c r="AZ26" i="13"/>
  <c r="AZ22" i="13"/>
  <c r="AZ21" i="13"/>
  <c r="AZ20" i="13"/>
  <c r="AZ19" i="13"/>
  <c r="AZ18" i="13"/>
  <c r="BE80" i="12" s="1"/>
  <c r="AZ17" i="13"/>
  <c r="AZ16" i="13"/>
  <c r="AZ15" i="13"/>
  <c r="BE67" i="11" s="1"/>
  <c r="BE68" i="11" s="1"/>
  <c r="AZ14" i="13"/>
  <c r="BE109" i="12" s="1"/>
  <c r="AZ13" i="13"/>
  <c r="BE108" i="12" s="1"/>
  <c r="AZ12" i="13"/>
  <c r="BE107" i="12" s="1"/>
  <c r="AZ11" i="13"/>
  <c r="AY25" i="7"/>
  <c r="AY72" i="69"/>
  <c r="AX72" i="69"/>
  <c r="AZ55" i="69"/>
  <c r="AZ44" i="69"/>
  <c r="AZ47" i="69" s="1"/>
  <c r="AY44" i="69"/>
  <c r="AY47" i="69" s="1"/>
  <c r="AY49" i="69" s="1"/>
  <c r="AY55" i="69"/>
  <c r="AY73" i="69" s="1"/>
  <c r="AY27" i="69"/>
  <c r="AY12" i="69"/>
  <c r="AY22" i="69" s="1"/>
  <c r="AY38" i="47"/>
  <c r="AY31" i="47"/>
  <c r="AY150" i="13" s="1"/>
  <c r="AX31" i="47"/>
  <c r="AY28" i="47"/>
  <c r="AZ93" i="47"/>
  <c r="AZ92" i="47"/>
  <c r="AZ91" i="47"/>
  <c r="AZ90" i="47"/>
  <c r="AY94" i="47"/>
  <c r="AY97" i="47" s="1"/>
  <c r="AY99" i="47" s="1"/>
  <c r="AY41" i="12" s="1"/>
  <c r="AZ21" i="37"/>
  <c r="AZ11" i="37"/>
  <c r="AY52" i="37"/>
  <c r="AY57" i="37"/>
  <c r="AY21" i="37"/>
  <c r="AY22" i="37" s="1"/>
  <c r="BA24" i="37" s="1"/>
  <c r="AY13" i="37"/>
  <c r="AY12" i="37"/>
  <c r="AY21" i="10"/>
  <c r="AZ17" i="10"/>
  <c r="AZ16" i="10"/>
  <c r="AZ13" i="10"/>
  <c r="AZ12" i="10"/>
  <c r="AZ17" i="69" s="1"/>
  <c r="AZ11" i="10"/>
  <c r="AY14" i="10"/>
  <c r="AY19" i="10" s="1"/>
  <c r="AY19" i="12"/>
  <c r="AY39" i="12" s="1"/>
  <c r="AY181" i="12"/>
  <c r="AY57" i="12" s="1"/>
  <c r="AY56" i="12" s="1"/>
  <c r="AY170" i="12"/>
  <c r="AY49" i="12" s="1"/>
  <c r="AY48" i="12" s="1"/>
  <c r="AZ170" i="12"/>
  <c r="AZ49" i="12" s="1"/>
  <c r="AZ48" i="12" s="1"/>
  <c r="BA170" i="12"/>
  <c r="BB49" i="12"/>
  <c r="BC170" i="12"/>
  <c r="BD170" i="12"/>
  <c r="AY159" i="12"/>
  <c r="AY126" i="13"/>
  <c r="AY130" i="13"/>
  <c r="AY133" i="13"/>
  <c r="AY134" i="13"/>
  <c r="AY137" i="13" s="1"/>
  <c r="AY109" i="13"/>
  <c r="AY73" i="13"/>
  <c r="AY45" i="37" s="1"/>
  <c r="AY74" i="13"/>
  <c r="AY83" i="13" s="1"/>
  <c r="AZ83" i="13" s="1"/>
  <c r="AY117" i="14"/>
  <c r="AY60" i="13"/>
  <c r="AY47" i="13"/>
  <c r="AY50" i="13" s="1"/>
  <c r="AY34" i="13"/>
  <c r="AY23" i="13"/>
  <c r="AZ23" i="13" s="1"/>
  <c r="AY135" i="14"/>
  <c r="AY137" i="14"/>
  <c r="AY140" i="14"/>
  <c r="AY145" i="14"/>
  <c r="AY72" i="14"/>
  <c r="AY73" i="14"/>
  <c r="AY75" i="14"/>
  <c r="AY76" i="14"/>
  <c r="AY77" i="14"/>
  <c r="AY78" i="14"/>
  <c r="AY80" i="14"/>
  <c r="AY81" i="14"/>
  <c r="AY82" i="14"/>
  <c r="AY83" i="14"/>
  <c r="AY38" i="14"/>
  <c r="AY33" i="27"/>
  <c r="AY34" i="27"/>
  <c r="AY35" i="27"/>
  <c r="AY36" i="27"/>
  <c r="AY37" i="27"/>
  <c r="AY38" i="27"/>
  <c r="AY43" i="27"/>
  <c r="AY44" i="27"/>
  <c r="AY89" i="27"/>
  <c r="AY90" i="27"/>
  <c r="AY76" i="27"/>
  <c r="AY66" i="27"/>
  <c r="AY67" i="27"/>
  <c r="AY58" i="27"/>
  <c r="AY19" i="27"/>
  <c r="AY42" i="27" s="1"/>
  <c r="AY17" i="27"/>
  <c r="AY101" i="14"/>
  <c r="AY15" i="14"/>
  <c r="AY25" i="14" s="1"/>
  <c r="AY67" i="6"/>
  <c r="AY84" i="6" s="1"/>
  <c r="AY101" i="6" s="1"/>
  <c r="AY118" i="6" s="1"/>
  <c r="AY68" i="6"/>
  <c r="AY85" i="6" s="1"/>
  <c r="AY102" i="6" s="1"/>
  <c r="AY119" i="6" s="1"/>
  <c r="AY69" i="6"/>
  <c r="AY86" i="6" s="1"/>
  <c r="AY103" i="6" s="1"/>
  <c r="AY120" i="6" s="1"/>
  <c r="AY70" i="6"/>
  <c r="AY87" i="6" s="1"/>
  <c r="AY104" i="6" s="1"/>
  <c r="AY121" i="6" s="1"/>
  <c r="AY71" i="6"/>
  <c r="AY88" i="6" s="1"/>
  <c r="AY105" i="6" s="1"/>
  <c r="AY122" i="6" s="1"/>
  <c r="AY63" i="6"/>
  <c r="AY80" i="6" s="1"/>
  <c r="AY97" i="6" s="1"/>
  <c r="AY114" i="6" s="1"/>
  <c r="AY64" i="6"/>
  <c r="AY81" i="6" s="1"/>
  <c r="AY98" i="6" s="1"/>
  <c r="AY115" i="6" s="1"/>
  <c r="AZ33" i="6"/>
  <c r="AZ32" i="6"/>
  <c r="AZ31" i="6"/>
  <c r="AZ151" i="7" s="1"/>
  <c r="AZ30" i="6"/>
  <c r="AZ26" i="6"/>
  <c r="AZ25" i="6"/>
  <c r="AZ24" i="6"/>
  <c r="AZ150" i="7" s="1"/>
  <c r="AZ153" i="7" s="1"/>
  <c r="AZ23" i="6"/>
  <c r="AZ20" i="6"/>
  <c r="AZ19" i="6"/>
  <c r="AZ17" i="6"/>
  <c r="AZ767" i="7" s="1"/>
  <c r="AZ16" i="6"/>
  <c r="AZ15" i="6"/>
  <c r="AZ14" i="6"/>
  <c r="AZ13" i="6"/>
  <c r="AZ12" i="6"/>
  <c r="BE112" i="12" l="1"/>
  <c r="BE93" i="12"/>
  <c r="BQ331" i="7"/>
  <c r="BR331" i="7" s="1"/>
  <c r="CJ101" i="69"/>
  <c r="CK42" i="69"/>
  <c r="CJ90" i="69"/>
  <c r="CJ42" i="69"/>
  <c r="DO79" i="47"/>
  <c r="DL75" i="47"/>
  <c r="DN82" i="47"/>
  <c r="CI19" i="10"/>
  <c r="CC635" i="7"/>
  <c r="CB635" i="7"/>
  <c r="BZ635" i="7"/>
  <c r="CA635" i="7"/>
  <c r="AY53" i="47"/>
  <c r="AY55" i="47"/>
  <c r="BA25" i="37"/>
  <c r="BE94" i="12"/>
  <c r="BE79" i="12"/>
  <c r="BE88" i="12"/>
  <c r="BE92" i="12"/>
  <c r="BE118" i="12"/>
  <c r="BE127" i="12" s="1"/>
  <c r="BE111" i="12"/>
  <c r="BE78" i="12"/>
  <c r="BE91" i="12"/>
  <c r="AZ154" i="7"/>
  <c r="BD49" i="12"/>
  <c r="BD51" i="12" s="1"/>
  <c r="BD184" i="12"/>
  <c r="BD60" i="12" s="1"/>
  <c r="AY40" i="27"/>
  <c r="AY45" i="27" s="1"/>
  <c r="AY41" i="14" s="1"/>
  <c r="AZ34" i="13"/>
  <c r="AZ38" i="13" s="1"/>
  <c r="AZ345" i="7"/>
  <c r="AZ293" i="7"/>
  <c r="AZ822" i="7"/>
  <c r="AZ707" i="7"/>
  <c r="AZ435" i="7"/>
  <c r="AZ436" i="7" s="1"/>
  <c r="AZ768" i="7"/>
  <c r="AZ770" i="7" s="1"/>
  <c r="AZ771" i="7" s="1"/>
  <c r="AZ346" i="7"/>
  <c r="AZ294" i="7"/>
  <c r="AZ823" i="7"/>
  <c r="AZ708" i="7"/>
  <c r="AZ47" i="13"/>
  <c r="AZ50" i="13" s="1"/>
  <c r="AZ548" i="7"/>
  <c r="AZ57" i="7"/>
  <c r="AZ549" i="7"/>
  <c r="AZ58" i="7"/>
  <c r="AY22" i="27"/>
  <c r="AY27" i="27" s="1"/>
  <c r="BC49" i="12"/>
  <c r="BC51" i="12" s="1"/>
  <c r="BC184" i="12"/>
  <c r="AZ14" i="10"/>
  <c r="AZ19" i="10" s="1"/>
  <c r="CJ19" i="10" s="1"/>
  <c r="BB48" i="12"/>
  <c r="BB51" i="12"/>
  <c r="BB59" i="12" s="1"/>
  <c r="AZ65" i="13"/>
  <c r="AZ60" i="13"/>
  <c r="AY157" i="13"/>
  <c r="AY43" i="12"/>
  <c r="AY75" i="69"/>
  <c r="AY76" i="69" s="1"/>
  <c r="CI101" i="69"/>
  <c r="CK101" i="69" s="1"/>
  <c r="BA49" i="12"/>
  <c r="BA184" i="12"/>
  <c r="AY91" i="27"/>
  <c r="BW226" i="7"/>
  <c r="BX226" i="7" s="1"/>
  <c r="BV279" i="7"/>
  <c r="BW279" i="7" s="1"/>
  <c r="BX473" i="7"/>
  <c r="BZ473" i="7"/>
  <c r="BZ331" i="7"/>
  <c r="CA331" i="7" s="1"/>
  <c r="CB331" i="7" s="1"/>
  <c r="CC331" i="7" s="1"/>
  <c r="BS331" i="7"/>
  <c r="BZ279" i="7"/>
  <c r="CA279" i="7" s="1"/>
  <c r="BS279" i="7"/>
  <c r="BZ226" i="7"/>
  <c r="AY28" i="69"/>
  <c r="AY124" i="13"/>
  <c r="AZ22" i="37"/>
  <c r="AZ13" i="37"/>
  <c r="AY79" i="14"/>
  <c r="AY126" i="14"/>
  <c r="AY29" i="14"/>
  <c r="AY127" i="14"/>
  <c r="AY63" i="27"/>
  <c r="AY81" i="27"/>
  <c r="AY128" i="14" s="1"/>
  <c r="AY10" i="12" l="1"/>
  <c r="AY25" i="12" s="1"/>
  <c r="CL101" i="69"/>
  <c r="DL82" i="47"/>
  <c r="DM82" i="47" s="1"/>
  <c r="DM75" i="47"/>
  <c r="DN79" i="47" s="1"/>
  <c r="DR79" i="47" s="1"/>
  <c r="DK75" i="47"/>
  <c r="CH19" i="10"/>
  <c r="BD48" i="12"/>
  <c r="BD59" i="12"/>
  <c r="AY110" i="13"/>
  <c r="AZ67" i="13"/>
  <c r="BC48" i="12"/>
  <c r="BC60" i="12"/>
  <c r="BC59" i="12" s="1"/>
  <c r="AZ27" i="10"/>
  <c r="AZ26" i="10"/>
  <c r="AY181" i="13"/>
  <c r="AY129" i="13"/>
  <c r="AY131" i="13" s="1"/>
  <c r="AY135" i="13" s="1"/>
  <c r="AY51" i="12"/>
  <c r="AY59" i="12" s="1"/>
  <c r="BA48" i="12"/>
  <c r="BA51" i="12"/>
  <c r="BA60" i="12"/>
  <c r="CA473" i="7"/>
  <c r="CB473" i="7" s="1"/>
  <c r="CC473" i="7" s="1"/>
  <c r="BX279" i="7"/>
  <c r="CB279" i="7"/>
  <c r="CC279" i="7" s="1"/>
  <c r="CA226" i="7"/>
  <c r="CB226" i="7" s="1"/>
  <c r="AY68" i="27"/>
  <c r="AY51" i="14"/>
  <c r="AY84" i="14"/>
  <c r="AY32" i="14"/>
  <c r="AY24" i="12" s="1"/>
  <c r="DL79" i="47" l="1"/>
  <c r="DJ75" i="47"/>
  <c r="DK82" i="47"/>
  <c r="AY26" i="12"/>
  <c r="AY94" i="13"/>
  <c r="AY183" i="13"/>
  <c r="AY185" i="13"/>
  <c r="AY125" i="13"/>
  <c r="AY127" i="13" s="1"/>
  <c r="BA59" i="12"/>
  <c r="CC226" i="7"/>
  <c r="AY36" i="14"/>
  <c r="AY91" i="14"/>
  <c r="DK79" i="47" l="1"/>
  <c r="DI75" i="47"/>
  <c r="DJ82" i="47"/>
  <c r="AY30" i="12"/>
  <c r="CG76" i="12" s="1"/>
  <c r="AY29" i="12"/>
  <c r="AY37" i="12"/>
  <c r="AY42" i="12" s="1"/>
  <c r="AY102" i="14"/>
  <c r="AY113" i="14" s="1"/>
  <c r="AY49" i="14"/>
  <c r="AY54" i="14"/>
  <c r="AY39" i="14"/>
  <c r="DJ79" i="47" l="1"/>
  <c r="DG75" i="47"/>
  <c r="DI82" i="47"/>
  <c r="AY55" i="14"/>
  <c r="AY15" i="37" s="1"/>
  <c r="AY18" i="37" s="1"/>
  <c r="AY50" i="14"/>
  <c r="AY42" i="14"/>
  <c r="BT744" i="7"/>
  <c r="BT690" i="7"/>
  <c r="DG82" i="47" l="1"/>
  <c r="DH82" i="47" s="1"/>
  <c r="DF75" i="47"/>
  <c r="DH75" i="47"/>
  <c r="DI79" i="47" s="1"/>
  <c r="DM79" i="47" s="1"/>
  <c r="BT527" i="7"/>
  <c r="AY85" i="14"/>
  <c r="AY56" i="14"/>
  <c r="BP805" i="7"/>
  <c r="BP744" i="7"/>
  <c r="BQ744" i="7" s="1"/>
  <c r="BY744" i="7"/>
  <c r="BP690" i="7"/>
  <c r="BY690" i="7"/>
  <c r="BY421" i="7"/>
  <c r="BP421" i="7"/>
  <c r="DG79" i="47" l="1"/>
  <c r="DE75" i="47"/>
  <c r="DF82" i="47"/>
  <c r="BY527" i="7"/>
  <c r="AY57" i="14"/>
  <c r="BQ805" i="7"/>
  <c r="BR805" i="7" s="1"/>
  <c r="BS805" i="7" s="1"/>
  <c r="BU805" i="7"/>
  <c r="BV805" i="7" s="1"/>
  <c r="BR744" i="7"/>
  <c r="BS744" i="7" s="1"/>
  <c r="CD744" i="7"/>
  <c r="BU744" i="7"/>
  <c r="BV744" i="7" s="1"/>
  <c r="BQ690" i="7"/>
  <c r="BR690" i="7" s="1"/>
  <c r="CD690" i="7"/>
  <c r="BU690" i="7"/>
  <c r="BV690" i="7" s="1"/>
  <c r="BW690" i="7" s="1"/>
  <c r="CD421" i="7"/>
  <c r="BU421" i="7"/>
  <c r="BQ421" i="7"/>
  <c r="BR421" i="7" s="1"/>
  <c r="DF79" i="47" l="1"/>
  <c r="DD75" i="47"/>
  <c r="DE82" i="47"/>
  <c r="CD527" i="7"/>
  <c r="BW805" i="7"/>
  <c r="BX805" i="7" s="1"/>
  <c r="BZ805" i="7"/>
  <c r="BZ744" i="7"/>
  <c r="CA744" i="7" s="1"/>
  <c r="BW744" i="7"/>
  <c r="BX744" i="7" s="1"/>
  <c r="BZ690" i="7"/>
  <c r="CA690" i="7" s="1"/>
  <c r="BX690" i="7"/>
  <c r="BS690" i="7"/>
  <c r="BZ421" i="7"/>
  <c r="BS421" i="7"/>
  <c r="BV421" i="7"/>
  <c r="BW421" i="7" s="1"/>
  <c r="DE79" i="47" l="1"/>
  <c r="DB75" i="47"/>
  <c r="DD82" i="47"/>
  <c r="CA421" i="7"/>
  <c r="CB421" i="7" s="1"/>
  <c r="BX421" i="7"/>
  <c r="CA805" i="7"/>
  <c r="CB805" i="7" s="1"/>
  <c r="CB744" i="7"/>
  <c r="CC744" i="7" s="1"/>
  <c r="CB690" i="7"/>
  <c r="CC690" i="7" s="1"/>
  <c r="DB82" i="47" l="1"/>
  <c r="DC82" i="47" s="1"/>
  <c r="DA75" i="47"/>
  <c r="DC75" i="47"/>
  <c r="DD79" i="47" s="1"/>
  <c r="DH79" i="47" s="1"/>
  <c r="CC421" i="7"/>
  <c r="CC805" i="7"/>
  <c r="DB79" i="47" l="1"/>
  <c r="CZ75" i="47"/>
  <c r="DA82" i="47"/>
  <c r="AN336" i="3"/>
  <c r="DA79" i="47" l="1"/>
  <c r="CY75" i="47"/>
  <c r="CZ82" i="47"/>
  <c r="U314" i="2"/>
  <c r="CZ79" i="47" l="1"/>
  <c r="CW75" i="47"/>
  <c r="CY82" i="47"/>
  <c r="AH19" i="12"/>
  <c r="AH39" i="12" s="1"/>
  <c r="AT19" i="12"/>
  <c r="AT39" i="12" s="1"/>
  <c r="AS19" i="12"/>
  <c r="AS39" i="12" s="1"/>
  <c r="AR19" i="12"/>
  <c r="AR39" i="12" s="1"/>
  <c r="AQ19" i="12"/>
  <c r="AQ39" i="12" s="1"/>
  <c r="AO19" i="12"/>
  <c r="AO39" i="12" s="1"/>
  <c r="AN19" i="12"/>
  <c r="AN39" i="12" s="1"/>
  <c r="AM19" i="12"/>
  <c r="AM39" i="12" s="1"/>
  <c r="AL19" i="12"/>
  <c r="AL39" i="12" s="1"/>
  <c r="AJ19" i="12"/>
  <c r="AJ39" i="12" s="1"/>
  <c r="AI19" i="12"/>
  <c r="AI39" i="12" s="1"/>
  <c r="AG19" i="12"/>
  <c r="AG39" i="12" s="1"/>
  <c r="AV19" i="12"/>
  <c r="AV39" i="12" s="1"/>
  <c r="AW19" i="12"/>
  <c r="AW39" i="12" s="1"/>
  <c r="AX19" i="12"/>
  <c r="AX39" i="12" s="1"/>
  <c r="CL205" i="13"/>
  <c r="CI205" i="13"/>
  <c r="CJ47" i="14"/>
  <c r="CI47" i="14"/>
  <c r="CR50" i="6"/>
  <c r="AV67" i="69"/>
  <c r="CH88" i="69" s="1"/>
  <c r="AW67" i="69"/>
  <c r="CH89" i="69" s="1"/>
  <c r="AX67" i="69"/>
  <c r="CH90" i="69" s="1"/>
  <c r="AV66" i="69"/>
  <c r="AV65" i="69"/>
  <c r="AV64" i="69"/>
  <c r="AV63" i="69"/>
  <c r="AV60" i="69"/>
  <c r="AW66" i="69"/>
  <c r="AW65" i="69"/>
  <c r="AW64" i="69"/>
  <c r="AW63" i="69"/>
  <c r="AW60" i="69"/>
  <c r="AX66" i="69"/>
  <c r="AX65" i="69"/>
  <c r="AX64" i="69"/>
  <c r="AX63" i="69"/>
  <c r="AX60" i="69"/>
  <c r="AX51" i="47"/>
  <c r="AX50" i="47"/>
  <c r="AX79" i="11"/>
  <c r="AY67" i="11" s="1"/>
  <c r="AW79" i="11"/>
  <c r="AX67" i="11" s="1"/>
  <c r="AX76" i="27"/>
  <c r="AX86" i="6"/>
  <c r="AX103" i="6" s="1"/>
  <c r="AX120" i="6" s="1"/>
  <c r="AX63" i="6"/>
  <c r="AX64" i="6"/>
  <c r="AX67" i="6"/>
  <c r="AX84" i="6" s="1"/>
  <c r="AX101" i="6" s="1"/>
  <c r="AX118" i="6" s="1"/>
  <c r="AX68" i="6"/>
  <c r="AX85" i="6" s="1"/>
  <c r="AX102" i="6" s="1"/>
  <c r="AX119" i="6" s="1"/>
  <c r="AX69" i="6"/>
  <c r="AX70" i="6"/>
  <c r="AX71" i="6"/>
  <c r="AX55" i="69"/>
  <c r="AX73" i="69" s="1"/>
  <c r="AX44" i="69"/>
  <c r="AX47" i="69" s="1"/>
  <c r="AX49" i="69" s="1"/>
  <c r="AW86" i="11"/>
  <c r="AX113" i="10"/>
  <c r="AX112" i="10"/>
  <c r="AX21" i="10"/>
  <c r="AX14" i="10"/>
  <c r="AX57" i="37"/>
  <c r="AX52" i="37"/>
  <c r="AX96" i="13"/>
  <c r="AX94" i="47"/>
  <c r="AX97" i="47" s="1"/>
  <c r="AX99" i="47" s="1"/>
  <c r="AX41" i="12" s="1"/>
  <c r="AX38" i="47"/>
  <c r="AX37" i="47"/>
  <c r="AX156" i="13" s="1"/>
  <c r="AX180" i="13" s="1"/>
  <c r="AX28" i="47"/>
  <c r="AX25" i="7"/>
  <c r="AX90" i="27"/>
  <c r="AX89" i="27"/>
  <c r="AX33" i="27"/>
  <c r="AX34" i="27"/>
  <c r="AX35" i="27"/>
  <c r="AX36" i="27"/>
  <c r="AX37" i="27"/>
  <c r="AX38" i="27"/>
  <c r="AX43" i="27"/>
  <c r="AX44" i="27"/>
  <c r="AX67" i="27"/>
  <c r="AX25" i="27"/>
  <c r="AX19" i="27"/>
  <c r="AX42" i="27" s="1"/>
  <c r="AX181" i="12"/>
  <c r="AX57" i="12" s="1"/>
  <c r="AX56" i="12" s="1"/>
  <c r="AX170" i="12"/>
  <c r="AX49" i="12" s="1"/>
  <c r="AX48" i="12" s="1"/>
  <c r="AX159" i="12"/>
  <c r="AX43" i="12" s="1"/>
  <c r="AS117" i="14"/>
  <c r="AW114" i="14"/>
  <c r="AX101" i="14"/>
  <c r="BJ11" i="37"/>
  <c r="CD206" i="9"/>
  <c r="BY206" i="9"/>
  <c r="BT206" i="9"/>
  <c r="BS51" i="6"/>
  <c r="BR51" i="6"/>
  <c r="BQ51" i="6"/>
  <c r="BP51" i="6"/>
  <c r="BS50" i="6"/>
  <c r="BS12" i="37" s="1"/>
  <c r="BR50" i="6"/>
  <c r="BR12" i="37" s="1"/>
  <c r="BQ50" i="6"/>
  <c r="BQ12" i="37" s="1"/>
  <c r="BP50" i="6"/>
  <c r="BP12" i="37" s="1"/>
  <c r="CC51" i="6"/>
  <c r="CB51" i="6"/>
  <c r="CA51" i="6"/>
  <c r="BZ51" i="6"/>
  <c r="CC50" i="6"/>
  <c r="CC12" i="37" s="1"/>
  <c r="CB50" i="6"/>
  <c r="CA50" i="6"/>
  <c r="BZ50" i="6"/>
  <c r="BX51" i="6"/>
  <c r="BW51" i="6"/>
  <c r="BV51" i="6"/>
  <c r="BU51" i="6"/>
  <c r="BX50" i="6"/>
  <c r="BX12" i="37" s="1"/>
  <c r="BW50" i="6"/>
  <c r="BV50" i="6"/>
  <c r="BU50" i="6"/>
  <c r="BU12" i="37" s="1"/>
  <c r="BK12" i="37"/>
  <c r="BI12" i="37"/>
  <c r="BG12" i="37"/>
  <c r="BB12" i="37"/>
  <c r="AM337" i="2"/>
  <c r="BJ49" i="69"/>
  <c r="BJ14" i="69"/>
  <c r="AZ14" i="69"/>
  <c r="AP14" i="69"/>
  <c r="AP15" i="69" s="1"/>
  <c r="AK14" i="69"/>
  <c r="AK15" i="69" s="1"/>
  <c r="AF14" i="69"/>
  <c r="AF15" i="69" s="1"/>
  <c r="AF18" i="69" s="1"/>
  <c r="AA14" i="69"/>
  <c r="AA15" i="69" s="1"/>
  <c r="AA18" i="69" s="1"/>
  <c r="V14" i="69"/>
  <c r="V15" i="69" s="1"/>
  <c r="V18" i="69" s="1"/>
  <c r="Q14" i="69"/>
  <c r="Q15" i="69" s="1"/>
  <c r="Q18" i="69" s="1"/>
  <c r="CH60" i="69"/>
  <c r="CH61" i="69"/>
  <c r="CH62" i="69"/>
  <c r="CH63" i="69"/>
  <c r="CH64" i="69"/>
  <c r="CH65" i="69"/>
  <c r="CH66" i="69"/>
  <c r="CH67" i="69"/>
  <c r="CH68" i="69"/>
  <c r="CH69" i="69"/>
  <c r="CH70" i="69"/>
  <c r="CH71" i="69"/>
  <c r="AA55" i="69"/>
  <c r="AA73" i="69" s="1"/>
  <c r="Z55" i="69"/>
  <c r="Z73" i="69" s="1"/>
  <c r="Y55" i="69"/>
  <c r="Y73" i="69" s="1"/>
  <c r="X55" i="69"/>
  <c r="X73" i="69" s="1"/>
  <c r="W55" i="69"/>
  <c r="W73" i="69" s="1"/>
  <c r="V55" i="69"/>
  <c r="V73" i="69" s="1"/>
  <c r="U55" i="69"/>
  <c r="U73" i="69" s="1"/>
  <c r="T55" i="69"/>
  <c r="T73" i="69" s="1"/>
  <c r="S55" i="69"/>
  <c r="S73" i="69" s="1"/>
  <c r="R55" i="69"/>
  <c r="R73" i="69" s="1"/>
  <c r="Q55" i="69"/>
  <c r="Q73" i="69" s="1"/>
  <c r="P55" i="69"/>
  <c r="P73" i="69" s="1"/>
  <c r="O55" i="69"/>
  <c r="O73" i="69" s="1"/>
  <c r="N55" i="69"/>
  <c r="N73" i="69" s="1"/>
  <c r="M55" i="69"/>
  <c r="M73" i="69" s="1"/>
  <c r="AW38" i="69"/>
  <c r="AW72" i="69" s="1"/>
  <c r="AV38" i="69"/>
  <c r="AU38" i="69"/>
  <c r="AU72" i="69" s="1"/>
  <c r="AT38" i="69"/>
  <c r="AT72" i="69" s="1"/>
  <c r="AS38" i="69"/>
  <c r="AS72" i="69" s="1"/>
  <c r="CJ41" i="69" s="1"/>
  <c r="AR38" i="69"/>
  <c r="AR72" i="69" s="1"/>
  <c r="AQ38" i="69"/>
  <c r="AQ72" i="69" s="1"/>
  <c r="AP38" i="69"/>
  <c r="AP72" i="69" s="1"/>
  <c r="AO38" i="69"/>
  <c r="AN38" i="69"/>
  <c r="AN72" i="69" s="1"/>
  <c r="AM38" i="69"/>
  <c r="AM72" i="69" s="1"/>
  <c r="AL38" i="69"/>
  <c r="AL72" i="69" s="1"/>
  <c r="AK38" i="69"/>
  <c r="AJ38" i="69"/>
  <c r="AJ72" i="69" s="1"/>
  <c r="AI38" i="69"/>
  <c r="AI72" i="69" s="1"/>
  <c r="CJ39" i="69" s="1"/>
  <c r="AH38" i="69"/>
  <c r="AH72" i="69" s="1"/>
  <c r="CI39" i="69" s="1"/>
  <c r="AG38" i="69"/>
  <c r="AG72" i="69" s="1"/>
  <c r="CH39" i="69" s="1"/>
  <c r="AF38" i="69"/>
  <c r="AF72" i="69" s="1"/>
  <c r="AE38" i="69"/>
  <c r="AD38" i="69"/>
  <c r="AD72" i="69" s="1"/>
  <c r="AC38" i="69"/>
  <c r="AC72" i="69" s="1"/>
  <c r="AB38" i="69"/>
  <c r="AA38" i="69"/>
  <c r="AA72" i="69" s="1"/>
  <c r="Z38" i="69"/>
  <c r="Z72" i="69" s="1"/>
  <c r="CK37" i="69" s="1"/>
  <c r="Y38" i="69"/>
  <c r="Y72" i="69" s="1"/>
  <c r="CJ37" i="69" s="1"/>
  <c r="X38" i="69"/>
  <c r="X72" i="69" s="1"/>
  <c r="W38" i="69"/>
  <c r="V38" i="69"/>
  <c r="V72" i="69" s="1"/>
  <c r="U38" i="69"/>
  <c r="U72" i="69" s="1"/>
  <c r="CK36" i="69" s="1"/>
  <c r="T38" i="69"/>
  <c r="T72" i="69" s="1"/>
  <c r="S38" i="69"/>
  <c r="R38" i="69"/>
  <c r="Q38" i="69"/>
  <c r="Q72" i="69" s="1"/>
  <c r="P38" i="69"/>
  <c r="P72" i="69" s="1"/>
  <c r="CJ63" i="69" s="1"/>
  <c r="O38" i="69"/>
  <c r="O72" i="69" s="1"/>
  <c r="CJ62" i="69" s="1"/>
  <c r="N38" i="69"/>
  <c r="M38" i="69"/>
  <c r="AU44" i="69"/>
  <c r="AU47" i="69" s="1"/>
  <c r="AT44" i="69"/>
  <c r="AT47" i="69" s="1"/>
  <c r="AS44" i="69"/>
  <c r="AS47" i="69" s="1"/>
  <c r="AR44" i="69"/>
  <c r="AR47" i="69" s="1"/>
  <c r="AQ44" i="69"/>
  <c r="AQ47" i="69" s="1"/>
  <c r="AP44" i="69"/>
  <c r="AP47" i="69" s="1"/>
  <c r="AO44" i="69"/>
  <c r="AO47" i="69" s="1"/>
  <c r="AN44" i="69"/>
  <c r="AN47" i="69" s="1"/>
  <c r="AM44" i="69"/>
  <c r="AM47" i="69" s="1"/>
  <c r="AL44" i="69"/>
  <c r="AL47" i="69" s="1"/>
  <c r="AK44" i="69"/>
  <c r="AK47" i="69" s="1"/>
  <c r="AJ44" i="69"/>
  <c r="AJ47" i="69" s="1"/>
  <c r="AI44" i="69"/>
  <c r="AI47" i="69" s="1"/>
  <c r="AH44" i="69"/>
  <c r="AH47" i="69" s="1"/>
  <c r="AG44" i="69"/>
  <c r="AG47" i="69" s="1"/>
  <c r="AA44" i="69"/>
  <c r="AA47" i="69" s="1"/>
  <c r="Z44" i="69"/>
  <c r="Z47" i="69" s="1"/>
  <c r="Y44" i="69"/>
  <c r="Y47" i="69" s="1"/>
  <c r="X44" i="69"/>
  <c r="X47" i="69" s="1"/>
  <c r="W44" i="69"/>
  <c r="W47" i="69" s="1"/>
  <c r="V44" i="69"/>
  <c r="V47" i="69" s="1"/>
  <c r="U44" i="69"/>
  <c r="U47" i="69" s="1"/>
  <c r="T44" i="69"/>
  <c r="T47" i="69" s="1"/>
  <c r="S44" i="69"/>
  <c r="S47" i="69" s="1"/>
  <c r="R44" i="69"/>
  <c r="R47" i="69" s="1"/>
  <c r="Q44" i="69"/>
  <c r="Q47" i="69" s="1"/>
  <c r="P44" i="69"/>
  <c r="P47" i="69" s="1"/>
  <c r="O44" i="69"/>
  <c r="O47" i="69" s="1"/>
  <c r="N44" i="69"/>
  <c r="N47" i="69" s="1"/>
  <c r="M44" i="69"/>
  <c r="M47" i="69" s="1"/>
  <c r="M72" i="69" s="1"/>
  <c r="BO73" i="69"/>
  <c r="BJ38" i="69"/>
  <c r="BJ10" i="69"/>
  <c r="AZ11" i="69"/>
  <c r="AZ10" i="69"/>
  <c r="CC75" i="69"/>
  <c r="CC72" i="69" s="1"/>
  <c r="CC9" i="69" s="1"/>
  <c r="CC21" i="69" s="1"/>
  <c r="CB75" i="69"/>
  <c r="CB72" i="69" s="1"/>
  <c r="CA75" i="69"/>
  <c r="CA72" i="69" s="1"/>
  <c r="CA9" i="69" s="1"/>
  <c r="CA21" i="69" s="1"/>
  <c r="BZ75" i="69"/>
  <c r="BZ72" i="69" s="1"/>
  <c r="BZ9" i="69" s="1"/>
  <c r="BZ21" i="69" s="1"/>
  <c r="BX75" i="69"/>
  <c r="BX72" i="69" s="1"/>
  <c r="BX9" i="69" s="1"/>
  <c r="BX21" i="69" s="1"/>
  <c r="BW75" i="69"/>
  <c r="BW72" i="69" s="1"/>
  <c r="BV75" i="69"/>
  <c r="BV72" i="69" s="1"/>
  <c r="BV9" i="69" s="1"/>
  <c r="BV21" i="69" s="1"/>
  <c r="BU75" i="69"/>
  <c r="BU72" i="69" s="1"/>
  <c r="BU9" i="69" s="1"/>
  <c r="BU21" i="69" s="1"/>
  <c r="BS75" i="69"/>
  <c r="BS72" i="69" s="1"/>
  <c r="BR75" i="69"/>
  <c r="BR72" i="69" s="1"/>
  <c r="BR9" i="69" s="1"/>
  <c r="BR21" i="69" s="1"/>
  <c r="BQ75" i="69"/>
  <c r="BQ72" i="69" s="1"/>
  <c r="BQ9" i="69" s="1"/>
  <c r="BQ21" i="69" s="1"/>
  <c r="BP75" i="69"/>
  <c r="BN75" i="69"/>
  <c r="BL75" i="69"/>
  <c r="BL76" i="69" s="1"/>
  <c r="BG75" i="69"/>
  <c r="BG76" i="69" s="1"/>
  <c r="BJ76" i="69" s="1"/>
  <c r="BC75" i="69"/>
  <c r="AX12" i="69"/>
  <c r="AX22" i="69" s="1"/>
  <c r="CC47" i="69"/>
  <c r="CB47" i="69"/>
  <c r="CA47" i="69"/>
  <c r="BZ47" i="69"/>
  <c r="BX47" i="69"/>
  <c r="BW47" i="69"/>
  <c r="BV47" i="69"/>
  <c r="BU47" i="69"/>
  <c r="BS47" i="69"/>
  <c r="BR47" i="69"/>
  <c r="BQ47" i="69"/>
  <c r="BP47" i="69"/>
  <c r="CH87" i="69"/>
  <c r="CH86" i="69"/>
  <c r="CH85" i="69"/>
  <c r="CH84" i="69"/>
  <c r="CH83" i="69"/>
  <c r="CH82" i="69"/>
  <c r="CH81" i="69"/>
  <c r="CH80" i="69"/>
  <c r="CH79" i="69"/>
  <c r="CH78" i="69"/>
  <c r="CH77" i="69"/>
  <c r="CH76" i="69"/>
  <c r="CH75" i="69"/>
  <c r="CH74" i="69"/>
  <c r="CH73" i="69"/>
  <c r="CH72" i="69"/>
  <c r="BJ73" i="69"/>
  <c r="AW55" i="69"/>
  <c r="AW73" i="69" s="1"/>
  <c r="AV55" i="69"/>
  <c r="AV73" i="69" s="1"/>
  <c r="AU55" i="69"/>
  <c r="AU73" i="69" s="1"/>
  <c r="AT55" i="69"/>
  <c r="AT73" i="69" s="1"/>
  <c r="AS55" i="69"/>
  <c r="AS73" i="69" s="1"/>
  <c r="AR55" i="69"/>
  <c r="AR73" i="69" s="1"/>
  <c r="AQ55" i="69"/>
  <c r="AQ73" i="69" s="1"/>
  <c r="AP55" i="69"/>
  <c r="AP73" i="69" s="1"/>
  <c r="AO55" i="69"/>
  <c r="AO73" i="69" s="1"/>
  <c r="AN55" i="69"/>
  <c r="AN73" i="69" s="1"/>
  <c r="AM55" i="69"/>
  <c r="AM73" i="69" s="1"/>
  <c r="AL55" i="69"/>
  <c r="AL73" i="69" s="1"/>
  <c r="AK55" i="69"/>
  <c r="AK73" i="69" s="1"/>
  <c r="AJ55" i="69"/>
  <c r="AJ73" i="69" s="1"/>
  <c r="AI55" i="69"/>
  <c r="AI73" i="69" s="1"/>
  <c r="AH55" i="69"/>
  <c r="AH73" i="69" s="1"/>
  <c r="AG55" i="69"/>
  <c r="AG73" i="69" s="1"/>
  <c r="AF55" i="69"/>
  <c r="AF73" i="69" s="1"/>
  <c r="AE55" i="69"/>
  <c r="AE73" i="69" s="1"/>
  <c r="AD55" i="69"/>
  <c r="AD73" i="69" s="1"/>
  <c r="AC55" i="69"/>
  <c r="AC73" i="69" s="1"/>
  <c r="AB55" i="69"/>
  <c r="AB73" i="69" s="1"/>
  <c r="AW44" i="69"/>
  <c r="AW47" i="69" s="1"/>
  <c r="AV44" i="69"/>
  <c r="AV47" i="69" s="1"/>
  <c r="AF44" i="69"/>
  <c r="AF47" i="69" s="1"/>
  <c r="AE44" i="69"/>
  <c r="AE47" i="69" s="1"/>
  <c r="AD44" i="69"/>
  <c r="AD47" i="69" s="1"/>
  <c r="AD49" i="69" s="1"/>
  <c r="AC44" i="69"/>
  <c r="AC47" i="69" s="1"/>
  <c r="AB44" i="69"/>
  <c r="AB47" i="69" s="1"/>
  <c r="AW27" i="69"/>
  <c r="AW28" i="69" s="1"/>
  <c r="AV27" i="69"/>
  <c r="AV28" i="69" s="1"/>
  <c r="AT27" i="69"/>
  <c r="AT28" i="69" s="1"/>
  <c r="AS27" i="69"/>
  <c r="AS28" i="69" s="1"/>
  <c r="AR27" i="69"/>
  <c r="AR28" i="69" s="1"/>
  <c r="AQ27" i="69"/>
  <c r="AQ28" i="69" s="1"/>
  <c r="AZ9" i="69"/>
  <c r="AZ21" i="69" s="1"/>
  <c r="E100" i="10"/>
  <c r="F100" i="10"/>
  <c r="E10" i="39"/>
  <c r="E9" i="39"/>
  <c r="F9" i="39" s="1"/>
  <c r="CL204" i="13"/>
  <c r="CI204" i="13"/>
  <c r="CJ46" i="14"/>
  <c r="CI46" i="14"/>
  <c r="CR49" i="6"/>
  <c r="AW94" i="47"/>
  <c r="AW97" i="47" s="1"/>
  <c r="AW99" i="47" s="1"/>
  <c r="AW41" i="12" s="1"/>
  <c r="AW51" i="47"/>
  <c r="AW50" i="47"/>
  <c r="AW38" i="47"/>
  <c r="AW31" i="47"/>
  <c r="AW150" i="13" s="1"/>
  <c r="AW28" i="47"/>
  <c r="AW25" i="7"/>
  <c r="AW57" i="37"/>
  <c r="AW96" i="13"/>
  <c r="AW34" i="11"/>
  <c r="AW32" i="11"/>
  <c r="AW90" i="27"/>
  <c r="AW89" i="27"/>
  <c r="AW76" i="27"/>
  <c r="AW44" i="27"/>
  <c r="AW43" i="27"/>
  <c r="AW42" i="27"/>
  <c r="AW38" i="27"/>
  <c r="AW37" i="27"/>
  <c r="AW36" i="27"/>
  <c r="AW35" i="27"/>
  <c r="AW34" i="27"/>
  <c r="AW33" i="27"/>
  <c r="AW67" i="27"/>
  <c r="AW66" i="27"/>
  <c r="AW58" i="27"/>
  <c r="AW112" i="10"/>
  <c r="AW113" i="10"/>
  <c r="AW21" i="10"/>
  <c r="AW14" i="10"/>
  <c r="AW19" i="10" s="1"/>
  <c r="AW11" i="12" s="1"/>
  <c r="AW181" i="12"/>
  <c r="AW57" i="12" s="1"/>
  <c r="AW56" i="12" s="1"/>
  <c r="AW170" i="12"/>
  <c r="AW49" i="12" s="1"/>
  <c r="AW48" i="12" s="1"/>
  <c r="AW159" i="12"/>
  <c r="AW118" i="14"/>
  <c r="AX118" i="14" s="1"/>
  <c r="AW116" i="14"/>
  <c r="AX116" i="14" s="1"/>
  <c r="AY116" i="14" s="1"/>
  <c r="AW115" i="14"/>
  <c r="AW36" i="37" s="1"/>
  <c r="AW101" i="14"/>
  <c r="AW86" i="6"/>
  <c r="AW103" i="6" s="1"/>
  <c r="AW120" i="6" s="1"/>
  <c r="AW71" i="6"/>
  <c r="AW88" i="6" s="1"/>
  <c r="AW105" i="6" s="1"/>
  <c r="AW122" i="6" s="1"/>
  <c r="AW70" i="6"/>
  <c r="AW87" i="6" s="1"/>
  <c r="AW104" i="6" s="1"/>
  <c r="AW121" i="6" s="1"/>
  <c r="AW69" i="6"/>
  <c r="AW68" i="6"/>
  <c r="AW85" i="6" s="1"/>
  <c r="AW102" i="6" s="1"/>
  <c r="AW119" i="6" s="1"/>
  <c r="AW67" i="6"/>
  <c r="AW84" i="6" s="1"/>
  <c r="AW101" i="6" s="1"/>
  <c r="AW118" i="6" s="1"/>
  <c r="AW64" i="6"/>
  <c r="AW81" i="6" s="1"/>
  <c r="AW98" i="6" s="1"/>
  <c r="AW115" i="6" s="1"/>
  <c r="AW63" i="6"/>
  <c r="AW80" i="6" s="1"/>
  <c r="AW97" i="6" s="1"/>
  <c r="AW114" i="6" s="1"/>
  <c r="CH90" i="10"/>
  <c r="BZ692" i="7"/>
  <c r="CA692" i="7" s="1"/>
  <c r="BU692" i="7"/>
  <c r="BV692" i="7" s="1"/>
  <c r="BP692" i="7"/>
  <c r="BQ692" i="7" s="1"/>
  <c r="BT537" i="7"/>
  <c r="BP537" i="7" s="1"/>
  <c r="BQ537" i="7" s="1"/>
  <c r="BR537" i="7" s="1"/>
  <c r="BS537" i="7" s="1"/>
  <c r="AU145" i="1"/>
  <c r="AP145" i="1"/>
  <c r="AK145" i="1"/>
  <c r="AF145" i="1"/>
  <c r="AA145" i="1"/>
  <c r="V145" i="1"/>
  <c r="Q145" i="1"/>
  <c r="L145" i="1"/>
  <c r="G145" i="1"/>
  <c r="F145" i="1"/>
  <c r="E145" i="1"/>
  <c r="D145" i="1"/>
  <c r="C145" i="1"/>
  <c r="U330" i="2"/>
  <c r="BZ136" i="7"/>
  <c r="CA136" i="7" s="1"/>
  <c r="CA43" i="7" s="1"/>
  <c r="BU136" i="7"/>
  <c r="BV136" i="7" s="1"/>
  <c r="BW136" i="7" s="1"/>
  <c r="BW43" i="7" s="1"/>
  <c r="BP136" i="7"/>
  <c r="BZ741" i="7"/>
  <c r="CA741" i="7" s="1"/>
  <c r="BZ746" i="7"/>
  <c r="CA746" i="7" s="1"/>
  <c r="CL183" i="13"/>
  <c r="CL184" i="13"/>
  <c r="CL185" i="13"/>
  <c r="CL186" i="13"/>
  <c r="CL187" i="13"/>
  <c r="CL188" i="13"/>
  <c r="CL189" i="13"/>
  <c r="CL190" i="13"/>
  <c r="CL191" i="13"/>
  <c r="CL192" i="13"/>
  <c r="CL193" i="13"/>
  <c r="CL194" i="13"/>
  <c r="CL195" i="13"/>
  <c r="CL196" i="13"/>
  <c r="CL197" i="13"/>
  <c r="CL198" i="13"/>
  <c r="CL199" i="13"/>
  <c r="CL200" i="13"/>
  <c r="CL201" i="13"/>
  <c r="CL202" i="13"/>
  <c r="CL203" i="13"/>
  <c r="M522" i="3"/>
  <c r="G227" i="4" s="1"/>
  <c r="N522" i="3"/>
  <c r="L227" i="4" s="1"/>
  <c r="O522" i="3"/>
  <c r="Q227" i="4" s="1"/>
  <c r="P522" i="3"/>
  <c r="V227" i="4" s="1"/>
  <c r="Q522" i="3"/>
  <c r="AA227" i="4" s="1"/>
  <c r="R522" i="3"/>
  <c r="AF227" i="4" s="1"/>
  <c r="S522" i="3"/>
  <c r="AK227" i="4" s="1"/>
  <c r="T522" i="3"/>
  <c r="AP227" i="4" s="1"/>
  <c r="U522" i="3"/>
  <c r="AU227" i="4" s="1"/>
  <c r="V522" i="3"/>
  <c r="AZ227" i="4" s="1"/>
  <c r="M513" i="3"/>
  <c r="G229" i="4" s="1"/>
  <c r="N513" i="3"/>
  <c r="L229" i="4" s="1"/>
  <c r="O513" i="3"/>
  <c r="Q229" i="4" s="1"/>
  <c r="P513" i="3"/>
  <c r="V229" i="4" s="1"/>
  <c r="Q513" i="3"/>
  <c r="AA229" i="4" s="1"/>
  <c r="R513" i="3"/>
  <c r="AF229" i="4" s="1"/>
  <c r="S513" i="3"/>
  <c r="AK229" i="4" s="1"/>
  <c r="T513" i="3"/>
  <c r="AP229" i="4" s="1"/>
  <c r="U513" i="3"/>
  <c r="AU229" i="4" s="1"/>
  <c r="V513" i="3"/>
  <c r="AZ229" i="4" s="1"/>
  <c r="M523" i="3"/>
  <c r="G233" i="4" s="1"/>
  <c r="N523" i="3"/>
  <c r="L233" i="4" s="1"/>
  <c r="O523" i="3"/>
  <c r="Q233" i="4" s="1"/>
  <c r="P523" i="3"/>
  <c r="V233" i="4" s="1"/>
  <c r="Q523" i="3"/>
  <c r="AA233" i="4" s="1"/>
  <c r="R523" i="3"/>
  <c r="AF233" i="4" s="1"/>
  <c r="S523" i="3"/>
  <c r="AK233" i="4" s="1"/>
  <c r="T523" i="3"/>
  <c r="AP233" i="4" s="1"/>
  <c r="U523" i="3"/>
  <c r="AU233" i="4" s="1"/>
  <c r="V523" i="3"/>
  <c r="AZ233" i="4" s="1"/>
  <c r="M506" i="3"/>
  <c r="G234" i="4" s="1"/>
  <c r="N506" i="3"/>
  <c r="L234" i="4" s="1"/>
  <c r="O506" i="3"/>
  <c r="Q234" i="4" s="1"/>
  <c r="P506" i="3"/>
  <c r="V234" i="4" s="1"/>
  <c r="Q506" i="3"/>
  <c r="AA234" i="4" s="1"/>
  <c r="R506" i="3"/>
  <c r="AF234" i="4" s="1"/>
  <c r="S506" i="3"/>
  <c r="AK234" i="4" s="1"/>
  <c r="T506" i="3"/>
  <c r="AP234" i="4" s="1"/>
  <c r="U506" i="3"/>
  <c r="AU234" i="4" s="1"/>
  <c r="V506" i="3"/>
  <c r="AZ234" i="4" s="1"/>
  <c r="M450" i="3"/>
  <c r="G184" i="4" s="1"/>
  <c r="N450" i="3"/>
  <c r="L184" i="4" s="1"/>
  <c r="O450" i="3"/>
  <c r="Q184" i="4" s="1"/>
  <c r="P450" i="3"/>
  <c r="V184" i="4" s="1"/>
  <c r="Q450" i="3"/>
  <c r="AA184" i="4" s="1"/>
  <c r="R450" i="3"/>
  <c r="AF184" i="4" s="1"/>
  <c r="S450" i="3"/>
  <c r="AK184" i="4" s="1"/>
  <c r="T450" i="3"/>
  <c r="AP184" i="4" s="1"/>
  <c r="U450" i="3"/>
  <c r="AU184" i="4" s="1"/>
  <c r="V450" i="3"/>
  <c r="AZ184" i="4" s="1"/>
  <c r="M453" i="3"/>
  <c r="G185" i="4" s="1"/>
  <c r="N453" i="3"/>
  <c r="L185" i="4" s="1"/>
  <c r="O453" i="3"/>
  <c r="Q185" i="4" s="1"/>
  <c r="P453" i="3"/>
  <c r="V185" i="4" s="1"/>
  <c r="Q453" i="3"/>
  <c r="AA185" i="4" s="1"/>
  <c r="R453" i="3"/>
  <c r="AF185" i="4" s="1"/>
  <c r="S453" i="3"/>
  <c r="AK185" i="4" s="1"/>
  <c r="T453" i="3"/>
  <c r="AP185" i="4" s="1"/>
  <c r="U453" i="3"/>
  <c r="AU185" i="4" s="1"/>
  <c r="V453" i="3"/>
  <c r="AZ185" i="4" s="1"/>
  <c r="M505" i="3"/>
  <c r="G240" i="4" s="1"/>
  <c r="N505" i="3"/>
  <c r="L240" i="4" s="1"/>
  <c r="O505" i="3"/>
  <c r="Q240" i="4" s="1"/>
  <c r="P505" i="3"/>
  <c r="V240" i="4" s="1"/>
  <c r="Q505" i="3"/>
  <c r="AA240" i="4" s="1"/>
  <c r="R505" i="3"/>
  <c r="AF240" i="4" s="1"/>
  <c r="S505" i="3"/>
  <c r="AK240" i="4" s="1"/>
  <c r="T505" i="3"/>
  <c r="AP240" i="4" s="1"/>
  <c r="U505" i="3"/>
  <c r="AU240" i="4" s="1"/>
  <c r="V505" i="3"/>
  <c r="AZ240" i="4" s="1"/>
  <c r="M508" i="3"/>
  <c r="G241" i="4" s="1"/>
  <c r="N508" i="3"/>
  <c r="L241" i="4" s="1"/>
  <c r="O508" i="3"/>
  <c r="Q241" i="4" s="1"/>
  <c r="P508" i="3"/>
  <c r="V241" i="4" s="1"/>
  <c r="Q508" i="3"/>
  <c r="AA241" i="4" s="1"/>
  <c r="R508" i="3"/>
  <c r="AF241" i="4" s="1"/>
  <c r="S508" i="3"/>
  <c r="AK241" i="4" s="1"/>
  <c r="T508" i="3"/>
  <c r="AP241" i="4" s="1"/>
  <c r="U508" i="3"/>
  <c r="AU241" i="4" s="1"/>
  <c r="V508" i="3"/>
  <c r="AZ241" i="4" s="1"/>
  <c r="M521" i="3"/>
  <c r="G242" i="4" s="1"/>
  <c r="N521" i="3"/>
  <c r="L242" i="4" s="1"/>
  <c r="O521" i="3"/>
  <c r="Q242" i="4" s="1"/>
  <c r="P521" i="3"/>
  <c r="V242" i="4" s="1"/>
  <c r="Q521" i="3"/>
  <c r="AA242" i="4" s="1"/>
  <c r="R521" i="3"/>
  <c r="AF242" i="4" s="1"/>
  <c r="S521" i="3"/>
  <c r="AK242" i="4" s="1"/>
  <c r="T521" i="3"/>
  <c r="AP242" i="4" s="1"/>
  <c r="U521" i="3"/>
  <c r="AU242" i="4" s="1"/>
  <c r="V521" i="3"/>
  <c r="AZ242" i="4" s="1"/>
  <c r="M500" i="3"/>
  <c r="G248" i="4" s="1"/>
  <c r="N500" i="3"/>
  <c r="L248" i="4" s="1"/>
  <c r="O500" i="3"/>
  <c r="Q248" i="4" s="1"/>
  <c r="P500" i="3"/>
  <c r="V248" i="4" s="1"/>
  <c r="Q500" i="3"/>
  <c r="AA248" i="4" s="1"/>
  <c r="R500" i="3"/>
  <c r="AF248" i="4" s="1"/>
  <c r="S500" i="3"/>
  <c r="AK248" i="4" s="1"/>
  <c r="T500" i="3"/>
  <c r="AP248" i="4" s="1"/>
  <c r="U500" i="3"/>
  <c r="AU248" i="4" s="1"/>
  <c r="V500" i="3"/>
  <c r="AZ248" i="4" s="1"/>
  <c r="M509" i="3"/>
  <c r="G249" i="4" s="1"/>
  <c r="N509" i="3"/>
  <c r="L249" i="4" s="1"/>
  <c r="O509" i="3"/>
  <c r="Q249" i="4" s="1"/>
  <c r="P509" i="3"/>
  <c r="V249" i="4" s="1"/>
  <c r="Q509" i="3"/>
  <c r="AA249" i="4" s="1"/>
  <c r="R509" i="3"/>
  <c r="AF249" i="4" s="1"/>
  <c r="S509" i="3"/>
  <c r="AK249" i="4" s="1"/>
  <c r="T509" i="3"/>
  <c r="AP249" i="4" s="1"/>
  <c r="U509" i="3"/>
  <c r="AU249" i="4" s="1"/>
  <c r="V509" i="3"/>
  <c r="AZ249" i="4" s="1"/>
  <c r="M468" i="3"/>
  <c r="G207" i="4" s="1"/>
  <c r="N468" i="3"/>
  <c r="L207" i="4" s="1"/>
  <c r="O468" i="3"/>
  <c r="Q207" i="4" s="1"/>
  <c r="P468" i="3"/>
  <c r="V207" i="4" s="1"/>
  <c r="Q468" i="3"/>
  <c r="AA207" i="4" s="1"/>
  <c r="R468" i="3"/>
  <c r="AF207" i="4" s="1"/>
  <c r="S468" i="3"/>
  <c r="AK207" i="4" s="1"/>
  <c r="T468" i="3"/>
  <c r="AP207" i="4" s="1"/>
  <c r="U468" i="3"/>
  <c r="AU207" i="4" s="1"/>
  <c r="V468" i="3"/>
  <c r="AZ207" i="4" s="1"/>
  <c r="M503" i="3"/>
  <c r="G254" i="4" s="1"/>
  <c r="N503" i="3"/>
  <c r="L254" i="4" s="1"/>
  <c r="O503" i="3"/>
  <c r="Q254" i="4" s="1"/>
  <c r="P503" i="3"/>
  <c r="V254" i="4" s="1"/>
  <c r="Q503" i="3"/>
  <c r="AA254" i="4" s="1"/>
  <c r="R503" i="3"/>
  <c r="AF254" i="4" s="1"/>
  <c r="S503" i="3"/>
  <c r="AK254" i="4" s="1"/>
  <c r="T503" i="3"/>
  <c r="AP254" i="4" s="1"/>
  <c r="U503" i="3"/>
  <c r="AU254" i="4" s="1"/>
  <c r="V503" i="3"/>
  <c r="AZ254" i="4" s="1"/>
  <c r="M456" i="3"/>
  <c r="G201" i="4" s="1"/>
  <c r="N456" i="3"/>
  <c r="L201" i="4" s="1"/>
  <c r="O456" i="3"/>
  <c r="Q201" i="4" s="1"/>
  <c r="P456" i="3"/>
  <c r="V201" i="4" s="1"/>
  <c r="Q456" i="3"/>
  <c r="AA201" i="4" s="1"/>
  <c r="R456" i="3"/>
  <c r="AF201" i="4" s="1"/>
  <c r="S456" i="3"/>
  <c r="AK201" i="4" s="1"/>
  <c r="T456" i="3"/>
  <c r="AP201" i="4" s="1"/>
  <c r="U456" i="3"/>
  <c r="AU201" i="4" s="1"/>
  <c r="V456" i="3"/>
  <c r="AZ201" i="4" s="1"/>
  <c r="M507" i="3"/>
  <c r="G255" i="4" s="1"/>
  <c r="N507" i="3"/>
  <c r="L255" i="4" s="1"/>
  <c r="O507" i="3"/>
  <c r="Q255" i="4" s="1"/>
  <c r="P507" i="3"/>
  <c r="V255" i="4" s="1"/>
  <c r="Q507" i="3"/>
  <c r="AA255" i="4" s="1"/>
  <c r="R507" i="3"/>
  <c r="AF255" i="4" s="1"/>
  <c r="S507" i="3"/>
  <c r="AK255" i="4" s="1"/>
  <c r="T507" i="3"/>
  <c r="AP255" i="4" s="1"/>
  <c r="U507" i="3"/>
  <c r="AU255" i="4" s="1"/>
  <c r="V507" i="3"/>
  <c r="AZ255" i="4" s="1"/>
  <c r="M460" i="3"/>
  <c r="G203" i="4" s="1"/>
  <c r="N460" i="3"/>
  <c r="L203" i="4" s="1"/>
  <c r="O460" i="3"/>
  <c r="Q203" i="4" s="1"/>
  <c r="P460" i="3"/>
  <c r="V203" i="4" s="1"/>
  <c r="Q460" i="3"/>
  <c r="AA203" i="4" s="1"/>
  <c r="R460" i="3"/>
  <c r="AF203" i="4" s="1"/>
  <c r="S460" i="3"/>
  <c r="AK203" i="4" s="1"/>
  <c r="T460" i="3"/>
  <c r="AP203" i="4" s="1"/>
  <c r="U460" i="3"/>
  <c r="AU203" i="4" s="1"/>
  <c r="V460" i="3"/>
  <c r="AZ203" i="4" s="1"/>
  <c r="M511" i="3"/>
  <c r="G257" i="4" s="1"/>
  <c r="N511" i="3"/>
  <c r="L257" i="4" s="1"/>
  <c r="O511" i="3"/>
  <c r="Q257" i="4" s="1"/>
  <c r="P511" i="3"/>
  <c r="V257" i="4" s="1"/>
  <c r="Q511" i="3"/>
  <c r="AA257" i="4" s="1"/>
  <c r="R511" i="3"/>
  <c r="AF257" i="4" s="1"/>
  <c r="S511" i="3"/>
  <c r="AK257" i="4" s="1"/>
  <c r="T511" i="3"/>
  <c r="AP257" i="4" s="1"/>
  <c r="U511" i="3"/>
  <c r="AU257" i="4" s="1"/>
  <c r="V511" i="3"/>
  <c r="AZ257" i="4" s="1"/>
  <c r="M461" i="3"/>
  <c r="G204" i="4" s="1"/>
  <c r="N461" i="3"/>
  <c r="L204" i="4" s="1"/>
  <c r="O461" i="3"/>
  <c r="Q204" i="4" s="1"/>
  <c r="P461" i="3"/>
  <c r="V204" i="4" s="1"/>
  <c r="Q461" i="3"/>
  <c r="AA204" i="4" s="1"/>
  <c r="R461" i="3"/>
  <c r="AF204" i="4" s="1"/>
  <c r="S461" i="3"/>
  <c r="AK204" i="4" s="1"/>
  <c r="T461" i="3"/>
  <c r="AP204" i="4" s="1"/>
  <c r="U461" i="3"/>
  <c r="AU204" i="4" s="1"/>
  <c r="V461" i="3"/>
  <c r="AZ204" i="4" s="1"/>
  <c r="M512" i="3"/>
  <c r="G258" i="4" s="1"/>
  <c r="N512" i="3"/>
  <c r="L258" i="4" s="1"/>
  <c r="O512" i="3"/>
  <c r="Q258" i="4" s="1"/>
  <c r="P512" i="3"/>
  <c r="V258" i="4" s="1"/>
  <c r="Q512" i="3"/>
  <c r="AA258" i="4" s="1"/>
  <c r="R512" i="3"/>
  <c r="AF258" i="4" s="1"/>
  <c r="S512" i="3"/>
  <c r="AK258" i="4" s="1"/>
  <c r="T512" i="3"/>
  <c r="AP258" i="4" s="1"/>
  <c r="U512" i="3"/>
  <c r="AU258" i="4" s="1"/>
  <c r="V512" i="3"/>
  <c r="AZ258" i="4" s="1"/>
  <c r="M464" i="3"/>
  <c r="G205" i="4" s="1"/>
  <c r="N464" i="3"/>
  <c r="L205" i="4" s="1"/>
  <c r="O464" i="3"/>
  <c r="Q205" i="4" s="1"/>
  <c r="P464" i="3"/>
  <c r="V205" i="4" s="1"/>
  <c r="Q464" i="3"/>
  <c r="AA205" i="4" s="1"/>
  <c r="M515" i="3"/>
  <c r="G259" i="4" s="1"/>
  <c r="N515" i="3"/>
  <c r="L259" i="4" s="1"/>
  <c r="O515" i="3"/>
  <c r="Q259" i="4" s="1"/>
  <c r="P515" i="3"/>
  <c r="V259" i="4" s="1"/>
  <c r="Q515" i="3"/>
  <c r="AA259" i="4" s="1"/>
  <c r="R515" i="3"/>
  <c r="AF259" i="4" s="1"/>
  <c r="S515" i="3"/>
  <c r="AK259" i="4" s="1"/>
  <c r="T515" i="3"/>
  <c r="AP259" i="4" s="1"/>
  <c r="U515" i="3"/>
  <c r="AU259" i="4" s="1"/>
  <c r="V515" i="3"/>
  <c r="AZ259" i="4" s="1"/>
  <c r="M467" i="3"/>
  <c r="G206" i="4" s="1"/>
  <c r="N467" i="3"/>
  <c r="L206" i="4" s="1"/>
  <c r="O467" i="3"/>
  <c r="Q206" i="4" s="1"/>
  <c r="P467" i="3"/>
  <c r="V206" i="4" s="1"/>
  <c r="Q467" i="3"/>
  <c r="AA206" i="4" s="1"/>
  <c r="R467" i="3"/>
  <c r="AF206" i="4" s="1"/>
  <c r="S467" i="3"/>
  <c r="AK206" i="4" s="1"/>
  <c r="T467" i="3"/>
  <c r="AP206" i="4" s="1"/>
  <c r="U467" i="3"/>
  <c r="AU206" i="4" s="1"/>
  <c r="V467" i="3"/>
  <c r="AZ206" i="4" s="1"/>
  <c r="M518" i="3"/>
  <c r="G260" i="4" s="1"/>
  <c r="N518" i="3"/>
  <c r="L260" i="4" s="1"/>
  <c r="O518" i="3"/>
  <c r="Q260" i="4" s="1"/>
  <c r="P518" i="3"/>
  <c r="V260" i="4" s="1"/>
  <c r="Q518" i="3"/>
  <c r="AA260" i="4" s="1"/>
  <c r="R518" i="3"/>
  <c r="AF260" i="4" s="1"/>
  <c r="S518" i="3"/>
  <c r="AK260" i="4" s="1"/>
  <c r="T518" i="3"/>
  <c r="AP260" i="4" s="1"/>
  <c r="U518" i="3"/>
  <c r="AU260" i="4" s="1"/>
  <c r="V518" i="3"/>
  <c r="AZ260" i="4" s="1"/>
  <c r="M469" i="3"/>
  <c r="G208" i="4" s="1"/>
  <c r="N469" i="3"/>
  <c r="L208" i="4" s="1"/>
  <c r="O469" i="3"/>
  <c r="Q208" i="4" s="1"/>
  <c r="P469" i="3"/>
  <c r="V208" i="4" s="1"/>
  <c r="Q469" i="3"/>
  <c r="AA208" i="4" s="1"/>
  <c r="R469" i="3"/>
  <c r="AF208" i="4" s="1"/>
  <c r="S469" i="3"/>
  <c r="AK208" i="4" s="1"/>
  <c r="T469" i="3"/>
  <c r="AP208" i="4" s="1"/>
  <c r="U469" i="3"/>
  <c r="AU208" i="4" s="1"/>
  <c r="V469" i="3"/>
  <c r="AZ208" i="4" s="1"/>
  <c r="M520" i="3"/>
  <c r="G262" i="4" s="1"/>
  <c r="N520" i="3"/>
  <c r="L262" i="4" s="1"/>
  <c r="O520" i="3"/>
  <c r="Q262" i="4" s="1"/>
  <c r="P520" i="3"/>
  <c r="V262" i="4" s="1"/>
  <c r="Q520" i="3"/>
  <c r="AA262" i="4" s="1"/>
  <c r="R520" i="3"/>
  <c r="AF262" i="4" s="1"/>
  <c r="S520" i="3"/>
  <c r="AK262" i="4" s="1"/>
  <c r="T520" i="3"/>
  <c r="AP262" i="4" s="1"/>
  <c r="U520" i="3"/>
  <c r="AU262" i="4" s="1"/>
  <c r="V520" i="3"/>
  <c r="AZ262" i="4" s="1"/>
  <c r="M525" i="3"/>
  <c r="G263" i="4" s="1"/>
  <c r="N525" i="3"/>
  <c r="L263" i="4" s="1"/>
  <c r="O525" i="3"/>
  <c r="Q263" i="4" s="1"/>
  <c r="P525" i="3"/>
  <c r="V263" i="4" s="1"/>
  <c r="Q525" i="3"/>
  <c r="AA263" i="4" s="1"/>
  <c r="R525" i="3"/>
  <c r="AF263" i="4" s="1"/>
  <c r="S525" i="3"/>
  <c r="AK263" i="4" s="1"/>
  <c r="T525" i="3"/>
  <c r="AP263" i="4" s="1"/>
  <c r="U525" i="3"/>
  <c r="AU263" i="4" s="1"/>
  <c r="V525" i="3"/>
  <c r="AZ263" i="4" s="1"/>
  <c r="M502" i="3"/>
  <c r="G268" i="4" s="1"/>
  <c r="N502" i="3"/>
  <c r="L268" i="4" s="1"/>
  <c r="O502" i="3"/>
  <c r="Q268" i="4" s="1"/>
  <c r="P502" i="3"/>
  <c r="V268" i="4" s="1"/>
  <c r="Q502" i="3"/>
  <c r="AA268" i="4" s="1"/>
  <c r="R502" i="3"/>
  <c r="AF268" i="4" s="1"/>
  <c r="S502" i="3"/>
  <c r="AK268" i="4" s="1"/>
  <c r="T502" i="3"/>
  <c r="AP268" i="4" s="1"/>
  <c r="U502" i="3"/>
  <c r="AU268" i="4" s="1"/>
  <c r="V502" i="3"/>
  <c r="AZ268" i="4" s="1"/>
  <c r="M517" i="3"/>
  <c r="G269" i="4" s="1"/>
  <c r="N517" i="3"/>
  <c r="L269" i="4" s="1"/>
  <c r="O517" i="3"/>
  <c r="Q269" i="4" s="1"/>
  <c r="P517" i="3"/>
  <c r="V269" i="4" s="1"/>
  <c r="Q517" i="3"/>
  <c r="AA269" i="4" s="1"/>
  <c r="R517" i="3"/>
  <c r="AF269" i="4" s="1"/>
  <c r="S517" i="3"/>
  <c r="AK269" i="4" s="1"/>
  <c r="T517" i="3"/>
  <c r="AP269" i="4" s="1"/>
  <c r="U517" i="3"/>
  <c r="AU269" i="4" s="1"/>
  <c r="V517" i="3"/>
  <c r="AZ269" i="4" s="1"/>
  <c r="AR169" i="5"/>
  <c r="CI203" i="13"/>
  <c r="CR44" i="6"/>
  <c r="CJ45" i="14"/>
  <c r="CI45" i="14"/>
  <c r="AV94" i="47"/>
  <c r="AV97" i="47" s="1"/>
  <c r="AV51" i="47"/>
  <c r="AV50" i="47"/>
  <c r="AV38" i="47"/>
  <c r="AV28" i="47"/>
  <c r="AV31" i="47"/>
  <c r="AV150" i="13" s="1"/>
  <c r="AZ16" i="47"/>
  <c r="AZ15" i="47"/>
  <c r="AZ14" i="47"/>
  <c r="AZ13" i="47"/>
  <c r="AV11" i="47"/>
  <c r="AZ10" i="47"/>
  <c r="AV25" i="7"/>
  <c r="AV57" i="37"/>
  <c r="AV96" i="13"/>
  <c r="AV52" i="37"/>
  <c r="AV27" i="37"/>
  <c r="AV21" i="37"/>
  <c r="AV22" i="37" s="1"/>
  <c r="AV79" i="11"/>
  <c r="AW67" i="11" s="1"/>
  <c r="AV86" i="11"/>
  <c r="AZ86" i="11" s="1"/>
  <c r="BE87" i="11" s="1"/>
  <c r="AV34" i="11"/>
  <c r="AV32" i="11"/>
  <c r="AV113" i="10"/>
  <c r="AV112" i="10"/>
  <c r="AV21" i="10"/>
  <c r="AV14" i="10"/>
  <c r="AV19" i="10" s="1"/>
  <c r="AV11" i="12" s="1"/>
  <c r="AV159" i="12"/>
  <c r="AV170" i="12"/>
  <c r="AV49" i="12" s="1"/>
  <c r="AV48" i="12" s="1"/>
  <c r="AV181" i="12"/>
  <c r="AV144" i="13"/>
  <c r="AV168" i="13" s="1"/>
  <c r="AV153" i="13"/>
  <c r="AV177" i="13" s="1"/>
  <c r="AV147" i="13"/>
  <c r="AV171" i="13" s="1"/>
  <c r="CK204" i="13" s="1"/>
  <c r="AV148" i="13"/>
  <c r="AV172" i="13" s="1"/>
  <c r="AV156" i="13"/>
  <c r="AV180" i="13" s="1"/>
  <c r="AV158" i="13"/>
  <c r="AV36" i="37"/>
  <c r="AV101" i="14"/>
  <c r="AV89" i="27"/>
  <c r="AV90" i="27"/>
  <c r="AV76" i="27"/>
  <c r="AV33" i="27"/>
  <c r="AV34" i="27"/>
  <c r="AV35" i="27"/>
  <c r="AV36" i="27"/>
  <c r="AV37" i="27"/>
  <c r="AV38" i="27"/>
  <c r="AV42" i="27"/>
  <c r="AV43" i="27"/>
  <c r="AV44" i="27"/>
  <c r="AV66" i="27"/>
  <c r="AV67" i="27"/>
  <c r="AV58" i="27"/>
  <c r="AV15" i="14"/>
  <c r="AV25" i="14" s="1"/>
  <c r="AV86" i="6"/>
  <c r="AV103" i="6" s="1"/>
  <c r="AV120" i="6" s="1"/>
  <c r="AV71" i="6"/>
  <c r="AV88" i="6" s="1"/>
  <c r="AV70" i="6"/>
  <c r="AV69" i="6"/>
  <c r="AV68" i="6"/>
  <c r="AV85" i="6" s="1"/>
  <c r="AV102" i="6" s="1"/>
  <c r="AV119" i="6" s="1"/>
  <c r="AV67" i="6"/>
  <c r="AV64" i="6"/>
  <c r="AV63" i="6"/>
  <c r="BZ791" i="7"/>
  <c r="CA791" i="7"/>
  <c r="CB791" i="7"/>
  <c r="CC791" i="7"/>
  <c r="AU431" i="7"/>
  <c r="AU236" i="7"/>
  <c r="AL450" i="3"/>
  <c r="AL453" i="3"/>
  <c r="AL456" i="3"/>
  <c r="AL460" i="3"/>
  <c r="AL461" i="3"/>
  <c r="AL467" i="3"/>
  <c r="AL468" i="3"/>
  <c r="AL469" i="3"/>
  <c r="AL500" i="3"/>
  <c r="AL502" i="3"/>
  <c r="AL503" i="3"/>
  <c r="AL505" i="3"/>
  <c r="AL506" i="3"/>
  <c r="AL507" i="3"/>
  <c r="AL508" i="3"/>
  <c r="AL509" i="3"/>
  <c r="AL511" i="3"/>
  <c r="AL512" i="3"/>
  <c r="AL513" i="3"/>
  <c r="AL515" i="3"/>
  <c r="AL517" i="3"/>
  <c r="AL518" i="3"/>
  <c r="AL520" i="3"/>
  <c r="AL521" i="3"/>
  <c r="AL522" i="3"/>
  <c r="AL523" i="3"/>
  <c r="AL525" i="3"/>
  <c r="AK450" i="3"/>
  <c r="AK453" i="3"/>
  <c r="AK456" i="3"/>
  <c r="AK460" i="3"/>
  <c r="AK461" i="3"/>
  <c r="AK467" i="3"/>
  <c r="AK468" i="3"/>
  <c r="AK469" i="3"/>
  <c r="AK500" i="3"/>
  <c r="AK502" i="3"/>
  <c r="AK503" i="3"/>
  <c r="AK505" i="3"/>
  <c r="AK506" i="3"/>
  <c r="AK507" i="3"/>
  <c r="AK508" i="3"/>
  <c r="AK509" i="3"/>
  <c r="AK511" i="3"/>
  <c r="AK512" i="3"/>
  <c r="AK513" i="3"/>
  <c r="AK515" i="3"/>
  <c r="AK517" i="3"/>
  <c r="AK518" i="3"/>
  <c r="AK520" i="3"/>
  <c r="AK521" i="3"/>
  <c r="AK522" i="3"/>
  <c r="AK523" i="3"/>
  <c r="AK525" i="3"/>
  <c r="AJ450" i="3"/>
  <c r="AJ453" i="3"/>
  <c r="AJ456" i="3"/>
  <c r="AJ460" i="3"/>
  <c r="AJ461" i="3"/>
  <c r="AJ467" i="3"/>
  <c r="AJ468" i="3"/>
  <c r="AJ469" i="3"/>
  <c r="AJ500" i="3"/>
  <c r="AJ502" i="3"/>
  <c r="AJ503" i="3"/>
  <c r="AJ505" i="3"/>
  <c r="AJ506" i="3"/>
  <c r="AJ507" i="3"/>
  <c r="AJ508" i="3"/>
  <c r="AJ509" i="3"/>
  <c r="AJ511" i="3"/>
  <c r="AJ512" i="3"/>
  <c r="AJ513" i="3"/>
  <c r="AJ515" i="3"/>
  <c r="AJ517" i="3"/>
  <c r="AJ518" i="3"/>
  <c r="AJ520" i="3"/>
  <c r="AJ521" i="3"/>
  <c r="AJ522" i="3"/>
  <c r="AJ523" i="3"/>
  <c r="AJ525" i="3"/>
  <c r="AI450" i="3"/>
  <c r="AI453" i="3"/>
  <c r="AI456" i="3"/>
  <c r="AI460" i="3"/>
  <c r="AI461" i="3"/>
  <c r="AI467" i="3"/>
  <c r="AI468" i="3"/>
  <c r="AI469" i="3"/>
  <c r="AI500" i="3"/>
  <c r="AI502" i="3"/>
  <c r="AI503" i="3"/>
  <c r="AI505" i="3"/>
  <c r="AI506" i="3"/>
  <c r="AI507" i="3"/>
  <c r="AI508" i="3"/>
  <c r="AI509" i="3"/>
  <c r="AI511" i="3"/>
  <c r="AI512" i="3"/>
  <c r="AI513" i="3"/>
  <c r="AI515" i="3"/>
  <c r="AI517" i="3"/>
  <c r="AI518" i="3"/>
  <c r="AI520" i="3"/>
  <c r="AI521" i="3"/>
  <c r="AI522" i="3"/>
  <c r="AI523" i="3"/>
  <c r="AI525" i="3"/>
  <c r="B306" i="2"/>
  <c r="AM339" i="2"/>
  <c r="AM338" i="2"/>
  <c r="AM334" i="2"/>
  <c r="AM333" i="2"/>
  <c r="AM332" i="2"/>
  <c r="AM331" i="2"/>
  <c r="AM330" i="2"/>
  <c r="AM329" i="2"/>
  <c r="AM328" i="2"/>
  <c r="AM327" i="2"/>
  <c r="AM326" i="2"/>
  <c r="AM325" i="2"/>
  <c r="AM324" i="2"/>
  <c r="AM323" i="2"/>
  <c r="AM322" i="2"/>
  <c r="AM321" i="2"/>
  <c r="AM320" i="2"/>
  <c r="AM319" i="2"/>
  <c r="AM318" i="2"/>
  <c r="AM317" i="2"/>
  <c r="AM316" i="2"/>
  <c r="AM315" i="2"/>
  <c r="AM314" i="2"/>
  <c r="AM313" i="2"/>
  <c r="AM312" i="2"/>
  <c r="AM311" i="2"/>
  <c r="V475" i="2"/>
  <c r="AZ234" i="1" s="1"/>
  <c r="V466" i="2"/>
  <c r="AZ236" i="1" s="1"/>
  <c r="V476" i="2"/>
  <c r="AZ240" i="1" s="1"/>
  <c r="V459" i="2"/>
  <c r="AZ241" i="1" s="1"/>
  <c r="V404" i="2"/>
  <c r="AZ191" i="1" s="1"/>
  <c r="V407" i="2"/>
  <c r="AZ192" i="1" s="1"/>
  <c r="V458" i="2"/>
  <c r="AZ247" i="1" s="1"/>
  <c r="V461" i="2"/>
  <c r="AZ248" i="1" s="1"/>
  <c r="V474" i="2"/>
  <c r="AZ249" i="1" s="1"/>
  <c r="V340" i="2"/>
  <c r="V453" i="2"/>
  <c r="AZ255" i="1" s="1"/>
  <c r="V456" i="2"/>
  <c r="AZ261" i="1" s="1"/>
  <c r="V460" i="2"/>
  <c r="AZ262" i="1" s="1"/>
  <c r="V414" i="2"/>
  <c r="AZ210" i="1" s="1"/>
  <c r="V415" i="2"/>
  <c r="AZ211" i="1" s="1"/>
  <c r="V465" i="2"/>
  <c r="AZ265" i="1" s="1"/>
  <c r="V471" i="2"/>
  <c r="AZ267" i="1" s="1"/>
  <c r="V422" i="2"/>
  <c r="AZ214" i="1" s="1"/>
  <c r="V310" i="2"/>
  <c r="V311" i="2"/>
  <c r="V312" i="2"/>
  <c r="V313" i="2"/>
  <c r="V314" i="2"/>
  <c r="V315" i="2"/>
  <c r="V316" i="2"/>
  <c r="V317" i="2"/>
  <c r="V318" i="2"/>
  <c r="V319" i="2"/>
  <c r="V320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7" i="2"/>
  <c r="V338" i="2"/>
  <c r="V339" i="2"/>
  <c r="V473" i="2"/>
  <c r="AZ269" i="1" s="1"/>
  <c r="V478" i="2"/>
  <c r="V341" i="2"/>
  <c r="V455" i="2"/>
  <c r="AZ275" i="1" s="1"/>
  <c r="V470" i="2"/>
  <c r="AZ276" i="1" s="1"/>
  <c r="AU108" i="5"/>
  <c r="AU53" i="5"/>
  <c r="AU107" i="5"/>
  <c r="AU52" i="5"/>
  <c r="AU106" i="5"/>
  <c r="AU37" i="5"/>
  <c r="AU91" i="5"/>
  <c r="AU38" i="5"/>
  <c r="AU92" i="5"/>
  <c r="AU39" i="5"/>
  <c r="AU93" i="5"/>
  <c r="AU40" i="5"/>
  <c r="AU94" i="5"/>
  <c r="AU41" i="5"/>
  <c r="AU95" i="5"/>
  <c r="AU42" i="5"/>
  <c r="AU96" i="5"/>
  <c r="AU43" i="5"/>
  <c r="AU97" i="5"/>
  <c r="AU44" i="5"/>
  <c r="AU98" i="5"/>
  <c r="AU45" i="5"/>
  <c r="AU46" i="5"/>
  <c r="AU100" i="5"/>
  <c r="AU47" i="5"/>
  <c r="AU101" i="5"/>
  <c r="AU48" i="5"/>
  <c r="AU102" i="5"/>
  <c r="AU34" i="4"/>
  <c r="AU340" i="7" s="1"/>
  <c r="AU88" i="5"/>
  <c r="AU33" i="5"/>
  <c r="AU87" i="5"/>
  <c r="AU32" i="5"/>
  <c r="AU86" i="5"/>
  <c r="AU31" i="5"/>
  <c r="AU85" i="5"/>
  <c r="AU22" i="5"/>
  <c r="AU23" i="5"/>
  <c r="AU24" i="5"/>
  <c r="AU25" i="5"/>
  <c r="AU26" i="5"/>
  <c r="AU27" i="5"/>
  <c r="AU81" i="5"/>
  <c r="AU80" i="5"/>
  <c r="AU79" i="5"/>
  <c r="AU78" i="5"/>
  <c r="AU77" i="5"/>
  <c r="AU76" i="5"/>
  <c r="AU19" i="5"/>
  <c r="AU18" i="5"/>
  <c r="AU72" i="5"/>
  <c r="AU17" i="5"/>
  <c r="AU71" i="5"/>
  <c r="AU11" i="5"/>
  <c r="AU12" i="5"/>
  <c r="AU13" i="5"/>
  <c r="AU67" i="5"/>
  <c r="AU66" i="5"/>
  <c r="AU65" i="5"/>
  <c r="AU49" i="5"/>
  <c r="AP12" i="27"/>
  <c r="AQ12" i="27"/>
  <c r="AU12" i="27" s="1"/>
  <c r="AQ53" i="27"/>
  <c r="AQ74" i="14" s="1"/>
  <c r="AP33" i="27"/>
  <c r="AQ33" i="27"/>
  <c r="AR33" i="27"/>
  <c r="AS33" i="27"/>
  <c r="AT33" i="27"/>
  <c r="W51" i="27"/>
  <c r="X51" i="27"/>
  <c r="Y51" i="27"/>
  <c r="Z51" i="27"/>
  <c r="AB51" i="27"/>
  <c r="AC51" i="27"/>
  <c r="AD51" i="27"/>
  <c r="AE51" i="27"/>
  <c r="AG51" i="27"/>
  <c r="AH51" i="27"/>
  <c r="AI51" i="27"/>
  <c r="AI25" i="7" s="1"/>
  <c r="AJ51" i="27"/>
  <c r="AL51" i="27"/>
  <c r="AM51" i="27"/>
  <c r="AM22" i="7" s="1"/>
  <c r="AN51" i="27"/>
  <c r="AN22" i="7" s="1"/>
  <c r="AO51" i="27"/>
  <c r="AU51" i="27"/>
  <c r="AU108" i="10"/>
  <c r="AQ113" i="10"/>
  <c r="AR113" i="10"/>
  <c r="AS113" i="10"/>
  <c r="AT113" i="10"/>
  <c r="AQ112" i="10"/>
  <c r="AR112" i="10"/>
  <c r="AS112" i="10"/>
  <c r="AT112" i="10"/>
  <c r="AP108" i="10"/>
  <c r="AL113" i="10"/>
  <c r="AM113" i="10"/>
  <c r="AN113" i="10"/>
  <c r="AO113" i="10"/>
  <c r="AK108" i="10"/>
  <c r="AK22" i="14"/>
  <c r="AU86" i="10"/>
  <c r="AP86" i="10"/>
  <c r="AK86" i="10"/>
  <c r="BA127" i="10"/>
  <c r="BA128" i="10"/>
  <c r="BA129" i="10"/>
  <c r="BA130" i="10"/>
  <c r="BA131" i="10"/>
  <c r="BB132" i="10"/>
  <c r="BB127" i="10"/>
  <c r="BB128" i="10"/>
  <c r="BB129" i="10"/>
  <c r="BB130" i="10"/>
  <c r="BB131" i="10"/>
  <c r="BC127" i="10"/>
  <c r="BC119" i="10" s="1"/>
  <c r="BC128" i="10"/>
  <c r="BC120" i="10" s="1"/>
  <c r="BC129" i="10"/>
  <c r="BC121" i="10" s="1"/>
  <c r="BC130" i="10"/>
  <c r="BC122" i="10" s="1"/>
  <c r="BC131" i="10"/>
  <c r="BC123" i="10" s="1"/>
  <c r="BG132" i="10"/>
  <c r="BG127" i="10"/>
  <c r="BG128" i="10"/>
  <c r="BG129" i="10"/>
  <c r="BG130" i="10"/>
  <c r="BG131" i="10"/>
  <c r="BH127" i="10"/>
  <c r="BF127" i="10" s="1"/>
  <c r="BH128" i="10"/>
  <c r="BF128" i="10" s="1"/>
  <c r="BH129" i="10"/>
  <c r="BF129" i="10" s="1"/>
  <c r="BH130" i="10"/>
  <c r="BF130" i="10" s="1"/>
  <c r="BH131" i="10"/>
  <c r="BF131" i="10" s="1"/>
  <c r="BI127" i="10"/>
  <c r="BI128" i="10"/>
  <c r="BI129" i="10"/>
  <c r="BI130" i="10"/>
  <c r="BI131" i="10"/>
  <c r="BK127" i="10"/>
  <c r="BK128" i="10"/>
  <c r="BK129" i="10"/>
  <c r="BK130" i="10"/>
  <c r="BK131" i="10"/>
  <c r="BK132" i="10"/>
  <c r="BL127" i="10"/>
  <c r="BL128" i="10"/>
  <c r="BL129" i="10"/>
  <c r="BL130" i="10"/>
  <c r="BL131" i="10"/>
  <c r="BM127" i="10"/>
  <c r="BM128" i="10"/>
  <c r="BM129" i="10"/>
  <c r="BM130" i="10"/>
  <c r="BM131" i="10"/>
  <c r="BN127" i="10"/>
  <c r="BN128" i="10"/>
  <c r="BN129" i="10"/>
  <c r="BN130" i="10"/>
  <c r="BN131" i="10"/>
  <c r="BP127" i="10"/>
  <c r="BP128" i="10"/>
  <c r="BP129" i="10"/>
  <c r="BP130" i="10"/>
  <c r="BP131" i="10"/>
  <c r="BT132" i="10"/>
  <c r="BQ132" i="10" s="1"/>
  <c r="BQ127" i="10"/>
  <c r="BQ128" i="10"/>
  <c r="BQ129" i="10"/>
  <c r="BQ130" i="10"/>
  <c r="BQ131" i="10"/>
  <c r="BR127" i="10"/>
  <c r="BR128" i="10"/>
  <c r="BR129" i="10"/>
  <c r="BR130" i="10"/>
  <c r="BR131" i="10"/>
  <c r="BS127" i="10"/>
  <c r="BS128" i="10"/>
  <c r="BS129" i="10"/>
  <c r="BS130" i="10"/>
  <c r="BS131" i="10"/>
  <c r="BU127" i="10"/>
  <c r="BU128" i="10"/>
  <c r="BU129" i="10"/>
  <c r="BU130" i="10"/>
  <c r="BU131" i="10"/>
  <c r="BY132" i="10"/>
  <c r="BU132" i="10" s="1"/>
  <c r="BV127" i="10"/>
  <c r="BV128" i="10"/>
  <c r="BV129" i="10"/>
  <c r="BV130" i="10"/>
  <c r="BV131" i="10"/>
  <c r="BW127" i="10"/>
  <c r="BW128" i="10"/>
  <c r="BW129" i="10"/>
  <c r="BW130" i="10"/>
  <c r="BW131" i="10"/>
  <c r="BX127" i="10"/>
  <c r="BX128" i="10"/>
  <c r="BX129" i="10"/>
  <c r="BX130" i="10"/>
  <c r="BX131" i="10"/>
  <c r="BZ127" i="10"/>
  <c r="BZ128" i="10"/>
  <c r="BZ129" i="10"/>
  <c r="BZ130" i="10"/>
  <c r="BZ131" i="10"/>
  <c r="CD132" i="10"/>
  <c r="BZ132" i="10" s="1"/>
  <c r="CA127" i="10"/>
  <c r="CA128" i="10"/>
  <c r="CA129" i="10"/>
  <c r="CA130" i="10"/>
  <c r="CA131" i="10"/>
  <c r="CB127" i="10"/>
  <c r="CB128" i="10"/>
  <c r="CB129" i="10"/>
  <c r="CB130" i="10"/>
  <c r="CB131" i="10"/>
  <c r="CC127" i="10"/>
  <c r="CC128" i="10"/>
  <c r="CC129" i="10"/>
  <c r="CC130" i="10"/>
  <c r="CC131" i="10"/>
  <c r="M169" i="1"/>
  <c r="R169" i="1"/>
  <c r="W169" i="1"/>
  <c r="AB169" i="1"/>
  <c r="AK119" i="1"/>
  <c r="AK120" i="1"/>
  <c r="AK121" i="1"/>
  <c r="AP119" i="1"/>
  <c r="AP120" i="1"/>
  <c r="AP121" i="1"/>
  <c r="AU119" i="1"/>
  <c r="AU120" i="1"/>
  <c r="AU121" i="1"/>
  <c r="M170" i="1"/>
  <c r="R170" i="1"/>
  <c r="W170" i="1"/>
  <c r="AB170" i="1"/>
  <c r="AK125" i="1"/>
  <c r="AI170" i="1" s="1"/>
  <c r="AP125" i="1"/>
  <c r="AL170" i="1" s="1"/>
  <c r="AU125" i="1"/>
  <c r="AQ170" i="1" s="1"/>
  <c r="M172" i="1"/>
  <c r="R172" i="1"/>
  <c r="W172" i="1"/>
  <c r="AB172" i="1"/>
  <c r="AK126" i="1"/>
  <c r="AK130" i="1"/>
  <c r="AK131" i="1"/>
  <c r="AK133" i="1"/>
  <c r="AK134" i="1"/>
  <c r="AK135" i="1"/>
  <c r="AK139" i="1"/>
  <c r="AK140" i="1"/>
  <c r="AK141" i="1"/>
  <c r="AK146" i="1"/>
  <c r="AK147" i="1"/>
  <c r="AK149" i="1"/>
  <c r="AK150" i="1"/>
  <c r="AK152" i="1"/>
  <c r="AK153" i="1"/>
  <c r="AH171" i="1" s="1"/>
  <c r="AK154" i="1"/>
  <c r="AK155" i="1"/>
  <c r="AK48" i="1"/>
  <c r="AK160" i="1"/>
  <c r="AK161" i="1"/>
  <c r="AP126" i="1"/>
  <c r="AP130" i="1"/>
  <c r="AP131" i="1"/>
  <c r="AP133" i="1"/>
  <c r="AP134" i="1"/>
  <c r="AP135" i="1"/>
  <c r="AP139" i="1"/>
  <c r="AP140" i="1"/>
  <c r="AP141" i="1"/>
  <c r="AP146" i="1"/>
  <c r="AP147" i="1"/>
  <c r="AP149" i="1"/>
  <c r="AP150" i="1"/>
  <c r="AP151" i="1"/>
  <c r="AP152" i="1"/>
  <c r="AP153" i="1"/>
  <c r="AL171" i="1" s="1"/>
  <c r="AP154" i="1"/>
  <c r="AP155" i="1"/>
  <c r="AP156" i="1"/>
  <c r="AP160" i="1"/>
  <c r="AP161" i="1"/>
  <c r="AQ164" i="1"/>
  <c r="AQ153" i="1"/>
  <c r="AU126" i="1"/>
  <c r="AU130" i="1"/>
  <c r="AU131" i="1"/>
  <c r="AU133" i="1"/>
  <c r="AU134" i="1"/>
  <c r="AU135" i="1"/>
  <c r="AU139" i="1"/>
  <c r="AU140" i="1"/>
  <c r="AU141" i="1"/>
  <c r="AU146" i="1"/>
  <c r="AU147" i="1"/>
  <c r="AU149" i="1"/>
  <c r="AU150" i="1"/>
  <c r="AU151" i="1"/>
  <c r="AU152" i="1"/>
  <c r="AU99" i="1"/>
  <c r="AU763" i="7" s="1"/>
  <c r="AU154" i="1"/>
  <c r="AU155" i="1"/>
  <c r="AU156" i="1"/>
  <c r="AU160" i="1"/>
  <c r="AU161" i="1"/>
  <c r="AU28" i="1"/>
  <c r="AU289" i="7" s="1"/>
  <c r="M171" i="1"/>
  <c r="R171" i="1"/>
  <c r="W171" i="1"/>
  <c r="AB171" i="1"/>
  <c r="AU54" i="1"/>
  <c r="N169" i="1"/>
  <c r="S169" i="1"/>
  <c r="X169" i="1"/>
  <c r="AC169" i="1"/>
  <c r="N170" i="1"/>
  <c r="S170" i="1"/>
  <c r="X170" i="1"/>
  <c r="AC170" i="1"/>
  <c r="N172" i="1"/>
  <c r="S172" i="1"/>
  <c r="X172" i="1"/>
  <c r="AC172" i="1"/>
  <c r="AR164" i="1"/>
  <c r="AR165" i="1" s="1"/>
  <c r="N171" i="1"/>
  <c r="S171" i="1"/>
  <c r="X171" i="1"/>
  <c r="AC171" i="1"/>
  <c r="O169" i="1"/>
  <c r="T169" i="1"/>
  <c r="Y169" i="1"/>
  <c r="AD169" i="1"/>
  <c r="O170" i="1"/>
  <c r="T170" i="1"/>
  <c r="Y170" i="1"/>
  <c r="AD170" i="1"/>
  <c r="O172" i="1"/>
  <c r="T172" i="1"/>
  <c r="Y172" i="1"/>
  <c r="AD172" i="1"/>
  <c r="AS164" i="1"/>
  <c r="AS165" i="1" s="1"/>
  <c r="O171" i="1"/>
  <c r="T171" i="1"/>
  <c r="Y171" i="1"/>
  <c r="AD171" i="1"/>
  <c r="W522" i="3"/>
  <c r="BE227" i="4" s="1"/>
  <c r="W513" i="3"/>
  <c r="BE229" i="4" s="1"/>
  <c r="W475" i="2"/>
  <c r="BE234" i="1" s="1"/>
  <c r="W466" i="2"/>
  <c r="BE236" i="1" s="1"/>
  <c r="W523" i="3"/>
  <c r="BE233" i="4" s="1"/>
  <c r="W506" i="3"/>
  <c r="BE234" i="4" s="1"/>
  <c r="W476" i="2"/>
  <c r="BE240" i="1" s="1"/>
  <c r="W459" i="2"/>
  <c r="BE241" i="1" s="1"/>
  <c r="W450" i="3"/>
  <c r="BE184" i="4" s="1"/>
  <c r="W453" i="3"/>
  <c r="BE185" i="4" s="1"/>
  <c r="W505" i="3"/>
  <c r="BE240" i="4" s="1"/>
  <c r="W508" i="3"/>
  <c r="BE241" i="4" s="1"/>
  <c r="W521" i="3"/>
  <c r="BE242" i="4" s="1"/>
  <c r="W404" i="2"/>
  <c r="BE191" i="1" s="1"/>
  <c r="W407" i="2"/>
  <c r="BE192" i="1" s="1"/>
  <c r="W458" i="2"/>
  <c r="W461" i="2"/>
  <c r="BE248" i="1" s="1"/>
  <c r="W474" i="2"/>
  <c r="BE249" i="1" s="1"/>
  <c r="W340" i="2"/>
  <c r="W500" i="3"/>
  <c r="BE248" i="4" s="1"/>
  <c r="W509" i="3"/>
  <c r="BE249" i="4" s="1"/>
  <c r="W453" i="2"/>
  <c r="BE255" i="1" s="1"/>
  <c r="W503" i="3"/>
  <c r="BE254" i="4" s="1"/>
  <c r="W456" i="3"/>
  <c r="BE201" i="4" s="1"/>
  <c r="W507" i="3"/>
  <c r="BE255" i="4" s="1"/>
  <c r="W460" i="3"/>
  <c r="BE203" i="4" s="1"/>
  <c r="W511" i="3"/>
  <c r="BE257" i="4" s="1"/>
  <c r="W461" i="3"/>
  <c r="BE204" i="4" s="1"/>
  <c r="W512" i="3"/>
  <c r="BE258" i="4" s="1"/>
  <c r="W515" i="3"/>
  <c r="BE259" i="4" s="1"/>
  <c r="W467" i="3"/>
  <c r="BE206" i="4" s="1"/>
  <c r="W518" i="3"/>
  <c r="BE260" i="4" s="1"/>
  <c r="W468" i="3"/>
  <c r="BE207" i="4" s="1"/>
  <c r="W469" i="3"/>
  <c r="BE208" i="4" s="1"/>
  <c r="W520" i="3"/>
  <c r="BE262" i="4" s="1"/>
  <c r="W525" i="3"/>
  <c r="BE263" i="4" s="1"/>
  <c r="W456" i="2"/>
  <c r="BE261" i="1" s="1"/>
  <c r="W460" i="2"/>
  <c r="BE262" i="1" s="1"/>
  <c r="W414" i="2"/>
  <c r="BE210" i="1" s="1"/>
  <c r="W415" i="2"/>
  <c r="BE211" i="1" s="1"/>
  <c r="W465" i="2"/>
  <c r="BE265" i="1" s="1"/>
  <c r="W471" i="2"/>
  <c r="BE267" i="1" s="1"/>
  <c r="W422" i="2"/>
  <c r="BE214" i="1" s="1"/>
  <c r="W310" i="2"/>
  <c r="W311" i="2"/>
  <c r="W312" i="2"/>
  <c r="W313" i="2"/>
  <c r="W314" i="2"/>
  <c r="W315" i="2"/>
  <c r="W316" i="2"/>
  <c r="W317" i="2"/>
  <c r="W318" i="2"/>
  <c r="W319" i="2"/>
  <c r="W320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7" i="2"/>
  <c r="W338" i="2"/>
  <c r="W339" i="2"/>
  <c r="W473" i="2"/>
  <c r="BE269" i="1" s="1"/>
  <c r="W478" i="2"/>
  <c r="W341" i="2"/>
  <c r="W502" i="3"/>
  <c r="BE268" i="4" s="1"/>
  <c r="W517" i="3"/>
  <c r="BE269" i="4" s="1"/>
  <c r="W455" i="2"/>
  <c r="BE275" i="1" s="1"/>
  <c r="W470" i="2"/>
  <c r="BE276" i="1" s="1"/>
  <c r="X522" i="3"/>
  <c r="BJ227" i="4" s="1"/>
  <c r="X513" i="3"/>
  <c r="BJ229" i="4" s="1"/>
  <c r="X475" i="2"/>
  <c r="BJ234" i="1" s="1"/>
  <c r="X466" i="2"/>
  <c r="BJ236" i="1" s="1"/>
  <c r="X523" i="3"/>
  <c r="BJ233" i="4" s="1"/>
  <c r="X506" i="3"/>
  <c r="BJ234" i="4" s="1"/>
  <c r="X476" i="2"/>
  <c r="BJ240" i="1" s="1"/>
  <c r="X459" i="2"/>
  <c r="BJ241" i="1" s="1"/>
  <c r="X450" i="3"/>
  <c r="BJ184" i="4" s="1"/>
  <c r="X453" i="3"/>
  <c r="BJ185" i="4" s="1"/>
  <c r="X505" i="3"/>
  <c r="BJ240" i="4" s="1"/>
  <c r="X508" i="3"/>
  <c r="BJ241" i="4" s="1"/>
  <c r="X521" i="3"/>
  <c r="BJ242" i="4" s="1"/>
  <c r="X404" i="2"/>
  <c r="BJ191" i="1" s="1"/>
  <c r="X407" i="2"/>
  <c r="BJ192" i="1" s="1"/>
  <c r="X458" i="2"/>
  <c r="BJ247" i="1" s="1"/>
  <c r="X461" i="2"/>
  <c r="BJ248" i="1" s="1"/>
  <c r="X474" i="2"/>
  <c r="BJ249" i="1" s="1"/>
  <c r="X340" i="2"/>
  <c r="X500" i="3"/>
  <c r="BJ248" i="4" s="1"/>
  <c r="X509" i="3"/>
  <c r="BJ249" i="4" s="1"/>
  <c r="X453" i="2"/>
  <c r="BJ255" i="1" s="1"/>
  <c r="X503" i="3"/>
  <c r="BJ254" i="4" s="1"/>
  <c r="X456" i="3"/>
  <c r="BJ201" i="4" s="1"/>
  <c r="X507" i="3"/>
  <c r="BJ255" i="4" s="1"/>
  <c r="X460" i="3"/>
  <c r="BJ203" i="4" s="1"/>
  <c r="X511" i="3"/>
  <c r="BJ257" i="4" s="1"/>
  <c r="X461" i="3"/>
  <c r="BJ204" i="4" s="1"/>
  <c r="X512" i="3"/>
  <c r="BJ258" i="4" s="1"/>
  <c r="X515" i="3"/>
  <c r="BJ259" i="4" s="1"/>
  <c r="X467" i="3"/>
  <c r="BJ206" i="4" s="1"/>
  <c r="X518" i="3"/>
  <c r="BJ260" i="4" s="1"/>
  <c r="X468" i="3"/>
  <c r="BJ207" i="4" s="1"/>
  <c r="X469" i="3"/>
  <c r="BJ208" i="4" s="1"/>
  <c r="X520" i="3"/>
  <c r="BJ262" i="4" s="1"/>
  <c r="X525" i="3"/>
  <c r="BJ263" i="4" s="1"/>
  <c r="X456" i="2"/>
  <c r="BJ261" i="1" s="1"/>
  <c r="X460" i="2"/>
  <c r="BJ262" i="1" s="1"/>
  <c r="X414" i="2"/>
  <c r="BJ210" i="1" s="1"/>
  <c r="X415" i="2"/>
  <c r="BJ211" i="1" s="1"/>
  <c r="X465" i="2"/>
  <c r="BJ265" i="1" s="1"/>
  <c r="X471" i="2"/>
  <c r="BJ267" i="1" s="1"/>
  <c r="X422" i="2"/>
  <c r="BJ214" i="1" s="1"/>
  <c r="X310" i="2"/>
  <c r="X311" i="2"/>
  <c r="X312" i="2"/>
  <c r="X313" i="2"/>
  <c r="X314" i="2"/>
  <c r="X315" i="2"/>
  <c r="X316" i="2"/>
  <c r="X317" i="2"/>
  <c r="X318" i="2"/>
  <c r="X319" i="2"/>
  <c r="X320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7" i="2"/>
  <c r="X338" i="2"/>
  <c r="X339" i="2"/>
  <c r="X473" i="2"/>
  <c r="BJ269" i="1" s="1"/>
  <c r="X478" i="2"/>
  <c r="BJ270" i="1" s="1"/>
  <c r="X341" i="2"/>
  <c r="X502" i="3"/>
  <c r="BJ268" i="4" s="1"/>
  <c r="X517" i="3"/>
  <c r="BJ269" i="4" s="1"/>
  <c r="X455" i="2"/>
  <c r="BJ275" i="1" s="1"/>
  <c r="X470" i="2"/>
  <c r="BJ276" i="1" s="1"/>
  <c r="Y522" i="3"/>
  <c r="BO227" i="4" s="1"/>
  <c r="Y513" i="3"/>
  <c r="BO229" i="4" s="1"/>
  <c r="Y475" i="2"/>
  <c r="BO234" i="1" s="1"/>
  <c r="Y466" i="2"/>
  <c r="BO236" i="1" s="1"/>
  <c r="Y523" i="3"/>
  <c r="BO233" i="4" s="1"/>
  <c r="Y506" i="3"/>
  <c r="BO234" i="4" s="1"/>
  <c r="Y476" i="2"/>
  <c r="BO240" i="1" s="1"/>
  <c r="Y459" i="2"/>
  <c r="BO241" i="1" s="1"/>
  <c r="Y450" i="3"/>
  <c r="BO184" i="4" s="1"/>
  <c r="Y453" i="3"/>
  <c r="BO185" i="4" s="1"/>
  <c r="Y505" i="3"/>
  <c r="BO240" i="4" s="1"/>
  <c r="Y508" i="3"/>
  <c r="BO241" i="4" s="1"/>
  <c r="Y521" i="3"/>
  <c r="BO242" i="4" s="1"/>
  <c r="Y404" i="2"/>
  <c r="BO191" i="1" s="1"/>
  <c r="Y407" i="2"/>
  <c r="BO192" i="1" s="1"/>
  <c r="Y458" i="2"/>
  <c r="BO247" i="1" s="1"/>
  <c r="Y461" i="2"/>
  <c r="BO248" i="1" s="1"/>
  <c r="Y474" i="2"/>
  <c r="BO249" i="1" s="1"/>
  <c r="Y340" i="2"/>
  <c r="Y500" i="3"/>
  <c r="BO248" i="4" s="1"/>
  <c r="Y509" i="3"/>
  <c r="BO249" i="4" s="1"/>
  <c r="Y453" i="2"/>
  <c r="BO255" i="1" s="1"/>
  <c r="Y503" i="3"/>
  <c r="BO254" i="4" s="1"/>
  <c r="Y456" i="3"/>
  <c r="BO201" i="4" s="1"/>
  <c r="Y507" i="3"/>
  <c r="BO255" i="4" s="1"/>
  <c r="Y460" i="3"/>
  <c r="BO203" i="4" s="1"/>
  <c r="Y511" i="3"/>
  <c r="BO257" i="4" s="1"/>
  <c r="Y461" i="3"/>
  <c r="BO204" i="4" s="1"/>
  <c r="Y512" i="3"/>
  <c r="BO258" i="4" s="1"/>
  <c r="Y515" i="3"/>
  <c r="BO259" i="4" s="1"/>
  <c r="Y467" i="3"/>
  <c r="BO206" i="4" s="1"/>
  <c r="Y518" i="3"/>
  <c r="BO260" i="4" s="1"/>
  <c r="Y468" i="3"/>
  <c r="BO207" i="4" s="1"/>
  <c r="Y469" i="3"/>
  <c r="BO208" i="4" s="1"/>
  <c r="Y520" i="3"/>
  <c r="BO262" i="4" s="1"/>
  <c r="Y525" i="3"/>
  <c r="BO263" i="4" s="1"/>
  <c r="Y456" i="2"/>
  <c r="BO261" i="1" s="1"/>
  <c r="Y460" i="2"/>
  <c r="BO262" i="1" s="1"/>
  <c r="Y414" i="2"/>
  <c r="BO210" i="1" s="1"/>
  <c r="Y415" i="2"/>
  <c r="BO211" i="1" s="1"/>
  <c r="Y465" i="2"/>
  <c r="BO265" i="1" s="1"/>
  <c r="Y471" i="2"/>
  <c r="BO267" i="1" s="1"/>
  <c r="Y422" i="2"/>
  <c r="BO214" i="1" s="1"/>
  <c r="Y310" i="2"/>
  <c r="Y311" i="2"/>
  <c r="Y312" i="2"/>
  <c r="Y313" i="2"/>
  <c r="Y314" i="2"/>
  <c r="Y315" i="2"/>
  <c r="Y316" i="2"/>
  <c r="Y317" i="2"/>
  <c r="Y318" i="2"/>
  <c r="Y319" i="2"/>
  <c r="Y320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7" i="2"/>
  <c r="Y338" i="2"/>
  <c r="Y339" i="2"/>
  <c r="Y473" i="2"/>
  <c r="BO269" i="1" s="1"/>
  <c r="Y478" i="2"/>
  <c r="BO270" i="1" s="1"/>
  <c r="Y341" i="2"/>
  <c r="Y502" i="3"/>
  <c r="BO268" i="4" s="1"/>
  <c r="Y517" i="3"/>
  <c r="BO269" i="4" s="1"/>
  <c r="Y455" i="2"/>
  <c r="BO275" i="1" s="1"/>
  <c r="Y470" i="2"/>
  <c r="BO276" i="1" s="1"/>
  <c r="Z522" i="3"/>
  <c r="BT227" i="4" s="1"/>
  <c r="Z513" i="3"/>
  <c r="BT229" i="4" s="1"/>
  <c r="Z475" i="2"/>
  <c r="BT234" i="1" s="1"/>
  <c r="Z466" i="2"/>
  <c r="BT236" i="1" s="1"/>
  <c r="Z523" i="3"/>
  <c r="BT233" i="4" s="1"/>
  <c r="Z506" i="3"/>
  <c r="BT234" i="4" s="1"/>
  <c r="Z476" i="2"/>
  <c r="BT240" i="1" s="1"/>
  <c r="Z459" i="2"/>
  <c r="BT241" i="1" s="1"/>
  <c r="Z450" i="3"/>
  <c r="BT184" i="4" s="1"/>
  <c r="Z453" i="3"/>
  <c r="BT185" i="4" s="1"/>
  <c r="Z505" i="3"/>
  <c r="BT240" i="4" s="1"/>
  <c r="Z508" i="3"/>
  <c r="BT241" i="4" s="1"/>
  <c r="Z521" i="3"/>
  <c r="BT242" i="4" s="1"/>
  <c r="Z404" i="2"/>
  <c r="BT191" i="1" s="1"/>
  <c r="Z407" i="2"/>
  <c r="BT192" i="1" s="1"/>
  <c r="Z458" i="2"/>
  <c r="BT247" i="1" s="1"/>
  <c r="BT78" i="1" s="1"/>
  <c r="Z461" i="2"/>
  <c r="BT248" i="1" s="1"/>
  <c r="Z474" i="2"/>
  <c r="BT249" i="1" s="1"/>
  <c r="Z340" i="2"/>
  <c r="Z500" i="3"/>
  <c r="BT248" i="4" s="1"/>
  <c r="Z509" i="3"/>
  <c r="BT249" i="4" s="1"/>
  <c r="Z453" i="2"/>
  <c r="BT255" i="1" s="1"/>
  <c r="BP88" i="1"/>
  <c r="Z503" i="3"/>
  <c r="BT254" i="4" s="1"/>
  <c r="Z456" i="3"/>
  <c r="BT201" i="4" s="1"/>
  <c r="Z507" i="3"/>
  <c r="BT255" i="4" s="1"/>
  <c r="Z460" i="3"/>
  <c r="BT203" i="4" s="1"/>
  <c r="Z511" i="3"/>
  <c r="BT257" i="4" s="1"/>
  <c r="Z461" i="3"/>
  <c r="BT204" i="4" s="1"/>
  <c r="Z512" i="3"/>
  <c r="BT258" i="4" s="1"/>
  <c r="Z515" i="3"/>
  <c r="BT259" i="4" s="1"/>
  <c r="Z467" i="3"/>
  <c r="BT206" i="4" s="1"/>
  <c r="Z518" i="3"/>
  <c r="BT260" i="4" s="1"/>
  <c r="Z468" i="3"/>
  <c r="BT207" i="4" s="1"/>
  <c r="Z469" i="3"/>
  <c r="BT208" i="4" s="1"/>
  <c r="Z520" i="3"/>
  <c r="BT262" i="4" s="1"/>
  <c r="Z525" i="3"/>
  <c r="BT263" i="4" s="1"/>
  <c r="Z456" i="2"/>
  <c r="BT261" i="1" s="1"/>
  <c r="Z460" i="2"/>
  <c r="BT262" i="1" s="1"/>
  <c r="Z414" i="2"/>
  <c r="BT210" i="1" s="1"/>
  <c r="Z415" i="2"/>
  <c r="BT211" i="1" s="1"/>
  <c r="Z465" i="2"/>
  <c r="BT265" i="1" s="1"/>
  <c r="Z471" i="2"/>
  <c r="BT267" i="1" s="1"/>
  <c r="Z422" i="2"/>
  <c r="BT214" i="1" s="1"/>
  <c r="Z310" i="2"/>
  <c r="Z311" i="2"/>
  <c r="Z312" i="2"/>
  <c r="Z313" i="2"/>
  <c r="Z314" i="2"/>
  <c r="Z315" i="2"/>
  <c r="Z316" i="2"/>
  <c r="Z317" i="2"/>
  <c r="Z318" i="2"/>
  <c r="Z319" i="2"/>
  <c r="Z320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7" i="2"/>
  <c r="Z338" i="2"/>
  <c r="Z339" i="2"/>
  <c r="Z473" i="2"/>
  <c r="BT269" i="1" s="1"/>
  <c r="Z478" i="2"/>
  <c r="BT270" i="1" s="1"/>
  <c r="BT101" i="1" s="1"/>
  <c r="Z341" i="2"/>
  <c r="Z502" i="3"/>
  <c r="BT268" i="4" s="1"/>
  <c r="Z517" i="3"/>
  <c r="BT269" i="4" s="1"/>
  <c r="Z455" i="2"/>
  <c r="BT275" i="1" s="1"/>
  <c r="Z470" i="2"/>
  <c r="BT276" i="1" s="1"/>
  <c r="BQ88" i="1"/>
  <c r="BR88" i="1"/>
  <c r="BS88" i="1"/>
  <c r="AA522" i="3"/>
  <c r="BY227" i="4" s="1"/>
  <c r="AA513" i="3"/>
  <c r="BY229" i="4" s="1"/>
  <c r="AA475" i="2"/>
  <c r="BY234" i="1" s="1"/>
  <c r="AA466" i="2"/>
  <c r="BY236" i="1" s="1"/>
  <c r="AA523" i="3"/>
  <c r="BY233" i="4" s="1"/>
  <c r="AA506" i="3"/>
  <c r="BY234" i="4" s="1"/>
  <c r="AA476" i="2"/>
  <c r="BY240" i="1" s="1"/>
  <c r="AA459" i="2"/>
  <c r="BY241" i="1" s="1"/>
  <c r="AA450" i="3"/>
  <c r="BY184" i="4" s="1"/>
  <c r="AA453" i="3"/>
  <c r="BY185" i="4" s="1"/>
  <c r="AA505" i="3"/>
  <c r="BY240" i="4" s="1"/>
  <c r="AA508" i="3"/>
  <c r="BY241" i="4" s="1"/>
  <c r="AA521" i="3"/>
  <c r="BY242" i="4" s="1"/>
  <c r="AA404" i="2"/>
  <c r="BY191" i="1" s="1"/>
  <c r="AA407" i="2"/>
  <c r="BY192" i="1" s="1"/>
  <c r="AA458" i="2"/>
  <c r="BY247" i="1" s="1"/>
  <c r="BY78" i="1" s="1"/>
  <c r="AA461" i="2"/>
  <c r="BY248" i="1" s="1"/>
  <c r="AA474" i="2"/>
  <c r="BY249" i="1" s="1"/>
  <c r="AA340" i="2"/>
  <c r="AA500" i="3"/>
  <c r="BY248" i="4" s="1"/>
  <c r="AA509" i="3"/>
  <c r="BY249" i="4" s="1"/>
  <c r="AA453" i="2"/>
  <c r="BY255" i="1" s="1"/>
  <c r="BU88" i="1"/>
  <c r="AA503" i="3"/>
  <c r="BY254" i="4" s="1"/>
  <c r="AA456" i="3"/>
  <c r="BY201" i="4" s="1"/>
  <c r="AA507" i="3"/>
  <c r="BY255" i="4" s="1"/>
  <c r="AA460" i="3"/>
  <c r="BY203" i="4" s="1"/>
  <c r="AA511" i="3"/>
  <c r="BY257" i="4" s="1"/>
  <c r="AA461" i="3"/>
  <c r="BY204" i="4" s="1"/>
  <c r="AA512" i="3"/>
  <c r="BY258" i="4" s="1"/>
  <c r="AA515" i="3"/>
  <c r="BY259" i="4" s="1"/>
  <c r="AA467" i="3"/>
  <c r="BY206" i="4" s="1"/>
  <c r="AA518" i="3"/>
  <c r="BY260" i="4" s="1"/>
  <c r="AA468" i="3"/>
  <c r="BY207" i="4" s="1"/>
  <c r="AA469" i="3"/>
  <c r="BY208" i="4" s="1"/>
  <c r="AA520" i="3"/>
  <c r="BY262" i="4" s="1"/>
  <c r="AA525" i="3"/>
  <c r="BY263" i="4" s="1"/>
  <c r="AA456" i="2"/>
  <c r="BY261" i="1" s="1"/>
  <c r="AA460" i="2"/>
  <c r="BY262" i="1" s="1"/>
  <c r="AA414" i="2"/>
  <c r="BY210" i="1" s="1"/>
  <c r="AA415" i="2"/>
  <c r="BY211" i="1" s="1"/>
  <c r="AA465" i="2"/>
  <c r="BY265" i="1" s="1"/>
  <c r="AA471" i="2"/>
  <c r="BY267" i="1" s="1"/>
  <c r="AA422" i="2"/>
  <c r="BY214" i="1" s="1"/>
  <c r="AA310" i="2"/>
  <c r="AA311" i="2"/>
  <c r="AA312" i="2"/>
  <c r="AA313" i="2"/>
  <c r="AA314" i="2"/>
  <c r="AA315" i="2"/>
  <c r="AA316" i="2"/>
  <c r="AA317" i="2"/>
  <c r="AA318" i="2"/>
  <c r="AA319" i="2"/>
  <c r="AA320" i="2"/>
  <c r="AA322" i="2"/>
  <c r="AA323" i="2"/>
  <c r="AA324" i="2"/>
  <c r="AA325" i="2"/>
  <c r="AA326" i="2"/>
  <c r="AA327" i="2"/>
  <c r="AA328" i="2"/>
  <c r="AA329" i="2"/>
  <c r="AA330" i="2"/>
  <c r="AA331" i="2"/>
  <c r="AA332" i="2"/>
  <c r="AA333" i="2"/>
  <c r="AA334" i="2"/>
  <c r="AA337" i="2"/>
  <c r="AA338" i="2"/>
  <c r="AA339" i="2"/>
  <c r="AA473" i="2"/>
  <c r="BY269" i="1" s="1"/>
  <c r="AA478" i="2"/>
  <c r="BY270" i="1" s="1"/>
  <c r="BY101" i="1" s="1"/>
  <c r="AA341" i="2"/>
  <c r="AA502" i="3"/>
  <c r="BY268" i="4" s="1"/>
  <c r="AA517" i="3"/>
  <c r="BY269" i="4" s="1"/>
  <c r="AA455" i="2"/>
  <c r="BY275" i="1" s="1"/>
  <c r="AA470" i="2"/>
  <c r="BY276" i="1" s="1"/>
  <c r="BV88" i="1"/>
  <c r="BW88" i="1"/>
  <c r="BX88" i="1"/>
  <c r="AB522" i="3"/>
  <c r="CD227" i="4" s="1"/>
  <c r="AB513" i="3"/>
  <c r="CD229" i="4" s="1"/>
  <c r="AB475" i="2"/>
  <c r="CD234" i="1" s="1"/>
  <c r="AB466" i="2"/>
  <c r="CD236" i="1" s="1"/>
  <c r="AB523" i="3"/>
  <c r="CD233" i="4" s="1"/>
  <c r="AB506" i="3"/>
  <c r="CD234" i="4" s="1"/>
  <c r="AB476" i="2"/>
  <c r="CD240" i="1" s="1"/>
  <c r="AB459" i="2"/>
  <c r="CD241" i="1" s="1"/>
  <c r="AB450" i="3"/>
  <c r="CD184" i="4" s="1"/>
  <c r="AB453" i="3"/>
  <c r="CD185" i="4" s="1"/>
  <c r="AB505" i="3"/>
  <c r="CD240" i="4" s="1"/>
  <c r="AB508" i="3"/>
  <c r="CD241" i="4" s="1"/>
  <c r="AB521" i="3"/>
  <c r="CD242" i="4" s="1"/>
  <c r="AB404" i="2"/>
  <c r="CD191" i="1" s="1"/>
  <c r="AB407" i="2"/>
  <c r="CD192" i="1" s="1"/>
  <c r="AB458" i="2"/>
  <c r="CD247" i="1" s="1"/>
  <c r="CD78" i="1" s="1"/>
  <c r="AB461" i="2"/>
  <c r="CD248" i="1" s="1"/>
  <c r="AB474" i="2"/>
  <c r="CD249" i="1" s="1"/>
  <c r="AB340" i="2"/>
  <c r="AB500" i="3"/>
  <c r="CD248" i="4" s="1"/>
  <c r="AB509" i="3"/>
  <c r="CD249" i="4" s="1"/>
  <c r="AB453" i="2"/>
  <c r="CD255" i="1" s="1"/>
  <c r="BZ88" i="1"/>
  <c r="AB503" i="3"/>
  <c r="CD254" i="4" s="1"/>
  <c r="AB456" i="3"/>
  <c r="CD201" i="4" s="1"/>
  <c r="AB507" i="3"/>
  <c r="CD255" i="4" s="1"/>
  <c r="AB460" i="3"/>
  <c r="CD203" i="4" s="1"/>
  <c r="AB511" i="3"/>
  <c r="CD257" i="4" s="1"/>
  <c r="AB461" i="3"/>
  <c r="CD204" i="4" s="1"/>
  <c r="AB512" i="3"/>
  <c r="CD258" i="4" s="1"/>
  <c r="AB515" i="3"/>
  <c r="CD259" i="4" s="1"/>
  <c r="AB467" i="3"/>
  <c r="CD206" i="4" s="1"/>
  <c r="AB518" i="3"/>
  <c r="CD260" i="4" s="1"/>
  <c r="AB468" i="3"/>
  <c r="CD207" i="4" s="1"/>
  <c r="AB469" i="3"/>
  <c r="CD208" i="4" s="1"/>
  <c r="AB520" i="3"/>
  <c r="CD262" i="4" s="1"/>
  <c r="AB525" i="3"/>
  <c r="CD263" i="4" s="1"/>
  <c r="AB456" i="2"/>
  <c r="CD261" i="1" s="1"/>
  <c r="AB460" i="2"/>
  <c r="CD262" i="1" s="1"/>
  <c r="AB414" i="2"/>
  <c r="CD210" i="1" s="1"/>
  <c r="AB415" i="2"/>
  <c r="CD211" i="1" s="1"/>
  <c r="AB465" i="2"/>
  <c r="CD265" i="1" s="1"/>
  <c r="AB471" i="2"/>
  <c r="CD267" i="1" s="1"/>
  <c r="AB422" i="2"/>
  <c r="CD214" i="1" s="1"/>
  <c r="AB310" i="2"/>
  <c r="AB311" i="2"/>
  <c r="AB312" i="2"/>
  <c r="AB313" i="2"/>
  <c r="AB314" i="2"/>
  <c r="AB315" i="2"/>
  <c r="AB316" i="2"/>
  <c r="AB317" i="2"/>
  <c r="AB318" i="2"/>
  <c r="AB319" i="2"/>
  <c r="AB320" i="2"/>
  <c r="AB322" i="2"/>
  <c r="AB323" i="2"/>
  <c r="AB324" i="2"/>
  <c r="AB325" i="2"/>
  <c r="AB326" i="2"/>
  <c r="AB327" i="2"/>
  <c r="AB328" i="2"/>
  <c r="AB329" i="2"/>
  <c r="AB330" i="2"/>
  <c r="AB331" i="2"/>
  <c r="AB332" i="2"/>
  <c r="AB333" i="2"/>
  <c r="AB334" i="2"/>
  <c r="AB337" i="2"/>
  <c r="AB338" i="2"/>
  <c r="AB339" i="2"/>
  <c r="AB473" i="2"/>
  <c r="CD269" i="1" s="1"/>
  <c r="AB478" i="2"/>
  <c r="CD270" i="1" s="1"/>
  <c r="CD101" i="1" s="1"/>
  <c r="AB341" i="2"/>
  <c r="AB502" i="3"/>
  <c r="CD268" i="4" s="1"/>
  <c r="AB517" i="3"/>
  <c r="CD269" i="4" s="1"/>
  <c r="AB455" i="2"/>
  <c r="CD275" i="1" s="1"/>
  <c r="AB470" i="2"/>
  <c r="CD276" i="1" s="1"/>
  <c r="CA88" i="1"/>
  <c r="CB88" i="1"/>
  <c r="CC88" i="1"/>
  <c r="AU14" i="1"/>
  <c r="AU146" i="7" s="1"/>
  <c r="AU34" i="1"/>
  <c r="AU341" i="7" s="1"/>
  <c r="AP34" i="4"/>
  <c r="AP340" i="7" s="1"/>
  <c r="AP34" i="1"/>
  <c r="AP341" i="7" s="1"/>
  <c r="AP14" i="4"/>
  <c r="AP145" i="7" s="1"/>
  <c r="AP14" i="1"/>
  <c r="AP146" i="7" s="1"/>
  <c r="AP19" i="1"/>
  <c r="AP19" i="5" s="1"/>
  <c r="AP28" i="1"/>
  <c r="AP289" i="7" s="1"/>
  <c r="AP49" i="4"/>
  <c r="AP49" i="1"/>
  <c r="AP431" i="7" s="1"/>
  <c r="AP54" i="4"/>
  <c r="AP482" i="7" s="1"/>
  <c r="AP54" i="1"/>
  <c r="AP483" i="7" s="1"/>
  <c r="C12" i="4"/>
  <c r="C14" i="4" s="1"/>
  <c r="C145" i="7" s="1"/>
  <c r="C19" i="4"/>
  <c r="C28" i="4"/>
  <c r="C34" i="4"/>
  <c r="C340" i="7" s="1"/>
  <c r="C49" i="4"/>
  <c r="C430" i="7" s="1"/>
  <c r="C54" i="4"/>
  <c r="D12" i="4"/>
  <c r="D14" i="4" s="1"/>
  <c r="D145" i="7" s="1"/>
  <c r="D19" i="4"/>
  <c r="D28" i="4"/>
  <c r="D34" i="4"/>
  <c r="D49" i="4"/>
  <c r="D430" i="7" s="1"/>
  <c r="D54" i="4"/>
  <c r="D482" i="7" s="1"/>
  <c r="E12" i="4"/>
  <c r="E19" i="4"/>
  <c r="E28" i="4"/>
  <c r="E32" i="4"/>
  <c r="E49" i="4"/>
  <c r="E54" i="4"/>
  <c r="F11" i="4"/>
  <c r="F119" i="4" s="1"/>
  <c r="F12" i="4"/>
  <c r="F120" i="4" s="1"/>
  <c r="F19" i="4"/>
  <c r="F235" i="7" s="1"/>
  <c r="F28" i="4"/>
  <c r="F32" i="4"/>
  <c r="F34" i="4" s="1"/>
  <c r="F340" i="7" s="1"/>
  <c r="F49" i="4"/>
  <c r="F430" i="7" s="1"/>
  <c r="F54" i="4"/>
  <c r="G11" i="4"/>
  <c r="G119" i="4" s="1"/>
  <c r="G12" i="4"/>
  <c r="G120" i="4" s="1"/>
  <c r="G19" i="4"/>
  <c r="G235" i="7" s="1"/>
  <c r="G28" i="4"/>
  <c r="G288" i="7" s="1"/>
  <c r="G32" i="4"/>
  <c r="G34" i="4" s="1"/>
  <c r="G49" i="4"/>
  <c r="G54" i="4"/>
  <c r="G482" i="7" s="1"/>
  <c r="L14" i="4"/>
  <c r="L145" i="7" s="1"/>
  <c r="L19" i="4"/>
  <c r="L28" i="4"/>
  <c r="L34" i="4"/>
  <c r="L340" i="7" s="1"/>
  <c r="L49" i="4"/>
  <c r="L430" i="7" s="1"/>
  <c r="L54" i="4"/>
  <c r="Q14" i="4"/>
  <c r="Q19" i="4"/>
  <c r="Q28" i="4"/>
  <c r="Q288" i="7" s="1"/>
  <c r="Q34" i="4"/>
  <c r="Q49" i="4"/>
  <c r="Q54" i="4"/>
  <c r="Q482" i="7" s="1"/>
  <c r="V14" i="4"/>
  <c r="V19" i="4"/>
  <c r="V28" i="4"/>
  <c r="V34" i="4"/>
  <c r="V340" i="7" s="1"/>
  <c r="V49" i="4"/>
  <c r="V430" i="7" s="1"/>
  <c r="V54" i="4"/>
  <c r="AA14" i="4"/>
  <c r="AA145" i="7" s="1"/>
  <c r="AA19" i="4"/>
  <c r="AA235" i="7" s="1"/>
  <c r="AA28" i="4"/>
  <c r="AA288" i="7" s="1"/>
  <c r="AA34" i="4"/>
  <c r="AA340" i="7" s="1"/>
  <c r="AA49" i="4"/>
  <c r="AA430" i="7" s="1"/>
  <c r="AA54" i="4"/>
  <c r="AA482" i="7" s="1"/>
  <c r="AF14" i="4"/>
  <c r="AF19" i="4"/>
  <c r="AF235" i="7" s="1"/>
  <c r="AF28" i="4"/>
  <c r="AF288" i="7" s="1"/>
  <c r="AF34" i="4"/>
  <c r="AF340" i="7" s="1"/>
  <c r="AF49" i="4"/>
  <c r="AF430" i="7" s="1"/>
  <c r="AF54" i="4"/>
  <c r="AF482" i="7" s="1"/>
  <c r="AK14" i="4"/>
  <c r="AK49" i="4"/>
  <c r="AK54" i="4"/>
  <c r="C13" i="1"/>
  <c r="C14" i="1" s="1"/>
  <c r="C146" i="7" s="1"/>
  <c r="C19" i="1"/>
  <c r="C25" i="1"/>
  <c r="C26" i="1"/>
  <c r="C31" i="1"/>
  <c r="C139" i="1" s="1"/>
  <c r="C33" i="1"/>
  <c r="C44" i="1"/>
  <c r="C152" i="1" s="1"/>
  <c r="C46" i="1"/>
  <c r="C46" i="5" s="1"/>
  <c r="C47" i="1"/>
  <c r="C47" i="5" s="1"/>
  <c r="C54" i="1"/>
  <c r="D13" i="1"/>
  <c r="D19" i="1"/>
  <c r="D236" i="7" s="1"/>
  <c r="D25" i="1"/>
  <c r="D26" i="1"/>
  <c r="D31" i="1"/>
  <c r="D33" i="1"/>
  <c r="D44" i="1"/>
  <c r="D152" i="1" s="1"/>
  <c r="D46" i="1"/>
  <c r="D47" i="1"/>
  <c r="D47" i="5" s="1"/>
  <c r="D54" i="1"/>
  <c r="E13" i="1"/>
  <c r="E14" i="1" s="1"/>
  <c r="E146" i="7" s="1"/>
  <c r="E19" i="1"/>
  <c r="E26" i="1"/>
  <c r="E33" i="1"/>
  <c r="E33" i="5" s="1"/>
  <c r="E46" i="1"/>
  <c r="E46" i="5" s="1"/>
  <c r="E47" i="1"/>
  <c r="E54" i="1"/>
  <c r="E483" i="7" s="1"/>
  <c r="F13" i="1"/>
  <c r="F19" i="1"/>
  <c r="F26" i="1"/>
  <c r="F134" i="1" s="1"/>
  <c r="F33" i="1"/>
  <c r="F33" i="5" s="1"/>
  <c r="F46" i="1"/>
  <c r="F154" i="1" s="1"/>
  <c r="F47" i="1"/>
  <c r="F47" i="5" s="1"/>
  <c r="F54" i="1"/>
  <c r="G13" i="1"/>
  <c r="G14" i="1" s="1"/>
  <c r="G146" i="7" s="1"/>
  <c r="G19" i="1"/>
  <c r="G26" i="1"/>
  <c r="G26" i="5" s="1"/>
  <c r="G33" i="1"/>
  <c r="G141" i="1" s="1"/>
  <c r="G46" i="1"/>
  <c r="G47" i="1"/>
  <c r="G54" i="1"/>
  <c r="L14" i="1"/>
  <c r="L146" i="7" s="1"/>
  <c r="L19" i="1"/>
  <c r="L236" i="7" s="1"/>
  <c r="L28" i="1"/>
  <c r="L289" i="7" s="1"/>
  <c r="L34" i="1"/>
  <c r="L49" i="1"/>
  <c r="L431" i="7" s="1"/>
  <c r="L54" i="1"/>
  <c r="Q14" i="1"/>
  <c r="Q146" i="7" s="1"/>
  <c r="Q19" i="1"/>
  <c r="Q28" i="1"/>
  <c r="Q289" i="7" s="1"/>
  <c r="Q34" i="1"/>
  <c r="Q49" i="1"/>
  <c r="Q431" i="7" s="1"/>
  <c r="Q54" i="1"/>
  <c r="V14" i="1"/>
  <c r="V19" i="1"/>
  <c r="V236" i="7" s="1"/>
  <c r="V28" i="1"/>
  <c r="V289" i="7" s="1"/>
  <c r="V34" i="1"/>
  <c r="V49" i="1"/>
  <c r="V431" i="7" s="1"/>
  <c r="V54" i="1"/>
  <c r="V483" i="7" s="1"/>
  <c r="AA14" i="1"/>
  <c r="AA146" i="7" s="1"/>
  <c r="AA19" i="1"/>
  <c r="AA236" i="7" s="1"/>
  <c r="AA28" i="1"/>
  <c r="AA34" i="1"/>
  <c r="AA341" i="7" s="1"/>
  <c r="AA49" i="1"/>
  <c r="AA431" i="7" s="1"/>
  <c r="AA54" i="1"/>
  <c r="AA483" i="7" s="1"/>
  <c r="AF14" i="1"/>
  <c r="AF19" i="1"/>
  <c r="AF236" i="7" s="1"/>
  <c r="AF28" i="1"/>
  <c r="AF289" i="7" s="1"/>
  <c r="AF34" i="1"/>
  <c r="AF341" i="7" s="1"/>
  <c r="AF49" i="1"/>
  <c r="AF431" i="7" s="1"/>
  <c r="AF54" i="1"/>
  <c r="AF483" i="7" s="1"/>
  <c r="AK14" i="1"/>
  <c r="AK146" i="7" s="1"/>
  <c r="AK19" i="1"/>
  <c r="AK19" i="5" s="1"/>
  <c r="AK28" i="1"/>
  <c r="AK34" i="1"/>
  <c r="AK54" i="1"/>
  <c r="AK483" i="7" s="1"/>
  <c r="AK26" i="6"/>
  <c r="AK57" i="7" s="1"/>
  <c r="AP26" i="6"/>
  <c r="AP57" i="7" s="1"/>
  <c r="AU26" i="6"/>
  <c r="AU57" i="7" s="1"/>
  <c r="AK33" i="6"/>
  <c r="AK58" i="7" s="1"/>
  <c r="AP33" i="6"/>
  <c r="AU33" i="6"/>
  <c r="AU58" i="7" s="1"/>
  <c r="C86" i="10"/>
  <c r="C87" i="10"/>
  <c r="C48" i="9"/>
  <c r="C91" i="9"/>
  <c r="C49" i="9"/>
  <c r="C92" i="9"/>
  <c r="C51" i="9"/>
  <c r="C94" i="9"/>
  <c r="D86" i="10"/>
  <c r="D87" i="10"/>
  <c r="D48" i="9"/>
  <c r="D91" i="9"/>
  <c r="D49" i="9"/>
  <c r="D92" i="9"/>
  <c r="D51" i="9"/>
  <c r="D94" i="9"/>
  <c r="D88" i="10"/>
  <c r="D55" i="9"/>
  <c r="D98" i="9"/>
  <c r="C55" i="9"/>
  <c r="C98" i="9"/>
  <c r="D52" i="9"/>
  <c r="D95" i="9"/>
  <c r="D50" i="9"/>
  <c r="D93" i="9"/>
  <c r="D53" i="9"/>
  <c r="D96" i="9"/>
  <c r="C47" i="9"/>
  <c r="C50" i="9"/>
  <c r="C52" i="9"/>
  <c r="C53" i="9"/>
  <c r="C90" i="9"/>
  <c r="C93" i="9"/>
  <c r="C95" i="9"/>
  <c r="C96" i="9"/>
  <c r="E86" i="10"/>
  <c r="E87" i="10"/>
  <c r="E48" i="9"/>
  <c r="E91" i="9"/>
  <c r="E49" i="9"/>
  <c r="E92" i="9"/>
  <c r="E51" i="9"/>
  <c r="E94" i="9"/>
  <c r="E88" i="10"/>
  <c r="E55" i="9"/>
  <c r="E98" i="9"/>
  <c r="E52" i="9"/>
  <c r="E95" i="9"/>
  <c r="E50" i="9"/>
  <c r="E93" i="9"/>
  <c r="E53" i="9"/>
  <c r="E96" i="9"/>
  <c r="F86" i="10"/>
  <c r="F87" i="10"/>
  <c r="F48" i="9"/>
  <c r="F91" i="9"/>
  <c r="F49" i="9"/>
  <c r="F92" i="9"/>
  <c r="F51" i="9"/>
  <c r="F94" i="9"/>
  <c r="F88" i="10"/>
  <c r="F55" i="9"/>
  <c r="F98" i="9"/>
  <c r="F52" i="9"/>
  <c r="F95" i="9"/>
  <c r="F50" i="9"/>
  <c r="F93" i="9"/>
  <c r="F53" i="9"/>
  <c r="F96" i="9"/>
  <c r="G86" i="10"/>
  <c r="G87" i="10"/>
  <c r="G48" i="9"/>
  <c r="G91" i="9"/>
  <c r="G49" i="9"/>
  <c r="G92" i="9"/>
  <c r="G51" i="9"/>
  <c r="G94" i="9"/>
  <c r="G88" i="10"/>
  <c r="G55" i="9"/>
  <c r="G98" i="9"/>
  <c r="G52" i="9"/>
  <c r="G95" i="9"/>
  <c r="G50" i="9"/>
  <c r="G93" i="9"/>
  <c r="G53" i="9"/>
  <c r="G96" i="9"/>
  <c r="L86" i="10"/>
  <c r="L87" i="10"/>
  <c r="L48" i="9"/>
  <c r="L91" i="9"/>
  <c r="L49" i="9"/>
  <c r="L92" i="9"/>
  <c r="L51" i="9"/>
  <c r="L94" i="9"/>
  <c r="L88" i="10"/>
  <c r="CH82" i="10" s="1"/>
  <c r="L55" i="9"/>
  <c r="L98" i="9"/>
  <c r="L52" i="9"/>
  <c r="L95" i="9"/>
  <c r="L50" i="9"/>
  <c r="L93" i="9"/>
  <c r="L53" i="9"/>
  <c r="L96" i="9"/>
  <c r="Q86" i="10"/>
  <c r="Q87" i="10"/>
  <c r="Q48" i="9"/>
  <c r="Q91" i="9"/>
  <c r="Q49" i="9"/>
  <c r="Q92" i="9"/>
  <c r="Q51" i="9"/>
  <c r="Q94" i="9"/>
  <c r="Q88" i="10"/>
  <c r="Q55" i="9"/>
  <c r="Q98" i="9"/>
  <c r="Q52" i="9"/>
  <c r="Q95" i="9"/>
  <c r="Q50" i="9"/>
  <c r="Q93" i="9"/>
  <c r="Q53" i="9"/>
  <c r="Q96" i="9"/>
  <c r="V86" i="10"/>
  <c r="V87" i="10"/>
  <c r="V48" i="9"/>
  <c r="V91" i="9"/>
  <c r="V49" i="9"/>
  <c r="V92" i="9"/>
  <c r="V51" i="9"/>
  <c r="V94" i="9"/>
  <c r="V88" i="10"/>
  <c r="V102" i="10" s="1"/>
  <c r="V55" i="9"/>
  <c r="V98" i="9"/>
  <c r="V52" i="9"/>
  <c r="V95" i="9"/>
  <c r="V50" i="9"/>
  <c r="V93" i="9"/>
  <c r="V53" i="9"/>
  <c r="V96" i="9"/>
  <c r="AA86" i="10"/>
  <c r="AA87" i="10"/>
  <c r="AA48" i="9"/>
  <c r="AA91" i="9"/>
  <c r="AA49" i="9"/>
  <c r="AA92" i="9"/>
  <c r="AA51" i="9"/>
  <c r="AA94" i="9"/>
  <c r="AA88" i="10"/>
  <c r="AA55" i="9"/>
  <c r="AA98" i="9"/>
  <c r="AA52" i="9"/>
  <c r="AA95" i="9"/>
  <c r="AA50" i="9"/>
  <c r="AA93" i="9"/>
  <c r="AA53" i="9"/>
  <c r="AA96" i="9"/>
  <c r="AF86" i="10"/>
  <c r="AF87" i="10"/>
  <c r="AF48" i="9"/>
  <c r="AF91" i="9"/>
  <c r="AF49" i="9"/>
  <c r="AF92" i="9"/>
  <c r="AF51" i="9"/>
  <c r="AF94" i="9"/>
  <c r="AF88" i="10"/>
  <c r="AF55" i="9"/>
  <c r="AF98" i="9"/>
  <c r="AF52" i="9"/>
  <c r="AF95" i="9"/>
  <c r="AF50" i="9"/>
  <c r="AF93" i="9"/>
  <c r="AF53" i="9"/>
  <c r="AF96" i="9"/>
  <c r="AK87" i="10"/>
  <c r="AK48" i="9"/>
  <c r="AK109" i="9" s="1"/>
  <c r="AK49" i="9"/>
  <c r="AK110" i="9" s="1"/>
  <c r="AK51" i="9"/>
  <c r="AK112" i="9" s="1"/>
  <c r="AK88" i="10"/>
  <c r="CH87" i="10" s="1"/>
  <c r="AK55" i="9"/>
  <c r="AK52" i="9"/>
  <c r="AK139" i="9" s="1"/>
  <c r="AK50" i="9"/>
  <c r="AK53" i="9"/>
  <c r="AP87" i="10"/>
  <c r="AP48" i="9"/>
  <c r="AP91" i="9"/>
  <c r="AP49" i="9"/>
  <c r="AP92" i="9"/>
  <c r="AP51" i="9"/>
  <c r="AP94" i="9"/>
  <c r="AP88" i="10"/>
  <c r="CH88" i="10" s="1"/>
  <c r="AP55" i="9"/>
  <c r="AP98" i="9"/>
  <c r="AP52" i="9"/>
  <c r="AP95" i="9"/>
  <c r="AP50" i="9"/>
  <c r="AP93" i="9"/>
  <c r="AP53" i="9"/>
  <c r="AP96" i="9"/>
  <c r="AP72" i="9"/>
  <c r="AU65" i="9" s="1"/>
  <c r="AU72" i="9" s="1"/>
  <c r="AP85" i="9"/>
  <c r="AU78" i="9" s="1"/>
  <c r="AU85" i="9" s="1"/>
  <c r="AZ78" i="9" s="1"/>
  <c r="AZ85" i="9" s="1"/>
  <c r="BE78" i="9" s="1"/>
  <c r="BE85" i="9" s="1"/>
  <c r="BJ78" i="9" s="1"/>
  <c r="AU87" i="10"/>
  <c r="AU48" i="9"/>
  <c r="AU91" i="9"/>
  <c r="AU49" i="9"/>
  <c r="AU92" i="9"/>
  <c r="AU51" i="9"/>
  <c r="AU94" i="9"/>
  <c r="AU88" i="10"/>
  <c r="CH89" i="10" s="1"/>
  <c r="AU55" i="9"/>
  <c r="AU98" i="9"/>
  <c r="AU52" i="9"/>
  <c r="AZ139" i="9" s="1"/>
  <c r="AU95" i="9"/>
  <c r="AU50" i="9"/>
  <c r="AU93" i="9"/>
  <c r="AU53" i="9"/>
  <c r="AU96" i="9"/>
  <c r="AK24" i="6"/>
  <c r="AP24" i="6"/>
  <c r="AU24" i="6"/>
  <c r="AK31" i="6"/>
  <c r="AK151" i="7" s="1"/>
  <c r="AP31" i="6"/>
  <c r="AU31" i="6"/>
  <c r="AU151" i="7" s="1"/>
  <c r="AK23" i="6"/>
  <c r="AP23" i="6"/>
  <c r="AP240" i="7" s="1"/>
  <c r="AU23" i="6"/>
  <c r="AK30" i="6"/>
  <c r="AK241" i="7" s="1"/>
  <c r="AP30" i="6"/>
  <c r="AU30" i="6"/>
  <c r="AK25" i="6"/>
  <c r="AK345" i="7" s="1"/>
  <c r="AP25" i="6"/>
  <c r="AU25" i="6"/>
  <c r="AK32" i="6"/>
  <c r="AP32" i="6"/>
  <c r="AP708" i="7" s="1"/>
  <c r="AU32" i="6"/>
  <c r="AU82" i="4"/>
  <c r="AU702" i="7" s="1"/>
  <c r="AU82" i="1"/>
  <c r="AU99" i="4"/>
  <c r="C82" i="4"/>
  <c r="C103" i="4"/>
  <c r="C872" i="7" s="1"/>
  <c r="D82" i="4"/>
  <c r="D103" i="4"/>
  <c r="E82" i="4"/>
  <c r="E103" i="4"/>
  <c r="E872" i="7" s="1"/>
  <c r="F82" i="4"/>
  <c r="F103" i="4"/>
  <c r="F872" i="7" s="1"/>
  <c r="G82" i="4"/>
  <c r="G103" i="4"/>
  <c r="G872" i="7" s="1"/>
  <c r="L82" i="4"/>
  <c r="L103" i="4"/>
  <c r="Q82" i="4"/>
  <c r="Q103" i="4"/>
  <c r="Q872" i="7" s="1"/>
  <c r="V82" i="4"/>
  <c r="V103" i="4"/>
  <c r="V872" i="7" s="1"/>
  <c r="AA82" i="4"/>
  <c r="AA103" i="4"/>
  <c r="AA872" i="7" s="1"/>
  <c r="AF82" i="4"/>
  <c r="AF103" i="4"/>
  <c r="AK82" i="4"/>
  <c r="AK103" i="4"/>
  <c r="AK872" i="7" s="1"/>
  <c r="AP82" i="4"/>
  <c r="AP702" i="7" s="1"/>
  <c r="AP103" i="4"/>
  <c r="BT102" i="4"/>
  <c r="BY102" i="4"/>
  <c r="CD102" i="4"/>
  <c r="C82" i="1"/>
  <c r="C101" i="1"/>
  <c r="C101" i="5" s="1"/>
  <c r="D82" i="1"/>
  <c r="D101" i="1"/>
  <c r="D103" i="1" s="1"/>
  <c r="E82" i="1"/>
  <c r="E101" i="1"/>
  <c r="F82" i="1"/>
  <c r="F101" i="1"/>
  <c r="G82" i="1"/>
  <c r="G101" i="1"/>
  <c r="G103" i="1" s="1"/>
  <c r="G873" i="7" s="1"/>
  <c r="L82" i="1"/>
  <c r="L103" i="1"/>
  <c r="L873" i="7" s="1"/>
  <c r="Q82" i="1"/>
  <c r="Q103" i="1"/>
  <c r="Q873" i="7" s="1"/>
  <c r="V82" i="1"/>
  <c r="V103" i="1"/>
  <c r="AA82" i="1"/>
  <c r="AA103" i="1"/>
  <c r="AA873" i="7" s="1"/>
  <c r="AF82" i="1"/>
  <c r="AF103" i="1"/>
  <c r="AF873" i="7" s="1"/>
  <c r="AK82" i="1"/>
  <c r="AP82" i="1"/>
  <c r="AP103" i="1"/>
  <c r="AP873" i="7" s="1"/>
  <c r="W53" i="27"/>
  <c r="X53" i="27"/>
  <c r="X74" i="14" s="1"/>
  <c r="Y53" i="27"/>
  <c r="Y74" i="14" s="1"/>
  <c r="Z53" i="27"/>
  <c r="Z74" i="14" s="1"/>
  <c r="AB53" i="27"/>
  <c r="AB74" i="14" s="1"/>
  <c r="AC53" i="27"/>
  <c r="AC74" i="14" s="1"/>
  <c r="AD53" i="27"/>
  <c r="AD74" i="14" s="1"/>
  <c r="AE53" i="27"/>
  <c r="AE74" i="14" s="1"/>
  <c r="AG53" i="27"/>
  <c r="AG74" i="14" s="1"/>
  <c r="AH53" i="27"/>
  <c r="AH74" i="14" s="1"/>
  <c r="AI53" i="27"/>
  <c r="AI74" i="14" s="1"/>
  <c r="AJ53" i="27"/>
  <c r="AJ74" i="14" s="1"/>
  <c r="AL53" i="27"/>
  <c r="AL74" i="14" s="1"/>
  <c r="AM53" i="27"/>
  <c r="AM74" i="14" s="1"/>
  <c r="AN53" i="27"/>
  <c r="AN74" i="14" s="1"/>
  <c r="AO53" i="27"/>
  <c r="AO74" i="14" s="1"/>
  <c r="AK17" i="6"/>
  <c r="AP17" i="6"/>
  <c r="AU17" i="6"/>
  <c r="AM310" i="30"/>
  <c r="AN310" i="30"/>
  <c r="AM10" i="30"/>
  <c r="AO10" i="30" s="1"/>
  <c r="AA65" i="5"/>
  <c r="AA66" i="5"/>
  <c r="AA67" i="5"/>
  <c r="AA71" i="5"/>
  <c r="AA72" i="5"/>
  <c r="AA76" i="5"/>
  <c r="AA77" i="5"/>
  <c r="AA78" i="5"/>
  <c r="AA132" i="5" s="1"/>
  <c r="AA79" i="5"/>
  <c r="AA80" i="5"/>
  <c r="AA81" i="5"/>
  <c r="AA85" i="5"/>
  <c r="AA86" i="5"/>
  <c r="AA87" i="5"/>
  <c r="AA91" i="5"/>
  <c r="AA92" i="5"/>
  <c r="AA93" i="5"/>
  <c r="AA94" i="5"/>
  <c r="AA95" i="5"/>
  <c r="AA96" i="5"/>
  <c r="AA97" i="5"/>
  <c r="AA98" i="5"/>
  <c r="AA99" i="5"/>
  <c r="AA100" i="5"/>
  <c r="AA101" i="5"/>
  <c r="AA102" i="5"/>
  <c r="AA106" i="5"/>
  <c r="AA107" i="5"/>
  <c r="AF65" i="5"/>
  <c r="AF66" i="5"/>
  <c r="AF67" i="5"/>
  <c r="AF71" i="5"/>
  <c r="AF72" i="5"/>
  <c r="AF76" i="5"/>
  <c r="AF77" i="5"/>
  <c r="AF78" i="5"/>
  <c r="AF132" i="5" s="1"/>
  <c r="AF79" i="5"/>
  <c r="AF80" i="5"/>
  <c r="AF81" i="5"/>
  <c r="AF85" i="5"/>
  <c r="AF86" i="5"/>
  <c r="AF87" i="5"/>
  <c r="AF91" i="5"/>
  <c r="AF92" i="5"/>
  <c r="AF93" i="5"/>
  <c r="AF94" i="5"/>
  <c r="AF95" i="5"/>
  <c r="AF96" i="5"/>
  <c r="AF97" i="5"/>
  <c r="AF98" i="5"/>
  <c r="AF99" i="5"/>
  <c r="AF100" i="5"/>
  <c r="AF101" i="5"/>
  <c r="AF102" i="5"/>
  <c r="AF106" i="5"/>
  <c r="AF107" i="5"/>
  <c r="AK68" i="4"/>
  <c r="AK68" i="1"/>
  <c r="AK73" i="4"/>
  <c r="AK73" i="1"/>
  <c r="AK88" i="4"/>
  <c r="AK88" i="1"/>
  <c r="AK108" i="4"/>
  <c r="AK108" i="1"/>
  <c r="AK11" i="5"/>
  <c r="AK12" i="5"/>
  <c r="AK13" i="5"/>
  <c r="AK22" i="5"/>
  <c r="AK23" i="5"/>
  <c r="AK24" i="5"/>
  <c r="AK25" i="5"/>
  <c r="AK26" i="5"/>
  <c r="AK27" i="5"/>
  <c r="AK37" i="5"/>
  <c r="AK91" i="5"/>
  <c r="AK38" i="5"/>
  <c r="AK92" i="5"/>
  <c r="AK39" i="5"/>
  <c r="AK93" i="5"/>
  <c r="AK40" i="5"/>
  <c r="AK94" i="5"/>
  <c r="AK41" i="5"/>
  <c r="AK95" i="5"/>
  <c r="AK42" i="5"/>
  <c r="AK96" i="5"/>
  <c r="AK43" i="5"/>
  <c r="AK44" i="5"/>
  <c r="AK98" i="5"/>
  <c r="AK45" i="5"/>
  <c r="AK99" i="5"/>
  <c r="AK46" i="5"/>
  <c r="AK100" i="5"/>
  <c r="AK47" i="5"/>
  <c r="AK101" i="5"/>
  <c r="AK102" i="5"/>
  <c r="AP68" i="1"/>
  <c r="AP68" i="5" s="1"/>
  <c r="AP73" i="1"/>
  <c r="AP73" i="5" s="1"/>
  <c r="AP88" i="5"/>
  <c r="AP108" i="5"/>
  <c r="AP11" i="5"/>
  <c r="AP12" i="5"/>
  <c r="AP13" i="5"/>
  <c r="AP22" i="5"/>
  <c r="AP23" i="5"/>
  <c r="AP24" i="5"/>
  <c r="AP25" i="5"/>
  <c r="AP26" i="5"/>
  <c r="AP27" i="5"/>
  <c r="AP37" i="5"/>
  <c r="AP91" i="5"/>
  <c r="AP38" i="5"/>
  <c r="AP92" i="5"/>
  <c r="AP39" i="5"/>
  <c r="AP93" i="5"/>
  <c r="AP40" i="5"/>
  <c r="AP94" i="5"/>
  <c r="AP41" i="5"/>
  <c r="AP95" i="5"/>
  <c r="AP42" i="5"/>
  <c r="AP96" i="5"/>
  <c r="AP43" i="5"/>
  <c r="AP97" i="5"/>
  <c r="AP44" i="5"/>
  <c r="AP98" i="5"/>
  <c r="AP45" i="5"/>
  <c r="AP99" i="5"/>
  <c r="AP46" i="5"/>
  <c r="AP100" i="5"/>
  <c r="AP47" i="5"/>
  <c r="AP101" i="5"/>
  <c r="AP48" i="5"/>
  <c r="AP102" i="5"/>
  <c r="AU68" i="1"/>
  <c r="AU68" i="5" s="1"/>
  <c r="AU73" i="1"/>
  <c r="AU73" i="5" s="1"/>
  <c r="AL330" i="2"/>
  <c r="AK330" i="2"/>
  <c r="AJ330" i="2"/>
  <c r="AI330" i="2"/>
  <c r="AH330" i="2"/>
  <c r="AG330" i="2"/>
  <c r="AF330" i="2"/>
  <c r="AE330" i="2"/>
  <c r="AD330" i="2"/>
  <c r="AC330" i="2"/>
  <c r="CD73" i="1"/>
  <c r="CD88" i="1"/>
  <c r="CD108" i="1"/>
  <c r="CC73" i="1"/>
  <c r="CB73" i="1"/>
  <c r="CA73" i="1"/>
  <c r="BZ73" i="1"/>
  <c r="BY73" i="1"/>
  <c r="BY88" i="1"/>
  <c r="BY108" i="1"/>
  <c r="BX73" i="1"/>
  <c r="BW73" i="1"/>
  <c r="BV73" i="1"/>
  <c r="BU73" i="1"/>
  <c r="BT73" i="1"/>
  <c r="BT88" i="1"/>
  <c r="BT108" i="1"/>
  <c r="BS73" i="1"/>
  <c r="BR73" i="1"/>
  <c r="BQ73" i="1"/>
  <c r="BP73" i="1"/>
  <c r="BO73" i="1"/>
  <c r="BO88" i="1"/>
  <c r="BO108" i="1"/>
  <c r="BJ73" i="1"/>
  <c r="BJ73" i="5" s="1"/>
  <c r="BJ127" i="5" s="1"/>
  <c r="BJ88" i="1"/>
  <c r="BJ88" i="5" s="1"/>
  <c r="BJ142" i="5" s="1"/>
  <c r="BJ108" i="1"/>
  <c r="BJ108" i="5" s="1"/>
  <c r="BJ162" i="5" s="1"/>
  <c r="BE68" i="1"/>
  <c r="BE73" i="1"/>
  <c r="BE88" i="1"/>
  <c r="BE88" i="5" s="1"/>
  <c r="BE142" i="5" s="1"/>
  <c r="BE108" i="1"/>
  <c r="AZ68" i="1"/>
  <c r="AZ68" i="5" s="1"/>
  <c r="AZ122" i="5" s="1"/>
  <c r="AZ73" i="1"/>
  <c r="AZ73" i="5" s="1"/>
  <c r="AZ88" i="1"/>
  <c r="AZ88" i="5" s="1"/>
  <c r="AZ142" i="5" s="1"/>
  <c r="AZ108" i="1"/>
  <c r="AZ108" i="5" s="1"/>
  <c r="AZ162" i="5" s="1"/>
  <c r="AQ153" i="4"/>
  <c r="AU227" i="7"/>
  <c r="AU422" i="7"/>
  <c r="AU145" i="7"/>
  <c r="AU235" i="7"/>
  <c r="AU288" i="7"/>
  <c r="AU430" i="7"/>
  <c r="AU482" i="7"/>
  <c r="AP137" i="7"/>
  <c r="AP227" i="7"/>
  <c r="AP422" i="7"/>
  <c r="AP235" i="7"/>
  <c r="AP288" i="7"/>
  <c r="BZ771" i="7"/>
  <c r="BZ786" i="7"/>
  <c r="CA771" i="7"/>
  <c r="CA786" i="7"/>
  <c r="CB771" i="7"/>
  <c r="CB786" i="7"/>
  <c r="CC771" i="7"/>
  <c r="CC786" i="7"/>
  <c r="BU771" i="7"/>
  <c r="BU741" i="7"/>
  <c r="BV741" i="7" s="1"/>
  <c r="BU786" i="7"/>
  <c r="BU746" i="7"/>
  <c r="BU791" i="7"/>
  <c r="BV771" i="7"/>
  <c r="BV786" i="7"/>
  <c r="BV746" i="7"/>
  <c r="BV791" i="7"/>
  <c r="BW771" i="7"/>
  <c r="BW786" i="7"/>
  <c r="BW746" i="7"/>
  <c r="BW791" i="7"/>
  <c r="BX771" i="7"/>
  <c r="BX786" i="7"/>
  <c r="BX746" i="7"/>
  <c r="BX791" i="7"/>
  <c r="BP771" i="7"/>
  <c r="BP741" i="7"/>
  <c r="BP786" i="7"/>
  <c r="BP746" i="7"/>
  <c r="BP791" i="7"/>
  <c r="BQ771" i="7"/>
  <c r="BQ786" i="7"/>
  <c r="BQ746" i="7"/>
  <c r="BQ791" i="7"/>
  <c r="BR771" i="7"/>
  <c r="BR786" i="7"/>
  <c r="BR746" i="7"/>
  <c r="BR791" i="7"/>
  <c r="BS771" i="7"/>
  <c r="BS786" i="7"/>
  <c r="BS746" i="7"/>
  <c r="BS791" i="7"/>
  <c r="AU224" i="7"/>
  <c r="AU419" i="7"/>
  <c r="AU225" i="7"/>
  <c r="AU219" i="7"/>
  <c r="AU220" i="7"/>
  <c r="AU274" i="7"/>
  <c r="AU312" i="7" s="1"/>
  <c r="AU507" i="7"/>
  <c r="BP154" i="7"/>
  <c r="BP244" i="7"/>
  <c r="BP297" i="7"/>
  <c r="BP349" i="7"/>
  <c r="BP491" i="7"/>
  <c r="BP170" i="7"/>
  <c r="BP365" i="7"/>
  <c r="BP138" i="7"/>
  <c r="BP228" i="7"/>
  <c r="BP281" i="7"/>
  <c r="BP333" i="7"/>
  <c r="BP423" i="7"/>
  <c r="BP475" i="7"/>
  <c r="BP580" i="7"/>
  <c r="BP585" i="7"/>
  <c r="BP593" i="7"/>
  <c r="BP711" i="7"/>
  <c r="BP687" i="7"/>
  <c r="BP726" i="7"/>
  <c r="BP731" i="7"/>
  <c r="BQ154" i="7"/>
  <c r="BQ244" i="7"/>
  <c r="BQ297" i="7"/>
  <c r="BQ349" i="7"/>
  <c r="BQ491" i="7"/>
  <c r="BQ170" i="7"/>
  <c r="BQ365" i="7"/>
  <c r="BQ580" i="7"/>
  <c r="BQ711" i="7"/>
  <c r="BQ726" i="7"/>
  <c r="BQ731" i="7"/>
  <c r="BR154" i="7"/>
  <c r="BR244" i="7"/>
  <c r="BR297" i="7"/>
  <c r="BR349" i="7"/>
  <c r="BR491" i="7"/>
  <c r="BR170" i="7"/>
  <c r="BR365" i="7"/>
  <c r="BR580" i="7"/>
  <c r="BR711" i="7"/>
  <c r="BR726" i="7"/>
  <c r="BR731" i="7"/>
  <c r="BS154" i="7"/>
  <c r="BS244" i="7"/>
  <c r="BS297" i="7"/>
  <c r="BS349" i="7"/>
  <c r="BS491" i="7"/>
  <c r="BS170" i="7"/>
  <c r="BS365" i="7"/>
  <c r="BS580" i="7"/>
  <c r="BS711" i="7"/>
  <c r="BS726" i="7"/>
  <c r="BS731" i="7"/>
  <c r="BU154" i="7"/>
  <c r="BU244" i="7"/>
  <c r="BU297" i="7"/>
  <c r="BU349" i="7"/>
  <c r="BU491" i="7"/>
  <c r="BU170" i="7"/>
  <c r="BU365" i="7"/>
  <c r="BU138" i="7"/>
  <c r="BV138" i="7" s="1"/>
  <c r="BU228" i="7"/>
  <c r="BU281" i="7"/>
  <c r="BV281" i="7" s="1"/>
  <c r="BU333" i="7"/>
  <c r="BV333" i="7" s="1"/>
  <c r="BU423" i="7"/>
  <c r="BV423" i="7" s="1"/>
  <c r="BU475" i="7"/>
  <c r="BV475" i="7" s="1"/>
  <c r="BU580" i="7"/>
  <c r="BU585" i="7"/>
  <c r="BU527" i="7" s="1"/>
  <c r="BU593" i="7"/>
  <c r="BV593" i="7" s="1"/>
  <c r="BU711" i="7"/>
  <c r="BU687" i="7"/>
  <c r="BU726" i="7"/>
  <c r="BU731" i="7"/>
  <c r="BV154" i="7"/>
  <c r="BV244" i="7"/>
  <c r="BV297" i="7"/>
  <c r="BV349" i="7"/>
  <c r="BV491" i="7"/>
  <c r="BV170" i="7"/>
  <c r="BV365" i="7"/>
  <c r="BV580" i="7"/>
  <c r="BV711" i="7"/>
  <c r="BV726" i="7"/>
  <c r="BV731" i="7"/>
  <c r="BW154" i="7"/>
  <c r="BW244" i="7"/>
  <c r="BW297" i="7"/>
  <c r="BW349" i="7"/>
  <c r="BW491" i="7"/>
  <c r="BW170" i="7"/>
  <c r="BW365" i="7"/>
  <c r="BW580" i="7"/>
  <c r="BW711" i="7"/>
  <c r="BW726" i="7"/>
  <c r="BW731" i="7"/>
  <c r="BX154" i="7"/>
  <c r="BX244" i="7"/>
  <c r="BX297" i="7"/>
  <c r="BX349" i="7"/>
  <c r="BX491" i="7"/>
  <c r="BX170" i="7"/>
  <c r="BX365" i="7"/>
  <c r="BX580" i="7"/>
  <c r="BX711" i="7"/>
  <c r="BX726" i="7"/>
  <c r="BX731" i="7"/>
  <c r="BZ154" i="7"/>
  <c r="BZ244" i="7"/>
  <c r="BZ297" i="7"/>
  <c r="BZ349" i="7"/>
  <c r="BZ491" i="7"/>
  <c r="BZ170" i="7"/>
  <c r="BZ365" i="7"/>
  <c r="BZ138" i="7"/>
  <c r="CA138" i="7" s="1"/>
  <c r="BZ228" i="7"/>
  <c r="CA228" i="7" s="1"/>
  <c r="CB228" i="7" s="1"/>
  <c r="BZ281" i="7"/>
  <c r="CA281" i="7" s="1"/>
  <c r="CB281" i="7" s="1"/>
  <c r="CC281" i="7" s="1"/>
  <c r="BZ333" i="7"/>
  <c r="BZ423" i="7"/>
  <c r="CA423" i="7" s="1"/>
  <c r="CB423" i="7" s="1"/>
  <c r="BZ475" i="7"/>
  <c r="CA475" i="7" s="1"/>
  <c r="CB475" i="7" s="1"/>
  <c r="BZ580" i="7"/>
  <c r="BZ585" i="7"/>
  <c r="BZ593" i="7"/>
  <c r="CA593" i="7" s="1"/>
  <c r="CB593" i="7" s="1"/>
  <c r="BZ711" i="7"/>
  <c r="BZ687" i="7"/>
  <c r="BZ726" i="7"/>
  <c r="BZ731" i="7"/>
  <c r="CA154" i="7"/>
  <c r="CA244" i="7"/>
  <c r="CA297" i="7"/>
  <c r="CA349" i="7"/>
  <c r="CA491" i="7"/>
  <c r="CA170" i="7"/>
  <c r="CA365" i="7"/>
  <c r="CA580" i="7"/>
  <c r="CA711" i="7"/>
  <c r="CA726" i="7"/>
  <c r="CA731" i="7"/>
  <c r="CB154" i="7"/>
  <c r="CB244" i="7"/>
  <c r="CB297" i="7"/>
  <c r="CB349" i="7"/>
  <c r="CB491" i="7"/>
  <c r="CB170" i="7"/>
  <c r="CB365" i="7"/>
  <c r="CB580" i="7"/>
  <c r="CB711" i="7"/>
  <c r="CB726" i="7"/>
  <c r="CB731" i="7"/>
  <c r="CC154" i="7"/>
  <c r="CC244" i="7"/>
  <c r="CC297" i="7"/>
  <c r="CC349" i="7"/>
  <c r="CC491" i="7"/>
  <c r="CC170" i="7"/>
  <c r="CC365" i="7"/>
  <c r="CC580" i="7"/>
  <c r="CC711" i="7"/>
  <c r="CC726" i="7"/>
  <c r="CC731" i="7"/>
  <c r="AS71" i="6"/>
  <c r="AT71" i="6"/>
  <c r="AQ70" i="6"/>
  <c r="AR70" i="6"/>
  <c r="AR87" i="6" s="1"/>
  <c r="AR104" i="6" s="1"/>
  <c r="AR121" i="6" s="1"/>
  <c r="AS70" i="6"/>
  <c r="AT70" i="6"/>
  <c r="AQ68" i="6"/>
  <c r="AR68" i="6"/>
  <c r="AS68" i="6"/>
  <c r="AS85" i="6" s="1"/>
  <c r="AS102" i="6" s="1"/>
  <c r="AT68" i="6"/>
  <c r="AQ67" i="6"/>
  <c r="AR67" i="6"/>
  <c r="AS67" i="6"/>
  <c r="AS84" i="6" s="1"/>
  <c r="AT67" i="6"/>
  <c r="AP71" i="6"/>
  <c r="AK71" i="6"/>
  <c r="AL70" i="6"/>
  <c r="AL87" i="6" s="1"/>
  <c r="AL104" i="6" s="1"/>
  <c r="AM70" i="6"/>
  <c r="AN70" i="6"/>
  <c r="AO70" i="6"/>
  <c r="AG70" i="6"/>
  <c r="AG87" i="6" s="1"/>
  <c r="AH70" i="6"/>
  <c r="AI70" i="6"/>
  <c r="AJ70" i="6"/>
  <c r="AJ87" i="6" s="1"/>
  <c r="AJ104" i="6" s="1"/>
  <c r="AJ121" i="6" s="1"/>
  <c r="AQ69" i="6"/>
  <c r="AR69" i="6"/>
  <c r="AS69" i="6"/>
  <c r="AT69" i="6"/>
  <c r="AL68" i="6"/>
  <c r="AM68" i="6"/>
  <c r="AN68" i="6"/>
  <c r="AO68" i="6"/>
  <c r="AG68" i="6"/>
  <c r="AH68" i="6"/>
  <c r="AI68" i="6"/>
  <c r="AJ68" i="6"/>
  <c r="AJ85" i="6" s="1"/>
  <c r="AJ102" i="6" s="1"/>
  <c r="AJ119" i="6" s="1"/>
  <c r="AL67" i="6"/>
  <c r="AM67" i="6"/>
  <c r="AN67" i="6"/>
  <c r="AO67" i="6"/>
  <c r="AG67" i="6"/>
  <c r="AH67" i="6"/>
  <c r="AI67" i="6"/>
  <c r="AI84" i="6" s="1"/>
  <c r="AI101" i="6" s="1"/>
  <c r="AI118" i="6" s="1"/>
  <c r="AJ67" i="6"/>
  <c r="AJ84" i="6" s="1"/>
  <c r="AU119" i="4"/>
  <c r="AU120" i="4"/>
  <c r="AU121" i="4"/>
  <c r="AU125" i="4"/>
  <c r="AU126" i="4"/>
  <c r="AU130" i="4"/>
  <c r="AU131" i="4"/>
  <c r="AU132" i="4"/>
  <c r="AU133" i="4"/>
  <c r="AU134" i="4"/>
  <c r="AU135" i="4"/>
  <c r="AU139" i="4"/>
  <c r="AU140" i="4"/>
  <c r="AU141" i="4"/>
  <c r="AU145" i="4"/>
  <c r="AU146" i="4"/>
  <c r="AU147" i="4"/>
  <c r="AU148" i="4"/>
  <c r="AU149" i="4"/>
  <c r="AU150" i="4"/>
  <c r="AU151" i="4"/>
  <c r="AU152" i="4"/>
  <c r="AU154" i="4"/>
  <c r="AU155" i="4"/>
  <c r="AU156" i="4"/>
  <c r="AU160" i="4"/>
  <c r="AU161" i="4"/>
  <c r="AP119" i="4"/>
  <c r="AP120" i="4"/>
  <c r="AP121" i="4"/>
  <c r="AP125" i="4"/>
  <c r="AP126" i="4"/>
  <c r="AP130" i="4"/>
  <c r="AP131" i="4"/>
  <c r="AP132" i="4"/>
  <c r="AP133" i="4"/>
  <c r="AP134" i="4"/>
  <c r="AP135" i="4"/>
  <c r="AP139" i="4"/>
  <c r="AP140" i="4"/>
  <c r="AP141" i="4"/>
  <c r="AP145" i="4"/>
  <c r="AP146" i="4"/>
  <c r="AP147" i="4"/>
  <c r="AP148" i="4"/>
  <c r="AP149" i="4"/>
  <c r="AP150" i="4"/>
  <c r="AP151" i="4"/>
  <c r="AP152" i="4"/>
  <c r="AP153" i="4"/>
  <c r="AP154" i="4"/>
  <c r="AP155" i="4"/>
  <c r="AP156" i="4"/>
  <c r="AP160" i="4"/>
  <c r="AP161" i="4"/>
  <c r="AK119" i="4"/>
  <c r="AK120" i="4"/>
  <c r="AK121" i="4"/>
  <c r="AK125" i="4"/>
  <c r="AK126" i="4"/>
  <c r="AK130" i="4"/>
  <c r="AK131" i="4"/>
  <c r="AK132" i="4"/>
  <c r="AK133" i="4"/>
  <c r="AK134" i="4"/>
  <c r="AK135" i="4"/>
  <c r="AK139" i="4"/>
  <c r="AK140" i="4"/>
  <c r="AK141" i="4"/>
  <c r="AK145" i="4"/>
  <c r="AK146" i="4"/>
  <c r="AK147" i="4"/>
  <c r="AK148" i="4"/>
  <c r="AK149" i="4"/>
  <c r="AK150" i="4"/>
  <c r="AK151" i="4"/>
  <c r="AK152" i="4"/>
  <c r="AK153" i="4"/>
  <c r="AK154" i="4"/>
  <c r="AK155" i="4"/>
  <c r="AK156" i="4"/>
  <c r="AK160" i="4"/>
  <c r="AK161" i="4"/>
  <c r="AQ159" i="12"/>
  <c r="AQ43" i="12" s="1"/>
  <c r="AR159" i="12"/>
  <c r="AR43" i="12" s="1"/>
  <c r="AS159" i="12"/>
  <c r="AT159" i="12"/>
  <c r="AT43" i="12" s="1"/>
  <c r="AQ11" i="10"/>
  <c r="AR11" i="10"/>
  <c r="AR14" i="10" s="1"/>
  <c r="AR19" i="10" s="1"/>
  <c r="AR11" i="12" s="1"/>
  <c r="AS11" i="10"/>
  <c r="AS12" i="10"/>
  <c r="AS13" i="10"/>
  <c r="AU13" i="10" s="1"/>
  <c r="AU16" i="10"/>
  <c r="AU17" i="10"/>
  <c r="AU11" i="37"/>
  <c r="AU62" i="14"/>
  <c r="AL159" i="12"/>
  <c r="AM159" i="12"/>
  <c r="AN159" i="12"/>
  <c r="AN43" i="12" s="1"/>
  <c r="AO159" i="12"/>
  <c r="AO43" i="12" s="1"/>
  <c r="AO11" i="10"/>
  <c r="AP11" i="10" s="1"/>
  <c r="AO12" i="10"/>
  <c r="AO13" i="10"/>
  <c r="AP13" i="10" s="1"/>
  <c r="AP11" i="37"/>
  <c r="AP62" i="14"/>
  <c r="AK137" i="12"/>
  <c r="AK157" i="12"/>
  <c r="AK11" i="10"/>
  <c r="AK12" i="10"/>
  <c r="AK17" i="69" s="1"/>
  <c r="AK13" i="10"/>
  <c r="AK11" i="37"/>
  <c r="AK62" i="14"/>
  <c r="AK21" i="37" s="1"/>
  <c r="AF63" i="13"/>
  <c r="AF64" i="13"/>
  <c r="AG15" i="14"/>
  <c r="AG25" i="14" s="1"/>
  <c r="AG31" i="14"/>
  <c r="AG63" i="37" s="1"/>
  <c r="AH15" i="14"/>
  <c r="AH25" i="14" s="1"/>
  <c r="AH31" i="14"/>
  <c r="AH63" i="37" s="1"/>
  <c r="AI15" i="14"/>
  <c r="AI25" i="14" s="1"/>
  <c r="AI31" i="14"/>
  <c r="AI63" i="37" s="1"/>
  <c r="AJ15" i="14"/>
  <c r="AJ25" i="14" s="1"/>
  <c r="AJ101" i="14"/>
  <c r="AK101" i="14" s="1"/>
  <c r="AL15" i="14"/>
  <c r="AL25" i="14" s="1"/>
  <c r="AL101" i="14"/>
  <c r="AM25" i="14"/>
  <c r="AM101" i="14"/>
  <c r="AN25" i="14"/>
  <c r="AN29" i="14" s="1"/>
  <c r="AN32" i="14" s="1"/>
  <c r="AN101" i="14"/>
  <c r="AO25" i="14"/>
  <c r="AO101" i="14"/>
  <c r="AM114" i="14"/>
  <c r="AM27" i="37" s="1"/>
  <c r="AN115" i="14"/>
  <c r="AO115" i="14"/>
  <c r="AM116" i="14"/>
  <c r="AN116" i="14" s="1"/>
  <c r="AO116" i="14" s="1"/>
  <c r="AP116" i="14" s="1"/>
  <c r="AP123" i="12" s="1"/>
  <c r="AP117" i="14"/>
  <c r="AP124" i="12" s="1"/>
  <c r="AM118" i="14"/>
  <c r="AN118" i="14" s="1"/>
  <c r="AO118" i="14" s="1"/>
  <c r="AQ15" i="14"/>
  <c r="AQ25" i="14" s="1"/>
  <c r="AQ101" i="14"/>
  <c r="AR15" i="14"/>
  <c r="AR25" i="14" s="1"/>
  <c r="AR101" i="14"/>
  <c r="AR114" i="14"/>
  <c r="AS114" i="14" s="1"/>
  <c r="AR115" i="14"/>
  <c r="AS115" i="14" s="1"/>
  <c r="AR116" i="14"/>
  <c r="AS116" i="14" s="1"/>
  <c r="AT116" i="14" s="1"/>
  <c r="AS15" i="14"/>
  <c r="AS25" i="14" s="1"/>
  <c r="AS126" i="14" s="1"/>
  <c r="AS101" i="14"/>
  <c r="AT117" i="14"/>
  <c r="AT15" i="14"/>
  <c r="AT25" i="14" s="1"/>
  <c r="AT101" i="14"/>
  <c r="AU11" i="13"/>
  <c r="AU12" i="13"/>
  <c r="AU13" i="13"/>
  <c r="AU14" i="13"/>
  <c r="AU15" i="13"/>
  <c r="AZ67" i="11" s="1"/>
  <c r="AZ68" i="11" s="1"/>
  <c r="AU16" i="13"/>
  <c r="AU17" i="13"/>
  <c r="AU18" i="13"/>
  <c r="AU19" i="13"/>
  <c r="AU20" i="13"/>
  <c r="AU21" i="13"/>
  <c r="AU22" i="13"/>
  <c r="AU26" i="13"/>
  <c r="AU27" i="13"/>
  <c r="AU28" i="13"/>
  <c r="AU29" i="13"/>
  <c r="AU30" i="13"/>
  <c r="AU31" i="13"/>
  <c r="AU32" i="13"/>
  <c r="AU36" i="13"/>
  <c r="AU41" i="13"/>
  <c r="AU42" i="13"/>
  <c r="AU43" i="13"/>
  <c r="AU45" i="13"/>
  <c r="AU46" i="13"/>
  <c r="AU49" i="13"/>
  <c r="AU53" i="13"/>
  <c r="AU54" i="13"/>
  <c r="AU55" i="13"/>
  <c r="AU57" i="13"/>
  <c r="AU58" i="13"/>
  <c r="AU59" i="13"/>
  <c r="AU64" i="13"/>
  <c r="AQ58" i="27"/>
  <c r="AR58" i="27"/>
  <c r="AR63" i="27" s="1"/>
  <c r="AS58" i="27"/>
  <c r="AS63" i="27" s="1"/>
  <c r="AS51" i="14" s="1"/>
  <c r="AT58" i="27"/>
  <c r="AU11" i="14"/>
  <c r="AU12" i="14"/>
  <c r="AU20" i="14"/>
  <c r="AQ38" i="14"/>
  <c r="AQ34" i="27"/>
  <c r="AQ36" i="27"/>
  <c r="AQ37" i="27"/>
  <c r="AQ38" i="27"/>
  <c r="AQ42" i="27"/>
  <c r="AQ43" i="27"/>
  <c r="AQ44" i="27"/>
  <c r="AR38" i="14"/>
  <c r="AR34" i="27"/>
  <c r="AR35" i="27"/>
  <c r="AR36" i="27"/>
  <c r="AR37" i="27"/>
  <c r="AR38" i="27"/>
  <c r="AR42" i="27"/>
  <c r="AR43" i="27"/>
  <c r="AR44" i="27"/>
  <c r="AS38" i="14"/>
  <c r="AS34" i="27"/>
  <c r="AS35" i="27"/>
  <c r="AS36" i="27"/>
  <c r="AS37" i="27"/>
  <c r="AS38" i="27"/>
  <c r="AS42" i="27"/>
  <c r="AS43" i="27"/>
  <c r="AS44" i="27"/>
  <c r="AT38" i="14"/>
  <c r="AT34" i="27"/>
  <c r="AT35" i="27"/>
  <c r="AT36" i="27"/>
  <c r="AT37" i="27"/>
  <c r="AT38" i="27"/>
  <c r="AT42" i="27"/>
  <c r="AT43" i="27"/>
  <c r="AT44" i="27"/>
  <c r="AR17" i="27"/>
  <c r="AR22" i="27" s="1"/>
  <c r="AR27" i="27" s="1"/>
  <c r="AS17" i="27"/>
  <c r="AS22" i="27" s="1"/>
  <c r="AS27" i="27" s="1"/>
  <c r="AT17" i="27"/>
  <c r="AT22" i="27" s="1"/>
  <c r="AU25" i="27"/>
  <c r="AU26" i="27"/>
  <c r="AP11" i="13"/>
  <c r="AP12" i="13"/>
  <c r="AP13" i="13"/>
  <c r="AP14" i="13"/>
  <c r="AP15" i="13"/>
  <c r="AP16" i="13"/>
  <c r="AP17" i="13"/>
  <c r="AP18" i="13"/>
  <c r="AP19" i="13"/>
  <c r="AP20" i="13"/>
  <c r="AP21" i="13"/>
  <c r="AP22" i="13"/>
  <c r="AP26" i="13"/>
  <c r="AP27" i="13"/>
  <c r="AP28" i="13"/>
  <c r="AP29" i="13"/>
  <c r="AP30" i="13"/>
  <c r="AP31" i="13"/>
  <c r="AP32" i="13"/>
  <c r="AP36" i="13"/>
  <c r="AP41" i="13"/>
  <c r="AP42" i="13"/>
  <c r="AP43" i="13"/>
  <c r="AP45" i="13"/>
  <c r="AP46" i="13"/>
  <c r="AP49" i="13"/>
  <c r="AP53" i="13"/>
  <c r="AP54" i="13"/>
  <c r="AP55" i="13"/>
  <c r="AP57" i="13"/>
  <c r="AP58" i="13"/>
  <c r="AP59" i="13"/>
  <c r="AP64" i="13"/>
  <c r="AK11" i="13"/>
  <c r="AK12" i="13"/>
  <c r="AK13" i="13"/>
  <c r="AK14" i="13"/>
  <c r="AK15" i="13"/>
  <c r="AK16" i="13"/>
  <c r="AK17" i="13"/>
  <c r="AK18" i="13"/>
  <c r="AK19" i="13"/>
  <c r="AK20" i="13"/>
  <c r="AK21" i="13"/>
  <c r="AK22" i="13"/>
  <c r="AK26" i="13"/>
  <c r="AK27" i="13"/>
  <c r="AK28" i="13"/>
  <c r="AK29" i="13"/>
  <c r="AK30" i="13"/>
  <c r="AK31" i="13"/>
  <c r="AK32" i="13"/>
  <c r="AK36" i="13"/>
  <c r="AK41" i="13"/>
  <c r="AK42" i="13"/>
  <c r="AK43" i="13"/>
  <c r="AK45" i="13"/>
  <c r="AK46" i="13"/>
  <c r="AK49" i="13"/>
  <c r="AK53" i="13"/>
  <c r="AK54" i="13"/>
  <c r="AK55" i="13"/>
  <c r="AK57" i="13"/>
  <c r="AK58" i="13"/>
  <c r="AK59" i="13"/>
  <c r="AH114" i="14"/>
  <c r="AI114" i="14" s="1"/>
  <c r="AH116" i="14"/>
  <c r="AI116" i="14" s="1"/>
  <c r="AJ116" i="14" s="1"/>
  <c r="AI118" i="14"/>
  <c r="AJ118" i="14" s="1"/>
  <c r="AJ115" i="14"/>
  <c r="AJ117" i="14"/>
  <c r="AK64" i="13"/>
  <c r="AU54" i="27"/>
  <c r="AU56" i="27"/>
  <c r="BJ62" i="27"/>
  <c r="AZ62" i="27"/>
  <c r="AU62" i="27"/>
  <c r="AU61" i="27"/>
  <c r="AU60" i="27"/>
  <c r="AZ54" i="27"/>
  <c r="AU52" i="27"/>
  <c r="AL52" i="27"/>
  <c r="AM52" i="27"/>
  <c r="AM27" i="69" s="1"/>
  <c r="AM28" i="69" s="1"/>
  <c r="AN52" i="27"/>
  <c r="AN27" i="69" s="1"/>
  <c r="AN28" i="69" s="1"/>
  <c r="AO52" i="27"/>
  <c r="AO27" i="69" s="1"/>
  <c r="AO28" i="69" s="1"/>
  <c r="AL54" i="27"/>
  <c r="AM54" i="27"/>
  <c r="AN54" i="27"/>
  <c r="AO54" i="27"/>
  <c r="AL55" i="27"/>
  <c r="AM55" i="27"/>
  <c r="AM76" i="14" s="1"/>
  <c r="AN55" i="27"/>
  <c r="AO55" i="27"/>
  <c r="AL56" i="27"/>
  <c r="AL77" i="14" s="1"/>
  <c r="AM56" i="27"/>
  <c r="AM77" i="14" s="1"/>
  <c r="AN56" i="27"/>
  <c r="AO56" i="27"/>
  <c r="AO77" i="14" s="1"/>
  <c r="AP57" i="27"/>
  <c r="AP78" i="14" s="1"/>
  <c r="AL60" i="27"/>
  <c r="AL81" i="14" s="1"/>
  <c r="AM60" i="27"/>
  <c r="AM81" i="14" s="1"/>
  <c r="AN60" i="27"/>
  <c r="AN81" i="14" s="1"/>
  <c r="AO60" i="27"/>
  <c r="AO81" i="14" s="1"/>
  <c r="AL61" i="27"/>
  <c r="AL76" i="27" s="1"/>
  <c r="AM61" i="27"/>
  <c r="AM82" i="14" s="1"/>
  <c r="AN61" i="27"/>
  <c r="AO61" i="27"/>
  <c r="AL62" i="27"/>
  <c r="AL83" i="14" s="1"/>
  <c r="AM62" i="27"/>
  <c r="AM83" i="14" s="1"/>
  <c r="AN62" i="27"/>
  <c r="AO62" i="27"/>
  <c r="AO83" i="14" s="1"/>
  <c r="AG52" i="27"/>
  <c r="AG27" i="69" s="1"/>
  <c r="AG28" i="69" s="1"/>
  <c r="AH52" i="27"/>
  <c r="AI52" i="27"/>
  <c r="AJ52" i="27"/>
  <c r="AG54" i="27"/>
  <c r="AG75" i="14" s="1"/>
  <c r="AH54" i="27"/>
  <c r="AI54" i="27"/>
  <c r="AI75" i="14" s="1"/>
  <c r="AJ54" i="27"/>
  <c r="AJ75" i="14" s="1"/>
  <c r="AG55" i="27"/>
  <c r="AH55" i="27"/>
  <c r="AI55" i="27"/>
  <c r="AI76" i="14" s="1"/>
  <c r="AJ55" i="27"/>
  <c r="AG56" i="27"/>
  <c r="AH56" i="27"/>
  <c r="AI56" i="27"/>
  <c r="AI77" i="14" s="1"/>
  <c r="AJ56" i="27"/>
  <c r="AJ77" i="14" s="1"/>
  <c r="AK57" i="27"/>
  <c r="AK78" i="14" s="1"/>
  <c r="AG60" i="27"/>
  <c r="AH60" i="27"/>
  <c r="AI60" i="27"/>
  <c r="AI81" i="14" s="1"/>
  <c r="AJ60" i="27"/>
  <c r="AG61" i="27"/>
  <c r="AH61" i="27"/>
  <c r="AI61" i="27"/>
  <c r="AI82" i="14" s="1"/>
  <c r="AJ61" i="27"/>
  <c r="AJ82" i="14" s="1"/>
  <c r="AG62" i="27"/>
  <c r="AG35" i="14" s="1"/>
  <c r="AH62" i="27"/>
  <c r="AI62" i="27"/>
  <c r="AI35" i="14" s="1"/>
  <c r="AJ62" i="27"/>
  <c r="AJ35" i="14" s="1"/>
  <c r="AJ145" i="14" s="1"/>
  <c r="BJ56" i="27"/>
  <c r="AZ56" i="27"/>
  <c r="D11" i="39"/>
  <c r="D14" i="39" s="1"/>
  <c r="B18" i="39"/>
  <c r="D18" i="39" s="1"/>
  <c r="D22" i="39"/>
  <c r="D24" i="39" s="1"/>
  <c r="AK61" i="14"/>
  <c r="AK60" i="14"/>
  <c r="AP20" i="14"/>
  <c r="AP34" i="11" s="1"/>
  <c r="AP41" i="11" s="1"/>
  <c r="AK20" i="14"/>
  <c r="AP11" i="14"/>
  <c r="AP12" i="14"/>
  <c r="AK11" i="14"/>
  <c r="AK12" i="14"/>
  <c r="AK11" i="27"/>
  <c r="AK13" i="27"/>
  <c r="AK14" i="27"/>
  <c r="AK15" i="27"/>
  <c r="AK19" i="27"/>
  <c r="AK20" i="27"/>
  <c r="AK21" i="27"/>
  <c r="AK25" i="27"/>
  <c r="AK109" i="13" s="1"/>
  <c r="AK26" i="27"/>
  <c r="AK34" i="27"/>
  <c r="AK36" i="27"/>
  <c r="AK37" i="27"/>
  <c r="AK38" i="27"/>
  <c r="AK42" i="27"/>
  <c r="AK43" i="27"/>
  <c r="AP10" i="27"/>
  <c r="AP11" i="27"/>
  <c r="AP13" i="27"/>
  <c r="AP14" i="27"/>
  <c r="AP15" i="27"/>
  <c r="AP19" i="27"/>
  <c r="AP20" i="27"/>
  <c r="AP21" i="27"/>
  <c r="AP25" i="27"/>
  <c r="AP26" i="27"/>
  <c r="AP34" i="27"/>
  <c r="AP35" i="27"/>
  <c r="AP36" i="27"/>
  <c r="AP37" i="27"/>
  <c r="AP38" i="27"/>
  <c r="AP42" i="27"/>
  <c r="AP43" i="27"/>
  <c r="AL38" i="14"/>
  <c r="AL40" i="27"/>
  <c r="AL45" i="27" s="1"/>
  <c r="AM38" i="14"/>
  <c r="AM40" i="27"/>
  <c r="AM45" i="27" s="1"/>
  <c r="AN38" i="14"/>
  <c r="AN40" i="27"/>
  <c r="AN45" i="27" s="1"/>
  <c r="AO38" i="14"/>
  <c r="AO10" i="12" s="1"/>
  <c r="AO40" i="27"/>
  <c r="AO45" i="27" s="1"/>
  <c r="H35" i="7"/>
  <c r="I35" i="7"/>
  <c r="I90" i="7" s="1"/>
  <c r="I109" i="7" s="1"/>
  <c r="I128" i="7" s="1"/>
  <c r="I180" i="7" s="1"/>
  <c r="I199" i="7" s="1"/>
  <c r="I218" i="7" s="1"/>
  <c r="I271" i="7" s="1"/>
  <c r="I323" i="7" s="1"/>
  <c r="I375" i="7" s="1"/>
  <c r="I394" i="7" s="1"/>
  <c r="I413" i="7" s="1"/>
  <c r="I465" i="7" s="1"/>
  <c r="I519" i="7" s="1"/>
  <c r="I577" i="7" s="1"/>
  <c r="I682" i="7" s="1"/>
  <c r="I736" i="7" s="1"/>
  <c r="I797" i="7" s="1"/>
  <c r="I852" i="7" s="1"/>
  <c r="J35" i="7"/>
  <c r="J90" i="7" s="1"/>
  <c r="J109" i="7" s="1"/>
  <c r="J128" i="7" s="1"/>
  <c r="J180" i="7" s="1"/>
  <c r="J199" i="7" s="1"/>
  <c r="J218" i="7" s="1"/>
  <c r="J271" i="7" s="1"/>
  <c r="J323" i="7" s="1"/>
  <c r="J375" i="7" s="1"/>
  <c r="J394" i="7" s="1"/>
  <c r="J413" i="7" s="1"/>
  <c r="J465" i="7" s="1"/>
  <c r="J519" i="7" s="1"/>
  <c r="J577" i="7" s="1"/>
  <c r="J682" i="7" s="1"/>
  <c r="J736" i="7" s="1"/>
  <c r="J797" i="7" s="1"/>
  <c r="J852" i="7" s="1"/>
  <c r="K35" i="7"/>
  <c r="K90" i="7" s="1"/>
  <c r="K109" i="7" s="1"/>
  <c r="K128" i="7" s="1"/>
  <c r="K180" i="7" s="1"/>
  <c r="K199" i="7" s="1"/>
  <c r="K218" i="7" s="1"/>
  <c r="K271" i="7" s="1"/>
  <c r="K323" i="7" s="1"/>
  <c r="K375" i="7" s="1"/>
  <c r="K394" i="7" s="1"/>
  <c r="K413" i="7" s="1"/>
  <c r="K465" i="7" s="1"/>
  <c r="K519" i="7" s="1"/>
  <c r="K577" i="7" s="1"/>
  <c r="K682" i="7" s="1"/>
  <c r="K736" i="7" s="1"/>
  <c r="K797" i="7" s="1"/>
  <c r="K852" i="7" s="1"/>
  <c r="M35" i="7"/>
  <c r="M90" i="7" s="1"/>
  <c r="M109" i="7" s="1"/>
  <c r="M128" i="7" s="1"/>
  <c r="M180" i="7" s="1"/>
  <c r="M199" i="7" s="1"/>
  <c r="M218" i="7" s="1"/>
  <c r="M271" i="7" s="1"/>
  <c r="M323" i="7" s="1"/>
  <c r="M375" i="7" s="1"/>
  <c r="M394" i="7" s="1"/>
  <c r="M413" i="7" s="1"/>
  <c r="M465" i="7" s="1"/>
  <c r="M519" i="7" s="1"/>
  <c r="M577" i="7" s="1"/>
  <c r="M682" i="7" s="1"/>
  <c r="M736" i="7" s="1"/>
  <c r="M797" i="7" s="1"/>
  <c r="M852" i="7" s="1"/>
  <c r="N35" i="7"/>
  <c r="N90" i="7" s="1"/>
  <c r="N109" i="7" s="1"/>
  <c r="N128" i="7" s="1"/>
  <c r="N180" i="7" s="1"/>
  <c r="N199" i="7" s="1"/>
  <c r="N218" i="7" s="1"/>
  <c r="N271" i="7" s="1"/>
  <c r="N323" i="7" s="1"/>
  <c r="N375" i="7" s="1"/>
  <c r="N394" i="7" s="1"/>
  <c r="N413" i="7" s="1"/>
  <c r="N465" i="7" s="1"/>
  <c r="N519" i="7" s="1"/>
  <c r="N577" i="7" s="1"/>
  <c r="N682" i="7" s="1"/>
  <c r="N736" i="7" s="1"/>
  <c r="N797" i="7" s="1"/>
  <c r="N852" i="7" s="1"/>
  <c r="O35" i="7"/>
  <c r="P35" i="7"/>
  <c r="P90" i="7" s="1"/>
  <c r="P109" i="7" s="1"/>
  <c r="P128" i="7" s="1"/>
  <c r="P180" i="7" s="1"/>
  <c r="P199" i="7" s="1"/>
  <c r="P218" i="7" s="1"/>
  <c r="P271" i="7" s="1"/>
  <c r="P323" i="7" s="1"/>
  <c r="P375" i="7" s="1"/>
  <c r="P394" i="7" s="1"/>
  <c r="P413" i="7" s="1"/>
  <c r="P465" i="7" s="1"/>
  <c r="P519" i="7" s="1"/>
  <c r="P577" i="7" s="1"/>
  <c r="P682" i="7" s="1"/>
  <c r="P736" i="7" s="1"/>
  <c r="P797" i="7" s="1"/>
  <c r="P852" i="7" s="1"/>
  <c r="R35" i="7"/>
  <c r="R90" i="7" s="1"/>
  <c r="R109" i="7" s="1"/>
  <c r="R128" i="7" s="1"/>
  <c r="R180" i="7" s="1"/>
  <c r="R199" i="7" s="1"/>
  <c r="R218" i="7" s="1"/>
  <c r="R271" i="7" s="1"/>
  <c r="R323" i="7" s="1"/>
  <c r="R375" i="7" s="1"/>
  <c r="R394" i="7" s="1"/>
  <c r="R413" i="7" s="1"/>
  <c r="R465" i="7" s="1"/>
  <c r="R519" i="7" s="1"/>
  <c r="R577" i="7" s="1"/>
  <c r="R682" i="7" s="1"/>
  <c r="R736" i="7" s="1"/>
  <c r="R797" i="7" s="1"/>
  <c r="R852" i="7" s="1"/>
  <c r="S35" i="7"/>
  <c r="S90" i="7" s="1"/>
  <c r="S109" i="7" s="1"/>
  <c r="S128" i="7" s="1"/>
  <c r="S180" i="7" s="1"/>
  <c r="S199" i="7" s="1"/>
  <c r="S218" i="7" s="1"/>
  <c r="S271" i="7" s="1"/>
  <c r="S323" i="7" s="1"/>
  <c r="S375" i="7" s="1"/>
  <c r="S394" i="7" s="1"/>
  <c r="S413" i="7" s="1"/>
  <c r="S465" i="7" s="1"/>
  <c r="S519" i="7" s="1"/>
  <c r="S577" i="7" s="1"/>
  <c r="S682" i="7" s="1"/>
  <c r="S736" i="7" s="1"/>
  <c r="S797" i="7" s="1"/>
  <c r="S852" i="7" s="1"/>
  <c r="T35" i="7"/>
  <c r="T90" i="7" s="1"/>
  <c r="T109" i="7" s="1"/>
  <c r="T128" i="7" s="1"/>
  <c r="U35" i="7"/>
  <c r="U90" i="7" s="1"/>
  <c r="U109" i="7" s="1"/>
  <c r="U128" i="7" s="1"/>
  <c r="U180" i="7" s="1"/>
  <c r="U199" i="7" s="1"/>
  <c r="U218" i="7" s="1"/>
  <c r="U271" i="7" s="1"/>
  <c r="U323" i="7" s="1"/>
  <c r="U375" i="7" s="1"/>
  <c r="U394" i="7" s="1"/>
  <c r="U413" i="7" s="1"/>
  <c r="U465" i="7" s="1"/>
  <c r="U519" i="7" s="1"/>
  <c r="U577" i="7" s="1"/>
  <c r="U682" i="7" s="1"/>
  <c r="U736" i="7" s="1"/>
  <c r="U797" i="7" s="1"/>
  <c r="U852" i="7" s="1"/>
  <c r="W35" i="7"/>
  <c r="W90" i="7" s="1"/>
  <c r="W109" i="7" s="1"/>
  <c r="W128" i="7" s="1"/>
  <c r="W180" i="7" s="1"/>
  <c r="W199" i="7" s="1"/>
  <c r="W218" i="7" s="1"/>
  <c r="W271" i="7" s="1"/>
  <c r="W323" i="7" s="1"/>
  <c r="W375" i="7" s="1"/>
  <c r="W394" i="7" s="1"/>
  <c r="W413" i="7" s="1"/>
  <c r="W465" i="7" s="1"/>
  <c r="W519" i="7" s="1"/>
  <c r="W577" i="7" s="1"/>
  <c r="W682" i="7" s="1"/>
  <c r="W736" i="7" s="1"/>
  <c r="W797" i="7" s="1"/>
  <c r="W852" i="7" s="1"/>
  <c r="X35" i="7"/>
  <c r="X90" i="7" s="1"/>
  <c r="X109" i="7" s="1"/>
  <c r="X128" i="7" s="1"/>
  <c r="X180" i="7" s="1"/>
  <c r="X199" i="7" s="1"/>
  <c r="X218" i="7" s="1"/>
  <c r="X271" i="7" s="1"/>
  <c r="X323" i="7" s="1"/>
  <c r="X375" i="7" s="1"/>
  <c r="X394" i="7" s="1"/>
  <c r="X413" i="7" s="1"/>
  <c r="X465" i="7" s="1"/>
  <c r="X519" i="7" s="1"/>
  <c r="X577" i="7" s="1"/>
  <c r="X682" i="7" s="1"/>
  <c r="X736" i="7" s="1"/>
  <c r="X797" i="7" s="1"/>
  <c r="X852" i="7" s="1"/>
  <c r="Y35" i="7"/>
  <c r="Y90" i="7" s="1"/>
  <c r="Y109" i="7" s="1"/>
  <c r="Y128" i="7" s="1"/>
  <c r="Y180" i="7" s="1"/>
  <c r="Y199" i="7" s="1"/>
  <c r="Y218" i="7" s="1"/>
  <c r="Y271" i="7" s="1"/>
  <c r="Y323" i="7" s="1"/>
  <c r="Y375" i="7" s="1"/>
  <c r="Y394" i="7" s="1"/>
  <c r="Y413" i="7" s="1"/>
  <c r="Y465" i="7" s="1"/>
  <c r="Y519" i="7" s="1"/>
  <c r="Y577" i="7" s="1"/>
  <c r="Y682" i="7" s="1"/>
  <c r="Y736" i="7" s="1"/>
  <c r="Y797" i="7" s="1"/>
  <c r="Y852" i="7" s="1"/>
  <c r="Z35" i="7"/>
  <c r="Z90" i="7" s="1"/>
  <c r="Z109" i="7" s="1"/>
  <c r="Z128" i="7" s="1"/>
  <c r="Z180" i="7" s="1"/>
  <c r="Z199" i="7" s="1"/>
  <c r="Z218" i="7" s="1"/>
  <c r="Z271" i="7" s="1"/>
  <c r="Z323" i="7" s="1"/>
  <c r="Z375" i="7" s="1"/>
  <c r="Z394" i="7" s="1"/>
  <c r="Z413" i="7" s="1"/>
  <c r="Z465" i="7" s="1"/>
  <c r="Z519" i="7" s="1"/>
  <c r="Z577" i="7" s="1"/>
  <c r="Z682" i="7" s="1"/>
  <c r="Z736" i="7" s="1"/>
  <c r="Z797" i="7" s="1"/>
  <c r="Z852" i="7" s="1"/>
  <c r="AB35" i="7"/>
  <c r="AB90" i="7" s="1"/>
  <c r="AB109" i="7" s="1"/>
  <c r="AB128" i="7" s="1"/>
  <c r="AB180" i="7" s="1"/>
  <c r="AB199" i="7" s="1"/>
  <c r="AB218" i="7" s="1"/>
  <c r="AB271" i="7" s="1"/>
  <c r="AB323" i="7" s="1"/>
  <c r="AB375" i="7" s="1"/>
  <c r="AB394" i="7" s="1"/>
  <c r="AB413" i="7" s="1"/>
  <c r="AB465" i="7" s="1"/>
  <c r="AB519" i="7" s="1"/>
  <c r="AB577" i="7" s="1"/>
  <c r="AB682" i="7" s="1"/>
  <c r="AB736" i="7" s="1"/>
  <c r="AB797" i="7" s="1"/>
  <c r="AB852" i="7" s="1"/>
  <c r="AC35" i="7"/>
  <c r="AC90" i="7" s="1"/>
  <c r="AC109" i="7" s="1"/>
  <c r="AC128" i="7" s="1"/>
  <c r="AC180" i="7" s="1"/>
  <c r="AC199" i="7" s="1"/>
  <c r="AC218" i="7" s="1"/>
  <c r="AC271" i="7" s="1"/>
  <c r="AC323" i="7" s="1"/>
  <c r="AC375" i="7" s="1"/>
  <c r="AC394" i="7" s="1"/>
  <c r="AC413" i="7" s="1"/>
  <c r="AC465" i="7" s="1"/>
  <c r="AC519" i="7" s="1"/>
  <c r="AC577" i="7" s="1"/>
  <c r="AC682" i="7" s="1"/>
  <c r="AC736" i="7" s="1"/>
  <c r="AC797" i="7" s="1"/>
  <c r="AC852" i="7" s="1"/>
  <c r="AD35" i="7"/>
  <c r="AD90" i="7" s="1"/>
  <c r="AD109" i="7" s="1"/>
  <c r="AD128" i="7" s="1"/>
  <c r="AD180" i="7" s="1"/>
  <c r="AD199" i="7" s="1"/>
  <c r="AD218" i="7" s="1"/>
  <c r="AD271" i="7" s="1"/>
  <c r="AD323" i="7" s="1"/>
  <c r="AD375" i="7" s="1"/>
  <c r="AD394" i="7" s="1"/>
  <c r="AD413" i="7" s="1"/>
  <c r="AD465" i="7" s="1"/>
  <c r="AD519" i="7" s="1"/>
  <c r="AD577" i="7" s="1"/>
  <c r="AD682" i="7" s="1"/>
  <c r="AD736" i="7" s="1"/>
  <c r="AD797" i="7" s="1"/>
  <c r="AD852" i="7" s="1"/>
  <c r="AE35" i="7"/>
  <c r="AE90" i="7" s="1"/>
  <c r="AE109" i="7" s="1"/>
  <c r="AE128" i="7" s="1"/>
  <c r="AG35" i="7"/>
  <c r="AG90" i="7" s="1"/>
  <c r="AG109" i="7" s="1"/>
  <c r="AG128" i="7" s="1"/>
  <c r="AG180" i="7" s="1"/>
  <c r="AG199" i="7" s="1"/>
  <c r="AG218" i="7" s="1"/>
  <c r="AG271" i="7" s="1"/>
  <c r="AG323" i="7" s="1"/>
  <c r="AG375" i="7" s="1"/>
  <c r="AG394" i="7" s="1"/>
  <c r="AG413" i="7" s="1"/>
  <c r="AG465" i="7" s="1"/>
  <c r="AG519" i="7" s="1"/>
  <c r="AG577" i="7" s="1"/>
  <c r="AG682" i="7" s="1"/>
  <c r="AG736" i="7" s="1"/>
  <c r="AG797" i="7" s="1"/>
  <c r="AG852" i="7" s="1"/>
  <c r="AH35" i="7"/>
  <c r="AH90" i="7" s="1"/>
  <c r="AH109" i="7" s="1"/>
  <c r="AH128" i="7" s="1"/>
  <c r="AH180" i="7" s="1"/>
  <c r="AH199" i="7" s="1"/>
  <c r="AH218" i="7" s="1"/>
  <c r="AH271" i="7" s="1"/>
  <c r="AH323" i="7" s="1"/>
  <c r="AH375" i="7" s="1"/>
  <c r="AH394" i="7" s="1"/>
  <c r="AH413" i="7" s="1"/>
  <c r="AH465" i="7" s="1"/>
  <c r="AH519" i="7" s="1"/>
  <c r="AH577" i="7" s="1"/>
  <c r="AH682" i="7" s="1"/>
  <c r="AH736" i="7" s="1"/>
  <c r="AH797" i="7" s="1"/>
  <c r="AH852" i="7" s="1"/>
  <c r="AI35" i="7"/>
  <c r="AI90" i="7" s="1"/>
  <c r="AI109" i="7" s="1"/>
  <c r="AI128" i="7" s="1"/>
  <c r="AI180" i="7" s="1"/>
  <c r="AI199" i="7" s="1"/>
  <c r="AI218" i="7" s="1"/>
  <c r="AI271" i="7" s="1"/>
  <c r="AI323" i="7" s="1"/>
  <c r="AI375" i="7" s="1"/>
  <c r="AI394" i="7" s="1"/>
  <c r="AI413" i="7" s="1"/>
  <c r="AI465" i="7" s="1"/>
  <c r="AI519" i="7" s="1"/>
  <c r="AI577" i="7" s="1"/>
  <c r="AI682" i="7" s="1"/>
  <c r="AI736" i="7" s="1"/>
  <c r="AI797" i="7" s="1"/>
  <c r="AI852" i="7" s="1"/>
  <c r="AJ35" i="7"/>
  <c r="AJ90" i="7" s="1"/>
  <c r="AJ109" i="7" s="1"/>
  <c r="AJ128" i="7" s="1"/>
  <c r="AJ180" i="7" s="1"/>
  <c r="AJ199" i="7" s="1"/>
  <c r="AJ218" i="7" s="1"/>
  <c r="AJ271" i="7" s="1"/>
  <c r="AJ323" i="7" s="1"/>
  <c r="AJ375" i="7" s="1"/>
  <c r="AJ394" i="7" s="1"/>
  <c r="AJ413" i="7" s="1"/>
  <c r="AJ465" i="7" s="1"/>
  <c r="AJ519" i="7" s="1"/>
  <c r="AJ577" i="7" s="1"/>
  <c r="AJ682" i="7" s="1"/>
  <c r="AJ736" i="7" s="1"/>
  <c r="AJ797" i="7" s="1"/>
  <c r="AJ852" i="7" s="1"/>
  <c r="AU119" i="10"/>
  <c r="AU223" i="7"/>
  <c r="AU120" i="10" s="1"/>
  <c r="AU418" i="7"/>
  <c r="AP133" i="7"/>
  <c r="AP119" i="10" s="1"/>
  <c r="AP223" i="7"/>
  <c r="AP120" i="10" s="1"/>
  <c r="AP418" i="7"/>
  <c r="AP123" i="10" s="1"/>
  <c r="AK133" i="7"/>
  <c r="AK119" i="10" s="1"/>
  <c r="AK223" i="7"/>
  <c r="AK120" i="10" s="1"/>
  <c r="AK418" i="7"/>
  <c r="AK123" i="10" s="1"/>
  <c r="AF133" i="7"/>
  <c r="AF119" i="10" s="1"/>
  <c r="AF223" i="7"/>
  <c r="AF120" i="10" s="1"/>
  <c r="AF418" i="7"/>
  <c r="AF123" i="10" s="1"/>
  <c r="AA133" i="7"/>
  <c r="AA223" i="7"/>
  <c r="AA120" i="10" s="1"/>
  <c r="AA418" i="7"/>
  <c r="AA123" i="10" s="1"/>
  <c r="AU124" i="10"/>
  <c r="AU122" i="10"/>
  <c r="AU121" i="10"/>
  <c r="C18" i="9"/>
  <c r="D11" i="9" s="1"/>
  <c r="D18" i="9" s="1"/>
  <c r="E11" i="9" s="1"/>
  <c r="E18" i="9" s="1"/>
  <c r="F11" i="9" s="1"/>
  <c r="F18" i="9" s="1"/>
  <c r="G11" i="9" s="1"/>
  <c r="G18" i="9" s="1"/>
  <c r="L11" i="9" s="1"/>
  <c r="L18" i="9" s="1"/>
  <c r="Q11" i="9" s="1"/>
  <c r="Q18" i="9" s="1"/>
  <c r="V11" i="9" s="1"/>
  <c r="V18" i="9" s="1"/>
  <c r="AA11" i="9" s="1"/>
  <c r="AA18" i="9" s="1"/>
  <c r="AF11" i="9" s="1"/>
  <c r="AF18" i="9" s="1"/>
  <c r="AK11" i="9" s="1"/>
  <c r="AK18" i="9" s="1"/>
  <c r="C72" i="9"/>
  <c r="D65" i="9" s="1"/>
  <c r="D72" i="9" s="1"/>
  <c r="E65" i="9" s="1"/>
  <c r="E72" i="9" s="1"/>
  <c r="AA134" i="7"/>
  <c r="AA224" i="7"/>
  <c r="AA419" i="7"/>
  <c r="AA135" i="7"/>
  <c r="AA225" i="7"/>
  <c r="AA420" i="7"/>
  <c r="AF134" i="7"/>
  <c r="AF224" i="7"/>
  <c r="AF419" i="7"/>
  <c r="AF135" i="7"/>
  <c r="AF225" i="7"/>
  <c r="AF420" i="7"/>
  <c r="AF146" i="7"/>
  <c r="AK134" i="7"/>
  <c r="AK224" i="7"/>
  <c r="AK419" i="7"/>
  <c r="AK135" i="7"/>
  <c r="AK225" i="7"/>
  <c r="AK420" i="7"/>
  <c r="AK145" i="7"/>
  <c r="AK235" i="7"/>
  <c r="AK288" i="7"/>
  <c r="AK289" i="7"/>
  <c r="AK340" i="7"/>
  <c r="AP134" i="7"/>
  <c r="AP224" i="7"/>
  <c r="AP419" i="7"/>
  <c r="AP135" i="7"/>
  <c r="AP225" i="7"/>
  <c r="AP420" i="7"/>
  <c r="AU420" i="7"/>
  <c r="AA136" i="7"/>
  <c r="AA226" i="7"/>
  <c r="AA421" i="7"/>
  <c r="AF136" i="7"/>
  <c r="AF226" i="7"/>
  <c r="AF421" i="7"/>
  <c r="AK136" i="7"/>
  <c r="AK226" i="7"/>
  <c r="AK421" i="7"/>
  <c r="AP136" i="7"/>
  <c r="AP226" i="7"/>
  <c r="AP421" i="7"/>
  <c r="AU226" i="7"/>
  <c r="AU421" i="7"/>
  <c r="AA141" i="7"/>
  <c r="CI165" i="7" s="1"/>
  <c r="AA231" i="7"/>
  <c r="AA426" i="7"/>
  <c r="AA129" i="7"/>
  <c r="AA219" i="7"/>
  <c r="AA414" i="7"/>
  <c r="AA130" i="7"/>
  <c r="AA220" i="7"/>
  <c r="AA415" i="7"/>
  <c r="AA137" i="7"/>
  <c r="AA227" i="7"/>
  <c r="AA422" i="7"/>
  <c r="AA138" i="7"/>
  <c r="AA228" i="7"/>
  <c r="AA423" i="7"/>
  <c r="AF141" i="7"/>
  <c r="CI166" i="7" s="1"/>
  <c r="AF231" i="7"/>
  <c r="AF426" i="7"/>
  <c r="AF129" i="7"/>
  <c r="AF219" i="7"/>
  <c r="AF414" i="7"/>
  <c r="AF130" i="7"/>
  <c r="AF220" i="7"/>
  <c r="AF415" i="7"/>
  <c r="AF137" i="7"/>
  <c r="AF227" i="7"/>
  <c r="AF422" i="7"/>
  <c r="AF138" i="7"/>
  <c r="AF228" i="7"/>
  <c r="AF423" i="7"/>
  <c r="AK141" i="7"/>
  <c r="CI167" i="7" s="1"/>
  <c r="AK231" i="7"/>
  <c r="AK426" i="7"/>
  <c r="AK129" i="7"/>
  <c r="AK130" i="7"/>
  <c r="AK219" i="7"/>
  <c r="AK220" i="7"/>
  <c r="AK274" i="7"/>
  <c r="AK282" i="7" s="1"/>
  <c r="AK326" i="7"/>
  <c r="AK334" i="7" s="1"/>
  <c r="AK370" i="7" s="1"/>
  <c r="AK414" i="7"/>
  <c r="AK415" i="7"/>
  <c r="AK468" i="7"/>
  <c r="AK476" i="7" s="1"/>
  <c r="AK512" i="7" s="1"/>
  <c r="AK137" i="7"/>
  <c r="AK227" i="7"/>
  <c r="AK422" i="7"/>
  <c r="AK138" i="7"/>
  <c r="AK228" i="7"/>
  <c r="AK423" i="7"/>
  <c r="AP141" i="7"/>
  <c r="CI168" i="7" s="1"/>
  <c r="AP231" i="7"/>
  <c r="AP426" i="7"/>
  <c r="AP129" i="7"/>
  <c r="AP130" i="7"/>
  <c r="AP219" i="7"/>
  <c r="AP220" i="7"/>
  <c r="AP274" i="7"/>
  <c r="AP414" i="7"/>
  <c r="AP415" i="7"/>
  <c r="AP138" i="7"/>
  <c r="AP228" i="7"/>
  <c r="AP423" i="7"/>
  <c r="AU231" i="7"/>
  <c r="AU426" i="7"/>
  <c r="AU414" i="7"/>
  <c r="AU415" i="7"/>
  <c r="AU228" i="7"/>
  <c r="AU423" i="7"/>
  <c r="AU216" i="9"/>
  <c r="AU210" i="9" s="1"/>
  <c r="AU217" i="9"/>
  <c r="AU211" i="9" s="1"/>
  <c r="AP216" i="9"/>
  <c r="AP210" i="9" s="1"/>
  <c r="AP217" i="9"/>
  <c r="AP211" i="9" s="1"/>
  <c r="AK216" i="9"/>
  <c r="AK210" i="9" s="1"/>
  <c r="AK217" i="9"/>
  <c r="AK211" i="9" s="1"/>
  <c r="AF216" i="9"/>
  <c r="AF210" i="9" s="1"/>
  <c r="AF217" i="9"/>
  <c r="AF211" i="9" s="1"/>
  <c r="AA216" i="9"/>
  <c r="AA210" i="9" s="1"/>
  <c r="AA217" i="9"/>
  <c r="AA211" i="9" s="1"/>
  <c r="D217" i="9"/>
  <c r="D211" i="9" s="1"/>
  <c r="D216" i="9"/>
  <c r="D210" i="9" s="1"/>
  <c r="E217" i="9"/>
  <c r="E211" i="9" s="1"/>
  <c r="E216" i="9"/>
  <c r="E210" i="9" s="1"/>
  <c r="F217" i="9"/>
  <c r="F211" i="9" s="1"/>
  <c r="F216" i="9"/>
  <c r="F210" i="9" s="1"/>
  <c r="G217" i="9"/>
  <c r="G211" i="9" s="1"/>
  <c r="G216" i="9"/>
  <c r="G210" i="9" s="1"/>
  <c r="L217" i="9"/>
  <c r="L211" i="9" s="1"/>
  <c r="L216" i="9"/>
  <c r="L210" i="9" s="1"/>
  <c r="Q217" i="9"/>
  <c r="Q211" i="9" s="1"/>
  <c r="Q216" i="9"/>
  <c r="Q210" i="9" s="1"/>
  <c r="V217" i="9"/>
  <c r="V211" i="9" s="1"/>
  <c r="V216" i="9"/>
  <c r="V210" i="9" s="1"/>
  <c r="AU205" i="9"/>
  <c r="AU201" i="9"/>
  <c r="AU85" i="10"/>
  <c r="AU220" i="9"/>
  <c r="AF58" i="7"/>
  <c r="AF57" i="7"/>
  <c r="AP58" i="7"/>
  <c r="AF468" i="7"/>
  <c r="AA468" i="7"/>
  <c r="AA476" i="7" s="1"/>
  <c r="AA479" i="7" s="1"/>
  <c r="AF326" i="7"/>
  <c r="AF334" i="7" s="1"/>
  <c r="AA326" i="7"/>
  <c r="AA334" i="7" s="1"/>
  <c r="AF274" i="7"/>
  <c r="AF282" i="7" s="1"/>
  <c r="AA274" i="7"/>
  <c r="AA282" i="7" s="1"/>
  <c r="AA318" i="7" s="1"/>
  <c r="AA58" i="7"/>
  <c r="AA57" i="7"/>
  <c r="AP205" i="9"/>
  <c r="AK205" i="9"/>
  <c r="AF205" i="9"/>
  <c r="AA205" i="9"/>
  <c r="AP201" i="9"/>
  <c r="AK201" i="9"/>
  <c r="AF201" i="9"/>
  <c r="AA201" i="9"/>
  <c r="AP85" i="10"/>
  <c r="AK85" i="10"/>
  <c r="AF85" i="10"/>
  <c r="AA85" i="10"/>
  <c r="AP220" i="9"/>
  <c r="AK220" i="9"/>
  <c r="AF220" i="9"/>
  <c r="AA220" i="9"/>
  <c r="AK166" i="9"/>
  <c r="AK156" i="9"/>
  <c r="AK146" i="9"/>
  <c r="AK140" i="9"/>
  <c r="AQ22" i="7"/>
  <c r="AR22" i="7"/>
  <c r="AS22" i="7"/>
  <c r="AT22" i="7"/>
  <c r="AU25" i="7"/>
  <c r="AU22" i="7"/>
  <c r="AU520" i="7"/>
  <c r="AU521" i="7"/>
  <c r="AU524" i="7"/>
  <c r="AU525" i="7"/>
  <c r="AU526" i="7"/>
  <c r="AU527" i="7"/>
  <c r="AU528" i="7"/>
  <c r="AU529" i="7"/>
  <c r="AU532" i="7"/>
  <c r="AU580" i="7"/>
  <c r="AU588" i="7" s="1"/>
  <c r="AU591" i="7" s="1"/>
  <c r="AU594" i="7" s="1"/>
  <c r="AU685" i="7"/>
  <c r="AU728" i="7" s="1"/>
  <c r="AU800" i="7"/>
  <c r="AU841" i="7" s="1"/>
  <c r="AU537" i="7"/>
  <c r="AU739" i="7"/>
  <c r="AU788" i="7" s="1"/>
  <c r="AP528" i="7"/>
  <c r="AU536" i="7"/>
  <c r="AU535" i="7"/>
  <c r="AP520" i="7"/>
  <c r="AP521" i="7"/>
  <c r="AU476" i="7"/>
  <c r="AU512" i="7" s="1"/>
  <c r="AU510" i="7"/>
  <c r="AU509" i="7"/>
  <c r="AU508" i="7"/>
  <c r="AU506" i="7"/>
  <c r="AU505" i="7"/>
  <c r="AU206" i="9"/>
  <c r="AU202" i="9"/>
  <c r="AU56" i="9"/>
  <c r="AU99" i="9"/>
  <c r="AF35" i="9"/>
  <c r="AF42" i="9" s="1"/>
  <c r="AK35" i="9" s="1"/>
  <c r="AK42" i="9" s="1"/>
  <c r="AP35" i="9" s="1"/>
  <c r="AP42" i="9" s="1"/>
  <c r="AU35" i="9" s="1"/>
  <c r="AU42" i="9" s="1"/>
  <c r="AZ35" i="9" s="1"/>
  <c r="AZ42" i="9" s="1"/>
  <c r="C30" i="9"/>
  <c r="D23" i="9" s="1"/>
  <c r="D30" i="9" s="1"/>
  <c r="E23" i="9" s="1"/>
  <c r="E30" i="9" s="1"/>
  <c r="F23" i="9" s="1"/>
  <c r="F30" i="9" s="1"/>
  <c r="G23" i="9" s="1"/>
  <c r="G30" i="9" s="1"/>
  <c r="L23" i="9" s="1"/>
  <c r="L30" i="9" s="1"/>
  <c r="Q23" i="9" s="1"/>
  <c r="Q30" i="9" s="1"/>
  <c r="V23" i="9" s="1"/>
  <c r="V30" i="9" s="1"/>
  <c r="AA23" i="9" s="1"/>
  <c r="AA30" i="9" s="1"/>
  <c r="AF23" i="9" s="1"/>
  <c r="AF30" i="9" s="1"/>
  <c r="AK23" i="9" s="1"/>
  <c r="AK30" i="9" s="1"/>
  <c r="AP23" i="9" s="1"/>
  <c r="AP30" i="9" s="1"/>
  <c r="AU23" i="9" s="1"/>
  <c r="AU30" i="9" s="1"/>
  <c r="AZ23" i="9" s="1"/>
  <c r="AU397" i="7"/>
  <c r="AU405" i="7" s="1"/>
  <c r="AU408" i="7" s="1"/>
  <c r="AU386" i="7"/>
  <c r="AU389" i="7" s="1"/>
  <c r="AU334" i="7"/>
  <c r="AU337" i="7" s="1"/>
  <c r="AU368" i="7"/>
  <c r="AU367" i="7"/>
  <c r="AU366" i="7"/>
  <c r="AU365" i="7"/>
  <c r="AU364" i="7"/>
  <c r="AU363" i="7"/>
  <c r="AU202" i="7"/>
  <c r="AU210" i="7" s="1"/>
  <c r="AU213" i="7" s="1"/>
  <c r="AU183" i="7"/>
  <c r="AU191" i="7" s="1"/>
  <c r="AU194" i="7" s="1"/>
  <c r="AU112" i="7"/>
  <c r="AU120" i="7" s="1"/>
  <c r="AU123" i="7" s="1"/>
  <c r="AU93" i="7"/>
  <c r="AU101" i="7" s="1"/>
  <c r="AU104" i="7" s="1"/>
  <c r="AP507" i="7"/>
  <c r="AU71" i="10"/>
  <c r="AR70" i="11"/>
  <c r="AR86" i="11"/>
  <c r="AR72" i="11" s="1"/>
  <c r="AR73" i="11"/>
  <c r="AS86" i="11"/>
  <c r="AS72" i="11" s="1"/>
  <c r="AS73" i="11"/>
  <c r="AT86" i="11"/>
  <c r="AT72" i="11" s="1"/>
  <c r="AT73" i="11"/>
  <c r="AT164" i="1"/>
  <c r="AT165" i="1" s="1"/>
  <c r="U475" i="2"/>
  <c r="AU234" i="1" s="1"/>
  <c r="U466" i="2"/>
  <c r="AU236" i="1" s="1"/>
  <c r="U476" i="2"/>
  <c r="AU240" i="1" s="1"/>
  <c r="U459" i="2"/>
  <c r="AU241" i="1" s="1"/>
  <c r="U404" i="2"/>
  <c r="AU191" i="1" s="1"/>
  <c r="U407" i="2"/>
  <c r="AU192" i="1" s="1"/>
  <c r="U458" i="2"/>
  <c r="AU247" i="1" s="1"/>
  <c r="U461" i="2"/>
  <c r="AU248" i="1" s="1"/>
  <c r="U474" i="2"/>
  <c r="AU249" i="1" s="1"/>
  <c r="U340" i="2"/>
  <c r="U453" i="2"/>
  <c r="AU255" i="1" s="1"/>
  <c r="U456" i="2"/>
  <c r="AU261" i="1" s="1"/>
  <c r="U460" i="2"/>
  <c r="AU262" i="1" s="1"/>
  <c r="U413" i="2"/>
  <c r="AU209" i="1" s="1"/>
  <c r="U463" i="2"/>
  <c r="AU263" i="1" s="1"/>
  <c r="U414" i="2"/>
  <c r="AU210" i="1" s="1"/>
  <c r="U415" i="2"/>
  <c r="AU211" i="1" s="1"/>
  <c r="U465" i="2"/>
  <c r="AU265" i="1" s="1"/>
  <c r="U471" i="2"/>
  <c r="AU267" i="1" s="1"/>
  <c r="U422" i="2"/>
  <c r="AU214" i="1" s="1"/>
  <c r="U310" i="2"/>
  <c r="U311" i="2"/>
  <c r="U312" i="2"/>
  <c r="U313" i="2"/>
  <c r="U315" i="2"/>
  <c r="U316" i="2"/>
  <c r="U317" i="2"/>
  <c r="U318" i="2"/>
  <c r="U319" i="2"/>
  <c r="U320" i="2"/>
  <c r="U322" i="2"/>
  <c r="U323" i="2"/>
  <c r="U324" i="2"/>
  <c r="U325" i="2"/>
  <c r="U326" i="2"/>
  <c r="U327" i="2"/>
  <c r="U328" i="2"/>
  <c r="U329" i="2"/>
  <c r="U331" i="2"/>
  <c r="U332" i="2"/>
  <c r="U333" i="2"/>
  <c r="U334" i="2"/>
  <c r="U337" i="2"/>
  <c r="U338" i="2"/>
  <c r="U339" i="2"/>
  <c r="U473" i="2"/>
  <c r="AU269" i="1" s="1"/>
  <c r="U478" i="2"/>
  <c r="AU270" i="1" s="1"/>
  <c r="U341" i="2"/>
  <c r="U455" i="2"/>
  <c r="AU275" i="1" s="1"/>
  <c r="U470" i="2"/>
  <c r="AU276" i="1" s="1"/>
  <c r="U401" i="2"/>
  <c r="AU206" i="1" s="1"/>
  <c r="U451" i="2"/>
  <c r="AU260" i="1" s="1"/>
  <c r="AT164" i="4"/>
  <c r="AT165" i="4" s="1"/>
  <c r="AS164" i="4"/>
  <c r="AS165" i="4" s="1"/>
  <c r="AR164" i="4"/>
  <c r="AR165" i="4" s="1"/>
  <c r="AQ164" i="4"/>
  <c r="AU25" i="10"/>
  <c r="AU45" i="11"/>
  <c r="AQ21" i="10"/>
  <c r="AR21" i="10"/>
  <c r="AS21" i="10"/>
  <c r="AT21" i="10"/>
  <c r="Q19" i="11"/>
  <c r="V12" i="11" s="1"/>
  <c r="AQ34" i="11"/>
  <c r="AR34" i="11"/>
  <c r="AS34" i="11"/>
  <c r="AT34" i="11"/>
  <c r="AU35" i="11"/>
  <c r="AU39" i="11"/>
  <c r="AU38" i="11"/>
  <c r="AU26" i="11"/>
  <c r="Q26" i="11"/>
  <c r="Q30" i="11" s="1"/>
  <c r="V23" i="11" s="1"/>
  <c r="V26" i="11"/>
  <c r="V68" i="12" s="1"/>
  <c r="AK26" i="11"/>
  <c r="AK68" i="12" s="1"/>
  <c r="E27" i="39"/>
  <c r="F27" i="39" s="1"/>
  <c r="E22" i="39"/>
  <c r="E24" i="39" s="1"/>
  <c r="T168" i="13"/>
  <c r="CJ183" i="13" s="1"/>
  <c r="U168" i="13"/>
  <c r="CJ184" i="13" s="1"/>
  <c r="W168" i="13"/>
  <c r="CJ185" i="13" s="1"/>
  <c r="X168" i="13"/>
  <c r="CJ186" i="13" s="1"/>
  <c r="Z168" i="13"/>
  <c r="CJ187" i="13" s="1"/>
  <c r="AB168" i="13"/>
  <c r="CJ188" i="13" s="1"/>
  <c r="AC144" i="13"/>
  <c r="AC168" i="13" s="1"/>
  <c r="CJ189" i="13" s="1"/>
  <c r="AD144" i="13"/>
  <c r="AD168" i="13" s="1"/>
  <c r="AE144" i="13"/>
  <c r="AE168" i="13" s="1"/>
  <c r="CJ191" i="13" s="1"/>
  <c r="AG144" i="13"/>
  <c r="AG168" i="13" s="1"/>
  <c r="AH144" i="13"/>
  <c r="AH168" i="13" s="1"/>
  <c r="CJ193" i="13" s="1"/>
  <c r="AI144" i="13"/>
  <c r="AI168" i="13" s="1"/>
  <c r="CJ194" i="13" s="1"/>
  <c r="AJ144" i="13"/>
  <c r="AJ168" i="13" s="1"/>
  <c r="AL144" i="13"/>
  <c r="AL168" i="13" s="1"/>
  <c r="AM144" i="13"/>
  <c r="AM168" i="13" s="1"/>
  <c r="CJ197" i="13" s="1"/>
  <c r="AN144" i="13"/>
  <c r="AN168" i="13" s="1"/>
  <c r="CJ198" i="13" s="1"/>
  <c r="AO144" i="13"/>
  <c r="AO168" i="13" s="1"/>
  <c r="AQ144" i="13"/>
  <c r="AQ168" i="13" s="1"/>
  <c r="AR144" i="13"/>
  <c r="AR168" i="13" s="1"/>
  <c r="CJ201" i="13" s="1"/>
  <c r="AS144" i="13"/>
  <c r="AS168" i="13" s="1"/>
  <c r="CJ202" i="13" s="1"/>
  <c r="AT144" i="13"/>
  <c r="AT168" i="13" s="1"/>
  <c r="CJ203" i="13" s="1"/>
  <c r="AT50" i="47"/>
  <c r="AT51" i="47"/>
  <c r="T171" i="13"/>
  <c r="CK183" i="13" s="1"/>
  <c r="U171" i="13"/>
  <c r="CK184" i="13" s="1"/>
  <c r="W171" i="13"/>
  <c r="CK185" i="13" s="1"/>
  <c r="X171" i="13"/>
  <c r="CK186" i="13" s="1"/>
  <c r="Z171" i="13"/>
  <c r="CK187" i="13" s="1"/>
  <c r="AB171" i="13"/>
  <c r="CK188" i="13" s="1"/>
  <c r="AC26" i="47"/>
  <c r="AC31" i="47" s="1"/>
  <c r="AC150" i="13" s="1"/>
  <c r="AD26" i="47"/>
  <c r="AE26" i="47"/>
  <c r="AE31" i="47" s="1"/>
  <c r="AE150" i="13" s="1"/>
  <c r="AG26" i="47"/>
  <c r="AG31" i="47" s="1"/>
  <c r="AG150" i="13" s="1"/>
  <c r="AH28" i="47"/>
  <c r="AH26" i="47" s="1"/>
  <c r="AI147" i="13"/>
  <c r="AI171" i="13" s="1"/>
  <c r="AJ147" i="13"/>
  <c r="AJ171" i="13" s="1"/>
  <c r="AK171" i="13" s="1"/>
  <c r="AL147" i="13"/>
  <c r="AL171" i="13" s="1"/>
  <c r="CK196" i="13" s="1"/>
  <c r="AM147" i="13"/>
  <c r="AM171" i="13" s="1"/>
  <c r="AN147" i="13"/>
  <c r="AN171" i="13" s="1"/>
  <c r="CK198" i="13" s="1"/>
  <c r="AO147" i="13"/>
  <c r="AO171" i="13" s="1"/>
  <c r="AQ147" i="13"/>
  <c r="AQ171" i="13" s="1"/>
  <c r="AR147" i="13"/>
  <c r="AR171" i="13" s="1"/>
  <c r="CK201" i="13" s="1"/>
  <c r="AS147" i="13"/>
  <c r="AS171" i="13" s="1"/>
  <c r="AT147" i="13"/>
  <c r="AT171" i="13" s="1"/>
  <c r="AF38" i="14"/>
  <c r="AF15" i="14"/>
  <c r="AF25" i="14" s="1"/>
  <c r="AA38" i="14"/>
  <c r="AA15" i="14"/>
  <c r="AA25" i="14" s="1"/>
  <c r="AA127" i="14" s="1"/>
  <c r="V38" i="14"/>
  <c r="V15" i="14"/>
  <c r="V25" i="14" s="1"/>
  <c r="Q38" i="14"/>
  <c r="Q15" i="14"/>
  <c r="Q25" i="14" s="1"/>
  <c r="Q127" i="14" s="1"/>
  <c r="L25" i="27"/>
  <c r="L66" i="27" s="1"/>
  <c r="H26" i="27"/>
  <c r="H83" i="27" s="1"/>
  <c r="I26" i="27"/>
  <c r="J26" i="27"/>
  <c r="K26" i="27"/>
  <c r="K83" i="27" s="1"/>
  <c r="L15" i="14"/>
  <c r="L25" i="14" s="1"/>
  <c r="AF159" i="12"/>
  <c r="AC39" i="12"/>
  <c r="AA159" i="12"/>
  <c r="AA39" i="12"/>
  <c r="V159" i="12"/>
  <c r="V39" i="12"/>
  <c r="Q159" i="12"/>
  <c r="Q39" i="12"/>
  <c r="N39" i="12" s="1"/>
  <c r="L159" i="12"/>
  <c r="L39" i="12"/>
  <c r="I39" i="12" s="1"/>
  <c r="AK10" i="14"/>
  <c r="AP10" i="14"/>
  <c r="AU10" i="14"/>
  <c r="CJ14" i="14"/>
  <c r="CJ15" i="14"/>
  <c r="CJ16" i="14"/>
  <c r="CJ17" i="14"/>
  <c r="CJ18" i="14"/>
  <c r="CJ19" i="14"/>
  <c r="CJ20" i="14"/>
  <c r="CJ21" i="14"/>
  <c r="CJ22" i="14"/>
  <c r="CJ23" i="14"/>
  <c r="CJ24" i="14"/>
  <c r="CJ25" i="14"/>
  <c r="CJ26" i="14"/>
  <c r="CJ27" i="14"/>
  <c r="CJ28" i="14"/>
  <c r="CJ29" i="14"/>
  <c r="CJ30" i="14"/>
  <c r="CJ31" i="14"/>
  <c r="CJ32" i="14"/>
  <c r="CJ33" i="14"/>
  <c r="CJ34" i="14"/>
  <c r="CJ35" i="14"/>
  <c r="CJ36" i="14"/>
  <c r="CJ37" i="14"/>
  <c r="CJ38" i="14"/>
  <c r="CJ39" i="14"/>
  <c r="CJ40" i="14"/>
  <c r="CJ41" i="14"/>
  <c r="CJ42" i="14"/>
  <c r="CJ43" i="14"/>
  <c r="CJ44" i="14"/>
  <c r="CJ61" i="14"/>
  <c r="AK13" i="14"/>
  <c r="AP13" i="14"/>
  <c r="AU13" i="14"/>
  <c r="AK14" i="14"/>
  <c r="AP14" i="14"/>
  <c r="AU14" i="14"/>
  <c r="AZ14" i="14"/>
  <c r="BJ14" i="14"/>
  <c r="G17" i="27"/>
  <c r="G22" i="27" s="1"/>
  <c r="G15" i="14"/>
  <c r="G25" i="14" s="1"/>
  <c r="G126" i="14" s="1"/>
  <c r="L33" i="27"/>
  <c r="L34" i="27"/>
  <c r="L36" i="27"/>
  <c r="L38" i="27"/>
  <c r="L39" i="27"/>
  <c r="L17" i="27"/>
  <c r="L22" i="27" s="1"/>
  <c r="L55" i="14" s="1"/>
  <c r="L15" i="37" s="1"/>
  <c r="Q33" i="27"/>
  <c r="Q34" i="27"/>
  <c r="Q36" i="27"/>
  <c r="Q38" i="27"/>
  <c r="Q17" i="27"/>
  <c r="Q22" i="27" s="1"/>
  <c r="Q55" i="14" s="1"/>
  <c r="Q15" i="37" s="1"/>
  <c r="Q18" i="37" s="1"/>
  <c r="V33" i="27"/>
  <c r="V34" i="27"/>
  <c r="V36" i="27"/>
  <c r="V38" i="27"/>
  <c r="V17" i="27"/>
  <c r="AA34" i="27"/>
  <c r="AA36" i="27"/>
  <c r="AA38" i="27"/>
  <c r="AA17" i="27"/>
  <c r="AA22" i="27" s="1"/>
  <c r="AF34" i="27"/>
  <c r="AF36" i="27"/>
  <c r="AF38" i="27"/>
  <c r="AF17" i="27"/>
  <c r="AF22" i="27" s="1"/>
  <c r="AK21" i="14"/>
  <c r="AK24" i="14"/>
  <c r="AK17" i="14"/>
  <c r="AP21" i="14"/>
  <c r="AP24" i="14"/>
  <c r="AP17" i="14"/>
  <c r="AU21" i="14"/>
  <c r="AU24" i="14"/>
  <c r="AU17" i="14"/>
  <c r="L37" i="27"/>
  <c r="Q37" i="27"/>
  <c r="V37" i="27"/>
  <c r="AA37" i="27"/>
  <c r="AF37" i="27"/>
  <c r="AK18" i="14"/>
  <c r="AP18" i="14"/>
  <c r="AU18" i="14"/>
  <c r="AK19" i="14"/>
  <c r="AP19" i="14"/>
  <c r="AU19" i="14"/>
  <c r="AP22" i="14"/>
  <c r="AU22" i="14"/>
  <c r="AK23" i="14"/>
  <c r="AP23" i="14"/>
  <c r="AU23" i="14"/>
  <c r="G51" i="27"/>
  <c r="G72" i="14" s="1"/>
  <c r="G52" i="27"/>
  <c r="G73" i="14" s="1"/>
  <c r="G54" i="27"/>
  <c r="G55" i="27"/>
  <c r="G56" i="27"/>
  <c r="G77" i="14" s="1"/>
  <c r="G57" i="27"/>
  <c r="G78" i="14" s="1"/>
  <c r="H51" i="27"/>
  <c r="I51" i="27"/>
  <c r="J51" i="27"/>
  <c r="K51" i="27"/>
  <c r="K72" i="14" s="1"/>
  <c r="H52" i="27"/>
  <c r="I52" i="27"/>
  <c r="J52" i="27"/>
  <c r="K52" i="27"/>
  <c r="K73" i="14" s="1"/>
  <c r="H54" i="27"/>
  <c r="I54" i="27"/>
  <c r="J54" i="27"/>
  <c r="J75" i="14" s="1"/>
  <c r="K54" i="27"/>
  <c r="K75" i="14" s="1"/>
  <c r="H55" i="27"/>
  <c r="I55" i="27"/>
  <c r="J55" i="27"/>
  <c r="K55" i="27"/>
  <c r="K76" i="14" s="1"/>
  <c r="H56" i="27"/>
  <c r="I56" i="27"/>
  <c r="I77" i="14" s="1"/>
  <c r="J56" i="27"/>
  <c r="J77" i="14" s="1"/>
  <c r="K56" i="27"/>
  <c r="H57" i="27"/>
  <c r="I57" i="27"/>
  <c r="J57" i="27"/>
  <c r="J78" i="14" s="1"/>
  <c r="K57" i="27"/>
  <c r="K78" i="14" s="1"/>
  <c r="M51" i="27"/>
  <c r="N51" i="27"/>
  <c r="O51" i="27"/>
  <c r="O72" i="14" s="1"/>
  <c r="P51" i="27"/>
  <c r="P72" i="14" s="1"/>
  <c r="M52" i="27"/>
  <c r="M27" i="69" s="1"/>
  <c r="M28" i="69" s="1"/>
  <c r="N52" i="27"/>
  <c r="O52" i="27"/>
  <c r="P52" i="27"/>
  <c r="P27" i="69" s="1"/>
  <c r="P28" i="69" s="1"/>
  <c r="M54" i="27"/>
  <c r="N54" i="27"/>
  <c r="O54" i="27"/>
  <c r="O75" i="14" s="1"/>
  <c r="P54" i="27"/>
  <c r="M55" i="27"/>
  <c r="M76" i="14" s="1"/>
  <c r="N55" i="27"/>
  <c r="O55" i="27"/>
  <c r="P55" i="27"/>
  <c r="P76" i="14" s="1"/>
  <c r="M56" i="27"/>
  <c r="M77" i="14" s="1"/>
  <c r="N56" i="27"/>
  <c r="O56" i="27"/>
  <c r="P56" i="27"/>
  <c r="R51" i="27"/>
  <c r="R72" i="14" s="1"/>
  <c r="S51" i="27"/>
  <c r="T51" i="27"/>
  <c r="U51" i="27"/>
  <c r="U72" i="14" s="1"/>
  <c r="R52" i="27"/>
  <c r="R27" i="69" s="1"/>
  <c r="R28" i="69" s="1"/>
  <c r="S52" i="27"/>
  <c r="S27" i="69" s="1"/>
  <c r="S28" i="69" s="1"/>
  <c r="T52" i="27"/>
  <c r="U52" i="27"/>
  <c r="U27" i="69" s="1"/>
  <c r="U28" i="69" s="1"/>
  <c r="R54" i="27"/>
  <c r="S54" i="27"/>
  <c r="T54" i="27"/>
  <c r="U54" i="27"/>
  <c r="R55" i="27"/>
  <c r="S55" i="27"/>
  <c r="T55" i="27"/>
  <c r="T76" i="14" s="1"/>
  <c r="U55" i="27"/>
  <c r="R56" i="27"/>
  <c r="S56" i="27"/>
  <c r="S77" i="14" s="1"/>
  <c r="T56" i="27"/>
  <c r="T77" i="14" s="1"/>
  <c r="U56" i="27"/>
  <c r="W52" i="27"/>
  <c r="W27" i="69" s="1"/>
  <c r="W28" i="69" s="1"/>
  <c r="X52" i="27"/>
  <c r="X27" i="69" s="1"/>
  <c r="X28" i="69" s="1"/>
  <c r="Y52" i="27"/>
  <c r="Z52" i="27"/>
  <c r="Z27" i="69" s="1"/>
  <c r="Z28" i="69" s="1"/>
  <c r="W54" i="27"/>
  <c r="X54" i="27"/>
  <c r="X75" i="14" s="1"/>
  <c r="Y54" i="27"/>
  <c r="Y75" i="14" s="1"/>
  <c r="Z54" i="27"/>
  <c r="W55" i="27"/>
  <c r="X55" i="27"/>
  <c r="Y55" i="27"/>
  <c r="Y76" i="14" s="1"/>
  <c r="Z55" i="27"/>
  <c r="W56" i="27"/>
  <c r="X56" i="27"/>
  <c r="X77" i="14" s="1"/>
  <c r="Y56" i="27"/>
  <c r="Z56" i="27"/>
  <c r="AB52" i="27"/>
  <c r="AB27" i="69" s="1"/>
  <c r="AB28" i="69" s="1"/>
  <c r="AC52" i="27"/>
  <c r="AC27" i="69" s="1"/>
  <c r="AC28" i="69" s="1"/>
  <c r="AD52" i="27"/>
  <c r="AE52" i="27"/>
  <c r="AE27" i="69" s="1"/>
  <c r="AE28" i="69" s="1"/>
  <c r="AB54" i="27"/>
  <c r="AC54" i="27"/>
  <c r="AC75" i="14" s="1"/>
  <c r="AD54" i="27"/>
  <c r="AD75" i="14" s="1"/>
  <c r="AE54" i="27"/>
  <c r="AE75" i="14" s="1"/>
  <c r="AB55" i="27"/>
  <c r="AC55" i="27"/>
  <c r="AC76" i="14" s="1"/>
  <c r="AD55" i="27"/>
  <c r="AD76" i="14" s="1"/>
  <c r="AE55" i="27"/>
  <c r="AE76" i="14" s="1"/>
  <c r="AB56" i="27"/>
  <c r="AC56" i="27"/>
  <c r="AD56" i="27"/>
  <c r="AE56" i="27"/>
  <c r="AE77" i="14" s="1"/>
  <c r="AZ21" i="14"/>
  <c r="BJ21" i="14"/>
  <c r="AZ24" i="14"/>
  <c r="BJ24" i="14"/>
  <c r="AZ33" i="27"/>
  <c r="AZ21" i="7" s="1"/>
  <c r="BJ33" i="27"/>
  <c r="BJ21" i="7" s="1"/>
  <c r="BJ34" i="27"/>
  <c r="BJ36" i="27"/>
  <c r="BJ38" i="27"/>
  <c r="L42" i="27"/>
  <c r="Q42" i="27"/>
  <c r="V42" i="27"/>
  <c r="AA42" i="27"/>
  <c r="AF42" i="27"/>
  <c r="AK27" i="14"/>
  <c r="AP27" i="14"/>
  <c r="AU27" i="14"/>
  <c r="AK28" i="14"/>
  <c r="AP28" i="14"/>
  <c r="AU28" i="14"/>
  <c r="AZ28" i="14"/>
  <c r="BJ28" i="14"/>
  <c r="AP31" i="14"/>
  <c r="AU31" i="14"/>
  <c r="G43" i="27"/>
  <c r="H43" i="27"/>
  <c r="H61" i="27" s="1"/>
  <c r="Q43" i="27"/>
  <c r="V43" i="27"/>
  <c r="AA43" i="27"/>
  <c r="AF43" i="27"/>
  <c r="Q67" i="27"/>
  <c r="V67" i="27"/>
  <c r="AA67" i="27"/>
  <c r="AF67" i="27"/>
  <c r="AG67" i="27"/>
  <c r="AH67" i="27"/>
  <c r="AI67" i="27"/>
  <c r="AJ67" i="27"/>
  <c r="AL67" i="27"/>
  <c r="AM67" i="27"/>
  <c r="AN67" i="27"/>
  <c r="AO67" i="27"/>
  <c r="AQ67" i="27"/>
  <c r="AR67" i="27"/>
  <c r="AS67" i="27"/>
  <c r="AT67" i="27"/>
  <c r="AP35" i="14"/>
  <c r="AU35" i="14"/>
  <c r="BB145" i="14"/>
  <c r="BG145" i="14"/>
  <c r="BI145" i="14"/>
  <c r="G60" i="27"/>
  <c r="G62" i="27"/>
  <c r="H60" i="27"/>
  <c r="I60" i="27"/>
  <c r="I81" i="14" s="1"/>
  <c r="J60" i="27"/>
  <c r="K60" i="27"/>
  <c r="I61" i="27"/>
  <c r="J61" i="27"/>
  <c r="K61" i="27"/>
  <c r="K76" i="27" s="1"/>
  <c r="H62" i="27"/>
  <c r="H83" i="14" s="1"/>
  <c r="I62" i="27"/>
  <c r="J62" i="27"/>
  <c r="J83" i="14" s="1"/>
  <c r="K62" i="27"/>
  <c r="M60" i="27"/>
  <c r="M81" i="14" s="1"/>
  <c r="N60" i="27"/>
  <c r="O60" i="27"/>
  <c r="O81" i="14" s="1"/>
  <c r="P60" i="27"/>
  <c r="M61" i="27"/>
  <c r="N61" i="27"/>
  <c r="N76" i="27" s="1"/>
  <c r="O61" i="27"/>
  <c r="O82" i="14" s="1"/>
  <c r="P61" i="27"/>
  <c r="M62" i="27"/>
  <c r="N62" i="27"/>
  <c r="O62" i="27"/>
  <c r="O83" i="14" s="1"/>
  <c r="P62" i="27"/>
  <c r="R60" i="27"/>
  <c r="R81" i="14" s="1"/>
  <c r="S60" i="27"/>
  <c r="T60" i="27"/>
  <c r="T81" i="14" s="1"/>
  <c r="U60" i="27"/>
  <c r="R61" i="27"/>
  <c r="R76" i="27" s="1"/>
  <c r="S61" i="27"/>
  <c r="T61" i="27"/>
  <c r="U61" i="27"/>
  <c r="U76" i="27" s="1"/>
  <c r="R62" i="27"/>
  <c r="R83" i="14" s="1"/>
  <c r="S62" i="27"/>
  <c r="T62" i="27"/>
  <c r="T83" i="14" s="1"/>
  <c r="U62" i="27"/>
  <c r="W60" i="27"/>
  <c r="W81" i="14" s="1"/>
  <c r="X60" i="27"/>
  <c r="Y60" i="27"/>
  <c r="Z60" i="27"/>
  <c r="W61" i="27"/>
  <c r="X61" i="27"/>
  <c r="Y61" i="27"/>
  <c r="Z61" i="27"/>
  <c r="W62" i="27"/>
  <c r="X62" i="27"/>
  <c r="Y62" i="27"/>
  <c r="Y83" i="14" s="1"/>
  <c r="Z62" i="27"/>
  <c r="AB60" i="27"/>
  <c r="AB81" i="14" s="1"/>
  <c r="AC60" i="27"/>
  <c r="AD60" i="27"/>
  <c r="AD81" i="14" s="1"/>
  <c r="AE60" i="27"/>
  <c r="AE81" i="14" s="1"/>
  <c r="AB61" i="27"/>
  <c r="AB76" i="27" s="1"/>
  <c r="AC61" i="27"/>
  <c r="AC76" i="27" s="1"/>
  <c r="AD61" i="27"/>
  <c r="AE61" i="27"/>
  <c r="AE82" i="14" s="1"/>
  <c r="AB62" i="27"/>
  <c r="AB83" i="14" s="1"/>
  <c r="AC62" i="27"/>
  <c r="AD62" i="27"/>
  <c r="AD83" i="14" s="1"/>
  <c r="AE62" i="27"/>
  <c r="L11" i="37"/>
  <c r="L11" i="13"/>
  <c r="Q11" i="13"/>
  <c r="V11" i="13"/>
  <c r="AA11" i="13"/>
  <c r="AF11" i="13"/>
  <c r="L12" i="13"/>
  <c r="Q12" i="13"/>
  <c r="V12" i="13"/>
  <c r="AA12" i="13"/>
  <c r="AF12" i="13"/>
  <c r="L13" i="13"/>
  <c r="Q13" i="13"/>
  <c r="V13" i="13"/>
  <c r="AA13" i="13"/>
  <c r="AF13" i="13"/>
  <c r="L14" i="13"/>
  <c r="Q14" i="13"/>
  <c r="V14" i="13"/>
  <c r="AA14" i="13"/>
  <c r="AF14" i="13"/>
  <c r="L15" i="13"/>
  <c r="Q15" i="13"/>
  <c r="V15" i="13"/>
  <c r="AA15" i="13"/>
  <c r="AF15" i="13"/>
  <c r="AV70" i="11"/>
  <c r="L16" i="13"/>
  <c r="Q16" i="13"/>
  <c r="V16" i="13"/>
  <c r="AA16" i="13"/>
  <c r="AF16" i="13"/>
  <c r="L17" i="13"/>
  <c r="Q17" i="13"/>
  <c r="V17" i="13"/>
  <c r="AA17" i="13"/>
  <c r="AF17" i="13"/>
  <c r="L18" i="13"/>
  <c r="Q18" i="13"/>
  <c r="V18" i="13"/>
  <c r="AA18" i="13"/>
  <c r="AF18" i="13"/>
  <c r="AT153" i="13"/>
  <c r="AT177" i="13" s="1"/>
  <c r="L19" i="13"/>
  <c r="Q19" i="13"/>
  <c r="V19" i="13"/>
  <c r="AA19" i="13"/>
  <c r="AF19" i="13"/>
  <c r="L20" i="13"/>
  <c r="Q20" i="13"/>
  <c r="V20" i="13"/>
  <c r="AA20" i="13"/>
  <c r="AF20" i="13"/>
  <c r="L21" i="13"/>
  <c r="Q21" i="13"/>
  <c r="V21" i="13"/>
  <c r="AA21" i="13"/>
  <c r="AF21" i="13"/>
  <c r="L22" i="13"/>
  <c r="Q22" i="13"/>
  <c r="V22" i="13"/>
  <c r="AA22" i="13"/>
  <c r="AF22" i="13"/>
  <c r="G23" i="13"/>
  <c r="AT23" i="13"/>
  <c r="AU23" i="13" s="1"/>
  <c r="L26" i="13"/>
  <c r="Q26" i="13"/>
  <c r="V26" i="13"/>
  <c r="AA26" i="13"/>
  <c r="AF26" i="13"/>
  <c r="L27" i="13"/>
  <c r="Q27" i="13"/>
  <c r="V27" i="13"/>
  <c r="AA27" i="13"/>
  <c r="AF27" i="13"/>
  <c r="L28" i="13"/>
  <c r="Q28" i="13"/>
  <c r="V28" i="13"/>
  <c r="AA28" i="13"/>
  <c r="AF28" i="13"/>
  <c r="L29" i="13"/>
  <c r="Q29" i="13"/>
  <c r="V29" i="13"/>
  <c r="AA29" i="13"/>
  <c r="AF29" i="13"/>
  <c r="L30" i="13"/>
  <c r="Q30" i="13"/>
  <c r="V30" i="13"/>
  <c r="AA30" i="13"/>
  <c r="AF30" i="13"/>
  <c r="L31" i="13"/>
  <c r="Q31" i="13"/>
  <c r="V31" i="13"/>
  <c r="AA31" i="13"/>
  <c r="AF31" i="13"/>
  <c r="L32" i="13"/>
  <c r="Q32" i="13"/>
  <c r="V32" i="13"/>
  <c r="AA32" i="13"/>
  <c r="AF32" i="13"/>
  <c r="L33" i="13"/>
  <c r="Q33" i="13"/>
  <c r="V33" i="13"/>
  <c r="AA33" i="13"/>
  <c r="AF33" i="13"/>
  <c r="AK33" i="13"/>
  <c r="AP33" i="13"/>
  <c r="AU33" i="13"/>
  <c r="G34" i="13"/>
  <c r="L36" i="13"/>
  <c r="Q36" i="13"/>
  <c r="V36" i="13"/>
  <c r="AA36" i="13"/>
  <c r="AF36" i="13"/>
  <c r="L41" i="13"/>
  <c r="Q41" i="13"/>
  <c r="V41" i="13"/>
  <c r="AA41" i="13"/>
  <c r="AF41" i="13"/>
  <c r="L42" i="13"/>
  <c r="Q42" i="13"/>
  <c r="V42" i="13"/>
  <c r="AA42" i="13"/>
  <c r="AF42" i="13"/>
  <c r="L43" i="13"/>
  <c r="Q43" i="13"/>
  <c r="V43" i="13"/>
  <c r="AA43" i="13"/>
  <c r="AF43" i="13"/>
  <c r="L44" i="13"/>
  <c r="Q44" i="13"/>
  <c r="V44" i="13"/>
  <c r="AA44" i="13"/>
  <c r="AF44" i="13"/>
  <c r="AK44" i="13"/>
  <c r="AP44" i="13"/>
  <c r="AU44" i="13"/>
  <c r="L45" i="13"/>
  <c r="Q45" i="13"/>
  <c r="V45" i="13"/>
  <c r="AA45" i="13"/>
  <c r="AF45" i="13"/>
  <c r="L46" i="13"/>
  <c r="Q46" i="13"/>
  <c r="V46" i="13"/>
  <c r="AA46" i="13"/>
  <c r="AF46" i="13"/>
  <c r="AT148" i="13"/>
  <c r="AT172" i="13" s="1"/>
  <c r="AU172" i="13" s="1"/>
  <c r="L49" i="13"/>
  <c r="Q49" i="13"/>
  <c r="V49" i="13"/>
  <c r="AA49" i="13"/>
  <c r="AF49" i="13"/>
  <c r="G47" i="13"/>
  <c r="G50" i="13" s="1"/>
  <c r="L53" i="13"/>
  <c r="Q53" i="13"/>
  <c r="V53" i="13"/>
  <c r="AA53" i="13"/>
  <c r="AF53" i="13"/>
  <c r="AT156" i="13"/>
  <c r="AT180" i="13" s="1"/>
  <c r="L54" i="13"/>
  <c r="Q54" i="13"/>
  <c r="V54" i="13"/>
  <c r="AA54" i="13"/>
  <c r="AF54" i="13"/>
  <c r="L55" i="13"/>
  <c r="Q55" i="13"/>
  <c r="V55" i="13"/>
  <c r="AA55" i="13"/>
  <c r="AF55" i="13"/>
  <c r="L56" i="13"/>
  <c r="Q56" i="13"/>
  <c r="V56" i="13"/>
  <c r="AA56" i="13"/>
  <c r="AF56" i="13"/>
  <c r="AK56" i="13"/>
  <c r="AP56" i="13"/>
  <c r="AU56" i="13"/>
  <c r="L57" i="13"/>
  <c r="Q57" i="13"/>
  <c r="Q182" i="13" s="1"/>
  <c r="V57" i="13"/>
  <c r="AA57" i="13"/>
  <c r="AA182" i="13" s="1"/>
  <c r="AF57" i="13"/>
  <c r="L58" i="13"/>
  <c r="Q58" i="13"/>
  <c r="V58" i="13"/>
  <c r="AA58" i="13"/>
  <c r="AF58" i="13"/>
  <c r="AT157" i="13"/>
  <c r="AT181" i="13" s="1"/>
  <c r="AU181" i="13" s="1"/>
  <c r="L59" i="13"/>
  <c r="Q59" i="13"/>
  <c r="V59" i="13"/>
  <c r="AA59" i="13"/>
  <c r="AF59" i="13"/>
  <c r="G60" i="13"/>
  <c r="Q63" i="13"/>
  <c r="V63" i="13"/>
  <c r="AA63" i="13"/>
  <c r="Q64" i="13"/>
  <c r="V64" i="13"/>
  <c r="AA64" i="13"/>
  <c r="G65" i="13"/>
  <c r="G121" i="27" s="1"/>
  <c r="L65" i="13"/>
  <c r="L121" i="27" s="1"/>
  <c r="G34" i="11"/>
  <c r="G41" i="11" s="1"/>
  <c r="L34" i="11"/>
  <c r="L41" i="11" s="1"/>
  <c r="Q34" i="11"/>
  <c r="Q41" i="11" s="1"/>
  <c r="Q67" i="12" s="1"/>
  <c r="V34" i="11"/>
  <c r="V41" i="11" s="1"/>
  <c r="V67" i="12" s="1"/>
  <c r="AA34" i="11"/>
  <c r="AA41" i="11" s="1"/>
  <c r="AA129" i="12" s="1"/>
  <c r="AF34" i="11"/>
  <c r="AF41" i="11" s="1"/>
  <c r="AF67" i="12" s="1"/>
  <c r="AP67" i="12"/>
  <c r="G68" i="12"/>
  <c r="L26" i="11"/>
  <c r="L68" i="12" s="1"/>
  <c r="AA68" i="12"/>
  <c r="AF68" i="12"/>
  <c r="AP68" i="12"/>
  <c r="G71" i="12"/>
  <c r="G72" i="12"/>
  <c r="G75" i="12"/>
  <c r="G78" i="12"/>
  <c r="G79" i="12"/>
  <c r="G80" i="12"/>
  <c r="G83" i="12"/>
  <c r="G88" i="12"/>
  <c r="G91" i="12"/>
  <c r="G92" i="12"/>
  <c r="G93" i="12"/>
  <c r="G94" i="12"/>
  <c r="G96" i="12" s="1"/>
  <c r="G98" i="12"/>
  <c r="G110" i="12" s="1"/>
  <c r="L98" i="12"/>
  <c r="Q98" i="12"/>
  <c r="V98" i="12"/>
  <c r="AA98" i="12"/>
  <c r="AF98" i="12"/>
  <c r="AK98" i="12"/>
  <c r="AP86" i="11"/>
  <c r="AP72" i="11" s="1"/>
  <c r="AP85" i="11"/>
  <c r="AP73" i="11" s="1"/>
  <c r="AU85" i="11"/>
  <c r="AU73" i="11" s="1"/>
  <c r="G103" i="12"/>
  <c r="L103" i="12"/>
  <c r="Q103" i="12"/>
  <c r="V103" i="12"/>
  <c r="AA103" i="12"/>
  <c r="AF103" i="12"/>
  <c r="AK103" i="12"/>
  <c r="AP103" i="12"/>
  <c r="AU103" i="12"/>
  <c r="G104" i="12"/>
  <c r="L104" i="12"/>
  <c r="Q104" i="12"/>
  <c r="V104" i="12"/>
  <c r="AA104" i="12"/>
  <c r="AF104" i="12"/>
  <c r="AK104" i="12"/>
  <c r="AP104" i="12"/>
  <c r="AU104" i="12"/>
  <c r="AZ104" i="12"/>
  <c r="G107" i="12"/>
  <c r="G108" i="12"/>
  <c r="G109" i="12"/>
  <c r="AO86" i="11"/>
  <c r="AO72" i="11" s="1"/>
  <c r="AO70" i="11"/>
  <c r="AO73" i="11"/>
  <c r="G111" i="12"/>
  <c r="G112" i="12"/>
  <c r="AT32" i="11"/>
  <c r="AU32" i="11" s="1"/>
  <c r="AP76" i="11"/>
  <c r="AQ70" i="11" s="1"/>
  <c r="G14" i="10"/>
  <c r="G11" i="12" s="1"/>
  <c r="G159" i="12"/>
  <c r="G43" i="12" s="1"/>
  <c r="G39" i="12"/>
  <c r="L14" i="10"/>
  <c r="L11" i="12" s="1"/>
  <c r="Q11" i="12"/>
  <c r="V11" i="12"/>
  <c r="AA11" i="12"/>
  <c r="AF11" i="12"/>
  <c r="G118" i="12"/>
  <c r="G114" i="14"/>
  <c r="G119" i="12" s="1"/>
  <c r="L114" i="14"/>
  <c r="L119" i="12" s="1"/>
  <c r="Q114" i="14"/>
  <c r="Q119" i="12" s="1"/>
  <c r="V114" i="14"/>
  <c r="V119" i="12" s="1"/>
  <c r="AA114" i="14"/>
  <c r="AA119" i="12" s="1"/>
  <c r="AF114" i="14"/>
  <c r="AF119" i="12" s="1"/>
  <c r="AK119" i="12"/>
  <c r="G120" i="12"/>
  <c r="L120" i="12"/>
  <c r="Q120" i="12"/>
  <c r="V120" i="12"/>
  <c r="AA120" i="12"/>
  <c r="AF120" i="12"/>
  <c r="AK120" i="12"/>
  <c r="AU120" i="12"/>
  <c r="G123" i="12"/>
  <c r="L123" i="12"/>
  <c r="Q123" i="12"/>
  <c r="V123" i="12"/>
  <c r="AA123" i="12"/>
  <c r="AF123" i="12"/>
  <c r="AK123" i="12"/>
  <c r="AU123" i="12"/>
  <c r="AZ123" i="12"/>
  <c r="G124" i="12"/>
  <c r="L124" i="12"/>
  <c r="Q124" i="12"/>
  <c r="V124" i="12"/>
  <c r="AA124" i="12"/>
  <c r="AF124" i="12"/>
  <c r="AK124" i="12"/>
  <c r="AU124" i="12"/>
  <c r="AZ124" i="12"/>
  <c r="G125" i="12"/>
  <c r="L125" i="12"/>
  <c r="Q125" i="12"/>
  <c r="V125" i="12"/>
  <c r="AA125" i="12"/>
  <c r="AF125" i="12"/>
  <c r="AK125" i="12"/>
  <c r="G101" i="14"/>
  <c r="L101" i="14"/>
  <c r="AK93" i="14"/>
  <c r="AK94" i="14"/>
  <c r="AK95" i="14"/>
  <c r="AK96" i="14"/>
  <c r="AK97" i="14"/>
  <c r="AK98" i="14"/>
  <c r="AK99" i="14"/>
  <c r="AK100" i="14"/>
  <c r="AP93" i="14"/>
  <c r="AP94" i="14"/>
  <c r="AP95" i="14"/>
  <c r="AP96" i="14"/>
  <c r="AP97" i="14"/>
  <c r="AP98" i="14"/>
  <c r="AP99" i="14"/>
  <c r="AP100" i="14"/>
  <c r="AU93" i="14"/>
  <c r="AU94" i="14"/>
  <c r="AU95" i="14"/>
  <c r="AU96" i="14"/>
  <c r="AU97" i="14"/>
  <c r="AU98" i="14"/>
  <c r="AU99" i="14"/>
  <c r="AU100" i="14"/>
  <c r="AZ94" i="14"/>
  <c r="AZ95" i="14"/>
  <c r="AZ96" i="14"/>
  <c r="AZ97" i="14"/>
  <c r="AZ98" i="14"/>
  <c r="AZ99" i="14"/>
  <c r="AZ100" i="14"/>
  <c r="BJ95" i="14"/>
  <c r="BJ96" i="14"/>
  <c r="BJ97" i="14"/>
  <c r="BJ98" i="14"/>
  <c r="BJ99" i="14"/>
  <c r="BJ100" i="14"/>
  <c r="BJ101" i="14"/>
  <c r="AG27" i="37"/>
  <c r="AL27" i="37"/>
  <c r="AQ27" i="37"/>
  <c r="G121" i="4"/>
  <c r="G125" i="4"/>
  <c r="G126" i="4"/>
  <c r="G130" i="4"/>
  <c r="G131" i="4"/>
  <c r="G132" i="4"/>
  <c r="G133" i="4"/>
  <c r="G134" i="4"/>
  <c r="G135" i="4"/>
  <c r="G139" i="4"/>
  <c r="G141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60" i="4"/>
  <c r="G161" i="4"/>
  <c r="L119" i="4"/>
  <c r="L120" i="4"/>
  <c r="L121" i="4"/>
  <c r="L125" i="4"/>
  <c r="L126" i="4"/>
  <c r="L130" i="4"/>
  <c r="L131" i="4"/>
  <c r="L132" i="4"/>
  <c r="L133" i="4"/>
  <c r="L134" i="4"/>
  <c r="L135" i="4"/>
  <c r="L139" i="4"/>
  <c r="L140" i="4"/>
  <c r="L141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60" i="4"/>
  <c r="L161" i="4"/>
  <c r="Q119" i="4"/>
  <c r="Q120" i="4"/>
  <c r="Q121" i="4"/>
  <c r="Q125" i="4"/>
  <c r="Q126" i="4"/>
  <c r="Q130" i="4"/>
  <c r="Q131" i="4"/>
  <c r="Q132" i="4"/>
  <c r="Q133" i="4"/>
  <c r="Q134" i="4"/>
  <c r="Q135" i="4"/>
  <c r="Q139" i="4"/>
  <c r="Q140" i="4"/>
  <c r="Q141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60" i="4"/>
  <c r="Q161" i="4"/>
  <c r="V119" i="4"/>
  <c r="V120" i="4"/>
  <c r="V121" i="4"/>
  <c r="V125" i="4"/>
  <c r="V126" i="4"/>
  <c r="V130" i="4"/>
  <c r="V131" i="4"/>
  <c r="V132" i="4"/>
  <c r="V133" i="4"/>
  <c r="V134" i="4"/>
  <c r="V135" i="4"/>
  <c r="V139" i="4"/>
  <c r="V140" i="4"/>
  <c r="V141" i="4"/>
  <c r="V145" i="4"/>
  <c r="V146" i="4"/>
  <c r="V147" i="4"/>
  <c r="V148" i="4"/>
  <c r="V149" i="4"/>
  <c r="V150" i="4"/>
  <c r="V151" i="4"/>
  <c r="V152" i="4"/>
  <c r="V153" i="4"/>
  <c r="V154" i="4"/>
  <c r="V155" i="4"/>
  <c r="V156" i="4"/>
  <c r="V160" i="4"/>
  <c r="V161" i="4"/>
  <c r="AA119" i="4"/>
  <c r="AA120" i="4"/>
  <c r="AA121" i="4"/>
  <c r="AA125" i="4"/>
  <c r="AA126" i="4"/>
  <c r="AA130" i="4"/>
  <c r="AA131" i="4"/>
  <c r="AA132" i="4"/>
  <c r="AA133" i="4"/>
  <c r="AA134" i="4"/>
  <c r="AA135" i="4"/>
  <c r="AA139" i="4"/>
  <c r="AA140" i="4"/>
  <c r="AA141" i="4"/>
  <c r="AA145" i="4"/>
  <c r="AA146" i="4"/>
  <c r="AA147" i="4"/>
  <c r="AA148" i="4"/>
  <c r="AA149" i="4"/>
  <c r="AA150" i="4"/>
  <c r="AA151" i="4"/>
  <c r="AA152" i="4"/>
  <c r="AA153" i="4"/>
  <c r="AA154" i="4"/>
  <c r="AA155" i="4"/>
  <c r="AA156" i="4"/>
  <c r="AA160" i="4"/>
  <c r="AA161" i="4"/>
  <c r="AF119" i="4"/>
  <c r="AF120" i="4"/>
  <c r="AF121" i="4"/>
  <c r="AF125" i="4"/>
  <c r="AF126" i="4"/>
  <c r="AF130" i="4"/>
  <c r="AF131" i="4"/>
  <c r="AF132" i="4"/>
  <c r="AF133" i="4"/>
  <c r="AF134" i="4"/>
  <c r="AF135" i="4"/>
  <c r="AF139" i="4"/>
  <c r="AF140" i="4"/>
  <c r="AF141" i="4"/>
  <c r="AF145" i="4"/>
  <c r="AF146" i="4"/>
  <c r="AF147" i="4"/>
  <c r="AF148" i="4"/>
  <c r="AF149" i="4"/>
  <c r="AF150" i="4"/>
  <c r="AF151" i="4"/>
  <c r="AF152" i="4"/>
  <c r="AF153" i="4"/>
  <c r="AF154" i="4"/>
  <c r="AF155" i="4"/>
  <c r="AF156" i="4"/>
  <c r="AF160" i="4"/>
  <c r="AF161" i="4"/>
  <c r="G125" i="1"/>
  <c r="G126" i="1"/>
  <c r="L125" i="1"/>
  <c r="L126" i="1"/>
  <c r="Q126" i="1"/>
  <c r="Q127" i="1" s="1"/>
  <c r="V126" i="1"/>
  <c r="V127" i="1" s="1"/>
  <c r="AA126" i="1"/>
  <c r="AA127" i="1" s="1"/>
  <c r="AF126" i="1"/>
  <c r="AF127" i="1" s="1"/>
  <c r="G130" i="1"/>
  <c r="G131" i="1"/>
  <c r="G135" i="1"/>
  <c r="G140" i="1"/>
  <c r="G146" i="1"/>
  <c r="G147" i="1"/>
  <c r="G149" i="1"/>
  <c r="G150" i="1"/>
  <c r="G151" i="1"/>
  <c r="G153" i="1"/>
  <c r="G119" i="1"/>
  <c r="G120" i="1"/>
  <c r="G160" i="1"/>
  <c r="G161" i="1"/>
  <c r="L119" i="1"/>
  <c r="L120" i="1"/>
  <c r="L121" i="1"/>
  <c r="L130" i="1"/>
  <c r="L131" i="1"/>
  <c r="L133" i="1"/>
  <c r="L134" i="1"/>
  <c r="L135" i="1"/>
  <c r="L139" i="1"/>
  <c r="L140" i="1"/>
  <c r="L141" i="1"/>
  <c r="L146" i="1"/>
  <c r="L147" i="1"/>
  <c r="L149" i="1"/>
  <c r="L157" i="1" s="1"/>
  <c r="L150" i="1"/>
  <c r="L151" i="1"/>
  <c r="L152" i="1"/>
  <c r="L153" i="1"/>
  <c r="L154" i="1"/>
  <c r="L155" i="1"/>
  <c r="L156" i="1"/>
  <c r="L160" i="1"/>
  <c r="L162" i="1" s="1"/>
  <c r="L161" i="1"/>
  <c r="G65" i="5"/>
  <c r="G66" i="5"/>
  <c r="G67" i="5"/>
  <c r="G17" i="5"/>
  <c r="G71" i="5"/>
  <c r="G18" i="5"/>
  <c r="G72" i="5"/>
  <c r="G22" i="5"/>
  <c r="G76" i="5"/>
  <c r="G23" i="5"/>
  <c r="G77" i="5"/>
  <c r="G78" i="5"/>
  <c r="G132" i="5" s="1"/>
  <c r="G79" i="5"/>
  <c r="G80" i="5"/>
  <c r="G27" i="5"/>
  <c r="G81" i="5"/>
  <c r="G85" i="5"/>
  <c r="G86" i="5"/>
  <c r="G87" i="5"/>
  <c r="G37" i="5"/>
  <c r="G91" i="5"/>
  <c r="G38" i="5"/>
  <c r="G92" i="5"/>
  <c r="G39" i="5"/>
  <c r="G93" i="5"/>
  <c r="G40" i="5"/>
  <c r="G94" i="5"/>
  <c r="G41" i="5"/>
  <c r="G95" i="5"/>
  <c r="G42" i="5"/>
  <c r="G96" i="5"/>
  <c r="G43" i="5"/>
  <c r="G97" i="5"/>
  <c r="G98" i="5"/>
  <c r="G45" i="5"/>
  <c r="G99" i="5"/>
  <c r="G100" i="5"/>
  <c r="G47" i="5"/>
  <c r="G102" i="5"/>
  <c r="G52" i="5"/>
  <c r="G106" i="5"/>
  <c r="G53" i="5"/>
  <c r="G107" i="5"/>
  <c r="L11" i="5"/>
  <c r="L65" i="5"/>
  <c r="L12" i="5"/>
  <c r="L66" i="5"/>
  <c r="L13" i="5"/>
  <c r="L67" i="5"/>
  <c r="L17" i="5"/>
  <c r="L71" i="5"/>
  <c r="L18" i="5"/>
  <c r="L72" i="5"/>
  <c r="L22" i="5"/>
  <c r="L76" i="5"/>
  <c r="L23" i="5"/>
  <c r="L77" i="5"/>
  <c r="L78" i="5"/>
  <c r="L132" i="5" s="1"/>
  <c r="L25" i="5"/>
  <c r="L79" i="5"/>
  <c r="L26" i="5"/>
  <c r="L80" i="5"/>
  <c r="L27" i="5"/>
  <c r="L81" i="5"/>
  <c r="L31" i="5"/>
  <c r="L85" i="5"/>
  <c r="L32" i="5"/>
  <c r="L86" i="5"/>
  <c r="L33" i="5"/>
  <c r="L87" i="5"/>
  <c r="L37" i="5"/>
  <c r="L91" i="5"/>
  <c r="L38" i="5"/>
  <c r="L92" i="5"/>
  <c r="L39" i="5"/>
  <c r="L93" i="5"/>
  <c r="L40" i="5"/>
  <c r="L94" i="5"/>
  <c r="L41" i="5"/>
  <c r="L95" i="5"/>
  <c r="L42" i="5"/>
  <c r="L96" i="5"/>
  <c r="L43" i="5"/>
  <c r="L97" i="5"/>
  <c r="L44" i="5"/>
  <c r="L98" i="5"/>
  <c r="L45" i="5"/>
  <c r="L99" i="5"/>
  <c r="L46" i="5"/>
  <c r="L100" i="5"/>
  <c r="L47" i="5"/>
  <c r="L101" i="5"/>
  <c r="L48" i="5"/>
  <c r="L102" i="5"/>
  <c r="L52" i="5"/>
  <c r="L106" i="5"/>
  <c r="L53" i="5"/>
  <c r="L107" i="5"/>
  <c r="AK16" i="10"/>
  <c r="AP16" i="10"/>
  <c r="C119" i="4"/>
  <c r="C120" i="4"/>
  <c r="C121" i="4"/>
  <c r="D119" i="4"/>
  <c r="D120" i="4"/>
  <c r="D121" i="4"/>
  <c r="E119" i="4"/>
  <c r="E121" i="4"/>
  <c r="F121" i="4"/>
  <c r="C125" i="4"/>
  <c r="C126" i="4"/>
  <c r="D125" i="4"/>
  <c r="D126" i="4"/>
  <c r="E125" i="4"/>
  <c r="E126" i="4"/>
  <c r="F125" i="4"/>
  <c r="F126" i="4"/>
  <c r="C130" i="4"/>
  <c r="C131" i="4"/>
  <c r="C132" i="4"/>
  <c r="C133" i="4"/>
  <c r="C134" i="4"/>
  <c r="C135" i="4"/>
  <c r="D130" i="4"/>
  <c r="D131" i="4"/>
  <c r="D132" i="4"/>
  <c r="D133" i="4"/>
  <c r="D134" i="4"/>
  <c r="D135" i="4"/>
  <c r="E130" i="4"/>
  <c r="E131" i="4"/>
  <c r="E132" i="4"/>
  <c r="E133" i="4"/>
  <c r="E134" i="4"/>
  <c r="E135" i="4"/>
  <c r="F130" i="4"/>
  <c r="F131" i="4"/>
  <c r="F132" i="4"/>
  <c r="F133" i="4"/>
  <c r="F134" i="4"/>
  <c r="F135" i="4"/>
  <c r="C139" i="4"/>
  <c r="C140" i="4"/>
  <c r="C141" i="4"/>
  <c r="D139" i="4"/>
  <c r="D140" i="4"/>
  <c r="D141" i="4"/>
  <c r="E139" i="4"/>
  <c r="E141" i="4"/>
  <c r="F139" i="4"/>
  <c r="F141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C160" i="4"/>
  <c r="C161" i="4"/>
  <c r="D160" i="4"/>
  <c r="D161" i="4"/>
  <c r="E160" i="4"/>
  <c r="E161" i="4"/>
  <c r="F160" i="4"/>
  <c r="F161" i="4"/>
  <c r="C119" i="1"/>
  <c r="C120" i="1"/>
  <c r="D119" i="1"/>
  <c r="D120" i="1"/>
  <c r="E119" i="1"/>
  <c r="E120" i="1"/>
  <c r="F119" i="1"/>
  <c r="F120" i="1"/>
  <c r="C125" i="1"/>
  <c r="C126" i="1"/>
  <c r="D125" i="1"/>
  <c r="D126" i="1"/>
  <c r="E125" i="1"/>
  <c r="E126" i="1"/>
  <c r="F125" i="1"/>
  <c r="F126" i="1"/>
  <c r="F127" i="1" s="1"/>
  <c r="C130" i="1"/>
  <c r="C131" i="1"/>
  <c r="C135" i="1"/>
  <c r="D130" i="1"/>
  <c r="D131" i="1"/>
  <c r="D134" i="1"/>
  <c r="D135" i="1"/>
  <c r="E130" i="1"/>
  <c r="E131" i="1"/>
  <c r="E135" i="1"/>
  <c r="F130" i="1"/>
  <c r="F131" i="1"/>
  <c r="F135" i="1"/>
  <c r="Q130" i="1"/>
  <c r="Q131" i="1"/>
  <c r="Q133" i="1"/>
  <c r="Q134" i="1"/>
  <c r="Q135" i="1"/>
  <c r="V130" i="1"/>
  <c r="V131" i="1"/>
  <c r="V133" i="1"/>
  <c r="V134" i="1"/>
  <c r="V135" i="1"/>
  <c r="AA130" i="1"/>
  <c r="AA131" i="1"/>
  <c r="AA133" i="1"/>
  <c r="AA134" i="1"/>
  <c r="AA135" i="1"/>
  <c r="AF130" i="1"/>
  <c r="AF131" i="1"/>
  <c r="AF133" i="1"/>
  <c r="AF134" i="1"/>
  <c r="AF135" i="1"/>
  <c r="C140" i="1"/>
  <c r="C141" i="1"/>
  <c r="D140" i="1"/>
  <c r="E140" i="1"/>
  <c r="E141" i="1"/>
  <c r="F140" i="1"/>
  <c r="Q139" i="1"/>
  <c r="Q140" i="1"/>
  <c r="Q141" i="1"/>
  <c r="V139" i="1"/>
  <c r="V140" i="1"/>
  <c r="V141" i="1"/>
  <c r="AA139" i="1"/>
  <c r="AA140" i="1"/>
  <c r="AA141" i="1"/>
  <c r="AF139" i="1"/>
  <c r="AF140" i="1"/>
  <c r="AF141" i="1"/>
  <c r="C146" i="1"/>
  <c r="C147" i="1"/>
  <c r="C149" i="1"/>
  <c r="C150" i="1"/>
  <c r="C151" i="1"/>
  <c r="C153" i="1"/>
  <c r="C154" i="1"/>
  <c r="D146" i="1"/>
  <c r="D147" i="1"/>
  <c r="D149" i="1"/>
  <c r="D150" i="1"/>
  <c r="D151" i="1"/>
  <c r="D153" i="1"/>
  <c r="D154" i="1"/>
  <c r="E146" i="1"/>
  <c r="E147" i="1"/>
  <c r="E149" i="1"/>
  <c r="E150" i="1"/>
  <c r="E151" i="1"/>
  <c r="E153" i="1"/>
  <c r="F146" i="1"/>
  <c r="F147" i="1"/>
  <c r="F149" i="1"/>
  <c r="F150" i="1"/>
  <c r="F151" i="1"/>
  <c r="F153" i="1"/>
  <c r="Q146" i="1"/>
  <c r="Q147" i="1"/>
  <c r="Q149" i="1"/>
  <c r="Q150" i="1"/>
  <c r="Q151" i="1"/>
  <c r="Q152" i="1"/>
  <c r="Q154" i="1"/>
  <c r="Q155" i="1"/>
  <c r="Q156" i="1"/>
  <c r="V146" i="1"/>
  <c r="V147" i="1"/>
  <c r="V149" i="1"/>
  <c r="V150" i="1"/>
  <c r="V151" i="1"/>
  <c r="V152" i="1"/>
  <c r="V154" i="1"/>
  <c r="V155" i="1"/>
  <c r="V156" i="1"/>
  <c r="AA146" i="1"/>
  <c r="AA147" i="1"/>
  <c r="AA149" i="1"/>
  <c r="AA150" i="1"/>
  <c r="AA151" i="1"/>
  <c r="AA152" i="1"/>
  <c r="AA154" i="1"/>
  <c r="AA155" i="1"/>
  <c r="AA156" i="1"/>
  <c r="AF146" i="1"/>
  <c r="AF147" i="1"/>
  <c r="AF149" i="1"/>
  <c r="AF150" i="1"/>
  <c r="AF151" i="1"/>
  <c r="AF152" i="1"/>
  <c r="AF154" i="1"/>
  <c r="AF155" i="1"/>
  <c r="AF156" i="1"/>
  <c r="C160" i="1"/>
  <c r="C161" i="1"/>
  <c r="D160" i="1"/>
  <c r="D161" i="1"/>
  <c r="E160" i="1"/>
  <c r="E161" i="1"/>
  <c r="F160" i="1"/>
  <c r="F161" i="1"/>
  <c r="Q160" i="1"/>
  <c r="Q161" i="1"/>
  <c r="V160" i="1"/>
  <c r="V161" i="1"/>
  <c r="AA160" i="1"/>
  <c r="AA162" i="1" s="1"/>
  <c r="AA161" i="1"/>
  <c r="AF160" i="1"/>
  <c r="AF161" i="1"/>
  <c r="C11" i="5"/>
  <c r="C65" i="5"/>
  <c r="C66" i="5"/>
  <c r="C67" i="5"/>
  <c r="D11" i="5"/>
  <c r="D65" i="5"/>
  <c r="D66" i="5"/>
  <c r="D67" i="5"/>
  <c r="E11" i="5"/>
  <c r="E65" i="5"/>
  <c r="E66" i="5"/>
  <c r="E67" i="5"/>
  <c r="F11" i="5"/>
  <c r="F65" i="5"/>
  <c r="F66" i="5"/>
  <c r="F67" i="5"/>
  <c r="C17" i="5"/>
  <c r="C71" i="5"/>
  <c r="C18" i="5"/>
  <c r="C72" i="5"/>
  <c r="D17" i="5"/>
  <c r="D71" i="5"/>
  <c r="D18" i="5"/>
  <c r="D72" i="5"/>
  <c r="E17" i="5"/>
  <c r="E71" i="5"/>
  <c r="E18" i="5"/>
  <c r="E72" i="5"/>
  <c r="F17" i="5"/>
  <c r="F71" i="5"/>
  <c r="F18" i="5"/>
  <c r="F72" i="5"/>
  <c r="Q18" i="5"/>
  <c r="Q72" i="5"/>
  <c r="V18" i="5"/>
  <c r="V72" i="5"/>
  <c r="AA18" i="5"/>
  <c r="AF18" i="5"/>
  <c r="C22" i="5"/>
  <c r="C76" i="5"/>
  <c r="C23" i="5"/>
  <c r="C77" i="5"/>
  <c r="C78" i="5"/>
  <c r="C132" i="5" s="1"/>
  <c r="C79" i="5"/>
  <c r="C80" i="5"/>
  <c r="C27" i="5"/>
  <c r="C81" i="5"/>
  <c r="D22" i="5"/>
  <c r="D76" i="5"/>
  <c r="D23" i="5"/>
  <c r="D77" i="5"/>
  <c r="D78" i="5"/>
  <c r="D132" i="5" s="1"/>
  <c r="D25" i="5"/>
  <c r="D79" i="5"/>
  <c r="D26" i="5"/>
  <c r="D80" i="5"/>
  <c r="D27" i="5"/>
  <c r="D81" i="5"/>
  <c r="E22" i="5"/>
  <c r="E76" i="5"/>
  <c r="E23" i="5"/>
  <c r="E77" i="5"/>
  <c r="E78" i="5"/>
  <c r="E132" i="5" s="1"/>
  <c r="E79" i="5"/>
  <c r="E80" i="5"/>
  <c r="E27" i="5"/>
  <c r="E81" i="5"/>
  <c r="F22" i="5"/>
  <c r="F76" i="5"/>
  <c r="F23" i="5"/>
  <c r="F77" i="5"/>
  <c r="F78" i="5"/>
  <c r="F132" i="5" s="1"/>
  <c r="F79" i="5"/>
  <c r="F80" i="5"/>
  <c r="F27" i="5"/>
  <c r="F81" i="5"/>
  <c r="Q22" i="5"/>
  <c r="Q76" i="5"/>
  <c r="Q23" i="5"/>
  <c r="Q77" i="5"/>
  <c r="Q78" i="5"/>
  <c r="Q25" i="5"/>
  <c r="Q79" i="5"/>
  <c r="Q26" i="5"/>
  <c r="Q80" i="5"/>
  <c r="Q27" i="5"/>
  <c r="Q81" i="5"/>
  <c r="V22" i="5"/>
  <c r="V76" i="5"/>
  <c r="V23" i="5"/>
  <c r="V77" i="5"/>
  <c r="V78" i="5"/>
  <c r="V132" i="5" s="1"/>
  <c r="V25" i="5"/>
  <c r="V79" i="5"/>
  <c r="V26" i="5"/>
  <c r="V80" i="5"/>
  <c r="V27" i="5"/>
  <c r="V81" i="5"/>
  <c r="AA22" i="5"/>
  <c r="AA23" i="5"/>
  <c r="AA25" i="5"/>
  <c r="AA26" i="5"/>
  <c r="AA27" i="5"/>
  <c r="AF22" i="5"/>
  <c r="AF23" i="5"/>
  <c r="AF25" i="5"/>
  <c r="AF26" i="5"/>
  <c r="AF27" i="5"/>
  <c r="C85" i="5"/>
  <c r="C32" i="5"/>
  <c r="C86" i="5"/>
  <c r="C33" i="5"/>
  <c r="C87" i="5"/>
  <c r="D85" i="5"/>
  <c r="D32" i="5"/>
  <c r="D86" i="5"/>
  <c r="D87" i="5"/>
  <c r="E85" i="5"/>
  <c r="E86" i="5"/>
  <c r="E87" i="5"/>
  <c r="F85" i="5"/>
  <c r="F32" i="5"/>
  <c r="F86" i="5"/>
  <c r="F87" i="5"/>
  <c r="Q31" i="5"/>
  <c r="Q85" i="5"/>
  <c r="Q32" i="5"/>
  <c r="Q86" i="5"/>
  <c r="Q33" i="5"/>
  <c r="Q87" i="5"/>
  <c r="V31" i="5"/>
  <c r="V85" i="5"/>
  <c r="V32" i="5"/>
  <c r="V86" i="5"/>
  <c r="V33" i="5"/>
  <c r="V87" i="5"/>
  <c r="AA31" i="5"/>
  <c r="AA32" i="5"/>
  <c r="AA33" i="5"/>
  <c r="AF31" i="5"/>
  <c r="AF32" i="5"/>
  <c r="AF33" i="5"/>
  <c r="C37" i="5"/>
  <c r="C91" i="5"/>
  <c r="C38" i="5"/>
  <c r="C92" i="5"/>
  <c r="C39" i="5"/>
  <c r="C93" i="5"/>
  <c r="C40" i="5"/>
  <c r="C94" i="5"/>
  <c r="C41" i="5"/>
  <c r="C95" i="5"/>
  <c r="C42" i="5"/>
  <c r="C96" i="5"/>
  <c r="C43" i="5"/>
  <c r="C97" i="5"/>
  <c r="C98" i="5"/>
  <c r="C45" i="5"/>
  <c r="C99" i="5"/>
  <c r="C100" i="5"/>
  <c r="C102" i="5"/>
  <c r="D37" i="5"/>
  <c r="D91" i="5"/>
  <c r="D38" i="5"/>
  <c r="D92" i="5"/>
  <c r="D39" i="5"/>
  <c r="D93" i="5"/>
  <c r="D40" i="5"/>
  <c r="D94" i="5"/>
  <c r="D41" i="5"/>
  <c r="D95" i="5"/>
  <c r="D42" i="5"/>
  <c r="D96" i="5"/>
  <c r="D43" i="5"/>
  <c r="D97" i="5"/>
  <c r="D98" i="5"/>
  <c r="D45" i="5"/>
  <c r="D99" i="5"/>
  <c r="D46" i="5"/>
  <c r="D100" i="5"/>
  <c r="D102" i="5"/>
  <c r="E37" i="5"/>
  <c r="E91" i="5"/>
  <c r="E38" i="5"/>
  <c r="E92" i="5"/>
  <c r="E39" i="5"/>
  <c r="E93" i="5"/>
  <c r="E40" i="5"/>
  <c r="E94" i="5"/>
  <c r="E41" i="5"/>
  <c r="E95" i="5"/>
  <c r="E42" i="5"/>
  <c r="E96" i="5"/>
  <c r="E43" i="5"/>
  <c r="E97" i="5"/>
  <c r="E98" i="5"/>
  <c r="E45" i="5"/>
  <c r="E99" i="5"/>
  <c r="E100" i="5"/>
  <c r="E47" i="5"/>
  <c r="E102" i="5"/>
  <c r="F37" i="5"/>
  <c r="F91" i="5"/>
  <c r="F38" i="5"/>
  <c r="F92" i="5"/>
  <c r="F39" i="5"/>
  <c r="F93" i="5"/>
  <c r="F40" i="5"/>
  <c r="F94" i="5"/>
  <c r="F41" i="5"/>
  <c r="F95" i="5"/>
  <c r="F42" i="5"/>
  <c r="F96" i="5"/>
  <c r="F43" i="5"/>
  <c r="F97" i="5"/>
  <c r="F98" i="5"/>
  <c r="F45" i="5"/>
  <c r="F99" i="5"/>
  <c r="F46" i="5"/>
  <c r="F100" i="5"/>
  <c r="F102" i="5"/>
  <c r="Q37" i="5"/>
  <c r="Q91" i="5"/>
  <c r="Q38" i="5"/>
  <c r="Q92" i="5"/>
  <c r="Q39" i="5"/>
  <c r="Q93" i="5"/>
  <c r="Q40" i="5"/>
  <c r="Q94" i="5"/>
  <c r="Q41" i="5"/>
  <c r="Q95" i="5"/>
  <c r="Q42" i="5"/>
  <c r="Q96" i="5"/>
  <c r="Q43" i="5"/>
  <c r="Q97" i="5"/>
  <c r="Q44" i="5"/>
  <c r="Q98" i="5"/>
  <c r="Q46" i="5"/>
  <c r="Q100" i="5"/>
  <c r="Q47" i="5"/>
  <c r="Q101" i="5"/>
  <c r="Q48" i="5"/>
  <c r="Q102" i="5"/>
  <c r="V37" i="5"/>
  <c r="V91" i="5"/>
  <c r="V38" i="5"/>
  <c r="V92" i="5"/>
  <c r="V39" i="5"/>
  <c r="V93" i="5"/>
  <c r="V40" i="5"/>
  <c r="V94" i="5"/>
  <c r="V41" i="5"/>
  <c r="V95" i="5"/>
  <c r="V42" i="5"/>
  <c r="V96" i="5"/>
  <c r="V43" i="5"/>
  <c r="V97" i="5"/>
  <c r="V44" i="5"/>
  <c r="V98" i="5"/>
  <c r="V46" i="5"/>
  <c r="V100" i="5"/>
  <c r="V47" i="5"/>
  <c r="V101" i="5"/>
  <c r="V48" i="5"/>
  <c r="V102" i="5"/>
  <c r="AA37" i="5"/>
  <c r="AA38" i="5"/>
  <c r="AA39" i="5"/>
  <c r="AA40" i="5"/>
  <c r="AA41" i="5"/>
  <c r="AA42" i="5"/>
  <c r="AA43" i="5"/>
  <c r="AA44" i="5"/>
  <c r="AA46" i="5"/>
  <c r="AA47" i="5"/>
  <c r="AA48" i="5"/>
  <c r="AF37" i="5"/>
  <c r="AF38" i="5"/>
  <c r="AF39" i="5"/>
  <c r="AF40" i="5"/>
  <c r="AF41" i="5"/>
  <c r="AF42" i="5"/>
  <c r="AF43" i="5"/>
  <c r="AF44" i="5"/>
  <c r="AF46" i="5"/>
  <c r="AF47" i="5"/>
  <c r="AF48" i="5"/>
  <c r="C52" i="5"/>
  <c r="C106" i="5"/>
  <c r="C53" i="5"/>
  <c r="C107" i="5"/>
  <c r="D52" i="5"/>
  <c r="D106" i="5"/>
  <c r="D53" i="5"/>
  <c r="D107" i="5"/>
  <c r="E52" i="5"/>
  <c r="E106" i="5"/>
  <c r="E53" i="5"/>
  <c r="E107" i="5"/>
  <c r="F52" i="5"/>
  <c r="F106" i="5"/>
  <c r="F53" i="5"/>
  <c r="F107" i="5"/>
  <c r="Q52" i="5"/>
  <c r="Q106" i="5"/>
  <c r="Q53" i="5"/>
  <c r="Q107" i="5"/>
  <c r="V52" i="5"/>
  <c r="V106" i="5"/>
  <c r="V53" i="5"/>
  <c r="V107" i="5"/>
  <c r="AA52" i="5"/>
  <c r="AA53" i="5"/>
  <c r="AF52" i="5"/>
  <c r="AF53" i="5"/>
  <c r="AR81" i="14"/>
  <c r="AQ81" i="14"/>
  <c r="AT81" i="14"/>
  <c r="AR82" i="14"/>
  <c r="AQ82" i="14"/>
  <c r="AT82" i="14"/>
  <c r="AR83" i="14"/>
  <c r="AV83" i="14"/>
  <c r="AQ83" i="14"/>
  <c r="AT83" i="14"/>
  <c r="AF170" i="12"/>
  <c r="AF49" i="12" s="1"/>
  <c r="AG170" i="12"/>
  <c r="AG49" i="12" s="1"/>
  <c r="AH170" i="12"/>
  <c r="AI170" i="12"/>
  <c r="AI49" i="12" s="1"/>
  <c r="AJ170" i="12"/>
  <c r="AJ49" i="12" s="1"/>
  <c r="AL170" i="12"/>
  <c r="AL49" i="12" s="1"/>
  <c r="AM170" i="12"/>
  <c r="AM49" i="12" s="1"/>
  <c r="AN170" i="12"/>
  <c r="AN49" i="12" s="1"/>
  <c r="AO170" i="12"/>
  <c r="AO49" i="12" s="1"/>
  <c r="AQ170" i="12"/>
  <c r="AQ49" i="12" s="1"/>
  <c r="AR170" i="12"/>
  <c r="AS170" i="12"/>
  <c r="AS49" i="12" s="1"/>
  <c r="AT170" i="12"/>
  <c r="AT49" i="12" s="1"/>
  <c r="AF54" i="12"/>
  <c r="AK179" i="12"/>
  <c r="AK180" i="12"/>
  <c r="AP179" i="12"/>
  <c r="AP180" i="12"/>
  <c r="AU179" i="12"/>
  <c r="AU180" i="12"/>
  <c r="AF47" i="12"/>
  <c r="AK166" i="12"/>
  <c r="AK167" i="12"/>
  <c r="AK168" i="12"/>
  <c r="AP166" i="12"/>
  <c r="AP167" i="12"/>
  <c r="AP168" i="12"/>
  <c r="AU166" i="12"/>
  <c r="AU167" i="12"/>
  <c r="AU168" i="12"/>
  <c r="AJ404" i="2"/>
  <c r="AJ407" i="2"/>
  <c r="AJ413" i="2"/>
  <c r="AJ414" i="2"/>
  <c r="AJ415" i="2"/>
  <c r="AJ422" i="2"/>
  <c r="AJ453" i="2"/>
  <c r="AJ455" i="2"/>
  <c r="AJ456" i="2"/>
  <c r="AJ458" i="2"/>
  <c r="AJ459" i="2"/>
  <c r="AJ460" i="2"/>
  <c r="AJ461" i="2"/>
  <c r="AJ463" i="2"/>
  <c r="AJ465" i="2"/>
  <c r="AJ466" i="2"/>
  <c r="AJ341" i="2"/>
  <c r="AJ470" i="2"/>
  <c r="AJ471" i="2"/>
  <c r="AJ310" i="2"/>
  <c r="AJ311" i="2"/>
  <c r="AJ312" i="2"/>
  <c r="AJ313" i="2"/>
  <c r="AJ314" i="2"/>
  <c r="AJ315" i="2"/>
  <c r="AJ316" i="2"/>
  <c r="AJ317" i="2"/>
  <c r="AJ318" i="2"/>
  <c r="AJ319" i="2"/>
  <c r="AJ320" i="2"/>
  <c r="AJ322" i="2"/>
  <c r="AJ323" i="2"/>
  <c r="AJ324" i="2"/>
  <c r="AJ325" i="2"/>
  <c r="AJ326" i="2"/>
  <c r="AJ327" i="2"/>
  <c r="AJ328" i="2"/>
  <c r="AJ329" i="2"/>
  <c r="AJ331" i="2"/>
  <c r="AJ332" i="2"/>
  <c r="AJ333" i="2"/>
  <c r="AJ334" i="2"/>
  <c r="AJ337" i="2"/>
  <c r="AJ338" i="2"/>
  <c r="AJ339" i="2"/>
  <c r="AJ473" i="2"/>
  <c r="AJ474" i="2"/>
  <c r="AJ475" i="2"/>
  <c r="AJ476" i="2"/>
  <c r="AJ340" i="2"/>
  <c r="AJ478" i="2"/>
  <c r="AK404" i="2"/>
  <c r="AK407" i="2"/>
  <c r="AK413" i="2"/>
  <c r="AK414" i="2"/>
  <c r="AK415" i="2"/>
  <c r="AK422" i="2"/>
  <c r="AK453" i="2"/>
  <c r="AK455" i="2"/>
  <c r="AK456" i="2"/>
  <c r="AK458" i="2"/>
  <c r="AK459" i="2"/>
  <c r="AK460" i="2"/>
  <c r="AK461" i="2"/>
  <c r="AK463" i="2"/>
  <c r="AK465" i="2"/>
  <c r="AK466" i="2"/>
  <c r="AK341" i="2"/>
  <c r="AK470" i="2"/>
  <c r="AK471" i="2"/>
  <c r="AK310" i="2"/>
  <c r="AK311" i="2"/>
  <c r="AK312" i="2"/>
  <c r="AK313" i="2"/>
  <c r="AK314" i="2"/>
  <c r="AK315" i="2"/>
  <c r="AK316" i="2"/>
  <c r="AK317" i="2"/>
  <c r="AK318" i="2"/>
  <c r="AK319" i="2"/>
  <c r="AK320" i="2"/>
  <c r="AK322" i="2"/>
  <c r="AK323" i="2"/>
  <c r="AK324" i="2"/>
  <c r="AK325" i="2"/>
  <c r="AK326" i="2"/>
  <c r="AK327" i="2"/>
  <c r="AK328" i="2"/>
  <c r="AK329" i="2"/>
  <c r="AK331" i="2"/>
  <c r="AK332" i="2"/>
  <c r="AK333" i="2"/>
  <c r="AK334" i="2"/>
  <c r="AK337" i="2"/>
  <c r="AK338" i="2"/>
  <c r="AK339" i="2"/>
  <c r="AK473" i="2"/>
  <c r="AK474" i="2"/>
  <c r="AK475" i="2"/>
  <c r="AK476" i="2"/>
  <c r="AK340" i="2"/>
  <c r="AK478" i="2"/>
  <c r="K522" i="3"/>
  <c r="E227" i="4" s="1"/>
  <c r="K513" i="3"/>
  <c r="E229" i="4" s="1"/>
  <c r="K523" i="3"/>
  <c r="E233" i="4" s="1"/>
  <c r="K506" i="3"/>
  <c r="E234" i="4" s="1"/>
  <c r="K450" i="3"/>
  <c r="E184" i="4" s="1"/>
  <c r="K453" i="3"/>
  <c r="E185" i="4" s="1"/>
  <c r="K505" i="3"/>
  <c r="E240" i="4" s="1"/>
  <c r="K508" i="3"/>
  <c r="E241" i="4" s="1"/>
  <c r="K521" i="3"/>
  <c r="E242" i="4" s="1"/>
  <c r="K500" i="3"/>
  <c r="E248" i="4" s="1"/>
  <c r="K509" i="3"/>
  <c r="E249" i="4" s="1"/>
  <c r="K503" i="3"/>
  <c r="E254" i="4" s="1"/>
  <c r="K456" i="3"/>
  <c r="E201" i="4" s="1"/>
  <c r="K507" i="3"/>
  <c r="E255" i="4" s="1"/>
  <c r="K460" i="3"/>
  <c r="E203" i="4" s="1"/>
  <c r="K511" i="3"/>
  <c r="E257" i="4" s="1"/>
  <c r="K461" i="3"/>
  <c r="E204" i="4" s="1"/>
  <c r="K512" i="3"/>
  <c r="E258" i="4" s="1"/>
  <c r="K464" i="3"/>
  <c r="E205" i="4" s="1"/>
  <c r="K515" i="3"/>
  <c r="E259" i="4" s="1"/>
  <c r="K467" i="3"/>
  <c r="E206" i="4" s="1"/>
  <c r="K518" i="3"/>
  <c r="E260" i="4" s="1"/>
  <c r="K468" i="3"/>
  <c r="E207" i="4" s="1"/>
  <c r="K469" i="3"/>
  <c r="E208" i="4" s="1"/>
  <c r="K520" i="3"/>
  <c r="E262" i="4" s="1"/>
  <c r="K525" i="3"/>
  <c r="E263" i="4" s="1"/>
  <c r="K502" i="3"/>
  <c r="E268" i="4" s="1"/>
  <c r="K517" i="3"/>
  <c r="E269" i="4" s="1"/>
  <c r="K475" i="2"/>
  <c r="E234" i="1" s="1"/>
  <c r="K466" i="2"/>
  <c r="E236" i="1" s="1"/>
  <c r="K476" i="2"/>
  <c r="E240" i="1" s="1"/>
  <c r="K459" i="2"/>
  <c r="E241" i="1" s="1"/>
  <c r="K404" i="2"/>
  <c r="E191" i="1" s="1"/>
  <c r="K407" i="2"/>
  <c r="E192" i="1" s="1"/>
  <c r="K461" i="2"/>
  <c r="E248" i="1" s="1"/>
  <c r="K474" i="2"/>
  <c r="E249" i="1" s="1"/>
  <c r="K453" i="2"/>
  <c r="E255" i="1" s="1"/>
  <c r="K456" i="2"/>
  <c r="E261" i="1" s="1"/>
  <c r="K460" i="2"/>
  <c r="E262" i="1" s="1"/>
  <c r="K413" i="2"/>
  <c r="E209" i="1" s="1"/>
  <c r="K463" i="2"/>
  <c r="E263" i="1" s="1"/>
  <c r="K414" i="2"/>
  <c r="E210" i="1" s="1"/>
  <c r="K415" i="2"/>
  <c r="E211" i="1" s="1"/>
  <c r="K465" i="2"/>
  <c r="E265" i="1" s="1"/>
  <c r="K471" i="2"/>
  <c r="E267" i="1" s="1"/>
  <c r="K422" i="2"/>
  <c r="E214" i="1" s="1"/>
  <c r="K473" i="2"/>
  <c r="E269" i="1" s="1"/>
  <c r="K478" i="2"/>
  <c r="E270" i="1" s="1"/>
  <c r="K455" i="2"/>
  <c r="E275" i="1" s="1"/>
  <c r="K470" i="2"/>
  <c r="E276" i="1" s="1"/>
  <c r="AN10" i="30"/>
  <c r="AC310" i="2"/>
  <c r="AD310" i="2"/>
  <c r="AE310" i="2"/>
  <c r="AF310" i="2"/>
  <c r="AG310" i="2"/>
  <c r="AH310" i="2"/>
  <c r="AI310" i="2"/>
  <c r="AL310" i="2"/>
  <c r="AC311" i="2"/>
  <c r="AD311" i="2"/>
  <c r="AE311" i="2"/>
  <c r="AF311" i="2"/>
  <c r="AG311" i="2"/>
  <c r="AH311" i="2"/>
  <c r="AI311" i="2"/>
  <c r="AL311" i="2"/>
  <c r="AC312" i="2"/>
  <c r="AD312" i="2"/>
  <c r="AE312" i="2"/>
  <c r="AF312" i="2"/>
  <c r="AG312" i="2"/>
  <c r="AH312" i="2"/>
  <c r="AI312" i="2"/>
  <c r="AL312" i="2"/>
  <c r="AC313" i="2"/>
  <c r="AD313" i="2"/>
  <c r="AE313" i="2"/>
  <c r="AF313" i="2"/>
  <c r="AG313" i="2"/>
  <c r="AH313" i="2"/>
  <c r="AI313" i="2"/>
  <c r="AL313" i="2"/>
  <c r="AC314" i="2"/>
  <c r="AD314" i="2"/>
  <c r="AE314" i="2"/>
  <c r="AF314" i="2"/>
  <c r="AG314" i="2"/>
  <c r="AH314" i="2"/>
  <c r="AI314" i="2"/>
  <c r="AL314" i="2"/>
  <c r="AC315" i="2"/>
  <c r="AD315" i="2"/>
  <c r="AE315" i="2"/>
  <c r="AF315" i="2"/>
  <c r="AG315" i="2"/>
  <c r="AH315" i="2"/>
  <c r="AI315" i="2"/>
  <c r="AL315" i="2"/>
  <c r="AC316" i="2"/>
  <c r="AD316" i="2"/>
  <c r="AE316" i="2"/>
  <c r="AF316" i="2"/>
  <c r="AG316" i="2"/>
  <c r="AH316" i="2"/>
  <c r="AI316" i="2"/>
  <c r="AL316" i="2"/>
  <c r="AC317" i="2"/>
  <c r="AD317" i="2"/>
  <c r="AE317" i="2"/>
  <c r="AF317" i="2"/>
  <c r="AG317" i="2"/>
  <c r="AH317" i="2"/>
  <c r="AI317" i="2"/>
  <c r="AL317" i="2"/>
  <c r="AC318" i="2"/>
  <c r="AD318" i="2"/>
  <c r="AE318" i="2"/>
  <c r="AF318" i="2"/>
  <c r="AG318" i="2"/>
  <c r="AH318" i="2"/>
  <c r="AI318" i="2"/>
  <c r="AL318" i="2"/>
  <c r="AC319" i="2"/>
  <c r="AD319" i="2"/>
  <c r="AE319" i="2"/>
  <c r="AF319" i="2"/>
  <c r="AG319" i="2"/>
  <c r="AH319" i="2"/>
  <c r="AI319" i="2"/>
  <c r="AL319" i="2"/>
  <c r="AC320" i="2"/>
  <c r="AD320" i="2"/>
  <c r="AE320" i="2"/>
  <c r="AF320" i="2"/>
  <c r="AG320" i="2"/>
  <c r="AH320" i="2"/>
  <c r="AI320" i="2"/>
  <c r="AL320" i="2"/>
  <c r="AC322" i="2"/>
  <c r="AD322" i="2"/>
  <c r="AE322" i="2"/>
  <c r="AF322" i="2"/>
  <c r="AG322" i="2"/>
  <c r="AH322" i="2"/>
  <c r="AI322" i="2"/>
  <c r="AL322" i="2"/>
  <c r="AC323" i="2"/>
  <c r="AD323" i="2"/>
  <c r="AE323" i="2"/>
  <c r="AF323" i="2"/>
  <c r="AG323" i="2"/>
  <c r="AH323" i="2"/>
  <c r="AI323" i="2"/>
  <c r="AL323" i="2"/>
  <c r="AC324" i="2"/>
  <c r="AD324" i="2"/>
  <c r="AE324" i="2"/>
  <c r="AF324" i="2"/>
  <c r="AG324" i="2"/>
  <c r="AH324" i="2"/>
  <c r="AI324" i="2"/>
  <c r="AL324" i="2"/>
  <c r="AC325" i="2"/>
  <c r="AD325" i="2"/>
  <c r="AE325" i="2"/>
  <c r="AF325" i="2"/>
  <c r="AG325" i="2"/>
  <c r="AH325" i="2"/>
  <c r="AI325" i="2"/>
  <c r="AL325" i="2"/>
  <c r="AC326" i="2"/>
  <c r="AD326" i="2"/>
  <c r="AE326" i="2"/>
  <c r="AF326" i="2"/>
  <c r="AG326" i="2"/>
  <c r="AH326" i="2"/>
  <c r="AI326" i="2"/>
  <c r="AL326" i="2"/>
  <c r="AC327" i="2"/>
  <c r="AD327" i="2"/>
  <c r="AE327" i="2"/>
  <c r="AF327" i="2"/>
  <c r="AG327" i="2"/>
  <c r="AH327" i="2"/>
  <c r="AI327" i="2"/>
  <c r="AL327" i="2"/>
  <c r="AC328" i="2"/>
  <c r="AD328" i="2"/>
  <c r="AE328" i="2"/>
  <c r="AF328" i="2"/>
  <c r="AG328" i="2"/>
  <c r="AH328" i="2"/>
  <c r="AI328" i="2"/>
  <c r="AL328" i="2"/>
  <c r="AC329" i="2"/>
  <c r="AD329" i="2"/>
  <c r="AE329" i="2"/>
  <c r="AF329" i="2"/>
  <c r="AG329" i="2"/>
  <c r="AH329" i="2"/>
  <c r="AI329" i="2"/>
  <c r="AL329" i="2"/>
  <c r="AC331" i="2"/>
  <c r="AD331" i="2"/>
  <c r="AE331" i="2"/>
  <c r="AF331" i="2"/>
  <c r="AG331" i="2"/>
  <c r="AH331" i="2"/>
  <c r="AI331" i="2"/>
  <c r="AL331" i="2"/>
  <c r="AC332" i="2"/>
  <c r="AD332" i="2"/>
  <c r="AE332" i="2"/>
  <c r="AF332" i="2"/>
  <c r="AG332" i="2"/>
  <c r="AH332" i="2"/>
  <c r="AI332" i="2"/>
  <c r="AL332" i="2"/>
  <c r="AC333" i="2"/>
  <c r="AD333" i="2"/>
  <c r="AE333" i="2"/>
  <c r="AF333" i="2"/>
  <c r="AG333" i="2"/>
  <c r="AH333" i="2"/>
  <c r="AI333" i="2"/>
  <c r="AL333" i="2"/>
  <c r="AC334" i="2"/>
  <c r="AD334" i="2"/>
  <c r="AE334" i="2"/>
  <c r="AF334" i="2"/>
  <c r="AG334" i="2"/>
  <c r="AH334" i="2"/>
  <c r="AI334" i="2"/>
  <c r="AL334" i="2"/>
  <c r="AC337" i="2"/>
  <c r="AD337" i="2"/>
  <c r="AE337" i="2"/>
  <c r="AF337" i="2"/>
  <c r="AG337" i="2"/>
  <c r="AH337" i="2"/>
  <c r="AI337" i="2"/>
  <c r="AL337" i="2"/>
  <c r="AC338" i="2"/>
  <c r="AD338" i="2"/>
  <c r="AE338" i="2"/>
  <c r="AF338" i="2"/>
  <c r="AG338" i="2"/>
  <c r="AH338" i="2"/>
  <c r="AI338" i="2"/>
  <c r="AL338" i="2"/>
  <c r="AC339" i="2"/>
  <c r="AD339" i="2"/>
  <c r="AE339" i="2"/>
  <c r="AF339" i="2"/>
  <c r="AG339" i="2"/>
  <c r="AH339" i="2"/>
  <c r="AI339" i="2"/>
  <c r="AL339" i="2"/>
  <c r="AC340" i="2"/>
  <c r="AD340" i="2"/>
  <c r="AE340" i="2"/>
  <c r="AF340" i="2"/>
  <c r="AG340" i="2"/>
  <c r="AH340" i="2"/>
  <c r="AI340" i="2"/>
  <c r="AL340" i="2"/>
  <c r="AC341" i="2"/>
  <c r="AD341" i="2"/>
  <c r="AE341" i="2"/>
  <c r="AF341" i="2"/>
  <c r="AG341" i="2"/>
  <c r="AH341" i="2"/>
  <c r="AI341" i="2"/>
  <c r="AL341" i="2"/>
  <c r="K401" i="2"/>
  <c r="E206" i="1" s="1"/>
  <c r="L401" i="2"/>
  <c r="F206" i="1" s="1"/>
  <c r="M401" i="2"/>
  <c r="G206" i="1" s="1"/>
  <c r="N401" i="2"/>
  <c r="L206" i="1" s="1"/>
  <c r="O401" i="2"/>
  <c r="Q206" i="1" s="1"/>
  <c r="P401" i="2"/>
  <c r="V206" i="1" s="1"/>
  <c r="Q401" i="2"/>
  <c r="AA206" i="1" s="1"/>
  <c r="R401" i="2"/>
  <c r="AF206" i="1" s="1"/>
  <c r="S401" i="2"/>
  <c r="AK206" i="1" s="1"/>
  <c r="T401" i="2"/>
  <c r="AP206" i="1" s="1"/>
  <c r="V401" i="2"/>
  <c r="AZ206" i="1" s="1"/>
  <c r="W401" i="2"/>
  <c r="BE206" i="1" s="1"/>
  <c r="X401" i="2"/>
  <c r="BJ206" i="1" s="1"/>
  <c r="Y401" i="2"/>
  <c r="BO206" i="1" s="1"/>
  <c r="Z401" i="2"/>
  <c r="BT206" i="1" s="1"/>
  <c r="AA401" i="2"/>
  <c r="BY206" i="1" s="1"/>
  <c r="AB401" i="2"/>
  <c r="CD206" i="1" s="1"/>
  <c r="AC401" i="2"/>
  <c r="AD401" i="2"/>
  <c r="AE401" i="2"/>
  <c r="AF401" i="2"/>
  <c r="AG401" i="2"/>
  <c r="AH401" i="2"/>
  <c r="AI401" i="2"/>
  <c r="AJ401" i="2"/>
  <c r="AK401" i="2"/>
  <c r="AL401" i="2"/>
  <c r="L404" i="2"/>
  <c r="F191" i="1" s="1"/>
  <c r="M404" i="2"/>
  <c r="G191" i="1" s="1"/>
  <c r="N404" i="2"/>
  <c r="L191" i="1" s="1"/>
  <c r="O404" i="2"/>
  <c r="Q191" i="1" s="1"/>
  <c r="N191" i="1" s="1"/>
  <c r="P404" i="2"/>
  <c r="V191" i="1" s="1"/>
  <c r="Q404" i="2"/>
  <c r="AA191" i="1" s="1"/>
  <c r="R404" i="2"/>
  <c r="AF191" i="1" s="1"/>
  <c r="S404" i="2"/>
  <c r="AK191" i="1" s="1"/>
  <c r="T404" i="2"/>
  <c r="AP191" i="1" s="1"/>
  <c r="AC404" i="2"/>
  <c r="AD404" i="2"/>
  <c r="AE404" i="2"/>
  <c r="AF404" i="2"/>
  <c r="AG404" i="2"/>
  <c r="AH404" i="2"/>
  <c r="AI404" i="2"/>
  <c r="AL404" i="2"/>
  <c r="L407" i="2"/>
  <c r="F192" i="1" s="1"/>
  <c r="M407" i="2"/>
  <c r="G192" i="1" s="1"/>
  <c r="N407" i="2"/>
  <c r="L192" i="1" s="1"/>
  <c r="O407" i="2"/>
  <c r="Q192" i="1" s="1"/>
  <c r="P407" i="2"/>
  <c r="V192" i="1" s="1"/>
  <c r="S192" i="1" s="1"/>
  <c r="Q407" i="2"/>
  <c r="AA192" i="1" s="1"/>
  <c r="R407" i="2"/>
  <c r="AF192" i="1" s="1"/>
  <c r="S407" i="2"/>
  <c r="AK192" i="1" s="1"/>
  <c r="T407" i="2"/>
  <c r="AP192" i="1" s="1"/>
  <c r="AC407" i="2"/>
  <c r="AD407" i="2"/>
  <c r="AE407" i="2"/>
  <c r="AF407" i="2"/>
  <c r="AG407" i="2"/>
  <c r="AH407" i="2"/>
  <c r="AI407" i="2"/>
  <c r="AL407" i="2"/>
  <c r="L413" i="2"/>
  <c r="F209" i="1" s="1"/>
  <c r="M413" i="2"/>
  <c r="G209" i="1" s="1"/>
  <c r="N413" i="2"/>
  <c r="L209" i="1" s="1"/>
  <c r="O413" i="2"/>
  <c r="Q209" i="1" s="1"/>
  <c r="M209" i="1" s="1"/>
  <c r="P413" i="2"/>
  <c r="V209" i="1" s="1"/>
  <c r="S209" i="1" s="1"/>
  <c r="Q413" i="2"/>
  <c r="AA209" i="1" s="1"/>
  <c r="R413" i="2"/>
  <c r="AF209" i="1" s="1"/>
  <c r="S413" i="2"/>
  <c r="AK209" i="1" s="1"/>
  <c r="T413" i="2"/>
  <c r="AP209" i="1" s="1"/>
  <c r="V413" i="2"/>
  <c r="AZ209" i="1" s="1"/>
  <c r="W413" i="2"/>
  <c r="BE209" i="1" s="1"/>
  <c r="X413" i="2"/>
  <c r="BJ209" i="1" s="1"/>
  <c r="Y413" i="2"/>
  <c r="BO209" i="1" s="1"/>
  <c r="Z413" i="2"/>
  <c r="BT209" i="1" s="1"/>
  <c r="AA413" i="2"/>
  <c r="BY209" i="1" s="1"/>
  <c r="AB413" i="2"/>
  <c r="CD209" i="1" s="1"/>
  <c r="AC413" i="2"/>
  <c r="AD413" i="2"/>
  <c r="AE413" i="2"/>
  <c r="AF413" i="2"/>
  <c r="AG413" i="2"/>
  <c r="AH413" i="2"/>
  <c r="AI413" i="2"/>
  <c r="AL413" i="2"/>
  <c r="L414" i="2"/>
  <c r="F210" i="1" s="1"/>
  <c r="M414" i="2"/>
  <c r="G210" i="1" s="1"/>
  <c r="N414" i="2"/>
  <c r="L210" i="1" s="1"/>
  <c r="O414" i="2"/>
  <c r="Q210" i="1" s="1"/>
  <c r="P414" i="2"/>
  <c r="V210" i="1" s="1"/>
  <c r="Q414" i="2"/>
  <c r="AA210" i="1" s="1"/>
  <c r="R414" i="2"/>
  <c r="AF210" i="1" s="1"/>
  <c r="S414" i="2"/>
  <c r="AK210" i="1" s="1"/>
  <c r="T414" i="2"/>
  <c r="AP210" i="1" s="1"/>
  <c r="AC414" i="2"/>
  <c r="AD414" i="2"/>
  <c r="AE414" i="2"/>
  <c r="AF414" i="2"/>
  <c r="AG414" i="2"/>
  <c r="AH414" i="2"/>
  <c r="AI414" i="2"/>
  <c r="AL414" i="2"/>
  <c r="L415" i="2"/>
  <c r="F211" i="1" s="1"/>
  <c r="M415" i="2"/>
  <c r="G211" i="1" s="1"/>
  <c r="N415" i="2"/>
  <c r="L211" i="1" s="1"/>
  <c r="O415" i="2"/>
  <c r="Q211" i="1" s="1"/>
  <c r="P415" i="2"/>
  <c r="V211" i="1" s="1"/>
  <c r="S211" i="1" s="1"/>
  <c r="Q415" i="2"/>
  <c r="AA211" i="1" s="1"/>
  <c r="R415" i="2"/>
  <c r="AF211" i="1" s="1"/>
  <c r="S415" i="2"/>
  <c r="AK211" i="1" s="1"/>
  <c r="T415" i="2"/>
  <c r="AP211" i="1" s="1"/>
  <c r="AC415" i="2"/>
  <c r="AD415" i="2"/>
  <c r="AE415" i="2"/>
  <c r="AF415" i="2"/>
  <c r="AG415" i="2"/>
  <c r="AH415" i="2"/>
  <c r="AI415" i="2"/>
  <c r="AL415" i="2"/>
  <c r="L422" i="2"/>
  <c r="F214" i="1" s="1"/>
  <c r="M422" i="2"/>
  <c r="G214" i="1" s="1"/>
  <c r="N422" i="2"/>
  <c r="L214" i="1" s="1"/>
  <c r="O422" i="2"/>
  <c r="Q214" i="1" s="1"/>
  <c r="P422" i="2"/>
  <c r="V214" i="1" s="1"/>
  <c r="Q422" i="2"/>
  <c r="AA214" i="1" s="1"/>
  <c r="R422" i="2"/>
  <c r="AF214" i="1" s="1"/>
  <c r="S422" i="2"/>
  <c r="AK214" i="1" s="1"/>
  <c r="T422" i="2"/>
  <c r="AP214" i="1" s="1"/>
  <c r="AC422" i="2"/>
  <c r="AD422" i="2"/>
  <c r="AE422" i="2"/>
  <c r="AF422" i="2"/>
  <c r="AG422" i="2"/>
  <c r="AH422" i="2"/>
  <c r="AI422" i="2"/>
  <c r="AL422" i="2"/>
  <c r="K451" i="2"/>
  <c r="E260" i="1" s="1"/>
  <c r="L451" i="2"/>
  <c r="F260" i="1" s="1"/>
  <c r="M451" i="2"/>
  <c r="G260" i="1" s="1"/>
  <c r="N451" i="2"/>
  <c r="L260" i="1" s="1"/>
  <c r="O451" i="2"/>
  <c r="Q260" i="1" s="1"/>
  <c r="P451" i="2"/>
  <c r="V260" i="1" s="1"/>
  <c r="S260" i="1" s="1"/>
  <c r="Q451" i="2"/>
  <c r="AA260" i="1" s="1"/>
  <c r="W260" i="1" s="1"/>
  <c r="R451" i="2"/>
  <c r="AF260" i="1" s="1"/>
  <c r="S451" i="2"/>
  <c r="AK260" i="1" s="1"/>
  <c r="T451" i="2"/>
  <c r="AP260" i="1" s="1"/>
  <c r="V451" i="2"/>
  <c r="AZ260" i="1" s="1"/>
  <c r="W451" i="2"/>
  <c r="BE260" i="1" s="1"/>
  <c r="X451" i="2"/>
  <c r="BJ260" i="1" s="1"/>
  <c r="BJ314" i="1" s="1"/>
  <c r="BJ368" i="1" s="1"/>
  <c r="Y451" i="2"/>
  <c r="BO260" i="1" s="1"/>
  <c r="Z451" i="2"/>
  <c r="BT260" i="1" s="1"/>
  <c r="AA451" i="2"/>
  <c r="BY260" i="1" s="1"/>
  <c r="AB451" i="2"/>
  <c r="CD260" i="1" s="1"/>
  <c r="AC451" i="2"/>
  <c r="AD451" i="2"/>
  <c r="AE451" i="2"/>
  <c r="AF451" i="2"/>
  <c r="AG451" i="2"/>
  <c r="AH451" i="2"/>
  <c r="AI451" i="2"/>
  <c r="AJ451" i="2"/>
  <c r="AK451" i="2"/>
  <c r="AL451" i="2"/>
  <c r="L453" i="2"/>
  <c r="F255" i="1" s="1"/>
  <c r="M453" i="2"/>
  <c r="G255" i="1" s="1"/>
  <c r="N453" i="2"/>
  <c r="L255" i="1" s="1"/>
  <c r="O453" i="2"/>
  <c r="Q255" i="1" s="1"/>
  <c r="O255" i="1" s="1"/>
  <c r="P453" i="2"/>
  <c r="V255" i="1" s="1"/>
  <c r="S255" i="1" s="1"/>
  <c r="Q453" i="2"/>
  <c r="AA255" i="1" s="1"/>
  <c r="R453" i="2"/>
  <c r="AF255" i="1" s="1"/>
  <c r="S453" i="2"/>
  <c r="AK255" i="1" s="1"/>
  <c r="T453" i="2"/>
  <c r="AP255" i="1" s="1"/>
  <c r="AC453" i="2"/>
  <c r="AD453" i="2"/>
  <c r="AE453" i="2"/>
  <c r="AF453" i="2"/>
  <c r="AG453" i="2"/>
  <c r="AH453" i="2"/>
  <c r="AI453" i="2"/>
  <c r="AL453" i="2"/>
  <c r="L455" i="2"/>
  <c r="F275" i="1" s="1"/>
  <c r="M455" i="2"/>
  <c r="G275" i="1" s="1"/>
  <c r="N455" i="2"/>
  <c r="L275" i="1" s="1"/>
  <c r="O455" i="2"/>
  <c r="Q275" i="1" s="1"/>
  <c r="M275" i="1" s="1"/>
  <c r="P455" i="2"/>
  <c r="V275" i="1" s="1"/>
  <c r="S275" i="1" s="1"/>
  <c r="Q455" i="2"/>
  <c r="AA275" i="1" s="1"/>
  <c r="R455" i="2"/>
  <c r="AF275" i="1" s="1"/>
  <c r="AD275" i="1" s="1"/>
  <c r="S455" i="2"/>
  <c r="AK275" i="1" s="1"/>
  <c r="T455" i="2"/>
  <c r="AP275" i="1" s="1"/>
  <c r="AC455" i="2"/>
  <c r="AD455" i="2"/>
  <c r="AE455" i="2"/>
  <c r="AF455" i="2"/>
  <c r="AG455" i="2"/>
  <c r="AH455" i="2"/>
  <c r="AI455" i="2"/>
  <c r="AL455" i="2"/>
  <c r="L456" i="2"/>
  <c r="F261" i="1" s="1"/>
  <c r="M456" i="2"/>
  <c r="G261" i="1" s="1"/>
  <c r="N456" i="2"/>
  <c r="L261" i="1" s="1"/>
  <c r="O456" i="2"/>
  <c r="Q261" i="1" s="1"/>
  <c r="P456" i="2"/>
  <c r="V261" i="1" s="1"/>
  <c r="Q456" i="2"/>
  <c r="AA261" i="1" s="1"/>
  <c r="R456" i="2"/>
  <c r="AF261" i="1" s="1"/>
  <c r="S456" i="2"/>
  <c r="AK261" i="1" s="1"/>
  <c r="T456" i="2"/>
  <c r="AP261" i="1" s="1"/>
  <c r="AC456" i="2"/>
  <c r="AD456" i="2"/>
  <c r="AE456" i="2"/>
  <c r="AF456" i="2"/>
  <c r="AG456" i="2"/>
  <c r="AH456" i="2"/>
  <c r="AI456" i="2"/>
  <c r="AL456" i="2"/>
  <c r="K458" i="2"/>
  <c r="L458" i="2"/>
  <c r="M458" i="2"/>
  <c r="N458" i="2"/>
  <c r="O458" i="2"/>
  <c r="P458" i="2"/>
  <c r="Q458" i="2"/>
  <c r="R458" i="2"/>
  <c r="S458" i="2"/>
  <c r="AK247" i="1" s="1"/>
  <c r="T458" i="2"/>
  <c r="AP247" i="1" s="1"/>
  <c r="AC458" i="2"/>
  <c r="AD458" i="2"/>
  <c r="AE458" i="2"/>
  <c r="AF458" i="2"/>
  <c r="AG458" i="2"/>
  <c r="AH458" i="2"/>
  <c r="AI458" i="2"/>
  <c r="AL458" i="2"/>
  <c r="L459" i="2"/>
  <c r="F241" i="1" s="1"/>
  <c r="M459" i="2"/>
  <c r="G241" i="1" s="1"/>
  <c r="N459" i="2"/>
  <c r="L241" i="1" s="1"/>
  <c r="O459" i="2"/>
  <c r="Q241" i="1" s="1"/>
  <c r="M241" i="1" s="1"/>
  <c r="P459" i="2"/>
  <c r="V241" i="1" s="1"/>
  <c r="Q459" i="2"/>
  <c r="AA241" i="1" s="1"/>
  <c r="R459" i="2"/>
  <c r="AF241" i="1" s="1"/>
  <c r="AB241" i="1" s="1"/>
  <c r="S459" i="2"/>
  <c r="AK241" i="1" s="1"/>
  <c r="T459" i="2"/>
  <c r="AP241" i="1" s="1"/>
  <c r="AC459" i="2"/>
  <c r="AD459" i="2"/>
  <c r="AE459" i="2"/>
  <c r="AF459" i="2"/>
  <c r="AG459" i="2"/>
  <c r="AH459" i="2"/>
  <c r="AI459" i="2"/>
  <c r="AL459" i="2"/>
  <c r="L460" i="2"/>
  <c r="F262" i="1" s="1"/>
  <c r="M460" i="2"/>
  <c r="G262" i="1" s="1"/>
  <c r="N460" i="2"/>
  <c r="L262" i="1" s="1"/>
  <c r="O460" i="2"/>
  <c r="Q262" i="1" s="1"/>
  <c r="P460" i="2"/>
  <c r="V262" i="1" s="1"/>
  <c r="Q460" i="2"/>
  <c r="AA262" i="1" s="1"/>
  <c r="X262" i="1" s="1"/>
  <c r="R460" i="2"/>
  <c r="AF262" i="1" s="1"/>
  <c r="S460" i="2"/>
  <c r="AK262" i="1" s="1"/>
  <c r="T460" i="2"/>
  <c r="AP262" i="1" s="1"/>
  <c r="AC460" i="2"/>
  <c r="AD460" i="2"/>
  <c r="AE460" i="2"/>
  <c r="AF460" i="2"/>
  <c r="AG460" i="2"/>
  <c r="AH460" i="2"/>
  <c r="AI460" i="2"/>
  <c r="AL460" i="2"/>
  <c r="L461" i="2"/>
  <c r="F248" i="1" s="1"/>
  <c r="M461" i="2"/>
  <c r="G248" i="1" s="1"/>
  <c r="N461" i="2"/>
  <c r="L248" i="1" s="1"/>
  <c r="O461" i="2"/>
  <c r="Q248" i="1" s="1"/>
  <c r="P461" i="2"/>
  <c r="V248" i="1" s="1"/>
  <c r="Q461" i="2"/>
  <c r="AA248" i="1" s="1"/>
  <c r="R461" i="2"/>
  <c r="AF248" i="1" s="1"/>
  <c r="S461" i="2"/>
  <c r="AK248" i="1" s="1"/>
  <c r="T461" i="2"/>
  <c r="AP248" i="1" s="1"/>
  <c r="AC461" i="2"/>
  <c r="AD461" i="2"/>
  <c r="AE461" i="2"/>
  <c r="AF461" i="2"/>
  <c r="AG461" i="2"/>
  <c r="AH461" i="2"/>
  <c r="AI461" i="2"/>
  <c r="AL461" i="2"/>
  <c r="L463" i="2"/>
  <c r="F263" i="1" s="1"/>
  <c r="M463" i="2"/>
  <c r="G263" i="1" s="1"/>
  <c r="N463" i="2"/>
  <c r="L263" i="1" s="1"/>
  <c r="O463" i="2"/>
  <c r="Q263" i="1" s="1"/>
  <c r="M263" i="1" s="1"/>
  <c r="P463" i="2"/>
  <c r="V263" i="1" s="1"/>
  <c r="S263" i="1" s="1"/>
  <c r="Q463" i="2"/>
  <c r="AA263" i="1" s="1"/>
  <c r="R463" i="2"/>
  <c r="AF263" i="1" s="1"/>
  <c r="S463" i="2"/>
  <c r="AK263" i="1" s="1"/>
  <c r="T463" i="2"/>
  <c r="AP263" i="1" s="1"/>
  <c r="V463" i="2"/>
  <c r="AZ263" i="1" s="1"/>
  <c r="W463" i="2"/>
  <c r="BE263" i="1" s="1"/>
  <c r="X463" i="2"/>
  <c r="BJ263" i="1" s="1"/>
  <c r="Y463" i="2"/>
  <c r="BO263" i="1" s="1"/>
  <c r="Z463" i="2"/>
  <c r="BT263" i="1" s="1"/>
  <c r="AA463" i="2"/>
  <c r="BY263" i="1" s="1"/>
  <c r="AB463" i="2"/>
  <c r="CD263" i="1" s="1"/>
  <c r="AC463" i="2"/>
  <c r="AD463" i="2"/>
  <c r="AE463" i="2"/>
  <c r="AF463" i="2"/>
  <c r="AG463" i="2"/>
  <c r="AH463" i="2"/>
  <c r="AI463" i="2"/>
  <c r="AL463" i="2"/>
  <c r="L465" i="2"/>
  <c r="F265" i="1" s="1"/>
  <c r="M465" i="2"/>
  <c r="G265" i="1" s="1"/>
  <c r="N465" i="2"/>
  <c r="L265" i="1" s="1"/>
  <c r="O465" i="2"/>
  <c r="Q265" i="1" s="1"/>
  <c r="O265" i="1" s="1"/>
  <c r="P465" i="2"/>
  <c r="V265" i="1" s="1"/>
  <c r="Q465" i="2"/>
  <c r="AA265" i="1" s="1"/>
  <c r="R465" i="2"/>
  <c r="AF265" i="1" s="1"/>
  <c r="AB265" i="1" s="1"/>
  <c r="S465" i="2"/>
  <c r="AK265" i="1" s="1"/>
  <c r="T465" i="2"/>
  <c r="AP265" i="1" s="1"/>
  <c r="AC465" i="2"/>
  <c r="AD465" i="2"/>
  <c r="AE465" i="2"/>
  <c r="AF465" i="2"/>
  <c r="AG465" i="2"/>
  <c r="AH465" i="2"/>
  <c r="AI465" i="2"/>
  <c r="AL465" i="2"/>
  <c r="L466" i="2"/>
  <c r="F236" i="1" s="1"/>
  <c r="M466" i="2"/>
  <c r="G236" i="1" s="1"/>
  <c r="N466" i="2"/>
  <c r="L236" i="1" s="1"/>
  <c r="O466" i="2"/>
  <c r="Q236" i="1" s="1"/>
  <c r="P466" i="2"/>
  <c r="V236" i="1" s="1"/>
  <c r="S236" i="1" s="1"/>
  <c r="Q466" i="2"/>
  <c r="AA236" i="1" s="1"/>
  <c r="R466" i="2"/>
  <c r="AF236" i="1" s="1"/>
  <c r="S466" i="2"/>
  <c r="AK236" i="1" s="1"/>
  <c r="T466" i="2"/>
  <c r="AP236" i="1" s="1"/>
  <c r="AC466" i="2"/>
  <c r="AD466" i="2"/>
  <c r="AE466" i="2"/>
  <c r="AF466" i="2"/>
  <c r="AG466" i="2"/>
  <c r="AH466" i="2"/>
  <c r="AI466" i="2"/>
  <c r="AL466" i="2"/>
  <c r="L470" i="2"/>
  <c r="F276" i="1" s="1"/>
  <c r="M470" i="2"/>
  <c r="G276" i="1" s="1"/>
  <c r="N470" i="2"/>
  <c r="L276" i="1" s="1"/>
  <c r="O470" i="2"/>
  <c r="Q276" i="1" s="1"/>
  <c r="M276" i="1" s="1"/>
  <c r="P470" i="2"/>
  <c r="V276" i="1" s="1"/>
  <c r="S276" i="1" s="1"/>
  <c r="Q470" i="2"/>
  <c r="AA276" i="1" s="1"/>
  <c r="R470" i="2"/>
  <c r="AF276" i="1" s="1"/>
  <c r="S470" i="2"/>
  <c r="AK276" i="1" s="1"/>
  <c r="T470" i="2"/>
  <c r="AP276" i="1" s="1"/>
  <c r="AC470" i="2"/>
  <c r="AD470" i="2"/>
  <c r="AE470" i="2"/>
  <c r="AF470" i="2"/>
  <c r="AG470" i="2"/>
  <c r="AH470" i="2"/>
  <c r="AI470" i="2"/>
  <c r="AL470" i="2"/>
  <c r="L471" i="2"/>
  <c r="F267" i="1" s="1"/>
  <c r="M471" i="2"/>
  <c r="G267" i="1" s="1"/>
  <c r="N471" i="2"/>
  <c r="L267" i="1" s="1"/>
  <c r="O471" i="2"/>
  <c r="Q267" i="1" s="1"/>
  <c r="O267" i="1" s="1"/>
  <c r="P471" i="2"/>
  <c r="V267" i="1" s="1"/>
  <c r="Q471" i="2"/>
  <c r="AA267" i="1" s="1"/>
  <c r="R471" i="2"/>
  <c r="AF267" i="1" s="1"/>
  <c r="S471" i="2"/>
  <c r="AK267" i="1" s="1"/>
  <c r="T471" i="2"/>
  <c r="AP267" i="1" s="1"/>
  <c r="AC471" i="2"/>
  <c r="AD471" i="2"/>
  <c r="AE471" i="2"/>
  <c r="AF471" i="2"/>
  <c r="AG471" i="2"/>
  <c r="AH471" i="2"/>
  <c r="AI471" i="2"/>
  <c r="AL471" i="2"/>
  <c r="L473" i="2"/>
  <c r="F269" i="1" s="1"/>
  <c r="M473" i="2"/>
  <c r="G269" i="1" s="1"/>
  <c r="N473" i="2"/>
  <c r="L269" i="1" s="1"/>
  <c r="O473" i="2"/>
  <c r="Q269" i="1" s="1"/>
  <c r="P473" i="2"/>
  <c r="V269" i="1" s="1"/>
  <c r="Q473" i="2"/>
  <c r="AA269" i="1" s="1"/>
  <c r="R473" i="2"/>
  <c r="AF269" i="1" s="1"/>
  <c r="S473" i="2"/>
  <c r="AK269" i="1" s="1"/>
  <c r="T473" i="2"/>
  <c r="AP269" i="1" s="1"/>
  <c r="AC473" i="2"/>
  <c r="AD473" i="2"/>
  <c r="AE473" i="2"/>
  <c r="AF473" i="2"/>
  <c r="AG473" i="2"/>
  <c r="AH473" i="2"/>
  <c r="AI473" i="2"/>
  <c r="AL473" i="2"/>
  <c r="L474" i="2"/>
  <c r="F249" i="1" s="1"/>
  <c r="M474" i="2"/>
  <c r="G249" i="1" s="1"/>
  <c r="N474" i="2"/>
  <c r="L249" i="1" s="1"/>
  <c r="O474" i="2"/>
  <c r="Q249" i="1" s="1"/>
  <c r="P474" i="2"/>
  <c r="V249" i="1" s="1"/>
  <c r="Q474" i="2"/>
  <c r="AA249" i="1" s="1"/>
  <c r="R474" i="2"/>
  <c r="AF249" i="1" s="1"/>
  <c r="AD249" i="1" s="1"/>
  <c r="S474" i="2"/>
  <c r="AK249" i="1" s="1"/>
  <c r="T474" i="2"/>
  <c r="AP249" i="1" s="1"/>
  <c r="AC474" i="2"/>
  <c r="AD474" i="2"/>
  <c r="AE474" i="2"/>
  <c r="AF474" i="2"/>
  <c r="AG474" i="2"/>
  <c r="AH474" i="2"/>
  <c r="AI474" i="2"/>
  <c r="AL474" i="2"/>
  <c r="L475" i="2"/>
  <c r="F234" i="1" s="1"/>
  <c r="M475" i="2"/>
  <c r="G234" i="1" s="1"/>
  <c r="N475" i="2"/>
  <c r="L234" i="1" s="1"/>
  <c r="O475" i="2"/>
  <c r="Q234" i="1" s="1"/>
  <c r="M234" i="1" s="1"/>
  <c r="P475" i="2"/>
  <c r="V234" i="1" s="1"/>
  <c r="S234" i="1" s="1"/>
  <c r="Q475" i="2"/>
  <c r="AA234" i="1" s="1"/>
  <c r="R475" i="2"/>
  <c r="AF234" i="1" s="1"/>
  <c r="S475" i="2"/>
  <c r="AK234" i="1" s="1"/>
  <c r="T475" i="2"/>
  <c r="AP234" i="1" s="1"/>
  <c r="AC475" i="2"/>
  <c r="AD475" i="2"/>
  <c r="AE475" i="2"/>
  <c r="AF475" i="2"/>
  <c r="AG475" i="2"/>
  <c r="AH475" i="2"/>
  <c r="AI475" i="2"/>
  <c r="AL475" i="2"/>
  <c r="L476" i="2"/>
  <c r="F240" i="1" s="1"/>
  <c r="M476" i="2"/>
  <c r="G240" i="1" s="1"/>
  <c r="N476" i="2"/>
  <c r="L240" i="1" s="1"/>
  <c r="O476" i="2"/>
  <c r="Q240" i="1" s="1"/>
  <c r="P476" i="2"/>
  <c r="V240" i="1" s="1"/>
  <c r="Q476" i="2"/>
  <c r="AA240" i="1" s="1"/>
  <c r="W240" i="1" s="1"/>
  <c r="R476" i="2"/>
  <c r="AF240" i="1" s="1"/>
  <c r="AB240" i="1" s="1"/>
  <c r="S476" i="2"/>
  <c r="AK240" i="1" s="1"/>
  <c r="T476" i="2"/>
  <c r="AP240" i="1" s="1"/>
  <c r="AC476" i="2"/>
  <c r="AD476" i="2"/>
  <c r="AE476" i="2"/>
  <c r="AF476" i="2"/>
  <c r="AG476" i="2"/>
  <c r="AH476" i="2"/>
  <c r="AI476" i="2"/>
  <c r="AL476" i="2"/>
  <c r="L478" i="2"/>
  <c r="F270" i="1" s="1"/>
  <c r="M478" i="2"/>
  <c r="G270" i="1" s="1"/>
  <c r="N478" i="2"/>
  <c r="L270" i="1" s="1"/>
  <c r="O478" i="2"/>
  <c r="Q270" i="1" s="1"/>
  <c r="M270" i="1" s="1"/>
  <c r="P478" i="2"/>
  <c r="V270" i="1" s="1"/>
  <c r="Q478" i="2"/>
  <c r="AA270" i="1" s="1"/>
  <c r="X270" i="1" s="1"/>
  <c r="R478" i="2"/>
  <c r="AF270" i="1" s="1"/>
  <c r="S478" i="2"/>
  <c r="AK270" i="1" s="1"/>
  <c r="T478" i="2"/>
  <c r="AP270" i="1" s="1"/>
  <c r="AC478" i="2"/>
  <c r="AD478" i="2"/>
  <c r="AE478" i="2"/>
  <c r="AF478" i="2"/>
  <c r="AG478" i="2"/>
  <c r="AH478" i="2"/>
  <c r="AI478" i="2"/>
  <c r="AL478" i="2"/>
  <c r="L450" i="3"/>
  <c r="F184" i="4" s="1"/>
  <c r="AC450" i="3"/>
  <c r="AD450" i="3"/>
  <c r="AE450" i="3"/>
  <c r="AF450" i="3"/>
  <c r="AG450" i="3"/>
  <c r="AH450" i="3"/>
  <c r="L453" i="3"/>
  <c r="F185" i="4" s="1"/>
  <c r="AC453" i="3"/>
  <c r="AD453" i="3"/>
  <c r="AE453" i="3"/>
  <c r="AF453" i="3"/>
  <c r="AG453" i="3"/>
  <c r="AH453" i="3"/>
  <c r="L456" i="3"/>
  <c r="F201" i="4" s="1"/>
  <c r="AC456" i="3"/>
  <c r="AD456" i="3"/>
  <c r="AE456" i="3"/>
  <c r="AF456" i="3"/>
  <c r="AG456" i="3"/>
  <c r="AH456" i="3"/>
  <c r="L460" i="3"/>
  <c r="F203" i="4" s="1"/>
  <c r="AC460" i="3"/>
  <c r="AD460" i="3"/>
  <c r="AE460" i="3"/>
  <c r="AF460" i="3"/>
  <c r="AG460" i="3"/>
  <c r="AH460" i="3"/>
  <c r="L461" i="3"/>
  <c r="F204" i="4" s="1"/>
  <c r="AC461" i="3"/>
  <c r="AD461" i="3"/>
  <c r="AE461" i="3"/>
  <c r="AF461" i="3"/>
  <c r="AG461" i="3"/>
  <c r="AH461" i="3"/>
  <c r="L464" i="3"/>
  <c r="F205" i="4" s="1"/>
  <c r="L467" i="3"/>
  <c r="F206" i="4" s="1"/>
  <c r="AC467" i="3"/>
  <c r="AD467" i="3"/>
  <c r="AE467" i="3"/>
  <c r="AF467" i="3"/>
  <c r="AG467" i="3"/>
  <c r="AH467" i="3"/>
  <c r="L468" i="3"/>
  <c r="F207" i="4" s="1"/>
  <c r="AC468" i="3"/>
  <c r="AD468" i="3"/>
  <c r="AE468" i="3"/>
  <c r="AF468" i="3"/>
  <c r="AG468" i="3"/>
  <c r="AH468" i="3"/>
  <c r="L469" i="3"/>
  <c r="F208" i="4" s="1"/>
  <c r="AC469" i="3"/>
  <c r="AD469" i="3"/>
  <c r="AE469" i="3"/>
  <c r="AF469" i="3"/>
  <c r="AG469" i="3"/>
  <c r="AH469" i="3"/>
  <c r="L500" i="3"/>
  <c r="F248" i="4" s="1"/>
  <c r="AC500" i="3"/>
  <c r="AD500" i="3"/>
  <c r="AE500" i="3"/>
  <c r="AF500" i="3"/>
  <c r="AG500" i="3"/>
  <c r="AH500" i="3"/>
  <c r="L502" i="3"/>
  <c r="F268" i="4" s="1"/>
  <c r="AC502" i="3"/>
  <c r="AD502" i="3"/>
  <c r="AE502" i="3"/>
  <c r="AF502" i="3"/>
  <c r="AG502" i="3"/>
  <c r="AH502" i="3"/>
  <c r="L503" i="3"/>
  <c r="F254" i="4" s="1"/>
  <c r="AC503" i="3"/>
  <c r="AD503" i="3"/>
  <c r="AE503" i="3"/>
  <c r="AF503" i="3"/>
  <c r="AG503" i="3"/>
  <c r="AH503" i="3"/>
  <c r="L505" i="3"/>
  <c r="F240" i="4" s="1"/>
  <c r="AC505" i="3"/>
  <c r="AD505" i="3"/>
  <c r="AE505" i="3"/>
  <c r="AF505" i="3"/>
  <c r="AG505" i="3"/>
  <c r="AH505" i="3"/>
  <c r="L506" i="3"/>
  <c r="F234" i="4" s="1"/>
  <c r="AC506" i="3"/>
  <c r="AD506" i="3"/>
  <c r="AE506" i="3"/>
  <c r="AF506" i="3"/>
  <c r="AG506" i="3"/>
  <c r="AH506" i="3"/>
  <c r="L507" i="3"/>
  <c r="F255" i="4" s="1"/>
  <c r="AC507" i="3"/>
  <c r="AD507" i="3"/>
  <c r="AE507" i="3"/>
  <c r="AF507" i="3"/>
  <c r="AG507" i="3"/>
  <c r="AH507" i="3"/>
  <c r="L508" i="3"/>
  <c r="F241" i="4" s="1"/>
  <c r="AC508" i="3"/>
  <c r="AD508" i="3"/>
  <c r="AE508" i="3"/>
  <c r="AF508" i="3"/>
  <c r="AG508" i="3"/>
  <c r="AH508" i="3"/>
  <c r="L509" i="3"/>
  <c r="F249" i="4" s="1"/>
  <c r="AC509" i="3"/>
  <c r="AD509" i="3"/>
  <c r="AE509" i="3"/>
  <c r="AF509" i="3"/>
  <c r="AG509" i="3"/>
  <c r="AH509" i="3"/>
  <c r="L511" i="3"/>
  <c r="F257" i="4" s="1"/>
  <c r="AC511" i="3"/>
  <c r="AD511" i="3"/>
  <c r="AE511" i="3"/>
  <c r="AF511" i="3"/>
  <c r="AG511" i="3"/>
  <c r="AH511" i="3"/>
  <c r="L512" i="3"/>
  <c r="F258" i="4" s="1"/>
  <c r="AC512" i="3"/>
  <c r="AD512" i="3"/>
  <c r="AE512" i="3"/>
  <c r="AF512" i="3"/>
  <c r="AG512" i="3"/>
  <c r="AH512" i="3"/>
  <c r="L513" i="3"/>
  <c r="F229" i="4" s="1"/>
  <c r="AC513" i="3"/>
  <c r="AD513" i="3"/>
  <c r="AE513" i="3"/>
  <c r="AF513" i="3"/>
  <c r="AG513" i="3"/>
  <c r="AH513" i="3"/>
  <c r="L515" i="3"/>
  <c r="F259" i="4" s="1"/>
  <c r="AC515" i="3"/>
  <c r="AD515" i="3"/>
  <c r="AE515" i="3"/>
  <c r="AF515" i="3"/>
  <c r="AG515" i="3"/>
  <c r="AH515" i="3"/>
  <c r="L517" i="3"/>
  <c r="F269" i="4" s="1"/>
  <c r="AC517" i="3"/>
  <c r="AD517" i="3"/>
  <c r="AE517" i="3"/>
  <c r="AF517" i="3"/>
  <c r="AG517" i="3"/>
  <c r="AH517" i="3"/>
  <c r="L518" i="3"/>
  <c r="F260" i="4" s="1"/>
  <c r="AC518" i="3"/>
  <c r="AD518" i="3"/>
  <c r="AE518" i="3"/>
  <c r="AF518" i="3"/>
  <c r="AG518" i="3"/>
  <c r="AH518" i="3"/>
  <c r="L520" i="3"/>
  <c r="F262" i="4" s="1"/>
  <c r="AC520" i="3"/>
  <c r="AD520" i="3"/>
  <c r="AE520" i="3"/>
  <c r="AF520" i="3"/>
  <c r="AG520" i="3"/>
  <c r="AH520" i="3"/>
  <c r="L521" i="3"/>
  <c r="F242" i="4" s="1"/>
  <c r="AC521" i="3"/>
  <c r="AD521" i="3"/>
  <c r="AE521" i="3"/>
  <c r="AF521" i="3"/>
  <c r="AG521" i="3"/>
  <c r="AH521" i="3"/>
  <c r="L522" i="3"/>
  <c r="F227" i="4" s="1"/>
  <c r="AC522" i="3"/>
  <c r="AD522" i="3"/>
  <c r="AE522" i="3"/>
  <c r="AF522" i="3"/>
  <c r="AG522" i="3"/>
  <c r="AH522" i="3"/>
  <c r="L523" i="3"/>
  <c r="F233" i="4" s="1"/>
  <c r="AC523" i="3"/>
  <c r="AD523" i="3"/>
  <c r="AE523" i="3"/>
  <c r="AF523" i="3"/>
  <c r="AG523" i="3"/>
  <c r="AH523" i="3"/>
  <c r="L525" i="3"/>
  <c r="F263" i="4" s="1"/>
  <c r="AC525" i="3"/>
  <c r="AD525" i="3"/>
  <c r="AE525" i="3"/>
  <c r="AF525" i="3"/>
  <c r="AG525" i="3"/>
  <c r="AH525" i="3"/>
  <c r="C68" i="1"/>
  <c r="D68" i="1"/>
  <c r="E68" i="1"/>
  <c r="F68" i="1"/>
  <c r="G68" i="1"/>
  <c r="L68" i="1"/>
  <c r="Q68" i="1"/>
  <c r="V68" i="1"/>
  <c r="AA68" i="1"/>
  <c r="AF68" i="1"/>
  <c r="C73" i="1"/>
  <c r="D73" i="1"/>
  <c r="E73" i="1"/>
  <c r="F73" i="1"/>
  <c r="G73" i="1"/>
  <c r="L73" i="1"/>
  <c r="Q73" i="1"/>
  <c r="V73" i="1"/>
  <c r="AA73" i="1"/>
  <c r="AF73" i="1"/>
  <c r="C88" i="1"/>
  <c r="D88" i="1"/>
  <c r="E88" i="1"/>
  <c r="F88" i="1"/>
  <c r="G88" i="1"/>
  <c r="L88" i="1"/>
  <c r="Q88" i="1"/>
  <c r="V88" i="1"/>
  <c r="AA88" i="1"/>
  <c r="AF88" i="1"/>
  <c r="C108" i="1"/>
  <c r="D108" i="1"/>
  <c r="E108" i="1"/>
  <c r="F108" i="1"/>
  <c r="G108" i="1"/>
  <c r="L108" i="1"/>
  <c r="Q108" i="1"/>
  <c r="V108" i="1"/>
  <c r="AA108" i="1"/>
  <c r="AF108" i="1"/>
  <c r="Q119" i="1"/>
  <c r="V119" i="1"/>
  <c r="AA119" i="1"/>
  <c r="AF119" i="1"/>
  <c r="Q120" i="1"/>
  <c r="V120" i="1"/>
  <c r="AA120" i="1"/>
  <c r="AF120" i="1"/>
  <c r="Q121" i="1"/>
  <c r="V121" i="1"/>
  <c r="AA121" i="1"/>
  <c r="AF121" i="1"/>
  <c r="P169" i="1"/>
  <c r="U169" i="1"/>
  <c r="Z169" i="1"/>
  <c r="AE169" i="1"/>
  <c r="P170" i="1"/>
  <c r="U170" i="1"/>
  <c r="Z170" i="1"/>
  <c r="AE170" i="1"/>
  <c r="AO170" i="1"/>
  <c r="AT170" i="1"/>
  <c r="P171" i="1"/>
  <c r="U171" i="1"/>
  <c r="Z171" i="1"/>
  <c r="AE171" i="1"/>
  <c r="AO171" i="1"/>
  <c r="P172" i="1"/>
  <c r="U172" i="1"/>
  <c r="Z172" i="1"/>
  <c r="AE172" i="1"/>
  <c r="C183" i="1"/>
  <c r="D183" i="1"/>
  <c r="C188" i="1"/>
  <c r="D188" i="1"/>
  <c r="C197" i="1"/>
  <c r="D197" i="1"/>
  <c r="C203" i="1"/>
  <c r="D203" i="1"/>
  <c r="C218" i="1"/>
  <c r="D218" i="1"/>
  <c r="C223" i="1"/>
  <c r="D223" i="1"/>
  <c r="C237" i="1"/>
  <c r="D237" i="1"/>
  <c r="C242" i="1"/>
  <c r="D242" i="1"/>
  <c r="C251" i="1"/>
  <c r="D251" i="1"/>
  <c r="C257" i="1"/>
  <c r="D257" i="1"/>
  <c r="C272" i="1"/>
  <c r="D272" i="1"/>
  <c r="C277" i="1"/>
  <c r="D277" i="1"/>
  <c r="C291" i="1"/>
  <c r="D291" i="1"/>
  <c r="C296" i="1"/>
  <c r="D296" i="1"/>
  <c r="C305" i="1"/>
  <c r="D305" i="1"/>
  <c r="C311" i="1"/>
  <c r="D311" i="1"/>
  <c r="C326" i="1"/>
  <c r="D326" i="1"/>
  <c r="C331" i="1"/>
  <c r="D331" i="1"/>
  <c r="C345" i="1"/>
  <c r="D345" i="1"/>
  <c r="BT349" i="1"/>
  <c r="BT350" i="1" s="1"/>
  <c r="BY349" i="1"/>
  <c r="BY350" i="1" s="1"/>
  <c r="CD349" i="1"/>
  <c r="CD350" i="1" s="1"/>
  <c r="C350" i="1"/>
  <c r="D350" i="1"/>
  <c r="BP350" i="1"/>
  <c r="BQ350" i="1"/>
  <c r="BR350" i="1"/>
  <c r="BS350" i="1"/>
  <c r="BU350" i="1"/>
  <c r="BV350" i="1"/>
  <c r="BW350" i="1"/>
  <c r="BX350" i="1"/>
  <c r="BZ350" i="1"/>
  <c r="CA350" i="1"/>
  <c r="CB350" i="1"/>
  <c r="CC350" i="1"/>
  <c r="BT368" i="1"/>
  <c r="BY368" i="1"/>
  <c r="CD368" i="1"/>
  <c r="BT369" i="1"/>
  <c r="BY369" i="1"/>
  <c r="CD369" i="1"/>
  <c r="BT370" i="1"/>
  <c r="BY370" i="1"/>
  <c r="CD370" i="1"/>
  <c r="BT374" i="1"/>
  <c r="BY374" i="1"/>
  <c r="CD374" i="1"/>
  <c r="BT375" i="1"/>
  <c r="BY375" i="1"/>
  <c r="CD375" i="1"/>
  <c r="BT377" i="1"/>
  <c r="BY377" i="1"/>
  <c r="CD377" i="1"/>
  <c r="BT378" i="1"/>
  <c r="BY378" i="1"/>
  <c r="CD378" i="1"/>
  <c r="BP380" i="1"/>
  <c r="BQ380" i="1"/>
  <c r="BR380" i="1"/>
  <c r="BS380" i="1"/>
  <c r="BU380" i="1"/>
  <c r="BV380" i="1"/>
  <c r="BW380" i="1"/>
  <c r="BX380" i="1"/>
  <c r="BZ380" i="1"/>
  <c r="CA380" i="1"/>
  <c r="CB380" i="1"/>
  <c r="CC380" i="1"/>
  <c r="C68" i="4"/>
  <c r="D68" i="4"/>
  <c r="E68" i="4"/>
  <c r="F68" i="4"/>
  <c r="G68" i="4"/>
  <c r="L68" i="4"/>
  <c r="Q68" i="4"/>
  <c r="V68" i="4"/>
  <c r="AA68" i="4"/>
  <c r="AF68" i="4"/>
  <c r="C73" i="4"/>
  <c r="D73" i="4"/>
  <c r="E73" i="4"/>
  <c r="F73" i="4"/>
  <c r="G73" i="4"/>
  <c r="L73" i="4"/>
  <c r="Q73" i="4"/>
  <c r="V73" i="4"/>
  <c r="AA73" i="4"/>
  <c r="AF73" i="4"/>
  <c r="C88" i="4"/>
  <c r="D88" i="4"/>
  <c r="E88" i="4"/>
  <c r="F88" i="4"/>
  <c r="G88" i="4"/>
  <c r="L88" i="4"/>
  <c r="Q88" i="4"/>
  <c r="V88" i="4"/>
  <c r="AA88" i="4"/>
  <c r="AF88" i="4"/>
  <c r="C108" i="4"/>
  <c r="D108" i="4"/>
  <c r="E108" i="4"/>
  <c r="F108" i="4"/>
  <c r="G108" i="4"/>
  <c r="L108" i="4"/>
  <c r="Q108" i="4"/>
  <c r="V108" i="4"/>
  <c r="AA108" i="4"/>
  <c r="AF108" i="4"/>
  <c r="BT343" i="4"/>
  <c r="BY343" i="4"/>
  <c r="CD343" i="4"/>
  <c r="BP343" i="4"/>
  <c r="BQ343" i="4"/>
  <c r="BR343" i="4"/>
  <c r="BS343" i="4"/>
  <c r="BU343" i="4"/>
  <c r="BV343" i="4"/>
  <c r="BW343" i="4"/>
  <c r="BX343" i="4"/>
  <c r="BZ343" i="4"/>
  <c r="CA343" i="4"/>
  <c r="CB343" i="4"/>
  <c r="CC343" i="4"/>
  <c r="BT372" i="4"/>
  <c r="BY372" i="4"/>
  <c r="CD372" i="4"/>
  <c r="BT378" i="4"/>
  <c r="BY378" i="4"/>
  <c r="CD378" i="4"/>
  <c r="Q11" i="5"/>
  <c r="V11" i="5"/>
  <c r="AA11" i="5"/>
  <c r="AF11" i="5"/>
  <c r="Q12" i="5"/>
  <c r="V12" i="5"/>
  <c r="AA12" i="5"/>
  <c r="AF12" i="5"/>
  <c r="Q13" i="5"/>
  <c r="V13" i="5"/>
  <c r="AA13" i="5"/>
  <c r="AF13" i="5"/>
  <c r="H14" i="5"/>
  <c r="I14" i="5"/>
  <c r="J14" i="5"/>
  <c r="K14" i="5"/>
  <c r="M14" i="5"/>
  <c r="N14" i="5"/>
  <c r="O14" i="5"/>
  <c r="P14" i="5"/>
  <c r="R14" i="5"/>
  <c r="S14" i="5"/>
  <c r="T14" i="5"/>
  <c r="U14" i="5"/>
  <c r="W14" i="5"/>
  <c r="X14" i="5"/>
  <c r="Y14" i="5"/>
  <c r="Z14" i="5"/>
  <c r="AG14" i="5"/>
  <c r="AH14" i="5"/>
  <c r="AI14" i="5"/>
  <c r="AJ14" i="5"/>
  <c r="AL14" i="5"/>
  <c r="AM14" i="5"/>
  <c r="AN14" i="5"/>
  <c r="AO14" i="5"/>
  <c r="Q17" i="5"/>
  <c r="V17" i="5"/>
  <c r="AA17" i="5"/>
  <c r="AF17" i="5"/>
  <c r="AG17" i="5"/>
  <c r="AH17" i="5"/>
  <c r="AH125" i="5" s="1"/>
  <c r="AI17" i="5"/>
  <c r="AI125" i="5" s="1"/>
  <c r="AJ17" i="5"/>
  <c r="AJ125" i="5" s="1"/>
  <c r="AK17" i="5"/>
  <c r="AL17" i="5"/>
  <c r="AL125" i="5" s="1"/>
  <c r="AM17" i="5"/>
  <c r="AM125" i="5" s="1"/>
  <c r="AN17" i="5"/>
  <c r="AN125" i="5" s="1"/>
  <c r="AO17" i="5"/>
  <c r="AO125" i="5" s="1"/>
  <c r="AP17" i="5"/>
  <c r="AG18" i="5"/>
  <c r="AG126" i="5" s="1"/>
  <c r="AH18" i="5"/>
  <c r="AH126" i="5" s="1"/>
  <c r="AI18" i="5"/>
  <c r="AI126" i="5" s="1"/>
  <c r="AJ18" i="5"/>
  <c r="AJ126" i="5" s="1"/>
  <c r="AK18" i="5"/>
  <c r="AL18" i="5"/>
  <c r="AL126" i="5" s="1"/>
  <c r="AM18" i="5"/>
  <c r="AM126" i="5" s="1"/>
  <c r="AN18" i="5"/>
  <c r="AN126" i="5" s="1"/>
  <c r="AO18" i="5"/>
  <c r="AO126" i="5" s="1"/>
  <c r="AP18" i="5"/>
  <c r="H19" i="5"/>
  <c r="I19" i="5"/>
  <c r="J19" i="5"/>
  <c r="K19" i="5"/>
  <c r="M19" i="5"/>
  <c r="N19" i="5"/>
  <c r="O19" i="5"/>
  <c r="P19" i="5"/>
  <c r="R19" i="5"/>
  <c r="S19" i="5"/>
  <c r="T19" i="5"/>
  <c r="U19" i="5"/>
  <c r="W19" i="5"/>
  <c r="X19" i="5"/>
  <c r="Y19" i="5"/>
  <c r="Z19" i="5"/>
  <c r="AG19" i="5"/>
  <c r="AH19" i="5"/>
  <c r="AI19" i="5"/>
  <c r="AJ19" i="5"/>
  <c r="AL19" i="5"/>
  <c r="AM19" i="5"/>
  <c r="AN19" i="5"/>
  <c r="AO19" i="5"/>
  <c r="H28" i="5"/>
  <c r="I28" i="5"/>
  <c r="J28" i="5"/>
  <c r="K28" i="5"/>
  <c r="M28" i="5"/>
  <c r="N28" i="5"/>
  <c r="O28" i="5"/>
  <c r="P28" i="5"/>
  <c r="R28" i="5"/>
  <c r="S28" i="5"/>
  <c r="T28" i="5"/>
  <c r="U28" i="5"/>
  <c r="W28" i="5"/>
  <c r="X28" i="5"/>
  <c r="Y28" i="5"/>
  <c r="Z28" i="5"/>
  <c r="AG28" i="5"/>
  <c r="AH28" i="5"/>
  <c r="AI28" i="5"/>
  <c r="AJ28" i="5"/>
  <c r="AL28" i="5"/>
  <c r="AM28" i="5"/>
  <c r="AN28" i="5"/>
  <c r="AO28" i="5"/>
  <c r="AK31" i="5"/>
  <c r="AP31" i="5"/>
  <c r="AK32" i="5"/>
  <c r="AP32" i="5"/>
  <c r="AK33" i="5"/>
  <c r="AP33" i="5"/>
  <c r="H34" i="5"/>
  <c r="I34" i="5"/>
  <c r="J34" i="5"/>
  <c r="K34" i="5"/>
  <c r="M34" i="5"/>
  <c r="N34" i="5"/>
  <c r="O34" i="5"/>
  <c r="P34" i="5"/>
  <c r="R34" i="5"/>
  <c r="S34" i="5"/>
  <c r="T34" i="5"/>
  <c r="U34" i="5"/>
  <c r="W34" i="5"/>
  <c r="X34" i="5"/>
  <c r="Y34" i="5"/>
  <c r="Z34" i="5"/>
  <c r="AG34" i="5"/>
  <c r="AH34" i="5"/>
  <c r="AI34" i="5"/>
  <c r="AJ34" i="5"/>
  <c r="AL34" i="5"/>
  <c r="AM34" i="5"/>
  <c r="AN34" i="5"/>
  <c r="AO34" i="5"/>
  <c r="Q45" i="5"/>
  <c r="V45" i="5"/>
  <c r="AA45" i="5"/>
  <c r="AF45" i="5"/>
  <c r="H49" i="5"/>
  <c r="I49" i="5"/>
  <c r="J49" i="5"/>
  <c r="K49" i="5"/>
  <c r="M49" i="5"/>
  <c r="N49" i="5"/>
  <c r="O49" i="5"/>
  <c r="P49" i="5"/>
  <c r="R49" i="5"/>
  <c r="S49" i="5"/>
  <c r="T49" i="5"/>
  <c r="U49" i="5"/>
  <c r="W49" i="5"/>
  <c r="X49" i="5"/>
  <c r="Y49" i="5"/>
  <c r="Z49" i="5"/>
  <c r="AB49" i="5"/>
  <c r="AB56" i="5" s="1"/>
  <c r="AC49" i="5"/>
  <c r="AC56" i="5" s="1"/>
  <c r="AD49" i="5"/>
  <c r="AD56" i="5" s="1"/>
  <c r="AE49" i="5"/>
  <c r="AE56" i="5" s="1"/>
  <c r="AG49" i="5"/>
  <c r="AH49" i="5"/>
  <c r="AI49" i="5"/>
  <c r="AJ49" i="5"/>
  <c r="AL49" i="5"/>
  <c r="AM49" i="5"/>
  <c r="AN49" i="5"/>
  <c r="AO49" i="5"/>
  <c r="AK52" i="5"/>
  <c r="AP52" i="5"/>
  <c r="AK53" i="5"/>
  <c r="AP53" i="5"/>
  <c r="H54" i="5"/>
  <c r="I54" i="5"/>
  <c r="J54" i="5"/>
  <c r="K54" i="5"/>
  <c r="M54" i="5"/>
  <c r="N54" i="5"/>
  <c r="O54" i="5"/>
  <c r="P54" i="5"/>
  <c r="R54" i="5"/>
  <c r="S54" i="5"/>
  <c r="T54" i="5"/>
  <c r="U54" i="5"/>
  <c r="W54" i="5"/>
  <c r="X54" i="5"/>
  <c r="Y54" i="5"/>
  <c r="Z54" i="5"/>
  <c r="AG54" i="5"/>
  <c r="AH54" i="5"/>
  <c r="AI54" i="5"/>
  <c r="AJ54" i="5"/>
  <c r="AL54" i="5"/>
  <c r="AM54" i="5"/>
  <c r="AN54" i="5"/>
  <c r="AO54" i="5"/>
  <c r="A62" i="5"/>
  <c r="A116" i="5" s="1"/>
  <c r="Q65" i="5"/>
  <c r="V65" i="5"/>
  <c r="AK65" i="5"/>
  <c r="AP65" i="5"/>
  <c r="Q66" i="5"/>
  <c r="V66" i="5"/>
  <c r="AK66" i="5"/>
  <c r="AP66" i="5"/>
  <c r="Q67" i="5"/>
  <c r="V67" i="5"/>
  <c r="AK67" i="5"/>
  <c r="AP67" i="5"/>
  <c r="H68" i="5"/>
  <c r="I68" i="5"/>
  <c r="J68" i="5"/>
  <c r="K68" i="5"/>
  <c r="M68" i="5"/>
  <c r="N68" i="5"/>
  <c r="O68" i="5"/>
  <c r="P68" i="5"/>
  <c r="R68" i="5"/>
  <c r="S68" i="5"/>
  <c r="T68" i="5"/>
  <c r="U68" i="5"/>
  <c r="W68" i="5"/>
  <c r="X68" i="5"/>
  <c r="Y68" i="5"/>
  <c r="Z68" i="5"/>
  <c r="AB68" i="5"/>
  <c r="AC68" i="5"/>
  <c r="AD68" i="5"/>
  <c r="AE68" i="5"/>
  <c r="AG68" i="5"/>
  <c r="AH68" i="5"/>
  <c r="AI68" i="5"/>
  <c r="AJ68" i="5"/>
  <c r="AL68" i="5"/>
  <c r="AM68" i="5"/>
  <c r="AN68" i="5"/>
  <c r="AO68" i="5"/>
  <c r="Q71" i="5"/>
  <c r="V71" i="5"/>
  <c r="AK71" i="5"/>
  <c r="AP71" i="5"/>
  <c r="AK72" i="5"/>
  <c r="AP72" i="5"/>
  <c r="H73" i="5"/>
  <c r="I73" i="5"/>
  <c r="J73" i="5"/>
  <c r="K73" i="5"/>
  <c r="M73" i="5"/>
  <c r="N73" i="5"/>
  <c r="O73" i="5"/>
  <c r="P73" i="5"/>
  <c r="R73" i="5"/>
  <c r="S73" i="5"/>
  <c r="T73" i="5"/>
  <c r="U73" i="5"/>
  <c r="W73" i="5"/>
  <c r="X73" i="5"/>
  <c r="Y73" i="5"/>
  <c r="Z73" i="5"/>
  <c r="AG73" i="5"/>
  <c r="AH73" i="5"/>
  <c r="AI73" i="5"/>
  <c r="AJ73" i="5"/>
  <c r="AL73" i="5"/>
  <c r="AM73" i="5"/>
  <c r="AN73" i="5"/>
  <c r="AO73" i="5"/>
  <c r="AK76" i="5"/>
  <c r="AP76" i="5"/>
  <c r="AK77" i="5"/>
  <c r="AP77" i="5"/>
  <c r="AK78" i="5"/>
  <c r="AP78" i="5"/>
  <c r="AK79" i="5"/>
  <c r="AP79" i="5"/>
  <c r="AK80" i="5"/>
  <c r="AP80" i="5"/>
  <c r="AK81" i="5"/>
  <c r="AP81" i="5"/>
  <c r="H82" i="5"/>
  <c r="I82" i="5"/>
  <c r="J82" i="5"/>
  <c r="K82" i="5"/>
  <c r="M82" i="5"/>
  <c r="N82" i="5"/>
  <c r="O82" i="5"/>
  <c r="P82" i="5"/>
  <c r="R82" i="5"/>
  <c r="S82" i="5"/>
  <c r="T82" i="5"/>
  <c r="U82" i="5"/>
  <c r="W82" i="5"/>
  <c r="X82" i="5"/>
  <c r="Y82" i="5"/>
  <c r="Z82" i="5"/>
  <c r="AG82" i="5"/>
  <c r="AH82" i="5"/>
  <c r="AI82" i="5"/>
  <c r="AJ82" i="5"/>
  <c r="AL82" i="5"/>
  <c r="AM82" i="5"/>
  <c r="AN82" i="5"/>
  <c r="AO82" i="5"/>
  <c r="AK85" i="5"/>
  <c r="AP85" i="5"/>
  <c r="AK86" i="5"/>
  <c r="AP86" i="5"/>
  <c r="AK87" i="5"/>
  <c r="AP87" i="5"/>
  <c r="H88" i="5"/>
  <c r="I88" i="5"/>
  <c r="J88" i="5"/>
  <c r="K88" i="5"/>
  <c r="M88" i="5"/>
  <c r="N88" i="5"/>
  <c r="O88" i="5"/>
  <c r="P88" i="5"/>
  <c r="R88" i="5"/>
  <c r="S88" i="5"/>
  <c r="T88" i="5"/>
  <c r="U88" i="5"/>
  <c r="W88" i="5"/>
  <c r="X88" i="5"/>
  <c r="Y88" i="5"/>
  <c r="Z88" i="5"/>
  <c r="AG88" i="5"/>
  <c r="AH88" i="5"/>
  <c r="AI88" i="5"/>
  <c r="AJ88" i="5"/>
  <c r="AL88" i="5"/>
  <c r="AM88" i="5"/>
  <c r="AN88" i="5"/>
  <c r="AO88" i="5"/>
  <c r="AG91" i="5"/>
  <c r="AG145" i="5" s="1"/>
  <c r="AH91" i="5"/>
  <c r="AH145" i="5" s="1"/>
  <c r="AI91" i="5"/>
  <c r="AI145" i="5" s="1"/>
  <c r="AJ91" i="5"/>
  <c r="AJ145" i="5" s="1"/>
  <c r="AL91" i="5"/>
  <c r="AL145" i="5" s="1"/>
  <c r="AM91" i="5"/>
  <c r="AM145" i="5" s="1"/>
  <c r="AN91" i="5"/>
  <c r="AN145" i="5" s="1"/>
  <c r="AO91" i="5"/>
  <c r="AO145" i="5" s="1"/>
  <c r="Q99" i="5"/>
  <c r="V99" i="5"/>
  <c r="AG99" i="5"/>
  <c r="AH99" i="5"/>
  <c r="AI99" i="5"/>
  <c r="AJ99" i="5"/>
  <c r="AL99" i="5"/>
  <c r="AM99" i="5"/>
  <c r="AN99" i="5"/>
  <c r="AO99" i="5"/>
  <c r="H103" i="5"/>
  <c r="I103" i="5"/>
  <c r="J103" i="5"/>
  <c r="K103" i="5"/>
  <c r="M103" i="5"/>
  <c r="N103" i="5"/>
  <c r="O103" i="5"/>
  <c r="P103" i="5"/>
  <c r="R103" i="5"/>
  <c r="S103" i="5"/>
  <c r="T103" i="5"/>
  <c r="U103" i="5"/>
  <c r="W103" i="5"/>
  <c r="X103" i="5"/>
  <c r="Y103" i="5"/>
  <c r="Z103" i="5"/>
  <c r="AB103" i="5"/>
  <c r="AC103" i="5"/>
  <c r="AD103" i="5"/>
  <c r="AE103" i="5"/>
  <c r="AG103" i="5"/>
  <c r="AH103" i="5"/>
  <c r="AI103" i="5"/>
  <c r="AJ103" i="5"/>
  <c r="AL103" i="5"/>
  <c r="AM103" i="5"/>
  <c r="AN103" i="5"/>
  <c r="AO103" i="5"/>
  <c r="AK106" i="5"/>
  <c r="AP106" i="5"/>
  <c r="AK107" i="5"/>
  <c r="AP107" i="5"/>
  <c r="H108" i="5"/>
  <c r="I108" i="5"/>
  <c r="J108" i="5"/>
  <c r="K108" i="5"/>
  <c r="M108" i="5"/>
  <c r="N108" i="5"/>
  <c r="O108" i="5"/>
  <c r="P108" i="5"/>
  <c r="R108" i="5"/>
  <c r="S108" i="5"/>
  <c r="T108" i="5"/>
  <c r="U108" i="5"/>
  <c r="W108" i="5"/>
  <c r="X108" i="5"/>
  <c r="Y108" i="5"/>
  <c r="Z108" i="5"/>
  <c r="AG108" i="5"/>
  <c r="AH108" i="5"/>
  <c r="AI108" i="5"/>
  <c r="AJ108" i="5"/>
  <c r="AL108" i="5"/>
  <c r="AM108" i="5"/>
  <c r="AN108" i="5"/>
  <c r="AO108" i="5"/>
  <c r="AG153" i="5"/>
  <c r="AG169" i="5" s="1"/>
  <c r="AH153" i="5"/>
  <c r="AH169" i="5" s="1"/>
  <c r="AI153" i="5"/>
  <c r="AI169" i="5" s="1"/>
  <c r="AJ153" i="5"/>
  <c r="AJ169" i="5" s="1"/>
  <c r="AL153" i="5"/>
  <c r="AL169" i="5" s="1"/>
  <c r="AM153" i="5"/>
  <c r="AM169" i="5" s="1"/>
  <c r="AN153" i="5"/>
  <c r="AN169" i="5" s="1"/>
  <c r="AO153" i="5"/>
  <c r="AO169" i="5" s="1"/>
  <c r="R167" i="5"/>
  <c r="S167" i="5"/>
  <c r="T167" i="5"/>
  <c r="U167" i="5"/>
  <c r="V167" i="5"/>
  <c r="W167" i="5"/>
  <c r="X167" i="5"/>
  <c r="Y167" i="5"/>
  <c r="Z167" i="5"/>
  <c r="AA167" i="5"/>
  <c r="AB167" i="5"/>
  <c r="AC167" i="5"/>
  <c r="AD167" i="5"/>
  <c r="AE167" i="5"/>
  <c r="AF167" i="5"/>
  <c r="AG167" i="5"/>
  <c r="AH167" i="5"/>
  <c r="AI167" i="5"/>
  <c r="AJ167" i="5"/>
  <c r="AL167" i="5"/>
  <c r="AM167" i="5"/>
  <c r="AN167" i="5"/>
  <c r="AO167" i="5"/>
  <c r="M169" i="5"/>
  <c r="N169" i="5"/>
  <c r="O169" i="5"/>
  <c r="P169" i="5"/>
  <c r="Q169" i="5"/>
  <c r="Q29" i="10" s="1"/>
  <c r="R169" i="5"/>
  <c r="S169" i="5"/>
  <c r="T169" i="5"/>
  <c r="U169" i="5"/>
  <c r="V169" i="5"/>
  <c r="V29" i="10" s="1"/>
  <c r="W169" i="5"/>
  <c r="X169" i="5"/>
  <c r="Y169" i="5"/>
  <c r="Z169" i="5"/>
  <c r="AA169" i="5"/>
  <c r="AA29" i="10" s="1"/>
  <c r="AB169" i="5"/>
  <c r="AC169" i="5"/>
  <c r="AD169" i="5"/>
  <c r="AE169" i="5"/>
  <c r="AF169" i="5"/>
  <c r="AF29" i="10" s="1"/>
  <c r="C56" i="9"/>
  <c r="D56" i="9"/>
  <c r="E56" i="9"/>
  <c r="F56" i="9"/>
  <c r="G56" i="9"/>
  <c r="L56" i="9"/>
  <c r="Q56" i="9"/>
  <c r="V56" i="9"/>
  <c r="AA56" i="9"/>
  <c r="AF56" i="9"/>
  <c r="AK56" i="9"/>
  <c r="AK117" i="9" s="1"/>
  <c r="AP56" i="9"/>
  <c r="C85" i="9"/>
  <c r="D78" i="9" s="1"/>
  <c r="D85" i="9" s="1"/>
  <c r="E78" i="9" s="1"/>
  <c r="E85" i="9" s="1"/>
  <c r="F78" i="9" s="1"/>
  <c r="F85" i="9" s="1"/>
  <c r="G78" i="9" s="1"/>
  <c r="G85" i="9" s="1"/>
  <c r="L78" i="9" s="1"/>
  <c r="L85" i="9" s="1"/>
  <c r="Q78" i="9" s="1"/>
  <c r="Q85" i="9" s="1"/>
  <c r="V78" i="9" s="1"/>
  <c r="V85" i="9" s="1"/>
  <c r="AA78" i="9" s="1"/>
  <c r="AA85" i="9" s="1"/>
  <c r="AF78" i="9" s="1"/>
  <c r="AF85" i="9" s="1"/>
  <c r="AP90" i="9"/>
  <c r="C99" i="9"/>
  <c r="D99" i="9"/>
  <c r="E99" i="9"/>
  <c r="F99" i="9"/>
  <c r="G99" i="9"/>
  <c r="L99" i="9"/>
  <c r="Q99" i="9"/>
  <c r="V99" i="9"/>
  <c r="AA99" i="9"/>
  <c r="AF99" i="9"/>
  <c r="AP99" i="9"/>
  <c r="BT111" i="9"/>
  <c r="BY111" i="9"/>
  <c r="CD111" i="9"/>
  <c r="BT114" i="9"/>
  <c r="BY114" i="9"/>
  <c r="CD114" i="9"/>
  <c r="D150" i="9"/>
  <c r="AK151" i="9"/>
  <c r="L166" i="9"/>
  <c r="C85" i="10"/>
  <c r="C88" i="10"/>
  <c r="D85" i="10"/>
  <c r="E85" i="10"/>
  <c r="F85" i="10"/>
  <c r="G85" i="10"/>
  <c r="L85" i="10"/>
  <c r="Q85" i="10"/>
  <c r="V85" i="10"/>
  <c r="C201" i="9"/>
  <c r="D201" i="9"/>
  <c r="E201" i="9"/>
  <c r="F201" i="9"/>
  <c r="G201" i="9"/>
  <c r="L201" i="9"/>
  <c r="Q201" i="9"/>
  <c r="V201" i="9"/>
  <c r="E202" i="9"/>
  <c r="F202" i="9"/>
  <c r="G202" i="9"/>
  <c r="L202" i="9"/>
  <c r="Q202" i="9"/>
  <c r="V202" i="9"/>
  <c r="AA202" i="9"/>
  <c r="AF202" i="9"/>
  <c r="AK202" i="9"/>
  <c r="AP202" i="9"/>
  <c r="C205" i="9"/>
  <c r="D205" i="9"/>
  <c r="E205" i="9"/>
  <c r="F205" i="9"/>
  <c r="G205" i="9"/>
  <c r="L205" i="9"/>
  <c r="Q205" i="9"/>
  <c r="V205" i="9"/>
  <c r="E206" i="9"/>
  <c r="F206" i="9"/>
  <c r="G206" i="9"/>
  <c r="L206" i="9"/>
  <c r="Q206" i="9"/>
  <c r="V206" i="9"/>
  <c r="AA206" i="9"/>
  <c r="AF206" i="9"/>
  <c r="AK206" i="9"/>
  <c r="AP206" i="9"/>
  <c r="D220" i="9"/>
  <c r="E220" i="9"/>
  <c r="F220" i="9"/>
  <c r="G220" i="9"/>
  <c r="L220" i="9"/>
  <c r="Q220" i="9"/>
  <c r="V220" i="9"/>
  <c r="AF10" i="47"/>
  <c r="AK10" i="47"/>
  <c r="AP10" i="47"/>
  <c r="AU10" i="47"/>
  <c r="BJ10" i="47"/>
  <c r="AC11" i="47"/>
  <c r="AC14" i="47" s="1"/>
  <c r="AC16" i="47" s="1"/>
  <c r="AD11" i="47"/>
  <c r="AD14" i="47" s="1"/>
  <c r="AD16" i="47" s="1"/>
  <c r="AE11" i="47"/>
  <c r="AE14" i="47" s="1"/>
  <c r="AE16" i="47" s="1"/>
  <c r="AG11" i="47"/>
  <c r="AG14" i="47" s="1"/>
  <c r="AH11" i="47"/>
  <c r="AH14" i="47" s="1"/>
  <c r="AH16" i="47" s="1"/>
  <c r="AI11" i="47"/>
  <c r="AI14" i="47" s="1"/>
  <c r="AI16" i="47" s="1"/>
  <c r="AJ11" i="47"/>
  <c r="AJ14" i="47" s="1"/>
  <c r="AJ16" i="47" s="1"/>
  <c r="AL11" i="47"/>
  <c r="AL14" i="47" s="1"/>
  <c r="AM11" i="47"/>
  <c r="AM14" i="47" s="1"/>
  <c r="AM16" i="47" s="1"/>
  <c r="AN11" i="47"/>
  <c r="AO11" i="47"/>
  <c r="AQ11" i="47"/>
  <c r="AR11" i="47"/>
  <c r="AS11" i="47"/>
  <c r="AT11" i="47"/>
  <c r="AW11" i="47"/>
  <c r="AX11" i="47"/>
  <c r="AY11" i="47"/>
  <c r="BA11" i="47"/>
  <c r="BB11" i="47"/>
  <c r="BC11" i="47"/>
  <c r="BD11" i="47"/>
  <c r="BF11" i="47"/>
  <c r="BG11" i="47"/>
  <c r="BH11" i="47"/>
  <c r="BI11" i="47"/>
  <c r="AF13" i="47"/>
  <c r="AK13" i="47"/>
  <c r="AP13" i="47"/>
  <c r="AU13" i="47"/>
  <c r="AU14" i="47"/>
  <c r="AF15" i="47"/>
  <c r="AK15" i="47"/>
  <c r="AP15" i="47"/>
  <c r="AU15" i="47"/>
  <c r="AU16" i="47"/>
  <c r="AK23" i="47"/>
  <c r="AK144" i="13" s="1"/>
  <c r="AP23" i="47"/>
  <c r="AP144" i="13" s="1"/>
  <c r="AU23" i="47"/>
  <c r="AU144" i="13" s="1"/>
  <c r="AL48" i="47"/>
  <c r="AQ48" i="47" s="1"/>
  <c r="AV48" i="47" s="1"/>
  <c r="BA48" i="47" s="1"/>
  <c r="BF48" i="47" s="1"/>
  <c r="BK48" i="47" s="1"/>
  <c r="BP48" i="47" s="1"/>
  <c r="BU48" i="47" s="1"/>
  <c r="BZ48" i="47" s="1"/>
  <c r="AM48" i="47"/>
  <c r="AR48" i="47" s="1"/>
  <c r="AW48" i="47" s="1"/>
  <c r="BB48" i="47" s="1"/>
  <c r="BG48" i="47" s="1"/>
  <c r="BL48" i="47" s="1"/>
  <c r="BQ48" i="47" s="1"/>
  <c r="BV48" i="47" s="1"/>
  <c r="CA48" i="47" s="1"/>
  <c r="AN48" i="47"/>
  <c r="AS48" i="47" s="1"/>
  <c r="AX48" i="47" s="1"/>
  <c r="BC48" i="47" s="1"/>
  <c r="BH48" i="47" s="1"/>
  <c r="BM48" i="47" s="1"/>
  <c r="BR48" i="47" s="1"/>
  <c r="BW48" i="47" s="1"/>
  <c r="CB48" i="47" s="1"/>
  <c r="AO48" i="47"/>
  <c r="AT48" i="47" s="1"/>
  <c r="AY48" i="47" s="1"/>
  <c r="BD48" i="47" s="1"/>
  <c r="BI48" i="47" s="1"/>
  <c r="AF26" i="47"/>
  <c r="AF31" i="47" s="1"/>
  <c r="AF150" i="13" s="1"/>
  <c r="AK26" i="47"/>
  <c r="AK147" i="13" s="1"/>
  <c r="AP26" i="47"/>
  <c r="AP147" i="13" s="1"/>
  <c r="AU26" i="47"/>
  <c r="AU147" i="13" s="1"/>
  <c r="AT28" i="47"/>
  <c r="AU28" i="47" s="1"/>
  <c r="AK27" i="47"/>
  <c r="AP27" i="47"/>
  <c r="AU27" i="47"/>
  <c r="AI28" i="47"/>
  <c r="AJ28" i="47"/>
  <c r="AK28" i="47" s="1"/>
  <c r="AL28" i="47"/>
  <c r="AM28" i="47"/>
  <c r="AN28" i="47"/>
  <c r="AO28" i="47"/>
  <c r="AP28" i="47" s="1"/>
  <c r="AQ28" i="47"/>
  <c r="AR28" i="47"/>
  <c r="AS28" i="47"/>
  <c r="AK29" i="47"/>
  <c r="AK148" i="13" s="1"/>
  <c r="AP29" i="47"/>
  <c r="AP148" i="13" s="1"/>
  <c r="AU29" i="47"/>
  <c r="AU148" i="13" s="1"/>
  <c r="AI31" i="47"/>
  <c r="AI150" i="13" s="1"/>
  <c r="AJ31" i="47"/>
  <c r="AJ150" i="13" s="1"/>
  <c r="AL31" i="47"/>
  <c r="AL150" i="13" s="1"/>
  <c r="AM31" i="47"/>
  <c r="AM150" i="13" s="1"/>
  <c r="AN31" i="47"/>
  <c r="AN150" i="13" s="1"/>
  <c r="AO31" i="47"/>
  <c r="AP31" i="47" s="1"/>
  <c r="AP150" i="13" s="1"/>
  <c r="AQ31" i="47"/>
  <c r="AQ150" i="13" s="1"/>
  <c r="AR31" i="47"/>
  <c r="AS31" i="47"/>
  <c r="AS150" i="13" s="1"/>
  <c r="AT31" i="47"/>
  <c r="AU31" i="47" s="1"/>
  <c r="AU150" i="13" s="1"/>
  <c r="AK34" i="47"/>
  <c r="AK153" i="13" s="1"/>
  <c r="AP34" i="47"/>
  <c r="AP153" i="13" s="1"/>
  <c r="AU34" i="47"/>
  <c r="AU153" i="13" s="1"/>
  <c r="AK37" i="47"/>
  <c r="AK156" i="13" s="1"/>
  <c r="AP37" i="47"/>
  <c r="AP156" i="13" s="1"/>
  <c r="AU37" i="47"/>
  <c r="AU156" i="13" s="1"/>
  <c r="AZ37" i="47"/>
  <c r="AZ156" i="13" s="1"/>
  <c r="BE84" i="12" s="1"/>
  <c r="AK38" i="47"/>
  <c r="AK157" i="13" s="1"/>
  <c r="AP38" i="47"/>
  <c r="AP157" i="13" s="1"/>
  <c r="AU38" i="47"/>
  <c r="AU157" i="13" s="1"/>
  <c r="AK40" i="47"/>
  <c r="AK158" i="13" s="1"/>
  <c r="AP40" i="47"/>
  <c r="AP158" i="13" s="1"/>
  <c r="AU40" i="47"/>
  <c r="AU158" i="13" s="1"/>
  <c r="AC42" i="47"/>
  <c r="AC159" i="13" s="1"/>
  <c r="AD42" i="47"/>
  <c r="AD159" i="13" s="1"/>
  <c r="AE42" i="47"/>
  <c r="AE159" i="13" s="1"/>
  <c r="AF42" i="47"/>
  <c r="AF159" i="13" s="1"/>
  <c r="AG42" i="47"/>
  <c r="AG159" i="13" s="1"/>
  <c r="AH42" i="47"/>
  <c r="AH159" i="13" s="1"/>
  <c r="AI42" i="47"/>
  <c r="AI159" i="13" s="1"/>
  <c r="AJ42" i="47"/>
  <c r="AK42" i="47" s="1"/>
  <c r="AK159" i="13" s="1"/>
  <c r="AL42" i="47"/>
  <c r="AL159" i="13" s="1"/>
  <c r="AM42" i="47"/>
  <c r="AM159" i="13" s="1"/>
  <c r="AN42" i="47"/>
  <c r="AN159" i="13" s="1"/>
  <c r="AO42" i="47"/>
  <c r="AO159" i="13" s="1"/>
  <c r="AQ42" i="47"/>
  <c r="AQ159" i="13" s="1"/>
  <c r="AR42" i="47"/>
  <c r="AR159" i="13" s="1"/>
  <c r="AS42" i="47"/>
  <c r="AS159" i="13" s="1"/>
  <c r="AT42" i="47"/>
  <c r="AU42" i="47" s="1"/>
  <c r="AU159" i="13" s="1"/>
  <c r="AC50" i="47"/>
  <c r="AC51" i="47"/>
  <c r="AD50" i="47"/>
  <c r="AD51" i="47"/>
  <c r="AE50" i="47"/>
  <c r="AE51" i="47"/>
  <c r="AG50" i="47"/>
  <c r="AG51" i="47"/>
  <c r="AH50" i="47"/>
  <c r="AH51" i="47"/>
  <c r="AI50" i="47"/>
  <c r="AI51" i="47"/>
  <c r="AJ50" i="47"/>
  <c r="AJ51" i="47"/>
  <c r="AL50" i="47"/>
  <c r="AL51" i="47"/>
  <c r="AM50" i="47"/>
  <c r="AM51" i="47"/>
  <c r="AN50" i="47"/>
  <c r="AN51" i="47"/>
  <c r="AO50" i="47"/>
  <c r="AO51" i="47"/>
  <c r="AQ50" i="47"/>
  <c r="AQ51" i="47"/>
  <c r="AR50" i="47"/>
  <c r="AR51" i="47"/>
  <c r="AS50" i="47"/>
  <c r="AS51" i="47"/>
  <c r="AK90" i="47"/>
  <c r="AP90" i="47"/>
  <c r="AU90" i="47"/>
  <c r="AK91" i="47"/>
  <c r="AP91" i="47"/>
  <c r="AU91" i="47"/>
  <c r="AK92" i="47"/>
  <c r="AP92" i="47"/>
  <c r="AU92" i="47"/>
  <c r="AK93" i="47"/>
  <c r="AP93" i="47"/>
  <c r="AU93" i="47"/>
  <c r="AC94" i="47"/>
  <c r="AC97" i="47" s="1"/>
  <c r="AD94" i="47"/>
  <c r="AD97" i="47" s="1"/>
  <c r="AE94" i="47"/>
  <c r="AE97" i="47" s="1"/>
  <c r="AG94" i="47"/>
  <c r="AG97" i="47" s="1"/>
  <c r="AH94" i="47"/>
  <c r="AH97" i="47" s="1"/>
  <c r="AI94" i="47"/>
  <c r="AI97" i="47" s="1"/>
  <c r="AJ94" i="47"/>
  <c r="AJ97" i="47" s="1"/>
  <c r="AL94" i="47"/>
  <c r="AL97" i="47" s="1"/>
  <c r="AM94" i="47"/>
  <c r="AM97" i="47" s="1"/>
  <c r="AN94" i="47"/>
  <c r="AN97" i="47" s="1"/>
  <c r="AN99" i="47" s="1"/>
  <c r="AN41" i="12" s="1"/>
  <c r="AO94" i="47"/>
  <c r="AO97" i="47" s="1"/>
  <c r="AO99" i="47" s="1"/>
  <c r="AO41" i="12" s="1"/>
  <c r="AQ94" i="47"/>
  <c r="AQ97" i="47" s="1"/>
  <c r="AR94" i="47"/>
  <c r="AR97" i="47" s="1"/>
  <c r="AR99" i="47" s="1"/>
  <c r="AR41" i="12" s="1"/>
  <c r="AS94" i="47"/>
  <c r="AS97" i="47" s="1"/>
  <c r="AS99" i="47" s="1"/>
  <c r="AS41" i="12" s="1"/>
  <c r="AT94" i="47"/>
  <c r="AT97" i="47" s="1"/>
  <c r="AT99" i="47" s="1"/>
  <c r="AT41" i="12" s="1"/>
  <c r="C38" i="7"/>
  <c r="D38" i="7"/>
  <c r="D80" i="7" s="1"/>
  <c r="E38" i="7"/>
  <c r="F38" i="7"/>
  <c r="F79" i="7" s="1"/>
  <c r="G129" i="7"/>
  <c r="G219" i="7"/>
  <c r="G414" i="7"/>
  <c r="G130" i="7"/>
  <c r="G220" i="7"/>
  <c r="G415" i="7"/>
  <c r="G133" i="7"/>
  <c r="G119" i="10" s="1"/>
  <c r="G223" i="7"/>
  <c r="G120" i="10" s="1"/>
  <c r="G418" i="7"/>
  <c r="G123" i="10" s="1"/>
  <c r="G134" i="7"/>
  <c r="G224" i="7"/>
  <c r="G419" i="7"/>
  <c r="G135" i="7"/>
  <c r="G225" i="7"/>
  <c r="G420" i="7"/>
  <c r="G136" i="7"/>
  <c r="G226" i="7"/>
  <c r="G421" i="7"/>
  <c r="G137" i="7"/>
  <c r="G227" i="7"/>
  <c r="G422" i="7"/>
  <c r="G138" i="7"/>
  <c r="G228" i="7"/>
  <c r="G423" i="7"/>
  <c r="L129" i="7"/>
  <c r="L219" i="7"/>
  <c r="L414" i="7"/>
  <c r="L130" i="7"/>
  <c r="L220" i="7"/>
  <c r="L415" i="7"/>
  <c r="L133" i="7"/>
  <c r="L119" i="10" s="1"/>
  <c r="L223" i="7"/>
  <c r="L120" i="10" s="1"/>
  <c r="L418" i="7"/>
  <c r="L123" i="10" s="1"/>
  <c r="L134" i="7"/>
  <c r="L224" i="7"/>
  <c r="L419" i="7"/>
  <c r="L135" i="7"/>
  <c r="L225" i="7"/>
  <c r="L420" i="7"/>
  <c r="L136" i="7"/>
  <c r="L226" i="7"/>
  <c r="L421" i="7"/>
  <c r="L137" i="7"/>
  <c r="L227" i="7"/>
  <c r="L422" i="7"/>
  <c r="L138" i="7"/>
  <c r="L228" i="7"/>
  <c r="L423" i="7"/>
  <c r="Q129" i="7"/>
  <c r="Q219" i="7"/>
  <c r="Q414" i="7"/>
  <c r="Q130" i="7"/>
  <c r="Q220" i="7"/>
  <c r="Q415" i="7"/>
  <c r="Q133" i="7"/>
  <c r="Q119" i="10" s="1"/>
  <c r="Q223" i="7"/>
  <c r="Q120" i="10" s="1"/>
  <c r="Q418" i="7"/>
  <c r="Q123" i="10" s="1"/>
  <c r="Q134" i="7"/>
  <c r="Q224" i="7"/>
  <c r="Q419" i="7"/>
  <c r="Q135" i="7"/>
  <c r="Q225" i="7"/>
  <c r="Q420" i="7"/>
  <c r="Q136" i="7"/>
  <c r="Q226" i="7"/>
  <c r="Q421" i="7"/>
  <c r="Q137" i="7"/>
  <c r="Q227" i="7"/>
  <c r="Q422" i="7"/>
  <c r="Q138" i="7"/>
  <c r="Q228" i="7"/>
  <c r="Q423" i="7"/>
  <c r="V129" i="7"/>
  <c r="V219" i="7"/>
  <c r="V414" i="7"/>
  <c r="V130" i="7"/>
  <c r="V220" i="7"/>
  <c r="V415" i="7"/>
  <c r="V133" i="7"/>
  <c r="V223" i="7"/>
  <c r="V120" i="10" s="1"/>
  <c r="V418" i="7"/>
  <c r="V134" i="7"/>
  <c r="V224" i="7"/>
  <c r="V419" i="7"/>
  <c r="V135" i="7"/>
  <c r="V225" i="7"/>
  <c r="V420" i="7"/>
  <c r="V136" i="7"/>
  <c r="V226" i="7"/>
  <c r="V421" i="7"/>
  <c r="V137" i="7"/>
  <c r="V227" i="7"/>
  <c r="V422" i="7"/>
  <c r="V138" i="7"/>
  <c r="V228" i="7"/>
  <c r="V423" i="7"/>
  <c r="AA520" i="7"/>
  <c r="AA521" i="7"/>
  <c r="AA524" i="7"/>
  <c r="AA525" i="7"/>
  <c r="AA569" i="7" s="1"/>
  <c r="AA526" i="7"/>
  <c r="AA527" i="7"/>
  <c r="AA528" i="7"/>
  <c r="AA529" i="7"/>
  <c r="AA532" i="7"/>
  <c r="AF520" i="7"/>
  <c r="AF521" i="7"/>
  <c r="AF524" i="7"/>
  <c r="AF525" i="7"/>
  <c r="AF526" i="7"/>
  <c r="AF527" i="7"/>
  <c r="AF528" i="7"/>
  <c r="AF529" i="7"/>
  <c r="AF532" i="7"/>
  <c r="AK520" i="7"/>
  <c r="AK521" i="7"/>
  <c r="AK524" i="7"/>
  <c r="AK525" i="7"/>
  <c r="AK526" i="7"/>
  <c r="AK527" i="7"/>
  <c r="AK528" i="7"/>
  <c r="AK529" i="7"/>
  <c r="AK532" i="7"/>
  <c r="AP580" i="7"/>
  <c r="AP588" i="7" s="1"/>
  <c r="AP591" i="7" s="1"/>
  <c r="AP594" i="7" s="1"/>
  <c r="AP685" i="7"/>
  <c r="AP724" i="7" s="1"/>
  <c r="AP739" i="7"/>
  <c r="AP747" i="7" s="1"/>
  <c r="AP750" i="7" s="1"/>
  <c r="AP753" i="7" s="1"/>
  <c r="AP800" i="7"/>
  <c r="AP524" i="7"/>
  <c r="AP525" i="7"/>
  <c r="AP526" i="7"/>
  <c r="AP527" i="7"/>
  <c r="AP529" i="7"/>
  <c r="AP532" i="7"/>
  <c r="AA739" i="7"/>
  <c r="AA784" i="7" s="1"/>
  <c r="AA752" i="7"/>
  <c r="AA868" i="7" s="1"/>
  <c r="AF739" i="7"/>
  <c r="AF785" i="7" s="1"/>
  <c r="AF752" i="7"/>
  <c r="AF868" i="7" s="1"/>
  <c r="AK739" i="7"/>
  <c r="AK785" i="7" s="1"/>
  <c r="AK752" i="7"/>
  <c r="AK868" i="7" s="1"/>
  <c r="AA13" i="7"/>
  <c r="AF13" i="7"/>
  <c r="AK13" i="7"/>
  <c r="AP13" i="7"/>
  <c r="AA580" i="7"/>
  <c r="AA588" i="7" s="1"/>
  <c r="AA591" i="7" s="1"/>
  <c r="AA593" i="7"/>
  <c r="AA685" i="7"/>
  <c r="AA728" i="7" s="1"/>
  <c r="AA800" i="7"/>
  <c r="AA808" i="7" s="1"/>
  <c r="AA846" i="7" s="1"/>
  <c r="AA537" i="7"/>
  <c r="AF580" i="7"/>
  <c r="AF588" i="7" s="1"/>
  <c r="AF591" i="7" s="1"/>
  <c r="AF593" i="7"/>
  <c r="AF685" i="7"/>
  <c r="AF693" i="7" s="1"/>
  <c r="AF696" i="7" s="1"/>
  <c r="AF699" i="7" s="1"/>
  <c r="AF800" i="7"/>
  <c r="AF841" i="7" s="1"/>
  <c r="AF537" i="7"/>
  <c r="AK580" i="7"/>
  <c r="AK588" i="7" s="1"/>
  <c r="AK591" i="7" s="1"/>
  <c r="AK593" i="7"/>
  <c r="AK685" i="7"/>
  <c r="AK693" i="7" s="1"/>
  <c r="AK696" i="7" s="1"/>
  <c r="AK699" i="7" s="1"/>
  <c r="AK800" i="7"/>
  <c r="AK839" i="7" s="1"/>
  <c r="AK537" i="7"/>
  <c r="AP537" i="7"/>
  <c r="BP18" i="7"/>
  <c r="BU18" i="7"/>
  <c r="BV18" i="7" s="1"/>
  <c r="BZ18" i="7"/>
  <c r="AA21" i="7"/>
  <c r="AF21" i="7"/>
  <c r="AK21" i="7"/>
  <c r="AP21" i="7"/>
  <c r="AL22" i="7"/>
  <c r="AO22" i="7"/>
  <c r="AG25" i="7"/>
  <c r="AJ25" i="7"/>
  <c r="AL25" i="7"/>
  <c r="AO25" i="7"/>
  <c r="AQ25" i="7"/>
  <c r="AR25" i="7"/>
  <c r="AS25" i="7"/>
  <c r="AT25" i="7"/>
  <c r="BT43" i="7"/>
  <c r="BY43" i="7"/>
  <c r="CD43" i="7"/>
  <c r="BT45" i="7"/>
  <c r="BY45" i="7"/>
  <c r="CD45" i="7"/>
  <c r="G141" i="7"/>
  <c r="CI161" i="7" s="1"/>
  <c r="G231" i="7"/>
  <c r="CI251" i="7" s="1"/>
  <c r="G426" i="7"/>
  <c r="CI446" i="7" s="1"/>
  <c r="L141" i="7"/>
  <c r="CI162" i="7" s="1"/>
  <c r="L231" i="7"/>
  <c r="L426" i="7"/>
  <c r="Q141" i="7"/>
  <c r="CI163" i="7" s="1"/>
  <c r="Q231" i="7"/>
  <c r="Q426" i="7"/>
  <c r="V141" i="7"/>
  <c r="CI164" i="7" s="1"/>
  <c r="V231" i="7"/>
  <c r="V426" i="7"/>
  <c r="C235" i="7"/>
  <c r="C288" i="7"/>
  <c r="C482" i="7"/>
  <c r="D235" i="7"/>
  <c r="D288" i="7"/>
  <c r="D340" i="7"/>
  <c r="E235" i="7"/>
  <c r="E430" i="7"/>
  <c r="E482" i="7"/>
  <c r="F288" i="7"/>
  <c r="F482" i="7"/>
  <c r="G430" i="7"/>
  <c r="L235" i="7"/>
  <c r="L288" i="7"/>
  <c r="L482" i="7"/>
  <c r="Q145" i="7"/>
  <c r="Q340" i="7"/>
  <c r="Q430" i="7"/>
  <c r="V145" i="7"/>
  <c r="V235" i="7"/>
  <c r="V288" i="7"/>
  <c r="V482" i="7"/>
  <c r="C236" i="7"/>
  <c r="C483" i="7"/>
  <c r="D483" i="7"/>
  <c r="E236" i="7"/>
  <c r="F236" i="7"/>
  <c r="F483" i="7"/>
  <c r="G236" i="7"/>
  <c r="G483" i="7"/>
  <c r="L341" i="7"/>
  <c r="L483" i="7"/>
  <c r="Q236" i="7"/>
  <c r="Q483" i="7"/>
  <c r="V341" i="7"/>
  <c r="C57" i="7"/>
  <c r="D57" i="7"/>
  <c r="E57" i="7"/>
  <c r="F57" i="7"/>
  <c r="G57" i="7"/>
  <c r="L57" i="7"/>
  <c r="Q57" i="7"/>
  <c r="V57" i="7"/>
  <c r="C58" i="7"/>
  <c r="D58" i="7"/>
  <c r="E58" i="7"/>
  <c r="F58" i="7"/>
  <c r="G58" i="7"/>
  <c r="L58" i="7"/>
  <c r="Q58" i="7"/>
  <c r="V58" i="7"/>
  <c r="O90" i="7"/>
  <c r="O109" i="7" s="1"/>
  <c r="O128" i="7" s="1"/>
  <c r="O180" i="7" s="1"/>
  <c r="O199" i="7" s="1"/>
  <c r="O218" i="7" s="1"/>
  <c r="O271" i="7" s="1"/>
  <c r="O323" i="7" s="1"/>
  <c r="O375" i="7" s="1"/>
  <c r="O394" i="7" s="1"/>
  <c r="O413" i="7" s="1"/>
  <c r="O465" i="7" s="1"/>
  <c r="O519" i="7" s="1"/>
  <c r="O577" i="7" s="1"/>
  <c r="O682" i="7" s="1"/>
  <c r="O736" i="7" s="1"/>
  <c r="O797" i="7" s="1"/>
  <c r="O852" i="7" s="1"/>
  <c r="C93" i="7"/>
  <c r="D93" i="7"/>
  <c r="E93" i="7"/>
  <c r="F93" i="7"/>
  <c r="G93" i="7"/>
  <c r="L93" i="7"/>
  <c r="Q93" i="7"/>
  <c r="V93" i="7"/>
  <c r="AA93" i="7"/>
  <c r="AF93" i="7"/>
  <c r="AK93" i="7"/>
  <c r="AK101" i="7" s="1"/>
  <c r="AK104" i="7" s="1"/>
  <c r="AP93" i="7"/>
  <c r="AP101" i="7" s="1"/>
  <c r="AP104" i="7" s="1"/>
  <c r="C101" i="7"/>
  <c r="D101" i="7"/>
  <c r="E101" i="7"/>
  <c r="F101" i="7"/>
  <c r="F104" i="7" s="1"/>
  <c r="G101" i="7"/>
  <c r="L101" i="7"/>
  <c r="L104" i="7" s="1"/>
  <c r="Q101" i="7"/>
  <c r="V101" i="7"/>
  <c r="V104" i="7" s="1"/>
  <c r="AA101" i="7"/>
  <c r="AF101" i="7"/>
  <c r="AF104" i="7" s="1"/>
  <c r="C104" i="7"/>
  <c r="D104" i="7"/>
  <c r="E104" i="7"/>
  <c r="G104" i="7"/>
  <c r="Q104" i="7"/>
  <c r="AA104" i="7"/>
  <c r="C112" i="7"/>
  <c r="C120" i="7" s="1"/>
  <c r="C123" i="7" s="1"/>
  <c r="D112" i="7"/>
  <c r="D120" i="7" s="1"/>
  <c r="D123" i="7" s="1"/>
  <c r="E112" i="7"/>
  <c r="E120" i="7" s="1"/>
  <c r="E123" i="7" s="1"/>
  <c r="F112" i="7"/>
  <c r="F120" i="7" s="1"/>
  <c r="F123" i="7" s="1"/>
  <c r="G112" i="7"/>
  <c r="G120" i="7" s="1"/>
  <c r="G123" i="7" s="1"/>
  <c r="L112" i="7"/>
  <c r="L120" i="7" s="1"/>
  <c r="L123" i="7" s="1"/>
  <c r="Q112" i="7"/>
  <c r="Q120" i="7" s="1"/>
  <c r="Q123" i="7" s="1"/>
  <c r="V112" i="7"/>
  <c r="V120" i="7" s="1"/>
  <c r="V123" i="7" s="1"/>
  <c r="AA112" i="7"/>
  <c r="AA120" i="7" s="1"/>
  <c r="AA123" i="7" s="1"/>
  <c r="AF112" i="7"/>
  <c r="AF120" i="7" s="1"/>
  <c r="AF123" i="7" s="1"/>
  <c r="AK112" i="7"/>
  <c r="AK120" i="7" s="1"/>
  <c r="AK123" i="7" s="1"/>
  <c r="AP112" i="7"/>
  <c r="AP120" i="7" s="1"/>
  <c r="AP123" i="7" s="1"/>
  <c r="C129" i="7"/>
  <c r="D129" i="7"/>
  <c r="E129" i="7"/>
  <c r="F129" i="7"/>
  <c r="C130" i="7"/>
  <c r="D130" i="7"/>
  <c r="E130" i="7"/>
  <c r="F130" i="7"/>
  <c r="C131" i="7"/>
  <c r="D131" i="7"/>
  <c r="C133" i="7"/>
  <c r="D133" i="7"/>
  <c r="E133" i="7"/>
  <c r="F133" i="7"/>
  <c r="C134" i="7"/>
  <c r="D134" i="7"/>
  <c r="E134" i="7"/>
  <c r="F134" i="7"/>
  <c r="C135" i="7"/>
  <c r="D135" i="7"/>
  <c r="E135" i="7"/>
  <c r="F135" i="7"/>
  <c r="C136" i="7"/>
  <c r="D136" i="7"/>
  <c r="E136" i="7"/>
  <c r="F136" i="7"/>
  <c r="C137" i="7"/>
  <c r="D137" i="7"/>
  <c r="E137" i="7"/>
  <c r="F137" i="7"/>
  <c r="C138" i="7"/>
  <c r="D138" i="7"/>
  <c r="E138" i="7"/>
  <c r="F138" i="7"/>
  <c r="C141" i="7"/>
  <c r="D141" i="7"/>
  <c r="E141" i="7"/>
  <c r="F141" i="7"/>
  <c r="F150" i="7"/>
  <c r="G150" i="7"/>
  <c r="L150" i="7"/>
  <c r="Q150" i="7"/>
  <c r="V150" i="7"/>
  <c r="AA150" i="7"/>
  <c r="AF150" i="7"/>
  <c r="AK150" i="7"/>
  <c r="AP150" i="7"/>
  <c r="AU150" i="7"/>
  <c r="F151" i="7"/>
  <c r="G151" i="7"/>
  <c r="L151" i="7"/>
  <c r="Q151" i="7"/>
  <c r="V151" i="7"/>
  <c r="AA151" i="7"/>
  <c r="AF151" i="7"/>
  <c r="AP151" i="7"/>
  <c r="C183" i="7"/>
  <c r="D183" i="7"/>
  <c r="E183" i="7"/>
  <c r="F183" i="7"/>
  <c r="G183" i="7"/>
  <c r="L183" i="7"/>
  <c r="Q183" i="7"/>
  <c r="V183" i="7"/>
  <c r="AA183" i="7"/>
  <c r="AF183" i="7"/>
  <c r="AK183" i="7"/>
  <c r="AP183" i="7"/>
  <c r="C191" i="7"/>
  <c r="D191" i="7"/>
  <c r="E191" i="7"/>
  <c r="F191" i="7"/>
  <c r="G191" i="7"/>
  <c r="L191" i="7"/>
  <c r="L194" i="7" s="1"/>
  <c r="Q191" i="7"/>
  <c r="Q194" i="7" s="1"/>
  <c r="V191" i="7"/>
  <c r="V194" i="7" s="1"/>
  <c r="AA191" i="7"/>
  <c r="AA194" i="7" s="1"/>
  <c r="AF191" i="7"/>
  <c r="AF194" i="7" s="1"/>
  <c r="AK191" i="7"/>
  <c r="AK194" i="7" s="1"/>
  <c r="AP191" i="7"/>
  <c r="AP194" i="7" s="1"/>
  <c r="C194" i="7"/>
  <c r="D194" i="7"/>
  <c r="E194" i="7"/>
  <c r="F194" i="7"/>
  <c r="G194" i="7"/>
  <c r="C202" i="7"/>
  <c r="D202" i="7"/>
  <c r="E202" i="7"/>
  <c r="F202" i="7"/>
  <c r="G202" i="7"/>
  <c r="L202" i="7"/>
  <c r="Q202" i="7"/>
  <c r="V202" i="7"/>
  <c r="AA202" i="7"/>
  <c r="AF202" i="7"/>
  <c r="AK202" i="7"/>
  <c r="AP202" i="7"/>
  <c r="C210" i="7"/>
  <c r="C213" i="7" s="1"/>
  <c r="D210" i="7"/>
  <c r="D213" i="7" s="1"/>
  <c r="E210" i="7"/>
  <c r="E213" i="7" s="1"/>
  <c r="F210" i="7"/>
  <c r="F213" i="7" s="1"/>
  <c r="G210" i="7"/>
  <c r="G213" i="7" s="1"/>
  <c r="L210" i="7"/>
  <c r="L213" i="7" s="1"/>
  <c r="Q210" i="7"/>
  <c r="Q213" i="7" s="1"/>
  <c r="V210" i="7"/>
  <c r="V213" i="7" s="1"/>
  <c r="AA210" i="7"/>
  <c r="AA213" i="7" s="1"/>
  <c r="AF210" i="7"/>
  <c r="AF213" i="7" s="1"/>
  <c r="AK210" i="7"/>
  <c r="AK213" i="7" s="1"/>
  <c r="AP210" i="7"/>
  <c r="AP213" i="7" s="1"/>
  <c r="C221" i="7"/>
  <c r="C229" i="7" s="1"/>
  <c r="C232" i="7" s="1"/>
  <c r="D221" i="7"/>
  <c r="D229" i="7" s="1"/>
  <c r="D232" i="7" s="1"/>
  <c r="E221" i="7"/>
  <c r="E229" i="7" s="1"/>
  <c r="E232" i="7" s="1"/>
  <c r="F221" i="7"/>
  <c r="F229" i="7" s="1"/>
  <c r="F232" i="7" s="1"/>
  <c r="F240" i="7"/>
  <c r="G240" i="7"/>
  <c r="L240" i="7"/>
  <c r="Q240" i="7"/>
  <c r="V240" i="7"/>
  <c r="AA240" i="7"/>
  <c r="AF240" i="7"/>
  <c r="AK240" i="7"/>
  <c r="AU240" i="7"/>
  <c r="F241" i="7"/>
  <c r="G241" i="7"/>
  <c r="L241" i="7"/>
  <c r="Q241" i="7"/>
  <c r="V241" i="7"/>
  <c r="AA241" i="7"/>
  <c r="AF241" i="7"/>
  <c r="AP241" i="7"/>
  <c r="AU241" i="7"/>
  <c r="C274" i="7"/>
  <c r="C282" i="7" s="1"/>
  <c r="C285" i="7" s="1"/>
  <c r="D274" i="7"/>
  <c r="D282" i="7" s="1"/>
  <c r="D285" i="7" s="1"/>
  <c r="E274" i="7"/>
  <c r="E282" i="7" s="1"/>
  <c r="E285" i="7" s="1"/>
  <c r="F274" i="7"/>
  <c r="F282" i="7" s="1"/>
  <c r="F285" i="7" s="1"/>
  <c r="G274" i="7"/>
  <c r="G314" i="7" s="1"/>
  <c r="L274" i="7"/>
  <c r="L313" i="7" s="1"/>
  <c r="Q274" i="7"/>
  <c r="Q313" i="7" s="1"/>
  <c r="V274" i="7"/>
  <c r="V312" i="7" s="1"/>
  <c r="F293" i="7"/>
  <c r="G293" i="7"/>
  <c r="L293" i="7"/>
  <c r="Q293" i="7"/>
  <c r="V293" i="7"/>
  <c r="AA293" i="7"/>
  <c r="AF293" i="7"/>
  <c r="AU293" i="7"/>
  <c r="F294" i="7"/>
  <c r="G294" i="7"/>
  <c r="L294" i="7"/>
  <c r="Q294" i="7"/>
  <c r="V294" i="7"/>
  <c r="AA294" i="7"/>
  <c r="AF294" i="7"/>
  <c r="AK294" i="7"/>
  <c r="C326" i="7"/>
  <c r="C367" i="7" s="1"/>
  <c r="D326" i="7"/>
  <c r="D365" i="7" s="1"/>
  <c r="E326" i="7"/>
  <c r="E367" i="7" s="1"/>
  <c r="F326" i="7"/>
  <c r="F363" i="7" s="1"/>
  <c r="G326" i="7"/>
  <c r="L326" i="7"/>
  <c r="L368" i="7" s="1"/>
  <c r="Q326" i="7"/>
  <c r="V326" i="7"/>
  <c r="V334" i="7" s="1"/>
  <c r="AP334" i="7"/>
  <c r="F345" i="7"/>
  <c r="G345" i="7"/>
  <c r="L345" i="7"/>
  <c r="Q345" i="7"/>
  <c r="V345" i="7"/>
  <c r="AA345" i="7"/>
  <c r="AF345" i="7"/>
  <c r="AP345" i="7"/>
  <c r="AU345" i="7"/>
  <c r="F346" i="7"/>
  <c r="G346" i="7"/>
  <c r="L346" i="7"/>
  <c r="Q346" i="7"/>
  <c r="V346" i="7"/>
  <c r="AA346" i="7"/>
  <c r="AF346" i="7"/>
  <c r="AP346" i="7"/>
  <c r="AP363" i="7"/>
  <c r="AK364" i="7"/>
  <c r="AP364" i="7"/>
  <c r="AP365" i="7"/>
  <c r="AP366" i="7"/>
  <c r="AP367" i="7"/>
  <c r="AP368" i="7"/>
  <c r="C378" i="7"/>
  <c r="C386" i="7" s="1"/>
  <c r="C389" i="7" s="1"/>
  <c r="D378" i="7"/>
  <c r="D386" i="7" s="1"/>
  <c r="D389" i="7" s="1"/>
  <c r="E378" i="7"/>
  <c r="E386" i="7" s="1"/>
  <c r="E389" i="7" s="1"/>
  <c r="F378" i="7"/>
  <c r="F386" i="7" s="1"/>
  <c r="F389" i="7" s="1"/>
  <c r="G378" i="7"/>
  <c r="G386" i="7" s="1"/>
  <c r="G389" i="7" s="1"/>
  <c r="L378" i="7"/>
  <c r="L386" i="7" s="1"/>
  <c r="L389" i="7" s="1"/>
  <c r="Q378" i="7"/>
  <c r="Q386" i="7" s="1"/>
  <c r="Q389" i="7" s="1"/>
  <c r="V378" i="7"/>
  <c r="V386" i="7" s="1"/>
  <c r="V389" i="7" s="1"/>
  <c r="AA378" i="7"/>
  <c r="AA386" i="7" s="1"/>
  <c r="AA389" i="7" s="1"/>
  <c r="AF378" i="7"/>
  <c r="AF386" i="7" s="1"/>
  <c r="AF389" i="7" s="1"/>
  <c r="AK378" i="7"/>
  <c r="AK386" i="7" s="1"/>
  <c r="AK389" i="7" s="1"/>
  <c r="AP386" i="7"/>
  <c r="AP389" i="7" s="1"/>
  <c r="C397" i="7"/>
  <c r="D397" i="7"/>
  <c r="D405" i="7" s="1"/>
  <c r="D408" i="7" s="1"/>
  <c r="E397" i="7"/>
  <c r="E405" i="7" s="1"/>
  <c r="E408" i="7" s="1"/>
  <c r="F397" i="7"/>
  <c r="F405" i="7" s="1"/>
  <c r="F408" i="7" s="1"/>
  <c r="G397" i="7"/>
  <c r="G405" i="7" s="1"/>
  <c r="G408" i="7" s="1"/>
  <c r="L397" i="7"/>
  <c r="L405" i="7" s="1"/>
  <c r="L408" i="7" s="1"/>
  <c r="Q397" i="7"/>
  <c r="Q405" i="7" s="1"/>
  <c r="Q408" i="7" s="1"/>
  <c r="V397" i="7"/>
  <c r="V405" i="7" s="1"/>
  <c r="V408" i="7" s="1"/>
  <c r="AA397" i="7"/>
  <c r="AA405" i="7" s="1"/>
  <c r="AA408" i="7" s="1"/>
  <c r="AF397" i="7"/>
  <c r="AF405" i="7" s="1"/>
  <c r="AF408" i="7" s="1"/>
  <c r="AK397" i="7"/>
  <c r="AK405" i="7" s="1"/>
  <c r="AK408" i="7" s="1"/>
  <c r="AP397" i="7"/>
  <c r="AP405" i="7" s="1"/>
  <c r="AP408" i="7" s="1"/>
  <c r="C405" i="7"/>
  <c r="C408" i="7" s="1"/>
  <c r="C416" i="7"/>
  <c r="C424" i="7" s="1"/>
  <c r="C427" i="7" s="1"/>
  <c r="D416" i="7"/>
  <c r="D424" i="7" s="1"/>
  <c r="D427" i="7" s="1"/>
  <c r="E416" i="7"/>
  <c r="E424" i="7" s="1"/>
  <c r="E427" i="7" s="1"/>
  <c r="F416" i="7"/>
  <c r="F424" i="7" s="1"/>
  <c r="F427" i="7" s="1"/>
  <c r="F435" i="7"/>
  <c r="G435" i="7"/>
  <c r="G436" i="7" s="1"/>
  <c r="L435" i="7"/>
  <c r="L436" i="7" s="1"/>
  <c r="Q435" i="7"/>
  <c r="Q436" i="7" s="1"/>
  <c r="V435" i="7"/>
  <c r="V436" i="7" s="1"/>
  <c r="AA435" i="7"/>
  <c r="AA436" i="7" s="1"/>
  <c r="AF435" i="7"/>
  <c r="AK435" i="7"/>
  <c r="AU435" i="7"/>
  <c r="F436" i="7"/>
  <c r="C468" i="7"/>
  <c r="C476" i="7" s="1"/>
  <c r="C479" i="7" s="1"/>
  <c r="D468" i="7"/>
  <c r="D476" i="7" s="1"/>
  <c r="D479" i="7" s="1"/>
  <c r="E468" i="7"/>
  <c r="E476" i="7" s="1"/>
  <c r="E479" i="7" s="1"/>
  <c r="F468" i="7"/>
  <c r="F476" i="7" s="1"/>
  <c r="F479" i="7" s="1"/>
  <c r="G468" i="7"/>
  <c r="G508" i="7" s="1"/>
  <c r="L468" i="7"/>
  <c r="L476" i="7" s="1"/>
  <c r="L512" i="7" s="1"/>
  <c r="Q468" i="7"/>
  <c r="Q476" i="7" s="1"/>
  <c r="Q479" i="7" s="1"/>
  <c r="V468" i="7"/>
  <c r="V509" i="7" s="1"/>
  <c r="AP476" i="7"/>
  <c r="AP512" i="7" s="1"/>
  <c r="F487" i="7"/>
  <c r="G487" i="7"/>
  <c r="L487" i="7"/>
  <c r="Q487" i="7"/>
  <c r="V487" i="7"/>
  <c r="AA487" i="7"/>
  <c r="AF487" i="7"/>
  <c r="AK487" i="7"/>
  <c r="AU487" i="7"/>
  <c r="F488" i="7"/>
  <c r="G488" i="7"/>
  <c r="L488" i="7"/>
  <c r="Q488" i="7"/>
  <c r="V488" i="7"/>
  <c r="AA488" i="7"/>
  <c r="AF488" i="7"/>
  <c r="AP505" i="7"/>
  <c r="AP506" i="7"/>
  <c r="AP508" i="7"/>
  <c r="AP509" i="7"/>
  <c r="AP510" i="7"/>
  <c r="C522" i="7"/>
  <c r="C530" i="7" s="1"/>
  <c r="C533" i="7" s="1"/>
  <c r="C540" i="7" s="1"/>
  <c r="D522" i="7"/>
  <c r="D530" i="7" s="1"/>
  <c r="D533" i="7" s="1"/>
  <c r="D540" i="7" s="1"/>
  <c r="E522" i="7"/>
  <c r="E530" i="7" s="1"/>
  <c r="E533" i="7" s="1"/>
  <c r="F522" i="7"/>
  <c r="F530" i="7" s="1"/>
  <c r="F533" i="7" s="1"/>
  <c r="G522" i="7"/>
  <c r="G530" i="7" s="1"/>
  <c r="G533" i="7" s="1"/>
  <c r="L522" i="7"/>
  <c r="L530" i="7" s="1"/>
  <c r="L533" i="7" s="1"/>
  <c r="Q522" i="7"/>
  <c r="Q530" i="7" s="1"/>
  <c r="Q533" i="7" s="1"/>
  <c r="V522" i="7"/>
  <c r="V530" i="7" s="1"/>
  <c r="V533" i="7" s="1"/>
  <c r="BP802" i="7"/>
  <c r="BQ802" i="7" s="1"/>
  <c r="BU802" i="7"/>
  <c r="BZ802" i="7"/>
  <c r="BP807" i="7"/>
  <c r="BU807" i="7"/>
  <c r="BV807" i="7" s="1"/>
  <c r="BZ807" i="7"/>
  <c r="AP535" i="7"/>
  <c r="BP813" i="7"/>
  <c r="BQ813" i="7" s="1"/>
  <c r="BR813" i="7" s="1"/>
  <c r="BS813" i="7" s="1"/>
  <c r="BU813" i="7"/>
  <c r="BV813" i="7" s="1"/>
  <c r="BZ813" i="7"/>
  <c r="CA813" i="7" s="1"/>
  <c r="CB813" i="7" s="1"/>
  <c r="CC813" i="7" s="1"/>
  <c r="E540" i="7"/>
  <c r="F540" i="7"/>
  <c r="G540" i="7"/>
  <c r="L540" i="7"/>
  <c r="CI36" i="7" s="1"/>
  <c r="Q540" i="7"/>
  <c r="CI37" i="7" s="1"/>
  <c r="V540" i="7"/>
  <c r="CI38" i="7" s="1"/>
  <c r="C702" i="7"/>
  <c r="D702" i="7"/>
  <c r="D872" i="7"/>
  <c r="E702" i="7"/>
  <c r="F702" i="7"/>
  <c r="G702" i="7"/>
  <c r="L702" i="7"/>
  <c r="L872" i="7"/>
  <c r="Q702" i="7"/>
  <c r="V702" i="7"/>
  <c r="AA702" i="7"/>
  <c r="AF702" i="7"/>
  <c r="AF872" i="7"/>
  <c r="AK702" i="7"/>
  <c r="C703" i="7"/>
  <c r="D703" i="7"/>
  <c r="E703" i="7"/>
  <c r="F703" i="7"/>
  <c r="G703" i="7"/>
  <c r="L703" i="7"/>
  <c r="Q703" i="7"/>
  <c r="V703" i="7"/>
  <c r="V873" i="7"/>
  <c r="AA703" i="7"/>
  <c r="AF703" i="7"/>
  <c r="AK703" i="7"/>
  <c r="C548" i="7"/>
  <c r="D548" i="7"/>
  <c r="E548" i="7"/>
  <c r="F548" i="7"/>
  <c r="G548" i="7"/>
  <c r="L548" i="7"/>
  <c r="Q548" i="7"/>
  <c r="V548" i="7"/>
  <c r="AA548" i="7"/>
  <c r="AF548" i="7"/>
  <c r="AK548" i="7"/>
  <c r="AP548" i="7"/>
  <c r="AU548" i="7"/>
  <c r="C549" i="7"/>
  <c r="D549" i="7"/>
  <c r="E549" i="7"/>
  <c r="F549" i="7"/>
  <c r="G549" i="7"/>
  <c r="L549" i="7"/>
  <c r="Q549" i="7"/>
  <c r="V549" i="7"/>
  <c r="AA549" i="7"/>
  <c r="AF549" i="7"/>
  <c r="AK549" i="7"/>
  <c r="AP549" i="7"/>
  <c r="AZ580" i="7"/>
  <c r="AZ588" i="7" s="1"/>
  <c r="AZ591" i="7" s="1"/>
  <c r="AZ594" i="7" s="1"/>
  <c r="BE591" i="7"/>
  <c r="BE594" i="7" s="1"/>
  <c r="BO594" i="7"/>
  <c r="BO16" i="7" s="1"/>
  <c r="BT580" i="7"/>
  <c r="BT588" i="7" s="1"/>
  <c r="BT591" i="7" s="1"/>
  <c r="BT594" i="7" s="1"/>
  <c r="BY580" i="7"/>
  <c r="BY588" i="7" s="1"/>
  <c r="BY591" i="7" s="1"/>
  <c r="BY594" i="7" s="1"/>
  <c r="CD580" i="7"/>
  <c r="CD588" i="7" s="1"/>
  <c r="CD591" i="7" s="1"/>
  <c r="CD594" i="7" s="1"/>
  <c r="C594" i="7"/>
  <c r="C685" i="7"/>
  <c r="C693" i="7" s="1"/>
  <c r="C696" i="7" s="1"/>
  <c r="C699" i="7" s="1"/>
  <c r="D685" i="7"/>
  <c r="D693" i="7" s="1"/>
  <c r="D696" i="7" s="1"/>
  <c r="E685" i="7"/>
  <c r="F685" i="7"/>
  <c r="F693" i="7" s="1"/>
  <c r="F696" i="7" s="1"/>
  <c r="G685" i="7"/>
  <c r="L685" i="7"/>
  <c r="L693" i="7" s="1"/>
  <c r="L696" i="7" s="1"/>
  <c r="Q685" i="7"/>
  <c r="Q693" i="7" s="1"/>
  <c r="Q696" i="7" s="1"/>
  <c r="V685" i="7"/>
  <c r="V693" i="7" s="1"/>
  <c r="V696" i="7" s="1"/>
  <c r="E693" i="7"/>
  <c r="E696" i="7" s="1"/>
  <c r="G693" i="7"/>
  <c r="G696" i="7" s="1"/>
  <c r="F707" i="7"/>
  <c r="G707" i="7"/>
  <c r="L707" i="7"/>
  <c r="Q707" i="7"/>
  <c r="V707" i="7"/>
  <c r="AA707" i="7"/>
  <c r="AF707" i="7"/>
  <c r="AU707" i="7"/>
  <c r="F708" i="7"/>
  <c r="G708" i="7"/>
  <c r="L708" i="7"/>
  <c r="Q708" i="7"/>
  <c r="V708" i="7"/>
  <c r="AA708" i="7"/>
  <c r="AF708" i="7"/>
  <c r="AP762" i="7"/>
  <c r="AP817" i="7" s="1"/>
  <c r="AP763" i="7"/>
  <c r="AP818" i="7" s="1"/>
  <c r="AK762" i="7"/>
  <c r="AK763" i="7"/>
  <c r="C762" i="7"/>
  <c r="D762" i="7"/>
  <c r="E762" i="7"/>
  <c r="F762" i="7"/>
  <c r="G762" i="7"/>
  <c r="L762" i="7"/>
  <c r="Q762" i="7"/>
  <c r="V762" i="7"/>
  <c r="W817" i="7"/>
  <c r="X817" i="7"/>
  <c r="Y817" i="7"/>
  <c r="Z817" i="7"/>
  <c r="AA762" i="7"/>
  <c r="AB817" i="7"/>
  <c r="AC817" i="7"/>
  <c r="AD817" i="7"/>
  <c r="AE817" i="7"/>
  <c r="AF762" i="7"/>
  <c r="C763" i="7"/>
  <c r="D763" i="7"/>
  <c r="E763" i="7"/>
  <c r="F763" i="7"/>
  <c r="G763" i="7"/>
  <c r="G818" i="7" s="1"/>
  <c r="L763" i="7"/>
  <c r="Q763" i="7"/>
  <c r="V763" i="7"/>
  <c r="W818" i="7"/>
  <c r="X818" i="7"/>
  <c r="Y818" i="7"/>
  <c r="Z818" i="7"/>
  <c r="AA763" i="7"/>
  <c r="AB818" i="7"/>
  <c r="AC818" i="7"/>
  <c r="AD818" i="7"/>
  <c r="AE818" i="7"/>
  <c r="AF763" i="7"/>
  <c r="F767" i="7"/>
  <c r="G767" i="7"/>
  <c r="L767" i="7"/>
  <c r="Q767" i="7"/>
  <c r="V767" i="7"/>
  <c r="AA767" i="7"/>
  <c r="AF767" i="7"/>
  <c r="AP767" i="7"/>
  <c r="F768" i="7"/>
  <c r="G768" i="7"/>
  <c r="L768" i="7"/>
  <c r="Q768" i="7"/>
  <c r="V768" i="7"/>
  <c r="AA768" i="7"/>
  <c r="AF768" i="7"/>
  <c r="AU768" i="7"/>
  <c r="H817" i="7"/>
  <c r="I817" i="7"/>
  <c r="J817" i="7"/>
  <c r="K817" i="7"/>
  <c r="M817" i="7"/>
  <c r="N817" i="7"/>
  <c r="O817" i="7"/>
  <c r="P817" i="7"/>
  <c r="R817" i="7"/>
  <c r="S817" i="7"/>
  <c r="T817" i="7"/>
  <c r="U817" i="7"/>
  <c r="H818" i="7"/>
  <c r="I818" i="7"/>
  <c r="J818" i="7"/>
  <c r="K818" i="7"/>
  <c r="M818" i="7"/>
  <c r="N818" i="7"/>
  <c r="O818" i="7"/>
  <c r="P818" i="7"/>
  <c r="R818" i="7"/>
  <c r="S818" i="7"/>
  <c r="T818" i="7"/>
  <c r="U818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S822" i="7"/>
  <c r="T822" i="7"/>
  <c r="U822" i="7"/>
  <c r="V822" i="7"/>
  <c r="W822" i="7"/>
  <c r="X822" i="7"/>
  <c r="Y822" i="7"/>
  <c r="Z822" i="7"/>
  <c r="AA822" i="7"/>
  <c r="AB822" i="7"/>
  <c r="AC822" i="7"/>
  <c r="AD822" i="7"/>
  <c r="AE822" i="7"/>
  <c r="AF822" i="7"/>
  <c r="AP822" i="7"/>
  <c r="AU822" i="7"/>
  <c r="F823" i="7"/>
  <c r="G823" i="7"/>
  <c r="H823" i="7"/>
  <c r="I823" i="7"/>
  <c r="J823" i="7"/>
  <c r="K823" i="7"/>
  <c r="L823" i="7"/>
  <c r="M823" i="7"/>
  <c r="N823" i="7"/>
  <c r="O823" i="7"/>
  <c r="P823" i="7"/>
  <c r="Q823" i="7"/>
  <c r="R823" i="7"/>
  <c r="S823" i="7"/>
  <c r="T823" i="7"/>
  <c r="U823" i="7"/>
  <c r="V823" i="7"/>
  <c r="W823" i="7"/>
  <c r="X823" i="7"/>
  <c r="Y823" i="7"/>
  <c r="Z823" i="7"/>
  <c r="AA823" i="7"/>
  <c r="AB823" i="7"/>
  <c r="AC823" i="7"/>
  <c r="AD823" i="7"/>
  <c r="AE823" i="7"/>
  <c r="AF823" i="7"/>
  <c r="AK823" i="7"/>
  <c r="AU823" i="7"/>
  <c r="BP826" i="7"/>
  <c r="BQ826" i="7"/>
  <c r="BR826" i="7"/>
  <c r="BS826" i="7"/>
  <c r="BU826" i="7"/>
  <c r="BV826" i="7"/>
  <c r="BW826" i="7"/>
  <c r="BX826" i="7"/>
  <c r="BZ826" i="7"/>
  <c r="CA826" i="7"/>
  <c r="CB826" i="7"/>
  <c r="CC826" i="7"/>
  <c r="BP841" i="7"/>
  <c r="BQ841" i="7"/>
  <c r="BR841" i="7"/>
  <c r="BS841" i="7"/>
  <c r="BU841" i="7"/>
  <c r="BV841" i="7"/>
  <c r="BW841" i="7"/>
  <c r="BX841" i="7"/>
  <c r="BZ841" i="7"/>
  <c r="CA841" i="7"/>
  <c r="CB841" i="7"/>
  <c r="CC841" i="7"/>
  <c r="BP846" i="7"/>
  <c r="BQ846" i="7"/>
  <c r="BR846" i="7"/>
  <c r="BS846" i="7"/>
  <c r="BU846" i="7"/>
  <c r="BV846" i="7"/>
  <c r="BW846" i="7"/>
  <c r="BX846" i="7"/>
  <c r="BZ846" i="7"/>
  <c r="CA846" i="7"/>
  <c r="CB846" i="7"/>
  <c r="CC846" i="7"/>
  <c r="AA853" i="7"/>
  <c r="AF853" i="7"/>
  <c r="AK853" i="7"/>
  <c r="AP853" i="7"/>
  <c r="AA854" i="7"/>
  <c r="AF854" i="7"/>
  <c r="AK854" i="7"/>
  <c r="AP854" i="7"/>
  <c r="AA857" i="7"/>
  <c r="AF857" i="7"/>
  <c r="AK857" i="7"/>
  <c r="AP857" i="7"/>
  <c r="AU857" i="7"/>
  <c r="AZ857" i="7"/>
  <c r="BJ857" i="7"/>
  <c r="BT857" i="7"/>
  <c r="BY857" i="7"/>
  <c r="CD857" i="7"/>
  <c r="AA858" i="7"/>
  <c r="AF858" i="7"/>
  <c r="AK858" i="7"/>
  <c r="AP858" i="7"/>
  <c r="AA859" i="7"/>
  <c r="AF859" i="7"/>
  <c r="AK859" i="7"/>
  <c r="AP859" i="7"/>
  <c r="AA860" i="7"/>
  <c r="AF860" i="7"/>
  <c r="AK860" i="7"/>
  <c r="AP860" i="7"/>
  <c r="AU860" i="7"/>
  <c r="AZ860" i="7"/>
  <c r="BJ860" i="7"/>
  <c r="BT860" i="7"/>
  <c r="BY860" i="7"/>
  <c r="CD860" i="7"/>
  <c r="AA861" i="7"/>
  <c r="AF861" i="7"/>
  <c r="AK861" i="7"/>
  <c r="AP861" i="7"/>
  <c r="AA862" i="7"/>
  <c r="AF862" i="7"/>
  <c r="AK862" i="7"/>
  <c r="AP862" i="7"/>
  <c r="AU862" i="7"/>
  <c r="BJ862" i="7"/>
  <c r="BT862" i="7"/>
  <c r="BY862" i="7"/>
  <c r="CD862" i="7"/>
  <c r="AA865" i="7"/>
  <c r="AF865" i="7"/>
  <c r="AK865" i="7"/>
  <c r="AP865" i="7"/>
  <c r="AB868" i="7"/>
  <c r="AC868" i="7"/>
  <c r="AD868" i="7"/>
  <c r="AE868" i="7"/>
  <c r="AP868" i="7"/>
  <c r="AU868" i="7"/>
  <c r="AZ868" i="7"/>
  <c r="F877" i="7"/>
  <c r="G877" i="7"/>
  <c r="L877" i="7"/>
  <c r="Q877" i="7"/>
  <c r="V877" i="7"/>
  <c r="AA877" i="7"/>
  <c r="AF877" i="7"/>
  <c r="AU877" i="7"/>
  <c r="F878" i="7"/>
  <c r="G878" i="7"/>
  <c r="L878" i="7"/>
  <c r="Q878" i="7"/>
  <c r="V878" i="7"/>
  <c r="AA878" i="7"/>
  <c r="AF878" i="7"/>
  <c r="AK878" i="7"/>
  <c r="AP878" i="7"/>
  <c r="AU878" i="7"/>
  <c r="L12" i="37"/>
  <c r="AJ12" i="37"/>
  <c r="AK12" i="37" s="1"/>
  <c r="AL12" i="37"/>
  <c r="AM12" i="37"/>
  <c r="AN12" i="37"/>
  <c r="AO12" i="37"/>
  <c r="AQ12" i="37"/>
  <c r="AR12" i="37"/>
  <c r="AS12" i="37"/>
  <c r="AT12" i="37"/>
  <c r="AV12" i="37"/>
  <c r="AW12" i="37"/>
  <c r="AX12" i="37"/>
  <c r="BA12" i="37"/>
  <c r="L13" i="37"/>
  <c r="AH13" i="37"/>
  <c r="AI13" i="37"/>
  <c r="AJ13" i="37"/>
  <c r="AK13" i="37"/>
  <c r="AL13" i="37"/>
  <c r="AM13" i="37"/>
  <c r="AN13" i="37"/>
  <c r="AO13" i="37"/>
  <c r="AP13" i="37"/>
  <c r="AQ13" i="37"/>
  <c r="AR13" i="37"/>
  <c r="AS13" i="37"/>
  <c r="AT13" i="37"/>
  <c r="AV13" i="37"/>
  <c r="AW13" i="37"/>
  <c r="AX13" i="37"/>
  <c r="BA13" i="37"/>
  <c r="BB13" i="37"/>
  <c r="BC13" i="37"/>
  <c r="BD13" i="37"/>
  <c r="BG13" i="37"/>
  <c r="BH13" i="37"/>
  <c r="BI13" i="37"/>
  <c r="BK13" i="37"/>
  <c r="BL13" i="37"/>
  <c r="BM13" i="37"/>
  <c r="BN13" i="37"/>
  <c r="BP13" i="37"/>
  <c r="C15" i="37"/>
  <c r="D15" i="37"/>
  <c r="E17" i="27"/>
  <c r="E19" i="27"/>
  <c r="E60" i="27" s="1"/>
  <c r="E81" i="14" s="1"/>
  <c r="F17" i="27"/>
  <c r="F22" i="27" s="1"/>
  <c r="F55" i="14" s="1"/>
  <c r="F15" i="37" s="1"/>
  <c r="F18" i="37" s="1"/>
  <c r="V22" i="27"/>
  <c r="V55" i="14" s="1"/>
  <c r="V15" i="37" s="1"/>
  <c r="V18" i="37" s="1"/>
  <c r="W17" i="27"/>
  <c r="W22" i="27" s="1"/>
  <c r="W50" i="14" s="1"/>
  <c r="X17" i="27"/>
  <c r="X22" i="27" s="1"/>
  <c r="X50" i="14" s="1"/>
  <c r="Y17" i="27"/>
  <c r="Y22" i="27" s="1"/>
  <c r="Y27" i="27" s="1"/>
  <c r="Z17" i="27"/>
  <c r="Z22" i="27" s="1"/>
  <c r="AB17" i="27"/>
  <c r="AB22" i="27" s="1"/>
  <c r="AC17" i="27"/>
  <c r="AC22" i="27" s="1"/>
  <c r="AD17" i="27"/>
  <c r="AD22" i="27" s="1"/>
  <c r="AE17" i="27"/>
  <c r="AE22" i="27" s="1"/>
  <c r="AE55" i="14" s="1"/>
  <c r="AE15" i="37" s="1"/>
  <c r="AE18" i="37" s="1"/>
  <c r="AG38" i="14"/>
  <c r="AH38" i="14"/>
  <c r="AI38" i="14"/>
  <c r="AJ38" i="14"/>
  <c r="E21" i="37"/>
  <c r="E22" i="37" s="1"/>
  <c r="E159" i="12"/>
  <c r="E43" i="12" s="1"/>
  <c r="E170" i="12"/>
  <c r="E49" i="12" s="1"/>
  <c r="F21" i="37"/>
  <c r="F22" i="37" s="1"/>
  <c r="F13" i="12" s="1"/>
  <c r="F159" i="12"/>
  <c r="F43" i="12" s="1"/>
  <c r="F170" i="12"/>
  <c r="F49" i="12" s="1"/>
  <c r="G21" i="37"/>
  <c r="G22" i="37" s="1"/>
  <c r="G13" i="12" s="1"/>
  <c r="G170" i="12"/>
  <c r="G49" i="12" s="1"/>
  <c r="L21" i="37"/>
  <c r="L22" i="37" s="1"/>
  <c r="L13" i="12" s="1"/>
  <c r="L170" i="12"/>
  <c r="L49" i="12" s="1"/>
  <c r="Q21" i="37"/>
  <c r="Q22" i="37" s="1"/>
  <c r="Q170" i="12"/>
  <c r="Q49" i="12" s="1"/>
  <c r="V21" i="37"/>
  <c r="V22" i="37" s="1"/>
  <c r="V13" i="12" s="1"/>
  <c r="U13" i="12" s="1"/>
  <c r="T13" i="12" s="1"/>
  <c r="S13" i="12" s="1"/>
  <c r="R13" i="12" s="1"/>
  <c r="V170" i="12"/>
  <c r="V49" i="12" s="1"/>
  <c r="AA21" i="37"/>
  <c r="AA22" i="37" s="1"/>
  <c r="AA170" i="12"/>
  <c r="AA49" i="12" s="1"/>
  <c r="AF21" i="37"/>
  <c r="AF22" i="37" s="1"/>
  <c r="C21" i="37"/>
  <c r="C22" i="37" s="1"/>
  <c r="D21" i="37"/>
  <c r="D22" i="37" s="1"/>
  <c r="R21" i="37"/>
  <c r="R22" i="37" s="1"/>
  <c r="S21" i="37"/>
  <c r="S22" i="37" s="1"/>
  <c r="T21" i="37"/>
  <c r="T22" i="37" s="1"/>
  <c r="U21" i="37"/>
  <c r="U22" i="37" s="1"/>
  <c r="W21" i="37"/>
  <c r="W22" i="37" s="1"/>
  <c r="W13" i="12" s="1"/>
  <c r="X21" i="37"/>
  <c r="X22" i="37" s="1"/>
  <c r="X13" i="12" s="1"/>
  <c r="Y21" i="37"/>
  <c r="Y22" i="37" s="1"/>
  <c r="Y13" i="12" s="1"/>
  <c r="Z21" i="37"/>
  <c r="Z22" i="37" s="1"/>
  <c r="Z13" i="12" s="1"/>
  <c r="AB21" i="37"/>
  <c r="AB22" i="37" s="1"/>
  <c r="AB13" i="12" s="1"/>
  <c r="AC21" i="37"/>
  <c r="AC22" i="37" s="1"/>
  <c r="AC13" i="12" s="1"/>
  <c r="AD21" i="37"/>
  <c r="AD22" i="37" s="1"/>
  <c r="AD13" i="12" s="1"/>
  <c r="AE21" i="37"/>
  <c r="AE22" i="37" s="1"/>
  <c r="AE13" i="12" s="1"/>
  <c r="AG21" i="37"/>
  <c r="AG22" i="37" s="1"/>
  <c r="AG13" i="12" s="1"/>
  <c r="AH21" i="37"/>
  <c r="AH22" i="37" s="1"/>
  <c r="AH13" i="12" s="1"/>
  <c r="AI21" i="37"/>
  <c r="AI22" i="37" s="1"/>
  <c r="AI13" i="12" s="1"/>
  <c r="AJ21" i="37"/>
  <c r="AJ22" i="37" s="1"/>
  <c r="AJ13" i="12" s="1"/>
  <c r="AL21" i="37"/>
  <c r="AL22" i="37" s="1"/>
  <c r="AL13" i="12" s="1"/>
  <c r="AM21" i="37"/>
  <c r="AM22" i="37" s="1"/>
  <c r="AM13" i="12" s="1"/>
  <c r="AN21" i="37"/>
  <c r="AN22" i="37" s="1"/>
  <c r="AN13" i="12" s="1"/>
  <c r="AO21" i="37"/>
  <c r="AO22" i="37" s="1"/>
  <c r="AO13" i="12" s="1"/>
  <c r="AQ21" i="37"/>
  <c r="AQ22" i="37" s="1"/>
  <c r="AQ13" i="12" s="1"/>
  <c r="AR21" i="37"/>
  <c r="AR22" i="37" s="1"/>
  <c r="AR13" i="12" s="1"/>
  <c r="AS21" i="37"/>
  <c r="AS22" i="37" s="1"/>
  <c r="AS13" i="12" s="1"/>
  <c r="AT21" i="37"/>
  <c r="AT22" i="37" s="1"/>
  <c r="AT13" i="12" s="1"/>
  <c r="C27" i="37"/>
  <c r="D27" i="37"/>
  <c r="E27" i="37"/>
  <c r="F27" i="37"/>
  <c r="G27" i="37"/>
  <c r="L27" i="37"/>
  <c r="Q27" i="37"/>
  <c r="V27" i="37"/>
  <c r="W27" i="37"/>
  <c r="X27" i="37"/>
  <c r="Y27" i="37"/>
  <c r="Z27" i="37"/>
  <c r="AA27" i="37"/>
  <c r="AB27" i="37"/>
  <c r="AC27" i="37"/>
  <c r="AD27" i="37"/>
  <c r="AE27" i="37"/>
  <c r="AF27" i="37"/>
  <c r="AQ36" i="37"/>
  <c r="C44" i="37"/>
  <c r="C96" i="13" s="1"/>
  <c r="D44" i="37"/>
  <c r="D96" i="13" s="1"/>
  <c r="E44" i="37"/>
  <c r="F44" i="37"/>
  <c r="F96" i="13" s="1"/>
  <c r="G44" i="37"/>
  <c r="H44" i="37"/>
  <c r="I44" i="37"/>
  <c r="I96" i="13" s="1"/>
  <c r="J44" i="37"/>
  <c r="J96" i="13" s="1"/>
  <c r="K44" i="37"/>
  <c r="L44" i="37"/>
  <c r="L96" i="13" s="1"/>
  <c r="M44" i="37"/>
  <c r="M96" i="13" s="1"/>
  <c r="N44" i="37"/>
  <c r="N96" i="13" s="1"/>
  <c r="O44" i="37"/>
  <c r="O96" i="13" s="1"/>
  <c r="P44" i="37"/>
  <c r="P96" i="13" s="1"/>
  <c r="Q44" i="37"/>
  <c r="Q96" i="13" s="1"/>
  <c r="R44" i="37"/>
  <c r="R96" i="13" s="1"/>
  <c r="S44" i="37"/>
  <c r="S96" i="13" s="1"/>
  <c r="T44" i="37"/>
  <c r="T96" i="13" s="1"/>
  <c r="U44" i="37"/>
  <c r="U96" i="13" s="1"/>
  <c r="V44" i="37"/>
  <c r="V96" i="13" s="1"/>
  <c r="W44" i="37"/>
  <c r="W96" i="13" s="1"/>
  <c r="X44" i="37"/>
  <c r="X96" i="13" s="1"/>
  <c r="Y44" i="37"/>
  <c r="Y96" i="13" s="1"/>
  <c r="Z44" i="37"/>
  <c r="Z96" i="13" s="1"/>
  <c r="AA44" i="37"/>
  <c r="AA96" i="13" s="1"/>
  <c r="AB96" i="13"/>
  <c r="AC96" i="13"/>
  <c r="AD96" i="13"/>
  <c r="AE96" i="13"/>
  <c r="AG96" i="13"/>
  <c r="AH96" i="13"/>
  <c r="AJ96" i="13"/>
  <c r="AL96" i="13"/>
  <c r="AN96" i="13"/>
  <c r="AO96" i="13"/>
  <c r="AQ96" i="13"/>
  <c r="AS96" i="13"/>
  <c r="AT96" i="13"/>
  <c r="C73" i="13"/>
  <c r="C45" i="37" s="1"/>
  <c r="D73" i="13"/>
  <c r="D45" i="37" s="1"/>
  <c r="E73" i="13"/>
  <c r="E45" i="37" s="1"/>
  <c r="F73" i="13"/>
  <c r="F45" i="37" s="1"/>
  <c r="G73" i="13"/>
  <c r="G45" i="37" s="1"/>
  <c r="H73" i="13"/>
  <c r="H45" i="37" s="1"/>
  <c r="I73" i="13"/>
  <c r="I74" i="13" s="1"/>
  <c r="J73" i="13"/>
  <c r="J45" i="37" s="1"/>
  <c r="K73" i="13"/>
  <c r="K45" i="37" s="1"/>
  <c r="M73" i="13"/>
  <c r="M45" i="37" s="1"/>
  <c r="N73" i="13"/>
  <c r="N45" i="37" s="1"/>
  <c r="O73" i="13"/>
  <c r="O45" i="37" s="1"/>
  <c r="P73" i="13"/>
  <c r="R73" i="13"/>
  <c r="S73" i="13"/>
  <c r="S45" i="37" s="1"/>
  <c r="T73" i="13"/>
  <c r="T45" i="37" s="1"/>
  <c r="U73" i="13"/>
  <c r="W73" i="13"/>
  <c r="W45" i="37" s="1"/>
  <c r="X73" i="13"/>
  <c r="X45" i="37" s="1"/>
  <c r="Y73" i="13"/>
  <c r="Y45" i="37" s="1"/>
  <c r="Z73" i="13"/>
  <c r="Z74" i="13" s="1"/>
  <c r="AB73" i="13"/>
  <c r="AB45" i="37" s="1"/>
  <c r="AC73" i="13"/>
  <c r="AC45" i="37" s="1"/>
  <c r="AD73" i="13"/>
  <c r="AD45" i="37" s="1"/>
  <c r="AE73" i="13"/>
  <c r="AG73" i="13"/>
  <c r="AG45" i="37" s="1"/>
  <c r="AH73" i="13"/>
  <c r="AH45" i="37" s="1"/>
  <c r="AI73" i="13"/>
  <c r="AI45" i="37" s="1"/>
  <c r="AJ73" i="13"/>
  <c r="AJ45" i="37" s="1"/>
  <c r="AL73" i="13"/>
  <c r="AL45" i="37" s="1"/>
  <c r="AM73" i="13"/>
  <c r="AM45" i="37" s="1"/>
  <c r="AN73" i="13"/>
  <c r="AN45" i="37" s="1"/>
  <c r="AO73" i="13"/>
  <c r="AO45" i="37" s="1"/>
  <c r="AP45" i="37" s="1"/>
  <c r="AQ73" i="13"/>
  <c r="AQ45" i="37" s="1"/>
  <c r="AR73" i="13"/>
  <c r="AR45" i="37" s="1"/>
  <c r="AS73" i="13"/>
  <c r="AS45" i="37" s="1"/>
  <c r="AT73" i="13"/>
  <c r="AT45" i="37" s="1"/>
  <c r="AU45" i="37" s="1"/>
  <c r="C52" i="37"/>
  <c r="D52" i="37"/>
  <c r="E52" i="37"/>
  <c r="F52" i="37"/>
  <c r="G52" i="37"/>
  <c r="H52" i="37"/>
  <c r="I52" i="37"/>
  <c r="J52" i="37"/>
  <c r="K52" i="37"/>
  <c r="M52" i="37"/>
  <c r="N52" i="37"/>
  <c r="O52" i="37"/>
  <c r="P52" i="37"/>
  <c r="Q52" i="37"/>
  <c r="R52" i="37"/>
  <c r="S52" i="37"/>
  <c r="T52" i="37"/>
  <c r="U52" i="37"/>
  <c r="W52" i="37"/>
  <c r="X52" i="37"/>
  <c r="Y52" i="37"/>
  <c r="Z52" i="37"/>
  <c r="AB52" i="37"/>
  <c r="AC52" i="37"/>
  <c r="AD52" i="37"/>
  <c r="AE52" i="37"/>
  <c r="AG52" i="37"/>
  <c r="AH52" i="37"/>
  <c r="AI52" i="37"/>
  <c r="AJ52" i="37"/>
  <c r="AK52" i="37"/>
  <c r="AL52" i="37"/>
  <c r="AM52" i="37"/>
  <c r="AN52" i="37"/>
  <c r="AO52" i="37"/>
  <c r="AQ52" i="37"/>
  <c r="AR52" i="37"/>
  <c r="AS52" i="37"/>
  <c r="AT52" i="37"/>
  <c r="BP53" i="37"/>
  <c r="BQ53" i="37"/>
  <c r="BR53" i="37"/>
  <c r="BS53" i="37"/>
  <c r="BU53" i="37"/>
  <c r="BV53" i="37"/>
  <c r="BW53" i="37"/>
  <c r="BX53" i="37"/>
  <c r="BZ53" i="37"/>
  <c r="CA53" i="37"/>
  <c r="CB53" i="37"/>
  <c r="CC53" i="37"/>
  <c r="C57" i="37"/>
  <c r="D57" i="37"/>
  <c r="E57" i="37"/>
  <c r="F57" i="37"/>
  <c r="G57" i="37"/>
  <c r="H57" i="37"/>
  <c r="I57" i="37"/>
  <c r="J57" i="37"/>
  <c r="K57" i="37"/>
  <c r="L57" i="37"/>
  <c r="M57" i="37"/>
  <c r="N57" i="37"/>
  <c r="O57" i="37"/>
  <c r="P57" i="37"/>
  <c r="Q57" i="37"/>
  <c r="R57" i="37"/>
  <c r="S57" i="37"/>
  <c r="T57" i="37"/>
  <c r="U57" i="37"/>
  <c r="V57" i="37"/>
  <c r="W57" i="37"/>
  <c r="X57" i="37"/>
  <c r="Y57" i="37"/>
  <c r="Z57" i="37"/>
  <c r="AA57" i="37"/>
  <c r="AB57" i="37"/>
  <c r="AC57" i="37"/>
  <c r="AD57" i="37"/>
  <c r="AE57" i="37"/>
  <c r="AF57" i="37"/>
  <c r="AG57" i="37"/>
  <c r="AH57" i="37"/>
  <c r="AI57" i="37"/>
  <c r="AJ57" i="37"/>
  <c r="AL57" i="37"/>
  <c r="AM57" i="37"/>
  <c r="AN57" i="37"/>
  <c r="AO57" i="37"/>
  <c r="AQ57" i="37"/>
  <c r="AR57" i="37"/>
  <c r="AS57" i="37"/>
  <c r="AT57" i="37"/>
  <c r="C13" i="11"/>
  <c r="C19" i="11" s="1"/>
  <c r="D11" i="11" s="1"/>
  <c r="D19" i="11"/>
  <c r="E11" i="11" s="1"/>
  <c r="E13" i="11"/>
  <c r="E19" i="11" s="1"/>
  <c r="F11" i="11" s="1"/>
  <c r="F19" i="11"/>
  <c r="G11" i="11" s="1"/>
  <c r="G19" i="11"/>
  <c r="L11" i="11" s="1"/>
  <c r="L19" i="11"/>
  <c r="Q11" i="11" s="1"/>
  <c r="BO104" i="12"/>
  <c r="BT15" i="11"/>
  <c r="BT104" i="12" s="1"/>
  <c r="BY15" i="11"/>
  <c r="BY104" i="12" s="1"/>
  <c r="CD15" i="11"/>
  <c r="CD104" i="12" s="1"/>
  <c r="C30" i="11"/>
  <c r="D22" i="11" s="1"/>
  <c r="D30" i="11"/>
  <c r="E22" i="11" s="1"/>
  <c r="E30" i="11"/>
  <c r="F22" i="11" s="1"/>
  <c r="F30" i="11"/>
  <c r="G22" i="11" s="1"/>
  <c r="G30" i="11"/>
  <c r="L22" i="11" s="1"/>
  <c r="L30" i="11"/>
  <c r="Q22" i="11" s="1"/>
  <c r="AL32" i="11"/>
  <c r="AM32" i="11"/>
  <c r="AN32" i="11"/>
  <c r="AO32" i="11"/>
  <c r="AQ32" i="11"/>
  <c r="AR32" i="11"/>
  <c r="AS32" i="11"/>
  <c r="C34" i="11"/>
  <c r="C39" i="11" s="1"/>
  <c r="D34" i="11"/>
  <c r="D41" i="11" s="1"/>
  <c r="D129" i="12" s="1"/>
  <c r="E34" i="11"/>
  <c r="E41" i="11" s="1"/>
  <c r="E67" i="12" s="1"/>
  <c r="F34" i="11"/>
  <c r="F41" i="11" s="1"/>
  <c r="F67" i="12" s="1"/>
  <c r="H34" i="11"/>
  <c r="I34" i="11"/>
  <c r="J34" i="11"/>
  <c r="K34" i="11"/>
  <c r="M34" i="11"/>
  <c r="N34" i="11"/>
  <c r="O34" i="11"/>
  <c r="P34" i="11"/>
  <c r="R34" i="11"/>
  <c r="S34" i="11"/>
  <c r="T34" i="11"/>
  <c r="U34" i="11"/>
  <c r="W34" i="11"/>
  <c r="X34" i="11"/>
  <c r="Y34" i="11"/>
  <c r="Z34" i="11"/>
  <c r="AB34" i="11"/>
  <c r="AC34" i="11"/>
  <c r="AD34" i="11"/>
  <c r="AE34" i="11"/>
  <c r="AG34" i="11"/>
  <c r="AH34" i="11"/>
  <c r="AI34" i="11"/>
  <c r="AJ34" i="11"/>
  <c r="AL34" i="11"/>
  <c r="AM34" i="11"/>
  <c r="AN34" i="11"/>
  <c r="AO34" i="11"/>
  <c r="C36" i="11"/>
  <c r="C37" i="11" s="1"/>
  <c r="D36" i="11"/>
  <c r="D37" i="11" s="1"/>
  <c r="E36" i="11"/>
  <c r="E37" i="11" s="1"/>
  <c r="F36" i="11"/>
  <c r="F37" i="11" s="1"/>
  <c r="BP37" i="11"/>
  <c r="BQ37" i="11"/>
  <c r="BR37" i="11"/>
  <c r="BS37" i="11"/>
  <c r="BU37" i="11"/>
  <c r="BV37" i="11"/>
  <c r="BW37" i="11"/>
  <c r="BX37" i="11"/>
  <c r="BZ37" i="11"/>
  <c r="CA37" i="11"/>
  <c r="CB37" i="11"/>
  <c r="CC37" i="11"/>
  <c r="BP38" i="11"/>
  <c r="BN14" i="69" s="1"/>
  <c r="BQ38" i="11"/>
  <c r="BR38" i="11"/>
  <c r="BS38" i="11"/>
  <c r="BU38" i="11"/>
  <c r="BV38" i="11"/>
  <c r="BW38" i="11"/>
  <c r="BX38" i="11"/>
  <c r="BZ38" i="11"/>
  <c r="CA38" i="11"/>
  <c r="CB38" i="11"/>
  <c r="CC38" i="11"/>
  <c r="BP39" i="11"/>
  <c r="BQ39" i="11"/>
  <c r="BR39" i="11"/>
  <c r="BS39" i="11"/>
  <c r="BU39" i="11"/>
  <c r="BV39" i="11"/>
  <c r="BW39" i="11"/>
  <c r="BX39" i="11"/>
  <c r="BZ39" i="11"/>
  <c r="CA39" i="11"/>
  <c r="CB39" i="11"/>
  <c r="CC39" i="11"/>
  <c r="C43" i="11"/>
  <c r="C44" i="11" s="1"/>
  <c r="D43" i="11"/>
  <c r="D44" i="11" s="1"/>
  <c r="E43" i="11"/>
  <c r="E44" i="11" s="1"/>
  <c r="F43" i="11"/>
  <c r="F44" i="11" s="1"/>
  <c r="G43" i="11"/>
  <c r="G44" i="11" s="1"/>
  <c r="L21" i="10"/>
  <c r="L43" i="11" s="1"/>
  <c r="L44" i="11" s="1"/>
  <c r="Q21" i="10"/>
  <c r="Q43" i="11" s="1"/>
  <c r="Q44" i="11" s="1"/>
  <c r="V21" i="10"/>
  <c r="V43" i="11" s="1"/>
  <c r="V44" i="11" s="1"/>
  <c r="AA21" i="10"/>
  <c r="AA43" i="11" s="1"/>
  <c r="AF21" i="10"/>
  <c r="AF43" i="11" s="1"/>
  <c r="AG21" i="10"/>
  <c r="AH21" i="10"/>
  <c r="AI21" i="10"/>
  <c r="AJ21" i="10"/>
  <c r="AL21" i="10"/>
  <c r="AM21" i="10"/>
  <c r="AN21" i="10"/>
  <c r="AO21" i="10"/>
  <c r="C45" i="11"/>
  <c r="D45" i="11"/>
  <c r="E45" i="11"/>
  <c r="F45" i="11"/>
  <c r="G45" i="11"/>
  <c r="L45" i="11"/>
  <c r="Q45" i="11"/>
  <c r="V45" i="11"/>
  <c r="AA45" i="11"/>
  <c r="AF45" i="11"/>
  <c r="AK45" i="11"/>
  <c r="AP45" i="11"/>
  <c r="W79" i="11"/>
  <c r="W78" i="11" s="1"/>
  <c r="X79" i="11"/>
  <c r="Y67" i="11" s="1"/>
  <c r="Y79" i="11"/>
  <c r="Z67" i="11" s="1"/>
  <c r="AA67" i="11"/>
  <c r="AA68" i="11" s="1"/>
  <c r="AB79" i="11"/>
  <c r="AB78" i="11" s="1"/>
  <c r="AC79" i="11"/>
  <c r="AC78" i="11" s="1"/>
  <c r="AD79" i="11"/>
  <c r="AE67" i="11" s="1"/>
  <c r="AF79" i="11"/>
  <c r="AG67" i="11" s="1"/>
  <c r="AG79" i="11"/>
  <c r="AH67" i="11" s="1"/>
  <c r="AH79" i="11"/>
  <c r="AI67" i="11" s="1"/>
  <c r="AI79" i="11"/>
  <c r="AJ67" i="11" s="1"/>
  <c r="AK67" i="11"/>
  <c r="AL79" i="11"/>
  <c r="AM67" i="11" s="1"/>
  <c r="AM79" i="11"/>
  <c r="AN67" i="11" s="1"/>
  <c r="AN79" i="11"/>
  <c r="AO67" i="11" s="1"/>
  <c r="AO79" i="11"/>
  <c r="AO78" i="11" s="1"/>
  <c r="AP78" i="11" s="1"/>
  <c r="AQ79" i="11"/>
  <c r="AR67" i="11" s="1"/>
  <c r="AR79" i="11"/>
  <c r="AS67" i="11" s="1"/>
  <c r="AS79" i="11"/>
  <c r="AT67" i="11" s="1"/>
  <c r="AT79" i="11"/>
  <c r="AT78" i="11" s="1"/>
  <c r="AU78" i="11" s="1"/>
  <c r="X70" i="11"/>
  <c r="Y70" i="11"/>
  <c r="Z70" i="11"/>
  <c r="AB70" i="11"/>
  <c r="AC70" i="11"/>
  <c r="AD70" i="11"/>
  <c r="AE70" i="11"/>
  <c r="AF70" i="11"/>
  <c r="AG70" i="11"/>
  <c r="AH70" i="11"/>
  <c r="AI70" i="11"/>
  <c r="AJ70" i="11"/>
  <c r="AK70" i="11"/>
  <c r="AL70" i="11"/>
  <c r="AM70" i="11"/>
  <c r="AP70" i="11"/>
  <c r="AN70" i="11"/>
  <c r="X86" i="11"/>
  <c r="X72" i="11" s="1"/>
  <c r="Y86" i="11"/>
  <c r="Y72" i="11" s="1"/>
  <c r="Z86" i="11"/>
  <c r="Z72" i="11" s="1"/>
  <c r="AA86" i="11"/>
  <c r="AA72" i="11" s="1"/>
  <c r="AB86" i="11"/>
  <c r="AB72" i="11" s="1"/>
  <c r="AC86" i="11"/>
  <c r="AC72" i="11" s="1"/>
  <c r="AD86" i="11"/>
  <c r="AD72" i="11" s="1"/>
  <c r="AE86" i="11"/>
  <c r="AE72" i="11" s="1"/>
  <c r="AF86" i="11"/>
  <c r="AF87" i="11" s="1"/>
  <c r="AG86" i="11"/>
  <c r="AG72" i="11" s="1"/>
  <c r="AH86" i="11"/>
  <c r="AH72" i="11" s="1"/>
  <c r="AI86" i="11"/>
  <c r="AI72" i="11" s="1"/>
  <c r="AJ86" i="11"/>
  <c r="AJ72" i="11" s="1"/>
  <c r="AK86" i="11"/>
  <c r="AK72" i="11" s="1"/>
  <c r="AL86" i="11"/>
  <c r="AL72" i="11" s="1"/>
  <c r="AM86" i="11"/>
  <c r="AM72" i="11" s="1"/>
  <c r="AN86" i="11"/>
  <c r="AN72" i="11" s="1"/>
  <c r="X73" i="11"/>
  <c r="Y73" i="11"/>
  <c r="Z73" i="11"/>
  <c r="AA73" i="11"/>
  <c r="AB73" i="11"/>
  <c r="AC73" i="11"/>
  <c r="AD73" i="11"/>
  <c r="AE73" i="11"/>
  <c r="AF73" i="11"/>
  <c r="AG73" i="11"/>
  <c r="AH73" i="11"/>
  <c r="AI73" i="11"/>
  <c r="AJ73" i="11"/>
  <c r="AK73" i="11"/>
  <c r="AL73" i="11"/>
  <c r="AM73" i="11"/>
  <c r="AN73" i="11"/>
  <c r="AQ73" i="11"/>
  <c r="AV73" i="11"/>
  <c r="AW73" i="11"/>
  <c r="BA73" i="11"/>
  <c r="BB73" i="11"/>
  <c r="BD73" i="11"/>
  <c r="BG73" i="11"/>
  <c r="BK73" i="11"/>
  <c r="BL73" i="11"/>
  <c r="BP73" i="11"/>
  <c r="BQ73" i="11"/>
  <c r="BS73" i="11"/>
  <c r="BU73" i="11"/>
  <c r="BV73" i="11"/>
  <c r="BX73" i="11"/>
  <c r="BZ73" i="11"/>
  <c r="CA73" i="11"/>
  <c r="CC73" i="11"/>
  <c r="Z79" i="11"/>
  <c r="Z78" i="11" s="1"/>
  <c r="AE79" i="11"/>
  <c r="AE78" i="11" s="1"/>
  <c r="AJ79" i="11"/>
  <c r="AJ78" i="11" s="1"/>
  <c r="W86" i="11"/>
  <c r="AS87" i="11"/>
  <c r="F14" i="10"/>
  <c r="F19" i="10" s="1"/>
  <c r="H14" i="10"/>
  <c r="H19" i="10" s="1"/>
  <c r="I14" i="10"/>
  <c r="I19" i="10" s="1"/>
  <c r="J14" i="10"/>
  <c r="J11" i="12" s="1"/>
  <c r="K14" i="10"/>
  <c r="AG14" i="10"/>
  <c r="AH14" i="10"/>
  <c r="AH19" i="10" s="1"/>
  <c r="AI14" i="10"/>
  <c r="AI19" i="10" s="1"/>
  <c r="AJ14" i="10"/>
  <c r="AJ11" i="12" s="1"/>
  <c r="AL14" i="10"/>
  <c r="AL11" i="12" s="1"/>
  <c r="AM14" i="10"/>
  <c r="AM19" i="10" s="1"/>
  <c r="AN14" i="10"/>
  <c r="AN11" i="12" s="1"/>
  <c r="AQ14" i="10"/>
  <c r="AQ19" i="10" s="1"/>
  <c r="AQ11" i="12" s="1"/>
  <c r="AT14" i="10"/>
  <c r="AT19" i="10" s="1"/>
  <c r="AT11" i="12" s="1"/>
  <c r="G19" i="10"/>
  <c r="CJ10" i="10" s="1"/>
  <c r="CH10" i="10" s="1"/>
  <c r="L19" i="10"/>
  <c r="CJ11" i="10" s="1"/>
  <c r="CH11" i="10" s="1"/>
  <c r="M19" i="10"/>
  <c r="N19" i="10"/>
  <c r="O19" i="10"/>
  <c r="P19" i="10"/>
  <c r="Q19" i="10"/>
  <c r="CJ12" i="10" s="1"/>
  <c r="CH12" i="10" s="1"/>
  <c r="R19" i="10"/>
  <c r="S19" i="10"/>
  <c r="T19" i="10"/>
  <c r="U19" i="10"/>
  <c r="V19" i="10"/>
  <c r="CJ13" i="10" s="1"/>
  <c r="CH13" i="10" s="1"/>
  <c r="W19" i="10"/>
  <c r="X19" i="10"/>
  <c r="Y19" i="10"/>
  <c r="Z19" i="10"/>
  <c r="AA19" i="10"/>
  <c r="CJ14" i="10" s="1"/>
  <c r="CH14" i="10" s="1"/>
  <c r="AB19" i="10"/>
  <c r="AC19" i="10"/>
  <c r="AD19" i="10"/>
  <c r="AE19" i="10"/>
  <c r="AF19" i="10"/>
  <c r="CJ15" i="10" s="1"/>
  <c r="CH15" i="10" s="1"/>
  <c r="AX19" i="10"/>
  <c r="AX11" i="12" s="1"/>
  <c r="AY11" i="12"/>
  <c r="AY12" i="12" s="1"/>
  <c r="BA19" i="10"/>
  <c r="BA11" i="12" s="1"/>
  <c r="BB11" i="12"/>
  <c r="BC11" i="12"/>
  <c r="BF11" i="12"/>
  <c r="BG11" i="12"/>
  <c r="BH11" i="12"/>
  <c r="BK11" i="12"/>
  <c r="BM11" i="12"/>
  <c r="BN19" i="10"/>
  <c r="BN11" i="12" s="1"/>
  <c r="BP19" i="10"/>
  <c r="BQ19" i="10"/>
  <c r="BR19" i="10"/>
  <c r="BS19" i="10"/>
  <c r="BU19" i="10"/>
  <c r="BV19" i="10"/>
  <c r="BW19" i="10"/>
  <c r="BX19" i="10"/>
  <c r="BZ19" i="10"/>
  <c r="CA19" i="10"/>
  <c r="CB19" i="10"/>
  <c r="CC19" i="10"/>
  <c r="H21" i="10"/>
  <c r="I21" i="10"/>
  <c r="J21" i="10"/>
  <c r="K21" i="10"/>
  <c r="M21" i="10"/>
  <c r="M23" i="10" s="1"/>
  <c r="N21" i="10"/>
  <c r="N23" i="10" s="1"/>
  <c r="O21" i="10"/>
  <c r="O23" i="10" s="1"/>
  <c r="P21" i="10"/>
  <c r="P23" i="10" s="1"/>
  <c r="R21" i="10"/>
  <c r="R23" i="10" s="1"/>
  <c r="S21" i="10"/>
  <c r="S23" i="10" s="1"/>
  <c r="T21" i="10"/>
  <c r="T23" i="10" s="1"/>
  <c r="U21" i="10"/>
  <c r="U23" i="10" s="1"/>
  <c r="W21" i="10"/>
  <c r="W23" i="10" s="1"/>
  <c r="X21" i="10"/>
  <c r="X23" i="10" s="1"/>
  <c r="Y21" i="10"/>
  <c r="Y23" i="10" s="1"/>
  <c r="Z21" i="10"/>
  <c r="Z23" i="10" s="1"/>
  <c r="AB21" i="10"/>
  <c r="AB23" i="10" s="1"/>
  <c r="AC21" i="10"/>
  <c r="AC23" i="10" s="1"/>
  <c r="AD21" i="10"/>
  <c r="AD23" i="10" s="1"/>
  <c r="AE21" i="10"/>
  <c r="AE23" i="10" s="1"/>
  <c r="AY23" i="10"/>
  <c r="BA23" i="10"/>
  <c r="BB23" i="10"/>
  <c r="BG23" i="10"/>
  <c r="BH23" i="10"/>
  <c r="BK23" i="10"/>
  <c r="BL23" i="10"/>
  <c r="BM23" i="10"/>
  <c r="BP23" i="10"/>
  <c r="BQ23" i="10"/>
  <c r="BR23" i="10"/>
  <c r="BS23" i="10"/>
  <c r="BU23" i="10"/>
  <c r="BV23" i="10"/>
  <c r="BW23" i="10"/>
  <c r="BX23" i="10"/>
  <c r="BZ23" i="10"/>
  <c r="CA23" i="10"/>
  <c r="CB23" i="10"/>
  <c r="CC23" i="10"/>
  <c r="L25" i="10"/>
  <c r="Q25" i="10"/>
  <c r="Q26" i="10" s="1"/>
  <c r="V25" i="10"/>
  <c r="AA25" i="10"/>
  <c r="AA26" i="10" s="1"/>
  <c r="AF25" i="10"/>
  <c r="AF27" i="10" s="1"/>
  <c r="AK25" i="10"/>
  <c r="AP25" i="10"/>
  <c r="C41" i="10"/>
  <c r="D41" i="10"/>
  <c r="E41" i="10"/>
  <c r="F41" i="10"/>
  <c r="G41" i="10"/>
  <c r="L41" i="10"/>
  <c r="Q41" i="10"/>
  <c r="V41" i="10"/>
  <c r="AA41" i="10"/>
  <c r="AF41" i="10"/>
  <c r="AK41" i="10"/>
  <c r="AP41" i="10"/>
  <c r="AU41" i="10"/>
  <c r="C113" i="10"/>
  <c r="C109" i="10" s="1"/>
  <c r="C43" i="10" s="1"/>
  <c r="D113" i="10"/>
  <c r="D109" i="10" s="1"/>
  <c r="D43" i="10" s="1"/>
  <c r="E113" i="10"/>
  <c r="E109" i="10" s="1"/>
  <c r="E43" i="10" s="1"/>
  <c r="F113" i="10"/>
  <c r="F109" i="10" s="1"/>
  <c r="G113" i="10"/>
  <c r="G109" i="10" s="1"/>
  <c r="G43" i="10" s="1"/>
  <c r="L113" i="10"/>
  <c r="L109" i="10" s="1"/>
  <c r="Q113" i="10"/>
  <c r="V113" i="10"/>
  <c r="AA113" i="10"/>
  <c r="AA109" i="10" s="1"/>
  <c r="AF113" i="10"/>
  <c r="AF109" i="10" s="1"/>
  <c r="AF43" i="10" s="1"/>
  <c r="AA71" i="10"/>
  <c r="AF71" i="10"/>
  <c r="AK71" i="10"/>
  <c r="AP71" i="10"/>
  <c r="E65" i="13"/>
  <c r="F65" i="13"/>
  <c r="C108" i="10"/>
  <c r="D108" i="10"/>
  <c r="E108" i="10"/>
  <c r="F108" i="10"/>
  <c r="G108" i="10"/>
  <c r="L108" i="10"/>
  <c r="Q108" i="10"/>
  <c r="V108" i="10"/>
  <c r="AA108" i="10"/>
  <c r="AF108" i="10"/>
  <c r="AL112" i="10"/>
  <c r="AM112" i="10"/>
  <c r="AN112" i="10"/>
  <c r="AO112" i="10"/>
  <c r="H113" i="10"/>
  <c r="I113" i="10"/>
  <c r="J113" i="10"/>
  <c r="K113" i="10"/>
  <c r="M113" i="10"/>
  <c r="N113" i="10"/>
  <c r="O113" i="10"/>
  <c r="P113" i="10"/>
  <c r="R113" i="10"/>
  <c r="S113" i="10"/>
  <c r="T113" i="10"/>
  <c r="U113" i="10"/>
  <c r="W113" i="10"/>
  <c r="X113" i="10"/>
  <c r="Y113" i="10"/>
  <c r="Z113" i="10"/>
  <c r="AB113" i="10"/>
  <c r="AC113" i="10"/>
  <c r="AD113" i="10"/>
  <c r="AE113" i="10"/>
  <c r="AG113" i="10"/>
  <c r="AH113" i="10"/>
  <c r="AI113" i="10"/>
  <c r="AJ113" i="10"/>
  <c r="G121" i="10"/>
  <c r="L121" i="10"/>
  <c r="Q121" i="10"/>
  <c r="V121" i="10"/>
  <c r="AA121" i="10"/>
  <c r="AF121" i="10"/>
  <c r="AK121" i="10"/>
  <c r="AP121" i="10"/>
  <c r="G122" i="10"/>
  <c r="L122" i="10"/>
  <c r="Q122" i="10"/>
  <c r="V122" i="10"/>
  <c r="AA122" i="10"/>
  <c r="AF122" i="10"/>
  <c r="AK122" i="10"/>
  <c r="AP122" i="10"/>
  <c r="G124" i="10"/>
  <c r="L124" i="10"/>
  <c r="Q124" i="10"/>
  <c r="V124" i="10"/>
  <c r="AA124" i="10"/>
  <c r="AF124" i="10"/>
  <c r="AK124" i="10"/>
  <c r="AP124" i="10"/>
  <c r="AU10" i="27"/>
  <c r="AU11" i="27"/>
  <c r="AU13" i="27"/>
  <c r="BP13" i="27"/>
  <c r="BQ13" i="27"/>
  <c r="BR13" i="27"/>
  <c r="BS13" i="27"/>
  <c r="BU13" i="27"/>
  <c r="BV13" i="27"/>
  <c r="BW13" i="27"/>
  <c r="BX13" i="27"/>
  <c r="BZ13" i="27"/>
  <c r="CA13" i="27"/>
  <c r="CB13" i="27"/>
  <c r="CC13" i="27"/>
  <c r="AU14" i="27"/>
  <c r="AU15" i="27"/>
  <c r="AZ15" i="27"/>
  <c r="BJ15" i="27"/>
  <c r="BO15" i="27"/>
  <c r="BT15" i="27"/>
  <c r="BY15" i="27"/>
  <c r="CD15" i="27"/>
  <c r="H17" i="27"/>
  <c r="H22" i="27" s="1"/>
  <c r="H27" i="27" s="1"/>
  <c r="I17" i="27"/>
  <c r="I22" i="27" s="1"/>
  <c r="J17" i="27"/>
  <c r="J22" i="27" s="1"/>
  <c r="K17" i="27"/>
  <c r="K22" i="27" s="1"/>
  <c r="K27" i="27" s="1"/>
  <c r="M17" i="27"/>
  <c r="M22" i="27" s="1"/>
  <c r="N17" i="27"/>
  <c r="N22" i="27" s="1"/>
  <c r="O17" i="27"/>
  <c r="O22" i="27" s="1"/>
  <c r="O27" i="27" s="1"/>
  <c r="P17" i="27"/>
  <c r="P22" i="27" s="1"/>
  <c r="P27" i="27" s="1"/>
  <c r="R17" i="27"/>
  <c r="R22" i="27" s="1"/>
  <c r="R27" i="27" s="1"/>
  <c r="S17" i="27"/>
  <c r="S22" i="27" s="1"/>
  <c r="S27" i="27" s="1"/>
  <c r="T17" i="27"/>
  <c r="T22" i="27" s="1"/>
  <c r="U17" i="27"/>
  <c r="U22" i="27" s="1"/>
  <c r="U27" i="27" s="1"/>
  <c r="AG17" i="27"/>
  <c r="AG22" i="27" s="1"/>
  <c r="AG27" i="27" s="1"/>
  <c r="AH17" i="27"/>
  <c r="AH22" i="27" s="1"/>
  <c r="AH27" i="27" s="1"/>
  <c r="AI17" i="27"/>
  <c r="AI22" i="27" s="1"/>
  <c r="AI27" i="27" s="1"/>
  <c r="AJ17" i="27"/>
  <c r="AJ22" i="27" s="1"/>
  <c r="AJ50" i="14" s="1"/>
  <c r="AL17" i="27"/>
  <c r="AL22" i="27" s="1"/>
  <c r="AL27" i="27" s="1"/>
  <c r="AM17" i="27"/>
  <c r="AM22" i="27" s="1"/>
  <c r="AM27" i="27" s="1"/>
  <c r="AN17" i="27"/>
  <c r="AN22" i="27" s="1"/>
  <c r="AN27" i="27" s="1"/>
  <c r="AO17" i="27"/>
  <c r="AO22" i="27" s="1"/>
  <c r="AU19" i="27"/>
  <c r="AU20" i="27"/>
  <c r="AU21" i="27"/>
  <c r="BP21" i="27"/>
  <c r="BQ21" i="27"/>
  <c r="BR21" i="27"/>
  <c r="BS21" i="27"/>
  <c r="BU21" i="27"/>
  <c r="BV21" i="27"/>
  <c r="BW21" i="27"/>
  <c r="BX21" i="27"/>
  <c r="BZ21" i="27"/>
  <c r="CA21" i="27"/>
  <c r="CB21" i="27"/>
  <c r="CC21" i="27"/>
  <c r="L24" i="27"/>
  <c r="L65" i="27" s="1"/>
  <c r="BO33" i="27"/>
  <c r="BT33" i="27"/>
  <c r="BY33" i="27"/>
  <c r="CD33" i="27"/>
  <c r="BT34" i="27"/>
  <c r="BY34" i="27"/>
  <c r="CD34" i="27"/>
  <c r="BO36" i="27"/>
  <c r="BT36" i="27"/>
  <c r="BY36" i="27"/>
  <c r="CD36" i="27"/>
  <c r="BP37" i="27"/>
  <c r="BP40" i="27" s="1"/>
  <c r="BQ37" i="27"/>
  <c r="BQ40" i="27" s="1"/>
  <c r="BR37" i="27"/>
  <c r="BR40" i="27" s="1"/>
  <c r="BS37" i="27"/>
  <c r="BS40" i="27" s="1"/>
  <c r="BU37" i="27"/>
  <c r="BU40" i="27" s="1"/>
  <c r="BV37" i="27"/>
  <c r="BV40" i="27" s="1"/>
  <c r="BW37" i="27"/>
  <c r="BW40" i="27" s="1"/>
  <c r="BX37" i="27"/>
  <c r="BX40" i="27" s="1"/>
  <c r="BZ37" i="27"/>
  <c r="BZ40" i="27" s="1"/>
  <c r="CA37" i="27"/>
  <c r="CA40" i="27" s="1"/>
  <c r="CB37" i="27"/>
  <c r="CB40" i="27" s="1"/>
  <c r="CC37" i="27"/>
  <c r="CC40" i="27" s="1"/>
  <c r="BO38" i="27"/>
  <c r="BT38" i="27"/>
  <c r="BY38" i="27"/>
  <c r="CD38" i="27"/>
  <c r="E40" i="27"/>
  <c r="E45" i="27" s="1"/>
  <c r="E41" i="14" s="1"/>
  <c r="F40" i="27"/>
  <c r="G40" i="27"/>
  <c r="G45" i="27" s="1"/>
  <c r="G110" i="13" s="1"/>
  <c r="H40" i="27"/>
  <c r="I40" i="27"/>
  <c r="I45" i="27" s="1"/>
  <c r="I110" i="13" s="1"/>
  <c r="J40" i="27"/>
  <c r="J45" i="27" s="1"/>
  <c r="J110" i="13" s="1"/>
  <c r="K40" i="27"/>
  <c r="K45" i="27" s="1"/>
  <c r="K110" i="13" s="1"/>
  <c r="M40" i="27"/>
  <c r="M45" i="27" s="1"/>
  <c r="M110" i="13" s="1"/>
  <c r="N40" i="27"/>
  <c r="N45" i="27" s="1"/>
  <c r="N110" i="13" s="1"/>
  <c r="O40" i="27"/>
  <c r="O45" i="27" s="1"/>
  <c r="O110" i="13" s="1"/>
  <c r="P40" i="27"/>
  <c r="P45" i="27" s="1"/>
  <c r="P110" i="13" s="1"/>
  <c r="R40" i="27"/>
  <c r="R45" i="27" s="1"/>
  <c r="R110" i="13" s="1"/>
  <c r="S40" i="27"/>
  <c r="S45" i="27" s="1"/>
  <c r="S110" i="13" s="1"/>
  <c r="T40" i="27"/>
  <c r="T45" i="27" s="1"/>
  <c r="T110" i="13" s="1"/>
  <c r="U40" i="27"/>
  <c r="U45" i="27" s="1"/>
  <c r="U110" i="13" s="1"/>
  <c r="W40" i="27"/>
  <c r="W45" i="27" s="1"/>
  <c r="W110" i="13" s="1"/>
  <c r="X40" i="27"/>
  <c r="X45" i="27" s="1"/>
  <c r="X110" i="13" s="1"/>
  <c r="Y40" i="27"/>
  <c r="Y45" i="27" s="1"/>
  <c r="Y110" i="13" s="1"/>
  <c r="Z40" i="27"/>
  <c r="Z45" i="27" s="1"/>
  <c r="Z110" i="13" s="1"/>
  <c r="AB40" i="27"/>
  <c r="AB45" i="27" s="1"/>
  <c r="AC40" i="27"/>
  <c r="AC45" i="27" s="1"/>
  <c r="AD40" i="27"/>
  <c r="AD45" i="27" s="1"/>
  <c r="AD41" i="14" s="1"/>
  <c r="AE40" i="27"/>
  <c r="AE45" i="27" s="1"/>
  <c r="AE110" i="13" s="1"/>
  <c r="AG40" i="27"/>
  <c r="AG45" i="27" s="1"/>
  <c r="AG41" i="14" s="1"/>
  <c r="AH40" i="27"/>
  <c r="AH45" i="27" s="1"/>
  <c r="AI40" i="27"/>
  <c r="AI45" i="27" s="1"/>
  <c r="AJ40" i="27"/>
  <c r="AJ45" i="27" s="1"/>
  <c r="F43" i="27"/>
  <c r="F61" i="27" s="1"/>
  <c r="BT43" i="27"/>
  <c r="BY43" i="27"/>
  <c r="CD43" i="27"/>
  <c r="H66" i="27"/>
  <c r="I66" i="27"/>
  <c r="J66" i="27"/>
  <c r="K66" i="27"/>
  <c r="M66" i="27"/>
  <c r="N66" i="27"/>
  <c r="O66" i="27"/>
  <c r="P66" i="27"/>
  <c r="R66" i="27"/>
  <c r="S66" i="27"/>
  <c r="T66" i="27"/>
  <c r="U66" i="27"/>
  <c r="W66" i="27"/>
  <c r="X66" i="27"/>
  <c r="Y66" i="27"/>
  <c r="Z66" i="27"/>
  <c r="AB66" i="27"/>
  <c r="AC66" i="27"/>
  <c r="AD66" i="27"/>
  <c r="AE66" i="27"/>
  <c r="AG66" i="27"/>
  <c r="AH66" i="27"/>
  <c r="AI66" i="27"/>
  <c r="AJ66" i="27"/>
  <c r="AL66" i="27"/>
  <c r="AM66" i="27"/>
  <c r="AN66" i="27"/>
  <c r="AO66" i="27"/>
  <c r="AQ66" i="27"/>
  <c r="AR66" i="27"/>
  <c r="AS66" i="27"/>
  <c r="AT66" i="27"/>
  <c r="E51" i="27"/>
  <c r="F51" i="27"/>
  <c r="F72" i="14" s="1"/>
  <c r="E52" i="27"/>
  <c r="E73" i="14" s="1"/>
  <c r="F52" i="27"/>
  <c r="F73" i="14" s="1"/>
  <c r="E54" i="27"/>
  <c r="E75" i="14" s="1"/>
  <c r="F54" i="27"/>
  <c r="F75" i="14" s="1"/>
  <c r="BT75" i="14"/>
  <c r="BY75" i="14"/>
  <c r="E55" i="27"/>
  <c r="E76" i="14" s="1"/>
  <c r="F55" i="27"/>
  <c r="F76" i="14" s="1"/>
  <c r="AU55" i="27"/>
  <c r="AU76" i="14" s="1"/>
  <c r="E56" i="27"/>
  <c r="E77" i="14" s="1"/>
  <c r="F56" i="27"/>
  <c r="F77" i="14" s="1"/>
  <c r="BO56" i="27"/>
  <c r="BT56" i="27"/>
  <c r="BY56" i="27"/>
  <c r="CD56" i="27"/>
  <c r="CD77" i="14" s="1"/>
  <c r="E57" i="27"/>
  <c r="E78" i="14" s="1"/>
  <c r="F57" i="27"/>
  <c r="F78" i="14" s="1"/>
  <c r="H58" i="27"/>
  <c r="H79" i="14" s="1"/>
  <c r="K58" i="27"/>
  <c r="N58" i="27"/>
  <c r="N79" i="14" s="1"/>
  <c r="R58" i="27"/>
  <c r="R63" i="27" s="1"/>
  <c r="U58" i="27"/>
  <c r="U63" i="27" s="1"/>
  <c r="U84" i="14" s="1"/>
  <c r="AB58" i="27"/>
  <c r="AB63" i="27" s="1"/>
  <c r="AB56" i="14" s="1"/>
  <c r="AB57" i="14" s="1"/>
  <c r="AG58" i="27"/>
  <c r="AN58" i="27"/>
  <c r="AO58" i="27"/>
  <c r="AO79" i="14" s="1"/>
  <c r="F60" i="27"/>
  <c r="F81" i="14" s="1"/>
  <c r="E61" i="27"/>
  <c r="E76" i="27" s="1"/>
  <c r="E62" i="27"/>
  <c r="E83" i="14" s="1"/>
  <c r="F62" i="27"/>
  <c r="F83" i="14" s="1"/>
  <c r="BO62" i="27"/>
  <c r="CD83" i="14"/>
  <c r="E65" i="27"/>
  <c r="F65" i="27"/>
  <c r="G65" i="27"/>
  <c r="H65" i="27"/>
  <c r="I65" i="27"/>
  <c r="J65" i="27"/>
  <c r="K65" i="27"/>
  <c r="E66" i="27"/>
  <c r="F66" i="27"/>
  <c r="G66" i="27"/>
  <c r="Q66" i="27"/>
  <c r="V66" i="27"/>
  <c r="AA66" i="27"/>
  <c r="AF66" i="27"/>
  <c r="E67" i="27"/>
  <c r="F67" i="27"/>
  <c r="H67" i="27"/>
  <c r="M67" i="27"/>
  <c r="N67" i="27"/>
  <c r="O67" i="27"/>
  <c r="P67" i="27"/>
  <c r="R67" i="27"/>
  <c r="S67" i="27"/>
  <c r="T67" i="27"/>
  <c r="U67" i="27"/>
  <c r="W67" i="27"/>
  <c r="X67" i="27"/>
  <c r="Y67" i="27"/>
  <c r="Z67" i="27"/>
  <c r="AB67" i="27"/>
  <c r="AC67" i="27"/>
  <c r="AD67" i="27"/>
  <c r="AE67" i="27"/>
  <c r="M76" i="27"/>
  <c r="P76" i="27"/>
  <c r="W76" i="27"/>
  <c r="Z76" i="27"/>
  <c r="AE76" i="27"/>
  <c r="AG76" i="27"/>
  <c r="AM76" i="27"/>
  <c r="AQ76" i="27"/>
  <c r="AR76" i="27"/>
  <c r="AS76" i="27"/>
  <c r="AT76" i="27"/>
  <c r="IV76" i="27"/>
  <c r="E77" i="27"/>
  <c r="F77" i="27"/>
  <c r="AR81" i="27"/>
  <c r="AR128" i="14" s="1"/>
  <c r="AS81" i="27"/>
  <c r="AS128" i="14" s="1"/>
  <c r="E89" i="27"/>
  <c r="F89" i="27"/>
  <c r="G89" i="27"/>
  <c r="H89" i="27"/>
  <c r="I89" i="27"/>
  <c r="J89" i="27"/>
  <c r="K89" i="27"/>
  <c r="L89" i="27"/>
  <c r="M89" i="27"/>
  <c r="N89" i="27"/>
  <c r="O89" i="27"/>
  <c r="P89" i="27"/>
  <c r="Q89" i="27"/>
  <c r="R89" i="27"/>
  <c r="S89" i="27"/>
  <c r="T89" i="27"/>
  <c r="U89" i="27"/>
  <c r="V89" i="27"/>
  <c r="W89" i="27"/>
  <c r="X89" i="27"/>
  <c r="Y89" i="27"/>
  <c r="Z89" i="27"/>
  <c r="AA89" i="27"/>
  <c r="AB89" i="27"/>
  <c r="AC89" i="27"/>
  <c r="AD89" i="27"/>
  <c r="AE89" i="27"/>
  <c r="AF89" i="27"/>
  <c r="AG89" i="27"/>
  <c r="AH89" i="27"/>
  <c r="AI89" i="27"/>
  <c r="AJ89" i="27"/>
  <c r="AL89" i="27"/>
  <c r="AM89" i="27"/>
  <c r="AN89" i="27"/>
  <c r="AO89" i="27"/>
  <c r="AP89" i="27"/>
  <c r="AQ89" i="27"/>
  <c r="AR89" i="27"/>
  <c r="AS89" i="27"/>
  <c r="AT89" i="27"/>
  <c r="E90" i="27"/>
  <c r="F90" i="27"/>
  <c r="G90" i="27"/>
  <c r="H90" i="27"/>
  <c r="I90" i="27"/>
  <c r="J90" i="27"/>
  <c r="K90" i="27"/>
  <c r="L90" i="27"/>
  <c r="M90" i="27"/>
  <c r="N90" i="27"/>
  <c r="O90" i="27"/>
  <c r="P90" i="27"/>
  <c r="Q90" i="27"/>
  <c r="R90" i="27"/>
  <c r="S90" i="27"/>
  <c r="T90" i="27"/>
  <c r="U90" i="27"/>
  <c r="V90" i="27"/>
  <c r="W90" i="27"/>
  <c r="X90" i="27"/>
  <c r="Y90" i="27"/>
  <c r="Z90" i="27"/>
  <c r="AA90" i="27"/>
  <c r="AB90" i="27"/>
  <c r="AC90" i="27"/>
  <c r="AD90" i="27"/>
  <c r="AE90" i="27"/>
  <c r="AF90" i="27"/>
  <c r="AG90" i="27"/>
  <c r="AH90" i="27"/>
  <c r="AI90" i="27"/>
  <c r="AJ90" i="27"/>
  <c r="AL90" i="27"/>
  <c r="AM90" i="27"/>
  <c r="AN90" i="27"/>
  <c r="AO90" i="27"/>
  <c r="AQ90" i="27"/>
  <c r="AR90" i="27"/>
  <c r="AS90" i="27"/>
  <c r="AT90" i="27"/>
  <c r="E94" i="27"/>
  <c r="F94" i="27"/>
  <c r="G94" i="27"/>
  <c r="L94" i="27"/>
  <c r="Q94" i="27"/>
  <c r="V94" i="27"/>
  <c r="E104" i="27"/>
  <c r="F104" i="27"/>
  <c r="E116" i="27"/>
  <c r="F116" i="27"/>
  <c r="G116" i="27"/>
  <c r="L116" i="27"/>
  <c r="AF116" i="27"/>
  <c r="AU116" i="27"/>
  <c r="E138" i="27"/>
  <c r="F138" i="27"/>
  <c r="G138" i="27"/>
  <c r="L138" i="27"/>
  <c r="Q138" i="27"/>
  <c r="V138" i="27"/>
  <c r="AA138" i="27"/>
  <c r="AF138" i="27"/>
  <c r="AK138" i="27"/>
  <c r="AP138" i="27"/>
  <c r="AZ138" i="27"/>
  <c r="AS148" i="13"/>
  <c r="AS172" i="13" s="1"/>
  <c r="AS156" i="13"/>
  <c r="AS180" i="13" s="1"/>
  <c r="AS157" i="13"/>
  <c r="AS181" i="13" s="1"/>
  <c r="AS158" i="13"/>
  <c r="AS153" i="13"/>
  <c r="AS177" i="13" s="1"/>
  <c r="E20" i="39"/>
  <c r="F20" i="39"/>
  <c r="G168" i="13"/>
  <c r="G177" i="13"/>
  <c r="G171" i="13"/>
  <c r="G172" i="13"/>
  <c r="G180" i="13"/>
  <c r="G181" i="13"/>
  <c r="G182" i="13"/>
  <c r="G126" i="13"/>
  <c r="L168" i="13"/>
  <c r="L171" i="13"/>
  <c r="Q168" i="13"/>
  <c r="Q172" i="13"/>
  <c r="AA171" i="13"/>
  <c r="AF144" i="13"/>
  <c r="AF168" i="13" s="1"/>
  <c r="AF153" i="13"/>
  <c r="AF148" i="13"/>
  <c r="AF156" i="13"/>
  <c r="AF157" i="13"/>
  <c r="AF181" i="13" s="1"/>
  <c r="AF158" i="13"/>
  <c r="AJ153" i="13"/>
  <c r="AJ177" i="13" s="1"/>
  <c r="AK177" i="13" s="1"/>
  <c r="AJ148" i="13"/>
  <c r="AJ172" i="13" s="1"/>
  <c r="AJ156" i="13"/>
  <c r="AJ180" i="13" s="1"/>
  <c r="AJ157" i="13"/>
  <c r="AJ181" i="13" s="1"/>
  <c r="AK181" i="13" s="1"/>
  <c r="AJ158" i="13"/>
  <c r="AO153" i="13"/>
  <c r="AO177" i="13" s="1"/>
  <c r="AP177" i="13" s="1"/>
  <c r="AO148" i="13"/>
  <c r="AO172" i="13" s="1"/>
  <c r="AP172" i="13" s="1"/>
  <c r="AO156" i="13"/>
  <c r="AO180" i="13" s="1"/>
  <c r="AP180" i="13" s="1"/>
  <c r="AO157" i="13"/>
  <c r="AO181" i="13" s="1"/>
  <c r="AO158" i="13"/>
  <c r="AT158" i="13"/>
  <c r="G129" i="13"/>
  <c r="G130" i="13"/>
  <c r="V129" i="13"/>
  <c r="G135" i="14"/>
  <c r="G137" i="14"/>
  <c r="L135" i="14"/>
  <c r="L137" i="14"/>
  <c r="Q135" i="14"/>
  <c r="Q137" i="14"/>
  <c r="V135" i="14"/>
  <c r="V137" i="14"/>
  <c r="AA135" i="14"/>
  <c r="AA137" i="14"/>
  <c r="AF135" i="14"/>
  <c r="AF137" i="14"/>
  <c r="AP137" i="14"/>
  <c r="G140" i="14"/>
  <c r="L140" i="14"/>
  <c r="Q140" i="14"/>
  <c r="V140" i="14"/>
  <c r="AA140" i="14"/>
  <c r="AF140" i="14"/>
  <c r="AP140" i="14"/>
  <c r="D37" i="12"/>
  <c r="E37" i="12"/>
  <c r="F37" i="12"/>
  <c r="G37" i="12"/>
  <c r="M37" i="12"/>
  <c r="N37" i="12"/>
  <c r="O37" i="12"/>
  <c r="P37" i="12"/>
  <c r="R37" i="12"/>
  <c r="S37" i="12"/>
  <c r="T37" i="12"/>
  <c r="U37" i="12"/>
  <c r="W37" i="12"/>
  <c r="X37" i="12"/>
  <c r="Y37" i="12"/>
  <c r="Z37" i="12"/>
  <c r="AB37" i="12"/>
  <c r="AC37" i="12"/>
  <c r="AD37" i="12"/>
  <c r="AE37" i="12"/>
  <c r="D38" i="12"/>
  <c r="E38" i="12"/>
  <c r="F38" i="12"/>
  <c r="G38" i="12"/>
  <c r="H38" i="12"/>
  <c r="I38" i="12"/>
  <c r="J38" i="12"/>
  <c r="K38" i="12"/>
  <c r="L38" i="12"/>
  <c r="M38" i="12"/>
  <c r="N38" i="12"/>
  <c r="O38" i="12"/>
  <c r="P38" i="12"/>
  <c r="Q38" i="12"/>
  <c r="R38" i="12"/>
  <c r="S38" i="12"/>
  <c r="T38" i="12"/>
  <c r="U38" i="12"/>
  <c r="V38" i="12"/>
  <c r="W38" i="12"/>
  <c r="X38" i="12"/>
  <c r="Y38" i="12"/>
  <c r="Z38" i="12"/>
  <c r="AA38" i="12"/>
  <c r="AB38" i="12"/>
  <c r="AC38" i="12"/>
  <c r="AD38" i="12"/>
  <c r="AE38" i="12"/>
  <c r="AF38" i="12"/>
  <c r="AG38" i="12"/>
  <c r="AH38" i="12"/>
  <c r="AI38" i="12"/>
  <c r="AJ38" i="12"/>
  <c r="AK38" i="12"/>
  <c r="AL38" i="12"/>
  <c r="AM38" i="12"/>
  <c r="AN38" i="12"/>
  <c r="AO38" i="12"/>
  <c r="AP38" i="12"/>
  <c r="AQ38" i="12"/>
  <c r="AR38" i="12"/>
  <c r="AS38" i="12"/>
  <c r="AT38" i="12"/>
  <c r="AU38" i="12"/>
  <c r="D39" i="12"/>
  <c r="E39" i="12"/>
  <c r="F39" i="12"/>
  <c r="M39" i="12"/>
  <c r="O39" i="12"/>
  <c r="P39" i="12"/>
  <c r="W39" i="12"/>
  <c r="Y39" i="12"/>
  <c r="AD39" i="12"/>
  <c r="D40" i="12"/>
  <c r="E40" i="12"/>
  <c r="F40" i="12"/>
  <c r="G40" i="12"/>
  <c r="L40" i="12"/>
  <c r="I40" i="12" s="1"/>
  <c r="Q40" i="12"/>
  <c r="P40" i="12" s="1"/>
  <c r="V40" i="12"/>
  <c r="S40" i="12" s="1"/>
  <c r="AA40" i="12"/>
  <c r="X40" i="12" s="1"/>
  <c r="AF40" i="12"/>
  <c r="AD40" i="12" s="1"/>
  <c r="AG40" i="12"/>
  <c r="AH40" i="12"/>
  <c r="AI40" i="12"/>
  <c r="AJ40" i="12"/>
  <c r="AK40" i="12"/>
  <c r="AL40" i="12"/>
  <c r="AM40" i="12"/>
  <c r="AN40" i="12"/>
  <c r="AO40" i="12"/>
  <c r="AP40" i="12"/>
  <c r="AQ40" i="12"/>
  <c r="AR40" i="12"/>
  <c r="AS40" i="12"/>
  <c r="AT40" i="12"/>
  <c r="AU40" i="12"/>
  <c r="D41" i="12"/>
  <c r="E41" i="12"/>
  <c r="D159" i="12"/>
  <c r="H159" i="12"/>
  <c r="I159" i="12"/>
  <c r="I43" i="12" s="1"/>
  <c r="J159" i="12"/>
  <c r="K159" i="12"/>
  <c r="K43" i="12" s="1"/>
  <c r="M43" i="12"/>
  <c r="N43" i="12"/>
  <c r="O43" i="12"/>
  <c r="P43" i="12"/>
  <c r="R43" i="12"/>
  <c r="S43" i="12"/>
  <c r="T43" i="12"/>
  <c r="U43" i="12"/>
  <c r="W43" i="12"/>
  <c r="X43" i="12"/>
  <c r="Y43" i="12"/>
  <c r="Z43" i="12"/>
  <c r="AB43" i="12"/>
  <c r="AC43" i="12"/>
  <c r="AD43" i="12"/>
  <c r="AE43" i="12"/>
  <c r="AG159" i="12"/>
  <c r="AH159" i="12"/>
  <c r="AH43" i="12" s="1"/>
  <c r="AI159" i="12"/>
  <c r="AJ159" i="12"/>
  <c r="AL43" i="12"/>
  <c r="AS43" i="12"/>
  <c r="D45" i="12"/>
  <c r="E45" i="12"/>
  <c r="F45" i="12"/>
  <c r="G45" i="12"/>
  <c r="H45" i="12"/>
  <c r="I45" i="12"/>
  <c r="J45" i="12"/>
  <c r="K45" i="12"/>
  <c r="L45" i="12"/>
  <c r="M45" i="12"/>
  <c r="N45" i="12"/>
  <c r="O45" i="12"/>
  <c r="P45" i="12"/>
  <c r="Q45" i="12"/>
  <c r="R45" i="12"/>
  <c r="S45" i="12"/>
  <c r="T45" i="12"/>
  <c r="U45" i="12"/>
  <c r="V45" i="12"/>
  <c r="W45" i="12"/>
  <c r="X45" i="12"/>
  <c r="Y45" i="12"/>
  <c r="Z45" i="12"/>
  <c r="AA45" i="12"/>
  <c r="AB45" i="12"/>
  <c r="AC45" i="12"/>
  <c r="AD45" i="12"/>
  <c r="AE45" i="12"/>
  <c r="AF45" i="12"/>
  <c r="AG45" i="12"/>
  <c r="AH45" i="12"/>
  <c r="AI45" i="12"/>
  <c r="AJ45" i="12"/>
  <c r="AK162" i="12"/>
  <c r="AK163" i="12"/>
  <c r="AL45" i="12"/>
  <c r="AM45" i="12"/>
  <c r="AN45" i="12"/>
  <c r="AO45" i="12"/>
  <c r="AP162" i="12"/>
  <c r="AP163" i="12"/>
  <c r="AQ45" i="12"/>
  <c r="AR45" i="12"/>
  <c r="AS45" i="12"/>
  <c r="AT45" i="12"/>
  <c r="AU162" i="12"/>
  <c r="AU163" i="12"/>
  <c r="D46" i="12"/>
  <c r="E46" i="12"/>
  <c r="F46" i="12"/>
  <c r="G46" i="12"/>
  <c r="H46" i="12"/>
  <c r="I46" i="12"/>
  <c r="J46" i="12"/>
  <c r="K46" i="12"/>
  <c r="L46" i="12"/>
  <c r="M46" i="12"/>
  <c r="N46" i="12"/>
  <c r="O46" i="12"/>
  <c r="P46" i="12"/>
  <c r="Q46" i="12"/>
  <c r="R46" i="12"/>
  <c r="S46" i="12"/>
  <c r="T46" i="12"/>
  <c r="U46" i="12"/>
  <c r="V46" i="12"/>
  <c r="W46" i="12"/>
  <c r="X46" i="12"/>
  <c r="Y46" i="12"/>
  <c r="Z46" i="12"/>
  <c r="AA46" i="12"/>
  <c r="AB46" i="12"/>
  <c r="AC46" i="12"/>
  <c r="AD46" i="12"/>
  <c r="AE46" i="12"/>
  <c r="AF46" i="12"/>
  <c r="AG46" i="12"/>
  <c r="AH46" i="12"/>
  <c r="AI46" i="12"/>
  <c r="AJ46" i="12"/>
  <c r="AK165" i="12"/>
  <c r="AK164" i="12"/>
  <c r="AL46" i="12"/>
  <c r="AM46" i="12"/>
  <c r="AN46" i="12"/>
  <c r="AO46" i="12"/>
  <c r="AP165" i="12"/>
  <c r="AP164" i="12"/>
  <c r="AQ46" i="12"/>
  <c r="AR46" i="12"/>
  <c r="AS46" i="12"/>
  <c r="AT46" i="12"/>
  <c r="AU165" i="12"/>
  <c r="AU164" i="12"/>
  <c r="D47" i="12"/>
  <c r="E47" i="12"/>
  <c r="F47" i="12"/>
  <c r="G47" i="12"/>
  <c r="H47" i="12"/>
  <c r="I47" i="12"/>
  <c r="J47" i="12"/>
  <c r="K47" i="12"/>
  <c r="L47" i="12"/>
  <c r="M47" i="12"/>
  <c r="N47" i="12"/>
  <c r="O47" i="12"/>
  <c r="P47" i="12"/>
  <c r="Q47" i="12"/>
  <c r="R47" i="12"/>
  <c r="S47" i="12"/>
  <c r="T47" i="12"/>
  <c r="U47" i="12"/>
  <c r="V47" i="12"/>
  <c r="W47" i="12"/>
  <c r="X47" i="12"/>
  <c r="Y47" i="12"/>
  <c r="Z47" i="12"/>
  <c r="AA47" i="12"/>
  <c r="AB47" i="12"/>
  <c r="AC47" i="12"/>
  <c r="AD47" i="12"/>
  <c r="AE47" i="12"/>
  <c r="AG47" i="12"/>
  <c r="AH47" i="12"/>
  <c r="AI47" i="12"/>
  <c r="AJ47" i="12"/>
  <c r="AL47" i="12"/>
  <c r="AM47" i="12"/>
  <c r="AN47" i="12"/>
  <c r="AO47" i="12"/>
  <c r="AQ47" i="12"/>
  <c r="AR47" i="12"/>
  <c r="AS47" i="12"/>
  <c r="AT47" i="12"/>
  <c r="BT47" i="12"/>
  <c r="BY47" i="12"/>
  <c r="CD47" i="12"/>
  <c r="D170" i="12"/>
  <c r="D49" i="12" s="1"/>
  <c r="H170" i="12"/>
  <c r="H49" i="12" s="1"/>
  <c r="I170" i="12"/>
  <c r="I49" i="12" s="1"/>
  <c r="J170" i="12"/>
  <c r="J49" i="12" s="1"/>
  <c r="K170" i="12"/>
  <c r="K49" i="12" s="1"/>
  <c r="M49" i="12"/>
  <c r="N49" i="12"/>
  <c r="O49" i="12"/>
  <c r="P49" i="12"/>
  <c r="R49" i="12"/>
  <c r="S49" i="12"/>
  <c r="T49" i="12"/>
  <c r="U49" i="12"/>
  <c r="W49" i="12"/>
  <c r="X49" i="12"/>
  <c r="Y49" i="12"/>
  <c r="Z49" i="12"/>
  <c r="AB49" i="12"/>
  <c r="AC49" i="12"/>
  <c r="AD49" i="12"/>
  <c r="AE49" i="12"/>
  <c r="D53" i="12"/>
  <c r="E53" i="12"/>
  <c r="F53" i="12"/>
  <c r="G53" i="12"/>
  <c r="H53" i="12"/>
  <c r="I53" i="12"/>
  <c r="J53" i="12"/>
  <c r="K53" i="12"/>
  <c r="L53" i="12"/>
  <c r="M53" i="12"/>
  <c r="N53" i="12"/>
  <c r="O53" i="12"/>
  <c r="P53" i="12"/>
  <c r="Q53" i="12"/>
  <c r="R53" i="12"/>
  <c r="S53" i="12"/>
  <c r="T53" i="12"/>
  <c r="U53" i="12"/>
  <c r="V53" i="12"/>
  <c r="W53" i="12"/>
  <c r="X53" i="12"/>
  <c r="Y53" i="12"/>
  <c r="Z53" i="12"/>
  <c r="AA53" i="12"/>
  <c r="AB53" i="12"/>
  <c r="AC53" i="12"/>
  <c r="AD53" i="12"/>
  <c r="AE53" i="12"/>
  <c r="AF53" i="12"/>
  <c r="AG53" i="12"/>
  <c r="AH53" i="12"/>
  <c r="AI53" i="12"/>
  <c r="AJ53" i="12"/>
  <c r="AK174" i="12"/>
  <c r="AK175" i="12"/>
  <c r="AK176" i="12"/>
  <c r="AL53" i="12"/>
  <c r="AM53" i="12"/>
  <c r="AN53" i="12"/>
  <c r="AO53" i="12"/>
  <c r="AP174" i="12"/>
  <c r="AP175" i="12"/>
  <c r="AP176" i="12"/>
  <c r="AQ53" i="12"/>
  <c r="AR53" i="12"/>
  <c r="AS53" i="12"/>
  <c r="AT53" i="12"/>
  <c r="AU174" i="12"/>
  <c r="AU175" i="12"/>
  <c r="AU176" i="12"/>
  <c r="D54" i="12"/>
  <c r="E54" i="12"/>
  <c r="F54" i="12"/>
  <c r="G54" i="12"/>
  <c r="H54" i="12"/>
  <c r="I54" i="12"/>
  <c r="J54" i="12"/>
  <c r="K54" i="12"/>
  <c r="L54" i="12"/>
  <c r="M54" i="12"/>
  <c r="N54" i="12"/>
  <c r="O54" i="12"/>
  <c r="P54" i="12"/>
  <c r="Q54" i="12"/>
  <c r="R54" i="12"/>
  <c r="S54" i="12"/>
  <c r="T54" i="12"/>
  <c r="U54" i="12"/>
  <c r="V54" i="12"/>
  <c r="W54" i="12"/>
  <c r="X54" i="12"/>
  <c r="Y54" i="12"/>
  <c r="Z54" i="12"/>
  <c r="AA54" i="12"/>
  <c r="AB54" i="12"/>
  <c r="AC54" i="12"/>
  <c r="AD54" i="12"/>
  <c r="AE54" i="12"/>
  <c r="AG54" i="12"/>
  <c r="AH54" i="12"/>
  <c r="AI54" i="12"/>
  <c r="AJ54" i="12"/>
  <c r="AL54" i="12"/>
  <c r="AM54" i="12"/>
  <c r="AN54" i="12"/>
  <c r="AO54" i="12"/>
  <c r="AQ54" i="12"/>
  <c r="AR54" i="12"/>
  <c r="AS54" i="12"/>
  <c r="AT54" i="12"/>
  <c r="D55" i="12"/>
  <c r="E55" i="12"/>
  <c r="F55" i="12"/>
  <c r="G55" i="12"/>
  <c r="H55" i="12"/>
  <c r="I55" i="12"/>
  <c r="J55" i="12"/>
  <c r="K55" i="12"/>
  <c r="L55" i="12"/>
  <c r="M55" i="12"/>
  <c r="N55" i="12"/>
  <c r="O55" i="12"/>
  <c r="P55" i="12"/>
  <c r="Q55" i="12"/>
  <c r="R55" i="12"/>
  <c r="S55" i="12"/>
  <c r="T55" i="12"/>
  <c r="U55" i="12"/>
  <c r="V55" i="12"/>
  <c r="W55" i="12"/>
  <c r="X55" i="12"/>
  <c r="Y55" i="12"/>
  <c r="Z55" i="12"/>
  <c r="AA55" i="12"/>
  <c r="AB55" i="12"/>
  <c r="AC55" i="12"/>
  <c r="AD55" i="12"/>
  <c r="AE55" i="12"/>
  <c r="AF55" i="12"/>
  <c r="AG55" i="12"/>
  <c r="AH55" i="12"/>
  <c r="AI55" i="12"/>
  <c r="AJ55" i="12"/>
  <c r="AK173" i="12"/>
  <c r="AK55" i="12" s="1"/>
  <c r="AL55" i="12"/>
  <c r="AM55" i="12"/>
  <c r="AN55" i="12"/>
  <c r="AO55" i="12"/>
  <c r="AP173" i="12"/>
  <c r="AP55" i="12" s="1"/>
  <c r="AQ55" i="12"/>
  <c r="AR55" i="12"/>
  <c r="AS55" i="12"/>
  <c r="AT55" i="12"/>
  <c r="AU173" i="12"/>
  <c r="AU55" i="12" s="1"/>
  <c r="D181" i="12"/>
  <c r="D57" i="12" s="1"/>
  <c r="E181" i="12"/>
  <c r="E57" i="12" s="1"/>
  <c r="F181" i="12"/>
  <c r="F57" i="12" s="1"/>
  <c r="G181" i="12"/>
  <c r="G57" i="12" s="1"/>
  <c r="H181" i="12"/>
  <c r="H57" i="12" s="1"/>
  <c r="I181" i="12"/>
  <c r="I57" i="12" s="1"/>
  <c r="J181" i="12"/>
  <c r="J57" i="12" s="1"/>
  <c r="K181" i="12"/>
  <c r="K57" i="12" s="1"/>
  <c r="L181" i="12"/>
  <c r="L57" i="12" s="1"/>
  <c r="M57" i="12"/>
  <c r="N57" i="12"/>
  <c r="O57" i="12"/>
  <c r="P57" i="12"/>
  <c r="Q181" i="12"/>
  <c r="Q57" i="12" s="1"/>
  <c r="R57" i="12"/>
  <c r="S57" i="12"/>
  <c r="T57" i="12"/>
  <c r="U57" i="12"/>
  <c r="V181" i="12"/>
  <c r="V57" i="12" s="1"/>
  <c r="W57" i="12"/>
  <c r="X57" i="12"/>
  <c r="Y57" i="12"/>
  <c r="Z57" i="12"/>
  <c r="AA181" i="12"/>
  <c r="AA57" i="12" s="1"/>
  <c r="AB57" i="12"/>
  <c r="AC57" i="12"/>
  <c r="AD57" i="12"/>
  <c r="AE57" i="12"/>
  <c r="AF181" i="12"/>
  <c r="AF57" i="12" s="1"/>
  <c r="AG181" i="12"/>
  <c r="AG57" i="12" s="1"/>
  <c r="AH181" i="12"/>
  <c r="AH57" i="12" s="1"/>
  <c r="AI181" i="12"/>
  <c r="AI57" i="12" s="1"/>
  <c r="AJ181" i="12"/>
  <c r="AJ57" i="12" s="1"/>
  <c r="AL181" i="12"/>
  <c r="AL57" i="12" s="1"/>
  <c r="AM181" i="12"/>
  <c r="AN181" i="12"/>
  <c r="AN57" i="12" s="1"/>
  <c r="AO181" i="12"/>
  <c r="AQ181" i="12"/>
  <c r="AQ57" i="12" s="1"/>
  <c r="AR181" i="12"/>
  <c r="AS181" i="12"/>
  <c r="AS57" i="12" s="1"/>
  <c r="AT181" i="12"/>
  <c r="BO116" i="14"/>
  <c r="BO123" i="12" s="1"/>
  <c r="BO117" i="14"/>
  <c r="BO124" i="12" s="1"/>
  <c r="BO118" i="14"/>
  <c r="BO125" i="12" s="1"/>
  <c r="BT116" i="14"/>
  <c r="BT123" i="12" s="1"/>
  <c r="BT117" i="14"/>
  <c r="BT124" i="12" s="1"/>
  <c r="BT118" i="14"/>
  <c r="BT125" i="12" s="1"/>
  <c r="BY116" i="14"/>
  <c r="BY123" i="12" s="1"/>
  <c r="BY117" i="14"/>
  <c r="BY124" i="12" s="1"/>
  <c r="BY118" i="14"/>
  <c r="BY125" i="12" s="1"/>
  <c r="CD116" i="14"/>
  <c r="CD123" i="12" s="1"/>
  <c r="CD117" i="14"/>
  <c r="CD124" i="12" s="1"/>
  <c r="CD118" i="14"/>
  <c r="CD125" i="12" s="1"/>
  <c r="M60" i="12"/>
  <c r="N60" i="12"/>
  <c r="O60" i="12"/>
  <c r="P60" i="12"/>
  <c r="R60" i="12"/>
  <c r="S60" i="12"/>
  <c r="T60" i="12"/>
  <c r="U60" i="12"/>
  <c r="W60" i="12"/>
  <c r="X60" i="12"/>
  <c r="Y60" i="12"/>
  <c r="Z60" i="12"/>
  <c r="AB60" i="12"/>
  <c r="AC60" i="12"/>
  <c r="AD60" i="12"/>
  <c r="AE60" i="12"/>
  <c r="BO94" i="14"/>
  <c r="BO95" i="14"/>
  <c r="BO96" i="14"/>
  <c r="BO97" i="14"/>
  <c r="BO98" i="14"/>
  <c r="BO99" i="14"/>
  <c r="BO100" i="14"/>
  <c r="BO101" i="14"/>
  <c r="BP93" i="14"/>
  <c r="BQ93" i="14"/>
  <c r="BR93" i="14"/>
  <c r="BS93" i="14"/>
  <c r="BT94" i="14"/>
  <c r="BT95" i="14"/>
  <c r="BT96" i="14"/>
  <c r="BT97" i="14"/>
  <c r="BT98" i="14"/>
  <c r="BT99" i="14"/>
  <c r="BT100" i="14"/>
  <c r="BT101" i="14"/>
  <c r="BU93" i="14"/>
  <c r="BV93" i="14"/>
  <c r="BW93" i="14"/>
  <c r="BX93" i="14"/>
  <c r="BY94" i="14"/>
  <c r="BY95" i="14"/>
  <c r="BY96" i="14"/>
  <c r="BY97" i="14"/>
  <c r="BY98" i="14"/>
  <c r="BY99" i="14"/>
  <c r="BY100" i="14"/>
  <c r="BY101" i="14"/>
  <c r="BZ93" i="14"/>
  <c r="CA93" i="14"/>
  <c r="CB93" i="14"/>
  <c r="CC93" i="14"/>
  <c r="CD94" i="14"/>
  <c r="CD95" i="14"/>
  <c r="CD96" i="14"/>
  <c r="CD97" i="14"/>
  <c r="CD98" i="14"/>
  <c r="CD99" i="14"/>
  <c r="CD100" i="14"/>
  <c r="CD101" i="14"/>
  <c r="D15" i="14"/>
  <c r="D25" i="14" s="1"/>
  <c r="D127" i="14" s="1"/>
  <c r="E15" i="14"/>
  <c r="E25" i="14" s="1"/>
  <c r="E126" i="14" s="1"/>
  <c r="F15" i="14"/>
  <c r="F25" i="14" s="1"/>
  <c r="D68" i="12"/>
  <c r="E68" i="12"/>
  <c r="F68" i="12"/>
  <c r="D71" i="12"/>
  <c r="E71" i="12"/>
  <c r="F71" i="12"/>
  <c r="D72" i="12"/>
  <c r="D74" i="12" s="1"/>
  <c r="E72" i="12"/>
  <c r="E74" i="12" s="1"/>
  <c r="F72" i="12"/>
  <c r="F74" i="12" s="1"/>
  <c r="L73" i="12"/>
  <c r="Q73" i="12"/>
  <c r="V73" i="12"/>
  <c r="AA73" i="12"/>
  <c r="D75" i="12"/>
  <c r="D77" i="12" s="1"/>
  <c r="E75" i="12"/>
  <c r="E77" i="12" s="1"/>
  <c r="F75" i="12"/>
  <c r="F77" i="12" s="1"/>
  <c r="L76" i="12"/>
  <c r="Q76" i="12"/>
  <c r="V76" i="12"/>
  <c r="AA76" i="12"/>
  <c r="D78" i="12"/>
  <c r="E78" i="12"/>
  <c r="F78" i="12"/>
  <c r="D79" i="12"/>
  <c r="E79" i="12"/>
  <c r="F79" i="12"/>
  <c r="D80" i="12"/>
  <c r="D82" i="12" s="1"/>
  <c r="E80" i="12"/>
  <c r="E82" i="12" s="1"/>
  <c r="F80" i="12"/>
  <c r="F82" i="12" s="1"/>
  <c r="L81" i="12"/>
  <c r="Q81" i="12"/>
  <c r="V81" i="12"/>
  <c r="AA81" i="12"/>
  <c r="D83" i="12"/>
  <c r="D85" i="12" s="1"/>
  <c r="E83" i="12"/>
  <c r="E85" i="12" s="1"/>
  <c r="F83" i="12"/>
  <c r="F85" i="12" s="1"/>
  <c r="L84" i="12"/>
  <c r="Q84" i="12"/>
  <c r="V84" i="12"/>
  <c r="AA84" i="12"/>
  <c r="D88" i="12"/>
  <c r="D90" i="12" s="1"/>
  <c r="E88" i="12"/>
  <c r="E90" i="12" s="1"/>
  <c r="F88" i="12"/>
  <c r="F90" i="12" s="1"/>
  <c r="L89" i="12"/>
  <c r="Q89" i="12"/>
  <c r="V89" i="12"/>
  <c r="AA89" i="12"/>
  <c r="D91" i="12"/>
  <c r="E91" i="12"/>
  <c r="F91" i="12"/>
  <c r="D92" i="12"/>
  <c r="E92" i="12"/>
  <c r="F92" i="12"/>
  <c r="D93" i="12"/>
  <c r="E93" i="12"/>
  <c r="F93" i="12"/>
  <c r="D94" i="12"/>
  <c r="D96" i="12" s="1"/>
  <c r="E94" i="12"/>
  <c r="E96" i="12" s="1"/>
  <c r="F94" i="12"/>
  <c r="F96" i="12" s="1"/>
  <c r="L95" i="12"/>
  <c r="Q95" i="12"/>
  <c r="V95" i="12"/>
  <c r="AA95" i="12"/>
  <c r="E98" i="12"/>
  <c r="E110" i="12" s="1"/>
  <c r="F98" i="12"/>
  <c r="F110" i="12" s="1"/>
  <c r="D103" i="12"/>
  <c r="E103" i="12"/>
  <c r="F103" i="12"/>
  <c r="D104" i="12"/>
  <c r="E104" i="12"/>
  <c r="F104" i="12"/>
  <c r="D107" i="12"/>
  <c r="E107" i="12"/>
  <c r="F107" i="12"/>
  <c r="D108" i="12"/>
  <c r="E108" i="12"/>
  <c r="F108" i="12"/>
  <c r="D109" i="12"/>
  <c r="E109" i="12"/>
  <c r="F109" i="12"/>
  <c r="D110" i="12"/>
  <c r="D111" i="12"/>
  <c r="E111" i="12"/>
  <c r="F111" i="12"/>
  <c r="D112" i="12"/>
  <c r="E112" i="12"/>
  <c r="F112" i="12"/>
  <c r="D118" i="12"/>
  <c r="E118" i="12"/>
  <c r="F118" i="12"/>
  <c r="D119" i="12"/>
  <c r="E114" i="14"/>
  <c r="E119" i="12" s="1"/>
  <c r="F114" i="14"/>
  <c r="F119" i="12" s="1"/>
  <c r="D120" i="12"/>
  <c r="E120" i="12"/>
  <c r="F120" i="12"/>
  <c r="D123" i="12"/>
  <c r="E123" i="12"/>
  <c r="F123" i="12"/>
  <c r="D124" i="12"/>
  <c r="E124" i="12"/>
  <c r="F124" i="12"/>
  <c r="D125" i="12"/>
  <c r="E125" i="12"/>
  <c r="F125" i="12"/>
  <c r="E101" i="14"/>
  <c r="F101" i="14"/>
  <c r="D131" i="12"/>
  <c r="E131" i="12"/>
  <c r="F131" i="12"/>
  <c r="G131" i="12"/>
  <c r="L131" i="12"/>
  <c r="AP137" i="12"/>
  <c r="AP141" i="12"/>
  <c r="AP157" i="12"/>
  <c r="C159" i="12"/>
  <c r="AK169" i="12"/>
  <c r="C170" i="12"/>
  <c r="AU177" i="12"/>
  <c r="AK178" i="12"/>
  <c r="C181" i="12"/>
  <c r="AK183" i="12"/>
  <c r="AP183" i="12"/>
  <c r="AU183" i="12"/>
  <c r="AH186" i="12"/>
  <c r="AK186" i="12"/>
  <c r="AU186" i="12"/>
  <c r="I11" i="12"/>
  <c r="M11" i="12"/>
  <c r="N11" i="12"/>
  <c r="O11" i="12"/>
  <c r="P11" i="12"/>
  <c r="R11" i="12"/>
  <c r="S11" i="12"/>
  <c r="T11" i="12"/>
  <c r="U11" i="12"/>
  <c r="W11" i="12"/>
  <c r="X11" i="12"/>
  <c r="Y11" i="12"/>
  <c r="Z11" i="12"/>
  <c r="AB11" i="12"/>
  <c r="AC11" i="12"/>
  <c r="AD11" i="12"/>
  <c r="AE11" i="12"/>
  <c r="C23" i="13"/>
  <c r="D23" i="13"/>
  <c r="E23" i="13"/>
  <c r="F23" i="13"/>
  <c r="H23" i="13"/>
  <c r="I23" i="13"/>
  <c r="J23" i="13"/>
  <c r="K23" i="13"/>
  <c r="AE23" i="13"/>
  <c r="AE38" i="13" s="1"/>
  <c r="AG23" i="13"/>
  <c r="AH23" i="13"/>
  <c r="AI23" i="13"/>
  <c r="AJ23" i="13"/>
  <c r="AL23" i="13"/>
  <c r="AM23" i="13"/>
  <c r="AN23" i="13"/>
  <c r="AO23" i="13"/>
  <c r="AQ23" i="13"/>
  <c r="AR23" i="13"/>
  <c r="AS23" i="13"/>
  <c r="C34" i="13"/>
  <c r="D34" i="13"/>
  <c r="E34" i="13"/>
  <c r="E38" i="13" s="1"/>
  <c r="F34" i="13"/>
  <c r="H34" i="13"/>
  <c r="I34" i="13"/>
  <c r="J34" i="13"/>
  <c r="K34" i="13"/>
  <c r="AG34" i="13"/>
  <c r="AH34" i="13"/>
  <c r="AI34" i="13"/>
  <c r="AJ34" i="13"/>
  <c r="AL34" i="13"/>
  <c r="AM34" i="13"/>
  <c r="AN34" i="13"/>
  <c r="AO34" i="13"/>
  <c r="AQ34" i="13"/>
  <c r="AR34" i="13"/>
  <c r="AS34" i="13"/>
  <c r="AT34" i="13"/>
  <c r="H38" i="13"/>
  <c r="C47" i="13"/>
  <c r="C50" i="13" s="1"/>
  <c r="D47" i="13"/>
  <c r="D50" i="13" s="1"/>
  <c r="E47" i="13"/>
  <c r="E50" i="13" s="1"/>
  <c r="F47" i="13"/>
  <c r="F50" i="13" s="1"/>
  <c r="H47" i="13"/>
  <c r="H50" i="13" s="1"/>
  <c r="I47" i="13"/>
  <c r="I50" i="13" s="1"/>
  <c r="J47" i="13"/>
  <c r="J50" i="13" s="1"/>
  <c r="K47" i="13"/>
  <c r="K50" i="13" s="1"/>
  <c r="AH47" i="13"/>
  <c r="AH50" i="13" s="1"/>
  <c r="AI47" i="13"/>
  <c r="AI50" i="13" s="1"/>
  <c r="AJ47" i="13"/>
  <c r="AJ50" i="13" s="1"/>
  <c r="AL47" i="13"/>
  <c r="AL50" i="13" s="1"/>
  <c r="AM47" i="13"/>
  <c r="AM50" i="13" s="1"/>
  <c r="AN47" i="13"/>
  <c r="AN50" i="13" s="1"/>
  <c r="AO47" i="13"/>
  <c r="AO50" i="13" s="1"/>
  <c r="AQ47" i="13"/>
  <c r="AQ50" i="13" s="1"/>
  <c r="AR47" i="13"/>
  <c r="AR50" i="13" s="1"/>
  <c r="AS47" i="13"/>
  <c r="AS50" i="13" s="1"/>
  <c r="AT47" i="13"/>
  <c r="AT50" i="13" s="1"/>
  <c r="AW156" i="13"/>
  <c r="AW180" i="13" s="1"/>
  <c r="C60" i="13"/>
  <c r="D60" i="13"/>
  <c r="E60" i="13"/>
  <c r="F60" i="13"/>
  <c r="H60" i="13"/>
  <c r="I60" i="13"/>
  <c r="J60" i="13"/>
  <c r="K60" i="13"/>
  <c r="AH60" i="13"/>
  <c r="AI60" i="13"/>
  <c r="AJ60" i="13"/>
  <c r="AL60" i="13"/>
  <c r="AM60" i="13"/>
  <c r="AN60" i="13"/>
  <c r="AO60" i="13"/>
  <c r="AQ60" i="13"/>
  <c r="AR60" i="13"/>
  <c r="AS60" i="13"/>
  <c r="AT60" i="13"/>
  <c r="C65" i="13"/>
  <c r="D65" i="13"/>
  <c r="H65" i="13"/>
  <c r="I65" i="13"/>
  <c r="J65" i="13"/>
  <c r="K65" i="13"/>
  <c r="M65" i="13"/>
  <c r="N65" i="13"/>
  <c r="O65" i="13"/>
  <c r="P65" i="13"/>
  <c r="M67" i="13"/>
  <c r="R67" i="13"/>
  <c r="S67" i="13"/>
  <c r="T67" i="13"/>
  <c r="U67" i="13"/>
  <c r="W67" i="13"/>
  <c r="X67" i="13"/>
  <c r="Y67" i="13"/>
  <c r="Z67" i="13"/>
  <c r="AB67" i="13"/>
  <c r="AC67" i="13"/>
  <c r="AD67" i="13"/>
  <c r="AE67" i="13"/>
  <c r="AP73" i="13"/>
  <c r="C15" i="14"/>
  <c r="C25" i="14" s="1"/>
  <c r="C29" i="14" s="1"/>
  <c r="C32" i="14" s="1"/>
  <c r="C94" i="13" s="1"/>
  <c r="AB15" i="14"/>
  <c r="AB25" i="14" s="1"/>
  <c r="AB29" i="14" s="1"/>
  <c r="AC15" i="14"/>
  <c r="AC25" i="14" s="1"/>
  <c r="AD15" i="14"/>
  <c r="AD25" i="14" s="1"/>
  <c r="AD127" i="14" s="1"/>
  <c r="AE15" i="14"/>
  <c r="AE25" i="14" s="1"/>
  <c r="AN126" i="14"/>
  <c r="H15" i="14"/>
  <c r="H25" i="14" s="1"/>
  <c r="I15" i="14"/>
  <c r="I25" i="14" s="1"/>
  <c r="I127" i="14" s="1"/>
  <c r="J15" i="14"/>
  <c r="J25" i="14" s="1"/>
  <c r="K15" i="14"/>
  <c r="K25" i="14" s="1"/>
  <c r="K29" i="14" s="1"/>
  <c r="K32" i="14" s="1"/>
  <c r="M15" i="14"/>
  <c r="M25" i="14" s="1"/>
  <c r="M127" i="14" s="1"/>
  <c r="N15" i="14"/>
  <c r="N25" i="14" s="1"/>
  <c r="N126" i="14" s="1"/>
  <c r="O15" i="14"/>
  <c r="O25" i="14" s="1"/>
  <c r="O127" i="14" s="1"/>
  <c r="P15" i="14"/>
  <c r="P25" i="14" s="1"/>
  <c r="P29" i="14" s="1"/>
  <c r="P32" i="14" s="1"/>
  <c r="R15" i="14"/>
  <c r="R25" i="14" s="1"/>
  <c r="R126" i="14" s="1"/>
  <c r="S15" i="14"/>
  <c r="S25" i="14" s="1"/>
  <c r="S127" i="14" s="1"/>
  <c r="T15" i="14"/>
  <c r="T25" i="14" s="1"/>
  <c r="U15" i="14"/>
  <c r="U25" i="14" s="1"/>
  <c r="W15" i="14"/>
  <c r="W25" i="14" s="1"/>
  <c r="X15" i="14"/>
  <c r="X25" i="14" s="1"/>
  <c r="Y15" i="14"/>
  <c r="Y25" i="14" s="1"/>
  <c r="Y126" i="14" s="1"/>
  <c r="Z15" i="14"/>
  <c r="Z25" i="14" s="1"/>
  <c r="Z127" i="14" s="1"/>
  <c r="AB31" i="14"/>
  <c r="AB63" i="37" s="1"/>
  <c r="AC31" i="14"/>
  <c r="AC63" i="37" s="1"/>
  <c r="AD31" i="14"/>
  <c r="AD63" i="37" s="1"/>
  <c r="AE31" i="14"/>
  <c r="AE63" i="37" s="1"/>
  <c r="B109" i="13"/>
  <c r="F109" i="13"/>
  <c r="G109" i="13"/>
  <c r="H109" i="13"/>
  <c r="K109" i="13"/>
  <c r="M109" i="13"/>
  <c r="N109" i="13"/>
  <c r="O109" i="13"/>
  <c r="P109" i="13"/>
  <c r="Q109" i="13"/>
  <c r="R109" i="13"/>
  <c r="S109" i="13"/>
  <c r="T109" i="13"/>
  <c r="U109" i="13"/>
  <c r="V109" i="13"/>
  <c r="W109" i="13"/>
  <c r="X109" i="13"/>
  <c r="Y109" i="13"/>
  <c r="Z109" i="13"/>
  <c r="AA109" i="13"/>
  <c r="AB109" i="13"/>
  <c r="AC109" i="13"/>
  <c r="AD109" i="13"/>
  <c r="AE109" i="13"/>
  <c r="AF109" i="13"/>
  <c r="AG109" i="13"/>
  <c r="AH109" i="13"/>
  <c r="AI109" i="13"/>
  <c r="AJ109" i="13"/>
  <c r="AL109" i="13"/>
  <c r="AM109" i="13"/>
  <c r="AN109" i="13"/>
  <c r="AO109" i="13"/>
  <c r="AQ109" i="13"/>
  <c r="AR109" i="13"/>
  <c r="AS109" i="13"/>
  <c r="AT109" i="13"/>
  <c r="C168" i="13"/>
  <c r="C177" i="13"/>
  <c r="D168" i="13"/>
  <c r="D177" i="13"/>
  <c r="E168" i="13"/>
  <c r="E177" i="13"/>
  <c r="F168" i="13"/>
  <c r="F177" i="13"/>
  <c r="H168" i="13"/>
  <c r="H177" i="13"/>
  <c r="I168" i="13"/>
  <c r="CJ174" i="13" s="1"/>
  <c r="I177" i="13"/>
  <c r="J168" i="13"/>
  <c r="CJ175" i="13" s="1"/>
  <c r="J177" i="13"/>
  <c r="K168" i="13"/>
  <c r="K177" i="13"/>
  <c r="M168" i="13"/>
  <c r="CJ177" i="13" s="1"/>
  <c r="M177" i="13"/>
  <c r="N168" i="13"/>
  <c r="CJ178" i="13" s="1"/>
  <c r="N177" i="13"/>
  <c r="O168" i="13"/>
  <c r="O177" i="13"/>
  <c r="P168" i="13"/>
  <c r="CJ180" i="13" s="1"/>
  <c r="P177" i="13"/>
  <c r="R168" i="13"/>
  <c r="R177" i="13"/>
  <c r="S168" i="13"/>
  <c r="CJ182" i="13" s="1"/>
  <c r="S177" i="13"/>
  <c r="T177" i="13"/>
  <c r="T124" i="13" s="1"/>
  <c r="U177" i="13"/>
  <c r="U124" i="13" s="1"/>
  <c r="W177" i="13"/>
  <c r="X177" i="13"/>
  <c r="Y168" i="13"/>
  <c r="Y177" i="13"/>
  <c r="Z177" i="13"/>
  <c r="AB177" i="13"/>
  <c r="AB124" i="13" s="1"/>
  <c r="AC153" i="13"/>
  <c r="AD153" i="13"/>
  <c r="AE153" i="13"/>
  <c r="AE177" i="13" s="1"/>
  <c r="AG153" i="13"/>
  <c r="AG177" i="13" s="1"/>
  <c r="AH153" i="13"/>
  <c r="AH177" i="13" s="1"/>
  <c r="AI153" i="13"/>
  <c r="AI177" i="13" s="1"/>
  <c r="AL153" i="13"/>
  <c r="AL177" i="13" s="1"/>
  <c r="AM153" i="13"/>
  <c r="AM177" i="13" s="1"/>
  <c r="AN153" i="13"/>
  <c r="AQ153" i="13"/>
  <c r="AQ177" i="13" s="1"/>
  <c r="AR153" i="13"/>
  <c r="AR177" i="13" s="1"/>
  <c r="C171" i="13"/>
  <c r="C172" i="13"/>
  <c r="C180" i="13"/>
  <c r="C181" i="13"/>
  <c r="C182" i="13"/>
  <c r="D171" i="13"/>
  <c r="D172" i="13"/>
  <c r="D180" i="13"/>
  <c r="D181" i="13"/>
  <c r="D182" i="13"/>
  <c r="E171" i="13"/>
  <c r="E172" i="13"/>
  <c r="E180" i="13"/>
  <c r="E181" i="13"/>
  <c r="E182" i="13"/>
  <c r="F171" i="13"/>
  <c r="F172" i="13"/>
  <c r="F180" i="13"/>
  <c r="F181" i="13"/>
  <c r="F182" i="13"/>
  <c r="H171" i="13"/>
  <c r="CK173" i="13" s="1"/>
  <c r="H172" i="13"/>
  <c r="H180" i="13"/>
  <c r="H181" i="13"/>
  <c r="H182" i="13"/>
  <c r="I171" i="13"/>
  <c r="CK174" i="13" s="1"/>
  <c r="I172" i="13"/>
  <c r="I180" i="13"/>
  <c r="I181" i="13"/>
  <c r="I182" i="13"/>
  <c r="J171" i="13"/>
  <c r="CK175" i="13" s="1"/>
  <c r="J172" i="13"/>
  <c r="J180" i="13"/>
  <c r="J181" i="13"/>
  <c r="J182" i="13"/>
  <c r="K171" i="13"/>
  <c r="CK176" i="13" s="1"/>
  <c r="K172" i="13"/>
  <c r="K180" i="13"/>
  <c r="K181" i="13"/>
  <c r="K182" i="13"/>
  <c r="M171" i="13"/>
  <c r="CK177" i="13" s="1"/>
  <c r="M172" i="13"/>
  <c r="M180" i="13"/>
  <c r="M181" i="13"/>
  <c r="M182" i="13"/>
  <c r="N171" i="13"/>
  <c r="CK178" i="13" s="1"/>
  <c r="N172" i="13"/>
  <c r="N180" i="13"/>
  <c r="N181" i="13"/>
  <c r="N182" i="13"/>
  <c r="O171" i="13"/>
  <c r="CK179" i="13" s="1"/>
  <c r="O172" i="13"/>
  <c r="O180" i="13"/>
  <c r="O181" i="13"/>
  <c r="O182" i="13"/>
  <c r="P171" i="13"/>
  <c r="P172" i="13"/>
  <c r="P180" i="13"/>
  <c r="P181" i="13"/>
  <c r="P182" i="13"/>
  <c r="R171" i="13"/>
  <c r="CK181" i="13" s="1"/>
  <c r="R172" i="13"/>
  <c r="R180" i="13"/>
  <c r="R181" i="13"/>
  <c r="R182" i="13"/>
  <c r="S171" i="13"/>
  <c r="CK182" i="13" s="1"/>
  <c r="S172" i="13"/>
  <c r="S180" i="13"/>
  <c r="S181" i="13"/>
  <c r="S182" i="13"/>
  <c r="T172" i="13"/>
  <c r="T180" i="13"/>
  <c r="T181" i="13"/>
  <c r="T182" i="13"/>
  <c r="U172" i="13"/>
  <c r="U174" i="13" s="1"/>
  <c r="U180" i="13"/>
  <c r="U181" i="13"/>
  <c r="U182" i="13"/>
  <c r="W172" i="13"/>
  <c r="W180" i="13"/>
  <c r="W181" i="13"/>
  <c r="W182" i="13"/>
  <c r="X172" i="13"/>
  <c r="X180" i="13"/>
  <c r="X181" i="13"/>
  <c r="X182" i="13"/>
  <c r="Y171" i="13"/>
  <c r="Y172" i="13"/>
  <c r="Y180" i="13"/>
  <c r="Y181" i="13"/>
  <c r="Y182" i="13"/>
  <c r="Z172" i="13"/>
  <c r="Z180" i="13"/>
  <c r="Z181" i="13"/>
  <c r="Z182" i="13"/>
  <c r="AB172" i="13"/>
  <c r="AB174" i="13" s="1"/>
  <c r="AB180" i="13"/>
  <c r="AB181" i="13"/>
  <c r="AB182" i="13"/>
  <c r="AC148" i="13"/>
  <c r="AC172" i="13" s="1"/>
  <c r="AC156" i="13"/>
  <c r="AC180" i="13" s="1"/>
  <c r="AC157" i="13"/>
  <c r="AC181" i="13" s="1"/>
  <c r="AC158" i="13"/>
  <c r="AD148" i="13"/>
  <c r="AD172" i="13" s="1"/>
  <c r="AD156" i="13"/>
  <c r="AD180" i="13" s="1"/>
  <c r="AD157" i="13"/>
  <c r="AD181" i="13" s="1"/>
  <c r="AD158" i="13"/>
  <c r="AE148" i="13"/>
  <c r="AE172" i="13" s="1"/>
  <c r="AE156" i="13"/>
  <c r="AE180" i="13" s="1"/>
  <c r="AE157" i="13"/>
  <c r="AE181" i="13" s="1"/>
  <c r="AE158" i="13"/>
  <c r="AG148" i="13"/>
  <c r="AG172" i="13" s="1"/>
  <c r="AG156" i="13"/>
  <c r="AG180" i="13" s="1"/>
  <c r="AG157" i="13"/>
  <c r="AG181" i="13" s="1"/>
  <c r="AG158" i="13"/>
  <c r="AH148" i="13"/>
  <c r="AH172" i="13" s="1"/>
  <c r="AH156" i="13"/>
  <c r="AH180" i="13" s="1"/>
  <c r="AH157" i="13"/>
  <c r="AH181" i="13" s="1"/>
  <c r="AH158" i="13"/>
  <c r="AI148" i="13"/>
  <c r="AI172" i="13" s="1"/>
  <c r="AI156" i="13"/>
  <c r="AI180" i="13" s="1"/>
  <c r="AI157" i="13"/>
  <c r="AI181" i="13" s="1"/>
  <c r="AI158" i="13"/>
  <c r="AL148" i="13"/>
  <c r="AL172" i="13" s="1"/>
  <c r="AL156" i="13"/>
  <c r="AL180" i="13" s="1"/>
  <c r="AL157" i="13"/>
  <c r="AL181" i="13" s="1"/>
  <c r="AL158" i="13"/>
  <c r="AM148" i="13"/>
  <c r="AM172" i="13" s="1"/>
  <c r="AM156" i="13"/>
  <c r="AM180" i="13" s="1"/>
  <c r="AM157" i="13"/>
  <c r="AM181" i="13" s="1"/>
  <c r="AM158" i="13"/>
  <c r="AN148" i="13"/>
  <c r="AN172" i="13" s="1"/>
  <c r="AN156" i="13"/>
  <c r="AN180" i="13" s="1"/>
  <c r="AN157" i="13"/>
  <c r="AN181" i="13" s="1"/>
  <c r="AN158" i="13"/>
  <c r="AQ148" i="13"/>
  <c r="AQ172" i="13" s="1"/>
  <c r="AQ156" i="13"/>
  <c r="AQ180" i="13" s="1"/>
  <c r="AQ157" i="13"/>
  <c r="AQ181" i="13" s="1"/>
  <c r="AQ158" i="13"/>
  <c r="AR148" i="13"/>
  <c r="AR172" i="13" s="1"/>
  <c r="AR156" i="13"/>
  <c r="AR180" i="13" s="1"/>
  <c r="AR157" i="13"/>
  <c r="AR181" i="13" s="1"/>
  <c r="AR158" i="13"/>
  <c r="C126" i="13"/>
  <c r="D126" i="13"/>
  <c r="E126" i="13"/>
  <c r="F126" i="13"/>
  <c r="H126" i="13"/>
  <c r="I126" i="13"/>
  <c r="J126" i="13"/>
  <c r="K126" i="13"/>
  <c r="M126" i="13"/>
  <c r="N126" i="13"/>
  <c r="O126" i="13"/>
  <c r="P126" i="13"/>
  <c r="R126" i="13"/>
  <c r="S126" i="13"/>
  <c r="T126" i="13"/>
  <c r="U126" i="13"/>
  <c r="W126" i="13"/>
  <c r="X126" i="13"/>
  <c r="Y126" i="13"/>
  <c r="Z126" i="13"/>
  <c r="AB126" i="13"/>
  <c r="AC126" i="13"/>
  <c r="AD126" i="13"/>
  <c r="AE126" i="13"/>
  <c r="AG126" i="13"/>
  <c r="AH126" i="13"/>
  <c r="AI126" i="13"/>
  <c r="AJ126" i="13"/>
  <c r="AL126" i="13"/>
  <c r="AM126" i="13"/>
  <c r="AN126" i="13"/>
  <c r="AO126" i="13"/>
  <c r="AQ126" i="13"/>
  <c r="AR126" i="13"/>
  <c r="AS126" i="13"/>
  <c r="AT126" i="13"/>
  <c r="C129" i="13"/>
  <c r="D129" i="13"/>
  <c r="E129" i="13"/>
  <c r="F129" i="13"/>
  <c r="H129" i="13"/>
  <c r="I129" i="13"/>
  <c r="J129" i="13"/>
  <c r="K129" i="13"/>
  <c r="M129" i="13"/>
  <c r="N129" i="13"/>
  <c r="O129" i="13"/>
  <c r="P129" i="13"/>
  <c r="R129" i="13"/>
  <c r="S129" i="13"/>
  <c r="T129" i="13"/>
  <c r="U129" i="13"/>
  <c r="W129" i="13"/>
  <c r="X129" i="13"/>
  <c r="Y129" i="13"/>
  <c r="Z129" i="13"/>
  <c r="AB129" i="13"/>
  <c r="C130" i="13"/>
  <c r="D130" i="13"/>
  <c r="E130" i="13"/>
  <c r="F130" i="13"/>
  <c r="H130" i="13"/>
  <c r="I130" i="13"/>
  <c r="J130" i="13"/>
  <c r="K130" i="13"/>
  <c r="M130" i="13"/>
  <c r="N130" i="13"/>
  <c r="O130" i="13"/>
  <c r="P130" i="13"/>
  <c r="R130" i="13"/>
  <c r="S130" i="13"/>
  <c r="T130" i="13"/>
  <c r="U130" i="13"/>
  <c r="W130" i="13"/>
  <c r="X130" i="13"/>
  <c r="Y130" i="13"/>
  <c r="Z130" i="13"/>
  <c r="AB130" i="13"/>
  <c r="C133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P133" i="13"/>
  <c r="R133" i="13"/>
  <c r="S133" i="13"/>
  <c r="T133" i="13"/>
  <c r="U133" i="13"/>
  <c r="V133" i="13"/>
  <c r="W133" i="13"/>
  <c r="X133" i="13"/>
  <c r="Y133" i="13"/>
  <c r="Z133" i="13"/>
  <c r="AB133" i="13"/>
  <c r="AC133" i="13"/>
  <c r="AD133" i="13"/>
  <c r="AE133" i="13"/>
  <c r="AG133" i="13"/>
  <c r="AH133" i="13"/>
  <c r="AI133" i="13"/>
  <c r="AJ133" i="13"/>
  <c r="AL133" i="13"/>
  <c r="AM133" i="13"/>
  <c r="AN133" i="13"/>
  <c r="AO133" i="13"/>
  <c r="AQ133" i="13"/>
  <c r="AR133" i="13"/>
  <c r="AS133" i="13"/>
  <c r="AT133" i="13"/>
  <c r="AU133" i="13"/>
  <c r="AV133" i="13"/>
  <c r="AW133" i="13"/>
  <c r="AX133" i="13"/>
  <c r="C134" i="13"/>
  <c r="C137" i="13" s="1"/>
  <c r="D134" i="13"/>
  <c r="D137" i="13" s="1"/>
  <c r="E134" i="13"/>
  <c r="E137" i="13" s="1"/>
  <c r="F134" i="13"/>
  <c r="F137" i="13" s="1"/>
  <c r="G134" i="13"/>
  <c r="G137" i="13" s="1"/>
  <c r="H134" i="13"/>
  <c r="I134" i="13"/>
  <c r="J134" i="13"/>
  <c r="K134" i="13"/>
  <c r="L134" i="13"/>
  <c r="L137" i="13" s="1"/>
  <c r="M134" i="13"/>
  <c r="N134" i="13"/>
  <c r="O134" i="13"/>
  <c r="P134" i="13"/>
  <c r="Q134" i="13"/>
  <c r="Q137" i="13" s="1"/>
  <c r="R134" i="13"/>
  <c r="S134" i="13"/>
  <c r="T134" i="13"/>
  <c r="U134" i="13"/>
  <c r="W134" i="13"/>
  <c r="W137" i="13" s="1"/>
  <c r="X134" i="13"/>
  <c r="X137" i="13" s="1"/>
  <c r="Y134" i="13"/>
  <c r="Y137" i="13" s="1"/>
  <c r="Z134" i="13"/>
  <c r="Z137" i="13" s="1"/>
  <c r="AB134" i="13"/>
  <c r="AB137" i="13" s="1"/>
  <c r="AC134" i="13"/>
  <c r="AC137" i="13" s="1"/>
  <c r="AD134" i="13"/>
  <c r="AD137" i="13" s="1"/>
  <c r="AE134" i="13"/>
  <c r="AE137" i="13" s="1"/>
  <c r="AG134" i="13"/>
  <c r="AG137" i="13" s="1"/>
  <c r="AQ134" i="13"/>
  <c r="AQ137" i="13" s="1"/>
  <c r="M61" i="14"/>
  <c r="N61" i="14"/>
  <c r="O61" i="14"/>
  <c r="P61" i="14"/>
  <c r="R61" i="14"/>
  <c r="S61" i="14"/>
  <c r="T61" i="14"/>
  <c r="U61" i="14"/>
  <c r="CI173" i="13"/>
  <c r="CL173" i="13"/>
  <c r="Z174" i="13"/>
  <c r="CI174" i="13"/>
  <c r="CL174" i="13"/>
  <c r="CI175" i="13"/>
  <c r="CL175" i="13"/>
  <c r="CI176" i="13"/>
  <c r="CL176" i="13"/>
  <c r="CI177" i="13"/>
  <c r="CL177" i="13"/>
  <c r="CI178" i="13"/>
  <c r="CL178" i="13"/>
  <c r="CI179" i="13"/>
  <c r="CL179" i="13"/>
  <c r="CI180" i="13"/>
  <c r="CL180" i="13"/>
  <c r="CI181" i="13"/>
  <c r="CL181" i="13"/>
  <c r="CI182" i="13"/>
  <c r="CL182" i="13"/>
  <c r="CI183" i="13"/>
  <c r="CI184" i="13"/>
  <c r="CI185" i="13"/>
  <c r="CI186" i="13"/>
  <c r="CI187" i="13"/>
  <c r="CI188" i="13"/>
  <c r="CI189" i="13"/>
  <c r="CI190" i="13"/>
  <c r="CI191" i="13"/>
  <c r="CI192" i="13"/>
  <c r="CI193" i="13"/>
  <c r="CI194" i="13"/>
  <c r="CI195" i="13"/>
  <c r="CI196" i="13"/>
  <c r="CI197" i="13"/>
  <c r="CI198" i="13"/>
  <c r="CI199" i="13"/>
  <c r="CI200" i="13"/>
  <c r="CI201" i="13"/>
  <c r="CI202" i="13"/>
  <c r="BO14" i="14"/>
  <c r="BT14" i="14"/>
  <c r="BY14" i="14"/>
  <c r="CD14" i="14"/>
  <c r="CI14" i="14"/>
  <c r="CI15" i="14"/>
  <c r="CI16" i="14"/>
  <c r="CI17" i="14"/>
  <c r="CI18" i="14"/>
  <c r="CI19" i="14"/>
  <c r="CI20" i="14"/>
  <c r="BO21" i="14"/>
  <c r="BT21" i="14"/>
  <c r="BY21" i="14"/>
  <c r="CD21" i="14"/>
  <c r="CI21" i="14"/>
  <c r="CI22" i="14"/>
  <c r="CI23" i="14"/>
  <c r="BO24" i="14"/>
  <c r="BT24" i="14"/>
  <c r="BY24" i="14"/>
  <c r="CD24" i="14"/>
  <c r="CI24" i="14"/>
  <c r="CI25" i="14"/>
  <c r="CI26" i="14"/>
  <c r="CI27" i="14"/>
  <c r="CI28" i="14"/>
  <c r="CI29" i="14"/>
  <c r="CI30" i="14"/>
  <c r="CI31" i="14"/>
  <c r="CI32" i="14"/>
  <c r="CI33" i="14"/>
  <c r="CI34" i="14"/>
  <c r="BK145" i="14"/>
  <c r="BL145" i="14"/>
  <c r="BM145" i="14"/>
  <c r="BN145" i="14"/>
  <c r="BP35" i="14"/>
  <c r="BP145" i="14" s="1"/>
  <c r="BQ35" i="14"/>
  <c r="BQ145" i="14" s="1"/>
  <c r="BR35" i="14"/>
  <c r="BR145" i="14" s="1"/>
  <c r="BS35" i="14"/>
  <c r="BS145" i="14" s="1"/>
  <c r="BU35" i="14"/>
  <c r="BU145" i="14" s="1"/>
  <c r="BV35" i="14"/>
  <c r="BV145" i="14" s="1"/>
  <c r="BW35" i="14"/>
  <c r="BW145" i="14" s="1"/>
  <c r="BX35" i="14"/>
  <c r="BX145" i="14" s="1"/>
  <c r="BZ35" i="14"/>
  <c r="BZ145" i="14" s="1"/>
  <c r="CA35" i="14"/>
  <c r="CA145" i="14" s="1"/>
  <c r="CB35" i="14"/>
  <c r="CB145" i="14" s="1"/>
  <c r="CC35" i="14"/>
  <c r="CC145" i="14" s="1"/>
  <c r="CI35" i="14"/>
  <c r="CI36" i="14"/>
  <c r="CI37" i="14"/>
  <c r="C38" i="14"/>
  <c r="D38" i="14"/>
  <c r="E38" i="14"/>
  <c r="F38" i="14"/>
  <c r="G38" i="14"/>
  <c r="H38" i="14"/>
  <c r="M38" i="14"/>
  <c r="N38" i="14"/>
  <c r="O38" i="14"/>
  <c r="P38" i="14"/>
  <c r="R38" i="14"/>
  <c r="S38" i="14"/>
  <c r="T38" i="14"/>
  <c r="U38" i="14"/>
  <c r="W38" i="14"/>
  <c r="X38" i="14"/>
  <c r="Y38" i="14"/>
  <c r="Z38" i="14"/>
  <c r="AB38" i="14"/>
  <c r="AC38" i="14"/>
  <c r="AD38" i="14"/>
  <c r="AE38" i="14"/>
  <c r="CI38" i="14"/>
  <c r="CI39" i="14"/>
  <c r="CI40" i="14"/>
  <c r="C41" i="14"/>
  <c r="D41" i="14"/>
  <c r="CI41" i="14"/>
  <c r="H42" i="14"/>
  <c r="I42" i="14"/>
  <c r="J42" i="14"/>
  <c r="K42" i="14"/>
  <c r="M42" i="14"/>
  <c r="N42" i="14"/>
  <c r="O42" i="14"/>
  <c r="P42" i="14"/>
  <c r="R42" i="14"/>
  <c r="S42" i="14"/>
  <c r="T42" i="14"/>
  <c r="U42" i="14"/>
  <c r="CI42" i="14"/>
  <c r="CI43" i="14"/>
  <c r="CI44" i="14"/>
  <c r="CI61" i="14"/>
  <c r="M60" i="14"/>
  <c r="N60" i="14"/>
  <c r="O60" i="14"/>
  <c r="P60" i="14"/>
  <c r="R60" i="14"/>
  <c r="S60" i="14"/>
  <c r="T60" i="14"/>
  <c r="U60" i="14"/>
  <c r="H57" i="14"/>
  <c r="I57" i="14"/>
  <c r="J57" i="14"/>
  <c r="K57" i="14"/>
  <c r="H72" i="14"/>
  <c r="M72" i="14"/>
  <c r="N72" i="14"/>
  <c r="S72" i="14"/>
  <c r="W72" i="14"/>
  <c r="Y72" i="14"/>
  <c r="Z72" i="14"/>
  <c r="AB72" i="14"/>
  <c r="AD72" i="14"/>
  <c r="AE72" i="14"/>
  <c r="AG72" i="14"/>
  <c r="AI72" i="14"/>
  <c r="AJ72" i="14"/>
  <c r="AL72" i="14"/>
  <c r="AN72" i="14"/>
  <c r="AO72" i="14"/>
  <c r="AQ72" i="14"/>
  <c r="AR72" i="14"/>
  <c r="AS72" i="14"/>
  <c r="AT72" i="14"/>
  <c r="AU72" i="14"/>
  <c r="H73" i="14"/>
  <c r="I73" i="14"/>
  <c r="J73" i="14"/>
  <c r="M73" i="14"/>
  <c r="P73" i="14"/>
  <c r="S73" i="14"/>
  <c r="W73" i="14"/>
  <c r="X73" i="14"/>
  <c r="AB73" i="14"/>
  <c r="AH73" i="14"/>
  <c r="AN73" i="14"/>
  <c r="AQ73" i="14"/>
  <c r="AR73" i="14"/>
  <c r="AS73" i="14"/>
  <c r="AT73" i="14"/>
  <c r="AV73" i="14"/>
  <c r="G75" i="14"/>
  <c r="H75" i="14"/>
  <c r="I75" i="14"/>
  <c r="N75" i="14"/>
  <c r="P75" i="14"/>
  <c r="R75" i="14"/>
  <c r="U75" i="14"/>
  <c r="W75" i="14"/>
  <c r="Z75" i="14"/>
  <c r="AB75" i="14"/>
  <c r="AH75" i="14"/>
  <c r="AM75" i="14"/>
  <c r="AN75" i="14"/>
  <c r="AO75" i="14"/>
  <c r="AQ75" i="14"/>
  <c r="AR75" i="14"/>
  <c r="AS75" i="14"/>
  <c r="AT75" i="14"/>
  <c r="AU75" i="14"/>
  <c r="AV75" i="14"/>
  <c r="AW75" i="14"/>
  <c r="AX75" i="14"/>
  <c r="BA75" i="14"/>
  <c r="BB75" i="14"/>
  <c r="BD75" i="14"/>
  <c r="BF75" i="14"/>
  <c r="BG75" i="14"/>
  <c r="BH75" i="14"/>
  <c r="BI75" i="14"/>
  <c r="BJ75" i="14"/>
  <c r="BK75" i="14"/>
  <c r="BL75" i="14"/>
  <c r="BM75" i="14"/>
  <c r="BN75" i="14"/>
  <c r="BO75" i="14"/>
  <c r="BP75" i="14"/>
  <c r="BQ75" i="14"/>
  <c r="BR75" i="14"/>
  <c r="BS75" i="14"/>
  <c r="BU75" i="14"/>
  <c r="BV75" i="14"/>
  <c r="BW75" i="14"/>
  <c r="BX75" i="14"/>
  <c r="BZ75" i="14"/>
  <c r="CA75" i="14"/>
  <c r="CB75" i="14"/>
  <c r="CC75" i="14"/>
  <c r="CD75" i="14"/>
  <c r="G76" i="14"/>
  <c r="H76" i="14"/>
  <c r="I76" i="14"/>
  <c r="N76" i="14"/>
  <c r="R76" i="14"/>
  <c r="S76" i="14"/>
  <c r="U76" i="14"/>
  <c r="W76" i="14"/>
  <c r="X76" i="14"/>
  <c r="Z76" i="14"/>
  <c r="AB76" i="14"/>
  <c r="AG76" i="14"/>
  <c r="AH76" i="14"/>
  <c r="AN76" i="14"/>
  <c r="AO76" i="14"/>
  <c r="AQ76" i="14"/>
  <c r="AR76" i="14"/>
  <c r="AS76" i="14"/>
  <c r="AT76" i="14"/>
  <c r="H77" i="14"/>
  <c r="K77" i="14"/>
  <c r="N77" i="14"/>
  <c r="O77" i="14"/>
  <c r="P77" i="14"/>
  <c r="R77" i="14"/>
  <c r="U77" i="14"/>
  <c r="W77" i="14"/>
  <c r="Z77" i="14"/>
  <c r="AB77" i="14"/>
  <c r="AC77" i="14"/>
  <c r="AG77" i="14"/>
  <c r="AH77" i="14"/>
  <c r="AN77" i="14"/>
  <c r="AQ77" i="14"/>
  <c r="AR77" i="14"/>
  <c r="AS77" i="14"/>
  <c r="AT77" i="14"/>
  <c r="AU77" i="14"/>
  <c r="AV77" i="14"/>
  <c r="AW77" i="14"/>
  <c r="AX77" i="14"/>
  <c r="AZ77" i="14"/>
  <c r="BA77" i="14"/>
  <c r="BB77" i="14"/>
  <c r="BD77" i="14"/>
  <c r="BF77" i="14"/>
  <c r="BG77" i="14"/>
  <c r="BH77" i="14"/>
  <c r="BI77" i="14"/>
  <c r="BK77" i="14"/>
  <c r="BL77" i="14"/>
  <c r="BM77" i="14"/>
  <c r="BN77" i="14"/>
  <c r="BP77" i="14"/>
  <c r="BQ77" i="14"/>
  <c r="BR77" i="14"/>
  <c r="BS77" i="14"/>
  <c r="BU77" i="14"/>
  <c r="BV77" i="14"/>
  <c r="BW77" i="14"/>
  <c r="BX77" i="14"/>
  <c r="BZ77" i="14"/>
  <c r="CA77" i="14"/>
  <c r="CB77" i="14"/>
  <c r="CC77" i="14"/>
  <c r="H78" i="14"/>
  <c r="I78" i="14"/>
  <c r="M78" i="14"/>
  <c r="N78" i="14"/>
  <c r="O78" i="14"/>
  <c r="P78" i="14"/>
  <c r="Q78" i="14"/>
  <c r="R78" i="14"/>
  <c r="S78" i="14"/>
  <c r="T78" i="14"/>
  <c r="U78" i="14"/>
  <c r="V78" i="14"/>
  <c r="W78" i="14"/>
  <c r="X78" i="14"/>
  <c r="Y78" i="14"/>
  <c r="Z78" i="14"/>
  <c r="AA78" i="14"/>
  <c r="AB78" i="14"/>
  <c r="AC78" i="14"/>
  <c r="AD78" i="14"/>
  <c r="AE78" i="14"/>
  <c r="AF78" i="14"/>
  <c r="AG78" i="14"/>
  <c r="AH78" i="14"/>
  <c r="AI78" i="14"/>
  <c r="AJ78" i="14"/>
  <c r="AL78" i="14"/>
  <c r="AM78" i="14"/>
  <c r="AN78" i="14"/>
  <c r="AO78" i="14"/>
  <c r="AQ78" i="14"/>
  <c r="AR78" i="14"/>
  <c r="AS78" i="14"/>
  <c r="AT78" i="14"/>
  <c r="AU78" i="14"/>
  <c r="AV78" i="14"/>
  <c r="AW78" i="14"/>
  <c r="AX78" i="14"/>
  <c r="AZ78" i="14"/>
  <c r="BA78" i="14"/>
  <c r="BB78" i="14"/>
  <c r="BD78" i="14"/>
  <c r="BF78" i="14"/>
  <c r="BG78" i="14"/>
  <c r="BH78" i="14"/>
  <c r="BI78" i="14"/>
  <c r="BJ78" i="14"/>
  <c r="BK78" i="14"/>
  <c r="BL78" i="14"/>
  <c r="BM78" i="14"/>
  <c r="BN78" i="14"/>
  <c r="BO78" i="14"/>
  <c r="BP78" i="14"/>
  <c r="BQ78" i="14"/>
  <c r="BR78" i="14"/>
  <c r="BS78" i="14"/>
  <c r="BT78" i="14"/>
  <c r="BU78" i="14"/>
  <c r="BV78" i="14"/>
  <c r="BW78" i="14"/>
  <c r="BX78" i="14"/>
  <c r="BY78" i="14"/>
  <c r="BZ78" i="14"/>
  <c r="CA78" i="14"/>
  <c r="CB78" i="14"/>
  <c r="CC78" i="14"/>
  <c r="CD78" i="14"/>
  <c r="AR79" i="14"/>
  <c r="AS79" i="14"/>
  <c r="E80" i="14"/>
  <c r="F80" i="14"/>
  <c r="G80" i="14"/>
  <c r="H80" i="14"/>
  <c r="I80" i="14"/>
  <c r="J80" i="14"/>
  <c r="K80" i="14"/>
  <c r="L80" i="14"/>
  <c r="M80" i="14"/>
  <c r="N80" i="14"/>
  <c r="O80" i="14"/>
  <c r="P80" i="14"/>
  <c r="Q80" i="14"/>
  <c r="R80" i="14"/>
  <c r="S80" i="14"/>
  <c r="T80" i="14"/>
  <c r="U80" i="14"/>
  <c r="V80" i="14"/>
  <c r="W80" i="14"/>
  <c r="X80" i="14"/>
  <c r="Y80" i="14"/>
  <c r="Z80" i="14"/>
  <c r="AA80" i="14"/>
  <c r="AB80" i="14"/>
  <c r="AC80" i="14"/>
  <c r="AD80" i="14"/>
  <c r="AE80" i="14"/>
  <c r="AF80" i="14"/>
  <c r="AG80" i="14"/>
  <c r="AH80" i="14"/>
  <c r="AI80" i="14"/>
  <c r="AJ80" i="14"/>
  <c r="AK80" i="14"/>
  <c r="AL80" i="14"/>
  <c r="AM80" i="14"/>
  <c r="AN80" i="14"/>
  <c r="AO80" i="14"/>
  <c r="AP80" i="14"/>
  <c r="AQ80" i="14"/>
  <c r="AR80" i="14"/>
  <c r="AS80" i="14"/>
  <c r="AT80" i="14"/>
  <c r="AU80" i="14"/>
  <c r="AV80" i="14"/>
  <c r="AW80" i="14"/>
  <c r="AX80" i="14"/>
  <c r="AZ80" i="14"/>
  <c r="BA80" i="14"/>
  <c r="BB80" i="14"/>
  <c r="BD80" i="14"/>
  <c r="BF80" i="14"/>
  <c r="BG80" i="14"/>
  <c r="BH80" i="14"/>
  <c r="BI80" i="14"/>
  <c r="BJ80" i="14"/>
  <c r="BK80" i="14"/>
  <c r="BM80" i="14"/>
  <c r="BN80" i="14"/>
  <c r="BO80" i="14"/>
  <c r="BP80" i="14"/>
  <c r="BQ80" i="14"/>
  <c r="BR80" i="14"/>
  <c r="BS80" i="14"/>
  <c r="BT80" i="14"/>
  <c r="BU80" i="14"/>
  <c r="BV80" i="14"/>
  <c r="BW80" i="14"/>
  <c r="BX80" i="14"/>
  <c r="BY80" i="14"/>
  <c r="BZ80" i="14"/>
  <c r="CA80" i="14"/>
  <c r="CB80" i="14"/>
  <c r="CC80" i="14"/>
  <c r="CD80" i="14"/>
  <c r="G81" i="14"/>
  <c r="J81" i="14"/>
  <c r="K81" i="14"/>
  <c r="N81" i="14"/>
  <c r="P81" i="14"/>
  <c r="S81" i="14"/>
  <c r="U81" i="14"/>
  <c r="X81" i="14"/>
  <c r="Y81" i="14"/>
  <c r="Z81" i="14"/>
  <c r="AC81" i="14"/>
  <c r="AG81" i="14"/>
  <c r="AH81" i="14"/>
  <c r="AJ81" i="14"/>
  <c r="AS81" i="14"/>
  <c r="AU81" i="14"/>
  <c r="I82" i="14"/>
  <c r="M82" i="14"/>
  <c r="N82" i="14"/>
  <c r="P82" i="14"/>
  <c r="R82" i="14"/>
  <c r="S82" i="14"/>
  <c r="U82" i="14"/>
  <c r="W82" i="14"/>
  <c r="X82" i="14"/>
  <c r="Z82" i="14"/>
  <c r="AB82" i="14"/>
  <c r="AC82" i="14"/>
  <c r="AG82" i="14"/>
  <c r="AN82" i="14"/>
  <c r="AS82" i="14"/>
  <c r="G83" i="14"/>
  <c r="K83" i="14"/>
  <c r="M83" i="14"/>
  <c r="P83" i="14"/>
  <c r="U83" i="14"/>
  <c r="W83" i="14"/>
  <c r="Z83" i="14"/>
  <c r="AE83" i="14"/>
  <c r="AG83" i="14"/>
  <c r="AI83" i="14"/>
  <c r="AJ83" i="14"/>
  <c r="AS83" i="14"/>
  <c r="AU83" i="14"/>
  <c r="AW83" i="14"/>
  <c r="AX83" i="14"/>
  <c r="AZ83" i="14"/>
  <c r="BA83" i="14"/>
  <c r="BB83" i="14"/>
  <c r="BD83" i="14"/>
  <c r="BF83" i="14"/>
  <c r="BG83" i="14"/>
  <c r="BH83" i="14"/>
  <c r="BI83" i="14"/>
  <c r="BK83" i="14"/>
  <c r="BL83" i="14"/>
  <c r="BM83" i="14"/>
  <c r="BN83" i="14"/>
  <c r="BP83" i="14"/>
  <c r="BQ83" i="14"/>
  <c r="BR83" i="14"/>
  <c r="BS83" i="14"/>
  <c r="BT83" i="14"/>
  <c r="BU83" i="14"/>
  <c r="BV83" i="14"/>
  <c r="BW83" i="14"/>
  <c r="BX83" i="14"/>
  <c r="BZ83" i="14"/>
  <c r="CA83" i="14"/>
  <c r="CB83" i="14"/>
  <c r="CC83" i="14"/>
  <c r="AD102" i="14"/>
  <c r="AD105" i="14" s="1"/>
  <c r="AE102" i="14"/>
  <c r="AE105" i="14" s="1"/>
  <c r="AK104" i="14"/>
  <c r="AP104" i="14"/>
  <c r="AU104" i="14"/>
  <c r="AZ104" i="14"/>
  <c r="BJ104" i="14"/>
  <c r="BO104" i="14"/>
  <c r="BT104" i="14"/>
  <c r="BY104" i="14"/>
  <c r="CD104" i="14"/>
  <c r="AB105" i="14"/>
  <c r="AC105" i="14"/>
  <c r="W120" i="14"/>
  <c r="X112" i="14" s="1"/>
  <c r="X120" i="14"/>
  <c r="Y112" i="14" s="1"/>
  <c r="Y120" i="14"/>
  <c r="Z112" i="14" s="1"/>
  <c r="AB120" i="14"/>
  <c r="AC112" i="14" s="1"/>
  <c r="AC120" i="14"/>
  <c r="AD112" i="14" s="1"/>
  <c r="AD120" i="14"/>
  <c r="AE112" i="14" s="1"/>
  <c r="V113" i="14"/>
  <c r="W113" i="14"/>
  <c r="X113" i="14"/>
  <c r="Y113" i="14"/>
  <c r="Z113" i="14"/>
  <c r="AA113" i="14"/>
  <c r="AB113" i="14"/>
  <c r="AC113" i="14"/>
  <c r="AF113" i="14"/>
  <c r="E120" i="14"/>
  <c r="Q120" i="14"/>
  <c r="Z120" i="14"/>
  <c r="AE120" i="14"/>
  <c r="AN127" i="14"/>
  <c r="AO127" i="14"/>
  <c r="C135" i="14"/>
  <c r="D135" i="14"/>
  <c r="E135" i="14"/>
  <c r="F135" i="14"/>
  <c r="H135" i="14"/>
  <c r="I135" i="14"/>
  <c r="J135" i="14"/>
  <c r="K135" i="14"/>
  <c r="M135" i="14"/>
  <c r="N135" i="14"/>
  <c r="O135" i="14"/>
  <c r="P135" i="14"/>
  <c r="R135" i="14"/>
  <c r="S135" i="14"/>
  <c r="T135" i="14"/>
  <c r="U135" i="14"/>
  <c r="W135" i="14"/>
  <c r="X135" i="14"/>
  <c r="Y135" i="14"/>
  <c r="Z135" i="14"/>
  <c r="AB135" i="14"/>
  <c r="AC135" i="14"/>
  <c r="AD135" i="14"/>
  <c r="AE135" i="14"/>
  <c r="AG135" i="14"/>
  <c r="AH135" i="14"/>
  <c r="AI135" i="14"/>
  <c r="AJ135" i="14"/>
  <c r="AL135" i="14"/>
  <c r="AM135" i="14"/>
  <c r="AN135" i="14"/>
  <c r="AO135" i="14"/>
  <c r="AQ135" i="14"/>
  <c r="AR135" i="14"/>
  <c r="AS135" i="14"/>
  <c r="AT135" i="14"/>
  <c r="C137" i="14"/>
  <c r="D137" i="14"/>
  <c r="E137" i="14"/>
  <c r="F137" i="14"/>
  <c r="H137" i="14"/>
  <c r="I137" i="14"/>
  <c r="J137" i="14"/>
  <c r="K137" i="14"/>
  <c r="M137" i="14"/>
  <c r="N137" i="14"/>
  <c r="O137" i="14"/>
  <c r="P137" i="14"/>
  <c r="R137" i="14"/>
  <c r="S137" i="14"/>
  <c r="T137" i="14"/>
  <c r="U137" i="14"/>
  <c r="W137" i="14"/>
  <c r="X137" i="14"/>
  <c r="Y137" i="14"/>
  <c r="Z137" i="14"/>
  <c r="AB137" i="14"/>
  <c r="AC137" i="14"/>
  <c r="AD137" i="14"/>
  <c r="AE137" i="14"/>
  <c r="AG137" i="14"/>
  <c r="AH137" i="14"/>
  <c r="AI137" i="14"/>
  <c r="AJ137" i="14"/>
  <c r="AL137" i="14"/>
  <c r="AM137" i="14"/>
  <c r="AN137" i="14"/>
  <c r="AO137" i="14"/>
  <c r="AQ137" i="14"/>
  <c r="AR137" i="14"/>
  <c r="AS137" i="14"/>
  <c r="AT137" i="14"/>
  <c r="C140" i="14"/>
  <c r="D140" i="14"/>
  <c r="E140" i="14"/>
  <c r="F140" i="14"/>
  <c r="H140" i="14"/>
  <c r="I140" i="14"/>
  <c r="J140" i="14"/>
  <c r="K140" i="14"/>
  <c r="M140" i="14"/>
  <c r="N140" i="14"/>
  <c r="O140" i="14"/>
  <c r="P140" i="14"/>
  <c r="R140" i="14"/>
  <c r="S140" i="14"/>
  <c r="T140" i="14"/>
  <c r="U140" i="14"/>
  <c r="W140" i="14"/>
  <c r="X140" i="14"/>
  <c r="Y140" i="14"/>
  <c r="Z140" i="14"/>
  <c r="AB140" i="14"/>
  <c r="AC140" i="14"/>
  <c r="AD140" i="14"/>
  <c r="AE140" i="14"/>
  <c r="AG140" i="14"/>
  <c r="AH140" i="14"/>
  <c r="AI140" i="14"/>
  <c r="AJ140" i="14"/>
  <c r="AL140" i="14"/>
  <c r="AM140" i="14"/>
  <c r="AN140" i="14"/>
  <c r="AO140" i="14"/>
  <c r="AQ140" i="14"/>
  <c r="AR140" i="14"/>
  <c r="AS140" i="14"/>
  <c r="AT140" i="14"/>
  <c r="C145" i="14"/>
  <c r="D145" i="14"/>
  <c r="E145" i="14"/>
  <c r="F145" i="14"/>
  <c r="G145" i="14"/>
  <c r="H145" i="14"/>
  <c r="I145" i="14"/>
  <c r="J145" i="14"/>
  <c r="K145" i="14"/>
  <c r="L145" i="14"/>
  <c r="M145" i="14"/>
  <c r="N145" i="14"/>
  <c r="O145" i="14"/>
  <c r="P145" i="14"/>
  <c r="Q145" i="14"/>
  <c r="R145" i="14"/>
  <c r="S145" i="14"/>
  <c r="T145" i="14"/>
  <c r="U145" i="14"/>
  <c r="V145" i="14"/>
  <c r="W145" i="14"/>
  <c r="X145" i="14"/>
  <c r="Y145" i="14"/>
  <c r="Z145" i="14"/>
  <c r="AA145" i="14"/>
  <c r="AB145" i="14"/>
  <c r="AC145" i="14"/>
  <c r="AD145" i="14"/>
  <c r="AE145" i="14"/>
  <c r="AF145" i="14"/>
  <c r="AG145" i="14"/>
  <c r="AL145" i="14"/>
  <c r="AM145" i="14"/>
  <c r="AN145" i="14"/>
  <c r="AO145" i="14"/>
  <c r="AQ145" i="14"/>
  <c r="AR145" i="14"/>
  <c r="AS145" i="14"/>
  <c r="AT145" i="14"/>
  <c r="AU145" i="14"/>
  <c r="AV145" i="14"/>
  <c r="AW145" i="14"/>
  <c r="AX145" i="14"/>
  <c r="BA145" i="14"/>
  <c r="BD145" i="14"/>
  <c r="BH145" i="14"/>
  <c r="CJ15" i="6"/>
  <c r="CJ16" i="6"/>
  <c r="CJ17" i="6"/>
  <c r="CJ18" i="6"/>
  <c r="CJ19" i="6"/>
  <c r="CJ20" i="6"/>
  <c r="CJ21" i="6"/>
  <c r="CJ22" i="6"/>
  <c r="CJ23" i="6"/>
  <c r="CJ24" i="6"/>
  <c r="CJ25" i="6"/>
  <c r="CJ26" i="6"/>
  <c r="CJ27" i="6"/>
  <c r="CJ28" i="6"/>
  <c r="CJ29" i="6"/>
  <c r="CJ30" i="6"/>
  <c r="CJ31" i="6"/>
  <c r="CJ32" i="6"/>
  <c r="CJ33" i="6"/>
  <c r="CJ34" i="6"/>
  <c r="CJ35" i="6"/>
  <c r="CJ36" i="6"/>
  <c r="CJ37" i="6"/>
  <c r="CJ38" i="6"/>
  <c r="CK15" i="6"/>
  <c r="CK16" i="6"/>
  <c r="CK17" i="6"/>
  <c r="CK18" i="6"/>
  <c r="CK19" i="6"/>
  <c r="CK20" i="6"/>
  <c r="CK21" i="6"/>
  <c r="CK22" i="6"/>
  <c r="CK23" i="6"/>
  <c r="CK24" i="6"/>
  <c r="CK25" i="6"/>
  <c r="CK26" i="6"/>
  <c r="CK27" i="6"/>
  <c r="CK28" i="6"/>
  <c r="CK29" i="6"/>
  <c r="CK30" i="6"/>
  <c r="CK31" i="6"/>
  <c r="CK32" i="6"/>
  <c r="CK33" i="6"/>
  <c r="CK34" i="6"/>
  <c r="CK35" i="6"/>
  <c r="CK36" i="6"/>
  <c r="CK37" i="6"/>
  <c r="CK38" i="6"/>
  <c r="CL15" i="6"/>
  <c r="CL16" i="6"/>
  <c r="CL17" i="6"/>
  <c r="CL18" i="6"/>
  <c r="CL19" i="6"/>
  <c r="CL20" i="6"/>
  <c r="CL21" i="6"/>
  <c r="CL22" i="6"/>
  <c r="CL23" i="6"/>
  <c r="CL24" i="6"/>
  <c r="CL25" i="6"/>
  <c r="CL26" i="6"/>
  <c r="CL27" i="6"/>
  <c r="CL28" i="6"/>
  <c r="CL29" i="6"/>
  <c r="CL30" i="6"/>
  <c r="CL31" i="6"/>
  <c r="CL32" i="6"/>
  <c r="CL33" i="6"/>
  <c r="CL34" i="6"/>
  <c r="CL35" i="6"/>
  <c r="CL36" i="6"/>
  <c r="CL37" i="6"/>
  <c r="CL38" i="6"/>
  <c r="CM15" i="6"/>
  <c r="CM16" i="6"/>
  <c r="CM17" i="6"/>
  <c r="CM18" i="6"/>
  <c r="CM19" i="6"/>
  <c r="CM20" i="6"/>
  <c r="CM21" i="6"/>
  <c r="CM22" i="6"/>
  <c r="CM23" i="6"/>
  <c r="CM24" i="6"/>
  <c r="CM25" i="6"/>
  <c r="CM26" i="6"/>
  <c r="CM27" i="6"/>
  <c r="CM28" i="6"/>
  <c r="CM29" i="6"/>
  <c r="CM30" i="6"/>
  <c r="CM31" i="6"/>
  <c r="CM32" i="6"/>
  <c r="CM33" i="6"/>
  <c r="CM34" i="6"/>
  <c r="CM35" i="6"/>
  <c r="CM36" i="6"/>
  <c r="CM37" i="6"/>
  <c r="CM38" i="6"/>
  <c r="CN15" i="6"/>
  <c r="CN16" i="6"/>
  <c r="CN17" i="6"/>
  <c r="CN18" i="6"/>
  <c r="CN19" i="6"/>
  <c r="CN20" i="6"/>
  <c r="CN21" i="6"/>
  <c r="CN22" i="6"/>
  <c r="CN23" i="6"/>
  <c r="CN24" i="6"/>
  <c r="CN25" i="6"/>
  <c r="CN26" i="6"/>
  <c r="CN27" i="6"/>
  <c r="CN28" i="6"/>
  <c r="CN29" i="6"/>
  <c r="CN30" i="6"/>
  <c r="CN31" i="6"/>
  <c r="CN32" i="6"/>
  <c r="CN33" i="6"/>
  <c r="CN34" i="6"/>
  <c r="CN35" i="6"/>
  <c r="CN36" i="6"/>
  <c r="CN37" i="6"/>
  <c r="CN38" i="6"/>
  <c r="CT15" i="6"/>
  <c r="CT16" i="6"/>
  <c r="CT17" i="6"/>
  <c r="CT18" i="6"/>
  <c r="CT19" i="6"/>
  <c r="CT20" i="6"/>
  <c r="CT21" i="6"/>
  <c r="CT22" i="6"/>
  <c r="CT23" i="6"/>
  <c r="CT24" i="6"/>
  <c r="CT25" i="6"/>
  <c r="CT26" i="6"/>
  <c r="CT27" i="6"/>
  <c r="CT28" i="6"/>
  <c r="CT29" i="6"/>
  <c r="CT30" i="6"/>
  <c r="CT31" i="6"/>
  <c r="CT32" i="6"/>
  <c r="CT33" i="6"/>
  <c r="CT34" i="6"/>
  <c r="CT35" i="6"/>
  <c r="CT36" i="6"/>
  <c r="CT37" i="6"/>
  <c r="CU15" i="6"/>
  <c r="CU16" i="6"/>
  <c r="CU17" i="6"/>
  <c r="CU18" i="6"/>
  <c r="CU19" i="6"/>
  <c r="CU20" i="6"/>
  <c r="CU21" i="6"/>
  <c r="CU22" i="6"/>
  <c r="CU23" i="6"/>
  <c r="CU24" i="6"/>
  <c r="CU25" i="6"/>
  <c r="CU26" i="6"/>
  <c r="CU27" i="6"/>
  <c r="CU28" i="6"/>
  <c r="CU29" i="6"/>
  <c r="CU30" i="6"/>
  <c r="CU31" i="6"/>
  <c r="CU32" i="6"/>
  <c r="CU33" i="6"/>
  <c r="CU34" i="6"/>
  <c r="CU35" i="6"/>
  <c r="CU36" i="6"/>
  <c r="CU37" i="6"/>
  <c r="CV15" i="6"/>
  <c r="CV16" i="6"/>
  <c r="CV17" i="6"/>
  <c r="CV18" i="6"/>
  <c r="CV19" i="6"/>
  <c r="CV20" i="6"/>
  <c r="CV21" i="6"/>
  <c r="CV22" i="6"/>
  <c r="CV23" i="6"/>
  <c r="CV24" i="6"/>
  <c r="CV25" i="6"/>
  <c r="CV26" i="6"/>
  <c r="CV27" i="6"/>
  <c r="CV28" i="6"/>
  <c r="CV29" i="6"/>
  <c r="CV30" i="6"/>
  <c r="CV31" i="6"/>
  <c r="CV32" i="6"/>
  <c r="CV33" i="6"/>
  <c r="CV34" i="6"/>
  <c r="CV35" i="6"/>
  <c r="CV36" i="6"/>
  <c r="CV37" i="6"/>
  <c r="CW15" i="6"/>
  <c r="CW16" i="6"/>
  <c r="CW17" i="6"/>
  <c r="CW18" i="6"/>
  <c r="CW19" i="6"/>
  <c r="CW20" i="6"/>
  <c r="CW21" i="6"/>
  <c r="CW22" i="6"/>
  <c r="CW23" i="6"/>
  <c r="CW24" i="6"/>
  <c r="CW25" i="6"/>
  <c r="CW26" i="6"/>
  <c r="CW27" i="6"/>
  <c r="CW28" i="6"/>
  <c r="CW29" i="6"/>
  <c r="CW30" i="6"/>
  <c r="CW31" i="6"/>
  <c r="CW32" i="6"/>
  <c r="CW33" i="6"/>
  <c r="CW34" i="6"/>
  <c r="CW35" i="6"/>
  <c r="CW36" i="6"/>
  <c r="CW37" i="6"/>
  <c r="AK12" i="6"/>
  <c r="AP12" i="6"/>
  <c r="AU12" i="6"/>
  <c r="CR16" i="6"/>
  <c r="CH16" i="6"/>
  <c r="CH17" i="6"/>
  <c r="CH18" i="6"/>
  <c r="CH19" i="6"/>
  <c r="CH20" i="6"/>
  <c r="CH21" i="6"/>
  <c r="CH22" i="6"/>
  <c r="CH23" i="6"/>
  <c r="CH24" i="6"/>
  <c r="CH25" i="6"/>
  <c r="CH26" i="6"/>
  <c r="CH27" i="6"/>
  <c r="CH28" i="6"/>
  <c r="CH29" i="6"/>
  <c r="CH30" i="6"/>
  <c r="CH31" i="6"/>
  <c r="CH32" i="6"/>
  <c r="CH33" i="6"/>
  <c r="CH34" i="6"/>
  <c r="CH35" i="6"/>
  <c r="CH36" i="6"/>
  <c r="CH37" i="6"/>
  <c r="CH38" i="6"/>
  <c r="CR43" i="6"/>
  <c r="AK13" i="6"/>
  <c r="AP13" i="6"/>
  <c r="AU13" i="6"/>
  <c r="AK14" i="6"/>
  <c r="AP14" i="6"/>
  <c r="AU14" i="6"/>
  <c r="AK15" i="6"/>
  <c r="AP15" i="6"/>
  <c r="AU15" i="6"/>
  <c r="CI15" i="6"/>
  <c r="CQ15" i="6"/>
  <c r="CS15" i="6"/>
  <c r="AK16" i="6"/>
  <c r="AP16" i="6"/>
  <c r="AU16" i="6"/>
  <c r="CI16" i="6"/>
  <c r="CQ16" i="6"/>
  <c r="CS16" i="6"/>
  <c r="CI17" i="6"/>
  <c r="CQ17" i="6"/>
  <c r="CS17" i="6"/>
  <c r="CI18" i="6"/>
  <c r="CQ18" i="6"/>
  <c r="CS18" i="6"/>
  <c r="AK19" i="6"/>
  <c r="AP19" i="6"/>
  <c r="AU19" i="6"/>
  <c r="CI19" i="6"/>
  <c r="CQ19" i="6"/>
  <c r="CS19" i="6"/>
  <c r="AK20" i="6"/>
  <c r="AP20" i="6"/>
  <c r="AU20" i="6"/>
  <c r="CI20" i="6"/>
  <c r="CQ20" i="6"/>
  <c r="CS20" i="6"/>
  <c r="CI21" i="6"/>
  <c r="CQ21" i="6"/>
  <c r="CS21" i="6"/>
  <c r="CI22" i="6"/>
  <c r="CQ22" i="6"/>
  <c r="CS22" i="6"/>
  <c r="CI23" i="6"/>
  <c r="CQ23" i="6"/>
  <c r="CS23" i="6"/>
  <c r="CI24" i="6"/>
  <c r="CQ24" i="6"/>
  <c r="CS24" i="6"/>
  <c r="CI25" i="6"/>
  <c r="CQ25" i="6"/>
  <c r="CS25" i="6"/>
  <c r="CI26" i="6"/>
  <c r="CQ26" i="6"/>
  <c r="CS26" i="6"/>
  <c r="CI27" i="6"/>
  <c r="CQ27" i="6"/>
  <c r="CS27" i="6"/>
  <c r="CI28" i="6"/>
  <c r="CQ28" i="6"/>
  <c r="CS28" i="6"/>
  <c r="CI29" i="6"/>
  <c r="CQ29" i="6"/>
  <c r="CS29" i="6"/>
  <c r="CI30" i="6"/>
  <c r="CQ30" i="6"/>
  <c r="CS30" i="6"/>
  <c r="CI31" i="6"/>
  <c r="CQ31" i="6"/>
  <c r="CS31" i="6"/>
  <c r="CI32" i="6"/>
  <c r="CQ32" i="6"/>
  <c r="CS32" i="6"/>
  <c r="CI33" i="6"/>
  <c r="CQ33" i="6"/>
  <c r="CS33" i="6"/>
  <c r="CI34" i="6"/>
  <c r="CQ34" i="6"/>
  <c r="CS34" i="6"/>
  <c r="CI35" i="6"/>
  <c r="CQ35" i="6"/>
  <c r="CS35" i="6"/>
  <c r="CI36" i="6"/>
  <c r="CQ36" i="6"/>
  <c r="CS36" i="6"/>
  <c r="AK37" i="6"/>
  <c r="CI37" i="6"/>
  <c r="CQ37" i="6"/>
  <c r="CS37" i="6"/>
  <c r="AK38" i="6"/>
  <c r="CI38" i="6"/>
  <c r="AK39" i="6"/>
  <c r="AU39" i="6"/>
  <c r="AU40" i="6"/>
  <c r="AK41" i="6"/>
  <c r="AP41" i="6"/>
  <c r="AU41" i="6"/>
  <c r="AK42" i="6"/>
  <c r="AP42" i="6"/>
  <c r="AU42" i="6"/>
  <c r="AU43" i="6"/>
  <c r="AK44" i="6"/>
  <c r="AK45" i="6"/>
  <c r="AU45" i="6"/>
  <c r="CR47" i="6"/>
  <c r="AK50" i="6"/>
  <c r="AP50" i="6"/>
  <c r="AU50" i="6"/>
  <c r="AK51" i="6"/>
  <c r="AP51" i="6"/>
  <c r="AU51" i="6"/>
  <c r="AG63" i="6"/>
  <c r="AG80" i="6" s="1"/>
  <c r="AG97" i="6" s="1"/>
  <c r="AG114" i="6" s="1"/>
  <c r="AH63" i="6"/>
  <c r="AH80" i="6" s="1"/>
  <c r="AI63" i="6"/>
  <c r="AI80" i="6" s="1"/>
  <c r="AI97" i="6" s="1"/>
  <c r="AI114" i="6" s="1"/>
  <c r="AJ63" i="6"/>
  <c r="AJ80" i="6" s="1"/>
  <c r="AJ97" i="6" s="1"/>
  <c r="AJ114" i="6" s="1"/>
  <c r="AL63" i="6"/>
  <c r="AL80" i="6" s="1"/>
  <c r="AL97" i="6" s="1"/>
  <c r="AL114" i="6" s="1"/>
  <c r="AM63" i="6"/>
  <c r="AM80" i="6" s="1"/>
  <c r="AN63" i="6"/>
  <c r="AN80" i="6" s="1"/>
  <c r="AN97" i="6" s="1"/>
  <c r="AN114" i="6" s="1"/>
  <c r="AO63" i="6"/>
  <c r="AO80" i="6" s="1"/>
  <c r="AO97" i="6" s="1"/>
  <c r="AO114" i="6" s="1"/>
  <c r="AQ63" i="6"/>
  <c r="AQ80" i="6" s="1"/>
  <c r="AQ97" i="6" s="1"/>
  <c r="AQ114" i="6" s="1"/>
  <c r="AR63" i="6"/>
  <c r="AS63" i="6"/>
  <c r="AS80" i="6" s="1"/>
  <c r="AS97" i="6" s="1"/>
  <c r="AS114" i="6" s="1"/>
  <c r="AT63" i="6"/>
  <c r="AT80" i="6" s="1"/>
  <c r="AT97" i="6" s="1"/>
  <c r="AT114" i="6" s="1"/>
  <c r="AG64" i="6"/>
  <c r="AG81" i="6" s="1"/>
  <c r="AG98" i="6" s="1"/>
  <c r="AG115" i="6" s="1"/>
  <c r="AH64" i="6"/>
  <c r="AH81" i="6" s="1"/>
  <c r="AH98" i="6" s="1"/>
  <c r="AH115" i="6" s="1"/>
  <c r="AI64" i="6"/>
  <c r="AI81" i="6" s="1"/>
  <c r="AI98" i="6" s="1"/>
  <c r="AI115" i="6" s="1"/>
  <c r="AJ64" i="6"/>
  <c r="AJ81" i="6" s="1"/>
  <c r="AJ98" i="6" s="1"/>
  <c r="AJ115" i="6" s="1"/>
  <c r="AL64" i="6"/>
  <c r="AL81" i="6" s="1"/>
  <c r="AL98" i="6" s="1"/>
  <c r="AL115" i="6" s="1"/>
  <c r="AM64" i="6"/>
  <c r="AM81" i="6" s="1"/>
  <c r="AM98" i="6" s="1"/>
  <c r="AN64" i="6"/>
  <c r="AN81" i="6" s="1"/>
  <c r="AN98" i="6" s="1"/>
  <c r="AN115" i="6" s="1"/>
  <c r="AO64" i="6"/>
  <c r="AO81" i="6" s="1"/>
  <c r="AO98" i="6" s="1"/>
  <c r="AO115" i="6" s="1"/>
  <c r="AQ64" i="6"/>
  <c r="AQ81" i="6" s="1"/>
  <c r="AQ98" i="6" s="1"/>
  <c r="AQ115" i="6" s="1"/>
  <c r="AR64" i="6"/>
  <c r="AR81" i="6" s="1"/>
  <c r="AR98" i="6" s="1"/>
  <c r="AR115" i="6" s="1"/>
  <c r="AS64" i="6"/>
  <c r="AS81" i="6" s="1"/>
  <c r="AS98" i="6" s="1"/>
  <c r="AS115" i="6" s="1"/>
  <c r="AT64" i="6"/>
  <c r="AT81" i="6" s="1"/>
  <c r="AT98" i="6" s="1"/>
  <c r="AT115" i="6" s="1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B69" i="6"/>
  <c r="AC69" i="6"/>
  <c r="AD69" i="6"/>
  <c r="AE69" i="6"/>
  <c r="AF69" i="6"/>
  <c r="AG69" i="6"/>
  <c r="AH69" i="6"/>
  <c r="AI69" i="6"/>
  <c r="AJ69" i="6"/>
  <c r="AL69" i="6"/>
  <c r="AM69" i="6"/>
  <c r="AN69" i="6"/>
  <c r="AO69" i="6"/>
  <c r="AG84" i="6"/>
  <c r="AG101" i="6" s="1"/>
  <c r="AG118" i="6" s="1"/>
  <c r="AH84" i="6"/>
  <c r="AH101" i="6" s="1"/>
  <c r="AH118" i="6" s="1"/>
  <c r="AL84" i="6"/>
  <c r="AL101" i="6" s="1"/>
  <c r="AL118" i="6" s="1"/>
  <c r="AM84" i="6"/>
  <c r="AM101" i="6" s="1"/>
  <c r="AM118" i="6" s="1"/>
  <c r="AN84" i="6"/>
  <c r="AN101" i="6" s="1"/>
  <c r="AN118" i="6" s="1"/>
  <c r="AQ84" i="6"/>
  <c r="AQ101" i="6" s="1"/>
  <c r="AQ118" i="6" s="1"/>
  <c r="AT84" i="6"/>
  <c r="AT101" i="6" s="1"/>
  <c r="AT118" i="6" s="1"/>
  <c r="AG85" i="6"/>
  <c r="AG102" i="6" s="1"/>
  <c r="AH85" i="6"/>
  <c r="AH102" i="6" s="1"/>
  <c r="AH119" i="6" s="1"/>
  <c r="AI85" i="6"/>
  <c r="AI102" i="6" s="1"/>
  <c r="AI119" i="6" s="1"/>
  <c r="AL85" i="6"/>
  <c r="AL102" i="6" s="1"/>
  <c r="AL119" i="6" s="1"/>
  <c r="AM85" i="6"/>
  <c r="AM102" i="6" s="1"/>
  <c r="AM119" i="6" s="1"/>
  <c r="AN85" i="6"/>
  <c r="AN102" i="6" s="1"/>
  <c r="AN119" i="6" s="1"/>
  <c r="AQ85" i="6"/>
  <c r="AQ102" i="6" s="1"/>
  <c r="AQ119" i="6" s="1"/>
  <c r="AR85" i="6"/>
  <c r="AR102" i="6" s="1"/>
  <c r="AR119" i="6" s="1"/>
  <c r="AT85" i="6"/>
  <c r="AT102" i="6" s="1"/>
  <c r="AT119" i="6" s="1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B86" i="6"/>
  <c r="AC86" i="6"/>
  <c r="AD86" i="6"/>
  <c r="AE86" i="6"/>
  <c r="AF86" i="6"/>
  <c r="AG86" i="6"/>
  <c r="AH86" i="6"/>
  <c r="AI86" i="6"/>
  <c r="AJ86" i="6"/>
  <c r="AK86" i="6"/>
  <c r="AL86" i="6"/>
  <c r="AM86" i="6"/>
  <c r="AN86" i="6"/>
  <c r="AO86" i="6"/>
  <c r="AQ86" i="6"/>
  <c r="AR86" i="6"/>
  <c r="AS86" i="6"/>
  <c r="AT86" i="6"/>
  <c r="AH87" i="6"/>
  <c r="AH104" i="6" s="1"/>
  <c r="AH121" i="6" s="1"/>
  <c r="AI87" i="6"/>
  <c r="AI104" i="6" s="1"/>
  <c r="AI121" i="6" s="1"/>
  <c r="AM87" i="6"/>
  <c r="AM104" i="6" s="1"/>
  <c r="AM121" i="6" s="1"/>
  <c r="AN87" i="6"/>
  <c r="AN104" i="6" s="1"/>
  <c r="AN121" i="6" s="1"/>
  <c r="AQ87" i="6"/>
  <c r="AQ104" i="6" s="1"/>
  <c r="AQ121" i="6" s="1"/>
  <c r="AT87" i="6"/>
  <c r="AT104" i="6" s="1"/>
  <c r="AT121" i="6" s="1"/>
  <c r="AK88" i="6"/>
  <c r="AP88" i="6"/>
  <c r="AU88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B103" i="6"/>
  <c r="AC103" i="6"/>
  <c r="AD103" i="6"/>
  <c r="AE103" i="6"/>
  <c r="AF103" i="6"/>
  <c r="AG103" i="6"/>
  <c r="AH103" i="6"/>
  <c r="AI103" i="6"/>
  <c r="AJ103" i="6"/>
  <c r="AK103" i="6"/>
  <c r="AL103" i="6"/>
  <c r="AM103" i="6"/>
  <c r="AN103" i="6"/>
  <c r="AO103" i="6"/>
  <c r="AQ103" i="6"/>
  <c r="AR103" i="6"/>
  <c r="AS103" i="6"/>
  <c r="AT103" i="6"/>
  <c r="AK105" i="6"/>
  <c r="AP105" i="6"/>
  <c r="AU105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B120" i="6"/>
  <c r="AC120" i="6"/>
  <c r="AD120" i="6"/>
  <c r="AE120" i="6"/>
  <c r="AF120" i="6"/>
  <c r="AG120" i="6"/>
  <c r="AH120" i="6"/>
  <c r="AI120" i="6"/>
  <c r="AJ120" i="6"/>
  <c r="AL120" i="6"/>
  <c r="AM120" i="6"/>
  <c r="AN120" i="6"/>
  <c r="AO120" i="6"/>
  <c r="AQ120" i="6"/>
  <c r="AR120" i="6"/>
  <c r="AS120" i="6"/>
  <c r="AT120" i="6"/>
  <c r="AK122" i="6"/>
  <c r="AP122" i="6"/>
  <c r="AU122" i="6"/>
  <c r="AU858" i="7"/>
  <c r="AU859" i="7"/>
  <c r="AQ167" i="5"/>
  <c r="AR167" i="5"/>
  <c r="AS167" i="5"/>
  <c r="AT167" i="5"/>
  <c r="AS169" i="5"/>
  <c r="AT169" i="5"/>
  <c r="AU861" i="7"/>
  <c r="AU865" i="7"/>
  <c r="AV38" i="14"/>
  <c r="AV109" i="13"/>
  <c r="AV137" i="14"/>
  <c r="AV135" i="14"/>
  <c r="AV81" i="14"/>
  <c r="AV140" i="14"/>
  <c r="AV126" i="13"/>
  <c r="AV76" i="14"/>
  <c r="AV17" i="27"/>
  <c r="AV22" i="27" s="1"/>
  <c r="AV27" i="27" s="1"/>
  <c r="AV72" i="14"/>
  <c r="AV79" i="14"/>
  <c r="AV82" i="14"/>
  <c r="AV81" i="27"/>
  <c r="AV128" i="14" s="1"/>
  <c r="AV23" i="13"/>
  <c r="AV34" i="13"/>
  <c r="AV47" i="13"/>
  <c r="AV50" i="13" s="1"/>
  <c r="AV60" i="13"/>
  <c r="AV73" i="13"/>
  <c r="AV45" i="37" s="1"/>
  <c r="BU13" i="37"/>
  <c r="BS13" i="37"/>
  <c r="BQ13" i="37"/>
  <c r="AW147" i="13"/>
  <c r="AW171" i="13" s="1"/>
  <c r="CK205" i="13" s="1"/>
  <c r="L91" i="12"/>
  <c r="AF72" i="12"/>
  <c r="G61" i="27"/>
  <c r="G76" i="27" s="1"/>
  <c r="AR76" i="11"/>
  <c r="AS70" i="11" s="1"/>
  <c r="AK22" i="37"/>
  <c r="AK70" i="6"/>
  <c r="CA333" i="7"/>
  <c r="CB333" i="7" s="1"/>
  <c r="CC333" i="7" s="1"/>
  <c r="AN114" i="14"/>
  <c r="AO114" i="14" s="1"/>
  <c r="AU21" i="37"/>
  <c r="AK122" i="4"/>
  <c r="AP236" i="7"/>
  <c r="AS170" i="1"/>
  <c r="AM171" i="1"/>
  <c r="AR170" i="1"/>
  <c r="AU153" i="1"/>
  <c r="AT171" i="1" s="1"/>
  <c r="AU127" i="1"/>
  <c r="AP127" i="1"/>
  <c r="CB132" i="10"/>
  <c r="BH132" i="10"/>
  <c r="BF132" i="10" s="1"/>
  <c r="BX13" i="37"/>
  <c r="CC13" i="37"/>
  <c r="AX73" i="11"/>
  <c r="AV80" i="6"/>
  <c r="AV97" i="6" s="1"/>
  <c r="AV114" i="6" s="1"/>
  <c r="AV81" i="6"/>
  <c r="AV98" i="6" s="1"/>
  <c r="AV115" i="6" s="1"/>
  <c r="AK69" i="6"/>
  <c r="AK116" i="9"/>
  <c r="L80" i="12"/>
  <c r="AZ28" i="47"/>
  <c r="AK75" i="12"/>
  <c r="G162" i="4"/>
  <c r="AV157" i="13"/>
  <c r="AV181" i="13" s="1"/>
  <c r="AG171" i="1"/>
  <c r="AM170" i="1"/>
  <c r="L109" i="12"/>
  <c r="AK127" i="1"/>
  <c r="D38" i="13"/>
  <c r="AP140" i="9"/>
  <c r="AU762" i="7"/>
  <c r="AU764" i="7" s="1"/>
  <c r="L111" i="9"/>
  <c r="AP162" i="1"/>
  <c r="G38" i="13"/>
  <c r="AA839" i="7"/>
  <c r="L142" i="1"/>
  <c r="L127" i="4"/>
  <c r="O126" i="14"/>
  <c r="Q127" i="4"/>
  <c r="AF75" i="12"/>
  <c r="AK82" i="5"/>
  <c r="AK162" i="1"/>
  <c r="U79" i="14"/>
  <c r="AZ21" i="27"/>
  <c r="AK38" i="14"/>
  <c r="AN171" i="1"/>
  <c r="AZ13" i="27"/>
  <c r="AK108" i="5"/>
  <c r="G340" i="7"/>
  <c r="V19" i="11"/>
  <c r="AA12" i="11" s="1"/>
  <c r="AA11" i="11" s="1"/>
  <c r="V11" i="11"/>
  <c r="AT29" i="14"/>
  <c r="AT32" i="14" s="1"/>
  <c r="AT94" i="13" s="1"/>
  <c r="AT126" i="14"/>
  <c r="AT127" i="14"/>
  <c r="D127" i="1"/>
  <c r="AU11" i="10"/>
  <c r="AU127" i="4"/>
  <c r="AI171" i="1"/>
  <c r="AV63" i="27"/>
  <c r="AV51" i="14" s="1"/>
  <c r="O74" i="13"/>
  <c r="AU103" i="4"/>
  <c r="V27" i="27"/>
  <c r="C127" i="4"/>
  <c r="V162" i="4"/>
  <c r="L136" i="4"/>
  <c r="AH27" i="69"/>
  <c r="AH28" i="69" s="1"/>
  <c r="AU38" i="14"/>
  <c r="AU142" i="4"/>
  <c r="AU162" i="1"/>
  <c r="AP157" i="1"/>
  <c r="AP142" i="1"/>
  <c r="AV87" i="6"/>
  <c r="AV104" i="6" s="1"/>
  <c r="AV121" i="6" s="1"/>
  <c r="V110" i="9"/>
  <c r="AA116" i="9"/>
  <c r="AF150" i="9"/>
  <c r="C165" i="9"/>
  <c r="V111" i="9"/>
  <c r="AU110" i="9"/>
  <c r="AK113" i="9"/>
  <c r="D110" i="9"/>
  <c r="Q110" i="9"/>
  <c r="BC132" i="10"/>
  <c r="BC124" i="10" s="1"/>
  <c r="BU860" i="7"/>
  <c r="AZ50" i="6"/>
  <c r="BP860" i="7"/>
  <c r="AA285" i="7"/>
  <c r="AX27" i="69"/>
  <c r="BZ860" i="7"/>
  <c r="AZ35" i="14"/>
  <c r="AZ37" i="27"/>
  <c r="AP115" i="14"/>
  <c r="AP120" i="12" s="1"/>
  <c r="AP113" i="9"/>
  <c r="G114" i="9"/>
  <c r="BQ475" i="7"/>
  <c r="BR475" i="7" s="1"/>
  <c r="AZ18" i="14"/>
  <c r="BR13" i="37"/>
  <c r="AZ23" i="14"/>
  <c r="F157" i="4"/>
  <c r="AK112" i="12"/>
  <c r="AK83" i="12"/>
  <c r="AZ19" i="14"/>
  <c r="BW138" i="7"/>
  <c r="BX138" i="7" s="1"/>
  <c r="V39" i="11"/>
  <c r="L112" i="12"/>
  <c r="AA88" i="12"/>
  <c r="L83" i="12"/>
  <c r="BW593" i="7"/>
  <c r="BX593" i="7" s="1"/>
  <c r="CA132" i="10"/>
  <c r="BX132" i="10"/>
  <c r="BV132" i="10"/>
  <c r="BA132" i="10"/>
  <c r="CC132" i="10"/>
  <c r="BW132" i="10"/>
  <c r="AV84" i="6"/>
  <c r="AV101" i="6" s="1"/>
  <c r="AV118" i="6" s="1"/>
  <c r="BP12" i="6"/>
  <c r="AZ180" i="13"/>
  <c r="BP19" i="6"/>
  <c r="AW73" i="14"/>
  <c r="AU168" i="7"/>
  <c r="AU173" i="7"/>
  <c r="AU169" i="7"/>
  <c r="AU171" i="7"/>
  <c r="BW13" i="37"/>
  <c r="BW860" i="7"/>
  <c r="AX73" i="14"/>
  <c r="AZ83" i="12"/>
  <c r="BA27" i="69"/>
  <c r="AU175" i="7"/>
  <c r="CB13" i="37"/>
  <c r="BC109" i="13"/>
  <c r="AX109" i="13"/>
  <c r="BQ507" i="7"/>
  <c r="BP507" i="7"/>
  <c r="BS507" i="7"/>
  <c r="BR507" i="7"/>
  <c r="BA73" i="14"/>
  <c r="BD109" i="13"/>
  <c r="BB38" i="14"/>
  <c r="BB10" i="12" s="1"/>
  <c r="BB25" i="12" s="1"/>
  <c r="BB109" i="13"/>
  <c r="AX38" i="14"/>
  <c r="AX10" i="12" s="1"/>
  <c r="AZ26" i="27"/>
  <c r="AZ25" i="27"/>
  <c r="AW38" i="14"/>
  <c r="AW109" i="13"/>
  <c r="AZ67" i="27"/>
  <c r="BV507" i="7"/>
  <c r="BW507" i="7"/>
  <c r="BX507" i="7"/>
  <c r="BU507" i="7"/>
  <c r="CB507" i="7"/>
  <c r="CA507" i="7"/>
  <c r="CC507" i="7"/>
  <c r="BZ507" i="7"/>
  <c r="AW158" i="13"/>
  <c r="AW153" i="13"/>
  <c r="AW177" i="13" s="1"/>
  <c r="AW148" i="13"/>
  <c r="AW172" i="13" s="1"/>
  <c r="AW144" i="13"/>
  <c r="AW137" i="14"/>
  <c r="AW15" i="14"/>
  <c r="AW25" i="14" s="1"/>
  <c r="AW135" i="14"/>
  <c r="AW140" i="14"/>
  <c r="AW81" i="14"/>
  <c r="AW21" i="37"/>
  <c r="AW22" i="37" s="1"/>
  <c r="AZ93" i="14"/>
  <c r="AW23" i="13"/>
  <c r="AW126" i="13"/>
  <c r="AW47" i="13"/>
  <c r="AW50" i="13" s="1"/>
  <c r="AW73" i="13"/>
  <c r="AW45" i="37" s="1"/>
  <c r="AW60" i="13"/>
  <c r="AW34" i="13"/>
  <c r="AW52" i="37"/>
  <c r="AW72" i="11"/>
  <c r="AW17" i="27"/>
  <c r="AW22" i="27" s="1"/>
  <c r="AW27" i="27" s="1"/>
  <c r="AW76" i="14"/>
  <c r="AW72" i="14"/>
  <c r="AW79" i="14"/>
  <c r="AW82" i="14"/>
  <c r="AW63" i="27"/>
  <c r="AW51" i="14" s="1"/>
  <c r="AW81" i="27"/>
  <c r="AW128" i="14" s="1"/>
  <c r="AX147" i="13"/>
  <c r="AX171" i="13" s="1"/>
  <c r="CK206" i="13" s="1"/>
  <c r="BA156" i="13"/>
  <c r="BA180" i="13" s="1"/>
  <c r="AZ27" i="47"/>
  <c r="AX157" i="13"/>
  <c r="AX181" i="13" s="1"/>
  <c r="AZ181" i="13"/>
  <c r="AX158" i="13"/>
  <c r="AX148" i="13"/>
  <c r="AX172" i="13" s="1"/>
  <c r="AZ172" i="13" s="1"/>
  <c r="AX153" i="13"/>
  <c r="AX177" i="13" s="1"/>
  <c r="AX144" i="13"/>
  <c r="AX168" i="13" s="1"/>
  <c r="CJ206" i="13" s="1"/>
  <c r="BO108" i="10"/>
  <c r="BT108" i="10"/>
  <c r="BY108" i="10"/>
  <c r="BY109" i="10" s="1"/>
  <c r="BY43" i="10" s="1"/>
  <c r="CH91" i="10"/>
  <c r="CH92" i="10"/>
  <c r="CH93" i="10"/>
  <c r="CH94" i="10"/>
  <c r="CH95" i="10"/>
  <c r="AX137" i="14"/>
  <c r="AX15" i="14"/>
  <c r="AX25" i="14" s="1"/>
  <c r="AX135" i="14"/>
  <c r="AX140" i="14"/>
  <c r="AX81" i="14"/>
  <c r="AX134" i="13"/>
  <c r="AX137" i="13" s="1"/>
  <c r="AX23" i="13"/>
  <c r="AX74" i="13"/>
  <c r="AX126" i="13"/>
  <c r="AX47" i="13"/>
  <c r="AX50" i="13" s="1"/>
  <c r="AX34" i="13"/>
  <c r="AX60" i="13"/>
  <c r="AX73" i="13"/>
  <c r="AX45" i="37" s="1"/>
  <c r="AX72" i="11"/>
  <c r="AX17" i="27"/>
  <c r="AX22" i="27" s="1"/>
  <c r="AX27" i="27" s="1"/>
  <c r="AX76" i="14"/>
  <c r="AX72" i="14"/>
  <c r="AX58" i="27"/>
  <c r="AX63" i="27" s="1"/>
  <c r="AX82" i="14"/>
  <c r="AX21" i="37"/>
  <c r="AX22" i="37" s="1"/>
  <c r="BV860" i="7"/>
  <c r="BQ860" i="7"/>
  <c r="BR692" i="7"/>
  <c r="BS692" i="7" s="1"/>
  <c r="AX150" i="13"/>
  <c r="K126" i="14"/>
  <c r="AZ93" i="12"/>
  <c r="AZ108" i="12"/>
  <c r="G29" i="14"/>
  <c r="Q29" i="14"/>
  <c r="Q32" i="14" s="1"/>
  <c r="Q126" i="14"/>
  <c r="AR29" i="14"/>
  <c r="AR32" i="14" s="1"/>
  <c r="AL126" i="14"/>
  <c r="AL127" i="14"/>
  <c r="AL29" i="14"/>
  <c r="AL32" i="14" s="1"/>
  <c r="AL91" i="14" s="1"/>
  <c r="AI126" i="14"/>
  <c r="AI127" i="14"/>
  <c r="AI29" i="14"/>
  <c r="AI32" i="14" s="1"/>
  <c r="AH29" i="14"/>
  <c r="AH126" i="14"/>
  <c r="AH127" i="14"/>
  <c r="CJ67" i="69"/>
  <c r="CJ71" i="69"/>
  <c r="C126" i="14"/>
  <c r="D126" i="14"/>
  <c r="V129" i="12"/>
  <c r="AA126" i="14"/>
  <c r="AO110" i="13"/>
  <c r="AO41" i="14"/>
  <c r="AM110" i="13"/>
  <c r="AM41" i="14"/>
  <c r="CJ60" i="69"/>
  <c r="CJ70" i="69"/>
  <c r="CJ76" i="69"/>
  <c r="CJ86" i="69"/>
  <c r="AU14" i="69"/>
  <c r="AU15" i="69" s="1"/>
  <c r="AN170" i="1"/>
  <c r="BI132" i="10"/>
  <c r="S72" i="69"/>
  <c r="Y49" i="69"/>
  <c r="Y75" i="69" s="1"/>
  <c r="Y76" i="69" s="1"/>
  <c r="N72" i="69"/>
  <c r="CJ61" i="69" s="1"/>
  <c r="M49" i="69"/>
  <c r="M75" i="69" s="1"/>
  <c r="M76" i="69" s="1"/>
  <c r="BR860" i="7"/>
  <c r="BX860" i="7"/>
  <c r="CB860" i="7"/>
  <c r="CA860" i="7"/>
  <c r="CC860" i="7"/>
  <c r="BS860" i="7"/>
  <c r="AZ11" i="27"/>
  <c r="AZ52" i="27"/>
  <c r="AZ73" i="14" s="1"/>
  <c r="BO88" i="5" l="1"/>
  <c r="BO142" i="5" s="1"/>
  <c r="BO142" i="1"/>
  <c r="BO108" i="5"/>
  <c r="BO162" i="5" s="1"/>
  <c r="BO162" i="1"/>
  <c r="BO73" i="5"/>
  <c r="BO127" i="1"/>
  <c r="AF366" i="7"/>
  <c r="F131" i="7"/>
  <c r="Y366" i="2"/>
  <c r="Y127" i="14"/>
  <c r="F162" i="4"/>
  <c r="D162" i="4"/>
  <c r="C127" i="1"/>
  <c r="D136" i="4"/>
  <c r="AF142" i="4"/>
  <c r="AA157" i="4"/>
  <c r="AF61" i="27"/>
  <c r="AF76" i="27" s="1"/>
  <c r="Q52" i="27"/>
  <c r="Q73" i="14" s="1"/>
  <c r="AF40" i="27"/>
  <c r="AF45" i="27" s="1"/>
  <c r="AU67" i="6"/>
  <c r="AU68" i="6"/>
  <c r="AK110" i="4"/>
  <c r="AJ76" i="27"/>
  <c r="AK107" i="12"/>
  <c r="AK61" i="27"/>
  <c r="AR84" i="6"/>
  <c r="AR101" i="6" s="1"/>
  <c r="AR118" i="6" s="1"/>
  <c r="AL82" i="14"/>
  <c r="AG73" i="14"/>
  <c r="AK72" i="12"/>
  <c r="V112" i="12"/>
  <c r="L107" i="12"/>
  <c r="F50" i="14"/>
  <c r="AU71" i="12"/>
  <c r="AK40" i="27"/>
  <c r="AK45" i="27" s="1"/>
  <c r="AM74" i="13"/>
  <c r="AU109" i="13"/>
  <c r="AA122" i="4"/>
  <c r="D157" i="4"/>
  <c r="L122" i="1"/>
  <c r="Q162" i="4"/>
  <c r="E162" i="1"/>
  <c r="C162" i="1"/>
  <c r="AA157" i="1"/>
  <c r="AF142" i="1"/>
  <c r="G82" i="14"/>
  <c r="L52" i="27"/>
  <c r="L73" i="14" s="1"/>
  <c r="Q65" i="13"/>
  <c r="K82" i="14"/>
  <c r="AO73" i="14"/>
  <c r="AE73" i="14"/>
  <c r="U73" i="14"/>
  <c r="K38" i="14"/>
  <c r="AK68" i="37"/>
  <c r="AP15" i="14"/>
  <c r="F26" i="5"/>
  <c r="F134" i="5" s="1"/>
  <c r="D12" i="5"/>
  <c r="D120" i="5" s="1"/>
  <c r="AN10" i="12"/>
  <c r="AN25" i="12" s="1"/>
  <c r="AP69" i="6"/>
  <c r="E151" i="9"/>
  <c r="AZ35" i="27"/>
  <c r="AB127" i="14"/>
  <c r="K67" i="27"/>
  <c r="AK365" i="7"/>
  <c r="AK363" i="7"/>
  <c r="D110" i="4"/>
  <c r="K38" i="13"/>
  <c r="W55" i="14"/>
  <c r="W15" i="37" s="1"/>
  <c r="W18" i="37" s="1"/>
  <c r="AE27" i="27"/>
  <c r="K127" i="14"/>
  <c r="F74" i="13"/>
  <c r="AA567" i="7"/>
  <c r="AB126" i="14"/>
  <c r="AA87" i="11"/>
  <c r="AO63" i="27"/>
  <c r="AO84" i="14" s="1"/>
  <c r="AI74" i="13"/>
  <c r="J74" i="13"/>
  <c r="J76" i="13" s="1"/>
  <c r="N56" i="5"/>
  <c r="AA840" i="7"/>
  <c r="F38" i="13"/>
  <c r="V367" i="7"/>
  <c r="Q162" i="1"/>
  <c r="L127" i="1"/>
  <c r="AD67" i="11"/>
  <c r="AD68" i="11" s="1"/>
  <c r="G124" i="13"/>
  <c r="CC387" i="1"/>
  <c r="CC388" i="1" s="1"/>
  <c r="BX387" i="1"/>
  <c r="BX388" i="1" s="1"/>
  <c r="BS387" i="1"/>
  <c r="BS388" i="1" s="1"/>
  <c r="K74" i="13"/>
  <c r="K75" i="13" s="1"/>
  <c r="BT380" i="1"/>
  <c r="D333" i="1"/>
  <c r="D225" i="1"/>
  <c r="AF162" i="4"/>
  <c r="AF122" i="4"/>
  <c r="AA162" i="4"/>
  <c r="S29" i="14"/>
  <c r="S32" i="14" s="1"/>
  <c r="AA60" i="27"/>
  <c r="AA81" i="14" s="1"/>
  <c r="AK87" i="11"/>
  <c r="Q27" i="10"/>
  <c r="D279" i="1"/>
  <c r="L74" i="12"/>
  <c r="C279" i="1"/>
  <c r="AO38" i="13"/>
  <c r="M55" i="14"/>
  <c r="L162" i="4"/>
  <c r="L110" i="4"/>
  <c r="F110" i="4"/>
  <c r="CD380" i="1"/>
  <c r="AA811" i="7"/>
  <c r="AA814" i="7" s="1"/>
  <c r="M27" i="27"/>
  <c r="F32" i="11"/>
  <c r="H40" i="12"/>
  <c r="N10" i="12"/>
  <c r="N25" i="12" s="1"/>
  <c r="T110" i="5"/>
  <c r="H110" i="5"/>
  <c r="S56" i="5"/>
  <c r="AF110" i="4"/>
  <c r="AF110" i="1"/>
  <c r="C127" i="14"/>
  <c r="AA842" i="7"/>
  <c r="O29" i="14"/>
  <c r="O32" i="14" s="1"/>
  <c r="O36" i="14" s="1"/>
  <c r="BT387" i="1"/>
  <c r="BT388" i="1" s="1"/>
  <c r="T137" i="13"/>
  <c r="Y183" i="13"/>
  <c r="C124" i="13"/>
  <c r="AR184" i="12"/>
  <c r="AR60" i="12" s="1"/>
  <c r="X51" i="12"/>
  <c r="X59" i="12" s="1"/>
  <c r="AU109" i="12"/>
  <c r="AU80" i="12"/>
  <c r="AP122" i="4"/>
  <c r="E139" i="9"/>
  <c r="O58" i="27"/>
  <c r="O63" i="27" s="1"/>
  <c r="F12" i="5"/>
  <c r="F120" i="5" s="1"/>
  <c r="F127" i="4"/>
  <c r="D127" i="4"/>
  <c r="AD29" i="14"/>
  <c r="J19" i="10"/>
  <c r="N29" i="14"/>
  <c r="N32" i="14" s="1"/>
  <c r="N24" i="12" s="1"/>
  <c r="AB74" i="13"/>
  <c r="AB90" i="13" s="1"/>
  <c r="AC89" i="13" s="1"/>
  <c r="R56" i="5"/>
  <c r="AA110" i="4"/>
  <c r="AA136" i="1"/>
  <c r="AO14" i="10"/>
  <c r="AO19" i="10" s="1"/>
  <c r="AS14" i="10"/>
  <c r="AF136" i="4"/>
  <c r="F45" i="27"/>
  <c r="F110" i="13" s="1"/>
  <c r="N127" i="14"/>
  <c r="AK88" i="5"/>
  <c r="AK68" i="5"/>
  <c r="O76" i="13"/>
  <c r="AG74" i="13"/>
  <c r="U81" i="27"/>
  <c r="U128" i="14" s="1"/>
  <c r="Y50" i="14"/>
  <c r="AD126" i="14"/>
  <c r="F11" i="12"/>
  <c r="S126" i="14"/>
  <c r="I184" i="12"/>
  <c r="I60" i="12" s="1"/>
  <c r="H74" i="13"/>
  <c r="U56" i="14"/>
  <c r="U57" i="14" s="1"/>
  <c r="P137" i="13"/>
  <c r="C174" i="13"/>
  <c r="AU70" i="11"/>
  <c r="BQ387" i="1"/>
  <c r="BQ388" i="1" s="1"/>
  <c r="BZ387" i="1"/>
  <c r="BZ388" i="1" s="1"/>
  <c r="C12" i="5"/>
  <c r="C120" i="5" s="1"/>
  <c r="AQ153" i="5"/>
  <c r="AQ169" i="5" s="1"/>
  <c r="AZ75" i="14"/>
  <c r="AT27" i="27"/>
  <c r="AT50" i="14"/>
  <c r="AQ63" i="27"/>
  <c r="AQ81" i="27"/>
  <c r="AQ128" i="14" s="1"/>
  <c r="AQ79" i="14"/>
  <c r="P127" i="14"/>
  <c r="P126" i="14"/>
  <c r="AM184" i="12"/>
  <c r="AM60" i="12" s="1"/>
  <c r="L157" i="4"/>
  <c r="G157" i="4"/>
  <c r="V181" i="13"/>
  <c r="L172" i="13"/>
  <c r="L94" i="12"/>
  <c r="AK73" i="13"/>
  <c r="AK45" i="37" s="1"/>
  <c r="AF79" i="12"/>
  <c r="V168" i="13"/>
  <c r="V77" i="12" s="1"/>
  <c r="AA177" i="13"/>
  <c r="AA80" i="12"/>
  <c r="Q116" i="27"/>
  <c r="AD76" i="27"/>
  <c r="AD82" i="14"/>
  <c r="Y76" i="27"/>
  <c r="Y82" i="14"/>
  <c r="T76" i="27"/>
  <c r="T82" i="14"/>
  <c r="J76" i="27"/>
  <c r="J82" i="14"/>
  <c r="AP145" i="14"/>
  <c r="AF56" i="27"/>
  <c r="AF77" i="14" s="1"/>
  <c r="AD77" i="14"/>
  <c r="AD27" i="69"/>
  <c r="AD28" i="69" s="1"/>
  <c r="AD73" i="14"/>
  <c r="AF52" i="27"/>
  <c r="AF27" i="69" s="1"/>
  <c r="AF28" i="69" s="1"/>
  <c r="Y27" i="69"/>
  <c r="Y28" i="69" s="1"/>
  <c r="AA52" i="27"/>
  <c r="Y73" i="14"/>
  <c r="T75" i="14"/>
  <c r="V54" i="27"/>
  <c r="V75" i="14" s="1"/>
  <c r="T27" i="69"/>
  <c r="T28" i="69" s="1"/>
  <c r="T73" i="14"/>
  <c r="T58" i="27"/>
  <c r="T81" i="27" s="1"/>
  <c r="T128" i="14" s="1"/>
  <c r="T72" i="14"/>
  <c r="Q55" i="27"/>
  <c r="Q76" i="14" s="1"/>
  <c r="O76" i="14"/>
  <c r="O27" i="69"/>
  <c r="O28" i="69" s="1"/>
  <c r="O73" i="14"/>
  <c r="J76" i="14"/>
  <c r="L55" i="27"/>
  <c r="L76" i="14" s="1"/>
  <c r="J58" i="27"/>
  <c r="J79" i="14" s="1"/>
  <c r="J72" i="14"/>
  <c r="L40" i="27"/>
  <c r="S39" i="12"/>
  <c r="S10" i="12" s="1"/>
  <c r="U39" i="12"/>
  <c r="U10" i="12" s="1"/>
  <c r="U25" i="12" s="1"/>
  <c r="J83" i="27"/>
  <c r="J109" i="13"/>
  <c r="J38" i="14"/>
  <c r="J67" i="27"/>
  <c r="L26" i="27"/>
  <c r="L67" i="27" s="1"/>
  <c r="AK89" i="27"/>
  <c r="AJ27" i="69"/>
  <c r="AJ28" i="69" s="1"/>
  <c r="AJ58" i="27"/>
  <c r="AJ79" i="14" s="1"/>
  <c r="AO82" i="14"/>
  <c r="AO76" i="27"/>
  <c r="AL76" i="14"/>
  <c r="AP55" i="27"/>
  <c r="AP76" i="14" s="1"/>
  <c r="AL27" i="69"/>
  <c r="AL28" i="69" s="1"/>
  <c r="AL73" i="14"/>
  <c r="AU703" i="7"/>
  <c r="AU82" i="5"/>
  <c r="AK346" i="7"/>
  <c r="AK488" i="7"/>
  <c r="AK490" i="7" s="1"/>
  <c r="AK491" i="7" s="1"/>
  <c r="AK768" i="7"/>
  <c r="AK708" i="7"/>
  <c r="AZ140" i="9"/>
  <c r="AU140" i="9"/>
  <c r="C113" i="9"/>
  <c r="C156" i="9"/>
  <c r="F14" i="1"/>
  <c r="F146" i="7" s="1"/>
  <c r="F121" i="1"/>
  <c r="F122" i="1" s="1"/>
  <c r="F13" i="5"/>
  <c r="F121" i="5" s="1"/>
  <c r="D141" i="1"/>
  <c r="D33" i="5"/>
  <c r="D141" i="5" s="1"/>
  <c r="C134" i="1"/>
  <c r="C26" i="5"/>
  <c r="C134" i="5" s="1"/>
  <c r="AK54" i="5"/>
  <c r="AK162" i="5" s="1"/>
  <c r="AK482" i="7"/>
  <c r="AF145" i="7"/>
  <c r="AF153" i="7" s="1"/>
  <c r="AF56" i="4"/>
  <c r="AF57" i="4" s="1"/>
  <c r="E14" i="4"/>
  <c r="E145" i="7" s="1"/>
  <c r="E147" i="7" s="1"/>
  <c r="E120" i="4"/>
  <c r="E12" i="5"/>
  <c r="E120" i="5" s="1"/>
  <c r="AP49" i="5"/>
  <c r="AP430" i="7"/>
  <c r="AP432" i="7" s="1"/>
  <c r="AD58" i="27"/>
  <c r="AD79" i="14" s="1"/>
  <c r="AK116" i="27"/>
  <c r="AK117" i="27" s="1"/>
  <c r="AP112" i="12"/>
  <c r="AU34" i="27"/>
  <c r="CK180" i="13"/>
  <c r="P125" i="13"/>
  <c r="AG11" i="12"/>
  <c r="AG19" i="10"/>
  <c r="AE45" i="37"/>
  <c r="AE74" i="13"/>
  <c r="AE90" i="13" s="1"/>
  <c r="U74" i="13"/>
  <c r="U45" i="37"/>
  <c r="U46" i="37" s="1"/>
  <c r="U53" i="37" s="1"/>
  <c r="U54" i="37" s="1"/>
  <c r="U56" i="37" s="1"/>
  <c r="AB50" i="14"/>
  <c r="AB55" i="14"/>
  <c r="AB15" i="37" s="1"/>
  <c r="AB18" i="37" s="1"/>
  <c r="AU767" i="7"/>
  <c r="E103" i="1"/>
  <c r="E873" i="7" s="1"/>
  <c r="E544" i="7" s="1"/>
  <c r="E101" i="5"/>
  <c r="E103" i="5" s="1"/>
  <c r="C103" i="1"/>
  <c r="C873" i="7" s="1"/>
  <c r="C155" i="1"/>
  <c r="AU76" i="27"/>
  <c r="AU82" i="14"/>
  <c r="AK94" i="12"/>
  <c r="AK79" i="11"/>
  <c r="AL67" i="11" s="1"/>
  <c r="AP67" i="11"/>
  <c r="AP68" i="11" s="1"/>
  <c r="AU137" i="14"/>
  <c r="AU13" i="37"/>
  <c r="AU138" i="27"/>
  <c r="BJ83" i="14"/>
  <c r="L77" i="12"/>
  <c r="AJ27" i="27"/>
  <c r="L27" i="10"/>
  <c r="AK76" i="27"/>
  <c r="H76" i="13"/>
  <c r="AF172" i="13"/>
  <c r="O76" i="27"/>
  <c r="AA52" i="37"/>
  <c r="AF157" i="1"/>
  <c r="AC10" i="12"/>
  <c r="N131" i="13"/>
  <c r="N135" i="13" s="1"/>
  <c r="X124" i="13"/>
  <c r="AN25" i="7"/>
  <c r="V89" i="10"/>
  <c r="N236" i="1"/>
  <c r="W248" i="1"/>
  <c r="AD262" i="1"/>
  <c r="R214" i="1"/>
  <c r="W211" i="1"/>
  <c r="AU53" i="27"/>
  <c r="AU99" i="5"/>
  <c r="AU153" i="5" s="1"/>
  <c r="N137" i="13"/>
  <c r="M137" i="13"/>
  <c r="J27" i="27"/>
  <c r="D89" i="10"/>
  <c r="AD255" i="1"/>
  <c r="AC214" i="1"/>
  <c r="N211" i="1"/>
  <c r="AD191" i="1"/>
  <c r="AU67" i="27"/>
  <c r="Q56" i="27"/>
  <c r="Q77" i="14" s="1"/>
  <c r="Q54" i="27"/>
  <c r="Q75" i="14" s="1"/>
  <c r="C28" i="1"/>
  <c r="C289" i="7" s="1"/>
  <c r="C290" i="7" s="1"/>
  <c r="AU22" i="37"/>
  <c r="AU13" i="12" s="1"/>
  <c r="AQ38" i="13"/>
  <c r="AG38" i="13"/>
  <c r="AJ38" i="13"/>
  <c r="I75" i="13"/>
  <c r="AA817" i="7"/>
  <c r="G817" i="7"/>
  <c r="G825" i="7" s="1"/>
  <c r="AP68" i="37"/>
  <c r="AB110" i="5"/>
  <c r="J110" i="5"/>
  <c r="AJ171" i="1"/>
  <c r="N262" i="1"/>
  <c r="AU103" i="1"/>
  <c r="AP151" i="9"/>
  <c r="AA151" i="9"/>
  <c r="V150" i="9"/>
  <c r="L156" i="9"/>
  <c r="G41" i="14"/>
  <c r="X74" i="13"/>
  <c r="X90" i="13" s="1"/>
  <c r="Y89" i="13" s="1"/>
  <c r="AI11" i="12"/>
  <c r="AN27" i="37"/>
  <c r="AN24" i="37" s="1"/>
  <c r="S50" i="14"/>
  <c r="Z131" i="13"/>
  <c r="Z135" i="13" s="1"/>
  <c r="U131" i="13"/>
  <c r="U135" i="13" s="1"/>
  <c r="P131" i="13"/>
  <c r="K124" i="13"/>
  <c r="D185" i="13"/>
  <c r="S55" i="14"/>
  <c r="O75" i="13"/>
  <c r="AF72" i="11"/>
  <c r="AF74" i="11" s="1"/>
  <c r="S74" i="13"/>
  <c r="AV84" i="14"/>
  <c r="F81" i="7"/>
  <c r="C32" i="11"/>
  <c r="AH74" i="13"/>
  <c r="X131" i="13"/>
  <c r="S131" i="13"/>
  <c r="S135" i="13" s="1"/>
  <c r="O131" i="13"/>
  <c r="H174" i="13"/>
  <c r="E183" i="13"/>
  <c r="Y124" i="13"/>
  <c r="H124" i="13"/>
  <c r="E124" i="13"/>
  <c r="AQ74" i="13"/>
  <c r="H56" i="5"/>
  <c r="X56" i="5"/>
  <c r="L110" i="1"/>
  <c r="V110" i="1"/>
  <c r="D122" i="4"/>
  <c r="AL184" i="12"/>
  <c r="AL60" i="12" s="1"/>
  <c r="Q56" i="4"/>
  <c r="Q57" i="4" s="1"/>
  <c r="AP136" i="1"/>
  <c r="AP122" i="1"/>
  <c r="AU89" i="10"/>
  <c r="AU77" i="10" s="1"/>
  <c r="C38" i="13"/>
  <c r="Q341" i="7"/>
  <c r="Q56" i="1"/>
  <c r="G154" i="1"/>
  <c r="G46" i="5"/>
  <c r="G154" i="5" s="1"/>
  <c r="E34" i="4"/>
  <c r="E340" i="7" s="1"/>
  <c r="E140" i="4"/>
  <c r="E142" i="4" s="1"/>
  <c r="AI24" i="12"/>
  <c r="AE113" i="14"/>
  <c r="AA27" i="69"/>
  <c r="AA28" i="69" s="1"/>
  <c r="AA73" i="14"/>
  <c r="Y55" i="14"/>
  <c r="Y15" i="37" s="1"/>
  <c r="Y18" i="37" s="1"/>
  <c r="E22" i="27"/>
  <c r="E50" i="14" s="1"/>
  <c r="BN132" i="10"/>
  <c r="P74" i="13"/>
  <c r="P76" i="13" s="1"/>
  <c r="P45" i="37"/>
  <c r="G50" i="14"/>
  <c r="G55" i="14"/>
  <c r="G15" i="37" s="1"/>
  <c r="G18" i="37" s="1"/>
  <c r="Q117" i="9"/>
  <c r="L181" i="13"/>
  <c r="Q129" i="13"/>
  <c r="Q73" i="13"/>
  <c r="Q74" i="13" s="1"/>
  <c r="Q90" i="13" s="1"/>
  <c r="V89" i="13" s="1"/>
  <c r="V172" i="13"/>
  <c r="Q177" i="13"/>
  <c r="Q124" i="13" s="1"/>
  <c r="V108" i="12"/>
  <c r="AA116" i="27"/>
  <c r="D139" i="1"/>
  <c r="D142" i="1" s="1"/>
  <c r="D31" i="5"/>
  <c r="D139" i="5" s="1"/>
  <c r="D14" i="1"/>
  <c r="D146" i="7" s="1"/>
  <c r="D147" i="7" s="1"/>
  <c r="D160" i="7" s="1"/>
  <c r="D121" i="1"/>
  <c r="D13" i="5"/>
  <c r="AK430" i="7"/>
  <c r="AK56" i="4"/>
  <c r="AU483" i="7"/>
  <c r="AU54" i="5"/>
  <c r="AU162" i="5" s="1"/>
  <c r="AK156" i="1"/>
  <c r="AK49" i="1"/>
  <c r="AK49" i="5" s="1"/>
  <c r="AG170" i="1"/>
  <c r="AJ170" i="1"/>
  <c r="AH170" i="1"/>
  <c r="C56" i="4"/>
  <c r="C57" i="4" s="1"/>
  <c r="BM132" i="10"/>
  <c r="P55" i="14"/>
  <c r="AO68" i="27"/>
  <c r="E74" i="13"/>
  <c r="E90" i="13" s="1"/>
  <c r="F89" i="13" s="1"/>
  <c r="AP34" i="5"/>
  <c r="AP142" i="5" s="1"/>
  <c r="AO81" i="27"/>
  <c r="AO128" i="14" s="1"/>
  <c r="D34" i="1"/>
  <c r="D341" i="7" s="1"/>
  <c r="D342" i="7" s="1"/>
  <c r="AP51" i="27"/>
  <c r="P124" i="13"/>
  <c r="W74" i="13"/>
  <c r="W76" i="13" s="1"/>
  <c r="T125" i="13"/>
  <c r="P183" i="13"/>
  <c r="CJ179" i="13"/>
  <c r="O124" i="13"/>
  <c r="K19" i="10"/>
  <c r="K11" i="12"/>
  <c r="Q235" i="7"/>
  <c r="Q243" i="7" s="1"/>
  <c r="AC234" i="1"/>
  <c r="C44" i="5"/>
  <c r="C152" i="5" s="1"/>
  <c r="E32" i="5"/>
  <c r="E140" i="5" s="1"/>
  <c r="G13" i="5"/>
  <c r="G121" i="5" s="1"/>
  <c r="AH83" i="14"/>
  <c r="AH35" i="14"/>
  <c r="AH145" i="14" s="1"/>
  <c r="AH82" i="14"/>
  <c r="AH76" i="27"/>
  <c r="AI27" i="69"/>
  <c r="AI28" i="69" s="1"/>
  <c r="AI58" i="27"/>
  <c r="AI73" i="14"/>
  <c r="AN83" i="14"/>
  <c r="AP62" i="27"/>
  <c r="AP133" i="13"/>
  <c r="AT63" i="27"/>
  <c r="AT68" i="27" s="1"/>
  <c r="AT79" i="14"/>
  <c r="AT81" i="27"/>
  <c r="AT128" i="14" s="1"/>
  <c r="AU58" i="27"/>
  <c r="AU79" i="14" s="1"/>
  <c r="AO29" i="14"/>
  <c r="AO32" i="14" s="1"/>
  <c r="AO24" i="12" s="1"/>
  <c r="AO126" i="14"/>
  <c r="AM29" i="14"/>
  <c r="AM32" i="14" s="1"/>
  <c r="AM24" i="12" s="1"/>
  <c r="AM126" i="14"/>
  <c r="AP21" i="37"/>
  <c r="AP22" i="37" s="1"/>
  <c r="AP13" i="12" s="1"/>
  <c r="AO87" i="6"/>
  <c r="AO104" i="6" s="1"/>
  <c r="AO121" i="6" s="1"/>
  <c r="AP70" i="6"/>
  <c r="AX114" i="14"/>
  <c r="AX27" i="37" s="1"/>
  <c r="AW27" i="37"/>
  <c r="AW24" i="37" s="1"/>
  <c r="AW25" i="37" s="1"/>
  <c r="AG81" i="27"/>
  <c r="AG128" i="14" s="1"/>
  <c r="AG79" i="14"/>
  <c r="Q27" i="27"/>
  <c r="Q50" i="14"/>
  <c r="AK34" i="5"/>
  <c r="AK341" i="7"/>
  <c r="E26" i="5"/>
  <c r="E134" i="5" s="1"/>
  <c r="E134" i="1"/>
  <c r="C133" i="1"/>
  <c r="C25" i="5"/>
  <c r="BL132" i="10"/>
  <c r="N74" i="13"/>
  <c r="N75" i="13" s="1"/>
  <c r="R45" i="37"/>
  <c r="S46" i="37" s="1"/>
  <c r="S53" i="37" s="1"/>
  <c r="S54" i="37" s="1"/>
  <c r="S56" i="37" s="1"/>
  <c r="R74" i="13"/>
  <c r="R76" i="13" s="1"/>
  <c r="M240" i="1"/>
  <c r="M242" i="1" s="1"/>
  <c r="Y236" i="1"/>
  <c r="AC263" i="1"/>
  <c r="AM58" i="27"/>
  <c r="AM63" i="27" s="1"/>
  <c r="AM68" i="27" s="1"/>
  <c r="N27" i="69"/>
  <c r="N28" i="69" s="1"/>
  <c r="N73" i="14"/>
  <c r="I58" i="27"/>
  <c r="I81" i="27" s="1"/>
  <c r="I128" i="14" s="1"/>
  <c r="I72" i="14"/>
  <c r="AA40" i="27"/>
  <c r="AA45" i="27" s="1"/>
  <c r="AA110" i="13" s="1"/>
  <c r="AK48" i="5"/>
  <c r="AK156" i="5" s="1"/>
  <c r="AK767" i="7"/>
  <c r="AK770" i="7" s="1"/>
  <c r="AK771" i="7" s="1"/>
  <c r="AK120" i="6"/>
  <c r="W74" i="14"/>
  <c r="W58" i="27"/>
  <c r="W63" i="27" s="1"/>
  <c r="W51" i="14" s="1"/>
  <c r="F103" i="1"/>
  <c r="F873" i="7" s="1"/>
  <c r="F101" i="5"/>
  <c r="F103" i="5" s="1"/>
  <c r="AP103" i="5"/>
  <c r="AP110" i="4"/>
  <c r="AP872" i="7"/>
  <c r="AU294" i="7"/>
  <c r="AU346" i="7"/>
  <c r="AU348" i="7" s="1"/>
  <c r="AU349" i="7" s="1"/>
  <c r="AU708" i="7"/>
  <c r="AU488" i="7"/>
  <c r="AP435" i="7"/>
  <c r="AP436" i="7" s="1"/>
  <c r="AP487" i="7"/>
  <c r="AP877" i="7"/>
  <c r="AP293" i="7"/>
  <c r="AP707" i="7"/>
  <c r="AK114" i="9"/>
  <c r="C108" i="9"/>
  <c r="W10" i="12"/>
  <c r="M10" i="12"/>
  <c r="M25" i="12" s="1"/>
  <c r="G10" i="12"/>
  <c r="G25" i="12" s="1"/>
  <c r="AL38" i="13"/>
  <c r="I38" i="13"/>
  <c r="S51" i="12"/>
  <c r="G131" i="13"/>
  <c r="AN63" i="27"/>
  <c r="AN51" i="14" s="1"/>
  <c r="K63" i="27"/>
  <c r="L18" i="37"/>
  <c r="V818" i="7"/>
  <c r="F818" i="7"/>
  <c r="AF817" i="7"/>
  <c r="L817" i="7"/>
  <c r="D817" i="7"/>
  <c r="Y110" i="5"/>
  <c r="O110" i="5"/>
  <c r="R110" i="5"/>
  <c r="M110" i="5"/>
  <c r="W110" i="5"/>
  <c r="Y234" i="1"/>
  <c r="Y276" i="1"/>
  <c r="M214" i="1"/>
  <c r="AC192" i="1"/>
  <c r="AQ165" i="4"/>
  <c r="M50" i="14"/>
  <c r="AD10" i="12"/>
  <c r="AD25" i="12" s="1"/>
  <c r="AT38" i="13"/>
  <c r="E44" i="10"/>
  <c r="AF818" i="7"/>
  <c r="L818" i="7"/>
  <c r="V817" i="7"/>
  <c r="F817" i="7"/>
  <c r="Y263" i="1"/>
  <c r="R241" i="1"/>
  <c r="X214" i="1"/>
  <c r="AC276" i="1"/>
  <c r="AC260" i="1"/>
  <c r="AC209" i="1"/>
  <c r="AZ43" i="27"/>
  <c r="AZ36" i="27"/>
  <c r="Y29" i="14"/>
  <c r="Y32" i="14" s="1"/>
  <c r="Y24" i="12" s="1"/>
  <c r="AB40" i="12"/>
  <c r="AE41" i="14"/>
  <c r="J124" i="13"/>
  <c r="X55" i="14"/>
  <c r="X15" i="37" s="1"/>
  <c r="X18" i="37" s="1"/>
  <c r="X27" i="27"/>
  <c r="AN79" i="14"/>
  <c r="BT77" i="14"/>
  <c r="AJ74" i="13"/>
  <c r="AA117" i="9"/>
  <c r="G117" i="9"/>
  <c r="C117" i="9"/>
  <c r="T56" i="5"/>
  <c r="O56" i="5"/>
  <c r="G134" i="1"/>
  <c r="AK236" i="7"/>
  <c r="AK243" i="7" s="1"/>
  <c r="Y174" i="13"/>
  <c r="W125" i="13"/>
  <c r="U125" i="13"/>
  <c r="U127" i="13" s="1"/>
  <c r="S125" i="13"/>
  <c r="O174" i="13"/>
  <c r="K183" i="13"/>
  <c r="J125" i="13"/>
  <c r="F183" i="13"/>
  <c r="AQ10" i="12"/>
  <c r="AE76" i="13"/>
  <c r="U50" i="14"/>
  <c r="CJ173" i="13"/>
  <c r="U137" i="13"/>
  <c r="Q27" i="69"/>
  <c r="Q28" i="69" s="1"/>
  <c r="AD81" i="27"/>
  <c r="AD128" i="14" s="1"/>
  <c r="G32" i="11"/>
  <c r="AN74" i="13"/>
  <c r="AD63" i="27"/>
  <c r="AL19" i="10"/>
  <c r="T79" i="14"/>
  <c r="P50" i="14"/>
  <c r="L50" i="14"/>
  <c r="AF44" i="10"/>
  <c r="AF46" i="10" s="1"/>
  <c r="AV23" i="10"/>
  <c r="I183" i="13"/>
  <c r="C185" i="13"/>
  <c r="K174" i="13"/>
  <c r="F185" i="13"/>
  <c r="D174" i="13"/>
  <c r="O55" i="14"/>
  <c r="S110" i="5"/>
  <c r="Z56" i="5"/>
  <c r="U56" i="5"/>
  <c r="P56" i="5"/>
  <c r="K56" i="5"/>
  <c r="I56" i="5"/>
  <c r="AU120" i="6"/>
  <c r="H90" i="13"/>
  <c r="I89" i="13" s="1"/>
  <c r="AH38" i="13"/>
  <c r="V110" i="4"/>
  <c r="F155" i="1"/>
  <c r="F90" i="13"/>
  <c r="G89" i="13" s="1"/>
  <c r="BN48" i="47"/>
  <c r="BS48" i="47" s="1"/>
  <c r="BX48" i="47" s="1"/>
  <c r="CC48" i="47" s="1"/>
  <c r="F121" i="27"/>
  <c r="D29" i="14"/>
  <c r="D32" i="14" s="1"/>
  <c r="D36" i="14" s="1"/>
  <c r="D49" i="14" s="1"/>
  <c r="W27" i="27"/>
  <c r="U85" i="14"/>
  <c r="D32" i="11"/>
  <c r="F174" i="13"/>
  <c r="AD113" i="14"/>
  <c r="O50" i="14"/>
  <c r="AB27" i="27"/>
  <c r="R127" i="14"/>
  <c r="S24" i="12"/>
  <c r="AB125" i="13"/>
  <c r="AB127" i="13" s="1"/>
  <c r="G27" i="27"/>
  <c r="N124" i="13"/>
  <c r="Y10" i="12"/>
  <c r="Y25" i="12" s="1"/>
  <c r="Y29" i="12" s="1"/>
  <c r="O10" i="12"/>
  <c r="F124" i="13"/>
  <c r="D124" i="13"/>
  <c r="I90" i="13"/>
  <c r="J89" i="13" s="1"/>
  <c r="G44" i="10"/>
  <c r="G46" i="10" s="1"/>
  <c r="AJ68" i="11"/>
  <c r="Z75" i="13"/>
  <c r="Z90" i="13"/>
  <c r="AH10" i="12"/>
  <c r="G32" i="5"/>
  <c r="G140" i="5" s="1"/>
  <c r="G11" i="5"/>
  <c r="G119" i="5" s="1"/>
  <c r="AP107" i="12"/>
  <c r="V68" i="37"/>
  <c r="AL10" i="12"/>
  <c r="AL25" i="12" s="1"/>
  <c r="AT10" i="12"/>
  <c r="AT25" i="12" s="1"/>
  <c r="AP155" i="9"/>
  <c r="AA110" i="9"/>
  <c r="L140" i="9"/>
  <c r="C114" i="9"/>
  <c r="AK18" i="69"/>
  <c r="Q68" i="37"/>
  <c r="AS10" i="12"/>
  <c r="AS25" i="12" s="1"/>
  <c r="AP12" i="10"/>
  <c r="AP17" i="69" s="1"/>
  <c r="AO17" i="69"/>
  <c r="AU12" i="10"/>
  <c r="AU17" i="69" s="1"/>
  <c r="AU18" i="69" s="1"/>
  <c r="AU23" i="69" s="1"/>
  <c r="AS17" i="69"/>
  <c r="AP18" i="69"/>
  <c r="AE75" i="13"/>
  <c r="AB51" i="14"/>
  <c r="H75" i="13"/>
  <c r="CJ176" i="13"/>
  <c r="AJ159" i="13"/>
  <c r="P67" i="13"/>
  <c r="K90" i="13"/>
  <c r="CA387" i="1"/>
  <c r="CA388" i="1" s="1"/>
  <c r="BV387" i="1"/>
  <c r="BV388" i="1" s="1"/>
  <c r="AP54" i="12"/>
  <c r="E155" i="1"/>
  <c r="E121" i="1"/>
  <c r="E122" i="1" s="1"/>
  <c r="AH27" i="37"/>
  <c r="L68" i="37"/>
  <c r="AK89" i="10"/>
  <c r="AR10" i="12"/>
  <c r="AR25" i="12" s="1"/>
  <c r="AU166" i="9"/>
  <c r="AK161" i="9"/>
  <c r="L151" i="9"/>
  <c r="U75" i="13"/>
  <c r="U90" i="13"/>
  <c r="E184" i="12"/>
  <c r="E60" i="12" s="1"/>
  <c r="AJ19" i="10"/>
  <c r="S174" i="13"/>
  <c r="Q121" i="27"/>
  <c r="E82" i="14"/>
  <c r="AD74" i="13"/>
  <c r="AR74" i="13"/>
  <c r="G74" i="13"/>
  <c r="G90" i="13" s="1"/>
  <c r="R90" i="13"/>
  <c r="S89" i="13" s="1"/>
  <c r="P10" i="12"/>
  <c r="F10" i="12"/>
  <c r="F25" i="12" s="1"/>
  <c r="Y74" i="13"/>
  <c r="O67" i="13"/>
  <c r="O90" i="13"/>
  <c r="P89" i="13" s="1"/>
  <c r="S56" i="12"/>
  <c r="G56" i="12"/>
  <c r="AU45" i="12"/>
  <c r="CD21" i="27"/>
  <c r="BY21" i="27"/>
  <c r="E117" i="9"/>
  <c r="E154" i="1"/>
  <c r="G140" i="4"/>
  <c r="G142" i="4" s="1"/>
  <c r="AA68" i="37"/>
  <c r="AU83" i="27"/>
  <c r="Y377" i="2"/>
  <c r="BQ228" i="7"/>
  <c r="BR228" i="7" s="1"/>
  <c r="BQ423" i="7"/>
  <c r="BR423" i="7" s="1"/>
  <c r="BQ333" i="7"/>
  <c r="BR333" i="7" s="1"/>
  <c r="BS333" i="7" s="1"/>
  <c r="AN46" i="37"/>
  <c r="AN53" i="37" s="1"/>
  <c r="CU10" i="6"/>
  <c r="CU11" i="6" s="1"/>
  <c r="AU21" i="69"/>
  <c r="AU22" i="69"/>
  <c r="BQ136" i="7"/>
  <c r="BQ43" i="7" s="1"/>
  <c r="AU140" i="14"/>
  <c r="K24" i="12"/>
  <c r="AK137" i="14"/>
  <c r="AK90" i="27"/>
  <c r="P24" i="12"/>
  <c r="AN24" i="12"/>
  <c r="AR27" i="37"/>
  <c r="AR24" i="37" s="1"/>
  <c r="AR25" i="37" s="1"/>
  <c r="AZ101" i="14"/>
  <c r="BN12" i="37"/>
  <c r="BW423" i="7"/>
  <c r="BX423" i="7" s="1"/>
  <c r="AU729" i="7"/>
  <c r="BM12" i="37"/>
  <c r="AP237" i="7"/>
  <c r="AP251" i="7" s="1"/>
  <c r="AP256" i="7" s="1"/>
  <c r="M440" i="2"/>
  <c r="M462" i="2" s="1"/>
  <c r="G256" i="1" s="1"/>
  <c r="Q440" i="2"/>
  <c r="Q462" i="2" s="1"/>
  <c r="AA256" i="1" s="1"/>
  <c r="Y256" i="1" s="1"/>
  <c r="U440" i="2"/>
  <c r="U462" i="2" s="1"/>
  <c r="AU256" i="1" s="1"/>
  <c r="Y440" i="2"/>
  <c r="Y462" i="2" s="1"/>
  <c r="BO256" i="1" s="1"/>
  <c r="AC440" i="2"/>
  <c r="AC462" i="2" s="1"/>
  <c r="AG440" i="2"/>
  <c r="AG462" i="2" s="1"/>
  <c r="AK440" i="2"/>
  <c r="AK462" i="2" s="1"/>
  <c r="N440" i="2"/>
  <c r="N462" i="2" s="1"/>
  <c r="L256" i="1" s="1"/>
  <c r="R440" i="2"/>
  <c r="R462" i="2" s="1"/>
  <c r="AF256" i="1" s="1"/>
  <c r="AD256" i="1" s="1"/>
  <c r="V440" i="2"/>
  <c r="V462" i="2" s="1"/>
  <c r="AZ256" i="1" s="1"/>
  <c r="Z440" i="2"/>
  <c r="Z462" i="2" s="1"/>
  <c r="BT256" i="1" s="1"/>
  <c r="AD440" i="2"/>
  <c r="AD462" i="2" s="1"/>
  <c r="AH440" i="2"/>
  <c r="AH462" i="2" s="1"/>
  <c r="AL440" i="2"/>
  <c r="AL462" i="2" s="1"/>
  <c r="K440" i="2"/>
  <c r="K462" i="2" s="1"/>
  <c r="E256" i="1" s="1"/>
  <c r="O440" i="2"/>
  <c r="O462" i="2" s="1"/>
  <c r="Q256" i="1" s="1"/>
  <c r="N256" i="1" s="1"/>
  <c r="S440" i="2"/>
  <c r="S462" i="2" s="1"/>
  <c r="AK256" i="1" s="1"/>
  <c r="W440" i="2"/>
  <c r="W462" i="2" s="1"/>
  <c r="BE256" i="1" s="1"/>
  <c r="AA440" i="2"/>
  <c r="AA462" i="2" s="1"/>
  <c r="BY256" i="1" s="1"/>
  <c r="AE440" i="2"/>
  <c r="AE462" i="2" s="1"/>
  <c r="AI440" i="2"/>
  <c r="AI462" i="2" s="1"/>
  <c r="L440" i="2"/>
  <c r="L462" i="2" s="1"/>
  <c r="F256" i="1" s="1"/>
  <c r="P440" i="2"/>
  <c r="P462" i="2" s="1"/>
  <c r="V256" i="1" s="1"/>
  <c r="T256" i="1" s="1"/>
  <c r="T440" i="2"/>
  <c r="T462" i="2" s="1"/>
  <c r="AP256" i="1" s="1"/>
  <c r="X440" i="2"/>
  <c r="X462" i="2" s="1"/>
  <c r="BJ256" i="1" s="1"/>
  <c r="AB440" i="2"/>
  <c r="AB462" i="2" s="1"/>
  <c r="CD256" i="1" s="1"/>
  <c r="AF440" i="2"/>
  <c r="AF462" i="2" s="1"/>
  <c r="AJ440" i="2"/>
  <c r="AJ462" i="2" s="1"/>
  <c r="D46" i="7"/>
  <c r="D9" i="7" s="1"/>
  <c r="F78" i="7"/>
  <c r="F46" i="7"/>
  <c r="F84" i="7" s="1"/>
  <c r="AU785" i="7"/>
  <c r="AF843" i="7"/>
  <c r="AA506" i="7"/>
  <c r="AA316" i="7"/>
  <c r="BM21" i="69"/>
  <c r="AU68" i="37"/>
  <c r="D74" i="13"/>
  <c r="D76" i="13" s="1"/>
  <c r="BL12" i="37"/>
  <c r="BP72" i="69"/>
  <c r="BP9" i="69" s="1"/>
  <c r="CJ66" i="69"/>
  <c r="CJ36" i="69"/>
  <c r="CJ69" i="69"/>
  <c r="CI37" i="69"/>
  <c r="CJ79" i="69"/>
  <c r="CK39" i="69"/>
  <c r="CJ82" i="69"/>
  <c r="CJ40" i="69"/>
  <c r="CJ85" i="69"/>
  <c r="CI41" i="69"/>
  <c r="CJ65" i="69"/>
  <c r="CI36" i="69"/>
  <c r="CJ74" i="69"/>
  <c r="CJ38" i="69"/>
  <c r="CJ73" i="69"/>
  <c r="CI38" i="69"/>
  <c r="CJ89" i="69"/>
  <c r="CI42" i="69"/>
  <c r="CJ80" i="69"/>
  <c r="CH40" i="69"/>
  <c r="CJ87" i="69"/>
  <c r="CK41" i="69"/>
  <c r="CJ81" i="69"/>
  <c r="CI40" i="69"/>
  <c r="CJ84" i="69"/>
  <c r="CH41" i="69"/>
  <c r="CI79" i="7"/>
  <c r="CI77" i="7"/>
  <c r="CH79" i="7"/>
  <c r="AX25" i="12"/>
  <c r="AM99" i="47"/>
  <c r="AM41" i="12" s="1"/>
  <c r="AH99" i="47"/>
  <c r="AH41" i="12" s="1"/>
  <c r="AV49" i="47"/>
  <c r="AT44" i="47"/>
  <c r="AT161" i="13" s="1"/>
  <c r="AK31" i="47"/>
  <c r="AK150" i="13" s="1"/>
  <c r="F82" i="7"/>
  <c r="L315" i="7"/>
  <c r="CB746" i="7"/>
  <c r="CC746" i="7" s="1"/>
  <c r="AF788" i="7"/>
  <c r="AK727" i="7"/>
  <c r="F77" i="7"/>
  <c r="AF747" i="7"/>
  <c r="AF750" i="7" s="1"/>
  <c r="AF753" i="7" s="1"/>
  <c r="CJ40" i="7" s="1"/>
  <c r="V368" i="7"/>
  <c r="F365" i="7"/>
  <c r="F80" i="7"/>
  <c r="D366" i="7"/>
  <c r="AK784" i="7"/>
  <c r="AF786" i="7"/>
  <c r="AA509" i="7"/>
  <c r="AA314" i="7"/>
  <c r="D219" i="9"/>
  <c r="AU170" i="9"/>
  <c r="AK111" i="9"/>
  <c r="AK193" i="9" s="1"/>
  <c r="AF113" i="9"/>
  <c r="AK141" i="9" s="1"/>
  <c r="Q114" i="9"/>
  <c r="G111" i="9"/>
  <c r="F109" i="9"/>
  <c r="AJ23" i="10"/>
  <c r="BJ104" i="12"/>
  <c r="AA566" i="7"/>
  <c r="O46" i="37"/>
  <c r="O53" i="37" s="1"/>
  <c r="O54" i="37" s="1"/>
  <c r="O56" i="37" s="1"/>
  <c r="AF115" i="10"/>
  <c r="AE65" i="37"/>
  <c r="AE67" i="37"/>
  <c r="AU235" i="12"/>
  <c r="AU206" i="12" s="1"/>
  <c r="AU63" i="37"/>
  <c r="V210" i="12"/>
  <c r="V197" i="12"/>
  <c r="AF210" i="12"/>
  <c r="AF197" i="12"/>
  <c r="AK194" i="12"/>
  <c r="AD65" i="37"/>
  <c r="AD67" i="37"/>
  <c r="AP235" i="12"/>
  <c r="AP63" i="37"/>
  <c r="AP194" i="12"/>
  <c r="AU194" i="12"/>
  <c r="AI67" i="37"/>
  <c r="AI65" i="37"/>
  <c r="AG65" i="37"/>
  <c r="AG67" i="37"/>
  <c r="AT24" i="12"/>
  <c r="Q193" i="12"/>
  <c r="Q24" i="12"/>
  <c r="AU197" i="12"/>
  <c r="AU210" i="12"/>
  <c r="AK210" i="12"/>
  <c r="AK197" i="12"/>
  <c r="AC67" i="37"/>
  <c r="AC65" i="37"/>
  <c r="Q197" i="12"/>
  <c r="Q210" i="12"/>
  <c r="AA210" i="12"/>
  <c r="AA197" i="12"/>
  <c r="AB65" i="37"/>
  <c r="AB67" i="37"/>
  <c r="AL24" i="12"/>
  <c r="AH67" i="37"/>
  <c r="AH65" i="37"/>
  <c r="AR24" i="12"/>
  <c r="AA27" i="10"/>
  <c r="D16" i="39"/>
  <c r="F368" i="7"/>
  <c r="CL10" i="6"/>
  <c r="CL12" i="6"/>
  <c r="X67" i="11"/>
  <c r="X68" i="11" s="1"/>
  <c r="AC67" i="11"/>
  <c r="AC68" i="11" s="1"/>
  <c r="AK78" i="11"/>
  <c r="AG78" i="11"/>
  <c r="AK416" i="7"/>
  <c r="AK453" i="7" s="1"/>
  <c r="BH12" i="37"/>
  <c r="BJ12" i="37" s="1"/>
  <c r="V364" i="7"/>
  <c r="F364" i="7"/>
  <c r="AA841" i="7"/>
  <c r="AA844" i="7"/>
  <c r="CB138" i="7"/>
  <c r="CC138" i="7" s="1"/>
  <c r="AU726" i="7"/>
  <c r="BR802" i="7"/>
  <c r="BS802" i="7" s="1"/>
  <c r="BW475" i="7"/>
  <c r="BX475" i="7" s="1"/>
  <c r="AA843" i="7"/>
  <c r="AF729" i="7"/>
  <c r="AF724" i="7"/>
  <c r="AK368" i="7"/>
  <c r="AK367" i="7"/>
  <c r="AK366" i="7"/>
  <c r="AF313" i="7"/>
  <c r="AP12" i="7"/>
  <c r="AP14" i="7" s="1"/>
  <c r="CJ42" i="7"/>
  <c r="C168" i="7"/>
  <c r="H90" i="7"/>
  <c r="H109" i="7" s="1"/>
  <c r="H128" i="7" s="1"/>
  <c r="H180" i="7" s="1"/>
  <c r="H199" i="7" s="1"/>
  <c r="H218" i="7" s="1"/>
  <c r="AZ97" i="47"/>
  <c r="AZ99" i="47" s="1"/>
  <c r="AZ41" i="12" s="1"/>
  <c r="AV99" i="47"/>
  <c r="AV41" i="12" s="1"/>
  <c r="AJ99" i="47"/>
  <c r="AJ41" i="12" s="1"/>
  <c r="AE99" i="47"/>
  <c r="AE41" i="12" s="1"/>
  <c r="AI99" i="47"/>
  <c r="AI41" i="12" s="1"/>
  <c r="AD99" i="47"/>
  <c r="AD41" i="12" s="1"/>
  <c r="AD42" i="12" s="1"/>
  <c r="AT150" i="13"/>
  <c r="AO150" i="13"/>
  <c r="AI124" i="13"/>
  <c r="AF97" i="47"/>
  <c r="AR49" i="47"/>
  <c r="AO49" i="47"/>
  <c r="AM49" i="47"/>
  <c r="AC99" i="47"/>
  <c r="AC41" i="12" s="1"/>
  <c r="AU97" i="47"/>
  <c r="AU99" i="47" s="1"/>
  <c r="AU41" i="12" s="1"/>
  <c r="AQ99" i="47"/>
  <c r="AQ41" i="12" s="1"/>
  <c r="AP97" i="47"/>
  <c r="AK97" i="47"/>
  <c r="AO44" i="47"/>
  <c r="AP44" i="47" s="1"/>
  <c r="AP161" i="13" s="1"/>
  <c r="AP42" i="47"/>
  <c r="AP159" i="13" s="1"/>
  <c r="AT159" i="13"/>
  <c r="AN49" i="47"/>
  <c r="AG49" i="47"/>
  <c r="AJ182" i="13"/>
  <c r="AK182" i="13" s="1"/>
  <c r="AJ68" i="37"/>
  <c r="AV182" i="13"/>
  <c r="AV183" i="13" s="1"/>
  <c r="AV68" i="37"/>
  <c r="AW182" i="13"/>
  <c r="AW68" i="37"/>
  <c r="AF89" i="12"/>
  <c r="AF68" i="37"/>
  <c r="AS182" i="13"/>
  <c r="AS185" i="13" s="1"/>
  <c r="AS68" i="37"/>
  <c r="AX182" i="13"/>
  <c r="AX185" i="13" s="1"/>
  <c r="AX68" i="37"/>
  <c r="AR182" i="13"/>
  <c r="AR183" i="13" s="1"/>
  <c r="AR68" i="37"/>
  <c r="AQ182" i="13"/>
  <c r="AQ125" i="13" s="1"/>
  <c r="AQ68" i="37"/>
  <c r="AN182" i="13"/>
  <c r="AN125" i="13" s="1"/>
  <c r="AN68" i="37"/>
  <c r="AM182" i="13"/>
  <c r="AM183" i="13" s="1"/>
  <c r="AM68" i="37"/>
  <c r="AL182" i="13"/>
  <c r="AL183" i="13" s="1"/>
  <c r="AL68" i="37"/>
  <c r="AI182" i="13"/>
  <c r="AI183" i="13" s="1"/>
  <c r="AI68" i="37"/>
  <c r="AH182" i="13"/>
  <c r="AH183" i="13" s="1"/>
  <c r="AH68" i="37"/>
  <c r="AG182" i="13"/>
  <c r="AG183" i="13" s="1"/>
  <c r="AG68" i="37"/>
  <c r="AE182" i="13"/>
  <c r="AE183" i="13" s="1"/>
  <c r="AE68" i="37"/>
  <c r="AD182" i="13"/>
  <c r="AD68" i="37"/>
  <c r="AC182" i="13"/>
  <c r="AC68" i="37"/>
  <c r="AT182" i="13"/>
  <c r="AU182" i="13" s="1"/>
  <c r="AT68" i="37"/>
  <c r="AO182" i="13"/>
  <c r="AP182" i="13" s="1"/>
  <c r="AP90" i="12" s="1"/>
  <c r="AO68" i="37"/>
  <c r="U56" i="12"/>
  <c r="Q56" i="12"/>
  <c r="AP47" i="12"/>
  <c r="AP64" i="37"/>
  <c r="AP234" i="12"/>
  <c r="AA43" i="12"/>
  <c r="AA208" i="12"/>
  <c r="AK64" i="37"/>
  <c r="AK234" i="12"/>
  <c r="Q43" i="12"/>
  <c r="Q10" i="12" s="1"/>
  <c r="Q208" i="12"/>
  <c r="AP196" i="12"/>
  <c r="L43" i="12"/>
  <c r="L208" i="12"/>
  <c r="V43" i="12"/>
  <c r="V10" i="12" s="1"/>
  <c r="V208" i="12"/>
  <c r="AF43" i="12"/>
  <c r="AF51" i="12" s="1"/>
  <c r="AF19" i="37" s="1"/>
  <c r="AF208" i="12"/>
  <c r="F42" i="12"/>
  <c r="AE40" i="12"/>
  <c r="AE56" i="12"/>
  <c r="K56" i="12"/>
  <c r="AO48" i="12"/>
  <c r="AU54" i="12"/>
  <c r="AC40" i="12"/>
  <c r="AF56" i="12"/>
  <c r="AD51" i="12"/>
  <c r="AD59" i="12" s="1"/>
  <c r="T51" i="12"/>
  <c r="T59" i="12" s="1"/>
  <c r="O51" i="12"/>
  <c r="AQ48" i="12"/>
  <c r="AQ184" i="12"/>
  <c r="AQ187" i="12" s="1"/>
  <c r="AR186" i="12" s="1"/>
  <c r="O40" i="12"/>
  <c r="O42" i="12" s="1"/>
  <c r="AF184" i="12"/>
  <c r="AF60" i="12" s="1"/>
  <c r="AE48" i="12"/>
  <c r="U51" i="12"/>
  <c r="U59" i="12" s="1"/>
  <c r="K48" i="12"/>
  <c r="AF48" i="12"/>
  <c r="W25" i="12"/>
  <c r="AR57" i="12"/>
  <c r="AR56" i="12" s="1"/>
  <c r="Q184" i="12"/>
  <c r="Q60" i="12" s="1"/>
  <c r="AP159" i="12"/>
  <c r="U40" i="12"/>
  <c r="AQ25" i="12"/>
  <c r="R39" i="12"/>
  <c r="R10" i="12" s="1"/>
  <c r="K39" i="12"/>
  <c r="K10" i="12" s="1"/>
  <c r="T40" i="12"/>
  <c r="R40" i="12"/>
  <c r="AL51" i="12"/>
  <c r="AL59" i="12" s="1"/>
  <c r="AN184" i="12"/>
  <c r="AN60" i="12" s="1"/>
  <c r="AE39" i="12"/>
  <c r="AB39" i="12"/>
  <c r="AB10" i="12" s="1"/>
  <c r="T39" i="12"/>
  <c r="G74" i="12"/>
  <c r="AJ49" i="47"/>
  <c r="CW82" i="47"/>
  <c r="CX82" i="47" s="1"/>
  <c r="CV75" i="47"/>
  <c r="CX75" i="47"/>
  <c r="CY79" i="47" s="1"/>
  <c r="DC79" i="47" s="1"/>
  <c r="AH49" i="47"/>
  <c r="AE49" i="47"/>
  <c r="AC49" i="47"/>
  <c r="AE44" i="47"/>
  <c r="AK94" i="47"/>
  <c r="AC44" i="47"/>
  <c r="AS44" i="47"/>
  <c r="AU151" i="9"/>
  <c r="G151" i="9"/>
  <c r="S137" i="13"/>
  <c r="O137" i="13"/>
  <c r="P48" i="12"/>
  <c r="D48" i="12"/>
  <c r="Q48" i="12"/>
  <c r="AM24" i="37"/>
  <c r="AU109" i="9"/>
  <c r="V155" i="9"/>
  <c r="G193" i="9"/>
  <c r="F113" i="9"/>
  <c r="F140" i="9"/>
  <c r="C97" i="9"/>
  <c r="C146" i="9" s="1"/>
  <c r="D111" i="9"/>
  <c r="D193" i="9" s="1"/>
  <c r="E161" i="9"/>
  <c r="CB268" i="4"/>
  <c r="CA268" i="4"/>
  <c r="BZ268" i="4"/>
  <c r="CC268" i="4"/>
  <c r="CD270" i="4"/>
  <c r="CC260" i="4"/>
  <c r="CA260" i="4"/>
  <c r="BZ260" i="4"/>
  <c r="CB260" i="4"/>
  <c r="CB204" i="4"/>
  <c r="BZ204" i="4"/>
  <c r="CA204" i="4"/>
  <c r="CC204" i="4"/>
  <c r="CB201" i="4"/>
  <c r="BZ201" i="4"/>
  <c r="CA201" i="4"/>
  <c r="CC201" i="4"/>
  <c r="CA248" i="4"/>
  <c r="CB248" i="4"/>
  <c r="CC248" i="4"/>
  <c r="BZ248" i="4"/>
  <c r="CC242" i="4"/>
  <c r="BZ242" i="4"/>
  <c r="CB242" i="4"/>
  <c r="CA242" i="4"/>
  <c r="CB184" i="4"/>
  <c r="BZ184" i="4"/>
  <c r="CA184" i="4"/>
  <c r="CC184" i="4"/>
  <c r="CB233" i="4"/>
  <c r="CA233" i="4"/>
  <c r="BZ233" i="4"/>
  <c r="CC233" i="4"/>
  <c r="CD235" i="4"/>
  <c r="BZ227" i="4"/>
  <c r="CC227" i="4"/>
  <c r="CA227" i="4"/>
  <c r="CB227" i="4"/>
  <c r="BX263" i="4"/>
  <c r="BV263" i="4"/>
  <c r="BU263" i="4"/>
  <c r="BW263" i="4"/>
  <c r="BV260" i="4"/>
  <c r="BW260" i="4"/>
  <c r="BU260" i="4"/>
  <c r="BX260" i="4"/>
  <c r="BW204" i="4"/>
  <c r="BV204" i="4"/>
  <c r="BU204" i="4"/>
  <c r="BX204" i="4"/>
  <c r="BW201" i="4"/>
  <c r="BV201" i="4"/>
  <c r="BU201" i="4"/>
  <c r="BX201" i="4"/>
  <c r="BW248" i="4"/>
  <c r="BU248" i="4"/>
  <c r="BX248" i="4"/>
  <c r="BV248" i="4"/>
  <c r="BV242" i="4"/>
  <c r="BX242" i="4"/>
  <c r="BW242" i="4"/>
  <c r="BU242" i="4"/>
  <c r="BW184" i="4"/>
  <c r="BU184" i="4"/>
  <c r="BX184" i="4"/>
  <c r="BV184" i="4"/>
  <c r="BY235" i="4"/>
  <c r="BU233" i="4"/>
  <c r="BW233" i="4"/>
  <c r="BV233" i="4"/>
  <c r="BX233" i="4"/>
  <c r="BX227" i="4"/>
  <c r="BV227" i="4"/>
  <c r="BU227" i="4"/>
  <c r="BW227" i="4"/>
  <c r="BR263" i="4"/>
  <c r="BP263" i="4"/>
  <c r="BS263" i="4"/>
  <c r="BQ263" i="4"/>
  <c r="BR260" i="4"/>
  <c r="BP260" i="4"/>
  <c r="BS260" i="4"/>
  <c r="BQ260" i="4"/>
  <c r="BR204" i="4"/>
  <c r="BP204" i="4"/>
  <c r="BS204" i="4"/>
  <c r="BQ204" i="4"/>
  <c r="BR201" i="4"/>
  <c r="BQ201" i="4"/>
  <c r="BP201" i="4"/>
  <c r="BS201" i="4"/>
  <c r="BS248" i="4"/>
  <c r="BR248" i="4"/>
  <c r="BP248" i="4"/>
  <c r="BQ248" i="4"/>
  <c r="BR242" i="4"/>
  <c r="BP242" i="4"/>
  <c r="BQ242" i="4"/>
  <c r="BS242" i="4"/>
  <c r="BR184" i="4"/>
  <c r="BP184" i="4"/>
  <c r="BS184" i="4"/>
  <c r="BQ184" i="4"/>
  <c r="BT235" i="4"/>
  <c r="BP233" i="4"/>
  <c r="BS233" i="4"/>
  <c r="BR233" i="4"/>
  <c r="BQ233" i="4"/>
  <c r="BP227" i="4"/>
  <c r="BR227" i="4"/>
  <c r="BQ227" i="4"/>
  <c r="BS227" i="4"/>
  <c r="BN263" i="4"/>
  <c r="BK263" i="4"/>
  <c r="BL263" i="4"/>
  <c r="BM263" i="4"/>
  <c r="BL260" i="4"/>
  <c r="BK260" i="4"/>
  <c r="BM260" i="4"/>
  <c r="BN260" i="4"/>
  <c r="BM204" i="4"/>
  <c r="BL204" i="4"/>
  <c r="BK204" i="4"/>
  <c r="BN204" i="4"/>
  <c r="BM201" i="4"/>
  <c r="BL201" i="4"/>
  <c r="BK201" i="4"/>
  <c r="BN201" i="4"/>
  <c r="BK248" i="4"/>
  <c r="BM248" i="4"/>
  <c r="BL248" i="4"/>
  <c r="BN248" i="4"/>
  <c r="BN242" i="4"/>
  <c r="BK242" i="4"/>
  <c r="BL242" i="4"/>
  <c r="BM242" i="4"/>
  <c r="BM184" i="4"/>
  <c r="BK184" i="4"/>
  <c r="BL184" i="4"/>
  <c r="BN184" i="4"/>
  <c r="BL233" i="4"/>
  <c r="BK233" i="4"/>
  <c r="BN233" i="4"/>
  <c r="BM233" i="4"/>
  <c r="BO235" i="4"/>
  <c r="BL227" i="4"/>
  <c r="BK227" i="4"/>
  <c r="BM227" i="4"/>
  <c r="BN227" i="4"/>
  <c r="BI263" i="4"/>
  <c r="BF263" i="4"/>
  <c r="BG263" i="4"/>
  <c r="BH263" i="4"/>
  <c r="BI260" i="4"/>
  <c r="BF260" i="4"/>
  <c r="BH260" i="4"/>
  <c r="BG260" i="4"/>
  <c r="BH204" i="4"/>
  <c r="BF204" i="4"/>
  <c r="BG204" i="4"/>
  <c r="BI204" i="4"/>
  <c r="BH201" i="4"/>
  <c r="BG201" i="4"/>
  <c r="BF201" i="4"/>
  <c r="BI201" i="4"/>
  <c r="BG248" i="4"/>
  <c r="BI248" i="4"/>
  <c r="BF248" i="4"/>
  <c r="BH248" i="4"/>
  <c r="BI242" i="4"/>
  <c r="BH242" i="4"/>
  <c r="BF242" i="4"/>
  <c r="BG242" i="4"/>
  <c r="BH184" i="4"/>
  <c r="BF184" i="4"/>
  <c r="BG184" i="4"/>
  <c r="BI184" i="4"/>
  <c r="BH233" i="4"/>
  <c r="BG233" i="4"/>
  <c r="BF233" i="4"/>
  <c r="BI233" i="4"/>
  <c r="BJ235" i="4"/>
  <c r="BF227" i="4"/>
  <c r="BG227" i="4"/>
  <c r="BI227" i="4"/>
  <c r="BH227" i="4"/>
  <c r="BE270" i="4"/>
  <c r="BC268" i="4"/>
  <c r="BA268" i="4"/>
  <c r="BD268" i="4"/>
  <c r="BB268" i="4"/>
  <c r="BC207" i="4"/>
  <c r="BA207" i="4"/>
  <c r="BD207" i="4"/>
  <c r="BB207" i="4"/>
  <c r="BB258" i="4"/>
  <c r="BC258" i="4"/>
  <c r="BA258" i="4"/>
  <c r="BD258" i="4"/>
  <c r="BB255" i="4"/>
  <c r="BD255" i="4"/>
  <c r="BC255" i="4"/>
  <c r="BA255" i="4"/>
  <c r="BC248" i="4"/>
  <c r="BA248" i="4"/>
  <c r="BD248" i="4"/>
  <c r="BB248" i="4"/>
  <c r="BD242" i="4"/>
  <c r="BB242" i="4"/>
  <c r="BA242" i="4"/>
  <c r="BC242" i="4"/>
  <c r="BC184" i="4"/>
  <c r="BA184" i="4"/>
  <c r="BD184" i="4"/>
  <c r="BB184" i="4"/>
  <c r="BE235" i="4"/>
  <c r="BC233" i="4"/>
  <c r="BA233" i="4"/>
  <c r="BD233" i="4"/>
  <c r="BB233" i="4"/>
  <c r="BD227" i="4"/>
  <c r="BA227" i="4"/>
  <c r="BC227" i="4"/>
  <c r="BB227" i="4"/>
  <c r="AT269" i="4"/>
  <c r="AR269" i="4"/>
  <c r="AQ269" i="4"/>
  <c r="AS269" i="4"/>
  <c r="Z269" i="4"/>
  <c r="Y269" i="4"/>
  <c r="W269" i="4"/>
  <c r="X269" i="4"/>
  <c r="AJ268" i="4"/>
  <c r="AI268" i="4"/>
  <c r="AG268" i="4"/>
  <c r="AK270" i="4"/>
  <c r="AH268" i="4"/>
  <c r="P268" i="4"/>
  <c r="M268" i="4"/>
  <c r="O268" i="4"/>
  <c r="Q270" i="4"/>
  <c r="N268" i="4"/>
  <c r="AT263" i="4"/>
  <c r="AQ263" i="4"/>
  <c r="AR263" i="4"/>
  <c r="AS263" i="4"/>
  <c r="X263" i="4"/>
  <c r="Y263" i="4"/>
  <c r="W263" i="4"/>
  <c r="Z263" i="4"/>
  <c r="AH262" i="4"/>
  <c r="AJ262" i="4"/>
  <c r="AG262" i="4"/>
  <c r="AI262" i="4"/>
  <c r="N262" i="4"/>
  <c r="O262" i="4"/>
  <c r="M262" i="4"/>
  <c r="P262" i="4"/>
  <c r="AT208" i="4"/>
  <c r="AR208" i="4"/>
  <c r="AQ208" i="4"/>
  <c r="AS208" i="4"/>
  <c r="Z208" i="4"/>
  <c r="Y208" i="4"/>
  <c r="X208" i="4"/>
  <c r="W208" i="4"/>
  <c r="AH260" i="4"/>
  <c r="AI260" i="4"/>
  <c r="AJ260" i="4"/>
  <c r="AG260" i="4"/>
  <c r="N260" i="4"/>
  <c r="P260" i="4"/>
  <c r="M260" i="4"/>
  <c r="O260" i="4"/>
  <c r="AT206" i="4"/>
  <c r="AR206" i="4"/>
  <c r="AS206" i="4"/>
  <c r="AQ206" i="4"/>
  <c r="Z206" i="4"/>
  <c r="X206" i="4"/>
  <c r="Y206" i="4"/>
  <c r="W206" i="4"/>
  <c r="AH259" i="4"/>
  <c r="AG259" i="4"/>
  <c r="AI259" i="4"/>
  <c r="AJ259" i="4"/>
  <c r="N259" i="4"/>
  <c r="M259" i="4"/>
  <c r="P259" i="4"/>
  <c r="O259" i="4"/>
  <c r="U205" i="4"/>
  <c r="S205" i="4"/>
  <c r="R205" i="4"/>
  <c r="T205" i="4"/>
  <c r="AX258" i="4"/>
  <c r="AV258" i="4"/>
  <c r="AY258" i="4"/>
  <c r="AW258" i="4"/>
  <c r="AD258" i="4"/>
  <c r="AE258" i="4"/>
  <c r="AB258" i="4"/>
  <c r="AC258" i="4"/>
  <c r="J258" i="4"/>
  <c r="H258" i="4"/>
  <c r="K258" i="4"/>
  <c r="I258" i="4"/>
  <c r="AO204" i="4"/>
  <c r="AM204" i="4"/>
  <c r="AN204" i="4"/>
  <c r="AL204" i="4"/>
  <c r="U204" i="4"/>
  <c r="T204" i="4"/>
  <c r="S204" i="4"/>
  <c r="R204" i="4"/>
  <c r="AY257" i="4"/>
  <c r="AW257" i="4"/>
  <c r="AV257" i="4"/>
  <c r="AX257" i="4"/>
  <c r="AD257" i="4"/>
  <c r="AB257" i="4"/>
  <c r="AE257" i="4"/>
  <c r="AC257" i="4"/>
  <c r="J257" i="4"/>
  <c r="H257" i="4"/>
  <c r="K257" i="4"/>
  <c r="I257" i="4"/>
  <c r="AO203" i="4"/>
  <c r="AN203" i="4"/>
  <c r="AM203" i="4"/>
  <c r="AL203" i="4"/>
  <c r="U203" i="4"/>
  <c r="S203" i="4"/>
  <c r="T203" i="4"/>
  <c r="R203" i="4"/>
  <c r="AW255" i="4"/>
  <c r="AX255" i="4"/>
  <c r="AY255" i="4"/>
  <c r="AV255" i="4"/>
  <c r="AC255" i="4"/>
  <c r="AE255" i="4"/>
  <c r="AB255" i="4"/>
  <c r="AD255" i="4"/>
  <c r="J255" i="4"/>
  <c r="H255" i="4"/>
  <c r="K255" i="4"/>
  <c r="I255" i="4"/>
  <c r="AO201" i="4"/>
  <c r="AM201" i="4"/>
  <c r="AN201" i="4"/>
  <c r="AL201" i="4"/>
  <c r="U201" i="4"/>
  <c r="T201" i="4"/>
  <c r="S201" i="4"/>
  <c r="R201" i="4"/>
  <c r="AW254" i="4"/>
  <c r="AV254" i="4"/>
  <c r="AY254" i="4"/>
  <c r="AX254" i="4"/>
  <c r="AE254" i="4"/>
  <c r="AC254" i="4"/>
  <c r="AB254" i="4"/>
  <c r="AD254" i="4"/>
  <c r="J254" i="4"/>
  <c r="H254" i="4"/>
  <c r="K254" i="4"/>
  <c r="I254" i="4"/>
  <c r="AY207" i="4"/>
  <c r="AW207" i="4"/>
  <c r="AV207" i="4"/>
  <c r="AX207" i="4"/>
  <c r="AE207" i="4"/>
  <c r="AC207" i="4"/>
  <c r="AD207" i="4"/>
  <c r="AB207" i="4"/>
  <c r="K207" i="4"/>
  <c r="I207" i="4"/>
  <c r="H207" i="4"/>
  <c r="J207" i="4"/>
  <c r="AO249" i="4"/>
  <c r="AM249" i="4"/>
  <c r="AL249" i="4"/>
  <c r="AN249" i="4"/>
  <c r="U249" i="4"/>
  <c r="T249" i="4"/>
  <c r="R249" i="4"/>
  <c r="S249" i="4"/>
  <c r="AY248" i="4"/>
  <c r="AV248" i="4"/>
  <c r="AX248" i="4"/>
  <c r="AW248" i="4"/>
  <c r="AD248" i="4"/>
  <c r="AB248" i="4"/>
  <c r="AC248" i="4"/>
  <c r="AE248" i="4"/>
  <c r="J248" i="4"/>
  <c r="H248" i="4"/>
  <c r="K248" i="4"/>
  <c r="I248" i="4"/>
  <c r="AO242" i="4"/>
  <c r="AL242" i="4"/>
  <c r="AN242" i="4"/>
  <c r="AM242" i="4"/>
  <c r="U242" i="4"/>
  <c r="R242" i="4"/>
  <c r="T242" i="4"/>
  <c r="S242" i="4"/>
  <c r="AW241" i="4"/>
  <c r="AX241" i="4"/>
  <c r="AV241" i="4"/>
  <c r="AY241" i="4"/>
  <c r="AC241" i="4"/>
  <c r="AB241" i="4"/>
  <c r="AE241" i="4"/>
  <c r="AD241" i="4"/>
  <c r="J241" i="4"/>
  <c r="H241" i="4"/>
  <c r="I241" i="4"/>
  <c r="K241" i="4"/>
  <c r="AM240" i="4"/>
  <c r="AO240" i="4"/>
  <c r="AL240" i="4"/>
  <c r="AN240" i="4"/>
  <c r="S240" i="4"/>
  <c r="R240" i="4"/>
  <c r="U240" i="4"/>
  <c r="T240" i="4"/>
  <c r="AY185" i="4"/>
  <c r="AW185" i="4"/>
  <c r="AX185" i="4"/>
  <c r="AV185" i="4"/>
  <c r="AE185" i="4"/>
  <c r="AC185" i="4"/>
  <c r="AB185" i="4"/>
  <c r="AD185" i="4"/>
  <c r="K185" i="4"/>
  <c r="I185" i="4"/>
  <c r="H185" i="4"/>
  <c r="J185" i="4"/>
  <c r="AO184" i="4"/>
  <c r="AM184" i="4"/>
  <c r="AL184" i="4"/>
  <c r="AN184" i="4"/>
  <c r="U184" i="4"/>
  <c r="S184" i="4"/>
  <c r="R184" i="4"/>
  <c r="T184" i="4"/>
  <c r="AX234" i="4"/>
  <c r="AW234" i="4"/>
  <c r="AV234" i="4"/>
  <c r="AY234" i="4"/>
  <c r="AD234" i="4"/>
  <c r="AC234" i="4"/>
  <c r="AB234" i="4"/>
  <c r="AE234" i="4"/>
  <c r="J234" i="4"/>
  <c r="H234" i="4"/>
  <c r="I234" i="4"/>
  <c r="K234" i="4"/>
  <c r="AN233" i="4"/>
  <c r="AM233" i="4"/>
  <c r="AL233" i="4"/>
  <c r="AP235" i="4"/>
  <c r="AO233" i="4"/>
  <c r="T233" i="4"/>
  <c r="S233" i="4"/>
  <c r="R233" i="4"/>
  <c r="U233" i="4"/>
  <c r="V235" i="4"/>
  <c r="AV229" i="4"/>
  <c r="AX229" i="4"/>
  <c r="AW229" i="4"/>
  <c r="AY229" i="4"/>
  <c r="AC229" i="4"/>
  <c r="AE229" i="4"/>
  <c r="AD229" i="4"/>
  <c r="AB229" i="4"/>
  <c r="J229" i="4"/>
  <c r="H229" i="4"/>
  <c r="I229" i="4"/>
  <c r="K229" i="4"/>
  <c r="AL227" i="4"/>
  <c r="AO227" i="4"/>
  <c r="AN227" i="4"/>
  <c r="AM227" i="4"/>
  <c r="R227" i="4"/>
  <c r="T227" i="4"/>
  <c r="U227" i="4"/>
  <c r="S227" i="4"/>
  <c r="D67" i="13"/>
  <c r="BY77" i="14"/>
  <c r="AU117" i="9"/>
  <c r="CI16" i="10"/>
  <c r="CC263" i="4"/>
  <c r="BZ263" i="4"/>
  <c r="CA263" i="4"/>
  <c r="CB263" i="4"/>
  <c r="CB206" i="4"/>
  <c r="BZ206" i="4"/>
  <c r="CA206" i="4"/>
  <c r="CC206" i="4"/>
  <c r="CB257" i="4"/>
  <c r="BZ257" i="4"/>
  <c r="CC257" i="4"/>
  <c r="CA257" i="4"/>
  <c r="CA254" i="4"/>
  <c r="CB254" i="4"/>
  <c r="CC254" i="4"/>
  <c r="BZ254" i="4"/>
  <c r="BZ241" i="4"/>
  <c r="CC241" i="4"/>
  <c r="CB241" i="4"/>
  <c r="CA241" i="4"/>
  <c r="BV262" i="4"/>
  <c r="BU262" i="4"/>
  <c r="BX262" i="4"/>
  <c r="BW262" i="4"/>
  <c r="BW206" i="4"/>
  <c r="BV206" i="4"/>
  <c r="BU206" i="4"/>
  <c r="BX206" i="4"/>
  <c r="BV257" i="4"/>
  <c r="BU257" i="4"/>
  <c r="BX257" i="4"/>
  <c r="BW257" i="4"/>
  <c r="BX254" i="4"/>
  <c r="BV254" i="4"/>
  <c r="BW254" i="4"/>
  <c r="BU254" i="4"/>
  <c r="BX241" i="4"/>
  <c r="BU241" i="4"/>
  <c r="BV241" i="4"/>
  <c r="BW241" i="4"/>
  <c r="BR262" i="4"/>
  <c r="BS262" i="4"/>
  <c r="BP262" i="4"/>
  <c r="BQ262" i="4"/>
  <c r="BR206" i="4"/>
  <c r="BP206" i="4"/>
  <c r="BS206" i="4"/>
  <c r="BQ206" i="4"/>
  <c r="BS257" i="4"/>
  <c r="BR257" i="4"/>
  <c r="BP257" i="4"/>
  <c r="BQ257" i="4"/>
  <c r="BQ254" i="4"/>
  <c r="BP254" i="4"/>
  <c r="BR254" i="4"/>
  <c r="BS254" i="4"/>
  <c r="BS241" i="4"/>
  <c r="BQ241" i="4"/>
  <c r="BR241" i="4"/>
  <c r="BP241" i="4"/>
  <c r="BL262" i="4"/>
  <c r="BK262" i="4"/>
  <c r="BM262" i="4"/>
  <c r="BN262" i="4"/>
  <c r="BM206" i="4"/>
  <c r="BL206" i="4"/>
  <c r="BK206" i="4"/>
  <c r="BN206" i="4"/>
  <c r="BL257" i="4"/>
  <c r="BN257" i="4"/>
  <c r="BK257" i="4"/>
  <c r="BM257" i="4"/>
  <c r="BM254" i="4"/>
  <c r="BK254" i="4"/>
  <c r="BN254" i="4"/>
  <c r="BL254" i="4"/>
  <c r="BK241" i="4"/>
  <c r="BM241" i="4"/>
  <c r="BL241" i="4"/>
  <c r="BN241" i="4"/>
  <c r="BI262" i="4"/>
  <c r="BG262" i="4"/>
  <c r="BH262" i="4"/>
  <c r="BF262" i="4"/>
  <c r="BH206" i="4"/>
  <c r="BF206" i="4"/>
  <c r="BG206" i="4"/>
  <c r="BI206" i="4"/>
  <c r="BH257" i="4"/>
  <c r="BI257" i="4"/>
  <c r="BF257" i="4"/>
  <c r="BG257" i="4"/>
  <c r="BG254" i="4"/>
  <c r="BI254" i="4"/>
  <c r="BF254" i="4"/>
  <c r="BH254" i="4"/>
  <c r="BH241" i="4"/>
  <c r="BF241" i="4"/>
  <c r="BG241" i="4"/>
  <c r="BI241" i="4"/>
  <c r="BD263" i="4"/>
  <c r="BB263" i="4"/>
  <c r="BA263" i="4"/>
  <c r="BC263" i="4"/>
  <c r="BB260" i="4"/>
  <c r="BA260" i="4"/>
  <c r="BD260" i="4"/>
  <c r="BC260" i="4"/>
  <c r="BC204" i="4"/>
  <c r="BB204" i="4"/>
  <c r="BA204" i="4"/>
  <c r="BD204" i="4"/>
  <c r="BC201" i="4"/>
  <c r="BA201" i="4"/>
  <c r="BB201" i="4"/>
  <c r="BD201" i="4"/>
  <c r="BD241" i="4"/>
  <c r="BB241" i="4"/>
  <c r="BA241" i="4"/>
  <c r="BC241" i="4"/>
  <c r="AO269" i="4"/>
  <c r="AL269" i="4"/>
  <c r="AN269" i="4"/>
  <c r="AM269" i="4"/>
  <c r="U269" i="4"/>
  <c r="R269" i="4"/>
  <c r="S269" i="4"/>
  <c r="T269" i="4"/>
  <c r="AZ270" i="4"/>
  <c r="AV268" i="4"/>
  <c r="AX268" i="4"/>
  <c r="AY268" i="4"/>
  <c r="AW268" i="4"/>
  <c r="AF270" i="4"/>
  <c r="AB268" i="4"/>
  <c r="AD268" i="4"/>
  <c r="AC268" i="4"/>
  <c r="AE268" i="4"/>
  <c r="J268" i="4"/>
  <c r="H268" i="4"/>
  <c r="K268" i="4"/>
  <c r="I268" i="4"/>
  <c r="AO263" i="4"/>
  <c r="AL263" i="4"/>
  <c r="AM263" i="4"/>
  <c r="AN263" i="4"/>
  <c r="T263" i="4"/>
  <c r="R263" i="4"/>
  <c r="U263" i="4"/>
  <c r="S263" i="4"/>
  <c r="AX262" i="4"/>
  <c r="AV262" i="4"/>
  <c r="AY262" i="4"/>
  <c r="AW262" i="4"/>
  <c r="AD262" i="4"/>
  <c r="AE262" i="4"/>
  <c r="AB262" i="4"/>
  <c r="AC262" i="4"/>
  <c r="J262" i="4"/>
  <c r="H262" i="4"/>
  <c r="K262" i="4"/>
  <c r="I262" i="4"/>
  <c r="AO208" i="4"/>
  <c r="AM208" i="4"/>
  <c r="AL208" i="4"/>
  <c r="AN208" i="4"/>
  <c r="U208" i="4"/>
  <c r="T208" i="4"/>
  <c r="S208" i="4"/>
  <c r="R208" i="4"/>
  <c r="AX260" i="4"/>
  <c r="AY260" i="4"/>
  <c r="AV260" i="4"/>
  <c r="AW260" i="4"/>
  <c r="AD260" i="4"/>
  <c r="AB260" i="4"/>
  <c r="AE260" i="4"/>
  <c r="AC260" i="4"/>
  <c r="J260" i="4"/>
  <c r="H260" i="4"/>
  <c r="K260" i="4"/>
  <c r="I260" i="4"/>
  <c r="AO206" i="4"/>
  <c r="AN206" i="4"/>
  <c r="AM206" i="4"/>
  <c r="AL206" i="4"/>
  <c r="U206" i="4"/>
  <c r="S206" i="4"/>
  <c r="T206" i="4"/>
  <c r="R206" i="4"/>
  <c r="AY259" i="4"/>
  <c r="AV259" i="4"/>
  <c r="AX259" i="4"/>
  <c r="AW259" i="4"/>
  <c r="AE259" i="4"/>
  <c r="AC259" i="4"/>
  <c r="AD259" i="4"/>
  <c r="AB259" i="4"/>
  <c r="J259" i="4"/>
  <c r="H259" i="4"/>
  <c r="K259" i="4"/>
  <c r="I259" i="4"/>
  <c r="P205" i="4"/>
  <c r="N205" i="4"/>
  <c r="O205" i="4"/>
  <c r="M205" i="4"/>
  <c r="AR258" i="4"/>
  <c r="AQ258" i="4"/>
  <c r="AT258" i="4"/>
  <c r="AS258" i="4"/>
  <c r="X258" i="4"/>
  <c r="W258" i="4"/>
  <c r="Y258" i="4"/>
  <c r="Z258" i="4"/>
  <c r="AJ204" i="4"/>
  <c r="AH204" i="4"/>
  <c r="AI204" i="4"/>
  <c r="AG204" i="4"/>
  <c r="P204" i="4"/>
  <c r="N204" i="4"/>
  <c r="M204" i="4"/>
  <c r="O204" i="4"/>
  <c r="AR257" i="4"/>
  <c r="AS257" i="4"/>
  <c r="AQ257" i="4"/>
  <c r="AT257" i="4"/>
  <c r="Z257" i="4"/>
  <c r="W257" i="4"/>
  <c r="Y257" i="4"/>
  <c r="X257" i="4"/>
  <c r="AJ203" i="4"/>
  <c r="AI203" i="4"/>
  <c r="AH203" i="4"/>
  <c r="AG203" i="4"/>
  <c r="P203" i="4"/>
  <c r="N203" i="4"/>
  <c r="M203" i="4"/>
  <c r="O203" i="4"/>
  <c r="AT255" i="4"/>
  <c r="AQ255" i="4"/>
  <c r="AS255" i="4"/>
  <c r="AR255" i="4"/>
  <c r="X255" i="4"/>
  <c r="Z255" i="4"/>
  <c r="W255" i="4"/>
  <c r="Y255" i="4"/>
  <c r="AJ201" i="4"/>
  <c r="AH201" i="4"/>
  <c r="AI201" i="4"/>
  <c r="AG201" i="4"/>
  <c r="P201" i="4"/>
  <c r="N201" i="4"/>
  <c r="M201" i="4"/>
  <c r="O201" i="4"/>
  <c r="AQ254" i="4"/>
  <c r="AS254" i="4"/>
  <c r="AR254" i="4"/>
  <c r="AT254" i="4"/>
  <c r="X254" i="4"/>
  <c r="Z254" i="4"/>
  <c r="Y254" i="4"/>
  <c r="W254" i="4"/>
  <c r="AT207" i="4"/>
  <c r="AS207" i="4"/>
  <c r="AR207" i="4"/>
  <c r="AQ207" i="4"/>
  <c r="Z207" i="4"/>
  <c r="X207" i="4"/>
  <c r="W207" i="4"/>
  <c r="Y207" i="4"/>
  <c r="AG249" i="4"/>
  <c r="AI249" i="4"/>
  <c r="AH249" i="4"/>
  <c r="AJ249" i="4"/>
  <c r="M249" i="4"/>
  <c r="O249" i="4"/>
  <c r="N249" i="4"/>
  <c r="P249" i="4"/>
  <c r="AT248" i="4"/>
  <c r="AR248" i="4"/>
  <c r="AQ248" i="4"/>
  <c r="AS248" i="4"/>
  <c r="Z248" i="4"/>
  <c r="X248" i="4"/>
  <c r="W248" i="4"/>
  <c r="Y248" i="4"/>
  <c r="AH242" i="4"/>
  <c r="AJ242" i="4"/>
  <c r="AG242" i="4"/>
  <c r="AI242" i="4"/>
  <c r="N242" i="4"/>
  <c r="P242" i="4"/>
  <c r="O242" i="4"/>
  <c r="M242" i="4"/>
  <c r="AR241" i="4"/>
  <c r="AQ241" i="4"/>
  <c r="AT241" i="4"/>
  <c r="AS241" i="4"/>
  <c r="X241" i="4"/>
  <c r="W241" i="4"/>
  <c r="Y241" i="4"/>
  <c r="Z241" i="4"/>
  <c r="AH240" i="4"/>
  <c r="AG240" i="4"/>
  <c r="AI240" i="4"/>
  <c r="AJ240" i="4"/>
  <c r="N240" i="4"/>
  <c r="M240" i="4"/>
  <c r="O240" i="4"/>
  <c r="P240" i="4"/>
  <c r="AT185" i="4"/>
  <c r="AR185" i="4"/>
  <c r="AS185" i="4"/>
  <c r="AQ185" i="4"/>
  <c r="Z185" i="4"/>
  <c r="X185" i="4"/>
  <c r="W185" i="4"/>
  <c r="Y185" i="4"/>
  <c r="AJ184" i="4"/>
  <c r="AH184" i="4"/>
  <c r="AG184" i="4"/>
  <c r="AI184" i="4"/>
  <c r="P184" i="4"/>
  <c r="N184" i="4"/>
  <c r="M184" i="4"/>
  <c r="O184" i="4"/>
  <c r="AQ234" i="4"/>
  <c r="AS234" i="4"/>
  <c r="AR234" i="4"/>
  <c r="AT234" i="4"/>
  <c r="Y234" i="4"/>
  <c r="W234" i="4"/>
  <c r="Z234" i="4"/>
  <c r="X234" i="4"/>
  <c r="AK235" i="4"/>
  <c r="AG233" i="4"/>
  <c r="AI233" i="4"/>
  <c r="AH233" i="4"/>
  <c r="AJ233" i="4"/>
  <c r="Q235" i="4"/>
  <c r="O233" i="4"/>
  <c r="M233" i="4"/>
  <c r="P233" i="4"/>
  <c r="N233" i="4"/>
  <c r="AR229" i="4"/>
  <c r="AQ229" i="4"/>
  <c r="AS229" i="4"/>
  <c r="AT229" i="4"/>
  <c r="X229" i="4"/>
  <c r="W229" i="4"/>
  <c r="Z229" i="4"/>
  <c r="Y229" i="4"/>
  <c r="AJ227" i="4"/>
  <c r="AH227" i="4"/>
  <c r="AI227" i="4"/>
  <c r="AG227" i="4"/>
  <c r="P227" i="4"/>
  <c r="O227" i="4"/>
  <c r="M227" i="4"/>
  <c r="N227" i="4"/>
  <c r="AX24" i="37"/>
  <c r="AX25" i="37" s="1"/>
  <c r="AX66" i="27"/>
  <c r="AZ66" i="27" s="1"/>
  <c r="AX83" i="27"/>
  <c r="BY83" i="14"/>
  <c r="AG23" i="10"/>
  <c r="I67" i="27"/>
  <c r="I83" i="27"/>
  <c r="AP83" i="27"/>
  <c r="AK83" i="27"/>
  <c r="AK150" i="9"/>
  <c r="AF112" i="9"/>
  <c r="AF156" i="9"/>
  <c r="Q151" i="9"/>
  <c r="L109" i="9"/>
  <c r="F110" i="9"/>
  <c r="G171" i="9"/>
  <c r="CC262" i="4"/>
  <c r="BZ262" i="4"/>
  <c r="CB262" i="4"/>
  <c r="CA262" i="4"/>
  <c r="CB259" i="4"/>
  <c r="CC259" i="4"/>
  <c r="BZ259" i="4"/>
  <c r="CA259" i="4"/>
  <c r="CB203" i="4"/>
  <c r="BZ203" i="4"/>
  <c r="CA203" i="4"/>
  <c r="CC203" i="4"/>
  <c r="CA240" i="4"/>
  <c r="CC240" i="4"/>
  <c r="BZ240" i="4"/>
  <c r="CB240" i="4"/>
  <c r="BV269" i="4"/>
  <c r="BU269" i="4"/>
  <c r="BX269" i="4"/>
  <c r="BW269" i="4"/>
  <c r="BW208" i="4"/>
  <c r="BV208" i="4"/>
  <c r="BU208" i="4"/>
  <c r="BX208" i="4"/>
  <c r="BV259" i="4"/>
  <c r="BU259" i="4"/>
  <c r="BW259" i="4"/>
  <c r="BX259" i="4"/>
  <c r="BW203" i="4"/>
  <c r="BV203" i="4"/>
  <c r="BU203" i="4"/>
  <c r="BX203" i="4"/>
  <c r="BV240" i="4"/>
  <c r="BU240" i="4"/>
  <c r="BX240" i="4"/>
  <c r="BW240" i="4"/>
  <c r="BS269" i="4"/>
  <c r="BQ269" i="4"/>
  <c r="BR269" i="4"/>
  <c r="BP269" i="4"/>
  <c r="BR208" i="4"/>
  <c r="BP208" i="4"/>
  <c r="BS208" i="4"/>
  <c r="BQ208" i="4"/>
  <c r="BS259" i="4"/>
  <c r="BQ259" i="4"/>
  <c r="BP259" i="4"/>
  <c r="BR259" i="4"/>
  <c r="BR203" i="4"/>
  <c r="BQ203" i="4"/>
  <c r="BP203" i="4"/>
  <c r="BS203" i="4"/>
  <c r="BR240" i="4"/>
  <c r="BQ240" i="4"/>
  <c r="BP240" i="4"/>
  <c r="BS240" i="4"/>
  <c r="BM269" i="4"/>
  <c r="BK269" i="4"/>
  <c r="BN269" i="4"/>
  <c r="BL269" i="4"/>
  <c r="BM208" i="4"/>
  <c r="BK208" i="4"/>
  <c r="BL208" i="4"/>
  <c r="BN208" i="4"/>
  <c r="BL259" i="4"/>
  <c r="BM259" i="4"/>
  <c r="BK259" i="4"/>
  <c r="BN259" i="4"/>
  <c r="BM203" i="4"/>
  <c r="BK203" i="4"/>
  <c r="BN203" i="4"/>
  <c r="BL203" i="4"/>
  <c r="BK240" i="4"/>
  <c r="BM240" i="4"/>
  <c r="BL240" i="4"/>
  <c r="BN240" i="4"/>
  <c r="BI269" i="4"/>
  <c r="BF269" i="4"/>
  <c r="BG269" i="4"/>
  <c r="BH269" i="4"/>
  <c r="BH208" i="4"/>
  <c r="BG208" i="4"/>
  <c r="BF208" i="4"/>
  <c r="BI208" i="4"/>
  <c r="BH259" i="4"/>
  <c r="BF259" i="4"/>
  <c r="BI259" i="4"/>
  <c r="BG259" i="4"/>
  <c r="BH203" i="4"/>
  <c r="BF203" i="4"/>
  <c r="BI203" i="4"/>
  <c r="BG203" i="4"/>
  <c r="BG240" i="4"/>
  <c r="BF240" i="4"/>
  <c r="BI240" i="4"/>
  <c r="BH240" i="4"/>
  <c r="BB262" i="4"/>
  <c r="BC262" i="4"/>
  <c r="BD262" i="4"/>
  <c r="BA262" i="4"/>
  <c r="BC206" i="4"/>
  <c r="BA206" i="4"/>
  <c r="BB206" i="4"/>
  <c r="BD206" i="4"/>
  <c r="BB257" i="4"/>
  <c r="BA257" i="4"/>
  <c r="BC257" i="4"/>
  <c r="BD257" i="4"/>
  <c r="BD254" i="4"/>
  <c r="BA254" i="4"/>
  <c r="BC254" i="4"/>
  <c r="BB254" i="4"/>
  <c r="BB240" i="4"/>
  <c r="BA240" i="4"/>
  <c r="BC240" i="4"/>
  <c r="BD240" i="4"/>
  <c r="AH269" i="4"/>
  <c r="AG269" i="4"/>
  <c r="AJ269" i="4"/>
  <c r="AI269" i="4"/>
  <c r="N269" i="4"/>
  <c r="M269" i="4"/>
  <c r="O269" i="4"/>
  <c r="P269" i="4"/>
  <c r="AR268" i="4"/>
  <c r="AQ268" i="4"/>
  <c r="AU270" i="4"/>
  <c r="AS268" i="4"/>
  <c r="AT268" i="4"/>
  <c r="X268" i="4"/>
  <c r="W268" i="4"/>
  <c r="Y268" i="4"/>
  <c r="AA270" i="4"/>
  <c r="Z268" i="4"/>
  <c r="AJ263" i="4"/>
  <c r="AH263" i="4"/>
  <c r="AG263" i="4"/>
  <c r="AI263" i="4"/>
  <c r="N263" i="4"/>
  <c r="M263" i="4"/>
  <c r="P263" i="4"/>
  <c r="O263" i="4"/>
  <c r="AR262" i="4"/>
  <c r="AQ262" i="4"/>
  <c r="AT262" i="4"/>
  <c r="AS262" i="4"/>
  <c r="X262" i="4"/>
  <c r="W262" i="4"/>
  <c r="Y262" i="4"/>
  <c r="Z262" i="4"/>
  <c r="AJ208" i="4"/>
  <c r="AH208" i="4"/>
  <c r="AG208" i="4"/>
  <c r="AI208" i="4"/>
  <c r="P208" i="4"/>
  <c r="N208" i="4"/>
  <c r="M208" i="4"/>
  <c r="O208" i="4"/>
  <c r="AR260" i="4"/>
  <c r="AQ260" i="4"/>
  <c r="AS260" i="4"/>
  <c r="AT260" i="4"/>
  <c r="X260" i="4"/>
  <c r="W260" i="4"/>
  <c r="Z260" i="4"/>
  <c r="Y260" i="4"/>
  <c r="AJ206" i="4"/>
  <c r="AI206" i="4"/>
  <c r="AH206" i="4"/>
  <c r="AG206" i="4"/>
  <c r="P206" i="4"/>
  <c r="O206" i="4"/>
  <c r="N206" i="4"/>
  <c r="M206" i="4"/>
  <c r="AR259" i="4"/>
  <c r="AQ259" i="4"/>
  <c r="AT259" i="4"/>
  <c r="AS259" i="4"/>
  <c r="X259" i="4"/>
  <c r="Y259" i="4"/>
  <c r="Z259" i="4"/>
  <c r="W259" i="4"/>
  <c r="K205" i="4"/>
  <c r="I205" i="4"/>
  <c r="H205" i="4"/>
  <c r="J205" i="4"/>
  <c r="AO258" i="4"/>
  <c r="AL258" i="4"/>
  <c r="AN258" i="4"/>
  <c r="AM258" i="4"/>
  <c r="U258" i="4"/>
  <c r="S258" i="4"/>
  <c r="T258" i="4"/>
  <c r="R258" i="4"/>
  <c r="AY204" i="4"/>
  <c r="AW204" i="4"/>
  <c r="AV204" i="4"/>
  <c r="AX204" i="4"/>
  <c r="AE204" i="4"/>
  <c r="AC204" i="4"/>
  <c r="AB204" i="4"/>
  <c r="AD204" i="4"/>
  <c r="K204" i="4"/>
  <c r="I204" i="4"/>
  <c r="H204" i="4"/>
  <c r="J204" i="4"/>
  <c r="AN257" i="4"/>
  <c r="AL257" i="4"/>
  <c r="AO257" i="4"/>
  <c r="AM257" i="4"/>
  <c r="S257" i="4"/>
  <c r="U257" i="4"/>
  <c r="T257" i="4"/>
  <c r="R257" i="4"/>
  <c r="AY203" i="4"/>
  <c r="AW203" i="4"/>
  <c r="AX203" i="4"/>
  <c r="AV203" i="4"/>
  <c r="AE203" i="4"/>
  <c r="AD203" i="4"/>
  <c r="AC203" i="4"/>
  <c r="AB203" i="4"/>
  <c r="K203" i="4"/>
  <c r="I203" i="4"/>
  <c r="H203" i="4"/>
  <c r="J203" i="4"/>
  <c r="AM255" i="4"/>
  <c r="AO255" i="4"/>
  <c r="AN255" i="4"/>
  <c r="AL255" i="4"/>
  <c r="S255" i="4"/>
  <c r="U255" i="4"/>
  <c r="T255" i="4"/>
  <c r="R255" i="4"/>
  <c r="AY201" i="4"/>
  <c r="AW201" i="4"/>
  <c r="AV201" i="4"/>
  <c r="AX201" i="4"/>
  <c r="AE201" i="4"/>
  <c r="AC201" i="4"/>
  <c r="AB201" i="4"/>
  <c r="AD201" i="4"/>
  <c r="K201" i="4"/>
  <c r="I201" i="4"/>
  <c r="H201" i="4"/>
  <c r="J201" i="4"/>
  <c r="AM254" i="4"/>
  <c r="AL254" i="4"/>
  <c r="AO254" i="4"/>
  <c r="AN254" i="4"/>
  <c r="S254" i="4"/>
  <c r="R254" i="4"/>
  <c r="U254" i="4"/>
  <c r="T254" i="4"/>
  <c r="AO207" i="4"/>
  <c r="AM207" i="4"/>
  <c r="AN207" i="4"/>
  <c r="AL207" i="4"/>
  <c r="U207" i="4"/>
  <c r="S207" i="4"/>
  <c r="T207" i="4"/>
  <c r="R207" i="4"/>
  <c r="AW249" i="4"/>
  <c r="AX249" i="4"/>
  <c r="AV249" i="4"/>
  <c r="AY249" i="4"/>
  <c r="AC249" i="4"/>
  <c r="AB249" i="4"/>
  <c r="AE249" i="4"/>
  <c r="AD249" i="4"/>
  <c r="J249" i="4"/>
  <c r="H249" i="4"/>
  <c r="K249" i="4"/>
  <c r="I249" i="4"/>
  <c r="AO248" i="4"/>
  <c r="AM248" i="4"/>
  <c r="AL248" i="4"/>
  <c r="AN248" i="4"/>
  <c r="U248" i="4"/>
  <c r="S248" i="4"/>
  <c r="T248" i="4"/>
  <c r="R248" i="4"/>
  <c r="AX242" i="4"/>
  <c r="AV242" i="4"/>
  <c r="AY242" i="4"/>
  <c r="AW242" i="4"/>
  <c r="AD242" i="4"/>
  <c r="AB242" i="4"/>
  <c r="AC242" i="4"/>
  <c r="AE242" i="4"/>
  <c r="J242" i="4"/>
  <c r="H242" i="4"/>
  <c r="I242" i="4"/>
  <c r="K242" i="4"/>
  <c r="AN241" i="4"/>
  <c r="AL241" i="4"/>
  <c r="AO241" i="4"/>
  <c r="AM241" i="4"/>
  <c r="T241" i="4"/>
  <c r="S241" i="4"/>
  <c r="R241" i="4"/>
  <c r="U241" i="4"/>
  <c r="AX240" i="4"/>
  <c r="AW240" i="4"/>
  <c r="AV240" i="4"/>
  <c r="AY240" i="4"/>
  <c r="AD240" i="4"/>
  <c r="AC240" i="4"/>
  <c r="AB240" i="4"/>
  <c r="AE240" i="4"/>
  <c r="J240" i="4"/>
  <c r="H240" i="4"/>
  <c r="I240" i="4"/>
  <c r="K240" i="4"/>
  <c r="AO185" i="4"/>
  <c r="AM185" i="4"/>
  <c r="AN185" i="4"/>
  <c r="AL185" i="4"/>
  <c r="U185" i="4"/>
  <c r="S185" i="4"/>
  <c r="T185" i="4"/>
  <c r="R185" i="4"/>
  <c r="AY184" i="4"/>
  <c r="AX184" i="4"/>
  <c r="AW184" i="4"/>
  <c r="AV184" i="4"/>
  <c r="AE184" i="4"/>
  <c r="AC184" i="4"/>
  <c r="AD184" i="4"/>
  <c r="AB184" i="4"/>
  <c r="K184" i="4"/>
  <c r="I184" i="4"/>
  <c r="H184" i="4"/>
  <c r="J184" i="4"/>
  <c r="AM234" i="4"/>
  <c r="AL234" i="4"/>
  <c r="AO234" i="4"/>
  <c r="AN234" i="4"/>
  <c r="S234" i="4"/>
  <c r="U234" i="4"/>
  <c r="R234" i="4"/>
  <c r="T234" i="4"/>
  <c r="AZ235" i="4"/>
  <c r="AY233" i="4"/>
  <c r="AV233" i="4"/>
  <c r="AX233" i="4"/>
  <c r="AW233" i="4"/>
  <c r="AF235" i="4"/>
  <c r="AB233" i="4"/>
  <c r="AE233" i="4"/>
  <c r="AD233" i="4"/>
  <c r="AC233" i="4"/>
  <c r="J233" i="4"/>
  <c r="H233" i="4"/>
  <c r="I233" i="4"/>
  <c r="K233" i="4"/>
  <c r="AN229" i="4"/>
  <c r="AL229" i="4"/>
  <c r="AM229" i="4"/>
  <c r="AO229" i="4"/>
  <c r="T229" i="4"/>
  <c r="R229" i="4"/>
  <c r="U229" i="4"/>
  <c r="S229" i="4"/>
  <c r="AW227" i="4"/>
  <c r="AY227" i="4"/>
  <c r="AX227" i="4"/>
  <c r="AV227" i="4"/>
  <c r="AD227" i="4"/>
  <c r="AB227" i="4"/>
  <c r="AE227" i="4"/>
  <c r="AC227" i="4"/>
  <c r="J227" i="4"/>
  <c r="H227" i="4"/>
  <c r="K227" i="4"/>
  <c r="I227" i="4"/>
  <c r="AZ83" i="27"/>
  <c r="L38" i="14"/>
  <c r="L83" i="27"/>
  <c r="AV38" i="13"/>
  <c r="D173" i="7"/>
  <c r="D172" i="7"/>
  <c r="D170" i="7"/>
  <c r="D169" i="7"/>
  <c r="D168" i="7"/>
  <c r="CC269" i="4"/>
  <c r="BZ269" i="4"/>
  <c r="CA269" i="4"/>
  <c r="CB269" i="4"/>
  <c r="CB208" i="4"/>
  <c r="BZ208" i="4"/>
  <c r="CA208" i="4"/>
  <c r="CC208" i="4"/>
  <c r="CB207" i="4"/>
  <c r="BZ207" i="4"/>
  <c r="CA207" i="4"/>
  <c r="CC207" i="4"/>
  <c r="CC258" i="4"/>
  <c r="CB258" i="4"/>
  <c r="BZ258" i="4"/>
  <c r="CA258" i="4"/>
  <c r="BZ255" i="4"/>
  <c r="CA255" i="4"/>
  <c r="CB255" i="4"/>
  <c r="CC255" i="4"/>
  <c r="CC249" i="4"/>
  <c r="BZ249" i="4"/>
  <c r="CA249" i="4"/>
  <c r="CB249" i="4"/>
  <c r="CB185" i="4"/>
  <c r="BZ185" i="4"/>
  <c r="CC185" i="4"/>
  <c r="CA185" i="4"/>
  <c r="CA234" i="4"/>
  <c r="BZ234" i="4"/>
  <c r="CC234" i="4"/>
  <c r="CB234" i="4"/>
  <c r="CB229" i="4"/>
  <c r="CA229" i="4"/>
  <c r="BZ229" i="4"/>
  <c r="CC229" i="4"/>
  <c r="BX268" i="4"/>
  <c r="BV268" i="4"/>
  <c r="BW268" i="4"/>
  <c r="BU268" i="4"/>
  <c r="BY270" i="4"/>
  <c r="BW207" i="4"/>
  <c r="BU207" i="4"/>
  <c r="BX207" i="4"/>
  <c r="BV207" i="4"/>
  <c r="BV258" i="4"/>
  <c r="BX258" i="4"/>
  <c r="BU258" i="4"/>
  <c r="BW258" i="4"/>
  <c r="BX255" i="4"/>
  <c r="BV255" i="4"/>
  <c r="BU255" i="4"/>
  <c r="BW255" i="4"/>
  <c r="BU249" i="4"/>
  <c r="BW249" i="4"/>
  <c r="BV249" i="4"/>
  <c r="BX249" i="4"/>
  <c r="BW185" i="4"/>
  <c r="BV185" i="4"/>
  <c r="BU185" i="4"/>
  <c r="BX185" i="4"/>
  <c r="BV234" i="4"/>
  <c r="BU234" i="4"/>
  <c r="BX234" i="4"/>
  <c r="BW234" i="4"/>
  <c r="BX229" i="4"/>
  <c r="BV229" i="4"/>
  <c r="BW229" i="4"/>
  <c r="BU229" i="4"/>
  <c r="BT270" i="4"/>
  <c r="BP268" i="4"/>
  <c r="BQ268" i="4"/>
  <c r="BS268" i="4"/>
  <c r="BR268" i="4"/>
  <c r="BR207" i="4"/>
  <c r="BQ207" i="4"/>
  <c r="BP207" i="4"/>
  <c r="BS207" i="4"/>
  <c r="BR258" i="4"/>
  <c r="BS258" i="4"/>
  <c r="BP258" i="4"/>
  <c r="BQ258" i="4"/>
  <c r="BQ255" i="4"/>
  <c r="BR255" i="4"/>
  <c r="BP255" i="4"/>
  <c r="BS255" i="4"/>
  <c r="BQ249" i="4"/>
  <c r="BS249" i="4"/>
  <c r="BP249" i="4"/>
  <c r="BR249" i="4"/>
  <c r="BR185" i="4"/>
  <c r="BQ185" i="4"/>
  <c r="BP185" i="4"/>
  <c r="BS185" i="4"/>
  <c r="BR234" i="4"/>
  <c r="BQ234" i="4"/>
  <c r="BP234" i="4"/>
  <c r="BS234" i="4"/>
  <c r="BR229" i="4"/>
  <c r="BP229" i="4"/>
  <c r="BS229" i="4"/>
  <c r="BQ229" i="4"/>
  <c r="BL268" i="4"/>
  <c r="BK268" i="4"/>
  <c r="BM268" i="4"/>
  <c r="BN268" i="4"/>
  <c r="BO270" i="4"/>
  <c r="BM207" i="4"/>
  <c r="BK207" i="4"/>
  <c r="BN207" i="4"/>
  <c r="BL207" i="4"/>
  <c r="BL258" i="4"/>
  <c r="BK258" i="4"/>
  <c r="BM258" i="4"/>
  <c r="BN258" i="4"/>
  <c r="BK255" i="4"/>
  <c r="BN255" i="4"/>
  <c r="BL255" i="4"/>
  <c r="BM255" i="4"/>
  <c r="BM249" i="4"/>
  <c r="BK249" i="4"/>
  <c r="BL249" i="4"/>
  <c r="BN249" i="4"/>
  <c r="BM185" i="4"/>
  <c r="BK185" i="4"/>
  <c r="BN185" i="4"/>
  <c r="BL185" i="4"/>
  <c r="BM234" i="4"/>
  <c r="BK234" i="4"/>
  <c r="BN234" i="4"/>
  <c r="BL234" i="4"/>
  <c r="BL229" i="4"/>
  <c r="BK229" i="4"/>
  <c r="BM229" i="4"/>
  <c r="BN229" i="4"/>
  <c r="BJ270" i="4"/>
  <c r="BG268" i="4"/>
  <c r="BH268" i="4"/>
  <c r="BF268" i="4"/>
  <c r="BI268" i="4"/>
  <c r="BH207" i="4"/>
  <c r="BF207" i="4"/>
  <c r="BI207" i="4"/>
  <c r="BG207" i="4"/>
  <c r="BI258" i="4"/>
  <c r="BG258" i="4"/>
  <c r="BF258" i="4"/>
  <c r="BH258" i="4"/>
  <c r="BF255" i="4"/>
  <c r="BG255" i="4"/>
  <c r="BH255" i="4"/>
  <c r="BI255" i="4"/>
  <c r="BI249" i="4"/>
  <c r="BF249" i="4"/>
  <c r="BH249" i="4"/>
  <c r="BG249" i="4"/>
  <c r="BH185" i="4"/>
  <c r="BF185" i="4"/>
  <c r="BI185" i="4"/>
  <c r="BG185" i="4"/>
  <c r="BG234" i="4"/>
  <c r="BI234" i="4"/>
  <c r="BF234" i="4"/>
  <c r="BH234" i="4"/>
  <c r="BH229" i="4"/>
  <c r="BG229" i="4"/>
  <c r="BF229" i="4"/>
  <c r="BI229" i="4"/>
  <c r="BB269" i="4"/>
  <c r="BA269" i="4"/>
  <c r="BC269" i="4"/>
  <c r="BD269" i="4"/>
  <c r="BC208" i="4"/>
  <c r="BB208" i="4"/>
  <c r="BA208" i="4"/>
  <c r="BD208" i="4"/>
  <c r="BB259" i="4"/>
  <c r="BA259" i="4"/>
  <c r="BC259" i="4"/>
  <c r="BD259" i="4"/>
  <c r="BC203" i="4"/>
  <c r="BA203" i="4"/>
  <c r="BB203" i="4"/>
  <c r="BD203" i="4"/>
  <c r="BA249" i="4"/>
  <c r="BC249" i="4"/>
  <c r="BB249" i="4"/>
  <c r="BD249" i="4"/>
  <c r="BC185" i="4"/>
  <c r="BB185" i="4"/>
  <c r="BA185" i="4"/>
  <c r="BD185" i="4"/>
  <c r="BB234" i="4"/>
  <c r="BA234" i="4"/>
  <c r="BC234" i="4"/>
  <c r="BD234" i="4"/>
  <c r="BD229" i="4"/>
  <c r="BB229" i="4"/>
  <c r="BA229" i="4"/>
  <c r="BC229" i="4"/>
  <c r="AY269" i="4"/>
  <c r="AX269" i="4"/>
  <c r="AV269" i="4"/>
  <c r="AW269" i="4"/>
  <c r="AD269" i="4"/>
  <c r="AB269" i="4"/>
  <c r="AC269" i="4"/>
  <c r="AE269" i="4"/>
  <c r="J269" i="4"/>
  <c r="H269" i="4"/>
  <c r="K269" i="4"/>
  <c r="I269" i="4"/>
  <c r="AP270" i="4"/>
  <c r="AN268" i="4"/>
  <c r="AL268" i="4"/>
  <c r="AM268" i="4"/>
  <c r="AO268" i="4"/>
  <c r="V270" i="4"/>
  <c r="S268" i="4"/>
  <c r="T268" i="4"/>
  <c r="R268" i="4"/>
  <c r="U268" i="4"/>
  <c r="AX263" i="4"/>
  <c r="AV263" i="4"/>
  <c r="AW263" i="4"/>
  <c r="AY263" i="4"/>
  <c r="AE263" i="4"/>
  <c r="AC263" i="4"/>
  <c r="AB263" i="4"/>
  <c r="AD263" i="4"/>
  <c r="J263" i="4"/>
  <c r="H263" i="4"/>
  <c r="K263" i="4"/>
  <c r="I263" i="4"/>
  <c r="AO262" i="4"/>
  <c r="AN262" i="4"/>
  <c r="AL262" i="4"/>
  <c r="AM262" i="4"/>
  <c r="U262" i="4"/>
  <c r="S262" i="4"/>
  <c r="R262" i="4"/>
  <c r="T262" i="4"/>
  <c r="AY208" i="4"/>
  <c r="AX208" i="4"/>
  <c r="AW208" i="4"/>
  <c r="AV208" i="4"/>
  <c r="AE208" i="4"/>
  <c r="AC208" i="4"/>
  <c r="AB208" i="4"/>
  <c r="AD208" i="4"/>
  <c r="K208" i="4"/>
  <c r="I208" i="4"/>
  <c r="H208" i="4"/>
  <c r="J208" i="4"/>
  <c r="AO260" i="4"/>
  <c r="AM260" i="4"/>
  <c r="AN260" i="4"/>
  <c r="AL260" i="4"/>
  <c r="U260" i="4"/>
  <c r="T260" i="4"/>
  <c r="R260" i="4"/>
  <c r="S260" i="4"/>
  <c r="AY206" i="4"/>
  <c r="AW206" i="4"/>
  <c r="AX206" i="4"/>
  <c r="AV206" i="4"/>
  <c r="AE206" i="4"/>
  <c r="AD206" i="4"/>
  <c r="AC206" i="4"/>
  <c r="AB206" i="4"/>
  <c r="K206" i="4"/>
  <c r="I206" i="4"/>
  <c r="H206" i="4"/>
  <c r="J206" i="4"/>
  <c r="AN259" i="4"/>
  <c r="AO259" i="4"/>
  <c r="AL259" i="4"/>
  <c r="AM259" i="4"/>
  <c r="T259" i="4"/>
  <c r="R259" i="4"/>
  <c r="U259" i="4"/>
  <c r="S259" i="4"/>
  <c r="Z205" i="4"/>
  <c r="Y205" i="4"/>
  <c r="X205" i="4"/>
  <c r="W205" i="4"/>
  <c r="AH258" i="4"/>
  <c r="AG258" i="4"/>
  <c r="AJ258" i="4"/>
  <c r="AI258" i="4"/>
  <c r="N258" i="4"/>
  <c r="O258" i="4"/>
  <c r="P258" i="4"/>
  <c r="M258" i="4"/>
  <c r="AT204" i="4"/>
  <c r="AS204" i="4"/>
  <c r="AR204" i="4"/>
  <c r="AQ204" i="4"/>
  <c r="Z204" i="4"/>
  <c r="X204" i="4"/>
  <c r="W204" i="4"/>
  <c r="Y204" i="4"/>
  <c r="AH257" i="4"/>
  <c r="AG257" i="4"/>
  <c r="AI257" i="4"/>
  <c r="AJ257" i="4"/>
  <c r="N257" i="4"/>
  <c r="O257" i="4"/>
  <c r="P257" i="4"/>
  <c r="M257" i="4"/>
  <c r="AT203" i="4"/>
  <c r="AR203" i="4"/>
  <c r="AS203" i="4"/>
  <c r="AQ203" i="4"/>
  <c r="Z203" i="4"/>
  <c r="X203" i="4"/>
  <c r="Y203" i="4"/>
  <c r="W203" i="4"/>
  <c r="AI255" i="4"/>
  <c r="AG255" i="4"/>
  <c r="AJ255" i="4"/>
  <c r="AH255" i="4"/>
  <c r="N255" i="4"/>
  <c r="P255" i="4"/>
  <c r="O255" i="4"/>
  <c r="M255" i="4"/>
  <c r="AT201" i="4"/>
  <c r="AS201" i="4"/>
  <c r="AR201" i="4"/>
  <c r="AQ201" i="4"/>
  <c r="Z201" i="4"/>
  <c r="X201" i="4"/>
  <c r="W201" i="4"/>
  <c r="Y201" i="4"/>
  <c r="AI254" i="4"/>
  <c r="AH254" i="4"/>
  <c r="AJ254" i="4"/>
  <c r="AG254" i="4"/>
  <c r="O254" i="4"/>
  <c r="P254" i="4"/>
  <c r="M254" i="4"/>
  <c r="N254" i="4"/>
  <c r="AJ207" i="4"/>
  <c r="AH207" i="4"/>
  <c r="AI207" i="4"/>
  <c r="AG207" i="4"/>
  <c r="P207" i="4"/>
  <c r="N207" i="4"/>
  <c r="O207" i="4"/>
  <c r="M207" i="4"/>
  <c r="AS249" i="4"/>
  <c r="AR249" i="4"/>
  <c r="AQ249" i="4"/>
  <c r="AT249" i="4"/>
  <c r="Y249" i="4"/>
  <c r="W249" i="4"/>
  <c r="Z249" i="4"/>
  <c r="X249" i="4"/>
  <c r="AG248" i="4"/>
  <c r="AI248" i="4"/>
  <c r="AH248" i="4"/>
  <c r="AJ248" i="4"/>
  <c r="O248" i="4"/>
  <c r="M248" i="4"/>
  <c r="P248" i="4"/>
  <c r="N248" i="4"/>
  <c r="AT242" i="4"/>
  <c r="AQ242" i="4"/>
  <c r="AR242" i="4"/>
  <c r="AS242" i="4"/>
  <c r="Z242" i="4"/>
  <c r="W242" i="4"/>
  <c r="X242" i="4"/>
  <c r="Y242" i="4"/>
  <c r="AG241" i="4"/>
  <c r="AI241" i="4"/>
  <c r="AH241" i="4"/>
  <c r="AJ241" i="4"/>
  <c r="O241" i="4"/>
  <c r="M241" i="4"/>
  <c r="P241" i="4"/>
  <c r="N241" i="4"/>
  <c r="AS240" i="4"/>
  <c r="AQ240" i="4"/>
  <c r="AT240" i="4"/>
  <c r="AR240" i="4"/>
  <c r="W240" i="4"/>
  <c r="Y240" i="4"/>
  <c r="X240" i="4"/>
  <c r="Z240" i="4"/>
  <c r="AJ185" i="4"/>
  <c r="AH185" i="4"/>
  <c r="AI185" i="4"/>
  <c r="AG185" i="4"/>
  <c r="P185" i="4"/>
  <c r="N185" i="4"/>
  <c r="M185" i="4"/>
  <c r="O185" i="4"/>
  <c r="AT184" i="4"/>
  <c r="AS184" i="4"/>
  <c r="AR184" i="4"/>
  <c r="AQ184" i="4"/>
  <c r="Z184" i="4"/>
  <c r="X184" i="4"/>
  <c r="Y184" i="4"/>
  <c r="W184" i="4"/>
  <c r="AH234" i="4"/>
  <c r="AG234" i="4"/>
  <c r="AJ234" i="4"/>
  <c r="AI234" i="4"/>
  <c r="N234" i="4"/>
  <c r="M234" i="4"/>
  <c r="O234" i="4"/>
  <c r="P234" i="4"/>
  <c r="AR233" i="4"/>
  <c r="AQ233" i="4"/>
  <c r="AT233" i="4"/>
  <c r="AS233" i="4"/>
  <c r="AU235" i="4"/>
  <c r="X233" i="4"/>
  <c r="W233" i="4"/>
  <c r="Y233" i="4"/>
  <c r="Z233" i="4"/>
  <c r="AA235" i="4"/>
  <c r="AJ229" i="4"/>
  <c r="AG229" i="4"/>
  <c r="AI229" i="4"/>
  <c r="AH229" i="4"/>
  <c r="P229" i="4"/>
  <c r="N229" i="4"/>
  <c r="O229" i="4"/>
  <c r="M229" i="4"/>
  <c r="AR227" i="4"/>
  <c r="AQ227" i="4"/>
  <c r="AS227" i="4"/>
  <c r="AT227" i="4"/>
  <c r="X227" i="4"/>
  <c r="W227" i="4"/>
  <c r="Y227" i="4"/>
  <c r="Z227" i="4"/>
  <c r="CR39" i="6"/>
  <c r="AP290" i="7"/>
  <c r="AP304" i="7" s="1"/>
  <c r="AP308" i="7" s="1"/>
  <c r="AU147" i="7"/>
  <c r="AU160" i="7" s="1"/>
  <c r="CR40" i="6"/>
  <c r="CR48" i="6"/>
  <c r="CR46" i="6"/>
  <c r="CR42" i="6"/>
  <c r="CR38" i="6"/>
  <c r="CR41" i="6"/>
  <c r="CR45" i="6"/>
  <c r="BF123" i="10"/>
  <c r="BD131" i="10"/>
  <c r="BD123" i="10" s="1"/>
  <c r="BF122" i="10"/>
  <c r="BD130" i="10"/>
  <c r="BD122" i="10" s="1"/>
  <c r="BF121" i="10"/>
  <c r="BD129" i="10"/>
  <c r="BD121" i="10" s="1"/>
  <c r="BF120" i="10"/>
  <c r="BD128" i="10"/>
  <c r="BD120" i="10" s="1"/>
  <c r="BF119" i="10"/>
  <c r="BD127" i="10"/>
  <c r="BD119" i="10" s="1"/>
  <c r="BF124" i="10"/>
  <c r="BD132" i="10"/>
  <c r="BD124" i="10" s="1"/>
  <c r="V366" i="7"/>
  <c r="F334" i="7"/>
  <c r="F337" i="7" s="1"/>
  <c r="F366" i="7"/>
  <c r="Q316" i="7"/>
  <c r="BZ524" i="7"/>
  <c r="BP524" i="7"/>
  <c r="AU432" i="7"/>
  <c r="AU443" i="7" s="1"/>
  <c r="CA585" i="7"/>
  <c r="CA588" i="7" s="1"/>
  <c r="CA591" i="7" s="1"/>
  <c r="CA594" i="7" s="1"/>
  <c r="BZ527" i="7"/>
  <c r="BV687" i="7"/>
  <c r="BU524" i="7"/>
  <c r="BQ585" i="7"/>
  <c r="BQ527" i="7" s="1"/>
  <c r="BP527" i="7"/>
  <c r="Q507" i="7"/>
  <c r="V365" i="7"/>
  <c r="AK535" i="7"/>
  <c r="AA535" i="7"/>
  <c r="AF535" i="7"/>
  <c r="E131" i="7"/>
  <c r="E139" i="7" s="1"/>
  <c r="AF484" i="7"/>
  <c r="AF498" i="7" s="1"/>
  <c r="AF502" i="7" s="1"/>
  <c r="AU243" i="7"/>
  <c r="E237" i="7"/>
  <c r="AP342" i="7"/>
  <c r="AP355" i="7" s="1"/>
  <c r="AF342" i="7"/>
  <c r="AF352" i="7" s="1"/>
  <c r="AU484" i="7"/>
  <c r="AU495" i="7" s="1"/>
  <c r="AP438" i="7"/>
  <c r="D237" i="7"/>
  <c r="AP41" i="7"/>
  <c r="AK147" i="7"/>
  <c r="AK162" i="7" s="1"/>
  <c r="G243" i="7"/>
  <c r="AP543" i="7"/>
  <c r="AA237" i="7"/>
  <c r="AA248" i="7" s="1"/>
  <c r="G704" i="7"/>
  <c r="F168" i="7"/>
  <c r="F169" i="7"/>
  <c r="BP43" i="7"/>
  <c r="AF764" i="7"/>
  <c r="AF779" i="7" s="1"/>
  <c r="AA544" i="7"/>
  <c r="AU42" i="7"/>
  <c r="V242" i="1"/>
  <c r="AK242" i="1"/>
  <c r="C150" i="9"/>
  <c r="Q165" i="9"/>
  <c r="F150" i="9"/>
  <c r="D139" i="9"/>
  <c r="C110" i="9"/>
  <c r="B19" i="39"/>
  <c r="AN44" i="47"/>
  <c r="AI44" i="47"/>
  <c r="AE147" i="13"/>
  <c r="AE171" i="13" s="1"/>
  <c r="CK191" i="13" s="1"/>
  <c r="AE53" i="47"/>
  <c r="AE54" i="47"/>
  <c r="AD147" i="13"/>
  <c r="AD171" i="13" s="1"/>
  <c r="CK190" i="13" s="1"/>
  <c r="AD54" i="47"/>
  <c r="AD53" i="47"/>
  <c r="AV42" i="47"/>
  <c r="AV55" i="47"/>
  <c r="AV53" i="47"/>
  <c r="AW42" i="47"/>
  <c r="AW44" i="47" s="1"/>
  <c r="AW55" i="47"/>
  <c r="AW53" i="47"/>
  <c r="AQ44" i="47"/>
  <c r="AL44" i="47"/>
  <c r="AH54" i="47"/>
  <c r="AH53" i="47"/>
  <c r="AC147" i="13"/>
  <c r="AC171" i="13" s="1"/>
  <c r="AC174" i="13" s="1"/>
  <c r="AC53" i="47"/>
  <c r="AC54" i="47"/>
  <c r="AK11" i="47"/>
  <c r="BE11" i="47"/>
  <c r="AG147" i="13"/>
  <c r="AG171" i="13" s="1"/>
  <c r="CK192" i="13" s="1"/>
  <c r="AG54" i="47"/>
  <c r="AG53" i="47"/>
  <c r="AX53" i="47"/>
  <c r="AX55" i="47"/>
  <c r="AL130" i="13"/>
  <c r="AN78" i="11"/>
  <c r="AO68" i="11" s="1"/>
  <c r="L39" i="11"/>
  <c r="AL24" i="37"/>
  <c r="AL25" i="37" s="1"/>
  <c r="E39" i="11"/>
  <c r="AQ24" i="37"/>
  <c r="AQ25" i="37" s="1"/>
  <c r="AV24" i="37"/>
  <c r="AV25" i="37" s="1"/>
  <c r="AU73" i="13"/>
  <c r="AU91" i="12"/>
  <c r="C74" i="13"/>
  <c r="C76" i="13" s="1"/>
  <c r="I131" i="13"/>
  <c r="I135" i="13" s="1"/>
  <c r="AQ78" i="11"/>
  <c r="AR68" i="11" s="1"/>
  <c r="AF109" i="9"/>
  <c r="G112" i="9"/>
  <c r="AU116" i="9"/>
  <c r="AZ127" i="9" s="1"/>
  <c r="V139" i="9"/>
  <c r="L165" i="9"/>
  <c r="C166" i="9"/>
  <c r="E156" i="9"/>
  <c r="AP139" i="9"/>
  <c r="AP112" i="9"/>
  <c r="AP109" i="9"/>
  <c r="AF114" i="9"/>
  <c r="AF140" i="9"/>
  <c r="AF110" i="9"/>
  <c r="AA155" i="9"/>
  <c r="V116" i="9"/>
  <c r="Q155" i="9"/>
  <c r="L116" i="9"/>
  <c r="AK41" i="7"/>
  <c r="AF41" i="7"/>
  <c r="BE319" i="1"/>
  <c r="BE373" i="1" s="1"/>
  <c r="BE317" i="1"/>
  <c r="BE371" i="1" s="1"/>
  <c r="BE314" i="1"/>
  <c r="BE368" i="1" s="1"/>
  <c r="BE277" i="1"/>
  <c r="BE270" i="1"/>
  <c r="BE101" i="1" s="1"/>
  <c r="BE242" i="1"/>
  <c r="BE247" i="1"/>
  <c r="BE78" i="1" s="1"/>
  <c r="BE78" i="5" s="1"/>
  <c r="BE132" i="5" s="1"/>
  <c r="BE314" i="4"/>
  <c r="BE368" i="4" s="1"/>
  <c r="BE316" i="4"/>
  <c r="BE370" i="4" s="1"/>
  <c r="BE312" i="4"/>
  <c r="BE366" i="4" s="1"/>
  <c r="BE311" i="4"/>
  <c r="BE365" i="4" s="1"/>
  <c r="BE309" i="4"/>
  <c r="BE363" i="4" s="1"/>
  <c r="BE171" i="9"/>
  <c r="BE161" i="9"/>
  <c r="BE170" i="9"/>
  <c r="BE160" i="9"/>
  <c r="Q140" i="9"/>
  <c r="G110" i="9"/>
  <c r="F114" i="9"/>
  <c r="E116" i="9"/>
  <c r="E110" i="9"/>
  <c r="D116" i="9"/>
  <c r="D112" i="9"/>
  <c r="AP117" i="9"/>
  <c r="G140" i="9"/>
  <c r="E140" i="9"/>
  <c r="C151" i="9"/>
  <c r="C112" i="9"/>
  <c r="AU156" i="9"/>
  <c r="V165" i="9"/>
  <c r="Q156" i="9"/>
  <c r="Q161" i="9"/>
  <c r="L170" i="9"/>
  <c r="E165" i="9"/>
  <c r="C111" i="9"/>
  <c r="F160" i="9"/>
  <c r="C54" i="9"/>
  <c r="C145" i="9" s="1"/>
  <c r="BT121" i="9"/>
  <c r="BT94" i="9" s="1"/>
  <c r="C110" i="10"/>
  <c r="AS23" i="10"/>
  <c r="F76" i="13"/>
  <c r="F104" i="10" s="1"/>
  <c r="X135" i="13"/>
  <c r="M124" i="13"/>
  <c r="AS38" i="13"/>
  <c r="AN38" i="13"/>
  <c r="AI38" i="13"/>
  <c r="AU168" i="13"/>
  <c r="AA93" i="12"/>
  <c r="AA71" i="12"/>
  <c r="V75" i="12"/>
  <c r="AP71" i="12"/>
  <c r="Q75" i="12"/>
  <c r="AU108" i="12"/>
  <c r="AU47" i="13"/>
  <c r="AU50" i="13" s="1"/>
  <c r="L78" i="12"/>
  <c r="AP131" i="12"/>
  <c r="AA130" i="13"/>
  <c r="L182" i="13"/>
  <c r="Q90" i="12" s="1"/>
  <c r="Q77" i="12"/>
  <c r="V52" i="37"/>
  <c r="AF73" i="13"/>
  <c r="AF45" i="37" s="1"/>
  <c r="AG46" i="37" s="1"/>
  <c r="AG53" i="37" s="1"/>
  <c r="AA79" i="12"/>
  <c r="Q23" i="13"/>
  <c r="AA107" i="12"/>
  <c r="AP78" i="12"/>
  <c r="AU60" i="13"/>
  <c r="AF78" i="12"/>
  <c r="L92" i="12"/>
  <c r="AF110" i="12"/>
  <c r="Q133" i="13"/>
  <c r="AA131" i="12"/>
  <c r="AU126" i="13"/>
  <c r="AF126" i="13"/>
  <c r="AA180" i="13"/>
  <c r="AP52" i="37"/>
  <c r="AK130" i="13"/>
  <c r="AP108" i="12"/>
  <c r="L72" i="12"/>
  <c r="AF107" i="12"/>
  <c r="AF118" i="12"/>
  <c r="AF111" i="12"/>
  <c r="AK118" i="12"/>
  <c r="V93" i="12"/>
  <c r="V80" i="12"/>
  <c r="AF92" i="12"/>
  <c r="AK110" i="12"/>
  <c r="V131" i="12"/>
  <c r="AK81" i="12"/>
  <c r="V177" i="13"/>
  <c r="V82" i="12" s="1"/>
  <c r="Q71" i="12"/>
  <c r="AZ107" i="12"/>
  <c r="V65" i="13"/>
  <c r="AK111" i="12"/>
  <c r="AK109" i="12"/>
  <c r="AF71" i="12"/>
  <c r="AP91" i="12"/>
  <c r="AU92" i="12"/>
  <c r="AP118" i="12"/>
  <c r="AU78" i="12"/>
  <c r="AP109" i="12"/>
  <c r="AA75" i="12"/>
  <c r="O135" i="13"/>
  <c r="AK47" i="13"/>
  <c r="AK50" i="13" s="1"/>
  <c r="L34" i="13"/>
  <c r="V91" i="12"/>
  <c r="AF133" i="13"/>
  <c r="AA168" i="13"/>
  <c r="V171" i="13"/>
  <c r="AA74" i="12" s="1"/>
  <c r="Q181" i="13"/>
  <c r="Q96" i="12" s="1"/>
  <c r="AU118" i="12"/>
  <c r="V107" i="12"/>
  <c r="AI78" i="11"/>
  <c r="Y78" i="11"/>
  <c r="AZ92" i="12"/>
  <c r="AA23" i="13"/>
  <c r="AF109" i="12"/>
  <c r="AA109" i="12"/>
  <c r="AP80" i="12"/>
  <c r="AU107" i="12"/>
  <c r="AK71" i="12"/>
  <c r="L71" i="12"/>
  <c r="AA133" i="13"/>
  <c r="Q131" i="12"/>
  <c r="V130" i="13"/>
  <c r="V131" i="13" s="1"/>
  <c r="L130" i="13"/>
  <c r="V126" i="13"/>
  <c r="Q180" i="13"/>
  <c r="L177" i="13"/>
  <c r="AF52" i="37"/>
  <c r="L52" i="37"/>
  <c r="V73" i="13"/>
  <c r="AA72" i="12"/>
  <c r="Q60" i="13"/>
  <c r="AA111" i="12"/>
  <c r="AM78" i="11"/>
  <c r="AN68" i="11" s="1"/>
  <c r="V47" i="13"/>
  <c r="V50" i="13" s="1"/>
  <c r="AK79" i="12"/>
  <c r="AK60" i="13"/>
  <c r="AK23" i="13"/>
  <c r="AU72" i="12"/>
  <c r="V118" i="12"/>
  <c r="AP60" i="13"/>
  <c r="AA34" i="13"/>
  <c r="AK34" i="13"/>
  <c r="Q80" i="12"/>
  <c r="Q91" i="12"/>
  <c r="AK92" i="12"/>
  <c r="V134" i="13"/>
  <c r="V137" i="13" s="1"/>
  <c r="AR124" i="13"/>
  <c r="G90" i="12"/>
  <c r="Q130" i="13"/>
  <c r="AK126" i="13"/>
  <c r="AK76" i="12"/>
  <c r="F131" i="13"/>
  <c r="F135" i="13" s="1"/>
  <c r="AK179" i="9"/>
  <c r="C116" i="9"/>
  <c r="G109" i="9"/>
  <c r="G179" i="9" s="1"/>
  <c r="V112" i="9"/>
  <c r="AA111" i="9"/>
  <c r="AA193" i="9" s="1"/>
  <c r="AP114" i="9"/>
  <c r="V109" i="9"/>
  <c r="G113" i="9"/>
  <c r="D109" i="9"/>
  <c r="E111" i="9"/>
  <c r="E193" i="9" s="1"/>
  <c r="G116" i="9"/>
  <c r="AP165" i="9"/>
  <c r="G155" i="9"/>
  <c r="AK170" i="9"/>
  <c r="G139" i="9"/>
  <c r="Q113" i="9"/>
  <c r="Q150" i="9"/>
  <c r="L112" i="9"/>
  <c r="AU111" i="9"/>
  <c r="AU193" i="9" s="1"/>
  <c r="AA171" i="9"/>
  <c r="G166" i="9"/>
  <c r="F156" i="9"/>
  <c r="L75" i="12"/>
  <c r="AH49" i="69"/>
  <c r="AH75" i="69" s="1"/>
  <c r="AH76" i="69" s="1"/>
  <c r="AP49" i="69"/>
  <c r="AS46" i="37"/>
  <c r="AS53" i="37" s="1"/>
  <c r="AS54" i="37" s="1"/>
  <c r="AK342" i="7"/>
  <c r="AK356" i="7" s="1"/>
  <c r="AK360" i="7" s="1"/>
  <c r="Q49" i="69"/>
  <c r="AH32" i="14"/>
  <c r="AH24" i="12" s="1"/>
  <c r="CB387" i="1"/>
  <c r="CB388" i="1" s="1"/>
  <c r="BW387" i="1"/>
  <c r="BW388" i="1" s="1"/>
  <c r="BR387" i="1"/>
  <c r="BR388" i="1" s="1"/>
  <c r="V26" i="10"/>
  <c r="AP46" i="12"/>
  <c r="AI74" i="11"/>
  <c r="AW84" i="14"/>
  <c r="AA221" i="7"/>
  <c r="AA260" i="7" s="1"/>
  <c r="G32" i="14"/>
  <c r="G24" i="12" s="1"/>
  <c r="F41" i="14"/>
  <c r="AI49" i="69"/>
  <c r="AI75" i="69" s="1"/>
  <c r="AI76" i="69" s="1"/>
  <c r="CI60" i="69"/>
  <c r="CK60" i="69" s="1"/>
  <c r="CL60" i="69" s="1"/>
  <c r="Q91" i="14"/>
  <c r="Q102" i="14" s="1"/>
  <c r="Q113" i="14" s="1"/>
  <c r="Q97" i="13"/>
  <c r="Q98" i="13" s="1"/>
  <c r="AA19" i="11"/>
  <c r="AF12" i="11" s="1"/>
  <c r="AF19" i="11" s="1"/>
  <c r="AK12" i="11" s="1"/>
  <c r="AK11" i="11" s="1"/>
  <c r="AK159" i="12"/>
  <c r="V110" i="12"/>
  <c r="F67" i="13"/>
  <c r="AB74" i="11"/>
  <c r="E67" i="13"/>
  <c r="AC91" i="27"/>
  <c r="AK73" i="5"/>
  <c r="AK127" i="5" s="1"/>
  <c r="D28" i="1"/>
  <c r="D289" i="7" s="1"/>
  <c r="D290" i="7" s="1"/>
  <c r="CI70" i="69"/>
  <c r="CK70" i="69" s="1"/>
  <c r="CL70" i="69" s="1"/>
  <c r="AW68" i="27"/>
  <c r="H67" i="13"/>
  <c r="O49" i="69"/>
  <c r="O75" i="69" s="1"/>
  <c r="O76" i="69" s="1"/>
  <c r="S49" i="69"/>
  <c r="CI65" i="69" s="1"/>
  <c r="CK65" i="69" s="1"/>
  <c r="W49" i="69"/>
  <c r="W75" i="69" s="1"/>
  <c r="AL49" i="69"/>
  <c r="F11" i="39"/>
  <c r="F14" i="39" s="1"/>
  <c r="F22" i="39"/>
  <c r="F24" i="39" s="1"/>
  <c r="AV29" i="14"/>
  <c r="AV127" i="14"/>
  <c r="AV126" i="14"/>
  <c r="AN74" i="11"/>
  <c r="AC110" i="5"/>
  <c r="E174" i="13"/>
  <c r="AS56" i="12"/>
  <c r="AI56" i="12"/>
  <c r="AD74" i="11"/>
  <c r="Q438" i="7"/>
  <c r="AK131" i="7"/>
  <c r="AK169" i="7" s="1"/>
  <c r="AF37" i="7"/>
  <c r="AF290" i="7"/>
  <c r="AF303" i="7" s="1"/>
  <c r="E219" i="9"/>
  <c r="AK14" i="10"/>
  <c r="AK11" i="12" s="1"/>
  <c r="C91" i="14"/>
  <c r="N36" i="14"/>
  <c r="I124" i="13"/>
  <c r="AL48" i="12"/>
  <c r="D44" i="10"/>
  <c r="AK594" i="7"/>
  <c r="G162" i="1"/>
  <c r="AA484" i="7"/>
  <c r="AA499" i="7" s="1"/>
  <c r="AU38" i="27"/>
  <c r="AU42" i="27"/>
  <c r="AS40" i="27"/>
  <c r="AS45" i="27" s="1"/>
  <c r="AU43" i="27"/>
  <c r="AU36" i="27"/>
  <c r="AU37" i="27"/>
  <c r="BO319" i="1"/>
  <c r="BO373" i="1" s="1"/>
  <c r="C36" i="14"/>
  <c r="AX81" i="27"/>
  <c r="AX128" i="14" s="1"/>
  <c r="E51" i="12"/>
  <c r="E19" i="37" s="1"/>
  <c r="AU84" i="12"/>
  <c r="E127" i="1"/>
  <c r="D122" i="1"/>
  <c r="G67" i="13"/>
  <c r="AU71" i="6"/>
  <c r="G183" i="13"/>
  <c r="AK47" i="12"/>
  <c r="AK54" i="12"/>
  <c r="AF127" i="4"/>
  <c r="AA127" i="4"/>
  <c r="V127" i="4"/>
  <c r="F112" i="9"/>
  <c r="E114" i="9"/>
  <c r="F139" i="9"/>
  <c r="C109" i="9"/>
  <c r="AK122" i="1"/>
  <c r="AH169" i="1" s="1"/>
  <c r="AJ49" i="69"/>
  <c r="AJ75" i="69" s="1"/>
  <c r="AN49" i="69"/>
  <c r="CI82" i="69" s="1"/>
  <c r="CK82" i="69" s="1"/>
  <c r="L29" i="14"/>
  <c r="L32" i="14" s="1"/>
  <c r="L91" i="14" s="1"/>
  <c r="L127" i="14"/>
  <c r="L126" i="14"/>
  <c r="AQ127" i="14"/>
  <c r="AQ29" i="14"/>
  <c r="AQ126" i="14"/>
  <c r="AL37" i="12"/>
  <c r="AL102" i="14"/>
  <c r="AP114" i="14"/>
  <c r="AP119" i="12" s="1"/>
  <c r="AO27" i="37"/>
  <c r="AO24" i="37" s="1"/>
  <c r="AO25" i="37" s="1"/>
  <c r="AC126" i="14"/>
  <c r="AC127" i="14"/>
  <c r="AO27" i="27"/>
  <c r="AO50" i="14"/>
  <c r="AN91" i="14"/>
  <c r="AN102" i="14" s="1"/>
  <c r="AN36" i="14"/>
  <c r="AN39" i="14" s="1"/>
  <c r="AN50" i="14" s="1"/>
  <c r="AL36" i="14"/>
  <c r="AW38" i="13"/>
  <c r="AT36" i="14"/>
  <c r="AT39" i="14" s="1"/>
  <c r="AT55" i="14" s="1"/>
  <c r="AT15" i="37" s="1"/>
  <c r="AT18" i="37" s="1"/>
  <c r="R137" i="13"/>
  <c r="AP53" i="12"/>
  <c r="CD13" i="27"/>
  <c r="BY13" i="27"/>
  <c r="BZ588" i="7"/>
  <c r="BZ591" i="7" s="1"/>
  <c r="BZ594" i="7" s="1"/>
  <c r="AF151" i="9"/>
  <c r="AA56" i="1"/>
  <c r="AG49" i="69"/>
  <c r="AG75" i="69" s="1"/>
  <c r="AG76" i="69" s="1"/>
  <c r="AS49" i="69"/>
  <c r="AS75" i="69" s="1"/>
  <c r="AS76" i="69" s="1"/>
  <c r="AX42" i="47"/>
  <c r="AX159" i="13" s="1"/>
  <c r="AX38" i="13"/>
  <c r="AU47" i="12"/>
  <c r="C122" i="4"/>
  <c r="G127" i="1"/>
  <c r="AA142" i="4"/>
  <c r="AA136" i="4"/>
  <c r="V142" i="4"/>
  <c r="V136" i="4"/>
  <c r="AK17" i="27"/>
  <c r="AK142" i="4"/>
  <c r="AK127" i="4"/>
  <c r="AP142" i="4"/>
  <c r="AP127" i="4"/>
  <c r="AA874" i="7"/>
  <c r="AA889" i="7" s="1"/>
  <c r="Q874" i="7"/>
  <c r="AW49" i="69"/>
  <c r="CI89" i="69" s="1"/>
  <c r="CK89" i="69" s="1"/>
  <c r="Q704" i="7"/>
  <c r="Q432" i="7"/>
  <c r="Q442" i="7" s="1"/>
  <c r="D142" i="4"/>
  <c r="C142" i="4"/>
  <c r="F136" i="4"/>
  <c r="E127" i="4"/>
  <c r="AP38" i="14"/>
  <c r="AP17" i="27"/>
  <c r="AP22" i="27" s="1"/>
  <c r="AP27" i="27" s="1"/>
  <c r="AP36" i="14" s="1"/>
  <c r="E112" i="9"/>
  <c r="D114" i="9"/>
  <c r="Z49" i="69"/>
  <c r="CI71" i="69" s="1"/>
  <c r="CK71" i="69" s="1"/>
  <c r="CL71" i="69" s="1"/>
  <c r="AZ27" i="69"/>
  <c r="AL94" i="13"/>
  <c r="Q37" i="12"/>
  <c r="AX79" i="14"/>
  <c r="AK183" i="9"/>
  <c r="AU103" i="6"/>
  <c r="N183" i="13"/>
  <c r="M174" i="13"/>
  <c r="J67" i="13"/>
  <c r="AG74" i="11"/>
  <c r="AC74" i="11"/>
  <c r="AF594" i="7"/>
  <c r="AA56" i="27"/>
  <c r="AA77" i="14" s="1"/>
  <c r="AH110" i="13"/>
  <c r="AH41" i="14"/>
  <c r="AX84" i="14"/>
  <c r="AX51" i="14"/>
  <c r="AJ110" i="13"/>
  <c r="AJ41" i="14"/>
  <c r="AN110" i="13"/>
  <c r="AN41" i="14"/>
  <c r="AQ68" i="27"/>
  <c r="AQ51" i="14"/>
  <c r="J127" i="14"/>
  <c r="J29" i="14"/>
  <c r="J126" i="14"/>
  <c r="F76" i="27"/>
  <c r="F78" i="27" s="1"/>
  <c r="F82" i="14"/>
  <c r="AI41" i="14"/>
  <c r="AI110" i="13"/>
  <c r="AJ127" i="14"/>
  <c r="AJ126" i="14"/>
  <c r="AU86" i="6"/>
  <c r="Y131" i="13"/>
  <c r="Y135" i="13" s="1"/>
  <c r="T131" i="13"/>
  <c r="K67" i="13"/>
  <c r="C67" i="13"/>
  <c r="AR38" i="13"/>
  <c r="AM38" i="13"/>
  <c r="J38" i="13"/>
  <c r="BT21" i="27"/>
  <c r="BO21" i="27"/>
  <c r="BJ21" i="27"/>
  <c r="BT13" i="27"/>
  <c r="BO13" i="27"/>
  <c r="BJ13" i="27"/>
  <c r="Z74" i="11"/>
  <c r="AK74" i="11"/>
  <c r="X110" i="5"/>
  <c r="N110" i="5"/>
  <c r="I110" i="5"/>
  <c r="AE110" i="5"/>
  <c r="Z110" i="5"/>
  <c r="U110" i="5"/>
  <c r="P110" i="5"/>
  <c r="K110" i="5"/>
  <c r="AS184" i="12"/>
  <c r="AS60" i="12" s="1"/>
  <c r="AN48" i="12"/>
  <c r="AF162" i="1"/>
  <c r="V162" i="1"/>
  <c r="F162" i="1"/>
  <c r="D162" i="1"/>
  <c r="V157" i="1"/>
  <c r="Q157" i="1"/>
  <c r="AF136" i="1"/>
  <c r="V136" i="1"/>
  <c r="Q136" i="1"/>
  <c r="E122" i="4"/>
  <c r="G122" i="4"/>
  <c r="AO74" i="11"/>
  <c r="AU112" i="12" s="1"/>
  <c r="AK67" i="27"/>
  <c r="V40" i="27"/>
  <c r="V45" i="27" s="1"/>
  <c r="V110" i="13" s="1"/>
  <c r="Q40" i="27"/>
  <c r="Q45" i="27" s="1"/>
  <c r="Q110" i="13" s="1"/>
  <c r="AK44" i="7"/>
  <c r="AK36" i="11" s="1"/>
  <c r="AK37" i="11" s="1"/>
  <c r="AK290" i="7"/>
  <c r="AK303" i="7" s="1"/>
  <c r="AT40" i="27"/>
  <c r="AT45" i="27" s="1"/>
  <c r="G543" i="7"/>
  <c r="AF56" i="1"/>
  <c r="V432" i="7"/>
  <c r="V445" i="7" s="1"/>
  <c r="V56" i="1"/>
  <c r="Q296" i="7"/>
  <c r="Q297" i="7" s="1"/>
  <c r="L432" i="7"/>
  <c r="L442" i="7" s="1"/>
  <c r="L147" i="7"/>
  <c r="L160" i="7" s="1"/>
  <c r="AV40" i="27"/>
  <c r="AV45" i="27" s="1"/>
  <c r="AV41" i="14" s="1"/>
  <c r="AV184" i="12"/>
  <c r="AV60" i="12" s="1"/>
  <c r="AZ11" i="47"/>
  <c r="E11" i="39"/>
  <c r="AC49" i="69"/>
  <c r="AC75" i="69" s="1"/>
  <c r="AC76" i="69" s="1"/>
  <c r="U49" i="69"/>
  <c r="CI67" i="69" s="1"/>
  <c r="CK67" i="69" s="1"/>
  <c r="CL67" i="69" s="1"/>
  <c r="AZ42" i="27"/>
  <c r="T127" i="13"/>
  <c r="S183" i="13"/>
  <c r="R185" i="13"/>
  <c r="J185" i="13"/>
  <c r="AB48" i="12"/>
  <c r="X48" i="12"/>
  <c r="AA48" i="12"/>
  <c r="F58" i="27"/>
  <c r="F81" i="27" s="1"/>
  <c r="F128" i="14" s="1"/>
  <c r="E58" i="27"/>
  <c r="E72" i="27" s="1"/>
  <c r="Y68" i="11"/>
  <c r="I76" i="13"/>
  <c r="E704" i="7"/>
  <c r="AS49" i="47"/>
  <c r="AQ49" i="47"/>
  <c r="AL49" i="47"/>
  <c r="AI49" i="47"/>
  <c r="AD49" i="47"/>
  <c r="AR44" i="47"/>
  <c r="BJ11" i="47"/>
  <c r="AU11" i="47"/>
  <c r="AP11" i="47"/>
  <c r="V117" i="9"/>
  <c r="AF117" i="9"/>
  <c r="L117" i="9"/>
  <c r="D117" i="9"/>
  <c r="AA110" i="1"/>
  <c r="G110" i="1"/>
  <c r="C110" i="1"/>
  <c r="Q110" i="1"/>
  <c r="E136" i="4"/>
  <c r="C136" i="4"/>
  <c r="L136" i="1"/>
  <c r="AF157" i="4"/>
  <c r="V157" i="4"/>
  <c r="V122" i="4"/>
  <c r="Q157" i="4"/>
  <c r="Q142" i="4"/>
  <c r="Q136" i="4"/>
  <c r="Q122" i="4"/>
  <c r="L142" i="4"/>
  <c r="L122" i="4"/>
  <c r="G136" i="4"/>
  <c r="G127" i="4"/>
  <c r="AF62" i="27"/>
  <c r="AF83" i="14" s="1"/>
  <c r="AF60" i="27"/>
  <c r="AF81" i="14" s="1"/>
  <c r="AA62" i="27"/>
  <c r="AA83" i="14" s="1"/>
  <c r="AA61" i="27"/>
  <c r="AA76" i="27" s="1"/>
  <c r="V62" i="27"/>
  <c r="V83" i="14" s="1"/>
  <c r="V61" i="27"/>
  <c r="V76" i="27" s="1"/>
  <c r="V60" i="27"/>
  <c r="V81" i="14" s="1"/>
  <c r="Q62" i="27"/>
  <c r="Q83" i="14" s="1"/>
  <c r="N63" i="27"/>
  <c r="N84" i="14" s="1"/>
  <c r="N85" i="14" s="1"/>
  <c r="L62" i="27"/>
  <c r="L83" i="14" s="1"/>
  <c r="L60" i="27"/>
  <c r="L81" i="14" s="1"/>
  <c r="V55" i="27"/>
  <c r="V76" i="14" s="1"/>
  <c r="S58" i="27"/>
  <c r="S79" i="14" s="1"/>
  <c r="L56" i="27"/>
  <c r="L77" i="14" s="1"/>
  <c r="AK135" i="14"/>
  <c r="AA342" i="7"/>
  <c r="AA356" i="7" s="1"/>
  <c r="AA360" i="7" s="1"/>
  <c r="AP101" i="14"/>
  <c r="AP129" i="12" s="1"/>
  <c r="AP53" i="27"/>
  <c r="AK53" i="27"/>
  <c r="AK74" i="14" s="1"/>
  <c r="AF53" i="27"/>
  <c r="AF74" i="14" s="1"/>
  <c r="AA53" i="27"/>
  <c r="AA74" i="14" s="1"/>
  <c r="AP110" i="1"/>
  <c r="AP147" i="7"/>
  <c r="AU142" i="1"/>
  <c r="AU136" i="1"/>
  <c r="AQ165" i="1"/>
  <c r="AK142" i="1"/>
  <c r="AK136" i="1"/>
  <c r="AU122" i="1"/>
  <c r="AK113" i="10"/>
  <c r="AK109" i="10" s="1"/>
  <c r="AK115" i="10" s="1"/>
  <c r="AH58" i="27"/>
  <c r="AH63" i="27" s="1"/>
  <c r="AC58" i="27"/>
  <c r="AC81" i="27" s="1"/>
  <c r="AC128" i="14" s="1"/>
  <c r="X58" i="27"/>
  <c r="X63" i="27" s="1"/>
  <c r="AU33" i="27"/>
  <c r="AU21" i="7" s="1"/>
  <c r="V49" i="69"/>
  <c r="AQ49" i="69"/>
  <c r="CI84" i="69" s="1"/>
  <c r="CK84" i="69" s="1"/>
  <c r="AU49" i="69"/>
  <c r="AZ38" i="27"/>
  <c r="AX40" i="27"/>
  <c r="AX45" i="27" s="1"/>
  <c r="AX41" i="14" s="1"/>
  <c r="AU157" i="1"/>
  <c r="AS171" i="1"/>
  <c r="K185" i="13"/>
  <c r="J174" i="13"/>
  <c r="I125" i="13"/>
  <c r="H183" i="13"/>
  <c r="F125" i="13"/>
  <c r="F127" i="13" s="1"/>
  <c r="D125" i="13"/>
  <c r="C125" i="13"/>
  <c r="C127" i="13" s="1"/>
  <c r="G185" i="13"/>
  <c r="AE46" i="37"/>
  <c r="AE53" i="37" s="1"/>
  <c r="AE54" i="37" s="1"/>
  <c r="AE56" i="37" s="1"/>
  <c r="F770" i="7"/>
  <c r="Q764" i="7"/>
  <c r="E818" i="7"/>
  <c r="AA764" i="7"/>
  <c r="AA774" i="7" s="1"/>
  <c r="F874" i="7"/>
  <c r="AF44" i="47"/>
  <c r="AF161" i="13" s="1"/>
  <c r="W56" i="5"/>
  <c r="M56" i="5"/>
  <c r="Y56" i="5"/>
  <c r="J56" i="5"/>
  <c r="Q110" i="4"/>
  <c r="E110" i="4"/>
  <c r="G110" i="4"/>
  <c r="C110" i="4"/>
  <c r="BY380" i="1"/>
  <c r="BY387" i="1" s="1"/>
  <c r="BY388" i="1" s="1"/>
  <c r="BU387" i="1"/>
  <c r="BU388" i="1" s="1"/>
  <c r="BP387" i="1"/>
  <c r="BP388" i="1" s="1"/>
  <c r="C333" i="1"/>
  <c r="C225" i="1"/>
  <c r="AA142" i="1"/>
  <c r="V142" i="1"/>
  <c r="Q142" i="1"/>
  <c r="E162" i="4"/>
  <c r="C162" i="4"/>
  <c r="E157" i="4"/>
  <c r="C157" i="4"/>
  <c r="G129" i="12"/>
  <c r="AP135" i="14"/>
  <c r="AP874" i="7"/>
  <c r="AP885" i="7" s="1"/>
  <c r="AF147" i="7"/>
  <c r="AF160" i="7" s="1"/>
  <c r="AU101" i="14"/>
  <c r="Q160" i="9"/>
  <c r="G156" i="9"/>
  <c r="G89" i="10"/>
  <c r="L171" i="9"/>
  <c r="F151" i="9"/>
  <c r="L160" i="9"/>
  <c r="F161" i="9"/>
  <c r="D166" i="9"/>
  <c r="D151" i="9"/>
  <c r="D165" i="9"/>
  <c r="C142" i="1"/>
  <c r="C147" i="7"/>
  <c r="C158" i="7" s="1"/>
  <c r="AA432" i="7"/>
  <c r="AA443" i="7" s="1"/>
  <c r="V56" i="4"/>
  <c r="V57" i="4" s="1"/>
  <c r="L56" i="4"/>
  <c r="L57" i="4" s="1"/>
  <c r="F122" i="4"/>
  <c r="E56" i="4"/>
  <c r="E57" i="4" s="1"/>
  <c r="AP484" i="7"/>
  <c r="AP498" i="7" s="1"/>
  <c r="AP502" i="7" s="1"/>
  <c r="AP53" i="7"/>
  <c r="P135" i="13"/>
  <c r="AB131" i="13"/>
  <c r="AB135" i="13" s="1"/>
  <c r="W131" i="13"/>
  <c r="W135" i="13" s="1"/>
  <c r="R131" i="13"/>
  <c r="R135" i="13" s="1"/>
  <c r="M131" i="13"/>
  <c r="M135" i="13" s="1"/>
  <c r="Z125" i="13"/>
  <c r="Y185" i="13"/>
  <c r="W183" i="13"/>
  <c r="U183" i="13"/>
  <c r="T183" i="13"/>
  <c r="R183" i="13"/>
  <c r="P185" i="13"/>
  <c r="O125" i="13"/>
  <c r="I67" i="13"/>
  <c r="AK45" i="12"/>
  <c r="U55" i="14"/>
  <c r="AK68" i="11"/>
  <c r="V290" i="7"/>
  <c r="V302" i="7" s="1"/>
  <c r="Q153" i="7"/>
  <c r="L290" i="7"/>
  <c r="L302" i="7" s="1"/>
  <c r="Y58" i="27"/>
  <c r="Y63" i="27" s="1"/>
  <c r="M58" i="27"/>
  <c r="M79" i="14" s="1"/>
  <c r="AU135" i="14"/>
  <c r="AT49" i="47"/>
  <c r="AF131" i="10"/>
  <c r="AK56" i="27"/>
  <c r="AK55" i="27"/>
  <c r="AK76" i="14" s="1"/>
  <c r="AN81" i="27"/>
  <c r="AN128" i="14" s="1"/>
  <c r="AP60" i="27"/>
  <c r="AP81" i="14" s="1"/>
  <c r="AL58" i="27"/>
  <c r="AL79" i="14" s="1"/>
  <c r="AU25" i="14"/>
  <c r="AU126" i="14" s="1"/>
  <c r="AK162" i="4"/>
  <c r="AK157" i="4"/>
  <c r="AK136" i="4"/>
  <c r="AP162" i="4"/>
  <c r="AP157" i="4"/>
  <c r="AP136" i="4"/>
  <c r="AU162" i="4"/>
  <c r="AU136" i="4"/>
  <c r="AU122" i="4"/>
  <c r="AP67" i="6"/>
  <c r="AK68" i="6"/>
  <c r="AP68" i="6"/>
  <c r="AU69" i="6"/>
  <c r="AU70" i="6"/>
  <c r="AU37" i="7"/>
  <c r="AU44" i="7"/>
  <c r="AU104" i="27" s="1"/>
  <c r="AU112" i="9"/>
  <c r="AP97" i="9"/>
  <c r="AP161" i="9"/>
  <c r="AF166" i="9"/>
  <c r="AF170" i="9"/>
  <c r="AA112" i="9"/>
  <c r="AA156" i="9"/>
  <c r="V114" i="9"/>
  <c r="AA140" i="9"/>
  <c r="CH84" i="10"/>
  <c r="V161" i="9"/>
  <c r="Q166" i="9"/>
  <c r="Q116" i="9"/>
  <c r="Q109" i="9"/>
  <c r="L150" i="9"/>
  <c r="AF49" i="69"/>
  <c r="X49" i="69"/>
  <c r="AM51" i="14"/>
  <c r="AM84" i="14"/>
  <c r="L61" i="27"/>
  <c r="H82" i="14"/>
  <c r="H76" i="27"/>
  <c r="H63" i="27"/>
  <c r="H81" i="27"/>
  <c r="H128" i="14" s="1"/>
  <c r="AF27" i="27"/>
  <c r="AF55" i="14"/>
  <c r="AF15" i="37" s="1"/>
  <c r="AF50" i="14"/>
  <c r="AT110" i="13"/>
  <c r="AT41" i="14"/>
  <c r="AT115" i="14"/>
  <c r="AT36" i="37" s="1"/>
  <c r="AS36" i="37"/>
  <c r="D873" i="7"/>
  <c r="D874" i="7" s="1"/>
  <c r="D110" i="1"/>
  <c r="D818" i="7"/>
  <c r="AV110" i="13"/>
  <c r="AR94" i="13"/>
  <c r="AR36" i="14"/>
  <c r="AR39" i="14" s="1"/>
  <c r="AR91" i="14"/>
  <c r="AK110" i="13"/>
  <c r="AK41" i="14"/>
  <c r="AK102" i="6"/>
  <c r="AG119" i="6"/>
  <c r="P97" i="13"/>
  <c r="P98" i="13" s="1"/>
  <c r="W127" i="14"/>
  <c r="W29" i="14"/>
  <c r="W126" i="14"/>
  <c r="K84" i="14"/>
  <c r="F72" i="27"/>
  <c r="N50" i="14"/>
  <c r="N27" i="27"/>
  <c r="N55" i="14"/>
  <c r="Z27" i="27"/>
  <c r="Z50" i="14"/>
  <c r="Z55" i="14"/>
  <c r="Z15" i="37" s="1"/>
  <c r="Z18" i="37" s="1"/>
  <c r="AU81" i="12"/>
  <c r="AP81" i="12"/>
  <c r="AT51" i="14"/>
  <c r="AS27" i="37"/>
  <c r="AT114" i="14"/>
  <c r="AT27" i="37" s="1"/>
  <c r="AU342" i="7"/>
  <c r="AU358" i="7" s="1"/>
  <c r="AG169" i="1"/>
  <c r="AI169" i="1"/>
  <c r="AD75" i="69"/>
  <c r="AD76" i="69" s="1"/>
  <c r="CI74" i="69"/>
  <c r="CK74" i="69" s="1"/>
  <c r="K94" i="13"/>
  <c r="K36" i="14"/>
  <c r="V29" i="14"/>
  <c r="V126" i="14"/>
  <c r="V127" i="14"/>
  <c r="AR84" i="14"/>
  <c r="AR51" i="14"/>
  <c r="AR68" i="27"/>
  <c r="AO51" i="12"/>
  <c r="U126" i="14"/>
  <c r="U127" i="14"/>
  <c r="U29" i="14"/>
  <c r="H126" i="14"/>
  <c r="H127" i="14"/>
  <c r="H29" i="14"/>
  <c r="R51" i="14"/>
  <c r="R68" i="27"/>
  <c r="R84" i="14"/>
  <c r="R85" i="14" s="1"/>
  <c r="R56" i="14"/>
  <c r="R57" i="14" s="1"/>
  <c r="AD55" i="14"/>
  <c r="AD15" i="37" s="1"/>
  <c r="AD18" i="37" s="1"/>
  <c r="AD27" i="27"/>
  <c r="AD50" i="14"/>
  <c r="V22" i="11"/>
  <c r="V30" i="11"/>
  <c r="AJ114" i="14"/>
  <c r="AJ27" i="37" s="1"/>
  <c r="AJ24" i="37" s="1"/>
  <c r="AJ25" i="37" s="1"/>
  <c r="AI27" i="37"/>
  <c r="AI24" i="37" s="1"/>
  <c r="AI25" i="37" s="1"/>
  <c r="AO97" i="13"/>
  <c r="AO98" i="13" s="1"/>
  <c r="AG126" i="14"/>
  <c r="AG29" i="14"/>
  <c r="AK25" i="14"/>
  <c r="AG127" i="14"/>
  <c r="AA52" i="7"/>
  <c r="AA147" i="7"/>
  <c r="AA158" i="7" s="1"/>
  <c r="CI62" i="69"/>
  <c r="CK62" i="69" s="1"/>
  <c r="CL62" i="69" s="1"/>
  <c r="AX126" i="14"/>
  <c r="AX29" i="14"/>
  <c r="AX32" i="14" s="1"/>
  <c r="AX24" i="12" s="1"/>
  <c r="AX127" i="14"/>
  <c r="AS119" i="6"/>
  <c r="AU119" i="6" s="1"/>
  <c r="AU102" i="6"/>
  <c r="X29" i="14"/>
  <c r="X127" i="14"/>
  <c r="X126" i="14"/>
  <c r="AE126" i="14"/>
  <c r="AE29" i="14"/>
  <c r="AE127" i="14"/>
  <c r="AF41" i="14"/>
  <c r="AF110" i="13"/>
  <c r="T55" i="14"/>
  <c r="T50" i="14"/>
  <c r="T27" i="27"/>
  <c r="AA50" i="14"/>
  <c r="AA55" i="14"/>
  <c r="AA15" i="37" s="1"/>
  <c r="AA18" i="37" s="1"/>
  <c r="AA27" i="27"/>
  <c r="AF29" i="14"/>
  <c r="AF126" i="14"/>
  <c r="AF127" i="14"/>
  <c r="AH147" i="13"/>
  <c r="AH171" i="13" s="1"/>
  <c r="CK193" i="13" s="1"/>
  <c r="AH31" i="47"/>
  <c r="AL110" i="13"/>
  <c r="AL41" i="14"/>
  <c r="E874" i="7"/>
  <c r="E543" i="7"/>
  <c r="Q105" i="14"/>
  <c r="S94" i="13"/>
  <c r="S36" i="14"/>
  <c r="AL121" i="6"/>
  <c r="AP121" i="6" s="1"/>
  <c r="AP104" i="6"/>
  <c r="T127" i="14"/>
  <c r="T126" i="14"/>
  <c r="T29" i="14"/>
  <c r="O56" i="14"/>
  <c r="O57" i="14" s="1"/>
  <c r="O68" i="27"/>
  <c r="O51" i="14"/>
  <c r="O84" i="14"/>
  <c r="O85" i="14" s="1"/>
  <c r="AC41" i="14"/>
  <c r="AC110" i="13"/>
  <c r="V48" i="12"/>
  <c r="V51" i="12"/>
  <c r="V19" i="37" s="1"/>
  <c r="AC50" i="14"/>
  <c r="AC27" i="27"/>
  <c r="AC55" i="14"/>
  <c r="AC15" i="37" s="1"/>
  <c r="AC18" i="37" s="1"/>
  <c r="AI145" i="14"/>
  <c r="AI36" i="14"/>
  <c r="AI49" i="14" s="1"/>
  <c r="AK84" i="6"/>
  <c r="AJ101" i="6"/>
  <c r="AJ118" i="6" s="1"/>
  <c r="AK118" i="6" s="1"/>
  <c r="AK87" i="6"/>
  <c r="AG104" i="6"/>
  <c r="AS101" i="6"/>
  <c r="AS118" i="6" s="1"/>
  <c r="AU118" i="6" s="1"/>
  <c r="AU84" i="6"/>
  <c r="AG68" i="11"/>
  <c r="AP130" i="13"/>
  <c r="Y36" i="14"/>
  <c r="AZ12" i="69"/>
  <c r="AP19" i="12"/>
  <c r="CB136" i="7"/>
  <c r="CC136" i="7" s="1"/>
  <c r="AA29" i="14"/>
  <c r="L97" i="13"/>
  <c r="L98" i="13" s="1"/>
  <c r="AD110" i="13"/>
  <c r="AJ29" i="14"/>
  <c r="AN94" i="13"/>
  <c r="AS29" i="14"/>
  <c r="AQ84" i="14"/>
  <c r="Q32" i="11"/>
  <c r="G127" i="14"/>
  <c r="AE50" i="14"/>
  <c r="L366" i="7"/>
  <c r="AW157" i="13"/>
  <c r="AW129" i="13" s="1"/>
  <c r="P94" i="13"/>
  <c r="AP81" i="6"/>
  <c r="AO51" i="14"/>
  <c r="AU872" i="7"/>
  <c r="AP22" i="7"/>
  <c r="AK98" i="6"/>
  <c r="F75" i="13"/>
  <c r="L109" i="13"/>
  <c r="D48" i="1"/>
  <c r="L114" i="9"/>
  <c r="BW741" i="7"/>
  <c r="BX741" i="7" s="1"/>
  <c r="D17" i="39"/>
  <c r="V83" i="12"/>
  <c r="AA94" i="12"/>
  <c r="L60" i="13"/>
  <c r="L47" i="13"/>
  <c r="L50" i="13" s="1"/>
  <c r="V88" i="12"/>
  <c r="AK93" i="12"/>
  <c r="G39" i="11"/>
  <c r="N125" i="13"/>
  <c r="R125" i="13"/>
  <c r="AU85" i="6"/>
  <c r="F116" i="9"/>
  <c r="AF111" i="9"/>
  <c r="AF193" i="9" s="1"/>
  <c r="X78" i="11"/>
  <c r="V23" i="10"/>
  <c r="AK726" i="7"/>
  <c r="AK731" i="7"/>
  <c r="AA770" i="7"/>
  <c r="AA771" i="7" s="1"/>
  <c r="AU153" i="7"/>
  <c r="D764" i="7"/>
  <c r="E113" i="9"/>
  <c r="AF116" i="9"/>
  <c r="L113" i="9"/>
  <c r="D113" i="9"/>
  <c r="D141" i="9" s="1"/>
  <c r="AK157" i="9"/>
  <c r="AA109" i="9"/>
  <c r="AP110" i="9"/>
  <c r="AP166" i="9"/>
  <c r="Q111" i="9"/>
  <c r="Q193" i="9" s="1"/>
  <c r="G165" i="9"/>
  <c r="AK165" i="9"/>
  <c r="V160" i="9"/>
  <c r="F170" i="9"/>
  <c r="AU113" i="9"/>
  <c r="AZ141" i="9" s="1"/>
  <c r="L139" i="9"/>
  <c r="G170" i="9"/>
  <c r="AK160" i="9"/>
  <c r="C155" i="9"/>
  <c r="G160" i="9"/>
  <c r="AP56" i="27"/>
  <c r="AA54" i="27"/>
  <c r="AA75" i="14" s="1"/>
  <c r="AF112" i="12"/>
  <c r="L88" i="12"/>
  <c r="AI184" i="12"/>
  <c r="AI60" i="12" s="1"/>
  <c r="O183" i="13"/>
  <c r="AP82" i="5"/>
  <c r="L57" i="27"/>
  <c r="L78" i="14" s="1"/>
  <c r="V111" i="12"/>
  <c r="AF147" i="13"/>
  <c r="AK73" i="12" s="1"/>
  <c r="AP61" i="27"/>
  <c r="Q118" i="12"/>
  <c r="Q109" i="12"/>
  <c r="AR150" i="13"/>
  <c r="G184" i="12"/>
  <c r="G60" i="12" s="1"/>
  <c r="O79" i="14"/>
  <c r="AP64" i="6"/>
  <c r="AS84" i="14"/>
  <c r="R29" i="14"/>
  <c r="AC29" i="14"/>
  <c r="I126" i="14"/>
  <c r="Q72" i="12"/>
  <c r="AP94" i="12"/>
  <c r="W81" i="27"/>
  <c r="W128" i="14" s="1"/>
  <c r="CJ181" i="13"/>
  <c r="AB185" i="13"/>
  <c r="R50" i="14"/>
  <c r="AK85" i="6"/>
  <c r="V56" i="27"/>
  <c r="V77" i="14" s="1"/>
  <c r="AU111" i="12"/>
  <c r="AJ44" i="47"/>
  <c r="AP66" i="27"/>
  <c r="M183" i="13"/>
  <c r="W185" i="13"/>
  <c r="K79" i="14"/>
  <c r="N185" i="13"/>
  <c r="C48" i="1"/>
  <c r="C49" i="1" s="1"/>
  <c r="C431" i="7" s="1"/>
  <c r="C432" i="7" s="1"/>
  <c r="AP54" i="27"/>
  <c r="V79" i="12"/>
  <c r="Q79" i="12"/>
  <c r="X185" i="13"/>
  <c r="AK66" i="27"/>
  <c r="M185" i="13"/>
  <c r="G125" i="13"/>
  <c r="AN54" i="37"/>
  <c r="AN56" i="37" s="1"/>
  <c r="M29" i="14"/>
  <c r="E29" i="14"/>
  <c r="U51" i="14"/>
  <c r="AG110" i="13"/>
  <c r="AB68" i="27"/>
  <c r="AU153" i="4"/>
  <c r="AU157" i="4" s="1"/>
  <c r="AP111" i="12"/>
  <c r="AK60" i="27"/>
  <c r="O81" i="27"/>
  <c r="O128" i="14" s="1"/>
  <c r="R124" i="13"/>
  <c r="AA165" i="9"/>
  <c r="Q68" i="12"/>
  <c r="E185" i="13"/>
  <c r="AP54" i="5"/>
  <c r="AP162" i="5" s="1"/>
  <c r="Q61" i="27"/>
  <c r="AU88" i="12"/>
  <c r="AU15" i="14"/>
  <c r="Z76" i="13"/>
  <c r="G14" i="4"/>
  <c r="H185" i="13"/>
  <c r="P174" i="13"/>
  <c r="AU160" i="9"/>
  <c r="Z183" i="13"/>
  <c r="AP72" i="12"/>
  <c r="AU79" i="12"/>
  <c r="K40" i="12"/>
  <c r="M74" i="13"/>
  <c r="M90" i="13" s="1"/>
  <c r="N89" i="13" s="1"/>
  <c r="AN68" i="27"/>
  <c r="U76" i="13"/>
  <c r="AF82" i="14"/>
  <c r="AR171" i="1"/>
  <c r="AP52" i="27"/>
  <c r="AP89" i="10"/>
  <c r="AP77" i="10" s="1"/>
  <c r="V52" i="27"/>
  <c r="Q34" i="13"/>
  <c r="Q47" i="13"/>
  <c r="Q50" i="13" s="1"/>
  <c r="G58" i="27"/>
  <c r="L43" i="27"/>
  <c r="Q60" i="27"/>
  <c r="Q81" i="14" s="1"/>
  <c r="L23" i="13"/>
  <c r="V34" i="13"/>
  <c r="Q78" i="12"/>
  <c r="AK78" i="12"/>
  <c r="AF80" i="12"/>
  <c r="AA91" i="12"/>
  <c r="Q92" i="12"/>
  <c r="AA108" i="12"/>
  <c r="Q110" i="12"/>
  <c r="AF11" i="47"/>
  <c r="AF14" i="47" s="1"/>
  <c r="AF16" i="47" s="1"/>
  <c r="N81" i="27"/>
  <c r="N128" i="14" s="1"/>
  <c r="H184" i="12"/>
  <c r="H60" i="12" s="1"/>
  <c r="AP120" i="6"/>
  <c r="AP103" i="6"/>
  <c r="AS87" i="6"/>
  <c r="AO85" i="6"/>
  <c r="AO84" i="6"/>
  <c r="AC83" i="14"/>
  <c r="X83" i="14"/>
  <c r="S83" i="14"/>
  <c r="N83" i="14"/>
  <c r="I83" i="14"/>
  <c r="H81" i="14"/>
  <c r="AM79" i="14"/>
  <c r="AB79" i="14"/>
  <c r="R79" i="14"/>
  <c r="BO77" i="14"/>
  <c r="Y77" i="14"/>
  <c r="S75" i="14"/>
  <c r="AM73" i="14"/>
  <c r="AC73" i="14"/>
  <c r="AM72" i="14"/>
  <c r="AH72" i="14"/>
  <c r="AC72" i="14"/>
  <c r="X72" i="14"/>
  <c r="AK15" i="14"/>
  <c r="W174" i="13"/>
  <c r="AA134" i="13"/>
  <c r="AA137" i="13" s="1"/>
  <c r="T135" i="13"/>
  <c r="Z124" i="13"/>
  <c r="W124" i="13"/>
  <c r="AP109" i="13"/>
  <c r="I109" i="13"/>
  <c r="AN97" i="13"/>
  <c r="AN98" i="13" s="1"/>
  <c r="AM11" i="12"/>
  <c r="AK131" i="12"/>
  <c r="Z56" i="12"/>
  <c r="V56" i="12"/>
  <c r="Y51" i="12"/>
  <c r="Y59" i="12" s="1"/>
  <c r="O48" i="12"/>
  <c r="J39" i="12"/>
  <c r="AK140" i="14"/>
  <c r="L129" i="13"/>
  <c r="AF180" i="13"/>
  <c r="AA126" i="13"/>
  <c r="V180" i="13"/>
  <c r="AP116" i="27"/>
  <c r="V116" i="27"/>
  <c r="AM81" i="27"/>
  <c r="AM128" i="14" s="1"/>
  <c r="AN76" i="27"/>
  <c r="AI76" i="27"/>
  <c r="BO83" i="14"/>
  <c r="AE58" i="27"/>
  <c r="Z58" i="27"/>
  <c r="H45" i="27"/>
  <c r="H110" i="13" s="1"/>
  <c r="I23" i="10"/>
  <c r="AF26" i="10"/>
  <c r="L26" i="10"/>
  <c r="AP87" i="11"/>
  <c r="AJ74" i="11"/>
  <c r="Y74" i="11"/>
  <c r="AF67" i="11"/>
  <c r="AF68" i="11" s="1"/>
  <c r="AA79" i="11"/>
  <c r="L73" i="13"/>
  <c r="G46" i="37"/>
  <c r="G53" i="37" s="1"/>
  <c r="G54" i="37" s="1"/>
  <c r="G56" i="37" s="1"/>
  <c r="AK822" i="7"/>
  <c r="L874" i="7"/>
  <c r="F544" i="7"/>
  <c r="L543" i="7"/>
  <c r="F543" i="7"/>
  <c r="D543" i="7"/>
  <c r="AP488" i="7"/>
  <c r="AU296" i="7"/>
  <c r="AU297" i="7" s="1"/>
  <c r="AK293" i="7"/>
  <c r="AK296" i="7" s="1"/>
  <c r="AK297" i="7" s="1"/>
  <c r="AP171" i="9"/>
  <c r="V171" i="9"/>
  <c r="F171" i="9"/>
  <c r="V166" i="9"/>
  <c r="F166" i="9"/>
  <c r="AF161" i="9"/>
  <c r="L161" i="9"/>
  <c r="AF160" i="9"/>
  <c r="D156" i="9"/>
  <c r="F155" i="9"/>
  <c r="AA150" i="9"/>
  <c r="D140" i="9"/>
  <c r="AD110" i="5"/>
  <c r="AP56" i="4"/>
  <c r="AA56" i="4"/>
  <c r="AA57" i="4" s="1"/>
  <c r="L56" i="1"/>
  <c r="T270" i="1"/>
  <c r="T262" i="1"/>
  <c r="X241" i="1"/>
  <c r="X275" i="1"/>
  <c r="X192" i="1"/>
  <c r="D44" i="5"/>
  <c r="D152" i="5" s="1"/>
  <c r="F141" i="1"/>
  <c r="D133" i="1"/>
  <c r="D136" i="1" s="1"/>
  <c r="G33" i="5"/>
  <c r="G141" i="5" s="1"/>
  <c r="G155" i="1"/>
  <c r="AU93" i="12"/>
  <c r="AU75" i="12"/>
  <c r="AP703" i="7"/>
  <c r="AP704" i="7" s="1"/>
  <c r="AP718" i="7" s="1"/>
  <c r="AP721" i="7" s="1"/>
  <c r="AA139" i="9"/>
  <c r="AA289" i="7"/>
  <c r="AA290" i="7" s="1"/>
  <c r="AA302" i="7" s="1"/>
  <c r="AW40" i="27"/>
  <c r="AW45" i="27" s="1"/>
  <c r="AW49" i="47"/>
  <c r="BM12" i="69"/>
  <c r="BM15" i="69" s="1"/>
  <c r="BR12" i="69"/>
  <c r="AZ71" i="6"/>
  <c r="AX88" i="6"/>
  <c r="AX105" i="6" s="1"/>
  <c r="AX122" i="6" s="1"/>
  <c r="AZ68" i="6"/>
  <c r="AH23" i="10"/>
  <c r="AK35" i="14"/>
  <c r="AF53" i="7"/>
  <c r="Q36" i="14"/>
  <c r="Q39" i="14" s="1"/>
  <c r="Y94" i="13"/>
  <c r="AB32" i="14"/>
  <c r="AB24" i="12" s="1"/>
  <c r="AK19" i="12"/>
  <c r="D56" i="4"/>
  <c r="D57" i="4" s="1"/>
  <c r="U68" i="27"/>
  <c r="CI73" i="69"/>
  <c r="CK73" i="69" s="1"/>
  <c r="AR127" i="14"/>
  <c r="AS127" i="14"/>
  <c r="L367" i="7"/>
  <c r="BY121" i="9"/>
  <c r="BY51" i="9" s="1"/>
  <c r="BF38" i="14"/>
  <c r="BF10" i="12" s="1"/>
  <c r="BF25" i="12" s="1"/>
  <c r="AT91" i="14"/>
  <c r="P36" i="14"/>
  <c r="AU110" i="4"/>
  <c r="AA113" i="9"/>
  <c r="BW281" i="7"/>
  <c r="BX281" i="7" s="1"/>
  <c r="L110" i="9"/>
  <c r="AF83" i="12"/>
  <c r="L111" i="12"/>
  <c r="AF60" i="13"/>
  <c r="Q83" i="12"/>
  <c r="AF88" i="12"/>
  <c r="Q94" i="12"/>
  <c r="Q112" i="12"/>
  <c r="AA39" i="11"/>
  <c r="AP170" i="12"/>
  <c r="AP49" i="12" s="1"/>
  <c r="G67" i="12"/>
  <c r="Q147" i="7"/>
  <c r="Q159" i="7" s="1"/>
  <c r="N174" i="13"/>
  <c r="AK119" i="6"/>
  <c r="R174" i="13"/>
  <c r="AF40" i="7"/>
  <c r="AU114" i="9"/>
  <c r="Q544" i="7"/>
  <c r="C817" i="7"/>
  <c r="AX28" i="69"/>
  <c r="AK729" i="7"/>
  <c r="AF78" i="11"/>
  <c r="E78" i="13"/>
  <c r="F111" i="9"/>
  <c r="AP116" i="9"/>
  <c r="AP152" i="9" s="1"/>
  <c r="AP93" i="10" s="1"/>
  <c r="Q112" i="9"/>
  <c r="E109" i="9"/>
  <c r="AP111" i="9"/>
  <c r="AP193" i="9" s="1"/>
  <c r="AK170" i="12"/>
  <c r="AK49" i="12" s="1"/>
  <c r="G85" i="12"/>
  <c r="E102" i="10"/>
  <c r="AP156" i="9"/>
  <c r="E160" i="9"/>
  <c r="E170" i="9"/>
  <c r="AK155" i="9"/>
  <c r="AP160" i="9"/>
  <c r="V170" i="9"/>
  <c r="AU139" i="9"/>
  <c r="AA170" i="9"/>
  <c r="D155" i="9"/>
  <c r="AA166" i="9"/>
  <c r="C34" i="1"/>
  <c r="V60" i="13"/>
  <c r="AF94" i="12"/>
  <c r="H125" i="13"/>
  <c r="H127" i="13" s="1"/>
  <c r="AB183" i="13"/>
  <c r="CD387" i="1"/>
  <c r="CD388" i="1" s="1"/>
  <c r="W68" i="27"/>
  <c r="E125" i="13"/>
  <c r="E127" i="13" s="1"/>
  <c r="L174" i="13"/>
  <c r="F14" i="4"/>
  <c r="V51" i="27"/>
  <c r="AA118" i="12"/>
  <c r="AA51" i="27"/>
  <c r="AU27" i="69"/>
  <c r="AU28" i="69" s="1"/>
  <c r="AF76" i="12"/>
  <c r="K125" i="13"/>
  <c r="AS68" i="27"/>
  <c r="I29" i="14"/>
  <c r="C874" i="7"/>
  <c r="AP47" i="13"/>
  <c r="AP50" i="13" s="1"/>
  <c r="I174" i="13"/>
  <c r="R55" i="14"/>
  <c r="V50" i="14"/>
  <c r="AK80" i="12"/>
  <c r="Q75" i="13"/>
  <c r="L32" i="11"/>
  <c r="X125" i="13"/>
  <c r="L184" i="12"/>
  <c r="L60" i="12" s="1"/>
  <c r="S124" i="13"/>
  <c r="C41" i="11"/>
  <c r="AK51" i="27"/>
  <c r="K81" i="27"/>
  <c r="K128" i="14" s="1"/>
  <c r="C183" i="13"/>
  <c r="D183" i="13"/>
  <c r="M126" i="14"/>
  <c r="E127" i="14"/>
  <c r="AB84" i="14"/>
  <c r="AP79" i="12"/>
  <c r="U185" i="13"/>
  <c r="H43" i="12"/>
  <c r="Q107" i="12"/>
  <c r="AP88" i="12"/>
  <c r="S185" i="13"/>
  <c r="AA65" i="13"/>
  <c r="AP92" i="12"/>
  <c r="G174" i="13"/>
  <c r="X183" i="13"/>
  <c r="AK88" i="12"/>
  <c r="AK64" i="6"/>
  <c r="AU83" i="12"/>
  <c r="L118" i="12"/>
  <c r="AU81" i="27"/>
  <c r="AU128" i="14" s="1"/>
  <c r="AQ171" i="1"/>
  <c r="AU34" i="5"/>
  <c r="AU142" i="5" s="1"/>
  <c r="AR40" i="27"/>
  <c r="AR45" i="27" s="1"/>
  <c r="Q51" i="27"/>
  <c r="AA55" i="27"/>
  <c r="AA76" i="14" s="1"/>
  <c r="AK67" i="6"/>
  <c r="AU34" i="13"/>
  <c r="AU38" i="13" s="1"/>
  <c r="AK54" i="27"/>
  <c r="AU370" i="7"/>
  <c r="AF55" i="27"/>
  <c r="AF76" i="14" s="1"/>
  <c r="AP67" i="27"/>
  <c r="V23" i="13"/>
  <c r="AF34" i="13"/>
  <c r="V72" i="12"/>
  <c r="V78" i="12"/>
  <c r="AF91" i="12"/>
  <c r="V92" i="12"/>
  <c r="L108" i="12"/>
  <c r="AF108" i="12"/>
  <c r="E72" i="14"/>
  <c r="AQ130" i="13"/>
  <c r="AC74" i="13"/>
  <c r="AC90" i="13" s="1"/>
  <c r="AD89" i="13" s="1"/>
  <c r="AM127" i="14"/>
  <c r="BJ77" i="14"/>
  <c r="AJ76" i="14"/>
  <c r="AL75" i="14"/>
  <c r="M75" i="14"/>
  <c r="AU73" i="14"/>
  <c r="R73" i="14"/>
  <c r="X174" i="13"/>
  <c r="T174" i="13"/>
  <c r="AC130" i="13"/>
  <c r="N67" i="13"/>
  <c r="AH11" i="12"/>
  <c r="AF131" i="12"/>
  <c r="W48" i="12"/>
  <c r="H39" i="12"/>
  <c r="AK133" i="13"/>
  <c r="AU95" i="12"/>
  <c r="AP126" i="13"/>
  <c r="AA172" i="13"/>
  <c r="Q126" i="13"/>
  <c r="L126" i="13"/>
  <c r="L180" i="13"/>
  <c r="R81" i="27"/>
  <c r="R128" i="14" s="1"/>
  <c r="X76" i="27"/>
  <c r="S76" i="27"/>
  <c r="I76" i="27"/>
  <c r="P58" i="27"/>
  <c r="I27" i="27"/>
  <c r="AM74" i="11"/>
  <c r="AE74" i="11"/>
  <c r="AA74" i="11"/>
  <c r="X74" i="11"/>
  <c r="AU67" i="11"/>
  <c r="AU68" i="11" s="1"/>
  <c r="AM68" i="11"/>
  <c r="AI68" i="11"/>
  <c r="AE68" i="11"/>
  <c r="G51" i="12"/>
  <c r="G19" i="37" s="1"/>
  <c r="BJ13" i="37"/>
  <c r="AP823" i="7"/>
  <c r="AP825" i="7" s="1"/>
  <c r="AP826" i="7" s="1"/>
  <c r="AP768" i="7"/>
  <c r="AP770" i="7" s="1"/>
  <c r="AP771" i="7" s="1"/>
  <c r="AA818" i="7"/>
  <c r="Q817" i="7"/>
  <c r="E817" i="7"/>
  <c r="AK707" i="7"/>
  <c r="AU549" i="7"/>
  <c r="AA438" i="7"/>
  <c r="AP294" i="7"/>
  <c r="AP296" i="7" s="1"/>
  <c r="AP297" i="7" s="1"/>
  <c r="V146" i="7"/>
  <c r="V147" i="7" s="1"/>
  <c r="Q290" i="7"/>
  <c r="Q303" i="7" s="1"/>
  <c r="G237" i="7"/>
  <c r="G248" i="7" s="1"/>
  <c r="D484" i="7"/>
  <c r="AM25" i="7"/>
  <c r="AH25" i="7"/>
  <c r="AD31" i="47"/>
  <c r="L89" i="10"/>
  <c r="AK171" i="9"/>
  <c r="Q171" i="9"/>
  <c r="E171" i="9"/>
  <c r="E166" i="9"/>
  <c r="F165" i="9"/>
  <c r="AA161" i="9"/>
  <c r="G161" i="9"/>
  <c r="E155" i="9"/>
  <c r="Q139" i="9"/>
  <c r="F117" i="9"/>
  <c r="AB248" i="1"/>
  <c r="D101" i="5"/>
  <c r="D103" i="5" s="1"/>
  <c r="C31" i="5"/>
  <c r="C34" i="5" s="1"/>
  <c r="E13" i="5"/>
  <c r="C13" i="5"/>
  <c r="C121" i="5" s="1"/>
  <c r="C121" i="1"/>
  <c r="C122" i="1" s="1"/>
  <c r="F140" i="4"/>
  <c r="F142" i="4" s="1"/>
  <c r="G12" i="5"/>
  <c r="G121" i="1"/>
  <c r="G122" i="1" s="1"/>
  <c r="L110" i="12"/>
  <c r="AP75" i="12"/>
  <c r="AK34" i="11"/>
  <c r="AK41" i="11" s="1"/>
  <c r="AK67" i="12" s="1"/>
  <c r="AF432" i="7"/>
  <c r="AF447" i="7" s="1"/>
  <c r="CH86" i="10"/>
  <c r="AF102" i="10"/>
  <c r="AA89" i="10"/>
  <c r="AA77" i="10" s="1"/>
  <c r="CH83" i="10"/>
  <c r="Q102" i="10"/>
  <c r="Q89" i="10"/>
  <c r="F102" i="10"/>
  <c r="F89" i="10"/>
  <c r="E89" i="10"/>
  <c r="AT49" i="69"/>
  <c r="CI87" i="69" s="1"/>
  <c r="CK87" i="69" s="1"/>
  <c r="AZ70" i="6"/>
  <c r="AX87" i="6"/>
  <c r="AX104" i="6" s="1"/>
  <c r="AX121" i="6" s="1"/>
  <c r="AM23" i="10"/>
  <c r="Q94" i="13"/>
  <c r="CB692" i="7"/>
  <c r="CC692" i="7" s="1"/>
  <c r="AP25" i="14"/>
  <c r="AR126" i="14"/>
  <c r="AZ145" i="14"/>
  <c r="AV68" i="27"/>
  <c r="AK62" i="27"/>
  <c r="V113" i="9"/>
  <c r="Q88" i="12"/>
  <c r="V94" i="12"/>
  <c r="V109" i="12"/>
  <c r="AF47" i="13"/>
  <c r="AF50" i="13" s="1"/>
  <c r="AA83" i="12"/>
  <c r="Q93" i="12"/>
  <c r="Q111" i="12"/>
  <c r="AA112" i="12"/>
  <c r="AA184" i="12"/>
  <c r="AA60" i="12" s="1"/>
  <c r="F27" i="27"/>
  <c r="M125" i="13"/>
  <c r="AJ46" i="37"/>
  <c r="AJ53" i="37" s="1"/>
  <c r="AJ54" i="37" s="1"/>
  <c r="AJ56" i="37" s="1"/>
  <c r="AF130" i="13"/>
  <c r="AA114" i="9"/>
  <c r="S59" i="12"/>
  <c r="V193" i="9"/>
  <c r="AU161" i="9"/>
  <c r="AU165" i="9"/>
  <c r="Q170" i="9"/>
  <c r="AU150" i="9"/>
  <c r="L155" i="9"/>
  <c r="AP170" i="9"/>
  <c r="AF165" i="9"/>
  <c r="AA160" i="9"/>
  <c r="AU724" i="7"/>
  <c r="E150" i="9"/>
  <c r="AU171" i="9"/>
  <c r="AK52" i="27"/>
  <c r="AP94" i="47"/>
  <c r="V71" i="12"/>
  <c r="Y125" i="13"/>
  <c r="Y127" i="13" s="1"/>
  <c r="AF51" i="27"/>
  <c r="AP63" i="6"/>
  <c r="AF54" i="27"/>
  <c r="AF75" i="14" s="1"/>
  <c r="O185" i="13"/>
  <c r="L79" i="12"/>
  <c r="AP93" i="12"/>
  <c r="AB81" i="27"/>
  <c r="AB128" i="14" s="1"/>
  <c r="T185" i="13"/>
  <c r="AU66" i="27"/>
  <c r="AU94" i="47"/>
  <c r="I185" i="13"/>
  <c r="L93" i="12"/>
  <c r="AA60" i="13"/>
  <c r="T74" i="13"/>
  <c r="T90" i="13" s="1"/>
  <c r="U89" i="13" s="1"/>
  <c r="J183" i="13"/>
  <c r="Z185" i="13"/>
  <c r="AP23" i="13"/>
  <c r="AF65" i="13"/>
  <c r="AF93" i="12"/>
  <c r="AU94" i="12"/>
  <c r="AL74" i="13"/>
  <c r="G150" i="9"/>
  <c r="AQ35" i="27"/>
  <c r="L51" i="27"/>
  <c r="AU52" i="37"/>
  <c r="AA47" i="13"/>
  <c r="AA50" i="13" s="1"/>
  <c r="AP34" i="13"/>
  <c r="AP40" i="27"/>
  <c r="AP45" i="27" s="1"/>
  <c r="AU725" i="7"/>
  <c r="L54" i="27"/>
  <c r="L75" i="14" s="1"/>
  <c r="AF23" i="13"/>
  <c r="AA78" i="12"/>
  <c r="AK91" i="12"/>
  <c r="AA92" i="12"/>
  <c r="Q108" i="12"/>
  <c r="AK108" i="12"/>
  <c r="AA110" i="12"/>
  <c r="AG44" i="47"/>
  <c r="AM44" i="47"/>
  <c r="Z45" i="37"/>
  <c r="Z46" i="37" s="1"/>
  <c r="Z53" i="37" s="1"/>
  <c r="Z54" i="37" s="1"/>
  <c r="I45" i="37"/>
  <c r="I46" i="37" s="1"/>
  <c r="I53" i="37" s="1"/>
  <c r="I54" i="37" s="1"/>
  <c r="I56" i="37" s="1"/>
  <c r="J40" i="12"/>
  <c r="AP86" i="6"/>
  <c r="AU63" i="6"/>
  <c r="W79" i="14"/>
  <c r="AJ73" i="14"/>
  <c r="Z73" i="14"/>
  <c r="I38" i="14"/>
  <c r="I10" i="12" s="1"/>
  <c r="I25" i="12" s="1"/>
  <c r="AF134" i="13"/>
  <c r="AF137" i="13" s="1"/>
  <c r="AO74" i="13"/>
  <c r="AU131" i="12"/>
  <c r="F48" i="12"/>
  <c r="AU46" i="12"/>
  <c r="AK46" i="12"/>
  <c r="AA129" i="13"/>
  <c r="AA181" i="13"/>
  <c r="V182" i="13"/>
  <c r="V90" i="12" s="1"/>
  <c r="Q171" i="13"/>
  <c r="BJ138" i="27"/>
  <c r="E121" i="27"/>
  <c r="AP90" i="27"/>
  <c r="AP91" i="27" s="1"/>
  <c r="AU87" i="11"/>
  <c r="AL74" i="11"/>
  <c r="AH74" i="11"/>
  <c r="AL68" i="11"/>
  <c r="AH68" i="11"/>
  <c r="Z68" i="11"/>
  <c r="AA44" i="11"/>
  <c r="E32" i="11"/>
  <c r="AA73" i="13"/>
  <c r="AR36" i="37"/>
  <c r="AK877" i="7"/>
  <c r="AK817" i="7"/>
  <c r="AK543" i="7"/>
  <c r="E484" i="7"/>
  <c r="E288" i="7"/>
  <c r="E52" i="7" s="1"/>
  <c r="AF171" i="9"/>
  <c r="V156" i="9"/>
  <c r="V151" i="9"/>
  <c r="AP150" i="9"/>
  <c r="V140" i="9"/>
  <c r="AP56" i="1"/>
  <c r="AB270" i="1"/>
  <c r="T191" i="1"/>
  <c r="D155" i="1"/>
  <c r="G101" i="5"/>
  <c r="G103" i="5" s="1"/>
  <c r="AP83" i="12"/>
  <c r="AZ34" i="27"/>
  <c r="AP416" i="7"/>
  <c r="AP454" i="7" s="1"/>
  <c r="AQ17" i="27"/>
  <c r="AU159" i="12"/>
  <c r="AF155" i="9"/>
  <c r="CH85" i="10"/>
  <c r="AA102" i="10"/>
  <c r="AV105" i="6"/>
  <c r="AV49" i="69"/>
  <c r="AV75" i="69" s="1"/>
  <c r="AR49" i="69"/>
  <c r="BK12" i="69"/>
  <c r="BZ12" i="69"/>
  <c r="BZ22" i="69" s="1"/>
  <c r="AZ67" i="6"/>
  <c r="L365" i="7"/>
  <c r="L364" i="7"/>
  <c r="AA787" i="7"/>
  <c r="AP785" i="7"/>
  <c r="F139" i="7"/>
  <c r="F142" i="7" s="1"/>
  <c r="G506" i="7"/>
  <c r="F367" i="7"/>
  <c r="AK724" i="7"/>
  <c r="V311" i="7"/>
  <c r="AF787" i="7"/>
  <c r="Q282" i="7"/>
  <c r="Q285" i="7" s="1"/>
  <c r="V363" i="7"/>
  <c r="AK728" i="7"/>
  <c r="V313" i="7"/>
  <c r="V315" i="7"/>
  <c r="AF789" i="7"/>
  <c r="AF784" i="7"/>
  <c r="AK725" i="7"/>
  <c r="AA565" i="7"/>
  <c r="AF44" i="7"/>
  <c r="AF36" i="11" s="1"/>
  <c r="AF37" i="11" s="1"/>
  <c r="G476" i="7"/>
  <c r="CA807" i="7"/>
  <c r="CA862" i="7" s="1"/>
  <c r="G510" i="7"/>
  <c r="D79" i="7"/>
  <c r="AP791" i="7"/>
  <c r="AP787" i="7"/>
  <c r="AA785" i="7"/>
  <c r="G507" i="7"/>
  <c r="AK789" i="7"/>
  <c r="AK787" i="7"/>
  <c r="AK788" i="7"/>
  <c r="D81" i="7"/>
  <c r="D78" i="7"/>
  <c r="AA855" i="7"/>
  <c r="AA895" i="7" s="1"/>
  <c r="AU840" i="7"/>
  <c r="AA789" i="7"/>
  <c r="AF311" i="7"/>
  <c r="BZ862" i="7"/>
  <c r="D82" i="7"/>
  <c r="D77" i="7"/>
  <c r="AP789" i="7"/>
  <c r="AF314" i="7"/>
  <c r="L67" i="12"/>
  <c r="L129" i="12"/>
  <c r="AA67" i="12"/>
  <c r="D67" i="12"/>
  <c r="D39" i="11"/>
  <c r="V130" i="10"/>
  <c r="V129" i="10"/>
  <c r="V128" i="10"/>
  <c r="AQ91" i="27"/>
  <c r="AM91" i="27"/>
  <c r="AI91" i="27"/>
  <c r="AE91" i="27"/>
  <c r="AA91" i="27"/>
  <c r="W91" i="27"/>
  <c r="S91" i="27"/>
  <c r="O91" i="27"/>
  <c r="K91" i="27"/>
  <c r="G91" i="27"/>
  <c r="G95" i="27" s="1"/>
  <c r="AS91" i="27"/>
  <c r="AO91" i="27"/>
  <c r="AG91" i="27"/>
  <c r="Y91" i="27"/>
  <c r="BD12" i="37"/>
  <c r="AK855" i="7"/>
  <c r="AK863" i="7" s="1"/>
  <c r="D139" i="7"/>
  <c r="D142" i="7" s="1"/>
  <c r="L314" i="7"/>
  <c r="L282" i="7"/>
  <c r="V131" i="7"/>
  <c r="V172" i="7" s="1"/>
  <c r="AK37" i="7"/>
  <c r="L312" i="7"/>
  <c r="L334" i="7"/>
  <c r="L337" i="7" s="1"/>
  <c r="L363" i="7"/>
  <c r="Q505" i="7"/>
  <c r="Q315" i="7"/>
  <c r="Q40" i="7"/>
  <c r="AA594" i="7"/>
  <c r="Q509" i="7"/>
  <c r="Q818" i="7"/>
  <c r="F880" i="7"/>
  <c r="G770" i="7"/>
  <c r="G764" i="7"/>
  <c r="AA710" i="7"/>
  <c r="AA711" i="7" s="1"/>
  <c r="Q710" i="7"/>
  <c r="AF544" i="7"/>
  <c r="V544" i="7"/>
  <c r="C544" i="7"/>
  <c r="AF704" i="7"/>
  <c r="AF717" i="7" s="1"/>
  <c r="V704" i="7"/>
  <c r="L438" i="7"/>
  <c r="V237" i="7"/>
  <c r="V251" i="7" s="1"/>
  <c r="V256" i="7" s="1"/>
  <c r="Q342" i="7"/>
  <c r="Q358" i="7" s="1"/>
  <c r="L484" i="7"/>
  <c r="L494" i="7" s="1"/>
  <c r="L237" i="7"/>
  <c r="L249" i="7" s="1"/>
  <c r="AP44" i="7"/>
  <c r="AP104" i="27" s="1"/>
  <c r="G544" i="7"/>
  <c r="Q506" i="7"/>
  <c r="AA543" i="7"/>
  <c r="Q543" i="7"/>
  <c r="C543" i="7"/>
  <c r="AF490" i="7"/>
  <c r="AF491" i="7" s="1"/>
  <c r="V490" i="7"/>
  <c r="V491" i="7" s="1"/>
  <c r="V438" i="7"/>
  <c r="AA243" i="7"/>
  <c r="AA244" i="7" s="1"/>
  <c r="AK153" i="7"/>
  <c r="AA153" i="7"/>
  <c r="Q53" i="7"/>
  <c r="L53" i="7"/>
  <c r="F484" i="7"/>
  <c r="F237" i="7"/>
  <c r="C237" i="7"/>
  <c r="AU221" i="7"/>
  <c r="AU263" i="7" s="1"/>
  <c r="BU862" i="7"/>
  <c r="D367" i="7"/>
  <c r="D368" i="7"/>
  <c r="AU817" i="7"/>
  <c r="Q314" i="7"/>
  <c r="AK337" i="7"/>
  <c r="AK764" i="7"/>
  <c r="AK776" i="7" s="1"/>
  <c r="AP764" i="7"/>
  <c r="AP779" i="7" s="1"/>
  <c r="AP348" i="7"/>
  <c r="AP349" i="7" s="1"/>
  <c r="AP243" i="7"/>
  <c r="AP153" i="7"/>
  <c r="BY50" i="6"/>
  <c r="CD50" i="6"/>
  <c r="BQ12" i="69"/>
  <c r="BQ22" i="69" s="1"/>
  <c r="BV12" i="69"/>
  <c r="CA12" i="69"/>
  <c r="CA22" i="69" s="1"/>
  <c r="BD12" i="69"/>
  <c r="BD22" i="69" s="1"/>
  <c r="AX23" i="10"/>
  <c r="CD93" i="14"/>
  <c r="CD129" i="12" s="1"/>
  <c r="CD59" i="12" s="1"/>
  <c r="BT93" i="14"/>
  <c r="BT129" i="12" s="1"/>
  <c r="AZ72" i="11"/>
  <c r="AZ74" i="11" s="1"/>
  <c r="BC87" i="11"/>
  <c r="P91" i="27"/>
  <c r="U91" i="27"/>
  <c r="AF296" i="7"/>
  <c r="AF297" i="7" s="1"/>
  <c r="AP21" i="10"/>
  <c r="BC12" i="69"/>
  <c r="BC22" i="69" s="1"/>
  <c r="BC76" i="69"/>
  <c r="AP522" i="7"/>
  <c r="AP569" i="7" s="1"/>
  <c r="AU522" i="7"/>
  <c r="AU565" i="7" s="1"/>
  <c r="AU416" i="7"/>
  <c r="AU457" i="7" s="1"/>
  <c r="AU48" i="7"/>
  <c r="AU77" i="27" s="1"/>
  <c r="AP45" i="7"/>
  <c r="AP131" i="7"/>
  <c r="AP170" i="7" s="1"/>
  <c r="AF42" i="7"/>
  <c r="AP40" i="7"/>
  <c r="BP588" i="7"/>
  <c r="BP591" i="7" s="1"/>
  <c r="BP594" i="7" s="1"/>
  <c r="Q48" i="7"/>
  <c r="Q77" i="27" s="1"/>
  <c r="AK522" i="7"/>
  <c r="AK570" i="7" s="1"/>
  <c r="AF522" i="7"/>
  <c r="AF569" i="7" s="1"/>
  <c r="Q43" i="7"/>
  <c r="Q41" i="7"/>
  <c r="Q416" i="7"/>
  <c r="Q457" i="7" s="1"/>
  <c r="G43" i="7"/>
  <c r="G41" i="7"/>
  <c r="AK221" i="7"/>
  <c r="AK261" i="7" s="1"/>
  <c r="AK48" i="7"/>
  <c r="AK77" i="27" s="1"/>
  <c r="BC12" i="12"/>
  <c r="AA44" i="7"/>
  <c r="AA104" i="27" s="1"/>
  <c r="AA416" i="7"/>
  <c r="AA457" i="7" s="1"/>
  <c r="AA48" i="7"/>
  <c r="AA77" i="27" s="1"/>
  <c r="AK43" i="7"/>
  <c r="AA37" i="7"/>
  <c r="AU43" i="7"/>
  <c r="AA43" i="7"/>
  <c r="AP42" i="7"/>
  <c r="O191" i="1"/>
  <c r="Q363" i="7"/>
  <c r="Q367" i="7"/>
  <c r="G367" i="7"/>
  <c r="G364" i="7"/>
  <c r="E363" i="7"/>
  <c r="E366" i="7"/>
  <c r="C368" i="7"/>
  <c r="C364" i="7"/>
  <c r="AP808" i="7"/>
  <c r="AP811" i="7" s="1"/>
  <c r="AP814" i="7" s="1"/>
  <c r="AP840" i="7"/>
  <c r="V44" i="7"/>
  <c r="V104" i="27" s="1"/>
  <c r="L42" i="7"/>
  <c r="C46" i="7"/>
  <c r="C9" i="7" s="1"/>
  <c r="C81" i="7"/>
  <c r="AU855" i="7"/>
  <c r="AU863" i="7" s="1"/>
  <c r="AU901" i="7" s="1"/>
  <c r="AU786" i="7"/>
  <c r="AU843" i="7"/>
  <c r="AU808" i="7"/>
  <c r="AU811" i="7" s="1"/>
  <c r="AU814" i="7" s="1"/>
  <c r="AU842" i="7"/>
  <c r="AU839" i="7"/>
  <c r="AF363" i="7"/>
  <c r="AF365" i="7"/>
  <c r="AF367" i="7"/>
  <c r="AF506" i="7"/>
  <c r="AF507" i="7"/>
  <c r="AF509" i="7"/>
  <c r="AF510" i="7"/>
  <c r="AP315" i="7"/>
  <c r="AP282" i="7"/>
  <c r="AP311" i="7"/>
  <c r="AP312" i="7"/>
  <c r="AP314" i="7"/>
  <c r="AP316" i="7"/>
  <c r="AP313" i="7"/>
  <c r="AF36" i="7"/>
  <c r="AF221" i="7"/>
  <c r="AF229" i="7" s="1"/>
  <c r="AA131" i="7"/>
  <c r="AA168" i="7" s="1"/>
  <c r="AA36" i="7"/>
  <c r="AP43" i="7"/>
  <c r="AK42" i="7"/>
  <c r="AA119" i="10"/>
  <c r="AA127" i="10" s="1"/>
  <c r="AA40" i="7"/>
  <c r="AU123" i="10"/>
  <c r="AU40" i="7"/>
  <c r="CA687" i="7"/>
  <c r="BV585" i="7"/>
  <c r="BV527" i="7" s="1"/>
  <c r="BU588" i="7"/>
  <c r="BU591" i="7" s="1"/>
  <c r="BU594" i="7" s="1"/>
  <c r="BQ138" i="7"/>
  <c r="BR138" i="7" s="1"/>
  <c r="BS138" i="7" s="1"/>
  <c r="BP45" i="7"/>
  <c r="AU316" i="7"/>
  <c r="AU315" i="7"/>
  <c r="AU282" i="7"/>
  <c r="AU318" i="7" s="1"/>
  <c r="BQ741" i="7"/>
  <c r="BR741" i="7" s="1"/>
  <c r="BP857" i="7"/>
  <c r="AF731" i="7"/>
  <c r="CC423" i="7"/>
  <c r="AU479" i="7"/>
  <c r="BW333" i="7"/>
  <c r="BX333" i="7" s="1"/>
  <c r="AK40" i="7"/>
  <c r="BW18" i="7"/>
  <c r="BX18" i="7" s="1"/>
  <c r="AF839" i="7"/>
  <c r="CB741" i="7"/>
  <c r="CC741" i="7" s="1"/>
  <c r="E334" i="7"/>
  <c r="Q334" i="7"/>
  <c r="AU311" i="7"/>
  <c r="AU789" i="7"/>
  <c r="AP726" i="7"/>
  <c r="AU313" i="7"/>
  <c r="BZ45" i="7"/>
  <c r="AU844" i="7"/>
  <c r="E365" i="7"/>
  <c r="G368" i="7"/>
  <c r="AF508" i="7"/>
  <c r="AF505" i="7"/>
  <c r="AF476" i="7"/>
  <c r="AF479" i="7" s="1"/>
  <c r="Q510" i="7"/>
  <c r="Q508" i="7"/>
  <c r="G505" i="7"/>
  <c r="G509" i="7"/>
  <c r="AF368" i="7"/>
  <c r="AF364" i="7"/>
  <c r="AF316" i="7"/>
  <c r="AF315" i="7"/>
  <c r="AF312" i="7"/>
  <c r="G311" i="7"/>
  <c r="G312" i="7"/>
  <c r="G316" i="7"/>
  <c r="G282" i="7"/>
  <c r="BP862" i="7"/>
  <c r="AN19" i="10"/>
  <c r="AF89" i="10"/>
  <c r="AF77" i="10" s="1"/>
  <c r="C44" i="10"/>
  <c r="J23" i="10"/>
  <c r="C89" i="10"/>
  <c r="AK43" i="10"/>
  <c r="AK44" i="10" s="1"/>
  <c r="AK46" i="10" s="1"/>
  <c r="L193" i="9"/>
  <c r="AS19" i="10"/>
  <c r="AS11" i="12" s="1"/>
  <c r="BR132" i="10"/>
  <c r="AT23" i="10"/>
  <c r="BP132" i="10"/>
  <c r="V132" i="10"/>
  <c r="K23" i="10"/>
  <c r="AW23" i="10"/>
  <c r="AA110" i="10"/>
  <c r="G110" i="10"/>
  <c r="AO23" i="10"/>
  <c r="AQ23" i="10"/>
  <c r="AN23" i="10"/>
  <c r="L115" i="10"/>
  <c r="AL23" i="10"/>
  <c r="AR23" i="10"/>
  <c r="Q128" i="10"/>
  <c r="BT193" i="9"/>
  <c r="BT205" i="9"/>
  <c r="BY193" i="9"/>
  <c r="BY205" i="9"/>
  <c r="CD193" i="9"/>
  <c r="CD205" i="9"/>
  <c r="BH12" i="69"/>
  <c r="BH22" i="69" s="1"/>
  <c r="BG12" i="69"/>
  <c r="BG22" i="69" s="1"/>
  <c r="BW813" i="7"/>
  <c r="BX813" i="7" s="1"/>
  <c r="AP855" i="7"/>
  <c r="AP863" i="7" s="1"/>
  <c r="AL78" i="11"/>
  <c r="L110" i="10"/>
  <c r="AT46" i="37"/>
  <c r="AT53" i="37" s="1"/>
  <c r="AT54" i="37" s="1"/>
  <c r="L130" i="10"/>
  <c r="L132" i="10"/>
  <c r="L127" i="10"/>
  <c r="AH24" i="37"/>
  <c r="AH25" i="37" s="1"/>
  <c r="AT97" i="13"/>
  <c r="AT98" i="13" s="1"/>
  <c r="AT100" i="13" s="1"/>
  <c r="L43" i="10"/>
  <c r="L44" i="10" s="1"/>
  <c r="L46" i="10" s="1"/>
  <c r="L128" i="10"/>
  <c r="AF110" i="10"/>
  <c r="AF130" i="10"/>
  <c r="AF132" i="10"/>
  <c r="AO46" i="37"/>
  <c r="AO53" i="37" s="1"/>
  <c r="AO54" i="37" s="1"/>
  <c r="AN91" i="27"/>
  <c r="AJ91" i="27"/>
  <c r="AF91" i="27"/>
  <c r="AB91" i="27"/>
  <c r="X91" i="27"/>
  <c r="T91" i="27"/>
  <c r="L91" i="27"/>
  <c r="L95" i="27" s="1"/>
  <c r="H91" i="27"/>
  <c r="AZ90" i="27"/>
  <c r="AN25" i="37"/>
  <c r="Q91" i="27"/>
  <c r="Q95" i="27" s="1"/>
  <c r="M91" i="27"/>
  <c r="I91" i="27"/>
  <c r="E91" i="27"/>
  <c r="E95" i="27" s="1"/>
  <c r="X46" i="37"/>
  <c r="X53" i="37" s="1"/>
  <c r="X54" i="37" s="1"/>
  <c r="X141" i="14" s="1"/>
  <c r="AZ34" i="11"/>
  <c r="AZ41" i="11" s="1"/>
  <c r="AF39" i="11"/>
  <c r="AL46" i="37"/>
  <c r="AL53" i="37" s="1"/>
  <c r="AL54" i="37" s="1"/>
  <c r="AL134" i="14" s="1"/>
  <c r="G96" i="13"/>
  <c r="G97" i="13" s="1"/>
  <c r="G98" i="13" s="1"/>
  <c r="AF129" i="12"/>
  <c r="AW46" i="37"/>
  <c r="AW53" i="37" s="1"/>
  <c r="AW54" i="37" s="1"/>
  <c r="AW141" i="14" s="1"/>
  <c r="AM25" i="37"/>
  <c r="AZ89" i="27"/>
  <c r="Q880" i="7"/>
  <c r="AA880" i="7"/>
  <c r="AF348" i="7"/>
  <c r="AF349" i="7" s="1"/>
  <c r="BZ43" i="7"/>
  <c r="E764" i="7"/>
  <c r="V52" i="7"/>
  <c r="AF237" i="7"/>
  <c r="AF248" i="7" s="1"/>
  <c r="Q52" i="7"/>
  <c r="AK52" i="7"/>
  <c r="BB12" i="12"/>
  <c r="G77" i="12"/>
  <c r="AU90" i="9"/>
  <c r="AK223" i="9"/>
  <c r="AK225" i="9" s="1"/>
  <c r="AP141" i="9"/>
  <c r="AK121" i="9"/>
  <c r="AK122" i="9" s="1"/>
  <c r="AF139" i="9"/>
  <c r="AU155" i="9"/>
  <c r="CA45" i="7"/>
  <c r="BJ51" i="6"/>
  <c r="T260" i="1"/>
  <c r="AD240" i="1"/>
  <c r="Y248" i="1"/>
  <c r="N265" i="1"/>
  <c r="AI94" i="13"/>
  <c r="CK195" i="13"/>
  <c r="AU770" i="7"/>
  <c r="AU771" i="7" s="1"/>
  <c r="BT37" i="27"/>
  <c r="BT40" i="27" s="1"/>
  <c r="AK31" i="14"/>
  <c r="L880" i="7"/>
  <c r="AQ46" i="37"/>
  <c r="AQ53" i="37" s="1"/>
  <c r="V874" i="7"/>
  <c r="G874" i="7"/>
  <c r="E110" i="10"/>
  <c r="AF23" i="10"/>
  <c r="AU52" i="7"/>
  <c r="AU12" i="37"/>
  <c r="AP12" i="37"/>
  <c r="G880" i="7"/>
  <c r="AA490" i="7"/>
  <c r="AA491" i="7" s="1"/>
  <c r="AA348" i="7"/>
  <c r="AA349" i="7" s="1"/>
  <c r="AK348" i="7"/>
  <c r="AK349" i="7" s="1"/>
  <c r="V296" i="7"/>
  <c r="V297" i="7" s="1"/>
  <c r="L296" i="7"/>
  <c r="L297" i="7" s="1"/>
  <c r="AF243" i="7"/>
  <c r="V243" i="7"/>
  <c r="L153" i="7"/>
  <c r="AA319" i="1"/>
  <c r="X319" i="1" s="1"/>
  <c r="BJ93" i="14"/>
  <c r="BT319" i="1"/>
  <c r="BO242" i="1"/>
  <c r="AV124" i="13"/>
  <c r="Q129" i="12"/>
  <c r="L23" i="10"/>
  <c r="AK484" i="7"/>
  <c r="AK496" i="7" s="1"/>
  <c r="C704" i="7"/>
  <c r="V880" i="7"/>
  <c r="BT35" i="14"/>
  <c r="AP544" i="7"/>
  <c r="AF874" i="7"/>
  <c r="AF885" i="7" s="1"/>
  <c r="AD78" i="11"/>
  <c r="AP52" i="7"/>
  <c r="AE130" i="13"/>
  <c r="AR78" i="11"/>
  <c r="AS68" i="11" s="1"/>
  <c r="AK95" i="12"/>
  <c r="BJ35" i="14"/>
  <c r="BJ145" i="14" s="1"/>
  <c r="AU290" i="7"/>
  <c r="AP113" i="10"/>
  <c r="AP130" i="10" s="1"/>
  <c r="AU113" i="10"/>
  <c r="AU132" i="10" s="1"/>
  <c r="AS132" i="10" s="1"/>
  <c r="AS124" i="10" s="1"/>
  <c r="O214" i="1"/>
  <c r="AL97" i="13"/>
  <c r="AL98" i="13" s="1"/>
  <c r="AI91" i="14"/>
  <c r="L544" i="7"/>
  <c r="AF880" i="7"/>
  <c r="Q770" i="7"/>
  <c r="AH78" i="11"/>
  <c r="V27" i="10"/>
  <c r="Y46" i="37"/>
  <c r="Y53" i="37" s="1"/>
  <c r="Y54" i="37" s="1"/>
  <c r="AC46" i="37"/>
  <c r="AC53" i="37" s="1"/>
  <c r="AC54" i="37" s="1"/>
  <c r="AO130" i="13"/>
  <c r="BY93" i="14"/>
  <c r="BY129" i="12" s="1"/>
  <c r="BO93" i="14"/>
  <c r="BO129" i="12" s="1"/>
  <c r="AJ130" i="13"/>
  <c r="AU90" i="27"/>
  <c r="AU89" i="27"/>
  <c r="AL91" i="27"/>
  <c r="AH91" i="27"/>
  <c r="AD91" i="27"/>
  <c r="Z91" i="27"/>
  <c r="AU96" i="13"/>
  <c r="AZ12" i="37"/>
  <c r="AU34" i="11"/>
  <c r="AU41" i="11" s="1"/>
  <c r="AU237" i="7"/>
  <c r="AU251" i="7" s="1"/>
  <c r="AU256" i="7" s="1"/>
  <c r="AO129" i="13"/>
  <c r="AI130" i="13"/>
  <c r="AN130" i="13"/>
  <c r="AF95" i="12"/>
  <c r="AN174" i="13"/>
  <c r="CJ204" i="13"/>
  <c r="AV130" i="13"/>
  <c r="AT130" i="13"/>
  <c r="AD130" i="13"/>
  <c r="AV174" i="13"/>
  <c r="AM129" i="13"/>
  <c r="AN129" i="13"/>
  <c r="AG130" i="13"/>
  <c r="AU73" i="12"/>
  <c r="AF84" i="12"/>
  <c r="AU129" i="13"/>
  <c r="AX130" i="13"/>
  <c r="AU76" i="12"/>
  <c r="AK84" i="12"/>
  <c r="AK129" i="13"/>
  <c r="AP95" i="12"/>
  <c r="AF177" i="13"/>
  <c r="AF82" i="12" s="1"/>
  <c r="AC177" i="13"/>
  <c r="AC124" i="13" s="1"/>
  <c r="AP84" i="12"/>
  <c r="AP73" i="12"/>
  <c r="AS129" i="13"/>
  <c r="AR129" i="13"/>
  <c r="AF81" i="12"/>
  <c r="CD37" i="27"/>
  <c r="AP76" i="12"/>
  <c r="BY37" i="27"/>
  <c r="AF182" i="13"/>
  <c r="AF90" i="12" s="1"/>
  <c r="AR130" i="13"/>
  <c r="AR174" i="13"/>
  <c r="AM130" i="13"/>
  <c r="AL129" i="13"/>
  <c r="AI129" i="13"/>
  <c r="AT129" i="13"/>
  <c r="AL16" i="47"/>
  <c r="AL99" i="47" s="1"/>
  <c r="AL41" i="12" s="1"/>
  <c r="AP14" i="47"/>
  <c r="AP16" i="47" s="1"/>
  <c r="AK14" i="47"/>
  <c r="AK16" i="47" s="1"/>
  <c r="AG16" i="47"/>
  <c r="AG99" i="47" s="1"/>
  <c r="AG41" i="12" s="1"/>
  <c r="AU89" i="12"/>
  <c r="AP89" i="12"/>
  <c r="AP129" i="13"/>
  <c r="AX49" i="47"/>
  <c r="AZ84" i="12"/>
  <c r="CK194" i="13"/>
  <c r="CK197" i="13"/>
  <c r="CJ196" i="13"/>
  <c r="AL174" i="13"/>
  <c r="AL124" i="13"/>
  <c r="AI174" i="13"/>
  <c r="AK89" i="12"/>
  <c r="AS124" i="13"/>
  <c r="AE124" i="13"/>
  <c r="CJ190" i="13"/>
  <c r="AP181" i="13"/>
  <c r="AU177" i="13"/>
  <c r="AU82" i="12" s="1"/>
  <c r="AT124" i="13"/>
  <c r="CJ192" i="13"/>
  <c r="AG124" i="13"/>
  <c r="CJ195" i="13"/>
  <c r="AJ124" i="13"/>
  <c r="AK168" i="13"/>
  <c r="AK77" i="12" s="1"/>
  <c r="AJ129" i="13"/>
  <c r="AD177" i="13"/>
  <c r="AD124" i="13" s="1"/>
  <c r="AS130" i="13"/>
  <c r="AW130" i="13"/>
  <c r="AV129" i="13"/>
  <c r="AH130" i="13"/>
  <c r="AN177" i="13"/>
  <c r="AN124" i="13" s="1"/>
  <c r="AQ129" i="13"/>
  <c r="AJ174" i="13"/>
  <c r="AK172" i="13"/>
  <c r="AK96" i="12" s="1"/>
  <c r="AW168" i="13"/>
  <c r="CJ205" i="13" s="1"/>
  <c r="AM124" i="13"/>
  <c r="AK180" i="13"/>
  <c r="CK203" i="13"/>
  <c r="AT174" i="13"/>
  <c r="AU171" i="13"/>
  <c r="CK199" i="13"/>
  <c r="AP171" i="13"/>
  <c r="AP74" i="12" s="1"/>
  <c r="AS174" i="13"/>
  <c r="CK202" i="13"/>
  <c r="CJ200" i="13"/>
  <c r="AQ174" i="13"/>
  <c r="AP168" i="13"/>
  <c r="AP124" i="13" s="1"/>
  <c r="AO124" i="13"/>
  <c r="CJ199" i="13"/>
  <c r="AH124" i="13"/>
  <c r="AU180" i="13"/>
  <c r="AU85" i="12" s="1"/>
  <c r="CK200" i="13"/>
  <c r="AO174" i="13"/>
  <c r="AQ124" i="13"/>
  <c r="AX129" i="13"/>
  <c r="AJ56" i="12"/>
  <c r="AG56" i="12"/>
  <c r="X56" i="12"/>
  <c r="P56" i="12"/>
  <c r="D56" i="12"/>
  <c r="F56" i="12"/>
  <c r="S48" i="12"/>
  <c r="AQ51" i="12"/>
  <c r="AD48" i="12"/>
  <c r="J48" i="12"/>
  <c r="AG48" i="12"/>
  <c r="AC48" i="12"/>
  <c r="Y48" i="12"/>
  <c r="E48" i="12"/>
  <c r="AP45" i="12"/>
  <c r="AJ48" i="12"/>
  <c r="H48" i="12"/>
  <c r="AN51" i="12"/>
  <c r="AG184" i="12"/>
  <c r="AG60" i="12" s="1"/>
  <c r="AB51" i="12"/>
  <c r="AB59" i="12" s="1"/>
  <c r="M51" i="12"/>
  <c r="M59" i="12" s="1"/>
  <c r="AU53" i="12"/>
  <c r="O56" i="12"/>
  <c r="AT48" i="12"/>
  <c r="E114" i="12"/>
  <c r="P42" i="12"/>
  <c r="I51" i="12"/>
  <c r="I59" i="12" s="1"/>
  <c r="I48" i="12"/>
  <c r="AX12" i="12"/>
  <c r="L56" i="12"/>
  <c r="AS51" i="12"/>
  <c r="AS48" i="12"/>
  <c r="Z48" i="12"/>
  <c r="Z51" i="12"/>
  <c r="Z59" i="12" s="1"/>
  <c r="R51" i="12"/>
  <c r="R59" i="12" s="1"/>
  <c r="AO109" i="10"/>
  <c r="U48" i="12"/>
  <c r="AT51" i="12"/>
  <c r="AU181" i="12"/>
  <c r="AU57" i="12" s="1"/>
  <c r="AN56" i="12"/>
  <c r="G48" i="12"/>
  <c r="J43" i="12"/>
  <c r="E56" i="12"/>
  <c r="T48" i="12"/>
  <c r="K184" i="12"/>
  <c r="K60" i="12" s="1"/>
  <c r="AJ184" i="12"/>
  <c r="AJ60" i="12" s="1"/>
  <c r="AJ43" i="12"/>
  <c r="AJ10" i="12" s="1"/>
  <c r="G42" i="12"/>
  <c r="AW43" i="12"/>
  <c r="AX51" i="12"/>
  <c r="AX59" i="12" s="1"/>
  <c r="AO57" i="12"/>
  <c r="AO56" i="12" s="1"/>
  <c r="AO184" i="12"/>
  <c r="AO60" i="12" s="1"/>
  <c r="AB56" i="12"/>
  <c r="AG43" i="12"/>
  <c r="AG10" i="12" s="1"/>
  <c r="AZ19" i="12"/>
  <c r="W51" i="12"/>
  <c r="W59" i="12" s="1"/>
  <c r="AK181" i="12"/>
  <c r="AK57" i="12" s="1"/>
  <c r="V184" i="12"/>
  <c r="V60" i="12" s="1"/>
  <c r="AM57" i="12"/>
  <c r="AM56" i="12" s="1"/>
  <c r="Y40" i="12"/>
  <c r="Y42" i="12" s="1"/>
  <c r="D184" i="12"/>
  <c r="D60" i="12" s="1"/>
  <c r="AA56" i="12"/>
  <c r="W56" i="12"/>
  <c r="AI48" i="12"/>
  <c r="R48" i="12"/>
  <c r="N48" i="12"/>
  <c r="M48" i="12"/>
  <c r="AI43" i="12"/>
  <c r="D43" i="12"/>
  <c r="L48" i="12"/>
  <c r="X39" i="12"/>
  <c r="X10" i="12" s="1"/>
  <c r="Z39" i="12"/>
  <c r="AM43" i="12"/>
  <c r="T56" i="12"/>
  <c r="H56" i="12"/>
  <c r="AE51" i="12"/>
  <c r="AE59" i="12" s="1"/>
  <c r="K51" i="12"/>
  <c r="P51" i="12"/>
  <c r="P59" i="12" s="1"/>
  <c r="O59" i="12"/>
  <c r="C184" i="12"/>
  <c r="AT57" i="12"/>
  <c r="AT56" i="12" s="1"/>
  <c r="AT184" i="12"/>
  <c r="AT60" i="12" s="1"/>
  <c r="AQ56" i="12"/>
  <c r="AP181" i="12"/>
  <c r="AP57" i="12" s="1"/>
  <c r="AH56" i="12"/>
  <c r="AD56" i="12"/>
  <c r="R56" i="12"/>
  <c r="N56" i="12"/>
  <c r="J56" i="12"/>
  <c r="AC56" i="12"/>
  <c r="Y56" i="12"/>
  <c r="M56" i="12"/>
  <c r="I56" i="12"/>
  <c r="AC51" i="12"/>
  <c r="AC59" i="12" s="1"/>
  <c r="N51" i="12"/>
  <c r="N59" i="12" s="1"/>
  <c r="J184" i="12"/>
  <c r="J60" i="12" s="1"/>
  <c r="Z40" i="12"/>
  <c r="W40" i="12"/>
  <c r="W42" i="12" s="1"/>
  <c r="M40" i="12"/>
  <c r="M42" i="12" s="1"/>
  <c r="N40" i="12"/>
  <c r="N42" i="12" s="1"/>
  <c r="AR49" i="12"/>
  <c r="AU170" i="12"/>
  <c r="AU49" i="12" s="1"/>
  <c r="AM48" i="12"/>
  <c r="AH49" i="12"/>
  <c r="AH184" i="12"/>
  <c r="AH60" i="12" s="1"/>
  <c r="AU19" i="12"/>
  <c r="U42" i="12"/>
  <c r="AL12" i="12"/>
  <c r="F184" i="12"/>
  <c r="F60" i="12" s="1"/>
  <c r="AL56" i="12"/>
  <c r="AR12" i="12"/>
  <c r="AR15" i="12" s="1"/>
  <c r="AL109" i="10"/>
  <c r="AK21" i="10"/>
  <c r="E42" i="12"/>
  <c r="AT109" i="10"/>
  <c r="AZ181" i="12"/>
  <c r="AZ57" i="12" s="1"/>
  <c r="AZ56" i="12" s="1"/>
  <c r="AV57" i="12"/>
  <c r="AV56" i="12" s="1"/>
  <c r="AK53" i="12"/>
  <c r="AM109" i="10"/>
  <c r="AZ159" i="12"/>
  <c r="AZ208" i="12" s="1"/>
  <c r="AV43" i="12"/>
  <c r="AI23" i="10"/>
  <c r="AZ21" i="10"/>
  <c r="AZ43" i="11" s="1"/>
  <c r="AA23" i="10"/>
  <c r="AU21" i="10"/>
  <c r="AU43" i="11" s="1"/>
  <c r="D114" i="12"/>
  <c r="F114" i="12"/>
  <c r="Q23" i="10"/>
  <c r="D127" i="12"/>
  <c r="G82" i="12"/>
  <c r="AM97" i="6"/>
  <c r="AP80" i="6"/>
  <c r="AK80" i="6"/>
  <c r="AH97" i="6"/>
  <c r="AK115" i="6"/>
  <c r="AK81" i="6"/>
  <c r="BU43" i="7"/>
  <c r="AR80" i="6"/>
  <c r="AU98" i="6"/>
  <c r="AK63" i="6"/>
  <c r="AU64" i="6"/>
  <c r="BV43" i="7"/>
  <c r="AU115" i="6"/>
  <c r="AU81" i="6"/>
  <c r="AF160" i="5"/>
  <c r="AA149" i="5"/>
  <c r="AA145" i="5"/>
  <c r="AA135" i="5"/>
  <c r="CD35" i="14"/>
  <c r="AS76" i="11"/>
  <c r="AT70" i="11" s="1"/>
  <c r="AT74" i="11" s="1"/>
  <c r="BO35" i="14"/>
  <c r="AD32" i="14"/>
  <c r="AD24" i="12" s="1"/>
  <c r="BY35" i="14"/>
  <c r="AD97" i="13"/>
  <c r="AD98" i="13" s="1"/>
  <c r="F127" i="12"/>
  <c r="AZ113" i="10"/>
  <c r="AZ129" i="10" s="1"/>
  <c r="AV109" i="10"/>
  <c r="AW109" i="10"/>
  <c r="V91" i="27"/>
  <c r="V95" i="27" s="1"/>
  <c r="R91" i="27"/>
  <c r="N91" i="27"/>
  <c r="J91" i="27"/>
  <c r="F91" i="27"/>
  <c r="F95" i="27" s="1"/>
  <c r="V710" i="7"/>
  <c r="L710" i="7"/>
  <c r="F243" i="7"/>
  <c r="C764" i="7"/>
  <c r="AK710" i="7"/>
  <c r="AK711" i="7" s="1"/>
  <c r="G710" i="7"/>
  <c r="V484" i="7"/>
  <c r="V494" i="7" s="1"/>
  <c r="Q348" i="7"/>
  <c r="Q349" i="7" s="1"/>
  <c r="L490" i="7"/>
  <c r="L491" i="7" s="1"/>
  <c r="L243" i="7"/>
  <c r="F704" i="7"/>
  <c r="V342" i="7"/>
  <c r="V357" i="7" s="1"/>
  <c r="Q490" i="7"/>
  <c r="Q491" i="7" s="1"/>
  <c r="L342" i="7"/>
  <c r="L355" i="7" s="1"/>
  <c r="G490" i="7"/>
  <c r="G491" i="7" s="1"/>
  <c r="C484" i="7"/>
  <c r="BW9" i="69"/>
  <c r="BY72" i="69"/>
  <c r="CB9" i="69"/>
  <c r="CB21" i="69" s="1"/>
  <c r="CD72" i="69"/>
  <c r="CD75" i="69"/>
  <c r="BI12" i="69"/>
  <c r="BI22" i="69" s="1"/>
  <c r="BX12" i="69"/>
  <c r="BX22" i="69" s="1"/>
  <c r="CC12" i="69"/>
  <c r="CC22" i="69" s="1"/>
  <c r="AZ73" i="69"/>
  <c r="BT75" i="69"/>
  <c r="P49" i="69"/>
  <c r="P75" i="69" s="1"/>
  <c r="P76" i="69" s="1"/>
  <c r="AA49" i="69"/>
  <c r="AZ38" i="69"/>
  <c r="AZ49" i="69" s="1"/>
  <c r="AV72" i="69"/>
  <c r="CH42" i="69" s="1"/>
  <c r="AU777" i="7"/>
  <c r="AU778" i="7"/>
  <c r="AU781" i="7" s="1"/>
  <c r="F764" i="7"/>
  <c r="V770" i="7"/>
  <c r="F490" i="7"/>
  <c r="AK704" i="7"/>
  <c r="AK717" i="7" s="1"/>
  <c r="Q484" i="7"/>
  <c r="Q500" i="7" s="1"/>
  <c r="AA704" i="7"/>
  <c r="AA719" i="7" s="1"/>
  <c r="V764" i="7"/>
  <c r="D52" i="7"/>
  <c r="BA12" i="12"/>
  <c r="BA15" i="12" s="1"/>
  <c r="E76" i="13"/>
  <c r="E104" i="10" s="1"/>
  <c r="E127" i="12"/>
  <c r="BP17" i="13"/>
  <c r="BQ17" i="13" s="1"/>
  <c r="BR17" i="13" s="1"/>
  <c r="BS17" i="13" s="1"/>
  <c r="BT17" i="13" s="1"/>
  <c r="H131" i="13"/>
  <c r="H135" i="13" s="1"/>
  <c r="E131" i="13"/>
  <c r="E135" i="13" s="1"/>
  <c r="C131" i="13"/>
  <c r="C135" i="13" s="1"/>
  <c r="K131" i="13"/>
  <c r="K135" i="13" s="1"/>
  <c r="AK786" i="7"/>
  <c r="G48" i="7"/>
  <c r="AA522" i="7"/>
  <c r="AA530" i="7" s="1"/>
  <c r="V45" i="7"/>
  <c r="V41" i="7"/>
  <c r="V37" i="7"/>
  <c r="V416" i="7"/>
  <c r="Q45" i="7"/>
  <c r="Q37" i="7"/>
  <c r="L43" i="7"/>
  <c r="L41" i="7"/>
  <c r="L416" i="7"/>
  <c r="L457" i="7" s="1"/>
  <c r="L131" i="7"/>
  <c r="L172" i="7" s="1"/>
  <c r="G37" i="7"/>
  <c r="AU45" i="7"/>
  <c r="AF416" i="7"/>
  <c r="AF424" i="7" s="1"/>
  <c r="V348" i="7"/>
  <c r="V349" i="7" s="1"/>
  <c r="V543" i="7"/>
  <c r="G484" i="7"/>
  <c r="L764" i="7"/>
  <c r="Q237" i="7"/>
  <c r="Q247" i="7" s="1"/>
  <c r="L704" i="7"/>
  <c r="L348" i="7"/>
  <c r="L349" i="7" s="1"/>
  <c r="AF770" i="7"/>
  <c r="AF771" i="7" s="1"/>
  <c r="AF543" i="7"/>
  <c r="L52" i="7"/>
  <c r="D704" i="7"/>
  <c r="AF710" i="7"/>
  <c r="AF711" i="7" s="1"/>
  <c r="C52" i="7"/>
  <c r="L770" i="7"/>
  <c r="F710" i="7"/>
  <c r="AF52" i="7"/>
  <c r="BO51" i="6"/>
  <c r="BY51" i="6"/>
  <c r="CD51" i="6"/>
  <c r="BT51" i="6"/>
  <c r="CR34" i="6"/>
  <c r="CR30" i="6"/>
  <c r="CR26" i="6"/>
  <c r="CR36" i="6"/>
  <c r="CR32" i="6"/>
  <c r="CR28" i="6"/>
  <c r="CR24" i="6"/>
  <c r="BR12" i="6"/>
  <c r="S262" i="1"/>
  <c r="AD276" i="1"/>
  <c r="AD277" i="1" s="1"/>
  <c r="W192" i="1"/>
  <c r="Y241" i="1"/>
  <c r="W275" i="1"/>
  <c r="R211" i="1"/>
  <c r="N214" i="1"/>
  <c r="AC265" i="1"/>
  <c r="W236" i="1"/>
  <c r="W262" i="1"/>
  <c r="M191" i="1"/>
  <c r="T211" i="1"/>
  <c r="AD265" i="1"/>
  <c r="AC241" i="1"/>
  <c r="X236" i="1"/>
  <c r="AB263" i="1"/>
  <c r="AD192" i="1"/>
  <c r="AP319" i="1"/>
  <c r="AP373" i="1" s="1"/>
  <c r="AD241" i="1"/>
  <c r="T263" i="1"/>
  <c r="AC249" i="1"/>
  <c r="Q317" i="1"/>
  <c r="M317" i="1" s="1"/>
  <c r="R263" i="1"/>
  <c r="T241" i="1"/>
  <c r="O262" i="1"/>
  <c r="AO310" i="30"/>
  <c r="AB249" i="1"/>
  <c r="S241" i="1"/>
  <c r="M262" i="1"/>
  <c r="AP316" i="4"/>
  <c r="AP370" i="4" s="1"/>
  <c r="AK311" i="4"/>
  <c r="AK365" i="4" s="1"/>
  <c r="Q309" i="4"/>
  <c r="Q363" i="4" s="1"/>
  <c r="AU316" i="4"/>
  <c r="AU370" i="4" s="1"/>
  <c r="AP312" i="4"/>
  <c r="AP366" i="4" s="1"/>
  <c r="F73" i="5"/>
  <c r="E73" i="5"/>
  <c r="C73" i="5"/>
  <c r="AU127" i="5"/>
  <c r="AF131" i="7"/>
  <c r="AK456" i="7"/>
  <c r="G416" i="7"/>
  <c r="AP46" i="37"/>
  <c r="AP53" i="37" s="1"/>
  <c r="AP96" i="13"/>
  <c r="AV13" i="12"/>
  <c r="BT56" i="12"/>
  <c r="G127" i="12"/>
  <c r="AR46" i="37"/>
  <c r="AR53" i="37" s="1"/>
  <c r="AR54" i="37" s="1"/>
  <c r="AR141" i="14" s="1"/>
  <c r="AT91" i="27"/>
  <c r="AV91" i="27"/>
  <c r="E129" i="12"/>
  <c r="AA131" i="10"/>
  <c r="AA130" i="10"/>
  <c r="AA129" i="10"/>
  <c r="AA43" i="10"/>
  <c r="AA44" i="10" s="1"/>
  <c r="AA46" i="10" s="1"/>
  <c r="L131" i="10"/>
  <c r="AA128" i="10"/>
  <c r="AF127" i="10"/>
  <c r="BY56" i="12"/>
  <c r="Q39" i="11"/>
  <c r="AR91" i="27"/>
  <c r="AA115" i="10"/>
  <c r="AA132" i="10"/>
  <c r="AN109" i="10"/>
  <c r="AZ112" i="10"/>
  <c r="T46" i="37"/>
  <c r="T53" i="37" s="1"/>
  <c r="T54" i="37" s="1"/>
  <c r="AH46" i="37"/>
  <c r="AH53" i="37" s="1"/>
  <c r="AH54" i="37" s="1"/>
  <c r="AH134" i="14" s="1"/>
  <c r="AU112" i="10"/>
  <c r="CD56" i="12"/>
  <c r="D110" i="10"/>
  <c r="AD46" i="37"/>
  <c r="AD53" i="37" s="1"/>
  <c r="AD54" i="37" s="1"/>
  <c r="AD56" i="37" s="1"/>
  <c r="F46" i="37"/>
  <c r="F53" i="37" s="1"/>
  <c r="F54" i="37" s="1"/>
  <c r="F141" i="14" s="1"/>
  <c r="AF128" i="10"/>
  <c r="AW91" i="27"/>
  <c r="AF161" i="5"/>
  <c r="AF156" i="5"/>
  <c r="AA152" i="5"/>
  <c r="AA150" i="5"/>
  <c r="AA148" i="5"/>
  <c r="AA146" i="5"/>
  <c r="AF141" i="5"/>
  <c r="AF130" i="5"/>
  <c r="AA134" i="5"/>
  <c r="AK45" i="7"/>
  <c r="AA42" i="7"/>
  <c r="F825" i="7"/>
  <c r="AP248" i="7"/>
  <c r="AF855" i="7"/>
  <c r="CA802" i="7"/>
  <c r="BZ857" i="7"/>
  <c r="BU857" i="7"/>
  <c r="BV802" i="7"/>
  <c r="V506" i="7"/>
  <c r="V510" i="7"/>
  <c r="V508" i="7"/>
  <c r="L506" i="7"/>
  <c r="L509" i="7"/>
  <c r="L507" i="7"/>
  <c r="L510" i="7"/>
  <c r="AF337" i="7"/>
  <c r="AF370" i="7"/>
  <c r="AF318" i="7"/>
  <c r="AF285" i="7"/>
  <c r="V48" i="7"/>
  <c r="V77" i="27" s="1"/>
  <c r="AK841" i="7"/>
  <c r="AK808" i="7"/>
  <c r="AK844" i="7"/>
  <c r="AK843" i="7"/>
  <c r="AK840" i="7"/>
  <c r="AK842" i="7"/>
  <c r="AF808" i="7"/>
  <c r="AF844" i="7"/>
  <c r="AF842" i="7"/>
  <c r="AF840" i="7"/>
  <c r="AA693" i="7"/>
  <c r="AA726" i="7"/>
  <c r="AA729" i="7"/>
  <c r="AA727" i="7"/>
  <c r="AA724" i="7"/>
  <c r="AA725" i="7"/>
  <c r="AP842" i="7"/>
  <c r="AP841" i="7"/>
  <c r="AP844" i="7"/>
  <c r="AP843" i="7"/>
  <c r="AP839" i="7"/>
  <c r="AP727" i="7"/>
  <c r="AP728" i="7"/>
  <c r="AP725" i="7"/>
  <c r="V119" i="10"/>
  <c r="V127" i="10" s="1"/>
  <c r="V36" i="7"/>
  <c r="Q44" i="7"/>
  <c r="Q36" i="11" s="1"/>
  <c r="Q37" i="11" s="1"/>
  <c r="Q42" i="7"/>
  <c r="L45" i="7"/>
  <c r="L44" i="7"/>
  <c r="L104" i="27" s="1"/>
  <c r="L40" i="7"/>
  <c r="G45" i="7"/>
  <c r="G44" i="7"/>
  <c r="G40" i="7"/>
  <c r="E77" i="7"/>
  <c r="E78" i="7"/>
  <c r="E82" i="7"/>
  <c r="E46" i="7"/>
  <c r="E81" i="7"/>
  <c r="E79" i="7"/>
  <c r="E80" i="7"/>
  <c r="D364" i="7"/>
  <c r="D334" i="7"/>
  <c r="D363" i="7"/>
  <c r="L316" i="7"/>
  <c r="L311" i="7"/>
  <c r="AK318" i="7"/>
  <c r="AK285" i="7"/>
  <c r="AU727" i="7"/>
  <c r="AU693" i="7"/>
  <c r="AA510" i="7"/>
  <c r="AA508" i="7"/>
  <c r="AA507" i="7"/>
  <c r="AA505" i="7"/>
  <c r="AA368" i="7"/>
  <c r="AA367" i="7"/>
  <c r="AA366" i="7"/>
  <c r="AA365" i="7"/>
  <c r="AA364" i="7"/>
  <c r="AA363" i="7"/>
  <c r="AA315" i="7"/>
  <c r="AK313" i="7"/>
  <c r="AA313" i="7"/>
  <c r="AK312" i="7"/>
  <c r="AA312" i="7"/>
  <c r="AK311" i="7"/>
  <c r="AA311" i="7"/>
  <c r="AU314" i="7"/>
  <c r="BY537" i="7"/>
  <c r="L479" i="7"/>
  <c r="AU776" i="7"/>
  <c r="AU779" i="7"/>
  <c r="AU775" i="7"/>
  <c r="AU774" i="7"/>
  <c r="V507" i="7"/>
  <c r="L508" i="7"/>
  <c r="V505" i="7"/>
  <c r="L505" i="7"/>
  <c r="E319" i="1"/>
  <c r="E373" i="1" s="1"/>
  <c r="E242" i="1"/>
  <c r="AU277" i="1"/>
  <c r="AU242" i="1"/>
  <c r="CD277" i="1"/>
  <c r="CD319" i="1"/>
  <c r="CD242" i="1"/>
  <c r="BY277" i="1"/>
  <c r="BY319" i="1"/>
  <c r="BT277" i="1"/>
  <c r="BT242" i="1"/>
  <c r="BO277" i="1"/>
  <c r="BJ319" i="1"/>
  <c r="BJ373" i="1" s="1"/>
  <c r="BO314" i="1"/>
  <c r="BO368" i="1" s="1"/>
  <c r="T276" i="1"/>
  <c r="M211" i="1"/>
  <c r="N241" i="1"/>
  <c r="X211" i="1"/>
  <c r="AD260" i="1"/>
  <c r="AD209" i="1"/>
  <c r="X263" i="1"/>
  <c r="R209" i="1"/>
  <c r="Y275" i="1"/>
  <c r="R262" i="1"/>
  <c r="AB262" i="1"/>
  <c r="M265" i="1"/>
  <c r="R236" i="1"/>
  <c r="R276" i="1"/>
  <c r="AB255" i="1"/>
  <c r="N263" i="1"/>
  <c r="O241" i="1"/>
  <c r="Y240" i="1"/>
  <c r="Y211" i="1"/>
  <c r="S214" i="1"/>
  <c r="R260" i="1"/>
  <c r="AB209" i="1"/>
  <c r="W263" i="1"/>
  <c r="AB214" i="1"/>
  <c r="R191" i="1"/>
  <c r="T234" i="1"/>
  <c r="T255" i="1"/>
  <c r="Y192" i="1"/>
  <c r="O240" i="1"/>
  <c r="O275" i="1"/>
  <c r="AZ319" i="1"/>
  <c r="AZ373" i="1" s="1"/>
  <c r="AZ277" i="1"/>
  <c r="AZ270" i="1"/>
  <c r="AZ101" i="1" s="1"/>
  <c r="AZ242" i="1"/>
  <c r="AZ317" i="1"/>
  <c r="AZ371" i="1" s="1"/>
  <c r="AZ314" i="1"/>
  <c r="AZ368" i="1" s="1"/>
  <c r="AP314" i="4"/>
  <c r="AP368" i="4" s="1"/>
  <c r="AA312" i="4"/>
  <c r="AA366" i="4" s="1"/>
  <c r="G311" i="4"/>
  <c r="G365" i="4" s="1"/>
  <c r="AM336" i="3"/>
  <c r="U414" i="3" s="1"/>
  <c r="Q314" i="4"/>
  <c r="Q368" i="4" s="1"/>
  <c r="V311" i="4"/>
  <c r="V365" i="4" s="1"/>
  <c r="L309" i="4"/>
  <c r="L363" i="4" s="1"/>
  <c r="AF120" i="5"/>
  <c r="F309" i="4"/>
  <c r="F363" i="4" s="1"/>
  <c r="V73" i="5"/>
  <c r="AA120" i="5"/>
  <c r="AF152" i="5"/>
  <c r="AF148" i="5"/>
  <c r="AA156" i="5"/>
  <c r="F270" i="4"/>
  <c r="F235" i="4"/>
  <c r="F313" i="4"/>
  <c r="F367" i="4" s="1"/>
  <c r="AF134" i="5"/>
  <c r="AA130" i="5"/>
  <c r="BT312" i="4"/>
  <c r="BO316" i="4"/>
  <c r="V316" i="4"/>
  <c r="V370" i="4" s="1"/>
  <c r="V314" i="4"/>
  <c r="V368" i="4" s="1"/>
  <c r="AU312" i="4"/>
  <c r="AU366" i="4" s="1"/>
  <c r="G312" i="4"/>
  <c r="G366" i="4" s="1"/>
  <c r="Q311" i="4"/>
  <c r="Q365" i="4" s="1"/>
  <c r="AK309" i="4"/>
  <c r="AK363" i="4" s="1"/>
  <c r="G309" i="4"/>
  <c r="G363" i="4" s="1"/>
  <c r="F311" i="4"/>
  <c r="F365" i="4" s="1"/>
  <c r="F316" i="4"/>
  <c r="F370" i="4" s="1"/>
  <c r="E316" i="4"/>
  <c r="E370" i="4" s="1"/>
  <c r="BY314" i="4"/>
  <c r="BY312" i="4"/>
  <c r="BY311" i="4"/>
  <c r="BT316" i="4"/>
  <c r="BT309" i="4"/>
  <c r="BJ314" i="4"/>
  <c r="BJ368" i="4" s="1"/>
  <c r="BJ311" i="4"/>
  <c r="BJ365" i="4" s="1"/>
  <c r="L270" i="4"/>
  <c r="AF316" i="4"/>
  <c r="AF370" i="4" s="1"/>
  <c r="AF314" i="4"/>
  <c r="AF368" i="4" s="1"/>
  <c r="L314" i="4"/>
  <c r="L368" i="4" s="1"/>
  <c r="L313" i="4"/>
  <c r="L367" i="4" s="1"/>
  <c r="G313" i="4"/>
  <c r="G367" i="4" s="1"/>
  <c r="AK312" i="4"/>
  <c r="AK366" i="4" s="1"/>
  <c r="Q312" i="4"/>
  <c r="Q366" i="4" s="1"/>
  <c r="AU311" i="4"/>
  <c r="AU365" i="4" s="1"/>
  <c r="AA311" i="4"/>
  <c r="AA365" i="4" s="1"/>
  <c r="AU309" i="4"/>
  <c r="AU363" i="4" s="1"/>
  <c r="AA309" i="4"/>
  <c r="AA363" i="4" s="1"/>
  <c r="G235" i="4"/>
  <c r="L316" i="4"/>
  <c r="L370" i="4" s="1"/>
  <c r="E309" i="4"/>
  <c r="E363" i="4" s="1"/>
  <c r="CD316" i="4"/>
  <c r="CD314" i="4"/>
  <c r="BT311" i="4"/>
  <c r="AZ316" i="4"/>
  <c r="AZ370" i="4" s="1"/>
  <c r="AZ314" i="4"/>
  <c r="AZ368" i="4" s="1"/>
  <c r="BO314" i="4"/>
  <c r="BO311" i="4"/>
  <c r="AZ312" i="4"/>
  <c r="AZ366" i="4" s="1"/>
  <c r="AZ311" i="4"/>
  <c r="AZ365" i="4" s="1"/>
  <c r="AZ309" i="4"/>
  <c r="AZ363" i="4" s="1"/>
  <c r="F88" i="5"/>
  <c r="D68" i="5"/>
  <c r="C68" i="5"/>
  <c r="AF108" i="5"/>
  <c r="E68" i="5"/>
  <c r="F108" i="5"/>
  <c r="D88" i="5"/>
  <c r="G68" i="5"/>
  <c r="AF146" i="5"/>
  <c r="AA154" i="5"/>
  <c r="AA139" i="5"/>
  <c r="AA161" i="5"/>
  <c r="AF154" i="5"/>
  <c r="AF139" i="5"/>
  <c r="AF150" i="5"/>
  <c r="AA68" i="5"/>
  <c r="AA108" i="5"/>
  <c r="AA103" i="5"/>
  <c r="AA121" i="5"/>
  <c r="AF131" i="5"/>
  <c r="G108" i="5"/>
  <c r="G131" i="5"/>
  <c r="L141" i="5"/>
  <c r="AF121" i="5"/>
  <c r="AF135" i="5"/>
  <c r="AA131" i="5"/>
  <c r="Q149" i="5"/>
  <c r="L48" i="7"/>
  <c r="L77" i="27" s="1"/>
  <c r="AA262" i="7"/>
  <c r="AA229" i="7"/>
  <c r="AA266" i="7" s="1"/>
  <c r="AA41" i="7"/>
  <c r="AP37" i="7"/>
  <c r="AP48" i="7"/>
  <c r="AP77" i="27" s="1"/>
  <c r="AF48" i="7"/>
  <c r="AF77" i="27" s="1"/>
  <c r="AF78" i="27" s="1"/>
  <c r="AA45" i="7"/>
  <c r="AF43" i="7"/>
  <c r="BS475" i="7"/>
  <c r="AA747" i="7"/>
  <c r="AA791" i="7" s="1"/>
  <c r="AK747" i="7"/>
  <c r="AP788" i="7"/>
  <c r="AP786" i="7"/>
  <c r="AP784" i="7"/>
  <c r="E364" i="7"/>
  <c r="Q364" i="7"/>
  <c r="Q365" i="7"/>
  <c r="Q366" i="7"/>
  <c r="E368" i="7"/>
  <c r="Q368" i="7"/>
  <c r="AA786" i="7"/>
  <c r="AA788" i="7"/>
  <c r="AU146" i="5"/>
  <c r="AU139" i="5"/>
  <c r="D146" i="5"/>
  <c r="E153" i="5"/>
  <c r="L134" i="5"/>
  <c r="AU132" i="5"/>
  <c r="C150" i="5"/>
  <c r="V141" i="5"/>
  <c r="Q141" i="5"/>
  <c r="C140" i="5"/>
  <c r="F135" i="5"/>
  <c r="E131" i="5"/>
  <c r="V126" i="5"/>
  <c r="V127" i="5" s="1"/>
  <c r="D126" i="5"/>
  <c r="D119" i="5"/>
  <c r="L161" i="5"/>
  <c r="L152" i="5"/>
  <c r="L150" i="5"/>
  <c r="AP127" i="5"/>
  <c r="AU151" i="5"/>
  <c r="AU147" i="5"/>
  <c r="AU161" i="5"/>
  <c r="AO157" i="5"/>
  <c r="AZ171" i="9"/>
  <c r="AZ161" i="9"/>
  <c r="AU97" i="9"/>
  <c r="AZ65" i="9"/>
  <c r="AZ132" i="9"/>
  <c r="AZ170" i="9"/>
  <c r="AZ160" i="9"/>
  <c r="BW692" i="7"/>
  <c r="BX692" i="7" s="1"/>
  <c r="AP479" i="7"/>
  <c r="AA570" i="7"/>
  <c r="V221" i="7"/>
  <c r="V262" i="7" s="1"/>
  <c r="Q221" i="7"/>
  <c r="Q229" i="7" s="1"/>
  <c r="G221" i="7"/>
  <c r="BW807" i="7"/>
  <c r="BV862" i="7"/>
  <c r="V42" i="7"/>
  <c r="L36" i="7"/>
  <c r="G42" i="7"/>
  <c r="G131" i="7"/>
  <c r="AU36" i="7"/>
  <c r="AK36" i="7"/>
  <c r="E14" i="39"/>
  <c r="AK134" i="5"/>
  <c r="AK130" i="5"/>
  <c r="AP135" i="5"/>
  <c r="AP131" i="5"/>
  <c r="G54" i="5"/>
  <c r="C135" i="5"/>
  <c r="D150" i="5"/>
  <c r="Q133" i="5"/>
  <c r="AK154" i="5"/>
  <c r="V156" i="5"/>
  <c r="Q146" i="5"/>
  <c r="G19" i="5"/>
  <c r="AP152" i="5"/>
  <c r="AP148" i="5"/>
  <c r="AK145" i="5"/>
  <c r="AU119" i="5"/>
  <c r="AU131" i="5"/>
  <c r="AU140" i="5"/>
  <c r="L131" i="5"/>
  <c r="L126" i="5"/>
  <c r="G160" i="5"/>
  <c r="G148" i="5"/>
  <c r="AP119" i="5"/>
  <c r="AK152" i="5"/>
  <c r="AU120" i="5"/>
  <c r="V19" i="5"/>
  <c r="AU28" i="5"/>
  <c r="F19" i="5"/>
  <c r="D19" i="5"/>
  <c r="AK132" i="5"/>
  <c r="AK120" i="5"/>
  <c r="AK121" i="5"/>
  <c r="AK133" i="5"/>
  <c r="Q512" i="7"/>
  <c r="T180" i="7"/>
  <c r="T199" i="7" s="1"/>
  <c r="T218" i="7" s="1"/>
  <c r="T271" i="7" s="1"/>
  <c r="T323" i="7" s="1"/>
  <c r="C80" i="7"/>
  <c r="BQ807" i="7"/>
  <c r="Q311" i="7"/>
  <c r="Q312" i="7"/>
  <c r="AF725" i="7"/>
  <c r="AF726" i="7"/>
  <c r="AF727" i="7"/>
  <c r="AF728" i="7"/>
  <c r="AP819" i="7"/>
  <c r="C77" i="7"/>
  <c r="G36" i="7"/>
  <c r="V476" i="7"/>
  <c r="AA370" i="7"/>
  <c r="AA337" i="7"/>
  <c r="G334" i="7"/>
  <c r="CH356" i="7" s="1"/>
  <c r="G365" i="7"/>
  <c r="G366" i="7"/>
  <c r="G363" i="7"/>
  <c r="C363" i="7"/>
  <c r="C366" i="7"/>
  <c r="C334" i="7"/>
  <c r="C365" i="7"/>
  <c r="G315" i="7"/>
  <c r="G313" i="7"/>
  <c r="F173" i="7"/>
  <c r="C139" i="7"/>
  <c r="AP370" i="7"/>
  <c r="AP337" i="7"/>
  <c r="V282" i="7"/>
  <c r="V316" i="7"/>
  <c r="V314" i="7"/>
  <c r="AP693" i="7"/>
  <c r="AP729" i="7"/>
  <c r="V43" i="7"/>
  <c r="V123" i="10"/>
  <c r="V131" i="10" s="1"/>
  <c r="V40" i="7"/>
  <c r="Q36" i="7"/>
  <c r="Q131" i="7"/>
  <c r="L221" i="7"/>
  <c r="L37" i="7"/>
  <c r="C78" i="7"/>
  <c r="C82" i="7"/>
  <c r="C79" i="7"/>
  <c r="AU787" i="7"/>
  <c r="AU747" i="7"/>
  <c r="AU784" i="7"/>
  <c r="AP36" i="7"/>
  <c r="AP221" i="7"/>
  <c r="AK508" i="7"/>
  <c r="AK509" i="7"/>
  <c r="AK510" i="7"/>
  <c r="AK505" i="7"/>
  <c r="AK506" i="7"/>
  <c r="AK507" i="7"/>
  <c r="AK314" i="7"/>
  <c r="AK315" i="7"/>
  <c r="AK316" i="7"/>
  <c r="AF45" i="7"/>
  <c r="BU45" i="7"/>
  <c r="AU41" i="7"/>
  <c r="AA512" i="7"/>
  <c r="AP156" i="5"/>
  <c r="AP154" i="5"/>
  <c r="BB12" i="69"/>
  <c r="BB22" i="69" s="1"/>
  <c r="BJ47" i="69"/>
  <c r="BO47" i="69"/>
  <c r="BO75" i="69"/>
  <c r="CD47" i="69"/>
  <c r="R72" i="69"/>
  <c r="CH36" i="69" s="1"/>
  <c r="R49" i="69"/>
  <c r="BS9" i="69"/>
  <c r="BS21" i="69" s="1"/>
  <c r="AB49" i="69"/>
  <c r="AB72" i="69"/>
  <c r="CH38" i="69" s="1"/>
  <c r="CJ78" i="69"/>
  <c r="BU12" i="69"/>
  <c r="BU22" i="69" s="1"/>
  <c r="BY75" i="69"/>
  <c r="T49" i="69"/>
  <c r="AE49" i="69"/>
  <c r="BJ75" i="69"/>
  <c r="AM49" i="69"/>
  <c r="BT47" i="69"/>
  <c r="BY47" i="69"/>
  <c r="BJ11" i="69"/>
  <c r="AK49" i="69"/>
  <c r="AO49" i="69"/>
  <c r="AX75" i="69"/>
  <c r="AX76" i="69" s="1"/>
  <c r="AV72" i="11"/>
  <c r="AV76" i="11" s="1"/>
  <c r="CR37" i="6"/>
  <c r="CR33" i="6"/>
  <c r="CR29" i="6"/>
  <c r="CR25" i="6"/>
  <c r="CR35" i="6"/>
  <c r="CR31" i="6"/>
  <c r="CR27" i="6"/>
  <c r="AK13" i="12"/>
  <c r="Q109" i="10"/>
  <c r="Q129" i="10"/>
  <c r="Q127" i="10"/>
  <c r="Q131" i="10"/>
  <c r="E96" i="13"/>
  <c r="E46" i="37"/>
  <c r="E53" i="37" s="1"/>
  <c r="E54" i="37" s="1"/>
  <c r="E141" i="14" s="1"/>
  <c r="AG24" i="37"/>
  <c r="AR96" i="13"/>
  <c r="F129" i="12"/>
  <c r="H96" i="13"/>
  <c r="H46" i="37"/>
  <c r="H53" i="37" s="1"/>
  <c r="H54" i="37" s="1"/>
  <c r="AA13" i="12"/>
  <c r="Q13" i="12"/>
  <c r="AW13" i="12"/>
  <c r="F39" i="11"/>
  <c r="AI46" i="37"/>
  <c r="AI53" i="37" s="1"/>
  <c r="AI54" i="37" s="1"/>
  <c r="AI134" i="14" s="1"/>
  <c r="AI96" i="13"/>
  <c r="K96" i="13"/>
  <c r="K97" i="13" s="1"/>
  <c r="K98" i="13" s="1"/>
  <c r="K46" i="37"/>
  <c r="K53" i="37" s="1"/>
  <c r="K54" i="37" s="1"/>
  <c r="K141" i="14" s="1"/>
  <c r="F110" i="10"/>
  <c r="F43" i="10"/>
  <c r="F44" i="10" s="1"/>
  <c r="F46" i="10" s="1"/>
  <c r="AM96" i="13"/>
  <c r="AM46" i="37"/>
  <c r="AM53" i="37" s="1"/>
  <c r="AM54" i="37" s="1"/>
  <c r="AM134" i="14" s="1"/>
  <c r="AF13" i="12"/>
  <c r="AF129" i="10"/>
  <c r="V109" i="10"/>
  <c r="AR109" i="10"/>
  <c r="AQ109" i="10"/>
  <c r="AX91" i="27"/>
  <c r="AX109" i="10"/>
  <c r="Q132" i="10"/>
  <c r="Q130" i="10"/>
  <c r="N46" i="37"/>
  <c r="N53" i="37" s="1"/>
  <c r="N54" i="37" s="1"/>
  <c r="AS109" i="10"/>
  <c r="AV46" i="37"/>
  <c r="AV53" i="37" s="1"/>
  <c r="P46" i="37"/>
  <c r="P53" i="37" s="1"/>
  <c r="P54" i="37" s="1"/>
  <c r="P56" i="37" s="1"/>
  <c r="AX46" i="37"/>
  <c r="AX53" i="37" s="1"/>
  <c r="AX54" i="37" s="1"/>
  <c r="AX141" i="14" s="1"/>
  <c r="AY46" i="37"/>
  <c r="AY53" i="37" s="1"/>
  <c r="AY54" i="37" s="1"/>
  <c r="AY56" i="37" s="1"/>
  <c r="C161" i="5"/>
  <c r="V150" i="5"/>
  <c r="V108" i="5"/>
  <c r="E147" i="5"/>
  <c r="E145" i="5"/>
  <c r="G126" i="5"/>
  <c r="E130" i="5"/>
  <c r="C131" i="5"/>
  <c r="Q131" i="5"/>
  <c r="F130" i="5"/>
  <c r="D135" i="5"/>
  <c r="AP150" i="5"/>
  <c r="AP146" i="5"/>
  <c r="AU126" i="5"/>
  <c r="AU135" i="5"/>
  <c r="L125" i="5"/>
  <c r="G161" i="5"/>
  <c r="AU155" i="5"/>
  <c r="D133" i="5"/>
  <c r="C130" i="5"/>
  <c r="F126" i="5"/>
  <c r="C126" i="5"/>
  <c r="F119" i="5"/>
  <c r="L156" i="5"/>
  <c r="L154" i="5"/>
  <c r="AA14" i="5"/>
  <c r="F154" i="5"/>
  <c r="L121" i="5"/>
  <c r="AU149" i="5"/>
  <c r="L148" i="5"/>
  <c r="L146" i="5"/>
  <c r="L139" i="5"/>
  <c r="G153" i="5"/>
  <c r="G134" i="5"/>
  <c r="D130" i="5"/>
  <c r="L19" i="5"/>
  <c r="D46" i="37"/>
  <c r="D53" i="37" s="1"/>
  <c r="D54" i="37" s="1"/>
  <c r="D141" i="14" s="1"/>
  <c r="D142" i="14" s="1"/>
  <c r="D143" i="14" s="1"/>
  <c r="C46" i="37"/>
  <c r="C53" i="37" s="1"/>
  <c r="C54" i="37" s="1"/>
  <c r="C141" i="14" s="1"/>
  <c r="C142" i="14" s="1"/>
  <c r="C143" i="14" s="1"/>
  <c r="E75" i="13"/>
  <c r="AM174" i="13"/>
  <c r="G114" i="12"/>
  <c r="BA147" i="13"/>
  <c r="BA171" i="13" s="1"/>
  <c r="D161" i="5"/>
  <c r="V155" i="5"/>
  <c r="Q156" i="5"/>
  <c r="Q151" i="5"/>
  <c r="F148" i="5"/>
  <c r="C154" i="5"/>
  <c r="C146" i="5"/>
  <c r="F140" i="5"/>
  <c r="C141" i="5"/>
  <c r="V134" i="5"/>
  <c r="Q135" i="5"/>
  <c r="AK149" i="5"/>
  <c r="AK148" i="5"/>
  <c r="AK147" i="5"/>
  <c r="AU145" i="5"/>
  <c r="L28" i="5"/>
  <c r="AP134" i="5"/>
  <c r="AP132" i="5"/>
  <c r="AP130" i="5"/>
  <c r="AP120" i="5"/>
  <c r="F161" i="5"/>
  <c r="V152" i="5"/>
  <c r="V148" i="5"/>
  <c r="V146" i="5"/>
  <c r="Q154" i="5"/>
  <c r="Q147" i="5"/>
  <c r="Q145" i="5"/>
  <c r="F150" i="5"/>
  <c r="F147" i="5"/>
  <c r="F146" i="5"/>
  <c r="E151" i="5"/>
  <c r="E149" i="5"/>
  <c r="D154" i="5"/>
  <c r="D148" i="5"/>
  <c r="C103" i="5"/>
  <c r="C155" i="5"/>
  <c r="C148" i="5"/>
  <c r="C145" i="5"/>
  <c r="AF34" i="5"/>
  <c r="V140" i="5"/>
  <c r="Q139" i="5"/>
  <c r="E126" i="5"/>
  <c r="AF54" i="5"/>
  <c r="AM56" i="5"/>
  <c r="Q108" i="5"/>
  <c r="E108" i="5"/>
  <c r="D108" i="5"/>
  <c r="C108" i="5"/>
  <c r="Q88" i="5"/>
  <c r="L73" i="5"/>
  <c r="E154" i="5"/>
  <c r="D153" i="5"/>
  <c r="D151" i="5"/>
  <c r="D149" i="5"/>
  <c r="D147" i="5"/>
  <c r="D145" i="5"/>
  <c r="AA34" i="5"/>
  <c r="E141" i="5"/>
  <c r="V130" i="5"/>
  <c r="Q134" i="5"/>
  <c r="G147" i="5"/>
  <c r="G145" i="5"/>
  <c r="G151" i="5"/>
  <c r="G149" i="5"/>
  <c r="V54" i="5"/>
  <c r="F54" i="5"/>
  <c r="Q34" i="5"/>
  <c r="E19" i="5"/>
  <c r="C19" i="5"/>
  <c r="L54" i="5"/>
  <c r="AZ94" i="47"/>
  <c r="AP79" i="11"/>
  <c r="AQ67" i="11" s="1"/>
  <c r="AQ68" i="11"/>
  <c r="AX174" i="13"/>
  <c r="AZ91" i="12"/>
  <c r="AZ133" i="13"/>
  <c r="AZ96" i="12"/>
  <c r="AX124" i="13"/>
  <c r="D131" i="13"/>
  <c r="D135" i="13" s="1"/>
  <c r="J131" i="13"/>
  <c r="J135" i="13" s="1"/>
  <c r="AZ79" i="12"/>
  <c r="AZ111" i="12"/>
  <c r="G135" i="13"/>
  <c r="AP82" i="12"/>
  <c r="AU79" i="11"/>
  <c r="AV67" i="11" s="1"/>
  <c r="AV68" i="11"/>
  <c r="AX13" i="12"/>
  <c r="AZ38" i="14"/>
  <c r="AX80" i="6"/>
  <c r="AZ63" i="6"/>
  <c r="AZ85" i="6"/>
  <c r="AZ84" i="6"/>
  <c r="AX81" i="6"/>
  <c r="AZ64" i="6"/>
  <c r="AP11" i="9"/>
  <c r="AP18" i="9" s="1"/>
  <c r="AP219" i="9" s="1"/>
  <c r="AK219" i="9"/>
  <c r="AK215" i="9"/>
  <c r="AK209" i="9" s="1"/>
  <c r="CO41" i="7" s="1"/>
  <c r="AK152" i="9"/>
  <c r="AK93" i="10" s="1"/>
  <c r="D215" i="9"/>
  <c r="D209" i="9" s="1"/>
  <c r="F65" i="9"/>
  <c r="F72" i="9" s="1"/>
  <c r="E215" i="9"/>
  <c r="E209" i="9" s="1"/>
  <c r="CC593" i="7"/>
  <c r="V337" i="7"/>
  <c r="V370" i="7"/>
  <c r="AK479" i="7"/>
  <c r="BY110" i="10"/>
  <c r="BT109" i="10"/>
  <c r="BT43" i="10" s="1"/>
  <c r="BO43" i="10"/>
  <c r="BO110" i="10"/>
  <c r="CC228" i="7"/>
  <c r="AE180" i="7"/>
  <c r="AE199" i="7" s="1"/>
  <c r="AE218" i="7" s="1"/>
  <c r="AE271" i="7" s="1"/>
  <c r="F170" i="7"/>
  <c r="C170" i="7"/>
  <c r="C169" i="7"/>
  <c r="C173" i="7"/>
  <c r="C172" i="7"/>
  <c r="F172" i="7"/>
  <c r="F171" i="7"/>
  <c r="C171" i="7"/>
  <c r="CR23" i="6"/>
  <c r="BJ19" i="6"/>
  <c r="CR22" i="6"/>
  <c r="CR21" i="6"/>
  <c r="AK277" i="1"/>
  <c r="AU14" i="5"/>
  <c r="AU122" i="5" s="1"/>
  <c r="AU141" i="5"/>
  <c r="AU156" i="5"/>
  <c r="AU154" i="5"/>
  <c r="V131" i="5"/>
  <c r="D73" i="5"/>
  <c r="F68" i="5"/>
  <c r="L119" i="5"/>
  <c r="G150" i="5"/>
  <c r="G146" i="5"/>
  <c r="V145" i="5"/>
  <c r="V88" i="5"/>
  <c r="C88" i="5"/>
  <c r="F82" i="5"/>
  <c r="L108" i="5"/>
  <c r="L103" i="5"/>
  <c r="L88" i="5"/>
  <c r="G73" i="5"/>
  <c r="AA88" i="5"/>
  <c r="AA82" i="5"/>
  <c r="AA73" i="5"/>
  <c r="Q103" i="5"/>
  <c r="Q73" i="5"/>
  <c r="AF19" i="5"/>
  <c r="L14" i="5"/>
  <c r="AA151" i="5"/>
  <c r="AA147" i="5"/>
  <c r="AA133" i="5"/>
  <c r="AA126" i="5"/>
  <c r="AA127" i="5" s="1"/>
  <c r="AU125" i="5"/>
  <c r="AU130" i="5"/>
  <c r="AU134" i="5"/>
  <c r="AU133" i="5"/>
  <c r="AU152" i="5"/>
  <c r="AU150" i="5"/>
  <c r="V103" i="5"/>
  <c r="E235" i="4"/>
  <c r="AP155" i="5"/>
  <c r="AP153" i="5"/>
  <c r="AP151" i="5"/>
  <c r="AP149" i="5"/>
  <c r="AP147" i="5"/>
  <c r="AP145" i="5"/>
  <c r="CD311" i="4"/>
  <c r="BT314" i="4"/>
  <c r="AP28" i="5"/>
  <c r="AP14" i="5"/>
  <c r="AP122" i="5" s="1"/>
  <c r="AK150" i="5"/>
  <c r="AK146" i="5"/>
  <c r="AF73" i="5"/>
  <c r="BJ312" i="4"/>
  <c r="BJ366" i="4" s="1"/>
  <c r="BJ309" i="4"/>
  <c r="BJ363" i="4" s="1"/>
  <c r="AU148" i="5"/>
  <c r="AU160" i="5"/>
  <c r="AN122" i="5"/>
  <c r="Q160" i="5"/>
  <c r="C160" i="5"/>
  <c r="V154" i="5"/>
  <c r="V151" i="5"/>
  <c r="V149" i="5"/>
  <c r="V147" i="5"/>
  <c r="Q155" i="5"/>
  <c r="Q152" i="5"/>
  <c r="Q150" i="5"/>
  <c r="Q148" i="5"/>
  <c r="F151" i="5"/>
  <c r="F149" i="5"/>
  <c r="F145" i="5"/>
  <c r="E150" i="5"/>
  <c r="E148" i="5"/>
  <c r="E146" i="5"/>
  <c r="C153" i="5"/>
  <c r="C151" i="5"/>
  <c r="C149" i="5"/>
  <c r="C147" i="5"/>
  <c r="V139" i="5"/>
  <c r="F141" i="5"/>
  <c r="D140" i="5"/>
  <c r="V135" i="5"/>
  <c r="F131" i="5"/>
  <c r="E135" i="5"/>
  <c r="D134" i="5"/>
  <c r="Q126" i="5"/>
  <c r="Q127" i="5" s="1"/>
  <c r="F125" i="5"/>
  <c r="D125" i="5"/>
  <c r="C119" i="5"/>
  <c r="L155" i="5"/>
  <c r="L153" i="5"/>
  <c r="L151" i="5"/>
  <c r="L149" i="5"/>
  <c r="L147" i="5"/>
  <c r="L145" i="5"/>
  <c r="L140" i="5"/>
  <c r="L135" i="5"/>
  <c r="L133" i="5"/>
  <c r="G135" i="5"/>
  <c r="G130" i="5"/>
  <c r="AK155" i="5"/>
  <c r="AK153" i="5"/>
  <c r="AK14" i="5"/>
  <c r="AF82" i="5"/>
  <c r="G125" i="5"/>
  <c r="V313" i="4"/>
  <c r="V367" i="4" s="1"/>
  <c r="V28" i="5"/>
  <c r="Q28" i="5"/>
  <c r="L82" i="5"/>
  <c r="G88" i="5"/>
  <c r="AK28" i="5"/>
  <c r="AK136" i="5" s="1"/>
  <c r="AF155" i="5"/>
  <c r="AF151" i="5"/>
  <c r="AA155" i="5"/>
  <c r="AK316" i="4"/>
  <c r="AK370" i="4" s="1"/>
  <c r="Q316" i="4"/>
  <c r="Q370" i="4" s="1"/>
  <c r="AA316" i="4"/>
  <c r="AA370" i="4" s="1"/>
  <c r="G316" i="4"/>
  <c r="G370" i="4" s="1"/>
  <c r="AK314" i="4"/>
  <c r="AK368" i="4" s="1"/>
  <c r="AU314" i="4"/>
  <c r="AU368" i="4" s="1"/>
  <c r="AA314" i="4"/>
  <c r="AA368" i="4" s="1"/>
  <c r="AF312" i="4"/>
  <c r="AF366" i="4" s="1"/>
  <c r="L312" i="4"/>
  <c r="L366" i="4" s="1"/>
  <c r="V312" i="4"/>
  <c r="V366" i="4" s="1"/>
  <c r="AF311" i="4"/>
  <c r="AF365" i="4" s="1"/>
  <c r="L311" i="4"/>
  <c r="L365" i="4" s="1"/>
  <c r="AP311" i="4"/>
  <c r="AP365" i="4" s="1"/>
  <c r="AF309" i="4"/>
  <c r="AF363" i="4" s="1"/>
  <c r="AP309" i="4"/>
  <c r="AP363" i="4" s="1"/>
  <c r="V309" i="4"/>
  <c r="V363" i="4" s="1"/>
  <c r="AA160" i="5"/>
  <c r="AA54" i="5"/>
  <c r="D160" i="5"/>
  <c r="D54" i="5"/>
  <c r="E88" i="5"/>
  <c r="AF140" i="5"/>
  <c r="AF88" i="5"/>
  <c r="E82" i="5"/>
  <c r="V133" i="5"/>
  <c r="E119" i="5"/>
  <c r="G82" i="5"/>
  <c r="L49" i="5"/>
  <c r="L130" i="5"/>
  <c r="F153" i="5"/>
  <c r="L34" i="5"/>
  <c r="AP133" i="5"/>
  <c r="AA49" i="5"/>
  <c r="Q19" i="5"/>
  <c r="V119" i="5"/>
  <c r="Q49" i="5"/>
  <c r="Q132" i="5"/>
  <c r="Q82" i="5"/>
  <c r="D82" i="5"/>
  <c r="D131" i="5"/>
  <c r="AF103" i="5"/>
  <c r="AF147" i="5"/>
  <c r="L235" i="4"/>
  <c r="V34" i="5"/>
  <c r="Q140" i="5"/>
  <c r="G270" i="4"/>
  <c r="AA28" i="5"/>
  <c r="AA141" i="5"/>
  <c r="V160" i="5"/>
  <c r="L160" i="5"/>
  <c r="E125" i="5"/>
  <c r="Q130" i="5"/>
  <c r="AA140" i="5"/>
  <c r="C82" i="5"/>
  <c r="L120" i="5"/>
  <c r="L68" i="5"/>
  <c r="AF68" i="5"/>
  <c r="AF119" i="5"/>
  <c r="V82" i="5"/>
  <c r="C125" i="5"/>
  <c r="D28" i="5"/>
  <c r="AF28" i="5"/>
  <c r="F160" i="5"/>
  <c r="G314" i="4"/>
  <c r="G368" i="4" s="1"/>
  <c r="C54" i="5"/>
  <c r="AK135" i="5"/>
  <c r="AK131" i="5"/>
  <c r="V49" i="5"/>
  <c r="AP121" i="5"/>
  <c r="AA19" i="5"/>
  <c r="AK119" i="5"/>
  <c r="AF49" i="5"/>
  <c r="AA119" i="5"/>
  <c r="AO110" i="5"/>
  <c r="AJ110" i="5"/>
  <c r="AG56" i="5"/>
  <c r="V121" i="5"/>
  <c r="V14" i="5"/>
  <c r="F312" i="4"/>
  <c r="F366" i="4" s="1"/>
  <c r="AN157" i="5"/>
  <c r="AC262" i="1"/>
  <c r="V317" i="1"/>
  <c r="S317" i="1" s="1"/>
  <c r="T236" i="1"/>
  <c r="AB276" i="1"/>
  <c r="Q319" i="1"/>
  <c r="Q373" i="1" s="1"/>
  <c r="AC255" i="1"/>
  <c r="O263" i="1"/>
  <c r="AA277" i="1"/>
  <c r="W241" i="1"/>
  <c r="AA242" i="1"/>
  <c r="T214" i="1"/>
  <c r="AB260" i="1"/>
  <c r="X248" i="1"/>
  <c r="AD214" i="1"/>
  <c r="S191" i="1"/>
  <c r="O211" i="1"/>
  <c r="R255" i="1"/>
  <c r="N240" i="1"/>
  <c r="T209" i="1"/>
  <c r="N275" i="1"/>
  <c r="AO127" i="5"/>
  <c r="AJ127" i="5"/>
  <c r="H240" i="1"/>
  <c r="I240" i="1" s="1"/>
  <c r="J240" i="1" s="1"/>
  <c r="K240" i="1" s="1"/>
  <c r="H234" i="1"/>
  <c r="I234" i="1" s="1"/>
  <c r="J234" i="1" s="1"/>
  <c r="K234" i="1" s="1"/>
  <c r="Q277" i="1"/>
  <c r="L317" i="1"/>
  <c r="L371" i="1" s="1"/>
  <c r="H262" i="1"/>
  <c r="I262" i="1" s="1"/>
  <c r="J262" i="1" s="1"/>
  <c r="K262" i="1" s="1"/>
  <c r="H255" i="1"/>
  <c r="I255" i="1" s="1"/>
  <c r="J255" i="1" s="1"/>
  <c r="K255" i="1" s="1"/>
  <c r="H260" i="1"/>
  <c r="I260" i="1" s="1"/>
  <c r="J260" i="1" s="1"/>
  <c r="K260" i="1" s="1"/>
  <c r="AH110" i="5"/>
  <c r="AK126" i="5"/>
  <c r="AN56" i="5"/>
  <c r="AL56" i="5"/>
  <c r="V120" i="5"/>
  <c r="AF14" i="5"/>
  <c r="AF319" i="1"/>
  <c r="AC319" i="1" s="1"/>
  <c r="Y262" i="1"/>
  <c r="AF277" i="1"/>
  <c r="N209" i="1"/>
  <c r="N270" i="1"/>
  <c r="AN162" i="5"/>
  <c r="AK161" i="5"/>
  <c r="AI157" i="5"/>
  <c r="AG157" i="5"/>
  <c r="AL142" i="5"/>
  <c r="AI142" i="5"/>
  <c r="AK141" i="5"/>
  <c r="AK140" i="5"/>
  <c r="AK139" i="5"/>
  <c r="AN136" i="5"/>
  <c r="AI136" i="5"/>
  <c r="AG136" i="5"/>
  <c r="AN127" i="5"/>
  <c r="AL127" i="5"/>
  <c r="AK125" i="5"/>
  <c r="AG110" i="5"/>
  <c r="AO162" i="5"/>
  <c r="AH157" i="5"/>
  <c r="AH142" i="5"/>
  <c r="AP141" i="5"/>
  <c r="AP140" i="5"/>
  <c r="AJ136" i="5"/>
  <c r="AM127" i="5"/>
  <c r="AH127" i="5"/>
  <c r="AP126" i="5"/>
  <c r="AO122" i="5"/>
  <c r="AM122" i="5"/>
  <c r="G277" i="1"/>
  <c r="H275" i="1"/>
  <c r="I275" i="1" s="1"/>
  <c r="J275" i="1" s="1"/>
  <c r="K275" i="1" s="1"/>
  <c r="CD317" i="1"/>
  <c r="AK317" i="1"/>
  <c r="AK371" i="1" s="1"/>
  <c r="E277" i="1"/>
  <c r="V161" i="5"/>
  <c r="Q161" i="5"/>
  <c r="Q54" i="5"/>
  <c r="E161" i="5"/>
  <c r="E160" i="5"/>
  <c r="AU317" i="1"/>
  <c r="AU371" i="1" s="1"/>
  <c r="AL110" i="5"/>
  <c r="AI110" i="5"/>
  <c r="Q68" i="5"/>
  <c r="AL157" i="5"/>
  <c r="AJ56" i="5"/>
  <c r="AH56" i="5"/>
  <c r="Q121" i="5"/>
  <c r="Q120" i="5"/>
  <c r="Q119" i="5"/>
  <c r="Q14" i="5"/>
  <c r="AC236" i="1"/>
  <c r="AD236" i="1"/>
  <c r="BT314" i="1"/>
  <c r="AB236" i="1"/>
  <c r="AC240" i="1"/>
  <c r="AF242" i="1"/>
  <c r="X234" i="1"/>
  <c r="W234" i="1"/>
  <c r="O234" i="1"/>
  <c r="N234" i="1"/>
  <c r="X276" i="1"/>
  <c r="W276" i="1"/>
  <c r="N276" i="1"/>
  <c r="O276" i="1"/>
  <c r="M236" i="1"/>
  <c r="O236" i="1"/>
  <c r="AD263" i="1"/>
  <c r="AF317" i="1"/>
  <c r="AF371" i="1" s="1"/>
  <c r="AD248" i="1"/>
  <c r="AC248" i="1"/>
  <c r="AB242" i="1"/>
  <c r="T275" i="1"/>
  <c r="R275" i="1"/>
  <c r="S277" i="1"/>
  <c r="AB192" i="1"/>
  <c r="O209" i="1"/>
  <c r="E54" i="5"/>
  <c r="AF149" i="5"/>
  <c r="AF145" i="5"/>
  <c r="O270" i="1"/>
  <c r="AN110" i="5"/>
  <c r="W270" i="1"/>
  <c r="Y270" i="1"/>
  <c r="T240" i="1"/>
  <c r="S240" i="1"/>
  <c r="R240" i="1"/>
  <c r="R242" i="1" s="1"/>
  <c r="AB275" i="1"/>
  <c r="AC275" i="1"/>
  <c r="M255" i="1"/>
  <c r="N255" i="1"/>
  <c r="Y260" i="1"/>
  <c r="X260" i="1"/>
  <c r="W214" i="1"/>
  <c r="Y214" i="1"/>
  <c r="AD211" i="1"/>
  <c r="AC211" i="1"/>
  <c r="AB211" i="1"/>
  <c r="F319" i="1"/>
  <c r="F373" i="1" s="1"/>
  <c r="R192" i="1"/>
  <c r="T192" i="1"/>
  <c r="AM162" i="5"/>
  <c r="AJ162" i="5"/>
  <c r="AH162" i="5"/>
  <c r="AP161" i="5"/>
  <c r="AP160" i="5"/>
  <c r="AJ157" i="5"/>
  <c r="AO142" i="5"/>
  <c r="AM142" i="5"/>
  <c r="AJ142" i="5"/>
  <c r="AP139" i="5"/>
  <c r="AO136" i="5"/>
  <c r="AM136" i="5"/>
  <c r="AH136" i="5"/>
  <c r="AP125" i="5"/>
  <c r="AJ122" i="5"/>
  <c r="AH122" i="5"/>
  <c r="AL162" i="5"/>
  <c r="AI162" i="5"/>
  <c r="AG162" i="5"/>
  <c r="AK160" i="5"/>
  <c r="AO56" i="5"/>
  <c r="AM157" i="5"/>
  <c r="AN142" i="5"/>
  <c r="AG142" i="5"/>
  <c r="AL136" i="5"/>
  <c r="AI127" i="5"/>
  <c r="AG127" i="5"/>
  <c r="AL122" i="5"/>
  <c r="AP317" i="1"/>
  <c r="AP371" i="1" s="1"/>
  <c r="H270" i="1"/>
  <c r="I270" i="1" s="1"/>
  <c r="J270" i="1" s="1"/>
  <c r="K270" i="1" s="1"/>
  <c r="V277" i="1"/>
  <c r="BJ317" i="1"/>
  <c r="BJ371" i="1" s="1"/>
  <c r="H263" i="1"/>
  <c r="I263" i="1" s="1"/>
  <c r="J263" i="1" s="1"/>
  <c r="K263" i="1" s="1"/>
  <c r="AM110" i="5"/>
  <c r="V68" i="5"/>
  <c r="AI122" i="5"/>
  <c r="AI56" i="5"/>
  <c r="S248" i="1"/>
  <c r="R248" i="1"/>
  <c r="T248" i="1"/>
  <c r="AD270" i="1"/>
  <c r="AC270" i="1"/>
  <c r="R270" i="1"/>
  <c r="S270" i="1"/>
  <c r="AK319" i="1"/>
  <c r="AK373" i="1" s="1"/>
  <c r="AC191" i="1"/>
  <c r="AB191" i="1"/>
  <c r="L277" i="1"/>
  <c r="H276" i="1"/>
  <c r="X265" i="1"/>
  <c r="Y265" i="1"/>
  <c r="Q242" i="1"/>
  <c r="X240" i="1"/>
  <c r="R234" i="1"/>
  <c r="AB234" i="1"/>
  <c r="AD234" i="1"/>
  <c r="F317" i="1"/>
  <c r="F371" i="1" s="1"/>
  <c r="F242" i="1"/>
  <c r="AP277" i="1"/>
  <c r="H236" i="1"/>
  <c r="I236" i="1" s="1"/>
  <c r="J236" i="1" s="1"/>
  <c r="K236" i="1" s="1"/>
  <c r="X261" i="1"/>
  <c r="W261" i="1"/>
  <c r="Y261" i="1"/>
  <c r="N261" i="1"/>
  <c r="O261" i="1"/>
  <c r="M261" i="1"/>
  <c r="H261" i="1"/>
  <c r="I261" i="1" s="1"/>
  <c r="J261" i="1" s="1"/>
  <c r="K261" i="1" s="1"/>
  <c r="H241" i="1"/>
  <c r="I241" i="1" s="1"/>
  <c r="J241" i="1" s="1"/>
  <c r="K241" i="1" s="1"/>
  <c r="G242" i="1"/>
  <c r="AB261" i="1"/>
  <c r="AC261" i="1"/>
  <c r="AD261" i="1"/>
  <c r="R261" i="1"/>
  <c r="S261" i="1"/>
  <c r="T261" i="1"/>
  <c r="L242" i="1"/>
  <c r="M277" i="1"/>
  <c r="G314" i="1"/>
  <c r="G368" i="1" s="1"/>
  <c r="E314" i="1"/>
  <c r="E368" i="1" s="1"/>
  <c r="AP314" i="1"/>
  <c r="AP368" i="1" s="1"/>
  <c r="L314" i="1"/>
  <c r="L368" i="1" s="1"/>
  <c r="W209" i="1"/>
  <c r="X209" i="1"/>
  <c r="Y209" i="1"/>
  <c r="AA317" i="1"/>
  <c r="Y191" i="1"/>
  <c r="W191" i="1"/>
  <c r="X191" i="1"/>
  <c r="X206" i="1"/>
  <c r="W206" i="1"/>
  <c r="Y206" i="1"/>
  <c r="AA314" i="1"/>
  <c r="N206" i="1"/>
  <c r="O206" i="1"/>
  <c r="Q314" i="1"/>
  <c r="M206" i="1"/>
  <c r="BY242" i="1"/>
  <c r="M192" i="1"/>
  <c r="N192" i="1"/>
  <c r="O192" i="1"/>
  <c r="AC206" i="1"/>
  <c r="AF314" i="1"/>
  <c r="AB206" i="1"/>
  <c r="AD206" i="1"/>
  <c r="T206" i="1"/>
  <c r="V314" i="1"/>
  <c r="T314" i="1" s="1"/>
  <c r="R206" i="1"/>
  <c r="S206" i="1"/>
  <c r="F314" i="1"/>
  <c r="F368" i="1" s="1"/>
  <c r="H249" i="1"/>
  <c r="I249" i="1" s="1"/>
  <c r="J249" i="1" s="1"/>
  <c r="K249" i="1" s="1"/>
  <c r="H267" i="1"/>
  <c r="I267" i="1" s="1"/>
  <c r="J267" i="1" s="1"/>
  <c r="K267" i="1" s="1"/>
  <c r="N260" i="1"/>
  <c r="O260" i="1"/>
  <c r="BT317" i="1"/>
  <c r="BY314" i="1"/>
  <c r="F277" i="1"/>
  <c r="BY317" i="1"/>
  <c r="BO317" i="1"/>
  <c r="BO371" i="1" s="1"/>
  <c r="AH437" i="2"/>
  <c r="X249" i="1"/>
  <c r="W249" i="1"/>
  <c r="Y249" i="1"/>
  <c r="N249" i="1"/>
  <c r="M249" i="1"/>
  <c r="O249" i="1"/>
  <c r="AD269" i="1"/>
  <c r="AC269" i="1"/>
  <c r="AB269" i="1"/>
  <c r="S269" i="1"/>
  <c r="T269" i="1"/>
  <c r="R269" i="1"/>
  <c r="W267" i="1"/>
  <c r="X267" i="1"/>
  <c r="Y267" i="1"/>
  <c r="N267" i="1"/>
  <c r="M267" i="1"/>
  <c r="W210" i="1"/>
  <c r="Y210" i="1"/>
  <c r="X210" i="1"/>
  <c r="N210" i="1"/>
  <c r="O210" i="1"/>
  <c r="M210" i="1"/>
  <c r="R249" i="1"/>
  <c r="T249" i="1"/>
  <c r="S249" i="1"/>
  <c r="X269" i="1"/>
  <c r="W269" i="1"/>
  <c r="Y269" i="1"/>
  <c r="N269" i="1"/>
  <c r="O269" i="1"/>
  <c r="M269" i="1"/>
  <c r="H269" i="1"/>
  <c r="I269" i="1" s="1"/>
  <c r="J269" i="1" s="1"/>
  <c r="K269" i="1" s="1"/>
  <c r="AB267" i="1"/>
  <c r="AC267" i="1"/>
  <c r="AD267" i="1"/>
  <c r="R267" i="1"/>
  <c r="S267" i="1"/>
  <c r="T267" i="1"/>
  <c r="S265" i="1"/>
  <c r="T265" i="1"/>
  <c r="R265" i="1"/>
  <c r="V319" i="1"/>
  <c r="H265" i="1"/>
  <c r="I265" i="1" s="1"/>
  <c r="J265" i="1" s="1"/>
  <c r="K265" i="1" s="1"/>
  <c r="L319" i="1"/>
  <c r="M248" i="1"/>
  <c r="O248" i="1"/>
  <c r="N248" i="1"/>
  <c r="W255" i="1"/>
  <c r="Y255" i="1"/>
  <c r="X255" i="1"/>
  <c r="AC210" i="1"/>
  <c r="AD210" i="1"/>
  <c r="AB210" i="1"/>
  <c r="T210" i="1"/>
  <c r="R210" i="1"/>
  <c r="S210" i="1"/>
  <c r="CD314" i="1"/>
  <c r="AK314" i="1"/>
  <c r="AK368" i="1" s="1"/>
  <c r="H248" i="1"/>
  <c r="I248" i="1" s="1"/>
  <c r="J248" i="1" s="1"/>
  <c r="K248" i="1" s="1"/>
  <c r="G317" i="1"/>
  <c r="E317" i="1"/>
  <c r="AU314" i="1"/>
  <c r="AU368" i="1" s="1"/>
  <c r="AU319" i="1"/>
  <c r="BJ242" i="1"/>
  <c r="CD312" i="4"/>
  <c r="BY309" i="4"/>
  <c r="F314" i="4"/>
  <c r="F368" i="4" s="1"/>
  <c r="E312" i="4"/>
  <c r="E366" i="4" s="1"/>
  <c r="AF126" i="5"/>
  <c r="AF127" i="5" s="1"/>
  <c r="CD309" i="4"/>
  <c r="BO309" i="4"/>
  <c r="AU121" i="5"/>
  <c r="E314" i="4"/>
  <c r="E368" i="4" s="1"/>
  <c r="BY316" i="4"/>
  <c r="AA313" i="4"/>
  <c r="AA367" i="4" s="1"/>
  <c r="Q313" i="4"/>
  <c r="Q367" i="4" s="1"/>
  <c r="E313" i="4"/>
  <c r="E367" i="4" s="1"/>
  <c r="E311" i="4"/>
  <c r="E365" i="4" s="1"/>
  <c r="AF133" i="5"/>
  <c r="BO312" i="4"/>
  <c r="CC475" i="7"/>
  <c r="CB12" i="37"/>
  <c r="BW12" i="37"/>
  <c r="CR17" i="6"/>
  <c r="BJ50" i="6"/>
  <c r="CR18" i="6"/>
  <c r="CW12" i="6"/>
  <c r="CK12" i="6"/>
  <c r="CJ12" i="6"/>
  <c r="BT12" i="37"/>
  <c r="BJ13" i="6"/>
  <c r="BJ20" i="6"/>
  <c r="CJ9" i="14"/>
  <c r="CJ10" i="14" s="1"/>
  <c r="BO50" i="6"/>
  <c r="CR19" i="6"/>
  <c r="BC12" i="37"/>
  <c r="BT50" i="6"/>
  <c r="BJ12" i="6"/>
  <c r="BO19" i="6"/>
  <c r="CL169" i="13"/>
  <c r="CW10" i="6"/>
  <c r="CW11" i="6" s="1"/>
  <c r="CN12" i="6"/>
  <c r="CK10" i="6"/>
  <c r="CK11" i="6" s="1"/>
  <c r="CJ10" i="6"/>
  <c r="CL167" i="13"/>
  <c r="CL168" i="13" s="1"/>
  <c r="CJ11" i="14"/>
  <c r="CN10" i="6"/>
  <c r="CN11" i="6" s="1"/>
  <c r="CR20" i="6"/>
  <c r="CU12" i="6"/>
  <c r="AP98" i="12"/>
  <c r="AP74" i="11"/>
  <c r="E78" i="27"/>
  <c r="O97" i="13"/>
  <c r="O98" i="13" s="1"/>
  <c r="C97" i="13"/>
  <c r="C98" i="13" s="1"/>
  <c r="C100" i="13" s="1"/>
  <c r="Y97" i="13"/>
  <c r="Y98" i="13" s="1"/>
  <c r="AP215" i="9"/>
  <c r="D97" i="13"/>
  <c r="D98" i="13" s="1"/>
  <c r="BC156" i="13"/>
  <c r="BC180" i="13" s="1"/>
  <c r="AX91" i="14"/>
  <c r="AX37" i="12" s="1"/>
  <c r="BG38" i="14"/>
  <c r="BG10" i="12" s="1"/>
  <c r="BG109" i="13"/>
  <c r="AW126" i="14"/>
  <c r="AW127" i="14"/>
  <c r="AW29" i="14"/>
  <c r="BJ108" i="10"/>
  <c r="BJ115" i="10" s="1"/>
  <c r="AZ109" i="13"/>
  <c r="AZ101" i="6"/>
  <c r="AZ118" i="6"/>
  <c r="AP98" i="6"/>
  <c r="AM115" i="6"/>
  <c r="AP115" i="6" s="1"/>
  <c r="N97" i="13"/>
  <c r="N98" i="13" s="1"/>
  <c r="S97" i="13"/>
  <c r="S98" i="13" s="1"/>
  <c r="S100" i="13" s="1"/>
  <c r="AU172" i="7"/>
  <c r="AU170" i="7"/>
  <c r="AD56" i="14"/>
  <c r="AD57" i="14" s="1"/>
  <c r="AD68" i="27"/>
  <c r="Z126" i="14"/>
  <c r="Z29" i="14"/>
  <c r="F127" i="14"/>
  <c r="F29" i="14"/>
  <c r="F126" i="14"/>
  <c r="F78" i="13" s="1"/>
  <c r="AB41" i="14"/>
  <c r="AB110" i="13"/>
  <c r="AF96" i="13"/>
  <c r="AK436" i="7"/>
  <c r="CA18" i="7"/>
  <c r="CB18" i="7" s="1"/>
  <c r="AG63" i="27"/>
  <c r="H11" i="12"/>
  <c r="H23" i="10"/>
  <c r="AP118" i="14"/>
  <c r="AP125" i="12" s="1"/>
  <c r="F51" i="12"/>
  <c r="AU436" i="7"/>
  <c r="AU438" i="7" s="1"/>
  <c r="AF436" i="7"/>
  <c r="AF438" i="7" s="1"/>
  <c r="BQ18" i="7"/>
  <c r="BR18" i="7" s="1"/>
  <c r="L129" i="10"/>
  <c r="D171" i="7"/>
  <c r="AU130" i="13"/>
  <c r="W265" i="1"/>
  <c r="AP242" i="1"/>
  <c r="G319" i="1"/>
  <c r="M260" i="1"/>
  <c r="E270" i="4"/>
  <c r="BV228" i="7"/>
  <c r="BQ687" i="7"/>
  <c r="BQ593" i="7"/>
  <c r="BQ281" i="7"/>
  <c r="BJ277" i="1"/>
  <c r="BJ316" i="4"/>
  <c r="BJ370" i="4" s="1"/>
  <c r="BS132" i="10"/>
  <c r="AL75" i="69"/>
  <c r="CI80" i="69"/>
  <c r="CK80" i="69" s="1"/>
  <c r="BX136" i="7"/>
  <c r="AX115" i="14"/>
  <c r="AY115" i="14" s="1"/>
  <c r="AY36" i="37" s="1"/>
  <c r="CI77" i="69"/>
  <c r="CK77" i="69" s="1"/>
  <c r="CJ77" i="69"/>
  <c r="AE72" i="69"/>
  <c r="CK38" i="69" s="1"/>
  <c r="W72" i="69"/>
  <c r="CH37" i="69" s="1"/>
  <c r="N49" i="69"/>
  <c r="AK72" i="69"/>
  <c r="AO72" i="69"/>
  <c r="CK40" i="69" s="1"/>
  <c r="AU141" i="9" l="1"/>
  <c r="C28" i="5"/>
  <c r="D819" i="7"/>
  <c r="AP252" i="7"/>
  <c r="F73" i="27"/>
  <c r="F74" i="27" s="1"/>
  <c r="F80" i="27" s="1"/>
  <c r="AP249" i="7"/>
  <c r="AP250" i="7"/>
  <c r="AU444" i="7"/>
  <c r="C133" i="5"/>
  <c r="C136" i="5" s="1"/>
  <c r="E155" i="5"/>
  <c r="AU136" i="5"/>
  <c r="M256" i="1"/>
  <c r="P256" i="1" s="1"/>
  <c r="O256" i="1"/>
  <c r="AC277" i="1"/>
  <c r="F155" i="5"/>
  <c r="D14" i="5"/>
  <c r="AK142" i="5"/>
  <c r="D34" i="5"/>
  <c r="AF819" i="7"/>
  <c r="AU72" i="27"/>
  <c r="G76" i="13"/>
  <c r="G104" i="10" s="1"/>
  <c r="AK122" i="5"/>
  <c r="AK129" i="10"/>
  <c r="AI129" i="10" s="1"/>
  <c r="AI121" i="10" s="1"/>
  <c r="AN12" i="12"/>
  <c r="AK237" i="7"/>
  <c r="AK82" i="14"/>
  <c r="AP164" i="1"/>
  <c r="G94" i="13"/>
  <c r="AK91" i="27"/>
  <c r="J75" i="13"/>
  <c r="G819" i="7"/>
  <c r="U91" i="13"/>
  <c r="Z127" i="13"/>
  <c r="N76" i="13"/>
  <c r="O127" i="13"/>
  <c r="J90" i="13"/>
  <c r="K89" i="13" s="1"/>
  <c r="K91" i="13" s="1"/>
  <c r="K68" i="27"/>
  <c r="O24" i="12"/>
  <c r="D164" i="4"/>
  <c r="D165" i="4" s="1"/>
  <c r="G36" i="14"/>
  <c r="G39" i="14" s="1"/>
  <c r="G42" i="14" s="1"/>
  <c r="AP490" i="7"/>
  <c r="AP491" i="7" s="1"/>
  <c r="K76" i="13"/>
  <c r="G127" i="13"/>
  <c r="O94" i="13"/>
  <c r="O100" i="13" s="1"/>
  <c r="AF188" i="9"/>
  <c r="R75" i="13"/>
  <c r="C136" i="1"/>
  <c r="V825" i="7"/>
  <c r="G121" i="9"/>
  <c r="G122" i="9" s="1"/>
  <c r="J127" i="13"/>
  <c r="F819" i="7"/>
  <c r="AX36" i="14"/>
  <c r="U241" i="1"/>
  <c r="D75" i="13"/>
  <c r="AF44" i="11"/>
  <c r="W56" i="14"/>
  <c r="W57" i="14" s="1"/>
  <c r="AA188" i="9"/>
  <c r="AP87" i="6"/>
  <c r="AK127" i="9"/>
  <c r="Y81" i="27"/>
  <c r="Y128" i="14" s="1"/>
  <c r="N68" i="27"/>
  <c r="AK19" i="11"/>
  <c r="AP12" i="11" s="1"/>
  <c r="AP19" i="11" s="1"/>
  <c r="CI17" i="10"/>
  <c r="AR187" i="12"/>
  <c r="AS186" i="12" s="1"/>
  <c r="AK224" i="9"/>
  <c r="AK226" i="9" s="1"/>
  <c r="AK175" i="9"/>
  <c r="V819" i="7"/>
  <c r="AP880" i="7"/>
  <c r="AP881" i="7" s="1"/>
  <c r="L96" i="12"/>
  <c r="AU710" i="7"/>
  <c r="AU711" i="7" s="1"/>
  <c r="F14" i="5"/>
  <c r="AC63" i="27"/>
  <c r="AC68" i="27" s="1"/>
  <c r="U75" i="69"/>
  <c r="R256" i="1"/>
  <c r="K142" i="14"/>
  <c r="K143" i="14" s="1"/>
  <c r="AP27" i="37"/>
  <c r="P262" i="1"/>
  <c r="Y12" i="12"/>
  <c r="W84" i="14"/>
  <c r="W85" i="14" s="1"/>
  <c r="Y79" i="14"/>
  <c r="N51" i="14"/>
  <c r="G78" i="13"/>
  <c r="G224" i="9"/>
  <c r="G226" i="9" s="1"/>
  <c r="Y235" i="4"/>
  <c r="AU704" i="7"/>
  <c r="AU717" i="7" s="1"/>
  <c r="I91" i="13"/>
  <c r="AF825" i="7"/>
  <c r="AF826" i="7" s="1"/>
  <c r="AU490" i="7"/>
  <c r="AU491" i="7" s="1"/>
  <c r="AP442" i="7"/>
  <c r="AP446" i="7"/>
  <c r="AP450" i="7" s="1"/>
  <c r="AF152" i="9"/>
  <c r="AF93" i="10" s="1"/>
  <c r="AP14" i="10"/>
  <c r="AK77" i="10"/>
  <c r="AK159" i="7"/>
  <c r="AL172" i="1"/>
  <c r="AU78" i="27"/>
  <c r="F9" i="7"/>
  <c r="K127" i="13"/>
  <c r="E55" i="14"/>
  <c r="E15" i="37" s="1"/>
  <c r="E18" i="37" s="1"/>
  <c r="Q45" i="37"/>
  <c r="AA41" i="14"/>
  <c r="L132" i="9"/>
  <c r="L27" i="27"/>
  <c r="AP29" i="14"/>
  <c r="AC79" i="14"/>
  <c r="AU53" i="7"/>
  <c r="AT84" i="14"/>
  <c r="N94" i="13"/>
  <c r="AF73" i="14"/>
  <c r="AF74" i="13"/>
  <c r="AF90" i="13" s="1"/>
  <c r="AA77" i="12"/>
  <c r="Q78" i="13"/>
  <c r="AJ81" i="27"/>
  <c r="AJ128" i="14" s="1"/>
  <c r="E27" i="27"/>
  <c r="T63" i="27"/>
  <c r="G75" i="13"/>
  <c r="BS228" i="7"/>
  <c r="AX94" i="13"/>
  <c r="AC256" i="1"/>
  <c r="CI79" i="69"/>
  <c r="CK79" i="69" s="1"/>
  <c r="CL79" i="69" s="1"/>
  <c r="AP306" i="7"/>
  <c r="AP247" i="7"/>
  <c r="S42" i="12"/>
  <c r="AN59" i="12"/>
  <c r="AU445" i="7"/>
  <c r="AK78" i="27"/>
  <c r="AA162" i="7"/>
  <c r="G91" i="14"/>
  <c r="E14" i="5"/>
  <c r="AA819" i="7"/>
  <c r="AA847" i="7" s="1"/>
  <c r="X127" i="13"/>
  <c r="W127" i="13"/>
  <c r="AJ63" i="27"/>
  <c r="AJ68" i="27" s="1"/>
  <c r="AP110" i="5"/>
  <c r="AP101" i="10" s="1"/>
  <c r="CI86" i="69"/>
  <c r="CK86" i="69" s="1"/>
  <c r="CL86" i="69" s="1"/>
  <c r="AU63" i="27"/>
  <c r="AU68" i="27" s="1"/>
  <c r="E79" i="14"/>
  <c r="Q76" i="13"/>
  <c r="Q104" i="10" s="1"/>
  <c r="AF11" i="11"/>
  <c r="E110" i="1"/>
  <c r="CI78" i="69"/>
  <c r="CK78" i="69" s="1"/>
  <c r="C152" i="9"/>
  <c r="C93" i="10" s="1"/>
  <c r="F49" i="7"/>
  <c r="J81" i="27"/>
  <c r="J128" i="14" s="1"/>
  <c r="J63" i="27"/>
  <c r="AO11" i="12"/>
  <c r="AO12" i="12" s="1"/>
  <c r="AB75" i="13"/>
  <c r="AK172" i="9"/>
  <c r="P127" i="13"/>
  <c r="AL63" i="27"/>
  <c r="F91" i="13"/>
  <c r="F130" i="27" s="1"/>
  <c r="AB76" i="13"/>
  <c r="AM169" i="1"/>
  <c r="C818" i="7"/>
  <c r="C819" i="7" s="1"/>
  <c r="AP83" i="14"/>
  <c r="AU74" i="14"/>
  <c r="AU873" i="7"/>
  <c r="AU544" i="7" s="1"/>
  <c r="AU818" i="7"/>
  <c r="AU825" i="7" s="1"/>
  <c r="AU826" i="7" s="1"/>
  <c r="AU103" i="5"/>
  <c r="AU110" i="5" s="1"/>
  <c r="AU101" i="10" s="1"/>
  <c r="CI88" i="69"/>
  <c r="CK88" i="69" s="1"/>
  <c r="AF568" i="7"/>
  <c r="AP719" i="7"/>
  <c r="V59" i="12"/>
  <c r="AP710" i="7"/>
  <c r="AP711" i="7" s="1"/>
  <c r="AP496" i="7"/>
  <c r="AF194" i="9"/>
  <c r="AX68" i="27"/>
  <c r="X76" i="13"/>
  <c r="AN169" i="1"/>
  <c r="AP11" i="11"/>
  <c r="AF718" i="7"/>
  <c r="AF721" i="7" s="1"/>
  <c r="AN37" i="12"/>
  <c r="AN42" i="12" s="1"/>
  <c r="N56" i="14"/>
  <c r="N57" i="14" s="1"/>
  <c r="L164" i="1"/>
  <c r="V41" i="14"/>
  <c r="G30" i="12"/>
  <c r="CG41" i="12" s="1"/>
  <c r="AE42" i="12"/>
  <c r="AN84" i="14"/>
  <c r="L819" i="7"/>
  <c r="AL169" i="1"/>
  <c r="D47" i="9"/>
  <c r="D54" i="9" s="1"/>
  <c r="AF126" i="9"/>
  <c r="Q66" i="12"/>
  <c r="Q127" i="9"/>
  <c r="G183" i="9"/>
  <c r="AT235" i="4"/>
  <c r="X75" i="13"/>
  <c r="AO169" i="1"/>
  <c r="S90" i="13"/>
  <c r="T89" i="13" s="1"/>
  <c r="T91" i="13" s="1"/>
  <c r="S76" i="13"/>
  <c r="S75" i="13"/>
  <c r="T84" i="14"/>
  <c r="T85" i="14" s="1"/>
  <c r="T56" i="14"/>
  <c r="T57" i="14" s="1"/>
  <c r="AU146" i="9"/>
  <c r="D121" i="5"/>
  <c r="D122" i="5" s="1"/>
  <c r="S75" i="69"/>
  <c r="S76" i="69" s="1"/>
  <c r="AP184" i="9"/>
  <c r="AJ169" i="1"/>
  <c r="P90" i="13"/>
  <c r="P91" i="13" s="1"/>
  <c r="P75" i="13"/>
  <c r="I79" i="14"/>
  <c r="I63" i="27"/>
  <c r="AI63" i="27"/>
  <c r="AI79" i="14"/>
  <c r="AI81" i="27"/>
  <c r="AI128" i="14" s="1"/>
  <c r="AI136" i="14" s="1"/>
  <c r="AI138" i="14" s="1"/>
  <c r="AF132" i="9"/>
  <c r="L825" i="7"/>
  <c r="V551" i="7"/>
  <c r="BS423" i="7"/>
  <c r="W75" i="13"/>
  <c r="X79" i="14"/>
  <c r="AQ169" i="1"/>
  <c r="Q131" i="13"/>
  <c r="Q135" i="13" s="1"/>
  <c r="W90" i="13"/>
  <c r="X89" i="13" s="1"/>
  <c r="X91" i="13" s="1"/>
  <c r="N90" i="13"/>
  <c r="O89" i="13" s="1"/>
  <c r="O91" i="13" s="1"/>
  <c r="Y277" i="1"/>
  <c r="AU543" i="7"/>
  <c r="J10" i="12"/>
  <c r="AP497" i="7"/>
  <c r="AA224" i="9"/>
  <c r="AA226" i="9" s="1"/>
  <c r="S127" i="13"/>
  <c r="AF141" i="9"/>
  <c r="Q41" i="14"/>
  <c r="Q42" i="14" s="1"/>
  <c r="AA164" i="4"/>
  <c r="AP72" i="14"/>
  <c r="AP25" i="7"/>
  <c r="AP28" i="7" s="1"/>
  <c r="AP29" i="7" s="1"/>
  <c r="AK56" i="1"/>
  <c r="AK431" i="7"/>
  <c r="AK432" i="7" s="1"/>
  <c r="AK443" i="7" s="1"/>
  <c r="F110" i="1"/>
  <c r="I127" i="13"/>
  <c r="AK38" i="13"/>
  <c r="C167" i="9"/>
  <c r="C157" i="9"/>
  <c r="AF180" i="9"/>
  <c r="AF107" i="27" s="1"/>
  <c r="AD84" i="14"/>
  <c r="AD51" i="14"/>
  <c r="H10" i="12"/>
  <c r="H25" i="12" s="1"/>
  <c r="CI76" i="69"/>
  <c r="CK76" i="69" s="1"/>
  <c r="CL76" i="69" s="1"/>
  <c r="AS78" i="11"/>
  <c r="AT68" i="11" s="1"/>
  <c r="W256" i="1"/>
  <c r="C121" i="9"/>
  <c r="C122" i="9" s="1"/>
  <c r="AF732" i="7"/>
  <c r="C193" i="9"/>
  <c r="F132" i="9"/>
  <c r="M81" i="27"/>
  <c r="M128" i="14" s="1"/>
  <c r="AH79" i="14"/>
  <c r="F63" i="27"/>
  <c r="F101" i="27" s="1"/>
  <c r="F125" i="27" s="1"/>
  <c r="AN29" i="12"/>
  <c r="X256" i="1"/>
  <c r="D189" i="9"/>
  <c r="L444" i="7"/>
  <c r="C183" i="9"/>
  <c r="C72" i="7" s="1"/>
  <c r="AF357" i="7"/>
  <c r="D84" i="7"/>
  <c r="AU14" i="10"/>
  <c r="AU19" i="10" s="1"/>
  <c r="CJ18" i="10" s="1"/>
  <c r="AL81" i="27"/>
  <c r="AL128" i="14" s="1"/>
  <c r="AL136" i="14" s="1"/>
  <c r="AL138" i="14" s="1"/>
  <c r="AK77" i="14"/>
  <c r="M63" i="27"/>
  <c r="M84" i="14" s="1"/>
  <c r="M85" i="14" s="1"/>
  <c r="AU164" i="1"/>
  <c r="S81" i="27"/>
  <c r="S128" i="14" s="1"/>
  <c r="F79" i="14"/>
  <c r="D127" i="13"/>
  <c r="L10" i="12"/>
  <c r="L25" i="12" s="1"/>
  <c r="CI18" i="10"/>
  <c r="AF566" i="7"/>
  <c r="D188" i="9"/>
  <c r="G14" i="5"/>
  <c r="F167" i="9"/>
  <c r="N127" i="13"/>
  <c r="AX44" i="47"/>
  <c r="AX161" i="13" s="1"/>
  <c r="H89" i="13"/>
  <c r="H91" i="13" s="1"/>
  <c r="L89" i="13"/>
  <c r="G91" i="13"/>
  <c r="G130" i="27" s="1"/>
  <c r="V120" i="14"/>
  <c r="AA112" i="14" s="1"/>
  <c r="AK126" i="9"/>
  <c r="C90" i="13"/>
  <c r="AW10" i="12"/>
  <c r="AW25" i="12" s="1"/>
  <c r="BK22" i="69"/>
  <c r="BK15" i="69"/>
  <c r="Q132" i="9"/>
  <c r="Y76" i="13"/>
  <c r="Y90" i="13"/>
  <c r="Y75" i="13"/>
  <c r="AD75" i="13"/>
  <c r="AD90" i="13"/>
  <c r="AE89" i="13" s="1"/>
  <c r="AE91" i="13" s="1"/>
  <c r="AD76" i="13"/>
  <c r="AM10" i="12"/>
  <c r="AM25" i="12" s="1"/>
  <c r="D90" i="13"/>
  <c r="E89" i="13" s="1"/>
  <c r="E91" i="13" s="1"/>
  <c r="E130" i="27" s="1"/>
  <c r="J84" i="14"/>
  <c r="J68" i="27"/>
  <c r="AV10" i="12"/>
  <c r="AV25" i="12" s="1"/>
  <c r="X25" i="12"/>
  <c r="AJ25" i="12"/>
  <c r="AA157" i="9"/>
  <c r="AP74" i="14"/>
  <c r="C175" i="9"/>
  <c r="F121" i="9"/>
  <c r="F122" i="9" s="1"/>
  <c r="AB25" i="12"/>
  <c r="AB30" i="12" s="1"/>
  <c r="CG58" i="12" s="1"/>
  <c r="R25" i="12"/>
  <c r="AC42" i="12"/>
  <c r="AF10" i="12"/>
  <c r="AI10" i="12"/>
  <c r="AI25" i="12" s="1"/>
  <c r="Z10" i="12"/>
  <c r="Z25" i="12" s="1"/>
  <c r="AA10" i="12"/>
  <c r="AA25" i="12" s="1"/>
  <c r="E26" i="39"/>
  <c r="E28" i="39" s="1"/>
  <c r="AC91" i="13"/>
  <c r="AG25" i="12"/>
  <c r="Q152" i="9"/>
  <c r="Q93" i="10" s="1"/>
  <c r="G132" i="9"/>
  <c r="V183" i="9"/>
  <c r="D223" i="9"/>
  <c r="D225" i="9" s="1"/>
  <c r="F189" i="9"/>
  <c r="AA189" i="9"/>
  <c r="AE10" i="12"/>
  <c r="AE25" i="12" s="1"/>
  <c r="T10" i="12"/>
  <c r="T25" i="12" s="1"/>
  <c r="AK127" i="10"/>
  <c r="AH127" i="10" s="1"/>
  <c r="AH119" i="10" s="1"/>
  <c r="AK128" i="10"/>
  <c r="AG128" i="10" s="1"/>
  <c r="AG120" i="10" s="1"/>
  <c r="AK132" i="10"/>
  <c r="AI132" i="10" s="1"/>
  <c r="AI124" i="10" s="1"/>
  <c r="AK110" i="10"/>
  <c r="AP116" i="10" s="1"/>
  <c r="L94" i="13"/>
  <c r="D54" i="14"/>
  <c r="AK131" i="10"/>
  <c r="AJ131" i="10" s="1"/>
  <c r="AJ123" i="10" s="1"/>
  <c r="AK130" i="10"/>
  <c r="AH130" i="10" s="1"/>
  <c r="AH122" i="10" s="1"/>
  <c r="D49" i="7"/>
  <c r="AU715" i="7"/>
  <c r="AF356" i="7"/>
  <c r="AF360" i="7" s="1"/>
  <c r="Q355" i="7"/>
  <c r="Q353" i="7"/>
  <c r="Q352" i="7"/>
  <c r="CH46" i="69"/>
  <c r="CH47" i="69"/>
  <c r="CI46" i="69"/>
  <c r="CI47" i="69"/>
  <c r="CJ47" i="69"/>
  <c r="CJ46" i="69"/>
  <c r="BR136" i="7"/>
  <c r="BR43" i="7" s="1"/>
  <c r="CL74" i="69"/>
  <c r="D91" i="14"/>
  <c r="D66" i="12" s="1"/>
  <c r="D100" i="12" s="1"/>
  <c r="D39" i="14"/>
  <c r="D42" i="14" s="1"/>
  <c r="D94" i="13"/>
  <c r="D100" i="13" s="1"/>
  <c r="AH91" i="14"/>
  <c r="AH36" i="14"/>
  <c r="AH39" i="14" s="1"/>
  <c r="L36" i="14"/>
  <c r="L39" i="14" s="1"/>
  <c r="AH94" i="13"/>
  <c r="AB94" i="13"/>
  <c r="AU127" i="14"/>
  <c r="AB36" i="14"/>
  <c r="AB39" i="14" s="1"/>
  <c r="AB42" i="14" s="1"/>
  <c r="AB85" i="14" s="1"/>
  <c r="AA211" i="12"/>
  <c r="BF12" i="12"/>
  <c r="BF15" i="12" s="1"/>
  <c r="H256" i="1"/>
  <c r="I256" i="1" s="1"/>
  <c r="J256" i="1" s="1"/>
  <c r="K256" i="1" s="1"/>
  <c r="S256" i="1"/>
  <c r="AP303" i="7"/>
  <c r="AP300" i="7"/>
  <c r="Q300" i="7"/>
  <c r="AA263" i="7"/>
  <c r="AK170" i="7"/>
  <c r="AF371" i="7"/>
  <c r="AF530" i="7"/>
  <c r="AF572" i="7" s="1"/>
  <c r="AK139" i="7"/>
  <c r="CH167" i="7" s="1"/>
  <c r="AF302" i="7"/>
  <c r="AF300" i="7"/>
  <c r="AP458" i="7"/>
  <c r="AA264" i="7"/>
  <c r="AA261" i="7"/>
  <c r="F370" i="7"/>
  <c r="F26" i="39"/>
  <c r="F28" i="39" s="1"/>
  <c r="AK454" i="7"/>
  <c r="AK424" i="7"/>
  <c r="AK427" i="7" s="1"/>
  <c r="BT72" i="69"/>
  <c r="BO12" i="37"/>
  <c r="AB256" i="1"/>
  <c r="CH228" i="7"/>
  <c r="CK228" i="7" s="1"/>
  <c r="CL228" i="7" s="1"/>
  <c r="E172" i="7"/>
  <c r="AP567" i="7"/>
  <c r="AU424" i="7"/>
  <c r="AU460" i="7" s="1"/>
  <c r="AP568" i="7"/>
  <c r="AP565" i="7"/>
  <c r="AU456" i="7"/>
  <c r="AF778" i="7"/>
  <c r="AF781" i="7" s="1"/>
  <c r="AP447" i="7"/>
  <c r="AP500" i="7"/>
  <c r="AF500" i="7"/>
  <c r="CH138" i="7"/>
  <c r="CK138" i="7" s="1"/>
  <c r="CL138" i="7" s="1"/>
  <c r="CH137" i="7"/>
  <c r="CK137" i="7" s="1"/>
  <c r="CL137" i="7" s="1"/>
  <c r="E169" i="7"/>
  <c r="AF776" i="7"/>
  <c r="AF261" i="7"/>
  <c r="AP358" i="7"/>
  <c r="AP443" i="7"/>
  <c r="AF445" i="7"/>
  <c r="AP513" i="7"/>
  <c r="L173" i="7"/>
  <c r="AP495" i="7"/>
  <c r="L158" i="7"/>
  <c r="AP457" i="7"/>
  <c r="AF791" i="7"/>
  <c r="AP499" i="7"/>
  <c r="AK301" i="7"/>
  <c r="AN75" i="69"/>
  <c r="AN76" i="69" s="1"/>
  <c r="AZ15" i="69"/>
  <c r="AZ18" i="69" s="1"/>
  <c r="AZ23" i="69" s="1"/>
  <c r="AZ22" i="69"/>
  <c r="CL80" i="69"/>
  <c r="BN12" i="69"/>
  <c r="BN22" i="69" s="1"/>
  <c r="D78" i="13"/>
  <c r="C78" i="13"/>
  <c r="BW12" i="69"/>
  <c r="BW22" i="69" s="1"/>
  <c r="BW21" i="69"/>
  <c r="BP12" i="69"/>
  <c r="BP22" i="69" s="1"/>
  <c r="BP21" i="69"/>
  <c r="CL73" i="69"/>
  <c r="CL82" i="69"/>
  <c r="CL65" i="69"/>
  <c r="CL87" i="69"/>
  <c r="CL84" i="69"/>
  <c r="CL89" i="69"/>
  <c r="BV52" i="27"/>
  <c r="BV11" i="27" s="1"/>
  <c r="BV22" i="69"/>
  <c r="BR52" i="27"/>
  <c r="BR73" i="14" s="1"/>
  <c r="BR22" i="69"/>
  <c r="BM22" i="69"/>
  <c r="CI68" i="69"/>
  <c r="CK68" i="69" s="1"/>
  <c r="Z75" i="69"/>
  <c r="Z76" i="69" s="1"/>
  <c r="AQ75" i="69"/>
  <c r="AQ76" i="69" s="1"/>
  <c r="AW75" i="69"/>
  <c r="AW76" i="69" s="1"/>
  <c r="CI262" i="7"/>
  <c r="CI261" i="7"/>
  <c r="CI260" i="7"/>
  <c r="CI259" i="7"/>
  <c r="CI258" i="7"/>
  <c r="CI257" i="7"/>
  <c r="CI256" i="7"/>
  <c r="CI255" i="7"/>
  <c r="CI254" i="7"/>
  <c r="CI253" i="7"/>
  <c r="CI252" i="7"/>
  <c r="CH262" i="7"/>
  <c r="CH261" i="7"/>
  <c r="CH260" i="7"/>
  <c r="CH256" i="7"/>
  <c r="CH255" i="7"/>
  <c r="CH253" i="7"/>
  <c r="CI70" i="7"/>
  <c r="CI72" i="7"/>
  <c r="CI74" i="7"/>
  <c r="CI76" i="7"/>
  <c r="G77" i="27"/>
  <c r="G78" i="27" s="1"/>
  <c r="CI68" i="7"/>
  <c r="G318" i="7"/>
  <c r="CH304" i="7"/>
  <c r="G479" i="7"/>
  <c r="G513" i="7" s="1"/>
  <c r="CH498" i="7"/>
  <c r="CI69" i="7"/>
  <c r="CI71" i="7"/>
  <c r="CI73" i="7"/>
  <c r="CI75" i="7"/>
  <c r="AU44" i="47"/>
  <c r="AU161" i="13" s="1"/>
  <c r="AO161" i="13"/>
  <c r="AT85" i="47"/>
  <c r="AT100" i="47" s="1"/>
  <c r="AK99" i="47"/>
  <c r="AK41" i="12" s="1"/>
  <c r="AD125" i="13"/>
  <c r="AD127" i="13" s="1"/>
  <c r="AF99" i="47"/>
  <c r="AF41" i="12" s="1"/>
  <c r="AP99" i="47"/>
  <c r="AP41" i="12" s="1"/>
  <c r="AX183" i="13"/>
  <c r="AT183" i="13"/>
  <c r="E173" i="7"/>
  <c r="L443" i="7"/>
  <c r="AP371" i="7"/>
  <c r="AA36" i="11"/>
  <c r="AA37" i="11" s="1"/>
  <c r="C49" i="7"/>
  <c r="AF714" i="7"/>
  <c r="AF446" i="7"/>
  <c r="AF450" i="7" s="1"/>
  <c r="D175" i="7"/>
  <c r="AK457" i="7"/>
  <c r="AK458" i="7"/>
  <c r="AF715" i="7"/>
  <c r="BQ588" i="7"/>
  <c r="BQ591" i="7" s="1"/>
  <c r="Q456" i="7"/>
  <c r="CB45" i="7"/>
  <c r="L446" i="7"/>
  <c r="L450" i="7" s="1"/>
  <c r="Q447" i="7"/>
  <c r="E171" i="7"/>
  <c r="AU496" i="7"/>
  <c r="AF719" i="7"/>
  <c r="CB807" i="7"/>
  <c r="CC807" i="7" s="1"/>
  <c r="CC862" i="7" s="1"/>
  <c r="Q455" i="7"/>
  <c r="AK455" i="7"/>
  <c r="AF443" i="7"/>
  <c r="AF716" i="7"/>
  <c r="Q354" i="7"/>
  <c r="Q357" i="7"/>
  <c r="AF355" i="7"/>
  <c r="L251" i="7"/>
  <c r="L256" i="7" s="1"/>
  <c r="AU455" i="7"/>
  <c r="AA259" i="7"/>
  <c r="AP36" i="11"/>
  <c r="AP37" i="11" s="1"/>
  <c r="AK168" i="7"/>
  <c r="AA551" i="7"/>
  <c r="AA552" i="7" s="1"/>
  <c r="AK43" i="11"/>
  <c r="AK44" i="11" s="1"/>
  <c r="AP43" i="11"/>
  <c r="AP44" i="11" s="1"/>
  <c r="BK28" i="69"/>
  <c r="BJ129" i="12"/>
  <c r="AX125" i="13"/>
  <c r="AX127" i="13" s="1"/>
  <c r="E183" i="9"/>
  <c r="AF179" i="9"/>
  <c r="C179" i="9"/>
  <c r="AP179" i="9"/>
  <c r="AA223" i="9"/>
  <c r="AA225" i="9" s="1"/>
  <c r="AU188" i="9"/>
  <c r="V179" i="9"/>
  <c r="AK194" i="9"/>
  <c r="D126" i="9"/>
  <c r="E194" i="9"/>
  <c r="AK167" i="9"/>
  <c r="Q183" i="9"/>
  <c r="AF570" i="7"/>
  <c r="AF159" i="7"/>
  <c r="V170" i="7"/>
  <c r="E170" i="7"/>
  <c r="AU494" i="7"/>
  <c r="AP356" i="7"/>
  <c r="AP360" i="7" s="1"/>
  <c r="AP353" i="7"/>
  <c r="AF497" i="7"/>
  <c r="Q301" i="7"/>
  <c r="AU36" i="11"/>
  <c r="AU37" i="11" s="1"/>
  <c r="AF565" i="7"/>
  <c r="AP357" i="7"/>
  <c r="AF567" i="7"/>
  <c r="AK306" i="7"/>
  <c r="AP494" i="7"/>
  <c r="AU162" i="7"/>
  <c r="AP545" i="7"/>
  <c r="AP557" i="7" s="1"/>
  <c r="AP448" i="7"/>
  <c r="AP453" i="7"/>
  <c r="F175" i="7"/>
  <c r="AF38" i="7"/>
  <c r="AF77" i="7" s="1"/>
  <c r="BR585" i="7"/>
  <c r="BR588" i="7" s="1"/>
  <c r="BR591" i="7" s="1"/>
  <c r="CL11" i="6"/>
  <c r="F179" i="9"/>
  <c r="AU126" i="9"/>
  <c r="AF167" i="9"/>
  <c r="AP126" i="9"/>
  <c r="AP127" i="9"/>
  <c r="V121" i="9"/>
  <c r="V122" i="9" s="1"/>
  <c r="AZ126" i="9"/>
  <c r="AF184" i="9"/>
  <c r="D179" i="9"/>
  <c r="AP121" i="9"/>
  <c r="AP122" i="9" s="1"/>
  <c r="AK184" i="9"/>
  <c r="G127" i="9"/>
  <c r="AP189" i="9"/>
  <c r="AP172" i="9"/>
  <c r="AP167" i="9"/>
  <c r="AU132" i="9"/>
  <c r="AU180" i="9"/>
  <c r="AU107" i="27" s="1"/>
  <c r="AP194" i="9"/>
  <c r="V132" i="9"/>
  <c r="G141" i="9"/>
  <c r="F224" i="9"/>
  <c r="F226" i="9" s="1"/>
  <c r="AU223" i="9"/>
  <c r="AU225" i="9" s="1"/>
  <c r="G152" i="9"/>
  <c r="G93" i="10" s="1"/>
  <c r="V175" i="9"/>
  <c r="F157" i="9"/>
  <c r="AF223" i="9"/>
  <c r="AF225" i="9" s="1"/>
  <c r="G167" i="9"/>
  <c r="AP183" i="9"/>
  <c r="AP132" i="9"/>
  <c r="AP162" i="9"/>
  <c r="AP188" i="9"/>
  <c r="E127" i="9"/>
  <c r="AP146" i="9"/>
  <c r="D127" i="9"/>
  <c r="V189" i="9"/>
  <c r="AF189" i="9"/>
  <c r="AU152" i="9"/>
  <c r="AU93" i="10" s="1"/>
  <c r="F223" i="9"/>
  <c r="F225" i="9" s="1"/>
  <c r="AA179" i="9"/>
  <c r="E121" i="9"/>
  <c r="E122" i="9" s="1"/>
  <c r="L152" i="9"/>
  <c r="L93" i="10" s="1"/>
  <c r="AF157" i="9"/>
  <c r="AG418" i="3"/>
  <c r="AG447" i="3" s="1"/>
  <c r="AI418" i="3"/>
  <c r="AI447" i="3" s="1"/>
  <c r="AD418" i="3"/>
  <c r="AD447" i="3" s="1"/>
  <c r="Z418" i="3"/>
  <c r="Z447" i="3" s="1"/>
  <c r="BT199" i="4" s="1"/>
  <c r="V418" i="3"/>
  <c r="V447" i="3" s="1"/>
  <c r="AZ199" i="4" s="1"/>
  <c r="R418" i="3"/>
  <c r="R447" i="3" s="1"/>
  <c r="AF199" i="4" s="1"/>
  <c r="N418" i="3"/>
  <c r="N447" i="3" s="1"/>
  <c r="L199" i="4" s="1"/>
  <c r="AL418" i="3"/>
  <c r="AL447" i="3" s="1"/>
  <c r="AH418" i="3"/>
  <c r="AH447" i="3" s="1"/>
  <c r="AC418" i="3"/>
  <c r="AC447" i="3" s="1"/>
  <c r="Y418" i="3"/>
  <c r="Y447" i="3" s="1"/>
  <c r="BO199" i="4" s="1"/>
  <c r="U418" i="3"/>
  <c r="U447" i="3" s="1"/>
  <c r="AU199" i="4" s="1"/>
  <c r="Q418" i="3"/>
  <c r="Q447" i="3" s="1"/>
  <c r="AA199" i="4" s="1"/>
  <c r="M418" i="3"/>
  <c r="M447" i="3" s="1"/>
  <c r="G199" i="4" s="1"/>
  <c r="AK418" i="3"/>
  <c r="AK447" i="3" s="1"/>
  <c r="AF418" i="3"/>
  <c r="AF447" i="3" s="1"/>
  <c r="AB418" i="3"/>
  <c r="AB447" i="3" s="1"/>
  <c r="CD199" i="4" s="1"/>
  <c r="X418" i="3"/>
  <c r="X447" i="3" s="1"/>
  <c r="T418" i="3"/>
  <c r="T447" i="3" s="1"/>
  <c r="AP199" i="4" s="1"/>
  <c r="P418" i="3"/>
  <c r="P447" i="3" s="1"/>
  <c r="V199" i="4" s="1"/>
  <c r="L418" i="3"/>
  <c r="L447" i="3" s="1"/>
  <c r="F199" i="4" s="1"/>
  <c r="AJ418" i="3"/>
  <c r="AJ447" i="3" s="1"/>
  <c r="AE418" i="3"/>
  <c r="AE447" i="3" s="1"/>
  <c r="AA418" i="3"/>
  <c r="AA447" i="3" s="1"/>
  <c r="BY199" i="4" s="1"/>
  <c r="W418" i="3"/>
  <c r="W447" i="3" s="1"/>
  <c r="BE199" i="4" s="1"/>
  <c r="S418" i="3"/>
  <c r="S447" i="3" s="1"/>
  <c r="AK199" i="4" s="1"/>
  <c r="O418" i="3"/>
  <c r="O447" i="3" s="1"/>
  <c r="Q199" i="4" s="1"/>
  <c r="K418" i="3"/>
  <c r="K447" i="3" s="1"/>
  <c r="E199" i="4" s="1"/>
  <c r="AP67" i="37"/>
  <c r="AN141" i="14"/>
  <c r="AN142" i="14" s="1"/>
  <c r="AN143" i="14" s="1"/>
  <c r="AQ54" i="37"/>
  <c r="AQ141" i="14" s="1"/>
  <c r="U134" i="14"/>
  <c r="U136" i="14" s="1"/>
  <c r="U138" i="14" s="1"/>
  <c r="AP132" i="10"/>
  <c r="AN132" i="10" s="1"/>
  <c r="AN124" i="10" s="1"/>
  <c r="V211" i="12"/>
  <c r="AK27" i="37"/>
  <c r="Q211" i="12"/>
  <c r="AU36" i="37"/>
  <c r="AP206" i="12"/>
  <c r="AP65" i="37"/>
  <c r="AK129" i="12"/>
  <c r="AU130" i="10"/>
  <c r="AS130" i="10" s="1"/>
  <c r="AS122" i="10" s="1"/>
  <c r="AF211" i="12"/>
  <c r="AZ210" i="12"/>
  <c r="AZ197" i="12"/>
  <c r="AP210" i="12"/>
  <c r="AP197" i="12"/>
  <c r="Q198" i="12"/>
  <c r="AK235" i="12"/>
  <c r="AK206" i="12" s="1"/>
  <c r="AK63" i="37"/>
  <c r="AK67" i="37" s="1"/>
  <c r="L193" i="12"/>
  <c r="L24" i="12"/>
  <c r="L197" i="12"/>
  <c r="L210" i="12"/>
  <c r="L211" i="12" s="1"/>
  <c r="BF210" i="12"/>
  <c r="BF211" i="12" s="1"/>
  <c r="BF197" i="12"/>
  <c r="AU65" i="37"/>
  <c r="AU67" i="37"/>
  <c r="AI97" i="13"/>
  <c r="AI98" i="13" s="1"/>
  <c r="AI100" i="13" s="1"/>
  <c r="AR185" i="13"/>
  <c r="C75" i="13"/>
  <c r="AS125" i="13"/>
  <c r="AS127" i="13" s="1"/>
  <c r="AT125" i="13"/>
  <c r="AT127" i="13" s="1"/>
  <c r="AV185" i="13"/>
  <c r="L447" i="7"/>
  <c r="L445" i="7"/>
  <c r="Q446" i="7"/>
  <c r="Q450" i="7" s="1"/>
  <c r="AF496" i="7"/>
  <c r="Q443" i="7"/>
  <c r="AF499" i="7"/>
  <c r="Q445" i="7"/>
  <c r="AF775" i="7"/>
  <c r="AP354" i="7"/>
  <c r="AF494" i="7"/>
  <c r="AP445" i="7"/>
  <c r="AK353" i="7"/>
  <c r="AF444" i="7"/>
  <c r="Q356" i="7"/>
  <c r="Q360" i="7" s="1"/>
  <c r="AF354" i="7"/>
  <c r="AA303" i="7"/>
  <c r="AF353" i="7"/>
  <c r="AU446" i="7"/>
  <c r="AU450" i="7" s="1"/>
  <c r="V53" i="7"/>
  <c r="BS235" i="4"/>
  <c r="AW235" i="4"/>
  <c r="J46" i="37"/>
  <c r="J53" i="37" s="1"/>
  <c r="J54" i="37" s="1"/>
  <c r="J134" i="14" s="1"/>
  <c r="AV54" i="37"/>
  <c r="AV134" i="14" s="1"/>
  <c r="AA777" i="7"/>
  <c r="V303" i="7"/>
  <c r="AP352" i="7"/>
  <c r="AA496" i="7"/>
  <c r="C157" i="7"/>
  <c r="V301" i="7"/>
  <c r="AU352" i="7"/>
  <c r="AF551" i="7"/>
  <c r="AF552" i="7" s="1"/>
  <c r="AF513" i="7"/>
  <c r="Q444" i="7"/>
  <c r="AF495" i="7"/>
  <c r="BG210" i="12"/>
  <c r="BG211" i="12" s="1"/>
  <c r="BG197" i="12"/>
  <c r="AX235" i="4"/>
  <c r="V300" i="7"/>
  <c r="AF319" i="7"/>
  <c r="AA139" i="7"/>
  <c r="AA175" i="7" s="1"/>
  <c r="AK305" i="7"/>
  <c r="AF305" i="7"/>
  <c r="AA456" i="7"/>
  <c r="AF163" i="7"/>
  <c r="V306" i="7"/>
  <c r="V305" i="7"/>
  <c r="AF157" i="7"/>
  <c r="C84" i="7"/>
  <c r="V304" i="7"/>
  <c r="V308" i="7" s="1"/>
  <c r="AK304" i="7"/>
  <c r="AK308" i="7" s="1"/>
  <c r="AK302" i="7"/>
  <c r="AP847" i="7"/>
  <c r="AF162" i="7"/>
  <c r="AA355" i="7"/>
  <c r="AA154" i="7"/>
  <c r="AK319" i="7"/>
  <c r="AK300" i="7"/>
  <c r="AF304" i="7"/>
  <c r="AF308" i="7" s="1"/>
  <c r="AF306" i="7"/>
  <c r="AF301" i="7"/>
  <c r="C160" i="7"/>
  <c r="AK160" i="7"/>
  <c r="G104" i="27"/>
  <c r="AJ185" i="13"/>
  <c r="AN14" i="12"/>
  <c r="AN15" i="12"/>
  <c r="AL14" i="12"/>
  <c r="AL15" i="12"/>
  <c r="Y14" i="12"/>
  <c r="Y15" i="12"/>
  <c r="AX15" i="12"/>
  <c r="AQ185" i="13"/>
  <c r="AQ183" i="13"/>
  <c r="AX42" i="12"/>
  <c r="AJ125" i="13"/>
  <c r="AJ127" i="13" s="1"/>
  <c r="CD40" i="27"/>
  <c r="AR125" i="13"/>
  <c r="AR127" i="13" s="1"/>
  <c r="AL125" i="13"/>
  <c r="AL127" i="13" s="1"/>
  <c r="AS183" i="13"/>
  <c r="AE125" i="13"/>
  <c r="AE127" i="13" s="1"/>
  <c r="AL42" i="12"/>
  <c r="CW79" i="47"/>
  <c r="AI185" i="13"/>
  <c r="AM185" i="13"/>
  <c r="AV125" i="13"/>
  <c r="AV127" i="13" s="1"/>
  <c r="AM125" i="13"/>
  <c r="AM127" i="13" s="1"/>
  <c r="AD174" i="13"/>
  <c r="AD129" i="13"/>
  <c r="AD131" i="13" s="1"/>
  <c r="AD135" i="13" s="1"/>
  <c r="AI125" i="13"/>
  <c r="AI127" i="13" s="1"/>
  <c r="AT185" i="13"/>
  <c r="AI161" i="13"/>
  <c r="AC161" i="13"/>
  <c r="AL161" i="13"/>
  <c r="AE161" i="13"/>
  <c r="AS85" i="47"/>
  <c r="AS100" i="47" s="1"/>
  <c r="AQ85" i="47"/>
  <c r="AW161" i="13"/>
  <c r="AS161" i="13"/>
  <c r="AO125" i="13"/>
  <c r="AO127" i="13" s="1"/>
  <c r="AP183" i="13"/>
  <c r="AU90" i="12"/>
  <c r="CK189" i="13"/>
  <c r="AJ183" i="13"/>
  <c r="AL185" i="13"/>
  <c r="AO185" i="13"/>
  <c r="AK183" i="13"/>
  <c r="AE129" i="13"/>
  <c r="AE131" i="13" s="1"/>
  <c r="AE135" i="13" s="1"/>
  <c r="AO183" i="13"/>
  <c r="S25" i="12"/>
  <c r="S30" i="12" s="1"/>
  <c r="CG51" i="12" s="1"/>
  <c r="O12" i="12"/>
  <c r="O25" i="12"/>
  <c r="O29" i="12" s="1"/>
  <c r="AH25" i="12"/>
  <c r="AH30" i="12" s="1"/>
  <c r="CG63" i="12" s="1"/>
  <c r="P25" i="12"/>
  <c r="P30" i="12" s="1"/>
  <c r="CG49" i="12" s="1"/>
  <c r="AU195" i="12"/>
  <c r="V12" i="12"/>
  <c r="V25" i="12"/>
  <c r="K12" i="12"/>
  <c r="K25" i="12"/>
  <c r="K30" i="12" s="1"/>
  <c r="CG45" i="12" s="1"/>
  <c r="AO25" i="12"/>
  <c r="AO29" i="12" s="1"/>
  <c r="Q12" i="12"/>
  <c r="Q25" i="12"/>
  <c r="Q29" i="12" s="1"/>
  <c r="AF12" i="12"/>
  <c r="AF25" i="12"/>
  <c r="AC12" i="12"/>
  <c r="AC25" i="12"/>
  <c r="AZ39" i="12"/>
  <c r="AZ209" i="12"/>
  <c r="AZ205" i="12" s="1"/>
  <c r="L51" i="12"/>
  <c r="L59" i="12" s="1"/>
  <c r="AU43" i="12"/>
  <c r="AU208" i="12"/>
  <c r="AP39" i="12"/>
  <c r="AP209" i="12"/>
  <c r="AP205" i="12" s="1"/>
  <c r="Q51" i="12"/>
  <c r="Q19" i="37" s="1"/>
  <c r="AK39" i="12"/>
  <c r="AK209" i="12"/>
  <c r="AK205" i="12" s="1"/>
  <c r="AP43" i="12"/>
  <c r="AP51" i="12" s="1"/>
  <c r="AP19" i="37" s="1"/>
  <c r="AP208" i="12"/>
  <c r="AU39" i="12"/>
  <c r="AU209" i="12"/>
  <c r="AU205" i="12" s="1"/>
  <c r="AA51" i="12"/>
  <c r="AA19" i="37" s="1"/>
  <c r="AK43" i="12"/>
  <c r="AK208" i="12"/>
  <c r="Q79" i="13"/>
  <c r="AZ195" i="12"/>
  <c r="BY59" i="12"/>
  <c r="AQ12" i="12"/>
  <c r="AK127" i="12"/>
  <c r="BT59" i="12"/>
  <c r="F79" i="13"/>
  <c r="W12" i="12"/>
  <c r="P12" i="12"/>
  <c r="F12" i="12"/>
  <c r="R42" i="12"/>
  <c r="J25" i="12"/>
  <c r="AQ60" i="12"/>
  <c r="AQ59" i="12" s="1"/>
  <c r="U12" i="12"/>
  <c r="T42" i="12"/>
  <c r="AB12" i="12"/>
  <c r="AB42" i="12"/>
  <c r="AS59" i="12"/>
  <c r="AD12" i="12"/>
  <c r="AP23" i="10"/>
  <c r="AU28" i="7"/>
  <c r="AU29" i="7" s="1"/>
  <c r="AP48" i="12"/>
  <c r="G26" i="12"/>
  <c r="G29" i="12"/>
  <c r="AP56" i="12"/>
  <c r="AF59" i="12"/>
  <c r="G12" i="12"/>
  <c r="Q42" i="12"/>
  <c r="E59" i="12"/>
  <c r="AP439" i="7"/>
  <c r="AR161" i="13"/>
  <c r="AC125" i="13"/>
  <c r="AC127" i="13" s="1"/>
  <c r="AW159" i="13"/>
  <c r="AC129" i="13"/>
  <c r="AC131" i="13" s="1"/>
  <c r="AC135" i="13" s="1"/>
  <c r="AG185" i="13"/>
  <c r="AG125" i="13"/>
  <c r="AG127" i="13" s="1"/>
  <c r="CU75" i="47"/>
  <c r="CV82" i="47"/>
  <c r="AQ161" i="13"/>
  <c r="AR85" i="47"/>
  <c r="AR100" i="47" s="1"/>
  <c r="AE185" i="13"/>
  <c r="AG174" i="13"/>
  <c r="AE174" i="13"/>
  <c r="AG129" i="13"/>
  <c r="AG131" i="13" s="1"/>
  <c r="AG135" i="13" s="1"/>
  <c r="G244" i="7"/>
  <c r="BZ52" i="27"/>
  <c r="BZ27" i="69" s="1"/>
  <c r="BZ28" i="69" s="1"/>
  <c r="L247" i="7"/>
  <c r="G249" i="7"/>
  <c r="Q127" i="12"/>
  <c r="AA131" i="13"/>
  <c r="AA135" i="13" s="1"/>
  <c r="G250" i="7"/>
  <c r="AA444" i="7"/>
  <c r="AA251" i="7"/>
  <c r="AA256" i="7" s="1"/>
  <c r="AA249" i="7"/>
  <c r="AU161" i="7"/>
  <c r="AU165" i="7" s="1"/>
  <c r="AU158" i="7"/>
  <c r="AU163" i="7"/>
  <c r="AA253" i="7"/>
  <c r="AK161" i="7"/>
  <c r="AK165" i="7" s="1"/>
  <c r="AF158" i="7"/>
  <c r="AP302" i="7"/>
  <c r="C159" i="7"/>
  <c r="C162" i="7"/>
  <c r="AU500" i="7"/>
  <c r="Q306" i="7"/>
  <c r="AA254" i="7"/>
  <c r="G252" i="7"/>
  <c r="AA250" i="7"/>
  <c r="G247" i="7"/>
  <c r="AU159" i="7"/>
  <c r="AU176" i="7"/>
  <c r="CH136" i="7" s="1"/>
  <c r="CK136" i="7" s="1"/>
  <c r="CL136" i="7" s="1"/>
  <c r="AU497" i="7"/>
  <c r="Q825" i="7"/>
  <c r="Q302" i="7"/>
  <c r="AU157" i="7"/>
  <c r="AF887" i="7"/>
  <c r="AA247" i="7"/>
  <c r="AP301" i="7"/>
  <c r="AP305" i="7"/>
  <c r="AU499" i="7"/>
  <c r="AF774" i="7"/>
  <c r="AF777" i="7"/>
  <c r="AP444" i="7"/>
  <c r="AU353" i="7"/>
  <c r="Q305" i="7"/>
  <c r="AA495" i="7"/>
  <c r="AA252" i="7"/>
  <c r="AA445" i="7"/>
  <c r="L500" i="7"/>
  <c r="AF358" i="7"/>
  <c r="C161" i="7"/>
  <c r="C165" i="7" s="1"/>
  <c r="AA304" i="7"/>
  <c r="AA308" i="7" s="1"/>
  <c r="AU447" i="7"/>
  <c r="AU442" i="7"/>
  <c r="Q304" i="7"/>
  <c r="Q308" i="7" s="1"/>
  <c r="AU498" i="7"/>
  <c r="AU502" i="7" s="1"/>
  <c r="AU513" i="7"/>
  <c r="AK157" i="7"/>
  <c r="L487" i="3"/>
  <c r="P487" i="3"/>
  <c r="T487" i="3"/>
  <c r="M487" i="3"/>
  <c r="Q487" i="3"/>
  <c r="U487" i="3"/>
  <c r="N487" i="3"/>
  <c r="R487" i="3"/>
  <c r="V487" i="3"/>
  <c r="K487" i="3"/>
  <c r="O487" i="3"/>
  <c r="S487" i="3"/>
  <c r="W487" i="3"/>
  <c r="AU11" i="9"/>
  <c r="AU18" i="9" s="1"/>
  <c r="AZ11" i="9" s="1"/>
  <c r="AZ18" i="9" s="1"/>
  <c r="BE11" i="9" s="1"/>
  <c r="BE18" i="9" s="1"/>
  <c r="BJ11" i="9" s="1"/>
  <c r="BJ18" i="9" s="1"/>
  <c r="F183" i="9"/>
  <c r="D175" i="9"/>
  <c r="D167" i="9"/>
  <c r="AU127" i="9"/>
  <c r="V224" i="9"/>
  <c r="V226" i="9" s="1"/>
  <c r="V223" i="9"/>
  <c r="V225" i="9" s="1"/>
  <c r="G157" i="9"/>
  <c r="AP157" i="9"/>
  <c r="AF224" i="9"/>
  <c r="AF226" i="9" s="1"/>
  <c r="AF183" i="9"/>
  <c r="AF121" i="9"/>
  <c r="AF122" i="9" s="1"/>
  <c r="AA121" i="9"/>
  <c r="AA122" i="9" s="1"/>
  <c r="AA183" i="9"/>
  <c r="G189" i="9"/>
  <c r="F152" i="9"/>
  <c r="F93" i="10" s="1"/>
  <c r="F188" i="9"/>
  <c r="G223" i="9"/>
  <c r="G225" i="9" s="1"/>
  <c r="AK180" i="9"/>
  <c r="AK107" i="27" s="1"/>
  <c r="D224" i="9"/>
  <c r="D226" i="9" s="1"/>
  <c r="G175" i="9"/>
  <c r="AK162" i="9"/>
  <c r="AP180" i="9"/>
  <c r="AP224" i="9"/>
  <c r="AP226" i="9" s="1"/>
  <c r="V157" i="9"/>
  <c r="D157" i="9"/>
  <c r="G126" i="9"/>
  <c r="AA132" i="9"/>
  <c r="AZ189" i="9"/>
  <c r="AZ188" i="9"/>
  <c r="D183" i="9"/>
  <c r="F127" i="9"/>
  <c r="V141" i="9"/>
  <c r="BT51" i="9"/>
  <c r="D90" i="9"/>
  <c r="D97" i="9" s="1"/>
  <c r="AA127" i="9"/>
  <c r="AP223" i="9"/>
  <c r="AP225" i="9" s="1"/>
  <c r="C115" i="9"/>
  <c r="C147" i="9" s="1"/>
  <c r="C92" i="10" s="1"/>
  <c r="Q189" i="9"/>
  <c r="Z240" i="1"/>
  <c r="AS235" i="4"/>
  <c r="W235" i="4"/>
  <c r="BD235" i="4"/>
  <c r="BX235" i="4"/>
  <c r="AD235" i="4"/>
  <c r="O235" i="4"/>
  <c r="AC235" i="4"/>
  <c r="Z235" i="4"/>
  <c r="AR235" i="4"/>
  <c r="AB235" i="4"/>
  <c r="AV235" i="4"/>
  <c r="X235" i="4"/>
  <c r="BC235" i="4"/>
  <c r="AJ235" i="4"/>
  <c r="AQ235" i="4"/>
  <c r="AL270" i="4"/>
  <c r="AN270" i="4"/>
  <c r="AO270" i="4"/>
  <c r="AM270" i="4"/>
  <c r="BX270" i="4"/>
  <c r="BW270" i="4"/>
  <c r="BV270" i="4"/>
  <c r="BU270" i="4"/>
  <c r="M235" i="4"/>
  <c r="AH235" i="4"/>
  <c r="AD270" i="4"/>
  <c r="AC270" i="4"/>
  <c r="AE270" i="4"/>
  <c r="AB270" i="4"/>
  <c r="T235" i="4"/>
  <c r="AM235" i="4"/>
  <c r="AG270" i="4"/>
  <c r="AJ270" i="4"/>
  <c r="AI270" i="4"/>
  <c r="AH270" i="4"/>
  <c r="BH235" i="4"/>
  <c r="BN235" i="4"/>
  <c r="BQ235" i="4"/>
  <c r="BW235" i="4"/>
  <c r="CB235" i="4"/>
  <c r="BF270" i="4"/>
  <c r="BI270" i="4"/>
  <c r="BH270" i="4"/>
  <c r="BG270" i="4"/>
  <c r="Y270" i="4"/>
  <c r="X270" i="4"/>
  <c r="W270" i="4"/>
  <c r="Z270" i="4"/>
  <c r="AI235" i="4"/>
  <c r="AX270" i="4"/>
  <c r="AW270" i="4"/>
  <c r="AY270" i="4"/>
  <c r="AV270" i="4"/>
  <c r="U235" i="4"/>
  <c r="AO235" i="4"/>
  <c r="AN235" i="4"/>
  <c r="BB235" i="4"/>
  <c r="BI235" i="4"/>
  <c r="BK235" i="4"/>
  <c r="BR235" i="4"/>
  <c r="BU235" i="4"/>
  <c r="CC235" i="4"/>
  <c r="CC270" i="4"/>
  <c r="BZ270" i="4"/>
  <c r="CB270" i="4"/>
  <c r="CA270" i="4"/>
  <c r="AD414" i="3"/>
  <c r="AD448" i="3" s="1"/>
  <c r="Y433" i="3"/>
  <c r="Y471" i="3" s="1"/>
  <c r="BO173" i="4" s="1"/>
  <c r="BE12" i="69"/>
  <c r="BL270" i="4"/>
  <c r="BK270" i="4"/>
  <c r="BN270" i="4"/>
  <c r="BM270" i="4"/>
  <c r="N235" i="4"/>
  <c r="AG235" i="4"/>
  <c r="R235" i="4"/>
  <c r="AE235" i="4"/>
  <c r="AY235" i="4"/>
  <c r="BB270" i="4"/>
  <c r="BD270" i="4"/>
  <c r="BA270" i="4"/>
  <c r="BC270" i="4"/>
  <c r="BF235" i="4"/>
  <c r="BL235" i="4"/>
  <c r="BZ235" i="4"/>
  <c r="R270" i="4"/>
  <c r="U270" i="4"/>
  <c r="T270" i="4"/>
  <c r="S270" i="4"/>
  <c r="BQ270" i="4"/>
  <c r="BS270" i="4"/>
  <c r="BR270" i="4"/>
  <c r="BP270" i="4"/>
  <c r="AQ270" i="4"/>
  <c r="AT270" i="4"/>
  <c r="AS270" i="4"/>
  <c r="AR270" i="4"/>
  <c r="P235" i="4"/>
  <c r="S235" i="4"/>
  <c r="AL235" i="4"/>
  <c r="N270" i="4"/>
  <c r="M270" i="4"/>
  <c r="P270" i="4"/>
  <c r="O270" i="4"/>
  <c r="BA235" i="4"/>
  <c r="BG235" i="4"/>
  <c r="BM235" i="4"/>
  <c r="BP235" i="4"/>
  <c r="BV235" i="4"/>
  <c r="CA235" i="4"/>
  <c r="AT29" i="12"/>
  <c r="K270" i="4"/>
  <c r="J270" i="4"/>
  <c r="I270" i="4"/>
  <c r="H270" i="4"/>
  <c r="BR687" i="7"/>
  <c r="BQ524" i="7"/>
  <c r="AA171" i="7"/>
  <c r="G251" i="7"/>
  <c r="G256" i="7" s="1"/>
  <c r="BW687" i="7"/>
  <c r="BV524" i="7"/>
  <c r="CA527" i="7"/>
  <c r="CB585" i="7"/>
  <c r="CB687" i="7"/>
  <c r="CA524" i="7"/>
  <c r="E168" i="7"/>
  <c r="AA169" i="7"/>
  <c r="AP846" i="7"/>
  <c r="AP424" i="7"/>
  <c r="AP427" i="7" s="1"/>
  <c r="AP461" i="7" s="1"/>
  <c r="AA159" i="7"/>
  <c r="AF161" i="7"/>
  <c r="AF165" i="7" s="1"/>
  <c r="AP157" i="7"/>
  <c r="AK158" i="7"/>
  <c r="E158" i="7"/>
  <c r="L159" i="7"/>
  <c r="D161" i="7"/>
  <c r="D165" i="7" s="1"/>
  <c r="E142" i="7"/>
  <c r="E175" i="7"/>
  <c r="AU248" i="7"/>
  <c r="V495" i="7"/>
  <c r="AF442" i="7"/>
  <c r="BT261" i="7"/>
  <c r="BY261" i="7" s="1"/>
  <c r="BW261" i="7" s="1"/>
  <c r="V498" i="7"/>
  <c r="V502" i="7" s="1"/>
  <c r="L353" i="7"/>
  <c r="V153" i="7"/>
  <c r="V154" i="7" s="1"/>
  <c r="E819" i="7"/>
  <c r="L154" i="7"/>
  <c r="AA172" i="7"/>
  <c r="P265" i="1"/>
  <c r="U263" i="1"/>
  <c r="K442" i="2"/>
  <c r="E235" i="1" s="1"/>
  <c r="E237" i="1" s="1"/>
  <c r="O442" i="2"/>
  <c r="Q235" i="1" s="1"/>
  <c r="S442" i="2"/>
  <c r="AK235" i="1" s="1"/>
  <c r="AK237" i="1" s="1"/>
  <c r="W442" i="2"/>
  <c r="BE235" i="1" s="1"/>
  <c r="BE237" i="1" s="1"/>
  <c r="AA442" i="2"/>
  <c r="AA467" i="2" s="1"/>
  <c r="BY235" i="1" s="1"/>
  <c r="AE442" i="2"/>
  <c r="AE467" i="2" s="1"/>
  <c r="AI442" i="2"/>
  <c r="AI467" i="2" s="1"/>
  <c r="L442" i="2"/>
  <c r="F235" i="1" s="1"/>
  <c r="F237" i="1" s="1"/>
  <c r="P442" i="2"/>
  <c r="V235" i="1" s="1"/>
  <c r="T442" i="2"/>
  <c r="AP235" i="1" s="1"/>
  <c r="AP237" i="1" s="1"/>
  <c r="BJ235" i="1"/>
  <c r="AB442" i="2"/>
  <c r="AB467" i="2" s="1"/>
  <c r="CD235" i="1" s="1"/>
  <c r="AF442" i="2"/>
  <c r="AF467" i="2" s="1"/>
  <c r="AJ442" i="2"/>
  <c r="AJ467" i="2" s="1"/>
  <c r="M442" i="2"/>
  <c r="G235" i="1" s="1"/>
  <c r="Q442" i="2"/>
  <c r="AA235" i="1" s="1"/>
  <c r="U442" i="2"/>
  <c r="AU235" i="1" s="1"/>
  <c r="AU237" i="1" s="1"/>
  <c r="Y442" i="2"/>
  <c r="Y467" i="2" s="1"/>
  <c r="BO235" i="1" s="1"/>
  <c r="AC442" i="2"/>
  <c r="AC467" i="2" s="1"/>
  <c r="AG442" i="2"/>
  <c r="AG467" i="2" s="1"/>
  <c r="AK442" i="2"/>
  <c r="AK467" i="2" s="1"/>
  <c r="N442" i="2"/>
  <c r="L235" i="1" s="1"/>
  <c r="L237" i="1" s="1"/>
  <c r="R442" i="2"/>
  <c r="AF235" i="1" s="1"/>
  <c r="V442" i="2"/>
  <c r="AZ235" i="1" s="1"/>
  <c r="AZ237" i="1" s="1"/>
  <c r="Z442" i="2"/>
  <c r="Z467" i="2" s="1"/>
  <c r="BT235" i="1" s="1"/>
  <c r="AD442" i="2"/>
  <c r="AD467" i="2" s="1"/>
  <c r="AH442" i="2"/>
  <c r="AH467" i="2" s="1"/>
  <c r="AL442" i="2"/>
  <c r="AL467" i="2" s="1"/>
  <c r="X277" i="1"/>
  <c r="U260" i="1"/>
  <c r="E228" i="4"/>
  <c r="E230" i="4" s="1"/>
  <c r="Q228" i="4"/>
  <c r="AK228" i="4"/>
  <c r="BE228" i="4"/>
  <c r="AA487" i="3"/>
  <c r="AA514" i="3" s="1"/>
  <c r="BY228" i="4" s="1"/>
  <c r="AE487" i="3"/>
  <c r="AE514" i="3" s="1"/>
  <c r="AI487" i="3"/>
  <c r="AI514" i="3" s="1"/>
  <c r="F228" i="4"/>
  <c r="F230" i="4" s="1"/>
  <c r="V228" i="4"/>
  <c r="AP228" i="4"/>
  <c r="BJ228" i="4"/>
  <c r="AB487" i="3"/>
  <c r="AB514" i="3" s="1"/>
  <c r="CD228" i="4" s="1"/>
  <c r="AF487" i="3"/>
  <c r="AF514" i="3" s="1"/>
  <c r="G228" i="4"/>
  <c r="AA228" i="4"/>
  <c r="AU228" i="4"/>
  <c r="Y487" i="3"/>
  <c r="Y514" i="3" s="1"/>
  <c r="BO228" i="4" s="1"/>
  <c r="AC487" i="3"/>
  <c r="AC514" i="3" s="1"/>
  <c r="AG487" i="3"/>
  <c r="AG514" i="3" s="1"/>
  <c r="AK487" i="3"/>
  <c r="AK514" i="3" s="1"/>
  <c r="L228" i="4"/>
  <c r="AF228" i="4"/>
  <c r="AZ228" i="4"/>
  <c r="Z487" i="3"/>
  <c r="Z514" i="3" s="1"/>
  <c r="BT228" i="4" s="1"/>
  <c r="AD487" i="3"/>
  <c r="AD514" i="3" s="1"/>
  <c r="AH487" i="3"/>
  <c r="AH514" i="3" s="1"/>
  <c r="AL487" i="3"/>
  <c r="AL514" i="3" s="1"/>
  <c r="AJ487" i="3"/>
  <c r="AJ514" i="3" s="1"/>
  <c r="AF127" i="9"/>
  <c r="F184" i="9"/>
  <c r="AF244" i="7"/>
  <c r="G79" i="13"/>
  <c r="AU174" i="13"/>
  <c r="AN161" i="13"/>
  <c r="AO85" i="47"/>
  <c r="AO100" i="47" s="1"/>
  <c r="AV159" i="13"/>
  <c r="AV44" i="47"/>
  <c r="AL131" i="13"/>
  <c r="AK131" i="13"/>
  <c r="AT24" i="37"/>
  <c r="AT25" i="37" s="1"/>
  <c r="AI56" i="37"/>
  <c r="AU27" i="37"/>
  <c r="AS24" i="37"/>
  <c r="AS25" i="37" s="1"/>
  <c r="AP24" i="37"/>
  <c r="BE12" i="37"/>
  <c r="V135" i="13"/>
  <c r="U141" i="14"/>
  <c r="U142" i="14" s="1"/>
  <c r="U143" i="14" s="1"/>
  <c r="AR56" i="37"/>
  <c r="AA183" i="13"/>
  <c r="AF85" i="12"/>
  <c r="Q183" i="13"/>
  <c r="V96" i="12"/>
  <c r="Q185" i="13"/>
  <c r="AF127" i="12"/>
  <c r="L127" i="12"/>
  <c r="BE172" i="9"/>
  <c r="Q545" i="7"/>
  <c r="Q439" i="7"/>
  <c r="AA513" i="7"/>
  <c r="AU894" i="7"/>
  <c r="Q160" i="7"/>
  <c r="AK371" i="7"/>
  <c r="AA494" i="7"/>
  <c r="AA888" i="7"/>
  <c r="AA891" i="7" s="1"/>
  <c r="AF881" i="7"/>
  <c r="AA498" i="7"/>
  <c r="AA502" i="7" s="1"/>
  <c r="AP714" i="7"/>
  <c r="AP716" i="7"/>
  <c r="Q162" i="7"/>
  <c r="AA157" i="7"/>
  <c r="AA163" i="7"/>
  <c r="AA160" i="7"/>
  <c r="Q161" i="7"/>
  <c r="Q165" i="7" s="1"/>
  <c r="Q319" i="7"/>
  <c r="Q551" i="7"/>
  <c r="Q158" i="7"/>
  <c r="AA897" i="7"/>
  <c r="AK358" i="7"/>
  <c r="AA497" i="7"/>
  <c r="AK355" i="7"/>
  <c r="AP887" i="7"/>
  <c r="AP715" i="7"/>
  <c r="AU567" i="7"/>
  <c r="Q157" i="7"/>
  <c r="AK104" i="27"/>
  <c r="V447" i="7"/>
  <c r="AK354" i="7"/>
  <c r="AA500" i="7"/>
  <c r="AK357" i="7"/>
  <c r="AP717" i="7"/>
  <c r="V248" i="7"/>
  <c r="AK352" i="7"/>
  <c r="AA161" i="7"/>
  <c r="AA165" i="7" s="1"/>
  <c r="AA881" i="7"/>
  <c r="AU568" i="7"/>
  <c r="K437" i="2"/>
  <c r="K454" i="2" s="1"/>
  <c r="W319" i="1"/>
  <c r="AD415" i="3"/>
  <c r="AD449" i="3" s="1"/>
  <c r="BE155" i="1"/>
  <c r="BE101" i="5"/>
  <c r="BE155" i="5" s="1"/>
  <c r="V371" i="1"/>
  <c r="BE184" i="9"/>
  <c r="BE162" i="9"/>
  <c r="BE180" i="9"/>
  <c r="BE107" i="27" s="1"/>
  <c r="AP136" i="5"/>
  <c r="D155" i="5"/>
  <c r="G120" i="5"/>
  <c r="G122" i="5" s="1"/>
  <c r="E121" i="5"/>
  <c r="E122" i="5" s="1"/>
  <c r="L188" i="9"/>
  <c r="G188" i="9"/>
  <c r="E176" i="9"/>
  <c r="AU184" i="9"/>
  <c r="D121" i="9"/>
  <c r="D122" i="9" s="1"/>
  <c r="L60" i="7"/>
  <c r="Q60" i="7"/>
  <c r="AF60" i="7"/>
  <c r="AU154" i="7"/>
  <c r="AN30" i="12"/>
  <c r="CG68" i="12" s="1"/>
  <c r="AN26" i="12"/>
  <c r="BY94" i="9"/>
  <c r="BY112" i="9" s="1"/>
  <c r="BY179" i="9" s="1"/>
  <c r="AG129" i="10"/>
  <c r="AG121" i="10" s="1"/>
  <c r="O141" i="14"/>
  <c r="O142" i="14" s="1"/>
  <c r="O143" i="14" s="1"/>
  <c r="G100" i="13"/>
  <c r="M127" i="13"/>
  <c r="AK82" i="12"/>
  <c r="AN134" i="14"/>
  <c r="AN136" i="14" s="1"/>
  <c r="AN138" i="14" s="1"/>
  <c r="O134" i="14"/>
  <c r="O136" i="14" s="1"/>
  <c r="O138" i="14" s="1"/>
  <c r="AL141" i="14"/>
  <c r="Q67" i="13"/>
  <c r="V124" i="13"/>
  <c r="L90" i="12"/>
  <c r="AF73" i="12"/>
  <c r="AF171" i="13"/>
  <c r="AF74" i="12" s="1"/>
  <c r="AJ141" i="14"/>
  <c r="AG54" i="37"/>
  <c r="AG134" i="14" s="1"/>
  <c r="R89" i="13"/>
  <c r="R91" i="13" s="1"/>
  <c r="AA82" i="12"/>
  <c r="AA124" i="13"/>
  <c r="AK124" i="13"/>
  <c r="AU96" i="12"/>
  <c r="AF129" i="13"/>
  <c r="AF131" i="13" s="1"/>
  <c r="AF135" i="13" s="1"/>
  <c r="N100" i="13"/>
  <c r="L125" i="13"/>
  <c r="L131" i="13"/>
  <c r="L135" i="13" s="1"/>
  <c r="Q38" i="13"/>
  <c r="AN100" i="13"/>
  <c r="AO56" i="37"/>
  <c r="AO134" i="14"/>
  <c r="AO136" i="14" s="1"/>
  <c r="AO138" i="14" s="1"/>
  <c r="V127" i="12"/>
  <c r="AA127" i="12"/>
  <c r="AM97" i="13"/>
  <c r="AM98" i="13" s="1"/>
  <c r="AL56" i="37"/>
  <c r="AQ131" i="13"/>
  <c r="AQ135" i="13" s="1"/>
  <c r="L38" i="13"/>
  <c r="AF77" i="12"/>
  <c r="Q82" i="12"/>
  <c r="L82" i="12"/>
  <c r="L124" i="13"/>
  <c r="AF114" i="12"/>
  <c r="AP117" i="27"/>
  <c r="AU117" i="27" s="1"/>
  <c r="V38" i="13"/>
  <c r="V74" i="13"/>
  <c r="V90" i="13" s="1"/>
  <c r="V45" i="37"/>
  <c r="W46" i="37" s="1"/>
  <c r="W53" i="37" s="1"/>
  <c r="W54" i="37" s="1"/>
  <c r="W56" i="37" s="1"/>
  <c r="AA38" i="13"/>
  <c r="V121" i="27"/>
  <c r="V174" i="13"/>
  <c r="C14" i="5"/>
  <c r="BD73" i="14"/>
  <c r="CM83" i="10"/>
  <c r="CM84" i="10" s="1"/>
  <c r="CI89" i="10" s="1"/>
  <c r="BO93" i="12"/>
  <c r="AK229" i="7"/>
  <c r="AK232" i="7" s="1"/>
  <c r="AK267" i="7" s="1"/>
  <c r="CH224" i="7" s="1"/>
  <c r="CK224" i="7" s="1"/>
  <c r="CL224" i="7" s="1"/>
  <c r="E164" i="4"/>
  <c r="E165" i="4" s="1"/>
  <c r="AP39" i="14"/>
  <c r="AP50" i="14" s="1"/>
  <c r="L189" i="9"/>
  <c r="AK101" i="6"/>
  <c r="AZ91" i="27"/>
  <c r="AU189" i="9"/>
  <c r="L100" i="13"/>
  <c r="L129" i="27" s="1"/>
  <c r="AU54" i="7"/>
  <c r="AU64" i="7" s="1"/>
  <c r="E551" i="7"/>
  <c r="E172" i="9"/>
  <c r="AS41" i="14"/>
  <c r="AS110" i="13"/>
  <c r="L167" i="9"/>
  <c r="AF172" i="9"/>
  <c r="AF162" i="9"/>
  <c r="L127" i="9"/>
  <c r="AA371" i="7"/>
  <c r="V496" i="7"/>
  <c r="AP169" i="7"/>
  <c r="AA354" i="7"/>
  <c r="L358" i="7"/>
  <c r="AF448" i="7"/>
  <c r="L301" i="7"/>
  <c r="AP173" i="7"/>
  <c r="AA447" i="7"/>
  <c r="L305" i="7"/>
  <c r="V443" i="7"/>
  <c r="AU371" i="7"/>
  <c r="V78" i="27"/>
  <c r="L356" i="7"/>
  <c r="L360" i="7" s="1"/>
  <c r="AK171" i="7"/>
  <c r="L304" i="7"/>
  <c r="L308" i="7" s="1"/>
  <c r="CB43" i="7"/>
  <c r="AA894" i="7"/>
  <c r="V545" i="7"/>
  <c r="V448" i="7"/>
  <c r="AP162" i="7"/>
  <c r="AU880" i="7"/>
  <c r="AU881" i="7" s="1"/>
  <c r="AN55" i="14"/>
  <c r="AN15" i="37" s="1"/>
  <c r="AN18" i="37" s="1"/>
  <c r="AA442" i="7"/>
  <c r="V126" i="9"/>
  <c r="V82" i="14"/>
  <c r="Q164" i="4"/>
  <c r="Q165" i="4" s="1"/>
  <c r="E63" i="27"/>
  <c r="E101" i="27" s="1"/>
  <c r="AV97" i="13"/>
  <c r="AV98" i="13" s="1"/>
  <c r="AV32" i="14"/>
  <c r="AV24" i="12" s="1"/>
  <c r="AU131" i="13"/>
  <c r="AH141" i="14"/>
  <c r="AA180" i="9"/>
  <c r="AA107" i="27" s="1"/>
  <c r="V127" i="9"/>
  <c r="AU224" i="9"/>
  <c r="AU226" i="9" s="1"/>
  <c r="AA141" i="9"/>
  <c r="V152" i="9"/>
  <c r="V93" i="10" s="1"/>
  <c r="AR134" i="14"/>
  <c r="AR136" i="14" s="1"/>
  <c r="AR138" i="14" s="1"/>
  <c r="AT75" i="69"/>
  <c r="V442" i="7"/>
  <c r="L250" i="7"/>
  <c r="V497" i="7"/>
  <c r="V446" i="7"/>
  <c r="V450" i="7" s="1"/>
  <c r="AA358" i="7"/>
  <c r="AA775" i="7"/>
  <c r="L352" i="7"/>
  <c r="AA896" i="7"/>
  <c r="AU355" i="7"/>
  <c r="AF455" i="7"/>
  <c r="AA898" i="7"/>
  <c r="AA776" i="7"/>
  <c r="E545" i="7"/>
  <c r="L248" i="7"/>
  <c r="AA446" i="7"/>
  <c r="AA450" i="7" s="1"/>
  <c r="V444" i="7"/>
  <c r="L455" i="7"/>
  <c r="AA352" i="7"/>
  <c r="L252" i="7"/>
  <c r="L357" i="7"/>
  <c r="D158" i="7"/>
  <c r="AP161" i="7"/>
  <c r="AP165" i="7" s="1"/>
  <c r="D159" i="7"/>
  <c r="AI39" i="14"/>
  <c r="AI50" i="14" s="1"/>
  <c r="AK244" i="7"/>
  <c r="L162" i="7"/>
  <c r="AU162" i="9"/>
  <c r="AP159" i="7"/>
  <c r="AK19" i="10"/>
  <c r="AK26" i="10" s="1"/>
  <c r="AK163" i="7"/>
  <c r="AA778" i="7"/>
  <c r="AA781" i="7" s="1"/>
  <c r="L224" i="9"/>
  <c r="L226" i="9" s="1"/>
  <c r="AK22" i="27"/>
  <c r="AK27" i="27" s="1"/>
  <c r="AK36" i="14" s="1"/>
  <c r="AK39" i="14" s="1"/>
  <c r="AK42" i="14" s="1"/>
  <c r="G164" i="4"/>
  <c r="G165" i="4" s="1"/>
  <c r="AH81" i="27"/>
  <c r="AH128" i="14" s="1"/>
  <c r="S63" i="27"/>
  <c r="S84" i="14" s="1"/>
  <c r="S85" i="14" s="1"/>
  <c r="E81" i="27"/>
  <c r="E128" i="14" s="1"/>
  <c r="V167" i="9"/>
  <c r="AA353" i="7"/>
  <c r="AA779" i="7"/>
  <c r="L354" i="7"/>
  <c r="AA863" i="7"/>
  <c r="AA901" i="7" s="1"/>
  <c r="AA184" i="9"/>
  <c r="AZ172" i="9"/>
  <c r="AU356" i="7"/>
  <c r="AU360" i="7" s="1"/>
  <c r="AA899" i="7"/>
  <c r="V499" i="7"/>
  <c r="AK172" i="7"/>
  <c r="AU570" i="7"/>
  <c r="AA357" i="7"/>
  <c r="AU354" i="7"/>
  <c r="AK173" i="7"/>
  <c r="AE141" i="14"/>
  <c r="D157" i="7"/>
  <c r="D162" i="7"/>
  <c r="L157" i="7"/>
  <c r="AP54" i="7"/>
  <c r="AP65" i="7" s="1"/>
  <c r="BT145" i="14"/>
  <c r="AI54" i="14"/>
  <c r="AP160" i="7"/>
  <c r="AP158" i="7"/>
  <c r="L161" i="7"/>
  <c r="L165" i="7" s="1"/>
  <c r="AK154" i="7"/>
  <c r="AU357" i="7"/>
  <c r="X42" i="12"/>
  <c r="AT12" i="12"/>
  <c r="AP455" i="7"/>
  <c r="L176" i="9"/>
  <c r="AF373" i="1"/>
  <c r="Q100" i="13"/>
  <c r="Q129" i="27" s="1"/>
  <c r="AZ40" i="27"/>
  <c r="AZ45" i="27" s="1"/>
  <c r="AA78" i="27"/>
  <c r="G184" i="9"/>
  <c r="AK164" i="4"/>
  <c r="AO131" i="13"/>
  <c r="AP456" i="7"/>
  <c r="C49" i="14"/>
  <c r="C39" i="14"/>
  <c r="C42" i="14" s="1"/>
  <c r="C54" i="14"/>
  <c r="AR50" i="14"/>
  <c r="AR55" i="14"/>
  <c r="AR15" i="37" s="1"/>
  <c r="AR18" i="37" s="1"/>
  <c r="AF439" i="7"/>
  <c r="AF888" i="7"/>
  <c r="AF891" i="7" s="1"/>
  <c r="T277" i="1"/>
  <c r="AU569" i="7"/>
  <c r="L194" i="9"/>
  <c r="AU179" i="9"/>
  <c r="AU157" i="9"/>
  <c r="E175" i="9"/>
  <c r="AU172" i="9"/>
  <c r="AF176" i="9"/>
  <c r="E180" i="9"/>
  <c r="E107" i="27" s="1"/>
  <c r="AP175" i="9"/>
  <c r="AX110" i="13"/>
  <c r="Q114" i="12"/>
  <c r="L114" i="12"/>
  <c r="AA319" i="7"/>
  <c r="AP38" i="7"/>
  <c r="AP82" i="7" s="1"/>
  <c r="AZ180" i="9"/>
  <c r="AZ107" i="27" s="1"/>
  <c r="AP896" i="7"/>
  <c r="AU262" i="7"/>
  <c r="L456" i="7"/>
  <c r="L454" i="7"/>
  <c r="AA885" i="7"/>
  <c r="AU127" i="10"/>
  <c r="AS127" i="10" s="1"/>
  <c r="AS119" i="10" s="1"/>
  <c r="AU128" i="10"/>
  <c r="AT128" i="10" s="1"/>
  <c r="AT120" i="10" s="1"/>
  <c r="AP894" i="7"/>
  <c r="AA301" i="7"/>
  <c r="E159" i="7"/>
  <c r="N12" i="12"/>
  <c r="AT59" i="12"/>
  <c r="AU56" i="12"/>
  <c r="AW181" i="13"/>
  <c r="AW183" i="13" s="1"/>
  <c r="AN42" i="14"/>
  <c r="AN85" i="14" s="1"/>
  <c r="AK263" i="7"/>
  <c r="L162" i="9"/>
  <c r="AF104" i="27"/>
  <c r="AA296" i="7"/>
  <c r="AA297" i="7" s="1"/>
  <c r="V168" i="7"/>
  <c r="F194" i="9"/>
  <c r="V194" i="9"/>
  <c r="AK260" i="7"/>
  <c r="AA54" i="7"/>
  <c r="AA64" i="7" s="1"/>
  <c r="E184" i="9"/>
  <c r="AU101" i="6"/>
  <c r="AP164" i="4"/>
  <c r="C164" i="4"/>
  <c r="C165" i="4" s="1"/>
  <c r="AS169" i="1"/>
  <c r="AT169" i="1"/>
  <c r="Y100" i="13"/>
  <c r="CC45" i="7"/>
  <c r="U236" i="1"/>
  <c r="AZ28" i="69"/>
  <c r="F175" i="9"/>
  <c r="G194" i="9"/>
  <c r="AU167" i="9"/>
  <c r="E223" i="9"/>
  <c r="E225" i="9" s="1"/>
  <c r="F126" i="9"/>
  <c r="F180" i="9"/>
  <c r="F107" i="27" s="1"/>
  <c r="AU124" i="13"/>
  <c r="L448" i="7"/>
  <c r="P100" i="13"/>
  <c r="K100" i="13"/>
  <c r="V173" i="7"/>
  <c r="AK897" i="7"/>
  <c r="AP168" i="7"/>
  <c r="V139" i="7"/>
  <c r="AZ162" i="9"/>
  <c r="AZ184" i="9"/>
  <c r="AP897" i="7"/>
  <c r="AU164" i="4"/>
  <c r="L306" i="7"/>
  <c r="L458" i="7"/>
  <c r="AU566" i="7"/>
  <c r="AA886" i="7"/>
  <c r="AU129" i="10"/>
  <c r="AR129" i="10" s="1"/>
  <c r="AR121" i="10" s="1"/>
  <c r="E157" i="7"/>
  <c r="AP886" i="7"/>
  <c r="AA300" i="7"/>
  <c r="AH12" i="12"/>
  <c r="AH174" i="13"/>
  <c r="AK259" i="7"/>
  <c r="AU175" i="9"/>
  <c r="E224" i="9"/>
  <c r="E226" i="9" s="1"/>
  <c r="AU530" i="7"/>
  <c r="AK38" i="7"/>
  <c r="AK82" i="7" s="1"/>
  <c r="AK264" i="7"/>
  <c r="G545" i="7"/>
  <c r="AS187" i="12"/>
  <c r="AT186" i="12" s="1"/>
  <c r="AT187" i="12" s="1"/>
  <c r="AU121" i="9"/>
  <c r="AU122" i="9" s="1"/>
  <c r="AF164" i="4"/>
  <c r="X81" i="27"/>
  <c r="X128" i="14" s="1"/>
  <c r="AR169" i="1"/>
  <c r="AA82" i="14"/>
  <c r="L164" i="4"/>
  <c r="L165" i="4" s="1"/>
  <c r="V164" i="4"/>
  <c r="V165" i="4" s="1"/>
  <c r="AL54" i="14"/>
  <c r="AL39" i="14"/>
  <c r="AQ32" i="14"/>
  <c r="AQ24" i="12" s="1"/>
  <c r="AQ97" i="13"/>
  <c r="AQ98" i="13" s="1"/>
  <c r="AE214" i="1"/>
  <c r="F193" i="9"/>
  <c r="AU183" i="9"/>
  <c r="E179" i="9"/>
  <c r="AA175" i="9"/>
  <c r="G180" i="9"/>
  <c r="G107" i="27" s="1"/>
  <c r="AF458" i="7"/>
  <c r="AK898" i="7"/>
  <c r="AP139" i="7"/>
  <c r="V169" i="7"/>
  <c r="L439" i="7"/>
  <c r="AA714" i="7"/>
  <c r="AZ176" i="9"/>
  <c r="G155" i="5"/>
  <c r="AA718" i="7"/>
  <c r="AA721" i="7" s="1"/>
  <c r="AP898" i="7"/>
  <c r="L303" i="7"/>
  <c r="L453" i="7"/>
  <c r="AA887" i="7"/>
  <c r="L424" i="7"/>
  <c r="L427" i="7" s="1"/>
  <c r="L461" i="7" s="1"/>
  <c r="AA884" i="7"/>
  <c r="L300" i="7"/>
  <c r="AU109" i="10"/>
  <c r="AU115" i="10" s="1"/>
  <c r="AP895" i="7"/>
  <c r="AP884" i="7"/>
  <c r="AP888" i="7"/>
  <c r="AP891" i="7" s="1"/>
  <c r="S12" i="12"/>
  <c r="AL30" i="12"/>
  <c r="CG66" i="12" s="1"/>
  <c r="AH129" i="13"/>
  <c r="AH131" i="13" s="1"/>
  <c r="L545" i="7"/>
  <c r="AL100" i="13"/>
  <c r="AH97" i="13"/>
  <c r="AH98" i="13" s="1"/>
  <c r="AA306" i="7"/>
  <c r="AP889" i="7"/>
  <c r="AK262" i="7"/>
  <c r="V171" i="7"/>
  <c r="AU176" i="9"/>
  <c r="AA305" i="7"/>
  <c r="F176" i="9"/>
  <c r="AA53" i="7"/>
  <c r="AT54" i="14"/>
  <c r="AT49" i="14"/>
  <c r="AN54" i="14"/>
  <c r="AN49" i="14"/>
  <c r="AL113" i="14"/>
  <c r="AL105" i="14"/>
  <c r="V163" i="7"/>
  <c r="V160" i="7"/>
  <c r="V161" i="7"/>
  <c r="V165" i="7" s="1"/>
  <c r="G59" i="12"/>
  <c r="AP58" i="27"/>
  <c r="AP63" i="27" s="1"/>
  <c r="D152" i="9"/>
  <c r="D93" i="10" s="1"/>
  <c r="CI69" i="69"/>
  <c r="CK69" i="69" s="1"/>
  <c r="CL69" i="69" s="1"/>
  <c r="X75" i="69"/>
  <c r="X76" i="69" s="1"/>
  <c r="V183" i="13"/>
  <c r="N30" i="12"/>
  <c r="CG47" i="12" s="1"/>
  <c r="AT30" i="12"/>
  <c r="CG72" i="12" s="1"/>
  <c r="AL29" i="12"/>
  <c r="AU131" i="10"/>
  <c r="AT131" i="10" s="1"/>
  <c r="AT123" i="10" s="1"/>
  <c r="F551" i="7"/>
  <c r="J32" i="14"/>
  <c r="J24" i="12" s="1"/>
  <c r="J97" i="13"/>
  <c r="J98" i="13" s="1"/>
  <c r="P191" i="1"/>
  <c r="CM85" i="10"/>
  <c r="D132" i="9"/>
  <c r="AA832" i="7"/>
  <c r="Z134" i="14"/>
  <c r="Z141" i="14"/>
  <c r="Z56" i="37"/>
  <c r="AQ22" i="27"/>
  <c r="AU17" i="27"/>
  <c r="L58" i="27"/>
  <c r="L72" i="14"/>
  <c r="AF58" i="27"/>
  <c r="AF22" i="7"/>
  <c r="AF72" i="14"/>
  <c r="AF25" i="7"/>
  <c r="AF28" i="7" s="1"/>
  <c r="AF29" i="7" s="1"/>
  <c r="P79" i="14"/>
  <c r="P81" i="27"/>
  <c r="P128" i="14" s="1"/>
  <c r="P63" i="27"/>
  <c r="E141" i="9"/>
  <c r="E126" i="9"/>
  <c r="E167" i="9"/>
  <c r="C139" i="5"/>
  <c r="C142" i="5" s="1"/>
  <c r="Q179" i="9"/>
  <c r="Q223" i="9"/>
  <c r="Q225" i="9" s="1"/>
  <c r="E189" i="9"/>
  <c r="L183" i="9"/>
  <c r="L179" i="9"/>
  <c r="L121" i="9"/>
  <c r="L122" i="9" s="1"/>
  <c r="G172" i="9"/>
  <c r="AF175" i="9"/>
  <c r="F172" i="9"/>
  <c r="G176" i="9"/>
  <c r="V114" i="12"/>
  <c r="AP77" i="12"/>
  <c r="AA114" i="12"/>
  <c r="L54" i="7"/>
  <c r="L64" i="7" s="1"/>
  <c r="AU67" i="12"/>
  <c r="AU898" i="7"/>
  <c r="AU896" i="7"/>
  <c r="AU448" i="7"/>
  <c r="AF139" i="7"/>
  <c r="AF175" i="7" s="1"/>
  <c r="AP774" i="7"/>
  <c r="AF898" i="7"/>
  <c r="L223" i="9"/>
  <c r="L225" i="9" s="1"/>
  <c r="Q157" i="9"/>
  <c r="AK568" i="7"/>
  <c r="AA448" i="7"/>
  <c r="Q454" i="7"/>
  <c r="L513" i="7"/>
  <c r="Q424" i="7"/>
  <c r="Q427" i="7" s="1"/>
  <c r="Q461" i="7" s="1"/>
  <c r="V38" i="7"/>
  <c r="V79" i="7" s="1"/>
  <c r="AK565" i="7"/>
  <c r="AK566" i="7"/>
  <c r="L370" i="7"/>
  <c r="AE134" i="14"/>
  <c r="AA453" i="7"/>
  <c r="V162" i="7"/>
  <c r="L495" i="7"/>
  <c r="G551" i="7"/>
  <c r="AX29" i="12"/>
  <c r="N29" i="12"/>
  <c r="AJ134" i="14"/>
  <c r="L497" i="7"/>
  <c r="Q819" i="7"/>
  <c r="Q188" i="9"/>
  <c r="AK567" i="7"/>
  <c r="D544" i="7"/>
  <c r="CI85" i="69"/>
  <c r="CK85" i="69" s="1"/>
  <c r="CL85" i="69" s="1"/>
  <c r="AR75" i="69"/>
  <c r="AR76" i="69" s="1"/>
  <c r="AZ88" i="6"/>
  <c r="V74" i="12"/>
  <c r="AM85" i="47"/>
  <c r="AM100" i="47" s="1"/>
  <c r="AM161" i="13"/>
  <c r="AN85" i="47"/>
  <c r="AN100" i="47" s="1"/>
  <c r="AQ40" i="27"/>
  <c r="AQ45" i="27" s="1"/>
  <c r="AU13" i="7"/>
  <c r="AU35" i="27"/>
  <c r="V185" i="13"/>
  <c r="AK27" i="69"/>
  <c r="AK28" i="69" s="1"/>
  <c r="AK73" i="14"/>
  <c r="E188" i="9"/>
  <c r="L85" i="12"/>
  <c r="Q85" i="12"/>
  <c r="L183" i="13"/>
  <c r="AA90" i="12"/>
  <c r="AC76" i="13"/>
  <c r="AC75" i="13"/>
  <c r="AR110" i="13"/>
  <c r="AR41" i="14"/>
  <c r="AR42" i="14" s="1"/>
  <c r="Q125" i="13"/>
  <c r="Q127" i="13" s="1"/>
  <c r="AA120" i="14"/>
  <c r="AA121" i="27"/>
  <c r="I97" i="13"/>
  <c r="I98" i="13" s="1"/>
  <c r="I32" i="14"/>
  <c r="I24" i="12" s="1"/>
  <c r="V67" i="13"/>
  <c r="AW110" i="13"/>
  <c r="AW41" i="14"/>
  <c r="AP84" i="6"/>
  <c r="AO101" i="6"/>
  <c r="V73" i="14"/>
  <c r="V27" i="69"/>
  <c r="V28" i="69" s="1"/>
  <c r="AK81" i="14"/>
  <c r="AJ84" i="14"/>
  <c r="AP76" i="27"/>
  <c r="AP78" i="27" s="1"/>
  <c r="AP82" i="14"/>
  <c r="L67" i="13"/>
  <c r="AA172" i="9"/>
  <c r="AK165" i="4"/>
  <c r="AM91" i="14"/>
  <c r="AP32" i="14"/>
  <c r="AM94" i="13"/>
  <c r="AM36" i="14"/>
  <c r="Y56" i="14"/>
  <c r="Y57" i="14" s="1"/>
  <c r="Y68" i="27"/>
  <c r="Y51" i="14"/>
  <c r="Y84" i="14"/>
  <c r="Y85" i="14" s="1"/>
  <c r="AO91" i="14"/>
  <c r="AO94" i="13"/>
  <c r="AO100" i="13" s="1"/>
  <c r="AO36" i="14"/>
  <c r="L185" i="13"/>
  <c r="U97" i="13"/>
  <c r="U98" i="13" s="1"/>
  <c r="U32" i="14"/>
  <c r="U24" i="12" s="1"/>
  <c r="AX85" i="47"/>
  <c r="AX100" i="47" s="1"/>
  <c r="AN113" i="14"/>
  <c r="AN105" i="14"/>
  <c r="AC51" i="14"/>
  <c r="AH51" i="14"/>
  <c r="AH84" i="14"/>
  <c r="AH68" i="27"/>
  <c r="AU114" i="14"/>
  <c r="AU119" i="12" s="1"/>
  <c r="L165" i="1"/>
  <c r="AR54" i="14"/>
  <c r="AR49" i="14"/>
  <c r="AF75" i="13"/>
  <c r="AF120" i="14"/>
  <c r="AF121" i="27"/>
  <c r="AA174" i="13"/>
  <c r="AA125" i="13"/>
  <c r="AA96" i="12"/>
  <c r="AA185" i="13"/>
  <c r="AK75" i="14"/>
  <c r="Q72" i="14"/>
  <c r="Q58" i="27"/>
  <c r="Q81" i="27" s="1"/>
  <c r="Q128" i="14" s="1"/>
  <c r="Q82" i="14"/>
  <c r="Q76" i="27"/>
  <c r="Q78" i="27" s="1"/>
  <c r="AP77" i="14"/>
  <c r="AP97" i="13"/>
  <c r="AP98" i="13" s="1"/>
  <c r="T32" i="14"/>
  <c r="T24" i="12" s="1"/>
  <c r="T97" i="13"/>
  <c r="T98" i="13" s="1"/>
  <c r="F164" i="4"/>
  <c r="F165" i="4" s="1"/>
  <c r="AU165" i="1"/>
  <c r="AQ172" i="1"/>
  <c r="AR37" i="12"/>
  <c r="AR42" i="12" s="1"/>
  <c r="AR102" i="14"/>
  <c r="AU439" i="7"/>
  <c r="G134" i="14"/>
  <c r="AX56" i="37"/>
  <c r="Z248" i="1"/>
  <c r="V371" i="7"/>
  <c r="Q121" i="9"/>
  <c r="Q122" i="9" s="1"/>
  <c r="L172" i="9"/>
  <c r="Q176" i="9"/>
  <c r="Q126" i="9"/>
  <c r="E132" i="9"/>
  <c r="L184" i="9"/>
  <c r="V172" i="9"/>
  <c r="E157" i="9"/>
  <c r="E162" i="9"/>
  <c r="AA162" i="9"/>
  <c r="L180" i="9"/>
  <c r="L107" i="27" s="1"/>
  <c r="AW174" i="13"/>
  <c r="AO141" i="14"/>
  <c r="AO142" i="14" s="1"/>
  <c r="AO143" i="14" s="1"/>
  <c r="AR97" i="13"/>
  <c r="AR98" i="13" s="1"/>
  <c r="AR100" i="13" s="1"/>
  <c r="CI63" i="69"/>
  <c r="CK63" i="69" s="1"/>
  <c r="CL63" i="69" s="1"/>
  <c r="AU897" i="7"/>
  <c r="AP777" i="7"/>
  <c r="AP776" i="7"/>
  <c r="AF170" i="7"/>
  <c r="AU454" i="7"/>
  <c r="Q448" i="7"/>
  <c r="Q162" i="9"/>
  <c r="AU895" i="7"/>
  <c r="Q458" i="7"/>
  <c r="V157" i="7"/>
  <c r="AK569" i="7"/>
  <c r="AK530" i="7"/>
  <c r="V159" i="7"/>
  <c r="G512" i="7"/>
  <c r="AA454" i="7"/>
  <c r="AA424" i="7"/>
  <c r="AA427" i="7" s="1"/>
  <c r="AA461" i="7" s="1"/>
  <c r="F545" i="7"/>
  <c r="AA439" i="7"/>
  <c r="AA825" i="7"/>
  <c r="AA826" i="7" s="1"/>
  <c r="BC28" i="69"/>
  <c r="AX30" i="12"/>
  <c r="CG75" i="12" s="1"/>
  <c r="Y30" i="12"/>
  <c r="CG56" i="12" s="1"/>
  <c r="AH185" i="13"/>
  <c r="AF96" i="12"/>
  <c r="AP131" i="13"/>
  <c r="AK145" i="14"/>
  <c r="E152" i="9"/>
  <c r="E93" i="10" s="1"/>
  <c r="V180" i="9"/>
  <c r="V107" i="27" s="1"/>
  <c r="Q180" i="9"/>
  <c r="Q107" i="27" s="1"/>
  <c r="AK176" i="9"/>
  <c r="AU458" i="7"/>
  <c r="Q453" i="7"/>
  <c r="Q318" i="7"/>
  <c r="V158" i="7"/>
  <c r="AV122" i="6"/>
  <c r="AZ122" i="6" s="1"/>
  <c r="AZ105" i="6"/>
  <c r="AA45" i="37"/>
  <c r="AA74" i="13"/>
  <c r="AA90" i="13" s="1"/>
  <c r="AG161" i="13"/>
  <c r="AG85" i="47"/>
  <c r="AA67" i="13"/>
  <c r="AQ86" i="11"/>
  <c r="AP38" i="13"/>
  <c r="T76" i="13"/>
  <c r="T75" i="13"/>
  <c r="L175" i="9"/>
  <c r="AF67" i="13"/>
  <c r="D108" i="9"/>
  <c r="G102" i="14"/>
  <c r="G66" i="12"/>
  <c r="V176" i="9"/>
  <c r="AF38" i="13"/>
  <c r="H51" i="12"/>
  <c r="H59" i="12" s="1"/>
  <c r="AK72" i="14"/>
  <c r="AK22" i="7"/>
  <c r="AK58" i="27"/>
  <c r="AK25" i="7"/>
  <c r="AK28" i="7" s="1"/>
  <c r="AK29" i="7" s="1"/>
  <c r="AA58" i="27"/>
  <c r="AA22" i="7"/>
  <c r="AA72" i="14"/>
  <c r="AA25" i="7"/>
  <c r="F145" i="7"/>
  <c r="F56" i="4"/>
  <c r="F57" i="4" s="1"/>
  <c r="V188" i="9"/>
  <c r="AK51" i="12"/>
  <c r="AK19" i="37" s="1"/>
  <c r="AK48" i="12"/>
  <c r="AF165" i="4"/>
  <c r="Q194" i="9"/>
  <c r="AT102" i="14"/>
  <c r="AT37" i="12"/>
  <c r="AT42" i="12" s="1"/>
  <c r="L45" i="37"/>
  <c r="L74" i="13"/>
  <c r="L90" i="13" s="1"/>
  <c r="Q89" i="13" s="1"/>
  <c r="Q91" i="13" s="1"/>
  <c r="Q130" i="27" s="1"/>
  <c r="Z79" i="14"/>
  <c r="Z81" i="27"/>
  <c r="Z128" i="14" s="1"/>
  <c r="Z63" i="27"/>
  <c r="AP85" i="6"/>
  <c r="AO102" i="6"/>
  <c r="G72" i="27"/>
  <c r="G63" i="27"/>
  <c r="G79" i="14"/>
  <c r="G81" i="27"/>
  <c r="G128" i="14" s="1"/>
  <c r="M76" i="13"/>
  <c r="M75" i="13"/>
  <c r="AK44" i="47"/>
  <c r="AJ85" i="47"/>
  <c r="AJ100" i="47" s="1"/>
  <c r="AJ161" i="13"/>
  <c r="AC32" i="14"/>
  <c r="AC24" i="12" s="1"/>
  <c r="AC97" i="13"/>
  <c r="AC98" i="13" s="1"/>
  <c r="L141" i="9"/>
  <c r="L157" i="9"/>
  <c r="AP165" i="1"/>
  <c r="AO172" i="1"/>
  <c r="AT172" i="1"/>
  <c r="AS32" i="14"/>
  <c r="AS24" i="12" s="1"/>
  <c r="AU29" i="14"/>
  <c r="AU97" i="13" s="1"/>
  <c r="AU98" i="13" s="1"/>
  <c r="AS97" i="13"/>
  <c r="AS98" i="13" s="1"/>
  <c r="AA32" i="14"/>
  <c r="AA97" i="13"/>
  <c r="AA98" i="13" s="1"/>
  <c r="AL68" i="27"/>
  <c r="AL84" i="14"/>
  <c r="AK127" i="14"/>
  <c r="AK126" i="14"/>
  <c r="H32" i="14"/>
  <c r="H24" i="12" s="1"/>
  <c r="H97" i="13"/>
  <c r="H98" i="13" s="1"/>
  <c r="AA165" i="4"/>
  <c r="W32" i="14"/>
  <c r="W24" i="12" s="1"/>
  <c r="W97" i="13"/>
  <c r="W98" i="13" s="1"/>
  <c r="L82" i="14"/>
  <c r="L76" i="27"/>
  <c r="L78" i="27" s="1"/>
  <c r="Q74" i="12"/>
  <c r="Q174" i="13"/>
  <c r="AP110" i="13"/>
  <c r="AP41" i="14"/>
  <c r="AD150" i="13"/>
  <c r="AD44" i="47"/>
  <c r="V58" i="27"/>
  <c r="V72" i="14"/>
  <c r="AB67" i="11"/>
  <c r="AB68" i="11" s="1"/>
  <c r="AA78" i="11"/>
  <c r="V85" i="12"/>
  <c r="AA85" i="12"/>
  <c r="V125" i="13"/>
  <c r="M97" i="13"/>
  <c r="M98" i="13" s="1"/>
  <c r="M32" i="14"/>
  <c r="M24" i="12" s="1"/>
  <c r="C48" i="5"/>
  <c r="C156" i="1"/>
  <c r="C157" i="1" s="1"/>
  <c r="AJ32" i="14"/>
  <c r="AJ24" i="12" s="1"/>
  <c r="L102" i="14"/>
  <c r="L37" i="12"/>
  <c r="L66" i="12"/>
  <c r="AP128" i="10"/>
  <c r="AM128" i="10" s="1"/>
  <c r="AM120" i="10" s="1"/>
  <c r="G141" i="14"/>
  <c r="AW124" i="13"/>
  <c r="Q172" i="9"/>
  <c r="F141" i="9"/>
  <c r="V184" i="9"/>
  <c r="Q184" i="9"/>
  <c r="G162" i="9"/>
  <c r="F162" i="9"/>
  <c r="AP176" i="9"/>
  <c r="AA176" i="9"/>
  <c r="Q175" i="9"/>
  <c r="V162" i="9"/>
  <c r="Q100" i="12"/>
  <c r="CK208" i="13"/>
  <c r="AP131" i="10"/>
  <c r="AN131" i="10" s="1"/>
  <c r="AN123" i="10" s="1"/>
  <c r="AU899" i="7"/>
  <c r="AP778" i="7"/>
  <c r="AP781" i="7" s="1"/>
  <c r="AP775" i="7"/>
  <c r="AP792" i="7"/>
  <c r="AF896" i="7"/>
  <c r="V36" i="11"/>
  <c r="V37" i="11" s="1"/>
  <c r="L36" i="11"/>
  <c r="L37" i="11" s="1"/>
  <c r="Q104" i="27"/>
  <c r="AA455" i="7"/>
  <c r="AK114" i="12"/>
  <c r="L498" i="7"/>
  <c r="L502" i="7" s="1"/>
  <c r="AH125" i="13"/>
  <c r="AH127" i="13" s="1"/>
  <c r="AU91" i="27"/>
  <c r="L499" i="7"/>
  <c r="L496" i="7"/>
  <c r="Q167" i="9"/>
  <c r="AU453" i="7"/>
  <c r="Q224" i="9"/>
  <c r="Q226" i="9" s="1"/>
  <c r="AK83" i="14"/>
  <c r="AP127" i="14"/>
  <c r="AP126" i="14"/>
  <c r="C341" i="7"/>
  <c r="C56" i="1"/>
  <c r="AA126" i="9"/>
  <c r="AA152" i="9"/>
  <c r="AA93" i="10" s="1"/>
  <c r="AE63" i="27"/>
  <c r="AE81" i="27"/>
  <c r="AE128" i="14" s="1"/>
  <c r="AE79" i="14"/>
  <c r="AS104" i="6"/>
  <c r="AU87" i="6"/>
  <c r="AP73" i="14"/>
  <c r="AP27" i="69"/>
  <c r="AP28" i="69" s="1"/>
  <c r="G56" i="4"/>
  <c r="G57" i="4" s="1"/>
  <c r="G145" i="7"/>
  <c r="R127" i="13"/>
  <c r="E32" i="14"/>
  <c r="E97" i="13"/>
  <c r="E98" i="13" s="1"/>
  <c r="R46" i="37"/>
  <c r="R53" i="37" s="1"/>
  <c r="R54" i="37" s="1"/>
  <c r="V54" i="37" s="1"/>
  <c r="AP75" i="14"/>
  <c r="R32" i="14"/>
  <c r="R24" i="12" s="1"/>
  <c r="AA167" i="9"/>
  <c r="D49" i="1"/>
  <c r="D48" i="5"/>
  <c r="D156" i="1"/>
  <c r="D157" i="1" s="1"/>
  <c r="AK188" i="9"/>
  <c r="AK132" i="9"/>
  <c r="L126" i="9"/>
  <c r="AK104" i="6"/>
  <c r="AG121" i="6"/>
  <c r="AK121" i="6" s="1"/>
  <c r="AP165" i="4"/>
  <c r="AK49" i="14"/>
  <c r="AH44" i="47"/>
  <c r="AH150" i="13"/>
  <c r="AF32" i="14"/>
  <c r="AE32" i="14"/>
  <c r="AE24" i="12" s="1"/>
  <c r="X32" i="14"/>
  <c r="X24" i="12" s="1"/>
  <c r="X97" i="13"/>
  <c r="X98" i="13" s="1"/>
  <c r="AK29" i="14"/>
  <c r="AG32" i="14"/>
  <c r="AG24" i="12" s="1"/>
  <c r="AA23" i="11"/>
  <c r="V32" i="11"/>
  <c r="Q141" i="9"/>
  <c r="AP54" i="14"/>
  <c r="AP49" i="14"/>
  <c r="V32" i="14"/>
  <c r="V97" i="13"/>
  <c r="V98" i="13" s="1"/>
  <c r="X56" i="14"/>
  <c r="X57" i="14" s="1"/>
  <c r="X51" i="14"/>
  <c r="X84" i="14"/>
  <c r="X85" i="14" s="1"/>
  <c r="X68" i="27"/>
  <c r="AA194" i="9"/>
  <c r="L45" i="27"/>
  <c r="AT42" i="14"/>
  <c r="H84" i="14"/>
  <c r="H68" i="27"/>
  <c r="AK189" i="9"/>
  <c r="BD27" i="69"/>
  <c r="BD28" i="69" s="1"/>
  <c r="AK895" i="7"/>
  <c r="AA38" i="7"/>
  <c r="AA80" i="7" s="1"/>
  <c r="AK716" i="7"/>
  <c r="AK732" i="7"/>
  <c r="V54" i="7"/>
  <c r="V64" i="7" s="1"/>
  <c r="V353" i="7"/>
  <c r="AA373" i="1"/>
  <c r="AD242" i="1"/>
  <c r="AA458" i="7"/>
  <c r="AK896" i="7"/>
  <c r="G497" i="7"/>
  <c r="V354" i="7"/>
  <c r="AK894" i="7"/>
  <c r="AK866" i="7"/>
  <c r="AK869" i="7" s="1"/>
  <c r="AK901" i="7"/>
  <c r="AJ129" i="10"/>
  <c r="AJ121" i="10" s="1"/>
  <c r="AK54" i="7"/>
  <c r="AK65" i="7" s="1"/>
  <c r="G285" i="7"/>
  <c r="AP899" i="7"/>
  <c r="AP154" i="7"/>
  <c r="C551" i="7"/>
  <c r="AK899" i="7"/>
  <c r="L285" i="7"/>
  <c r="L319" i="7" s="1"/>
  <c r="L318" i="7"/>
  <c r="AF512" i="7"/>
  <c r="AP530" i="7"/>
  <c r="AF54" i="7"/>
  <c r="AA545" i="7"/>
  <c r="AA560" i="7" s="1"/>
  <c r="AU260" i="7"/>
  <c r="AU253" i="7"/>
  <c r="AF253" i="7"/>
  <c r="C545" i="7"/>
  <c r="V453" i="7"/>
  <c r="E162" i="7"/>
  <c r="AK774" i="7"/>
  <c r="E161" i="7"/>
  <c r="E165" i="7" s="1"/>
  <c r="AK778" i="7"/>
  <c r="AK781" i="7" s="1"/>
  <c r="AF250" i="7"/>
  <c r="AU285" i="7"/>
  <c r="AU319" i="7" s="1"/>
  <c r="AP570" i="7"/>
  <c r="L38" i="7"/>
  <c r="L78" i="7" s="1"/>
  <c r="AP566" i="7"/>
  <c r="AU846" i="7"/>
  <c r="G36" i="11"/>
  <c r="G37" i="11" s="1"/>
  <c r="AU259" i="7"/>
  <c r="AU261" i="7"/>
  <c r="V250" i="7"/>
  <c r="AU38" i="7"/>
  <c r="AU82" i="7" s="1"/>
  <c r="AU254" i="7"/>
  <c r="AU244" i="7"/>
  <c r="AK777" i="7"/>
  <c r="E160" i="7"/>
  <c r="V458" i="7"/>
  <c r="G260" i="7"/>
  <c r="AU264" i="7"/>
  <c r="AU229" i="7"/>
  <c r="AU232" i="7" s="1"/>
  <c r="AU267" i="7" s="1"/>
  <c r="CH226" i="7" s="1"/>
  <c r="CK226" i="7" s="1"/>
  <c r="CL226" i="7" s="1"/>
  <c r="V252" i="7"/>
  <c r="AK779" i="7"/>
  <c r="AK775" i="7"/>
  <c r="V247" i="7"/>
  <c r="V249" i="7"/>
  <c r="BQ52" i="27"/>
  <c r="CA52" i="27"/>
  <c r="CL78" i="69"/>
  <c r="BY9" i="69"/>
  <c r="BY21" i="69" s="1"/>
  <c r="BK73" i="14"/>
  <c r="CC52" i="27"/>
  <c r="BX52" i="27"/>
  <c r="AP172" i="7"/>
  <c r="AP163" i="7"/>
  <c r="AP171" i="7"/>
  <c r="G499" i="7"/>
  <c r="G494" i="7"/>
  <c r="AU866" i="7"/>
  <c r="AU869" i="7" s="1"/>
  <c r="F56" i="37"/>
  <c r="AS131" i="13"/>
  <c r="AP866" i="7"/>
  <c r="AP869" i="7" s="1"/>
  <c r="AP901" i="7"/>
  <c r="BQ857" i="7"/>
  <c r="CJ11" i="6"/>
  <c r="U262" i="1"/>
  <c r="U191" i="1"/>
  <c r="S242" i="1"/>
  <c r="Z241" i="1"/>
  <c r="O242" i="1"/>
  <c r="U276" i="1"/>
  <c r="AA568" i="7"/>
  <c r="AA572" i="7"/>
  <c r="AA533" i="7"/>
  <c r="AA540" i="7" s="1"/>
  <c r="BS741" i="7"/>
  <c r="BS857" i="7" s="1"/>
  <c r="BR857" i="7"/>
  <c r="Q337" i="7"/>
  <c r="Q371" i="7" s="1"/>
  <c r="Q370" i="7"/>
  <c r="AF262" i="7"/>
  <c r="AF259" i="7"/>
  <c r="V439" i="7"/>
  <c r="AK513" i="7"/>
  <c r="Q38" i="7"/>
  <c r="Q82" i="7" s="1"/>
  <c r="AF899" i="7"/>
  <c r="AF894" i="7"/>
  <c r="V424" i="7"/>
  <c r="AF863" i="7"/>
  <c r="AF866" i="7" s="1"/>
  <c r="AF869" i="7" s="1"/>
  <c r="AA717" i="7"/>
  <c r="AA716" i="7"/>
  <c r="AF263" i="7"/>
  <c r="AF260" i="7"/>
  <c r="AA715" i="7"/>
  <c r="L168" i="7"/>
  <c r="AK495" i="7"/>
  <c r="L169" i="7"/>
  <c r="AF254" i="7"/>
  <c r="AF264" i="7"/>
  <c r="AQ132" i="10"/>
  <c r="AQ124" i="10" s="1"/>
  <c r="L139" i="7"/>
  <c r="CH162" i="7" s="1"/>
  <c r="AK718" i="7"/>
  <c r="AK721" i="7" s="1"/>
  <c r="V356" i="7"/>
  <c r="V360" i="7" s="1"/>
  <c r="V352" i="7"/>
  <c r="E370" i="7"/>
  <c r="E337" i="7"/>
  <c r="BV588" i="7"/>
  <c r="BV591" i="7" s="1"/>
  <c r="BV594" i="7" s="1"/>
  <c r="BW585" i="7"/>
  <c r="BW527" i="7" s="1"/>
  <c r="AA170" i="7"/>
  <c r="AA173" i="7"/>
  <c r="AP318" i="7"/>
  <c r="AP285" i="7"/>
  <c r="AP319" i="7" s="1"/>
  <c r="AP19" i="10"/>
  <c r="CJ17" i="10" s="1"/>
  <c r="CH17" i="10" s="1"/>
  <c r="AP11" i="12"/>
  <c r="AZ109" i="10"/>
  <c r="AZ43" i="10" s="1"/>
  <c r="Q244" i="7"/>
  <c r="AF252" i="7"/>
  <c r="AF251" i="7"/>
  <c r="AF256" i="7" s="1"/>
  <c r="AF249" i="7"/>
  <c r="AF247" i="7"/>
  <c r="CD145" i="14"/>
  <c r="AD26" i="12"/>
  <c r="S134" i="14"/>
  <c r="S141" i="14"/>
  <c r="AT56" i="37"/>
  <c r="AT141" i="14"/>
  <c r="AT142" i="14" s="1"/>
  <c r="AT134" i="14"/>
  <c r="AT136" i="14" s="1"/>
  <c r="AT138" i="14" s="1"/>
  <c r="AH56" i="37"/>
  <c r="AW56" i="37"/>
  <c r="X134" i="14"/>
  <c r="AZ128" i="10"/>
  <c r="AX128" i="10" s="1"/>
  <c r="AX120" i="10" s="1"/>
  <c r="AZ130" i="10"/>
  <c r="AV130" i="10" s="1"/>
  <c r="AV122" i="10" s="1"/>
  <c r="AW134" i="14"/>
  <c r="X56" i="37"/>
  <c r="AZ127" i="10"/>
  <c r="AY127" i="10" s="1"/>
  <c r="AY119" i="10" s="1"/>
  <c r="AZ131" i="10"/>
  <c r="AW131" i="10" s="1"/>
  <c r="AW123" i="10" s="1"/>
  <c r="D134" i="14"/>
  <c r="D136" i="14" s="1"/>
  <c r="D138" i="14" s="1"/>
  <c r="D146" i="14" s="1"/>
  <c r="AZ132" i="10"/>
  <c r="AX132" i="10" s="1"/>
  <c r="AX124" i="10" s="1"/>
  <c r="AP127" i="10"/>
  <c r="AL127" i="10" s="1"/>
  <c r="AL119" i="10" s="1"/>
  <c r="AP54" i="37"/>
  <c r="AP134" i="14" s="1"/>
  <c r="AP109" i="10"/>
  <c r="AP110" i="10" s="1"/>
  <c r="I134" i="14"/>
  <c r="I136" i="14" s="1"/>
  <c r="I138" i="14" s="1"/>
  <c r="AM56" i="37"/>
  <c r="AP129" i="10"/>
  <c r="AL129" i="10" s="1"/>
  <c r="AL121" i="10" s="1"/>
  <c r="AD29" i="12"/>
  <c r="V500" i="7"/>
  <c r="L371" i="7"/>
  <c r="AX131" i="13"/>
  <c r="AX135" i="13" s="1"/>
  <c r="AV131" i="13"/>
  <c r="AM131" i="13"/>
  <c r="AI131" i="13"/>
  <c r="AJ131" i="13"/>
  <c r="G38" i="7"/>
  <c r="G80" i="7" s="1"/>
  <c r="Q499" i="7"/>
  <c r="R277" i="1"/>
  <c r="Y319" i="1"/>
  <c r="P240" i="1"/>
  <c r="AE192" i="1"/>
  <c r="P211" i="1"/>
  <c r="Z236" i="1"/>
  <c r="Z275" i="1"/>
  <c r="T317" i="1"/>
  <c r="N317" i="1"/>
  <c r="U255" i="1"/>
  <c r="Q371" i="1"/>
  <c r="O317" i="1"/>
  <c r="R317" i="1"/>
  <c r="W277" i="1"/>
  <c r="AE241" i="1"/>
  <c r="U211" i="1"/>
  <c r="Y242" i="1"/>
  <c r="P214" i="1"/>
  <c r="AC242" i="1"/>
  <c r="Z262" i="1"/>
  <c r="AE249" i="1"/>
  <c r="K427" i="3"/>
  <c r="AI321" i="30"/>
  <c r="AF162" i="5"/>
  <c r="AE265" i="1"/>
  <c r="U214" i="1"/>
  <c r="AL321" i="30"/>
  <c r="AA423" i="3"/>
  <c r="AA457" i="3" s="1"/>
  <c r="BY187" i="4" s="1"/>
  <c r="AB428" i="3"/>
  <c r="AB459" i="3" s="1"/>
  <c r="CD202" i="4" s="1"/>
  <c r="AC321" i="30"/>
  <c r="N492" i="3"/>
  <c r="N498" i="3" s="1"/>
  <c r="L253" i="4" s="1"/>
  <c r="AG443" i="3"/>
  <c r="K414" i="3"/>
  <c r="K448" i="3" s="1"/>
  <c r="AA439" i="3"/>
  <c r="N425" i="3"/>
  <c r="N474" i="3" s="1"/>
  <c r="L209" i="4" s="1"/>
  <c r="AE419" i="3"/>
  <c r="AE454" i="3" s="1"/>
  <c r="S322" i="30"/>
  <c r="AK73" i="10" s="1"/>
  <c r="AK74" i="10" s="1"/>
  <c r="AB97" i="13"/>
  <c r="AB98" i="13" s="1"/>
  <c r="AB100" i="13" s="1"/>
  <c r="Q248" i="7"/>
  <c r="AD321" i="30"/>
  <c r="AF321" i="30"/>
  <c r="T321" i="30"/>
  <c r="AP48" i="10" s="1"/>
  <c r="AB322" i="30"/>
  <c r="CD73" i="10" s="1"/>
  <c r="U209" i="1"/>
  <c r="P263" i="1"/>
  <c r="AI141" i="14"/>
  <c r="AI142" i="14" s="1"/>
  <c r="AI143" i="14" s="1"/>
  <c r="AP551" i="7"/>
  <c r="AP552" i="7" s="1"/>
  <c r="AF545" i="7"/>
  <c r="AF556" i="7" s="1"/>
  <c r="AC134" i="14"/>
  <c r="AC136" i="14" s="1"/>
  <c r="AC138" i="14" s="1"/>
  <c r="AC56" i="37"/>
  <c r="AC141" i="14"/>
  <c r="AC142" i="14" s="1"/>
  <c r="AC143" i="14" s="1"/>
  <c r="AI102" i="14"/>
  <c r="AI37" i="12"/>
  <c r="AI42" i="12" s="1"/>
  <c r="AK499" i="7"/>
  <c r="AK500" i="7"/>
  <c r="AK498" i="7"/>
  <c r="AK502" i="7" s="1"/>
  <c r="AK497" i="7"/>
  <c r="AK494" i="7"/>
  <c r="L551" i="7"/>
  <c r="AS141" i="14"/>
  <c r="AS142" i="14" s="1"/>
  <c r="AS143" i="14" s="1"/>
  <c r="AS134" i="14"/>
  <c r="AS56" i="37"/>
  <c r="AZ85" i="12"/>
  <c r="AG97" i="13"/>
  <c r="AG98" i="13" s="1"/>
  <c r="X321" i="30"/>
  <c r="BJ48" i="10" s="1"/>
  <c r="M321" i="30"/>
  <c r="G48" i="10" s="1"/>
  <c r="AG321" i="30"/>
  <c r="AB321" i="30"/>
  <c r="CD48" i="10" s="1"/>
  <c r="AU46" i="37"/>
  <c r="AU53" i="37" s="1"/>
  <c r="Q253" i="7"/>
  <c r="V244" i="7"/>
  <c r="Z192" i="1"/>
  <c r="Q497" i="7"/>
  <c r="AU250" i="7"/>
  <c r="AU252" i="7"/>
  <c r="AU249" i="7"/>
  <c r="AU247" i="7"/>
  <c r="Y141" i="14"/>
  <c r="Y142" i="14" s="1"/>
  <c r="Y143" i="14" s="1"/>
  <c r="Y134" i="14"/>
  <c r="Y136" i="14" s="1"/>
  <c r="Y138" i="14" s="1"/>
  <c r="Y56" i="37"/>
  <c r="AU301" i="7"/>
  <c r="AU306" i="7"/>
  <c r="AU305" i="7"/>
  <c r="AU304" i="7"/>
  <c r="AU308" i="7" s="1"/>
  <c r="AU300" i="7"/>
  <c r="AU303" i="7"/>
  <c r="AU302" i="7"/>
  <c r="AF889" i="7"/>
  <c r="AF884" i="7"/>
  <c r="AF886" i="7"/>
  <c r="AK250" i="7"/>
  <c r="AK247" i="7"/>
  <c r="AK251" i="7"/>
  <c r="AK256" i="7" s="1"/>
  <c r="AK249" i="7"/>
  <c r="AK248" i="7"/>
  <c r="AK254" i="7"/>
  <c r="AK253" i="7"/>
  <c r="AK252" i="7"/>
  <c r="L321" i="30"/>
  <c r="F48" i="10" s="1"/>
  <c r="N322" i="30"/>
  <c r="L73" i="10" s="1"/>
  <c r="AE263" i="1"/>
  <c r="AE276" i="1"/>
  <c r="Z263" i="1"/>
  <c r="I141" i="14"/>
  <c r="I142" i="14" s="1"/>
  <c r="Q498" i="7"/>
  <c r="Q502" i="7" s="1"/>
  <c r="AD30" i="12"/>
  <c r="CG60" i="12" s="1"/>
  <c r="AT131" i="13"/>
  <c r="AU77" i="12"/>
  <c r="BY40" i="27"/>
  <c r="AF124" i="13"/>
  <c r="AN131" i="13"/>
  <c r="AR131" i="13"/>
  <c r="AU185" i="13"/>
  <c r="AU183" i="13"/>
  <c r="AW131" i="13"/>
  <c r="AK174" i="13"/>
  <c r="AC185" i="13"/>
  <c r="AK90" i="12"/>
  <c r="AK125" i="13"/>
  <c r="AF183" i="13"/>
  <c r="AC183" i="13"/>
  <c r="AU125" i="13"/>
  <c r="AQ127" i="13"/>
  <c r="AN127" i="13"/>
  <c r="AD185" i="13"/>
  <c r="AP185" i="13"/>
  <c r="AD183" i="13"/>
  <c r="AP174" i="13"/>
  <c r="AN185" i="13"/>
  <c r="AP125" i="13"/>
  <c r="AP127" i="13" s="1"/>
  <c r="AK185" i="13"/>
  <c r="AN183" i="13"/>
  <c r="AP96" i="12"/>
  <c r="AP85" i="12"/>
  <c r="AK85" i="12"/>
  <c r="AU74" i="12"/>
  <c r="N26" i="12"/>
  <c r="AX26" i="12"/>
  <c r="Y26" i="12"/>
  <c r="AK23" i="10"/>
  <c r="X12" i="12"/>
  <c r="X15" i="12" s="1"/>
  <c r="AV51" i="12"/>
  <c r="AV59" i="12" s="1"/>
  <c r="AH48" i="12"/>
  <c r="AH51" i="12"/>
  <c r="AH59" i="12" s="1"/>
  <c r="AM51" i="12"/>
  <c r="AM59" i="12" s="1"/>
  <c r="D51" i="12"/>
  <c r="D59" i="12" s="1"/>
  <c r="D42" i="12"/>
  <c r="AK56" i="12"/>
  <c r="AG51" i="12"/>
  <c r="AG59" i="12" s="1"/>
  <c r="R12" i="12"/>
  <c r="AH187" i="12"/>
  <c r="AI186" i="12" s="1"/>
  <c r="AI187" i="12" s="1"/>
  <c r="AJ186" i="12" s="1"/>
  <c r="AJ187" i="12" s="1"/>
  <c r="Z42" i="12"/>
  <c r="I12" i="12"/>
  <c r="AL26" i="12"/>
  <c r="AU48" i="12"/>
  <c r="AU51" i="12"/>
  <c r="AU19" i="37" s="1"/>
  <c r="M12" i="12"/>
  <c r="AU184" i="12"/>
  <c r="AW51" i="12"/>
  <c r="AW59" i="12" s="1"/>
  <c r="K59" i="12"/>
  <c r="J51" i="12"/>
  <c r="J59" i="12" s="1"/>
  <c r="AT26" i="12"/>
  <c r="AK184" i="12"/>
  <c r="AZ43" i="12"/>
  <c r="AS12" i="12"/>
  <c r="AR48" i="12"/>
  <c r="AR51" i="12"/>
  <c r="AR59" i="12" s="1"/>
  <c r="AI51" i="12"/>
  <c r="AI59" i="12" s="1"/>
  <c r="AO59" i="12"/>
  <c r="AJ51" i="12"/>
  <c r="AJ59" i="12" s="1"/>
  <c r="AP184" i="12"/>
  <c r="AP60" i="12" s="1"/>
  <c r="AR14" i="12"/>
  <c r="AK97" i="6"/>
  <c r="AH114" i="6"/>
  <c r="AK114" i="6" s="1"/>
  <c r="AR97" i="6"/>
  <c r="AU80" i="6"/>
  <c r="AM114" i="6"/>
  <c r="AP114" i="6" s="1"/>
  <c r="AP97" i="6"/>
  <c r="BY145" i="14"/>
  <c r="AD36" i="14"/>
  <c r="AD39" i="14" s="1"/>
  <c r="AD42" i="14" s="1"/>
  <c r="AD94" i="13"/>
  <c r="AD100" i="13" s="1"/>
  <c r="AH102" i="14"/>
  <c r="AH37" i="12"/>
  <c r="AH42" i="12" s="1"/>
  <c r="AR85" i="14"/>
  <c r="AR56" i="14"/>
  <c r="AR57" i="14" s="1"/>
  <c r="BO145" i="14"/>
  <c r="AX134" i="14"/>
  <c r="AM141" i="14"/>
  <c r="AM142" i="14" s="1"/>
  <c r="AM143" i="14" s="1"/>
  <c r="K134" i="14"/>
  <c r="K136" i="14" s="1"/>
  <c r="K138" i="14" s="1"/>
  <c r="K146" i="14" s="1"/>
  <c r="K56" i="37"/>
  <c r="D56" i="37"/>
  <c r="AD141" i="14"/>
  <c r="AD142" i="14" s="1"/>
  <c r="AD143" i="14" s="1"/>
  <c r="AD134" i="14"/>
  <c r="AD136" i="14" s="1"/>
  <c r="AD138" i="14" s="1"/>
  <c r="Q54" i="7"/>
  <c r="Q67" i="7" s="1"/>
  <c r="Q249" i="7"/>
  <c r="V358" i="7"/>
  <c r="Q254" i="7"/>
  <c r="Q250" i="7"/>
  <c r="Q494" i="7"/>
  <c r="Q251" i="7"/>
  <c r="Q256" i="7" s="1"/>
  <c r="Q252" i="7"/>
  <c r="Q513" i="7"/>
  <c r="V355" i="7"/>
  <c r="CB12" i="69"/>
  <c r="CB22" i="69" s="1"/>
  <c r="CD9" i="69"/>
  <c r="CD21" i="69" s="1"/>
  <c r="AZ72" i="69"/>
  <c r="CJ88" i="69"/>
  <c r="BJ31" i="6"/>
  <c r="BJ653" i="7" s="1"/>
  <c r="Q496" i="7"/>
  <c r="Q495" i="7"/>
  <c r="AK714" i="7"/>
  <c r="AK715" i="7"/>
  <c r="AK719" i="7"/>
  <c r="BA14" i="12"/>
  <c r="C56" i="37"/>
  <c r="BP42" i="13"/>
  <c r="BQ42" i="13" s="1"/>
  <c r="BR42" i="13" s="1"/>
  <c r="BS42" i="13" s="1"/>
  <c r="BT42" i="13" s="1"/>
  <c r="BP31" i="13"/>
  <c r="BQ31" i="13" s="1"/>
  <c r="BR31" i="13" s="1"/>
  <c r="BS31" i="13" s="1"/>
  <c r="BT31" i="13" s="1"/>
  <c r="BU17" i="13"/>
  <c r="BV17" i="13" s="1"/>
  <c r="BW17" i="13" s="1"/>
  <c r="BX17" i="13" s="1"/>
  <c r="BY17" i="13" s="1"/>
  <c r="BO108" i="12"/>
  <c r="AF456" i="7"/>
  <c r="AF457" i="7"/>
  <c r="AF453" i="7"/>
  <c r="AF454" i="7"/>
  <c r="L170" i="7"/>
  <c r="L163" i="7"/>
  <c r="L171" i="7"/>
  <c r="V454" i="7"/>
  <c r="V456" i="7"/>
  <c r="V455" i="7"/>
  <c r="V457" i="7"/>
  <c r="G496" i="7"/>
  <c r="G498" i="7"/>
  <c r="G502" i="7" s="1"/>
  <c r="G495" i="7"/>
  <c r="BQ12" i="6"/>
  <c r="BQ10" i="14" s="1"/>
  <c r="P209" i="1"/>
  <c r="AE255" i="1"/>
  <c r="Y322" i="30"/>
  <c r="BO73" i="10" s="1"/>
  <c r="BO74" i="10" s="1"/>
  <c r="P270" i="1"/>
  <c r="AK322" i="30"/>
  <c r="AD322" i="30"/>
  <c r="K322" i="30"/>
  <c r="E73" i="10" s="1"/>
  <c r="O322" i="30"/>
  <c r="Q73" i="10" s="1"/>
  <c r="AC322" i="30"/>
  <c r="Y321" i="30"/>
  <c r="AJ322" i="30"/>
  <c r="AG322" i="30"/>
  <c r="W321" i="30"/>
  <c r="BE48" i="10" s="1"/>
  <c r="AJ321" i="30"/>
  <c r="AA321" i="30"/>
  <c r="BY48" i="10" s="1"/>
  <c r="BY49" i="10" s="1"/>
  <c r="N321" i="30"/>
  <c r="L48" i="10" s="1"/>
  <c r="L49" i="10" s="1"/>
  <c r="W322" i="30"/>
  <c r="BE73" i="10" s="1"/>
  <c r="AA322" i="30"/>
  <c r="BY73" i="10" s="1"/>
  <c r="BY74" i="10" s="1"/>
  <c r="N319" i="1"/>
  <c r="Z321" i="30"/>
  <c r="BT48" i="10" s="1"/>
  <c r="AE322" i="30"/>
  <c r="S321" i="30"/>
  <c r="AK48" i="10" s="1"/>
  <c r="AI322" i="30"/>
  <c r="U321" i="30"/>
  <c r="AU48" i="10" s="1"/>
  <c r="AU49" i="10" s="1"/>
  <c r="AL322" i="30"/>
  <c r="P321" i="30"/>
  <c r="V48" i="10" s="1"/>
  <c r="P322" i="30"/>
  <c r="V73" i="10" s="1"/>
  <c r="V321" i="30"/>
  <c r="AZ48" i="10" s="1"/>
  <c r="AK321" i="30"/>
  <c r="AK323" i="30" s="1"/>
  <c r="AK324" i="30" s="1"/>
  <c r="U322" i="30"/>
  <c r="AU73" i="10" s="1"/>
  <c r="AU74" i="10" s="1"/>
  <c r="Q322" i="30"/>
  <c r="AA73" i="10" s="1"/>
  <c r="AA74" i="10" s="1"/>
  <c r="AH322" i="30"/>
  <c r="K321" i="30"/>
  <c r="E48" i="10" s="1"/>
  <c r="W242" i="1"/>
  <c r="T242" i="1"/>
  <c r="R321" i="30"/>
  <c r="R322" i="30"/>
  <c r="AF73" i="10" s="1"/>
  <c r="AF74" i="10" s="1"/>
  <c r="Z322" i="30"/>
  <c r="BT73" i="10" s="1"/>
  <c r="BT74" i="10" s="1"/>
  <c r="T322" i="30"/>
  <c r="AP73" i="10" s="1"/>
  <c r="AP74" i="10" s="1"/>
  <c r="O321" i="30"/>
  <c r="Q48" i="10" s="1"/>
  <c r="Q49" i="10" s="1"/>
  <c r="AH321" i="30"/>
  <c r="AF322" i="30"/>
  <c r="V322" i="30"/>
  <c r="AZ73" i="10" s="1"/>
  <c r="AZ74" i="10" s="1"/>
  <c r="AE321" i="30"/>
  <c r="M322" i="30"/>
  <c r="G73" i="10" s="1"/>
  <c r="Q321" i="30"/>
  <c r="L322" i="30"/>
  <c r="F73" i="10" s="1"/>
  <c r="X322" i="30"/>
  <c r="BJ73" i="10" s="1"/>
  <c r="BJ74" i="10" s="1"/>
  <c r="U234" i="1"/>
  <c r="AB277" i="1"/>
  <c r="BJ174" i="4"/>
  <c r="M417" i="3"/>
  <c r="M452" i="3" s="1"/>
  <c r="G200" i="4" s="1"/>
  <c r="G308" i="4" s="1"/>
  <c r="G362" i="4" s="1"/>
  <c r="L492" i="3"/>
  <c r="L498" i="3" s="1"/>
  <c r="F253" i="4" s="1"/>
  <c r="AI490" i="3"/>
  <c r="Z434" i="3"/>
  <c r="AK415" i="3"/>
  <c r="AK449" i="3" s="1"/>
  <c r="AC425" i="3"/>
  <c r="AC474" i="3" s="1"/>
  <c r="AD424" i="3"/>
  <c r="AD458" i="3" s="1"/>
  <c r="AE434" i="3"/>
  <c r="AK488" i="3"/>
  <c r="K491" i="3"/>
  <c r="K519" i="3" s="1"/>
  <c r="E261" i="4" s="1"/>
  <c r="E315" i="4" s="1"/>
  <c r="E369" i="4" s="1"/>
  <c r="K430" i="3"/>
  <c r="K463" i="3" s="1"/>
  <c r="E174" i="4" s="1"/>
  <c r="AA443" i="3"/>
  <c r="AB429" i="3"/>
  <c r="AB462" i="3" s="1"/>
  <c r="CD175" i="4" s="1"/>
  <c r="AG419" i="3"/>
  <c r="AG454" i="3" s="1"/>
  <c r="L415" i="3"/>
  <c r="L449" i="3" s="1"/>
  <c r="F194" i="4" s="1"/>
  <c r="F302" i="4" s="1"/>
  <c r="F356" i="4" s="1"/>
  <c r="K441" i="3"/>
  <c r="AH422" i="3"/>
  <c r="AC432" i="3"/>
  <c r="AC470" i="3" s="1"/>
  <c r="AD441" i="3"/>
  <c r="L490" i="3"/>
  <c r="AE421" i="3"/>
  <c r="L488" i="3"/>
  <c r="M441" i="3"/>
  <c r="AI427" i="3"/>
  <c r="AB494" i="3"/>
  <c r="AB524" i="3" s="1"/>
  <c r="CD243" i="4" s="1"/>
  <c r="AL422" i="3"/>
  <c r="AC414" i="3"/>
  <c r="AC448" i="3" s="1"/>
  <c r="K484" i="3"/>
  <c r="K504" i="3" s="1"/>
  <c r="E239" i="4" s="1"/>
  <c r="E293" i="4" s="1"/>
  <c r="E347" i="4" s="1"/>
  <c r="O492" i="3"/>
  <c r="O498" i="3" s="1"/>
  <c r="Q253" i="4" s="1"/>
  <c r="AA437" i="3"/>
  <c r="K422" i="3"/>
  <c r="AA442" i="3"/>
  <c r="AA473" i="3" s="1"/>
  <c r="BY189" i="4" s="1"/>
  <c r="AD416" i="3"/>
  <c r="AD451" i="3" s="1"/>
  <c r="AE427" i="3"/>
  <c r="AG436" i="3"/>
  <c r="AE484" i="3"/>
  <c r="AE504" i="3" s="1"/>
  <c r="K485" i="3"/>
  <c r="L430" i="3"/>
  <c r="L463" i="3" s="1"/>
  <c r="F174" i="4" s="1"/>
  <c r="AD493" i="3"/>
  <c r="Q426" i="3"/>
  <c r="Q466" i="3" s="1"/>
  <c r="AA215" i="4" s="1"/>
  <c r="W483" i="3"/>
  <c r="W499" i="3" s="1"/>
  <c r="BE247" i="4" s="1"/>
  <c r="AA417" i="3"/>
  <c r="AA452" i="3" s="1"/>
  <c r="BY200" i="4" s="1"/>
  <c r="K416" i="3"/>
  <c r="K451" i="3" s="1"/>
  <c r="E214" i="4" s="1"/>
  <c r="E322" i="4" s="1"/>
  <c r="K438" i="3"/>
  <c r="AB482" i="3"/>
  <c r="AB501" i="3" s="1"/>
  <c r="CD238" i="4" s="1"/>
  <c r="Z422" i="3"/>
  <c r="AA416" i="3"/>
  <c r="AA451" i="3" s="1"/>
  <c r="BY214" i="4" s="1"/>
  <c r="AB439" i="3"/>
  <c r="Q492" i="3"/>
  <c r="Q498" i="3" s="1"/>
  <c r="AF420" i="3"/>
  <c r="AG429" i="3"/>
  <c r="AG462" i="3" s="1"/>
  <c r="L439" i="3"/>
  <c r="AG486" i="3"/>
  <c r="AG510" i="3" s="1"/>
  <c r="AD417" i="3"/>
  <c r="AD452" i="3" s="1"/>
  <c r="AD439" i="3"/>
  <c r="P438" i="3"/>
  <c r="AB492" i="3"/>
  <c r="AB498" i="3" s="1"/>
  <c r="AK433" i="3"/>
  <c r="AK471" i="3" s="1"/>
  <c r="Y489" i="3"/>
  <c r="H313" i="4"/>
  <c r="AG417" i="3"/>
  <c r="AG452" i="3" s="1"/>
  <c r="AF414" i="3"/>
  <c r="AF448" i="3" s="1"/>
  <c r="K426" i="3"/>
  <c r="K466" i="3" s="1"/>
  <c r="E215" i="4" s="1"/>
  <c r="E323" i="4" s="1"/>
  <c r="E377" i="4" s="1"/>
  <c r="K443" i="3"/>
  <c r="K415" i="3"/>
  <c r="K449" i="3" s="1"/>
  <c r="E194" i="4" s="1"/>
  <c r="E302" i="4" s="1"/>
  <c r="E356" i="4" s="1"/>
  <c r="K423" i="3"/>
  <c r="K457" i="3" s="1"/>
  <c r="E187" i="4" s="1"/>
  <c r="E295" i="4" s="1"/>
  <c r="E349" i="4" s="1"/>
  <c r="K440" i="3"/>
  <c r="K429" i="3"/>
  <c r="K462" i="3" s="1"/>
  <c r="E175" i="4" s="1"/>
  <c r="E283" i="4" s="1"/>
  <c r="E337" i="4" s="1"/>
  <c r="AC417" i="3"/>
  <c r="AC452" i="3" s="1"/>
  <c r="P492" i="3"/>
  <c r="P498" i="3" s="1"/>
  <c r="V253" i="4" s="1"/>
  <c r="AB443" i="3"/>
  <c r="AA490" i="3"/>
  <c r="AA432" i="3"/>
  <c r="AA470" i="3" s="1"/>
  <c r="BY188" i="4" s="1"/>
  <c r="AA441" i="3"/>
  <c r="Z432" i="3"/>
  <c r="Z470" i="3" s="1"/>
  <c r="BT188" i="4" s="1"/>
  <c r="Z493" i="3"/>
  <c r="CD174" i="4"/>
  <c r="AB484" i="3"/>
  <c r="AB504" i="3" s="1"/>
  <c r="AA419" i="3"/>
  <c r="AA454" i="3" s="1"/>
  <c r="BY186" i="4" s="1"/>
  <c r="AF415" i="3"/>
  <c r="AF449" i="3" s="1"/>
  <c r="K489" i="3"/>
  <c r="K483" i="3"/>
  <c r="K499" i="3" s="1"/>
  <c r="E247" i="4" s="1"/>
  <c r="E250" i="4" s="1"/>
  <c r="S492" i="3"/>
  <c r="S498" i="3" s="1"/>
  <c r="AK253" i="4" s="1"/>
  <c r="K420" i="3"/>
  <c r="R492" i="3"/>
  <c r="R498" i="3" s="1"/>
  <c r="AA414" i="3"/>
  <c r="AA448" i="3" s="1"/>
  <c r="BY193" i="4" s="1"/>
  <c r="BY174" i="4"/>
  <c r="AE415" i="3"/>
  <c r="AE449" i="3" s="1"/>
  <c r="L420" i="3"/>
  <c r="AD422" i="3"/>
  <c r="AF424" i="3"/>
  <c r="AF458" i="3" s="1"/>
  <c r="AH426" i="3"/>
  <c r="AH466" i="3" s="1"/>
  <c r="AC429" i="3"/>
  <c r="AC462" i="3" s="1"/>
  <c r="AF431" i="3"/>
  <c r="AF464" i="3" s="1"/>
  <c r="AH433" i="3"/>
  <c r="AH471" i="3" s="1"/>
  <c r="AC436" i="3"/>
  <c r="AE438" i="3"/>
  <c r="AG440" i="3"/>
  <c r="L443" i="3"/>
  <c r="AH483" i="3"/>
  <c r="AH499" i="3" s="1"/>
  <c r="AC486" i="3"/>
  <c r="AC510" i="3" s="1"/>
  <c r="AE489" i="3"/>
  <c r="Q491" i="3"/>
  <c r="Q519" i="3" s="1"/>
  <c r="AF416" i="3"/>
  <c r="AF451" i="3" s="1"/>
  <c r="AH420" i="3"/>
  <c r="AC423" i="3"/>
  <c r="AC457" i="3" s="1"/>
  <c r="AG427" i="3"/>
  <c r="L437" i="3"/>
  <c r="AG484" i="3"/>
  <c r="AG504" i="3" s="1"/>
  <c r="AK493" i="3"/>
  <c r="AF491" i="3"/>
  <c r="AF519" i="3" s="1"/>
  <c r="AL419" i="3"/>
  <c r="AL454" i="3" s="1"/>
  <c r="P417" i="3"/>
  <c r="P452" i="3" s="1"/>
  <c r="V200" i="4" s="1"/>
  <c r="P483" i="3"/>
  <c r="P499" i="3" s="1"/>
  <c r="V247" i="4" s="1"/>
  <c r="S490" i="3"/>
  <c r="N488" i="3"/>
  <c r="Y486" i="3"/>
  <c r="Y510" i="3" s="1"/>
  <c r="BO256" i="4" s="1"/>
  <c r="AJ489" i="3"/>
  <c r="Y482" i="3"/>
  <c r="Y501" i="3" s="1"/>
  <c r="AJ482" i="3"/>
  <c r="AJ501" i="3" s="1"/>
  <c r="Y426" i="3"/>
  <c r="Y466" i="3" s="1"/>
  <c r="BO215" i="4" s="1"/>
  <c r="BO323" i="4" s="1"/>
  <c r="Y415" i="3"/>
  <c r="Y449" i="3" s="1"/>
  <c r="BO194" i="4" s="1"/>
  <c r="Z431" i="3"/>
  <c r="Z464" i="3" s="1"/>
  <c r="BT205" i="4" s="1"/>
  <c r="Y442" i="3"/>
  <c r="Y473" i="3" s="1"/>
  <c r="BO189" i="4" s="1"/>
  <c r="AJ424" i="3"/>
  <c r="AJ458" i="3" s="1"/>
  <c r="T485" i="3"/>
  <c r="T417" i="3"/>
  <c r="T452" i="3" s="1"/>
  <c r="AP200" i="4" s="1"/>
  <c r="AB423" i="3"/>
  <c r="AB457" i="3" s="1"/>
  <c r="CD187" i="4" s="1"/>
  <c r="AF440" i="3"/>
  <c r="AA438" i="3"/>
  <c r="Y493" i="3"/>
  <c r="AA493" i="3"/>
  <c r="AF434" i="3"/>
  <c r="AH443" i="3"/>
  <c r="AE492" i="3"/>
  <c r="AE498" i="3" s="1"/>
  <c r="AF421" i="3"/>
  <c r="L440" i="3"/>
  <c r="AL493" i="3"/>
  <c r="M440" i="3"/>
  <c r="U440" i="3"/>
  <c r="Q419" i="3"/>
  <c r="Q454" i="3" s="1"/>
  <c r="AA186" i="4" s="1"/>
  <c r="AA294" i="4" s="1"/>
  <c r="AA348" i="4" s="1"/>
  <c r="N415" i="3"/>
  <c r="N449" i="3" s="1"/>
  <c r="L194" i="4" s="1"/>
  <c r="R430" i="3"/>
  <c r="R463" i="3" s="1"/>
  <c r="AF174" i="4" s="1"/>
  <c r="S435" i="3"/>
  <c r="P482" i="3"/>
  <c r="P501" i="3" s="1"/>
  <c r="Q494" i="3"/>
  <c r="Q524" i="3" s="1"/>
  <c r="AA243" i="4" s="1"/>
  <c r="AC485" i="3"/>
  <c r="P434" i="3"/>
  <c r="N484" i="3"/>
  <c r="N504" i="3" s="1"/>
  <c r="L239" i="4" s="1"/>
  <c r="V494" i="3"/>
  <c r="V524" i="3" s="1"/>
  <c r="AZ243" i="4" s="1"/>
  <c r="M424" i="3"/>
  <c r="M458" i="3" s="1"/>
  <c r="G195" i="4" s="1"/>
  <c r="G303" i="4" s="1"/>
  <c r="G357" i="4" s="1"/>
  <c r="R486" i="3"/>
  <c r="R510" i="3" s="1"/>
  <c r="AF256" i="4" s="1"/>
  <c r="Q429" i="3"/>
  <c r="Q462" i="3" s="1"/>
  <c r="AA175" i="4" s="1"/>
  <c r="P437" i="3"/>
  <c r="T437" i="3"/>
  <c r="P421" i="3"/>
  <c r="O484" i="3"/>
  <c r="O504" i="3" s="1"/>
  <c r="P432" i="3"/>
  <c r="P470" i="3" s="1"/>
  <c r="V188" i="4" s="1"/>
  <c r="R414" i="3"/>
  <c r="R448" i="3" s="1"/>
  <c r="AF193" i="4" s="1"/>
  <c r="O415" i="3"/>
  <c r="O449" i="3" s="1"/>
  <c r="Q194" i="4" s="1"/>
  <c r="V424" i="3"/>
  <c r="V458" i="3" s="1"/>
  <c r="AZ195" i="4" s="1"/>
  <c r="O428" i="3"/>
  <c r="O459" i="3" s="1"/>
  <c r="Q202" i="4" s="1"/>
  <c r="U486" i="3"/>
  <c r="U510" i="3" s="1"/>
  <c r="AU256" i="4" s="1"/>
  <c r="V425" i="3"/>
  <c r="V474" i="3" s="1"/>
  <c r="AZ209" i="4" s="1"/>
  <c r="T443" i="3"/>
  <c r="O488" i="3"/>
  <c r="R489" i="3"/>
  <c r="U490" i="3"/>
  <c r="V416" i="3"/>
  <c r="V451" i="3" s="1"/>
  <c r="AZ214" i="4" s="1"/>
  <c r="N426" i="3"/>
  <c r="N466" i="3" s="1"/>
  <c r="L215" i="4" s="1"/>
  <c r="R490" i="3"/>
  <c r="U427" i="3"/>
  <c r="M427" i="3"/>
  <c r="Q416" i="3"/>
  <c r="Q451" i="3" s="1"/>
  <c r="AA214" i="4" s="1"/>
  <c r="Q485" i="3"/>
  <c r="AB416" i="3"/>
  <c r="AB451" i="3" s="1"/>
  <c r="CD214" i="4" s="1"/>
  <c r="AB424" i="3"/>
  <c r="AB458" i="3" s="1"/>
  <c r="CD195" i="4" s="1"/>
  <c r="AB420" i="3"/>
  <c r="AA427" i="3"/>
  <c r="AA440" i="3"/>
  <c r="Z492" i="3"/>
  <c r="Z498" i="3" s="1"/>
  <c r="BT253" i="4" s="1"/>
  <c r="Z435" i="3"/>
  <c r="Y421" i="3"/>
  <c r="AJ486" i="3"/>
  <c r="AJ510" i="3" s="1"/>
  <c r="AI426" i="3"/>
  <c r="AI466" i="3" s="1"/>
  <c r="AI484" i="3"/>
  <c r="AI504" i="3" s="1"/>
  <c r="W436" i="3"/>
  <c r="W486" i="3"/>
  <c r="W510" i="3" s="1"/>
  <c r="BE256" i="4" s="1"/>
  <c r="X441" i="3"/>
  <c r="X486" i="3"/>
  <c r="X510" i="3" s="1"/>
  <c r="BJ256" i="4" s="1"/>
  <c r="AI415" i="3"/>
  <c r="AI449" i="3" s="1"/>
  <c r="AI435" i="3"/>
  <c r="W435" i="3"/>
  <c r="W414" i="3"/>
  <c r="W448" i="3" s="1"/>
  <c r="BE193" i="4" s="1"/>
  <c r="W489" i="3"/>
  <c r="X438" i="3"/>
  <c r="X428" i="3"/>
  <c r="X459" i="3" s="1"/>
  <c r="BJ202" i="4" s="1"/>
  <c r="Y429" i="3"/>
  <c r="Y462" i="3" s="1"/>
  <c r="BO175" i="4" s="1"/>
  <c r="Y484" i="3"/>
  <c r="Y504" i="3" s="1"/>
  <c r="Y417" i="3"/>
  <c r="Y452" i="3" s="1"/>
  <c r="BO200" i="4" s="1"/>
  <c r="AI493" i="3"/>
  <c r="AJ432" i="3"/>
  <c r="AJ470" i="3" s="1"/>
  <c r="Y494" i="3"/>
  <c r="Y524" i="3" s="1"/>
  <c r="BO243" i="4" s="1"/>
  <c r="Z491" i="3"/>
  <c r="AK436" i="3"/>
  <c r="AJ435" i="3"/>
  <c r="AJ484" i="3"/>
  <c r="AJ504" i="3" s="1"/>
  <c r="AK494" i="3"/>
  <c r="AK524" i="3" s="1"/>
  <c r="AK432" i="3"/>
  <c r="AK470" i="3" s="1"/>
  <c r="AK421" i="3"/>
  <c r="AL433" i="3"/>
  <c r="AL471" i="3" s="1"/>
  <c r="AL423" i="3"/>
  <c r="AL457" i="3" s="1"/>
  <c r="AC494" i="3"/>
  <c r="AC524" i="3" s="1"/>
  <c r="O419" i="3"/>
  <c r="O454" i="3" s="1"/>
  <c r="Q186" i="4" s="1"/>
  <c r="W443" i="3"/>
  <c r="R431" i="3"/>
  <c r="R464" i="3" s="1"/>
  <c r="AF205" i="4" s="1"/>
  <c r="AH421" i="3"/>
  <c r="AH436" i="3"/>
  <c r="AH484" i="3"/>
  <c r="AH504" i="3" s="1"/>
  <c r="AK441" i="3"/>
  <c r="AC426" i="3"/>
  <c r="AC466" i="3" s="1"/>
  <c r="AG482" i="3"/>
  <c r="AG501" i="3" s="1"/>
  <c r="AL443" i="3"/>
  <c r="O440" i="3"/>
  <c r="O421" i="3"/>
  <c r="O432" i="3"/>
  <c r="O470" i="3" s="1"/>
  <c r="Q188" i="4" s="1"/>
  <c r="S424" i="3"/>
  <c r="S458" i="3" s="1"/>
  <c r="AK195" i="4" s="1"/>
  <c r="M435" i="3"/>
  <c r="U435" i="3"/>
  <c r="U484" i="3"/>
  <c r="U504" i="3" s="1"/>
  <c r="AG416" i="3"/>
  <c r="AG451" i="3" s="1"/>
  <c r="AK486" i="3"/>
  <c r="AK510" i="3" s="1"/>
  <c r="T434" i="3"/>
  <c r="T423" i="3"/>
  <c r="T457" i="3" s="1"/>
  <c r="AP187" i="4" s="1"/>
  <c r="S414" i="3"/>
  <c r="S448" i="3" s="1"/>
  <c r="AK193" i="4" s="1"/>
  <c r="U424" i="3"/>
  <c r="U458" i="3" s="1"/>
  <c r="AU195" i="4" s="1"/>
  <c r="M433" i="3"/>
  <c r="M471" i="3" s="1"/>
  <c r="G173" i="4" s="1"/>
  <c r="G281" i="4" s="1"/>
  <c r="G335" i="4" s="1"/>
  <c r="M437" i="3"/>
  <c r="Q437" i="3"/>
  <c r="U437" i="3"/>
  <c r="S420" i="3"/>
  <c r="N419" i="3"/>
  <c r="N454" i="3" s="1"/>
  <c r="L186" i="4" s="1"/>
  <c r="M442" i="3"/>
  <c r="M473" i="3" s="1"/>
  <c r="G189" i="4" s="1"/>
  <c r="N483" i="3"/>
  <c r="N499" i="3" s="1"/>
  <c r="L247" i="4" s="1"/>
  <c r="S415" i="3"/>
  <c r="S449" i="3" s="1"/>
  <c r="AK194" i="4" s="1"/>
  <c r="V492" i="3"/>
  <c r="V498" i="3" s="1"/>
  <c r="S428" i="3"/>
  <c r="S459" i="3" s="1"/>
  <c r="AK202" i="4" s="1"/>
  <c r="T431" i="3"/>
  <c r="T464" i="3" s="1"/>
  <c r="AP205" i="4" s="1"/>
  <c r="N443" i="3"/>
  <c r="V443" i="3"/>
  <c r="P485" i="3"/>
  <c r="S488" i="3"/>
  <c r="V489" i="3"/>
  <c r="O426" i="3"/>
  <c r="O466" i="3" s="1"/>
  <c r="Q215" i="4" s="1"/>
  <c r="O416" i="3"/>
  <c r="O451" i="3" s="1"/>
  <c r="Q214" i="4" s="1"/>
  <c r="P488" i="3"/>
  <c r="S427" i="3"/>
  <c r="Q425" i="3"/>
  <c r="Q474" i="3" s="1"/>
  <c r="AA209" i="4" s="1"/>
  <c r="V488" i="3"/>
  <c r="O489" i="3"/>
  <c r="AB489" i="3"/>
  <c r="AB414" i="3"/>
  <c r="AB448" i="3" s="1"/>
  <c r="CD193" i="4" s="1"/>
  <c r="AB438" i="3"/>
  <c r="AA431" i="3"/>
  <c r="AA464" i="3" s="1"/>
  <c r="BY205" i="4" s="1"/>
  <c r="AA436" i="3"/>
  <c r="Z484" i="3"/>
  <c r="Z504" i="3" s="1"/>
  <c r="BT174" i="4"/>
  <c r="Y435" i="3"/>
  <c r="AI420" i="3"/>
  <c r="AI434" i="3"/>
  <c r="AI485" i="3"/>
  <c r="W440" i="3"/>
  <c r="W488" i="3"/>
  <c r="X423" i="3"/>
  <c r="X457" i="3" s="1"/>
  <c r="BJ187" i="4" s="1"/>
  <c r="X488" i="3"/>
  <c r="AI421" i="3"/>
  <c r="AI439" i="3"/>
  <c r="W439" i="3"/>
  <c r="W424" i="3"/>
  <c r="W458" i="3" s="1"/>
  <c r="BE195" i="4" s="1"/>
  <c r="W426" i="3"/>
  <c r="W466" i="3" s="1"/>
  <c r="BE215" i="4" s="1"/>
  <c r="X420" i="3"/>
  <c r="X425" i="3"/>
  <c r="X474" i="3" s="1"/>
  <c r="BJ209" i="4" s="1"/>
  <c r="Y436" i="3"/>
  <c r="Y423" i="3"/>
  <c r="Y457" i="3" s="1"/>
  <c r="BO187" i="4" s="1"/>
  <c r="X493" i="3"/>
  <c r="AI414" i="3"/>
  <c r="AI448" i="3" s="1"/>
  <c r="AA494" i="3"/>
  <c r="AA524" i="3" s="1"/>
  <c r="BY243" i="4" s="1"/>
  <c r="W491" i="3"/>
  <c r="W519" i="3" s="1"/>
  <c r="AL416" i="3"/>
  <c r="AL451" i="3" s="1"/>
  <c r="AJ439" i="3"/>
  <c r="AJ443" i="3"/>
  <c r="AK484" i="3"/>
  <c r="AK504" i="3" s="1"/>
  <c r="AK431" i="3"/>
  <c r="AK464" i="3" s="1"/>
  <c r="AL485" i="3"/>
  <c r="AL427" i="3"/>
  <c r="X416" i="3"/>
  <c r="X451" i="3" s="1"/>
  <c r="BJ214" i="4" s="1"/>
  <c r="AH491" i="3"/>
  <c r="AH519" i="3" s="1"/>
  <c r="P427" i="3"/>
  <c r="AJ491" i="3"/>
  <c r="AJ519" i="3" s="1"/>
  <c r="W425" i="3"/>
  <c r="W474" i="3" s="1"/>
  <c r="BE209" i="4" s="1"/>
  <c r="AC431" i="3"/>
  <c r="AC464" i="3" s="1"/>
  <c r="AE441" i="3"/>
  <c r="AE490" i="3"/>
  <c r="AL442" i="3"/>
  <c r="AL473" i="3" s="1"/>
  <c r="AE435" i="3"/>
  <c r="AG493" i="3"/>
  <c r="N429" i="3"/>
  <c r="N462" i="3" s="1"/>
  <c r="L175" i="4" s="1"/>
  <c r="S440" i="3"/>
  <c r="U482" i="3"/>
  <c r="U501" i="3" s="1"/>
  <c r="Q414" i="3"/>
  <c r="Q448" i="3" s="1"/>
  <c r="AA193" i="4" s="1"/>
  <c r="S431" i="3"/>
  <c r="S464" i="3" s="1"/>
  <c r="AK205" i="4" s="1"/>
  <c r="Q435" i="3"/>
  <c r="R421" i="3"/>
  <c r="V432" i="3"/>
  <c r="V470" i="3" s="1"/>
  <c r="AZ188" i="4" s="1"/>
  <c r="AC437" i="3"/>
  <c r="P429" i="3"/>
  <c r="P462" i="3" s="1"/>
  <c r="V175" i="4" s="1"/>
  <c r="O482" i="3"/>
  <c r="O501" i="3" s="1"/>
  <c r="N494" i="3"/>
  <c r="N524" i="3" s="1"/>
  <c r="L243" i="4" s="1"/>
  <c r="P415" i="3"/>
  <c r="P449" i="3" s="1"/>
  <c r="V194" i="4" s="1"/>
  <c r="T428" i="3"/>
  <c r="T459" i="3" s="1"/>
  <c r="AP202" i="4" s="1"/>
  <c r="T430" i="3"/>
  <c r="T463" i="3" s="1"/>
  <c r="AP174" i="4" s="1"/>
  <c r="O437" i="3"/>
  <c r="S437" i="3"/>
  <c r="M422" i="3"/>
  <c r="R482" i="3"/>
  <c r="R501" i="3" s="1"/>
  <c r="Q423" i="3"/>
  <c r="Q457" i="3" s="1"/>
  <c r="AA187" i="4" s="1"/>
  <c r="S494" i="3"/>
  <c r="S524" i="3" s="1"/>
  <c r="AK243" i="4" s="1"/>
  <c r="V483" i="3"/>
  <c r="V499" i="3" s="1"/>
  <c r="AZ247" i="4" s="1"/>
  <c r="R424" i="3"/>
  <c r="R458" i="3" s="1"/>
  <c r="AF195" i="4" s="1"/>
  <c r="S417" i="3"/>
  <c r="S452" i="3" s="1"/>
  <c r="AK200" i="4" s="1"/>
  <c r="Q486" i="3"/>
  <c r="Q510" i="3" s="1"/>
  <c r="AA256" i="4" s="1"/>
  <c r="R425" i="3"/>
  <c r="R474" i="3" s="1"/>
  <c r="AF209" i="4" s="1"/>
  <c r="R443" i="3"/>
  <c r="N489" i="3"/>
  <c r="Q490" i="3"/>
  <c r="T493" i="3"/>
  <c r="R416" i="3"/>
  <c r="R451" i="3" s="1"/>
  <c r="AF214" i="4" s="1"/>
  <c r="V426" i="3"/>
  <c r="V466" i="3" s="1"/>
  <c r="AZ215" i="4" s="1"/>
  <c r="S493" i="3"/>
  <c r="M489" i="3"/>
  <c r="O427" i="3"/>
  <c r="P426" i="3"/>
  <c r="P466" i="3" s="1"/>
  <c r="V215" i="4" s="1"/>
  <c r="R488" i="3"/>
  <c r="S425" i="3"/>
  <c r="S474" i="3" s="1"/>
  <c r="AK209" i="4" s="1"/>
  <c r="AB486" i="3"/>
  <c r="AB510" i="3" s="1"/>
  <c r="CD256" i="4" s="1"/>
  <c r="AB419" i="3"/>
  <c r="AB454" i="3" s="1"/>
  <c r="CD186" i="4" s="1"/>
  <c r="AA489" i="3"/>
  <c r="AA422" i="3"/>
  <c r="Z443" i="3"/>
  <c r="Z439" i="3"/>
  <c r="Y443" i="3"/>
  <c r="AJ433" i="3"/>
  <c r="AJ471" i="3" s="1"/>
  <c r="AI442" i="3"/>
  <c r="AI473" i="3" s="1"/>
  <c r="W429" i="3"/>
  <c r="W462" i="3" s="1"/>
  <c r="BE175" i="4" s="1"/>
  <c r="W484" i="3"/>
  <c r="W504" i="3" s="1"/>
  <c r="X437" i="3"/>
  <c r="X483" i="3"/>
  <c r="X499" i="3" s="1"/>
  <c r="BJ247" i="4" s="1"/>
  <c r="AJ436" i="3"/>
  <c r="AI443" i="3"/>
  <c r="AI488" i="3"/>
  <c r="W432" i="3"/>
  <c r="W470" i="3" s="1"/>
  <c r="BE188" i="4" s="1"/>
  <c r="W427" i="3"/>
  <c r="X434" i="3"/>
  <c r="X415" i="3"/>
  <c r="X449" i="3" s="1"/>
  <c r="BJ194" i="4" s="1"/>
  <c r="Y422" i="3"/>
  <c r="Y431" i="3"/>
  <c r="Y464" i="3" s="1"/>
  <c r="BO205" i="4" s="1"/>
  <c r="X419" i="3"/>
  <c r="X454" i="3" s="1"/>
  <c r="BJ186" i="4" s="1"/>
  <c r="AJ438" i="3"/>
  <c r="AK416" i="3"/>
  <c r="AK451" i="3" s="1"/>
  <c r="AB491" i="3"/>
  <c r="AB519" i="3" s="1"/>
  <c r="AK491" i="3"/>
  <c r="AK519" i="3" s="1"/>
  <c r="AL440" i="3"/>
  <c r="AJ492" i="3"/>
  <c r="AJ498" i="3" s="1"/>
  <c r="AJ415" i="3"/>
  <c r="AJ449" i="3" s="1"/>
  <c r="AK434" i="3"/>
  <c r="AK424" i="3"/>
  <c r="AK458" i="3" s="1"/>
  <c r="AL438" i="3"/>
  <c r="AL428" i="3"/>
  <c r="AL459" i="3" s="1"/>
  <c r="AB483" i="3"/>
  <c r="AB499" i="3" s="1"/>
  <c r="CD247" i="4" s="1"/>
  <c r="N482" i="3"/>
  <c r="N501" i="3" s="1"/>
  <c r="L238" i="4" s="1"/>
  <c r="N422" i="3"/>
  <c r="AC439" i="3"/>
  <c r="L489" i="3"/>
  <c r="V442" i="3"/>
  <c r="V473" i="3" s="1"/>
  <c r="AZ189" i="4" s="1"/>
  <c r="O423" i="3"/>
  <c r="O457" i="3" s="1"/>
  <c r="Q187" i="4" s="1"/>
  <c r="Q432" i="3"/>
  <c r="Q470" i="3" s="1"/>
  <c r="AA188" i="4" s="1"/>
  <c r="N437" i="3"/>
  <c r="U419" i="3"/>
  <c r="U454" i="3" s="1"/>
  <c r="AU186" i="4" s="1"/>
  <c r="O417" i="3"/>
  <c r="O452" i="3" s="1"/>
  <c r="Q200" i="4" s="1"/>
  <c r="M490" i="3"/>
  <c r="S426" i="3"/>
  <c r="S466" i="3" s="1"/>
  <c r="AK215" i="4" s="1"/>
  <c r="U431" i="3"/>
  <c r="U464" i="3" s="1"/>
  <c r="AU205" i="4" s="1"/>
  <c r="AB432" i="3"/>
  <c r="AB470" i="3" s="1"/>
  <c r="CD188" i="4" s="1"/>
  <c r="Z421" i="3"/>
  <c r="AI438" i="3"/>
  <c r="X442" i="3"/>
  <c r="X473" i="3" s="1"/>
  <c r="BJ189" i="4" s="1"/>
  <c r="W421" i="3"/>
  <c r="X485" i="3"/>
  <c r="AJ488" i="3"/>
  <c r="AL415" i="3"/>
  <c r="AL449" i="3" s="1"/>
  <c r="AK429" i="3"/>
  <c r="AK462" i="3" s="1"/>
  <c r="Y485" i="3"/>
  <c r="Z440" i="3"/>
  <c r="AI417" i="3"/>
  <c r="AI452" i="3" s="1"/>
  <c r="Z442" i="3"/>
  <c r="Z473" i="3" s="1"/>
  <c r="BT189" i="4" s="1"/>
  <c r="Z419" i="3"/>
  <c r="Z454" i="3" s="1"/>
  <c r="BT186" i="4" s="1"/>
  <c r="Y424" i="3"/>
  <c r="Y458" i="3" s="1"/>
  <c r="BO195" i="4" s="1"/>
  <c r="Z489" i="3"/>
  <c r="AL424" i="3"/>
  <c r="AL458" i="3" s="1"/>
  <c r="AK423" i="3"/>
  <c r="AK457" i="3" s="1"/>
  <c r="AJ414" i="3"/>
  <c r="AJ448" i="3" s="1"/>
  <c r="AL489" i="3"/>
  <c r="AA491" i="3"/>
  <c r="AA519" i="3" s="1"/>
  <c r="AJ434" i="3"/>
  <c r="Y425" i="3"/>
  <c r="BO174" i="4"/>
  <c r="X436" i="3"/>
  <c r="W442" i="3"/>
  <c r="W473" i="3" s="1"/>
  <c r="BE189" i="4" s="1"/>
  <c r="AI433" i="3"/>
  <c r="AI471" i="3" s="1"/>
  <c r="X492" i="3"/>
  <c r="X498" i="3" s="1"/>
  <c r="W492" i="3"/>
  <c r="W498" i="3" s="1"/>
  <c r="BE253" i="4" s="1"/>
  <c r="AI492" i="3"/>
  <c r="AI498" i="3" s="1"/>
  <c r="AJ440" i="3"/>
  <c r="Z437" i="3"/>
  <c r="AA420" i="3"/>
  <c r="AB422" i="3"/>
  <c r="AB426" i="3"/>
  <c r="AB466" i="3" s="1"/>
  <c r="CD215" i="4" s="1"/>
  <c r="U485" i="3"/>
  <c r="R427" i="3"/>
  <c r="V490" i="3"/>
  <c r="V493" i="3"/>
  <c r="P489" i="3"/>
  <c r="O443" i="3"/>
  <c r="U428" i="3"/>
  <c r="U459" i="3" s="1"/>
  <c r="AU202" i="4" s="1"/>
  <c r="U415" i="3"/>
  <c r="U449" i="3" s="1"/>
  <c r="AU194" i="4" s="1"/>
  <c r="Q442" i="3"/>
  <c r="Q473" i="3" s="1"/>
  <c r="AA189" i="4" s="1"/>
  <c r="T421" i="3"/>
  <c r="Q441" i="3"/>
  <c r="Q433" i="3"/>
  <c r="Q471" i="3" s="1"/>
  <c r="AA173" i="4" s="1"/>
  <c r="M483" i="3"/>
  <c r="M499" i="3" s="1"/>
  <c r="G247" i="4" s="1"/>
  <c r="G250" i="4" s="1"/>
  <c r="R484" i="3"/>
  <c r="R504" i="3" s="1"/>
  <c r="T438" i="3"/>
  <c r="T429" i="3"/>
  <c r="T462" i="3" s="1"/>
  <c r="AP175" i="4" s="1"/>
  <c r="AK439" i="3"/>
  <c r="AD438" i="3"/>
  <c r="AF419" i="3"/>
  <c r="AF454" i="3" s="1"/>
  <c r="AH494" i="3"/>
  <c r="AH524" i="3" s="1"/>
  <c r="AF483" i="3"/>
  <c r="AF499" i="3" s="1"/>
  <c r="AK435" i="3"/>
  <c r="L494" i="3"/>
  <c r="L524" i="3" s="1"/>
  <c r="F243" i="4" s="1"/>
  <c r="O491" i="3"/>
  <c r="O519" i="3" s="1"/>
  <c r="AC489" i="3"/>
  <c r="AH485" i="3"/>
  <c r="AD483" i="3"/>
  <c r="AD499" i="3" s="1"/>
  <c r="AG442" i="3"/>
  <c r="AG473" i="3" s="1"/>
  <c r="AE440" i="3"/>
  <c r="AC438" i="3"/>
  <c r="AH435" i="3"/>
  <c r="AF433" i="3"/>
  <c r="AF471" i="3" s="1"/>
  <c r="AD431" i="3"/>
  <c r="AD464" i="3" s="1"/>
  <c r="AH428" i="3"/>
  <c r="AH459" i="3" s="1"/>
  <c r="AF426" i="3"/>
  <c r="AF466" i="3" s="1"/>
  <c r="X440" i="3"/>
  <c r="AC488" i="3"/>
  <c r="R433" i="3"/>
  <c r="R471" i="3" s="1"/>
  <c r="AF173" i="4" s="1"/>
  <c r="R428" i="3"/>
  <c r="R459" i="3" s="1"/>
  <c r="AF202" i="4" s="1"/>
  <c r="AH427" i="3"/>
  <c r="Q483" i="3"/>
  <c r="Q499" i="3" s="1"/>
  <c r="AA247" i="4" s="1"/>
  <c r="R437" i="3"/>
  <c r="U442" i="3"/>
  <c r="U473" i="3" s="1"/>
  <c r="AU189" i="4" s="1"/>
  <c r="M486" i="3"/>
  <c r="M510" i="3" s="1"/>
  <c r="G256" i="4" s="1"/>
  <c r="P493" i="3"/>
  <c r="U489" i="3"/>
  <c r="T490" i="3"/>
  <c r="AB434" i="3"/>
  <c r="Y490" i="3"/>
  <c r="W433" i="3"/>
  <c r="W471" i="3" s="1"/>
  <c r="BE173" i="4" s="1"/>
  <c r="AK440" i="3"/>
  <c r="W431" i="3"/>
  <c r="W464" i="3" s="1"/>
  <c r="BE205" i="4" s="1"/>
  <c r="Y440" i="3"/>
  <c r="AJ423" i="3"/>
  <c r="AJ457" i="3" s="1"/>
  <c r="AJ442" i="3"/>
  <c r="AJ473" i="3" s="1"/>
  <c r="AL482" i="3"/>
  <c r="AL501" i="3" s="1"/>
  <c r="Z427" i="3"/>
  <c r="Y416" i="3"/>
  <c r="Y451" i="3" s="1"/>
  <c r="BO214" i="4" s="1"/>
  <c r="X417" i="3"/>
  <c r="X452" i="3" s="1"/>
  <c r="BJ200" i="4" s="1"/>
  <c r="Z420" i="3"/>
  <c r="Y427" i="3"/>
  <c r="AC443" i="3"/>
  <c r="Z423" i="3"/>
  <c r="Z457" i="3" s="1"/>
  <c r="BT187" i="4" s="1"/>
  <c r="Z416" i="3"/>
  <c r="Z451" i="3" s="1"/>
  <c r="BT214" i="4" s="1"/>
  <c r="AL431" i="3"/>
  <c r="AL464" i="3" s="1"/>
  <c r="AJ422" i="3"/>
  <c r="AL414" i="3"/>
  <c r="AL448" i="3" s="1"/>
  <c r="X494" i="3"/>
  <c r="AJ490" i="3"/>
  <c r="Y432" i="3"/>
  <c r="Y470" i="3" s="1"/>
  <c r="BO188" i="4" s="1"/>
  <c r="X427" i="3"/>
  <c r="X433" i="3"/>
  <c r="X471" i="3" s="1"/>
  <c r="BJ173" i="4" s="1"/>
  <c r="W441" i="3"/>
  <c r="AI424" i="3"/>
  <c r="AI458" i="3" s="1"/>
  <c r="X432" i="3"/>
  <c r="X470" i="3" s="1"/>
  <c r="BJ188" i="4" s="1"/>
  <c r="W420" i="3"/>
  <c r="AI436" i="3"/>
  <c r="X426" i="3"/>
  <c r="X466" i="3" s="1"/>
  <c r="BJ215" i="4" s="1"/>
  <c r="Z482" i="3"/>
  <c r="Z501" i="3" s="1"/>
  <c r="AA428" i="3"/>
  <c r="AA459" i="3" s="1"/>
  <c r="BY202" i="4" s="1"/>
  <c r="AB442" i="3"/>
  <c r="AB473" i="3" s="1"/>
  <c r="CD189" i="4" s="1"/>
  <c r="O425" i="3"/>
  <c r="O474" i="3" s="1"/>
  <c r="Q209" i="4" s="1"/>
  <c r="U416" i="3"/>
  <c r="U451" i="3" s="1"/>
  <c r="AU214" i="4" s="1"/>
  <c r="V427" i="3"/>
  <c r="R426" i="3"/>
  <c r="R466" i="3" s="1"/>
  <c r="AF215" i="4" s="1"/>
  <c r="U488" i="3"/>
  <c r="N493" i="3"/>
  <c r="T425" i="3"/>
  <c r="T474" i="3" s="1"/>
  <c r="AP209" i="4" s="1"/>
  <c r="M428" i="3"/>
  <c r="M459" i="3" s="1"/>
  <c r="G202" i="4" s="1"/>
  <c r="M415" i="3"/>
  <c r="M449" i="3" s="1"/>
  <c r="G194" i="4" s="1"/>
  <c r="G302" i="4" s="1"/>
  <c r="G356" i="4" s="1"/>
  <c r="U423" i="3"/>
  <c r="U457" i="3" s="1"/>
  <c r="AU187" i="4" s="1"/>
  <c r="O420" i="3"/>
  <c r="O441" i="3"/>
  <c r="N486" i="3"/>
  <c r="N510" i="3" s="1"/>
  <c r="L256" i="4" s="1"/>
  <c r="R494" i="3"/>
  <c r="R524" i="3" s="1"/>
  <c r="AF243" i="4" s="1"/>
  <c r="V422" i="3"/>
  <c r="R438" i="3"/>
  <c r="M430" i="3"/>
  <c r="M463" i="3" s="1"/>
  <c r="G174" i="4" s="1"/>
  <c r="R491" i="3"/>
  <c r="R519" i="3" s="1"/>
  <c r="AG433" i="3"/>
  <c r="AG471" i="3" s="1"/>
  <c r="AF493" i="3"/>
  <c r="AD494" i="3"/>
  <c r="AD524" i="3" s="1"/>
  <c r="AE494" i="3"/>
  <c r="AE524" i="3" s="1"/>
  <c r="AH492" i="3"/>
  <c r="AH498" i="3" s="1"/>
  <c r="AH490" i="3"/>
  <c r="AF488" i="3"/>
  <c r="AD485" i="3"/>
  <c r="AF482" i="3"/>
  <c r="AF501" i="3" s="1"/>
  <c r="AC442" i="3"/>
  <c r="AC473" i="3" s="1"/>
  <c r="AH439" i="3"/>
  <c r="AF437" i="3"/>
  <c r="AD435" i="3"/>
  <c r="L433" i="3"/>
  <c r="L471" i="3" s="1"/>
  <c r="F173" i="4" s="1"/>
  <c r="F281" i="4" s="1"/>
  <c r="F335" i="4" s="1"/>
  <c r="AD428" i="3"/>
  <c r="AD459" i="3" s="1"/>
  <c r="L426" i="3"/>
  <c r="L466" i="3" s="1"/>
  <c r="F215" i="4" s="1"/>
  <c r="F323" i="4" s="1"/>
  <c r="F377" i="4" s="1"/>
  <c r="AG423" i="3"/>
  <c r="AG457" i="3" s="1"/>
  <c r="AK427" i="3"/>
  <c r="AE426" i="3"/>
  <c r="AE466" i="3" s="1"/>
  <c r="T422" i="3"/>
  <c r="M420" i="3"/>
  <c r="P420" i="3"/>
  <c r="U433" i="3"/>
  <c r="U471" i="3" s="1"/>
  <c r="AU173" i="4" s="1"/>
  <c r="U422" i="3"/>
  <c r="N424" i="3"/>
  <c r="N458" i="3" s="1"/>
  <c r="L195" i="4" s="1"/>
  <c r="P443" i="3"/>
  <c r="N416" i="3"/>
  <c r="N451" i="3" s="1"/>
  <c r="L214" i="4" s="1"/>
  <c r="Q427" i="3"/>
  <c r="AB427" i="3"/>
  <c r="Z490" i="3"/>
  <c r="AI423" i="3"/>
  <c r="AI457" i="3" s="1"/>
  <c r="W493" i="3"/>
  <c r="AI425" i="3"/>
  <c r="AI474" i="3" s="1"/>
  <c r="X482" i="3"/>
  <c r="X501" i="3" s="1"/>
  <c r="BJ238" i="4" s="1"/>
  <c r="AI483" i="3"/>
  <c r="AI499" i="3" s="1"/>
  <c r="AI494" i="3"/>
  <c r="AI524" i="3" s="1"/>
  <c r="AK492" i="3"/>
  <c r="AK498" i="3" s="1"/>
  <c r="AC483" i="3"/>
  <c r="AC499" i="3" s="1"/>
  <c r="Z415" i="3"/>
  <c r="Z449" i="3" s="1"/>
  <c r="BT194" i="4" s="1"/>
  <c r="Y441" i="3"/>
  <c r="Z417" i="3"/>
  <c r="Z452" i="3" s="1"/>
  <c r="BT200" i="4" s="1"/>
  <c r="AL417" i="3"/>
  <c r="AL452" i="3" s="1"/>
  <c r="Y492" i="3"/>
  <c r="Y498" i="3" s="1"/>
  <c r="Z436" i="3"/>
  <c r="AG483" i="3"/>
  <c r="AG499" i="3" s="1"/>
  <c r="AL484" i="3"/>
  <c r="AL504" i="3" s="1"/>
  <c r="AK482" i="3"/>
  <c r="AK501" i="3" s="1"/>
  <c r="AJ441" i="3"/>
  <c r="W494" i="3"/>
  <c r="W524" i="3" s="1"/>
  <c r="BE243" i="4" s="1"/>
  <c r="AJ428" i="3"/>
  <c r="AJ459" i="3" s="1"/>
  <c r="W419" i="3"/>
  <c r="W454" i="3" s="1"/>
  <c r="BE186" i="4" s="1"/>
  <c r="Y438" i="3"/>
  <c r="X422" i="3"/>
  <c r="W428" i="3"/>
  <c r="W459" i="3" s="1"/>
  <c r="BE202" i="4" s="1"/>
  <c r="AI441" i="3"/>
  <c r="X490" i="3"/>
  <c r="W490" i="3"/>
  <c r="AI489" i="3"/>
  <c r="AI422" i="3"/>
  <c r="Z433" i="3"/>
  <c r="Z471" i="3" s="1"/>
  <c r="BT173" i="4" s="1"/>
  <c r="AA434" i="3"/>
  <c r="AB436" i="3"/>
  <c r="AB485" i="3"/>
  <c r="Q493" i="3"/>
  <c r="N427" i="3"/>
  <c r="S485" i="3"/>
  <c r="T416" i="3"/>
  <c r="T451" i="3" s="1"/>
  <c r="AP214" i="4" s="1"/>
  <c r="R485" i="3"/>
  <c r="S443" i="3"/>
  <c r="S486" i="3"/>
  <c r="S510" i="3" s="1"/>
  <c r="AK256" i="4" s="1"/>
  <c r="T424" i="3"/>
  <c r="T458" i="3" s="1"/>
  <c r="AP195" i="4" s="1"/>
  <c r="N414" i="3"/>
  <c r="N448" i="3" s="1"/>
  <c r="L193" i="4" s="1"/>
  <c r="V482" i="3"/>
  <c r="V501" i="3" s="1"/>
  <c r="S441" i="3"/>
  <c r="M429" i="3"/>
  <c r="M462" i="3" s="1"/>
  <c r="G175" i="4" s="1"/>
  <c r="G283" i="4" s="1"/>
  <c r="G337" i="4" s="1"/>
  <c r="T415" i="3"/>
  <c r="T449" i="3" s="1"/>
  <c r="AP194" i="4" s="1"/>
  <c r="P423" i="3"/>
  <c r="P457" i="3" s="1"/>
  <c r="V187" i="4" s="1"/>
  <c r="V438" i="3"/>
  <c r="N438" i="3"/>
  <c r="AL441" i="3"/>
  <c r="AH442" i="3"/>
  <c r="AH473" i="3" s="1"/>
  <c r="AE424" i="3"/>
  <c r="AE458" i="3" s="1"/>
  <c r="AF494" i="3"/>
  <c r="AF524" i="3" s="1"/>
  <c r="AD491" i="3"/>
  <c r="AD519" i="3" s="1"/>
  <c r="Y491" i="3"/>
  <c r="Y519" i="3" s="1"/>
  <c r="U491" i="3"/>
  <c r="U519" i="3" s="1"/>
  <c r="AU261" i="4" s="1"/>
  <c r="K486" i="3"/>
  <c r="K510" i="3" s="1"/>
  <c r="E256" i="4" s="1"/>
  <c r="AK442" i="3"/>
  <c r="AK473" i="3" s="1"/>
  <c r="S491" i="3"/>
  <c r="S519" i="3" s="1"/>
  <c r="AG489" i="3"/>
  <c r="AE486" i="3"/>
  <c r="AE510" i="3" s="1"/>
  <c r="AC484" i="3"/>
  <c r="AC504" i="3" s="1"/>
  <c r="AE443" i="3"/>
  <c r="L441" i="3"/>
  <c r="AG438" i="3"/>
  <c r="AE436" i="3"/>
  <c r="AC434" i="3"/>
  <c r="AH431" i="3"/>
  <c r="AH464" i="3" s="1"/>
  <c r="AE429" i="3"/>
  <c r="AE462" i="3" s="1"/>
  <c r="AC427" i="3"/>
  <c r="AC415" i="3"/>
  <c r="AC449" i="3" s="1"/>
  <c r="AH493" i="3"/>
  <c r="K490" i="3"/>
  <c r="K417" i="3"/>
  <c r="K452" i="3" s="1"/>
  <c r="E200" i="4" s="1"/>
  <c r="E308" i="4" s="1"/>
  <c r="E362" i="4" s="1"/>
  <c r="K494" i="3"/>
  <c r="K524" i="3" s="1"/>
  <c r="E243" i="4" s="1"/>
  <c r="K482" i="3"/>
  <c r="K501" i="3" s="1"/>
  <c r="K436" i="3"/>
  <c r="K433" i="3"/>
  <c r="K471" i="3" s="1"/>
  <c r="E173" i="4" s="1"/>
  <c r="U492" i="3"/>
  <c r="U498" i="3" s="1"/>
  <c r="AU253" i="4" s="1"/>
  <c r="M492" i="3"/>
  <c r="M498" i="3" s="1"/>
  <c r="AB441" i="3"/>
  <c r="AA492" i="3"/>
  <c r="AA498" i="3" s="1"/>
  <c r="BY253" i="4" s="1"/>
  <c r="AA484" i="3"/>
  <c r="AA504" i="3" s="1"/>
  <c r="AA433" i="3"/>
  <c r="AA471" i="3" s="1"/>
  <c r="BY173" i="4" s="1"/>
  <c r="AA415" i="3"/>
  <c r="AA449" i="3" s="1"/>
  <c r="BY194" i="4" s="1"/>
  <c r="AA426" i="3"/>
  <c r="AA466" i="3" s="1"/>
  <c r="BY215" i="4" s="1"/>
  <c r="AB435" i="3"/>
  <c r="AB431" i="3"/>
  <c r="AB464" i="3" s="1"/>
  <c r="CD205" i="4" s="1"/>
  <c r="AH419" i="3"/>
  <c r="AH454" i="3" s="1"/>
  <c r="AE414" i="3"/>
  <c r="AE448" i="3" s="1"/>
  <c r="K428" i="3"/>
  <c r="K459" i="3" s="1"/>
  <c r="E202" i="4" s="1"/>
  <c r="K439" i="3"/>
  <c r="K442" i="3"/>
  <c r="K473" i="3" s="1"/>
  <c r="E189" i="4" s="1"/>
  <c r="K437" i="3"/>
  <c r="AB417" i="3"/>
  <c r="AB452" i="3" s="1"/>
  <c r="CD200" i="4" s="1"/>
  <c r="AA435" i="3"/>
  <c r="K425" i="3"/>
  <c r="K474" i="3" s="1"/>
  <c r="E209" i="4" s="1"/>
  <c r="E317" i="4" s="1"/>
  <c r="E371" i="4" s="1"/>
  <c r="AH416" i="3"/>
  <c r="AH451" i="3" s="1"/>
  <c r="AC421" i="3"/>
  <c r="AE423" i="3"/>
  <c r="AE457" i="3" s="1"/>
  <c r="AG425" i="3"/>
  <c r="AG474" i="3" s="1"/>
  <c r="L428" i="3"/>
  <c r="L459" i="3" s="1"/>
  <c r="F202" i="4" s="1"/>
  <c r="AG432" i="3"/>
  <c r="AG470" i="3" s="1"/>
  <c r="L435" i="3"/>
  <c r="AD437" i="3"/>
  <c r="AF439" i="3"/>
  <c r="AH441" i="3"/>
  <c r="AD482" i="3"/>
  <c r="AD501" i="3" s="1"/>
  <c r="L485" i="3"/>
  <c r="AD488" i="3"/>
  <c r="AF490" i="3"/>
  <c r="AF492" i="3"/>
  <c r="AF498" i="3" s="1"/>
  <c r="AK417" i="3"/>
  <c r="AK452" i="3" s="1"/>
  <c r="AD419" i="3"/>
  <c r="AD454" i="3" s="1"/>
  <c r="L422" i="3"/>
  <c r="AH424" i="3"/>
  <c r="AH458" i="3" s="1"/>
  <c r="AE432" i="3"/>
  <c r="AE470" i="3" s="1"/>
  <c r="AF441" i="3"/>
  <c r="AD490" i="3"/>
  <c r="U493" i="3"/>
  <c r="L429" i="3"/>
  <c r="L462" i="3" s="1"/>
  <c r="F175" i="4" s="1"/>
  <c r="F283" i="4" s="1"/>
  <c r="F337" i="4" s="1"/>
  <c r="Q421" i="3"/>
  <c r="U441" i="3"/>
  <c r="V431" i="3"/>
  <c r="V464" i="3" s="1"/>
  <c r="AZ205" i="4" s="1"/>
  <c r="O493" i="3"/>
  <c r="AA485" i="3"/>
  <c r="W434" i="3"/>
  <c r="W485" i="3"/>
  <c r="AJ494" i="3"/>
  <c r="AJ524" i="3" s="1"/>
  <c r="AL434" i="3"/>
  <c r="AC491" i="3"/>
  <c r="AC519" i="3" s="1"/>
  <c r="AJ420" i="3"/>
  <c r="AI429" i="3"/>
  <c r="AI462" i="3" s="1"/>
  <c r="M493" i="3"/>
  <c r="R483" i="3"/>
  <c r="R499" i="3" s="1"/>
  <c r="AF247" i="4" s="1"/>
  <c r="O435" i="3"/>
  <c r="AH414" i="3"/>
  <c r="AH448" i="3" s="1"/>
  <c r="AE483" i="3"/>
  <c r="AE499" i="3" s="1"/>
  <c r="K488" i="3"/>
  <c r="K424" i="3"/>
  <c r="K458" i="3" s="1"/>
  <c r="E195" i="4" s="1"/>
  <c r="E303" i="4" s="1"/>
  <c r="E357" i="4" s="1"/>
  <c r="K432" i="3"/>
  <c r="K470" i="3" s="1"/>
  <c r="E188" i="4" s="1"/>
  <c r="E296" i="4" s="1"/>
  <c r="E350" i="4" s="1"/>
  <c r="K421" i="3"/>
  <c r="K434" i="3"/>
  <c r="AE417" i="3"/>
  <c r="AE452" i="3" s="1"/>
  <c r="T492" i="3"/>
  <c r="AB490" i="3"/>
  <c r="AB437" i="3"/>
  <c r="AA424" i="3"/>
  <c r="AA458" i="3" s="1"/>
  <c r="BY195" i="4" s="1"/>
  <c r="AA482" i="3"/>
  <c r="AA501" i="3" s="1"/>
  <c r="BY238" i="4" s="1"/>
  <c r="Z426" i="3"/>
  <c r="Z466" i="3" s="1"/>
  <c r="BT215" i="4" s="1"/>
  <c r="Z485" i="3"/>
  <c r="AA486" i="3"/>
  <c r="AA510" i="3" s="1"/>
  <c r="BY256" i="4" s="1"/>
  <c r="AB433" i="3"/>
  <c r="AB471" i="3" s="1"/>
  <c r="CD173" i="4" s="1"/>
  <c r="AB421" i="3"/>
  <c r="AB488" i="3"/>
  <c r="Z428" i="3"/>
  <c r="Z459" i="3" s="1"/>
  <c r="BT202" i="4" s="1"/>
  <c r="AH415" i="3"/>
  <c r="AH449" i="3" s="1"/>
  <c r="L414" i="3"/>
  <c r="L448" i="3" s="1"/>
  <c r="K492" i="3"/>
  <c r="K498" i="3" s="1"/>
  <c r="E253" i="4" s="1"/>
  <c r="K435" i="3"/>
  <c r="K419" i="3"/>
  <c r="K454" i="3" s="1"/>
  <c r="E186" i="4" s="1"/>
  <c r="E294" i="4" s="1"/>
  <c r="E348" i="4" s="1"/>
  <c r="AC419" i="3"/>
  <c r="AC454" i="3" s="1"/>
  <c r="AA488" i="3"/>
  <c r="AA429" i="3"/>
  <c r="AA462" i="3" s="1"/>
  <c r="BY175" i="4" s="1"/>
  <c r="AA421" i="3"/>
  <c r="AE493" i="3"/>
  <c r="AH417" i="3"/>
  <c r="AH452" i="3" s="1"/>
  <c r="AG421" i="3"/>
  <c r="L424" i="3"/>
  <c r="L458" i="3" s="1"/>
  <c r="F195" i="4" s="1"/>
  <c r="F303" i="4" s="1"/>
  <c r="F357" i="4" s="1"/>
  <c r="AD426" i="3"/>
  <c r="AD466" i="3" s="1"/>
  <c r="AF428" i="3"/>
  <c r="AF459" i="3" s="1"/>
  <c r="AD433" i="3"/>
  <c r="AD471" i="3" s="1"/>
  <c r="AF435" i="3"/>
  <c r="AH437" i="3"/>
  <c r="AC440" i="3"/>
  <c r="AE442" i="3"/>
  <c r="AE473" i="3" s="1"/>
  <c r="AH482" i="3"/>
  <c r="AH501" i="3" s="1"/>
  <c r="AF485" i="3"/>
  <c r="AH488" i="3"/>
  <c r="M491" i="3"/>
  <c r="M519" i="3" s="1"/>
  <c r="G261" i="4" s="1"/>
  <c r="G315" i="4" s="1"/>
  <c r="G369" i="4" s="1"/>
  <c r="AC493" i="3"/>
  <c r="L416" i="3"/>
  <c r="L451" i="3" s="1"/>
  <c r="F214" i="4" s="1"/>
  <c r="AD420" i="3"/>
  <c r="AF422" i="3"/>
  <c r="AE425" i="3"/>
  <c r="AE474" i="3" s="1"/>
  <c r="AG434" i="3"/>
  <c r="L482" i="3"/>
  <c r="L501" i="3" s="1"/>
  <c r="F238" i="4" s="1"/>
  <c r="F292" i="4" s="1"/>
  <c r="F346" i="4" s="1"/>
  <c r="AD492" i="3"/>
  <c r="AD498" i="3" s="1"/>
  <c r="AD486" i="3"/>
  <c r="AD510" i="3" s="1"/>
  <c r="U432" i="3"/>
  <c r="U470" i="3" s="1"/>
  <c r="AU188" i="4" s="1"/>
  <c r="R419" i="3"/>
  <c r="R454" i="3" s="1"/>
  <c r="AF186" i="4" s="1"/>
  <c r="M488" i="3"/>
  <c r="M425" i="3"/>
  <c r="M474" i="3" s="1"/>
  <c r="G209" i="4" s="1"/>
  <c r="G317" i="4" s="1"/>
  <c r="G371" i="4" s="1"/>
  <c r="Z486" i="3"/>
  <c r="Z510" i="3" s="1"/>
  <c r="BT256" i="4" s="1"/>
  <c r="X439" i="3"/>
  <c r="X424" i="3"/>
  <c r="X458" i="3" s="1"/>
  <c r="BJ195" i="4" s="1"/>
  <c r="AK489" i="3"/>
  <c r="AG494" i="3"/>
  <c r="AG524" i="3" s="1"/>
  <c r="Y414" i="3"/>
  <c r="Y448" i="3" s="1"/>
  <c r="BO193" i="4" s="1"/>
  <c r="AI491" i="3"/>
  <c r="AI519" i="3" s="1"/>
  <c r="W422" i="3"/>
  <c r="O485" i="3"/>
  <c r="V437" i="3"/>
  <c r="Q440" i="3"/>
  <c r="W423" i="3"/>
  <c r="W457" i="3" s="1"/>
  <c r="BE187" i="4" s="1"/>
  <c r="Q428" i="3"/>
  <c r="Q459" i="3" s="1"/>
  <c r="AA202" i="4" s="1"/>
  <c r="M438" i="3"/>
  <c r="P430" i="3"/>
  <c r="P463" i="3" s="1"/>
  <c r="V174" i="4" s="1"/>
  <c r="P424" i="3"/>
  <c r="P458" i="3" s="1"/>
  <c r="V195" i="4" s="1"/>
  <c r="P416" i="3"/>
  <c r="P451" i="3" s="1"/>
  <c r="V214" i="4" s="1"/>
  <c r="AB493" i="3"/>
  <c r="AJ485" i="3"/>
  <c r="AI437" i="3"/>
  <c r="Y483" i="3"/>
  <c r="Y499" i="3" s="1"/>
  <c r="BO247" i="4" s="1"/>
  <c r="AK438" i="3"/>
  <c r="Z438" i="3"/>
  <c r="AJ421" i="3"/>
  <c r="W430" i="3"/>
  <c r="W463" i="3" s="1"/>
  <c r="BE174" i="4" s="1"/>
  <c r="Q489" i="3"/>
  <c r="T441" i="3"/>
  <c r="L419" i="3"/>
  <c r="L454" i="3" s="1"/>
  <c r="F186" i="4" s="1"/>
  <c r="F294" i="4" s="1"/>
  <c r="F348" i="4" s="1"/>
  <c r="AC424" i="3"/>
  <c r="AC458" i="3" s="1"/>
  <c r="AG428" i="3"/>
  <c r="AG459" i="3" s="1"/>
  <c r="AE433" i="3"/>
  <c r="AE471" i="3" s="1"/>
  <c r="AG435" i="3"/>
  <c r="L438" i="3"/>
  <c r="AD440" i="3"/>
  <c r="AF442" i="3"/>
  <c r="AF473" i="3" s="1"/>
  <c r="L483" i="3"/>
  <c r="L499" i="3" s="1"/>
  <c r="F247" i="4" s="1"/>
  <c r="F250" i="4" s="1"/>
  <c r="L486" i="3"/>
  <c r="L510" i="3" s="1"/>
  <c r="F256" i="4" s="1"/>
  <c r="AD489" i="3"/>
  <c r="P491" i="3"/>
  <c r="P519" i="3" s="1"/>
  <c r="AK490" i="3"/>
  <c r="AK443" i="3"/>
  <c r="AL490" i="3"/>
  <c r="AF417" i="3"/>
  <c r="AF452" i="3" s="1"/>
  <c r="AH423" i="3"/>
  <c r="AH457" i="3" s="1"/>
  <c r="AE428" i="3"/>
  <c r="AE459" i="3" s="1"/>
  <c r="AC433" i="3"/>
  <c r="AC471" i="3" s="1"/>
  <c r="AG437" i="3"/>
  <c r="AD442" i="3"/>
  <c r="AD473" i="3" s="1"/>
  <c r="AG485" i="3"/>
  <c r="N491" i="3"/>
  <c r="N519" i="3" s="1"/>
  <c r="L261" i="4" s="1"/>
  <c r="AK426" i="3"/>
  <c r="AK466" i="3" s="1"/>
  <c r="AL439" i="3"/>
  <c r="U417" i="3"/>
  <c r="U452" i="3" s="1"/>
  <c r="AU200" i="4" s="1"/>
  <c r="O430" i="3"/>
  <c r="O463" i="3" s="1"/>
  <c r="Q174" i="4" s="1"/>
  <c r="V429" i="3"/>
  <c r="V462" i="3" s="1"/>
  <c r="AZ175" i="4" s="1"/>
  <c r="N440" i="3"/>
  <c r="P440" i="3"/>
  <c r="R440" i="3"/>
  <c r="T440" i="3"/>
  <c r="V440" i="3"/>
  <c r="R420" i="3"/>
  <c r="M482" i="3"/>
  <c r="M501" i="3" s="1"/>
  <c r="G238" i="4" s="1"/>
  <c r="G292" i="4" s="1"/>
  <c r="G346" i="4" s="1"/>
  <c r="T484" i="3"/>
  <c r="T504" i="3" s="1"/>
  <c r="R423" i="3"/>
  <c r="R457" i="3" s="1"/>
  <c r="AF187" i="4" s="1"/>
  <c r="N442" i="3"/>
  <c r="N473" i="3" s="1"/>
  <c r="L189" i="4" s="1"/>
  <c r="T494" i="3"/>
  <c r="T524" i="3" s="1"/>
  <c r="AP243" i="4" s="1"/>
  <c r="O483" i="3"/>
  <c r="O499" i="3" s="1"/>
  <c r="Q247" i="4" s="1"/>
  <c r="V415" i="3"/>
  <c r="V449" i="3" s="1"/>
  <c r="AZ194" i="4" s="1"/>
  <c r="R417" i="3"/>
  <c r="R452" i="3" s="1"/>
  <c r="AF200" i="4" s="1"/>
  <c r="P486" i="3"/>
  <c r="P510" i="3" s="1"/>
  <c r="V256" i="4" s="1"/>
  <c r="S433" i="3"/>
  <c r="S471" i="3" s="1"/>
  <c r="AK173" i="4" s="1"/>
  <c r="O429" i="3"/>
  <c r="O462" i="3" s="1"/>
  <c r="Q175" i="4" s="1"/>
  <c r="N435" i="3"/>
  <c r="P435" i="3"/>
  <c r="R435" i="3"/>
  <c r="T435" i="3"/>
  <c r="V435" i="3"/>
  <c r="O422" i="3"/>
  <c r="U420" i="3"/>
  <c r="M484" i="3"/>
  <c r="M504" i="3" s="1"/>
  <c r="G239" i="4" s="1"/>
  <c r="T419" i="3"/>
  <c r="T454" i="3" s="1"/>
  <c r="AP186" i="4" s="1"/>
  <c r="N432" i="3"/>
  <c r="N470" i="3" s="1"/>
  <c r="L188" i="4" s="1"/>
  <c r="S442" i="3"/>
  <c r="S473" i="3" s="1"/>
  <c r="AK189" i="4" s="1"/>
  <c r="P414" i="3"/>
  <c r="P448" i="3" s="1"/>
  <c r="V193" i="4" s="1"/>
  <c r="AD423" i="3"/>
  <c r="AD457" i="3" s="1"/>
  <c r="AF432" i="3"/>
  <c r="AF470" i="3" s="1"/>
  <c r="AG441" i="3"/>
  <c r="AG490" i="3"/>
  <c r="AL488" i="3"/>
  <c r="T433" i="3"/>
  <c r="T471" i="3" s="1"/>
  <c r="AP173" i="4" s="1"/>
  <c r="N434" i="3"/>
  <c r="R434" i="3"/>
  <c r="V434" i="3"/>
  <c r="U421" i="3"/>
  <c r="S419" i="3"/>
  <c r="S454" i="3" s="1"/>
  <c r="AK186" i="4" s="1"/>
  <c r="AI440" i="3"/>
  <c r="P441" i="3"/>
  <c r="K493" i="3"/>
  <c r="AC422" i="3"/>
  <c r="U438" i="3"/>
  <c r="R441" i="3"/>
  <c r="O486" i="3"/>
  <c r="O510" i="3" s="1"/>
  <c r="T488" i="3"/>
  <c r="AB440" i="3"/>
  <c r="AI486" i="3"/>
  <c r="AI510" i="3" s="1"/>
  <c r="W415" i="3"/>
  <c r="W449" i="3" s="1"/>
  <c r="BE194" i="4" s="1"/>
  <c r="AJ427" i="3"/>
  <c r="AL492" i="3"/>
  <c r="AL498" i="3" s="1"/>
  <c r="AE491" i="3"/>
  <c r="AE519" i="3" s="1"/>
  <c r="Y420" i="3"/>
  <c r="Y488" i="3"/>
  <c r="R493" i="3"/>
  <c r="Q424" i="3"/>
  <c r="Q458" i="3" s="1"/>
  <c r="AA195" i="4" s="1"/>
  <c r="AI419" i="3"/>
  <c r="AI454" i="3" s="1"/>
  <c r="AG420" i="3"/>
  <c r="AD425" i="3"/>
  <c r="AD474" i="3" s="1"/>
  <c r="AH429" i="3"/>
  <c r="AH462" i="3" s="1"/>
  <c r="L434" i="3"/>
  <c r="AD436" i="3"/>
  <c r="AF438" i="3"/>
  <c r="AH440" i="3"/>
  <c r="AD443" i="3"/>
  <c r="AD484" i="3"/>
  <c r="AD504" i="3" s="1"/>
  <c r="AF486" i="3"/>
  <c r="AF510" i="3" s="1"/>
  <c r="AH489" i="3"/>
  <c r="T491" i="3"/>
  <c r="T519" i="3" s="1"/>
  <c r="AK483" i="3"/>
  <c r="AK499" i="3" s="1"/>
  <c r="AK420" i="3"/>
  <c r="AL486" i="3"/>
  <c r="AL510" i="3" s="1"/>
  <c r="AE420" i="3"/>
  <c r="L425" i="3"/>
  <c r="L474" i="3" s="1"/>
  <c r="F209" i="4" s="1"/>
  <c r="F317" i="4" s="1"/>
  <c r="F371" i="4" s="1"/>
  <c r="AF429" i="3"/>
  <c r="AF462" i="3" s="1"/>
  <c r="AD434" i="3"/>
  <c r="AH438" i="3"/>
  <c r="AF443" i="3"/>
  <c r="AH486" i="3"/>
  <c r="AH510" i="3" s="1"/>
  <c r="AC492" i="3"/>
  <c r="AC498" i="3" s="1"/>
  <c r="AK419" i="3"/>
  <c r="AK454" i="3" s="1"/>
  <c r="AL435" i="3"/>
  <c r="N433" i="3"/>
  <c r="N471" i="3" s="1"/>
  <c r="L173" i="4" s="1"/>
  <c r="S430" i="3"/>
  <c r="S463" i="3" s="1"/>
  <c r="AK174" i="4" s="1"/>
  <c r="M436" i="3"/>
  <c r="O436" i="3"/>
  <c r="Q436" i="3"/>
  <c r="S436" i="3"/>
  <c r="U436" i="3"/>
  <c r="N420" i="3"/>
  <c r="S421" i="3"/>
  <c r="Q482" i="3"/>
  <c r="Q501" i="3" s="1"/>
  <c r="M419" i="3"/>
  <c r="M454" i="3" s="1"/>
  <c r="G186" i="4" s="1"/>
  <c r="G294" i="4" s="1"/>
  <c r="V423" i="3"/>
  <c r="V457" i="3" s="1"/>
  <c r="AZ187" i="4" s="1"/>
  <c r="R442" i="3"/>
  <c r="R473" i="3" s="1"/>
  <c r="AF189" i="4" s="1"/>
  <c r="M414" i="3"/>
  <c r="M448" i="3" s="1"/>
  <c r="G193" i="4" s="1"/>
  <c r="S483" i="3"/>
  <c r="S499" i="3" s="1"/>
  <c r="AK247" i="4" s="1"/>
  <c r="O424" i="3"/>
  <c r="O458" i="3" s="1"/>
  <c r="Q195" i="4" s="1"/>
  <c r="N428" i="3"/>
  <c r="N459" i="3" s="1"/>
  <c r="L202" i="4" s="1"/>
  <c r="T486" i="3"/>
  <c r="T510" i="3" s="1"/>
  <c r="AP256" i="4" s="1"/>
  <c r="N430" i="3"/>
  <c r="N463" i="3" s="1"/>
  <c r="L174" i="4" s="1"/>
  <c r="S429" i="3"/>
  <c r="S462" i="3" s="1"/>
  <c r="AK175" i="4" s="1"/>
  <c r="N439" i="3"/>
  <c r="P439" i="3"/>
  <c r="R439" i="3"/>
  <c r="T439" i="3"/>
  <c r="V439" i="3"/>
  <c r="Q420" i="3"/>
  <c r="V421" i="3"/>
  <c r="Q484" i="3"/>
  <c r="Q504" i="3" s="1"/>
  <c r="V419" i="3"/>
  <c r="V454" i="3" s="1"/>
  <c r="AZ186" i="4" s="1"/>
  <c r="R432" i="3"/>
  <c r="R470" i="3" s="1"/>
  <c r="AF188" i="4" s="1"/>
  <c r="M494" i="3"/>
  <c r="M524" i="3" s="1"/>
  <c r="G243" i="4" s="1"/>
  <c r="T414" i="3"/>
  <c r="T448" i="3" s="1"/>
  <c r="AP193" i="4" s="1"/>
  <c r="AF425" i="3"/>
  <c r="AF474" i="3" s="1"/>
  <c r="AH434" i="3"/>
  <c r="AC482" i="3"/>
  <c r="AC501" i="3" s="1"/>
  <c r="AG492" i="3"/>
  <c r="AG498" i="3" s="1"/>
  <c r="AL437" i="3"/>
  <c r="Q430" i="3"/>
  <c r="Q463" i="3" s="1"/>
  <c r="AA174" i="4" s="1"/>
  <c r="O434" i="3"/>
  <c r="S434" i="3"/>
  <c r="M421" i="3"/>
  <c r="AJ483" i="3"/>
  <c r="AJ499" i="3" s="1"/>
  <c r="S416" i="3"/>
  <c r="S451" i="3" s="1"/>
  <c r="AK214" i="4" s="1"/>
  <c r="AK414" i="3"/>
  <c r="AK448" i="3" s="1"/>
  <c r="U483" i="3"/>
  <c r="U499" i="3" s="1"/>
  <c r="AU247" i="4" s="1"/>
  <c r="O494" i="3"/>
  <c r="O524" i="3" s="1"/>
  <c r="Q243" i="4" s="1"/>
  <c r="Q488" i="3"/>
  <c r="S489" i="3"/>
  <c r="Z429" i="3"/>
  <c r="Z462" i="3" s="1"/>
  <c r="BT175" i="4" s="1"/>
  <c r="X443" i="3"/>
  <c r="Y434" i="3"/>
  <c r="AJ425" i="3"/>
  <c r="AJ474" i="3" s="1"/>
  <c r="AL421" i="3"/>
  <c r="AJ429" i="3"/>
  <c r="AJ462" i="3" s="1"/>
  <c r="P490" i="3"/>
  <c r="V414" i="3"/>
  <c r="V448" i="3" s="1"/>
  <c r="AZ193" i="4" s="1"/>
  <c r="AL426" i="3"/>
  <c r="AL466" i="3" s="1"/>
  <c r="AE416" i="3"/>
  <c r="AE451" i="3" s="1"/>
  <c r="L423" i="3"/>
  <c r="L457" i="3" s="1"/>
  <c r="F187" i="4" s="1"/>
  <c r="F295" i="4" s="1"/>
  <c r="F349" i="4" s="1"/>
  <c r="AF427" i="3"/>
  <c r="AF465" i="3" s="1"/>
  <c r="AD432" i="3"/>
  <c r="AD470" i="3" s="1"/>
  <c r="AC435" i="3"/>
  <c r="AE437" i="3"/>
  <c r="AG439" i="3"/>
  <c r="L442" i="3"/>
  <c r="L473" i="3" s="1"/>
  <c r="F189" i="4" s="1"/>
  <c r="AE482" i="3"/>
  <c r="AE501" i="3" s="1"/>
  <c r="AE485" i="3"/>
  <c r="AG488" i="3"/>
  <c r="L491" i="3"/>
  <c r="L519" i="3" s="1"/>
  <c r="F261" i="4" s="1"/>
  <c r="F315" i="4" s="1"/>
  <c r="F369" i="4" s="1"/>
  <c r="L493" i="3"/>
  <c r="AK437" i="3"/>
  <c r="AL491" i="3"/>
  <c r="AL519" i="3" s="1"/>
  <c r="AC416" i="3"/>
  <c r="AC451" i="3" s="1"/>
  <c r="AG422" i="3"/>
  <c r="AD427" i="3"/>
  <c r="AD465" i="3" s="1"/>
  <c r="L432" i="3"/>
  <c r="L470" i="3" s="1"/>
  <c r="F188" i="4" s="1"/>
  <c r="F296" i="4" s="1"/>
  <c r="F350" i="4" s="1"/>
  <c r="AF436" i="3"/>
  <c r="AC441" i="3"/>
  <c r="AF484" i="3"/>
  <c r="AF504" i="3" s="1"/>
  <c r="AC490" i="3"/>
  <c r="AK425" i="3"/>
  <c r="AK474" i="3" s="1"/>
  <c r="AL425" i="3"/>
  <c r="AL474" i="3" s="1"/>
  <c r="AL420" i="3"/>
  <c r="V433" i="3"/>
  <c r="V471" i="3" s="1"/>
  <c r="AZ173" i="4" s="1"/>
  <c r="R429" i="3"/>
  <c r="R462" i="3" s="1"/>
  <c r="AF175" i="4" s="1"/>
  <c r="N436" i="3"/>
  <c r="P436" i="3"/>
  <c r="R436" i="3"/>
  <c r="T436" i="3"/>
  <c r="V436" i="3"/>
  <c r="P422" i="3"/>
  <c r="V420" i="3"/>
  <c r="P484" i="3"/>
  <c r="P504" i="3" s="1"/>
  <c r="N423" i="3"/>
  <c r="N457" i="3" s="1"/>
  <c r="L187" i="4" s="1"/>
  <c r="S432" i="3"/>
  <c r="S470" i="3" s="1"/>
  <c r="AK188" i="4" s="1"/>
  <c r="P494" i="3"/>
  <c r="P524" i="3" s="1"/>
  <c r="V243" i="4" s="1"/>
  <c r="U448" i="3"/>
  <c r="AU193" i="4" s="1"/>
  <c r="R415" i="3"/>
  <c r="R449" i="3" s="1"/>
  <c r="AF194" i="4" s="1"/>
  <c r="N417" i="3"/>
  <c r="N452" i="3" s="1"/>
  <c r="L200" i="4" s="1"/>
  <c r="V428" i="3"/>
  <c r="V459" i="3" s="1"/>
  <c r="AZ202" i="4" s="1"/>
  <c r="O433" i="3"/>
  <c r="O471" i="3" s="1"/>
  <c r="Q173" i="4" s="1"/>
  <c r="V430" i="3"/>
  <c r="V463" i="3" s="1"/>
  <c r="AZ174" i="4" s="1"/>
  <c r="M439" i="3"/>
  <c r="O439" i="3"/>
  <c r="Q439" i="3"/>
  <c r="S439" i="3"/>
  <c r="U439" i="3"/>
  <c r="N421" i="3"/>
  <c r="S422" i="3"/>
  <c r="T482" i="3"/>
  <c r="T501" i="3" s="1"/>
  <c r="P419" i="3"/>
  <c r="P454" i="3" s="1"/>
  <c r="V186" i="4" s="1"/>
  <c r="S423" i="3"/>
  <c r="S457" i="3" s="1"/>
  <c r="AK187" i="4" s="1"/>
  <c r="O442" i="3"/>
  <c r="O473" i="3" s="1"/>
  <c r="Q189" i="4" s="1"/>
  <c r="U494" i="3"/>
  <c r="U524" i="3" s="1"/>
  <c r="L421" i="3"/>
  <c r="AE439" i="3"/>
  <c r="AE488" i="3"/>
  <c r="AK422" i="3"/>
  <c r="V417" i="3"/>
  <c r="V452" i="3" s="1"/>
  <c r="AZ200" i="4" s="1"/>
  <c r="M434" i="3"/>
  <c r="Q434" i="3"/>
  <c r="U434" i="3"/>
  <c r="R422" i="3"/>
  <c r="V484" i="3"/>
  <c r="V504" i="3" s="1"/>
  <c r="P442" i="3"/>
  <c r="P473" i="3" s="1"/>
  <c r="V189" i="4" s="1"/>
  <c r="Q443" i="3"/>
  <c r="S438" i="3"/>
  <c r="AA232" i="7"/>
  <c r="AA267" i="7" s="1"/>
  <c r="CH222" i="7" s="1"/>
  <c r="CK222" i="7" s="1"/>
  <c r="CL222" i="7" s="1"/>
  <c r="AF173" i="7"/>
  <c r="AF172" i="7"/>
  <c r="AF168" i="7"/>
  <c r="AF171" i="7"/>
  <c r="AF154" i="7"/>
  <c r="AF169" i="7"/>
  <c r="BT698" i="7"/>
  <c r="G454" i="7"/>
  <c r="G453" i="7"/>
  <c r="G457" i="7"/>
  <c r="G424" i="7"/>
  <c r="CH446" i="7" s="1"/>
  <c r="G456" i="7"/>
  <c r="G455" i="7"/>
  <c r="G458" i="7"/>
  <c r="C134" i="14"/>
  <c r="C136" i="14" s="1"/>
  <c r="C138" i="14" s="1"/>
  <c r="C146" i="14" s="1"/>
  <c r="E56" i="37"/>
  <c r="T141" i="14"/>
  <c r="T56" i="37"/>
  <c r="T134" i="14"/>
  <c r="T136" i="14" s="1"/>
  <c r="T138" i="14" s="1"/>
  <c r="AZ68" i="12"/>
  <c r="AJ130" i="10"/>
  <c r="AJ122" i="10" s="1"/>
  <c r="AR132" i="10"/>
  <c r="AR124" i="10" s="1"/>
  <c r="AT132" i="10"/>
  <c r="AT124" i="10" s="1"/>
  <c r="AV129" i="10"/>
  <c r="AV121" i="10" s="1"/>
  <c r="AY129" i="10"/>
  <c r="AY121" i="10" s="1"/>
  <c r="AW129" i="10"/>
  <c r="AW121" i="10" s="1"/>
  <c r="AX129" i="10"/>
  <c r="AX121" i="10" s="1"/>
  <c r="AJ127" i="10"/>
  <c r="AJ119" i="10" s="1"/>
  <c r="E134" i="14"/>
  <c r="E136" i="14" s="1"/>
  <c r="E138" i="14" s="1"/>
  <c r="F134" i="14"/>
  <c r="AU68" i="12"/>
  <c r="L436" i="3"/>
  <c r="AK485" i="3"/>
  <c r="X489" i="3"/>
  <c r="X414" i="3"/>
  <c r="X448" i="3" s="1"/>
  <c r="BJ193" i="4" s="1"/>
  <c r="Z441" i="3"/>
  <c r="M416" i="3"/>
  <c r="M451" i="3" s="1"/>
  <c r="G214" i="4" s="1"/>
  <c r="G322" i="4" s="1"/>
  <c r="G376" i="4" s="1"/>
  <c r="O490" i="3"/>
  <c r="T432" i="3"/>
  <c r="T470" i="3" s="1"/>
  <c r="AP188" i="4" s="1"/>
  <c r="O414" i="3"/>
  <c r="O448" i="3" s="1"/>
  <c r="Q193" i="4" s="1"/>
  <c r="AG414" i="3"/>
  <c r="AG448" i="3" s="1"/>
  <c r="AE431" i="3"/>
  <c r="AE464" i="3" s="1"/>
  <c r="AF489" i="3"/>
  <c r="P433" i="3"/>
  <c r="P471" i="3" s="1"/>
  <c r="V173" i="4" s="1"/>
  <c r="Q438" i="3"/>
  <c r="T420" i="3"/>
  <c r="T442" i="3"/>
  <c r="T473" i="3" s="1"/>
  <c r="AP189" i="4" s="1"/>
  <c r="P428" i="3"/>
  <c r="P459" i="3" s="1"/>
  <c r="V202" i="4" s="1"/>
  <c r="N441" i="3"/>
  <c r="V441" i="3"/>
  <c r="M423" i="3"/>
  <c r="M457" i="3" s="1"/>
  <c r="G187" i="4" s="1"/>
  <c r="G295" i="4" s="1"/>
  <c r="G349" i="4" s="1"/>
  <c r="T483" i="3"/>
  <c r="T499" i="3" s="1"/>
  <c r="AP247" i="4" s="1"/>
  <c r="Q417" i="3"/>
  <c r="Q452" i="3" s="1"/>
  <c r="AA200" i="4" s="1"/>
  <c r="P425" i="3"/>
  <c r="P474" i="3" s="1"/>
  <c r="V209" i="4" s="1"/>
  <c r="N485" i="3"/>
  <c r="T489" i="3"/>
  <c r="U426" i="3"/>
  <c r="U466" i="3" s="1"/>
  <c r="AU215" i="4" s="1"/>
  <c r="N490" i="3"/>
  <c r="T426" i="3"/>
  <c r="T466" i="3" s="1"/>
  <c r="AP215" i="4" s="1"/>
  <c r="M485" i="3"/>
  <c r="AB415" i="3"/>
  <c r="AB449" i="3" s="1"/>
  <c r="CD194" i="4" s="1"/>
  <c r="AA425" i="3"/>
  <c r="AA474" i="3" s="1"/>
  <c r="BY209" i="4" s="1"/>
  <c r="Z483" i="3"/>
  <c r="Z499" i="3" s="1"/>
  <c r="BT247" i="4" s="1"/>
  <c r="Y439" i="3"/>
  <c r="AI432" i="3"/>
  <c r="AI470" i="3" s="1"/>
  <c r="W438" i="3"/>
  <c r="X421" i="3"/>
  <c r="AI416" i="3"/>
  <c r="AI451" i="3" s="1"/>
  <c r="W437" i="3"/>
  <c r="W416" i="3"/>
  <c r="W451" i="3" s="1"/>
  <c r="BE214" i="4" s="1"/>
  <c r="X431" i="3"/>
  <c r="X464" i="3" s="1"/>
  <c r="BJ205" i="4" s="1"/>
  <c r="Y419" i="3"/>
  <c r="Y454" i="3" s="1"/>
  <c r="BO186" i="4" s="1"/>
  <c r="AJ493" i="3"/>
  <c r="X491" i="3"/>
  <c r="X519" i="3" s="1"/>
  <c r="AL436" i="3"/>
  <c r="AJ419" i="3"/>
  <c r="AJ454" i="3" s="1"/>
  <c r="AK428" i="3"/>
  <c r="AK459" i="3" s="1"/>
  <c r="AL429" i="3"/>
  <c r="AL462" i="3" s="1"/>
  <c r="AG491" i="3"/>
  <c r="AG519" i="3" s="1"/>
  <c r="W417" i="3"/>
  <c r="W452" i="3" s="1"/>
  <c r="BE200" i="4" s="1"/>
  <c r="Z424" i="3"/>
  <c r="Z458" i="3" s="1"/>
  <c r="BT195" i="4" s="1"/>
  <c r="AL432" i="3"/>
  <c r="AL470" i="3" s="1"/>
  <c r="AJ426" i="3"/>
  <c r="AJ466" i="3" s="1"/>
  <c r="Z494" i="3"/>
  <c r="Z524" i="3" s="1"/>
  <c r="BT243" i="4" s="1"/>
  <c r="AJ416" i="3"/>
  <c r="AJ451" i="3" s="1"/>
  <c r="X484" i="3"/>
  <c r="X504" i="3" s="1"/>
  <c r="AI482" i="3"/>
  <c r="AI501" i="3" s="1"/>
  <c r="X435" i="3"/>
  <c r="AI428" i="3"/>
  <c r="AI459" i="3" s="1"/>
  <c r="Z488" i="3"/>
  <c r="AB425" i="3"/>
  <c r="AB474" i="3" s="1"/>
  <c r="CD209" i="4" s="1"/>
  <c r="U425" i="3"/>
  <c r="U474" i="3" s="1"/>
  <c r="AU209" i="4" s="1"/>
  <c r="M426" i="3"/>
  <c r="M466" i="3" s="1"/>
  <c r="G215" i="4" s="1"/>
  <c r="G323" i="4" s="1"/>
  <c r="G377" i="4" s="1"/>
  <c r="U443" i="3"/>
  <c r="V491" i="3"/>
  <c r="V519" i="3" s="1"/>
  <c r="AZ261" i="4" s="1"/>
  <c r="S484" i="3"/>
  <c r="S504" i="3" s="1"/>
  <c r="U429" i="3"/>
  <c r="U462" i="3" s="1"/>
  <c r="AU175" i="4" s="1"/>
  <c r="M432" i="3"/>
  <c r="M470" i="3" s="1"/>
  <c r="G188" i="4" s="1"/>
  <c r="O438" i="3"/>
  <c r="L484" i="3"/>
  <c r="L504" i="3" s="1"/>
  <c r="F239" i="4" s="1"/>
  <c r="F293" i="4" s="1"/>
  <c r="F347" i="4" s="1"/>
  <c r="AG426" i="3"/>
  <c r="AG466" i="3" s="1"/>
  <c r="AL483" i="3"/>
  <c r="AL499" i="3" s="1"/>
  <c r="AG415" i="3"/>
  <c r="AG449" i="3" s="1"/>
  <c r="L417" i="3"/>
  <c r="L452" i="3" s="1"/>
  <c r="F200" i="4" s="1"/>
  <c r="F308" i="4" s="1"/>
  <c r="F362" i="4" s="1"/>
  <c r="AC420" i="3"/>
  <c r="AD421" i="3"/>
  <c r="AE422" i="3"/>
  <c r="AF423" i="3"/>
  <c r="AF457" i="3" s="1"/>
  <c r="AG424" i="3"/>
  <c r="AG458" i="3" s="1"/>
  <c r="AH425" i="3"/>
  <c r="AH474" i="3" s="1"/>
  <c r="L427" i="3"/>
  <c r="AC428" i="3"/>
  <c r="AC459" i="3" s="1"/>
  <c r="AD429" i="3"/>
  <c r="AD462" i="3" s="1"/>
  <c r="AG431" i="3"/>
  <c r="AG464" i="3" s="1"/>
  <c r="AH432" i="3"/>
  <c r="AH470" i="3" s="1"/>
  <c r="E9" i="7"/>
  <c r="E84" i="7"/>
  <c r="E49" i="7"/>
  <c r="AA731" i="7"/>
  <c r="AA696" i="7"/>
  <c r="AA699" i="7" s="1"/>
  <c r="AA16" i="7" s="1"/>
  <c r="AF811" i="7"/>
  <c r="AF814" i="7" s="1"/>
  <c r="AF16" i="7" s="1"/>
  <c r="AF846" i="7"/>
  <c r="BW802" i="7"/>
  <c r="BV857" i="7"/>
  <c r="AF895" i="7"/>
  <c r="AF897" i="7"/>
  <c r="AU731" i="7"/>
  <c r="AU696" i="7"/>
  <c r="AF792" i="7"/>
  <c r="AF12" i="7"/>
  <c r="AF14" i="7" s="1"/>
  <c r="D370" i="7"/>
  <c r="D337" i="7"/>
  <c r="D371" i="7" s="1"/>
  <c r="AK811" i="7"/>
  <c r="AK814" i="7" s="1"/>
  <c r="AK16" i="7" s="1"/>
  <c r="AK846" i="7"/>
  <c r="E73" i="27"/>
  <c r="E74" i="27" s="1"/>
  <c r="E80" i="27" s="1"/>
  <c r="CA857" i="7"/>
  <c r="CB802" i="7"/>
  <c r="CD537" i="7"/>
  <c r="BU537" i="7"/>
  <c r="BV537" i="7" s="1"/>
  <c r="BW537" i="7" s="1"/>
  <c r="BX537" i="7" s="1"/>
  <c r="AE275" i="1"/>
  <c r="P275" i="1"/>
  <c r="AE209" i="1"/>
  <c r="Z211" i="1"/>
  <c r="AE262" i="1"/>
  <c r="AE260" i="1"/>
  <c r="P241" i="1"/>
  <c r="O277" i="1"/>
  <c r="M319" i="1"/>
  <c r="O319" i="1"/>
  <c r="N242" i="1"/>
  <c r="AZ101" i="5"/>
  <c r="AZ155" i="5" s="1"/>
  <c r="AZ155" i="1"/>
  <c r="S482" i="3"/>
  <c r="S501" i="3" s="1"/>
  <c r="T427" i="3"/>
  <c r="W482" i="3"/>
  <c r="W501" i="3" s="1"/>
  <c r="BE238" i="4" s="1"/>
  <c r="AL494" i="3"/>
  <c r="AL524" i="3" s="1"/>
  <c r="Z414" i="3"/>
  <c r="Z448" i="3" s="1"/>
  <c r="BT193" i="4" s="1"/>
  <c r="U430" i="3"/>
  <c r="U463" i="3" s="1"/>
  <c r="AU174" i="4" s="1"/>
  <c r="V486" i="3"/>
  <c r="V510" i="3" s="1"/>
  <c r="AZ256" i="4" s="1"/>
  <c r="Q415" i="3"/>
  <c r="Q449" i="3" s="1"/>
  <c r="AA194" i="4" s="1"/>
  <c r="V485" i="3"/>
  <c r="AJ431" i="3"/>
  <c r="AJ464" i="3" s="1"/>
  <c r="AI431" i="3"/>
  <c r="AI464" i="3" s="1"/>
  <c r="Y428" i="3"/>
  <c r="Y459" i="3" s="1"/>
  <c r="BO202" i="4" s="1"/>
  <c r="AJ437" i="3"/>
  <c r="Y437" i="3"/>
  <c r="AJ417" i="3"/>
  <c r="AJ452" i="3" s="1"/>
  <c r="Q422" i="3"/>
  <c r="M443" i="3"/>
  <c r="AA483" i="3"/>
  <c r="AA499" i="3" s="1"/>
  <c r="BY247" i="4" s="1"/>
  <c r="X429" i="3"/>
  <c r="X462" i="3" s="1"/>
  <c r="BJ175" i="4" s="1"/>
  <c r="Z425" i="3"/>
  <c r="Z474" i="3" s="1"/>
  <c r="BT209" i="4" s="1"/>
  <c r="H316" i="4"/>
  <c r="H235" i="4"/>
  <c r="H314" i="4"/>
  <c r="J314" i="4"/>
  <c r="I314" i="4"/>
  <c r="AA142" i="5"/>
  <c r="AF142" i="5"/>
  <c r="AA162" i="5"/>
  <c r="F110" i="5"/>
  <c r="AF136" i="5"/>
  <c r="L127" i="5"/>
  <c r="G162" i="5"/>
  <c r="AA136" i="5"/>
  <c r="L162" i="5"/>
  <c r="AA750" i="7"/>
  <c r="AA753" i="7" s="1"/>
  <c r="CJ39" i="7" s="1"/>
  <c r="AK750" i="7"/>
  <c r="AK753" i="7" s="1"/>
  <c r="CJ41" i="7" s="1"/>
  <c r="AK791" i="7"/>
  <c r="AF427" i="7"/>
  <c r="AF461" i="7" s="1"/>
  <c r="AF460" i="7"/>
  <c r="D127" i="5"/>
  <c r="F122" i="5"/>
  <c r="F127" i="5"/>
  <c r="D162" i="5"/>
  <c r="AZ90" i="9"/>
  <c r="AZ72" i="9"/>
  <c r="Q260" i="7"/>
  <c r="Q259" i="7"/>
  <c r="Q264" i="7"/>
  <c r="Q262" i="7"/>
  <c r="Q263" i="7"/>
  <c r="Q261" i="7"/>
  <c r="G264" i="7"/>
  <c r="G261" i="7"/>
  <c r="G259" i="7"/>
  <c r="G263" i="7"/>
  <c r="G229" i="7"/>
  <c r="CH251" i="7" s="1"/>
  <c r="G262" i="7"/>
  <c r="V263" i="7"/>
  <c r="V259" i="7"/>
  <c r="V260" i="7"/>
  <c r="V254" i="7"/>
  <c r="V264" i="7"/>
  <c r="V229" i="7"/>
  <c r="CH254" i="7" s="1"/>
  <c r="V261" i="7"/>
  <c r="V253" i="7"/>
  <c r="H271" i="7"/>
  <c r="AF266" i="7"/>
  <c r="AF232" i="7"/>
  <c r="AF267" i="7" s="1"/>
  <c r="CH223" i="7" s="1"/>
  <c r="CK223" i="7" s="1"/>
  <c r="CL223" i="7" s="1"/>
  <c r="G171" i="7"/>
  <c r="G170" i="7"/>
  <c r="G168" i="7"/>
  <c r="G172" i="7"/>
  <c r="G169" i="7"/>
  <c r="G139" i="7"/>
  <c r="CH161" i="7" s="1"/>
  <c r="G173" i="7"/>
  <c r="AP558" i="7"/>
  <c r="AP560" i="7"/>
  <c r="BX807" i="7"/>
  <c r="BW862" i="7"/>
  <c r="BC147" i="13"/>
  <c r="BC171" i="13" s="1"/>
  <c r="C122" i="5"/>
  <c r="C127" i="5"/>
  <c r="C162" i="5"/>
  <c r="V142" i="5"/>
  <c r="Q142" i="5"/>
  <c r="AU750" i="7"/>
  <c r="AU791" i="7"/>
  <c r="C370" i="7"/>
  <c r="C337" i="7"/>
  <c r="AP253" i="7"/>
  <c r="AP264" i="7"/>
  <c r="AP261" i="7"/>
  <c r="AP244" i="7"/>
  <c r="AP229" i="7"/>
  <c r="CH258" i="7" s="1"/>
  <c r="AP254" i="7"/>
  <c r="AP262" i="7"/>
  <c r="AP259" i="7"/>
  <c r="AP260" i="7"/>
  <c r="AP263" i="7"/>
  <c r="Q232" i="7"/>
  <c r="Q267" i="7" s="1"/>
  <c r="CH220" i="7" s="1"/>
  <c r="CK220" i="7" s="1"/>
  <c r="CL220" i="7" s="1"/>
  <c r="Q266" i="7"/>
  <c r="V512" i="7"/>
  <c r="V479" i="7"/>
  <c r="V513" i="7" s="1"/>
  <c r="AP834" i="7"/>
  <c r="AP832" i="7"/>
  <c r="AP829" i="7"/>
  <c r="AP833" i="7"/>
  <c r="AP836" i="7" s="1"/>
  <c r="AP830" i="7"/>
  <c r="AP831" i="7"/>
  <c r="L262" i="7"/>
  <c r="L264" i="7"/>
  <c r="L229" i="7"/>
  <c r="CH252" i="7" s="1"/>
  <c r="L263" i="7"/>
  <c r="L253" i="7"/>
  <c r="L259" i="7"/>
  <c r="L260" i="7"/>
  <c r="L244" i="7"/>
  <c r="L261" i="7"/>
  <c r="V318" i="7"/>
  <c r="V285" i="7"/>
  <c r="V319" i="7" s="1"/>
  <c r="G370" i="7"/>
  <c r="G337" i="7"/>
  <c r="BQ862" i="7"/>
  <c r="BR807" i="7"/>
  <c r="V78" i="7"/>
  <c r="Q171" i="7"/>
  <c r="Q173" i="7"/>
  <c r="Q172" i="7"/>
  <c r="Q154" i="7"/>
  <c r="Q170" i="7"/>
  <c r="Q139" i="7"/>
  <c r="CH163" i="7" s="1"/>
  <c r="Q163" i="7"/>
  <c r="Q169" i="7"/>
  <c r="Q168" i="7"/>
  <c r="AP731" i="7"/>
  <c r="AP696" i="7"/>
  <c r="C142" i="7"/>
  <c r="C175" i="7"/>
  <c r="AU427" i="7"/>
  <c r="AU461" i="7" s="1"/>
  <c r="T375" i="7"/>
  <c r="T394" i="7" s="1"/>
  <c r="T413" i="7" s="1"/>
  <c r="T465" i="7" s="1"/>
  <c r="T519" i="7" s="1"/>
  <c r="T577" i="7" s="1"/>
  <c r="T682" i="7" s="1"/>
  <c r="G127" i="5"/>
  <c r="AT76" i="69"/>
  <c r="BS12" i="69"/>
  <c r="BS22" i="69" s="1"/>
  <c r="BT9" i="69"/>
  <c r="BT21" i="69" s="1"/>
  <c r="CI75" i="69"/>
  <c r="CK75" i="69" s="1"/>
  <c r="AE75" i="69"/>
  <c r="AE76" i="69" s="1"/>
  <c r="BU52" i="27"/>
  <c r="CJ72" i="69"/>
  <c r="CI64" i="69"/>
  <c r="CK64" i="69" s="1"/>
  <c r="R75" i="69"/>
  <c r="R76" i="69" s="1"/>
  <c r="AO75" i="69"/>
  <c r="AO76" i="69" s="1"/>
  <c r="CI83" i="69"/>
  <c r="CK83" i="69" s="1"/>
  <c r="CI66" i="69"/>
  <c r="CK66" i="69" s="1"/>
  <c r="CL66" i="69" s="1"/>
  <c r="T75" i="69"/>
  <c r="T76" i="69" s="1"/>
  <c r="CI72" i="69"/>
  <c r="CK72" i="69" s="1"/>
  <c r="AB75" i="69"/>
  <c r="CJ64" i="69"/>
  <c r="AM75" i="69"/>
  <c r="AM76" i="69" s="1"/>
  <c r="CI81" i="69"/>
  <c r="CK81" i="69" s="1"/>
  <c r="CL81" i="69" s="1"/>
  <c r="AV76" i="69"/>
  <c r="AJ76" i="69"/>
  <c r="AK76" i="69" s="1"/>
  <c r="AK75" i="69"/>
  <c r="AM136" i="14"/>
  <c r="AM138" i="14" s="1"/>
  <c r="V115" i="10"/>
  <c r="V110" i="10"/>
  <c r="V43" i="10"/>
  <c r="V44" i="10" s="1"/>
  <c r="V46" i="10" s="1"/>
  <c r="AG25" i="37"/>
  <c r="AK24" i="37"/>
  <c r="AK25" i="37" s="1"/>
  <c r="AP25" i="37"/>
  <c r="AN130" i="10"/>
  <c r="AN122" i="10" s="1"/>
  <c r="AM130" i="10"/>
  <c r="AM122" i="10" s="1"/>
  <c r="AO130" i="10"/>
  <c r="AO122" i="10" s="1"/>
  <c r="AL130" i="10"/>
  <c r="AL122" i="10" s="1"/>
  <c r="AK46" i="37"/>
  <c r="AK53" i="37" s="1"/>
  <c r="AK96" i="13"/>
  <c r="H56" i="37"/>
  <c r="H141" i="14"/>
  <c r="H142" i="14" s="1"/>
  <c r="H143" i="14" s="1"/>
  <c r="H134" i="14"/>
  <c r="H136" i="14" s="1"/>
  <c r="H138" i="14" s="1"/>
  <c r="Q43" i="10"/>
  <c r="Q44" i="10" s="1"/>
  <c r="Q46" i="10" s="1"/>
  <c r="Q110" i="10"/>
  <c r="V116" i="10" s="1"/>
  <c r="Q115" i="10"/>
  <c r="N141" i="14"/>
  <c r="N142" i="14" s="1"/>
  <c r="N143" i="14" s="1"/>
  <c r="N56" i="37"/>
  <c r="N134" i="14"/>
  <c r="N136" i="14" s="1"/>
  <c r="N138" i="14" s="1"/>
  <c r="AP141" i="14"/>
  <c r="P134" i="14"/>
  <c r="P136" i="14" s="1"/>
  <c r="P138" i="14" s="1"/>
  <c r="P141" i="14"/>
  <c r="P142" i="14" s="1"/>
  <c r="P143" i="14" s="1"/>
  <c r="AR142" i="14"/>
  <c r="AR143" i="14" s="1"/>
  <c r="AF830" i="7"/>
  <c r="AF834" i="7"/>
  <c r="AF831" i="7"/>
  <c r="AF833" i="7"/>
  <c r="AF836" i="7" s="1"/>
  <c r="AF829" i="7"/>
  <c r="AF832" i="7"/>
  <c r="E110" i="5"/>
  <c r="Q157" i="5"/>
  <c r="C110" i="5"/>
  <c r="D142" i="5"/>
  <c r="L142" i="5"/>
  <c r="AU157" i="5"/>
  <c r="V110" i="5"/>
  <c r="L136" i="5"/>
  <c r="AA110" i="5"/>
  <c r="Q136" i="5"/>
  <c r="Q162" i="5"/>
  <c r="L110" i="5"/>
  <c r="E127" i="5"/>
  <c r="AU56" i="5"/>
  <c r="AU100" i="10" s="1"/>
  <c r="D136" i="5"/>
  <c r="F162" i="5"/>
  <c r="AF56" i="5"/>
  <c r="AF100" i="10" s="1"/>
  <c r="BP33" i="6"/>
  <c r="BP549" i="7" s="1"/>
  <c r="D110" i="5"/>
  <c r="G110" i="5"/>
  <c r="AK56" i="5"/>
  <c r="AK100" i="10" s="1"/>
  <c r="Q110" i="5"/>
  <c r="L157" i="5"/>
  <c r="V157" i="5"/>
  <c r="AF157" i="5"/>
  <c r="AP157" i="5"/>
  <c r="AA157" i="5"/>
  <c r="AP56" i="5"/>
  <c r="AP100" i="10" s="1"/>
  <c r="L56" i="5"/>
  <c r="L100" i="10" s="1"/>
  <c r="V162" i="5"/>
  <c r="L122" i="5"/>
  <c r="BA133" i="13"/>
  <c r="BO92" i="12"/>
  <c r="AX14" i="12"/>
  <c r="AZ110" i="13"/>
  <c r="AZ41" i="14"/>
  <c r="BJ104" i="6"/>
  <c r="AX98" i="6"/>
  <c r="AX115" i="6" s="1"/>
  <c r="AZ81" i="6"/>
  <c r="AZ119" i="6"/>
  <c r="AZ102" i="6"/>
  <c r="AZ87" i="6"/>
  <c r="AX97" i="6"/>
  <c r="AX114" i="6" s="1"/>
  <c r="AZ80" i="6"/>
  <c r="F219" i="9"/>
  <c r="F215" i="9"/>
  <c r="G65" i="9"/>
  <c r="G72" i="9" s="1"/>
  <c r="BO179" i="9"/>
  <c r="BT110" i="10"/>
  <c r="CD112" i="10" s="1"/>
  <c r="CD26" i="11" s="1"/>
  <c r="CD68" i="12" s="1"/>
  <c r="AE323" i="7"/>
  <c r="BO52" i="10"/>
  <c r="BQ19" i="6"/>
  <c r="BQ30" i="6" s="1"/>
  <c r="BQ241" i="7" s="1"/>
  <c r="V56" i="5"/>
  <c r="V100" i="10" s="1"/>
  <c r="Z214" i="1"/>
  <c r="Z270" i="1"/>
  <c r="Y444" i="2"/>
  <c r="Y472" i="2" s="1"/>
  <c r="BO268" i="1" s="1"/>
  <c r="V136" i="5"/>
  <c r="AF110" i="5"/>
  <c r="AA56" i="5"/>
  <c r="AA100" i="10" s="1"/>
  <c r="AD319" i="1"/>
  <c r="E162" i="5"/>
  <c r="AB319" i="1"/>
  <c r="K314" i="4"/>
  <c r="Q56" i="5"/>
  <c r="Q100" i="10" s="1"/>
  <c r="AE191" i="1"/>
  <c r="AE211" i="1"/>
  <c r="Z260" i="1"/>
  <c r="U275" i="1"/>
  <c r="AE248" i="1"/>
  <c r="P234" i="1"/>
  <c r="P206" i="1"/>
  <c r="AE236" i="1"/>
  <c r="AC317" i="1"/>
  <c r="AB317" i="1"/>
  <c r="AD317" i="1"/>
  <c r="N277" i="1"/>
  <c r="P276" i="1"/>
  <c r="Z265" i="1"/>
  <c r="X242" i="1"/>
  <c r="U240" i="1"/>
  <c r="Z276" i="1"/>
  <c r="U270" i="1"/>
  <c r="U192" i="1"/>
  <c r="AE240" i="1"/>
  <c r="P236" i="1"/>
  <c r="Z234" i="1"/>
  <c r="P255" i="1"/>
  <c r="Z209" i="1"/>
  <c r="U248" i="1"/>
  <c r="Z261" i="1"/>
  <c r="I276" i="1"/>
  <c r="H277" i="1"/>
  <c r="AE261" i="1"/>
  <c r="P261" i="1"/>
  <c r="AE234" i="1"/>
  <c r="AE270" i="1"/>
  <c r="U249" i="1"/>
  <c r="AE206" i="1"/>
  <c r="H314" i="1"/>
  <c r="I314" i="1" s="1"/>
  <c r="J314" i="1" s="1"/>
  <c r="K314" i="1" s="1"/>
  <c r="U261" i="1"/>
  <c r="H242" i="1"/>
  <c r="I242" i="1" s="1"/>
  <c r="J242" i="1" s="1"/>
  <c r="K242" i="1" s="1"/>
  <c r="P192" i="1"/>
  <c r="P260" i="1"/>
  <c r="AZ10" i="14"/>
  <c r="P269" i="1"/>
  <c r="Z269" i="1"/>
  <c r="U206" i="1"/>
  <c r="Z206" i="1"/>
  <c r="Z191" i="1"/>
  <c r="AF368" i="1"/>
  <c r="AC314" i="1"/>
  <c r="AD314" i="1"/>
  <c r="AB314" i="1"/>
  <c r="W314" i="1"/>
  <c r="Y314" i="1"/>
  <c r="AA368" i="1"/>
  <c r="X314" i="1"/>
  <c r="S314" i="1"/>
  <c r="R314" i="1"/>
  <c r="V368" i="1"/>
  <c r="N314" i="1"/>
  <c r="O314" i="1"/>
  <c r="M314" i="1"/>
  <c r="Q368" i="1"/>
  <c r="W317" i="1"/>
  <c r="Y317" i="1"/>
  <c r="X317" i="1"/>
  <c r="AA371" i="1"/>
  <c r="AE269" i="1"/>
  <c r="P249" i="1"/>
  <c r="AK387" i="2"/>
  <c r="K387" i="2"/>
  <c r="K439" i="2"/>
  <c r="K457" i="2" s="1"/>
  <c r="E246" i="1" s="1"/>
  <c r="E300" i="1" s="1"/>
  <c r="E354" i="1" s="1"/>
  <c r="K383" i="2"/>
  <c r="K424" i="2" s="1"/>
  <c r="E195" i="1" s="1"/>
  <c r="E303" i="1" s="1"/>
  <c r="E357" i="1" s="1"/>
  <c r="K377" i="2"/>
  <c r="K412" i="2" s="1"/>
  <c r="E202" i="1" s="1"/>
  <c r="E310" i="1" s="1"/>
  <c r="E364" i="1" s="1"/>
  <c r="K368" i="2"/>
  <c r="K405" i="2" s="1"/>
  <c r="E221" i="1" s="1"/>
  <c r="Q366" i="2"/>
  <c r="AG366" i="2"/>
  <c r="N367" i="2"/>
  <c r="N403" i="2" s="1"/>
  <c r="L201" i="1" s="1"/>
  <c r="L309" i="1" s="1"/>
  <c r="L363" i="1" s="1"/>
  <c r="AG367" i="2"/>
  <c r="AG403" i="2" s="1"/>
  <c r="R368" i="2"/>
  <c r="R405" i="2" s="1"/>
  <c r="AF221" i="1" s="1"/>
  <c r="AC368" i="2"/>
  <c r="AC405" i="2" s="1"/>
  <c r="AL368" i="2"/>
  <c r="AL405" i="2" s="1"/>
  <c r="Q369" i="2"/>
  <c r="Q406" i="2" s="1"/>
  <c r="AA207" i="1" s="1"/>
  <c r="AC369" i="2"/>
  <c r="AC406" i="2" s="1"/>
  <c r="AL369" i="2"/>
  <c r="AL406" i="2" s="1"/>
  <c r="T370" i="2"/>
  <c r="T408" i="2" s="1"/>
  <c r="AP193" i="1" s="1"/>
  <c r="N371" i="2"/>
  <c r="AD371" i="2"/>
  <c r="M372" i="2"/>
  <c r="AC372" i="2"/>
  <c r="L373" i="2"/>
  <c r="AE373" i="2"/>
  <c r="M374" i="2"/>
  <c r="M410" i="2" s="1"/>
  <c r="G208" i="1" s="1"/>
  <c r="G316" i="1" s="1"/>
  <c r="Q374" i="2"/>
  <c r="Q410" i="2" s="1"/>
  <c r="AA208" i="1" s="1"/>
  <c r="S374" i="2"/>
  <c r="S410" i="2" s="1"/>
  <c r="AK208" i="1" s="1"/>
  <c r="AK316" i="1" s="1"/>
  <c r="AK370" i="1" s="1"/>
  <c r="AD374" i="2"/>
  <c r="AD410" i="2" s="1"/>
  <c r="AG374" i="2"/>
  <c r="AG410" i="2" s="1"/>
  <c r="P375" i="2"/>
  <c r="P411" i="2" s="1"/>
  <c r="V194" i="1" s="1"/>
  <c r="AG375" i="2"/>
  <c r="AG411" i="2" s="1"/>
  <c r="N376" i="2"/>
  <c r="N420" i="2" s="1"/>
  <c r="L222" i="1" s="1"/>
  <c r="L330" i="1" s="1"/>
  <c r="L384" i="1" s="1"/>
  <c r="T376" i="2"/>
  <c r="T420" i="2" s="1"/>
  <c r="AP222" i="1" s="1"/>
  <c r="AP330" i="1" s="1"/>
  <c r="AP384" i="1" s="1"/>
  <c r="AD376" i="2"/>
  <c r="AD420" i="2" s="1"/>
  <c r="AL376" i="2"/>
  <c r="AL420" i="2" s="1"/>
  <c r="L378" i="2"/>
  <c r="T378" i="2"/>
  <c r="AL378" i="2"/>
  <c r="AD379" i="2"/>
  <c r="AD416" i="2" s="1"/>
  <c r="N380" i="2"/>
  <c r="N417" i="2" s="1"/>
  <c r="L181" i="1" s="1"/>
  <c r="R380" i="2"/>
  <c r="R417" i="2" s="1"/>
  <c r="AF181" i="1" s="1"/>
  <c r="N381" i="2"/>
  <c r="N418" i="2" s="1"/>
  <c r="L212" i="1" s="1"/>
  <c r="AD381" i="2"/>
  <c r="AD418" i="2" s="1"/>
  <c r="O382" i="2"/>
  <c r="O421" i="2" s="1"/>
  <c r="Q213" i="1" s="1"/>
  <c r="S382" i="2"/>
  <c r="S421" i="2" s="1"/>
  <c r="AK213" i="1" s="1"/>
  <c r="AK321" i="1" s="1"/>
  <c r="AK375" i="1" s="1"/>
  <c r="AD382" i="2"/>
  <c r="AD421" i="2" s="1"/>
  <c r="S383" i="2"/>
  <c r="S424" i="2" s="1"/>
  <c r="AK195" i="1" s="1"/>
  <c r="AK303" i="1" s="1"/>
  <c r="AK357" i="1" s="1"/>
  <c r="AF383" i="2"/>
  <c r="AF424" i="2" s="1"/>
  <c r="O384" i="2"/>
  <c r="O425" i="2" s="1"/>
  <c r="Q180" i="1" s="1"/>
  <c r="AC385" i="2"/>
  <c r="AC423" i="2" s="1"/>
  <c r="M386" i="2"/>
  <c r="AC386" i="2"/>
  <c r="L387" i="2"/>
  <c r="T387" i="2"/>
  <c r="AL387" i="2"/>
  <c r="S388" i="2"/>
  <c r="AI388" i="2"/>
  <c r="R389" i="2"/>
  <c r="AH389" i="2"/>
  <c r="Q390" i="2"/>
  <c r="AG390" i="2"/>
  <c r="P391" i="2"/>
  <c r="AF391" i="2"/>
  <c r="O392" i="2"/>
  <c r="AE392" i="2"/>
  <c r="N393" i="2"/>
  <c r="AK385" i="2"/>
  <c r="AK423" i="2" s="1"/>
  <c r="AK396" i="2"/>
  <c r="AK428" i="2" s="1"/>
  <c r="K391" i="2"/>
  <c r="K367" i="2"/>
  <c r="K403" i="2" s="1"/>
  <c r="E201" i="1" s="1"/>
  <c r="E309" i="1" s="1"/>
  <c r="E363" i="1" s="1"/>
  <c r="K381" i="2"/>
  <c r="K418" i="2" s="1"/>
  <c r="E212" i="1" s="1"/>
  <c r="N366" i="2"/>
  <c r="AC366" i="2"/>
  <c r="AL366" i="2"/>
  <c r="AC367" i="2"/>
  <c r="AC403" i="2" s="1"/>
  <c r="AL367" i="2"/>
  <c r="AL403" i="2" s="1"/>
  <c r="AF368" i="2"/>
  <c r="AF405" i="2" s="1"/>
  <c r="N369" i="2"/>
  <c r="N406" i="2" s="1"/>
  <c r="L207" i="1" s="1"/>
  <c r="AG369" i="2"/>
  <c r="AG406" i="2" s="1"/>
  <c r="P370" i="2"/>
  <c r="P408" i="2" s="1"/>
  <c r="AF370" i="2"/>
  <c r="AF408" i="2" s="1"/>
  <c r="R371" i="2"/>
  <c r="AH371" i="2"/>
  <c r="Q372" i="2"/>
  <c r="AG372" i="2"/>
  <c r="P373" i="2"/>
  <c r="AI373" i="2"/>
  <c r="AL374" i="2"/>
  <c r="AL410" i="2" s="1"/>
  <c r="T375" i="2"/>
  <c r="T411" i="2" s="1"/>
  <c r="AP194" i="1" s="1"/>
  <c r="AP302" i="1" s="1"/>
  <c r="AP356" i="1" s="1"/>
  <c r="AD375" i="2"/>
  <c r="AD411" i="2" s="1"/>
  <c r="AL375" i="2"/>
  <c r="AL411" i="2" s="1"/>
  <c r="AG376" i="2"/>
  <c r="AG420" i="2" s="1"/>
  <c r="N377" i="2"/>
  <c r="N412" i="2" s="1"/>
  <c r="L202" i="1" s="1"/>
  <c r="L310" i="1" s="1"/>
  <c r="L364" i="1" s="1"/>
  <c r="AC377" i="2"/>
  <c r="AC412" i="2" s="1"/>
  <c r="AH377" i="2"/>
  <c r="AH412" i="2" s="1"/>
  <c r="P378" i="2"/>
  <c r="AF378" i="2"/>
  <c r="R379" i="2"/>
  <c r="R416" i="2" s="1"/>
  <c r="AF182" i="1" s="1"/>
  <c r="AL379" i="2"/>
  <c r="AL416" i="2" s="1"/>
  <c r="AH380" i="2"/>
  <c r="AH417" i="2" s="1"/>
  <c r="S381" i="2"/>
  <c r="S418" i="2" s="1"/>
  <c r="AK212" i="1" s="1"/>
  <c r="AG381" i="2"/>
  <c r="AG418" i="2" s="1"/>
  <c r="AG382" i="2"/>
  <c r="AG421" i="2" s="1"/>
  <c r="AL383" i="2"/>
  <c r="AL424" i="2" s="1"/>
  <c r="S384" i="2"/>
  <c r="S425" i="2" s="1"/>
  <c r="AK180" i="1" s="1"/>
  <c r="AD384" i="2"/>
  <c r="AD425" i="2" s="1"/>
  <c r="O385" i="2"/>
  <c r="O423" i="2" s="1"/>
  <c r="Q215" i="1" s="1"/>
  <c r="AH385" i="2"/>
  <c r="AH423" i="2" s="1"/>
  <c r="Q386" i="2"/>
  <c r="AG386" i="2"/>
  <c r="P387" i="2"/>
  <c r="AF387" i="2"/>
  <c r="O388" i="2"/>
  <c r="AE388" i="2"/>
  <c r="N389" i="2"/>
  <c r="AD389" i="2"/>
  <c r="M390" i="2"/>
  <c r="AC390" i="2"/>
  <c r="L391" i="2"/>
  <c r="T391" i="2"/>
  <c r="AL391" i="2"/>
  <c r="S392" i="2"/>
  <c r="AI392" i="2"/>
  <c r="R393" i="2"/>
  <c r="AH393" i="2"/>
  <c r="Q394" i="2"/>
  <c r="Q427" i="2" s="1"/>
  <c r="AA196" i="1" s="1"/>
  <c r="N395" i="2"/>
  <c r="AD395" i="2"/>
  <c r="M396" i="2"/>
  <c r="M428" i="2" s="1"/>
  <c r="G216" i="1" s="1"/>
  <c r="G324" i="1" s="1"/>
  <c r="T396" i="2"/>
  <c r="T428" i="2" s="1"/>
  <c r="AP216" i="1" s="1"/>
  <c r="AP324" i="1" s="1"/>
  <c r="AP378" i="1" s="1"/>
  <c r="AD396" i="2"/>
  <c r="AD428" i="2" s="1"/>
  <c r="AG396" i="2"/>
  <c r="AG428" i="2" s="1"/>
  <c r="AF437" i="2"/>
  <c r="AD393" i="2"/>
  <c r="AG394" i="2"/>
  <c r="AG427" i="2" s="1"/>
  <c r="R395" i="2"/>
  <c r="R396" i="2"/>
  <c r="R428" i="2" s="1"/>
  <c r="AF216" i="1" s="1"/>
  <c r="AI437" i="2"/>
  <c r="N438" i="2"/>
  <c r="N452" i="2" s="1"/>
  <c r="O439" i="2"/>
  <c r="O457" i="2" s="1"/>
  <c r="Q246" i="1" s="1"/>
  <c r="Q439" i="2"/>
  <c r="Q457" i="2" s="1"/>
  <c r="AA246" i="1" s="1"/>
  <c r="AC439" i="2"/>
  <c r="AC457" i="2" s="1"/>
  <c r="N441" i="2"/>
  <c r="N464" i="2" s="1"/>
  <c r="L264" i="1" s="1"/>
  <c r="AD441" i="2"/>
  <c r="AD464" i="2" s="1"/>
  <c r="AH443" i="2"/>
  <c r="AH468" i="2" s="1"/>
  <c r="AL443" i="2"/>
  <c r="AL468" i="2" s="1"/>
  <c r="AC444" i="2"/>
  <c r="AC472" i="2" s="1"/>
  <c r="P445" i="2"/>
  <c r="P469" i="2" s="1"/>
  <c r="V271" i="1" s="1"/>
  <c r="Q445" i="2"/>
  <c r="Q469" i="2" s="1"/>
  <c r="AA271" i="1" s="1"/>
  <c r="AD445" i="2"/>
  <c r="AD469" i="2" s="1"/>
  <c r="L446" i="2"/>
  <c r="L477" i="2" s="1"/>
  <c r="F250" i="1" s="1"/>
  <c r="O446" i="2"/>
  <c r="O477" i="2" s="1"/>
  <c r="Q250" i="1" s="1"/>
  <c r="S446" i="2"/>
  <c r="S477" i="2" s="1"/>
  <c r="AK250" i="1" s="1"/>
  <c r="AL446" i="2"/>
  <c r="AL477" i="2" s="1"/>
  <c r="V387" i="2"/>
  <c r="V439" i="2"/>
  <c r="V457" i="2" s="1"/>
  <c r="AZ246" i="1" s="1"/>
  <c r="AZ300" i="1" s="1"/>
  <c r="AZ354" i="1" s="1"/>
  <c r="V378" i="2"/>
  <c r="W371" i="2"/>
  <c r="X439" i="2"/>
  <c r="X457" i="2" s="1"/>
  <c r="BJ246" i="1" s="1"/>
  <c r="W446" i="2"/>
  <c r="W477" i="2" s="1"/>
  <c r="BE250" i="1" s="1"/>
  <c r="X384" i="2"/>
  <c r="X425" i="2" s="1"/>
  <c r="BJ180" i="1" s="1"/>
  <c r="X373" i="2"/>
  <c r="Y439" i="2"/>
  <c r="Y457" i="2" s="1"/>
  <c r="BO246" i="1" s="1"/>
  <c r="Y446" i="2"/>
  <c r="Y477" i="2" s="1"/>
  <c r="BO250" i="1" s="1"/>
  <c r="Y412" i="2"/>
  <c r="BO202" i="1" s="1"/>
  <c r="BO310" i="1" s="1"/>
  <c r="BO364" i="1" s="1"/>
  <c r="Z379" i="2"/>
  <c r="Z416" i="2" s="1"/>
  <c r="BT182" i="1" s="1"/>
  <c r="W375" i="2"/>
  <c r="W411" i="2" s="1"/>
  <c r="BE194" i="1" s="1"/>
  <c r="BE302" i="1" s="1"/>
  <c r="BE356" i="1" s="1"/>
  <c r="W372" i="2"/>
  <c r="V444" i="2"/>
  <c r="V472" i="2" s="1"/>
  <c r="AZ268" i="1" s="1"/>
  <c r="AZ322" i="1" s="1"/>
  <c r="AZ376" i="1" s="1"/>
  <c r="V372" i="2"/>
  <c r="Y390" i="2"/>
  <c r="Z370" i="2"/>
  <c r="Z408" i="2" s="1"/>
  <c r="BT193" i="1" s="1"/>
  <c r="AB391" i="2"/>
  <c r="U388" i="2"/>
  <c r="AJ377" i="2"/>
  <c r="AJ412" i="2" s="1"/>
  <c r="AJ384" i="2"/>
  <c r="AJ425" i="2" s="1"/>
  <c r="AK369" i="2"/>
  <c r="AK406" i="2" s="1"/>
  <c r="AK395" i="2"/>
  <c r="Z441" i="2"/>
  <c r="Z464" i="2" s="1"/>
  <c r="BT264" i="1" s="1"/>
  <c r="AA441" i="2"/>
  <c r="AA464" i="2" s="1"/>
  <c r="BY264" i="1" s="1"/>
  <c r="AB395" i="2"/>
  <c r="U384" i="2"/>
  <c r="U425" i="2" s="1"/>
  <c r="AU180" i="1" s="1"/>
  <c r="U439" i="2"/>
  <c r="U457" i="2" s="1"/>
  <c r="AU246" i="1" s="1"/>
  <c r="AU300" i="1" s="1"/>
  <c r="AU354" i="1" s="1"/>
  <c r="AJ375" i="2"/>
  <c r="AJ411" i="2" s="1"/>
  <c r="AK367" i="2"/>
  <c r="AK403" i="2" s="1"/>
  <c r="AK378" i="2"/>
  <c r="AK419" i="2" s="1"/>
  <c r="AK437" i="2"/>
  <c r="AJ438" i="2"/>
  <c r="AJ452" i="2" s="1"/>
  <c r="AA438" i="2"/>
  <c r="AA452" i="2" s="1"/>
  <c r="AJ445" i="2"/>
  <c r="AJ469" i="2" s="1"/>
  <c r="AB446" i="2"/>
  <c r="AB477" i="2" s="1"/>
  <c r="CD250" i="1" s="1"/>
  <c r="CD81" i="1" s="1"/>
  <c r="AA446" i="2"/>
  <c r="AA477" i="2" s="1"/>
  <c r="BY250" i="1" s="1"/>
  <c r="BY81" i="1" s="1"/>
  <c r="X374" i="2"/>
  <c r="X410" i="2" s="1"/>
  <c r="BJ208" i="1" s="1"/>
  <c r="BJ316" i="1" s="1"/>
  <c r="BJ370" i="1" s="1"/>
  <c r="U385" i="2"/>
  <c r="U423" i="2" s="1"/>
  <c r="AU215" i="1" s="1"/>
  <c r="AU323" i="1" s="1"/>
  <c r="AU377" i="1" s="1"/>
  <c r="U381" i="2"/>
  <c r="U418" i="2" s="1"/>
  <c r="AU212" i="1" s="1"/>
  <c r="U375" i="2"/>
  <c r="U411" i="2" s="1"/>
  <c r="AU194" i="1" s="1"/>
  <c r="AU302" i="1" s="1"/>
  <c r="AU356" i="1" s="1"/>
  <c r="U387" i="2"/>
  <c r="AB378" i="2"/>
  <c r="AB386" i="2"/>
  <c r="AA377" i="2"/>
  <c r="AA412" i="2" s="1"/>
  <c r="BY202" i="1" s="1"/>
  <c r="BY310" i="1" s="1"/>
  <c r="AA375" i="2"/>
  <c r="AA411" i="2" s="1"/>
  <c r="BY194" i="1" s="1"/>
  <c r="BY302" i="1" s="1"/>
  <c r="AA386" i="2"/>
  <c r="Z381" i="2"/>
  <c r="Z418" i="2" s="1"/>
  <c r="BT212" i="1" s="1"/>
  <c r="Z367" i="2"/>
  <c r="Z403" i="2" s="1"/>
  <c r="BT201" i="1" s="1"/>
  <c r="BT309" i="1" s="1"/>
  <c r="Z380" i="2"/>
  <c r="Z417" i="2" s="1"/>
  <c r="BT181" i="1" s="1"/>
  <c r="Y383" i="2"/>
  <c r="Y424" i="2" s="1"/>
  <c r="BO195" i="1" s="1"/>
  <c r="BO303" i="1" s="1"/>
  <c r="BO357" i="1" s="1"/>
  <c r="Y379" i="2"/>
  <c r="Y416" i="2" s="1"/>
  <c r="BO182" i="1" s="1"/>
  <c r="X377" i="2"/>
  <c r="X412" i="2" s="1"/>
  <c r="BJ202" i="1" s="1"/>
  <c r="BJ310" i="1" s="1"/>
  <c r="BJ364" i="1" s="1"/>
  <c r="AH444" i="2"/>
  <c r="AH472" i="2" s="1"/>
  <c r="X444" i="2"/>
  <c r="X472" i="2" s="1"/>
  <c r="BJ268" i="1" s="1"/>
  <c r="AK389" i="2"/>
  <c r="K392" i="2"/>
  <c r="K446" i="2"/>
  <c r="K477" i="2" s="1"/>
  <c r="E250" i="1" s="1"/>
  <c r="K378" i="2"/>
  <c r="R366" i="2"/>
  <c r="AH366" i="2"/>
  <c r="R367" i="2"/>
  <c r="R403" i="2" s="1"/>
  <c r="AF201" i="1" s="1"/>
  <c r="L368" i="2"/>
  <c r="L405" i="2" s="1"/>
  <c r="F221" i="1" s="1"/>
  <c r="S368" i="2"/>
  <c r="S405" i="2" s="1"/>
  <c r="AK221" i="1" s="1"/>
  <c r="R369" i="2"/>
  <c r="R406" i="2" s="1"/>
  <c r="AF207" i="1" s="1"/>
  <c r="AD369" i="2"/>
  <c r="AD406" i="2" s="1"/>
  <c r="K370" i="2"/>
  <c r="K408" i="2" s="1"/>
  <c r="Q370" i="2"/>
  <c r="Q408" i="2" s="1"/>
  <c r="AG370" i="2"/>
  <c r="AG408" i="2" s="1"/>
  <c r="O371" i="2"/>
  <c r="AE371" i="2"/>
  <c r="N372" i="2"/>
  <c r="AD372" i="2"/>
  <c r="M373" i="2"/>
  <c r="T373" i="2"/>
  <c r="AL373" i="2"/>
  <c r="T374" i="2"/>
  <c r="T410" i="2" s="1"/>
  <c r="AP208" i="1" s="1"/>
  <c r="AP316" i="1" s="1"/>
  <c r="AP370" i="1" s="1"/>
  <c r="AH375" i="2"/>
  <c r="AH411" i="2" s="1"/>
  <c r="R376" i="2"/>
  <c r="R420" i="2" s="1"/>
  <c r="AF222" i="1" s="1"/>
  <c r="AH376" i="2"/>
  <c r="AH420" i="2" s="1"/>
  <c r="S377" i="2"/>
  <c r="S412" i="2" s="1"/>
  <c r="AK202" i="1" s="1"/>
  <c r="AK310" i="1" s="1"/>
  <c r="AK364" i="1" s="1"/>
  <c r="AF377" i="2"/>
  <c r="AF412" i="2" s="1"/>
  <c r="M378" i="2"/>
  <c r="AC378" i="2"/>
  <c r="L379" i="2"/>
  <c r="L416" i="2" s="1"/>
  <c r="F182" i="1" s="1"/>
  <c r="F290" i="1" s="1"/>
  <c r="F344" i="1" s="1"/>
  <c r="AG379" i="2"/>
  <c r="AG416" i="2" s="1"/>
  <c r="O380" i="2"/>
  <c r="O417" i="2" s="1"/>
  <c r="Q181" i="1" s="1"/>
  <c r="S380" i="2"/>
  <c r="S417" i="2" s="1"/>
  <c r="AK181" i="1" s="1"/>
  <c r="AE380" i="2"/>
  <c r="AE417" i="2" s="1"/>
  <c r="L381" i="2"/>
  <c r="L418" i="2" s="1"/>
  <c r="F212" i="1" s="1"/>
  <c r="O381" i="2"/>
  <c r="O418" i="2" s="1"/>
  <c r="Q212" i="1" s="1"/>
  <c r="T381" i="2"/>
  <c r="T418" i="2" s="1"/>
  <c r="AP212" i="1" s="1"/>
  <c r="AE382" i="2"/>
  <c r="AE421" i="2" s="1"/>
  <c r="M383" i="2"/>
  <c r="M424" i="2" s="1"/>
  <c r="G195" i="1" s="1"/>
  <c r="G303" i="1" s="1"/>
  <c r="R383" i="2"/>
  <c r="R424" i="2" s="1"/>
  <c r="AF195" i="1" s="1"/>
  <c r="AG383" i="2"/>
  <c r="AG424" i="2" s="1"/>
  <c r="P384" i="2"/>
  <c r="P425" i="2" s="1"/>
  <c r="V180" i="1" s="1"/>
  <c r="AE384" i="2"/>
  <c r="AE425" i="2" s="1"/>
  <c r="AH384" i="2"/>
  <c r="AH425" i="2" s="1"/>
  <c r="AL384" i="2"/>
  <c r="AL425" i="2" s="1"/>
  <c r="M385" i="2"/>
  <c r="M423" i="2" s="1"/>
  <c r="G215" i="1" s="1"/>
  <c r="G323" i="1" s="1"/>
  <c r="P385" i="2"/>
  <c r="P423" i="2" s="1"/>
  <c r="V215" i="1" s="1"/>
  <c r="S385" i="2"/>
  <c r="S423" i="2" s="1"/>
  <c r="AK215" i="1" s="1"/>
  <c r="AK323" i="1" s="1"/>
  <c r="AK377" i="1" s="1"/>
  <c r="AF385" i="2"/>
  <c r="AF423" i="2" s="1"/>
  <c r="N386" i="2"/>
  <c r="AD386" i="2"/>
  <c r="M387" i="2"/>
  <c r="AC387" i="2"/>
  <c r="L388" i="2"/>
  <c r="T388" i="2"/>
  <c r="AL388" i="2"/>
  <c r="S389" i="2"/>
  <c r="AI389" i="2"/>
  <c r="R390" i="2"/>
  <c r="AH390" i="2"/>
  <c r="Q391" i="2"/>
  <c r="AG391" i="2"/>
  <c r="M394" i="2"/>
  <c r="M427" i="2" s="1"/>
  <c r="G196" i="1" s="1"/>
  <c r="AL394" i="2"/>
  <c r="AL427" i="2" s="1"/>
  <c r="AH395" i="2"/>
  <c r="AL396" i="2"/>
  <c r="AL428" i="2" s="1"/>
  <c r="L438" i="2"/>
  <c r="L452" i="2" s="1"/>
  <c r="L439" i="2"/>
  <c r="L457" i="2" s="1"/>
  <c r="F246" i="1" s="1"/>
  <c r="F300" i="1" s="1"/>
  <c r="F354" i="1" s="1"/>
  <c r="S439" i="2"/>
  <c r="S457" i="2" s="1"/>
  <c r="AK246" i="1" s="1"/>
  <c r="AK300" i="1" s="1"/>
  <c r="AK354" i="1" s="1"/>
  <c r="AE439" i="2"/>
  <c r="AE457" i="2" s="1"/>
  <c r="AL439" i="2"/>
  <c r="AL457" i="2" s="1"/>
  <c r="P441" i="2"/>
  <c r="P464" i="2" s="1"/>
  <c r="V264" i="1" s="1"/>
  <c r="T441" i="2"/>
  <c r="T464" i="2" s="1"/>
  <c r="AP264" i="1" s="1"/>
  <c r="P443" i="2"/>
  <c r="P468" i="2" s="1"/>
  <c r="V266" i="1" s="1"/>
  <c r="AE443" i="2"/>
  <c r="AE468" i="2" s="1"/>
  <c r="Q444" i="2"/>
  <c r="Q472" i="2" s="1"/>
  <c r="AA268" i="1" s="1"/>
  <c r="AI444" i="2"/>
  <c r="AI472" i="2" s="1"/>
  <c r="R445" i="2"/>
  <c r="R469" i="2" s="1"/>
  <c r="AF271" i="1" s="1"/>
  <c r="AH445" i="2"/>
  <c r="AH469" i="2" s="1"/>
  <c r="AG446" i="2"/>
  <c r="AG477" i="2" s="1"/>
  <c r="AJ444" i="2"/>
  <c r="AJ472" i="2" s="1"/>
  <c r="V371" i="2"/>
  <c r="V385" i="2"/>
  <c r="V423" i="2" s="1"/>
  <c r="AZ215" i="1" s="1"/>
  <c r="AZ323" i="1" s="1"/>
  <c r="AZ377" i="1" s="1"/>
  <c r="W386" i="2"/>
  <c r="W381" i="2"/>
  <c r="W418" i="2" s="1"/>
  <c r="BE212" i="1" s="1"/>
  <c r="X389" i="2"/>
  <c r="W377" i="2"/>
  <c r="W412" i="2" s="1"/>
  <c r="BE202" i="1" s="1"/>
  <c r="BE310" i="1" s="1"/>
  <c r="BE364" i="1" s="1"/>
  <c r="X388" i="2"/>
  <c r="X376" i="2"/>
  <c r="X420" i="2" s="1"/>
  <c r="BJ222" i="1" s="1"/>
  <c r="BJ330" i="1" s="1"/>
  <c r="BJ384" i="1" s="1"/>
  <c r="Y389" i="2"/>
  <c r="Y378" i="2"/>
  <c r="W387" i="2"/>
  <c r="V441" i="2"/>
  <c r="V464" i="2" s="1"/>
  <c r="AZ264" i="1" s="1"/>
  <c r="V386" i="2"/>
  <c r="Y369" i="2"/>
  <c r="Y406" i="2" s="1"/>
  <c r="BO207" i="1" s="1"/>
  <c r="Z438" i="2"/>
  <c r="Z452" i="2" s="1"/>
  <c r="AA373" i="2"/>
  <c r="AB367" i="2"/>
  <c r="AB403" i="2" s="1"/>
  <c r="CD201" i="1" s="1"/>
  <c r="CD309" i="1" s="1"/>
  <c r="M366" i="2"/>
  <c r="AJ370" i="2"/>
  <c r="AJ408" i="2" s="1"/>
  <c r="AJ395" i="2"/>
  <c r="AJ393" i="2"/>
  <c r="AK374" i="2"/>
  <c r="AK410" i="2" s="1"/>
  <c r="Y395" i="2"/>
  <c r="Z378" i="2"/>
  <c r="AB393" i="2"/>
  <c r="K366" i="2"/>
  <c r="U386" i="2"/>
  <c r="AJ367" i="2"/>
  <c r="AJ403" i="2" s="1"/>
  <c r="AJ388" i="2"/>
  <c r="AK375" i="2"/>
  <c r="AK411" i="2" s="1"/>
  <c r="AK388" i="2"/>
  <c r="K380" i="2"/>
  <c r="K417" i="2" s="1"/>
  <c r="E181" i="1" s="1"/>
  <c r="U366" i="2"/>
  <c r="U371" i="2"/>
  <c r="L375" i="2"/>
  <c r="L411" i="2" s="1"/>
  <c r="F194" i="1" s="1"/>
  <c r="AB443" i="2"/>
  <c r="AB468" i="2" s="1"/>
  <c r="CD266" i="1" s="1"/>
  <c r="CD97" i="1" s="1"/>
  <c r="AB372" i="2"/>
  <c r="AA368" i="2"/>
  <c r="AA405" i="2" s="1"/>
  <c r="BY221" i="1" s="1"/>
  <c r="AA381" i="2"/>
  <c r="AA418" i="2" s="1"/>
  <c r="BY212" i="1" s="1"/>
  <c r="AA366" i="2"/>
  <c r="AA372" i="2"/>
  <c r="AA384" i="2"/>
  <c r="AA425" i="2" s="1"/>
  <c r="BY180" i="1" s="1"/>
  <c r="Z392" i="2"/>
  <c r="K388" i="2"/>
  <c r="K371" i="2"/>
  <c r="K396" i="2"/>
  <c r="K428" i="2" s="1"/>
  <c r="E216" i="1" s="1"/>
  <c r="E324" i="1" s="1"/>
  <c r="E378" i="1" s="1"/>
  <c r="AL438" i="2"/>
  <c r="AL452" i="2" s="1"/>
  <c r="O366" i="2"/>
  <c r="AD366" i="2"/>
  <c r="L367" i="2"/>
  <c r="L403" i="2" s="1"/>
  <c r="F201" i="1" s="1"/>
  <c r="F309" i="1" s="1"/>
  <c r="F363" i="1" s="1"/>
  <c r="O367" i="2"/>
  <c r="O403" i="2" s="1"/>
  <c r="Q201" i="1" s="1"/>
  <c r="AD367" i="2"/>
  <c r="AD403" i="2" s="1"/>
  <c r="O368" i="2"/>
  <c r="O405" i="2" s="1"/>
  <c r="Q221" i="1" s="1"/>
  <c r="AD368" i="2"/>
  <c r="AD405" i="2" s="1"/>
  <c r="AG368" i="2"/>
  <c r="AG405" i="2" s="1"/>
  <c r="L369" i="2"/>
  <c r="L406" i="2" s="1"/>
  <c r="F207" i="1" s="1"/>
  <c r="O369" i="2"/>
  <c r="O406" i="2" s="1"/>
  <c r="Q207" i="1" s="1"/>
  <c r="N370" i="2"/>
  <c r="N408" i="2" s="1"/>
  <c r="AC370" i="2"/>
  <c r="AC408" i="2" s="1"/>
  <c r="AL370" i="2"/>
  <c r="AL408" i="2" s="1"/>
  <c r="S371" i="2"/>
  <c r="AI371" i="2"/>
  <c r="R372" i="2"/>
  <c r="AH372" i="2"/>
  <c r="Q373" i="2"/>
  <c r="AF373" i="2"/>
  <c r="N374" i="2"/>
  <c r="N410" i="2" s="1"/>
  <c r="L208" i="1" s="1"/>
  <c r="L316" i="1" s="1"/>
  <c r="L370" i="1" s="1"/>
  <c r="AE374" i="2"/>
  <c r="AE410" i="2" s="1"/>
  <c r="AH374" i="2"/>
  <c r="AH410" i="2" s="1"/>
  <c r="Q375" i="2"/>
  <c r="Q411" i="2" s="1"/>
  <c r="AA194" i="1" s="1"/>
  <c r="AE375" i="2"/>
  <c r="AE411" i="2" s="1"/>
  <c r="P376" i="2"/>
  <c r="P420" i="2" s="1"/>
  <c r="V222" i="1" s="1"/>
  <c r="AE376" i="2"/>
  <c r="AE420" i="2" s="1"/>
  <c r="P377" i="2"/>
  <c r="P412" i="2" s="1"/>
  <c r="V202" i="1" s="1"/>
  <c r="AI377" i="2"/>
  <c r="AI412" i="2" s="1"/>
  <c r="Q378" i="2"/>
  <c r="AG378" i="2"/>
  <c r="P379" i="2"/>
  <c r="P416" i="2" s="1"/>
  <c r="V182" i="1" s="1"/>
  <c r="L380" i="2"/>
  <c r="L417" i="2" s="1"/>
  <c r="F181" i="1" s="1"/>
  <c r="Q380" i="2"/>
  <c r="Q417" i="2" s="1"/>
  <c r="AA181" i="1" s="1"/>
  <c r="Q381" i="2"/>
  <c r="Q418" i="2" s="1"/>
  <c r="AA212" i="1" s="1"/>
  <c r="AE381" i="2"/>
  <c r="AE418" i="2" s="1"/>
  <c r="AL381" i="2"/>
  <c r="AL418" i="2" s="1"/>
  <c r="R382" i="2"/>
  <c r="R421" i="2" s="1"/>
  <c r="AF213" i="1" s="1"/>
  <c r="T382" i="2"/>
  <c r="T421" i="2" s="1"/>
  <c r="AP213" i="1" s="1"/>
  <c r="AP321" i="1" s="1"/>
  <c r="AP375" i="1" s="1"/>
  <c r="AL382" i="2"/>
  <c r="AL421" i="2" s="1"/>
  <c r="O383" i="2"/>
  <c r="O424" i="2" s="1"/>
  <c r="Q195" i="1" s="1"/>
  <c r="T383" i="2"/>
  <c r="T424" i="2" s="1"/>
  <c r="AP195" i="1" s="1"/>
  <c r="AP303" i="1" s="1"/>
  <c r="AP357" i="1" s="1"/>
  <c r="AD383" i="2"/>
  <c r="AD424" i="2" s="1"/>
  <c r="L384" i="2"/>
  <c r="L425" i="2" s="1"/>
  <c r="F180" i="1" s="1"/>
  <c r="T384" i="2"/>
  <c r="T425" i="2" s="1"/>
  <c r="AP180" i="1" s="1"/>
  <c r="AD385" i="2"/>
  <c r="AD423" i="2" s="1"/>
  <c r="AI385" i="2"/>
  <c r="AI423" i="2" s="1"/>
  <c r="R386" i="2"/>
  <c r="AH386" i="2"/>
  <c r="Q387" i="2"/>
  <c r="AG387" i="2"/>
  <c r="P388" i="2"/>
  <c r="AF388" i="2"/>
  <c r="O389" i="2"/>
  <c r="AE389" i="2"/>
  <c r="N390" i="2"/>
  <c r="AD390" i="2"/>
  <c r="M391" i="2"/>
  <c r="AC391" i="2"/>
  <c r="L392" i="2"/>
  <c r="T392" i="2"/>
  <c r="AL392" i="2"/>
  <c r="S393" i="2"/>
  <c r="AI393" i="2"/>
  <c r="R394" i="2"/>
  <c r="R427" i="2" s="1"/>
  <c r="AF196" i="1" s="1"/>
  <c r="AH394" i="2"/>
  <c r="AH427" i="2" s="1"/>
  <c r="S395" i="2"/>
  <c r="P392" i="2"/>
  <c r="O393" i="2"/>
  <c r="N394" i="2"/>
  <c r="N427" i="2" s="1"/>
  <c r="L196" i="1" s="1"/>
  <c r="AE394" i="2"/>
  <c r="AE427" i="2" s="1"/>
  <c r="AE395" i="2"/>
  <c r="N396" i="2"/>
  <c r="N428" i="2" s="1"/>
  <c r="L216" i="1" s="1"/>
  <c r="L324" i="1" s="1"/>
  <c r="L378" i="1" s="1"/>
  <c r="AE396" i="2"/>
  <c r="AE428" i="2" s="1"/>
  <c r="O437" i="2"/>
  <c r="AD437" i="2"/>
  <c r="Q438" i="2"/>
  <c r="Q452" i="2" s="1"/>
  <c r="M439" i="2"/>
  <c r="M457" i="2" s="1"/>
  <c r="G246" i="1" s="1"/>
  <c r="L441" i="2"/>
  <c r="L464" i="2" s="1"/>
  <c r="F264" i="1" s="1"/>
  <c r="AG441" i="2"/>
  <c r="AG464" i="2" s="1"/>
  <c r="AI441" i="2"/>
  <c r="AI464" i="2" s="1"/>
  <c r="L443" i="2"/>
  <c r="L468" i="2" s="1"/>
  <c r="F266" i="1" s="1"/>
  <c r="R443" i="2"/>
  <c r="R468" i="2" s="1"/>
  <c r="AF266" i="1" s="1"/>
  <c r="O444" i="2"/>
  <c r="O472" i="2" s="1"/>
  <c r="Q268" i="1" s="1"/>
  <c r="N445" i="2"/>
  <c r="N469" i="2" s="1"/>
  <c r="L271" i="1" s="1"/>
  <c r="P446" i="2"/>
  <c r="P477" i="2" s="1"/>
  <c r="V250" i="1" s="1"/>
  <c r="AH446" i="2"/>
  <c r="AH477" i="2" s="1"/>
  <c r="V389" i="2"/>
  <c r="V375" i="2"/>
  <c r="V411" i="2" s="1"/>
  <c r="AZ194" i="1" s="1"/>
  <c r="AZ302" i="1" s="1"/>
  <c r="AZ356" i="1" s="1"/>
  <c r="V368" i="2"/>
  <c r="V405" i="2" s="1"/>
  <c r="AZ221" i="1" s="1"/>
  <c r="W373" i="2"/>
  <c r="W376" i="2"/>
  <c r="W420" i="2" s="1"/>
  <c r="BE222" i="1" s="1"/>
  <c r="BE330" i="1" s="1"/>
  <c r="BE384" i="1" s="1"/>
  <c r="W366" i="2"/>
  <c r="W382" i="2"/>
  <c r="W421" i="2" s="1"/>
  <c r="BE213" i="1" s="1"/>
  <c r="BE321" i="1" s="1"/>
  <c r="BE375" i="1" s="1"/>
  <c r="W378" i="2"/>
  <c r="X437" i="2"/>
  <c r="X381" i="2"/>
  <c r="X418" i="2" s="1"/>
  <c r="BJ212" i="1" s="1"/>
  <c r="Y375" i="2"/>
  <c r="Y411" i="2" s="1"/>
  <c r="BO194" i="1" s="1"/>
  <c r="BO302" i="1" s="1"/>
  <c r="BO356" i="1" s="1"/>
  <c r="Y443" i="2"/>
  <c r="Y468" i="2" s="1"/>
  <c r="BO266" i="1" s="1"/>
  <c r="Y368" i="2"/>
  <c r="Y405" i="2" s="1"/>
  <c r="BO221" i="1" s="1"/>
  <c r="W393" i="2"/>
  <c r="V445" i="2"/>
  <c r="V469" i="2" s="1"/>
  <c r="AZ271" i="1" s="1"/>
  <c r="V377" i="2"/>
  <c r="V412" i="2" s="1"/>
  <c r="AZ202" i="1" s="1"/>
  <c r="AZ310" i="1" s="1"/>
  <c r="AZ364" i="1" s="1"/>
  <c r="V392" i="2"/>
  <c r="X378" i="2"/>
  <c r="Z387" i="2"/>
  <c r="Z443" i="2"/>
  <c r="Z468" i="2" s="1"/>
  <c r="BT266" i="1" s="1"/>
  <c r="BT97" i="1" s="1"/>
  <c r="AB373" i="2"/>
  <c r="AB377" i="2"/>
  <c r="AB412" i="2" s="1"/>
  <c r="CD202" i="1" s="1"/>
  <c r="CD310" i="1" s="1"/>
  <c r="M382" i="2"/>
  <c r="M421" i="2" s="1"/>
  <c r="G213" i="1" s="1"/>
  <c r="AJ372" i="2"/>
  <c r="AJ396" i="2"/>
  <c r="AJ428" i="2" s="1"/>
  <c r="X366" i="2"/>
  <c r="AA389" i="2"/>
  <c r="AB368" i="2"/>
  <c r="AB405" i="2" s="1"/>
  <c r="CD221" i="1" s="1"/>
  <c r="AJ368" i="2"/>
  <c r="AJ405" i="2" s="1"/>
  <c r="AJ383" i="2"/>
  <c r="AJ424" i="2" s="1"/>
  <c r="AJ437" i="2"/>
  <c r="AK376" i="2"/>
  <c r="AK420" i="2" s="1"/>
  <c r="AK441" i="2"/>
  <c r="AK464" i="2" s="1"/>
  <c r="Z445" i="2"/>
  <c r="Z469" i="2" s="1"/>
  <c r="BT271" i="1" s="1"/>
  <c r="U377" i="2"/>
  <c r="U412" i="2" s="1"/>
  <c r="AU202" i="1" s="1"/>
  <c r="AU310" i="1" s="1"/>
  <c r="AU364" i="1" s="1"/>
  <c r="U394" i="2"/>
  <c r="U427" i="2" s="1"/>
  <c r="AU196" i="1" s="1"/>
  <c r="L382" i="2"/>
  <c r="L421" i="2" s="1"/>
  <c r="F213" i="1" s="1"/>
  <c r="AB441" i="2"/>
  <c r="AB464" i="2" s="1"/>
  <c r="CD264" i="1" s="1"/>
  <c r="AB375" i="2"/>
  <c r="AB411" i="2" s="1"/>
  <c r="CD194" i="1" s="1"/>
  <c r="CD302" i="1" s="1"/>
  <c r="AB379" i="2"/>
  <c r="AB416" i="2" s="1"/>
  <c r="CD182" i="1" s="1"/>
  <c r="AB384" i="2"/>
  <c r="AB425" i="2" s="1"/>
  <c r="CD180" i="1" s="1"/>
  <c r="AA395" i="2"/>
  <c r="AA394" i="2"/>
  <c r="AA427" i="2" s="1"/>
  <c r="BY196" i="1" s="1"/>
  <c r="AA379" i="2"/>
  <c r="AA416" i="2" s="1"/>
  <c r="BY182" i="1" s="1"/>
  <c r="Z395" i="2"/>
  <c r="Z390" i="2"/>
  <c r="X382" i="2"/>
  <c r="X421" i="2" s="1"/>
  <c r="BJ213" i="1" s="1"/>
  <c r="BJ321" i="1" s="1"/>
  <c r="BJ375" i="1" s="1"/>
  <c r="AK382" i="2"/>
  <c r="AK421" i="2" s="1"/>
  <c r="AK391" i="2"/>
  <c r="K393" i="2"/>
  <c r="K394" i="2"/>
  <c r="K427" i="2" s="1"/>
  <c r="E196" i="1" s="1"/>
  <c r="K385" i="2"/>
  <c r="K423" i="2" s="1"/>
  <c r="E215" i="1" s="1"/>
  <c r="E323" i="1" s="1"/>
  <c r="E377" i="1" s="1"/>
  <c r="S366" i="2"/>
  <c r="AI366" i="2"/>
  <c r="P367" i="2"/>
  <c r="P403" i="2" s="1"/>
  <c r="V201" i="1" s="1"/>
  <c r="AE367" i="2"/>
  <c r="AE403" i="2" s="1"/>
  <c r="M368" i="2"/>
  <c r="M405" i="2" s="1"/>
  <c r="G221" i="1" s="1"/>
  <c r="AH368" i="2"/>
  <c r="AH405" i="2" s="1"/>
  <c r="S369" i="2"/>
  <c r="S406" i="2" s="1"/>
  <c r="AK207" i="1" s="1"/>
  <c r="AH369" i="2"/>
  <c r="AH406" i="2" s="1"/>
  <c r="O370" i="2"/>
  <c r="O408" i="2" s="1"/>
  <c r="AD370" i="2"/>
  <c r="AD408" i="2" s="1"/>
  <c r="L371" i="2"/>
  <c r="T371" i="2"/>
  <c r="AL371" i="2"/>
  <c r="S372" i="2"/>
  <c r="AI372" i="2"/>
  <c r="R373" i="2"/>
  <c r="AG373" i="2"/>
  <c r="O374" i="2"/>
  <c r="O410" i="2" s="1"/>
  <c r="Q208" i="1" s="1"/>
  <c r="AC375" i="2"/>
  <c r="AC411" i="2" s="1"/>
  <c r="L376" i="2"/>
  <c r="L420" i="2" s="1"/>
  <c r="F222" i="1" s="1"/>
  <c r="F330" i="1" s="1"/>
  <c r="F384" i="1" s="1"/>
  <c r="Q376" i="2"/>
  <c r="Q420" i="2" s="1"/>
  <c r="AA222" i="1" s="1"/>
  <c r="AC376" i="2"/>
  <c r="AC420" i="2" s="1"/>
  <c r="O377" i="2"/>
  <c r="O412" i="2" s="1"/>
  <c r="Q202" i="1" s="1"/>
  <c r="Q377" i="2"/>
  <c r="Q412" i="2" s="1"/>
  <c r="AA202" i="1" s="1"/>
  <c r="AD377" i="2"/>
  <c r="AD412" i="2" s="1"/>
  <c r="N378" i="2"/>
  <c r="AH378" i="2"/>
  <c r="T379" i="2"/>
  <c r="T416" i="2" s="1"/>
  <c r="AP182" i="1" s="1"/>
  <c r="AH379" i="2"/>
  <c r="AH416" i="2" s="1"/>
  <c r="AC380" i="2"/>
  <c r="AC417" i="2" s="1"/>
  <c r="AI380" i="2"/>
  <c r="AI417" i="2" s="1"/>
  <c r="P381" i="2"/>
  <c r="P418" i="2" s="1"/>
  <c r="V212" i="1" s="1"/>
  <c r="AH381" i="2"/>
  <c r="AH418" i="2" s="1"/>
  <c r="Q382" i="2"/>
  <c r="Q421" i="2" s="1"/>
  <c r="AA213" i="1" s="1"/>
  <c r="AH382" i="2"/>
  <c r="AH421" i="2" s="1"/>
  <c r="N383" i="2"/>
  <c r="N424" i="2" s="1"/>
  <c r="L195" i="1" s="1"/>
  <c r="L303" i="1" s="1"/>
  <c r="L357" i="1" s="1"/>
  <c r="P383" i="2"/>
  <c r="P424" i="2" s="1"/>
  <c r="V195" i="1" s="1"/>
  <c r="AH383" i="2"/>
  <c r="AH424" i="2" s="1"/>
  <c r="Q384" i="2"/>
  <c r="Q425" i="2" s="1"/>
  <c r="AA180" i="1" s="1"/>
  <c r="Q385" i="2"/>
  <c r="Q423" i="2" s="1"/>
  <c r="AA215" i="1" s="1"/>
  <c r="AL385" i="2"/>
  <c r="AL423" i="2" s="1"/>
  <c r="S386" i="2"/>
  <c r="AI386" i="2"/>
  <c r="R387" i="2"/>
  <c r="AH387" i="2"/>
  <c r="Q388" i="2"/>
  <c r="AG388" i="2"/>
  <c r="P389" i="2"/>
  <c r="AF389" i="2"/>
  <c r="O390" i="2"/>
  <c r="AE390" i="2"/>
  <c r="N391" i="2"/>
  <c r="AD391" i="2"/>
  <c r="M392" i="2"/>
  <c r="AC392" i="2"/>
  <c r="L393" i="2"/>
  <c r="T393" i="2"/>
  <c r="AL393" i="2"/>
  <c r="AC394" i="2"/>
  <c r="AC427" i="2" s="1"/>
  <c r="L395" i="2"/>
  <c r="T395" i="2"/>
  <c r="AL395" i="2"/>
  <c r="AC396" i="2"/>
  <c r="AC428" i="2" s="1"/>
  <c r="P437" i="2"/>
  <c r="AE437" i="2"/>
  <c r="O438" i="2"/>
  <c r="O452" i="2" s="1"/>
  <c r="AC438" i="2"/>
  <c r="AC452" i="2" s="1"/>
  <c r="P439" i="2"/>
  <c r="P457" i="2" s="1"/>
  <c r="V246" i="1" s="1"/>
  <c r="AF439" i="2"/>
  <c r="AF457" i="2" s="1"/>
  <c r="Q441" i="2"/>
  <c r="Q464" i="2" s="1"/>
  <c r="AA264" i="1" s="1"/>
  <c r="AE441" i="2"/>
  <c r="AE464" i="2" s="1"/>
  <c r="Q443" i="2"/>
  <c r="Q468" i="2" s="1"/>
  <c r="AA266" i="1" s="1"/>
  <c r="T443" i="2"/>
  <c r="T468" i="2" s="1"/>
  <c r="AP266" i="1" s="1"/>
  <c r="AI443" i="2"/>
  <c r="AI468" i="2" s="1"/>
  <c r="L444" i="2"/>
  <c r="L472" i="2" s="1"/>
  <c r="F268" i="1" s="1"/>
  <c r="F322" i="1" s="1"/>
  <c r="F376" i="1" s="1"/>
  <c r="P444" i="2"/>
  <c r="P472" i="2" s="1"/>
  <c r="V268" i="1" s="1"/>
  <c r="S444" i="2"/>
  <c r="S472" i="2" s="1"/>
  <c r="AK268" i="1" s="1"/>
  <c r="S445" i="2"/>
  <c r="S469" i="2" s="1"/>
  <c r="AK271" i="1" s="1"/>
  <c r="AL445" i="2"/>
  <c r="AL469" i="2" s="1"/>
  <c r="AF392" i="2"/>
  <c r="AE393" i="2"/>
  <c r="T394" i="2"/>
  <c r="T427" i="2" s="1"/>
  <c r="AP196" i="1" s="1"/>
  <c r="O395" i="2"/>
  <c r="AI395" i="2"/>
  <c r="Q396" i="2"/>
  <c r="Q428" i="2" s="1"/>
  <c r="AA216" i="1" s="1"/>
  <c r="L437" i="2"/>
  <c r="R437" i="2"/>
  <c r="AG437" i="2"/>
  <c r="AG438" i="2"/>
  <c r="AG452" i="2" s="1"/>
  <c r="AH439" i="2"/>
  <c r="AH457" i="2" s="1"/>
  <c r="S441" i="2"/>
  <c r="S464" i="2" s="1"/>
  <c r="AK264" i="1" s="1"/>
  <c r="AC443" i="2"/>
  <c r="AC468" i="2" s="1"/>
  <c r="AE444" i="2"/>
  <c r="AE472" i="2" s="1"/>
  <c r="N446" i="2"/>
  <c r="N477" i="2" s="1"/>
  <c r="L250" i="1" s="1"/>
  <c r="R446" i="2"/>
  <c r="R477" i="2" s="1"/>
  <c r="AF250" i="1" s="1"/>
  <c r="AE446" i="2"/>
  <c r="AE477" i="2" s="1"/>
  <c r="V384" i="2"/>
  <c r="V425" i="2" s="1"/>
  <c r="AZ180" i="1" s="1"/>
  <c r="V373" i="2"/>
  <c r="V446" i="2"/>
  <c r="V477" i="2" s="1"/>
  <c r="AZ250" i="1" s="1"/>
  <c r="W388" i="2"/>
  <c r="W383" i="2"/>
  <c r="W424" i="2" s="1"/>
  <c r="BE195" i="1" s="1"/>
  <c r="BE303" i="1" s="1"/>
  <c r="BE357" i="1" s="1"/>
  <c r="X391" i="2"/>
  <c r="W374" i="2"/>
  <c r="W410" i="2" s="1"/>
  <c r="BE208" i="1" s="1"/>
  <c r="BE316" i="1" s="1"/>
  <c r="W385" i="2"/>
  <c r="W423" i="2" s="1"/>
  <c r="BE215" i="1" s="1"/>
  <c r="BE323" i="1" s="1"/>
  <c r="BE377" i="1" s="1"/>
  <c r="X390" i="2"/>
  <c r="X367" i="2"/>
  <c r="X403" i="2" s="1"/>
  <c r="BJ201" i="1" s="1"/>
  <c r="BJ309" i="1" s="1"/>
  <c r="BJ363" i="1" s="1"/>
  <c r="Y391" i="2"/>
  <c r="W380" i="2"/>
  <c r="W417" i="2" s="1"/>
  <c r="BE181" i="1" s="1"/>
  <c r="V374" i="2"/>
  <c r="V410" i="2" s="1"/>
  <c r="AZ208" i="1" s="1"/>
  <c r="AZ316" i="1" s="1"/>
  <c r="AZ370" i="1" s="1"/>
  <c r="V383" i="2"/>
  <c r="V424" i="2" s="1"/>
  <c r="AZ195" i="1" s="1"/>
  <c r="AZ303" i="1" s="1"/>
  <c r="AZ357" i="1" s="1"/>
  <c r="X375" i="2"/>
  <c r="X411" i="2" s="1"/>
  <c r="BJ194" i="1" s="1"/>
  <c r="BJ302" i="1" s="1"/>
  <c r="BJ356" i="1" s="1"/>
  <c r="Y373" i="2"/>
  <c r="Z383" i="2"/>
  <c r="Z424" i="2" s="1"/>
  <c r="BT195" i="1" s="1"/>
  <c r="BT303" i="1" s="1"/>
  <c r="AA437" i="2"/>
  <c r="AB366" i="2"/>
  <c r="AB402" i="2" s="1"/>
  <c r="M375" i="2"/>
  <c r="M411" i="2" s="1"/>
  <c r="G194" i="1" s="1"/>
  <c r="U392" i="2"/>
  <c r="AJ379" i="2"/>
  <c r="AJ416" i="2" s="1"/>
  <c r="AJ382" i="2"/>
  <c r="AJ421" i="2" s="1"/>
  <c r="AJ387" i="2"/>
  <c r="AK377" i="2"/>
  <c r="AK412" i="2" s="1"/>
  <c r="Z389" i="2"/>
  <c r="AA385" i="2"/>
  <c r="AA423" i="2" s="1"/>
  <c r="BY215" i="1" s="1"/>
  <c r="BY323" i="1" s="1"/>
  <c r="AB371" i="2"/>
  <c r="U380" i="2"/>
  <c r="U417" i="2" s="1"/>
  <c r="AU181" i="1" s="1"/>
  <c r="U390" i="2"/>
  <c r="AJ380" i="2"/>
  <c r="AJ417" i="2" s="1"/>
  <c r="AJ390" i="2"/>
  <c r="AK368" i="2"/>
  <c r="AK405" i="2" s="1"/>
  <c r="AK390" i="2"/>
  <c r="U438" i="2"/>
  <c r="U452" i="2" s="1"/>
  <c r="U368" i="2"/>
  <c r="U405" i="2" s="1"/>
  <c r="AU221" i="1" s="1"/>
  <c r="U393" i="2"/>
  <c r="AB396" i="2"/>
  <c r="AB428" i="2" s="1"/>
  <c r="CD216" i="1" s="1"/>
  <c r="CD324" i="1" s="1"/>
  <c r="AB394" i="2"/>
  <c r="AB427" i="2" s="1"/>
  <c r="CD196" i="1" s="1"/>
  <c r="AB392" i="2"/>
  <c r="AA374" i="2"/>
  <c r="AA410" i="2" s="1"/>
  <c r="BY208" i="1" s="1"/>
  <c r="BY316" i="1" s="1"/>
  <c r="AA392" i="2"/>
  <c r="Z376" i="2"/>
  <c r="Z420" i="2" s="1"/>
  <c r="BT222" i="1" s="1"/>
  <c r="BT330" i="1" s="1"/>
  <c r="Z374" i="2"/>
  <c r="Z410" i="2" s="1"/>
  <c r="BT208" i="1" s="1"/>
  <c r="BT316" i="1" s="1"/>
  <c r="Z437" i="2"/>
  <c r="Y381" i="2"/>
  <c r="Y418" i="2" s="1"/>
  <c r="BO212" i="1" s="1"/>
  <c r="Y371" i="2"/>
  <c r="AF444" i="2"/>
  <c r="AF472" i="2" s="1"/>
  <c r="AK384" i="2"/>
  <c r="AK425" i="2" s="1"/>
  <c r="AK439" i="2"/>
  <c r="AK457" i="2" s="1"/>
  <c r="K389" i="2"/>
  <c r="K372" i="2"/>
  <c r="K438" i="2"/>
  <c r="K452" i="2" s="1"/>
  <c r="E254" i="1" s="1"/>
  <c r="E257" i="1" s="1"/>
  <c r="K374" i="2"/>
  <c r="K410" i="2" s="1"/>
  <c r="E208" i="1" s="1"/>
  <c r="E316" i="1" s="1"/>
  <c r="E370" i="1" s="1"/>
  <c r="K443" i="2"/>
  <c r="K468" i="2" s="1"/>
  <c r="E266" i="1" s="1"/>
  <c r="K395" i="2"/>
  <c r="AE366" i="2"/>
  <c r="M367" i="2"/>
  <c r="M403" i="2" s="1"/>
  <c r="G201" i="1" s="1"/>
  <c r="G309" i="1" s="1"/>
  <c r="S367" i="2"/>
  <c r="S403" i="2" s="1"/>
  <c r="AK201" i="1" s="1"/>
  <c r="AK309" i="1" s="1"/>
  <c r="AK363" i="1" s="1"/>
  <c r="AH367" i="2"/>
  <c r="AH403" i="2" s="1"/>
  <c r="P368" i="2"/>
  <c r="P405" i="2" s="1"/>
  <c r="V221" i="1" s="1"/>
  <c r="T368" i="2"/>
  <c r="T405" i="2" s="1"/>
  <c r="AP221" i="1" s="1"/>
  <c r="M369" i="2"/>
  <c r="M406" i="2" s="1"/>
  <c r="G207" i="1" s="1"/>
  <c r="AE369" i="2"/>
  <c r="AE406" i="2" s="1"/>
  <c r="L370" i="2"/>
  <c r="L408" i="2" s="1"/>
  <c r="R370" i="2"/>
  <c r="R408" i="2" s="1"/>
  <c r="AH370" i="2"/>
  <c r="AH408" i="2" s="1"/>
  <c r="P371" i="2"/>
  <c r="AF371" i="2"/>
  <c r="O372" i="2"/>
  <c r="AE372" i="2"/>
  <c r="N373" i="2"/>
  <c r="AC373" i="2"/>
  <c r="L374" i="2"/>
  <c r="L410" i="2" s="1"/>
  <c r="F208" i="1" s="1"/>
  <c r="F316" i="1" s="1"/>
  <c r="F370" i="1" s="1"/>
  <c r="AF374" i="2"/>
  <c r="AF410" i="2" s="1"/>
  <c r="N375" i="2"/>
  <c r="N411" i="2" s="1"/>
  <c r="L194" i="1" s="1"/>
  <c r="R375" i="2"/>
  <c r="R411" i="2" s="1"/>
  <c r="AF194" i="1" s="1"/>
  <c r="AF375" i="2"/>
  <c r="AF411" i="2" s="1"/>
  <c r="O376" i="2"/>
  <c r="O420" i="2" s="1"/>
  <c r="Q222" i="1" s="1"/>
  <c r="L377" i="2"/>
  <c r="L412" i="2" s="1"/>
  <c r="F202" i="1" s="1"/>
  <c r="F310" i="1" s="1"/>
  <c r="F364" i="1" s="1"/>
  <c r="T377" i="2"/>
  <c r="T412" i="2" s="1"/>
  <c r="AP202" i="1" s="1"/>
  <c r="AP310" i="1" s="1"/>
  <c r="AP364" i="1" s="1"/>
  <c r="AG377" i="2"/>
  <c r="AG412" i="2" s="1"/>
  <c r="R378" i="2"/>
  <c r="AD378" i="2"/>
  <c r="N379" i="2"/>
  <c r="N416" i="2" s="1"/>
  <c r="L182" i="1" s="1"/>
  <c r="L290" i="1" s="1"/>
  <c r="L344" i="1" s="1"/>
  <c r="Q379" i="2"/>
  <c r="Q416" i="2" s="1"/>
  <c r="AA182" i="1" s="1"/>
  <c r="AE379" i="2"/>
  <c r="AE416" i="2" s="1"/>
  <c r="M380" i="2"/>
  <c r="M417" i="2" s="1"/>
  <c r="G181" i="1" s="1"/>
  <c r="AF380" i="2"/>
  <c r="AF417" i="2" s="1"/>
  <c r="M381" i="2"/>
  <c r="M418" i="2" s="1"/>
  <c r="G212" i="1" s="1"/>
  <c r="R381" i="2"/>
  <c r="R418" i="2" s="1"/>
  <c r="AF212" i="1" s="1"/>
  <c r="AC381" i="2"/>
  <c r="AC418" i="2" s="1"/>
  <c r="N382" i="2"/>
  <c r="N421" i="2" s="1"/>
  <c r="L213" i="1" s="1"/>
  <c r="L321" i="1" s="1"/>
  <c r="L375" i="1" s="1"/>
  <c r="AC382" i="2"/>
  <c r="AC421" i="2" s="1"/>
  <c r="L383" i="2"/>
  <c r="L424" i="2" s="1"/>
  <c r="F195" i="1" s="1"/>
  <c r="F303" i="1" s="1"/>
  <c r="F357" i="1" s="1"/>
  <c r="AE383" i="2"/>
  <c r="AE424" i="2" s="1"/>
  <c r="M384" i="2"/>
  <c r="M425" i="2" s="1"/>
  <c r="G180" i="1" s="1"/>
  <c r="AF384" i="2"/>
  <c r="AF425" i="2" s="1"/>
  <c r="N385" i="2"/>
  <c r="N423" i="2" s="1"/>
  <c r="L215" i="1" s="1"/>
  <c r="L323" i="1" s="1"/>
  <c r="L377" i="1" s="1"/>
  <c r="T385" i="2"/>
  <c r="T423" i="2" s="1"/>
  <c r="AP215" i="1" s="1"/>
  <c r="AP323" i="1" s="1"/>
  <c r="AP377" i="1" s="1"/>
  <c r="O386" i="2"/>
  <c r="AE386" i="2"/>
  <c r="N387" i="2"/>
  <c r="AD387" i="2"/>
  <c r="M388" i="2"/>
  <c r="AC388" i="2"/>
  <c r="L389" i="2"/>
  <c r="T389" i="2"/>
  <c r="AL389" i="2"/>
  <c r="S390" i="2"/>
  <c r="AI390" i="2"/>
  <c r="R391" i="2"/>
  <c r="AH391" i="2"/>
  <c r="Q392" i="2"/>
  <c r="AG392" i="2"/>
  <c r="P393" i="2"/>
  <c r="AF393" i="2"/>
  <c r="O394" i="2"/>
  <c r="O427" i="2" s="1"/>
  <c r="Q196" i="1" s="1"/>
  <c r="AF394" i="2"/>
  <c r="AF427" i="2" s="1"/>
  <c r="P395" i="2"/>
  <c r="AF395" i="2"/>
  <c r="P396" i="2"/>
  <c r="P428" i="2" s="1"/>
  <c r="V216" i="1" s="1"/>
  <c r="AH396" i="2"/>
  <c r="AH428" i="2" s="1"/>
  <c r="M437" i="2"/>
  <c r="T437" i="2"/>
  <c r="AL437" i="2"/>
  <c r="S438" i="2"/>
  <c r="S452" i="2" s="1"/>
  <c r="AI438" i="2"/>
  <c r="AI452" i="2" s="1"/>
  <c r="AD439" i="2"/>
  <c r="AD457" i="2" s="1"/>
  <c r="AI439" i="2"/>
  <c r="AI457" i="2" s="1"/>
  <c r="N443" i="2"/>
  <c r="N468" i="2" s="1"/>
  <c r="L266" i="1" s="1"/>
  <c r="AF443" i="2"/>
  <c r="AF468" i="2" s="1"/>
  <c r="N444" i="2"/>
  <c r="N472" i="2" s="1"/>
  <c r="L268" i="1" s="1"/>
  <c r="L322" i="1" s="1"/>
  <c r="L376" i="1" s="1"/>
  <c r="L445" i="2"/>
  <c r="L469" i="2" s="1"/>
  <c r="F271" i="1" s="1"/>
  <c r="AF445" i="2"/>
  <c r="AF469" i="2" s="1"/>
  <c r="M446" i="2"/>
  <c r="M477" i="2" s="1"/>
  <c r="G250" i="1" s="1"/>
  <c r="Q446" i="2"/>
  <c r="Q477" i="2" s="1"/>
  <c r="AA250" i="1" s="1"/>
  <c r="AF446" i="2"/>
  <c r="AF477" i="2" s="1"/>
  <c r="V391" i="2"/>
  <c r="AC446" i="2"/>
  <c r="AC477" i="2" s="1"/>
  <c r="S443" i="2"/>
  <c r="S468" i="2" s="1"/>
  <c r="AK266" i="1" s="1"/>
  <c r="AK97" i="1" s="1"/>
  <c r="V396" i="2"/>
  <c r="V428" i="2" s="1"/>
  <c r="AZ216" i="1" s="1"/>
  <c r="AZ324" i="1" s="1"/>
  <c r="W390" i="2"/>
  <c r="W367" i="2"/>
  <c r="W403" i="2" s="1"/>
  <c r="BE201" i="1" s="1"/>
  <c r="X417" i="2"/>
  <c r="BJ181" i="1" s="1"/>
  <c r="W394" i="2"/>
  <c r="W427" i="2" s="1"/>
  <c r="BE196" i="1" s="1"/>
  <c r="W438" i="2"/>
  <c r="W452" i="2" s="1"/>
  <c r="BE254" i="1" s="1"/>
  <c r="BE257" i="1" s="1"/>
  <c r="W441" i="2"/>
  <c r="W464" i="2" s="1"/>
  <c r="BE264" i="1" s="1"/>
  <c r="X379" i="2"/>
  <c r="X416" i="2" s="1"/>
  <c r="BJ182" i="1" s="1"/>
  <c r="X370" i="2"/>
  <c r="X408" i="2" s="1"/>
  <c r="BJ193" i="1" s="1"/>
  <c r="X395" i="2"/>
  <c r="Y393" i="2"/>
  <c r="Y374" i="2"/>
  <c r="Y410" i="2" s="1"/>
  <c r="BO208" i="1" s="1"/>
  <c r="BO316" i="1" s="1"/>
  <c r="BO370" i="1" s="1"/>
  <c r="Y385" i="2"/>
  <c r="Y423" i="2" s="1"/>
  <c r="BO215" i="1" s="1"/>
  <c r="BO323" i="1" s="1"/>
  <c r="BO377" i="1" s="1"/>
  <c r="W391" i="2"/>
  <c r="V438" i="2"/>
  <c r="V452" i="2" s="1"/>
  <c r="AZ254" i="1" s="1"/>
  <c r="AZ257" i="1" s="1"/>
  <c r="V390" i="2"/>
  <c r="Z391" i="2"/>
  <c r="Z394" i="2"/>
  <c r="Z427" i="2" s="1"/>
  <c r="BT196" i="1" s="1"/>
  <c r="AA443" i="2"/>
  <c r="AA468" i="2" s="1"/>
  <c r="BY266" i="1" s="1"/>
  <c r="BY97" i="1" s="1"/>
  <c r="AB369" i="2"/>
  <c r="AB406" i="2" s="1"/>
  <c r="CD207" i="1" s="1"/>
  <c r="U395" i="2"/>
  <c r="AJ374" i="2"/>
  <c r="AJ410" i="2" s="1"/>
  <c r="AJ389" i="2"/>
  <c r="AK370" i="2"/>
  <c r="AK408" i="2" s="1"/>
  <c r="X443" i="2"/>
  <c r="X468" i="2" s="1"/>
  <c r="BJ266" i="1" s="1"/>
  <c r="Z393" i="2"/>
  <c r="AA393" i="2"/>
  <c r="AB381" i="2"/>
  <c r="AB418" i="2" s="1"/>
  <c r="CD212" i="1" s="1"/>
  <c r="K382" i="2"/>
  <c r="K421" i="2" s="1"/>
  <c r="E213" i="1" s="1"/>
  <c r="U441" i="2"/>
  <c r="U464" i="2" s="1"/>
  <c r="AU264" i="1" s="1"/>
  <c r="AJ378" i="2"/>
  <c r="AJ441" i="2"/>
  <c r="AJ464" i="2" s="1"/>
  <c r="AK371" i="2"/>
  <c r="AK383" i="2"/>
  <c r="AK424" i="2" s="1"/>
  <c r="AK443" i="2"/>
  <c r="AK468" i="2" s="1"/>
  <c r="AK438" i="2"/>
  <c r="AK452" i="2" s="1"/>
  <c r="X446" i="2"/>
  <c r="X477" i="2" s="1"/>
  <c r="BJ250" i="1" s="1"/>
  <c r="AA445" i="2"/>
  <c r="AA469" i="2" s="1"/>
  <c r="BY271" i="1" s="1"/>
  <c r="V380" i="2"/>
  <c r="V417" i="2" s="1"/>
  <c r="AZ181" i="1" s="1"/>
  <c r="U382" i="2"/>
  <c r="U421" i="2" s="1"/>
  <c r="AU213" i="1" s="1"/>
  <c r="AU321" i="1" s="1"/>
  <c r="AU375" i="1" s="1"/>
  <c r="U374" i="2"/>
  <c r="U410" i="2" s="1"/>
  <c r="AU208" i="1" s="1"/>
  <c r="AU316" i="1" s="1"/>
  <c r="AU370" i="1" s="1"/>
  <c r="U370" i="2"/>
  <c r="U408" i="2" s="1"/>
  <c r="AU193" i="1" s="1"/>
  <c r="AB445" i="2"/>
  <c r="AB469" i="2" s="1"/>
  <c r="CD271" i="1" s="1"/>
  <c r="AB390" i="2"/>
  <c r="AA382" i="2"/>
  <c r="AA421" i="2" s="1"/>
  <c r="BY213" i="1" s="1"/>
  <c r="BY321" i="1" s="1"/>
  <c r="AA370" i="2"/>
  <c r="AA408" i="2" s="1"/>
  <c r="BY193" i="1" s="1"/>
  <c r="AA380" i="2"/>
  <c r="AA417" i="2" s="1"/>
  <c r="BY181" i="1" s="1"/>
  <c r="Z446" i="2"/>
  <c r="Z477" i="2" s="1"/>
  <c r="BT250" i="1" s="1"/>
  <c r="BT81" i="1" s="1"/>
  <c r="Y376" i="2"/>
  <c r="Y420" i="2" s="1"/>
  <c r="BO222" i="1" s="1"/>
  <c r="BO330" i="1" s="1"/>
  <c r="BO384" i="1" s="1"/>
  <c r="Y367" i="2"/>
  <c r="Y403" i="2" s="1"/>
  <c r="BO201" i="1" s="1"/>
  <c r="BO309" i="1" s="1"/>
  <c r="BO363" i="1" s="1"/>
  <c r="Y392" i="2"/>
  <c r="AK444" i="2"/>
  <c r="AK472" i="2" s="1"/>
  <c r="AL444" i="2"/>
  <c r="AL472" i="2" s="1"/>
  <c r="K390" i="2"/>
  <c r="K369" i="2"/>
  <c r="K406" i="2" s="1"/>
  <c r="E207" i="1" s="1"/>
  <c r="K444" i="2"/>
  <c r="K472" i="2" s="1"/>
  <c r="E268" i="1" s="1"/>
  <c r="E322" i="1" s="1"/>
  <c r="E376" i="1" s="1"/>
  <c r="K376" i="2"/>
  <c r="K420" i="2" s="1"/>
  <c r="E222" i="1" s="1"/>
  <c r="E330" i="1" s="1"/>
  <c r="E384" i="1" s="1"/>
  <c r="T366" i="2"/>
  <c r="Q367" i="2"/>
  <c r="Q403" i="2" s="1"/>
  <c r="AA201" i="1" s="1"/>
  <c r="AF367" i="2"/>
  <c r="AF403" i="2" s="1"/>
  <c r="N368" i="2"/>
  <c r="N405" i="2" s="1"/>
  <c r="L221" i="1" s="1"/>
  <c r="AI368" i="2"/>
  <c r="AI405" i="2" s="1"/>
  <c r="T369" i="2"/>
  <c r="T406" i="2" s="1"/>
  <c r="AP207" i="1" s="1"/>
  <c r="AI369" i="2"/>
  <c r="AI406" i="2" s="1"/>
  <c r="S370" i="2"/>
  <c r="S408" i="2" s="1"/>
  <c r="AK193" i="1" s="1"/>
  <c r="AC371" i="2"/>
  <c r="L372" i="2"/>
  <c r="T372" i="2"/>
  <c r="AL372" i="2"/>
  <c r="S373" i="2"/>
  <c r="AH373" i="2"/>
  <c r="R374" i="2"/>
  <c r="R410" i="2" s="1"/>
  <c r="AF208" i="1" s="1"/>
  <c r="AI374" i="2"/>
  <c r="AI410" i="2" s="1"/>
  <c r="S375" i="2"/>
  <c r="S411" i="2" s="1"/>
  <c r="AK194" i="1" s="1"/>
  <c r="AK302" i="1" s="1"/>
  <c r="AK356" i="1" s="1"/>
  <c r="AI375" i="2"/>
  <c r="AI411" i="2" s="1"/>
  <c r="S376" i="2"/>
  <c r="S420" i="2" s="1"/>
  <c r="AK222" i="1" s="1"/>
  <c r="AK330" i="1" s="1"/>
  <c r="AK384" i="1" s="1"/>
  <c r="AF376" i="2"/>
  <c r="AF420" i="2" s="1"/>
  <c r="M377" i="2"/>
  <c r="M412" i="2" s="1"/>
  <c r="G202" i="1" s="1"/>
  <c r="G310" i="1" s="1"/>
  <c r="AE377" i="2"/>
  <c r="AE412" i="2" s="1"/>
  <c r="O378" i="2"/>
  <c r="AI378" i="2"/>
  <c r="O379" i="2"/>
  <c r="O416" i="2" s="1"/>
  <c r="Q182" i="1" s="1"/>
  <c r="AF379" i="2"/>
  <c r="AF416" i="2" s="1"/>
  <c r="P380" i="2"/>
  <c r="P417" i="2" s="1"/>
  <c r="V181" i="1" s="1"/>
  <c r="AG380" i="2"/>
  <c r="AG417" i="2" s="1"/>
  <c r="AF381" i="2"/>
  <c r="AF418" i="2" s="1"/>
  <c r="P382" i="2"/>
  <c r="P421" i="2" s="1"/>
  <c r="V213" i="1" s="1"/>
  <c r="AI383" i="2"/>
  <c r="AI424" i="2" s="1"/>
  <c r="R384" i="2"/>
  <c r="R425" i="2" s="1"/>
  <c r="AF180" i="1" s="1"/>
  <c r="AG384" i="2"/>
  <c r="AG425" i="2" s="1"/>
  <c r="L385" i="2"/>
  <c r="L423" i="2" s="1"/>
  <c r="F215" i="1" s="1"/>
  <c r="F323" i="1" s="1"/>
  <c r="F377" i="1" s="1"/>
  <c r="AE385" i="2"/>
  <c r="AE423" i="2" s="1"/>
  <c r="AG385" i="2"/>
  <c r="AG423" i="2" s="1"/>
  <c r="L386" i="2"/>
  <c r="T386" i="2"/>
  <c r="AL386" i="2"/>
  <c r="S387" i="2"/>
  <c r="AI387" i="2"/>
  <c r="R388" i="2"/>
  <c r="AH388" i="2"/>
  <c r="Q389" i="2"/>
  <c r="AG389" i="2"/>
  <c r="P390" i="2"/>
  <c r="AF390" i="2"/>
  <c r="O391" i="2"/>
  <c r="AE391" i="2"/>
  <c r="N392" i="2"/>
  <c r="AD392" i="2"/>
  <c r="M393" i="2"/>
  <c r="AC393" i="2"/>
  <c r="L394" i="2"/>
  <c r="L427" i="2" s="1"/>
  <c r="F196" i="1" s="1"/>
  <c r="P394" i="2"/>
  <c r="P427" i="2" s="1"/>
  <c r="V196" i="1" s="1"/>
  <c r="AD394" i="2"/>
  <c r="AD427" i="2" s="1"/>
  <c r="M395" i="2"/>
  <c r="AC395" i="2"/>
  <c r="L396" i="2"/>
  <c r="L428" i="2" s="1"/>
  <c r="F216" i="1" s="1"/>
  <c r="F324" i="1" s="1"/>
  <c r="F378" i="1" s="1"/>
  <c r="AF396" i="2"/>
  <c r="AF428" i="2" s="1"/>
  <c r="N437" i="2"/>
  <c r="S437" i="2"/>
  <c r="P438" i="2"/>
  <c r="P452" i="2" s="1"/>
  <c r="AE438" i="2"/>
  <c r="AE452" i="2" s="1"/>
  <c r="R439" i="2"/>
  <c r="R457" i="2" s="1"/>
  <c r="AF246" i="1" s="1"/>
  <c r="AG439" i="2"/>
  <c r="AG457" i="2" s="1"/>
  <c r="M441" i="2"/>
  <c r="M464" i="2" s="1"/>
  <c r="G264" i="1" s="1"/>
  <c r="O441" i="2"/>
  <c r="O464" i="2" s="1"/>
  <c r="Q264" i="1" s="1"/>
  <c r="AC441" i="2"/>
  <c r="AC464" i="2" s="1"/>
  <c r="AH441" i="2"/>
  <c r="AH464" i="2" s="1"/>
  <c r="M443" i="2"/>
  <c r="M468" i="2" s="1"/>
  <c r="G266" i="1" s="1"/>
  <c r="AG443" i="2"/>
  <c r="AG468" i="2" s="1"/>
  <c r="R444" i="2"/>
  <c r="R472" i="2" s="1"/>
  <c r="AF268" i="1" s="1"/>
  <c r="AG444" i="2"/>
  <c r="AG472" i="2" s="1"/>
  <c r="M445" i="2"/>
  <c r="M469" i="2" s="1"/>
  <c r="G271" i="1" s="1"/>
  <c r="O445" i="2"/>
  <c r="O469" i="2" s="1"/>
  <c r="Q271" i="1" s="1"/>
  <c r="T446" i="2"/>
  <c r="T477" i="2" s="1"/>
  <c r="AP250" i="1" s="1"/>
  <c r="V393" i="2"/>
  <c r="W392" i="2"/>
  <c r="W445" i="2"/>
  <c r="W469" i="2" s="1"/>
  <c r="BE271" i="1" s="1"/>
  <c r="X372" i="2"/>
  <c r="W444" i="2"/>
  <c r="W472" i="2" s="1"/>
  <c r="BE268" i="1" s="1"/>
  <c r="BE322" i="1" s="1"/>
  <c r="BE376" i="1" s="1"/>
  <c r="W368" i="2"/>
  <c r="W405" i="2" s="1"/>
  <c r="BE221" i="1" s="1"/>
  <c r="X371" i="2"/>
  <c r="X369" i="2"/>
  <c r="X406" i="2" s="1"/>
  <c r="BJ207" i="1" s="1"/>
  <c r="Y387" i="2"/>
  <c r="Y394" i="2"/>
  <c r="Y427" i="2" s="1"/>
  <c r="BO196" i="1" s="1"/>
  <c r="Y441" i="2"/>
  <c r="Y464" i="2" s="1"/>
  <c r="BO264" i="1" s="1"/>
  <c r="Z384" i="2"/>
  <c r="Z425" i="2" s="1"/>
  <c r="BT180" i="1" s="1"/>
  <c r="V376" i="2"/>
  <c r="V420" i="2" s="1"/>
  <c r="AZ222" i="1" s="1"/>
  <c r="AZ330" i="1" s="1"/>
  <c r="AZ384" i="1" s="1"/>
  <c r="V395" i="2"/>
  <c r="V369" i="2"/>
  <c r="V406" i="2" s="1"/>
  <c r="AZ207" i="1" s="1"/>
  <c r="V437" i="2"/>
  <c r="X396" i="2"/>
  <c r="X428" i="2" s="1"/>
  <c r="BJ216" i="1" s="1"/>
  <c r="BJ324" i="1" s="1"/>
  <c r="BJ378" i="1" s="1"/>
  <c r="Y370" i="2"/>
  <c r="Y408" i="2" s="1"/>
  <c r="BO193" i="1" s="1"/>
  <c r="Z373" i="2"/>
  <c r="AA391" i="2"/>
  <c r="AB439" i="2"/>
  <c r="AB457" i="2" s="1"/>
  <c r="CD246" i="1" s="1"/>
  <c r="U443" i="2"/>
  <c r="U468" i="2" s="1"/>
  <c r="AU266" i="1" s="1"/>
  <c r="AJ369" i="2"/>
  <c r="AJ406" i="2" s="1"/>
  <c r="AJ391" i="2"/>
  <c r="AK372" i="2"/>
  <c r="Z371" i="2"/>
  <c r="AA396" i="2"/>
  <c r="AA428" i="2" s="1"/>
  <c r="BY216" i="1" s="1"/>
  <c r="BY324" i="1" s="1"/>
  <c r="K375" i="2"/>
  <c r="K411" i="2" s="1"/>
  <c r="E194" i="1" s="1"/>
  <c r="AJ373" i="2"/>
  <c r="AJ386" i="2"/>
  <c r="AJ443" i="2"/>
  <c r="AJ468" i="2" s="1"/>
  <c r="AK386" i="2"/>
  <c r="K384" i="2"/>
  <c r="K425" i="2" s="1"/>
  <c r="E180" i="1" s="1"/>
  <c r="AJ446" i="2"/>
  <c r="AJ477" i="2" s="1"/>
  <c r="U376" i="2"/>
  <c r="U420" i="2" s="1"/>
  <c r="AU222" i="1" s="1"/>
  <c r="AU330" i="1" s="1"/>
  <c r="AU384" i="1" s="1"/>
  <c r="U396" i="2"/>
  <c r="U428" i="2" s="1"/>
  <c r="AU216" i="1" s="1"/>
  <c r="AU324" i="1" s="1"/>
  <c r="AU378" i="1" s="1"/>
  <c r="U369" i="2"/>
  <c r="U406" i="2" s="1"/>
  <c r="AU207" i="1" s="1"/>
  <c r="U383" i="2"/>
  <c r="U424" i="2" s="1"/>
  <c r="AU195" i="1" s="1"/>
  <c r="AU303" i="1" s="1"/>
  <c r="AU357" i="1" s="1"/>
  <c r="U373" i="2"/>
  <c r="L366" i="2"/>
  <c r="AB383" i="2"/>
  <c r="AB424" i="2" s="1"/>
  <c r="CD195" i="1" s="1"/>
  <c r="CD303" i="1" s="1"/>
  <c r="AB388" i="2"/>
  <c r="Z368" i="2"/>
  <c r="Z405" i="2" s="1"/>
  <c r="BT221" i="1" s="1"/>
  <c r="Z439" i="2"/>
  <c r="Z457" i="2" s="1"/>
  <c r="BT246" i="1" s="1"/>
  <c r="Z386" i="2"/>
  <c r="Y388" i="2"/>
  <c r="Z444" i="2"/>
  <c r="Z472" i="2" s="1"/>
  <c r="BT268" i="1" s="1"/>
  <c r="AK446" i="2"/>
  <c r="AK477" i="2" s="1"/>
  <c r="AI445" i="2"/>
  <c r="AI469" i="2" s="1"/>
  <c r="AH438" i="2"/>
  <c r="AH452" i="2" s="1"/>
  <c r="AK445" i="2"/>
  <c r="AK469" i="2" s="1"/>
  <c r="AC445" i="2"/>
  <c r="AC469" i="2" s="1"/>
  <c r="V367" i="2"/>
  <c r="V403" i="2" s="1"/>
  <c r="AZ201" i="1" s="1"/>
  <c r="AZ309" i="1" s="1"/>
  <c r="AZ363" i="1" s="1"/>
  <c r="W384" i="2"/>
  <c r="W425" i="2" s="1"/>
  <c r="BE180" i="1" s="1"/>
  <c r="BE288" i="1" s="1"/>
  <c r="W437" i="2"/>
  <c r="W395" i="2"/>
  <c r="X393" i="2"/>
  <c r="X392" i="2"/>
  <c r="Y417" i="2"/>
  <c r="BO181" i="1" s="1"/>
  <c r="Y382" i="2"/>
  <c r="Y421" i="2" s="1"/>
  <c r="BO213" i="1" s="1"/>
  <c r="BO321" i="1" s="1"/>
  <c r="BO375" i="1" s="1"/>
  <c r="W439" i="2"/>
  <c r="W457" i="2" s="1"/>
  <c r="BE246" i="1" s="1"/>
  <c r="BE300" i="1" s="1"/>
  <c r="BE354" i="1" s="1"/>
  <c r="V382" i="2"/>
  <c r="V421" i="2" s="1"/>
  <c r="AZ213" i="1" s="1"/>
  <c r="AZ321" i="1" s="1"/>
  <c r="AZ375" i="1" s="1"/>
  <c r="V370" i="2"/>
  <c r="V408" i="2" s="1"/>
  <c r="AZ193" i="1" s="1"/>
  <c r="X385" i="2"/>
  <c r="X423" i="2" s="1"/>
  <c r="BJ215" i="1" s="1"/>
  <c r="BJ323" i="1" s="1"/>
  <c r="BJ377" i="1" s="1"/>
  <c r="X368" i="2"/>
  <c r="X405" i="2" s="1"/>
  <c r="BJ221" i="1" s="1"/>
  <c r="Y437" i="2"/>
  <c r="Z375" i="2"/>
  <c r="Z411" i="2" s="1"/>
  <c r="BT194" i="1" s="1"/>
  <c r="BT302" i="1" s="1"/>
  <c r="AA387" i="2"/>
  <c r="AB437" i="2"/>
  <c r="U372" i="2"/>
  <c r="AJ366" i="2"/>
  <c r="AJ385" i="2"/>
  <c r="AJ423" i="2" s="1"/>
  <c r="AJ439" i="2"/>
  <c r="AJ457" i="2" s="1"/>
  <c r="AK379" i="2"/>
  <c r="AK416" i="2" s="1"/>
  <c r="Z385" i="2"/>
  <c r="Z423" i="2" s="1"/>
  <c r="BT215" i="1" s="1"/>
  <c r="BT323" i="1" s="1"/>
  <c r="AA378" i="2"/>
  <c r="AB376" i="2"/>
  <c r="AB420" i="2" s="1"/>
  <c r="CD222" i="1" s="1"/>
  <c r="CD330" i="1" s="1"/>
  <c r="U437" i="2"/>
  <c r="AJ371" i="2"/>
  <c r="AJ392" i="2"/>
  <c r="AK380" i="2"/>
  <c r="AK417" i="2" s="1"/>
  <c r="AK392" i="2"/>
  <c r="K379" i="2"/>
  <c r="K416" i="2" s="1"/>
  <c r="E182" i="1" s="1"/>
  <c r="E290" i="1" s="1"/>
  <c r="E344" i="1" s="1"/>
  <c r="U446" i="2"/>
  <c r="U477" i="2" s="1"/>
  <c r="AU250" i="1" s="1"/>
  <c r="AB374" i="2"/>
  <c r="AB410" i="2" s="1"/>
  <c r="CD208" i="1" s="1"/>
  <c r="CD316" i="1" s="1"/>
  <c r="Z369" i="2"/>
  <c r="Z406" i="2" s="1"/>
  <c r="BT207" i="1" s="1"/>
  <c r="BT315" i="1" s="1"/>
  <c r="U378" i="2"/>
  <c r="U367" i="2"/>
  <c r="U403" i="2" s="1"/>
  <c r="AU201" i="1" s="1"/>
  <c r="AU309" i="1" s="1"/>
  <c r="AU363" i="1" s="1"/>
  <c r="U391" i="2"/>
  <c r="AB385" i="2"/>
  <c r="AB423" i="2" s="1"/>
  <c r="CD215" i="1" s="1"/>
  <c r="CD323" i="1" s="1"/>
  <c r="AA376" i="2"/>
  <c r="AA420" i="2" s="1"/>
  <c r="BY222" i="1" s="1"/>
  <c r="BY330" i="1" s="1"/>
  <c r="AA367" i="2"/>
  <c r="AA403" i="2" s="1"/>
  <c r="BY201" i="1" s="1"/>
  <c r="BY309" i="1" s="1"/>
  <c r="AA390" i="2"/>
  <c r="Z382" i="2"/>
  <c r="Z421" i="2" s="1"/>
  <c r="BT213" i="1" s="1"/>
  <c r="BT321" i="1" s="1"/>
  <c r="Z388" i="2"/>
  <c r="X438" i="2"/>
  <c r="X452" i="2" s="1"/>
  <c r="AB444" i="2"/>
  <c r="AB472" i="2" s="1"/>
  <c r="CD268" i="1" s="1"/>
  <c r="AK393" i="2"/>
  <c r="K373" i="2"/>
  <c r="K441" i="2"/>
  <c r="K464" i="2" s="1"/>
  <c r="E264" i="1" s="1"/>
  <c r="K445" i="2"/>
  <c r="K469" i="2" s="1"/>
  <c r="E271" i="1" s="1"/>
  <c r="P366" i="2"/>
  <c r="AF366" i="2"/>
  <c r="T367" i="2"/>
  <c r="T403" i="2" s="1"/>
  <c r="AP201" i="1" s="1"/>
  <c r="AP309" i="1" s="1"/>
  <c r="AP363" i="1" s="1"/>
  <c r="AI367" i="2"/>
  <c r="AI403" i="2" s="1"/>
  <c r="Q368" i="2"/>
  <c r="Q405" i="2" s="1"/>
  <c r="AA221" i="1" s="1"/>
  <c r="AE368" i="2"/>
  <c r="AE405" i="2" s="1"/>
  <c r="P369" i="2"/>
  <c r="P406" i="2" s="1"/>
  <c r="V207" i="1" s="1"/>
  <c r="AF369" i="2"/>
  <c r="AF406" i="2" s="1"/>
  <c r="M370" i="2"/>
  <c r="M408" i="2" s="1"/>
  <c r="AE370" i="2"/>
  <c r="AE408" i="2" s="1"/>
  <c r="AI370" i="2"/>
  <c r="AI408" i="2" s="1"/>
  <c r="M371" i="2"/>
  <c r="Q371" i="2"/>
  <c r="AG371" i="2"/>
  <c r="P372" i="2"/>
  <c r="AF372" i="2"/>
  <c r="O373" i="2"/>
  <c r="AD373" i="2"/>
  <c r="P374" i="2"/>
  <c r="P410" i="2" s="1"/>
  <c r="V208" i="1" s="1"/>
  <c r="AC374" i="2"/>
  <c r="AC410" i="2" s="1"/>
  <c r="O375" i="2"/>
  <c r="O411" i="2" s="1"/>
  <c r="Q194" i="1" s="1"/>
  <c r="M376" i="2"/>
  <c r="M420" i="2" s="1"/>
  <c r="G222" i="1" s="1"/>
  <c r="G330" i="1" s="1"/>
  <c r="AI376" i="2"/>
  <c r="AI420" i="2" s="1"/>
  <c r="R377" i="2"/>
  <c r="R412" i="2" s="1"/>
  <c r="AF202" i="1" s="1"/>
  <c r="AL377" i="2"/>
  <c r="AL412" i="2" s="1"/>
  <c r="S378" i="2"/>
  <c r="AE378" i="2"/>
  <c r="M379" i="2"/>
  <c r="M416" i="2" s="1"/>
  <c r="G182" i="1" s="1"/>
  <c r="G290" i="1" s="1"/>
  <c r="S379" i="2"/>
  <c r="S416" i="2" s="1"/>
  <c r="AK182" i="1" s="1"/>
  <c r="AC379" i="2"/>
  <c r="AC416" i="2" s="1"/>
  <c r="AI379" i="2"/>
  <c r="AI416" i="2" s="1"/>
  <c r="T380" i="2"/>
  <c r="T417" i="2" s="1"/>
  <c r="AP181" i="1" s="1"/>
  <c r="AD380" i="2"/>
  <c r="AD417" i="2" s="1"/>
  <c r="AL380" i="2"/>
  <c r="AL417" i="2" s="1"/>
  <c r="AI381" i="2"/>
  <c r="AI418" i="2" s="1"/>
  <c r="AF382" i="2"/>
  <c r="AF421" i="2" s="1"/>
  <c r="AI382" i="2"/>
  <c r="AI421" i="2" s="1"/>
  <c r="Q383" i="2"/>
  <c r="Q424" i="2" s="1"/>
  <c r="AA195" i="1" s="1"/>
  <c r="AC383" i="2"/>
  <c r="AC424" i="2" s="1"/>
  <c r="N384" i="2"/>
  <c r="N425" i="2" s="1"/>
  <c r="L180" i="1" s="1"/>
  <c r="AC384" i="2"/>
  <c r="AC425" i="2" s="1"/>
  <c r="AI384" i="2"/>
  <c r="AI425" i="2" s="1"/>
  <c r="R385" i="2"/>
  <c r="R423" i="2" s="1"/>
  <c r="AF215" i="1" s="1"/>
  <c r="P386" i="2"/>
  <c r="AF386" i="2"/>
  <c r="O387" i="2"/>
  <c r="AE387" i="2"/>
  <c r="N388" i="2"/>
  <c r="AD388" i="2"/>
  <c r="M389" i="2"/>
  <c r="AC389" i="2"/>
  <c r="L390" i="2"/>
  <c r="T390" i="2"/>
  <c r="AL390" i="2"/>
  <c r="S391" i="2"/>
  <c r="AI391" i="2"/>
  <c r="R392" i="2"/>
  <c r="AH392" i="2"/>
  <c r="Q393" i="2"/>
  <c r="AG393" i="2"/>
  <c r="S394" i="2"/>
  <c r="S427" i="2" s="1"/>
  <c r="AK196" i="1" s="1"/>
  <c r="AI394" i="2"/>
  <c r="AI427" i="2" s="1"/>
  <c r="Q395" i="2"/>
  <c r="AG395" i="2"/>
  <c r="O396" i="2"/>
  <c r="O428" i="2" s="1"/>
  <c r="Q216" i="1" s="1"/>
  <c r="S396" i="2"/>
  <c r="S428" i="2" s="1"/>
  <c r="AK216" i="1" s="1"/>
  <c r="AK324" i="1" s="1"/>
  <c r="AK378" i="1" s="1"/>
  <c r="AI396" i="2"/>
  <c r="AI428" i="2" s="1"/>
  <c r="Q437" i="2"/>
  <c r="AC437" i="2"/>
  <c r="M438" i="2"/>
  <c r="M452" i="2" s="1"/>
  <c r="G254" i="1" s="1"/>
  <c r="R438" i="2"/>
  <c r="R452" i="2" s="1"/>
  <c r="T438" i="2"/>
  <c r="T452" i="2" s="1"/>
  <c r="N439" i="2"/>
  <c r="N457" i="2" s="1"/>
  <c r="L246" i="1" s="1"/>
  <c r="L300" i="1" s="1"/>
  <c r="L354" i="1" s="1"/>
  <c r="T439" i="2"/>
  <c r="T457" i="2" s="1"/>
  <c r="AP246" i="1" s="1"/>
  <c r="AP300" i="1" s="1"/>
  <c r="AP354" i="1" s="1"/>
  <c r="R441" i="2"/>
  <c r="R464" i="2" s="1"/>
  <c r="AF264" i="1" s="1"/>
  <c r="AF441" i="2"/>
  <c r="AF464" i="2" s="1"/>
  <c r="AL441" i="2"/>
  <c r="AL464" i="2" s="1"/>
  <c r="O443" i="2"/>
  <c r="O468" i="2" s="1"/>
  <c r="Q266" i="1" s="1"/>
  <c r="AD443" i="2"/>
  <c r="AD468" i="2" s="1"/>
  <c r="M444" i="2"/>
  <c r="M472" i="2" s="1"/>
  <c r="G268" i="1" s="1"/>
  <c r="T444" i="2"/>
  <c r="T472" i="2" s="1"/>
  <c r="AP268" i="1" s="1"/>
  <c r="T445" i="2"/>
  <c r="T469" i="2" s="1"/>
  <c r="AP271" i="1" s="1"/>
  <c r="AD446" i="2"/>
  <c r="AD477" i="2" s="1"/>
  <c r="AI446" i="2"/>
  <c r="AI477" i="2" s="1"/>
  <c r="U444" i="2"/>
  <c r="U472" i="2" s="1"/>
  <c r="AU268" i="1" s="1"/>
  <c r="V379" i="2"/>
  <c r="V416" i="2" s="1"/>
  <c r="AZ182" i="1" s="1"/>
  <c r="AZ290" i="1" s="1"/>
  <c r="AZ344" i="1" s="1"/>
  <c r="V394" i="2"/>
  <c r="V427" i="2" s="1"/>
  <c r="AZ196" i="1" s="1"/>
  <c r="V381" i="2"/>
  <c r="V418" i="2" s="1"/>
  <c r="AZ212" i="1" s="1"/>
  <c r="W379" i="2"/>
  <c r="W416" i="2" s="1"/>
  <c r="BE182" i="1" s="1"/>
  <c r="BE290" i="1" s="1"/>
  <c r="BE344" i="1" s="1"/>
  <c r="W370" i="2"/>
  <c r="W408" i="2" s="1"/>
  <c r="BE193" i="1" s="1"/>
  <c r="W369" i="2"/>
  <c r="W406" i="2" s="1"/>
  <c r="BE207" i="1" s="1"/>
  <c r="X387" i="2"/>
  <c r="W443" i="2"/>
  <c r="W468" i="2" s="1"/>
  <c r="W396" i="2"/>
  <c r="W428" i="2" s="1"/>
  <c r="BE216" i="1" s="1"/>
  <c r="BE324" i="1" s="1"/>
  <c r="X386" i="2"/>
  <c r="X383" i="2"/>
  <c r="X424" i="2" s="1"/>
  <c r="BJ195" i="1" s="1"/>
  <c r="BJ303" i="1" s="1"/>
  <c r="BJ357" i="1" s="1"/>
  <c r="X445" i="2"/>
  <c r="X469" i="2" s="1"/>
  <c r="BJ271" i="1" s="1"/>
  <c r="Y372" i="2"/>
  <c r="Y438" i="2"/>
  <c r="Y452" i="2" s="1"/>
  <c r="Y396" i="2"/>
  <c r="Y428" i="2" s="1"/>
  <c r="BO216" i="1" s="1"/>
  <c r="BO324" i="1" s="1"/>
  <c r="BO378" i="1" s="1"/>
  <c r="W389" i="2"/>
  <c r="V443" i="2"/>
  <c r="V468" i="2" s="1"/>
  <c r="V366" i="2"/>
  <c r="V388" i="2"/>
  <c r="Y384" i="2"/>
  <c r="Y425" i="2" s="1"/>
  <c r="BO180" i="1" s="1"/>
  <c r="Z366" i="2"/>
  <c r="AA439" i="2"/>
  <c r="AA457" i="2" s="1"/>
  <c r="BY246" i="1" s="1"/>
  <c r="AB387" i="2"/>
  <c r="AB382" i="2"/>
  <c r="AB421" i="2" s="1"/>
  <c r="CD213" i="1" s="1"/>
  <c r="CD321" i="1" s="1"/>
  <c r="U445" i="2"/>
  <c r="U469" i="2" s="1"/>
  <c r="AU271" i="1" s="1"/>
  <c r="AJ381" i="2"/>
  <c r="AJ418" i="2" s="1"/>
  <c r="AK366" i="2"/>
  <c r="AK381" i="2"/>
  <c r="AK418" i="2" s="1"/>
  <c r="Y386" i="2"/>
  <c r="Z396" i="2"/>
  <c r="Z428" i="2" s="1"/>
  <c r="BT216" i="1" s="1"/>
  <c r="BT324" i="1" s="1"/>
  <c r="AA371" i="2"/>
  <c r="AB389" i="2"/>
  <c r="U379" i="2"/>
  <c r="U416" i="2" s="1"/>
  <c r="AU182" i="1" s="1"/>
  <c r="AJ376" i="2"/>
  <c r="AJ420" i="2" s="1"/>
  <c r="AJ394" i="2"/>
  <c r="AJ427" i="2" s="1"/>
  <c r="AK373" i="2"/>
  <c r="AK394" i="2"/>
  <c r="AK427" i="2" s="1"/>
  <c r="K386" i="2"/>
  <c r="U389" i="2"/>
  <c r="AB438" i="2"/>
  <c r="AB452" i="2" s="1"/>
  <c r="AB370" i="2"/>
  <c r="AB408" i="2" s="1"/>
  <c r="CD193" i="1" s="1"/>
  <c r="AB380" i="2"/>
  <c r="AB417" i="2" s="1"/>
  <c r="CD181" i="1" s="1"/>
  <c r="AA369" i="2"/>
  <c r="AA406" i="2" s="1"/>
  <c r="BY207" i="1" s="1"/>
  <c r="AA383" i="2"/>
  <c r="AA424" i="2" s="1"/>
  <c r="BY195" i="1" s="1"/>
  <c r="BY303" i="1" s="1"/>
  <c r="AA388" i="2"/>
  <c r="Z377" i="2"/>
  <c r="Z412" i="2" s="1"/>
  <c r="BT202" i="1" s="1"/>
  <c r="BT310" i="1" s="1"/>
  <c r="Z372" i="2"/>
  <c r="Y445" i="2"/>
  <c r="Y469" i="2" s="1"/>
  <c r="BO271" i="1" s="1"/>
  <c r="X441" i="2"/>
  <c r="X464" i="2" s="1"/>
  <c r="BJ264" i="1" s="1"/>
  <c r="X394" i="2"/>
  <c r="X427" i="2" s="1"/>
  <c r="BJ196" i="1" s="1"/>
  <c r="AD444" i="2"/>
  <c r="AD472" i="2" s="1"/>
  <c r="AA444" i="2"/>
  <c r="AA472" i="2" s="1"/>
  <c r="BY268" i="1" s="1"/>
  <c r="AE445" i="2"/>
  <c r="AE469" i="2" s="1"/>
  <c r="AD438" i="2"/>
  <c r="AD452" i="2" s="1"/>
  <c r="AG445" i="2"/>
  <c r="AG469" i="2" s="1"/>
  <c r="AF438" i="2"/>
  <c r="AF452" i="2" s="1"/>
  <c r="AU373" i="1"/>
  <c r="E371" i="1"/>
  <c r="U210" i="1"/>
  <c r="AE210" i="1"/>
  <c r="P248" i="1"/>
  <c r="U265" i="1"/>
  <c r="U267" i="1"/>
  <c r="Z210" i="1"/>
  <c r="U269" i="1"/>
  <c r="Z249" i="1"/>
  <c r="G371" i="1"/>
  <c r="H317" i="1"/>
  <c r="I317" i="1" s="1"/>
  <c r="J317" i="1" s="1"/>
  <c r="K317" i="1" s="1"/>
  <c r="Z255" i="1"/>
  <c r="L373" i="1"/>
  <c r="S319" i="1"/>
  <c r="R319" i="1"/>
  <c r="V373" i="1"/>
  <c r="T319" i="1"/>
  <c r="AE267" i="1"/>
  <c r="P210" i="1"/>
  <c r="P267" i="1"/>
  <c r="Z267" i="1"/>
  <c r="H312" i="4"/>
  <c r="H309" i="4"/>
  <c r="J309" i="4"/>
  <c r="I309" i="4"/>
  <c r="K309" i="4"/>
  <c r="BP10" i="14"/>
  <c r="M314" i="4"/>
  <c r="AZ240" i="7"/>
  <c r="BJ23" i="6"/>
  <c r="BJ240" i="7" s="1"/>
  <c r="BP27" i="13"/>
  <c r="AZ86" i="6"/>
  <c r="CV12" i="6"/>
  <c r="CT12" i="6"/>
  <c r="CT10" i="6"/>
  <c r="CT11" i="6" s="1"/>
  <c r="CV10" i="6"/>
  <c r="AZ103" i="6"/>
  <c r="BP26" i="6"/>
  <c r="BP30" i="6"/>
  <c r="BP241" i="7" s="1"/>
  <c r="AP110" i="12"/>
  <c r="BV12" i="37"/>
  <c r="BY12" i="37" s="1"/>
  <c r="BV13" i="37"/>
  <c r="CJ68" i="69"/>
  <c r="W76" i="69"/>
  <c r="AL76" i="69"/>
  <c r="BV45" i="7"/>
  <c r="G373" i="1"/>
  <c r="H319" i="1"/>
  <c r="BS18" i="7"/>
  <c r="F59" i="12"/>
  <c r="F19" i="37"/>
  <c r="AG51" i="14"/>
  <c r="AG84" i="14"/>
  <c r="AG68" i="27"/>
  <c r="AF97" i="13"/>
  <c r="AF98" i="13" s="1"/>
  <c r="F32" i="14"/>
  <c r="F24" i="12" s="1"/>
  <c r="BS12" i="6"/>
  <c r="AX39" i="14"/>
  <c r="AX54" i="14"/>
  <c r="AX49" i="14"/>
  <c r="AZ177" i="13"/>
  <c r="BP54" i="13"/>
  <c r="BQ54" i="13" s="1"/>
  <c r="BR54" i="13" s="1"/>
  <c r="BS54" i="13" s="1"/>
  <c r="BT54" i="13" s="1"/>
  <c r="BL21" i="69"/>
  <c r="BQ45" i="7"/>
  <c r="BR281" i="7"/>
  <c r="BS281" i="7" s="1"/>
  <c r="CC18" i="7"/>
  <c r="BK49" i="13"/>
  <c r="BL49" i="13" s="1"/>
  <c r="AZ26" i="47"/>
  <c r="AZ147" i="13" s="1"/>
  <c r="AX142" i="14"/>
  <c r="AX143" i="14" s="1"/>
  <c r="AX97" i="13"/>
  <c r="AX98" i="13" s="1"/>
  <c r="AX100" i="13" s="1"/>
  <c r="AU215" i="9"/>
  <c r="BP13" i="13"/>
  <c r="BQ13" i="13" s="1"/>
  <c r="BR13" i="13" s="1"/>
  <c r="BS13" i="13" s="1"/>
  <c r="BT13" i="13" s="1"/>
  <c r="AZ40" i="47"/>
  <c r="AZ158" i="13" s="1"/>
  <c r="AZ68" i="37" s="1"/>
  <c r="BO13" i="37"/>
  <c r="BO138" i="27"/>
  <c r="D19" i="39"/>
  <c r="D26" i="39" s="1"/>
  <c r="CJ83" i="69"/>
  <c r="CJ75" i="69"/>
  <c r="AX36" i="37"/>
  <c r="AZ36" i="37" s="1"/>
  <c r="AZ120" i="12"/>
  <c r="BX43" i="7"/>
  <c r="H311" i="4"/>
  <c r="U76" i="69"/>
  <c r="V75" i="69"/>
  <c r="BR593" i="7"/>
  <c r="AV78" i="11"/>
  <c r="AW68" i="11" s="1"/>
  <c r="AW70" i="11"/>
  <c r="AW76" i="11" s="1"/>
  <c r="Z32" i="14"/>
  <c r="Z24" i="12" s="1"/>
  <c r="D357" i="7"/>
  <c r="D355" i="7"/>
  <c r="D353" i="7"/>
  <c r="D352" i="7"/>
  <c r="D354" i="7"/>
  <c r="D356" i="7"/>
  <c r="D360" i="7" s="1"/>
  <c r="AW32" i="14"/>
  <c r="AW24" i="12" s="1"/>
  <c r="AX102" i="14"/>
  <c r="BP43" i="13"/>
  <c r="BQ43" i="13" s="1"/>
  <c r="BR43" i="13" s="1"/>
  <c r="BS43" i="13" s="1"/>
  <c r="BT43" i="13" s="1"/>
  <c r="AP209" i="9"/>
  <c r="BT138" i="27"/>
  <c r="BT13" i="37"/>
  <c r="BZ12" i="37"/>
  <c r="BZ13" i="37"/>
  <c r="BJ72" i="69"/>
  <c r="CI61" i="69"/>
  <c r="CK61" i="69" s="1"/>
  <c r="CL61" i="69" s="1"/>
  <c r="N75" i="69"/>
  <c r="CL77" i="69"/>
  <c r="CC43" i="7"/>
  <c r="BW228" i="7"/>
  <c r="BX228" i="7" s="1"/>
  <c r="BQ594" i="7"/>
  <c r="G136" i="14"/>
  <c r="G138" i="14" s="1"/>
  <c r="AZ71" i="10"/>
  <c r="AZ77" i="10" s="1"/>
  <c r="BR10" i="14"/>
  <c r="BR27" i="13"/>
  <c r="BR26" i="6"/>
  <c r="AU12" i="11"/>
  <c r="AU13" i="11" s="1"/>
  <c r="AP127" i="12"/>
  <c r="AH136" i="14"/>
  <c r="AH138" i="14" s="1"/>
  <c r="AZ22" i="14"/>
  <c r="BO385" i="1" l="1"/>
  <c r="AU219" i="9"/>
  <c r="AG131" i="10"/>
  <c r="AG123" i="10" s="1"/>
  <c r="AA829" i="7"/>
  <c r="AH128" i="10"/>
  <c r="AH120" i="10" s="1"/>
  <c r="AG132" i="10"/>
  <c r="AG124" i="10" s="1"/>
  <c r="AA833" i="7"/>
  <c r="AA836" i="7" s="1"/>
  <c r="AA830" i="7"/>
  <c r="AP60" i="7"/>
  <c r="AH129" i="10"/>
  <c r="AH121" i="10" s="1"/>
  <c r="AU716" i="7"/>
  <c r="AI128" i="10"/>
  <c r="AI120" i="10" s="1"/>
  <c r="AJ128" i="10"/>
  <c r="AJ120" i="10" s="1"/>
  <c r="AA831" i="7"/>
  <c r="AA834" i="7"/>
  <c r="AU718" i="7"/>
  <c r="AU721" i="7" s="1"/>
  <c r="AU719" i="7"/>
  <c r="AU714" i="7"/>
  <c r="AG127" i="10"/>
  <c r="AG119" i="10" s="1"/>
  <c r="AI127" i="10"/>
  <c r="AI119" i="10" s="1"/>
  <c r="AO132" i="10"/>
  <c r="AO124" i="10" s="1"/>
  <c r="Z256" i="1"/>
  <c r="U242" i="1"/>
  <c r="U256" i="1"/>
  <c r="AE256" i="1"/>
  <c r="BJ199" i="4"/>
  <c r="AH465" i="3"/>
  <c r="AK445" i="7"/>
  <c r="AK461" i="7"/>
  <c r="AU545" i="7"/>
  <c r="AU557" i="7" s="1"/>
  <c r="AN172" i="1"/>
  <c r="AM172" i="1"/>
  <c r="E68" i="27"/>
  <c r="AK442" i="7"/>
  <c r="AK444" i="7"/>
  <c r="J91" i="13"/>
  <c r="AU165" i="4"/>
  <c r="AR172" i="1"/>
  <c r="AC84" i="14"/>
  <c r="AJ51" i="14"/>
  <c r="AU84" i="14"/>
  <c r="CL88" i="69"/>
  <c r="AS172" i="1"/>
  <c r="AF76" i="13"/>
  <c r="AF104" i="10" s="1"/>
  <c r="AC56" i="14"/>
  <c r="AC57" i="14" s="1"/>
  <c r="AU101" i="27"/>
  <c r="K114" i="13"/>
  <c r="AF78" i="13"/>
  <c r="AL142" i="14"/>
  <c r="AL143" i="14" s="1"/>
  <c r="AL146" i="14" s="1"/>
  <c r="AU60" i="7"/>
  <c r="AU61" i="7" s="1"/>
  <c r="AU551" i="7"/>
  <c r="AU552" i="7" s="1"/>
  <c r="AZ10" i="12"/>
  <c r="AZ25" i="12" s="1"/>
  <c r="AU116" i="10"/>
  <c r="AU51" i="14"/>
  <c r="P104" i="13"/>
  <c r="AF79" i="13"/>
  <c r="G104" i="13"/>
  <c r="G114" i="13" s="1"/>
  <c r="G115" i="13" s="1"/>
  <c r="AU819" i="7"/>
  <c r="AU833" i="7" s="1"/>
  <c r="AU836" i="7" s="1"/>
  <c r="M68" i="27"/>
  <c r="AI55" i="14"/>
  <c r="AI15" i="37" s="1"/>
  <c r="AI18" i="37" s="1"/>
  <c r="AF78" i="7"/>
  <c r="AU27" i="10"/>
  <c r="AQ134" i="14"/>
  <c r="T51" i="14"/>
  <c r="T68" i="27"/>
  <c r="AU874" i="7"/>
  <c r="O104" i="13"/>
  <c r="O114" i="13"/>
  <c r="AI146" i="14"/>
  <c r="S68" i="27"/>
  <c r="AK447" i="7"/>
  <c r="AK438" i="7"/>
  <c r="AK53" i="7"/>
  <c r="S91" i="13"/>
  <c r="AK448" i="7"/>
  <c r="Q59" i="12"/>
  <c r="AK446" i="7"/>
  <c r="AK450" i="7" s="1"/>
  <c r="N91" i="13"/>
  <c r="N114" i="13" s="1"/>
  <c r="G142" i="14"/>
  <c r="G143" i="14" s="1"/>
  <c r="C119" i="9"/>
  <c r="L12" i="12"/>
  <c r="AI51" i="14"/>
  <c r="AI84" i="14"/>
  <c r="AI68" i="27"/>
  <c r="I84" i="14"/>
  <c r="I68" i="27"/>
  <c r="S56" i="14"/>
  <c r="S57" i="14" s="1"/>
  <c r="T12" i="12"/>
  <c r="T15" i="12" s="1"/>
  <c r="CH18" i="10"/>
  <c r="S142" i="14"/>
  <c r="S143" i="14" s="1"/>
  <c r="S51" i="14"/>
  <c r="W112" i="14"/>
  <c r="AA12" i="12"/>
  <c r="AA14" i="12" s="1"/>
  <c r="AD85" i="14"/>
  <c r="S136" i="14"/>
  <c r="S138" i="14" s="1"/>
  <c r="BS136" i="7"/>
  <c r="BS43" i="7" s="1"/>
  <c r="AI131" i="10"/>
  <c r="AI123" i="10" s="1"/>
  <c r="AH132" i="10"/>
  <c r="AH124" i="10" s="1"/>
  <c r="AU23" i="10"/>
  <c r="X136" i="14"/>
  <c r="X138" i="14" s="1"/>
  <c r="E51" i="14"/>
  <c r="M56" i="14"/>
  <c r="M57" i="14" s="1"/>
  <c r="F51" i="14"/>
  <c r="AE12" i="12"/>
  <c r="AU26" i="10"/>
  <c r="AD91" i="13"/>
  <c r="AD104" i="13" s="1"/>
  <c r="AZ76" i="69"/>
  <c r="AH131" i="10"/>
  <c r="AH123" i="10" s="1"/>
  <c r="AJ132" i="10"/>
  <c r="AJ124" i="10" s="1"/>
  <c r="AU11" i="12"/>
  <c r="E56" i="14"/>
  <c r="E57" i="14" s="1"/>
  <c r="E84" i="14"/>
  <c r="M51" i="14"/>
  <c r="F84" i="14"/>
  <c r="F56" i="14"/>
  <c r="F57" i="14" s="1"/>
  <c r="AK65" i="37"/>
  <c r="F68" i="27"/>
  <c r="AA59" i="12"/>
  <c r="BS585" i="7"/>
  <c r="BS588" i="7" s="1"/>
  <c r="BS591" i="7" s="1"/>
  <c r="L91" i="13"/>
  <c r="L130" i="27" s="1"/>
  <c r="M89" i="13"/>
  <c r="M91" i="13" s="1"/>
  <c r="AK10" i="12"/>
  <c r="AK12" i="12" s="1"/>
  <c r="AU10" i="12"/>
  <c r="AZ211" i="12"/>
  <c r="D89" i="13"/>
  <c r="D91" i="13" s="1"/>
  <c r="D104" i="13" s="1"/>
  <c r="C91" i="13"/>
  <c r="C104" i="13" s="1"/>
  <c r="C105" i="13" s="1"/>
  <c r="Z89" i="13"/>
  <c r="Z91" i="13" s="1"/>
  <c r="Y91" i="13"/>
  <c r="Y114" i="13" s="1"/>
  <c r="AP10" i="12"/>
  <c r="AP25" i="12" s="1"/>
  <c r="AG130" i="10"/>
  <c r="AG122" i="10" s="1"/>
  <c r="AI130" i="10"/>
  <c r="AI122" i="10" s="1"/>
  <c r="AF533" i="7"/>
  <c r="AF540" i="7" s="1"/>
  <c r="BY12" i="69"/>
  <c r="BY15" i="69" s="1"/>
  <c r="BY18" i="69" s="1"/>
  <c r="BY23" i="69" s="1"/>
  <c r="BW52" i="27"/>
  <c r="BY52" i="27" s="1"/>
  <c r="D130" i="12"/>
  <c r="D116" i="12"/>
  <c r="AK142" i="7"/>
  <c r="AK176" i="7" s="1"/>
  <c r="CH134" i="7" s="1"/>
  <c r="CK134" i="7" s="1"/>
  <c r="CL134" i="7" s="1"/>
  <c r="AK175" i="7"/>
  <c r="P114" i="13"/>
  <c r="AP55" i="14"/>
  <c r="AP15" i="37" s="1"/>
  <c r="AP18" i="37" s="1"/>
  <c r="BF14" i="12"/>
  <c r="Q30" i="12"/>
  <c r="AP42" i="14"/>
  <c r="AV56" i="37"/>
  <c r="AZ56" i="37" s="1"/>
  <c r="AK56" i="14"/>
  <c r="AK57" i="14" s="1"/>
  <c r="AK50" i="14"/>
  <c r="AH100" i="13"/>
  <c r="AH42" i="14"/>
  <c r="AH56" i="14" s="1"/>
  <c r="AH57" i="14" s="1"/>
  <c r="AH50" i="14"/>
  <c r="AH55" i="14"/>
  <c r="AH15" i="37" s="1"/>
  <c r="AH18" i="37" s="1"/>
  <c r="AK55" i="14"/>
  <c r="AK15" i="37" s="1"/>
  <c r="AK18" i="37" s="1"/>
  <c r="AK54" i="14"/>
  <c r="AI42" i="14"/>
  <c r="AI56" i="14" s="1"/>
  <c r="AI57" i="14" s="1"/>
  <c r="AN56" i="14"/>
  <c r="AN57" i="14" s="1"/>
  <c r="J141" i="14"/>
  <c r="J142" i="14" s="1"/>
  <c r="J143" i="14" s="1"/>
  <c r="AL132" i="10"/>
  <c r="AL124" i="10" s="1"/>
  <c r="AR130" i="10"/>
  <c r="AR122" i="10" s="1"/>
  <c r="AK460" i="7"/>
  <c r="Q104" i="13"/>
  <c r="Q105" i="13" s="1"/>
  <c r="G129" i="27"/>
  <c r="G131" i="27" s="1"/>
  <c r="V77" i="7"/>
  <c r="AF79" i="7"/>
  <c r="AF82" i="7"/>
  <c r="AF80" i="7"/>
  <c r="D28" i="39"/>
  <c r="L54" i="37"/>
  <c r="L56" i="37" s="1"/>
  <c r="J56" i="37"/>
  <c r="BN15" i="69"/>
  <c r="AV141" i="14"/>
  <c r="AV142" i="14" s="1"/>
  <c r="AV143" i="14" s="1"/>
  <c r="AU54" i="37"/>
  <c r="AU134" i="14" s="1"/>
  <c r="AU136" i="14" s="1"/>
  <c r="AU138" i="14" s="1"/>
  <c r="AN146" i="14"/>
  <c r="S29" i="12"/>
  <c r="S26" i="12"/>
  <c r="BM27" i="69"/>
  <c r="BM28" i="69" s="1"/>
  <c r="CH274" i="7"/>
  <c r="CK274" i="7" s="1"/>
  <c r="CL274" i="7" s="1"/>
  <c r="CH276" i="7"/>
  <c r="CK276" i="7" s="1"/>
  <c r="CL276" i="7" s="1"/>
  <c r="CH278" i="7"/>
  <c r="CK278" i="7" s="1"/>
  <c r="CL278" i="7" s="1"/>
  <c r="CH275" i="7"/>
  <c r="CK275" i="7" s="1"/>
  <c r="CL275" i="7" s="1"/>
  <c r="CH279" i="7"/>
  <c r="CK279" i="7" s="1"/>
  <c r="CL279" i="7" s="1"/>
  <c r="CH273" i="7"/>
  <c r="CK273" i="7" s="1"/>
  <c r="CL273" i="7" s="1"/>
  <c r="CH277" i="7"/>
  <c r="CK277" i="7" s="1"/>
  <c r="CL277" i="7" s="1"/>
  <c r="CH272" i="7"/>
  <c r="CK272" i="7" s="1"/>
  <c r="CL272" i="7" s="1"/>
  <c r="Q64" i="7"/>
  <c r="V81" i="7"/>
  <c r="V46" i="7"/>
  <c r="V84" i="7" s="1"/>
  <c r="CB862" i="7"/>
  <c r="L82" i="7"/>
  <c r="AK67" i="7"/>
  <c r="AA67" i="7"/>
  <c r="AQ130" i="10"/>
  <c r="AQ122" i="10" s="1"/>
  <c r="BR527" i="7"/>
  <c r="BM73" i="14"/>
  <c r="BE15" i="69"/>
  <c r="BE18" i="69" s="1"/>
  <c r="BE23" i="69" s="1"/>
  <c r="BE22" i="69"/>
  <c r="AZ75" i="69"/>
  <c r="BE28" i="69"/>
  <c r="O26" i="12"/>
  <c r="O30" i="12"/>
  <c r="CG48" i="12" s="1"/>
  <c r="AQ56" i="37"/>
  <c r="AU56" i="37" s="1"/>
  <c r="BR11" i="27"/>
  <c r="BR27" i="69"/>
  <c r="BR28" i="69" s="1"/>
  <c r="CL68" i="69"/>
  <c r="T498" i="3"/>
  <c r="AP253" i="4" s="1"/>
  <c r="BP52" i="27"/>
  <c r="BV73" i="14"/>
  <c r="BV27" i="69"/>
  <c r="BV28" i="69" s="1"/>
  <c r="AF142" i="7"/>
  <c r="AF176" i="7" s="1"/>
  <c r="CH133" i="7" s="1"/>
  <c r="CK133" i="7" s="1"/>
  <c r="CL133" i="7" s="1"/>
  <c r="CH166" i="7"/>
  <c r="V175" i="7"/>
  <c r="CH164" i="7"/>
  <c r="AA142" i="7"/>
  <c r="AA176" i="7" s="1"/>
  <c r="CH132" i="7" s="1"/>
  <c r="CK132" i="7" s="1"/>
  <c r="CL132" i="7" s="1"/>
  <c r="CH165" i="7"/>
  <c r="CI315" i="7"/>
  <c r="CI314" i="7"/>
  <c r="CI313" i="7"/>
  <c r="CI312" i="7"/>
  <c r="CI311" i="7"/>
  <c r="CI310" i="7"/>
  <c r="CI309" i="7"/>
  <c r="CI308" i="7"/>
  <c r="CI307" i="7"/>
  <c r="CI306" i="7"/>
  <c r="CI305" i="7"/>
  <c r="CH315" i="7"/>
  <c r="CH314" i="7"/>
  <c r="CH312" i="7"/>
  <c r="CH311" i="7"/>
  <c r="CH310" i="7"/>
  <c r="CH309" i="7"/>
  <c r="CH308" i="7"/>
  <c r="CH307" i="7"/>
  <c r="CH306" i="7"/>
  <c r="CH305" i="7"/>
  <c r="AP142" i="7"/>
  <c r="AP176" i="7" s="1"/>
  <c r="CH135" i="7" s="1"/>
  <c r="CK135" i="7" s="1"/>
  <c r="CL135" i="7" s="1"/>
  <c r="CH168" i="7"/>
  <c r="CH257" i="7"/>
  <c r="CH259" i="7"/>
  <c r="AO26" i="12"/>
  <c r="AH26" i="12"/>
  <c r="AM132" i="10"/>
  <c r="AM124" i="10" s="1"/>
  <c r="AF46" i="7"/>
  <c r="AP556" i="7"/>
  <c r="AP559" i="7"/>
  <c r="AP562" i="7" s="1"/>
  <c r="BX261" i="7"/>
  <c r="AP555" i="7"/>
  <c r="L81" i="7"/>
  <c r="AF70" i="7"/>
  <c r="AF81" i="7"/>
  <c r="AF61" i="7"/>
  <c r="AU75" i="69"/>
  <c r="AP75" i="69"/>
  <c r="V127" i="13"/>
  <c r="BR25" i="6"/>
  <c r="BR877" i="7" s="1"/>
  <c r="BP25" i="6"/>
  <c r="BP487" i="7" s="1"/>
  <c r="BJ219" i="9"/>
  <c r="BJ215" i="9"/>
  <c r="C131" i="9"/>
  <c r="L26" i="12"/>
  <c r="Z242" i="1"/>
  <c r="E307" i="4"/>
  <c r="E361" i="4" s="1"/>
  <c r="BT307" i="4"/>
  <c r="F307" i="4"/>
  <c r="F361" i="4" s="1"/>
  <c r="P199" i="4"/>
  <c r="M199" i="4"/>
  <c r="N199" i="4"/>
  <c r="O199" i="4"/>
  <c r="BA199" i="4"/>
  <c r="BB199" i="4"/>
  <c r="BC199" i="4"/>
  <c r="BD199" i="4"/>
  <c r="AO199" i="4"/>
  <c r="AL199" i="4"/>
  <c r="AM199" i="4"/>
  <c r="AN199" i="4"/>
  <c r="CB199" i="4"/>
  <c r="CC199" i="4"/>
  <c r="BZ199" i="4"/>
  <c r="CA199" i="4"/>
  <c r="X199" i="4"/>
  <c r="W199" i="4"/>
  <c r="Z199" i="4"/>
  <c r="Y199" i="4"/>
  <c r="BM199" i="4"/>
  <c r="BL199" i="4"/>
  <c r="BK199" i="4"/>
  <c r="BN199" i="4"/>
  <c r="K199" i="4"/>
  <c r="H199" i="4"/>
  <c r="I199" i="4"/>
  <c r="J199" i="4"/>
  <c r="AY199" i="4"/>
  <c r="AW199" i="4"/>
  <c r="AX199" i="4"/>
  <c r="AV199" i="4"/>
  <c r="AJ199" i="4"/>
  <c r="AG199" i="4"/>
  <c r="AH199" i="4"/>
  <c r="AI199" i="4"/>
  <c r="BW199" i="4"/>
  <c r="BU199" i="4"/>
  <c r="BV199" i="4"/>
  <c r="BX199" i="4"/>
  <c r="U199" i="4"/>
  <c r="R199" i="4"/>
  <c r="S199" i="4"/>
  <c r="T199" i="4"/>
  <c r="BH199" i="4"/>
  <c r="BI199" i="4"/>
  <c r="BF199" i="4"/>
  <c r="BG199" i="4"/>
  <c r="AS199" i="4"/>
  <c r="AQ199" i="4"/>
  <c r="AT199" i="4"/>
  <c r="AR199" i="4"/>
  <c r="AE199" i="4"/>
  <c r="AD199" i="4"/>
  <c r="AC199" i="4"/>
  <c r="AB199" i="4"/>
  <c r="BR199" i="4"/>
  <c r="BP199" i="4"/>
  <c r="BQ199" i="4"/>
  <c r="BS199" i="4"/>
  <c r="AU76" i="69"/>
  <c r="AA76" i="69"/>
  <c r="AA75" i="69"/>
  <c r="AT130" i="10"/>
  <c r="AT122" i="10" s="1"/>
  <c r="AT143" i="14"/>
  <c r="AT146" i="14" s="1"/>
  <c r="K104" i="13"/>
  <c r="AA24" i="12"/>
  <c r="AA193" i="12"/>
  <c r="AA198" i="12" s="1"/>
  <c r="L198" i="12"/>
  <c r="V24" i="12"/>
  <c r="V193" i="12"/>
  <c r="V198" i="12" s="1"/>
  <c r="AF24" i="12"/>
  <c r="AF26" i="12" s="1"/>
  <c r="AF193" i="12"/>
  <c r="AF198" i="12" s="1"/>
  <c r="AP193" i="12"/>
  <c r="AP198" i="12" s="1"/>
  <c r="AP24" i="12"/>
  <c r="BT112" i="9"/>
  <c r="BY180" i="9" s="1"/>
  <c r="BY107" i="27" s="1"/>
  <c r="AU266" i="7"/>
  <c r="AP77" i="7"/>
  <c r="BV261" i="7"/>
  <c r="L46" i="7"/>
  <c r="CH69" i="7" s="1"/>
  <c r="L80" i="7"/>
  <c r="AU69" i="7"/>
  <c r="AA46" i="7"/>
  <c r="AP460" i="7"/>
  <c r="AK465" i="3"/>
  <c r="M465" i="3"/>
  <c r="G210" i="4" s="1"/>
  <c r="G211" i="4" s="1"/>
  <c r="Y474" i="3"/>
  <c r="BO209" i="4" s="1"/>
  <c r="P242" i="1"/>
  <c r="G289" i="1"/>
  <c r="G343" i="1" s="1"/>
  <c r="S465" i="3"/>
  <c r="AK210" i="4" s="1"/>
  <c r="AH210" i="4" s="1"/>
  <c r="BZ11" i="27"/>
  <c r="BZ73" i="14"/>
  <c r="AH29" i="12"/>
  <c r="AM100" i="13"/>
  <c r="AO30" i="12"/>
  <c r="P26" i="12"/>
  <c r="CI91" i="10"/>
  <c r="BG25" i="12"/>
  <c r="BG12" i="12"/>
  <c r="T465" i="3"/>
  <c r="AP210" i="4" s="1"/>
  <c r="AM210" i="4" s="1"/>
  <c r="N465" i="3"/>
  <c r="L210" i="4" s="1"/>
  <c r="I210" i="4" s="1"/>
  <c r="AA11" i="7"/>
  <c r="AA94" i="27" s="1"/>
  <c r="AA95" i="27" s="1"/>
  <c r="CI39" i="7"/>
  <c r="AK81" i="7"/>
  <c r="AK77" i="7"/>
  <c r="L67" i="7"/>
  <c r="AT127" i="10"/>
  <c r="AT119" i="10" s="1"/>
  <c r="AF901" i="7"/>
  <c r="AA866" i="7"/>
  <c r="AA869" i="7" s="1"/>
  <c r="AK78" i="7"/>
  <c r="AN128" i="10"/>
  <c r="AN120" i="10" s="1"/>
  <c r="AA70" i="7"/>
  <c r="AU85" i="47"/>
  <c r="AU100" i="47" s="1"/>
  <c r="AQ100" i="47"/>
  <c r="AG100" i="47"/>
  <c r="R14" i="12"/>
  <c r="R15" i="12"/>
  <c r="S14" i="12"/>
  <c r="S15" i="12"/>
  <c r="G15" i="12"/>
  <c r="F14" i="12"/>
  <c r="F15" i="12"/>
  <c r="AS14" i="12"/>
  <c r="AS15" i="12"/>
  <c r="L29" i="12"/>
  <c r="AB14" i="12"/>
  <c r="AB15" i="12"/>
  <c r="W14" i="12"/>
  <c r="W15" i="12"/>
  <c r="Q26" i="12"/>
  <c r="L30" i="12"/>
  <c r="AO14" i="12"/>
  <c r="AO15" i="12"/>
  <c r="L15" i="12"/>
  <c r="Q15" i="12"/>
  <c r="U14" i="12"/>
  <c r="U15" i="12"/>
  <c r="AQ14" i="12"/>
  <c r="AQ15" i="12"/>
  <c r="AU110" i="10"/>
  <c r="AZ116" i="10" s="1"/>
  <c r="AH14" i="12"/>
  <c r="AH15" i="12"/>
  <c r="AT14" i="12"/>
  <c r="AT15" i="12"/>
  <c r="T14" i="12"/>
  <c r="AF15" i="12"/>
  <c r="V14" i="12"/>
  <c r="V15" i="12"/>
  <c r="CV79" i="47"/>
  <c r="AH85" i="47"/>
  <c r="AH100" i="47" s="1"/>
  <c r="AP59" i="12"/>
  <c r="Q14" i="12"/>
  <c r="AU25" i="12"/>
  <c r="P29" i="12"/>
  <c r="AK211" i="12"/>
  <c r="AF14" i="12"/>
  <c r="L14" i="12"/>
  <c r="L19" i="37"/>
  <c r="AZ115" i="10"/>
  <c r="AP211" i="12"/>
  <c r="AU211" i="12"/>
  <c r="AU43" i="10"/>
  <c r="AU44" i="10" s="1"/>
  <c r="AU46" i="10" s="1"/>
  <c r="AB29" i="12"/>
  <c r="AZ110" i="10"/>
  <c r="AB26" i="12"/>
  <c r="G14" i="12"/>
  <c r="AU12" i="12"/>
  <c r="K26" i="12"/>
  <c r="K29" i="12"/>
  <c r="AW125" i="13"/>
  <c r="AW127" i="13" s="1"/>
  <c r="CT75" i="47"/>
  <c r="CU82" i="47"/>
  <c r="Q65" i="7"/>
  <c r="G82" i="7"/>
  <c r="G46" i="7"/>
  <c r="G49" i="7" s="1"/>
  <c r="S419" i="2"/>
  <c r="AK217" i="1" s="1"/>
  <c r="AK218" i="1" s="1"/>
  <c r="AG465" i="3"/>
  <c r="AC465" i="3"/>
  <c r="E90" i="9"/>
  <c r="E97" i="9" s="1"/>
  <c r="D146" i="9"/>
  <c r="F289" i="1"/>
  <c r="F343" i="1" s="1"/>
  <c r="AE419" i="2"/>
  <c r="AZ289" i="1"/>
  <c r="AZ343" i="1" s="1"/>
  <c r="AE242" i="1"/>
  <c r="L289" i="1"/>
  <c r="L343" i="1" s="1"/>
  <c r="E289" i="1"/>
  <c r="E343" i="1" s="1"/>
  <c r="H271" i="1"/>
  <c r="I271" i="1" s="1"/>
  <c r="J271" i="1" s="1"/>
  <c r="K271" i="1" s="1"/>
  <c r="AE465" i="3"/>
  <c r="E282" i="4"/>
  <c r="E336" i="4" s="1"/>
  <c r="BT317" i="4"/>
  <c r="BR209" i="4"/>
  <c r="BQ209" i="4"/>
  <c r="BP209" i="4"/>
  <c r="BS209" i="4"/>
  <c r="BO310" i="4"/>
  <c r="BM202" i="4"/>
  <c r="BL202" i="4"/>
  <c r="BK202" i="4"/>
  <c r="BN202" i="4"/>
  <c r="AA302" i="4"/>
  <c r="AA356" i="4" s="1"/>
  <c r="Z194" i="4"/>
  <c r="Y194" i="4"/>
  <c r="X194" i="4"/>
  <c r="W194" i="4"/>
  <c r="AY261" i="4"/>
  <c r="AW261" i="4"/>
  <c r="AX261" i="4"/>
  <c r="AV261" i="4"/>
  <c r="CD317" i="4"/>
  <c r="CB209" i="4"/>
  <c r="BZ209" i="4"/>
  <c r="CA209" i="4"/>
  <c r="CC209" i="4"/>
  <c r="BJ313" i="4"/>
  <c r="BJ367" i="4" s="1"/>
  <c r="BH205" i="4"/>
  <c r="BG205" i="4"/>
  <c r="BF205" i="4"/>
  <c r="BI205" i="4"/>
  <c r="BT250" i="4"/>
  <c r="BQ247" i="4"/>
  <c r="BQ250" i="4" s="1"/>
  <c r="BP247" i="4"/>
  <c r="BP250" i="4" s="1"/>
  <c r="BR247" i="4"/>
  <c r="BR250" i="4" s="1"/>
  <c r="BS247" i="4"/>
  <c r="BS250" i="4" s="1"/>
  <c r="AP323" i="4"/>
  <c r="AP377" i="4" s="1"/>
  <c r="AO215" i="4"/>
  <c r="AN215" i="4"/>
  <c r="AM215" i="4"/>
  <c r="AL215" i="4"/>
  <c r="AO189" i="4"/>
  <c r="AM189" i="4"/>
  <c r="AN189" i="4"/>
  <c r="AL189" i="4"/>
  <c r="AO188" i="4"/>
  <c r="AN188" i="4"/>
  <c r="AM188" i="4"/>
  <c r="AL188" i="4"/>
  <c r="BH193" i="4"/>
  <c r="BF193" i="4"/>
  <c r="BG193" i="4"/>
  <c r="BI193" i="4"/>
  <c r="AZ308" i="4"/>
  <c r="AZ362" i="4" s="1"/>
  <c r="AY200" i="4"/>
  <c r="AW200" i="4"/>
  <c r="AX200" i="4"/>
  <c r="AV200" i="4"/>
  <c r="AK295" i="4"/>
  <c r="AK349" i="4" s="1"/>
  <c r="AJ187" i="4"/>
  <c r="AH187" i="4"/>
  <c r="AG187" i="4"/>
  <c r="AI187" i="4"/>
  <c r="AY202" i="4"/>
  <c r="AX202" i="4"/>
  <c r="AW202" i="4"/>
  <c r="AV202" i="4"/>
  <c r="T243" i="4"/>
  <c r="R243" i="4"/>
  <c r="S243" i="4"/>
  <c r="U243" i="4"/>
  <c r="AZ281" i="4"/>
  <c r="AZ335" i="4" s="1"/>
  <c r="AY173" i="4"/>
  <c r="AX173" i="4"/>
  <c r="AW173" i="4"/>
  <c r="AV173" i="4"/>
  <c r="AZ301" i="4"/>
  <c r="AZ355" i="4" s="1"/>
  <c r="AY193" i="4"/>
  <c r="AX193" i="4"/>
  <c r="AW193" i="4"/>
  <c r="AV193" i="4"/>
  <c r="AO193" i="4"/>
  <c r="AM193" i="4"/>
  <c r="AL193" i="4"/>
  <c r="AN193" i="4"/>
  <c r="AA239" i="4"/>
  <c r="AK283" i="4"/>
  <c r="AK337" i="4" s="1"/>
  <c r="AJ175" i="4"/>
  <c r="AH175" i="4"/>
  <c r="AG175" i="4"/>
  <c r="AI175" i="4"/>
  <c r="Q303" i="4"/>
  <c r="Q357" i="4" s="1"/>
  <c r="P195" i="4"/>
  <c r="N195" i="4"/>
  <c r="M195" i="4"/>
  <c r="O195" i="4"/>
  <c r="AZ295" i="4"/>
  <c r="AZ349" i="4" s="1"/>
  <c r="AY187" i="4"/>
  <c r="AX187" i="4"/>
  <c r="AW187" i="4"/>
  <c r="AV187" i="4"/>
  <c r="AK294" i="4"/>
  <c r="AK348" i="4" s="1"/>
  <c r="AJ186" i="4"/>
  <c r="AI186" i="4"/>
  <c r="AH186" i="4"/>
  <c r="AG186" i="4"/>
  <c r="AJ189" i="4"/>
  <c r="AI189" i="4"/>
  <c r="AH189" i="4"/>
  <c r="AG189" i="4"/>
  <c r="AK281" i="4"/>
  <c r="AK335" i="4" s="1"/>
  <c r="AJ173" i="4"/>
  <c r="AH173" i="4"/>
  <c r="AI173" i="4"/>
  <c r="AG173" i="4"/>
  <c r="P247" i="4"/>
  <c r="P250" i="4" s="1"/>
  <c r="N247" i="4"/>
  <c r="N250" i="4" s="1"/>
  <c r="M247" i="4"/>
  <c r="M250" i="4" s="1"/>
  <c r="Q250" i="4"/>
  <c r="O247" i="4"/>
  <c r="O250" i="4" s="1"/>
  <c r="AP239" i="4"/>
  <c r="AZ283" i="4"/>
  <c r="AZ337" i="4" s="1"/>
  <c r="AY175" i="4"/>
  <c r="AW175" i="4"/>
  <c r="AX175" i="4"/>
  <c r="AV175" i="4"/>
  <c r="V261" i="4"/>
  <c r="V315" i="4" s="1"/>
  <c r="V369" i="4" s="1"/>
  <c r="V282" i="4"/>
  <c r="V336" i="4" s="1"/>
  <c r="U174" i="4"/>
  <c r="T174" i="4"/>
  <c r="S174" i="4"/>
  <c r="R174" i="4"/>
  <c r="BJ303" i="4"/>
  <c r="BJ357" i="4" s="1"/>
  <c r="BH195" i="4"/>
  <c r="BG195" i="4"/>
  <c r="BF195" i="4"/>
  <c r="BI195" i="4"/>
  <c r="CD281" i="4"/>
  <c r="CB173" i="4"/>
  <c r="CA173" i="4"/>
  <c r="BZ173" i="4"/>
  <c r="CC173" i="4"/>
  <c r="BU238" i="4"/>
  <c r="BV238" i="4"/>
  <c r="BX238" i="4"/>
  <c r="BW238" i="4"/>
  <c r="CD313" i="4"/>
  <c r="CB205" i="4"/>
  <c r="BZ205" i="4"/>
  <c r="CC205" i="4"/>
  <c r="CA205" i="4"/>
  <c r="BW173" i="4"/>
  <c r="BV173" i="4"/>
  <c r="BU173" i="4"/>
  <c r="BX173" i="4"/>
  <c r="AR261" i="4"/>
  <c r="AS261" i="4"/>
  <c r="AT261" i="4"/>
  <c r="AQ261" i="4"/>
  <c r="AH256" i="4"/>
  <c r="AI256" i="4"/>
  <c r="AG256" i="4"/>
  <c r="AJ256" i="4"/>
  <c r="BE310" i="4"/>
  <c r="BE364" i="4" s="1"/>
  <c r="BC202" i="4"/>
  <c r="BA202" i="4"/>
  <c r="BD202" i="4"/>
  <c r="BB202" i="4"/>
  <c r="BI238" i="4"/>
  <c r="BF238" i="4"/>
  <c r="BH238" i="4"/>
  <c r="BG238" i="4"/>
  <c r="AF261" i="4"/>
  <c r="AF315" i="4" s="1"/>
  <c r="AF369" i="4" s="1"/>
  <c r="AE243" i="4"/>
  <c r="AD243" i="4"/>
  <c r="AB243" i="4"/>
  <c r="AC243" i="4"/>
  <c r="AU295" i="4"/>
  <c r="AU349" i="4" s="1"/>
  <c r="AT187" i="4"/>
  <c r="AS187" i="4"/>
  <c r="AR187" i="4"/>
  <c r="AQ187" i="4"/>
  <c r="AU322" i="4"/>
  <c r="AU376" i="4" s="1"/>
  <c r="AT214" i="4"/>
  <c r="AR214" i="4"/>
  <c r="AQ214" i="4"/>
  <c r="AS214" i="4"/>
  <c r="BT238" i="4"/>
  <c r="BT292" i="4" s="1"/>
  <c r="BJ296" i="4"/>
  <c r="BJ350" i="4" s="1"/>
  <c r="BH188" i="4"/>
  <c r="BF188" i="4"/>
  <c r="BG188" i="4"/>
  <c r="BI188" i="4"/>
  <c r="BT322" i="4"/>
  <c r="BR214" i="4"/>
  <c r="BQ214" i="4"/>
  <c r="BP214" i="4"/>
  <c r="BS214" i="4"/>
  <c r="BE313" i="4"/>
  <c r="BE367" i="4" s="1"/>
  <c r="BC205" i="4"/>
  <c r="BB205" i="4"/>
  <c r="BA205" i="4"/>
  <c r="BD205" i="4"/>
  <c r="Q261" i="4"/>
  <c r="AP283" i="4"/>
  <c r="AP337" i="4" s="1"/>
  <c r="AO175" i="4"/>
  <c r="AM175" i="4"/>
  <c r="AL175" i="4"/>
  <c r="AN175" i="4"/>
  <c r="AA281" i="4"/>
  <c r="AA335" i="4" s="1"/>
  <c r="Z173" i="4"/>
  <c r="X173" i="4"/>
  <c r="Y173" i="4"/>
  <c r="W173" i="4"/>
  <c r="AU302" i="4"/>
  <c r="AU356" i="4" s="1"/>
  <c r="AT194" i="4"/>
  <c r="AR194" i="4"/>
  <c r="AS194" i="4"/>
  <c r="AQ194" i="4"/>
  <c r="CD323" i="4"/>
  <c r="CB215" i="4"/>
  <c r="BZ215" i="4"/>
  <c r="CA215" i="4"/>
  <c r="CC215" i="4"/>
  <c r="BO303" i="4"/>
  <c r="BM195" i="4"/>
  <c r="BL195" i="4"/>
  <c r="BK195" i="4"/>
  <c r="BN195" i="4"/>
  <c r="AK323" i="4"/>
  <c r="AK377" i="4" s="1"/>
  <c r="AJ215" i="4"/>
  <c r="AI215" i="4"/>
  <c r="AH215" i="4"/>
  <c r="AG215" i="4"/>
  <c r="CB247" i="4"/>
  <c r="CB250" i="4" s="1"/>
  <c r="BZ247" i="4"/>
  <c r="BZ250" i="4" s="1"/>
  <c r="CD250" i="4"/>
  <c r="CC247" i="4"/>
  <c r="CC250" i="4" s="1"/>
  <c r="CA247" i="4"/>
  <c r="CA250" i="4" s="1"/>
  <c r="BJ294" i="4"/>
  <c r="BJ348" i="4" s="1"/>
  <c r="BH186" i="4"/>
  <c r="BG186" i="4"/>
  <c r="BF186" i="4"/>
  <c r="BI186" i="4"/>
  <c r="BJ302" i="4"/>
  <c r="BJ356" i="4" s="1"/>
  <c r="BH194" i="4"/>
  <c r="BF194" i="4"/>
  <c r="BI194" i="4"/>
  <c r="BG194" i="4"/>
  <c r="CB256" i="4"/>
  <c r="BZ256" i="4"/>
  <c r="CC256" i="4"/>
  <c r="CA256" i="4"/>
  <c r="AF322" i="4"/>
  <c r="AF376" i="4" s="1"/>
  <c r="AE214" i="4"/>
  <c r="AD214" i="4"/>
  <c r="AC214" i="4"/>
  <c r="AB214" i="4"/>
  <c r="AF303" i="4"/>
  <c r="AF357" i="4" s="1"/>
  <c r="AE195" i="4"/>
  <c r="AD195" i="4"/>
  <c r="AC195" i="4"/>
  <c r="AB195" i="4"/>
  <c r="AF238" i="4"/>
  <c r="AO174" i="4"/>
  <c r="AN174" i="4"/>
  <c r="AM174" i="4"/>
  <c r="AL174" i="4"/>
  <c r="Q238" i="4"/>
  <c r="AU238" i="4"/>
  <c r="BJ317" i="4"/>
  <c r="BJ371" i="4" s="1"/>
  <c r="BH209" i="4"/>
  <c r="BF209" i="4"/>
  <c r="BG209" i="4"/>
  <c r="BI209" i="4"/>
  <c r="BJ295" i="4"/>
  <c r="BJ349" i="4" s="1"/>
  <c r="BH187" i="4"/>
  <c r="BF187" i="4"/>
  <c r="BI187" i="4"/>
  <c r="BG187" i="4"/>
  <c r="BT239" i="4"/>
  <c r="CB193" i="4"/>
  <c r="BZ193" i="4"/>
  <c r="CA193" i="4"/>
  <c r="CC193" i="4"/>
  <c r="AA317" i="4"/>
  <c r="AA371" i="4" s="1"/>
  <c r="Z209" i="4"/>
  <c r="X209" i="4"/>
  <c r="Y209" i="4"/>
  <c r="W209" i="4"/>
  <c r="Q323" i="4"/>
  <c r="Q377" i="4" s="1"/>
  <c r="P215" i="4"/>
  <c r="N215" i="4"/>
  <c r="M215" i="4"/>
  <c r="O215" i="4"/>
  <c r="AZ253" i="4"/>
  <c r="L294" i="4"/>
  <c r="L348" i="4" s="1"/>
  <c r="K186" i="4"/>
  <c r="I186" i="4"/>
  <c r="H186" i="4"/>
  <c r="J186" i="4"/>
  <c r="AP295" i="4"/>
  <c r="AP349" i="4" s="1"/>
  <c r="AO187" i="4"/>
  <c r="AM187" i="4"/>
  <c r="AL187" i="4"/>
  <c r="AN187" i="4"/>
  <c r="AU239" i="4"/>
  <c r="Q296" i="4"/>
  <c r="Q350" i="4" s="1"/>
  <c r="P188" i="4"/>
  <c r="N188" i="4"/>
  <c r="M188" i="4"/>
  <c r="O188" i="4"/>
  <c r="Q294" i="4"/>
  <c r="Q348" i="4" s="1"/>
  <c r="P186" i="4"/>
  <c r="N186" i="4"/>
  <c r="M186" i="4"/>
  <c r="O186" i="4"/>
  <c r="BO283" i="4"/>
  <c r="BM175" i="4"/>
  <c r="BK175" i="4"/>
  <c r="BL175" i="4"/>
  <c r="BN175" i="4"/>
  <c r="BC193" i="4"/>
  <c r="BA193" i="4"/>
  <c r="BD193" i="4"/>
  <c r="BB193" i="4"/>
  <c r="BH256" i="4"/>
  <c r="BI256" i="4"/>
  <c r="BF256" i="4"/>
  <c r="BG256" i="4"/>
  <c r="Z214" i="4"/>
  <c r="Y214" i="4"/>
  <c r="X214" i="4"/>
  <c r="W214" i="4"/>
  <c r="L323" i="4"/>
  <c r="L377" i="4" s="1"/>
  <c r="K215" i="4"/>
  <c r="I215" i="4"/>
  <c r="H215" i="4"/>
  <c r="J215" i="4"/>
  <c r="P202" i="4"/>
  <c r="N202" i="4"/>
  <c r="M202" i="4"/>
  <c r="O202" i="4"/>
  <c r="V296" i="4"/>
  <c r="V350" i="4" s="1"/>
  <c r="U188" i="4"/>
  <c r="T188" i="4"/>
  <c r="S188" i="4"/>
  <c r="R188" i="4"/>
  <c r="AY243" i="4"/>
  <c r="AV243" i="4"/>
  <c r="AX243" i="4"/>
  <c r="AW243" i="4"/>
  <c r="Z243" i="4"/>
  <c r="X243" i="4"/>
  <c r="W243" i="4"/>
  <c r="Y243" i="4"/>
  <c r="L302" i="4"/>
  <c r="L356" i="4" s="1"/>
  <c r="K194" i="4"/>
  <c r="I194" i="4"/>
  <c r="H194" i="4"/>
  <c r="J194" i="4"/>
  <c r="BO302" i="4"/>
  <c r="BM194" i="4"/>
  <c r="BK194" i="4"/>
  <c r="BN194" i="4"/>
  <c r="BL194" i="4"/>
  <c r="T247" i="4"/>
  <c r="T250" i="4" s="1"/>
  <c r="R247" i="4"/>
  <c r="R250" i="4" s="1"/>
  <c r="V250" i="4"/>
  <c r="S247" i="4"/>
  <c r="S250" i="4" s="1"/>
  <c r="U247" i="4"/>
  <c r="U250" i="4" s="1"/>
  <c r="BW193" i="4"/>
  <c r="BU193" i="4"/>
  <c r="BX193" i="4"/>
  <c r="BV193" i="4"/>
  <c r="CD239" i="4"/>
  <c r="BY308" i="4"/>
  <c r="BW200" i="4"/>
  <c r="BU200" i="4"/>
  <c r="BX200" i="4"/>
  <c r="BV200" i="4"/>
  <c r="L317" i="4"/>
  <c r="L371" i="4" s="1"/>
  <c r="K209" i="4"/>
  <c r="I209" i="4"/>
  <c r="I317" i="4" s="1"/>
  <c r="H209" i="4"/>
  <c r="J209" i="4"/>
  <c r="L307" i="4"/>
  <c r="L361" i="4" s="1"/>
  <c r="J253" i="4"/>
  <c r="H253" i="4"/>
  <c r="K253" i="4"/>
  <c r="I253" i="4"/>
  <c r="AK27" i="10"/>
  <c r="CJ16" i="10"/>
  <c r="CH16" i="10" s="1"/>
  <c r="AG136" i="14"/>
  <c r="AG138" i="14" s="1"/>
  <c r="AX228" i="4"/>
  <c r="AX230" i="4" s="1"/>
  <c r="AW228" i="4"/>
  <c r="AW230" i="4" s="1"/>
  <c r="AV228" i="4"/>
  <c r="AV230" i="4" s="1"/>
  <c r="AY228" i="4"/>
  <c r="AY230" i="4" s="1"/>
  <c r="AZ230" i="4"/>
  <c r="Z228" i="4"/>
  <c r="Z230" i="4" s="1"/>
  <c r="Y228" i="4"/>
  <c r="Y230" i="4" s="1"/>
  <c r="W228" i="4"/>
  <c r="W230" i="4" s="1"/>
  <c r="X228" i="4"/>
  <c r="X230" i="4" s="1"/>
  <c r="AA230" i="4"/>
  <c r="BF228" i="4"/>
  <c r="BF230" i="4" s="1"/>
  <c r="BH228" i="4"/>
  <c r="BH230" i="4" s="1"/>
  <c r="BG228" i="4"/>
  <c r="BG230" i="4" s="1"/>
  <c r="BI228" i="4"/>
  <c r="BI230" i="4" s="1"/>
  <c r="BJ230" i="4"/>
  <c r="AH228" i="4"/>
  <c r="AH230" i="4" s="1"/>
  <c r="AG228" i="4"/>
  <c r="AG230" i="4" s="1"/>
  <c r="AI228" i="4"/>
  <c r="AI230" i="4" s="1"/>
  <c r="AJ228" i="4"/>
  <c r="AJ230" i="4" s="1"/>
  <c r="AK230" i="4"/>
  <c r="BJ283" i="4"/>
  <c r="BJ337" i="4" s="1"/>
  <c r="BH175" i="4"/>
  <c r="BF175" i="4"/>
  <c r="BG175" i="4"/>
  <c r="BI175" i="4"/>
  <c r="AY256" i="4"/>
  <c r="AV256" i="4"/>
  <c r="AW256" i="4"/>
  <c r="AX256" i="4"/>
  <c r="BA238" i="4"/>
  <c r="BD238" i="4"/>
  <c r="BC238" i="4"/>
  <c r="BB238" i="4"/>
  <c r="BJ239" i="4"/>
  <c r="BJ293" i="4" s="1"/>
  <c r="BJ347" i="4" s="1"/>
  <c r="BJ261" i="4"/>
  <c r="BJ315" i="4" s="1"/>
  <c r="BJ369" i="4" s="1"/>
  <c r="BC214" i="4"/>
  <c r="BB214" i="4"/>
  <c r="BA214" i="4"/>
  <c r="BD214" i="4"/>
  <c r="BY317" i="4"/>
  <c r="BW209" i="4"/>
  <c r="BU209" i="4"/>
  <c r="BX209" i="4"/>
  <c r="BV209" i="4"/>
  <c r="V317" i="4"/>
  <c r="V371" i="4" s="1"/>
  <c r="U209" i="4"/>
  <c r="S209" i="4"/>
  <c r="R209" i="4"/>
  <c r="T209" i="4"/>
  <c r="V294" i="4"/>
  <c r="V348" i="4" s="1"/>
  <c r="U186" i="4"/>
  <c r="T186" i="4"/>
  <c r="S186" i="4"/>
  <c r="R186" i="4"/>
  <c r="L308" i="4"/>
  <c r="L362" i="4" s="1"/>
  <c r="K200" i="4"/>
  <c r="I200" i="4"/>
  <c r="H200" i="4"/>
  <c r="J200" i="4"/>
  <c r="AK296" i="4"/>
  <c r="AK350" i="4" s="1"/>
  <c r="AJ188" i="4"/>
  <c r="AH188" i="4"/>
  <c r="AI188" i="4"/>
  <c r="AG188" i="4"/>
  <c r="AJ214" i="4"/>
  <c r="AH214" i="4"/>
  <c r="AG214" i="4"/>
  <c r="AI214" i="4"/>
  <c r="L282" i="4"/>
  <c r="L336" i="4" s="1"/>
  <c r="K174" i="4"/>
  <c r="I174" i="4"/>
  <c r="H174" i="4"/>
  <c r="J174" i="4"/>
  <c r="AJ247" i="4"/>
  <c r="AJ250" i="4" s="1"/>
  <c r="AH247" i="4"/>
  <c r="AH250" i="4" s="1"/>
  <c r="AG247" i="4"/>
  <c r="AG250" i="4" s="1"/>
  <c r="AK250" i="4"/>
  <c r="AI247" i="4"/>
  <c r="AI250" i="4" s="1"/>
  <c r="AP261" i="4"/>
  <c r="BE302" i="4"/>
  <c r="BE356" i="4" s="1"/>
  <c r="BC194" i="4"/>
  <c r="BB194" i="4"/>
  <c r="BA194" i="4"/>
  <c r="BD194" i="4"/>
  <c r="Q256" i="4"/>
  <c r="Q310" i="4" s="1"/>
  <c r="Q364" i="4" s="1"/>
  <c r="AP281" i="4"/>
  <c r="AP335" i="4" s="1"/>
  <c r="AO173" i="4"/>
  <c r="AM173" i="4"/>
  <c r="AN173" i="4"/>
  <c r="AL173" i="4"/>
  <c r="L296" i="4"/>
  <c r="L350" i="4" s="1"/>
  <c r="K188" i="4"/>
  <c r="I188" i="4"/>
  <c r="H188" i="4"/>
  <c r="J188" i="4"/>
  <c r="S256" i="4"/>
  <c r="U256" i="4"/>
  <c r="R256" i="4"/>
  <c r="T256" i="4"/>
  <c r="AN243" i="4"/>
  <c r="AL243" i="4"/>
  <c r="AO243" i="4"/>
  <c r="AM243" i="4"/>
  <c r="P174" i="4"/>
  <c r="N174" i="4"/>
  <c r="M174" i="4"/>
  <c r="O174" i="4"/>
  <c r="L315" i="4"/>
  <c r="L369" i="4" s="1"/>
  <c r="J261" i="4"/>
  <c r="H261" i="4"/>
  <c r="K261" i="4"/>
  <c r="I261" i="4"/>
  <c r="BM193" i="4"/>
  <c r="BK193" i="4"/>
  <c r="BL193" i="4"/>
  <c r="BN193" i="4"/>
  <c r="AF294" i="4"/>
  <c r="AF348" i="4" s="1"/>
  <c r="AE186" i="4"/>
  <c r="AD186" i="4"/>
  <c r="AC186" i="4"/>
  <c r="AB186" i="4"/>
  <c r="BY283" i="4"/>
  <c r="BW175" i="4"/>
  <c r="BV175" i="4"/>
  <c r="BU175" i="4"/>
  <c r="BX175" i="4"/>
  <c r="BR202" i="4"/>
  <c r="BP202" i="4"/>
  <c r="BS202" i="4"/>
  <c r="BQ202" i="4"/>
  <c r="BU256" i="4"/>
  <c r="BX256" i="4"/>
  <c r="BV256" i="4"/>
  <c r="BW256" i="4"/>
  <c r="BY303" i="4"/>
  <c r="BW195" i="4"/>
  <c r="BU195" i="4"/>
  <c r="BX195" i="4"/>
  <c r="BV195" i="4"/>
  <c r="CD308" i="4"/>
  <c r="CB200" i="4"/>
  <c r="BZ200" i="4"/>
  <c r="CA200" i="4"/>
  <c r="CC200" i="4"/>
  <c r="BY239" i="4"/>
  <c r="AT253" i="4"/>
  <c r="AQ253" i="4"/>
  <c r="AR253" i="4"/>
  <c r="AS253" i="4"/>
  <c r="AK261" i="4"/>
  <c r="AK315" i="4" s="1"/>
  <c r="AK369" i="4" s="1"/>
  <c r="BO261" i="4"/>
  <c r="BO315" i="4" s="1"/>
  <c r="V295" i="4"/>
  <c r="V349" i="4" s="1"/>
  <c r="U187" i="4"/>
  <c r="S187" i="4"/>
  <c r="R187" i="4"/>
  <c r="T187" i="4"/>
  <c r="AZ238" i="4"/>
  <c r="BD243" i="4"/>
  <c r="BA243" i="4"/>
  <c r="BB243" i="4"/>
  <c r="BC243" i="4"/>
  <c r="BT308" i="4"/>
  <c r="BR200" i="4"/>
  <c r="BP200" i="4"/>
  <c r="BS200" i="4"/>
  <c r="BQ200" i="4"/>
  <c r="L303" i="4"/>
  <c r="L357" i="4" s="1"/>
  <c r="K195" i="4"/>
  <c r="I195" i="4"/>
  <c r="H195" i="4"/>
  <c r="J195" i="4"/>
  <c r="J256" i="4"/>
  <c r="H256" i="4"/>
  <c r="K256" i="4"/>
  <c r="I256" i="4"/>
  <c r="Q317" i="4"/>
  <c r="Q371" i="4" s="1"/>
  <c r="P209" i="4"/>
  <c r="O209" i="4"/>
  <c r="N209" i="4"/>
  <c r="M209" i="4"/>
  <c r="BJ323" i="4"/>
  <c r="BJ377" i="4" s="1"/>
  <c r="BH215" i="4"/>
  <c r="BF215" i="4"/>
  <c r="BG215" i="4"/>
  <c r="BI215" i="4"/>
  <c r="BO296" i="4"/>
  <c r="BM188" i="4"/>
  <c r="BK188" i="4"/>
  <c r="BN188" i="4"/>
  <c r="BL188" i="4"/>
  <c r="BT295" i="4"/>
  <c r="BR187" i="4"/>
  <c r="BQ187" i="4"/>
  <c r="BP187" i="4"/>
  <c r="BS187" i="4"/>
  <c r="BJ308" i="4"/>
  <c r="BJ362" i="4" s="1"/>
  <c r="BH200" i="4"/>
  <c r="BF200" i="4"/>
  <c r="BG200" i="4"/>
  <c r="BI200" i="4"/>
  <c r="AT189" i="4"/>
  <c r="AR189" i="4"/>
  <c r="AQ189" i="4"/>
  <c r="AS189" i="4"/>
  <c r="AE202" i="4"/>
  <c r="AC202" i="4"/>
  <c r="AD202" i="4"/>
  <c r="AB202" i="4"/>
  <c r="AT202" i="4"/>
  <c r="AR202" i="4"/>
  <c r="AQ202" i="4"/>
  <c r="AS202" i="4"/>
  <c r="BC189" i="4"/>
  <c r="BA189" i="4"/>
  <c r="BB189" i="4"/>
  <c r="BD189" i="4"/>
  <c r="BT294" i="4"/>
  <c r="BR186" i="4"/>
  <c r="BP186" i="4"/>
  <c r="BS186" i="4"/>
  <c r="BQ186" i="4"/>
  <c r="AA296" i="4"/>
  <c r="AA350" i="4" s="1"/>
  <c r="Z188" i="4"/>
  <c r="Y188" i="4"/>
  <c r="X188" i="4"/>
  <c r="W188" i="4"/>
  <c r="CD261" i="4"/>
  <c r="CD315" i="4" s="1"/>
  <c r="BO313" i="4"/>
  <c r="BM205" i="4"/>
  <c r="BK205" i="4"/>
  <c r="BN205" i="4"/>
  <c r="BL205" i="4"/>
  <c r="BE239" i="4"/>
  <c r="AK317" i="4"/>
  <c r="AK371" i="4" s="1"/>
  <c r="AJ209" i="4"/>
  <c r="AI209" i="4"/>
  <c r="AH209" i="4"/>
  <c r="AG209" i="4"/>
  <c r="AF317" i="4"/>
  <c r="AF371" i="4" s="1"/>
  <c r="AE209" i="4"/>
  <c r="AD209" i="4"/>
  <c r="AC209" i="4"/>
  <c r="AB209" i="4"/>
  <c r="AZ250" i="4"/>
  <c r="AW247" i="4"/>
  <c r="AW250" i="4" s="1"/>
  <c r="AX247" i="4"/>
  <c r="AX250" i="4" s="1"/>
  <c r="AV247" i="4"/>
  <c r="AV250" i="4" s="1"/>
  <c r="AY247" i="4"/>
  <c r="AY250" i="4" s="1"/>
  <c r="AO202" i="4"/>
  <c r="AM202" i="4"/>
  <c r="AL202" i="4"/>
  <c r="AN202" i="4"/>
  <c r="V283" i="4"/>
  <c r="V337" i="4" s="1"/>
  <c r="U175" i="4"/>
  <c r="S175" i="4"/>
  <c r="R175" i="4"/>
  <c r="T175" i="4"/>
  <c r="BE317" i="4"/>
  <c r="BE371" i="4" s="1"/>
  <c r="BC209" i="4"/>
  <c r="BA209" i="4"/>
  <c r="BB209" i="4"/>
  <c r="BD209" i="4"/>
  <c r="BJ322" i="4"/>
  <c r="BJ376" i="4" s="1"/>
  <c r="BH214" i="4"/>
  <c r="BG214" i="4"/>
  <c r="BF214" i="4"/>
  <c r="BI214" i="4"/>
  <c r="BE261" i="4"/>
  <c r="AK302" i="4"/>
  <c r="AK356" i="4" s="1"/>
  <c r="AJ194" i="4"/>
  <c r="AH194" i="4"/>
  <c r="AI194" i="4"/>
  <c r="AG194" i="4"/>
  <c r="BH202" i="4"/>
  <c r="BG202" i="4"/>
  <c r="BF202" i="4"/>
  <c r="BI202" i="4"/>
  <c r="BS253" i="4"/>
  <c r="BP253" i="4"/>
  <c r="BP91" i="4" s="1"/>
  <c r="BP91" i="5" s="1"/>
  <c r="BQ253" i="4"/>
  <c r="BR253" i="4"/>
  <c r="BR91" i="4" s="1"/>
  <c r="BR91" i="5" s="1"/>
  <c r="CD303" i="4"/>
  <c r="CB195" i="4"/>
  <c r="BZ195" i="4"/>
  <c r="CA195" i="4"/>
  <c r="CC195" i="4"/>
  <c r="AZ322" i="4"/>
  <c r="AZ376" i="4" s="1"/>
  <c r="AY214" i="4"/>
  <c r="AW214" i="4"/>
  <c r="AV214" i="4"/>
  <c r="AX214" i="4"/>
  <c r="AZ303" i="4"/>
  <c r="AZ357" i="4" s="1"/>
  <c r="AY195" i="4"/>
  <c r="AW195" i="4"/>
  <c r="AV195" i="4"/>
  <c r="AX195" i="4"/>
  <c r="Q239" i="4"/>
  <c r="Q293" i="4" s="1"/>
  <c r="Q347" i="4" s="1"/>
  <c r="AA283" i="4"/>
  <c r="AA337" i="4" s="1"/>
  <c r="Z175" i="4"/>
  <c r="X175" i="4"/>
  <c r="W175" i="4"/>
  <c r="Y175" i="4"/>
  <c r="L293" i="4"/>
  <c r="L347" i="4" s="1"/>
  <c r="J239" i="4"/>
  <c r="H239" i="4"/>
  <c r="I239" i="4"/>
  <c r="K239" i="4"/>
  <c r="V238" i="4"/>
  <c r="V292" i="4" s="1"/>
  <c r="V346" i="4" s="1"/>
  <c r="Z186" i="4"/>
  <c r="Y186" i="4"/>
  <c r="X186" i="4"/>
  <c r="W186" i="4"/>
  <c r="BM215" i="4"/>
  <c r="BK215" i="4"/>
  <c r="BN215" i="4"/>
  <c r="BL215" i="4"/>
  <c r="BL256" i="4"/>
  <c r="BN256" i="4"/>
  <c r="BK256" i="4"/>
  <c r="BM256" i="4"/>
  <c r="V308" i="4"/>
  <c r="V362" i="4" s="1"/>
  <c r="U200" i="4"/>
  <c r="S200" i="4"/>
  <c r="T200" i="4"/>
  <c r="R200" i="4"/>
  <c r="AF253" i="4"/>
  <c r="CD282" i="4"/>
  <c r="CB174" i="4"/>
  <c r="BZ174" i="4"/>
  <c r="CC174" i="4"/>
  <c r="CA174" i="4"/>
  <c r="BY296" i="4"/>
  <c r="BW188" i="4"/>
  <c r="BU188" i="4"/>
  <c r="BX188" i="4"/>
  <c r="BV188" i="4"/>
  <c r="CD253" i="4"/>
  <c r="AA253" i="4"/>
  <c r="BZ238" i="4"/>
  <c r="CC238" i="4"/>
  <c r="CB238" i="4"/>
  <c r="CA238" i="4"/>
  <c r="BE250" i="4"/>
  <c r="BB247" i="4"/>
  <c r="BB250" i="4" s="1"/>
  <c r="BA247" i="4"/>
  <c r="BA250" i="4" s="1"/>
  <c r="BC247" i="4"/>
  <c r="BC250" i="4" s="1"/>
  <c r="BD247" i="4"/>
  <c r="BD250" i="4" s="1"/>
  <c r="O253" i="4"/>
  <c r="M253" i="4"/>
  <c r="P253" i="4"/>
  <c r="N253" i="4"/>
  <c r="AD228" i="4"/>
  <c r="AD230" i="4" s="1"/>
  <c r="AB228" i="4"/>
  <c r="AB230" i="4" s="1"/>
  <c r="AC228" i="4"/>
  <c r="AC230" i="4" s="1"/>
  <c r="AE228" i="4"/>
  <c r="AE230" i="4" s="1"/>
  <c r="AF230" i="4"/>
  <c r="AN228" i="4"/>
  <c r="AN230" i="4" s="1"/>
  <c r="AL228" i="4"/>
  <c r="AL230" i="4" s="1"/>
  <c r="AO228" i="4"/>
  <c r="AO230" i="4" s="1"/>
  <c r="AM228" i="4"/>
  <c r="AM230" i="4" s="1"/>
  <c r="AP230" i="4"/>
  <c r="N228" i="4"/>
  <c r="N230" i="4" s="1"/>
  <c r="M228" i="4"/>
  <c r="M230" i="4" s="1"/>
  <c r="P228" i="4"/>
  <c r="P230" i="4" s="1"/>
  <c r="O228" i="4"/>
  <c r="O230" i="4" s="1"/>
  <c r="Q230" i="4"/>
  <c r="T253" i="4"/>
  <c r="S253" i="4"/>
  <c r="R253" i="4"/>
  <c r="U253" i="4"/>
  <c r="AI419" i="2"/>
  <c r="BE304" i="1"/>
  <c r="BE358" i="1" s="1"/>
  <c r="BX247" i="4"/>
  <c r="BX250" i="4" s="1"/>
  <c r="BV247" i="4"/>
  <c r="BV250" i="4" s="1"/>
  <c r="BU247" i="4"/>
  <c r="BU250" i="4" s="1"/>
  <c r="BW247" i="4"/>
  <c r="BW250" i="4" s="1"/>
  <c r="BY250" i="4"/>
  <c r="AT174" i="4"/>
  <c r="AR174" i="4"/>
  <c r="AQ174" i="4"/>
  <c r="AS174" i="4"/>
  <c r="AU283" i="4"/>
  <c r="AU337" i="4" s="1"/>
  <c r="AT175" i="4"/>
  <c r="AS175" i="4"/>
  <c r="AR175" i="4"/>
  <c r="AQ175" i="4"/>
  <c r="BT303" i="4"/>
  <c r="BR195" i="4"/>
  <c r="BP195" i="4"/>
  <c r="BS195" i="4"/>
  <c r="BQ195" i="4"/>
  <c r="CD302" i="4"/>
  <c r="CB194" i="4"/>
  <c r="BZ194" i="4"/>
  <c r="CA194" i="4"/>
  <c r="CC194" i="4"/>
  <c r="AU323" i="4"/>
  <c r="AU377" i="4" s="1"/>
  <c r="AT215" i="4"/>
  <c r="AR215" i="4"/>
  <c r="AS215" i="4"/>
  <c r="AQ215" i="4"/>
  <c r="AA308" i="4"/>
  <c r="AA362" i="4" s="1"/>
  <c r="Z200" i="4"/>
  <c r="Y200" i="4"/>
  <c r="X200" i="4"/>
  <c r="W200" i="4"/>
  <c r="U189" i="4"/>
  <c r="S189" i="4"/>
  <c r="T189" i="4"/>
  <c r="R189" i="4"/>
  <c r="AU243" i="4"/>
  <c r="AU297" i="4" s="1"/>
  <c r="AU351" i="4" s="1"/>
  <c r="AP238" i="4"/>
  <c r="AP292" i="4" s="1"/>
  <c r="AP346" i="4" s="1"/>
  <c r="AZ282" i="4"/>
  <c r="AZ336" i="4" s="1"/>
  <c r="AY174" i="4"/>
  <c r="AW174" i="4"/>
  <c r="AV174" i="4"/>
  <c r="AX174" i="4"/>
  <c r="AF302" i="4"/>
  <c r="AF356" i="4" s="1"/>
  <c r="AE194" i="4"/>
  <c r="AC194" i="4"/>
  <c r="AB194" i="4"/>
  <c r="AD194" i="4"/>
  <c r="L295" i="4"/>
  <c r="L349" i="4" s="1"/>
  <c r="K187" i="4"/>
  <c r="I187" i="4"/>
  <c r="H187" i="4"/>
  <c r="J187" i="4"/>
  <c r="P243" i="4"/>
  <c r="M243" i="4"/>
  <c r="N243" i="4"/>
  <c r="O243" i="4"/>
  <c r="AA282" i="4"/>
  <c r="AA336" i="4" s="1"/>
  <c r="Z174" i="4"/>
  <c r="Y174" i="4"/>
  <c r="X174" i="4"/>
  <c r="W174" i="4"/>
  <c r="AF296" i="4"/>
  <c r="AF350" i="4" s="1"/>
  <c r="AE188" i="4"/>
  <c r="AC188" i="4"/>
  <c r="AB188" i="4"/>
  <c r="AD188" i="4"/>
  <c r="AM256" i="4"/>
  <c r="AN256" i="4"/>
  <c r="AL256" i="4"/>
  <c r="AO256" i="4"/>
  <c r="AA238" i="4"/>
  <c r="AK282" i="4"/>
  <c r="AK336" i="4" s="1"/>
  <c r="AJ174" i="4"/>
  <c r="AI174" i="4"/>
  <c r="AH174" i="4"/>
  <c r="AG174" i="4"/>
  <c r="AA303" i="4"/>
  <c r="AA357" i="4" s="1"/>
  <c r="Z195" i="4"/>
  <c r="X195" i="4"/>
  <c r="W195" i="4"/>
  <c r="Y195" i="4"/>
  <c r="AP294" i="4"/>
  <c r="AP348" i="4" s="1"/>
  <c r="AO186" i="4"/>
  <c r="AN186" i="4"/>
  <c r="AM186" i="4"/>
  <c r="AL186" i="4"/>
  <c r="AF308" i="4"/>
  <c r="AF362" i="4" s="1"/>
  <c r="AE200" i="4"/>
  <c r="AD200" i="4"/>
  <c r="AC200" i="4"/>
  <c r="AB200" i="4"/>
  <c r="K189" i="4"/>
  <c r="I189" i="4"/>
  <c r="H189" i="4"/>
  <c r="J189" i="4"/>
  <c r="AU308" i="4"/>
  <c r="AU362" i="4" s="1"/>
  <c r="AT200" i="4"/>
  <c r="AR200" i="4"/>
  <c r="AS200" i="4"/>
  <c r="AQ200" i="4"/>
  <c r="BE282" i="4"/>
  <c r="BE336" i="4" s="1"/>
  <c r="BC174" i="4"/>
  <c r="BA174" i="4"/>
  <c r="BB174" i="4"/>
  <c r="BD174" i="4"/>
  <c r="BO250" i="4"/>
  <c r="BK247" i="4"/>
  <c r="BK250" i="4" s="1"/>
  <c r="BM247" i="4"/>
  <c r="BM250" i="4" s="1"/>
  <c r="BL247" i="4"/>
  <c r="BL250" i="4" s="1"/>
  <c r="BN247" i="4"/>
  <c r="BN250" i="4" s="1"/>
  <c r="U214" i="4"/>
  <c r="T214" i="4"/>
  <c r="S214" i="4"/>
  <c r="R214" i="4"/>
  <c r="Z202" i="4"/>
  <c r="Y202" i="4"/>
  <c r="X202" i="4"/>
  <c r="W202" i="4"/>
  <c r="BR256" i="4"/>
  <c r="BP256" i="4"/>
  <c r="BS256" i="4"/>
  <c r="BQ256" i="4"/>
  <c r="AU296" i="4"/>
  <c r="AU350" i="4" s="1"/>
  <c r="AT188" i="4"/>
  <c r="AR188" i="4"/>
  <c r="AS188" i="4"/>
  <c r="AQ188" i="4"/>
  <c r="AZ313" i="4"/>
  <c r="AZ367" i="4" s="1"/>
  <c r="AY205" i="4"/>
  <c r="AX205" i="4"/>
  <c r="AW205" i="4"/>
  <c r="AV205" i="4"/>
  <c r="BY323" i="4"/>
  <c r="BW215" i="4"/>
  <c r="BU215" i="4"/>
  <c r="BX215" i="4"/>
  <c r="BV215" i="4"/>
  <c r="BW253" i="4"/>
  <c r="BW91" i="4" s="1"/>
  <c r="BU253" i="4"/>
  <c r="BU91" i="4" s="1"/>
  <c r="BX253" i="4"/>
  <c r="BV253" i="4"/>
  <c r="BV91" i="4" s="1"/>
  <c r="AP302" i="4"/>
  <c r="AP356" i="4" s="1"/>
  <c r="AO194" i="4"/>
  <c r="AN194" i="4"/>
  <c r="AM194" i="4"/>
  <c r="AL194" i="4"/>
  <c r="L301" i="4"/>
  <c r="L355" i="4" s="1"/>
  <c r="K193" i="4"/>
  <c r="I193" i="4"/>
  <c r="H193" i="4"/>
  <c r="J193" i="4"/>
  <c r="BT281" i="4"/>
  <c r="BR173" i="4"/>
  <c r="BQ173" i="4"/>
  <c r="BP173" i="4"/>
  <c r="BS173" i="4"/>
  <c r="AF323" i="4"/>
  <c r="AF377" i="4" s="1"/>
  <c r="AE215" i="4"/>
  <c r="AC215" i="4"/>
  <c r="AB215" i="4"/>
  <c r="AD215" i="4"/>
  <c r="CB189" i="4"/>
  <c r="BZ189" i="4"/>
  <c r="CC189" i="4"/>
  <c r="CA189" i="4"/>
  <c r="BO322" i="4"/>
  <c r="BO324" i="4" s="1"/>
  <c r="BM214" i="4"/>
  <c r="BL214" i="4"/>
  <c r="BK214" i="4"/>
  <c r="BN214" i="4"/>
  <c r="BC173" i="4"/>
  <c r="BB173" i="4"/>
  <c r="BA173" i="4"/>
  <c r="BD173" i="4"/>
  <c r="AF281" i="4"/>
  <c r="AF335" i="4" s="1"/>
  <c r="AE173" i="4"/>
  <c r="AC173" i="4"/>
  <c r="AB173" i="4"/>
  <c r="AD173" i="4"/>
  <c r="AF239" i="4"/>
  <c r="AF293" i="4" s="1"/>
  <c r="AF347" i="4" s="1"/>
  <c r="BC253" i="4"/>
  <c r="BA253" i="4"/>
  <c r="BD253" i="4"/>
  <c r="BB253" i="4"/>
  <c r="BY261" i="4"/>
  <c r="BR189" i="4"/>
  <c r="BQ189" i="4"/>
  <c r="BP189" i="4"/>
  <c r="BS189" i="4"/>
  <c r="CD296" i="4"/>
  <c r="CB188" i="4"/>
  <c r="BZ188" i="4"/>
  <c r="CA188" i="4"/>
  <c r="CC188" i="4"/>
  <c r="Q308" i="4"/>
  <c r="Q362" i="4" s="1"/>
  <c r="P200" i="4"/>
  <c r="N200" i="4"/>
  <c r="M200" i="4"/>
  <c r="O200" i="4"/>
  <c r="Q295" i="4"/>
  <c r="Q349" i="4" s="1"/>
  <c r="P187" i="4"/>
  <c r="N187" i="4"/>
  <c r="M187" i="4"/>
  <c r="O187" i="4"/>
  <c r="BE283" i="4"/>
  <c r="BE337" i="4" s="1"/>
  <c r="BC175" i="4"/>
  <c r="BA175" i="4"/>
  <c r="BD175" i="4"/>
  <c r="BB175" i="4"/>
  <c r="Y256" i="4"/>
  <c r="W256" i="4"/>
  <c r="Z256" i="4"/>
  <c r="X256" i="4"/>
  <c r="AJ243" i="4"/>
  <c r="AG243" i="4"/>
  <c r="AH243" i="4"/>
  <c r="AI243" i="4"/>
  <c r="V302" i="4"/>
  <c r="V356" i="4" s="1"/>
  <c r="U194" i="4"/>
  <c r="T194" i="4"/>
  <c r="S194" i="4"/>
  <c r="R194" i="4"/>
  <c r="AK313" i="4"/>
  <c r="AK367" i="4" s="1"/>
  <c r="AJ205" i="4"/>
  <c r="AH205" i="4"/>
  <c r="AG205" i="4"/>
  <c r="AI205" i="4"/>
  <c r="L283" i="4"/>
  <c r="L337" i="4" s="1"/>
  <c r="K175" i="4"/>
  <c r="I175" i="4"/>
  <c r="H175" i="4"/>
  <c r="J175" i="4"/>
  <c r="BX243" i="4"/>
  <c r="BU243" i="4"/>
  <c r="BV243" i="4"/>
  <c r="BW243" i="4"/>
  <c r="BO295" i="4"/>
  <c r="BM187" i="4"/>
  <c r="BK187" i="4"/>
  <c r="BL187" i="4"/>
  <c r="BN187" i="4"/>
  <c r="BE323" i="4"/>
  <c r="BE377" i="4" s="1"/>
  <c r="BC215" i="4"/>
  <c r="BA215" i="4"/>
  <c r="BB215" i="4"/>
  <c r="BD215" i="4"/>
  <c r="BY313" i="4"/>
  <c r="BW205" i="4"/>
  <c r="BU205" i="4"/>
  <c r="BX205" i="4"/>
  <c r="BV205" i="4"/>
  <c r="AP313" i="4"/>
  <c r="AP367" i="4" s="1"/>
  <c r="AO205" i="4"/>
  <c r="AM205" i="4"/>
  <c r="AL205" i="4"/>
  <c r="AN205" i="4"/>
  <c r="L250" i="4"/>
  <c r="J247" i="4"/>
  <c r="H247" i="4"/>
  <c r="K247" i="4"/>
  <c r="I247" i="4"/>
  <c r="AU303" i="4"/>
  <c r="AU357" i="4" s="1"/>
  <c r="AT195" i="4"/>
  <c r="AR195" i="4"/>
  <c r="AQ195" i="4"/>
  <c r="AS195" i="4"/>
  <c r="AF313" i="4"/>
  <c r="AF367" i="4" s="1"/>
  <c r="AE205" i="4"/>
  <c r="AC205" i="4"/>
  <c r="AD205" i="4"/>
  <c r="AB205" i="4"/>
  <c r="BO308" i="4"/>
  <c r="BM200" i="4"/>
  <c r="BK200" i="4"/>
  <c r="BN200" i="4"/>
  <c r="BL200" i="4"/>
  <c r="BA256" i="4"/>
  <c r="BD256" i="4"/>
  <c r="BC256" i="4"/>
  <c r="BB256" i="4"/>
  <c r="CD322" i="4"/>
  <c r="CB214" i="4"/>
  <c r="BZ214" i="4"/>
  <c r="CA214" i="4"/>
  <c r="CC214" i="4"/>
  <c r="AZ317" i="4"/>
  <c r="AZ371" i="4" s="1"/>
  <c r="AY209" i="4"/>
  <c r="AW209" i="4"/>
  <c r="AX209" i="4"/>
  <c r="AV209" i="4"/>
  <c r="Q302" i="4"/>
  <c r="Q356" i="4" s="1"/>
  <c r="P194" i="4"/>
  <c r="N194" i="4"/>
  <c r="M194" i="4"/>
  <c r="O194" i="4"/>
  <c r="AC256" i="4"/>
  <c r="AE256" i="4"/>
  <c r="AD256" i="4"/>
  <c r="AB256" i="4"/>
  <c r="CD295" i="4"/>
  <c r="CB187" i="4"/>
  <c r="BZ187" i="4"/>
  <c r="CA187" i="4"/>
  <c r="CC187" i="4"/>
  <c r="BM189" i="4"/>
  <c r="BL189" i="4"/>
  <c r="BK189" i="4"/>
  <c r="BN189" i="4"/>
  <c r="AA323" i="4"/>
  <c r="AA377" i="4" s="1"/>
  <c r="Z215" i="4"/>
  <c r="X215" i="4"/>
  <c r="Y215" i="4"/>
  <c r="W215" i="4"/>
  <c r="BW189" i="4"/>
  <c r="BV189" i="4"/>
  <c r="BU189" i="4"/>
  <c r="BX189" i="4"/>
  <c r="CB243" i="4"/>
  <c r="BZ243" i="4"/>
  <c r="CA243" i="4"/>
  <c r="CC243" i="4"/>
  <c r="CD283" i="4"/>
  <c r="CB175" i="4"/>
  <c r="BZ175" i="4"/>
  <c r="CC175" i="4"/>
  <c r="CA175" i="4"/>
  <c r="CB202" i="4"/>
  <c r="BZ202" i="4"/>
  <c r="CA202" i="4"/>
  <c r="CC202" i="4"/>
  <c r="AH142" i="14"/>
  <c r="AH143" i="14" s="1"/>
  <c r="AH146" i="14" s="1"/>
  <c r="L230" i="4"/>
  <c r="J228" i="4"/>
  <c r="H228" i="4"/>
  <c r="I228" i="4"/>
  <c r="K228" i="4"/>
  <c r="BN228" i="4"/>
  <c r="BN230" i="4" s="1"/>
  <c r="BL228" i="4"/>
  <c r="BL230" i="4" s="1"/>
  <c r="BK228" i="4"/>
  <c r="BK230" i="4" s="1"/>
  <c r="BM228" i="4"/>
  <c r="BM230" i="4" s="1"/>
  <c r="BO230" i="4"/>
  <c r="U228" i="4"/>
  <c r="U230" i="4" s="1"/>
  <c r="S228" i="4"/>
  <c r="S230" i="4" s="1"/>
  <c r="R228" i="4"/>
  <c r="R230" i="4" s="1"/>
  <c r="T228" i="4"/>
  <c r="T230" i="4" s="1"/>
  <c r="V230" i="4"/>
  <c r="BV228" i="4"/>
  <c r="BV230" i="4" s="1"/>
  <c r="BU228" i="4"/>
  <c r="BU230" i="4" s="1"/>
  <c r="BW228" i="4"/>
  <c r="BW230" i="4" s="1"/>
  <c r="BX228" i="4"/>
  <c r="BX230" i="4" s="1"/>
  <c r="BY230" i="4"/>
  <c r="AF847" i="7"/>
  <c r="BR193" i="4"/>
  <c r="BP193" i="4"/>
  <c r="BS193" i="4"/>
  <c r="BQ193" i="4"/>
  <c r="AK238" i="4"/>
  <c r="AK239" i="4"/>
  <c r="AU317" i="4"/>
  <c r="AU371" i="4" s="1"/>
  <c r="AT209" i="4"/>
  <c r="AS209" i="4"/>
  <c r="AR209" i="4"/>
  <c r="AQ209" i="4"/>
  <c r="BS243" i="4"/>
  <c r="BR243" i="4"/>
  <c r="BP243" i="4"/>
  <c r="BQ243" i="4"/>
  <c r="BC200" i="4"/>
  <c r="BB200" i="4"/>
  <c r="BA200" i="4"/>
  <c r="BD200" i="4"/>
  <c r="BO294" i="4"/>
  <c r="BM186" i="4"/>
  <c r="BL186" i="4"/>
  <c r="BK186" i="4"/>
  <c r="BN186" i="4"/>
  <c r="AN247" i="4"/>
  <c r="AN250" i="4" s="1"/>
  <c r="AL247" i="4"/>
  <c r="AL250" i="4" s="1"/>
  <c r="AO247" i="4"/>
  <c r="AO250" i="4" s="1"/>
  <c r="AM247" i="4"/>
  <c r="AM250" i="4" s="1"/>
  <c r="AP250" i="4"/>
  <c r="U202" i="4"/>
  <c r="S202" i="4"/>
  <c r="R202" i="4"/>
  <c r="T202" i="4"/>
  <c r="U173" i="4"/>
  <c r="S173" i="4"/>
  <c r="T173" i="4"/>
  <c r="R173" i="4"/>
  <c r="P193" i="4"/>
  <c r="N193" i="4"/>
  <c r="M193" i="4"/>
  <c r="O193" i="4"/>
  <c r="AZ239" i="4"/>
  <c r="AZ293" i="4" s="1"/>
  <c r="AZ347" i="4" s="1"/>
  <c r="P189" i="4"/>
  <c r="N189" i="4"/>
  <c r="M189" i="4"/>
  <c r="O189" i="4"/>
  <c r="Q281" i="4"/>
  <c r="Q335" i="4" s="1"/>
  <c r="P173" i="4"/>
  <c r="N173" i="4"/>
  <c r="M173" i="4"/>
  <c r="O173" i="4"/>
  <c r="AT193" i="4"/>
  <c r="AS193" i="4"/>
  <c r="AR193" i="4"/>
  <c r="AQ193" i="4"/>
  <c r="V239" i="4"/>
  <c r="AF283" i="4"/>
  <c r="AF337" i="4" s="1"/>
  <c r="AE175" i="4"/>
  <c r="AC175" i="4"/>
  <c r="AD175" i="4"/>
  <c r="AB175" i="4"/>
  <c r="BT283" i="4"/>
  <c r="BR175" i="4"/>
  <c r="BQ175" i="4"/>
  <c r="BP175" i="4"/>
  <c r="BS175" i="4"/>
  <c r="AU250" i="4"/>
  <c r="AS247" i="4"/>
  <c r="AS250" i="4" s="1"/>
  <c r="AQ247" i="4"/>
  <c r="AQ250" i="4" s="1"/>
  <c r="AT247" i="4"/>
  <c r="AT250" i="4" s="1"/>
  <c r="AR247" i="4"/>
  <c r="AR250" i="4" s="1"/>
  <c r="AZ294" i="4"/>
  <c r="AZ348" i="4" s="1"/>
  <c r="AY186" i="4"/>
  <c r="AW186" i="4"/>
  <c r="AV186" i="4"/>
  <c r="AX186" i="4"/>
  <c r="K202" i="4"/>
  <c r="I202" i="4"/>
  <c r="H202" i="4"/>
  <c r="J202" i="4"/>
  <c r="AE189" i="4"/>
  <c r="AD189" i="4"/>
  <c r="AC189" i="4"/>
  <c r="AB189" i="4"/>
  <c r="L281" i="4"/>
  <c r="L335" i="4" s="1"/>
  <c r="K173" i="4"/>
  <c r="I173" i="4"/>
  <c r="H173" i="4"/>
  <c r="H281" i="4" s="1"/>
  <c r="J173" i="4"/>
  <c r="V196" i="4"/>
  <c r="U193" i="4"/>
  <c r="S193" i="4"/>
  <c r="R193" i="4"/>
  <c r="T193" i="4"/>
  <c r="Q283" i="4"/>
  <c r="Q337" i="4" s="1"/>
  <c r="P175" i="4"/>
  <c r="N175" i="4"/>
  <c r="M175" i="4"/>
  <c r="O175" i="4"/>
  <c r="AZ302" i="4"/>
  <c r="AZ356" i="4" s="1"/>
  <c r="AY194" i="4"/>
  <c r="AW194" i="4"/>
  <c r="AX194" i="4"/>
  <c r="AV194" i="4"/>
  <c r="AF295" i="4"/>
  <c r="AF349" i="4" s="1"/>
  <c r="AE187" i="4"/>
  <c r="AC187" i="4"/>
  <c r="AD187" i="4"/>
  <c r="AB187" i="4"/>
  <c r="V303" i="4"/>
  <c r="V357" i="4" s="1"/>
  <c r="U195" i="4"/>
  <c r="S195" i="4"/>
  <c r="T195" i="4"/>
  <c r="R195" i="4"/>
  <c r="BE295" i="4"/>
  <c r="BE349" i="4" s="1"/>
  <c r="BC187" i="4"/>
  <c r="BA187" i="4"/>
  <c r="BD187" i="4"/>
  <c r="BB187" i="4"/>
  <c r="BT323" i="4"/>
  <c r="BR215" i="4"/>
  <c r="BP215" i="4"/>
  <c r="BS215" i="4"/>
  <c r="BQ215" i="4"/>
  <c r="AE247" i="4"/>
  <c r="AE250" i="4" s="1"/>
  <c r="AC247" i="4"/>
  <c r="AC250" i="4" s="1"/>
  <c r="AB247" i="4"/>
  <c r="AB250" i="4" s="1"/>
  <c r="AD247" i="4"/>
  <c r="AD250" i="4" s="1"/>
  <c r="AF250" i="4"/>
  <c r="BW194" i="4"/>
  <c r="BV194" i="4"/>
  <c r="BU194" i="4"/>
  <c r="BX194" i="4"/>
  <c r="AP303" i="4"/>
  <c r="AP357" i="4" s="1"/>
  <c r="AO195" i="4"/>
  <c r="AM195" i="4"/>
  <c r="AN195" i="4"/>
  <c r="AL195" i="4"/>
  <c r="AP322" i="4"/>
  <c r="AP376" i="4" s="1"/>
  <c r="AO214" i="4"/>
  <c r="AM214" i="4"/>
  <c r="AL214" i="4"/>
  <c r="AN214" i="4"/>
  <c r="BC186" i="4"/>
  <c r="BA186" i="4"/>
  <c r="BB186" i="4"/>
  <c r="BD186" i="4"/>
  <c r="BO253" i="4"/>
  <c r="BO307" i="4" s="1"/>
  <c r="BT302" i="4"/>
  <c r="BR194" i="4"/>
  <c r="BQ194" i="4"/>
  <c r="BP194" i="4"/>
  <c r="BS194" i="4"/>
  <c r="L322" i="4"/>
  <c r="L376" i="4" s="1"/>
  <c r="K214" i="4"/>
  <c r="I214" i="4"/>
  <c r="H214" i="4"/>
  <c r="J214" i="4"/>
  <c r="AU281" i="4"/>
  <c r="AU335" i="4" s="1"/>
  <c r="AT173" i="4"/>
  <c r="AR173" i="4"/>
  <c r="AS173" i="4"/>
  <c r="AQ173" i="4"/>
  <c r="AP317" i="4"/>
  <c r="AP371" i="4" s="1"/>
  <c r="AO209" i="4"/>
  <c r="AN209" i="4"/>
  <c r="AM209" i="4"/>
  <c r="AL209" i="4"/>
  <c r="BW202" i="4"/>
  <c r="BU202" i="4"/>
  <c r="BX202" i="4"/>
  <c r="BV202" i="4"/>
  <c r="BJ281" i="4"/>
  <c r="BJ335" i="4" s="1"/>
  <c r="BH173" i="4"/>
  <c r="BF173" i="4"/>
  <c r="BI173" i="4"/>
  <c r="BG173" i="4"/>
  <c r="AA250" i="4"/>
  <c r="W247" i="4"/>
  <c r="W250" i="4" s="1"/>
  <c r="Y247" i="4"/>
  <c r="Y250" i="4" s="1"/>
  <c r="X247" i="4"/>
  <c r="X250" i="4" s="1"/>
  <c r="Z247" i="4"/>
  <c r="Z250" i="4" s="1"/>
  <c r="Z189" i="4"/>
  <c r="X189" i="4"/>
  <c r="W189" i="4"/>
  <c r="Y189" i="4"/>
  <c r="BJ253" i="4"/>
  <c r="BJ307" i="4" s="1"/>
  <c r="BJ361" i="4" s="1"/>
  <c r="BO282" i="4"/>
  <c r="BM174" i="4"/>
  <c r="BL174" i="4"/>
  <c r="BK174" i="4"/>
  <c r="BN174" i="4"/>
  <c r="BH189" i="4"/>
  <c r="BG189" i="4"/>
  <c r="BF189" i="4"/>
  <c r="BI189" i="4"/>
  <c r="AU313" i="4"/>
  <c r="AU367" i="4" s="1"/>
  <c r="AT205" i="4"/>
  <c r="AR205" i="4"/>
  <c r="AQ205" i="4"/>
  <c r="AS205" i="4"/>
  <c r="AU294" i="4"/>
  <c r="AU348" i="4" s="1"/>
  <c r="AT186" i="4"/>
  <c r="AR186" i="4"/>
  <c r="AQ186" i="4"/>
  <c r="AS186" i="4"/>
  <c r="AY189" i="4"/>
  <c r="AW189" i="4"/>
  <c r="AV189" i="4"/>
  <c r="AX189" i="4"/>
  <c r="L292" i="4"/>
  <c r="L346" i="4" s="1"/>
  <c r="J238" i="4"/>
  <c r="H238" i="4"/>
  <c r="I238" i="4"/>
  <c r="K238" i="4"/>
  <c r="BO281" i="4"/>
  <c r="BM173" i="4"/>
  <c r="BK173" i="4"/>
  <c r="BN173" i="4"/>
  <c r="BL173" i="4"/>
  <c r="BE296" i="4"/>
  <c r="BE350" i="4" s="1"/>
  <c r="BC188" i="4"/>
  <c r="BB188" i="4"/>
  <c r="BA188" i="4"/>
  <c r="BD188" i="4"/>
  <c r="BJ250" i="4"/>
  <c r="BF247" i="4"/>
  <c r="BF250" i="4" s="1"/>
  <c r="BH247" i="4"/>
  <c r="BH250" i="4" s="1"/>
  <c r="BI247" i="4"/>
  <c r="BI250" i="4" s="1"/>
  <c r="BG247" i="4"/>
  <c r="BG250" i="4" s="1"/>
  <c r="CD294" i="4"/>
  <c r="CB186" i="4"/>
  <c r="BZ186" i="4"/>
  <c r="CA186" i="4"/>
  <c r="CC186" i="4"/>
  <c r="V323" i="4"/>
  <c r="V377" i="4" s="1"/>
  <c r="U215" i="4"/>
  <c r="S215" i="4"/>
  <c r="R215" i="4"/>
  <c r="T215" i="4"/>
  <c r="AY215" i="4"/>
  <c r="AW215" i="4"/>
  <c r="AX215" i="4"/>
  <c r="AV215" i="4"/>
  <c r="AK308" i="4"/>
  <c r="AK362" i="4" s="1"/>
  <c r="AJ200" i="4"/>
  <c r="AI200" i="4"/>
  <c r="AH200" i="4"/>
  <c r="AG200" i="4"/>
  <c r="AA295" i="4"/>
  <c r="AA349" i="4" s="1"/>
  <c r="Z187" i="4"/>
  <c r="X187" i="4"/>
  <c r="Y187" i="4"/>
  <c r="W187" i="4"/>
  <c r="J243" i="4"/>
  <c r="H243" i="4"/>
  <c r="K243" i="4"/>
  <c r="I243" i="4"/>
  <c r="AZ296" i="4"/>
  <c r="AZ350" i="4" s="1"/>
  <c r="AY188" i="4"/>
  <c r="AW188" i="4"/>
  <c r="AX188" i="4"/>
  <c r="AV188" i="4"/>
  <c r="Z193" i="4"/>
  <c r="X193" i="4"/>
  <c r="Y193" i="4"/>
  <c r="W193" i="4"/>
  <c r="BE303" i="4"/>
  <c r="BE357" i="4" s="1"/>
  <c r="BC195" i="4"/>
  <c r="BA195" i="4"/>
  <c r="BB195" i="4"/>
  <c r="BD195" i="4"/>
  <c r="BT282" i="4"/>
  <c r="BR174" i="4"/>
  <c r="BP174" i="4"/>
  <c r="BS174" i="4"/>
  <c r="BQ174" i="4"/>
  <c r="Q322" i="4"/>
  <c r="Q376" i="4" s="1"/>
  <c r="P214" i="4"/>
  <c r="O214" i="4"/>
  <c r="N214" i="4"/>
  <c r="M214" i="4"/>
  <c r="AJ202" i="4"/>
  <c r="AH202" i="4"/>
  <c r="AG202" i="4"/>
  <c r="AI202" i="4"/>
  <c r="AJ193" i="4"/>
  <c r="AH193" i="4"/>
  <c r="AG193" i="4"/>
  <c r="AI193" i="4"/>
  <c r="AK303" i="4"/>
  <c r="AK357" i="4" s="1"/>
  <c r="AJ195" i="4"/>
  <c r="AI195" i="4"/>
  <c r="AH195" i="4"/>
  <c r="AG195" i="4"/>
  <c r="BN243" i="4"/>
  <c r="BL243" i="4"/>
  <c r="BK243" i="4"/>
  <c r="BM243" i="4"/>
  <c r="BO239" i="4"/>
  <c r="BO293" i="4" s="1"/>
  <c r="AT256" i="4"/>
  <c r="AR256" i="4"/>
  <c r="AQ256" i="4"/>
  <c r="AS256" i="4"/>
  <c r="AE193" i="4"/>
  <c r="AC193" i="4"/>
  <c r="AD193" i="4"/>
  <c r="AB193" i="4"/>
  <c r="AE174" i="4"/>
  <c r="AD174" i="4"/>
  <c r="AC174" i="4"/>
  <c r="AB174" i="4"/>
  <c r="AP308" i="4"/>
  <c r="AP362" i="4" s="1"/>
  <c r="AO200" i="4"/>
  <c r="AN200" i="4"/>
  <c r="AM200" i="4"/>
  <c r="AL200" i="4"/>
  <c r="BT313" i="4"/>
  <c r="BR205" i="4"/>
  <c r="BQ205" i="4"/>
  <c r="BP205" i="4"/>
  <c r="BS205" i="4"/>
  <c r="BO238" i="4"/>
  <c r="BO292" i="4" s="1"/>
  <c r="AA261" i="4"/>
  <c r="AA315" i="4" s="1"/>
  <c r="AA369" i="4" s="1"/>
  <c r="BW174" i="4"/>
  <c r="BU174" i="4"/>
  <c r="BX174" i="4"/>
  <c r="BV174" i="4"/>
  <c r="AJ253" i="4"/>
  <c r="AH253" i="4"/>
  <c r="AG253" i="4"/>
  <c r="AI253" i="4"/>
  <c r="BY294" i="4"/>
  <c r="BW186" i="4"/>
  <c r="BU186" i="4"/>
  <c r="BX186" i="4"/>
  <c r="BV186" i="4"/>
  <c r="BT296" i="4"/>
  <c r="BR188" i="4"/>
  <c r="BP188" i="4"/>
  <c r="BS188" i="4"/>
  <c r="BQ188" i="4"/>
  <c r="BY322" i="4"/>
  <c r="BW214" i="4"/>
  <c r="BV214" i="4"/>
  <c r="BU214" i="4"/>
  <c r="BX214" i="4"/>
  <c r="BH174" i="4"/>
  <c r="BG174" i="4"/>
  <c r="BF174" i="4"/>
  <c r="BI174" i="4"/>
  <c r="BY295" i="4"/>
  <c r="BW187" i="4"/>
  <c r="BV187" i="4"/>
  <c r="BU187" i="4"/>
  <c r="BX187" i="4"/>
  <c r="AU24" i="37"/>
  <c r="AU25" i="37" s="1"/>
  <c r="BR228" i="4"/>
  <c r="BR230" i="4" s="1"/>
  <c r="BQ228" i="4"/>
  <c r="BQ230" i="4" s="1"/>
  <c r="BP228" i="4"/>
  <c r="BP230" i="4" s="1"/>
  <c r="BS228" i="4"/>
  <c r="BS230" i="4" s="1"/>
  <c r="BT230" i="4"/>
  <c r="AT228" i="4"/>
  <c r="AT230" i="4" s="1"/>
  <c r="AR228" i="4"/>
  <c r="AR230" i="4" s="1"/>
  <c r="AS228" i="4"/>
  <c r="AS230" i="4" s="1"/>
  <c r="AQ228" i="4"/>
  <c r="AQ230" i="4" s="1"/>
  <c r="AU230" i="4"/>
  <c r="CB228" i="4"/>
  <c r="CB230" i="4" s="1"/>
  <c r="BZ228" i="4"/>
  <c r="BZ230" i="4" s="1"/>
  <c r="CC228" i="4"/>
  <c r="CC230" i="4" s="1"/>
  <c r="CA228" i="4"/>
  <c r="CA230" i="4" s="1"/>
  <c r="CD230" i="4"/>
  <c r="BB228" i="4"/>
  <c r="BB230" i="4" s="1"/>
  <c r="BA228" i="4"/>
  <c r="BA230" i="4" s="1"/>
  <c r="BC228" i="4"/>
  <c r="BC230" i="4" s="1"/>
  <c r="BD228" i="4"/>
  <c r="BD230" i="4" s="1"/>
  <c r="BE230" i="4"/>
  <c r="AL128" i="10"/>
  <c r="AL120" i="10" s="1"/>
  <c r="AM127" i="10"/>
  <c r="AM119" i="10" s="1"/>
  <c r="AS129" i="10"/>
  <c r="AS121" i="10" s="1"/>
  <c r="AO128" i="10"/>
  <c r="AO120" i="10" s="1"/>
  <c r="CI94" i="10"/>
  <c r="CI84" i="10"/>
  <c r="CI85" i="10"/>
  <c r="CI90" i="10"/>
  <c r="CI83" i="10"/>
  <c r="CI95" i="10"/>
  <c r="BJ151" i="7"/>
  <c r="AZ216" i="4"/>
  <c r="G301" i="4"/>
  <c r="G355" i="4" s="1"/>
  <c r="G358" i="4" s="1"/>
  <c r="AC516" i="3"/>
  <c r="AC526" i="3" s="1"/>
  <c r="AP282" i="4"/>
  <c r="AP336" i="4" s="1"/>
  <c r="Q282" i="4"/>
  <c r="Q336" i="4" s="1"/>
  <c r="E310" i="4"/>
  <c r="E364" i="4" s="1"/>
  <c r="G282" i="4"/>
  <c r="G284" i="4" s="1"/>
  <c r="G338" i="4" s="1"/>
  <c r="U419" i="2"/>
  <c r="AU217" i="1" s="1"/>
  <c r="AU325" i="1" s="1"/>
  <c r="BO237" i="1"/>
  <c r="H250" i="1"/>
  <c r="I250" i="1" s="1"/>
  <c r="J250" i="1" s="1"/>
  <c r="BT237" i="1"/>
  <c r="BT66" i="1"/>
  <c r="BY237" i="1"/>
  <c r="BY66" i="1"/>
  <c r="CD237" i="1"/>
  <c r="CD66" i="1"/>
  <c r="BJ237" i="1"/>
  <c r="AF282" i="4"/>
  <c r="AF336" i="4" s="1"/>
  <c r="F282" i="4"/>
  <c r="F336" i="4" s="1"/>
  <c r="CC687" i="7"/>
  <c r="CB524" i="7"/>
  <c r="CB527" i="7"/>
  <c r="CB588" i="7"/>
  <c r="CB591" i="7" s="1"/>
  <c r="CB594" i="7" s="1"/>
  <c r="CC585" i="7"/>
  <c r="BW524" i="7"/>
  <c r="BX687" i="7"/>
  <c r="BS687" i="7"/>
  <c r="BS524" i="7" s="1"/>
  <c r="BR524" i="7"/>
  <c r="G78" i="7"/>
  <c r="AM131" i="10"/>
  <c r="AM123" i="10" s="1"/>
  <c r="AS131" i="10"/>
  <c r="AS123" i="10" s="1"/>
  <c r="AU65" i="7"/>
  <c r="AU67" i="7"/>
  <c r="AP46" i="7"/>
  <c r="AP9" i="7" s="1"/>
  <c r="AA460" i="7"/>
  <c r="V60" i="7"/>
  <c r="V61" i="7" s="1"/>
  <c r="L68" i="7"/>
  <c r="CN36" i="7" s="1"/>
  <c r="AA69" i="7"/>
  <c r="AA65" i="7"/>
  <c r="AQ129" i="10"/>
  <c r="AQ121" i="10" s="1"/>
  <c r="AT129" i="10"/>
  <c r="AT121" i="10" s="1"/>
  <c r="AP64" i="7"/>
  <c r="AK266" i="7"/>
  <c r="L460" i="7"/>
  <c r="CD261" i="7"/>
  <c r="CB261" i="7" s="1"/>
  <c r="BU261" i="7"/>
  <c r="AU68" i="7"/>
  <c r="AU106" i="27" s="1"/>
  <c r="AA555" i="7"/>
  <c r="AR128" i="10"/>
  <c r="AR120" i="10" s="1"/>
  <c r="AY130" i="10"/>
  <c r="AY122" i="10" s="1"/>
  <c r="BP261" i="7"/>
  <c r="BR261" i="7"/>
  <c r="BS261" i="7"/>
  <c r="BQ261" i="7"/>
  <c r="G79" i="7"/>
  <c r="G77" i="7"/>
  <c r="G81" i="7"/>
  <c r="AV127" i="10"/>
  <c r="AV119" i="10" s="1"/>
  <c r="AA68" i="7"/>
  <c r="AA74" i="7" s="1"/>
  <c r="AA66" i="7"/>
  <c r="Q323" i="30"/>
  <c r="Q324" i="30" s="1"/>
  <c r="AE323" i="30"/>
  <c r="AE324" i="30" s="1"/>
  <c r="Y323" i="30"/>
  <c r="Y324" i="30" s="1"/>
  <c r="Z319" i="1"/>
  <c r="W235" i="1"/>
  <c r="AA237" i="1"/>
  <c r="Y235" i="1"/>
  <c r="Y237" i="1" s="1"/>
  <c r="X235" i="1"/>
  <c r="X237" i="1" s="1"/>
  <c r="M235" i="1"/>
  <c r="O235" i="1"/>
  <c r="O237" i="1" s="1"/>
  <c r="Q237" i="1"/>
  <c r="N235" i="1"/>
  <c r="N237" i="1" s="1"/>
  <c r="AC235" i="1"/>
  <c r="AC237" i="1" s="1"/>
  <c r="AD235" i="1"/>
  <c r="AD237" i="1" s="1"/>
  <c r="AF237" i="1"/>
  <c r="AB235" i="1"/>
  <c r="G237" i="1"/>
  <c r="H235" i="1"/>
  <c r="V237" i="1"/>
  <c r="S235" i="1"/>
  <c r="S237" i="1" s="1"/>
  <c r="R235" i="1"/>
  <c r="T235" i="1"/>
  <c r="T237" i="1" s="1"/>
  <c r="BY282" i="4"/>
  <c r="BJ282" i="4"/>
  <c r="BJ336" i="4" s="1"/>
  <c r="AU315" i="4"/>
  <c r="AU369" i="4" s="1"/>
  <c r="G230" i="4"/>
  <c r="BJ292" i="4"/>
  <c r="BJ346" i="4" s="1"/>
  <c r="Q46" i="7"/>
  <c r="Q84" i="7" s="1"/>
  <c r="AA82" i="7"/>
  <c r="AK68" i="7"/>
  <c r="AK74" i="7" s="1"/>
  <c r="AK64" i="7"/>
  <c r="AA78" i="7"/>
  <c r="AK66" i="7"/>
  <c r="AA79" i="7"/>
  <c r="V82" i="7"/>
  <c r="AK70" i="7"/>
  <c r="AP67" i="7"/>
  <c r="Q79" i="7"/>
  <c r="AK69" i="7"/>
  <c r="AA77" i="7"/>
  <c r="V80" i="7"/>
  <c r="AP68" i="7"/>
  <c r="AP106" i="27" s="1"/>
  <c r="AP108" i="27" s="1"/>
  <c r="AK46" i="7"/>
  <c r="AP69" i="7"/>
  <c r="AK127" i="13"/>
  <c r="AV161" i="13"/>
  <c r="AV85" i="47"/>
  <c r="AW85" i="47"/>
  <c r="AW100" i="47" s="1"/>
  <c r="AK74" i="12"/>
  <c r="O146" i="14"/>
  <c r="AP56" i="37"/>
  <c r="AP57" i="37" s="1"/>
  <c r="AR146" i="14"/>
  <c r="CI93" i="10"/>
  <c r="CI87" i="10"/>
  <c r="CI82" i="10"/>
  <c r="CI92" i="10"/>
  <c r="CI86" i="10"/>
  <c r="CI96" i="10"/>
  <c r="CI88" i="10"/>
  <c r="BO91" i="12"/>
  <c r="AR127" i="10"/>
  <c r="AR119" i="10" s="1"/>
  <c r="AQ127" i="10"/>
  <c r="AQ119" i="10" s="1"/>
  <c r="V142" i="7"/>
  <c r="V176" i="7" s="1"/>
  <c r="CH131" i="7" s="1"/>
  <c r="CK131" i="7" s="1"/>
  <c r="CL131" i="7" s="1"/>
  <c r="AP175" i="7"/>
  <c r="AP78" i="7"/>
  <c r="AP81" i="7"/>
  <c r="AP70" i="7"/>
  <c r="Q460" i="7"/>
  <c r="AP79" i="7"/>
  <c r="V66" i="7"/>
  <c r="AU830" i="7"/>
  <c r="AP66" i="7"/>
  <c r="AP80" i="7"/>
  <c r="AY131" i="10"/>
  <c r="AY123" i="10" s="1"/>
  <c r="AP61" i="7"/>
  <c r="V69" i="7"/>
  <c r="Z277" i="1"/>
  <c r="Z519" i="3"/>
  <c r="BT261" i="4" s="1"/>
  <c r="X524" i="3"/>
  <c r="BJ243" i="4" s="1"/>
  <c r="BE266" i="1"/>
  <c r="BE97" i="1" s="1"/>
  <c r="BE315" i="1"/>
  <c r="BE369" i="1" s="1"/>
  <c r="BE370" i="1"/>
  <c r="BE301" i="1"/>
  <c r="BE355" i="1" s="1"/>
  <c r="BE197" i="1"/>
  <c r="BE342" i="1"/>
  <c r="BE223" i="1"/>
  <c r="BE329" i="1"/>
  <c r="BE318" i="1"/>
  <c r="BE309" i="1"/>
  <c r="BE363" i="1" s="1"/>
  <c r="BE183" i="1"/>
  <c r="BE289" i="1"/>
  <c r="BE343" i="1" s="1"/>
  <c r="BE378" i="1"/>
  <c r="BE176" i="4"/>
  <c r="BE281" i="4"/>
  <c r="BE307" i="4"/>
  <c r="BE196" i="4"/>
  <c r="BE301" i="4"/>
  <c r="BE292" i="4"/>
  <c r="BE308" i="4"/>
  <c r="BE362" i="4" s="1"/>
  <c r="BE216" i="4"/>
  <c r="BE322" i="4"/>
  <c r="BE294" i="4"/>
  <c r="BE348" i="4" s="1"/>
  <c r="BE190" i="4"/>
  <c r="BE297" i="4"/>
  <c r="BE351" i="4" s="1"/>
  <c r="BE49" i="10"/>
  <c r="BE95" i="10"/>
  <c r="BE96" i="10" s="1"/>
  <c r="AZ89" i="12"/>
  <c r="BE89" i="12"/>
  <c r="AZ73" i="12"/>
  <c r="BE73" i="12"/>
  <c r="AX131" i="10"/>
  <c r="AX123" i="10" s="1"/>
  <c r="AX130" i="10"/>
  <c r="AX122" i="10" s="1"/>
  <c r="AZ97" i="9"/>
  <c r="AZ146" i="9" s="1"/>
  <c r="BE65" i="9"/>
  <c r="AA60" i="7"/>
  <c r="AA61" i="7" s="1"/>
  <c r="V68" i="7"/>
  <c r="V74" i="7" s="1"/>
  <c r="V67" i="7"/>
  <c r="AL131" i="10"/>
  <c r="AL123" i="10" s="1"/>
  <c r="AR131" i="10"/>
  <c r="AR123" i="10" s="1"/>
  <c r="AQ128" i="10"/>
  <c r="AQ120" i="10" s="1"/>
  <c r="AO131" i="10"/>
  <c r="AO123" i="10" s="1"/>
  <c r="AP115" i="10"/>
  <c r="AQ131" i="10"/>
  <c r="AQ123" i="10" s="1"/>
  <c r="AS128" i="10"/>
  <c r="AS120" i="10" s="1"/>
  <c r="E95" i="10"/>
  <c r="E96" i="10" s="1"/>
  <c r="AY128" i="10"/>
  <c r="AY120" i="10" s="1"/>
  <c r="L131" i="27"/>
  <c r="AA79" i="13"/>
  <c r="AA78" i="13"/>
  <c r="AK54" i="37"/>
  <c r="AK141" i="14" s="1"/>
  <c r="AG56" i="37"/>
  <c r="AK56" i="37" s="1"/>
  <c r="L79" i="13"/>
  <c r="L78" i="13"/>
  <c r="V79" i="13"/>
  <c r="V78" i="13"/>
  <c r="BP55" i="13"/>
  <c r="BQ55" i="13" s="1"/>
  <c r="BR55" i="13" s="1"/>
  <c r="BS55" i="13" s="1"/>
  <c r="BT55" i="13" s="1"/>
  <c r="BU55" i="13" s="1"/>
  <c r="BV55" i="13" s="1"/>
  <c r="BW55" i="13" s="1"/>
  <c r="BX55" i="13" s="1"/>
  <c r="BY55" i="13" s="1"/>
  <c r="AW185" i="13"/>
  <c r="AA127" i="13"/>
  <c r="AG141" i="14"/>
  <c r="AG142" i="14" s="1"/>
  <c r="AG143" i="14" s="1"/>
  <c r="AF125" i="13"/>
  <c r="AF127" i="13" s="1"/>
  <c r="AF185" i="13"/>
  <c r="W134" i="14"/>
  <c r="W136" i="14" s="1"/>
  <c r="W138" i="14" s="1"/>
  <c r="AF174" i="13"/>
  <c r="V46" i="37"/>
  <c r="V53" i="37" s="1"/>
  <c r="AA54" i="37"/>
  <c r="AA56" i="37" s="1"/>
  <c r="I143" i="14"/>
  <c r="I146" i="14" s="1"/>
  <c r="Y146" i="14"/>
  <c r="W141" i="14"/>
  <c r="W142" i="14" s="1"/>
  <c r="W143" i="14" s="1"/>
  <c r="L127" i="13"/>
  <c r="W89" i="13"/>
  <c r="W91" i="13" s="1"/>
  <c r="AA89" i="13"/>
  <c r="AA91" i="13" s="1"/>
  <c r="AA130" i="27" s="1"/>
  <c r="V91" i="13"/>
  <c r="V130" i="27" s="1"/>
  <c r="V76" i="13"/>
  <c r="V104" i="10" s="1"/>
  <c r="V75" i="13"/>
  <c r="CK210" i="13"/>
  <c r="BX73" i="14"/>
  <c r="BG28" i="69"/>
  <c r="Q130" i="12"/>
  <c r="Q116" i="12"/>
  <c r="AU127" i="13"/>
  <c r="E297" i="4"/>
  <c r="E351" i="4" s="1"/>
  <c r="AU66" i="7"/>
  <c r="AZ219" i="9"/>
  <c r="AV91" i="14"/>
  <c r="AV94" i="13"/>
  <c r="AV100" i="13" s="1"/>
  <c r="AV36" i="14"/>
  <c r="AP72" i="27"/>
  <c r="J136" i="14"/>
  <c r="J138" i="14" s="1"/>
  <c r="AQ136" i="14"/>
  <c r="AQ138" i="14" s="1"/>
  <c r="AQ142" i="14"/>
  <c r="AQ143" i="14" s="1"/>
  <c r="H12" i="12"/>
  <c r="AP79" i="14"/>
  <c r="AQ36" i="14"/>
  <c r="AQ91" i="14"/>
  <c r="AQ94" i="13"/>
  <c r="AQ100" i="13" s="1"/>
  <c r="AK79" i="7"/>
  <c r="AK80" i="7"/>
  <c r="G310" i="4"/>
  <c r="G364" i="4" s="1"/>
  <c r="U317" i="1"/>
  <c r="AL50" i="14"/>
  <c r="AL42" i="14"/>
  <c r="AL56" i="14" s="1"/>
  <c r="AL57" i="14" s="1"/>
  <c r="AL55" i="14"/>
  <c r="AL15" i="37" s="1"/>
  <c r="AL18" i="37" s="1"/>
  <c r="AU572" i="7"/>
  <c r="AU533" i="7"/>
  <c r="AU540" i="7" s="1"/>
  <c r="AP81" i="27"/>
  <c r="AP128" i="14" s="1"/>
  <c r="AP142" i="14" s="1"/>
  <c r="AP143" i="14" s="1"/>
  <c r="AD114" i="13"/>
  <c r="AE136" i="14"/>
  <c r="AE138" i="14" s="1"/>
  <c r="J36" i="14"/>
  <c r="J94" i="13"/>
  <c r="J100" i="13" s="1"/>
  <c r="D164" i="1"/>
  <c r="D165" i="1" s="1"/>
  <c r="L110" i="13"/>
  <c r="L41" i="14"/>
  <c r="L42" i="14" s="1"/>
  <c r="AG36" i="14"/>
  <c r="AG91" i="14"/>
  <c r="AK32" i="14"/>
  <c r="AG94" i="13"/>
  <c r="AG100" i="13" s="1"/>
  <c r="X94" i="13"/>
  <c r="X100" i="13" s="1"/>
  <c r="X36" i="14"/>
  <c r="D49" i="5"/>
  <c r="D56" i="5" s="1"/>
  <c r="D156" i="5"/>
  <c r="D157" i="5" s="1"/>
  <c r="R36" i="14"/>
  <c r="R94" i="13"/>
  <c r="G147" i="7"/>
  <c r="G153" i="7"/>
  <c r="G52" i="7"/>
  <c r="L105" i="14"/>
  <c r="L113" i="14"/>
  <c r="L120" i="14" s="1"/>
  <c r="C49" i="5"/>
  <c r="C56" i="5" s="1"/>
  <c r="C156" i="5"/>
  <c r="C157" i="5" s="1"/>
  <c r="AO119" i="6"/>
  <c r="AP119" i="6" s="1"/>
  <c r="AP102" i="6"/>
  <c r="AT105" i="14"/>
  <c r="AT113" i="14"/>
  <c r="F153" i="7"/>
  <c r="F147" i="7"/>
  <c r="F52" i="7"/>
  <c r="AA72" i="27"/>
  <c r="AA63" i="27"/>
  <c r="AA79" i="14"/>
  <c r="AA81" i="27"/>
  <c r="AA128" i="14" s="1"/>
  <c r="E47" i="9"/>
  <c r="D115" i="9"/>
  <c r="D145" i="9"/>
  <c r="AA76" i="13"/>
  <c r="AA104" i="10" s="1"/>
  <c r="AA75" i="13"/>
  <c r="AK572" i="7"/>
  <c r="AK533" i="7"/>
  <c r="AK540" i="7" s="1"/>
  <c r="CI41" i="7" s="1"/>
  <c r="AR105" i="14"/>
  <c r="AR113" i="14"/>
  <c r="T94" i="13"/>
  <c r="T100" i="13" s="1"/>
  <c r="T36" i="14"/>
  <c r="AG112" i="14"/>
  <c r="AK112" i="14"/>
  <c r="AO39" i="14"/>
  <c r="AO49" i="14"/>
  <c r="AO54" i="14"/>
  <c r="AP94" i="13"/>
  <c r="AP100" i="13" s="1"/>
  <c r="AP129" i="27" s="1"/>
  <c r="AP91" i="14"/>
  <c r="I94" i="13"/>
  <c r="I100" i="13" s="1"/>
  <c r="I36" i="14"/>
  <c r="AF89" i="13"/>
  <c r="AF91" i="13" s="1"/>
  <c r="AF130" i="27" s="1"/>
  <c r="AB89" i="13"/>
  <c r="AB91" i="13" s="1"/>
  <c r="L69" i="7"/>
  <c r="L66" i="7"/>
  <c r="F30" i="12"/>
  <c r="CG40" i="12" s="1"/>
  <c r="F29" i="12"/>
  <c r="F26" i="12"/>
  <c r="AU559" i="7"/>
  <c r="AU562" i="7" s="1"/>
  <c r="AA81" i="7"/>
  <c r="AT56" i="14"/>
  <c r="AT57" i="14" s="1"/>
  <c r="AT85" i="14"/>
  <c r="V94" i="13"/>
  <c r="V100" i="13" s="1"/>
  <c r="V36" i="14"/>
  <c r="V39" i="14" s="1"/>
  <c r="V42" i="14" s="1"/>
  <c r="V91" i="14"/>
  <c r="AE36" i="14"/>
  <c r="AE39" i="14" s="1"/>
  <c r="AE42" i="14" s="1"/>
  <c r="AE94" i="13"/>
  <c r="D56" i="1"/>
  <c r="D431" i="7"/>
  <c r="AE56" i="14"/>
  <c r="AE57" i="14" s="1"/>
  <c r="AE51" i="14"/>
  <c r="AE84" i="14"/>
  <c r="AE68" i="27"/>
  <c r="AJ36" i="14"/>
  <c r="AJ91" i="14"/>
  <c r="AJ94" i="13"/>
  <c r="M94" i="13"/>
  <c r="M100" i="13" s="1"/>
  <c r="M36" i="14"/>
  <c r="V72" i="27"/>
  <c r="V63" i="27"/>
  <c r="V79" i="14"/>
  <c r="V81" i="27"/>
  <c r="V128" i="14" s="1"/>
  <c r="AK161" i="13"/>
  <c r="AL85" i="47"/>
  <c r="L76" i="13"/>
  <c r="L104" i="10" s="1"/>
  <c r="L75" i="13"/>
  <c r="AB46" i="37"/>
  <c r="AB53" i="37" s="1"/>
  <c r="AB54" i="37" s="1"/>
  <c r="AF46" i="37"/>
  <c r="AF53" i="37" s="1"/>
  <c r="AA46" i="37"/>
  <c r="AA53" i="37" s="1"/>
  <c r="AK97" i="13"/>
  <c r="AK98" i="13" s="1"/>
  <c r="U94" i="13"/>
  <c r="U100" i="13" s="1"/>
  <c r="U36" i="14"/>
  <c r="AM102" i="14"/>
  <c r="AM37" i="12"/>
  <c r="AM42" i="12" s="1"/>
  <c r="AU40" i="27"/>
  <c r="AU45" i="27" s="1"/>
  <c r="D551" i="7"/>
  <c r="D545" i="7"/>
  <c r="AF79" i="14"/>
  <c r="AF81" i="27"/>
  <c r="AF128" i="14" s="1"/>
  <c r="AF72" i="27"/>
  <c r="AF63" i="27"/>
  <c r="AQ27" i="27"/>
  <c r="AU27" i="27" s="1"/>
  <c r="AU36" i="14" s="1"/>
  <c r="AU22" i="27"/>
  <c r="L70" i="7"/>
  <c r="AA30" i="11"/>
  <c r="AA22" i="11"/>
  <c r="AE142" i="14"/>
  <c r="AE143" i="14" s="1"/>
  <c r="AE97" i="13"/>
  <c r="AE98" i="13" s="1"/>
  <c r="AI85" i="47"/>
  <c r="AI100" i="47" s="1"/>
  <c r="AH161" i="13"/>
  <c r="E36" i="14"/>
  <c r="E39" i="14" s="1"/>
  <c r="E42" i="14" s="1"/>
  <c r="E94" i="13"/>
  <c r="E100" i="13" s="1"/>
  <c r="E91" i="14"/>
  <c r="AS121" i="6"/>
  <c r="AU121" i="6" s="1"/>
  <c r="AU104" i="6"/>
  <c r="L100" i="12"/>
  <c r="AJ97" i="13"/>
  <c r="AJ98" i="13" s="1"/>
  <c r="AJ142" i="14"/>
  <c r="AJ143" i="14" s="1"/>
  <c r="AD161" i="13"/>
  <c r="AD85" i="47"/>
  <c r="AE85" i="47"/>
  <c r="AE100" i="47" s="1"/>
  <c r="E142" i="14"/>
  <c r="E143" i="14" s="1"/>
  <c r="E146" i="14" s="1"/>
  <c r="W36" i="14"/>
  <c r="W94" i="13"/>
  <c r="W100" i="13" s="1"/>
  <c r="AS91" i="14"/>
  <c r="AS36" i="14"/>
  <c r="AS94" i="13"/>
  <c r="AS100" i="13" s="1"/>
  <c r="AU32" i="14"/>
  <c r="AS30" i="12"/>
  <c r="CG71" i="12" s="1"/>
  <c r="AC30" i="12"/>
  <c r="CG59" i="12" s="1"/>
  <c r="AC36" i="14"/>
  <c r="AC39" i="14" s="1"/>
  <c r="AC42" i="14" s="1"/>
  <c r="AC94" i="13"/>
  <c r="AC100" i="13" s="1"/>
  <c r="G101" i="27"/>
  <c r="G125" i="27" s="1"/>
  <c r="G51" i="14"/>
  <c r="G68" i="27"/>
  <c r="G84" i="14"/>
  <c r="G56" i="14"/>
  <c r="G57" i="14" s="1"/>
  <c r="Z68" i="27"/>
  <c r="Z56" i="14"/>
  <c r="Z57" i="14" s="1"/>
  <c r="Z51" i="14"/>
  <c r="Z84" i="14"/>
  <c r="Z85" i="14" s="1"/>
  <c r="L46" i="37"/>
  <c r="L53" i="37" s="1"/>
  <c r="M46" i="37"/>
  <c r="M53" i="37" s="1"/>
  <c r="M54" i="37" s="1"/>
  <c r="Q46" i="37"/>
  <c r="Q53" i="37" s="1"/>
  <c r="AK63" i="27"/>
  <c r="AK79" i="14"/>
  <c r="AK72" i="27"/>
  <c r="AK81" i="27"/>
  <c r="AK128" i="14" s="1"/>
  <c r="G100" i="12"/>
  <c r="AK89" i="13"/>
  <c r="AG89" i="13"/>
  <c r="AO102" i="14"/>
  <c r="AO37" i="12"/>
  <c r="AO42" i="12" s="1"/>
  <c r="AM39" i="14"/>
  <c r="AM49" i="14"/>
  <c r="AM54" i="14"/>
  <c r="AO118" i="6"/>
  <c r="AP118" i="6" s="1"/>
  <c r="AP101" i="6"/>
  <c r="BT313" i="7"/>
  <c r="C164" i="1"/>
  <c r="C165" i="1" s="1"/>
  <c r="AR29" i="12"/>
  <c r="AR30" i="12"/>
  <c r="CG70" i="12" s="1"/>
  <c r="AS136" i="14"/>
  <c r="AS138" i="14" s="1"/>
  <c r="AS146" i="14" s="1"/>
  <c r="L65" i="7"/>
  <c r="AF94" i="13"/>
  <c r="AF100" i="13" s="1"/>
  <c r="AF36" i="14"/>
  <c r="AF39" i="14" s="1"/>
  <c r="AF42" i="14" s="1"/>
  <c r="AF91" i="14"/>
  <c r="R97" i="13"/>
  <c r="R98" i="13" s="1"/>
  <c r="R134" i="14"/>
  <c r="R136" i="14" s="1"/>
  <c r="R138" i="14" s="1"/>
  <c r="R141" i="14"/>
  <c r="R142" i="14" s="1"/>
  <c r="R143" i="14" s="1"/>
  <c r="R56" i="37"/>
  <c r="C53" i="7"/>
  <c r="C342" i="7"/>
  <c r="C371" i="7" s="1"/>
  <c r="I37" i="12"/>
  <c r="I42" i="12" s="1"/>
  <c r="H37" i="12"/>
  <c r="H42" i="12" s="1"/>
  <c r="K37" i="12"/>
  <c r="K42" i="12" s="1"/>
  <c r="J37" i="12"/>
  <c r="J42" i="12" s="1"/>
  <c r="H36" i="14"/>
  <c r="H94" i="13"/>
  <c r="H100" i="13" s="1"/>
  <c r="AA91" i="14"/>
  <c r="AA94" i="13"/>
  <c r="AA100" i="13" s="1"/>
  <c r="AA36" i="14"/>
  <c r="AA39" i="14" s="1"/>
  <c r="AA42" i="14" s="1"/>
  <c r="G113" i="14"/>
  <c r="G120" i="14" s="1"/>
  <c r="G105" i="14"/>
  <c r="AQ72" i="11"/>
  <c r="AQ74" i="11" s="1"/>
  <c r="AU86" i="11"/>
  <c r="Q63" i="27"/>
  <c r="Q72" i="27"/>
  <c r="Q79" i="14"/>
  <c r="X142" i="14"/>
  <c r="X143" i="14" s="1"/>
  <c r="X146" i="14" s="1"/>
  <c r="AB112" i="14"/>
  <c r="AF112" i="14"/>
  <c r="AQ41" i="14"/>
  <c r="AQ110" i="13"/>
  <c r="AJ136" i="14"/>
  <c r="AJ138" i="14" s="1"/>
  <c r="L42" i="12"/>
  <c r="P56" i="14"/>
  <c r="P57" i="14" s="1"/>
  <c r="P68" i="27"/>
  <c r="P51" i="14"/>
  <c r="P84" i="14"/>
  <c r="P85" i="14" s="1"/>
  <c r="L63" i="27"/>
  <c r="L79" i="14"/>
  <c r="L72" i="27"/>
  <c r="L81" i="27"/>
  <c r="L128" i="14" s="1"/>
  <c r="AP101" i="27"/>
  <c r="AP84" i="14"/>
  <c r="AP51" i="14"/>
  <c r="AP68" i="27"/>
  <c r="AV128" i="10"/>
  <c r="AV120" i="10" s="1"/>
  <c r="V70" i="7"/>
  <c r="AF68" i="7"/>
  <c r="AN127" i="10"/>
  <c r="AN119" i="10" s="1"/>
  <c r="AU78" i="7"/>
  <c r="L61" i="7"/>
  <c r="L79" i="7"/>
  <c r="Q70" i="7"/>
  <c r="AU70" i="7"/>
  <c r="AW127" i="10"/>
  <c r="AW119" i="10" s="1"/>
  <c r="AW128" i="10"/>
  <c r="AW120" i="10" s="1"/>
  <c r="AU560" i="7"/>
  <c r="V65" i="7"/>
  <c r="AF65" i="7"/>
  <c r="AO127" i="10"/>
  <c r="AO119" i="10" s="1"/>
  <c r="AX127" i="10"/>
  <c r="AX119" i="10" s="1"/>
  <c r="L77" i="7"/>
  <c r="Q77" i="7"/>
  <c r="AU556" i="7"/>
  <c r="AU77" i="7"/>
  <c r="CL83" i="69"/>
  <c r="AD323" i="30"/>
  <c r="AD324" i="30" s="1"/>
  <c r="AA559" i="7"/>
  <c r="AA562" i="7" s="1"/>
  <c r="AA558" i="7"/>
  <c r="AU46" i="7"/>
  <c r="AN129" i="10"/>
  <c r="AN121" i="10" s="1"/>
  <c r="AA557" i="7"/>
  <c r="AA556" i="7"/>
  <c r="AU81" i="7"/>
  <c r="AU79" i="7"/>
  <c r="AF66" i="7"/>
  <c r="AF67" i="7"/>
  <c r="AF64" i="7"/>
  <c r="AF69" i="7"/>
  <c r="AP533" i="7"/>
  <c r="AP572" i="7"/>
  <c r="AU80" i="7"/>
  <c r="BQ27" i="13"/>
  <c r="BQ11" i="27"/>
  <c r="BQ27" i="69"/>
  <c r="BQ28" i="69" s="1"/>
  <c r="BQ73" i="14"/>
  <c r="BN73" i="14"/>
  <c r="CA27" i="69"/>
  <c r="CA28" i="69" s="1"/>
  <c r="CA73" i="14"/>
  <c r="CA11" i="27"/>
  <c r="AF75" i="69"/>
  <c r="BN28" i="69"/>
  <c r="BX11" i="27"/>
  <c r="BX27" i="69"/>
  <c r="BX28" i="69" s="1"/>
  <c r="CL75" i="69"/>
  <c r="CC73" i="14"/>
  <c r="BH28" i="69"/>
  <c r="BH73" i="14"/>
  <c r="BI28" i="69"/>
  <c r="BI73" i="14"/>
  <c r="CC27" i="69"/>
  <c r="CC28" i="69" s="1"/>
  <c r="CC11" i="27"/>
  <c r="BG73" i="14"/>
  <c r="BR24" i="6"/>
  <c r="BP24" i="6"/>
  <c r="AF555" i="7"/>
  <c r="BJ101" i="6"/>
  <c r="M409" i="2"/>
  <c r="G187" i="1" s="1"/>
  <c r="G295" i="1" s="1"/>
  <c r="G349" i="1" s="1"/>
  <c r="F304" i="1"/>
  <c r="F358" i="1" s="1"/>
  <c r="N419" i="2"/>
  <c r="L217" i="1" s="1"/>
  <c r="L325" i="1" s="1"/>
  <c r="L379" i="1" s="1"/>
  <c r="P277" i="1"/>
  <c r="AA48" i="10"/>
  <c r="AA95" i="10" s="1"/>
  <c r="AA96" i="10" s="1"/>
  <c r="AF323" i="30"/>
  <c r="AF324" i="30" s="1"/>
  <c r="AI323" i="30"/>
  <c r="AI324" i="30" s="1"/>
  <c r="R419" i="2"/>
  <c r="AF217" i="1" s="1"/>
  <c r="AC217" i="1" s="1"/>
  <c r="BY304" i="1"/>
  <c r="U277" i="1"/>
  <c r="P317" i="1"/>
  <c r="BO216" i="4"/>
  <c r="U465" i="3"/>
  <c r="AU210" i="4" s="1"/>
  <c r="T455" i="3"/>
  <c r="AP180" i="4" s="1"/>
  <c r="X516" i="3"/>
  <c r="AK297" i="4"/>
  <c r="AK351" i="4" s="1"/>
  <c r="AI455" i="3"/>
  <c r="AA465" i="3"/>
  <c r="BY210" i="4" s="1"/>
  <c r="M516" i="3"/>
  <c r="G264" i="4" s="1"/>
  <c r="AG455" i="3"/>
  <c r="BO301" i="4"/>
  <c r="AP310" i="4"/>
  <c r="AP364" i="4" s="1"/>
  <c r="G196" i="4"/>
  <c r="BJ216" i="4"/>
  <c r="AZ323" i="4"/>
  <c r="AZ377" i="4" s="1"/>
  <c r="X455" i="3"/>
  <c r="BJ180" i="4" s="1"/>
  <c r="Q297" i="4"/>
  <c r="F297" i="4"/>
  <c r="F298" i="4" s="1"/>
  <c r="F387" i="4" s="1"/>
  <c r="M455" i="3"/>
  <c r="G180" i="4" s="1"/>
  <c r="G288" i="4" s="1"/>
  <c r="G342" i="4" s="1"/>
  <c r="L310" i="4"/>
  <c r="L364" i="4" s="1"/>
  <c r="AJ455" i="3"/>
  <c r="BT310" i="4"/>
  <c r="P323" i="30"/>
  <c r="P324" i="30" s="1"/>
  <c r="AF79" i="10"/>
  <c r="AF101" i="10"/>
  <c r="AA79" i="10"/>
  <c r="AA101" i="10"/>
  <c r="AK196" i="4"/>
  <c r="AJ323" i="30"/>
  <c r="AJ324" i="30" s="1"/>
  <c r="BW588" i="7"/>
  <c r="BW591" i="7" s="1"/>
  <c r="BW594" i="7" s="1"/>
  <c r="BX585" i="7"/>
  <c r="BX527" i="7" s="1"/>
  <c r="Q81" i="7"/>
  <c r="Q61" i="7"/>
  <c r="Q78" i="7"/>
  <c r="Q80" i="7"/>
  <c r="AV131" i="10"/>
  <c r="AV123" i="10" s="1"/>
  <c r="AW130" i="10"/>
  <c r="AW122" i="10" s="1"/>
  <c r="AF557" i="7"/>
  <c r="AF559" i="7"/>
  <c r="AF562" i="7" s="1"/>
  <c r="AU558" i="7"/>
  <c r="AU555" i="7"/>
  <c r="L142" i="7"/>
  <c r="L176" i="7" s="1"/>
  <c r="CH129" i="7" s="1"/>
  <c r="CK129" i="7" s="1"/>
  <c r="CL129" i="7" s="1"/>
  <c r="L175" i="7"/>
  <c r="V460" i="7"/>
  <c r="V427" i="7"/>
  <c r="V461" i="7" s="1"/>
  <c r="BE74" i="10"/>
  <c r="AP27" i="10"/>
  <c r="AP26" i="10"/>
  <c r="AY132" i="10"/>
  <c r="AY124" i="10" s="1"/>
  <c r="AW132" i="10"/>
  <c r="AW124" i="10" s="1"/>
  <c r="AV132" i="10"/>
  <c r="AV124" i="10" s="1"/>
  <c r="BO58" i="10"/>
  <c r="AO129" i="10"/>
  <c r="AO121" i="10" s="1"/>
  <c r="AM129" i="10"/>
  <c r="AM121" i="10" s="1"/>
  <c r="AP43" i="10"/>
  <c r="AP44" i="10" s="1"/>
  <c r="AP46" i="10" s="1"/>
  <c r="P146" i="14"/>
  <c r="AC146" i="14"/>
  <c r="Q66" i="7"/>
  <c r="BY310" i="4"/>
  <c r="L297" i="4"/>
  <c r="L351" i="4" s="1"/>
  <c r="AA301" i="4"/>
  <c r="AA355" i="4" s="1"/>
  <c r="AK310" i="4"/>
  <c r="AK364" i="4" s="1"/>
  <c r="AH455" i="3"/>
  <c r="K465" i="3"/>
  <c r="E210" i="4" s="1"/>
  <c r="E211" i="4" s="1"/>
  <c r="L244" i="4"/>
  <c r="I313" i="4"/>
  <c r="AZ176" i="4"/>
  <c r="AA190" i="4"/>
  <c r="AK176" i="4"/>
  <c r="L465" i="3"/>
  <c r="F210" i="4" s="1"/>
  <c r="F211" i="4" s="1"/>
  <c r="BJ301" i="4"/>
  <c r="BJ355" i="4" s="1"/>
  <c r="R516" i="3"/>
  <c r="AF264" i="4" s="1"/>
  <c r="F216" i="4"/>
  <c r="W516" i="3"/>
  <c r="BE264" i="4" s="1"/>
  <c r="U516" i="3"/>
  <c r="AU264" i="4" s="1"/>
  <c r="AU265" i="4" s="1"/>
  <c r="E176" i="4"/>
  <c r="CD297" i="4"/>
  <c r="W465" i="3"/>
  <c r="BE210" i="4" s="1"/>
  <c r="AL465" i="3"/>
  <c r="BY297" i="4"/>
  <c r="AC455" i="3"/>
  <c r="L455" i="3"/>
  <c r="F180" i="4" s="1"/>
  <c r="F288" i="4" s="1"/>
  <c r="F342" i="4" s="1"/>
  <c r="O455" i="3"/>
  <c r="Q180" i="4" s="1"/>
  <c r="P465" i="3"/>
  <c r="V210" i="4" s="1"/>
  <c r="CD310" i="4"/>
  <c r="AA216" i="4"/>
  <c r="G176" i="4"/>
  <c r="T516" i="3"/>
  <c r="V176" i="4"/>
  <c r="AZ304" i="1"/>
  <c r="AZ358" i="1" s="1"/>
  <c r="AA409" i="2"/>
  <c r="BY187" i="1" s="1"/>
  <c r="BY295" i="1" s="1"/>
  <c r="BO304" i="1"/>
  <c r="BO358" i="1" s="1"/>
  <c r="O419" i="2"/>
  <c r="Q217" i="1" s="1"/>
  <c r="Q325" i="1" s="1"/>
  <c r="CD320" i="1"/>
  <c r="AC409" i="2"/>
  <c r="AE277" i="1"/>
  <c r="T472" i="3"/>
  <c r="AP179" i="4" s="1"/>
  <c r="L516" i="3"/>
  <c r="F264" i="4" s="1"/>
  <c r="F265" i="4" s="1"/>
  <c r="W455" i="3"/>
  <c r="BE180" i="4" s="1"/>
  <c r="N455" i="3"/>
  <c r="L180" i="4" s="1"/>
  <c r="AJ465" i="3"/>
  <c r="BO297" i="4"/>
  <c r="AC472" i="3"/>
  <c r="AZ310" i="4"/>
  <c r="AZ364" i="4" s="1"/>
  <c r="BO48" i="10"/>
  <c r="BO95" i="10" s="1"/>
  <c r="BO96" i="10" s="1"/>
  <c r="M323" i="30"/>
  <c r="M324" i="30" s="1"/>
  <c r="AK495" i="3"/>
  <c r="R323" i="30"/>
  <c r="R324" i="30" s="1"/>
  <c r="AL323" i="30"/>
  <c r="AL324" i="30" s="1"/>
  <c r="AC323" i="30"/>
  <c r="AC324" i="30" s="1"/>
  <c r="F176" i="4"/>
  <c r="F322" i="4"/>
  <c r="F376" i="4" s="1"/>
  <c r="F378" i="4" s="1"/>
  <c r="BT297" i="4"/>
  <c r="P516" i="3"/>
  <c r="V264" i="4" s="1"/>
  <c r="AF455" i="3"/>
  <c r="AF48" i="10"/>
  <c r="AF49" i="10" s="1"/>
  <c r="W323" i="30"/>
  <c r="W324" i="30" s="1"/>
  <c r="AB323" i="30"/>
  <c r="AB324" i="30" s="1"/>
  <c r="AG323" i="30"/>
  <c r="AG324" i="30" s="1"/>
  <c r="X323" i="30"/>
  <c r="X324" i="30" s="1"/>
  <c r="K323" i="30"/>
  <c r="K324" i="30" s="1"/>
  <c r="AH323" i="30"/>
  <c r="AH324" i="30" s="1"/>
  <c r="AZ95" i="10"/>
  <c r="AZ96" i="10" s="1"/>
  <c r="BT95" i="10"/>
  <c r="BT96" i="10" s="1"/>
  <c r="U323" i="30"/>
  <c r="U324" i="30" s="1"/>
  <c r="S323" i="30"/>
  <c r="S324" i="30" s="1"/>
  <c r="O323" i="30"/>
  <c r="O324" i="30" s="1"/>
  <c r="L95" i="10"/>
  <c r="L96" i="10" s="1"/>
  <c r="F95" i="10"/>
  <c r="F96" i="10" s="1"/>
  <c r="AP196" i="4"/>
  <c r="V301" i="4"/>
  <c r="Q465" i="3"/>
  <c r="AA210" i="4" s="1"/>
  <c r="Y455" i="3"/>
  <c r="BO180" i="4" s="1"/>
  <c r="U455" i="3"/>
  <c r="AU180" i="4" s="1"/>
  <c r="AA455" i="3"/>
  <c r="BY180" i="4" s="1"/>
  <c r="E281" i="4"/>
  <c r="AF190" i="4"/>
  <c r="U472" i="3"/>
  <c r="AU179" i="4" s="1"/>
  <c r="K516" i="3"/>
  <c r="E264" i="4" s="1"/>
  <c r="E265" i="4" s="1"/>
  <c r="BJ95" i="10"/>
  <c r="BJ96" i="10" s="1"/>
  <c r="F310" i="4"/>
  <c r="F364" i="4" s="1"/>
  <c r="AF310" i="4"/>
  <c r="AF364" i="4" s="1"/>
  <c r="L323" i="30"/>
  <c r="L324" i="30" s="1"/>
  <c r="AL455" i="3"/>
  <c r="AB516" i="3"/>
  <c r="CD264" i="4" s="1"/>
  <c r="V323" i="30"/>
  <c r="V324" i="30" s="1"/>
  <c r="Z323" i="30"/>
  <c r="Z324" i="30" s="1"/>
  <c r="AX136" i="14"/>
  <c r="AX138" i="14" s="1"/>
  <c r="AX146" i="14" s="1"/>
  <c r="G95" i="10"/>
  <c r="G96" i="10" s="1"/>
  <c r="AA323" i="30"/>
  <c r="AA324" i="30" s="1"/>
  <c r="Q69" i="7"/>
  <c r="CD95" i="10"/>
  <c r="BY95" i="10"/>
  <c r="BY96" i="10" s="1"/>
  <c r="CD190" i="4"/>
  <c r="V297" i="4"/>
  <c r="V351" i="4" s="1"/>
  <c r="AA310" i="4"/>
  <c r="AA364" i="4" s="1"/>
  <c r="AU310" i="4"/>
  <c r="AU364" i="4" s="1"/>
  <c r="AD146" i="14"/>
  <c r="AI113" i="14"/>
  <c r="AI105" i="14"/>
  <c r="BO320" i="1"/>
  <c r="BO374" i="1" s="1"/>
  <c r="AF558" i="7"/>
  <c r="AF560" i="7"/>
  <c r="T323" i="30"/>
  <c r="T324" i="30" s="1"/>
  <c r="N323" i="30"/>
  <c r="N324" i="30" s="1"/>
  <c r="AU95" i="10"/>
  <c r="AU96" i="10" s="1"/>
  <c r="Q68" i="7"/>
  <c r="AZ196" i="4"/>
  <c r="I26" i="12"/>
  <c r="AR26" i="12"/>
  <c r="AI12" i="12"/>
  <c r="AI15" i="12" s="1"/>
  <c r="AZ51" i="12"/>
  <c r="AZ59" i="12" s="1"/>
  <c r="AW12" i="12"/>
  <c r="AW15" i="12" s="1"/>
  <c r="AJ12" i="12"/>
  <c r="J12" i="12"/>
  <c r="AK60" i="12"/>
  <c r="AK59" i="12" s="1"/>
  <c r="AK187" i="12"/>
  <c r="Z12" i="12"/>
  <c r="Z15" i="12" s="1"/>
  <c r="AV12" i="12"/>
  <c r="AV15" i="12" s="1"/>
  <c r="X14" i="12"/>
  <c r="AU60" i="12"/>
  <c r="AU59" i="12" s="1"/>
  <c r="AU187" i="12"/>
  <c r="AV186" i="12" s="1"/>
  <c r="AG12" i="12"/>
  <c r="AG15" i="12" s="1"/>
  <c r="AM12" i="12"/>
  <c r="AM15" i="12" s="1"/>
  <c r="AR114" i="6"/>
  <c r="AU114" i="6" s="1"/>
  <c r="AU97" i="6"/>
  <c r="AH113" i="14"/>
  <c r="AH105" i="14"/>
  <c r="N146" i="14"/>
  <c r="H146" i="14"/>
  <c r="CB52" i="27"/>
  <c r="CD12" i="69"/>
  <c r="BQ25" i="6"/>
  <c r="BQ345" i="7" s="1"/>
  <c r="BQ24" i="6"/>
  <c r="BQ26" i="6"/>
  <c r="BQ548" i="7" s="1"/>
  <c r="BT12" i="6"/>
  <c r="BP59" i="13"/>
  <c r="BQ59" i="13" s="1"/>
  <c r="BR59" i="13" s="1"/>
  <c r="BS59" i="13" s="1"/>
  <c r="BT59" i="13" s="1"/>
  <c r="BU42" i="13"/>
  <c r="BV42" i="13" s="1"/>
  <c r="BW42" i="13" s="1"/>
  <c r="BX42" i="13" s="1"/>
  <c r="BY42" i="13" s="1"/>
  <c r="BU31" i="13"/>
  <c r="BV31" i="13" s="1"/>
  <c r="BW31" i="13" s="1"/>
  <c r="BX31" i="13" s="1"/>
  <c r="BY31" i="13" s="1"/>
  <c r="BP29" i="13"/>
  <c r="BQ29" i="13" s="1"/>
  <c r="BR29" i="13" s="1"/>
  <c r="BS29" i="13" s="1"/>
  <c r="BT29" i="13" s="1"/>
  <c r="BP26" i="13"/>
  <c r="BQ26" i="13" s="1"/>
  <c r="BR26" i="13" s="1"/>
  <c r="BS26" i="13" s="1"/>
  <c r="BT26" i="13" s="1"/>
  <c r="BP22" i="13"/>
  <c r="BQ22" i="13" s="1"/>
  <c r="BR22" i="13" s="1"/>
  <c r="BS22" i="13" s="1"/>
  <c r="BT22" i="13" s="1"/>
  <c r="BP21" i="13"/>
  <c r="BQ21" i="13" s="1"/>
  <c r="BR21" i="13" s="1"/>
  <c r="BS21" i="13" s="1"/>
  <c r="BT21" i="13" s="1"/>
  <c r="BP20" i="13"/>
  <c r="BQ20" i="13" s="1"/>
  <c r="BR20" i="13" s="1"/>
  <c r="BS20" i="13" s="1"/>
  <c r="BT20" i="13" s="1"/>
  <c r="BP19" i="13"/>
  <c r="BQ19" i="13" s="1"/>
  <c r="BR19" i="13" s="1"/>
  <c r="BS19" i="13" s="1"/>
  <c r="BT19" i="13" s="1"/>
  <c r="BZ17" i="13"/>
  <c r="CA17" i="13" s="1"/>
  <c r="CB17" i="13" s="1"/>
  <c r="CC17" i="13" s="1"/>
  <c r="CD17" i="13" s="1"/>
  <c r="BT108" i="12"/>
  <c r="BO107" i="12"/>
  <c r="BJ107" i="27"/>
  <c r="BP58" i="7"/>
  <c r="G216" i="4"/>
  <c r="Q495" i="3"/>
  <c r="AA472" i="3"/>
  <c r="BY179" i="4" s="1"/>
  <c r="Z455" i="3"/>
  <c r="BT180" i="4" s="1"/>
  <c r="AE516" i="3"/>
  <c r="AE526" i="3" s="1"/>
  <c r="V444" i="3"/>
  <c r="R472" i="3"/>
  <c r="AF179" i="4" s="1"/>
  <c r="AL516" i="3"/>
  <c r="AL526" i="3" s="1"/>
  <c r="AA516" i="3"/>
  <c r="BY264" i="4" s="1"/>
  <c r="K472" i="3"/>
  <c r="E179" i="4" s="1"/>
  <c r="E287" i="4" s="1"/>
  <c r="BY176" i="4"/>
  <c r="AH516" i="3"/>
  <c r="AH526" i="3" s="1"/>
  <c r="AG516" i="3"/>
  <c r="AG526" i="3" s="1"/>
  <c r="S516" i="3"/>
  <c r="AF472" i="3"/>
  <c r="AD495" i="3"/>
  <c r="O465" i="3"/>
  <c r="Q210" i="4" s="1"/>
  <c r="AE472" i="3"/>
  <c r="AI472" i="3"/>
  <c r="O516" i="3"/>
  <c r="Q264" i="4" s="1"/>
  <c r="Y495" i="3"/>
  <c r="AD472" i="3"/>
  <c r="K455" i="3"/>
  <c r="E180" i="4" s="1"/>
  <c r="E288" i="4" s="1"/>
  <c r="E342" i="4" s="1"/>
  <c r="AI465" i="3"/>
  <c r="P472" i="3"/>
  <c r="V179" i="4" s="1"/>
  <c r="BY216" i="4"/>
  <c r="Y516" i="3"/>
  <c r="Q190" i="4"/>
  <c r="AJ516" i="3"/>
  <c r="AJ526" i="3" s="1"/>
  <c r="N472" i="3"/>
  <c r="L179" i="4" s="1"/>
  <c r="AK516" i="3"/>
  <c r="AK526" i="3" s="1"/>
  <c r="E216" i="4"/>
  <c r="AB444" i="3"/>
  <c r="AA444" i="3"/>
  <c r="AA322" i="4"/>
  <c r="AA376" i="4" s="1"/>
  <c r="V281" i="4"/>
  <c r="V335" i="4" s="1"/>
  <c r="AB495" i="3"/>
  <c r="K444" i="3"/>
  <c r="AH495" i="3"/>
  <c r="AU190" i="4"/>
  <c r="V455" i="3"/>
  <c r="AZ180" i="4" s="1"/>
  <c r="AF297" i="4"/>
  <c r="AE444" i="3"/>
  <c r="K495" i="3"/>
  <c r="S472" i="3"/>
  <c r="AK179" i="4" s="1"/>
  <c r="Z516" i="3"/>
  <c r="BT264" i="4" s="1"/>
  <c r="P455" i="3"/>
  <c r="V180" i="4" s="1"/>
  <c r="AD516" i="3"/>
  <c r="AD526" i="3" s="1"/>
  <c r="X465" i="3"/>
  <c r="BJ210" i="4" s="1"/>
  <c r="AB472" i="3"/>
  <c r="CD179" i="4" s="1"/>
  <c r="L495" i="3"/>
  <c r="AK472" i="3"/>
  <c r="AI516" i="3"/>
  <c r="AI526" i="3" s="1"/>
  <c r="R455" i="3"/>
  <c r="AF180" i="4" s="1"/>
  <c r="CD301" i="4"/>
  <c r="V465" i="3"/>
  <c r="AZ210" i="4" s="1"/>
  <c r="AH472" i="3"/>
  <c r="AK455" i="3"/>
  <c r="Z472" i="3"/>
  <c r="BT179" i="4" s="1"/>
  <c r="AB455" i="3"/>
  <c r="CD180" i="4" s="1"/>
  <c r="AZ297" i="4"/>
  <c r="AZ351" i="4" s="1"/>
  <c r="T495" i="3"/>
  <c r="AG472" i="3"/>
  <c r="BT190" i="4"/>
  <c r="AB465" i="3"/>
  <c r="CD210" i="4" s="1"/>
  <c r="L472" i="3"/>
  <c r="F179" i="4" s="1"/>
  <c r="F287" i="4" s="1"/>
  <c r="F341" i="4" s="1"/>
  <c r="Q516" i="3"/>
  <c r="AA264" i="4" s="1"/>
  <c r="M495" i="3"/>
  <c r="R444" i="3"/>
  <c r="Q176" i="4"/>
  <c r="V190" i="4"/>
  <c r="M472" i="3"/>
  <c r="G179" i="4" s="1"/>
  <c r="G287" i="4" s="1"/>
  <c r="S455" i="3"/>
  <c r="AK180" i="4" s="1"/>
  <c r="AP301" i="4"/>
  <c r="AP355" i="4" s="1"/>
  <c r="S444" i="3"/>
  <c r="L176" i="4"/>
  <c r="Y472" i="3"/>
  <c r="BO179" i="4" s="1"/>
  <c r="Q472" i="3"/>
  <c r="AA179" i="4" s="1"/>
  <c r="U495" i="3"/>
  <c r="CD176" i="4"/>
  <c r="BY281" i="4"/>
  <c r="P495" i="3"/>
  <c r="AF495" i="3"/>
  <c r="L196" i="4"/>
  <c r="BT216" i="4"/>
  <c r="BY190" i="4"/>
  <c r="AE495" i="3"/>
  <c r="R495" i="3"/>
  <c r="AI495" i="3"/>
  <c r="BJ190" i="4"/>
  <c r="G244" i="4"/>
  <c r="O444" i="3"/>
  <c r="F190" i="4"/>
  <c r="AK190" i="4"/>
  <c r="G297" i="4"/>
  <c r="G351" i="4" s="1"/>
  <c r="AD455" i="3"/>
  <c r="V472" i="3"/>
  <c r="AZ179" i="4" s="1"/>
  <c r="Y465" i="3"/>
  <c r="BO210" i="4" s="1"/>
  <c r="Z465" i="3"/>
  <c r="BT210" i="4" s="1"/>
  <c r="AA297" i="4"/>
  <c r="AA351" i="4" s="1"/>
  <c r="AF301" i="4"/>
  <c r="E190" i="4"/>
  <c r="AK301" i="4"/>
  <c r="AK355" i="4" s="1"/>
  <c r="AF516" i="3"/>
  <c r="AF526" i="3" s="1"/>
  <c r="AF176" i="4"/>
  <c r="L216" i="4"/>
  <c r="AZ190" i="4"/>
  <c r="AP176" i="4"/>
  <c r="BO176" i="4"/>
  <c r="BO196" i="4"/>
  <c r="AA176" i="4"/>
  <c r="AJ472" i="3"/>
  <c r="BT176" i="4"/>
  <c r="X472" i="3"/>
  <c r="BJ179" i="4" s="1"/>
  <c r="V310" i="4"/>
  <c r="V364" i="4" s="1"/>
  <c r="BJ310" i="4"/>
  <c r="BJ364" i="4" s="1"/>
  <c r="O495" i="3"/>
  <c r="CD216" i="4"/>
  <c r="AC495" i="3"/>
  <c r="Q216" i="4"/>
  <c r="AF216" i="4"/>
  <c r="AF196" i="4"/>
  <c r="L190" i="4"/>
  <c r="Q455" i="3"/>
  <c r="AA180" i="4" s="1"/>
  <c r="AE455" i="3"/>
  <c r="O472" i="3"/>
  <c r="Q179" i="4" s="1"/>
  <c r="AL472" i="3"/>
  <c r="AP297" i="4"/>
  <c r="AP351" i="4" s="1"/>
  <c r="R465" i="3"/>
  <c r="AF210" i="4" s="1"/>
  <c r="AH444" i="3"/>
  <c r="F244" i="4"/>
  <c r="W472" i="3"/>
  <c r="BE179" i="4" s="1"/>
  <c r="AK216" i="4"/>
  <c r="AK322" i="4"/>
  <c r="AC444" i="3"/>
  <c r="AF444" i="3"/>
  <c r="BO190" i="4"/>
  <c r="G293" i="4"/>
  <c r="G347" i="4" s="1"/>
  <c r="AG444" i="3"/>
  <c r="Q444" i="3"/>
  <c r="P444" i="3"/>
  <c r="AL495" i="3"/>
  <c r="AD444" i="3"/>
  <c r="W444" i="3"/>
  <c r="AG495" i="3"/>
  <c r="AL444" i="3"/>
  <c r="BJ196" i="4"/>
  <c r="AZ315" i="4"/>
  <c r="AZ369" i="4" s="1"/>
  <c r="X495" i="3"/>
  <c r="AU216" i="4"/>
  <c r="AA196" i="4"/>
  <c r="N516" i="3"/>
  <c r="L264" i="4" s="1"/>
  <c r="G378" i="4"/>
  <c r="BP698" i="7"/>
  <c r="BP535" i="7" s="1"/>
  <c r="BY698" i="7"/>
  <c r="G460" i="7"/>
  <c r="G427" i="7"/>
  <c r="G146" i="14"/>
  <c r="V56" i="37"/>
  <c r="V141" i="14"/>
  <c r="V134" i="14"/>
  <c r="T142" i="14"/>
  <c r="T143" i="14" s="1"/>
  <c r="T146" i="14" s="1"/>
  <c r="G190" i="4"/>
  <c r="Z495" i="3"/>
  <c r="Z444" i="3"/>
  <c r="AA495" i="3"/>
  <c r="L444" i="3"/>
  <c r="N495" i="3"/>
  <c r="AK444" i="3"/>
  <c r="Y444" i="3"/>
  <c r="T444" i="3"/>
  <c r="CD196" i="4"/>
  <c r="U444" i="3"/>
  <c r="N444" i="3"/>
  <c r="AP216" i="4"/>
  <c r="G324" i="4"/>
  <c r="G390" i="4" s="1"/>
  <c r="AJ495" i="3"/>
  <c r="BT196" i="4"/>
  <c r="AP296" i="4"/>
  <c r="AP190" i="4"/>
  <c r="G296" i="4"/>
  <c r="G350" i="4" s="1"/>
  <c r="Q301" i="4"/>
  <c r="Q196" i="4"/>
  <c r="CB857" i="7"/>
  <c r="CC802" i="7"/>
  <c r="AU699" i="7"/>
  <c r="AU16" i="7" s="1"/>
  <c r="AU732" i="7"/>
  <c r="BX802" i="7"/>
  <c r="BW857" i="7"/>
  <c r="BZ537" i="7"/>
  <c r="CA537" i="7" s="1"/>
  <c r="P319" i="1"/>
  <c r="AE319" i="1"/>
  <c r="AJ419" i="2"/>
  <c r="AD419" i="2"/>
  <c r="P426" i="2"/>
  <c r="V186" i="1" s="1"/>
  <c r="V294" i="1" s="1"/>
  <c r="AG409" i="2"/>
  <c r="AZ266" i="1"/>
  <c r="AZ97" i="1" s="1"/>
  <c r="AZ301" i="1"/>
  <c r="AZ355" i="1" s="1"/>
  <c r="AZ197" i="1"/>
  <c r="AZ378" i="1"/>
  <c r="AZ315" i="1"/>
  <c r="AZ183" i="1"/>
  <c r="AZ288" i="1"/>
  <c r="AZ329" i="1"/>
  <c r="AZ223" i="1"/>
  <c r="AZ318" i="1"/>
  <c r="AZ372" i="1" s="1"/>
  <c r="J316" i="4"/>
  <c r="V495" i="3"/>
  <c r="S495" i="3"/>
  <c r="BJ176" i="4"/>
  <c r="AI444" i="3"/>
  <c r="M444" i="3"/>
  <c r="W495" i="3"/>
  <c r="V516" i="3"/>
  <c r="AZ264" i="4" s="1"/>
  <c r="AJ444" i="3"/>
  <c r="X444" i="3"/>
  <c r="BT301" i="4"/>
  <c r="AU176" i="4"/>
  <c r="AU282" i="4"/>
  <c r="BY301" i="4"/>
  <c r="I235" i="4"/>
  <c r="I316" i="4"/>
  <c r="AA12" i="7"/>
  <c r="AA14" i="7" s="1"/>
  <c r="AA792" i="7"/>
  <c r="AK12" i="7"/>
  <c r="AK14" i="7" s="1"/>
  <c r="AK792" i="7"/>
  <c r="AZ215" i="9"/>
  <c r="AZ209" i="9" s="1"/>
  <c r="CO44" i="7" s="1"/>
  <c r="G266" i="7"/>
  <c r="G232" i="7"/>
  <c r="G267" i="7" s="1"/>
  <c r="V266" i="7"/>
  <c r="V232" i="7"/>
  <c r="V267" i="7" s="1"/>
  <c r="CH221" i="7" s="1"/>
  <c r="CK221" i="7" s="1"/>
  <c r="CL221" i="7" s="1"/>
  <c r="BX862" i="7"/>
  <c r="G142" i="7"/>
  <c r="G175" i="7"/>
  <c r="H323" i="7"/>
  <c r="AP699" i="7"/>
  <c r="AP16" i="7" s="1"/>
  <c r="AP732" i="7"/>
  <c r="L232" i="7"/>
  <c r="L267" i="7" s="1"/>
  <c r="CH219" i="7" s="1"/>
  <c r="CK219" i="7" s="1"/>
  <c r="CL219" i="7" s="1"/>
  <c r="L266" i="7"/>
  <c r="Q175" i="7"/>
  <c r="Q142" i="7"/>
  <c r="Q176" i="7" s="1"/>
  <c r="CH130" i="7" s="1"/>
  <c r="CK130" i="7" s="1"/>
  <c r="CL130" i="7" s="1"/>
  <c r="AU753" i="7"/>
  <c r="CJ43" i="7" s="1"/>
  <c r="BR862" i="7"/>
  <c r="T736" i="7"/>
  <c r="BS807" i="7"/>
  <c r="AP266" i="7"/>
  <c r="AP232" i="7"/>
  <c r="AP267" i="7" s="1"/>
  <c r="CH225" i="7" s="1"/>
  <c r="CK225" i="7" s="1"/>
  <c r="CL225" i="7" s="1"/>
  <c r="AU164" i="5"/>
  <c r="CL64" i="69"/>
  <c r="BB27" i="69"/>
  <c r="BB28" i="69" s="1"/>
  <c r="BB73" i="14"/>
  <c r="CL72" i="69"/>
  <c r="BU11" i="27"/>
  <c r="BU27" i="69"/>
  <c r="BU28" i="69" s="1"/>
  <c r="BU73" i="14"/>
  <c r="BS52" i="27"/>
  <c r="BT12" i="69"/>
  <c r="V76" i="69"/>
  <c r="AB76" i="69"/>
  <c r="AF76" i="69" s="1"/>
  <c r="AM146" i="14"/>
  <c r="L141" i="14"/>
  <c r="G105" i="13"/>
  <c r="U146" i="14"/>
  <c r="Q131" i="27"/>
  <c r="AF116" i="10"/>
  <c r="AA116" i="10"/>
  <c r="AK116" i="10"/>
  <c r="AO146" i="14"/>
  <c r="Q114" i="13"/>
  <c r="Q115" i="13" s="1"/>
  <c r="AV136" i="14"/>
  <c r="AV138" i="14" s="1"/>
  <c r="BJ33" i="6"/>
  <c r="BJ549" i="7" s="1"/>
  <c r="BO33" i="6"/>
  <c r="BO549" i="7" s="1"/>
  <c r="AP164" i="5"/>
  <c r="AP102" i="10" s="1"/>
  <c r="L164" i="5"/>
  <c r="BP36" i="13"/>
  <c r="BQ36" i="13" s="1"/>
  <c r="BR36" i="13" s="1"/>
  <c r="BS36" i="13" s="1"/>
  <c r="BB133" i="13"/>
  <c r="BP16" i="13"/>
  <c r="BQ16" i="13" s="1"/>
  <c r="BR16" i="13" s="1"/>
  <c r="BS16" i="13" s="1"/>
  <c r="BT16" i="13" s="1"/>
  <c r="BJ19" i="14"/>
  <c r="BO104" i="6"/>
  <c r="AZ114" i="6"/>
  <c r="AZ97" i="6"/>
  <c r="AZ121" i="6"/>
  <c r="AZ104" i="6"/>
  <c r="AZ115" i="6"/>
  <c r="AZ98" i="6"/>
  <c r="F209" i="9"/>
  <c r="F212" i="9"/>
  <c r="F72" i="7" s="1"/>
  <c r="L65" i="9"/>
  <c r="L72" i="9" s="1"/>
  <c r="G219" i="9"/>
  <c r="G215" i="9"/>
  <c r="BJ110" i="10"/>
  <c r="BY112" i="10" s="1"/>
  <c r="AE375" i="7"/>
  <c r="AE394" i="7" s="1"/>
  <c r="AE413" i="7" s="1"/>
  <c r="BR19" i="6"/>
  <c r="BQ33" i="6"/>
  <c r="AE317" i="1"/>
  <c r="AB409" i="2"/>
  <c r="CD187" i="1" s="1"/>
  <c r="CD295" i="1" s="1"/>
  <c r="Y426" i="2"/>
  <c r="BO186" i="1" s="1"/>
  <c r="BO294" i="1" s="1"/>
  <c r="BO348" i="1" s="1"/>
  <c r="AL426" i="2"/>
  <c r="H266" i="1"/>
  <c r="I266" i="1" s="1"/>
  <c r="J266" i="1" s="1"/>
  <c r="J276" i="1"/>
  <c r="I277" i="1"/>
  <c r="U314" i="1"/>
  <c r="AE314" i="1"/>
  <c r="K447" i="2"/>
  <c r="K426" i="2"/>
  <c r="E186" i="1" s="1"/>
  <c r="E294" i="1" s="1"/>
  <c r="X426" i="2"/>
  <c r="BJ186" i="1" s="1"/>
  <c r="BJ294" i="1" s="1"/>
  <c r="BJ348" i="1" s="1"/>
  <c r="AK304" i="1"/>
  <c r="AK358" i="1" s="1"/>
  <c r="AF426" i="2"/>
  <c r="Q409" i="2"/>
  <c r="AA187" i="1" s="1"/>
  <c r="X187" i="1" s="1"/>
  <c r="AA419" i="2"/>
  <c r="BY217" i="1" s="1"/>
  <c r="BY325" i="1" s="1"/>
  <c r="X409" i="2"/>
  <c r="BJ187" i="1" s="1"/>
  <c r="BJ295" i="1" s="1"/>
  <c r="BJ349" i="1" s="1"/>
  <c r="T409" i="2"/>
  <c r="AP187" i="1" s="1"/>
  <c r="AP295" i="1" s="1"/>
  <c r="AP349" i="1" s="1"/>
  <c r="CD304" i="1"/>
  <c r="AH419" i="2"/>
  <c r="E304" i="1"/>
  <c r="E358" i="1" s="1"/>
  <c r="AB419" i="2"/>
  <c r="CD217" i="1" s="1"/>
  <c r="CD218" i="1" s="1"/>
  <c r="Z317" i="1"/>
  <c r="P314" i="1"/>
  <c r="Z314" i="1"/>
  <c r="BO10" i="14"/>
  <c r="AJ409" i="2"/>
  <c r="BJ10" i="14"/>
  <c r="BY322" i="1"/>
  <c r="BJ304" i="1"/>
  <c r="BJ358" i="1" s="1"/>
  <c r="CD289" i="1"/>
  <c r="CD254" i="1"/>
  <c r="BY77" i="1"/>
  <c r="BY300" i="1"/>
  <c r="BO288" i="1"/>
  <c r="BO342" i="1" s="1"/>
  <c r="BO345" i="1" s="1"/>
  <c r="BO183" i="1"/>
  <c r="V402" i="2"/>
  <c r="AZ200" i="1" s="1"/>
  <c r="V397" i="2"/>
  <c r="BO254" i="1"/>
  <c r="AU322" i="1"/>
  <c r="AP322" i="1"/>
  <c r="AB264" i="1"/>
  <c r="AD264" i="1"/>
  <c r="AC264" i="1"/>
  <c r="AF272" i="1"/>
  <c r="AF318" i="1"/>
  <c r="AF254" i="1"/>
  <c r="AC454" i="2"/>
  <c r="AC479" i="2" s="1"/>
  <c r="AC447" i="2"/>
  <c r="M216" i="1"/>
  <c r="N216" i="1"/>
  <c r="O216" i="1"/>
  <c r="Q324" i="1"/>
  <c r="AB215" i="1"/>
  <c r="AC215" i="1"/>
  <c r="AD215" i="1"/>
  <c r="AF323" i="1"/>
  <c r="AK290" i="1"/>
  <c r="Q302" i="1"/>
  <c r="M194" i="1"/>
  <c r="N194" i="1"/>
  <c r="Q197" i="1"/>
  <c r="O194" i="1"/>
  <c r="V316" i="1"/>
  <c r="R208" i="1"/>
  <c r="S208" i="1"/>
  <c r="T208" i="1"/>
  <c r="V315" i="1"/>
  <c r="S207" i="1"/>
  <c r="R207" i="1"/>
  <c r="T207" i="1"/>
  <c r="X221" i="1"/>
  <c r="W221" i="1"/>
  <c r="Y221" i="1"/>
  <c r="AA223" i="1"/>
  <c r="AA329" i="1"/>
  <c r="P402" i="2"/>
  <c r="P397" i="2"/>
  <c r="E272" i="1"/>
  <c r="E318" i="1"/>
  <c r="E372" i="1" s="1"/>
  <c r="BJ254" i="1"/>
  <c r="U447" i="2"/>
  <c r="U454" i="2"/>
  <c r="AU245" i="1" s="1"/>
  <c r="Y454" i="2"/>
  <c r="BO245" i="1" s="1"/>
  <c r="Y447" i="2"/>
  <c r="BO289" i="1"/>
  <c r="BO343" i="1" s="1"/>
  <c r="W454" i="2"/>
  <c r="BE245" i="1" s="1"/>
  <c r="W447" i="2"/>
  <c r="BT322" i="1"/>
  <c r="Z426" i="2"/>
  <c r="BT186" i="1" s="1"/>
  <c r="BT223" i="1"/>
  <c r="BT329" i="1"/>
  <c r="AU315" i="1"/>
  <c r="E183" i="1"/>
  <c r="E288" i="1"/>
  <c r="CD300" i="1"/>
  <c r="CD77" i="1"/>
  <c r="BO272" i="1"/>
  <c r="BO318" i="1"/>
  <c r="BO372" i="1" s="1"/>
  <c r="N271" i="1"/>
  <c r="O271" i="1"/>
  <c r="M271" i="1"/>
  <c r="M264" i="1"/>
  <c r="Q272" i="1"/>
  <c r="N264" i="1"/>
  <c r="O264" i="1"/>
  <c r="Q318" i="1"/>
  <c r="AH454" i="2"/>
  <c r="AH479" i="2" s="1"/>
  <c r="AH447" i="2"/>
  <c r="N454" i="2"/>
  <c r="L245" i="1" s="1"/>
  <c r="N447" i="2"/>
  <c r="V304" i="1"/>
  <c r="S196" i="1"/>
  <c r="T196" i="1"/>
  <c r="R196" i="1"/>
  <c r="L426" i="2"/>
  <c r="F186" i="1" s="1"/>
  <c r="V289" i="1"/>
  <c r="S181" i="1"/>
  <c r="T181" i="1"/>
  <c r="R181" i="1"/>
  <c r="N182" i="1"/>
  <c r="O182" i="1"/>
  <c r="Q290" i="1"/>
  <c r="M182" i="1"/>
  <c r="G364" i="1"/>
  <c r="H310" i="1"/>
  <c r="I310" i="1" s="1"/>
  <c r="J310" i="1" s="1"/>
  <c r="K310" i="1" s="1"/>
  <c r="AD208" i="1"/>
  <c r="AC208" i="1"/>
  <c r="AF316" i="1"/>
  <c r="AB208" i="1"/>
  <c r="T402" i="2"/>
  <c r="T397" i="2"/>
  <c r="BY301" i="1"/>
  <c r="BY197" i="1"/>
  <c r="AU301" i="1"/>
  <c r="AU197" i="1"/>
  <c r="AU318" i="1"/>
  <c r="AU272" i="1"/>
  <c r="CD315" i="1"/>
  <c r="BT304" i="1"/>
  <c r="BJ290" i="1"/>
  <c r="BJ344" i="1" s="1"/>
  <c r="BJ289" i="1"/>
  <c r="BJ343" i="1" s="1"/>
  <c r="AK151" i="1"/>
  <c r="AK97" i="5"/>
  <c r="AK151" i="5" s="1"/>
  <c r="AK157" i="5" s="1"/>
  <c r="AK103" i="1"/>
  <c r="Y250" i="1"/>
  <c r="W250" i="1"/>
  <c r="X250" i="1"/>
  <c r="AK254" i="1"/>
  <c r="T454" i="2"/>
  <c r="AP245" i="1" s="1"/>
  <c r="T447" i="2"/>
  <c r="O426" i="2"/>
  <c r="Q186" i="1" s="1"/>
  <c r="G183" i="1"/>
  <c r="G288" i="1"/>
  <c r="AD212" i="1"/>
  <c r="AB212" i="1"/>
  <c r="AC212" i="1"/>
  <c r="AF320" i="1"/>
  <c r="N222" i="1"/>
  <c r="Q330" i="1"/>
  <c r="O222" i="1"/>
  <c r="M222" i="1"/>
  <c r="AF302" i="1"/>
  <c r="AC194" i="1"/>
  <c r="AB194" i="1"/>
  <c r="AD194" i="1"/>
  <c r="AF197" i="1"/>
  <c r="AF409" i="2"/>
  <c r="G315" i="1"/>
  <c r="T221" i="1"/>
  <c r="V223" i="1"/>
  <c r="S221" i="1"/>
  <c r="V329" i="1"/>
  <c r="R221" i="1"/>
  <c r="AE397" i="2"/>
  <c r="AE402" i="2"/>
  <c r="Y409" i="2"/>
  <c r="BO187" i="1" s="1"/>
  <c r="Z454" i="2"/>
  <c r="BT245" i="1" s="1"/>
  <c r="Z447" i="2"/>
  <c r="AU254" i="1"/>
  <c r="AU289" i="1"/>
  <c r="CD200" i="1"/>
  <c r="AB250" i="1"/>
  <c r="AC250" i="1"/>
  <c r="AD250" i="1"/>
  <c r="AK272" i="1"/>
  <c r="AK318" i="1"/>
  <c r="R454" i="2"/>
  <c r="AF245" i="1" s="1"/>
  <c r="R447" i="2"/>
  <c r="X216" i="1"/>
  <c r="AA324" i="1"/>
  <c r="W216" i="1"/>
  <c r="Y216" i="1"/>
  <c r="AK322" i="1"/>
  <c r="AE454" i="2"/>
  <c r="AE479" i="2" s="1"/>
  <c r="AE447" i="2"/>
  <c r="AI426" i="2"/>
  <c r="X180" i="1"/>
  <c r="AA288" i="1"/>
  <c r="AA183" i="1"/>
  <c r="Y180" i="1"/>
  <c r="W180" i="1"/>
  <c r="R195" i="1"/>
  <c r="S195" i="1"/>
  <c r="T195" i="1"/>
  <c r="V303" i="1"/>
  <c r="Q310" i="1"/>
  <c r="O202" i="1"/>
  <c r="M202" i="1"/>
  <c r="N202" i="1"/>
  <c r="X222" i="1"/>
  <c r="Y222" i="1"/>
  <c r="AA330" i="1"/>
  <c r="W222" i="1"/>
  <c r="AL409" i="2"/>
  <c r="L409" i="2"/>
  <c r="F187" i="1" s="1"/>
  <c r="F295" i="1" s="1"/>
  <c r="F349" i="1" s="1"/>
  <c r="AK315" i="1"/>
  <c r="G329" i="1"/>
  <c r="G223" i="1"/>
  <c r="S201" i="1"/>
  <c r="R201" i="1"/>
  <c r="V309" i="1"/>
  <c r="T201" i="1"/>
  <c r="S397" i="2"/>
  <c r="S402" i="2"/>
  <c r="CD288" i="1"/>
  <c r="CD183" i="1"/>
  <c r="F44" i="1"/>
  <c r="F321" i="1"/>
  <c r="AJ454" i="2"/>
  <c r="AJ479" i="2" s="1"/>
  <c r="AJ447" i="2"/>
  <c r="G44" i="1"/>
  <c r="G321" i="1"/>
  <c r="H321" i="1" s="1"/>
  <c r="I321" i="1" s="1"/>
  <c r="J321" i="1" s="1"/>
  <c r="K321" i="1" s="1"/>
  <c r="BO329" i="1"/>
  <c r="BO383" i="1" s="1"/>
  <c r="BO223" i="1"/>
  <c r="X454" i="2"/>
  <c r="BJ245" i="1" s="1"/>
  <c r="X447" i="2"/>
  <c r="S250" i="1"/>
  <c r="R250" i="1"/>
  <c r="T250" i="1"/>
  <c r="Q322" i="1"/>
  <c r="M268" i="1"/>
  <c r="O268" i="1"/>
  <c r="N268" i="1"/>
  <c r="H246" i="1"/>
  <c r="I246" i="1" s="1"/>
  <c r="J246" i="1" s="1"/>
  <c r="K246" i="1" s="1"/>
  <c r="G300" i="1"/>
  <c r="AD454" i="2"/>
  <c r="AD479" i="2" s="1"/>
  <c r="AD447" i="2"/>
  <c r="L304" i="1"/>
  <c r="L358" i="1" s="1"/>
  <c r="R426" i="2"/>
  <c r="AF186" i="1" s="1"/>
  <c r="F183" i="1"/>
  <c r="F288" i="1"/>
  <c r="AB213" i="1"/>
  <c r="AD213" i="1"/>
  <c r="AC213" i="1"/>
  <c r="AF321" i="1"/>
  <c r="Y181" i="1"/>
  <c r="X181" i="1"/>
  <c r="W181" i="1"/>
  <c r="AA289" i="1"/>
  <c r="R182" i="1"/>
  <c r="S182" i="1"/>
  <c r="V290" i="1"/>
  <c r="T182" i="1"/>
  <c r="Q419" i="2"/>
  <c r="AA217" i="1" s="1"/>
  <c r="T202" i="1"/>
  <c r="S202" i="1"/>
  <c r="R202" i="1"/>
  <c r="V310" i="1"/>
  <c r="T222" i="1"/>
  <c r="V330" i="1"/>
  <c r="R222" i="1"/>
  <c r="S222" i="1"/>
  <c r="AA197" i="1"/>
  <c r="Y194" i="1"/>
  <c r="X194" i="1"/>
  <c r="W194" i="1"/>
  <c r="AA302" i="1"/>
  <c r="AI409" i="2"/>
  <c r="F315" i="1"/>
  <c r="F369" i="1" s="1"/>
  <c r="O402" i="2"/>
  <c r="O397" i="2"/>
  <c r="BY183" i="1"/>
  <c r="BY288" i="1"/>
  <c r="AA397" i="2"/>
  <c r="AA402" i="2"/>
  <c r="BY329" i="1"/>
  <c r="BY223" i="1"/>
  <c r="U409" i="2"/>
  <c r="AU187" i="1" s="1"/>
  <c r="K397" i="2"/>
  <c r="K402" i="2"/>
  <c r="Z419" i="2"/>
  <c r="BT217" i="1" s="1"/>
  <c r="M402" i="2"/>
  <c r="M397" i="2"/>
  <c r="BO315" i="1"/>
  <c r="BO369" i="1" s="1"/>
  <c r="Y419" i="2"/>
  <c r="BO217" i="1" s="1"/>
  <c r="W426" i="2"/>
  <c r="BE186" i="1" s="1"/>
  <c r="V409" i="2"/>
  <c r="AZ187" i="1" s="1"/>
  <c r="AZ295" i="1" s="1"/>
  <c r="AZ349" i="1" s="1"/>
  <c r="AC271" i="1"/>
  <c r="AB271" i="1"/>
  <c r="AD271" i="1"/>
  <c r="Y268" i="1"/>
  <c r="W268" i="1"/>
  <c r="X268" i="1"/>
  <c r="AA322" i="1"/>
  <c r="T266" i="1"/>
  <c r="R266" i="1"/>
  <c r="S266" i="1"/>
  <c r="T264" i="1"/>
  <c r="V272" i="1"/>
  <c r="S264" i="1"/>
  <c r="V318" i="1"/>
  <c r="R264" i="1"/>
  <c r="N426" i="2"/>
  <c r="L186" i="1" s="1"/>
  <c r="H323" i="1"/>
  <c r="I323" i="1" s="1"/>
  <c r="J323" i="1" s="1"/>
  <c r="K323" i="1" s="1"/>
  <c r="G377" i="1"/>
  <c r="T180" i="1"/>
  <c r="V288" i="1"/>
  <c r="S180" i="1"/>
  <c r="V183" i="1"/>
  <c r="R180" i="1"/>
  <c r="AB195" i="1"/>
  <c r="AF303" i="1"/>
  <c r="AC195" i="1"/>
  <c r="AD195" i="1"/>
  <c r="O212" i="1"/>
  <c r="N212" i="1"/>
  <c r="M212" i="1"/>
  <c r="Q320" i="1"/>
  <c r="Q289" i="1"/>
  <c r="N181" i="1"/>
  <c r="O181" i="1"/>
  <c r="M181" i="1"/>
  <c r="M419" i="2"/>
  <c r="G217" i="1" s="1"/>
  <c r="G325" i="1" s="1"/>
  <c r="AC222" i="1"/>
  <c r="AB222" i="1"/>
  <c r="AD222" i="1"/>
  <c r="AF330" i="1"/>
  <c r="AE409" i="2"/>
  <c r="AD207" i="1"/>
  <c r="AB207" i="1"/>
  <c r="AC207" i="1"/>
  <c r="AF315" i="1"/>
  <c r="F329" i="1"/>
  <c r="F223" i="1"/>
  <c r="AH397" i="2"/>
  <c r="AH402" i="2"/>
  <c r="K419" i="2"/>
  <c r="E217" i="1" s="1"/>
  <c r="E325" i="1" s="1"/>
  <c r="BJ322" i="1"/>
  <c r="BJ376" i="1" s="1"/>
  <c r="AA426" i="2"/>
  <c r="BY186" i="1" s="1"/>
  <c r="AU288" i="1"/>
  <c r="AU183" i="1"/>
  <c r="BY272" i="1"/>
  <c r="BY95" i="1"/>
  <c r="BY318" i="1"/>
  <c r="BT301" i="1"/>
  <c r="BT197" i="1"/>
  <c r="BT290" i="1"/>
  <c r="W409" i="2"/>
  <c r="BE187" i="1" s="1"/>
  <c r="BE295" i="1" s="1"/>
  <c r="BE349" i="1" s="1"/>
  <c r="O250" i="1"/>
  <c r="N250" i="1"/>
  <c r="M250" i="1"/>
  <c r="R271" i="1"/>
  <c r="S271" i="1"/>
  <c r="T271" i="1"/>
  <c r="N246" i="1"/>
  <c r="O246" i="1"/>
  <c r="Q300" i="1"/>
  <c r="M246" i="1"/>
  <c r="AI454" i="2"/>
  <c r="AI479" i="2" s="1"/>
  <c r="AI447" i="2"/>
  <c r="AA304" i="1"/>
  <c r="W196" i="1"/>
  <c r="Y196" i="1"/>
  <c r="X196" i="1"/>
  <c r="AG426" i="2"/>
  <c r="AD182" i="1"/>
  <c r="AC182" i="1"/>
  <c r="AF290" i="1"/>
  <c r="AB182" i="1"/>
  <c r="P419" i="2"/>
  <c r="V217" i="1" s="1"/>
  <c r="R409" i="2"/>
  <c r="AF187" i="1" s="1"/>
  <c r="L315" i="1"/>
  <c r="AL402" i="2"/>
  <c r="AL397" i="2"/>
  <c r="N397" i="2"/>
  <c r="N402" i="2"/>
  <c r="AC426" i="2"/>
  <c r="M213" i="1"/>
  <c r="Q321" i="1"/>
  <c r="N213" i="1"/>
  <c r="O213" i="1"/>
  <c r="L320" i="1"/>
  <c r="L374" i="1" s="1"/>
  <c r="AL419" i="2"/>
  <c r="L419" i="2"/>
  <c r="F217" i="1" s="1"/>
  <c r="F325" i="1" s="1"/>
  <c r="R194" i="1"/>
  <c r="T194" i="1"/>
  <c r="V197" i="1"/>
  <c r="V302" i="1"/>
  <c r="S194" i="1"/>
  <c r="Y208" i="1"/>
  <c r="W208" i="1"/>
  <c r="AA316" i="1"/>
  <c r="X208" i="1"/>
  <c r="AD409" i="2"/>
  <c r="AP197" i="1"/>
  <c r="AP301" i="1"/>
  <c r="AC221" i="1"/>
  <c r="AB221" i="1"/>
  <c r="AD221" i="1"/>
  <c r="AF223" i="1"/>
  <c r="AF329" i="1"/>
  <c r="Q397" i="2"/>
  <c r="Q402" i="2"/>
  <c r="BJ318" i="1"/>
  <c r="BJ372" i="1" s="1"/>
  <c r="BJ272" i="1"/>
  <c r="BY315" i="1"/>
  <c r="CD197" i="1"/>
  <c r="CD301" i="1"/>
  <c r="AU290" i="1"/>
  <c r="AK402" i="2"/>
  <c r="AK397" i="2"/>
  <c r="Z402" i="2"/>
  <c r="Z397" i="2"/>
  <c r="G322" i="1"/>
  <c r="H268" i="1"/>
  <c r="I268" i="1" s="1"/>
  <c r="J268" i="1" s="1"/>
  <c r="K268" i="1" s="1"/>
  <c r="O266" i="1"/>
  <c r="N266" i="1"/>
  <c r="M266" i="1"/>
  <c r="AP254" i="1"/>
  <c r="G257" i="1"/>
  <c r="Q454" i="2"/>
  <c r="AA245" i="1" s="1"/>
  <c r="Q447" i="2"/>
  <c r="L183" i="1"/>
  <c r="L288" i="1"/>
  <c r="AA303" i="1"/>
  <c r="X195" i="1"/>
  <c r="Y195" i="1"/>
  <c r="W195" i="1"/>
  <c r="AP289" i="1"/>
  <c r="G344" i="1"/>
  <c r="H290" i="1"/>
  <c r="I290" i="1" s="1"/>
  <c r="J290" i="1" s="1"/>
  <c r="K290" i="1" s="1"/>
  <c r="AF310" i="1"/>
  <c r="AD202" i="1"/>
  <c r="AC202" i="1"/>
  <c r="AB202" i="1"/>
  <c r="G384" i="1"/>
  <c r="H330" i="1"/>
  <c r="I330" i="1" s="1"/>
  <c r="J330" i="1" s="1"/>
  <c r="K330" i="1" s="1"/>
  <c r="AF402" i="2"/>
  <c r="AF397" i="2"/>
  <c r="CD322" i="1"/>
  <c r="AJ402" i="2"/>
  <c r="AJ397" i="2"/>
  <c r="AB454" i="2"/>
  <c r="CD245" i="1" s="1"/>
  <c r="AB447" i="2"/>
  <c r="BJ223" i="1"/>
  <c r="BJ329" i="1"/>
  <c r="BJ383" i="1" s="1"/>
  <c r="BJ385" i="1" s="1"/>
  <c r="Y402" i="2"/>
  <c r="Y397" i="2"/>
  <c r="BT300" i="1"/>
  <c r="BT77" i="1"/>
  <c r="AB397" i="2"/>
  <c r="L397" i="2"/>
  <c r="L402" i="2"/>
  <c r="AK426" i="2"/>
  <c r="AJ426" i="2"/>
  <c r="E197" i="1"/>
  <c r="E302" i="1"/>
  <c r="E25" i="1"/>
  <c r="Z409" i="2"/>
  <c r="BT187" i="1" s="1"/>
  <c r="BO301" i="1"/>
  <c r="BO355" i="1" s="1"/>
  <c r="BO197" i="1"/>
  <c r="V454" i="2"/>
  <c r="AZ245" i="1" s="1"/>
  <c r="V447" i="2"/>
  <c r="BT183" i="1"/>
  <c r="BT288" i="1"/>
  <c r="BJ315" i="1"/>
  <c r="BJ369" i="1" s="1"/>
  <c r="AF322" i="1"/>
  <c r="AB268" i="1"/>
  <c r="AC268" i="1"/>
  <c r="AD268" i="1"/>
  <c r="G318" i="1"/>
  <c r="G272" i="1"/>
  <c r="H264" i="1"/>
  <c r="AB246" i="1"/>
  <c r="AF300" i="1"/>
  <c r="AC246" i="1"/>
  <c r="AD246" i="1"/>
  <c r="V254" i="1"/>
  <c r="S447" i="2"/>
  <c r="S454" i="2"/>
  <c r="AK245" i="1" s="1"/>
  <c r="T426" i="2"/>
  <c r="AP186" i="1" s="1"/>
  <c r="AF288" i="1"/>
  <c r="AF183" i="1"/>
  <c r="AC180" i="1"/>
  <c r="AD180" i="1"/>
  <c r="AB180" i="1"/>
  <c r="S213" i="1"/>
  <c r="V321" i="1"/>
  <c r="R213" i="1"/>
  <c r="T213" i="1"/>
  <c r="AK301" i="1"/>
  <c r="AK197" i="1"/>
  <c r="AP315" i="1"/>
  <c r="L223" i="1"/>
  <c r="L329" i="1"/>
  <c r="AA309" i="1"/>
  <c r="Y201" i="1"/>
  <c r="X201" i="1"/>
  <c r="W201" i="1"/>
  <c r="E315" i="1"/>
  <c r="BY289" i="1"/>
  <c r="AK409" i="2"/>
  <c r="E44" i="1"/>
  <c r="E321" i="1"/>
  <c r="BJ197" i="1"/>
  <c r="BJ301" i="1"/>
  <c r="BJ355" i="1" s="1"/>
  <c r="AL447" i="2"/>
  <c r="AL454" i="2"/>
  <c r="AL479" i="2" s="1"/>
  <c r="M447" i="2"/>
  <c r="M454" i="2"/>
  <c r="S216" i="1"/>
  <c r="R216" i="1"/>
  <c r="T216" i="1"/>
  <c r="V324" i="1"/>
  <c r="M196" i="1"/>
  <c r="Q304" i="1"/>
  <c r="N196" i="1"/>
  <c r="O196" i="1"/>
  <c r="AE426" i="2"/>
  <c r="G320" i="1"/>
  <c r="X182" i="1"/>
  <c r="Y182" i="1"/>
  <c r="W182" i="1"/>
  <c r="AA290" i="1"/>
  <c r="L302" i="1"/>
  <c r="L356" i="1" s="1"/>
  <c r="L197" i="1"/>
  <c r="P409" i="2"/>
  <c r="V187" i="1" s="1"/>
  <c r="AP329" i="1"/>
  <c r="AP223" i="1"/>
  <c r="G363" i="1"/>
  <c r="H309" i="1"/>
  <c r="I309" i="1" s="1"/>
  <c r="J309" i="1" s="1"/>
  <c r="K309" i="1" s="1"/>
  <c r="AU223" i="1"/>
  <c r="AU329" i="1"/>
  <c r="G302" i="1"/>
  <c r="G197" i="1"/>
  <c r="G25" i="1"/>
  <c r="AA447" i="2"/>
  <c r="AA454" i="2"/>
  <c r="BY245" i="1" s="1"/>
  <c r="AG447" i="2"/>
  <c r="AG454" i="2"/>
  <c r="AG479" i="2" s="1"/>
  <c r="L447" i="2"/>
  <c r="L454" i="2"/>
  <c r="F245" i="1" s="1"/>
  <c r="AP304" i="1"/>
  <c r="T268" i="1"/>
  <c r="S268" i="1"/>
  <c r="V322" i="1"/>
  <c r="R268" i="1"/>
  <c r="W266" i="1"/>
  <c r="Y266" i="1"/>
  <c r="X266" i="1"/>
  <c r="W264" i="1"/>
  <c r="AA318" i="1"/>
  <c r="Y264" i="1"/>
  <c r="AA272" i="1"/>
  <c r="X264" i="1"/>
  <c r="V300" i="1"/>
  <c r="S246" i="1"/>
  <c r="R246" i="1"/>
  <c r="T246" i="1"/>
  <c r="Q254" i="1"/>
  <c r="P454" i="2"/>
  <c r="V245" i="1" s="1"/>
  <c r="P447" i="2"/>
  <c r="S426" i="2"/>
  <c r="AK186" i="1" s="1"/>
  <c r="W215" i="1"/>
  <c r="AA323" i="1"/>
  <c r="X215" i="1"/>
  <c r="Y215" i="1"/>
  <c r="Y213" i="1"/>
  <c r="AA321" i="1"/>
  <c r="W213" i="1"/>
  <c r="X213" i="1"/>
  <c r="R212" i="1"/>
  <c r="S212" i="1"/>
  <c r="V320" i="1"/>
  <c r="T212" i="1"/>
  <c r="AP290" i="1"/>
  <c r="W202" i="1"/>
  <c r="Y202" i="1"/>
  <c r="AA310" i="1"/>
  <c r="X202" i="1"/>
  <c r="Q316" i="1"/>
  <c r="M208" i="1"/>
  <c r="N208" i="1"/>
  <c r="O208" i="1"/>
  <c r="AI402" i="2"/>
  <c r="AI397" i="2"/>
  <c r="BY290" i="1"/>
  <c r="CD290" i="1"/>
  <c r="CD95" i="1"/>
  <c r="CD272" i="1"/>
  <c r="CD318" i="1"/>
  <c r="AU304" i="1"/>
  <c r="CD329" i="1"/>
  <c r="CD223" i="1"/>
  <c r="X402" i="2"/>
  <c r="X397" i="2"/>
  <c r="X419" i="2"/>
  <c r="BJ217" i="1" s="1"/>
  <c r="BJ320" i="1"/>
  <c r="BJ374" i="1" s="1"/>
  <c r="W419" i="2"/>
  <c r="BE217" i="1" s="1"/>
  <c r="BE325" i="1" s="1"/>
  <c r="BE379" i="1" s="1"/>
  <c r="W397" i="2"/>
  <c r="W402" i="2"/>
  <c r="BE200" i="1" s="1"/>
  <c r="BE308" i="1" s="1"/>
  <c r="AD266" i="1"/>
  <c r="AB266" i="1"/>
  <c r="AC266" i="1"/>
  <c r="F318" i="1"/>
  <c r="F372" i="1" s="1"/>
  <c r="F272" i="1"/>
  <c r="AA254" i="1"/>
  <c r="O454" i="2"/>
  <c r="Q245" i="1" s="1"/>
  <c r="O447" i="2"/>
  <c r="AD196" i="1"/>
  <c r="AB196" i="1"/>
  <c r="AF304" i="1"/>
  <c r="AC196" i="1"/>
  <c r="AH426" i="2"/>
  <c r="AP183" i="1"/>
  <c r="AP288" i="1"/>
  <c r="M195" i="1"/>
  <c r="N195" i="1"/>
  <c r="O195" i="1"/>
  <c r="Q303" i="1"/>
  <c r="Y212" i="1"/>
  <c r="W212" i="1"/>
  <c r="AA320" i="1"/>
  <c r="X212" i="1"/>
  <c r="AG419" i="2"/>
  <c r="S409" i="2"/>
  <c r="AK187" i="1" s="1"/>
  <c r="Q315" i="1"/>
  <c r="O207" i="1"/>
  <c r="M207" i="1"/>
  <c r="N207" i="1"/>
  <c r="Q329" i="1"/>
  <c r="Q223" i="1"/>
  <c r="M221" i="1"/>
  <c r="N221" i="1"/>
  <c r="O221" i="1"/>
  <c r="O201" i="1"/>
  <c r="N201" i="1"/>
  <c r="M201" i="1"/>
  <c r="Q309" i="1"/>
  <c r="AD402" i="2"/>
  <c r="AD397" i="2"/>
  <c r="K409" i="2"/>
  <c r="E187" i="1" s="1"/>
  <c r="E295" i="1" s="1"/>
  <c r="E349" i="1" s="1"/>
  <c r="BY320" i="1"/>
  <c r="F302" i="1"/>
  <c r="F197" i="1"/>
  <c r="F25" i="1"/>
  <c r="U397" i="2"/>
  <c r="U402" i="2"/>
  <c r="U426" i="2"/>
  <c r="AU186" i="1" s="1"/>
  <c r="BT254" i="1"/>
  <c r="V426" i="2"/>
  <c r="AZ186" i="1" s="1"/>
  <c r="BO322" i="1"/>
  <c r="BO376" i="1" s="1"/>
  <c r="AP272" i="1"/>
  <c r="AP318" i="1"/>
  <c r="F254" i="1"/>
  <c r="F257" i="1" s="1"/>
  <c r="G304" i="1"/>
  <c r="AD426" i="2"/>
  <c r="S215" i="1"/>
  <c r="T215" i="1"/>
  <c r="V323" i="1"/>
  <c r="R215" i="1"/>
  <c r="H303" i="1"/>
  <c r="I303" i="1" s="1"/>
  <c r="J303" i="1" s="1"/>
  <c r="K303" i="1" s="1"/>
  <c r="G357" i="1"/>
  <c r="AP320" i="1"/>
  <c r="F320" i="1"/>
  <c r="F374" i="1" s="1"/>
  <c r="AK289" i="1"/>
  <c r="AC419" i="2"/>
  <c r="O409" i="2"/>
  <c r="Q187" i="1" s="1"/>
  <c r="AK329" i="1"/>
  <c r="AK223" i="1"/>
  <c r="AC201" i="1"/>
  <c r="AD201" i="1"/>
  <c r="AF309" i="1"/>
  <c r="AB201" i="1"/>
  <c r="R402" i="2"/>
  <c r="R397" i="2"/>
  <c r="BO290" i="1"/>
  <c r="BO344" i="1" s="1"/>
  <c r="BT289" i="1"/>
  <c r="BT320" i="1"/>
  <c r="AB426" i="2"/>
  <c r="CD186" i="1" s="1"/>
  <c r="AU320" i="1"/>
  <c r="BY254" i="1"/>
  <c r="AK454" i="2"/>
  <c r="AK479" i="2" s="1"/>
  <c r="AK447" i="2"/>
  <c r="BT272" i="1"/>
  <c r="BT318" i="1"/>
  <c r="BT95" i="1"/>
  <c r="BO300" i="1"/>
  <c r="BO354" i="1" s="1"/>
  <c r="BJ183" i="1"/>
  <c r="BJ288" i="1"/>
  <c r="BJ342" i="1" s="1"/>
  <c r="BJ300" i="1"/>
  <c r="BJ354" i="1" s="1"/>
  <c r="V419" i="2"/>
  <c r="AZ217" i="1" s="1"/>
  <c r="AZ325" i="1" s="1"/>
  <c r="AZ379" i="1" s="1"/>
  <c r="W271" i="1"/>
  <c r="Y271" i="1"/>
  <c r="X271" i="1"/>
  <c r="L318" i="1"/>
  <c r="L372" i="1" s="1"/>
  <c r="L272" i="1"/>
  <c r="W246" i="1"/>
  <c r="Y246" i="1"/>
  <c r="X246" i="1"/>
  <c r="AA300" i="1"/>
  <c r="L254" i="1"/>
  <c r="L257" i="1" s="1"/>
  <c r="AB216" i="1"/>
  <c r="AD216" i="1"/>
  <c r="AF324" i="1"/>
  <c r="AC216" i="1"/>
  <c r="AF447" i="2"/>
  <c r="AF454" i="2"/>
  <c r="AF479" i="2" s="1"/>
  <c r="G378" i="1"/>
  <c r="H324" i="1"/>
  <c r="I324" i="1" s="1"/>
  <c r="J324" i="1" s="1"/>
  <c r="K324" i="1" s="1"/>
  <c r="Q426" i="2"/>
  <c r="AA186" i="1" s="1"/>
  <c r="O215" i="1"/>
  <c r="N215" i="1"/>
  <c r="M215" i="1"/>
  <c r="Q323" i="1"/>
  <c r="AK183" i="1"/>
  <c r="AK288" i="1"/>
  <c r="AK320" i="1"/>
  <c r="AF419" i="2"/>
  <c r="AH409" i="2"/>
  <c r="AC397" i="2"/>
  <c r="AC402" i="2"/>
  <c r="E320" i="1"/>
  <c r="E374" i="1" s="1"/>
  <c r="M426" i="2"/>
  <c r="G186" i="1" s="1"/>
  <c r="M180" i="1"/>
  <c r="Q183" i="1"/>
  <c r="O180" i="1"/>
  <c r="N180" i="1"/>
  <c r="Q288" i="1"/>
  <c r="AB181" i="1"/>
  <c r="AF289" i="1"/>
  <c r="AC181" i="1"/>
  <c r="AD181" i="1"/>
  <c r="T419" i="2"/>
  <c r="AP217" i="1" s="1"/>
  <c r="H316" i="1"/>
  <c r="I316" i="1" s="1"/>
  <c r="J316" i="1" s="1"/>
  <c r="K316" i="1" s="1"/>
  <c r="G370" i="1"/>
  <c r="N409" i="2"/>
  <c r="L187" i="1" s="1"/>
  <c r="L295" i="1" s="1"/>
  <c r="L349" i="1" s="1"/>
  <c r="Y207" i="1"/>
  <c r="AA315" i="1"/>
  <c r="X207" i="1"/>
  <c r="W207" i="1"/>
  <c r="AG402" i="2"/>
  <c r="AG397" i="2"/>
  <c r="E329" i="1"/>
  <c r="E223" i="1"/>
  <c r="U319" i="1"/>
  <c r="BT49" i="10"/>
  <c r="J313" i="4"/>
  <c r="I312" i="4"/>
  <c r="AZ71" i="12"/>
  <c r="F193" i="4"/>
  <c r="AK307" i="4"/>
  <c r="M309" i="4"/>
  <c r="V49" i="10"/>
  <c r="V95" i="10"/>
  <c r="V96" i="10" s="1"/>
  <c r="AK49" i="10"/>
  <c r="AK95" i="10"/>
  <c r="AK96" i="10" s="1"/>
  <c r="N314" i="4"/>
  <c r="AP49" i="10"/>
  <c r="AP95" i="10"/>
  <c r="AP96" i="10" s="1"/>
  <c r="Q95" i="10"/>
  <c r="Q96" i="10" s="1"/>
  <c r="V216" i="4"/>
  <c r="V322" i="4"/>
  <c r="AU301" i="4"/>
  <c r="AU196" i="4"/>
  <c r="BJ49" i="10"/>
  <c r="K316" i="4"/>
  <c r="J235" i="4"/>
  <c r="G348" i="4"/>
  <c r="E193" i="4"/>
  <c r="BY292" i="4"/>
  <c r="E376" i="4"/>
  <c r="E378" i="4" s="1"/>
  <c r="E324" i="4"/>
  <c r="E390" i="4" s="1"/>
  <c r="BY302" i="4"/>
  <c r="BY196" i="4"/>
  <c r="BY307" i="4"/>
  <c r="G253" i="4"/>
  <c r="AU307" i="4"/>
  <c r="E238" i="4"/>
  <c r="BR594" i="7"/>
  <c r="BO71" i="12"/>
  <c r="AZ171" i="13"/>
  <c r="AZ69" i="6"/>
  <c r="CV11" i="6"/>
  <c r="BR32" i="6" s="1"/>
  <c r="BO30" i="6"/>
  <c r="BO241" i="7" s="1"/>
  <c r="AZ241" i="7"/>
  <c r="BP548" i="7"/>
  <c r="BP57" i="7"/>
  <c r="BO26" i="6"/>
  <c r="BJ26" i="6"/>
  <c r="BJ30" i="6"/>
  <c r="BJ241" i="7" s="1"/>
  <c r="AP114" i="12"/>
  <c r="BX45" i="7"/>
  <c r="BS45" i="7"/>
  <c r="AY42" i="47"/>
  <c r="AY159" i="13" s="1"/>
  <c r="AZ34" i="47"/>
  <c r="AZ153" i="13" s="1"/>
  <c r="BE81" i="12" s="1"/>
  <c r="AU11" i="11"/>
  <c r="AU19" i="11"/>
  <c r="AZ12" i="11" s="1"/>
  <c r="AU44" i="11"/>
  <c r="BU43" i="13"/>
  <c r="BV43" i="13" s="1"/>
  <c r="BW43" i="13" s="1"/>
  <c r="BX43" i="13" s="1"/>
  <c r="BY43" i="13" s="1"/>
  <c r="AW97" i="13"/>
  <c r="AW98" i="13" s="1"/>
  <c r="AW142" i="14"/>
  <c r="AW143" i="14" s="1"/>
  <c r="AW136" i="14"/>
  <c r="AW138" i="14" s="1"/>
  <c r="Z94" i="13"/>
  <c r="Z36" i="14"/>
  <c r="E245" i="1"/>
  <c r="K479" i="2"/>
  <c r="BP49" i="13"/>
  <c r="BQ49" i="13" s="1"/>
  <c r="BR49" i="13" s="1"/>
  <c r="BS49" i="13" s="1"/>
  <c r="BU54" i="13"/>
  <c r="BV54" i="13" s="1"/>
  <c r="BW54" i="13" s="1"/>
  <c r="BX54" i="13" s="1"/>
  <c r="BY54" i="13" s="1"/>
  <c r="BS10" i="14"/>
  <c r="BT10" i="14" s="1"/>
  <c r="BS26" i="6"/>
  <c r="BS25" i="6"/>
  <c r="BS24" i="6"/>
  <c r="BS27" i="13"/>
  <c r="BT27" i="13" s="1"/>
  <c r="F136" i="14"/>
  <c r="F138" i="14" s="1"/>
  <c r="F142" i="14"/>
  <c r="F143" i="14" s="1"/>
  <c r="F97" i="13"/>
  <c r="F98" i="13" s="1"/>
  <c r="CA12" i="37"/>
  <c r="CD12" i="37" s="1"/>
  <c r="CA13" i="37"/>
  <c r="BR548" i="7"/>
  <c r="BR57" i="7"/>
  <c r="Q75" i="69"/>
  <c r="N76" i="69"/>
  <c r="Q76" i="69" s="1"/>
  <c r="CD13" i="37"/>
  <c r="CD138" i="27"/>
  <c r="AZ38" i="47"/>
  <c r="AZ157" i="13" s="1"/>
  <c r="BP12" i="13"/>
  <c r="BQ12" i="13" s="1"/>
  <c r="BR12" i="13" s="1"/>
  <c r="BS12" i="13" s="1"/>
  <c r="BT12" i="13" s="1"/>
  <c r="AX113" i="14"/>
  <c r="AX105" i="14"/>
  <c r="AW78" i="11"/>
  <c r="AX68" i="11" s="1"/>
  <c r="AX70" i="11"/>
  <c r="AX76" i="11" s="1"/>
  <c r="AU209" i="9"/>
  <c r="CO43" i="7" s="1"/>
  <c r="CO42" i="7" s="1"/>
  <c r="AU212" i="9"/>
  <c r="AU72" i="7" s="1"/>
  <c r="AZ82" i="12"/>
  <c r="BJ25" i="6"/>
  <c r="BU12" i="6"/>
  <c r="F91" i="14"/>
  <c r="F94" i="13"/>
  <c r="F36" i="14"/>
  <c r="F39" i="14" s="1"/>
  <c r="F42" i="14" s="1"/>
  <c r="I319" i="1"/>
  <c r="BY13" i="37"/>
  <c r="BY138" i="27"/>
  <c r="AZ49" i="10"/>
  <c r="AZ41" i="10"/>
  <c r="AZ44" i="10" s="1"/>
  <c r="AZ46" i="10" s="1"/>
  <c r="I311" i="4"/>
  <c r="D20" i="39"/>
  <c r="AZ72" i="12"/>
  <c r="BR45" i="7"/>
  <c r="BL12" i="69"/>
  <c r="BO9" i="69"/>
  <c r="BO21" i="69" s="1"/>
  <c r="AX55" i="14"/>
  <c r="AX15" i="37" s="1"/>
  <c r="AX18" i="37" s="1"/>
  <c r="AX42" i="14"/>
  <c r="AX50" i="14"/>
  <c r="AP76" i="69"/>
  <c r="BW45" i="7"/>
  <c r="BF12" i="69"/>
  <c r="BF22" i="69" s="1"/>
  <c r="BJ9" i="69"/>
  <c r="BJ21" i="69" s="1"/>
  <c r="AW91" i="14"/>
  <c r="AW37" i="12" s="1"/>
  <c r="AW42" i="12" s="1"/>
  <c r="AW94" i="13"/>
  <c r="AW36" i="14"/>
  <c r="Z97" i="13"/>
  <c r="Z98" i="13" s="1"/>
  <c r="Z142" i="14"/>
  <c r="Z143" i="14" s="1"/>
  <c r="Z136" i="14"/>
  <c r="Z138" i="14" s="1"/>
  <c r="BS593" i="7"/>
  <c r="BU13" i="13"/>
  <c r="BV13" i="13" s="1"/>
  <c r="BW13" i="13" s="1"/>
  <c r="BX13" i="13" s="1"/>
  <c r="BY13" i="13" s="1"/>
  <c r="BO180" i="9"/>
  <c r="BO107" i="27" s="1"/>
  <c r="BO350" i="1" l="1"/>
  <c r="BP11" i="27"/>
  <c r="CI175" i="7"/>
  <c r="CI177" i="7"/>
  <c r="X475" i="3"/>
  <c r="X476" i="3" s="1"/>
  <c r="BT179" i="9"/>
  <c r="AI85" i="14"/>
  <c r="L134" i="14"/>
  <c r="AU834" i="7"/>
  <c r="AU832" i="7"/>
  <c r="BT184" i="9"/>
  <c r="AU847" i="7"/>
  <c r="AC85" i="14"/>
  <c r="N104" i="13"/>
  <c r="AU829" i="7"/>
  <c r="C114" i="13"/>
  <c r="C115" i="13" s="1"/>
  <c r="AU831" i="7"/>
  <c r="AP136" i="14"/>
  <c r="AP138" i="14" s="1"/>
  <c r="AP146" i="14" s="1"/>
  <c r="AU884" i="7"/>
  <c r="AU887" i="7"/>
  <c r="AU885" i="7"/>
  <c r="AU889" i="7"/>
  <c r="AU888" i="7"/>
  <c r="AU886" i="7"/>
  <c r="AK439" i="7"/>
  <c r="AK60" i="7"/>
  <c r="AK61" i="7" s="1"/>
  <c r="S104" i="13"/>
  <c r="S114" i="13"/>
  <c r="S146" i="14"/>
  <c r="V136" i="14"/>
  <c r="V138" i="14" s="1"/>
  <c r="AP84" i="7"/>
  <c r="AP110" i="27" s="1"/>
  <c r="AP112" i="27" s="1"/>
  <c r="AP137" i="27" s="1"/>
  <c r="AP139" i="27" s="1"/>
  <c r="AP85" i="14"/>
  <c r="BS527" i="7"/>
  <c r="BJ378" i="4"/>
  <c r="AA15" i="12"/>
  <c r="AK11" i="7"/>
  <c r="AK94" i="27" s="1"/>
  <c r="AK95" i="27" s="1"/>
  <c r="V142" i="14"/>
  <c r="V143" i="14" s="1"/>
  <c r="AP73" i="27"/>
  <c r="AP74" i="27" s="1"/>
  <c r="AP80" i="27" s="1"/>
  <c r="BW27" i="69"/>
  <c r="BW28" i="69" s="1"/>
  <c r="BW11" i="27"/>
  <c r="L104" i="13"/>
  <c r="L105" i="13" s="1"/>
  <c r="BT93" i="12"/>
  <c r="Y104" i="13"/>
  <c r="D114" i="13"/>
  <c r="D115" i="13" s="1"/>
  <c r="D105" i="13"/>
  <c r="CN37" i="7"/>
  <c r="AP12" i="12"/>
  <c r="J146" i="14"/>
  <c r="AF573" i="7"/>
  <c r="L136" i="14"/>
  <c r="L138" i="14" s="1"/>
  <c r="BZ261" i="7"/>
  <c r="V73" i="27"/>
  <c r="V74" i="27" s="1"/>
  <c r="V80" i="27" s="1"/>
  <c r="L9" i="7"/>
  <c r="CH366" i="7"/>
  <c r="CI366" i="7"/>
  <c r="BW73" i="14"/>
  <c r="CH71" i="7"/>
  <c r="BY22" i="69"/>
  <c r="AH85" i="14"/>
  <c r="BJ345" i="1"/>
  <c r="AU141" i="14"/>
  <c r="AU142" i="14" s="1"/>
  <c r="AU143" i="14" s="1"/>
  <c r="AU146" i="14" s="1"/>
  <c r="AU57" i="37"/>
  <c r="BL22" i="69"/>
  <c r="BL15" i="69"/>
  <c r="CH326" i="7"/>
  <c r="CK326" i="7" s="1"/>
  <c r="CL326" i="7" s="1"/>
  <c r="CH328" i="7"/>
  <c r="CK328" i="7" s="1"/>
  <c r="CL328" i="7" s="1"/>
  <c r="CH330" i="7"/>
  <c r="CK330" i="7" s="1"/>
  <c r="CL330" i="7" s="1"/>
  <c r="CH325" i="7"/>
  <c r="CK325" i="7" s="1"/>
  <c r="CL325" i="7" s="1"/>
  <c r="CH327" i="7"/>
  <c r="CK327" i="7" s="1"/>
  <c r="CL327" i="7" s="1"/>
  <c r="CH329" i="7"/>
  <c r="CK329" i="7" s="1"/>
  <c r="CL329" i="7" s="1"/>
  <c r="CH331" i="7"/>
  <c r="CK331" i="7" s="1"/>
  <c r="CL331" i="7" s="1"/>
  <c r="CH324" i="7"/>
  <c r="CK324" i="7" s="1"/>
  <c r="CL324" i="7" s="1"/>
  <c r="CC261" i="7"/>
  <c r="L73" i="27"/>
  <c r="L74" i="27" s="1"/>
  <c r="L80" i="27" s="1"/>
  <c r="V9" i="7"/>
  <c r="V49" i="7"/>
  <c r="CH38" i="7" s="1"/>
  <c r="CK38" i="7" s="1"/>
  <c r="BP73" i="14"/>
  <c r="BR822" i="7"/>
  <c r="BP435" i="7"/>
  <c r="BP436" i="7" s="1"/>
  <c r="AM253" i="4"/>
  <c r="AO253" i="4"/>
  <c r="AN253" i="4"/>
  <c r="AP307" i="4"/>
  <c r="AP361" i="4" s="1"/>
  <c r="AL253" i="4"/>
  <c r="BJ358" i="4"/>
  <c r="CI266" i="7"/>
  <c r="CI264" i="7"/>
  <c r="CI265" i="7" s="1"/>
  <c r="BP27" i="69"/>
  <c r="BP28" i="69" s="1"/>
  <c r="CD15" i="69"/>
  <c r="CD18" i="69" s="1"/>
  <c r="CD23" i="69" s="1"/>
  <c r="CD22" i="69"/>
  <c r="BT15" i="69"/>
  <c r="BT18" i="69" s="1"/>
  <c r="BT23" i="69" s="1"/>
  <c r="BT22" i="69"/>
  <c r="CI367" i="7"/>
  <c r="CI365" i="7"/>
  <c r="CI364" i="7"/>
  <c r="CI363" i="7"/>
  <c r="CI362" i="7"/>
  <c r="CI361" i="7"/>
  <c r="CI360" i="7"/>
  <c r="CI359" i="7"/>
  <c r="CI358" i="7"/>
  <c r="CI357" i="7"/>
  <c r="CH364" i="7"/>
  <c r="CH363" i="7"/>
  <c r="CH362" i="7"/>
  <c r="CH361" i="7"/>
  <c r="CH360" i="7"/>
  <c r="CH359" i="7"/>
  <c r="CH358" i="7"/>
  <c r="CH357" i="7"/>
  <c r="Q73" i="27"/>
  <c r="Q74" i="27" s="1"/>
  <c r="Q80" i="27" s="1"/>
  <c r="CH70" i="7"/>
  <c r="G84" i="7"/>
  <c r="CH68" i="7"/>
  <c r="AF84" i="7"/>
  <c r="CH73" i="7"/>
  <c r="L49" i="7"/>
  <c r="CH36" i="7" s="1"/>
  <c r="CK36" i="7" s="1"/>
  <c r="L84" i="7"/>
  <c r="AA106" i="27"/>
  <c r="AA108" i="27" s="1"/>
  <c r="AU49" i="7"/>
  <c r="AU85" i="7" s="1"/>
  <c r="CH76" i="7"/>
  <c r="AK49" i="7"/>
  <c r="CH41" i="7" s="1"/>
  <c r="CK41" i="7" s="1"/>
  <c r="CH74" i="7"/>
  <c r="AF73" i="27"/>
  <c r="AF74" i="27" s="1"/>
  <c r="AF80" i="27" s="1"/>
  <c r="AF9" i="7"/>
  <c r="AF49" i="7"/>
  <c r="AF85" i="7" s="1"/>
  <c r="AP49" i="7"/>
  <c r="AP85" i="7" s="1"/>
  <c r="CH75" i="7"/>
  <c r="AA73" i="27"/>
  <c r="AA74" i="27" s="1"/>
  <c r="AA80" i="27" s="1"/>
  <c r="CH72" i="7"/>
  <c r="CN39" i="7"/>
  <c r="Q49" i="7"/>
  <c r="CH37" i="7" s="1"/>
  <c r="CK37" i="7" s="1"/>
  <c r="BJ350" i="1"/>
  <c r="BJ116" i="10"/>
  <c r="BP707" i="7"/>
  <c r="BP293" i="7"/>
  <c r="BR345" i="7"/>
  <c r="BR293" i="7"/>
  <c r="BJ822" i="7"/>
  <c r="BJ345" i="7"/>
  <c r="BP822" i="7"/>
  <c r="BP345" i="7"/>
  <c r="BP877" i="7"/>
  <c r="BR487" i="7"/>
  <c r="BR707" i="7"/>
  <c r="BR435" i="7"/>
  <c r="BR436" i="7" s="1"/>
  <c r="BO25" i="6"/>
  <c r="BO707" i="7" s="1"/>
  <c r="BJ209" i="9"/>
  <c r="CO46" i="7" s="1"/>
  <c r="AK193" i="12"/>
  <c r="AK198" i="12" s="1"/>
  <c r="AK24" i="12"/>
  <c r="AU193" i="12"/>
  <c r="AU198" i="12" s="1"/>
  <c r="AU24" i="12"/>
  <c r="AJ210" i="4"/>
  <c r="AJ211" i="4" s="1"/>
  <c r="G318" i="4"/>
  <c r="G372" i="4" s="1"/>
  <c r="BY184" i="9"/>
  <c r="BT180" i="9"/>
  <c r="BT107" i="27" s="1"/>
  <c r="AO210" i="4"/>
  <c r="AO211" i="4" s="1"/>
  <c r="AA49" i="7"/>
  <c r="CH39" i="7" s="1"/>
  <c r="CK39" i="7" s="1"/>
  <c r="AA84" i="7"/>
  <c r="G73" i="27"/>
  <c r="G74" i="27" s="1"/>
  <c r="G80" i="27" s="1"/>
  <c r="L106" i="27"/>
  <c r="L108" i="27" s="1"/>
  <c r="AA9" i="7"/>
  <c r="AA19" i="7" s="1"/>
  <c r="G9" i="7"/>
  <c r="BT112" i="10"/>
  <c r="BT26" i="11" s="1"/>
  <c r="BT68" i="12" s="1"/>
  <c r="H289" i="1"/>
  <c r="I289" i="1" s="1"/>
  <c r="J289" i="1" s="1"/>
  <c r="AK325" i="1"/>
  <c r="AK379" i="1" s="1"/>
  <c r="BM209" i="4"/>
  <c r="BL209" i="4"/>
  <c r="BK209" i="4"/>
  <c r="BO317" i="4"/>
  <c r="BN209" i="4"/>
  <c r="L74" i="7"/>
  <c r="AU74" i="7"/>
  <c r="CN43" i="7"/>
  <c r="AK211" i="4"/>
  <c r="L211" i="4"/>
  <c r="K210" i="4"/>
  <c r="K211" i="4" s="1"/>
  <c r="BK196" i="4"/>
  <c r="AN210" i="4"/>
  <c r="AN211" i="4" s="1"/>
  <c r="AI210" i="4"/>
  <c r="AI211" i="4" s="1"/>
  <c r="AP211" i="4"/>
  <c r="L378" i="4"/>
  <c r="AO216" i="4"/>
  <c r="BT324" i="4"/>
  <c r="AL210" i="4"/>
  <c r="AL211" i="4" s="1"/>
  <c r="AG210" i="4"/>
  <c r="AG211" i="4" s="1"/>
  <c r="P216" i="4"/>
  <c r="AP378" i="4"/>
  <c r="AK134" i="14"/>
  <c r="AK136" i="14" s="1"/>
  <c r="AK138" i="14" s="1"/>
  <c r="AP15" i="12"/>
  <c r="H210" i="4"/>
  <c r="H211" i="4" s="1"/>
  <c r="J210" i="4"/>
  <c r="J211" i="4" s="1"/>
  <c r="AK84" i="7"/>
  <c r="AK9" i="7"/>
  <c r="AF11" i="7"/>
  <c r="AF94" i="27" s="1"/>
  <c r="AF95" i="27" s="1"/>
  <c r="CI40" i="7"/>
  <c r="AU11" i="7"/>
  <c r="AU94" i="27" s="1"/>
  <c r="AU95" i="27" s="1"/>
  <c r="CI43" i="7"/>
  <c r="CN41" i="7"/>
  <c r="AK85" i="47"/>
  <c r="AK100" i="47" s="1"/>
  <c r="AV100" i="47"/>
  <c r="AF85" i="47"/>
  <c r="AF100" i="47" s="1"/>
  <c r="AD100" i="47"/>
  <c r="AL100" i="47"/>
  <c r="AP85" i="47"/>
  <c r="AP100" i="47" s="1"/>
  <c r="AJ14" i="12"/>
  <c r="AJ15" i="12"/>
  <c r="AK14" i="12"/>
  <c r="AK15" i="12"/>
  <c r="AU15" i="12"/>
  <c r="CU79" i="47"/>
  <c r="BJ195" i="12"/>
  <c r="AK25" i="12"/>
  <c r="BE116" i="10"/>
  <c r="BN195" i="12"/>
  <c r="AU14" i="12"/>
  <c r="AK57" i="37"/>
  <c r="CR75" i="47"/>
  <c r="CT82" i="47"/>
  <c r="AG146" i="14"/>
  <c r="F90" i="9"/>
  <c r="F97" i="9" s="1"/>
  <c r="E146" i="9"/>
  <c r="H325" i="1"/>
  <c r="I325" i="1" s="1"/>
  <c r="J325" i="1" s="1"/>
  <c r="K325" i="1" s="1"/>
  <c r="AU218" i="1"/>
  <c r="E284" i="4"/>
  <c r="E338" i="4" s="1"/>
  <c r="L304" i="4"/>
  <c r="L388" i="4" s="1"/>
  <c r="AP324" i="4"/>
  <c r="AP390" i="4" s="1"/>
  <c r="AL216" i="4"/>
  <c r="CD304" i="4"/>
  <c r="BT304" i="4"/>
  <c r="BO284" i="4"/>
  <c r="G336" i="4"/>
  <c r="Q378" i="4"/>
  <c r="BU216" i="4"/>
  <c r="U176" i="4"/>
  <c r="CB216" i="4"/>
  <c r="AI216" i="4"/>
  <c r="AR190" i="4"/>
  <c r="CD284" i="4"/>
  <c r="F284" i="4"/>
  <c r="F385" i="4" s="1"/>
  <c r="AL190" i="4"/>
  <c r="AA284" i="4"/>
  <c r="AA385" i="4" s="1"/>
  <c r="AE196" i="4"/>
  <c r="L358" i="4"/>
  <c r="AZ358" i="4"/>
  <c r="AZ378" i="4"/>
  <c r="BX216" i="4"/>
  <c r="AD196" i="4"/>
  <c r="W196" i="4"/>
  <c r="AR196" i="4"/>
  <c r="P196" i="4"/>
  <c r="BL190" i="4"/>
  <c r="AK358" i="4"/>
  <c r="X196" i="4"/>
  <c r="AR176" i="4"/>
  <c r="AM216" i="4"/>
  <c r="CC216" i="4"/>
  <c r="CD324" i="4"/>
  <c r="AM176" i="4"/>
  <c r="L324" i="4"/>
  <c r="L390" i="4" s="1"/>
  <c r="AU324" i="4"/>
  <c r="AU390" i="4" s="1"/>
  <c r="Q324" i="4"/>
  <c r="Q390" i="4" s="1"/>
  <c r="O216" i="4"/>
  <c r="L284" i="4"/>
  <c r="L385" i="4" s="1"/>
  <c r="AP284" i="4"/>
  <c r="AP385" i="4" s="1"/>
  <c r="AO190" i="4"/>
  <c r="AL176" i="4"/>
  <c r="BY324" i="4"/>
  <c r="AF378" i="4"/>
  <c r="AU378" i="4"/>
  <c r="BG216" i="4"/>
  <c r="AZ304" i="4"/>
  <c r="AZ388" i="4" s="1"/>
  <c r="G304" i="4"/>
  <c r="G388" i="4" s="1"/>
  <c r="BO304" i="4"/>
  <c r="CA216" i="4"/>
  <c r="BL216" i="4"/>
  <c r="AG216" i="4"/>
  <c r="AF324" i="4"/>
  <c r="AF390" i="4" s="1"/>
  <c r="BY284" i="4"/>
  <c r="AK284" i="4"/>
  <c r="AK385" i="4" s="1"/>
  <c r="AC196" i="4"/>
  <c r="M216" i="4"/>
  <c r="AS176" i="4"/>
  <c r="BW190" i="4"/>
  <c r="Z196" i="4"/>
  <c r="CB190" i="4"/>
  <c r="L352" i="4"/>
  <c r="AI196" i="4"/>
  <c r="AQ176" i="4"/>
  <c r="BK216" i="4"/>
  <c r="AM190" i="4"/>
  <c r="BI216" i="4"/>
  <c r="BJ324" i="4"/>
  <c r="BW216" i="4"/>
  <c r="BZ190" i="4"/>
  <c r="M196" i="4"/>
  <c r="T176" i="4"/>
  <c r="AH196" i="4"/>
  <c r="BL176" i="4"/>
  <c r="BG176" i="4"/>
  <c r="BJ284" i="4"/>
  <c r="BJ338" i="4" s="1"/>
  <c r="BB190" i="4"/>
  <c r="T196" i="4"/>
  <c r="BT284" i="4"/>
  <c r="R190" i="4"/>
  <c r="CC196" i="4"/>
  <c r="AC216" i="4"/>
  <c r="BH190" i="4"/>
  <c r="BZ216" i="4"/>
  <c r="W176" i="4"/>
  <c r="CA176" i="4"/>
  <c r="BI196" i="4"/>
  <c r="N176" i="4"/>
  <c r="BP196" i="4"/>
  <c r="BT265" i="4"/>
  <c r="BY265" i="4"/>
  <c r="AW216" i="4"/>
  <c r="T190" i="4"/>
  <c r="BC216" i="4"/>
  <c r="BV196" i="4"/>
  <c r="Z216" i="4"/>
  <c r="BC196" i="4"/>
  <c r="N190" i="4"/>
  <c r="BU176" i="4"/>
  <c r="AM196" i="4"/>
  <c r="AX196" i="4"/>
  <c r="AW176" i="4"/>
  <c r="AQ196" i="4"/>
  <c r="O176" i="4"/>
  <c r="BN190" i="4"/>
  <c r="S216" i="4"/>
  <c r="BH216" i="4"/>
  <c r="BQ190" i="4"/>
  <c r="BR216" i="4"/>
  <c r="AT216" i="4"/>
  <c r="AI176" i="4"/>
  <c r="BT211" i="4"/>
  <c r="BR210" i="4"/>
  <c r="BR211" i="4" s="1"/>
  <c r="BP210" i="4"/>
  <c r="BP211" i="4" s="1"/>
  <c r="BS210" i="4"/>
  <c r="BS211" i="4" s="1"/>
  <c r="BQ210" i="4"/>
  <c r="BQ211" i="4" s="1"/>
  <c r="AY264" i="4"/>
  <c r="AX264" i="4"/>
  <c r="AV264" i="4"/>
  <c r="AW264" i="4"/>
  <c r="BC179" i="4"/>
  <c r="BB179" i="4"/>
  <c r="BA179" i="4"/>
  <c r="BD179" i="4"/>
  <c r="AA288" i="4"/>
  <c r="AA342" i="4" s="1"/>
  <c r="Z180" i="4"/>
  <c r="Y180" i="4"/>
  <c r="X180" i="4"/>
  <c r="W180" i="4"/>
  <c r="BJ287" i="4"/>
  <c r="BJ341" i="4" s="1"/>
  <c r="BH179" i="4"/>
  <c r="BF179" i="4"/>
  <c r="BI179" i="4"/>
  <c r="BG179" i="4"/>
  <c r="AZ287" i="4"/>
  <c r="AZ341" i="4" s="1"/>
  <c r="AY179" i="4"/>
  <c r="AX179" i="4"/>
  <c r="AW179" i="4"/>
  <c r="AV179" i="4"/>
  <c r="AA287" i="4"/>
  <c r="AA341" i="4" s="1"/>
  <c r="Z179" i="4"/>
  <c r="X179" i="4"/>
  <c r="Y179" i="4"/>
  <c r="Y181" i="4" s="1"/>
  <c r="W179" i="4"/>
  <c r="AP358" i="4"/>
  <c r="AF287" i="4"/>
  <c r="AF341" i="4" s="1"/>
  <c r="AE179" i="4"/>
  <c r="AC179" i="4"/>
  <c r="AB179" i="4"/>
  <c r="AD179" i="4"/>
  <c r="BR180" i="4"/>
  <c r="BQ180" i="4"/>
  <c r="BP180" i="4"/>
  <c r="BS180" i="4"/>
  <c r="AA211" i="4"/>
  <c r="Z210" i="4"/>
  <c r="Z211" i="4" s="1"/>
  <c r="X210" i="4"/>
  <c r="X211" i="4" s="1"/>
  <c r="W210" i="4"/>
  <c r="W211" i="4" s="1"/>
  <c r="Y210" i="4"/>
  <c r="Y211" i="4" s="1"/>
  <c r="T264" i="4"/>
  <c r="R264" i="4"/>
  <c r="U264" i="4"/>
  <c r="S264" i="4"/>
  <c r="AP287" i="4"/>
  <c r="AP341" i="4" s="1"/>
  <c r="AO179" i="4"/>
  <c r="AM179" i="4"/>
  <c r="AN179" i="4"/>
  <c r="AL179" i="4"/>
  <c r="BC210" i="4"/>
  <c r="BC211" i="4" s="1"/>
  <c r="BA210" i="4"/>
  <c r="BA211" i="4" s="1"/>
  <c r="BD210" i="4"/>
  <c r="BD211" i="4" s="1"/>
  <c r="BB210" i="4"/>
  <c r="BB211" i="4" s="1"/>
  <c r="BD264" i="4"/>
  <c r="BA264" i="4"/>
  <c r="BB264" i="4"/>
  <c r="BC264" i="4"/>
  <c r="BJ304" i="4"/>
  <c r="X526" i="3"/>
  <c r="X527" i="3" s="1"/>
  <c r="BJ264" i="4"/>
  <c r="BJ265" i="4" s="1"/>
  <c r="Y196" i="4"/>
  <c r="CA190" i="4"/>
  <c r="BK176" i="4"/>
  <c r="BK281" i="4"/>
  <c r="AS190" i="4"/>
  <c r="BF176" i="4"/>
  <c r="BC190" i="4"/>
  <c r="S196" i="4"/>
  <c r="AX190" i="4"/>
  <c r="T239" i="4"/>
  <c r="S239" i="4"/>
  <c r="R239" i="4"/>
  <c r="U239" i="4"/>
  <c r="AS196" i="4"/>
  <c r="AI239" i="4"/>
  <c r="AG239" i="4"/>
  <c r="AJ239" i="4"/>
  <c r="AH239" i="4"/>
  <c r="BQ196" i="4"/>
  <c r="BE265" i="4"/>
  <c r="AB176" i="4"/>
  <c r="BD176" i="4"/>
  <c r="BN216" i="4"/>
  <c r="BQ176" i="4"/>
  <c r="U216" i="4"/>
  <c r="Y238" i="4"/>
  <c r="W238" i="4"/>
  <c r="Z238" i="4"/>
  <c r="X238" i="4"/>
  <c r="AA244" i="4"/>
  <c r="Z253" i="4"/>
  <c r="X253" i="4"/>
  <c r="AA265" i="4"/>
  <c r="W253" i="4"/>
  <c r="Y253" i="4"/>
  <c r="Z190" i="4"/>
  <c r="AX216" i="4"/>
  <c r="BB261" i="4"/>
  <c r="BA261" i="4"/>
  <c r="BC261" i="4"/>
  <c r="BD261" i="4"/>
  <c r="BA239" i="4"/>
  <c r="BA244" i="4" s="1"/>
  <c r="BC239" i="4"/>
  <c r="BC244" i="4" s="1"/>
  <c r="BB239" i="4"/>
  <c r="BB244" i="4" s="1"/>
  <c r="BD239" i="4"/>
  <c r="BD244" i="4" s="1"/>
  <c r="BP190" i="4"/>
  <c r="AC190" i="4"/>
  <c r="BN196" i="4"/>
  <c r="AH216" i="4"/>
  <c r="BA216" i="4"/>
  <c r="CB239" i="4"/>
  <c r="CB244" i="4" s="1"/>
  <c r="CA239" i="4"/>
  <c r="CA244" i="4" s="1"/>
  <c r="BZ239" i="4"/>
  <c r="BZ244" i="4" s="1"/>
  <c r="CC239" i="4"/>
  <c r="CC244" i="4" s="1"/>
  <c r="BU196" i="4"/>
  <c r="X216" i="4"/>
  <c r="BD196" i="4"/>
  <c r="O190" i="4"/>
  <c r="BZ196" i="4"/>
  <c r="Q244" i="4"/>
  <c r="M238" i="4"/>
  <c r="O238" i="4"/>
  <c r="N238" i="4"/>
  <c r="P238" i="4"/>
  <c r="AE216" i="4"/>
  <c r="BF190" i="4"/>
  <c r="X176" i="4"/>
  <c r="N261" i="4"/>
  <c r="M261" i="4"/>
  <c r="O261" i="4"/>
  <c r="P261" i="4"/>
  <c r="BP216" i="4"/>
  <c r="AQ216" i="4"/>
  <c r="BW176" i="4"/>
  <c r="CC176" i="4"/>
  <c r="AJ176" i="4"/>
  <c r="AI190" i="4"/>
  <c r="AN196" i="4"/>
  <c r="AV196" i="4"/>
  <c r="AY176" i="4"/>
  <c r="BM179" i="4"/>
  <c r="BK179" i="4"/>
  <c r="BN179" i="4"/>
  <c r="BL179" i="4"/>
  <c r="AK288" i="4"/>
  <c r="AK342" i="4" s="1"/>
  <c r="AJ180" i="4"/>
  <c r="AI180" i="4"/>
  <c r="AH180" i="4"/>
  <c r="AG180" i="4"/>
  <c r="CD211" i="4"/>
  <c r="CB210" i="4"/>
  <c r="CB211" i="4" s="1"/>
  <c r="BZ210" i="4"/>
  <c r="BZ211" i="4" s="1"/>
  <c r="CA210" i="4"/>
  <c r="CA211" i="4" s="1"/>
  <c r="CC210" i="4"/>
  <c r="CC211" i="4" s="1"/>
  <c r="AE180" i="4"/>
  <c r="AD180" i="4"/>
  <c r="AC180" i="4"/>
  <c r="AB180" i="4"/>
  <c r="CD287" i="4"/>
  <c r="CB179" i="4"/>
  <c r="BZ179" i="4"/>
  <c r="CA179" i="4"/>
  <c r="CC179" i="4"/>
  <c r="V288" i="4"/>
  <c r="V342" i="4" s="1"/>
  <c r="U180" i="4"/>
  <c r="T180" i="4"/>
  <c r="S180" i="4"/>
  <c r="R180" i="4"/>
  <c r="AA378" i="4"/>
  <c r="Y526" i="3"/>
  <c r="Y527" i="3" s="1"/>
  <c r="BO264" i="4"/>
  <c r="BO265" i="4" s="1"/>
  <c r="P264" i="4"/>
  <c r="M264" i="4"/>
  <c r="N264" i="4"/>
  <c r="O264" i="4"/>
  <c r="AK264" i="4"/>
  <c r="AK318" i="4" s="1"/>
  <c r="BY287" i="4"/>
  <c r="BW179" i="4"/>
  <c r="BU179" i="4"/>
  <c r="BX179" i="4"/>
  <c r="BV179" i="4"/>
  <c r="X26" i="12"/>
  <c r="BY288" i="4"/>
  <c r="BW180" i="4"/>
  <c r="BV180" i="4"/>
  <c r="BU180" i="4"/>
  <c r="BX180" i="4"/>
  <c r="V304" i="4"/>
  <c r="V388" i="4" s="1"/>
  <c r="L288" i="4"/>
  <c r="L342" i="4" s="1"/>
  <c r="K180" i="4"/>
  <c r="I180" i="4"/>
  <c r="H180" i="4"/>
  <c r="H288" i="4" s="1"/>
  <c r="J180" i="4"/>
  <c r="AZ284" i="4"/>
  <c r="AZ338" i="4" s="1"/>
  <c r="BJ288" i="4"/>
  <c r="BJ342" i="4" s="1"/>
  <c r="BH180" i="4"/>
  <c r="BG180" i="4"/>
  <c r="BF180" i="4"/>
  <c r="BI180" i="4"/>
  <c r="BY211" i="4"/>
  <c r="BW210" i="4"/>
  <c r="BW211" i="4" s="1"/>
  <c r="BU210" i="4"/>
  <c r="BU211" i="4" s="1"/>
  <c r="BV210" i="4"/>
  <c r="BV211" i="4" s="1"/>
  <c r="BX210" i="4"/>
  <c r="BX211" i="4" s="1"/>
  <c r="AP288" i="4"/>
  <c r="AP342" i="4" s="1"/>
  <c r="AO180" i="4"/>
  <c r="AN180" i="4"/>
  <c r="AM180" i="4"/>
  <c r="AL180" i="4"/>
  <c r="BV216" i="4"/>
  <c r="BV190" i="4"/>
  <c r="BM238" i="4"/>
  <c r="BK238" i="4"/>
  <c r="BN238" i="4"/>
  <c r="BL238" i="4"/>
  <c r="BO244" i="4"/>
  <c r="AM211" i="4"/>
  <c r="AB196" i="4"/>
  <c r="BL239" i="4"/>
  <c r="BK239" i="4"/>
  <c r="BN239" i="4"/>
  <c r="BM239" i="4"/>
  <c r="AG196" i="4"/>
  <c r="N216" i="4"/>
  <c r="BM176" i="4"/>
  <c r="AQ190" i="4"/>
  <c r="BH176" i="4"/>
  <c r="BD190" i="4"/>
  <c r="AN216" i="4"/>
  <c r="U196" i="4"/>
  <c r="AV190" i="4"/>
  <c r="V293" i="4"/>
  <c r="V347" i="4" s="1"/>
  <c r="V352" i="4" s="1"/>
  <c r="AT196" i="4"/>
  <c r="P176" i="4"/>
  <c r="O196" i="4"/>
  <c r="R176" i="4"/>
  <c r="BM190" i="4"/>
  <c r="AK293" i="4"/>
  <c r="AK347" i="4" s="1"/>
  <c r="BS196" i="4"/>
  <c r="AC239" i="4"/>
  <c r="AE239" i="4"/>
  <c r="AB239" i="4"/>
  <c r="AD239" i="4"/>
  <c r="AC176" i="4"/>
  <c r="BA176" i="4"/>
  <c r="BR176" i="4"/>
  <c r="R216" i="4"/>
  <c r="AA292" i="4"/>
  <c r="AA346" i="4" s="1"/>
  <c r="AR243" i="4"/>
  <c r="AT243" i="4"/>
  <c r="AS243" i="4"/>
  <c r="AQ243" i="4"/>
  <c r="V265" i="4"/>
  <c r="Q265" i="4"/>
  <c r="AA307" i="4"/>
  <c r="AA361" i="4" s="1"/>
  <c r="W190" i="4"/>
  <c r="V244" i="4"/>
  <c r="U238" i="4"/>
  <c r="R238" i="4"/>
  <c r="T238" i="4"/>
  <c r="S238" i="4"/>
  <c r="M239" i="4"/>
  <c r="O239" i="4"/>
  <c r="N239" i="4"/>
  <c r="P239" i="4"/>
  <c r="AV216" i="4"/>
  <c r="BE315" i="4"/>
  <c r="BE369" i="4" s="1"/>
  <c r="BE293" i="4"/>
  <c r="BE347" i="4" s="1"/>
  <c r="BR190" i="4"/>
  <c r="BL261" i="4"/>
  <c r="BK261" i="4"/>
  <c r="BN261" i="4"/>
  <c r="BM261" i="4"/>
  <c r="AD190" i="4"/>
  <c r="BL196" i="4"/>
  <c r="AO176" i="4"/>
  <c r="AJ216" i="4"/>
  <c r="I211" i="4"/>
  <c r="S190" i="4"/>
  <c r="BB216" i="4"/>
  <c r="BH239" i="4"/>
  <c r="BG239" i="4"/>
  <c r="BF239" i="4"/>
  <c r="BI239" i="4"/>
  <c r="CD293" i="4"/>
  <c r="BW196" i="4"/>
  <c r="Y216" i="4"/>
  <c r="BA196" i="4"/>
  <c r="M190" i="4"/>
  <c r="CB196" i="4"/>
  <c r="Q292" i="4"/>
  <c r="Q346" i="4" s="1"/>
  <c r="AB216" i="4"/>
  <c r="BG190" i="4"/>
  <c r="Z176" i="4"/>
  <c r="Q315" i="4"/>
  <c r="Q369" i="4" s="1"/>
  <c r="BQ216" i="4"/>
  <c r="BT244" i="4"/>
  <c r="BQ238" i="4"/>
  <c r="BP238" i="4"/>
  <c r="BS238" i="4"/>
  <c r="BR238" i="4"/>
  <c r="AR216" i="4"/>
  <c r="AE261" i="4"/>
  <c r="AD261" i="4"/>
  <c r="AB261" i="4"/>
  <c r="AC261" i="4"/>
  <c r="BX176" i="4"/>
  <c r="BZ176" i="4"/>
  <c r="AG176" i="4"/>
  <c r="AJ190" i="4"/>
  <c r="AL196" i="4"/>
  <c r="AW196" i="4"/>
  <c r="AV176" i="4"/>
  <c r="BG196" i="4"/>
  <c r="CD288" i="4"/>
  <c r="CB180" i="4"/>
  <c r="BZ180" i="4"/>
  <c r="CA180" i="4"/>
  <c r="CC180" i="4"/>
  <c r="AZ211" i="4"/>
  <c r="AY210" i="4"/>
  <c r="AY211" i="4" s="1"/>
  <c r="AX210" i="4"/>
  <c r="AX211" i="4" s="1"/>
  <c r="AW210" i="4"/>
  <c r="AW211" i="4" s="1"/>
  <c r="AV210" i="4"/>
  <c r="AV211" i="4" s="1"/>
  <c r="BJ211" i="4"/>
  <c r="BH210" i="4"/>
  <c r="BH211" i="4" s="1"/>
  <c r="BF210" i="4"/>
  <c r="BF211" i="4" s="1"/>
  <c r="BI210" i="4"/>
  <c r="BI211" i="4" s="1"/>
  <c r="BG210" i="4"/>
  <c r="BG211" i="4" s="1"/>
  <c r="BS264" i="4"/>
  <c r="BQ264" i="4"/>
  <c r="BR264" i="4"/>
  <c r="BP264" i="4"/>
  <c r="L287" i="4"/>
  <c r="L341" i="4" s="1"/>
  <c r="K179" i="4"/>
  <c r="I179" i="4"/>
  <c r="H179" i="4"/>
  <c r="J179" i="4"/>
  <c r="J287" i="4" s="1"/>
  <c r="P210" i="4"/>
  <c r="P211" i="4" s="1"/>
  <c r="N210" i="4"/>
  <c r="N211" i="4" s="1"/>
  <c r="O210" i="4"/>
  <c r="O211" i="4" s="1"/>
  <c r="M210" i="4"/>
  <c r="M211" i="4" s="1"/>
  <c r="BX264" i="4"/>
  <c r="BV264" i="4"/>
  <c r="BU264" i="4"/>
  <c r="BW264" i="4"/>
  <c r="CB264" i="4"/>
  <c r="BZ264" i="4"/>
  <c r="CC264" i="4"/>
  <c r="CA264" i="4"/>
  <c r="AU287" i="4"/>
  <c r="AU341" i="4" s="1"/>
  <c r="AT179" i="4"/>
  <c r="AR179" i="4"/>
  <c r="AS179" i="4"/>
  <c r="AQ179" i="4"/>
  <c r="AU288" i="4"/>
  <c r="AU342" i="4" s="1"/>
  <c r="AT180" i="4"/>
  <c r="AR180" i="4"/>
  <c r="AQ180" i="4"/>
  <c r="AS180" i="4"/>
  <c r="BE288" i="4"/>
  <c r="BE342" i="4" s="1"/>
  <c r="BC180" i="4"/>
  <c r="BA180" i="4"/>
  <c r="BB180" i="4"/>
  <c r="BD180" i="4"/>
  <c r="AP264" i="4"/>
  <c r="AP265" i="4" s="1"/>
  <c r="V211" i="4"/>
  <c r="U210" i="4"/>
  <c r="U211" i="4" s="1"/>
  <c r="S210" i="4"/>
  <c r="S211" i="4" s="1"/>
  <c r="T210" i="4"/>
  <c r="T211" i="4" s="1"/>
  <c r="R210" i="4"/>
  <c r="R211" i="4" s="1"/>
  <c r="AE264" i="4"/>
  <c r="AD264" i="4"/>
  <c r="AB264" i="4"/>
  <c r="AC264" i="4"/>
  <c r="AU211" i="4"/>
  <c r="AT210" i="4"/>
  <c r="AT211" i="4" s="1"/>
  <c r="AR210" i="4"/>
  <c r="AR211" i="4" s="1"/>
  <c r="AS210" i="4"/>
  <c r="AS211" i="4" s="1"/>
  <c r="AQ210" i="4"/>
  <c r="AQ211" i="4" s="1"/>
  <c r="BH243" i="4"/>
  <c r="BF243" i="4"/>
  <c r="BI243" i="4"/>
  <c r="BG243" i="4"/>
  <c r="BX190" i="4"/>
  <c r="AH211" i="4"/>
  <c r="AW190" i="4"/>
  <c r="AK244" i="4"/>
  <c r="AG238" i="4"/>
  <c r="AI238" i="4"/>
  <c r="AH238" i="4"/>
  <c r="AJ238" i="4"/>
  <c r="BV261" i="4"/>
  <c r="BV99" i="4" s="1"/>
  <c r="BV762" i="7" s="1"/>
  <c r="BU261" i="4"/>
  <c r="BU99" i="4" s="1"/>
  <c r="BU762" i="7" s="1"/>
  <c r="BW261" i="4"/>
  <c r="BW99" i="4" s="1"/>
  <c r="BW762" i="7" s="1"/>
  <c r="BX261" i="4"/>
  <c r="BX99" i="4" s="1"/>
  <c r="BX762" i="7" s="1"/>
  <c r="AE176" i="4"/>
  <c r="BB176" i="4"/>
  <c r="BS176" i="4"/>
  <c r="CA253" i="4"/>
  <c r="CB253" i="4"/>
  <c r="CC253" i="4"/>
  <c r="CD265" i="4"/>
  <c r="BZ253" i="4"/>
  <c r="AE253" i="4"/>
  <c r="AD253" i="4"/>
  <c r="AB253" i="4"/>
  <c r="AF265" i="4"/>
  <c r="AC253" i="4"/>
  <c r="X190" i="4"/>
  <c r="BS91" i="4"/>
  <c r="BS91" i="5" s="1"/>
  <c r="AZ244" i="4"/>
  <c r="AW238" i="4"/>
  <c r="AV238" i="4"/>
  <c r="AY238" i="4"/>
  <c r="AX238" i="4"/>
  <c r="BW239" i="4"/>
  <c r="BW244" i="4" s="1"/>
  <c r="BU239" i="4"/>
  <c r="BU244" i="4" s="1"/>
  <c r="BX239" i="4"/>
  <c r="BX244" i="4" s="1"/>
  <c r="BV239" i="4"/>
  <c r="BV244" i="4" s="1"/>
  <c r="AE190" i="4"/>
  <c r="AN261" i="4"/>
  <c r="AL261" i="4"/>
  <c r="AO261" i="4"/>
  <c r="AM261" i="4"/>
  <c r="AR239" i="4"/>
  <c r="AQ239" i="4"/>
  <c r="AS239" i="4"/>
  <c r="AT239" i="4"/>
  <c r="AY253" i="4"/>
  <c r="AV253" i="4"/>
  <c r="AX253" i="4"/>
  <c r="AZ265" i="4"/>
  <c r="AW253" i="4"/>
  <c r="BQ239" i="4"/>
  <c r="BS239" i="4"/>
  <c r="BP239" i="4"/>
  <c r="BR239" i="4"/>
  <c r="AQ238" i="4"/>
  <c r="AS238" i="4"/>
  <c r="AR238" i="4"/>
  <c r="AT238" i="4"/>
  <c r="AU244" i="4"/>
  <c r="AU272" i="4" s="1"/>
  <c r="AF244" i="4"/>
  <c r="AC238" i="4"/>
  <c r="AB238" i="4"/>
  <c r="AE238" i="4"/>
  <c r="AD238" i="4"/>
  <c r="AN239" i="4"/>
  <c r="AM239" i="4"/>
  <c r="AL239" i="4"/>
  <c r="AO239" i="4"/>
  <c r="AG190" i="4"/>
  <c r="X239" i="4"/>
  <c r="W239" i="4"/>
  <c r="Y239" i="4"/>
  <c r="Z239" i="4"/>
  <c r="BF196" i="4"/>
  <c r="Q287" i="4"/>
  <c r="Q341" i="4" s="1"/>
  <c r="P179" i="4"/>
  <c r="N179" i="4"/>
  <c r="M179" i="4"/>
  <c r="O179" i="4"/>
  <c r="L265" i="4"/>
  <c r="L272" i="4" s="1"/>
  <c r="J264" i="4"/>
  <c r="H264" i="4"/>
  <c r="K264" i="4"/>
  <c r="I264" i="4"/>
  <c r="AF211" i="4"/>
  <c r="AE210" i="4"/>
  <c r="AE211" i="4" s="1"/>
  <c r="AC210" i="4"/>
  <c r="AC211" i="4" s="1"/>
  <c r="AD210" i="4"/>
  <c r="AD211" i="4" s="1"/>
  <c r="AB210" i="4"/>
  <c r="AB211" i="4" s="1"/>
  <c r="BO211" i="4"/>
  <c r="BM210" i="4"/>
  <c r="BK210" i="4"/>
  <c r="BN210" i="4"/>
  <c r="BL210" i="4"/>
  <c r="Z264" i="4"/>
  <c r="X264" i="4"/>
  <c r="W264" i="4"/>
  <c r="Y264" i="4"/>
  <c r="BT287" i="4"/>
  <c r="BR179" i="4"/>
  <c r="BP179" i="4"/>
  <c r="BS179" i="4"/>
  <c r="BQ179" i="4"/>
  <c r="AK287" i="4"/>
  <c r="AK341" i="4" s="1"/>
  <c r="AJ179" i="4"/>
  <c r="AH179" i="4"/>
  <c r="AI179" i="4"/>
  <c r="AG179" i="4"/>
  <c r="AZ288" i="4"/>
  <c r="AZ342" i="4" s="1"/>
  <c r="AY180" i="4"/>
  <c r="AW180" i="4"/>
  <c r="AV180" i="4"/>
  <c r="AX180" i="4"/>
  <c r="V287" i="4"/>
  <c r="V341" i="4" s="1"/>
  <c r="U179" i="4"/>
  <c r="S179" i="4"/>
  <c r="T179" i="4"/>
  <c r="R179" i="4"/>
  <c r="BO288" i="4"/>
  <c r="BM180" i="4"/>
  <c r="BL180" i="4"/>
  <c r="BK180" i="4"/>
  <c r="BN180" i="4"/>
  <c r="BO298" i="4"/>
  <c r="Q288" i="4"/>
  <c r="Q342" i="4" s="1"/>
  <c r="P180" i="4"/>
  <c r="N180" i="4"/>
  <c r="M180" i="4"/>
  <c r="O180" i="4"/>
  <c r="AR264" i="4"/>
  <c r="AR265" i="4" s="1"/>
  <c r="AT264" i="4"/>
  <c r="AT265" i="4" s="1"/>
  <c r="AQ264" i="4"/>
  <c r="AQ265" i="4" s="1"/>
  <c r="AS264" i="4"/>
  <c r="AS265" i="4" s="1"/>
  <c r="AA358" i="4"/>
  <c r="BS261" i="4"/>
  <c r="BP261" i="4"/>
  <c r="BP99" i="4" s="1"/>
  <c r="BP762" i="7" s="1"/>
  <c r="BR261" i="4"/>
  <c r="BQ261" i="4"/>
  <c r="BQ99" i="4" s="1"/>
  <c r="BU190" i="4"/>
  <c r="X261" i="4"/>
  <c r="Z261" i="4"/>
  <c r="W261" i="4"/>
  <c r="Y261" i="4"/>
  <c r="AJ196" i="4"/>
  <c r="CC190" i="4"/>
  <c r="BN176" i="4"/>
  <c r="AT190" i="4"/>
  <c r="BH253" i="4"/>
  <c r="BI253" i="4"/>
  <c r="BG253" i="4"/>
  <c r="BF253" i="4"/>
  <c r="BI176" i="4"/>
  <c r="AT176" i="4"/>
  <c r="BN253" i="4"/>
  <c r="BL253" i="4"/>
  <c r="BM253" i="4"/>
  <c r="BK253" i="4"/>
  <c r="BA190" i="4"/>
  <c r="R196" i="4"/>
  <c r="AY190" i="4"/>
  <c r="M176" i="4"/>
  <c r="AW239" i="4"/>
  <c r="AV239" i="4"/>
  <c r="AY239" i="4"/>
  <c r="AX239" i="4"/>
  <c r="N196" i="4"/>
  <c r="S176" i="4"/>
  <c r="BK190" i="4"/>
  <c r="AK292" i="4"/>
  <c r="AK346" i="4" s="1"/>
  <c r="BR196" i="4"/>
  <c r="BY315" i="4"/>
  <c r="AD176" i="4"/>
  <c r="BC176" i="4"/>
  <c r="BM216" i="4"/>
  <c r="BP176" i="4"/>
  <c r="T216" i="4"/>
  <c r="AN190" i="4"/>
  <c r="AP244" i="4"/>
  <c r="AL238" i="4"/>
  <c r="AO238" i="4"/>
  <c r="AN238" i="4"/>
  <c r="AM238" i="4"/>
  <c r="CD244" i="4"/>
  <c r="CD307" i="4"/>
  <c r="AF307" i="4"/>
  <c r="AF361" i="4" s="1"/>
  <c r="Y190" i="4"/>
  <c r="AY216" i="4"/>
  <c r="BQ91" i="4"/>
  <c r="BQ91" i="5" s="1"/>
  <c r="BF216" i="4"/>
  <c r="CB261" i="4"/>
  <c r="CB99" i="4" s="1"/>
  <c r="CB762" i="7" s="1"/>
  <c r="BZ261" i="4"/>
  <c r="BZ99" i="4" s="1"/>
  <c r="BZ762" i="7" s="1"/>
  <c r="CC261" i="4"/>
  <c r="CC99" i="4" s="1"/>
  <c r="CC762" i="7" s="1"/>
  <c r="CA261" i="4"/>
  <c r="CA99" i="4" s="1"/>
  <c r="CA762" i="7" s="1"/>
  <c r="BS190" i="4"/>
  <c r="AZ292" i="4"/>
  <c r="AZ346" i="4" s="1"/>
  <c r="AZ352" i="4" s="1"/>
  <c r="AH261" i="4"/>
  <c r="AG261" i="4"/>
  <c r="AJ261" i="4"/>
  <c r="AI261" i="4"/>
  <c r="BY293" i="4"/>
  <c r="BY298" i="4" s="1"/>
  <c r="AB190" i="4"/>
  <c r="BM196" i="4"/>
  <c r="AN176" i="4"/>
  <c r="P256" i="4"/>
  <c r="O256" i="4"/>
  <c r="M256" i="4"/>
  <c r="N256" i="4"/>
  <c r="AP315" i="4"/>
  <c r="AP369" i="4" s="1"/>
  <c r="U190" i="4"/>
  <c r="BD216" i="4"/>
  <c r="BH261" i="4"/>
  <c r="BI261" i="4"/>
  <c r="BF261" i="4"/>
  <c r="BG261" i="4"/>
  <c r="BE244" i="4"/>
  <c r="BX196" i="4"/>
  <c r="W216" i="4"/>
  <c r="BB196" i="4"/>
  <c r="P190" i="4"/>
  <c r="AU293" i="4"/>
  <c r="AU347" i="4" s="1"/>
  <c r="AZ307" i="4"/>
  <c r="AZ361" i="4" s="1"/>
  <c r="CA196" i="4"/>
  <c r="BT293" i="4"/>
  <c r="BT298" i="4" s="1"/>
  <c r="AU292" i="4"/>
  <c r="AF292" i="4"/>
  <c r="AF346" i="4" s="1"/>
  <c r="AD216" i="4"/>
  <c r="BI190" i="4"/>
  <c r="Y176" i="4"/>
  <c r="BS216" i="4"/>
  <c r="AS216" i="4"/>
  <c r="BJ244" i="4"/>
  <c r="BV176" i="4"/>
  <c r="BY244" i="4"/>
  <c r="CB176" i="4"/>
  <c r="T261" i="4"/>
  <c r="U261" i="4"/>
  <c r="R261" i="4"/>
  <c r="S261" i="4"/>
  <c r="AP293" i="4"/>
  <c r="AP347" i="4" s="1"/>
  <c r="AH176" i="4"/>
  <c r="AH190" i="4"/>
  <c r="AA293" i="4"/>
  <c r="AA347" i="4" s="1"/>
  <c r="AO196" i="4"/>
  <c r="AY196" i="4"/>
  <c r="AX176" i="4"/>
  <c r="BH196" i="4"/>
  <c r="CN42" i="7"/>
  <c r="AP118" i="27"/>
  <c r="R26" i="12"/>
  <c r="BS150" i="7"/>
  <c r="BS652" i="7"/>
  <c r="BQ150" i="7"/>
  <c r="BQ652" i="7"/>
  <c r="BP150" i="7"/>
  <c r="BP652" i="7"/>
  <c r="BR150" i="7"/>
  <c r="BR652" i="7"/>
  <c r="BE318" i="4"/>
  <c r="BE372" i="4" s="1"/>
  <c r="AP181" i="4"/>
  <c r="Q284" i="4"/>
  <c r="Q385" i="4" s="1"/>
  <c r="AF284" i="4"/>
  <c r="AF338" i="4" s="1"/>
  <c r="BE345" i="1"/>
  <c r="BJ68" i="1"/>
  <c r="BJ68" i="5" s="1"/>
  <c r="BY648" i="7"/>
  <c r="BY68" i="1"/>
  <c r="BO648" i="7"/>
  <c r="BO68" i="1"/>
  <c r="CD648" i="7"/>
  <c r="CD68" i="1"/>
  <c r="BT648" i="7"/>
  <c r="BT68" i="1"/>
  <c r="BX524" i="7"/>
  <c r="CC588" i="7"/>
  <c r="CC591" i="7" s="1"/>
  <c r="CC594" i="7" s="1"/>
  <c r="CC527" i="7"/>
  <c r="CC524" i="7"/>
  <c r="CA261" i="7"/>
  <c r="CN38" i="7"/>
  <c r="AU73" i="7"/>
  <c r="Q9" i="7"/>
  <c r="V106" i="27"/>
  <c r="V118" i="27" s="1"/>
  <c r="AP74" i="7"/>
  <c r="H237" i="1"/>
  <c r="I235" i="1"/>
  <c r="AE235" i="1"/>
  <c r="AE237" i="1" s="1"/>
  <c r="AB237" i="1"/>
  <c r="R237" i="1"/>
  <c r="U235" i="1"/>
  <c r="U237" i="1" s="1"/>
  <c r="M237" i="1"/>
  <c r="P235" i="1"/>
  <c r="P237" i="1" s="1"/>
  <c r="Z235" i="1"/>
  <c r="Z237" i="1" s="1"/>
  <c r="W237" i="1"/>
  <c r="H230" i="4"/>
  <c r="M30" i="12"/>
  <c r="CG46" i="12" s="1"/>
  <c r="BT52" i="10"/>
  <c r="BT58" i="10" s="1"/>
  <c r="BT187" i="9" s="1"/>
  <c r="AK73" i="27"/>
  <c r="AK74" i="27" s="1"/>
  <c r="AK80" i="27" s="1"/>
  <c r="AJ146" i="14"/>
  <c r="BF28" i="69"/>
  <c r="I297" i="4"/>
  <c r="V355" i="4"/>
  <c r="V358" i="4" s="1"/>
  <c r="BT315" i="4"/>
  <c r="BJ297" i="4"/>
  <c r="BE272" i="1"/>
  <c r="BE320" i="1"/>
  <c r="BE326" i="1" s="1"/>
  <c r="BE311" i="1"/>
  <c r="BE396" i="1" s="1"/>
  <c r="BE362" i="1"/>
  <c r="BE365" i="1" s="1"/>
  <c r="BE188" i="1"/>
  <c r="BE294" i="1"/>
  <c r="BE203" i="1"/>
  <c r="BE291" i="1"/>
  <c r="BE251" i="1"/>
  <c r="BE279" i="1" s="1"/>
  <c r="BE299" i="1"/>
  <c r="BE331" i="1"/>
  <c r="BE398" i="1" s="1"/>
  <c r="BE383" i="1"/>
  <c r="BE385" i="1" s="1"/>
  <c r="BE218" i="1"/>
  <c r="BE151" i="1"/>
  <c r="BE374" i="1" s="1"/>
  <c r="BE97" i="5"/>
  <c r="BE151" i="5" s="1"/>
  <c r="AA49" i="10"/>
  <c r="H303" i="4"/>
  <c r="BE324" i="4"/>
  <c r="BE390" i="4" s="1"/>
  <c r="BE376" i="4"/>
  <c r="BE378" i="4" s="1"/>
  <c r="BE211" i="4"/>
  <c r="BE346" i="4"/>
  <c r="BE304" i="4"/>
  <c r="BE388" i="4" s="1"/>
  <c r="BE355" i="4"/>
  <c r="BE358" i="4" s="1"/>
  <c r="BE361" i="4"/>
  <c r="BE284" i="4"/>
  <c r="BE335" i="4"/>
  <c r="BE181" i="4"/>
  <c r="BE287" i="4"/>
  <c r="BE72" i="9"/>
  <c r="BJ65" i="9" s="1"/>
  <c r="BJ90" i="9" s="1"/>
  <c r="BE90" i="9"/>
  <c r="D164" i="5"/>
  <c r="D169" i="5" s="1"/>
  <c r="F154" i="7"/>
  <c r="G154" i="7"/>
  <c r="M26" i="12"/>
  <c r="M29" i="12"/>
  <c r="AS26" i="12"/>
  <c r="R30" i="12"/>
  <c r="CG50" i="12" s="1"/>
  <c r="AA134" i="14"/>
  <c r="AA136" i="14" s="1"/>
  <c r="AA138" i="14" s="1"/>
  <c r="AA141" i="14"/>
  <c r="AA142" i="14" s="1"/>
  <c r="AA143" i="14" s="1"/>
  <c r="R100" i="13"/>
  <c r="R114" i="13" s="1"/>
  <c r="AU73" i="27"/>
  <c r="AU74" i="27" s="1"/>
  <c r="AU80" i="27" s="1"/>
  <c r="AF218" i="1"/>
  <c r="AF325" i="1"/>
  <c r="AB325" i="1" s="1"/>
  <c r="C164" i="5"/>
  <c r="BT91" i="12"/>
  <c r="BT92" i="12"/>
  <c r="N217" i="1"/>
  <c r="N218" i="1" s="1"/>
  <c r="L218" i="1"/>
  <c r="V318" i="4"/>
  <c r="V372" i="4" s="1"/>
  <c r="AJ100" i="13"/>
  <c r="H317" i="4"/>
  <c r="R29" i="12"/>
  <c r="AC26" i="12"/>
  <c r="AU573" i="7"/>
  <c r="AE146" i="14"/>
  <c r="AK142" i="14"/>
  <c r="AK143" i="14" s="1"/>
  <c r="AV39" i="14"/>
  <c r="AV54" i="14"/>
  <c r="AV49" i="14"/>
  <c r="AV37" i="12"/>
  <c r="AV42" i="12" s="1"/>
  <c r="AV102" i="14"/>
  <c r="AU318" i="4"/>
  <c r="AU372" i="4" s="1"/>
  <c r="AE85" i="14"/>
  <c r="AQ30" i="12"/>
  <c r="CG69" i="12" s="1"/>
  <c r="AQ29" i="12"/>
  <c r="AQ26" i="12"/>
  <c r="AL85" i="14"/>
  <c r="AQ37" i="12"/>
  <c r="AQ42" i="12" s="1"/>
  <c r="AQ102" i="14"/>
  <c r="AQ54" i="14"/>
  <c r="AQ39" i="14"/>
  <c r="AQ49" i="14"/>
  <c r="AQ146" i="14"/>
  <c r="J104" i="13"/>
  <c r="J114" i="13"/>
  <c r="R146" i="14"/>
  <c r="H30" i="12"/>
  <c r="CG42" i="12" s="1"/>
  <c r="CN40" i="7"/>
  <c r="AA104" i="13"/>
  <c r="AA129" i="27"/>
  <c r="AA131" i="27" s="1"/>
  <c r="K105" i="13"/>
  <c r="H104" i="13"/>
  <c r="K115" i="13"/>
  <c r="H114" i="13"/>
  <c r="AC104" i="13"/>
  <c r="AC114" i="13"/>
  <c r="W115" i="13"/>
  <c r="W105" i="13"/>
  <c r="W104" i="13"/>
  <c r="X115" i="13"/>
  <c r="Y105" i="13"/>
  <c r="W114" i="13"/>
  <c r="Y115" i="13"/>
  <c r="X105" i="13"/>
  <c r="E104" i="13"/>
  <c r="E129" i="27"/>
  <c r="E131" i="27" s="1"/>
  <c r="AF104" i="13"/>
  <c r="AF129" i="27"/>
  <c r="AF131" i="27" s="1"/>
  <c r="V129" i="27"/>
  <c r="V131" i="27" s="1"/>
  <c r="V104" i="13"/>
  <c r="AZ13" i="11"/>
  <c r="AZ44" i="11"/>
  <c r="AM30" i="12"/>
  <c r="CG67" i="12" s="1"/>
  <c r="AM29" i="12"/>
  <c r="AI30" i="12"/>
  <c r="CG64" i="12" s="1"/>
  <c r="AI29" i="12"/>
  <c r="L68" i="27"/>
  <c r="L51" i="14"/>
  <c r="L84" i="14"/>
  <c r="L56" i="14"/>
  <c r="L57" i="14" s="1"/>
  <c r="L101" i="27"/>
  <c r="L125" i="27" s="1"/>
  <c r="Q101" i="27"/>
  <c r="Q125" i="27" s="1"/>
  <c r="Q51" i="14"/>
  <c r="Q68" i="27"/>
  <c r="Q84" i="14"/>
  <c r="Q85" i="14" s="1"/>
  <c r="Q56" i="14"/>
  <c r="Q57" i="14" s="1"/>
  <c r="AA66" i="12"/>
  <c r="AA37" i="12"/>
  <c r="AA42" i="12" s="1"/>
  <c r="AF30" i="12"/>
  <c r="U104" i="13"/>
  <c r="U114" i="13"/>
  <c r="AK51" i="14"/>
  <c r="AK84" i="14"/>
  <c r="AK85" i="14" s="1"/>
  <c r="AK101" i="27"/>
  <c r="AK125" i="27" s="1"/>
  <c r="AK68" i="27"/>
  <c r="AS37" i="12"/>
  <c r="AS42" i="12" s="1"/>
  <c r="AS102" i="14"/>
  <c r="AU49" i="14"/>
  <c r="AU54" i="14"/>
  <c r="AU39" i="14"/>
  <c r="AB134" i="14"/>
  <c r="AB136" i="14" s="1"/>
  <c r="AB138" i="14" s="1"/>
  <c r="AB141" i="14"/>
  <c r="AB142" i="14" s="1"/>
  <c r="AB143" i="14" s="1"/>
  <c r="AF54" i="37"/>
  <c r="AB56" i="37"/>
  <c r="AJ37" i="12"/>
  <c r="AJ42" i="12" s="1"/>
  <c r="AJ102" i="14"/>
  <c r="AS29" i="12"/>
  <c r="AB114" i="13"/>
  <c r="AB104" i="13"/>
  <c r="AP29" i="12"/>
  <c r="AP26" i="12"/>
  <c r="AP30" i="12"/>
  <c r="T30" i="12"/>
  <c r="CG52" i="12" s="1"/>
  <c r="T29" i="12"/>
  <c r="T26" i="12"/>
  <c r="AK91" i="14"/>
  <c r="AK94" i="13"/>
  <c r="AK100" i="13" s="1"/>
  <c r="AK129" i="27" s="1"/>
  <c r="I29" i="12"/>
  <c r="Z29" i="12"/>
  <c r="Z30" i="12"/>
  <c r="CG57" i="12" s="1"/>
  <c r="J29" i="12"/>
  <c r="J30" i="12"/>
  <c r="CG44" i="12" s="1"/>
  <c r="T104" i="13"/>
  <c r="T114" i="13"/>
  <c r="AF66" i="12"/>
  <c r="AF37" i="12"/>
  <c r="AF42" i="12" s="1"/>
  <c r="X104" i="13"/>
  <c r="X114" i="13"/>
  <c r="AM50" i="14"/>
  <c r="AM42" i="14"/>
  <c r="AM55" i="14"/>
  <c r="AM15" i="37" s="1"/>
  <c r="AM18" i="37" s="1"/>
  <c r="G116" i="12"/>
  <c r="G130" i="12"/>
  <c r="H29" i="12"/>
  <c r="AU91" i="14"/>
  <c r="AU94" i="13"/>
  <c r="AU100" i="13" s="1"/>
  <c r="AU129" i="27" s="1"/>
  <c r="W26" i="12"/>
  <c r="W30" i="12"/>
  <c r="CG54" i="12" s="1"/>
  <c r="W29" i="12"/>
  <c r="L116" i="12"/>
  <c r="L130" i="12"/>
  <c r="AF84" i="14"/>
  <c r="AF85" i="14" s="1"/>
  <c r="AF56" i="14"/>
  <c r="AF68" i="27"/>
  <c r="AF51" i="14"/>
  <c r="AF101" i="27"/>
  <c r="AF125" i="27" s="1"/>
  <c r="AU110" i="13"/>
  <c r="AU41" i="14"/>
  <c r="AJ39" i="14"/>
  <c r="AJ54" i="14"/>
  <c r="D432" i="7"/>
  <c r="D54" i="7" s="1"/>
  <c r="D85" i="7" s="1"/>
  <c r="D53" i="7"/>
  <c r="AE30" i="12"/>
  <c r="CG61" i="12" s="1"/>
  <c r="AE26" i="12"/>
  <c r="AE29" i="12"/>
  <c r="AP37" i="12"/>
  <c r="AP42" i="12" s="1"/>
  <c r="AP66" i="12"/>
  <c r="F159" i="7"/>
  <c r="F160" i="7"/>
  <c r="F162" i="7"/>
  <c r="F158" i="7"/>
  <c r="F161" i="7"/>
  <c r="F165" i="7" s="1"/>
  <c r="F157" i="7"/>
  <c r="AG102" i="14"/>
  <c r="AG37" i="12"/>
  <c r="AG42" i="12" s="1"/>
  <c r="I30" i="12"/>
  <c r="CG43" i="12" s="1"/>
  <c r="AG29" i="12"/>
  <c r="AG30" i="12"/>
  <c r="CG62" i="12" s="1"/>
  <c r="AV30" i="12"/>
  <c r="CG73" i="12" s="1"/>
  <c r="AV29" i="12"/>
  <c r="AZ87" i="11"/>
  <c r="AX87" i="11"/>
  <c r="AU72" i="11"/>
  <c r="AA29" i="12"/>
  <c r="AA26" i="12"/>
  <c r="AA30" i="12"/>
  <c r="C355" i="7"/>
  <c r="C353" i="7"/>
  <c r="C357" i="7"/>
  <c r="C352" i="7"/>
  <c r="C54" i="7"/>
  <c r="C85" i="7" s="1"/>
  <c r="C356" i="7"/>
  <c r="C360" i="7" s="1"/>
  <c r="C354" i="7"/>
  <c r="BQ313" i="7"/>
  <c r="BS313" i="7"/>
  <c r="BP313" i="7"/>
  <c r="BR313" i="7"/>
  <c r="M56" i="37"/>
  <c r="M141" i="14"/>
  <c r="M142" i="14" s="1"/>
  <c r="M143" i="14" s="1"/>
  <c r="M134" i="14"/>
  <c r="M136" i="14" s="1"/>
  <c r="M138" i="14" s="1"/>
  <c r="Q54" i="37"/>
  <c r="O105" i="13"/>
  <c r="M105" i="13"/>
  <c r="M114" i="13"/>
  <c r="N115" i="13"/>
  <c r="P115" i="13"/>
  <c r="O115" i="13"/>
  <c r="M115" i="13"/>
  <c r="M104" i="13"/>
  <c r="N105" i="13"/>
  <c r="P105" i="13"/>
  <c r="E66" i="12"/>
  <c r="E100" i="12" s="1"/>
  <c r="E102" i="14"/>
  <c r="AF23" i="11"/>
  <c r="AA32" i="11"/>
  <c r="U26" i="12"/>
  <c r="U29" i="12"/>
  <c r="U30" i="12"/>
  <c r="CG53" i="12" s="1"/>
  <c r="V84" i="14"/>
  <c r="V85" i="14" s="1"/>
  <c r="V68" i="27"/>
  <c r="V56" i="14"/>
  <c r="V57" i="14" s="1"/>
  <c r="V51" i="14"/>
  <c r="V101" i="27"/>
  <c r="V125" i="27" s="1"/>
  <c r="V37" i="12"/>
  <c r="V42" i="12" s="1"/>
  <c r="V66" i="12"/>
  <c r="V30" i="12"/>
  <c r="V26" i="12"/>
  <c r="V29" i="12"/>
  <c r="D131" i="9"/>
  <c r="D119" i="9"/>
  <c r="D147" i="9"/>
  <c r="D92" i="10" s="1"/>
  <c r="AA56" i="14"/>
  <c r="AA57" i="14" s="1"/>
  <c r="AA68" i="27"/>
  <c r="AA101" i="27"/>
  <c r="AA125" i="27" s="1"/>
  <c r="AA51" i="14"/>
  <c r="AA84" i="14"/>
  <c r="AA85" i="14" s="1"/>
  <c r="G159" i="7"/>
  <c r="G158" i="7"/>
  <c r="G160" i="7"/>
  <c r="G161" i="7"/>
  <c r="G165" i="7" s="1"/>
  <c r="G162" i="7"/>
  <c r="G157" i="7"/>
  <c r="AG54" i="14"/>
  <c r="AG49" i="14"/>
  <c r="AG39" i="14"/>
  <c r="X29" i="12"/>
  <c r="AJ30" i="12"/>
  <c r="CG65" i="12" s="1"/>
  <c r="AJ29" i="12"/>
  <c r="AW29" i="12"/>
  <c r="AW30" i="12"/>
  <c r="CG74" i="12" s="1"/>
  <c r="AO105" i="14"/>
  <c r="AO113" i="14"/>
  <c r="H26" i="12"/>
  <c r="AC29" i="12"/>
  <c r="AS49" i="14"/>
  <c r="AS54" i="14"/>
  <c r="AS39" i="14"/>
  <c r="AM113" i="14"/>
  <c r="AM105" i="14"/>
  <c r="AP102" i="14"/>
  <c r="AP113" i="14" s="1"/>
  <c r="W146" i="14"/>
  <c r="AE100" i="13"/>
  <c r="AE115" i="13" s="1"/>
  <c r="I114" i="13"/>
  <c r="I104" i="13"/>
  <c r="AO55" i="14"/>
  <c r="AO15" i="37" s="1"/>
  <c r="AO18" i="37" s="1"/>
  <c r="AO42" i="14"/>
  <c r="E108" i="9"/>
  <c r="E54" i="9"/>
  <c r="X30" i="12"/>
  <c r="CG55" i="12" s="1"/>
  <c r="AF29" i="12"/>
  <c r="AF74" i="7"/>
  <c r="AF106" i="27"/>
  <c r="Q106" i="27"/>
  <c r="Q108" i="27" s="1"/>
  <c r="Q74" i="7"/>
  <c r="J303" i="4"/>
  <c r="T526" i="3"/>
  <c r="T527" i="3" s="1"/>
  <c r="J317" i="4"/>
  <c r="BY318" i="4"/>
  <c r="AA479" i="2"/>
  <c r="AA480" i="2" s="1"/>
  <c r="AB217" i="1"/>
  <c r="AB218" i="1" s="1"/>
  <c r="O217" i="1"/>
  <c r="O218" i="1" s="1"/>
  <c r="AU9" i="7"/>
  <c r="AU84" i="7"/>
  <c r="AP573" i="7"/>
  <c r="AP540" i="7"/>
  <c r="BY11" i="27"/>
  <c r="BJ24" i="6"/>
  <c r="BJ652" i="7" s="1"/>
  <c r="BO24" i="6"/>
  <c r="BQ57" i="7"/>
  <c r="BJ105" i="6"/>
  <c r="Q218" i="1"/>
  <c r="AD217" i="1"/>
  <c r="M217" i="1"/>
  <c r="M218" i="1" s="1"/>
  <c r="E318" i="4"/>
  <c r="E372" i="4" s="1"/>
  <c r="E373" i="4" s="1"/>
  <c r="W526" i="3"/>
  <c r="W527" i="3" s="1"/>
  <c r="R526" i="3"/>
  <c r="R527" i="3" s="1"/>
  <c r="M526" i="3"/>
  <c r="M527" i="3" s="1"/>
  <c r="G385" i="4"/>
  <c r="L298" i="4"/>
  <c r="L387" i="4" s="1"/>
  <c r="AE475" i="3"/>
  <c r="AE476" i="3" s="1"/>
  <c r="F318" i="4"/>
  <c r="F372" i="4" s="1"/>
  <c r="F373" i="4" s="1"/>
  <c r="F351" i="4"/>
  <c r="F352" i="4" s="1"/>
  <c r="F343" i="4"/>
  <c r="AK527" i="3"/>
  <c r="AF475" i="3"/>
  <c r="AF530" i="3" s="1"/>
  <c r="AF531" i="3" s="1"/>
  <c r="I302" i="4"/>
  <c r="H250" i="4"/>
  <c r="BO181" i="4"/>
  <c r="AG475" i="3"/>
  <c r="AG476" i="3" s="1"/>
  <c r="BO287" i="4"/>
  <c r="H302" i="4"/>
  <c r="I323" i="4"/>
  <c r="AH527" i="3"/>
  <c r="I250" i="4"/>
  <c r="I303" i="4"/>
  <c r="U526" i="3"/>
  <c r="U527" i="3" s="1"/>
  <c r="T475" i="3"/>
  <c r="Q351" i="4"/>
  <c r="AA304" i="4"/>
  <c r="AA388" i="4" s="1"/>
  <c r="H297" i="4"/>
  <c r="H244" i="4"/>
  <c r="G289" i="4"/>
  <c r="G386" i="4" s="1"/>
  <c r="AH475" i="3"/>
  <c r="AH476" i="3" s="1"/>
  <c r="E335" i="4"/>
  <c r="AZ324" i="4"/>
  <c r="AZ390" i="4" s="1"/>
  <c r="L526" i="3"/>
  <c r="L527" i="3" s="1"/>
  <c r="AU169" i="5"/>
  <c r="AU29" i="10" s="1"/>
  <c r="AU102" i="10"/>
  <c r="AB475" i="3"/>
  <c r="AB476" i="3" s="1"/>
  <c r="AA526" i="3"/>
  <c r="AA527" i="3" s="1"/>
  <c r="BO49" i="10"/>
  <c r="L169" i="5"/>
  <c r="L29" i="10" s="1"/>
  <c r="L102" i="10"/>
  <c r="AP304" i="4"/>
  <c r="AP388" i="4" s="1"/>
  <c r="AJ475" i="3"/>
  <c r="AJ530" i="3" s="1"/>
  <c r="AJ531" i="3" s="1"/>
  <c r="AA318" i="4"/>
  <c r="AA372" i="4" s="1"/>
  <c r="BX588" i="7"/>
  <c r="BX591" i="7" s="1"/>
  <c r="BX594" i="7" s="1"/>
  <c r="AP14" i="12"/>
  <c r="AF95" i="10"/>
  <c r="AF96" i="10" s="1"/>
  <c r="CO47" i="7"/>
  <c r="L85" i="7"/>
  <c r="AW100" i="13"/>
  <c r="BQ707" i="7"/>
  <c r="AC475" i="3"/>
  <c r="K480" i="2"/>
  <c r="O526" i="3"/>
  <c r="O527" i="3" s="1"/>
  <c r="AK475" i="3"/>
  <c r="AK530" i="3" s="1"/>
  <c r="AK531" i="3" s="1"/>
  <c r="BY181" i="4"/>
  <c r="G341" i="4"/>
  <c r="G343" i="4" s="1"/>
  <c r="AA324" i="4"/>
  <c r="AA390" i="4" s="1"/>
  <c r="Q318" i="4"/>
  <c r="Q372" i="4" s="1"/>
  <c r="Z526" i="3"/>
  <c r="Z527" i="3" s="1"/>
  <c r="U475" i="3"/>
  <c r="I283" i="4"/>
  <c r="P526" i="3"/>
  <c r="P527" i="3" s="1"/>
  <c r="BJ181" i="4"/>
  <c r="M475" i="3"/>
  <c r="M476" i="3" s="1"/>
  <c r="AF351" i="4"/>
  <c r="G181" i="4"/>
  <c r="G218" i="4" s="1"/>
  <c r="F324" i="4"/>
  <c r="F390" i="4" s="1"/>
  <c r="AD527" i="3"/>
  <c r="T186" i="1"/>
  <c r="S186" i="1"/>
  <c r="N479" i="2"/>
  <c r="N480" i="2" s="1"/>
  <c r="O223" i="1"/>
  <c r="H323" i="4"/>
  <c r="AL475" i="3"/>
  <c r="AL530" i="3" s="1"/>
  <c r="AL531" i="3" s="1"/>
  <c r="H196" i="4"/>
  <c r="AD475" i="3"/>
  <c r="AD530" i="3" s="1"/>
  <c r="AD531" i="3" s="1"/>
  <c r="I292" i="4"/>
  <c r="H301" i="4"/>
  <c r="Y475" i="3"/>
  <c r="K526" i="3"/>
  <c r="K527" i="3" s="1"/>
  <c r="H294" i="4"/>
  <c r="CD318" i="4"/>
  <c r="L475" i="3"/>
  <c r="L476" i="3" s="1"/>
  <c r="AU181" i="4"/>
  <c r="N475" i="3"/>
  <c r="N476" i="3" s="1"/>
  <c r="AE527" i="3"/>
  <c r="E181" i="4"/>
  <c r="H283" i="4"/>
  <c r="S526" i="3"/>
  <c r="S527" i="3" s="1"/>
  <c r="AI527" i="3"/>
  <c r="AA475" i="3"/>
  <c r="AB526" i="3"/>
  <c r="AB527" i="3" s="1"/>
  <c r="Z475" i="3"/>
  <c r="I315" i="4"/>
  <c r="J310" i="4"/>
  <c r="K475" i="3"/>
  <c r="H292" i="4"/>
  <c r="V181" i="4"/>
  <c r="F272" i="4"/>
  <c r="H176" i="4"/>
  <c r="Q211" i="4"/>
  <c r="AK304" i="4"/>
  <c r="AK388" i="4" s="1"/>
  <c r="L181" i="4"/>
  <c r="G352" i="4"/>
  <c r="H315" i="4"/>
  <c r="F289" i="4"/>
  <c r="F386" i="4" s="1"/>
  <c r="I310" i="4"/>
  <c r="AJ26" i="12"/>
  <c r="AG26" i="12"/>
  <c r="AW26" i="12"/>
  <c r="Z26" i="12"/>
  <c r="J26" i="12"/>
  <c r="AI26" i="12"/>
  <c r="AM26" i="12"/>
  <c r="AV26" i="12"/>
  <c r="AL186" i="12"/>
  <c r="AL187" i="12" s="1"/>
  <c r="AM186" i="12" s="1"/>
  <c r="AM187" i="12" s="1"/>
  <c r="AN186" i="12" s="1"/>
  <c r="AN187" i="12" s="1"/>
  <c r="AO186" i="12" s="1"/>
  <c r="AO187" i="12" s="1"/>
  <c r="AP186" i="12"/>
  <c r="AP187" i="12" s="1"/>
  <c r="AI14" i="12"/>
  <c r="Z14" i="12"/>
  <c r="AW14" i="12"/>
  <c r="AM14" i="12"/>
  <c r="AG14" i="12"/>
  <c r="AV187" i="12"/>
  <c r="AW186" i="12" s="1"/>
  <c r="AW187" i="12" s="1"/>
  <c r="AX186" i="12" s="1"/>
  <c r="AX187" i="12" s="1"/>
  <c r="AY186" i="12" s="1"/>
  <c r="AY187" i="12" s="1"/>
  <c r="AZ186" i="12"/>
  <c r="AV14" i="12"/>
  <c r="AY78" i="11"/>
  <c r="AZ78" i="11" s="1"/>
  <c r="AZ79" i="11" s="1"/>
  <c r="AY70" i="11"/>
  <c r="AY74" i="11" s="1"/>
  <c r="BQ877" i="7"/>
  <c r="BQ487" i="7"/>
  <c r="BQ822" i="7"/>
  <c r="BQ293" i="7"/>
  <c r="BT25" i="6"/>
  <c r="BT345" i="7" s="1"/>
  <c r="BQ435" i="7"/>
  <c r="BQ436" i="7" s="1"/>
  <c r="CB27" i="69"/>
  <c r="CB28" i="69" s="1"/>
  <c r="CB73" i="14"/>
  <c r="CB11" i="27"/>
  <c r="CD11" i="27" s="1"/>
  <c r="CD52" i="27"/>
  <c r="BZ55" i="13"/>
  <c r="CA55" i="13" s="1"/>
  <c r="CB55" i="13" s="1"/>
  <c r="CC55" i="13" s="1"/>
  <c r="CD55" i="13" s="1"/>
  <c r="BU59" i="13"/>
  <c r="BV59" i="13" s="1"/>
  <c r="BW59" i="13" s="1"/>
  <c r="BX59" i="13" s="1"/>
  <c r="BY59" i="13" s="1"/>
  <c r="BZ42" i="13"/>
  <c r="CA42" i="13" s="1"/>
  <c r="CB42" i="13" s="1"/>
  <c r="CC42" i="13" s="1"/>
  <c r="CD42" i="13" s="1"/>
  <c r="BZ31" i="13"/>
  <c r="CA31" i="13" s="1"/>
  <c r="CB31" i="13" s="1"/>
  <c r="CC31" i="13" s="1"/>
  <c r="CD31" i="13" s="1"/>
  <c r="BU29" i="13"/>
  <c r="BV29" i="13" s="1"/>
  <c r="BW29" i="13" s="1"/>
  <c r="BX29" i="13" s="1"/>
  <c r="BY29" i="13" s="1"/>
  <c r="BU26" i="13"/>
  <c r="BV26" i="13" s="1"/>
  <c r="BW26" i="13" s="1"/>
  <c r="BX26" i="13" s="1"/>
  <c r="BY26" i="13" s="1"/>
  <c r="BU22" i="13"/>
  <c r="BV22" i="13" s="1"/>
  <c r="BW22" i="13" s="1"/>
  <c r="BX22" i="13" s="1"/>
  <c r="BY22" i="13" s="1"/>
  <c r="BU21" i="13"/>
  <c r="BV21" i="13" s="1"/>
  <c r="BW21" i="13" s="1"/>
  <c r="BX21" i="13" s="1"/>
  <c r="BY21" i="13" s="1"/>
  <c r="BU20" i="13"/>
  <c r="BV20" i="13" s="1"/>
  <c r="BW20" i="13" s="1"/>
  <c r="BX20" i="13" s="1"/>
  <c r="BY20" i="13" s="1"/>
  <c r="BU19" i="13"/>
  <c r="BV19" i="13" s="1"/>
  <c r="BW19" i="13" s="1"/>
  <c r="BX19" i="13" s="1"/>
  <c r="BY19" i="13" s="1"/>
  <c r="BY108" i="12"/>
  <c r="BT107" i="12"/>
  <c r="BJ58" i="7"/>
  <c r="AA295" i="1"/>
  <c r="Y295" i="1" s="1"/>
  <c r="R183" i="1"/>
  <c r="AZ272" i="1"/>
  <c r="T479" i="2"/>
  <c r="T480" i="2" s="1"/>
  <c r="Z264" i="1"/>
  <c r="H322" i="4"/>
  <c r="Q475" i="3"/>
  <c r="Q476" i="3" s="1"/>
  <c r="AI475" i="3"/>
  <c r="AI530" i="3" s="1"/>
  <c r="AI531" i="3" s="1"/>
  <c r="AG527" i="3"/>
  <c r="AA181" i="4"/>
  <c r="AC527" i="3"/>
  <c r="AF288" i="4"/>
  <c r="AF181" i="4"/>
  <c r="P475" i="3"/>
  <c r="P476" i="3" s="1"/>
  <c r="F181" i="4"/>
  <c r="V284" i="4"/>
  <c r="V338" i="4" s="1"/>
  <c r="AJ527" i="3"/>
  <c r="AF527" i="3"/>
  <c r="AL527" i="3"/>
  <c r="H310" i="4"/>
  <c r="H216" i="4"/>
  <c r="AK181" i="4"/>
  <c r="V475" i="3"/>
  <c r="V476" i="3" s="1"/>
  <c r="O475" i="3"/>
  <c r="O476" i="3" s="1"/>
  <c r="AZ181" i="4"/>
  <c r="Q181" i="4"/>
  <c r="Q526" i="3"/>
  <c r="Q527" i="3" s="1"/>
  <c r="S475" i="3"/>
  <c r="G298" i="4"/>
  <c r="G387" i="4" s="1"/>
  <c r="W475" i="3"/>
  <c r="W476" i="3" s="1"/>
  <c r="AF304" i="4"/>
  <c r="AF388" i="4" s="1"/>
  <c r="AF355" i="4"/>
  <c r="AF358" i="4" s="1"/>
  <c r="I308" i="4"/>
  <c r="R475" i="3"/>
  <c r="H282" i="4"/>
  <c r="H308" i="4"/>
  <c r="AF318" i="4"/>
  <c r="AK376" i="4"/>
  <c r="AK378" i="4" s="1"/>
  <c r="AK324" i="4"/>
  <c r="AK390" i="4" s="1"/>
  <c r="H293" i="4"/>
  <c r="H190" i="4"/>
  <c r="I295" i="4"/>
  <c r="N526" i="3"/>
  <c r="N527" i="3" s="1"/>
  <c r="L318" i="4"/>
  <c r="L319" i="4" s="1"/>
  <c r="H295" i="4"/>
  <c r="BQ698" i="7"/>
  <c r="BU698" i="7"/>
  <c r="BU535" i="7" s="1"/>
  <c r="CD698" i="7"/>
  <c r="AW146" i="14"/>
  <c r="F100" i="13"/>
  <c r="F129" i="27" s="1"/>
  <c r="F131" i="27" s="1"/>
  <c r="Q355" i="4"/>
  <c r="Q358" i="4" s="1"/>
  <c r="Q304" i="4"/>
  <c r="Q388" i="4" s="1"/>
  <c r="I190" i="4"/>
  <c r="H296" i="4"/>
  <c r="AP350" i="4"/>
  <c r="BX857" i="7"/>
  <c r="CB537" i="7"/>
  <c r="CC537" i="7" s="1"/>
  <c r="CC857" i="7"/>
  <c r="T197" i="1"/>
  <c r="R186" i="1"/>
  <c r="W187" i="1"/>
  <c r="M183" i="1"/>
  <c r="AZ151" i="1"/>
  <c r="AZ157" i="1" s="1"/>
  <c r="AZ97" i="5"/>
  <c r="AZ151" i="5" s="1"/>
  <c r="AZ157" i="5" s="1"/>
  <c r="AZ251" i="1"/>
  <c r="AZ299" i="1"/>
  <c r="AZ342" i="1"/>
  <c r="AZ345" i="1" s="1"/>
  <c r="AZ291" i="1"/>
  <c r="AZ369" i="1"/>
  <c r="AG429" i="2"/>
  <c r="AG483" i="2" s="1"/>
  <c r="AG484" i="2" s="1"/>
  <c r="N183" i="1"/>
  <c r="AC429" i="2"/>
  <c r="AC483" i="2" s="1"/>
  <c r="AC484" i="2" s="1"/>
  <c r="AZ188" i="1"/>
  <c r="AZ294" i="1"/>
  <c r="M223" i="1"/>
  <c r="E218" i="1"/>
  <c r="BB288" i="1"/>
  <c r="BC288" i="1"/>
  <c r="BA288" i="1"/>
  <c r="AC223" i="1"/>
  <c r="W479" i="2"/>
  <c r="W480" i="2" s="1"/>
  <c r="Y187" i="1"/>
  <c r="BJ188" i="1"/>
  <c r="AZ203" i="1"/>
  <c r="AZ308" i="1"/>
  <c r="AZ331" i="1"/>
  <c r="AZ398" i="1" s="1"/>
  <c r="AZ383" i="1"/>
  <c r="AZ385" i="1" s="1"/>
  <c r="AZ218" i="1"/>
  <c r="AZ320" i="1"/>
  <c r="AZ326" i="1" s="1"/>
  <c r="BY304" i="4"/>
  <c r="AZ318" i="4"/>
  <c r="AZ372" i="4" s="1"/>
  <c r="V526" i="3"/>
  <c r="V527" i="3" s="1"/>
  <c r="AU284" i="4"/>
  <c r="AU336" i="4"/>
  <c r="I322" i="4"/>
  <c r="I216" i="4"/>
  <c r="J323" i="4"/>
  <c r="AZ212" i="9"/>
  <c r="AZ72" i="7" s="1"/>
  <c r="H375" i="7"/>
  <c r="H394" i="7" s="1"/>
  <c r="H413" i="7" s="1"/>
  <c r="AU118" i="27"/>
  <c r="AU108" i="27"/>
  <c r="T797" i="7"/>
  <c r="T852" i="7" s="1"/>
  <c r="BS862" i="7"/>
  <c r="AU12" i="7"/>
  <c r="AU14" i="7" s="1"/>
  <c r="AU792" i="7"/>
  <c r="BO58" i="7"/>
  <c r="AU79" i="10"/>
  <c r="BS27" i="69"/>
  <c r="BS28" i="69" s="1"/>
  <c r="BS11" i="27"/>
  <c r="BT11" i="27" s="1"/>
  <c r="BS73" i="14"/>
  <c r="BT52" i="27"/>
  <c r="BY27" i="69"/>
  <c r="BY28" i="69" s="1"/>
  <c r="BY73" i="14"/>
  <c r="AV146" i="14"/>
  <c r="L142" i="14"/>
  <c r="L143" i="14" s="1"/>
  <c r="L146" i="14" s="1"/>
  <c r="BT24" i="6"/>
  <c r="AP79" i="10"/>
  <c r="AP169" i="5"/>
  <c r="AP29" i="10" s="1"/>
  <c r="AU167" i="5"/>
  <c r="Q167" i="5"/>
  <c r="BU36" i="13"/>
  <c r="BV36" i="13" s="1"/>
  <c r="BW36" i="13" s="1"/>
  <c r="BX36" i="13" s="1"/>
  <c r="BT36" i="13"/>
  <c r="BC133" i="13"/>
  <c r="F146" i="14"/>
  <c r="BP30" i="13"/>
  <c r="BQ30" i="13" s="1"/>
  <c r="BR30" i="13" s="1"/>
  <c r="BS30" i="13" s="1"/>
  <c r="BT30" i="13" s="1"/>
  <c r="BO79" i="12"/>
  <c r="BP32" i="13"/>
  <c r="BQ32" i="13" s="1"/>
  <c r="BR32" i="13" s="1"/>
  <c r="BS32" i="13" s="1"/>
  <c r="BT32" i="13" s="1"/>
  <c r="BT111" i="12" s="1"/>
  <c r="BO111" i="12"/>
  <c r="BU16" i="13"/>
  <c r="BV16" i="13" s="1"/>
  <c r="BW16" i="13" s="1"/>
  <c r="BX16" i="13" s="1"/>
  <c r="BY16" i="13" s="1"/>
  <c r="BJ18" i="14"/>
  <c r="BJ23" i="14"/>
  <c r="BJ102" i="6"/>
  <c r="G212" i="9"/>
  <c r="G72" i="7" s="1"/>
  <c r="G209" i="9"/>
  <c r="Q65" i="9"/>
  <c r="Q72" i="9" s="1"/>
  <c r="L219" i="9"/>
  <c r="L215" i="9"/>
  <c r="AE465" i="7"/>
  <c r="BQ549" i="7"/>
  <c r="BQ58" i="7"/>
  <c r="BS19" i="6"/>
  <c r="BR33" i="6"/>
  <c r="BR30" i="6"/>
  <c r="L479" i="2"/>
  <c r="L480" i="2" s="1"/>
  <c r="Z213" i="1"/>
  <c r="AD223" i="1"/>
  <c r="U221" i="1"/>
  <c r="Z208" i="1"/>
  <c r="AE180" i="1"/>
  <c r="AE222" i="1"/>
  <c r="U479" i="2"/>
  <c r="U480" i="2" s="1"/>
  <c r="AE268" i="1"/>
  <c r="U201" i="1"/>
  <c r="Z221" i="1"/>
  <c r="Z201" i="1"/>
  <c r="AE246" i="1"/>
  <c r="AE202" i="1"/>
  <c r="AE196" i="1"/>
  <c r="U213" i="1"/>
  <c r="P266" i="1"/>
  <c r="J277" i="1"/>
  <c r="K276" i="1"/>
  <c r="K277" i="1" s="1"/>
  <c r="Z266" i="1"/>
  <c r="Z246" i="1"/>
  <c r="P195" i="1"/>
  <c r="U268" i="1"/>
  <c r="P246" i="1"/>
  <c r="AE195" i="1"/>
  <c r="AE213" i="1"/>
  <c r="Z216" i="1"/>
  <c r="AE194" i="1"/>
  <c r="U250" i="1"/>
  <c r="P264" i="1"/>
  <c r="AE264" i="1"/>
  <c r="AE181" i="1"/>
  <c r="O183" i="1"/>
  <c r="AE216" i="1"/>
  <c r="U215" i="1"/>
  <c r="Z479" i="2"/>
  <c r="Z480" i="2" s="1"/>
  <c r="N223" i="1"/>
  <c r="P207" i="1"/>
  <c r="Q479" i="2"/>
  <c r="Q480" i="2" s="1"/>
  <c r="Z202" i="1"/>
  <c r="U246" i="1"/>
  <c r="BY218" i="1"/>
  <c r="S197" i="1"/>
  <c r="R197" i="1"/>
  <c r="P213" i="1"/>
  <c r="P250" i="1"/>
  <c r="CD325" i="1"/>
  <c r="CD326" i="1" s="1"/>
  <c r="P181" i="1"/>
  <c r="P212" i="1"/>
  <c r="U266" i="1"/>
  <c r="Z194" i="1"/>
  <c r="U202" i="1"/>
  <c r="U182" i="1"/>
  <c r="Z181" i="1"/>
  <c r="Z180" i="1"/>
  <c r="AE212" i="1"/>
  <c r="Z250" i="1"/>
  <c r="P182" i="1"/>
  <c r="U181" i="1"/>
  <c r="P271" i="1"/>
  <c r="AE215" i="1"/>
  <c r="P215" i="1"/>
  <c r="AF480" i="2"/>
  <c r="Z271" i="1"/>
  <c r="P221" i="1"/>
  <c r="AE266" i="1"/>
  <c r="Z215" i="1"/>
  <c r="P196" i="1"/>
  <c r="U216" i="1"/>
  <c r="V479" i="2"/>
  <c r="V480" i="2" s="1"/>
  <c r="AK429" i="2"/>
  <c r="AK430" i="2" s="1"/>
  <c r="AB223" i="1"/>
  <c r="AE182" i="1"/>
  <c r="AE207" i="1"/>
  <c r="S183" i="1"/>
  <c r="T183" i="1"/>
  <c r="Z268" i="1"/>
  <c r="U222" i="1"/>
  <c r="P268" i="1"/>
  <c r="AJ480" i="2"/>
  <c r="Z222" i="1"/>
  <c r="P202" i="1"/>
  <c r="U195" i="1"/>
  <c r="P222" i="1"/>
  <c r="U207" i="1"/>
  <c r="P194" i="1"/>
  <c r="P216" i="1"/>
  <c r="P208" i="1"/>
  <c r="U212" i="1"/>
  <c r="Z196" i="1"/>
  <c r="AE250" i="1"/>
  <c r="Z207" i="1"/>
  <c r="AP325" i="1"/>
  <c r="AP326" i="1" s="1"/>
  <c r="AP397" i="1" s="1"/>
  <c r="AF343" i="1"/>
  <c r="AC289" i="1"/>
  <c r="AD289" i="1"/>
  <c r="AB289" i="1"/>
  <c r="P180" i="1"/>
  <c r="G294" i="1"/>
  <c r="G188" i="1"/>
  <c r="AK342" i="1"/>
  <c r="AK291" i="1"/>
  <c r="AC324" i="1"/>
  <c r="AF378" i="1"/>
  <c r="AD324" i="1"/>
  <c r="AB324" i="1"/>
  <c r="W300" i="1"/>
  <c r="X300" i="1"/>
  <c r="Y300" i="1"/>
  <c r="AA354" i="1"/>
  <c r="BJ291" i="1"/>
  <c r="BY257" i="1"/>
  <c r="CD294" i="1"/>
  <c r="CD188" i="1"/>
  <c r="AE201" i="1"/>
  <c r="Q295" i="1"/>
  <c r="O187" i="1"/>
  <c r="N187" i="1"/>
  <c r="M187" i="1"/>
  <c r="H304" i="1"/>
  <c r="I304" i="1" s="1"/>
  <c r="J304" i="1" s="1"/>
  <c r="K304" i="1" s="1"/>
  <c r="G358" i="1"/>
  <c r="AU294" i="1"/>
  <c r="AU188" i="1"/>
  <c r="AD429" i="2"/>
  <c r="P201" i="1"/>
  <c r="Q331" i="1"/>
  <c r="Q398" i="1" s="1"/>
  <c r="M329" i="1"/>
  <c r="Q383" i="1"/>
  <c r="N329" i="1"/>
  <c r="O329" i="1"/>
  <c r="N315" i="1"/>
  <c r="Q326" i="1"/>
  <c r="Q397" i="1" s="1"/>
  <c r="M315" i="1"/>
  <c r="Q369" i="1"/>
  <c r="O315" i="1"/>
  <c r="X320" i="1"/>
  <c r="Y320" i="1"/>
  <c r="AA374" i="1"/>
  <c r="W320" i="1"/>
  <c r="Q357" i="1"/>
  <c r="M303" i="1"/>
  <c r="N303" i="1"/>
  <c r="O303" i="1"/>
  <c r="W429" i="2"/>
  <c r="BJ325" i="1"/>
  <c r="BJ200" i="1"/>
  <c r="X429" i="2"/>
  <c r="CD331" i="1"/>
  <c r="O316" i="1"/>
  <c r="N316" i="1"/>
  <c r="Q370" i="1"/>
  <c r="M316" i="1"/>
  <c r="Y310" i="1"/>
  <c r="X310" i="1"/>
  <c r="W310" i="1"/>
  <c r="AA364" i="1"/>
  <c r="R320" i="1"/>
  <c r="V374" i="1"/>
  <c r="S320" i="1"/>
  <c r="T320" i="1"/>
  <c r="W321" i="1"/>
  <c r="Y321" i="1"/>
  <c r="AA375" i="1"/>
  <c r="X321" i="1"/>
  <c r="O479" i="2"/>
  <c r="O480" i="2" s="1"/>
  <c r="S300" i="1"/>
  <c r="T300" i="1"/>
  <c r="R300" i="1"/>
  <c r="V354" i="1"/>
  <c r="W272" i="1"/>
  <c r="AP358" i="1"/>
  <c r="AG480" i="2"/>
  <c r="BY299" i="1"/>
  <c r="BY251" i="1"/>
  <c r="BY76" i="1"/>
  <c r="BY82" i="1" s="1"/>
  <c r="G133" i="1"/>
  <c r="G28" i="1"/>
  <c r="G25" i="5"/>
  <c r="H302" i="1"/>
  <c r="I302" i="1" s="1"/>
  <c r="J302" i="1" s="1"/>
  <c r="K302" i="1" s="1"/>
  <c r="AP383" i="1"/>
  <c r="AP385" i="1" s="1"/>
  <c r="AP331" i="1"/>
  <c r="AP398" i="1" s="1"/>
  <c r="Y290" i="1"/>
  <c r="X290" i="1"/>
  <c r="W290" i="1"/>
  <c r="AA344" i="1"/>
  <c r="Z182" i="1"/>
  <c r="H320" i="1"/>
  <c r="I320" i="1" s="1"/>
  <c r="J320" i="1" s="1"/>
  <c r="K320" i="1" s="1"/>
  <c r="G374" i="1"/>
  <c r="AL480" i="2"/>
  <c r="E44" i="5"/>
  <c r="E152" i="1"/>
  <c r="E369" i="1"/>
  <c r="E326" i="1"/>
  <c r="L331" i="1"/>
  <c r="L398" i="1" s="1"/>
  <c r="L383" i="1"/>
  <c r="L385" i="1" s="1"/>
  <c r="AP218" i="1"/>
  <c r="AB183" i="1"/>
  <c r="AC183" i="1"/>
  <c r="AB288" i="1"/>
  <c r="AF342" i="1"/>
  <c r="AC288" i="1"/>
  <c r="AD288" i="1"/>
  <c r="AF291" i="1"/>
  <c r="AK251" i="1"/>
  <c r="AK299" i="1"/>
  <c r="P479" i="2"/>
  <c r="P480" i="2" s="1"/>
  <c r="AC322" i="1"/>
  <c r="AC376" i="1" s="1"/>
  <c r="AF376" i="1"/>
  <c r="AD322" i="1"/>
  <c r="AD376" i="1" s="1"/>
  <c r="AB322" i="1"/>
  <c r="AB376" i="1" s="1"/>
  <c r="BT291" i="1"/>
  <c r="BT295" i="1"/>
  <c r="F200" i="1"/>
  <c r="L429" i="2"/>
  <c r="BO200" i="1"/>
  <c r="Y429" i="2"/>
  <c r="CD299" i="1"/>
  <c r="CD76" i="1"/>
  <c r="CD82" i="1" s="1"/>
  <c r="CD251" i="1"/>
  <c r="AJ429" i="2"/>
  <c r="AF429" i="2"/>
  <c r="Z195" i="1"/>
  <c r="L342" i="1"/>
  <c r="L345" i="1" s="1"/>
  <c r="L291" i="1"/>
  <c r="R294" i="1"/>
  <c r="V348" i="1"/>
  <c r="T294" i="1"/>
  <c r="T348" i="1" s="1"/>
  <c r="S294" i="1"/>
  <c r="S348" i="1" s="1"/>
  <c r="H254" i="1"/>
  <c r="BT200" i="1"/>
  <c r="BT308" i="1" s="1"/>
  <c r="Z429" i="2"/>
  <c r="AU344" i="1"/>
  <c r="AA200" i="1"/>
  <c r="Q429" i="2"/>
  <c r="AF383" i="1"/>
  <c r="AC329" i="1"/>
  <c r="AB329" i="1"/>
  <c r="AF331" i="1"/>
  <c r="AF398" i="1" s="1"/>
  <c r="AD329" i="1"/>
  <c r="AE221" i="1"/>
  <c r="AP355" i="1"/>
  <c r="U194" i="1"/>
  <c r="S302" i="1"/>
  <c r="V356" i="1"/>
  <c r="R302" i="1"/>
  <c r="T302" i="1"/>
  <c r="F326" i="1"/>
  <c r="M321" i="1"/>
  <c r="Q375" i="1"/>
  <c r="N321" i="1"/>
  <c r="O321" i="1"/>
  <c r="AL429" i="2"/>
  <c r="R217" i="1"/>
  <c r="R218" i="1" s="1"/>
  <c r="V325" i="1"/>
  <c r="V326" i="1" s="1"/>
  <c r="V397" i="1" s="1"/>
  <c r="S217" i="1"/>
  <c r="S218" i="1" s="1"/>
  <c r="T217" i="1"/>
  <c r="T218" i="1" s="1"/>
  <c r="AC290" i="1"/>
  <c r="AF344" i="1"/>
  <c r="AB290" i="1"/>
  <c r="AD290" i="1"/>
  <c r="Y304" i="1"/>
  <c r="X304" i="1"/>
  <c r="W304" i="1"/>
  <c r="AA358" i="1"/>
  <c r="U271" i="1"/>
  <c r="BY188" i="1"/>
  <c r="BY294" i="1"/>
  <c r="AH429" i="2"/>
  <c r="AC218" i="1"/>
  <c r="AB330" i="1"/>
  <c r="AF384" i="1"/>
  <c r="AC330" i="1"/>
  <c r="AD330" i="1"/>
  <c r="AD303" i="1"/>
  <c r="AF357" i="1"/>
  <c r="AB303" i="1"/>
  <c r="AC303" i="1"/>
  <c r="U180" i="1"/>
  <c r="R288" i="1"/>
  <c r="T288" i="1"/>
  <c r="S288" i="1"/>
  <c r="V342" i="1"/>
  <c r="V291" i="1"/>
  <c r="V393" i="1" s="1"/>
  <c r="L294" i="1"/>
  <c r="L188" i="1"/>
  <c r="V372" i="1"/>
  <c r="S318" i="1"/>
  <c r="R318" i="1"/>
  <c r="T318" i="1"/>
  <c r="AE271" i="1"/>
  <c r="BO325" i="1"/>
  <c r="BO218" i="1"/>
  <c r="BT325" i="1"/>
  <c r="BT218" i="1"/>
  <c r="BY200" i="1"/>
  <c r="AA429" i="2"/>
  <c r="Q200" i="1"/>
  <c r="O429" i="2"/>
  <c r="W197" i="1"/>
  <c r="Y197" i="1"/>
  <c r="AA218" i="1"/>
  <c r="X217" i="1"/>
  <c r="X218" i="1" s="1"/>
  <c r="W217" i="1"/>
  <c r="W218" i="1" s="1"/>
  <c r="Y217" i="1"/>
  <c r="Y218" i="1" s="1"/>
  <c r="AA325" i="1"/>
  <c r="AA326" i="1" s="1"/>
  <c r="AA397" i="1" s="1"/>
  <c r="F342" i="1"/>
  <c r="F345" i="1" s="1"/>
  <c r="F291" i="1"/>
  <c r="AB186" i="1"/>
  <c r="AF294" i="1"/>
  <c r="AC186" i="1"/>
  <c r="AF188" i="1"/>
  <c r="AD186" i="1"/>
  <c r="AD480" i="2"/>
  <c r="G354" i="1"/>
  <c r="H300" i="1"/>
  <c r="I300" i="1" s="1"/>
  <c r="J300" i="1" s="1"/>
  <c r="K300" i="1" s="1"/>
  <c r="N322" i="1"/>
  <c r="N376" i="1" s="1"/>
  <c r="M322" i="1"/>
  <c r="M376" i="1" s="1"/>
  <c r="O322" i="1"/>
  <c r="O376" i="1" s="1"/>
  <c r="Q376" i="1"/>
  <c r="BJ82" i="1"/>
  <c r="BJ299" i="1"/>
  <c r="BJ353" i="1" s="1"/>
  <c r="BJ359" i="1" s="1"/>
  <c r="BJ251" i="1"/>
  <c r="BO331" i="1"/>
  <c r="G152" i="1"/>
  <c r="G44" i="5"/>
  <c r="F44" i="5"/>
  <c r="F152" i="1"/>
  <c r="CD291" i="1"/>
  <c r="X330" i="1"/>
  <c r="AA384" i="1"/>
  <c r="Y330" i="1"/>
  <c r="W330" i="1"/>
  <c r="S303" i="1"/>
  <c r="T303" i="1"/>
  <c r="R303" i="1"/>
  <c r="V357" i="1"/>
  <c r="W183" i="1"/>
  <c r="X183" i="1"/>
  <c r="AE480" i="2"/>
  <c r="AK376" i="1"/>
  <c r="AF299" i="1"/>
  <c r="AB245" i="1"/>
  <c r="AB251" i="1" s="1"/>
  <c r="AD245" i="1"/>
  <c r="AD251" i="1" s="1"/>
  <c r="AF251" i="1"/>
  <c r="AC245" i="1"/>
  <c r="AC251" i="1" s="1"/>
  <c r="AK372" i="1"/>
  <c r="CD308" i="1"/>
  <c r="CD203" i="1"/>
  <c r="BO188" i="1"/>
  <c r="BO295" i="1"/>
  <c r="BO349" i="1" s="1"/>
  <c r="R223" i="1"/>
  <c r="S223" i="1"/>
  <c r="T223" i="1"/>
  <c r="G369" i="1"/>
  <c r="H315" i="1"/>
  <c r="G326" i="1"/>
  <c r="AD197" i="1"/>
  <c r="AC197" i="1"/>
  <c r="S479" i="2"/>
  <c r="S480" i="2" s="1"/>
  <c r="AK818" i="7"/>
  <c r="AK103" i="5"/>
  <c r="AK110" i="5" s="1"/>
  <c r="AK101" i="10" s="1"/>
  <c r="AK873" i="7"/>
  <c r="AK110" i="1"/>
  <c r="AK157" i="1"/>
  <c r="AK374" i="1"/>
  <c r="AU372" i="1"/>
  <c r="AE208" i="1"/>
  <c r="O290" i="1"/>
  <c r="M290" i="1"/>
  <c r="Q344" i="1"/>
  <c r="N290" i="1"/>
  <c r="S289" i="1"/>
  <c r="T289" i="1"/>
  <c r="V343" i="1"/>
  <c r="R289" i="1"/>
  <c r="U196" i="1"/>
  <c r="AH480" i="2"/>
  <c r="N318" i="1"/>
  <c r="O318" i="1"/>
  <c r="Q372" i="1"/>
  <c r="M318" i="1"/>
  <c r="N272" i="1"/>
  <c r="M272" i="1"/>
  <c r="AU369" i="1"/>
  <c r="AU326" i="1"/>
  <c r="AU397" i="1" s="1"/>
  <c r="BE82" i="1"/>
  <c r="AU299" i="1"/>
  <c r="AU251" i="1"/>
  <c r="X479" i="2"/>
  <c r="X480" i="2" s="1"/>
  <c r="W329" i="1"/>
  <c r="Y329" i="1"/>
  <c r="X329" i="1"/>
  <c r="AA383" i="1"/>
  <c r="AA331" i="1"/>
  <c r="AA398" i="1" s="1"/>
  <c r="Y223" i="1"/>
  <c r="W223" i="1"/>
  <c r="V369" i="1"/>
  <c r="S315" i="1"/>
  <c r="T315" i="1"/>
  <c r="R315" i="1"/>
  <c r="U208" i="1"/>
  <c r="M197" i="1"/>
  <c r="AC480" i="2"/>
  <c r="R479" i="2"/>
  <c r="R480" i="2" s="1"/>
  <c r="AD272" i="1"/>
  <c r="AP376" i="1"/>
  <c r="AU376" i="1"/>
  <c r="BJ296" i="1"/>
  <c r="BO257" i="1"/>
  <c r="V429" i="2"/>
  <c r="E348" i="1"/>
  <c r="E350" i="1" s="1"/>
  <c r="E296" i="1"/>
  <c r="E394" i="1" s="1"/>
  <c r="AB479" i="2"/>
  <c r="AB480" i="2" s="1"/>
  <c r="E331" i="1"/>
  <c r="E398" i="1" s="1"/>
  <c r="E383" i="1"/>
  <c r="E385" i="1" s="1"/>
  <c r="X315" i="1"/>
  <c r="AA369" i="1"/>
  <c r="W315" i="1"/>
  <c r="Y315" i="1"/>
  <c r="N288" i="1"/>
  <c r="Q342" i="1"/>
  <c r="Q291" i="1"/>
  <c r="O288" i="1"/>
  <c r="M288" i="1"/>
  <c r="Q377" i="1"/>
  <c r="M323" i="1"/>
  <c r="N323" i="1"/>
  <c r="O323" i="1"/>
  <c r="X186" i="1"/>
  <c r="X188" i="1" s="1"/>
  <c r="Y186" i="1"/>
  <c r="W186" i="1"/>
  <c r="AA188" i="1"/>
  <c r="AA294" i="1"/>
  <c r="AK480" i="2"/>
  <c r="AU374" i="1"/>
  <c r="R429" i="2"/>
  <c r="R430" i="2" s="1"/>
  <c r="AF200" i="1"/>
  <c r="AC309" i="1"/>
  <c r="AF363" i="1"/>
  <c r="AD309" i="1"/>
  <c r="AB309" i="1"/>
  <c r="AK383" i="1"/>
  <c r="AK385" i="1" s="1"/>
  <c r="AK331" i="1"/>
  <c r="AK398" i="1" s="1"/>
  <c r="AK343" i="1"/>
  <c r="AP374" i="1"/>
  <c r="V377" i="1"/>
  <c r="R323" i="1"/>
  <c r="S323" i="1"/>
  <c r="T323" i="1"/>
  <c r="AP372" i="1"/>
  <c r="BT257" i="1"/>
  <c r="AU200" i="1"/>
  <c r="U429" i="2"/>
  <c r="F28" i="1"/>
  <c r="F133" i="1"/>
  <c r="F25" i="5"/>
  <c r="N309" i="1"/>
  <c r="M309" i="1"/>
  <c r="Q363" i="1"/>
  <c r="O309" i="1"/>
  <c r="AK295" i="1"/>
  <c r="Z212" i="1"/>
  <c r="AP291" i="1"/>
  <c r="AP342" i="1"/>
  <c r="AB304" i="1"/>
  <c r="AC304" i="1"/>
  <c r="AF358" i="1"/>
  <c r="AD304" i="1"/>
  <c r="N245" i="1"/>
  <c r="N251" i="1" s="1"/>
  <c r="Q299" i="1"/>
  <c r="M245" i="1"/>
  <c r="M251" i="1" s="1"/>
  <c r="Q251" i="1"/>
  <c r="O245" i="1"/>
  <c r="O251" i="1" s="1"/>
  <c r="AA257" i="1"/>
  <c r="X254" i="1"/>
  <c r="X257" i="1" s="1"/>
  <c r="Y254" i="1"/>
  <c r="Y257" i="1" s="1"/>
  <c r="W254" i="1"/>
  <c r="W257" i="1" s="1"/>
  <c r="AU358" i="1"/>
  <c r="AP344" i="1"/>
  <c r="W323" i="1"/>
  <c r="Y323" i="1"/>
  <c r="X323" i="1"/>
  <c r="AA377" i="1"/>
  <c r="AK294" i="1"/>
  <c r="AK188" i="1"/>
  <c r="V299" i="1"/>
  <c r="R245" i="1"/>
  <c r="T245" i="1"/>
  <c r="T251" i="1" s="1"/>
  <c r="V251" i="1"/>
  <c r="S245" i="1"/>
  <c r="S251" i="1" s="1"/>
  <c r="O254" i="1"/>
  <c r="O257" i="1" s="1"/>
  <c r="N254" i="1"/>
  <c r="N257" i="1" s="1"/>
  <c r="Q257" i="1"/>
  <c r="M254" i="1"/>
  <c r="M257" i="1" s="1"/>
  <c r="X272" i="1"/>
  <c r="Y272" i="1"/>
  <c r="AA372" i="1"/>
  <c r="Y318" i="1"/>
  <c r="W318" i="1"/>
  <c r="X318" i="1"/>
  <c r="V376" i="1"/>
  <c r="S322" i="1"/>
  <c r="S376" i="1" s="1"/>
  <c r="T322" i="1"/>
  <c r="T376" i="1" s="1"/>
  <c r="R322" i="1"/>
  <c r="R376" i="1" s="1"/>
  <c r="F251" i="1"/>
  <c r="F279" i="1" s="1"/>
  <c r="F299" i="1"/>
  <c r="AU331" i="1"/>
  <c r="AU398" i="1" s="1"/>
  <c r="AU383" i="1"/>
  <c r="AU385" i="1" s="1"/>
  <c r="T187" i="1"/>
  <c r="R187" i="1"/>
  <c r="V295" i="1"/>
  <c r="S187" i="1"/>
  <c r="M304" i="1"/>
  <c r="Q358" i="1"/>
  <c r="O304" i="1"/>
  <c r="N304" i="1"/>
  <c r="S324" i="1"/>
  <c r="R324" i="1"/>
  <c r="V378" i="1"/>
  <c r="T324" i="1"/>
  <c r="M479" i="2"/>
  <c r="M480" i="2" s="1"/>
  <c r="G245" i="1"/>
  <c r="W309" i="1"/>
  <c r="AA363" i="1"/>
  <c r="X309" i="1"/>
  <c r="Y309" i="1"/>
  <c r="AP369" i="1"/>
  <c r="AK355" i="1"/>
  <c r="R321" i="1"/>
  <c r="T321" i="1"/>
  <c r="V375" i="1"/>
  <c r="S321" i="1"/>
  <c r="AD183" i="1"/>
  <c r="AP294" i="1"/>
  <c r="AP188" i="1"/>
  <c r="V257" i="1"/>
  <c r="T254" i="1"/>
  <c r="T257" i="1" s="1"/>
  <c r="R254" i="1"/>
  <c r="R257" i="1" s="1"/>
  <c r="S254" i="1"/>
  <c r="S257" i="1" s="1"/>
  <c r="AC300" i="1"/>
  <c r="AD300" i="1"/>
  <c r="AB300" i="1"/>
  <c r="AF354" i="1"/>
  <c r="I264" i="1"/>
  <c r="H272" i="1"/>
  <c r="G372" i="1"/>
  <c r="H318" i="1"/>
  <c r="I318" i="1" s="1"/>
  <c r="J318" i="1" s="1"/>
  <c r="K318" i="1" s="1"/>
  <c r="BJ218" i="1"/>
  <c r="AZ82" i="1"/>
  <c r="E133" i="1"/>
  <c r="E25" i="5"/>
  <c r="E28" i="1"/>
  <c r="BJ331" i="1"/>
  <c r="AU379" i="1"/>
  <c r="H295" i="1"/>
  <c r="I295" i="1" s="1"/>
  <c r="J295" i="1" s="1"/>
  <c r="K295" i="1" s="1"/>
  <c r="AD310" i="1"/>
  <c r="AB310" i="1"/>
  <c r="AC310" i="1"/>
  <c r="AF364" i="1"/>
  <c r="AP343" i="1"/>
  <c r="AA357" i="1"/>
  <c r="Y303" i="1"/>
  <c r="X303" i="1"/>
  <c r="W303" i="1"/>
  <c r="V188" i="1"/>
  <c r="W245" i="1"/>
  <c r="W251" i="1" s="1"/>
  <c r="X245" i="1"/>
  <c r="X251" i="1" s="1"/>
  <c r="AA299" i="1"/>
  <c r="AA251" i="1"/>
  <c r="Y245" i="1"/>
  <c r="Y251" i="1" s="1"/>
  <c r="AP257" i="1"/>
  <c r="H322" i="1"/>
  <c r="I322" i="1" s="1"/>
  <c r="J322" i="1" s="1"/>
  <c r="K322" i="1" s="1"/>
  <c r="G376" i="1"/>
  <c r="BY326" i="1"/>
  <c r="W316" i="1"/>
  <c r="Y316" i="1"/>
  <c r="AA370" i="1"/>
  <c r="X316" i="1"/>
  <c r="N429" i="2"/>
  <c r="L200" i="1"/>
  <c r="L369" i="1"/>
  <c r="L380" i="1" s="1"/>
  <c r="L326" i="1"/>
  <c r="L397" i="1" s="1"/>
  <c r="AF295" i="1"/>
  <c r="AC187" i="1"/>
  <c r="AB187" i="1"/>
  <c r="AD187" i="1"/>
  <c r="AI480" i="2"/>
  <c r="Q354" i="1"/>
  <c r="O300" i="1"/>
  <c r="M300" i="1"/>
  <c r="N300" i="1"/>
  <c r="AU291" i="1"/>
  <c r="AU342" i="1"/>
  <c r="F383" i="1"/>
  <c r="F385" i="1" s="1"/>
  <c r="F331" i="1"/>
  <c r="F398" i="1" s="1"/>
  <c r="AF369" i="1"/>
  <c r="AC315" i="1"/>
  <c r="AD315" i="1"/>
  <c r="AB315" i="1"/>
  <c r="N289" i="1"/>
  <c r="M289" i="1"/>
  <c r="Q343" i="1"/>
  <c r="O289" i="1"/>
  <c r="N320" i="1"/>
  <c r="M320" i="1"/>
  <c r="Q374" i="1"/>
  <c r="O320" i="1"/>
  <c r="U264" i="1"/>
  <c r="R272" i="1"/>
  <c r="S272" i="1"/>
  <c r="T272" i="1"/>
  <c r="W322" i="1"/>
  <c r="W376" i="1" s="1"/>
  <c r="X322" i="1"/>
  <c r="X376" i="1" s="1"/>
  <c r="Y322" i="1"/>
  <c r="Y376" i="1" s="1"/>
  <c r="AA376" i="1"/>
  <c r="G200" i="1"/>
  <c r="M429" i="2"/>
  <c r="K429" i="2"/>
  <c r="K430" i="2" s="1"/>
  <c r="E200" i="1"/>
  <c r="AU295" i="1"/>
  <c r="BY331" i="1"/>
  <c r="BY291" i="1"/>
  <c r="F218" i="1"/>
  <c r="Y302" i="1"/>
  <c r="X302" i="1"/>
  <c r="W302" i="1"/>
  <c r="AA356" i="1"/>
  <c r="X197" i="1"/>
  <c r="R330" i="1"/>
  <c r="T330" i="1"/>
  <c r="V384" i="1"/>
  <c r="S330" i="1"/>
  <c r="R310" i="1"/>
  <c r="T310" i="1"/>
  <c r="S310" i="1"/>
  <c r="V364" i="1"/>
  <c r="S290" i="1"/>
  <c r="V344" i="1"/>
  <c r="R290" i="1"/>
  <c r="T290" i="1"/>
  <c r="Y289" i="1"/>
  <c r="X289" i="1"/>
  <c r="AA343" i="1"/>
  <c r="W289" i="1"/>
  <c r="AC321" i="1"/>
  <c r="AD321" i="1"/>
  <c r="AF375" i="1"/>
  <c r="AB321" i="1"/>
  <c r="S429" i="2"/>
  <c r="S430" i="2" s="1"/>
  <c r="AK200" i="1"/>
  <c r="V363" i="1"/>
  <c r="S309" i="1"/>
  <c r="T309" i="1"/>
  <c r="R309" i="1"/>
  <c r="G331" i="1"/>
  <c r="G398" i="1" s="1"/>
  <c r="G383" i="1"/>
  <c r="G385" i="1" s="1"/>
  <c r="H329" i="1"/>
  <c r="AK369" i="1"/>
  <c r="O310" i="1"/>
  <c r="Q364" i="1"/>
  <c r="N310" i="1"/>
  <c r="M310" i="1"/>
  <c r="Y183" i="1"/>
  <c r="Y288" i="1"/>
  <c r="W288" i="1"/>
  <c r="X288" i="1"/>
  <c r="AA291" i="1"/>
  <c r="AA342" i="1"/>
  <c r="AI429" i="2"/>
  <c r="AA378" i="1"/>
  <c r="W324" i="1"/>
  <c r="X324" i="1"/>
  <c r="Y324" i="1"/>
  <c r="AB429" i="2"/>
  <c r="AU343" i="1"/>
  <c r="AU257" i="1"/>
  <c r="BT299" i="1"/>
  <c r="BT251" i="1"/>
  <c r="BT76" i="1"/>
  <c r="BT82" i="1" s="1"/>
  <c r="AE429" i="2"/>
  <c r="S329" i="1"/>
  <c r="V331" i="1"/>
  <c r="V398" i="1" s="1"/>
  <c r="T329" i="1"/>
  <c r="V383" i="1"/>
  <c r="R329" i="1"/>
  <c r="G218" i="1"/>
  <c r="AB197" i="1"/>
  <c r="AC302" i="1"/>
  <c r="AF356" i="1"/>
  <c r="AD302" i="1"/>
  <c r="AB302" i="1"/>
  <c r="N330" i="1"/>
  <c r="O330" i="1"/>
  <c r="Q384" i="1"/>
  <c r="M330" i="1"/>
  <c r="AD320" i="1"/>
  <c r="AF374" i="1"/>
  <c r="AC320" i="1"/>
  <c r="AB320" i="1"/>
  <c r="H288" i="1"/>
  <c r="G291" i="1"/>
  <c r="G342" i="1"/>
  <c r="G345" i="1" s="1"/>
  <c r="N186" i="1"/>
  <c r="Q294" i="1"/>
  <c r="M186" i="1"/>
  <c r="O186" i="1"/>
  <c r="Q188" i="1"/>
  <c r="AP299" i="1"/>
  <c r="AP251" i="1"/>
  <c r="AK257" i="1"/>
  <c r="AK164" i="5"/>
  <c r="AK102" i="10" s="1"/>
  <c r="AU355" i="1"/>
  <c r="AP200" i="1"/>
  <c r="T429" i="2"/>
  <c r="AD316" i="1"/>
  <c r="AF370" i="1"/>
  <c r="AB316" i="1"/>
  <c r="AC316" i="1"/>
  <c r="O325" i="1"/>
  <c r="M325" i="1"/>
  <c r="N325" i="1"/>
  <c r="Q379" i="1"/>
  <c r="F294" i="1"/>
  <c r="F188" i="1"/>
  <c r="T304" i="1"/>
  <c r="S304" i="1"/>
  <c r="V358" i="1"/>
  <c r="R304" i="1"/>
  <c r="L251" i="1"/>
  <c r="L279" i="1" s="1"/>
  <c r="L299" i="1"/>
  <c r="O272" i="1"/>
  <c r="E342" i="1"/>
  <c r="E345" i="1" s="1"/>
  <c r="E291" i="1"/>
  <c r="E393" i="1" s="1"/>
  <c r="BT331" i="1"/>
  <c r="BT188" i="1"/>
  <c r="BT294" i="1"/>
  <c r="BO82" i="1"/>
  <c r="BO299" i="1"/>
  <c r="BO353" i="1" s="1"/>
  <c r="BO359" i="1" s="1"/>
  <c r="BO251" i="1"/>
  <c r="BJ257" i="1"/>
  <c r="V200" i="1"/>
  <c r="P429" i="2"/>
  <c r="X223" i="1"/>
  <c r="V218" i="1"/>
  <c r="R316" i="1"/>
  <c r="V370" i="1"/>
  <c r="S316" i="1"/>
  <c r="T316" i="1"/>
  <c r="O197" i="1"/>
  <c r="N197" i="1"/>
  <c r="Q356" i="1"/>
  <c r="M302" i="1"/>
  <c r="N302" i="1"/>
  <c r="O302" i="1"/>
  <c r="AK344" i="1"/>
  <c r="AF377" i="1"/>
  <c r="AC323" i="1"/>
  <c r="AD323" i="1"/>
  <c r="AB323" i="1"/>
  <c r="N324" i="1"/>
  <c r="Q378" i="1"/>
  <c r="M324" i="1"/>
  <c r="O324" i="1"/>
  <c r="AC254" i="1"/>
  <c r="AC257" i="1" s="1"/>
  <c r="AF257" i="1"/>
  <c r="AD254" i="1"/>
  <c r="AD257" i="1" s="1"/>
  <c r="AB254" i="1"/>
  <c r="AB257" i="1" s="1"/>
  <c r="AC318" i="1"/>
  <c r="AF372" i="1"/>
  <c r="AB318" i="1"/>
  <c r="AD318" i="1"/>
  <c r="AC272" i="1"/>
  <c r="AB272" i="1"/>
  <c r="Y479" i="2"/>
  <c r="Y480" i="2" s="1"/>
  <c r="BO291" i="1"/>
  <c r="E188" i="1"/>
  <c r="CD257" i="1"/>
  <c r="J312" i="4"/>
  <c r="K303" i="4"/>
  <c r="K313" i="4"/>
  <c r="AK361" i="4"/>
  <c r="F301" i="4"/>
  <c r="F196" i="4"/>
  <c r="N309" i="4"/>
  <c r="V376" i="4"/>
  <c r="V378" i="4" s="1"/>
  <c r="V324" i="4"/>
  <c r="V390" i="4" s="1"/>
  <c r="O314" i="4"/>
  <c r="AU355" i="4"/>
  <c r="AU358" i="4" s="1"/>
  <c r="AU304" i="4"/>
  <c r="AU388" i="4" s="1"/>
  <c r="J297" i="4"/>
  <c r="M316" i="4"/>
  <c r="M370" i="4" s="1"/>
  <c r="J283" i="4"/>
  <c r="E292" i="4"/>
  <c r="E244" i="4"/>
  <c r="E272" i="4" s="1"/>
  <c r="AU361" i="4"/>
  <c r="V307" i="4"/>
  <c r="G265" i="4"/>
  <c r="G272" i="4" s="1"/>
  <c r="G307" i="4"/>
  <c r="BU91" i="5"/>
  <c r="BX91" i="4"/>
  <c r="K310" i="4"/>
  <c r="J292" i="4"/>
  <c r="E341" i="4"/>
  <c r="E343" i="4" s="1"/>
  <c r="E289" i="4"/>
  <c r="BT318" i="4"/>
  <c r="I294" i="4"/>
  <c r="J250" i="4"/>
  <c r="J302" i="4"/>
  <c r="BW91" i="5"/>
  <c r="BV91" i="5"/>
  <c r="CD181" i="4"/>
  <c r="I196" i="4"/>
  <c r="I301" i="4"/>
  <c r="E301" i="4"/>
  <c r="E196" i="4"/>
  <c r="Q307" i="4"/>
  <c r="CD292" i="4"/>
  <c r="BT288" i="4"/>
  <c r="BT181" i="4"/>
  <c r="K235" i="4"/>
  <c r="AZ74" i="12"/>
  <c r="BQ32" i="6"/>
  <c r="BQ708" i="7" s="1"/>
  <c r="BP32" i="6"/>
  <c r="BP878" i="7" s="1"/>
  <c r="BS32" i="6"/>
  <c r="BU32" i="6"/>
  <c r="BJ57" i="7"/>
  <c r="BJ548" i="7"/>
  <c r="BO57" i="7"/>
  <c r="BO548" i="7"/>
  <c r="Z146" i="14"/>
  <c r="AW54" i="14"/>
  <c r="AW39" i="14"/>
  <c r="AW49" i="14"/>
  <c r="BJ12" i="69"/>
  <c r="J295" i="4"/>
  <c r="J319" i="1"/>
  <c r="BV12" i="6"/>
  <c r="BW32" i="6" s="1"/>
  <c r="K266" i="1"/>
  <c r="AX78" i="11"/>
  <c r="AY68" i="11" s="1"/>
  <c r="AZ23" i="47"/>
  <c r="AZ144" i="13" s="1"/>
  <c r="BE76" i="12" s="1"/>
  <c r="AZ29" i="47"/>
  <c r="AZ148" i="13" s="1"/>
  <c r="BS548" i="7"/>
  <c r="BS57" i="7"/>
  <c r="BU49" i="13"/>
  <c r="BV49" i="13" s="1"/>
  <c r="BW49" i="13" s="1"/>
  <c r="BX49" i="13" s="1"/>
  <c r="BT49" i="13"/>
  <c r="E251" i="1"/>
  <c r="E279" i="1" s="1"/>
  <c r="E299" i="1"/>
  <c r="BO20" i="6"/>
  <c r="AZ80" i="12"/>
  <c r="BO12" i="69"/>
  <c r="K250" i="1"/>
  <c r="F102" i="14"/>
  <c r="F66" i="12"/>
  <c r="F100" i="12" s="1"/>
  <c r="BJ293" i="7"/>
  <c r="BJ707" i="7"/>
  <c r="BJ435" i="7"/>
  <c r="BJ436" i="7" s="1"/>
  <c r="BJ877" i="7"/>
  <c r="BJ487" i="7"/>
  <c r="BU12" i="13"/>
  <c r="BV12" i="13" s="1"/>
  <c r="BW12" i="13" s="1"/>
  <c r="BX12" i="13" s="1"/>
  <c r="BY12" i="13" s="1"/>
  <c r="BP13" i="6"/>
  <c r="BT71" i="12"/>
  <c r="BT26" i="6"/>
  <c r="BP20" i="6"/>
  <c r="BY113" i="10"/>
  <c r="BY26" i="11"/>
  <c r="BY68" i="12" s="1"/>
  <c r="BY93" i="12"/>
  <c r="BZ43" i="13"/>
  <c r="CA43" i="13" s="1"/>
  <c r="CB43" i="13" s="1"/>
  <c r="CC43" i="13" s="1"/>
  <c r="CD43" i="13" s="1"/>
  <c r="AZ42" i="47"/>
  <c r="AZ159" i="13" s="1"/>
  <c r="J308" i="4"/>
  <c r="AZ877" i="7"/>
  <c r="AZ487" i="7"/>
  <c r="BU10" i="14"/>
  <c r="BU27" i="13"/>
  <c r="BU24" i="6"/>
  <c r="BU652" i="7" s="1"/>
  <c r="BU26" i="6"/>
  <c r="BU25" i="6"/>
  <c r="BV32" i="6"/>
  <c r="J315" i="4"/>
  <c r="Z100" i="13"/>
  <c r="BZ13" i="13"/>
  <c r="CA13" i="13" s="1"/>
  <c r="CB13" i="13" s="1"/>
  <c r="CC13" i="13" s="1"/>
  <c r="CD13" i="13" s="1"/>
  <c r="BS594" i="7"/>
  <c r="AW102" i="14"/>
  <c r="AX56" i="14"/>
  <c r="AX85" i="14"/>
  <c r="CA29" i="37"/>
  <c r="BP29" i="37"/>
  <c r="BR29" i="37"/>
  <c r="BS29" i="37"/>
  <c r="BU29" i="37"/>
  <c r="BQ29" i="37"/>
  <c r="BW29" i="37"/>
  <c r="BX29" i="37"/>
  <c r="BZ29" i="37"/>
  <c r="CB29" i="37"/>
  <c r="CC29" i="37"/>
  <c r="BV29" i="37"/>
  <c r="J311" i="4"/>
  <c r="BS293" i="7"/>
  <c r="BS822" i="7"/>
  <c r="BS707" i="7"/>
  <c r="BS487" i="7"/>
  <c r="BS435" i="7"/>
  <c r="BS436" i="7" s="1"/>
  <c r="BS345" i="7"/>
  <c r="BS877" i="7"/>
  <c r="BZ54" i="13"/>
  <c r="CA54" i="13" s="1"/>
  <c r="CB54" i="13" s="1"/>
  <c r="CC54" i="13" s="1"/>
  <c r="CD54" i="13" s="1"/>
  <c r="BO23" i="6"/>
  <c r="BO240" i="7" s="1"/>
  <c r="AZ11" i="11"/>
  <c r="AZ81" i="12"/>
  <c r="BO326" i="1" l="1"/>
  <c r="BO379" i="1"/>
  <c r="BO380" i="1" s="1"/>
  <c r="BO68" i="5"/>
  <c r="BO122" i="5" s="1"/>
  <c r="BO122" i="1"/>
  <c r="BO82" i="5"/>
  <c r="BO136" i="5" s="1"/>
  <c r="BO136" i="1"/>
  <c r="CI176" i="7"/>
  <c r="AK19" i="7"/>
  <c r="L114" i="13"/>
  <c r="L115" i="13" s="1"/>
  <c r="V146" i="14"/>
  <c r="V85" i="7"/>
  <c r="BJ122" i="5"/>
  <c r="BJ703" i="7"/>
  <c r="BJ82" i="5"/>
  <c r="BJ136" i="5" s="1"/>
  <c r="AA118" i="27"/>
  <c r="AA134" i="27" s="1"/>
  <c r="AK85" i="7"/>
  <c r="CH415" i="7"/>
  <c r="CK415" i="7" s="1"/>
  <c r="CL415" i="7" s="1"/>
  <c r="CH417" i="7"/>
  <c r="CK417" i="7" s="1"/>
  <c r="CL417" i="7" s="1"/>
  <c r="CH419" i="7"/>
  <c r="CK419" i="7" s="1"/>
  <c r="CL419" i="7" s="1"/>
  <c r="CH421" i="7"/>
  <c r="CK421" i="7" s="1"/>
  <c r="CL421" i="7" s="1"/>
  <c r="CH423" i="7"/>
  <c r="CK423" i="7" s="1"/>
  <c r="CL423" i="7" s="1"/>
  <c r="CH414" i="7"/>
  <c r="CK414" i="7" s="1"/>
  <c r="CL414" i="7" s="1"/>
  <c r="CH416" i="7"/>
  <c r="CK416" i="7" s="1"/>
  <c r="CL416" i="7" s="1"/>
  <c r="CH418" i="7"/>
  <c r="CK418" i="7" s="1"/>
  <c r="CL418" i="7" s="1"/>
  <c r="CH420" i="7"/>
  <c r="CK420" i="7" s="1"/>
  <c r="CL420" i="7" s="1"/>
  <c r="CH40" i="7"/>
  <c r="CK40" i="7" s="1"/>
  <c r="BJ15" i="69"/>
  <c r="BJ18" i="69" s="1"/>
  <c r="BJ23" i="69" s="1"/>
  <c r="BJ22" i="69"/>
  <c r="CH43" i="7"/>
  <c r="CK43" i="7" s="1"/>
  <c r="CH42" i="7"/>
  <c r="BO877" i="7"/>
  <c r="BO293" i="7"/>
  <c r="BO487" i="7"/>
  <c r="BO345" i="7"/>
  <c r="BO822" i="7"/>
  <c r="BO435" i="7"/>
  <c r="BO436" i="7" s="1"/>
  <c r="BJ298" i="4"/>
  <c r="BJ351" i="4"/>
  <c r="BJ352" i="4" s="1"/>
  <c r="BJ343" i="4"/>
  <c r="BO15" i="69"/>
  <c r="BO18" i="69" s="1"/>
  <c r="BO23" i="69" s="1"/>
  <c r="BO22" i="69"/>
  <c r="CI457" i="7"/>
  <c r="CI456" i="7"/>
  <c r="CI455" i="7"/>
  <c r="CI454" i="7"/>
  <c r="CI453" i="7"/>
  <c r="CI452" i="7"/>
  <c r="CI451" i="7"/>
  <c r="CI450" i="7"/>
  <c r="CI449" i="7"/>
  <c r="CI448" i="7"/>
  <c r="CI447" i="7"/>
  <c r="CH457" i="7"/>
  <c r="CH456" i="7"/>
  <c r="CH455" i="7"/>
  <c r="CH454" i="7"/>
  <c r="CH453" i="7"/>
  <c r="CH452" i="7"/>
  <c r="CH451" i="7"/>
  <c r="CH450" i="7"/>
  <c r="CH449" i="7"/>
  <c r="CH448" i="7"/>
  <c r="CH447" i="7"/>
  <c r="Q85" i="7"/>
  <c r="AA110" i="27"/>
  <c r="AA112" i="27" s="1"/>
  <c r="AA137" i="27" s="1"/>
  <c r="AA139" i="27" s="1"/>
  <c r="BJ326" i="1"/>
  <c r="BJ379" i="1"/>
  <c r="BJ380" i="1" s="1"/>
  <c r="BT113" i="10"/>
  <c r="BT122" i="10" s="1"/>
  <c r="AA85" i="7"/>
  <c r="AU19" i="7"/>
  <c r="AK326" i="1"/>
  <c r="AK397" i="1" s="1"/>
  <c r="L118" i="27"/>
  <c r="L134" i="27" s="1"/>
  <c r="BJ68" i="12"/>
  <c r="BO68" i="12"/>
  <c r="BM211" i="4"/>
  <c r="BN211" i="4"/>
  <c r="BK211" i="4"/>
  <c r="BL211" i="4"/>
  <c r="AK218" i="4"/>
  <c r="L218" i="4"/>
  <c r="AP218" i="4"/>
  <c r="AA218" i="4"/>
  <c r="AK146" i="14"/>
  <c r="AF19" i="7"/>
  <c r="AP11" i="7"/>
  <c r="AP19" i="7" s="1"/>
  <c r="CI42" i="7"/>
  <c r="BI195" i="12"/>
  <c r="S105" i="13"/>
  <c r="CR82" i="47"/>
  <c r="CS82" i="47" s="1"/>
  <c r="CQ75" i="47"/>
  <c r="CS75" i="47"/>
  <c r="CT79" i="47" s="1"/>
  <c r="CX79" i="47" s="1"/>
  <c r="U105" i="13"/>
  <c r="U115" i="13"/>
  <c r="T115" i="13"/>
  <c r="T105" i="13"/>
  <c r="AA338" i="4"/>
  <c r="G90" i="9"/>
  <c r="G97" i="9" s="1"/>
  <c r="F146" i="9"/>
  <c r="AD325" i="1"/>
  <c r="AD326" i="1" s="1"/>
  <c r="AC325" i="1"/>
  <c r="AC326" i="1" s="1"/>
  <c r="AF379" i="1"/>
  <c r="AF380" i="1" s="1"/>
  <c r="AF326" i="1"/>
  <c r="AF397" i="1" s="1"/>
  <c r="E385" i="4"/>
  <c r="CD289" i="4"/>
  <c r="BR181" i="4"/>
  <c r="BR218" i="4" s="1"/>
  <c r="AZ373" i="4"/>
  <c r="AA373" i="4"/>
  <c r="BP181" i="4"/>
  <c r="BP218" i="4" s="1"/>
  <c r="AC244" i="4"/>
  <c r="R265" i="4"/>
  <c r="F338" i="4"/>
  <c r="BR265" i="4"/>
  <c r="AY265" i="4"/>
  <c r="BT272" i="4"/>
  <c r="S244" i="4"/>
  <c r="AZ218" i="4"/>
  <c r="AF218" i="4"/>
  <c r="L338" i="4"/>
  <c r="BE352" i="4"/>
  <c r="M265" i="4"/>
  <c r="AG181" i="4"/>
  <c r="AG218" i="4" s="1"/>
  <c r="AK343" i="4"/>
  <c r="AU218" i="4"/>
  <c r="V298" i="4"/>
  <c r="V387" i="4" s="1"/>
  <c r="AU289" i="4"/>
  <c r="AU386" i="4" s="1"/>
  <c r="V218" i="4"/>
  <c r="AK352" i="4"/>
  <c r="BU103" i="4"/>
  <c r="BU817" i="7" s="1"/>
  <c r="AZ289" i="4"/>
  <c r="AZ386" i="4" s="1"/>
  <c r="L289" i="4"/>
  <c r="L386" i="4" s="1"/>
  <c r="AA298" i="4"/>
  <c r="AA387" i="4" s="1"/>
  <c r="AF352" i="4"/>
  <c r="BO218" i="4"/>
  <c r="AP352" i="4"/>
  <c r="X530" i="3"/>
  <c r="X531" i="3" s="1"/>
  <c r="AP338" i="4"/>
  <c r="CD218" i="4"/>
  <c r="BJ289" i="4"/>
  <c r="Y530" i="3"/>
  <c r="Y531" i="3" s="1"/>
  <c r="BJ218" i="4"/>
  <c r="O265" i="4"/>
  <c r="T181" i="4"/>
  <c r="T218" i="4" s="1"/>
  <c r="AJ181" i="4"/>
  <c r="AJ218" i="4" s="1"/>
  <c r="BA265" i="4"/>
  <c r="BA272" i="4" s="1"/>
  <c r="CD298" i="4"/>
  <c r="AX265" i="4"/>
  <c r="AA272" i="4"/>
  <c r="AA343" i="4"/>
  <c r="V343" i="4"/>
  <c r="Q338" i="4"/>
  <c r="AP298" i="4"/>
  <c r="AP387" i="4" s="1"/>
  <c r="AZ298" i="4"/>
  <c r="AZ387" i="4" s="1"/>
  <c r="AK289" i="4"/>
  <c r="AK386" i="4" s="1"/>
  <c r="AZ385" i="4"/>
  <c r="BY319" i="4"/>
  <c r="U265" i="4"/>
  <c r="U181" i="4"/>
  <c r="U218" i="4" s="1"/>
  <c r="AQ244" i="4"/>
  <c r="AQ272" i="4" s="1"/>
  <c r="AG244" i="4"/>
  <c r="BF244" i="4"/>
  <c r="AP272" i="4"/>
  <c r="L343" i="4"/>
  <c r="BD265" i="4"/>
  <c r="BD272" i="4" s="1"/>
  <c r="V289" i="4"/>
  <c r="V386" i="4" s="1"/>
  <c r="AB265" i="4"/>
  <c r="BT289" i="4"/>
  <c r="BV103" i="4"/>
  <c r="BV872" i="7" s="1"/>
  <c r="AA289" i="4"/>
  <c r="AA386" i="4" s="1"/>
  <c r="BT91" i="4"/>
  <c r="BT91" i="5" s="1"/>
  <c r="T265" i="4"/>
  <c r="AL244" i="4"/>
  <c r="Q343" i="4"/>
  <c r="BG244" i="4"/>
  <c r="BT218" i="4"/>
  <c r="CD99" i="4"/>
  <c r="CD762" i="7" s="1"/>
  <c r="BR99" i="4"/>
  <c r="BR762" i="7" s="1"/>
  <c r="BS265" i="4"/>
  <c r="AD244" i="4"/>
  <c r="AS244" i="4"/>
  <c r="AS272" i="4" s="1"/>
  <c r="BV265" i="4"/>
  <c r="BV272" i="4" s="1"/>
  <c r="S181" i="4"/>
  <c r="S218" i="4" s="1"/>
  <c r="AM244" i="4"/>
  <c r="AI181" i="4"/>
  <c r="AI218" i="4" s="1"/>
  <c r="AJ244" i="4"/>
  <c r="Q272" i="4"/>
  <c r="AU343" i="4"/>
  <c r="BQ265" i="4"/>
  <c r="BQ103" i="4"/>
  <c r="BQ872" i="7" s="1"/>
  <c r="AF272" i="4"/>
  <c r="T244" i="4"/>
  <c r="BB265" i="4"/>
  <c r="BB272" i="4" s="1"/>
  <c r="AZ343" i="4"/>
  <c r="N265" i="4"/>
  <c r="BQ181" i="4"/>
  <c r="BC265" i="4"/>
  <c r="BC272" i="4" s="1"/>
  <c r="X181" i="4"/>
  <c r="X218" i="4" s="1"/>
  <c r="Q352" i="4"/>
  <c r="AK298" i="4"/>
  <c r="AK387" i="4" s="1"/>
  <c r="AW265" i="4"/>
  <c r="AE265" i="4"/>
  <c r="AH244" i="4"/>
  <c r="BY289" i="4"/>
  <c r="BQ762" i="7"/>
  <c r="BE373" i="4"/>
  <c r="BS99" i="4"/>
  <c r="BS762" i="7" s="1"/>
  <c r="BW103" i="4"/>
  <c r="BW817" i="7" s="1"/>
  <c r="Q289" i="4"/>
  <c r="Q386" i="4" s="1"/>
  <c r="AF289" i="4"/>
  <c r="AF386" i="4" s="1"/>
  <c r="CD319" i="4"/>
  <c r="BY99" i="4"/>
  <c r="BY762" i="7" s="1"/>
  <c r="BY218" i="4"/>
  <c r="AK338" i="4"/>
  <c r="BO289" i="4"/>
  <c r="AP343" i="4"/>
  <c r="BE319" i="4"/>
  <c r="BE389" i="4" s="1"/>
  <c r="BE298" i="4"/>
  <c r="BE387" i="4" s="1"/>
  <c r="S265" i="4"/>
  <c r="BE272" i="4"/>
  <c r="CD272" i="4"/>
  <c r="AN244" i="4"/>
  <c r="R181" i="4"/>
  <c r="R218" i="4" s="1"/>
  <c r="AH181" i="4"/>
  <c r="AH218" i="4" s="1"/>
  <c r="BS181" i="4"/>
  <c r="BS218" i="4" s="1"/>
  <c r="AE244" i="4"/>
  <c r="AV265" i="4"/>
  <c r="AC265" i="4"/>
  <c r="R244" i="4"/>
  <c r="Z181" i="4"/>
  <c r="Z218" i="4" s="1"/>
  <c r="AP289" i="4"/>
  <c r="AP386" i="4" s="1"/>
  <c r="BJ318" i="4"/>
  <c r="BY272" i="4"/>
  <c r="BJ272" i="4"/>
  <c r="Y218" i="4"/>
  <c r="P265" i="4"/>
  <c r="AO244" i="4"/>
  <c r="BO272" i="4"/>
  <c r="BP265" i="4"/>
  <c r="AB244" i="4"/>
  <c r="BW265" i="4"/>
  <c r="BW272" i="4" s="1"/>
  <c r="AI244" i="4"/>
  <c r="U244" i="4"/>
  <c r="BW181" i="4"/>
  <c r="BW218" i="4" s="1"/>
  <c r="AD265" i="4"/>
  <c r="AR244" i="4"/>
  <c r="AR272" i="4" s="1"/>
  <c r="BN244" i="4"/>
  <c r="AK372" i="4"/>
  <c r="AK373" i="4" s="1"/>
  <c r="AK319" i="4"/>
  <c r="AK389" i="4" s="1"/>
  <c r="AT244" i="4"/>
  <c r="AT272" i="4" s="1"/>
  <c r="V272" i="4"/>
  <c r="M181" i="4"/>
  <c r="M218" i="4" s="1"/>
  <c r="AZ272" i="4"/>
  <c r="BH244" i="4"/>
  <c r="AS181" i="4"/>
  <c r="AS218" i="4" s="1"/>
  <c r="AA352" i="4"/>
  <c r="W181" i="4"/>
  <c r="W218" i="4" s="1"/>
  <c r="AU346" i="4"/>
  <c r="AU352" i="4" s="1"/>
  <c r="AU298" i="4"/>
  <c r="AU387" i="4" s="1"/>
  <c r="O181" i="4"/>
  <c r="O218" i="4" s="1"/>
  <c r="CA265" i="4"/>
  <c r="CA272" i="4" s="1"/>
  <c r="AW244" i="4"/>
  <c r="CC265" i="4"/>
  <c r="CC272" i="4" s="1"/>
  <c r="AR181" i="4"/>
  <c r="AR218" i="4" s="1"/>
  <c r="AF298" i="4"/>
  <c r="AF387" i="4" s="1"/>
  <c r="BQ244" i="4"/>
  <c r="BI244" i="4"/>
  <c r="BU181" i="4"/>
  <c r="BU218" i="4" s="1"/>
  <c r="CB181" i="4"/>
  <c r="CB218" i="4" s="1"/>
  <c r="BM181" i="4"/>
  <c r="O244" i="4"/>
  <c r="W265" i="4"/>
  <c r="Y244" i="4"/>
  <c r="BU265" i="4"/>
  <c r="BU272" i="4" s="1"/>
  <c r="BH264" i="4"/>
  <c r="BH265" i="4" s="1"/>
  <c r="BF264" i="4"/>
  <c r="BF265" i="4" s="1"/>
  <c r="BI264" i="4"/>
  <c r="BG264" i="4"/>
  <c r="BG265" i="4" s="1"/>
  <c r="AL181" i="4"/>
  <c r="AL218" i="4" s="1"/>
  <c r="AC181" i="4"/>
  <c r="AC218" i="4" s="1"/>
  <c r="AY181" i="4"/>
  <c r="AY218" i="4" s="1"/>
  <c r="BF181" i="4"/>
  <c r="BF218" i="4" s="1"/>
  <c r="BD181" i="4"/>
  <c r="BD218" i="4" s="1"/>
  <c r="BI265" i="4"/>
  <c r="AX244" i="4"/>
  <c r="CB265" i="4"/>
  <c r="CB272" i="4" s="1"/>
  <c r="AT181" i="4"/>
  <c r="AT218" i="4" s="1"/>
  <c r="BR244" i="4"/>
  <c r="BL244" i="4"/>
  <c r="BL264" i="4"/>
  <c r="BL265" i="4" s="1"/>
  <c r="BM264" i="4"/>
  <c r="BM265" i="4" s="1"/>
  <c r="BN264" i="4"/>
  <c r="BN265" i="4" s="1"/>
  <c r="BK264" i="4"/>
  <c r="BK265" i="4" s="1"/>
  <c r="CC181" i="4"/>
  <c r="CC218" i="4" s="1"/>
  <c r="BL181" i="4"/>
  <c r="M244" i="4"/>
  <c r="BX265" i="4"/>
  <c r="BX272" i="4" s="1"/>
  <c r="X244" i="4"/>
  <c r="BQ218" i="4"/>
  <c r="AN181" i="4"/>
  <c r="AN218" i="4" s="1"/>
  <c r="AE181" i="4"/>
  <c r="AE218" i="4" s="1"/>
  <c r="AV181" i="4"/>
  <c r="AV218" i="4" s="1"/>
  <c r="BH181" i="4"/>
  <c r="BH218" i="4" s="1"/>
  <c r="BA181" i="4"/>
  <c r="BA218" i="4" s="1"/>
  <c r="N181" i="4"/>
  <c r="N218" i="4" s="1"/>
  <c r="AY244" i="4"/>
  <c r="BZ265" i="4"/>
  <c r="BZ272" i="4" s="1"/>
  <c r="AN264" i="4"/>
  <c r="AN265" i="4" s="1"/>
  <c r="AL264" i="4"/>
  <c r="AL265" i="4" s="1"/>
  <c r="AM264" i="4"/>
  <c r="AM265" i="4" s="1"/>
  <c r="AO264" i="4"/>
  <c r="AO265" i="4" s="1"/>
  <c r="AQ181" i="4"/>
  <c r="AQ218" i="4" s="1"/>
  <c r="BS244" i="4"/>
  <c r="BM244" i="4"/>
  <c r="BV181" i="4"/>
  <c r="BV218" i="4" s="1"/>
  <c r="CA181" i="4"/>
  <c r="CA218" i="4" s="1"/>
  <c r="BN181" i="4"/>
  <c r="P244" i="4"/>
  <c r="X265" i="4"/>
  <c r="Z244" i="4"/>
  <c r="Q298" i="4"/>
  <c r="Q387" i="4" s="1"/>
  <c r="AM181" i="4"/>
  <c r="AM218" i="4" s="1"/>
  <c r="AD181" i="4"/>
  <c r="AD218" i="4" s="1"/>
  <c r="AW181" i="4"/>
  <c r="AW218" i="4" s="1"/>
  <c r="BG181" i="4"/>
  <c r="BG218" i="4" s="1"/>
  <c r="BB181" i="4"/>
  <c r="BB218" i="4" s="1"/>
  <c r="H465" i="7"/>
  <c r="P181" i="4"/>
  <c r="P218" i="4" s="1"/>
  <c r="AV244" i="4"/>
  <c r="AP318" i="4"/>
  <c r="BP244" i="4"/>
  <c r="BK244" i="4"/>
  <c r="BX181" i="4"/>
  <c r="BX218" i="4" s="1"/>
  <c r="AJ264" i="4"/>
  <c r="AJ265" i="4" s="1"/>
  <c r="AG264" i="4"/>
  <c r="AG265" i="4" s="1"/>
  <c r="AH264" i="4"/>
  <c r="AH265" i="4" s="1"/>
  <c r="AI264" i="4"/>
  <c r="AI265" i="4" s="1"/>
  <c r="AK265" i="4"/>
  <c r="AK272" i="4" s="1"/>
  <c r="BZ181" i="4"/>
  <c r="BZ218" i="4" s="1"/>
  <c r="BK181" i="4"/>
  <c r="N244" i="4"/>
  <c r="Y265" i="4"/>
  <c r="Z265" i="4"/>
  <c r="W244" i="4"/>
  <c r="AO181" i="4"/>
  <c r="AO218" i="4" s="1"/>
  <c r="AB181" i="4"/>
  <c r="AB218" i="4" s="1"/>
  <c r="AX181" i="4"/>
  <c r="AX218" i="4" s="1"/>
  <c r="BI181" i="4"/>
  <c r="BI218" i="4" s="1"/>
  <c r="BC181" i="4"/>
  <c r="BC218" i="4" s="1"/>
  <c r="V108" i="27"/>
  <c r="V110" i="27" s="1"/>
  <c r="V112" i="27" s="1"/>
  <c r="V137" i="27" s="1"/>
  <c r="V139" i="27" s="1"/>
  <c r="BT150" i="7"/>
  <c r="BT652" i="7"/>
  <c r="BO150" i="7"/>
  <c r="BO652" i="7"/>
  <c r="BJ150" i="7"/>
  <c r="AF385" i="4"/>
  <c r="BT319" i="4"/>
  <c r="E319" i="4"/>
  <c r="E389" i="4" s="1"/>
  <c r="T530" i="3"/>
  <c r="T531" i="3" s="1"/>
  <c r="D167" i="5"/>
  <c r="BE225" i="1"/>
  <c r="I237" i="1"/>
  <c r="J235" i="1"/>
  <c r="I230" i="4"/>
  <c r="AF342" i="4"/>
  <c r="AF343" i="4" s="1"/>
  <c r="T476" i="3"/>
  <c r="BP103" i="4"/>
  <c r="BP817" i="7" s="1"/>
  <c r="AU373" i="4"/>
  <c r="BE218" i="4"/>
  <c r="BE703" i="7"/>
  <c r="BE710" i="7" s="1"/>
  <c r="BE711" i="7" s="1"/>
  <c r="BE82" i="5"/>
  <c r="BE136" i="5" s="1"/>
  <c r="BE296" i="1"/>
  <c r="BE394" i="1" s="1"/>
  <c r="BE348" i="1"/>
  <c r="BE350" i="1" s="1"/>
  <c r="BE305" i="1"/>
  <c r="BE395" i="1" s="1"/>
  <c r="BE353" i="1"/>
  <c r="BE359" i="1" s="1"/>
  <c r="BE393" i="1"/>
  <c r="AU319" i="4"/>
  <c r="AU389" i="4" s="1"/>
  <c r="BE385" i="4"/>
  <c r="BE338" i="4"/>
  <c r="K530" i="3"/>
  <c r="K531" i="3" s="1"/>
  <c r="BE289" i="4"/>
  <c r="BE386" i="4" s="1"/>
  <c r="BE341" i="4"/>
  <c r="BE343" i="4" s="1"/>
  <c r="BE97" i="9"/>
  <c r="BE219" i="9"/>
  <c r="BE215" i="9"/>
  <c r="AZ95" i="12"/>
  <c r="BE95" i="12"/>
  <c r="R105" i="13"/>
  <c r="S115" i="13"/>
  <c r="R115" i="13"/>
  <c r="R104" i="13"/>
  <c r="AA146" i="14"/>
  <c r="AV113" i="14"/>
  <c r="AV105" i="14"/>
  <c r="AV50" i="14"/>
  <c r="AV55" i="14"/>
  <c r="AV15" i="37" s="1"/>
  <c r="AV18" i="37" s="1"/>
  <c r="AV42" i="14"/>
  <c r="AP105" i="14"/>
  <c r="AQ50" i="14"/>
  <c r="AQ55" i="14"/>
  <c r="AQ15" i="37" s="1"/>
  <c r="AQ18" i="37" s="1"/>
  <c r="AQ42" i="14"/>
  <c r="AQ105" i="14"/>
  <c r="AQ113" i="14"/>
  <c r="P217" i="1"/>
  <c r="P218" i="1" s="1"/>
  <c r="AF476" i="3"/>
  <c r="U223" i="1"/>
  <c r="E115" i="9"/>
  <c r="F47" i="9"/>
  <c r="E145" i="9"/>
  <c r="E130" i="12"/>
  <c r="E116" i="12"/>
  <c r="BX313" i="7"/>
  <c r="BU313" i="7"/>
  <c r="BW313" i="7"/>
  <c r="BV313" i="7"/>
  <c r="AU66" i="12"/>
  <c r="AU37" i="12"/>
  <c r="AU42" i="12" s="1"/>
  <c r="AF100" i="12"/>
  <c r="AU55" i="14"/>
  <c r="AU15" i="37" s="1"/>
  <c r="AU18" i="37" s="1"/>
  <c r="AU42" i="14"/>
  <c r="AU50" i="14"/>
  <c r="AZ703" i="7"/>
  <c r="AZ710" i="7" s="1"/>
  <c r="AZ711" i="7" s="1"/>
  <c r="AZ82" i="5"/>
  <c r="AZ136" i="5" s="1"/>
  <c r="AE104" i="13"/>
  <c r="AE114" i="13"/>
  <c r="V100" i="12"/>
  <c r="C69" i="7"/>
  <c r="C68" i="7"/>
  <c r="C66" i="7"/>
  <c r="C67" i="7"/>
  <c r="C64" i="7"/>
  <c r="C65" i="7"/>
  <c r="D69" i="7"/>
  <c r="D66" i="7"/>
  <c r="D67" i="7"/>
  <c r="D65" i="7"/>
  <c r="D68" i="7"/>
  <c r="D64" i="7"/>
  <c r="AF57" i="14"/>
  <c r="AU26" i="12"/>
  <c r="AU30" i="12"/>
  <c r="AU29" i="12"/>
  <c r="AK29" i="12"/>
  <c r="AK26" i="12"/>
  <c r="AK30" i="12"/>
  <c r="AF56" i="37"/>
  <c r="AF141" i="14"/>
  <c r="AF142" i="14" s="1"/>
  <c r="AF143" i="14" s="1"/>
  <c r="AF134" i="14"/>
  <c r="AF136" i="14" s="1"/>
  <c r="AF138" i="14" s="1"/>
  <c r="AZ19" i="11"/>
  <c r="BE12" i="11" s="1"/>
  <c r="AF105" i="13"/>
  <c r="AF114" i="13"/>
  <c r="AF115" i="13" s="1"/>
  <c r="AS42" i="14"/>
  <c r="AS50" i="14"/>
  <c r="AS55" i="14"/>
  <c r="AS15" i="37" s="1"/>
  <c r="AS18" i="37" s="1"/>
  <c r="D125" i="9"/>
  <c r="D128" i="9" s="1"/>
  <c r="D187" i="9"/>
  <c r="AF22" i="11"/>
  <c r="AF30" i="11"/>
  <c r="Q134" i="14"/>
  <c r="Q136" i="14" s="1"/>
  <c r="Q138" i="14" s="1"/>
  <c r="Q141" i="14"/>
  <c r="Q142" i="14" s="1"/>
  <c r="Q143" i="14" s="1"/>
  <c r="Q56" i="37"/>
  <c r="AP100" i="12"/>
  <c r="AJ113" i="14"/>
  <c r="AJ105" i="14"/>
  <c r="AA100" i="12"/>
  <c r="V105" i="13"/>
  <c r="V114" i="13"/>
  <c r="V115" i="13" s="1"/>
  <c r="AE105" i="13"/>
  <c r="U530" i="3"/>
  <c r="U531" i="3" s="1"/>
  <c r="AE217" i="1"/>
  <c r="AE218" i="1" s="1"/>
  <c r="AO56" i="14"/>
  <c r="AO57" i="14" s="1"/>
  <c r="AO85" i="14"/>
  <c r="AG50" i="14"/>
  <c r="AG55" i="14"/>
  <c r="AG15" i="37" s="1"/>
  <c r="AG18" i="37" s="1"/>
  <c r="AG42" i="14"/>
  <c r="E105" i="14"/>
  <c r="E113" i="14"/>
  <c r="M146" i="14"/>
  <c r="AU98" i="12"/>
  <c r="AU74" i="11"/>
  <c r="AG105" i="14"/>
  <c r="AG113" i="14"/>
  <c r="AG120" i="14" s="1"/>
  <c r="AK102" i="14"/>
  <c r="AK113" i="14" s="1"/>
  <c r="AK120" i="14" s="1"/>
  <c r="AJ42" i="14"/>
  <c r="AJ55" i="14"/>
  <c r="AJ15" i="37" s="1"/>
  <c r="AJ18" i="37" s="1"/>
  <c r="AM85" i="14"/>
  <c r="AM56" i="14"/>
  <c r="AK66" i="12"/>
  <c r="AK37" i="12"/>
  <c r="AK42" i="12" s="1"/>
  <c r="AB146" i="14"/>
  <c r="AS105" i="14"/>
  <c r="AS113" i="14"/>
  <c r="AU102" i="14"/>
  <c r="AU113" i="14" s="1"/>
  <c r="E105" i="13"/>
  <c r="E114" i="13"/>
  <c r="E115" i="13" s="1"/>
  <c r="AA105" i="13"/>
  <c r="AA114" i="13"/>
  <c r="AA115" i="13" s="1"/>
  <c r="AF118" i="27"/>
  <c r="AF108" i="27"/>
  <c r="AF110" i="27" s="1"/>
  <c r="AF112" i="27" s="1"/>
  <c r="AF137" i="27" s="1"/>
  <c r="AF139" i="27" s="1"/>
  <c r="AP133" i="27"/>
  <c r="Q118" i="27"/>
  <c r="Q134" i="27" s="1"/>
  <c r="I105" i="13"/>
  <c r="Z223" i="1"/>
  <c r="X295" i="1"/>
  <c r="AD218" i="1"/>
  <c r="AE530" i="3"/>
  <c r="AE531" i="3" s="1"/>
  <c r="BV698" i="7"/>
  <c r="BV535" i="7" s="1"/>
  <c r="BY92" i="12"/>
  <c r="I304" i="4"/>
  <c r="AA349" i="1"/>
  <c r="S188" i="1"/>
  <c r="W295" i="1"/>
  <c r="T188" i="1"/>
  <c r="AK483" i="2"/>
  <c r="AK484" i="2" s="1"/>
  <c r="M530" i="3"/>
  <c r="M531" i="3" s="1"/>
  <c r="AJ476" i="3"/>
  <c r="R530" i="3"/>
  <c r="R531" i="3" s="1"/>
  <c r="K476" i="3"/>
  <c r="AC530" i="3"/>
  <c r="AC531" i="3" s="1"/>
  <c r="AL476" i="3"/>
  <c r="AG530" i="3"/>
  <c r="AG531" i="3" s="1"/>
  <c r="F319" i="4"/>
  <c r="F389" i="4" s="1"/>
  <c r="I324" i="4"/>
  <c r="H287" i="4"/>
  <c r="H289" i="4" s="1"/>
  <c r="U476" i="3"/>
  <c r="Y476" i="3"/>
  <c r="AK476" i="3"/>
  <c r="AH530" i="3"/>
  <c r="AH531" i="3" s="1"/>
  <c r="R476" i="3"/>
  <c r="H324" i="4"/>
  <c r="AA319" i="4"/>
  <c r="AA389" i="4" s="1"/>
  <c r="Z530" i="3"/>
  <c r="Z531" i="3" s="1"/>
  <c r="AA530" i="3"/>
  <c r="AA531" i="3" s="1"/>
  <c r="H304" i="4"/>
  <c r="AA476" i="3"/>
  <c r="Z476" i="3"/>
  <c r="F218" i="4"/>
  <c r="AU170" i="5"/>
  <c r="AD476" i="3"/>
  <c r="I318" i="4"/>
  <c r="H318" i="4"/>
  <c r="I181" i="4"/>
  <c r="BT209" i="9"/>
  <c r="CO48" i="7" s="1"/>
  <c r="BT125" i="9"/>
  <c r="BT212" i="9"/>
  <c r="BT72" i="7" s="1"/>
  <c r="V122" i="27"/>
  <c r="V134" i="27"/>
  <c r="H105" i="13"/>
  <c r="BT877" i="7"/>
  <c r="U186" i="1"/>
  <c r="H298" i="4"/>
  <c r="R188" i="1"/>
  <c r="N483" i="2"/>
  <c r="N484" i="2" s="1"/>
  <c r="AC430" i="2"/>
  <c r="I287" i="4"/>
  <c r="E218" i="4"/>
  <c r="L530" i="3"/>
  <c r="L531" i="3" s="1"/>
  <c r="H181" i="4"/>
  <c r="H218" i="4" s="1"/>
  <c r="H284" i="4"/>
  <c r="J281" i="4"/>
  <c r="Q218" i="4"/>
  <c r="I281" i="4"/>
  <c r="I176" i="4"/>
  <c r="AI476" i="3"/>
  <c r="AB530" i="3"/>
  <c r="AB531" i="3" s="1"/>
  <c r="P530" i="3"/>
  <c r="P531" i="3" s="1"/>
  <c r="AE223" i="1"/>
  <c r="M188" i="1"/>
  <c r="AA279" i="1"/>
  <c r="AZ279" i="1"/>
  <c r="AZ187" i="12"/>
  <c r="BA186" i="12" s="1"/>
  <c r="BT487" i="7"/>
  <c r="BT435" i="7"/>
  <c r="BT436" i="7" s="1"/>
  <c r="BT822" i="7"/>
  <c r="BT293" i="7"/>
  <c r="BT707" i="7"/>
  <c r="CD27" i="69"/>
  <c r="CD28" i="69" s="1"/>
  <c r="CD73" i="14"/>
  <c r="BZ59" i="13"/>
  <c r="CA59" i="13" s="1"/>
  <c r="CB59" i="13" s="1"/>
  <c r="CC59" i="13" s="1"/>
  <c r="CD59" i="13" s="1"/>
  <c r="CD93" i="12"/>
  <c r="BZ29" i="13"/>
  <c r="CA29" i="13" s="1"/>
  <c r="CB29" i="13" s="1"/>
  <c r="CC29" i="13" s="1"/>
  <c r="CD29" i="13" s="1"/>
  <c r="BZ26" i="13"/>
  <c r="CA26" i="13" s="1"/>
  <c r="CB26" i="13" s="1"/>
  <c r="CC26" i="13" s="1"/>
  <c r="CD26" i="13" s="1"/>
  <c r="BY91" i="12"/>
  <c r="BZ22" i="13"/>
  <c r="CA22" i="13" s="1"/>
  <c r="CB22" i="13" s="1"/>
  <c r="CC22" i="13" s="1"/>
  <c r="CD22" i="13" s="1"/>
  <c r="BZ21" i="13"/>
  <c r="CA21" i="13" s="1"/>
  <c r="CB21" i="13" s="1"/>
  <c r="CC21" i="13" s="1"/>
  <c r="CD21" i="13" s="1"/>
  <c r="BZ20" i="13"/>
  <c r="CA20" i="13" s="1"/>
  <c r="CB20" i="13" s="1"/>
  <c r="CC20" i="13" s="1"/>
  <c r="CD20" i="13" s="1"/>
  <c r="BZ19" i="13"/>
  <c r="CA19" i="13" s="1"/>
  <c r="CB19" i="13" s="1"/>
  <c r="CC19" i="13" s="1"/>
  <c r="CD19" i="13" s="1"/>
  <c r="BU32" i="13"/>
  <c r="BV32" i="13" s="1"/>
  <c r="BW32" i="13" s="1"/>
  <c r="BX32" i="13" s="1"/>
  <c r="BY32" i="13" s="1"/>
  <c r="BY111" i="12" s="1"/>
  <c r="BZ16" i="13"/>
  <c r="CA16" i="13" s="1"/>
  <c r="CB16" i="13" s="1"/>
  <c r="CC16" i="13" s="1"/>
  <c r="CD16" i="13" s="1"/>
  <c r="CD108" i="12"/>
  <c r="BY107" i="12"/>
  <c r="P197" i="1"/>
  <c r="AE197" i="1"/>
  <c r="P183" i="1"/>
  <c r="AG430" i="2"/>
  <c r="Y188" i="1"/>
  <c r="BY279" i="1"/>
  <c r="AZ374" i="1"/>
  <c r="AZ380" i="1" s="1"/>
  <c r="V385" i="4"/>
  <c r="W530" i="3"/>
  <c r="W531" i="3" s="1"/>
  <c r="BO318" i="4"/>
  <c r="BO319" i="4" s="1"/>
  <c r="O530" i="3"/>
  <c r="O531" i="3" s="1"/>
  <c r="Q530" i="3"/>
  <c r="Q531" i="3" s="1"/>
  <c r="S476" i="3"/>
  <c r="S530" i="3"/>
  <c r="S531" i="3" s="1"/>
  <c r="AF372" i="4"/>
  <c r="AF373" i="4" s="1"/>
  <c r="AF319" i="4"/>
  <c r="AF389" i="4" s="1"/>
  <c r="I282" i="4"/>
  <c r="I293" i="4"/>
  <c r="I244" i="4"/>
  <c r="L389" i="4"/>
  <c r="L372" i="4"/>
  <c r="L373" i="4" s="1"/>
  <c r="N530" i="3"/>
  <c r="N531" i="3" s="1"/>
  <c r="AZ319" i="4"/>
  <c r="AZ389" i="4" s="1"/>
  <c r="BZ698" i="7"/>
  <c r="BZ535" i="7" s="1"/>
  <c r="BQ535" i="7"/>
  <c r="BR698" i="7"/>
  <c r="H115" i="13"/>
  <c r="J105" i="13"/>
  <c r="I115" i="13"/>
  <c r="F104" i="13"/>
  <c r="F105" i="13" s="1"/>
  <c r="J115" i="13"/>
  <c r="J190" i="4"/>
  <c r="I296" i="4"/>
  <c r="Z183" i="1"/>
  <c r="P272" i="1"/>
  <c r="Z187" i="1"/>
  <c r="N188" i="1"/>
  <c r="W188" i="1"/>
  <c r="V530" i="3"/>
  <c r="V531" i="3" s="1"/>
  <c r="BT279" i="1"/>
  <c r="AZ225" i="1"/>
  <c r="AZ311" i="1"/>
  <c r="AZ396" i="1" s="1"/>
  <c r="AZ362" i="1"/>
  <c r="AZ365" i="1" s="1"/>
  <c r="AZ393" i="1"/>
  <c r="AZ305" i="1"/>
  <c r="AZ395" i="1" s="1"/>
  <c r="AZ353" i="1"/>
  <c r="AZ359" i="1" s="1"/>
  <c r="Y331" i="1"/>
  <c r="AZ296" i="1"/>
  <c r="AZ394" i="1" s="1"/>
  <c r="AZ348" i="1"/>
  <c r="AZ350" i="1" s="1"/>
  <c r="J318" i="4"/>
  <c r="AU338" i="4"/>
  <c r="AU385" i="4"/>
  <c r="J216" i="4"/>
  <c r="J322" i="4"/>
  <c r="J324" i="4" s="1"/>
  <c r="K323" i="4"/>
  <c r="AZ164" i="1"/>
  <c r="AZ165" i="1" s="1"/>
  <c r="AZ397" i="1"/>
  <c r="AU110" i="27"/>
  <c r="AU133" i="27" s="1"/>
  <c r="Q110" i="27"/>
  <c r="Q112" i="27" s="1"/>
  <c r="Q137" i="27" s="1"/>
  <c r="Q139" i="27" s="1"/>
  <c r="BT27" i="69"/>
  <c r="BT28" i="69" s="1"/>
  <c r="BT73" i="14"/>
  <c r="BA123" i="10"/>
  <c r="BA120" i="10"/>
  <c r="BA122" i="10"/>
  <c r="BA124" i="10"/>
  <c r="BA119" i="10"/>
  <c r="BA121" i="10"/>
  <c r="L110" i="27"/>
  <c r="L112" i="27" s="1"/>
  <c r="L137" i="27" s="1"/>
  <c r="L139" i="27" s="1"/>
  <c r="BZ36" i="13"/>
  <c r="CA36" i="13" s="1"/>
  <c r="CB36" i="13" s="1"/>
  <c r="CC36" i="13" s="1"/>
  <c r="CD36" i="13" s="1"/>
  <c r="BY36" i="13"/>
  <c r="BD133" i="13"/>
  <c r="BU30" i="13"/>
  <c r="BV30" i="13" s="1"/>
  <c r="BW30" i="13" s="1"/>
  <c r="BX30" i="13" s="1"/>
  <c r="BY30" i="13" s="1"/>
  <c r="BT79" i="12"/>
  <c r="L209" i="9"/>
  <c r="CO36" i="7" s="1"/>
  <c r="L212" i="9"/>
  <c r="L72" i="7" s="1"/>
  <c r="L73" i="7" s="1"/>
  <c r="V65" i="9"/>
  <c r="V72" i="9" s="1"/>
  <c r="Q219" i="9"/>
  <c r="Q215" i="9"/>
  <c r="AE519" i="7"/>
  <c r="AE577" i="7" s="1"/>
  <c r="AE682" i="7" s="1"/>
  <c r="BR241" i="7"/>
  <c r="BR549" i="7"/>
  <c r="BR58" i="7"/>
  <c r="BU19" i="6"/>
  <c r="BS33" i="6"/>
  <c r="BS30" i="6"/>
  <c r="BS241" i="7" s="1"/>
  <c r="BT19" i="6"/>
  <c r="T331" i="1"/>
  <c r="S331" i="1"/>
  <c r="X279" i="1"/>
  <c r="AA385" i="1"/>
  <c r="AE183" i="1"/>
  <c r="V385" i="1"/>
  <c r="BO279" i="1"/>
  <c r="R331" i="1"/>
  <c r="AK380" i="1"/>
  <c r="Z316" i="1"/>
  <c r="X331" i="1"/>
  <c r="AE303" i="1"/>
  <c r="P288" i="1"/>
  <c r="Z323" i="1"/>
  <c r="P323" i="1"/>
  <c r="AE245" i="1"/>
  <c r="AE251" i="1" s="1"/>
  <c r="Z330" i="1"/>
  <c r="U318" i="1"/>
  <c r="AE290" i="1"/>
  <c r="AA345" i="1"/>
  <c r="Z288" i="1"/>
  <c r="Y291" i="1"/>
  <c r="Y393" i="1" s="1"/>
  <c r="AE316" i="1"/>
  <c r="Z324" i="1"/>
  <c r="U321" i="1"/>
  <c r="P304" i="1"/>
  <c r="P254" i="1"/>
  <c r="P257" i="1" s="1"/>
  <c r="P318" i="1"/>
  <c r="U320" i="1"/>
  <c r="P329" i="1"/>
  <c r="Z272" i="1"/>
  <c r="P324" i="1"/>
  <c r="AE323" i="1"/>
  <c r="U304" i="1"/>
  <c r="P325" i="1"/>
  <c r="AP279" i="1"/>
  <c r="P186" i="1"/>
  <c r="O188" i="1"/>
  <c r="W291" i="1"/>
  <c r="W393" i="1" s="1"/>
  <c r="P310" i="1"/>
  <c r="U310" i="1"/>
  <c r="Z302" i="1"/>
  <c r="U272" i="1"/>
  <c r="P320" i="1"/>
  <c r="Y279" i="1"/>
  <c r="P309" i="1"/>
  <c r="W331" i="1"/>
  <c r="P290" i="1"/>
  <c r="AE272" i="1"/>
  <c r="U183" i="1"/>
  <c r="Z197" i="1"/>
  <c r="U300" i="1"/>
  <c r="Z310" i="1"/>
  <c r="AB279" i="1"/>
  <c r="AE254" i="1"/>
  <c r="AE257" i="1" s="1"/>
  <c r="U316" i="1"/>
  <c r="U309" i="1"/>
  <c r="Z289" i="1"/>
  <c r="U290" i="1"/>
  <c r="U330" i="1"/>
  <c r="AE315" i="1"/>
  <c r="P300" i="1"/>
  <c r="Z329" i="1"/>
  <c r="U289" i="1"/>
  <c r="P322" i="1"/>
  <c r="P376" i="1" s="1"/>
  <c r="AE330" i="1"/>
  <c r="U217" i="1"/>
  <c r="U218" i="1" s="1"/>
  <c r="U302" i="1"/>
  <c r="AC331" i="1"/>
  <c r="U294" i="1"/>
  <c r="U348" i="1" s="1"/>
  <c r="AE322" i="1"/>
  <c r="AE376" i="1" s="1"/>
  <c r="AE288" i="1"/>
  <c r="Z321" i="1"/>
  <c r="AE289" i="1"/>
  <c r="P223" i="1"/>
  <c r="P289" i="1"/>
  <c r="Z245" i="1"/>
  <c r="Z251" i="1" s="1"/>
  <c r="U254" i="1"/>
  <c r="U257" i="1" s="1"/>
  <c r="Z309" i="1"/>
  <c r="AE309" i="1"/>
  <c r="Z315" i="1"/>
  <c r="U288" i="1"/>
  <c r="AB331" i="1"/>
  <c r="Z290" i="1"/>
  <c r="P187" i="1"/>
  <c r="Z300" i="1"/>
  <c r="AE324" i="1"/>
  <c r="BO703" i="7"/>
  <c r="AE318" i="1"/>
  <c r="V203" i="1"/>
  <c r="V225" i="1" s="1"/>
  <c r="T200" i="1"/>
  <c r="T203" i="1" s="1"/>
  <c r="V308" i="1"/>
  <c r="R200" i="1"/>
  <c r="R203" i="1" s="1"/>
  <c r="S200" i="1"/>
  <c r="S203" i="1" s="1"/>
  <c r="BO305" i="1"/>
  <c r="L353" i="1"/>
  <c r="L359" i="1" s="1"/>
  <c r="L305" i="1"/>
  <c r="L395" i="1" s="1"/>
  <c r="F296" i="1"/>
  <c r="F394" i="1" s="1"/>
  <c r="F348" i="1"/>
  <c r="F350" i="1" s="1"/>
  <c r="T430" i="2"/>
  <c r="T483" i="2"/>
  <c r="T484" i="2" s="1"/>
  <c r="AK169" i="5"/>
  <c r="AP167" i="5"/>
  <c r="AK167" i="5"/>
  <c r="AP353" i="1"/>
  <c r="AP359" i="1" s="1"/>
  <c r="AP305" i="1"/>
  <c r="AP395" i="1" s="1"/>
  <c r="G393" i="1"/>
  <c r="AE320" i="1"/>
  <c r="P330" i="1"/>
  <c r="AE302" i="1"/>
  <c r="U329" i="1"/>
  <c r="AI430" i="2"/>
  <c r="AI483" i="2"/>
  <c r="AI484" i="2" s="1"/>
  <c r="X291" i="1"/>
  <c r="H331" i="1"/>
  <c r="I329" i="1"/>
  <c r="AE321" i="1"/>
  <c r="AU349" i="1"/>
  <c r="G203" i="1"/>
  <c r="G225" i="1" s="1"/>
  <c r="G31" i="1"/>
  <c r="G308" i="1"/>
  <c r="Z322" i="1"/>
  <c r="Z376" i="1" s="1"/>
  <c r="AU393" i="1"/>
  <c r="AE187" i="1"/>
  <c r="L203" i="1"/>
  <c r="L225" i="1" s="1"/>
  <c r="L308" i="1"/>
  <c r="AA353" i="1"/>
  <c r="AA359" i="1" s="1"/>
  <c r="Y299" i="1"/>
  <c r="Y305" i="1" s="1"/>
  <c r="AA305" i="1"/>
  <c r="AA395" i="1" s="1"/>
  <c r="W299" i="1"/>
  <c r="W305" i="1" s="1"/>
  <c r="X299" i="1"/>
  <c r="X305" i="1" s="1"/>
  <c r="AE310" i="1"/>
  <c r="E28" i="5"/>
  <c r="E133" i="5"/>
  <c r="E136" i="5" s="1"/>
  <c r="J264" i="1"/>
  <c r="I272" i="1"/>
  <c r="AE300" i="1"/>
  <c r="AP296" i="1"/>
  <c r="AP394" i="1" s="1"/>
  <c r="AP348" i="1"/>
  <c r="AP350" i="1" s="1"/>
  <c r="G299" i="1"/>
  <c r="H245" i="1"/>
  <c r="G251" i="1"/>
  <c r="G279" i="1" s="1"/>
  <c r="U324" i="1"/>
  <c r="U187" i="1"/>
  <c r="T295" i="1"/>
  <c r="T296" i="1" s="1"/>
  <c r="S295" i="1"/>
  <c r="S296" i="1" s="1"/>
  <c r="R295" i="1"/>
  <c r="R296" i="1" s="1"/>
  <c r="V349" i="1"/>
  <c r="V350" i="1" s="1"/>
  <c r="F353" i="1"/>
  <c r="F305" i="1"/>
  <c r="U322" i="1"/>
  <c r="U376" i="1" s="1"/>
  <c r="Z318" i="1"/>
  <c r="S279" i="1"/>
  <c r="T279" i="1"/>
  <c r="T299" i="1"/>
  <c r="T305" i="1" s="1"/>
  <c r="R299" i="1"/>
  <c r="V305" i="1"/>
  <c r="V395" i="1" s="1"/>
  <c r="V353" i="1"/>
  <c r="V359" i="1" s="1"/>
  <c r="S299" i="1"/>
  <c r="S305" i="1" s="1"/>
  <c r="Z254" i="1"/>
  <c r="Z257" i="1" s="1"/>
  <c r="P245" i="1"/>
  <c r="P251" i="1" s="1"/>
  <c r="M279" i="1"/>
  <c r="N279" i="1"/>
  <c r="AP345" i="1"/>
  <c r="AP393" i="1"/>
  <c r="F28" i="5"/>
  <c r="F133" i="5"/>
  <c r="F136" i="5" s="1"/>
  <c r="F289" i="7"/>
  <c r="U430" i="2"/>
  <c r="U483" i="2"/>
  <c r="U484" i="2" s="1"/>
  <c r="BT311" i="1"/>
  <c r="U323" i="1"/>
  <c r="Z186" i="1"/>
  <c r="M291" i="1"/>
  <c r="Q393" i="1"/>
  <c r="N291" i="1"/>
  <c r="R483" i="2"/>
  <c r="R484" i="2" s="1"/>
  <c r="U315" i="1"/>
  <c r="AU305" i="1"/>
  <c r="AU395" i="1" s="1"/>
  <c r="AU353" i="1"/>
  <c r="AU359" i="1" s="1"/>
  <c r="AK164" i="1"/>
  <c r="AK165" i="1" s="1"/>
  <c r="AK544" i="7"/>
  <c r="AK874" i="7"/>
  <c r="AK880" i="7"/>
  <c r="AK881" i="7" s="1"/>
  <c r="AK819" i="7"/>
  <c r="AK847" i="7" s="1"/>
  <c r="AK825" i="7"/>
  <c r="AK826" i="7" s="1"/>
  <c r="I315" i="1"/>
  <c r="H326" i="1"/>
  <c r="CD311" i="1"/>
  <c r="AC279" i="1"/>
  <c r="AB299" i="1"/>
  <c r="AB305" i="1" s="1"/>
  <c r="AD299" i="1"/>
  <c r="AD305" i="1" s="1"/>
  <c r="AF305" i="1"/>
  <c r="AF395" i="1" s="1"/>
  <c r="AF353" i="1"/>
  <c r="AF359" i="1" s="1"/>
  <c r="AC299" i="1"/>
  <c r="AC305" i="1" s="1"/>
  <c r="U303" i="1"/>
  <c r="F152" i="5"/>
  <c r="G375" i="1"/>
  <c r="BJ279" i="1"/>
  <c r="AC294" i="1"/>
  <c r="AC348" i="1" s="1"/>
  <c r="AF296" i="1"/>
  <c r="AF394" i="1" s="1"/>
  <c r="AF348" i="1"/>
  <c r="AD294" i="1"/>
  <c r="AB294" i="1"/>
  <c r="F393" i="1"/>
  <c r="Z217" i="1"/>
  <c r="Z218" i="1" s="1"/>
  <c r="O430" i="2"/>
  <c r="O483" i="2"/>
  <c r="O484" i="2" s="1"/>
  <c r="AA430" i="2"/>
  <c r="AA483" i="2"/>
  <c r="AA484" i="2" s="1"/>
  <c r="BT326" i="1"/>
  <c r="V345" i="1"/>
  <c r="T291" i="1"/>
  <c r="AH430" i="2"/>
  <c r="AH483" i="2"/>
  <c r="AH484" i="2" s="1"/>
  <c r="Z304" i="1"/>
  <c r="N430" i="2"/>
  <c r="P321" i="1"/>
  <c r="AE329" i="1"/>
  <c r="AF385" i="1"/>
  <c r="X200" i="1"/>
  <c r="X203" i="1" s="1"/>
  <c r="X225" i="1" s="1"/>
  <c r="W200" i="1"/>
  <c r="W203" i="1" s="1"/>
  <c r="AA203" i="1"/>
  <c r="AA225" i="1" s="1"/>
  <c r="Y200" i="1"/>
  <c r="Y203" i="1" s="1"/>
  <c r="AA308" i="1"/>
  <c r="BT203" i="1"/>
  <c r="BT225" i="1" s="1"/>
  <c r="H257" i="1"/>
  <c r="I254" i="1"/>
  <c r="V296" i="1"/>
  <c r="AF430" i="2"/>
  <c r="AF483" i="2"/>
  <c r="AF484" i="2" s="1"/>
  <c r="CD703" i="7"/>
  <c r="Y483" i="2"/>
  <c r="Y484" i="2" s="1"/>
  <c r="Y430" i="2"/>
  <c r="F31" i="1"/>
  <c r="F308" i="1"/>
  <c r="F311" i="1" s="1"/>
  <c r="F203" i="1"/>
  <c r="F225" i="1" s="1"/>
  <c r="AK353" i="1"/>
  <c r="AK359" i="1" s="1"/>
  <c r="AK305" i="1"/>
  <c r="AK395" i="1" s="1"/>
  <c r="AD291" i="1"/>
  <c r="AF345" i="1"/>
  <c r="G356" i="1"/>
  <c r="G136" i="1"/>
  <c r="BY703" i="7"/>
  <c r="BY305" i="1"/>
  <c r="BJ203" i="1"/>
  <c r="BJ225" i="1" s="1"/>
  <c r="BJ308" i="1"/>
  <c r="BJ362" i="1" s="1"/>
  <c r="BJ365" i="1" s="1"/>
  <c r="Q380" i="1"/>
  <c r="N331" i="1"/>
  <c r="M331" i="1"/>
  <c r="CD225" i="1"/>
  <c r="AK345" i="1"/>
  <c r="G296" i="1"/>
  <c r="G348" i="1"/>
  <c r="G350" i="1" s="1"/>
  <c r="H294" i="1"/>
  <c r="I294" i="1" s="1"/>
  <c r="J294" i="1" s="1"/>
  <c r="K294" i="1" s="1"/>
  <c r="AP379" i="1"/>
  <c r="AP380" i="1" s="1"/>
  <c r="P302" i="1"/>
  <c r="P430" i="2"/>
  <c r="P483" i="2"/>
  <c r="P484" i="2" s="1"/>
  <c r="BT296" i="1"/>
  <c r="AP308" i="1"/>
  <c r="AP203" i="1"/>
  <c r="AP225" i="1" s="1"/>
  <c r="M294" i="1"/>
  <c r="O294" i="1"/>
  <c r="Q348" i="1"/>
  <c r="Q296" i="1"/>
  <c r="Q394" i="1" s="1"/>
  <c r="N294" i="1"/>
  <c r="I288" i="1"/>
  <c r="H291" i="1"/>
  <c r="AE430" i="2"/>
  <c r="AE483" i="2"/>
  <c r="AE484" i="2" s="1"/>
  <c r="BT703" i="7"/>
  <c r="BT305" i="1"/>
  <c r="AB430" i="2"/>
  <c r="AB483" i="2"/>
  <c r="AB484" i="2" s="1"/>
  <c r="AA393" i="1"/>
  <c r="AK308" i="1"/>
  <c r="AK203" i="1"/>
  <c r="AK225" i="1" s="1"/>
  <c r="E31" i="1"/>
  <c r="E308" i="1"/>
  <c r="E311" i="1" s="1"/>
  <c r="E203" i="1"/>
  <c r="E225" i="1" s="1"/>
  <c r="M430" i="2"/>
  <c r="M483" i="2"/>
  <c r="M484" i="2" s="1"/>
  <c r="AB326" i="1"/>
  <c r="AU345" i="1"/>
  <c r="AF349" i="1"/>
  <c r="AD295" i="1"/>
  <c r="AB295" i="1"/>
  <c r="AC295" i="1"/>
  <c r="Z303" i="1"/>
  <c r="BD288" i="1"/>
  <c r="E289" i="7"/>
  <c r="E136" i="1"/>
  <c r="E356" i="1"/>
  <c r="V279" i="1"/>
  <c r="R251" i="1"/>
  <c r="R279" i="1" s="1"/>
  <c r="U245" i="1"/>
  <c r="U251" i="1" s="1"/>
  <c r="AK296" i="1"/>
  <c r="AK394" i="1" s="1"/>
  <c r="AK348" i="1"/>
  <c r="W279" i="1"/>
  <c r="O279" i="1"/>
  <c r="Q279" i="1"/>
  <c r="M299" i="1"/>
  <c r="M305" i="1" s="1"/>
  <c r="Q353" i="1"/>
  <c r="Q359" i="1" s="1"/>
  <c r="Q305" i="1"/>
  <c r="Q395" i="1" s="1"/>
  <c r="O299" i="1"/>
  <c r="O305" i="1" s="1"/>
  <c r="N299" i="1"/>
  <c r="N305" i="1" s="1"/>
  <c r="AE304" i="1"/>
  <c r="AK349" i="1"/>
  <c r="F356" i="1"/>
  <c r="F136" i="1"/>
  <c r="AU203" i="1"/>
  <c r="AU225" i="1" s="1"/>
  <c r="AU308" i="1"/>
  <c r="AC200" i="1"/>
  <c r="AC203" i="1" s="1"/>
  <c r="AF203" i="1"/>
  <c r="AF225" i="1" s="1"/>
  <c r="AD200" i="1"/>
  <c r="AD203" i="1" s="1"/>
  <c r="AF308" i="1"/>
  <c r="AB200" i="1"/>
  <c r="AB203" i="1" s="1"/>
  <c r="W294" i="1"/>
  <c r="AA348" i="1"/>
  <c r="AA296" i="1"/>
  <c r="AA394" i="1" s="1"/>
  <c r="X294" i="1"/>
  <c r="Y294" i="1"/>
  <c r="O291" i="1"/>
  <c r="Q345" i="1"/>
  <c r="V430" i="2"/>
  <c r="V483" i="2"/>
  <c r="V484" i="2" s="1"/>
  <c r="AD279" i="1"/>
  <c r="AU279" i="1"/>
  <c r="AU380" i="1"/>
  <c r="AK79" i="10"/>
  <c r="S483" i="2"/>
  <c r="S484" i="2" s="1"/>
  <c r="BO296" i="1"/>
  <c r="AF279" i="1"/>
  <c r="F375" i="1"/>
  <c r="G152" i="5"/>
  <c r="BJ305" i="1"/>
  <c r="AE186" i="1"/>
  <c r="AD188" i="1"/>
  <c r="AC188" i="1"/>
  <c r="AB188" i="1"/>
  <c r="AA379" i="1"/>
  <c r="AA380" i="1" s="1"/>
  <c r="Y325" i="1"/>
  <c r="Y326" i="1" s="1"/>
  <c r="X325" i="1"/>
  <c r="X326" i="1" s="1"/>
  <c r="W325" i="1"/>
  <c r="W326" i="1" s="1"/>
  <c r="Q203" i="1"/>
  <c r="Q225" i="1" s="1"/>
  <c r="Q308" i="1"/>
  <c r="N200" i="1"/>
  <c r="N203" i="1" s="1"/>
  <c r="O200" i="1"/>
  <c r="O203" i="1" s="1"/>
  <c r="M200" i="1"/>
  <c r="M203" i="1" s="1"/>
  <c r="BY203" i="1"/>
  <c r="BY225" i="1" s="1"/>
  <c r="BY308" i="1"/>
  <c r="L296" i="1"/>
  <c r="L394" i="1" s="1"/>
  <c r="L348" i="1"/>
  <c r="L350" i="1" s="1"/>
  <c r="S291" i="1"/>
  <c r="R291" i="1"/>
  <c r="BY296" i="1"/>
  <c r="T325" i="1"/>
  <c r="T326" i="1" s="1"/>
  <c r="R325" i="1"/>
  <c r="R326" i="1" s="1"/>
  <c r="V379" i="1"/>
  <c r="V380" i="1" s="1"/>
  <c r="S325" i="1"/>
  <c r="AL430" i="2"/>
  <c r="AL483" i="2"/>
  <c r="AL484" i="2" s="1"/>
  <c r="U197" i="1"/>
  <c r="AD331" i="1"/>
  <c r="Q430" i="2"/>
  <c r="Q483" i="2"/>
  <c r="Q484" i="2" s="1"/>
  <c r="Z483" i="2"/>
  <c r="Z484" i="2" s="1"/>
  <c r="Z430" i="2"/>
  <c r="R348" i="1"/>
  <c r="L393" i="1"/>
  <c r="AJ430" i="2"/>
  <c r="AJ483" i="2"/>
  <c r="AJ484" i="2" s="1"/>
  <c r="CD279" i="1"/>
  <c r="CD305" i="1"/>
  <c r="BO308" i="1"/>
  <c r="BO362" i="1" s="1"/>
  <c r="BO365" i="1" s="1"/>
  <c r="BO387" i="1" s="1"/>
  <c r="BO203" i="1"/>
  <c r="BO225" i="1" s="1"/>
  <c r="L483" i="2"/>
  <c r="L484" i="2" s="1"/>
  <c r="L430" i="2"/>
  <c r="AK279" i="1"/>
  <c r="AF393" i="1"/>
  <c r="AC291" i="1"/>
  <c r="AB291" i="1"/>
  <c r="E375" i="1"/>
  <c r="E152" i="5"/>
  <c r="G28" i="5"/>
  <c r="G133" i="5"/>
  <c r="G136" i="5" s="1"/>
  <c r="G289" i="7"/>
  <c r="P316" i="1"/>
  <c r="X430" i="2"/>
  <c r="X483" i="2"/>
  <c r="X484" i="2" s="1"/>
  <c r="W430" i="2"/>
  <c r="W483" i="2"/>
  <c r="W484" i="2" s="1"/>
  <c r="P303" i="1"/>
  <c r="Z320" i="1"/>
  <c r="O326" i="1"/>
  <c r="P315" i="1"/>
  <c r="M326" i="1"/>
  <c r="N326" i="1"/>
  <c r="O331" i="1"/>
  <c r="Q385" i="1"/>
  <c r="AD430" i="2"/>
  <c r="AD483" i="2"/>
  <c r="AD484" i="2" s="1"/>
  <c r="AU348" i="1"/>
  <c r="AU296" i="1"/>
  <c r="AU394" i="1" s="1"/>
  <c r="N295" i="1"/>
  <c r="Q349" i="1"/>
  <c r="O295" i="1"/>
  <c r="M295" i="1"/>
  <c r="CD296" i="1"/>
  <c r="AK393" i="1"/>
  <c r="K483" i="2"/>
  <c r="K484" i="2" s="1"/>
  <c r="K289" i="1"/>
  <c r="M303" i="4"/>
  <c r="K312" i="4"/>
  <c r="M313" i="4"/>
  <c r="F355" i="4"/>
  <c r="F358" i="4" s="1"/>
  <c r="F304" i="4"/>
  <c r="O309" i="4"/>
  <c r="P314" i="4"/>
  <c r="N316" i="4"/>
  <c r="N370" i="4" s="1"/>
  <c r="K297" i="4"/>
  <c r="Q319" i="4"/>
  <c r="Q361" i="4"/>
  <c r="Q373" i="4" s="1"/>
  <c r="K281" i="4"/>
  <c r="BX91" i="5"/>
  <c r="BX103" i="4"/>
  <c r="BY91" i="4"/>
  <c r="G361" i="4"/>
  <c r="G373" i="4" s="1"/>
  <c r="G380" i="4" s="1"/>
  <c r="G381" i="4" s="1"/>
  <c r="G319" i="4"/>
  <c r="K283" i="4"/>
  <c r="E355" i="4"/>
  <c r="E358" i="4" s="1"/>
  <c r="E304" i="4"/>
  <c r="E388" i="4" s="1"/>
  <c r="J301" i="4"/>
  <c r="J304" i="4" s="1"/>
  <c r="J196" i="4"/>
  <c r="K250" i="4"/>
  <c r="K302" i="4"/>
  <c r="J294" i="4"/>
  <c r="E386" i="4"/>
  <c r="K292" i="4"/>
  <c r="M310" i="4"/>
  <c r="BZ91" i="4"/>
  <c r="H307" i="4"/>
  <c r="H265" i="4"/>
  <c r="H272" i="4" s="1"/>
  <c r="V361" i="4"/>
  <c r="V373" i="4" s="1"/>
  <c r="V319" i="4"/>
  <c r="E298" i="4"/>
  <c r="E387" i="4" s="1"/>
  <c r="E346" i="4"/>
  <c r="E352" i="4" s="1"/>
  <c r="BQ878" i="7"/>
  <c r="BQ488" i="7"/>
  <c r="BQ823" i="7"/>
  <c r="BQ346" i="7"/>
  <c r="BP294" i="7"/>
  <c r="BQ294" i="7"/>
  <c r="BP768" i="7"/>
  <c r="BQ768" i="7"/>
  <c r="BP346" i="7"/>
  <c r="BP708" i="7"/>
  <c r="BP488" i="7"/>
  <c r="BP823" i="7"/>
  <c r="BR768" i="7"/>
  <c r="BR488" i="7"/>
  <c r="BR294" i="7"/>
  <c r="BR346" i="7"/>
  <c r="BR823" i="7"/>
  <c r="BR878" i="7"/>
  <c r="BR708" i="7"/>
  <c r="BJ32" i="6"/>
  <c r="BT32" i="6"/>
  <c r="AZ878" i="7"/>
  <c r="AZ488" i="7"/>
  <c r="BS878" i="7"/>
  <c r="BS768" i="7"/>
  <c r="BS294" i="7"/>
  <c r="BS346" i="7"/>
  <c r="BS823" i="7"/>
  <c r="BS708" i="7"/>
  <c r="BS488" i="7"/>
  <c r="BU346" i="7"/>
  <c r="BU294" i="7"/>
  <c r="BU488" i="7"/>
  <c r="BU708" i="7"/>
  <c r="BU878" i="7"/>
  <c r="BU823" i="7"/>
  <c r="BU768" i="7"/>
  <c r="BO32" i="6"/>
  <c r="BT37" i="37"/>
  <c r="BW708" i="7"/>
  <c r="BW823" i="7"/>
  <c r="BW294" i="7"/>
  <c r="BW878" i="7"/>
  <c r="BW488" i="7"/>
  <c r="BW768" i="7"/>
  <c r="BW346" i="7"/>
  <c r="BU707" i="7"/>
  <c r="BU822" i="7"/>
  <c r="BU345" i="7"/>
  <c r="BU293" i="7"/>
  <c r="BU435" i="7"/>
  <c r="BU436" i="7" s="1"/>
  <c r="BU877" i="7"/>
  <c r="BU487" i="7"/>
  <c r="BQ13" i="6"/>
  <c r="BQ23" i="6" s="1"/>
  <c r="BQ240" i="7" s="1"/>
  <c r="F113" i="14"/>
  <c r="F120" i="14" s="1"/>
  <c r="F105" i="14"/>
  <c r="E353" i="1"/>
  <c r="E305" i="1"/>
  <c r="AZ76" i="12"/>
  <c r="AW55" i="14"/>
  <c r="AW15" i="37" s="1"/>
  <c r="AW18" i="37" s="1"/>
  <c r="AW50" i="14"/>
  <c r="AW42" i="14"/>
  <c r="BU57" i="7"/>
  <c r="BU548" i="7"/>
  <c r="BL73" i="14"/>
  <c r="BL27" i="69"/>
  <c r="BL28" i="69" s="1"/>
  <c r="BO52" i="27"/>
  <c r="AZ75" i="12"/>
  <c r="BV27" i="13"/>
  <c r="BV10" i="14"/>
  <c r="BV24" i="6"/>
  <c r="BV25" i="6"/>
  <c r="BV26" i="6"/>
  <c r="K319" i="1"/>
  <c r="AX57" i="14"/>
  <c r="AW113" i="14"/>
  <c r="AW105" i="14"/>
  <c r="K315" i="4"/>
  <c r="BV294" i="7"/>
  <c r="BV768" i="7"/>
  <c r="BV488" i="7"/>
  <c r="BV346" i="7"/>
  <c r="BV823" i="7"/>
  <c r="BV878" i="7"/>
  <c r="BV708" i="7"/>
  <c r="K308" i="4"/>
  <c r="BU113" i="10"/>
  <c r="BY120" i="10"/>
  <c r="BY119" i="10"/>
  <c r="BY124" i="10"/>
  <c r="BY122" i="10"/>
  <c r="BY123" i="10"/>
  <c r="BY121" i="10"/>
  <c r="BP31" i="6"/>
  <c r="BP653" i="7" s="1"/>
  <c r="BZ12" i="13"/>
  <c r="CA12" i="13" s="1"/>
  <c r="CB12" i="13" s="1"/>
  <c r="CC12" i="13" s="1"/>
  <c r="CD12" i="13" s="1"/>
  <c r="AZ94" i="12"/>
  <c r="BW12" i="6"/>
  <c r="K311" i="4"/>
  <c r="BO38" i="37"/>
  <c r="BO37" i="37"/>
  <c r="Z104" i="13"/>
  <c r="Z114" i="13"/>
  <c r="AB105" i="13"/>
  <c r="Z105" i="13"/>
  <c r="AC105" i="13"/>
  <c r="AB115" i="13"/>
  <c r="Z115" i="13"/>
  <c r="AC115" i="13"/>
  <c r="AD105" i="13"/>
  <c r="AD115" i="13"/>
  <c r="BU150" i="7"/>
  <c r="BQ20" i="6"/>
  <c r="BQ31" i="6" s="1"/>
  <c r="BT548" i="7"/>
  <c r="BT57" i="7"/>
  <c r="BP23" i="6"/>
  <c r="F130" i="12"/>
  <c r="F116" i="12"/>
  <c r="BO31" i="6"/>
  <c r="BY49" i="13"/>
  <c r="BZ49" i="13"/>
  <c r="CA49" i="13" s="1"/>
  <c r="CB49" i="13" s="1"/>
  <c r="CC49" i="13" s="1"/>
  <c r="CD49" i="13" s="1"/>
  <c r="AZ31" i="47"/>
  <c r="AZ150" i="13" s="1"/>
  <c r="AY44" i="47"/>
  <c r="AZ23" i="10"/>
  <c r="K295" i="4"/>
  <c r="BJ11" i="27"/>
  <c r="BF73" i="14"/>
  <c r="BJ52" i="27"/>
  <c r="BJ212" i="9" l="1"/>
  <c r="BJ72" i="7" s="1"/>
  <c r="BO212" i="9"/>
  <c r="BO72" i="7" s="1"/>
  <c r="BJ387" i="1"/>
  <c r="AA122" i="27"/>
  <c r="BM218" i="4"/>
  <c r="BT120" i="10"/>
  <c r="BT124" i="10"/>
  <c r="BT121" i="10"/>
  <c r="BT123" i="10"/>
  <c r="BT119" i="10"/>
  <c r="BQ113" i="10"/>
  <c r="BR113" i="10" s="1"/>
  <c r="BR123" i="10" s="1"/>
  <c r="BR418" i="7" s="1"/>
  <c r="M272" i="4"/>
  <c r="BR272" i="4"/>
  <c r="CH467" i="7"/>
  <c r="CK467" i="7" s="1"/>
  <c r="CL467" i="7" s="1"/>
  <c r="CH469" i="7"/>
  <c r="CK469" i="7" s="1"/>
  <c r="CL469" i="7" s="1"/>
  <c r="CH471" i="7"/>
  <c r="CK471" i="7" s="1"/>
  <c r="CL471" i="7" s="1"/>
  <c r="CH473" i="7"/>
  <c r="CK473" i="7" s="1"/>
  <c r="CL473" i="7" s="1"/>
  <c r="CH466" i="7"/>
  <c r="CK466" i="7" s="1"/>
  <c r="CL466" i="7" s="1"/>
  <c r="CH468" i="7"/>
  <c r="CK468" i="7" s="1"/>
  <c r="CL468" i="7" s="1"/>
  <c r="CH470" i="7"/>
  <c r="CK470" i="7" s="1"/>
  <c r="CL470" i="7" s="1"/>
  <c r="CH472" i="7"/>
  <c r="CK472" i="7" s="1"/>
  <c r="CL472" i="7" s="1"/>
  <c r="AA133" i="27"/>
  <c r="AA135" i="27" s="1"/>
  <c r="CK42" i="7"/>
  <c r="BJ319" i="4"/>
  <c r="BJ326" i="4" s="1"/>
  <c r="BJ327" i="4" s="1"/>
  <c r="BJ372" i="4"/>
  <c r="BJ373" i="4" s="1"/>
  <c r="BJ380" i="4" s="1"/>
  <c r="H519" i="7"/>
  <c r="H577" i="7" s="1"/>
  <c r="H682" i="7" s="1"/>
  <c r="CI509" i="7"/>
  <c r="CI508" i="7"/>
  <c r="CI507" i="7"/>
  <c r="CI506" i="7"/>
  <c r="CI505" i="7"/>
  <c r="CI504" i="7"/>
  <c r="CI503" i="7"/>
  <c r="CI502" i="7"/>
  <c r="CI501" i="7"/>
  <c r="CI500" i="7"/>
  <c r="CI499" i="7"/>
  <c r="CH508" i="7"/>
  <c r="CH506" i="7"/>
  <c r="CH505" i="7"/>
  <c r="CH504" i="7"/>
  <c r="CH503" i="7"/>
  <c r="CH502" i="7"/>
  <c r="CH501" i="7"/>
  <c r="CH500" i="7"/>
  <c r="CH499" i="7"/>
  <c r="CI461" i="7"/>
  <c r="CI459" i="7"/>
  <c r="AA126" i="27"/>
  <c r="BJ346" i="7"/>
  <c r="BJ823" i="7"/>
  <c r="L122" i="27"/>
  <c r="Q126" i="27" s="1"/>
  <c r="AP94" i="27"/>
  <c r="AP95" i="27" s="1"/>
  <c r="BN218" i="4"/>
  <c r="BK218" i="4"/>
  <c r="BL218" i="4"/>
  <c r="CR79" i="47"/>
  <c r="AY161" i="13"/>
  <c r="CP75" i="47"/>
  <c r="CQ82" i="47"/>
  <c r="F380" i="4"/>
  <c r="F381" i="4" s="1"/>
  <c r="L90" i="9"/>
  <c r="L97" i="9" s="1"/>
  <c r="G146" i="9"/>
  <c r="AE325" i="1"/>
  <c r="AE326" i="1" s="1"/>
  <c r="L326" i="4"/>
  <c r="L327" i="4" s="1"/>
  <c r="BW872" i="7"/>
  <c r="S272" i="4"/>
  <c r="AZ380" i="4"/>
  <c r="AZ381" i="4" s="1"/>
  <c r="BU872" i="7"/>
  <c r="BV817" i="7"/>
  <c r="AC272" i="4"/>
  <c r="R272" i="4"/>
  <c r="AM272" i="4"/>
  <c r="AY272" i="4"/>
  <c r="AB272" i="4"/>
  <c r="AG272" i="4"/>
  <c r="BY326" i="4"/>
  <c r="BY327" i="4" s="1"/>
  <c r="Q380" i="4"/>
  <c r="Q381" i="4" s="1"/>
  <c r="BF272" i="4"/>
  <c r="U272" i="4"/>
  <c r="BO326" i="4"/>
  <c r="BO327" i="4" s="1"/>
  <c r="AI272" i="4"/>
  <c r="AV272" i="4"/>
  <c r="BP872" i="7"/>
  <c r="BS103" i="4"/>
  <c r="BS872" i="7" s="1"/>
  <c r="BR103" i="4"/>
  <c r="BR872" i="7" s="1"/>
  <c r="AJ272" i="4"/>
  <c r="AE272" i="4"/>
  <c r="CD326" i="4"/>
  <c r="CD327" i="4" s="1"/>
  <c r="AA380" i="4"/>
  <c r="AA381" i="4" s="1"/>
  <c r="BQ272" i="4"/>
  <c r="BT99" i="4"/>
  <c r="BT762" i="7" s="1"/>
  <c r="BS272" i="4"/>
  <c r="O272" i="4"/>
  <c r="V380" i="4"/>
  <c r="V381" i="4" s="1"/>
  <c r="AK326" i="4"/>
  <c r="AK327" i="4" s="1"/>
  <c r="BG272" i="4"/>
  <c r="AH272" i="4"/>
  <c r="AL272" i="4"/>
  <c r="AX272" i="4"/>
  <c r="N272" i="4"/>
  <c r="AW272" i="4"/>
  <c r="L380" i="4"/>
  <c r="L381" i="4" s="1"/>
  <c r="BT326" i="4"/>
  <c r="BT327" i="4" s="1"/>
  <c r="P272" i="4"/>
  <c r="BN272" i="4"/>
  <c r="T272" i="4"/>
  <c r="AD272" i="4"/>
  <c r="BP272" i="4"/>
  <c r="BH272" i="4"/>
  <c r="BQ817" i="7"/>
  <c r="AU380" i="4"/>
  <c r="AU381" i="4" s="1"/>
  <c r="AO272" i="4"/>
  <c r="AK380" i="4"/>
  <c r="AK381" i="4" s="1"/>
  <c r="AN272" i="4"/>
  <c r="AU326" i="4"/>
  <c r="AU382" i="4" s="1"/>
  <c r="BM272" i="4"/>
  <c r="BI272" i="4"/>
  <c r="BK272" i="4"/>
  <c r="AP372" i="4"/>
  <c r="AP373" i="4" s="1"/>
  <c r="AP380" i="4" s="1"/>
  <c r="AP381" i="4" s="1"/>
  <c r="AP319" i="4"/>
  <c r="Y272" i="4"/>
  <c r="Z272" i="4"/>
  <c r="X272" i="4"/>
  <c r="W272" i="4"/>
  <c r="BE146" i="9"/>
  <c r="BL272" i="4"/>
  <c r="BV150" i="7"/>
  <c r="BV652" i="7"/>
  <c r="BQ151" i="7"/>
  <c r="BQ653" i="7"/>
  <c r="BO151" i="7"/>
  <c r="BO653" i="7"/>
  <c r="Q122" i="27"/>
  <c r="V126" i="27" s="1"/>
  <c r="AF133" i="27"/>
  <c r="AZ704" i="7"/>
  <c r="AZ716" i="7" s="1"/>
  <c r="AF126" i="27"/>
  <c r="Z331" i="1"/>
  <c r="U188" i="1"/>
  <c r="T225" i="1"/>
  <c r="J237" i="1"/>
  <c r="K235" i="1"/>
  <c r="K237" i="1" s="1"/>
  <c r="BE704" i="7"/>
  <c r="BE718" i="7" s="1"/>
  <c r="BE721" i="7" s="1"/>
  <c r="J230" i="4"/>
  <c r="AF380" i="4"/>
  <c r="AF381" i="4" s="1"/>
  <c r="BE333" i="1"/>
  <c r="BE334" i="1" s="1"/>
  <c r="M317" i="4"/>
  <c r="K317" i="4"/>
  <c r="BE326" i="4"/>
  <c r="BE327" i="4" s="1"/>
  <c r="BE380" i="4"/>
  <c r="BE212" i="9"/>
  <c r="BE72" i="7" s="1"/>
  <c r="BE209" i="9"/>
  <c r="CO45" i="7" s="1"/>
  <c r="BE19" i="11"/>
  <c r="BE44" i="11"/>
  <c r="BA187" i="12"/>
  <c r="BB186" i="12" s="1"/>
  <c r="BB187" i="12" s="1"/>
  <c r="BC186" i="12" s="1"/>
  <c r="BC187" i="12" s="1"/>
  <c r="BD186" i="12" s="1"/>
  <c r="BD187" i="12" s="1"/>
  <c r="BE186" i="12"/>
  <c r="BE187" i="12" s="1"/>
  <c r="BF186" i="12" s="1"/>
  <c r="AP170" i="5"/>
  <c r="AK29" i="10"/>
  <c r="AK105" i="14"/>
  <c r="S225" i="1"/>
  <c r="H319" i="4"/>
  <c r="H326" i="4" s="1"/>
  <c r="BW698" i="7"/>
  <c r="BW535" i="7" s="1"/>
  <c r="AA350" i="1"/>
  <c r="R225" i="1"/>
  <c r="AU105" i="14"/>
  <c r="AV85" i="14"/>
  <c r="AV56" i="14"/>
  <c r="AV57" i="14" s="1"/>
  <c r="W345" i="1"/>
  <c r="AQ85" i="14"/>
  <c r="AQ56" i="14"/>
  <c r="AQ57" i="14" s="1"/>
  <c r="Z295" i="1"/>
  <c r="AF146" i="14"/>
  <c r="AK100" i="12"/>
  <c r="AJ56" i="14"/>
  <c r="AJ57" i="14" s="1"/>
  <c r="AJ85" i="14"/>
  <c r="AS56" i="14"/>
  <c r="AS57" i="14" s="1"/>
  <c r="AS85" i="14"/>
  <c r="AF130" i="12"/>
  <c r="AF116" i="12"/>
  <c r="AM57" i="14"/>
  <c r="AP56" i="14"/>
  <c r="AL112" i="14"/>
  <c r="AL120" i="14" s="1"/>
  <c r="AP112" i="14"/>
  <c r="AP120" i="14" s="1"/>
  <c r="AU110" i="12"/>
  <c r="AG56" i="14"/>
  <c r="AG57" i="14" s="1"/>
  <c r="AG85" i="14"/>
  <c r="AA130" i="12"/>
  <c r="AA116" i="12"/>
  <c r="AP116" i="12"/>
  <c r="AP130" i="12"/>
  <c r="Q146" i="14"/>
  <c r="BZ313" i="7"/>
  <c r="CA313" i="7"/>
  <c r="CC313" i="7"/>
  <c r="CB313" i="7"/>
  <c r="F54" i="9"/>
  <c r="F108" i="9"/>
  <c r="AG65" i="13"/>
  <c r="AG90" i="13" s="1"/>
  <c r="AH112" i="14"/>
  <c r="AH120" i="14" s="1"/>
  <c r="AF32" i="11"/>
  <c r="AK23" i="11"/>
  <c r="C74" i="7"/>
  <c r="C73" i="7"/>
  <c r="V130" i="12"/>
  <c r="V116" i="12"/>
  <c r="AU85" i="14"/>
  <c r="AU56" i="14"/>
  <c r="E147" i="9"/>
  <c r="E92" i="10" s="1"/>
  <c r="E119" i="9"/>
  <c r="AU100" i="12"/>
  <c r="E131" i="9"/>
  <c r="AF122" i="27"/>
  <c r="AF134" i="27"/>
  <c r="AA326" i="4"/>
  <c r="AA327" i="4" s="1"/>
  <c r="I288" i="4"/>
  <c r="I289" i="4" s="1"/>
  <c r="V133" i="27"/>
  <c r="V135" i="27" s="1"/>
  <c r="I218" i="4"/>
  <c r="I298" i="4"/>
  <c r="I284" i="4"/>
  <c r="K287" i="4"/>
  <c r="AE331" i="1"/>
  <c r="F359" i="1"/>
  <c r="N225" i="1"/>
  <c r="M225" i="1"/>
  <c r="AC296" i="1"/>
  <c r="Y225" i="1"/>
  <c r="Z279" i="1"/>
  <c r="AF326" i="4"/>
  <c r="AF327" i="4" s="1"/>
  <c r="CD92" i="12"/>
  <c r="CD91" i="12"/>
  <c r="BZ32" i="13"/>
  <c r="CA32" i="13" s="1"/>
  <c r="CB32" i="13" s="1"/>
  <c r="CC32" i="13" s="1"/>
  <c r="CD32" i="13" s="1"/>
  <c r="CD107" i="12"/>
  <c r="CA698" i="7"/>
  <c r="CA535" i="7" s="1"/>
  <c r="P279" i="1"/>
  <c r="Z291" i="1"/>
  <c r="Z345" i="1" s="1"/>
  <c r="Y345" i="1"/>
  <c r="O225" i="1"/>
  <c r="Z188" i="1"/>
  <c r="P291" i="1"/>
  <c r="P345" i="1" s="1"/>
  <c r="F333" i="1"/>
  <c r="F334" i="1" s="1"/>
  <c r="J176" i="4"/>
  <c r="J282" i="4"/>
  <c r="J284" i="4" s="1"/>
  <c r="J293" i="4"/>
  <c r="J244" i="4"/>
  <c r="AZ326" i="4"/>
  <c r="AZ327" i="4" s="1"/>
  <c r="BS698" i="7"/>
  <c r="BS535" i="7" s="1"/>
  <c r="BR535" i="7"/>
  <c r="F114" i="13"/>
  <c r="F115" i="13" s="1"/>
  <c r="K190" i="4"/>
  <c r="J296" i="4"/>
  <c r="AE279" i="1"/>
  <c r="AE188" i="1"/>
  <c r="W225" i="1"/>
  <c r="U331" i="1"/>
  <c r="P331" i="1"/>
  <c r="AC225" i="1"/>
  <c r="U291" i="1"/>
  <c r="U345" i="1" s="1"/>
  <c r="AZ387" i="1"/>
  <c r="AZ388" i="1" s="1"/>
  <c r="AZ333" i="1"/>
  <c r="AZ334" i="1" s="1"/>
  <c r="K318" i="4"/>
  <c r="K216" i="4"/>
  <c r="K322" i="4"/>
  <c r="K324" i="4" s="1"/>
  <c r="M323" i="4"/>
  <c r="AU112" i="27"/>
  <c r="AU137" i="27" s="1"/>
  <c r="AU139" i="27" s="1"/>
  <c r="Q133" i="27"/>
  <c r="Q135" i="27" s="1"/>
  <c r="BB121" i="10"/>
  <c r="BB120" i="10"/>
  <c r="BB124" i="10"/>
  <c r="BB119" i="10"/>
  <c r="BB123" i="10"/>
  <c r="BB122" i="10"/>
  <c r="L133" i="27"/>
  <c r="L135" i="27" s="1"/>
  <c r="BY79" i="12"/>
  <c r="BZ30" i="13"/>
  <c r="CA30" i="13" s="1"/>
  <c r="CB30" i="13" s="1"/>
  <c r="CC30" i="13" s="1"/>
  <c r="CD30" i="13" s="1"/>
  <c r="BO23" i="14"/>
  <c r="BO19" i="14"/>
  <c r="BO18" i="14"/>
  <c r="Q209" i="9"/>
  <c r="CO37" i="7" s="1"/>
  <c r="Q212" i="9"/>
  <c r="Q72" i="7" s="1"/>
  <c r="Q73" i="7" s="1"/>
  <c r="V215" i="9"/>
  <c r="V219" i="9"/>
  <c r="AA65" i="9"/>
  <c r="AA72" i="9" s="1"/>
  <c r="AE736" i="7"/>
  <c r="BV19" i="6"/>
  <c r="BS549" i="7"/>
  <c r="BS58" i="7"/>
  <c r="BU33" i="6"/>
  <c r="BU30" i="6"/>
  <c r="BT30" i="6"/>
  <c r="BT241" i="7" s="1"/>
  <c r="BT33" i="6"/>
  <c r="P188" i="1"/>
  <c r="P200" i="1"/>
  <c r="P203" i="1" s="1"/>
  <c r="Z325" i="1"/>
  <c r="Z326" i="1" s="1"/>
  <c r="AD225" i="1"/>
  <c r="P295" i="1"/>
  <c r="AE200" i="1"/>
  <c r="AE203" i="1" s="1"/>
  <c r="E359" i="1"/>
  <c r="P326" i="1"/>
  <c r="U279" i="1"/>
  <c r="Z200" i="1"/>
  <c r="Z203" i="1" s="1"/>
  <c r="AE294" i="1"/>
  <c r="AE348" i="1" s="1"/>
  <c r="U325" i="1"/>
  <c r="U326" i="1" s="1"/>
  <c r="P299" i="1"/>
  <c r="P305" i="1" s="1"/>
  <c r="AE295" i="1"/>
  <c r="BT333" i="1"/>
  <c r="BT334" i="1" s="1"/>
  <c r="U295" i="1"/>
  <c r="U296" i="1" s="1"/>
  <c r="AE291" i="1"/>
  <c r="G290" i="7"/>
  <c r="G296" i="7"/>
  <c r="AC345" i="1"/>
  <c r="AC393" i="1"/>
  <c r="R393" i="1"/>
  <c r="R345" i="1"/>
  <c r="BY311" i="1"/>
  <c r="BY333" i="1" s="1"/>
  <c r="X296" i="1"/>
  <c r="X348" i="1"/>
  <c r="W296" i="1"/>
  <c r="W348" i="1"/>
  <c r="AB225" i="1"/>
  <c r="AU311" i="1"/>
  <c r="AU396" i="1" s="1"/>
  <c r="AU362" i="1"/>
  <c r="AU365" i="1" s="1"/>
  <c r="F395" i="1"/>
  <c r="E290" i="7"/>
  <c r="E31" i="5"/>
  <c r="E139" i="1"/>
  <c r="E34" i="1"/>
  <c r="E48" i="1"/>
  <c r="AK311" i="1"/>
  <c r="AK362" i="1"/>
  <c r="AK365" i="1" s="1"/>
  <c r="J288" i="1"/>
  <c r="I291" i="1"/>
  <c r="P294" i="1"/>
  <c r="O348" i="1"/>
  <c r="O296" i="1"/>
  <c r="AP362" i="1"/>
  <c r="AP365" i="1" s="1"/>
  <c r="AP387" i="1" s="1"/>
  <c r="AP388" i="1" s="1"/>
  <c r="AP311" i="1"/>
  <c r="G394" i="1"/>
  <c r="H296" i="1"/>
  <c r="I296" i="1" s="1"/>
  <c r="J296" i="1" s="1"/>
  <c r="K296" i="1" s="1"/>
  <c r="BJ311" i="1"/>
  <c r="BJ333" i="1" s="1"/>
  <c r="AD393" i="1"/>
  <c r="AD345" i="1"/>
  <c r="F139" i="1"/>
  <c r="F31" i="5"/>
  <c r="F34" i="1"/>
  <c r="F48" i="1"/>
  <c r="V394" i="1"/>
  <c r="AA362" i="1"/>
  <c r="AA365" i="1" s="1"/>
  <c r="W308" i="1"/>
  <c r="W311" i="1" s="1"/>
  <c r="Y308" i="1"/>
  <c r="Y311" i="1" s="1"/>
  <c r="AA311" i="1"/>
  <c r="AA396" i="1" s="1"/>
  <c r="X308" i="1"/>
  <c r="X311" i="1" s="1"/>
  <c r="T393" i="1"/>
  <c r="T345" i="1"/>
  <c r="AD348" i="1"/>
  <c r="AD296" i="1"/>
  <c r="AE299" i="1"/>
  <c r="AE305" i="1" s="1"/>
  <c r="AK545" i="7"/>
  <c r="AK551" i="7"/>
  <c r="AK552" i="7" s="1"/>
  <c r="AJ172" i="1"/>
  <c r="AI172" i="1"/>
  <c r="AG172" i="1"/>
  <c r="AH172" i="1"/>
  <c r="N345" i="1"/>
  <c r="N393" i="1"/>
  <c r="AY171" i="1"/>
  <c r="CI171" i="1" s="1"/>
  <c r="F296" i="7"/>
  <c r="F290" i="7"/>
  <c r="G353" i="1"/>
  <c r="G359" i="1" s="1"/>
  <c r="H299" i="1"/>
  <c r="G305" i="1"/>
  <c r="K264" i="1"/>
  <c r="K272" i="1" s="1"/>
  <c r="J272" i="1"/>
  <c r="Z299" i="1"/>
  <c r="Z305" i="1" s="1"/>
  <c r="L311" i="1"/>
  <c r="L362" i="1"/>
  <c r="L365" i="1" s="1"/>
  <c r="L387" i="1" s="1"/>
  <c r="L388" i="1" s="1"/>
  <c r="G311" i="1"/>
  <c r="H308" i="1"/>
  <c r="J329" i="1"/>
  <c r="I331" i="1"/>
  <c r="X345" i="1"/>
  <c r="X393" i="1"/>
  <c r="U200" i="1"/>
  <c r="U203" i="1" s="1"/>
  <c r="AB393" i="1"/>
  <c r="AB345" i="1"/>
  <c r="BO311" i="1"/>
  <c r="BO333" i="1" s="1"/>
  <c r="CD333" i="1"/>
  <c r="S345" i="1"/>
  <c r="S393" i="1"/>
  <c r="N308" i="1"/>
  <c r="N311" i="1" s="1"/>
  <c r="Q311" i="1"/>
  <c r="Q396" i="1" s="1"/>
  <c r="O308" i="1"/>
  <c r="Q362" i="1"/>
  <c r="Q365" i="1" s="1"/>
  <c r="M308" i="1"/>
  <c r="M311" i="1" s="1"/>
  <c r="O345" i="1"/>
  <c r="O393" i="1"/>
  <c r="Y296" i="1"/>
  <c r="Y348" i="1"/>
  <c r="Z294" i="1"/>
  <c r="AD308" i="1"/>
  <c r="AD311" i="1" s="1"/>
  <c r="AB308" i="1"/>
  <c r="AB311" i="1" s="1"/>
  <c r="AC308" i="1"/>
  <c r="AC311" i="1" s="1"/>
  <c r="AF311" i="1"/>
  <c r="AF362" i="1"/>
  <c r="AF365" i="1" s="1"/>
  <c r="AK350" i="1"/>
  <c r="N348" i="1"/>
  <c r="N296" i="1"/>
  <c r="Q350" i="1"/>
  <c r="M348" i="1"/>
  <c r="M296" i="1"/>
  <c r="I257" i="1"/>
  <c r="J254" i="1"/>
  <c r="AB296" i="1"/>
  <c r="AB348" i="1"/>
  <c r="AF350" i="1"/>
  <c r="J315" i="1"/>
  <c r="I326" i="1"/>
  <c r="AK831" i="7"/>
  <c r="AK834" i="7"/>
  <c r="AK833" i="7"/>
  <c r="AK836" i="7" s="1"/>
  <c r="AK832" i="7"/>
  <c r="AK830" i="7"/>
  <c r="AK829" i="7"/>
  <c r="AK886" i="7"/>
  <c r="AK887" i="7"/>
  <c r="AK885" i="7"/>
  <c r="AK889" i="7"/>
  <c r="AK888" i="7"/>
  <c r="AK891" i="7" s="1"/>
  <c r="AK884" i="7"/>
  <c r="S326" i="1"/>
  <c r="M393" i="1"/>
  <c r="M345" i="1"/>
  <c r="R305" i="1"/>
  <c r="U299" i="1"/>
  <c r="U305" i="1" s="1"/>
  <c r="I245" i="1"/>
  <c r="H251" i="1"/>
  <c r="H279" i="1" s="1"/>
  <c r="G31" i="5"/>
  <c r="G139" i="1"/>
  <c r="G34" i="1"/>
  <c r="G48" i="1"/>
  <c r="AU350" i="1"/>
  <c r="V362" i="1"/>
  <c r="V365" i="1" s="1"/>
  <c r="V387" i="1" s="1"/>
  <c r="V388" i="1" s="1"/>
  <c r="T308" i="1"/>
  <c r="T311" i="1" s="1"/>
  <c r="T333" i="1" s="1"/>
  <c r="T387" i="1" s="1"/>
  <c r="V311" i="1"/>
  <c r="V396" i="1" s="1"/>
  <c r="S308" i="1"/>
  <c r="S311" i="1" s="1"/>
  <c r="R308" i="1"/>
  <c r="R311" i="1" s="1"/>
  <c r="E380" i="4"/>
  <c r="E381" i="4" s="1"/>
  <c r="N313" i="4"/>
  <c r="M312" i="4"/>
  <c r="N303" i="4"/>
  <c r="F388" i="4"/>
  <c r="F326" i="4"/>
  <c r="P309" i="4"/>
  <c r="N317" i="4"/>
  <c r="R314" i="4"/>
  <c r="M297" i="4"/>
  <c r="O316" i="4"/>
  <c r="O370" i="4" s="1"/>
  <c r="V326" i="4"/>
  <c r="V389" i="4"/>
  <c r="BZ91" i="5"/>
  <c r="BZ103" i="4"/>
  <c r="N310" i="4"/>
  <c r="M292" i="4"/>
  <c r="E326" i="4"/>
  <c r="K301" i="4"/>
  <c r="K304" i="4" s="1"/>
  <c r="K196" i="4"/>
  <c r="M283" i="4"/>
  <c r="BX872" i="7"/>
  <c r="BX817" i="7"/>
  <c r="M287" i="4"/>
  <c r="M281" i="4"/>
  <c r="I265" i="4"/>
  <c r="I272" i="4" s="1"/>
  <c r="I307" i="4"/>
  <c r="I319" i="4" s="1"/>
  <c r="CA91" i="4"/>
  <c r="K294" i="4"/>
  <c r="M302" i="4"/>
  <c r="G389" i="4"/>
  <c r="G326" i="4"/>
  <c r="BY91" i="5"/>
  <c r="BY103" i="4"/>
  <c r="Q389" i="4"/>
  <c r="Q326" i="4"/>
  <c r="BT488" i="7"/>
  <c r="BT878" i="7"/>
  <c r="BT346" i="7"/>
  <c r="BT768" i="7"/>
  <c r="BT708" i="7"/>
  <c r="BT823" i="7"/>
  <c r="BT294" i="7"/>
  <c r="BJ768" i="7"/>
  <c r="BJ708" i="7"/>
  <c r="BJ878" i="7"/>
  <c r="BJ488" i="7"/>
  <c r="BJ294" i="7"/>
  <c r="BO878" i="7"/>
  <c r="BO346" i="7"/>
  <c r="BO768" i="7"/>
  <c r="BO294" i="7"/>
  <c r="BO708" i="7"/>
  <c r="BO488" i="7"/>
  <c r="BO823" i="7"/>
  <c r="BR124" i="10"/>
  <c r="BR470" i="7" s="1"/>
  <c r="BA68" i="11"/>
  <c r="BP240" i="7"/>
  <c r="BR13" i="6"/>
  <c r="BW25" i="6"/>
  <c r="BW27" i="13"/>
  <c r="BW24" i="6"/>
  <c r="BW652" i="7" s="1"/>
  <c r="BW26" i="6"/>
  <c r="BW10" i="14"/>
  <c r="BU121" i="10"/>
  <c r="BU276" i="7" s="1"/>
  <c r="BU122" i="10"/>
  <c r="BU328" i="7" s="1"/>
  <c r="BU119" i="10"/>
  <c r="BU133" i="7" s="1"/>
  <c r="BU120" i="10"/>
  <c r="BU223" i="7" s="1"/>
  <c r="BU124" i="10"/>
  <c r="BU470" i="7" s="1"/>
  <c r="BU123" i="10"/>
  <c r="BU418" i="7" s="1"/>
  <c r="BO73" i="14"/>
  <c r="BO27" i="69"/>
  <c r="BO28" i="69" s="1"/>
  <c r="AY85" i="47"/>
  <c r="AZ44" i="47"/>
  <c r="AZ161" i="13" s="1"/>
  <c r="M311" i="4"/>
  <c r="M308" i="4"/>
  <c r="M315" i="4"/>
  <c r="M369" i="4" s="1"/>
  <c r="BX32" i="6"/>
  <c r="BV57" i="7"/>
  <c r="BV548" i="7"/>
  <c r="AW56" i="14"/>
  <c r="AW85" i="14"/>
  <c r="E333" i="1"/>
  <c r="E395" i="1"/>
  <c r="BJ27" i="69"/>
  <c r="BJ28" i="69" s="1"/>
  <c r="BJ73" i="14"/>
  <c r="M295" i="4"/>
  <c r="AZ11" i="12"/>
  <c r="BR20" i="6"/>
  <c r="BR31" i="6" s="1"/>
  <c r="BX12" i="6"/>
  <c r="BP151" i="7"/>
  <c r="BV113" i="10"/>
  <c r="BV877" i="7"/>
  <c r="BV707" i="7"/>
  <c r="BV435" i="7"/>
  <c r="BV436" i="7" s="1"/>
  <c r="BV487" i="7"/>
  <c r="BV822" i="7"/>
  <c r="BV293" i="7"/>
  <c r="BV345" i="7"/>
  <c r="BK119" i="10"/>
  <c r="BK122" i="10"/>
  <c r="BK120" i="10"/>
  <c r="BK123" i="10"/>
  <c r="BK121" i="10"/>
  <c r="BK124" i="10"/>
  <c r="BF187" i="12" l="1"/>
  <c r="BG186" i="12" s="1"/>
  <c r="BG187" i="12" s="1"/>
  <c r="BH186" i="12" s="1"/>
  <c r="BH187" i="12" s="1"/>
  <c r="BI186" i="12" s="1"/>
  <c r="BI187" i="12" s="1"/>
  <c r="BJ186" i="12"/>
  <c r="BJ187" i="12" s="1"/>
  <c r="BQ119" i="10"/>
  <c r="BQ133" i="7" s="1"/>
  <c r="BQ120" i="10"/>
  <c r="BQ223" i="7" s="1"/>
  <c r="BP123" i="10"/>
  <c r="BP418" i="7" s="1"/>
  <c r="BR122" i="10"/>
  <c r="BR328" i="7" s="1"/>
  <c r="CI460" i="7"/>
  <c r="BR121" i="10"/>
  <c r="BR276" i="7" s="1"/>
  <c r="BQ121" i="10"/>
  <c r="BQ276" i="7" s="1"/>
  <c r="BP124" i="10"/>
  <c r="BP470" i="7" s="1"/>
  <c r="BP122" i="10"/>
  <c r="BP328" i="7" s="1"/>
  <c r="BR120" i="10"/>
  <c r="BR223" i="7" s="1"/>
  <c r="BQ122" i="10"/>
  <c r="BQ328" i="7" s="1"/>
  <c r="BP121" i="10"/>
  <c r="BP276" i="7" s="1"/>
  <c r="BP119" i="10"/>
  <c r="BP133" i="7" s="1"/>
  <c r="BR119" i="10"/>
  <c r="BR133" i="7" s="1"/>
  <c r="BQ123" i="10"/>
  <c r="BQ418" i="7" s="1"/>
  <c r="BQ124" i="10"/>
  <c r="BQ470" i="7" s="1"/>
  <c r="BP120" i="10"/>
  <c r="BP223" i="7" s="1"/>
  <c r="BS113" i="10"/>
  <c r="BS119" i="10" s="1"/>
  <c r="BS133" i="7" s="1"/>
  <c r="AU891" i="7"/>
  <c r="H736" i="7"/>
  <c r="H797" i="7" s="1"/>
  <c r="AY100" i="47"/>
  <c r="AZ85" i="47"/>
  <c r="AZ100" i="47" s="1"/>
  <c r="CQ79" i="47"/>
  <c r="CO75" i="47"/>
  <c r="CP82" i="47"/>
  <c r="AZ717" i="7"/>
  <c r="AZ718" i="7"/>
  <c r="AZ721" i="7" s="1"/>
  <c r="AZ719" i="7"/>
  <c r="Q90" i="9"/>
  <c r="Q97" i="9" s="1"/>
  <c r="L146" i="9"/>
  <c r="U225" i="1"/>
  <c r="BT103" i="4"/>
  <c r="BR817" i="7"/>
  <c r="AK382" i="4"/>
  <c r="L382" i="4"/>
  <c r="BS817" i="7"/>
  <c r="AP389" i="4"/>
  <c r="AP326" i="4"/>
  <c r="AF135" i="27"/>
  <c r="BR151" i="7"/>
  <c r="BR653" i="7"/>
  <c r="AA382" i="4"/>
  <c r="AZ714" i="7"/>
  <c r="AZ715" i="7"/>
  <c r="AA387" i="1"/>
  <c r="AA388" i="1" s="1"/>
  <c r="BE719" i="7"/>
  <c r="BE732" i="7"/>
  <c r="BE714" i="7"/>
  <c r="BE715" i="7"/>
  <c r="BE716" i="7"/>
  <c r="BE717" i="7"/>
  <c r="K230" i="4"/>
  <c r="BE172" i="5"/>
  <c r="BE382" i="4"/>
  <c r="BE381" i="4"/>
  <c r="G297" i="7"/>
  <c r="BX698" i="7"/>
  <c r="BX535" i="7" s="1"/>
  <c r="BY535" i="7" s="1"/>
  <c r="AK22" i="11"/>
  <c r="AK30" i="11"/>
  <c r="AI112" i="14"/>
  <c r="AI120" i="14" s="1"/>
  <c r="AH65" i="13"/>
  <c r="AH90" i="13" s="1"/>
  <c r="AQ118" i="14"/>
  <c r="AR118" i="14" s="1"/>
  <c r="AS118" i="14" s="1"/>
  <c r="AU112" i="14"/>
  <c r="AU118" i="14"/>
  <c r="AQ112" i="14"/>
  <c r="AU57" i="14"/>
  <c r="AG67" i="13"/>
  <c r="AG76" i="13"/>
  <c r="AG75" i="13"/>
  <c r="AM112" i="14"/>
  <c r="AM120" i="14" s="1"/>
  <c r="AL65" i="13"/>
  <c r="AL90" i="13" s="1"/>
  <c r="AU114" i="12"/>
  <c r="AU116" i="12" s="1"/>
  <c r="AP57" i="14"/>
  <c r="AK116" i="12"/>
  <c r="AK130" i="12"/>
  <c r="E125" i="9"/>
  <c r="E128" i="9" s="1"/>
  <c r="E187" i="9"/>
  <c r="F145" i="9"/>
  <c r="F115" i="9"/>
  <c r="F131" i="9" s="1"/>
  <c r="G47" i="9"/>
  <c r="BO101" i="6"/>
  <c r="AZ382" i="4"/>
  <c r="J288" i="4"/>
  <c r="J289" i="4" s="1"/>
  <c r="J181" i="4"/>
  <c r="J218" i="4" s="1"/>
  <c r="CB698" i="7"/>
  <c r="CB535" i="7" s="1"/>
  <c r="I326" i="4"/>
  <c r="AF382" i="4"/>
  <c r="Z225" i="1"/>
  <c r="AC333" i="1"/>
  <c r="AC387" i="1" s="1"/>
  <c r="Z393" i="1"/>
  <c r="AE225" i="1"/>
  <c r="G333" i="1"/>
  <c r="G334" i="1" s="1"/>
  <c r="P393" i="1"/>
  <c r="J298" i="4"/>
  <c r="G395" i="1"/>
  <c r="AB333" i="1"/>
  <c r="AB387" i="1" s="1"/>
  <c r="BT172" i="5"/>
  <c r="CD79" i="12"/>
  <c r="CD111" i="12"/>
  <c r="U393" i="1"/>
  <c r="K176" i="4"/>
  <c r="K282" i="4"/>
  <c r="K284" i="4" s="1"/>
  <c r="K293" i="4"/>
  <c r="K244" i="4"/>
  <c r="BT535" i="7"/>
  <c r="K296" i="4"/>
  <c r="AK387" i="1"/>
  <c r="AK388" i="1" s="1"/>
  <c r="S333" i="1"/>
  <c r="S387" i="1" s="1"/>
  <c r="M333" i="1"/>
  <c r="M387" i="1" s="1"/>
  <c r="M318" i="4"/>
  <c r="M322" i="4"/>
  <c r="M324" i="4" s="1"/>
  <c r="N323" i="4"/>
  <c r="BG121" i="10"/>
  <c r="BG124" i="10"/>
  <c r="BG120" i="10"/>
  <c r="BG123" i="10"/>
  <c r="BG119" i="10"/>
  <c r="BG122" i="10"/>
  <c r="BF133" i="13"/>
  <c r="BP19" i="14"/>
  <c r="BQ19" i="14" s="1"/>
  <c r="BR19" i="14" s="1"/>
  <c r="BS19" i="14" s="1"/>
  <c r="BP23" i="14"/>
  <c r="BQ23" i="14" s="1"/>
  <c r="BP18" i="14"/>
  <c r="BO102" i="6"/>
  <c r="AA215" i="9"/>
  <c r="AA219" i="9"/>
  <c r="AF65" i="9"/>
  <c r="AF72" i="9" s="1"/>
  <c r="V212" i="9"/>
  <c r="V72" i="7" s="1"/>
  <c r="V73" i="7" s="1"/>
  <c r="V209" i="9"/>
  <c r="CO38" i="7" s="1"/>
  <c r="AE797" i="7"/>
  <c r="AE852" i="7" s="1"/>
  <c r="BU241" i="7"/>
  <c r="BW19" i="6"/>
  <c r="BT58" i="7"/>
  <c r="BT549" i="7"/>
  <c r="BU58" i="7"/>
  <c r="BU549" i="7"/>
  <c r="BV33" i="6"/>
  <c r="BV30" i="6"/>
  <c r="BV241" i="7" s="1"/>
  <c r="P225" i="1"/>
  <c r="AY169" i="1"/>
  <c r="CI169" i="1" s="1"/>
  <c r="AD333" i="1"/>
  <c r="AD387" i="1" s="1"/>
  <c r="Y333" i="1"/>
  <c r="Y387" i="1" s="1"/>
  <c r="AU387" i="1"/>
  <c r="AU388" i="1" s="1"/>
  <c r="U308" i="1"/>
  <c r="U311" i="1" s="1"/>
  <c r="U333" i="1" s="1"/>
  <c r="U387" i="1" s="1"/>
  <c r="AE296" i="1"/>
  <c r="Q333" i="1"/>
  <c r="Q334" i="1" s="1"/>
  <c r="AU333" i="1"/>
  <c r="Z308" i="1"/>
  <c r="Z311" i="1" s="1"/>
  <c r="Q387" i="1"/>
  <c r="Q388" i="1" s="1"/>
  <c r="AE345" i="1"/>
  <c r="AE393" i="1"/>
  <c r="AZ172" i="5"/>
  <c r="BO172" i="5"/>
  <c r="BO334" i="1"/>
  <c r="G341" i="7"/>
  <c r="G139" i="5"/>
  <c r="G142" i="5" s="1"/>
  <c r="G34" i="5"/>
  <c r="AY170" i="1"/>
  <c r="CI170" i="1" s="1"/>
  <c r="AF387" i="1"/>
  <c r="AF388" i="1" s="1"/>
  <c r="Z296" i="1"/>
  <c r="Z348" i="1"/>
  <c r="P308" i="1"/>
  <c r="P311" i="1" s="1"/>
  <c r="O311" i="1"/>
  <c r="O333" i="1" s="1"/>
  <c r="O387" i="1" s="1"/>
  <c r="CD334" i="1"/>
  <c r="CD172" i="5"/>
  <c r="H311" i="1"/>
  <c r="I308" i="1"/>
  <c r="L396" i="1"/>
  <c r="L333" i="1"/>
  <c r="I299" i="1"/>
  <c r="H305" i="1"/>
  <c r="AW171" i="1"/>
  <c r="CG171" i="1" s="1"/>
  <c r="AX171" i="1"/>
  <c r="CH171" i="1" s="1"/>
  <c r="AV171" i="1"/>
  <c r="CF171" i="1" s="1"/>
  <c r="AH325" i="1"/>
  <c r="AG325" i="1"/>
  <c r="F49" i="1"/>
  <c r="F431" i="7" s="1"/>
  <c r="F156" i="1"/>
  <c r="F48" i="5"/>
  <c r="F139" i="5"/>
  <c r="F142" i="5" s="1"/>
  <c r="F34" i="5"/>
  <c r="AP396" i="1"/>
  <c r="AP333" i="1"/>
  <c r="P348" i="1"/>
  <c r="P296" i="1"/>
  <c r="K288" i="1"/>
  <c r="K291" i="1" s="1"/>
  <c r="J291" i="1"/>
  <c r="AA333" i="1"/>
  <c r="AK396" i="1"/>
  <c r="AK333" i="1"/>
  <c r="E341" i="7"/>
  <c r="E139" i="5"/>
  <c r="E142" i="5" s="1"/>
  <c r="E34" i="5"/>
  <c r="W333" i="1"/>
  <c r="W387" i="1" s="1"/>
  <c r="X333" i="1"/>
  <c r="X387" i="1" s="1"/>
  <c r="G49" i="1"/>
  <c r="G431" i="7" s="1"/>
  <c r="G48" i="5"/>
  <c r="G156" i="1"/>
  <c r="G142" i="1"/>
  <c r="G362" i="1"/>
  <c r="G365" i="1" s="1"/>
  <c r="J245" i="1"/>
  <c r="I251" i="1"/>
  <c r="I279" i="1" s="1"/>
  <c r="R333" i="1"/>
  <c r="R387" i="1" s="1"/>
  <c r="K315" i="1"/>
  <c r="K326" i="1" s="1"/>
  <c r="J326" i="1"/>
  <c r="J257" i="1"/>
  <c r="K254" i="1"/>
  <c r="K257" i="1" s="1"/>
  <c r="N333" i="1"/>
  <c r="N387" i="1" s="1"/>
  <c r="AW169" i="1"/>
  <c r="CG169" i="1" s="1"/>
  <c r="AV169" i="1"/>
  <c r="CF169" i="1" s="1"/>
  <c r="BK235" i="1" s="1"/>
  <c r="AX169" i="1"/>
  <c r="CH169" i="1" s="1"/>
  <c r="AE308" i="1"/>
  <c r="AE311" i="1" s="1"/>
  <c r="AF396" i="1"/>
  <c r="AF333" i="1"/>
  <c r="BY172" i="5"/>
  <c r="BY334" i="1"/>
  <c r="J331" i="1"/>
  <c r="K329" i="1"/>
  <c r="K331" i="1" s="1"/>
  <c r="AI325" i="1"/>
  <c r="AK557" i="7"/>
  <c r="AK106" i="27"/>
  <c r="AK558" i="7"/>
  <c r="AK555" i="7"/>
  <c r="AK560" i="7"/>
  <c r="AK559" i="7"/>
  <c r="AK562" i="7" s="1"/>
  <c r="AK556" i="7"/>
  <c r="AK573" i="7"/>
  <c r="V333" i="1"/>
  <c r="V334" i="1" s="1"/>
  <c r="F341" i="7"/>
  <c r="F142" i="1"/>
  <c r="F362" i="1"/>
  <c r="F365" i="1" s="1"/>
  <c r="BJ172" i="5"/>
  <c r="BJ334" i="1"/>
  <c r="E156" i="1"/>
  <c r="E48" i="5"/>
  <c r="E49" i="1"/>
  <c r="E431" i="7" s="1"/>
  <c r="E432" i="7" s="1"/>
  <c r="E142" i="1"/>
  <c r="E362" i="1"/>
  <c r="E365" i="1" s="1"/>
  <c r="G302" i="7"/>
  <c r="G303" i="7"/>
  <c r="G301" i="7"/>
  <c r="G304" i="7"/>
  <c r="G308" i="7" s="1"/>
  <c r="G305" i="7"/>
  <c r="G319" i="7"/>
  <c r="G300" i="7"/>
  <c r="O303" i="4"/>
  <c r="N312" i="4"/>
  <c r="O313" i="4"/>
  <c r="F382" i="4"/>
  <c r="F172" i="5"/>
  <c r="F327" i="4"/>
  <c r="R309" i="4"/>
  <c r="S314" i="4"/>
  <c r="O317" i="4"/>
  <c r="P316" i="4"/>
  <c r="P370" i="4" s="1"/>
  <c r="N297" i="4"/>
  <c r="N302" i="4"/>
  <c r="M294" i="4"/>
  <c r="CC91" i="4"/>
  <c r="CB91" i="4"/>
  <c r="J307" i="4"/>
  <c r="J319" i="4" s="1"/>
  <c r="J265" i="4"/>
  <c r="J272" i="4" s="1"/>
  <c r="M301" i="4"/>
  <c r="M304" i="4" s="1"/>
  <c r="E327" i="4"/>
  <c r="E382" i="4"/>
  <c r="BZ872" i="7"/>
  <c r="BZ817" i="7"/>
  <c r="V382" i="4"/>
  <c r="V327" i="4"/>
  <c r="Q382" i="4"/>
  <c r="Q327" i="4"/>
  <c r="BY872" i="7"/>
  <c r="BY817" i="7"/>
  <c r="G327" i="4"/>
  <c r="G382" i="4"/>
  <c r="CA91" i="5"/>
  <c r="CA103" i="4"/>
  <c r="N281" i="4"/>
  <c r="M341" i="4"/>
  <c r="N287" i="4"/>
  <c r="N283" i="4"/>
  <c r="N292" i="4"/>
  <c r="O310" i="4"/>
  <c r="AZ109" i="12"/>
  <c r="BM122" i="10"/>
  <c r="BM119" i="10"/>
  <c r="BM123" i="10"/>
  <c r="BM120" i="10"/>
  <c r="BM124" i="10"/>
  <c r="BM121" i="10"/>
  <c r="AZ103" i="12"/>
  <c r="N295" i="4"/>
  <c r="BW57" i="7"/>
  <c r="BW548" i="7"/>
  <c r="BS20" i="6"/>
  <c r="BS31" i="6" s="1"/>
  <c r="BS653" i="7" s="1"/>
  <c r="BW150" i="7"/>
  <c r="BV121" i="10"/>
  <c r="BV276" i="7" s="1"/>
  <c r="BV120" i="10"/>
  <c r="BV223" i="7" s="1"/>
  <c r="BV122" i="10"/>
  <c r="BV328" i="7" s="1"/>
  <c r="BV123" i="10"/>
  <c r="BV418" i="7" s="1"/>
  <c r="BV124" i="10"/>
  <c r="BV470" i="7" s="1"/>
  <c r="BV119" i="10"/>
  <c r="BV133" i="7" s="1"/>
  <c r="BZ12" i="6"/>
  <c r="CA32" i="6" s="1"/>
  <c r="BX24" i="6"/>
  <c r="BX25" i="6"/>
  <c r="BY25" i="6" s="1"/>
  <c r="BX27" i="13"/>
  <c r="BY27" i="13" s="1"/>
  <c r="BX10" i="14"/>
  <c r="BY10" i="14" s="1"/>
  <c r="BX26" i="6"/>
  <c r="N308" i="4"/>
  <c r="BW113" i="10"/>
  <c r="BX113" i="10" s="1"/>
  <c r="BU40" i="7"/>
  <c r="BY12" i="6"/>
  <c r="BS13" i="6"/>
  <c r="BS23" i="6" s="1"/>
  <c r="BS240" i="7" s="1"/>
  <c r="E334" i="1"/>
  <c r="E172" i="5"/>
  <c r="AW57" i="14"/>
  <c r="BX346" i="7"/>
  <c r="BX823" i="7"/>
  <c r="BX488" i="7"/>
  <c r="BX708" i="7"/>
  <c r="BX768" i="7"/>
  <c r="BX878" i="7"/>
  <c r="BX294" i="7"/>
  <c r="BY32" i="6"/>
  <c r="N315" i="4"/>
  <c r="N369" i="4" s="1"/>
  <c r="N311" i="4"/>
  <c r="BZ32" i="6"/>
  <c r="BW822" i="7"/>
  <c r="BW487" i="7"/>
  <c r="BW345" i="7"/>
  <c r="BW435" i="7"/>
  <c r="BW436" i="7" s="1"/>
  <c r="BW877" i="7"/>
  <c r="BW707" i="7"/>
  <c r="BW293" i="7"/>
  <c r="BR23" i="6"/>
  <c r="BL119" i="10"/>
  <c r="BL120" i="10"/>
  <c r="BL121" i="10"/>
  <c r="BL122" i="10"/>
  <c r="BL123" i="10"/>
  <c r="BL124" i="10"/>
  <c r="BR40" i="7" l="1"/>
  <c r="BR22" i="14" s="1"/>
  <c r="BK186" i="12"/>
  <c r="BK187" i="12" s="1"/>
  <c r="BL186" i="12" s="1"/>
  <c r="BL187" i="12" s="1"/>
  <c r="BM186" i="12" s="1"/>
  <c r="BM187" i="12" s="1"/>
  <c r="BN186" i="12" s="1"/>
  <c r="BN187" i="12" s="1"/>
  <c r="BO186" i="12"/>
  <c r="BO187" i="12" s="1"/>
  <c r="BS123" i="10"/>
  <c r="BS418" i="7" s="1"/>
  <c r="BT418" i="7" s="1"/>
  <c r="BQ40" i="7"/>
  <c r="BQ22" i="14" s="1"/>
  <c r="BP40" i="7"/>
  <c r="BP22" i="14" s="1"/>
  <c r="BS124" i="10"/>
  <c r="BS470" i="7" s="1"/>
  <c r="BT470" i="7" s="1"/>
  <c r="BS121" i="10"/>
  <c r="BS276" i="7" s="1"/>
  <c r="BT276" i="7" s="1"/>
  <c r="BS120" i="10"/>
  <c r="BS223" i="7" s="1"/>
  <c r="BT223" i="7" s="1"/>
  <c r="BS122" i="10"/>
  <c r="BS328" i="7" s="1"/>
  <c r="BT328" i="7" s="1"/>
  <c r="BT133" i="7"/>
  <c r="CP79" i="47"/>
  <c r="CM75" i="47"/>
  <c r="CO82" i="47"/>
  <c r="V90" i="9"/>
  <c r="V97" i="9" s="1"/>
  <c r="Q146" i="9"/>
  <c r="BT872" i="7"/>
  <c r="BT817" i="7"/>
  <c r="AP382" i="4"/>
  <c r="AP327" i="4"/>
  <c r="H852" i="7"/>
  <c r="K298" i="4"/>
  <c r="BX150" i="7"/>
  <c r="BX652" i="7"/>
  <c r="J326" i="4"/>
  <c r="AH89" i="13"/>
  <c r="AG91" i="13"/>
  <c r="AG105" i="13"/>
  <c r="AG115" i="13"/>
  <c r="AT118" i="14"/>
  <c r="AU125" i="12"/>
  <c r="AH75" i="13"/>
  <c r="AH76" i="13"/>
  <c r="AH67" i="13"/>
  <c r="AH63" i="13"/>
  <c r="AH134" i="13" s="1"/>
  <c r="AU120" i="14"/>
  <c r="AJ112" i="14"/>
  <c r="AJ120" i="14" s="1"/>
  <c r="AJ65" i="13" s="1"/>
  <c r="AJ90" i="13" s="1"/>
  <c r="AI65" i="13"/>
  <c r="AI90" i="13" s="1"/>
  <c r="G108" i="9"/>
  <c r="G54" i="9"/>
  <c r="AL76" i="13"/>
  <c r="AL67" i="13"/>
  <c r="AL75" i="13"/>
  <c r="AL63" i="13"/>
  <c r="AL134" i="13" s="1"/>
  <c r="AP23" i="11"/>
  <c r="AK32" i="11"/>
  <c r="F119" i="9"/>
  <c r="F147" i="9"/>
  <c r="F92" i="10" s="1"/>
  <c r="AN112" i="14"/>
  <c r="AN120" i="14" s="1"/>
  <c r="AM65" i="13"/>
  <c r="AM90" i="13" s="1"/>
  <c r="AQ120" i="14"/>
  <c r="CC698" i="7"/>
  <c r="CC535" i="7" s="1"/>
  <c r="CD535" i="7" s="1"/>
  <c r="BO105" i="6"/>
  <c r="K181" i="4"/>
  <c r="K218" i="4" s="1"/>
  <c r="K288" i="4"/>
  <c r="K289" i="4" s="1"/>
  <c r="BT20" i="6"/>
  <c r="BR23" i="14"/>
  <c r="BS23" i="14" s="1"/>
  <c r="BT19" i="14"/>
  <c r="BU19" i="14"/>
  <c r="BV19" i="14" s="1"/>
  <c r="G172" i="5"/>
  <c r="Z333" i="1"/>
  <c r="Z387" i="1" s="1"/>
  <c r="F56" i="1"/>
  <c r="M282" i="4"/>
  <c r="M284" i="4" s="1"/>
  <c r="M385" i="4" s="1"/>
  <c r="M293" i="4"/>
  <c r="M296" i="4"/>
  <c r="V172" i="5"/>
  <c r="V173" i="5" s="1"/>
  <c r="P333" i="1"/>
  <c r="P387" i="1" s="1"/>
  <c r="N318" i="4"/>
  <c r="N322" i="4"/>
  <c r="N324" i="4" s="1"/>
  <c r="O323" i="4"/>
  <c r="CB214" i="1"/>
  <c r="AX214" i="1"/>
  <c r="BH214" i="1"/>
  <c r="AS214" i="1"/>
  <c r="BR214" i="1"/>
  <c r="AN214" i="1"/>
  <c r="BC214" i="1"/>
  <c r="BM214" i="1"/>
  <c r="AI214" i="1"/>
  <c r="BW214" i="1"/>
  <c r="BW268" i="1"/>
  <c r="AN268" i="1"/>
  <c r="BR268" i="1"/>
  <c r="BC268" i="1"/>
  <c r="BH268" i="1"/>
  <c r="AS268" i="1"/>
  <c r="AI268" i="1"/>
  <c r="CB268" i="1"/>
  <c r="BM268" i="1"/>
  <c r="AX268" i="1"/>
  <c r="BM322" i="1"/>
  <c r="BM376" i="1" s="1"/>
  <c r="CB322" i="1"/>
  <c r="CB153" i="1" s="1"/>
  <c r="BH322" i="1"/>
  <c r="BH376" i="1" s="1"/>
  <c r="BW322" i="1"/>
  <c r="BW153" i="1" s="1"/>
  <c r="AI322" i="1"/>
  <c r="AI376" i="1" s="1"/>
  <c r="BR322" i="1"/>
  <c r="BR153" i="1" s="1"/>
  <c r="AN322" i="1"/>
  <c r="AN376" i="1" s="1"/>
  <c r="AS322" i="1"/>
  <c r="AS376" i="1" s="1"/>
  <c r="BC322" i="1"/>
  <c r="BC376" i="1" s="1"/>
  <c r="AX322" i="1"/>
  <c r="AX376" i="1" s="1"/>
  <c r="AS234" i="1"/>
  <c r="AX235" i="1"/>
  <c r="BR236" i="1"/>
  <c r="BW234" i="1"/>
  <c r="AN236" i="1"/>
  <c r="BW236" i="1"/>
  <c r="AI235" i="1"/>
  <c r="BM234" i="1"/>
  <c r="BR235" i="1"/>
  <c r="BR66" i="1" s="1"/>
  <c r="BH235" i="1"/>
  <c r="CB236" i="1"/>
  <c r="AS236" i="1"/>
  <c r="BW235" i="1"/>
  <c r="BW66" i="1" s="1"/>
  <c r="AN234" i="1"/>
  <c r="AI236" i="1"/>
  <c r="BR234" i="1"/>
  <c r="BC234" i="1"/>
  <c r="BH234" i="1"/>
  <c r="BH236" i="1"/>
  <c r="BC235" i="1"/>
  <c r="AS235" i="1"/>
  <c r="AX234" i="1"/>
  <c r="AN235" i="1"/>
  <c r="CB235" i="1"/>
  <c r="CB66" i="1" s="1"/>
  <c r="BM235" i="1"/>
  <c r="BM236" i="1"/>
  <c r="AX236" i="1"/>
  <c r="BC236" i="1"/>
  <c r="CB234" i="1"/>
  <c r="AI234" i="1"/>
  <c r="BM180" i="1"/>
  <c r="AS180" i="1"/>
  <c r="AX182" i="1"/>
  <c r="AN181" i="1"/>
  <c r="BR180" i="1"/>
  <c r="BW181" i="1"/>
  <c r="AX181" i="1"/>
  <c r="AN182" i="1"/>
  <c r="CB182" i="1"/>
  <c r="BH180" i="1"/>
  <c r="AI180" i="1"/>
  <c r="CB181" i="1"/>
  <c r="BC182" i="1"/>
  <c r="AI182" i="1"/>
  <c r="BM181" i="1"/>
  <c r="BH182" i="1"/>
  <c r="BH181" i="1"/>
  <c r="AS181" i="1"/>
  <c r="AX180" i="1"/>
  <c r="AX183" i="1" s="1"/>
  <c r="CB180" i="1"/>
  <c r="BW180" i="1"/>
  <c r="BR182" i="1"/>
  <c r="AS182" i="1"/>
  <c r="BC180" i="1"/>
  <c r="BC181" i="1"/>
  <c r="BW182" i="1"/>
  <c r="AN180" i="1"/>
  <c r="AI181" i="1"/>
  <c r="BM182" i="1"/>
  <c r="BR181" i="1"/>
  <c r="BW289" i="1"/>
  <c r="BR290" i="1"/>
  <c r="CB288" i="1"/>
  <c r="BM290" i="1"/>
  <c r="AI289" i="1"/>
  <c r="AN288" i="1"/>
  <c r="CB290" i="1"/>
  <c r="BC289" i="1"/>
  <c r="AX289" i="1"/>
  <c r="AI288" i="1"/>
  <c r="BH288" i="1"/>
  <c r="BR288" i="1"/>
  <c r="AS290" i="1"/>
  <c r="AN290" i="1"/>
  <c r="AN289" i="1"/>
  <c r="AX290" i="1"/>
  <c r="AS288" i="1"/>
  <c r="AX288" i="1"/>
  <c r="BH289" i="1"/>
  <c r="BH290" i="1"/>
  <c r="AI290" i="1"/>
  <c r="BM288" i="1"/>
  <c r="BR289" i="1"/>
  <c r="BW290" i="1"/>
  <c r="BW288" i="1"/>
  <c r="AS289" i="1"/>
  <c r="BM289" i="1"/>
  <c r="BC290" i="1"/>
  <c r="CB289" i="1"/>
  <c r="BF235" i="1"/>
  <c r="BZ235" i="1"/>
  <c r="BZ66" i="1" s="1"/>
  <c r="BF236" i="1"/>
  <c r="AV234" i="1"/>
  <c r="AQ234" i="1"/>
  <c r="BZ236" i="1"/>
  <c r="BK236" i="1"/>
  <c r="BA236" i="1"/>
  <c r="AQ236" i="1"/>
  <c r="AL235" i="1"/>
  <c r="BP235" i="1"/>
  <c r="BP66" i="1" s="1"/>
  <c r="AQ235" i="1"/>
  <c r="BP236" i="1"/>
  <c r="BK234" i="1"/>
  <c r="BU234" i="1"/>
  <c r="AV236" i="1"/>
  <c r="AL236" i="1"/>
  <c r="AV235" i="1"/>
  <c r="BF234" i="1"/>
  <c r="BP234" i="1"/>
  <c r="BA234" i="1"/>
  <c r="BU235" i="1"/>
  <c r="BU66" i="1" s="1"/>
  <c r="BA235" i="1"/>
  <c r="BU236" i="1"/>
  <c r="BZ234" i="1"/>
  <c r="AL234" i="1"/>
  <c r="AG236" i="1"/>
  <c r="AG235" i="1"/>
  <c r="AG234" i="1"/>
  <c r="BZ181" i="1"/>
  <c r="BK180" i="1"/>
  <c r="BA182" i="1"/>
  <c r="AG182" i="1"/>
  <c r="BF182" i="1"/>
  <c r="BF181" i="1"/>
  <c r="AV180" i="1"/>
  <c r="BU180" i="1"/>
  <c r="AQ180" i="1"/>
  <c r="BP182" i="1"/>
  <c r="BU182" i="1"/>
  <c r="BZ182" i="1"/>
  <c r="AG181" i="1"/>
  <c r="BK182" i="1"/>
  <c r="BP181" i="1"/>
  <c r="AG180" i="1"/>
  <c r="BK181" i="1"/>
  <c r="AQ181" i="1"/>
  <c r="BZ180" i="1"/>
  <c r="AQ182" i="1"/>
  <c r="AV182" i="1"/>
  <c r="AL181" i="1"/>
  <c r="BA180" i="1"/>
  <c r="BP180" i="1"/>
  <c r="BU181" i="1"/>
  <c r="AV181" i="1"/>
  <c r="BA181" i="1"/>
  <c r="AL182" i="1"/>
  <c r="AL180" i="1"/>
  <c r="BF180" i="1"/>
  <c r="AG288" i="1"/>
  <c r="BF288" i="1"/>
  <c r="BU289" i="1"/>
  <c r="BP288" i="1"/>
  <c r="AQ290" i="1"/>
  <c r="BP290" i="1"/>
  <c r="BP289" i="1"/>
  <c r="BK290" i="1"/>
  <c r="AL288" i="1"/>
  <c r="BZ290" i="1"/>
  <c r="BU290" i="1"/>
  <c r="AL290" i="1"/>
  <c r="AL289" i="1"/>
  <c r="BZ288" i="1"/>
  <c r="BU288" i="1"/>
  <c r="AV288" i="1"/>
  <c r="AQ289" i="1"/>
  <c r="BF290" i="1"/>
  <c r="BA290" i="1"/>
  <c r="AG289" i="1"/>
  <c r="BA289" i="1"/>
  <c r="AV289" i="1"/>
  <c r="AV290" i="1"/>
  <c r="AQ288" i="1"/>
  <c r="BF289" i="1"/>
  <c r="BK289" i="1"/>
  <c r="AG290" i="1"/>
  <c r="BK288" i="1"/>
  <c r="BZ289" i="1"/>
  <c r="BG234" i="1"/>
  <c r="BB235" i="1"/>
  <c r="BG236" i="1"/>
  <c r="AR234" i="1"/>
  <c r="BV235" i="1"/>
  <c r="BV66" i="1" s="1"/>
  <c r="BL236" i="1"/>
  <c r="BL234" i="1"/>
  <c r="BL235" i="1"/>
  <c r="BB236" i="1"/>
  <c r="AH236" i="1"/>
  <c r="BQ234" i="1"/>
  <c r="BQ235" i="1"/>
  <c r="BQ66" i="1" s="1"/>
  <c r="BV236" i="1"/>
  <c r="AM234" i="1"/>
  <c r="BV234" i="1"/>
  <c r="AR236" i="1"/>
  <c r="CA236" i="1"/>
  <c r="BG235" i="1"/>
  <c r="AW236" i="1"/>
  <c r="AW234" i="1"/>
  <c r="AR235" i="1"/>
  <c r="CA235" i="1"/>
  <c r="CA66" i="1" s="1"/>
  <c r="BQ236" i="1"/>
  <c r="BB234" i="1"/>
  <c r="AW235" i="1"/>
  <c r="AM236" i="1"/>
  <c r="AH235" i="1"/>
  <c r="AM235" i="1"/>
  <c r="AH234" i="1"/>
  <c r="CA234" i="1"/>
  <c r="BL181" i="1"/>
  <c r="AR181" i="1"/>
  <c r="AW180" i="1"/>
  <c r="CA180" i="1"/>
  <c r="AR180" i="1"/>
  <c r="AR182" i="1"/>
  <c r="AW182" i="1"/>
  <c r="AM181" i="1"/>
  <c r="BQ180" i="1"/>
  <c r="BV181" i="1"/>
  <c r="BB181" i="1"/>
  <c r="AM182" i="1"/>
  <c r="BV182" i="1"/>
  <c r="AM180" i="1"/>
  <c r="BG180" i="1"/>
  <c r="CA181" i="1"/>
  <c r="BL180" i="1"/>
  <c r="BB182" i="1"/>
  <c r="AH182" i="1"/>
  <c r="BG182" i="1"/>
  <c r="BG181" i="1"/>
  <c r="BV180" i="1"/>
  <c r="BQ182" i="1"/>
  <c r="BB180" i="1"/>
  <c r="AW181" i="1"/>
  <c r="CA182" i="1"/>
  <c r="AH181" i="1"/>
  <c r="BL182" i="1"/>
  <c r="BQ181" i="1"/>
  <c r="AH180" i="1"/>
  <c r="BG288" i="1"/>
  <c r="BQ288" i="1"/>
  <c r="AR290" i="1"/>
  <c r="CA288" i="1"/>
  <c r="BB289" i="1"/>
  <c r="AH288" i="1"/>
  <c r="BV289" i="1"/>
  <c r="BQ290" i="1"/>
  <c r="BQ289" i="1"/>
  <c r="BL290" i="1"/>
  <c r="AM288" i="1"/>
  <c r="BV290" i="1"/>
  <c r="AW289" i="1"/>
  <c r="AW290" i="1"/>
  <c r="AR288" i="1"/>
  <c r="BV288" i="1"/>
  <c r="BG289" i="1"/>
  <c r="BL289" i="1"/>
  <c r="AH290" i="1"/>
  <c r="CA289" i="1"/>
  <c r="AH289" i="1"/>
  <c r="CA290" i="1"/>
  <c r="AM290" i="1"/>
  <c r="AM289" i="1"/>
  <c r="AW288" i="1"/>
  <c r="AR289" i="1"/>
  <c r="BG290" i="1"/>
  <c r="BB290" i="1"/>
  <c r="BL288" i="1"/>
  <c r="AQ214" i="1"/>
  <c r="AV214" i="1"/>
  <c r="BP214" i="1"/>
  <c r="AG214" i="1"/>
  <c r="BZ214" i="1"/>
  <c r="AL214" i="1"/>
  <c r="BF214" i="1"/>
  <c r="BA214" i="1"/>
  <c r="BK214" i="1"/>
  <c r="BU214" i="1"/>
  <c r="AQ268" i="1"/>
  <c r="BP268" i="1"/>
  <c r="BZ268" i="1"/>
  <c r="BU268" i="1"/>
  <c r="AL268" i="1"/>
  <c r="BA268" i="1"/>
  <c r="AG268" i="1"/>
  <c r="BF268" i="1"/>
  <c r="BK268" i="1"/>
  <c r="AV268" i="1"/>
  <c r="AG322" i="1"/>
  <c r="BP322" i="1"/>
  <c r="AL322" i="1"/>
  <c r="AQ322" i="1"/>
  <c r="AV322" i="1"/>
  <c r="AV376" i="1" s="1"/>
  <c r="BK322" i="1"/>
  <c r="BK376" i="1" s="1"/>
  <c r="BZ322" i="1"/>
  <c r="BF322" i="1"/>
  <c r="BF376" i="1" s="1"/>
  <c r="BU322" i="1"/>
  <c r="BA322" i="1"/>
  <c r="BA376" i="1" s="1"/>
  <c r="BQ214" i="1"/>
  <c r="AW214" i="1"/>
  <c r="AR214" i="1"/>
  <c r="BL214" i="1"/>
  <c r="BB214" i="1"/>
  <c r="CA214" i="1"/>
  <c r="BG214" i="1"/>
  <c r="AM214" i="1"/>
  <c r="BV214" i="1"/>
  <c r="AH214" i="1"/>
  <c r="BV268" i="1"/>
  <c r="AR268" i="1"/>
  <c r="BB268" i="1"/>
  <c r="AH268" i="1"/>
  <c r="BG268" i="1"/>
  <c r="BL268" i="1"/>
  <c r="AW268" i="1"/>
  <c r="AM268" i="1"/>
  <c r="BQ268" i="1"/>
  <c r="CA268" i="1"/>
  <c r="BL322" i="1"/>
  <c r="BL376" i="1" s="1"/>
  <c r="BG322" i="1"/>
  <c r="BG376" i="1" s="1"/>
  <c r="AH322" i="1"/>
  <c r="AH376" i="1" s="1"/>
  <c r="AM322" i="1"/>
  <c r="AM376" i="1" s="1"/>
  <c r="AR322" i="1"/>
  <c r="AR376" i="1" s="1"/>
  <c r="AW322" i="1"/>
  <c r="AW376" i="1" s="1"/>
  <c r="CA322" i="1"/>
  <c r="CA153" i="1" s="1"/>
  <c r="BQ322" i="1"/>
  <c r="BQ153" i="1" s="1"/>
  <c r="BV322" i="1"/>
  <c r="BV153" i="1" s="1"/>
  <c r="BB322" i="1"/>
  <c r="BB376" i="1" s="1"/>
  <c r="BH123" i="10"/>
  <c r="BH120" i="10"/>
  <c r="BH119" i="10"/>
  <c r="BH122" i="10"/>
  <c r="BH121" i="10"/>
  <c r="BH124" i="10"/>
  <c r="BG133" i="13"/>
  <c r="BQ18" i="14"/>
  <c r="BR18" i="14" s="1"/>
  <c r="AF215" i="9"/>
  <c r="AF219" i="9"/>
  <c r="AA212" i="9"/>
  <c r="AA72" i="7" s="1"/>
  <c r="AA73" i="7" s="1"/>
  <c r="AA209" i="9"/>
  <c r="CO39" i="7" s="1"/>
  <c r="BX19" i="6"/>
  <c r="BY19" i="6" s="1"/>
  <c r="BW33" i="6"/>
  <c r="BW30" i="6"/>
  <c r="BW241" i="7" s="1"/>
  <c r="BV58" i="7"/>
  <c r="BV549" i="7"/>
  <c r="AE333" i="1"/>
  <c r="AE387" i="1" s="1"/>
  <c r="AU334" i="1"/>
  <c r="AU172" i="5"/>
  <c r="AU173" i="5" s="1"/>
  <c r="Q172" i="5"/>
  <c r="Q173" i="5" s="1"/>
  <c r="H333" i="1"/>
  <c r="H172" i="5" s="1"/>
  <c r="H173" i="5" s="1"/>
  <c r="E396" i="1"/>
  <c r="E156" i="5"/>
  <c r="E157" i="5" s="1"/>
  <c r="E49" i="5"/>
  <c r="E56" i="5" s="1"/>
  <c r="AK108" i="27"/>
  <c r="AK118" i="27"/>
  <c r="G396" i="1"/>
  <c r="G156" i="5"/>
  <c r="G157" i="5" s="1"/>
  <c r="G49" i="5"/>
  <c r="G56" i="5" s="1"/>
  <c r="G100" i="10" s="1"/>
  <c r="E56" i="1"/>
  <c r="AK334" i="1"/>
  <c r="AK172" i="5"/>
  <c r="AK173" i="5" s="1"/>
  <c r="AA334" i="1"/>
  <c r="AA172" i="5"/>
  <c r="AA173" i="5" s="1"/>
  <c r="AP334" i="1"/>
  <c r="AP172" i="5"/>
  <c r="AP173" i="5" s="1"/>
  <c r="F379" i="1"/>
  <c r="F380" i="1" s="1"/>
  <c r="F387" i="1" s="1"/>
  <c r="F388" i="1" s="1"/>
  <c r="F157" i="1"/>
  <c r="F164" i="1" s="1"/>
  <c r="F165" i="1" s="1"/>
  <c r="AZ103" i="1"/>
  <c r="AZ818" i="7" s="1"/>
  <c r="J299" i="1"/>
  <c r="I305" i="1"/>
  <c r="AV170" i="1"/>
  <c r="CF170" i="1" s="1"/>
  <c r="AX170" i="1"/>
  <c r="CH170" i="1" s="1"/>
  <c r="AW170" i="1"/>
  <c r="CG170" i="1" s="1"/>
  <c r="G56" i="1"/>
  <c r="E379" i="1"/>
  <c r="E380" i="1" s="1"/>
  <c r="E387" i="1" s="1"/>
  <c r="E388" i="1" s="1"/>
  <c r="E157" i="1"/>
  <c r="E164" i="1" s="1"/>
  <c r="E165" i="1" s="1"/>
  <c r="F396" i="1"/>
  <c r="F342" i="7"/>
  <c r="F348" i="7"/>
  <c r="F53" i="7"/>
  <c r="AF334" i="1"/>
  <c r="AF172" i="5"/>
  <c r="AF173" i="5" s="1"/>
  <c r="K245" i="1"/>
  <c r="K251" i="1" s="1"/>
  <c r="K279" i="1" s="1"/>
  <c r="J251" i="1"/>
  <c r="J279" i="1" s="1"/>
  <c r="G379" i="1"/>
  <c r="G380" i="1" s="1"/>
  <c r="G387" i="1" s="1"/>
  <c r="G388" i="1" s="1"/>
  <c r="G157" i="1"/>
  <c r="G438" i="7"/>
  <c r="G439" i="7" s="1"/>
  <c r="G432" i="7"/>
  <c r="E342" i="7"/>
  <c r="E53" i="7"/>
  <c r="F156" i="5"/>
  <c r="F157" i="5" s="1"/>
  <c r="F49" i="5"/>
  <c r="F56" i="5" s="1"/>
  <c r="F438" i="7"/>
  <c r="F432" i="7"/>
  <c r="AJ325" i="1"/>
  <c r="L172" i="5"/>
  <c r="L173" i="5" s="1"/>
  <c r="L334" i="1"/>
  <c r="I311" i="1"/>
  <c r="J308" i="1"/>
  <c r="G348" i="7"/>
  <c r="G342" i="7"/>
  <c r="G53" i="7"/>
  <c r="O312" i="4"/>
  <c r="P303" i="4"/>
  <c r="P313" i="4"/>
  <c r="S309" i="4"/>
  <c r="P317" i="4"/>
  <c r="T314" i="4"/>
  <c r="O297" i="4"/>
  <c r="R316" i="4"/>
  <c r="R370" i="4" s="1"/>
  <c r="P310" i="4"/>
  <c r="O283" i="4"/>
  <c r="O281" i="4"/>
  <c r="N301" i="4"/>
  <c r="N304" i="4" s="1"/>
  <c r="K307" i="4"/>
  <c r="K319" i="4" s="1"/>
  <c r="K265" i="4"/>
  <c r="K272" i="4" s="1"/>
  <c r="CB91" i="5"/>
  <c r="CB103" i="4"/>
  <c r="O302" i="4"/>
  <c r="O292" i="4"/>
  <c r="N341" i="4"/>
  <c r="O287" i="4"/>
  <c r="CA817" i="7"/>
  <c r="CA872" i="7"/>
  <c r="CC91" i="5"/>
  <c r="CC103" i="4"/>
  <c r="N294" i="4"/>
  <c r="CD91" i="4"/>
  <c r="BT13" i="6"/>
  <c r="BY24" i="6"/>
  <c r="BY345" i="7"/>
  <c r="BY707" i="7"/>
  <c r="BY435" i="7"/>
  <c r="BY436" i="7" s="1"/>
  <c r="BY822" i="7"/>
  <c r="BY877" i="7"/>
  <c r="BY487" i="7"/>
  <c r="BY293" i="7"/>
  <c r="CA294" i="7"/>
  <c r="CA768" i="7"/>
  <c r="CA708" i="7"/>
  <c r="CA346" i="7"/>
  <c r="CA488" i="7"/>
  <c r="CA878" i="7"/>
  <c r="CA823" i="7"/>
  <c r="BR240" i="7"/>
  <c r="BT23" i="6"/>
  <c r="BT240" i="7" s="1"/>
  <c r="O315" i="4"/>
  <c r="O369" i="4" s="1"/>
  <c r="BX57" i="7"/>
  <c r="BX548" i="7"/>
  <c r="CA12" i="6"/>
  <c r="BY26" i="6"/>
  <c r="BU20" i="6"/>
  <c r="BU13" i="6"/>
  <c r="BW120" i="10"/>
  <c r="BW223" i="7" s="1"/>
  <c r="BW123" i="10"/>
  <c r="BW418" i="7" s="1"/>
  <c r="BW121" i="10"/>
  <c r="BW276" i="7" s="1"/>
  <c r="BW122" i="10"/>
  <c r="BW328" i="7" s="1"/>
  <c r="BW119" i="10"/>
  <c r="BW133" i="7" s="1"/>
  <c r="BW124" i="10"/>
  <c r="BW470" i="7" s="1"/>
  <c r="O295" i="4"/>
  <c r="BX123" i="10"/>
  <c r="BX418" i="7" s="1"/>
  <c r="BX119" i="10"/>
  <c r="BX133" i="7" s="1"/>
  <c r="BX124" i="10"/>
  <c r="BX470" i="7" s="1"/>
  <c r="BX120" i="10"/>
  <c r="BX223" i="7" s="1"/>
  <c r="BX122" i="10"/>
  <c r="BX328" i="7" s="1"/>
  <c r="BX121" i="10"/>
  <c r="BX276" i="7" s="1"/>
  <c r="O311" i="4"/>
  <c r="BY294" i="7"/>
  <c r="BY488" i="7"/>
  <c r="BY768" i="7"/>
  <c r="BY823" i="7"/>
  <c r="BY708" i="7"/>
  <c r="BY346" i="7"/>
  <c r="BY878" i="7"/>
  <c r="BY52" i="10"/>
  <c r="BY71" i="12"/>
  <c r="BZ768" i="7"/>
  <c r="BZ346" i="7"/>
  <c r="BZ294" i="7"/>
  <c r="BZ878" i="7"/>
  <c r="BZ823" i="7"/>
  <c r="BZ488" i="7"/>
  <c r="BZ708" i="7"/>
  <c r="BU22" i="14"/>
  <c r="O308" i="4"/>
  <c r="BX293" i="7"/>
  <c r="BX487" i="7"/>
  <c r="BX345" i="7"/>
  <c r="BX707" i="7"/>
  <c r="BX435" i="7"/>
  <c r="BX436" i="7" s="1"/>
  <c r="BX822" i="7"/>
  <c r="BX877" i="7"/>
  <c r="BZ27" i="13"/>
  <c r="BZ10" i="14"/>
  <c r="BZ24" i="6"/>
  <c r="BZ652" i="7" s="1"/>
  <c r="BZ25" i="6"/>
  <c r="BZ26" i="6"/>
  <c r="BV40" i="7"/>
  <c r="BS151" i="7"/>
  <c r="BT31" i="6"/>
  <c r="BS40" i="7" l="1"/>
  <c r="CM82" i="47"/>
  <c r="CN82" i="47" s="1"/>
  <c r="CN75" i="47"/>
  <c r="CO79" i="47" s="1"/>
  <c r="CS79" i="47" s="1"/>
  <c r="CL75" i="47"/>
  <c r="V146" i="9"/>
  <c r="AA90" i="9"/>
  <c r="AA97" i="9" s="1"/>
  <c r="CB32" i="6"/>
  <c r="CB823" i="7" s="1"/>
  <c r="BY133" i="7"/>
  <c r="BT151" i="7"/>
  <c r="BT653" i="7"/>
  <c r="BY150" i="7"/>
  <c r="BY652" i="7"/>
  <c r="BQ648" i="7"/>
  <c r="BQ68" i="1"/>
  <c r="BW648" i="7"/>
  <c r="BW68" i="1"/>
  <c r="BR648" i="7"/>
  <c r="BR68" i="1"/>
  <c r="CA648" i="7"/>
  <c r="CA68" i="1"/>
  <c r="BP648" i="7"/>
  <c r="BP68" i="1"/>
  <c r="CB648" i="7"/>
  <c r="CB68" i="1"/>
  <c r="BV648" i="7"/>
  <c r="BV68" i="1"/>
  <c r="BU648" i="7"/>
  <c r="BU68" i="1"/>
  <c r="BZ648" i="7"/>
  <c r="BZ68" i="1"/>
  <c r="G349" i="7"/>
  <c r="G60" i="7"/>
  <c r="G61" i="7" s="1"/>
  <c r="F349" i="7"/>
  <c r="F60" i="7"/>
  <c r="F61" i="7" s="1"/>
  <c r="BU23" i="14"/>
  <c r="BV23" i="14" s="1"/>
  <c r="BW23" i="14" s="1"/>
  <c r="K326" i="4"/>
  <c r="AM67" i="13"/>
  <c r="AM63" i="13"/>
  <c r="AM134" i="13" s="1"/>
  <c r="AM76" i="13"/>
  <c r="AM75" i="13"/>
  <c r="AL135" i="13"/>
  <c r="AL137" i="13"/>
  <c r="AJ75" i="13"/>
  <c r="AJ67" i="13"/>
  <c r="AJ76" i="13"/>
  <c r="AJ63" i="13"/>
  <c r="AU127" i="12"/>
  <c r="AG104" i="13"/>
  <c r="AG114" i="13"/>
  <c r="AO112" i="14"/>
  <c r="AO120" i="14" s="1"/>
  <c r="AO65" i="13" s="1"/>
  <c r="AO90" i="13" s="1"/>
  <c r="AN65" i="13"/>
  <c r="AN90" i="13" s="1"/>
  <c r="AP30" i="11"/>
  <c r="AP22" i="11"/>
  <c r="G145" i="9"/>
  <c r="L47" i="9"/>
  <c r="G115" i="9"/>
  <c r="G131" i="9" s="1"/>
  <c r="AZ118" i="14"/>
  <c r="AZ112" i="14"/>
  <c r="AV112" i="14"/>
  <c r="AV120" i="14" s="1"/>
  <c r="AH91" i="13"/>
  <c r="AR112" i="14"/>
  <c r="AR120" i="14" s="1"/>
  <c r="AQ65" i="13"/>
  <c r="AQ90" i="13" s="1"/>
  <c r="F125" i="9"/>
  <c r="F128" i="9" s="1"/>
  <c r="F187" i="9"/>
  <c r="AM89" i="13"/>
  <c r="AL105" i="13"/>
  <c r="AL115" i="13"/>
  <c r="AI67" i="13"/>
  <c r="AI63" i="13"/>
  <c r="AI134" i="13" s="1"/>
  <c r="AI75" i="13"/>
  <c r="AI76" i="13"/>
  <c r="AH137" i="13"/>
  <c r="AH135" i="13"/>
  <c r="AH105" i="13"/>
  <c r="AH115" i="13"/>
  <c r="AI89" i="13"/>
  <c r="BT23" i="14"/>
  <c r="M288" i="4"/>
  <c r="M289" i="4" s="1"/>
  <c r="M338" i="4"/>
  <c r="BY58" i="10"/>
  <c r="BY187" i="9" s="1"/>
  <c r="BS18" i="14"/>
  <c r="BT18" i="14" s="1"/>
  <c r="BV237" i="1"/>
  <c r="AM183" i="1"/>
  <c r="N282" i="4"/>
  <c r="N284" i="4" s="1"/>
  <c r="N338" i="4" s="1"/>
  <c r="M298" i="4"/>
  <c r="N293" i="4"/>
  <c r="N296" i="4"/>
  <c r="BI268" i="1"/>
  <c r="BD268" i="1"/>
  <c r="BX268" i="1"/>
  <c r="BS268" i="1"/>
  <c r="BX214" i="1"/>
  <c r="AN183" i="1"/>
  <c r="CB237" i="1"/>
  <c r="BD214" i="1"/>
  <c r="AH183" i="1"/>
  <c r="BB183" i="1"/>
  <c r="CA237" i="1"/>
  <c r="BB237" i="1"/>
  <c r="BM291" i="1"/>
  <c r="BM345" i="1" s="1"/>
  <c r="BC183" i="1"/>
  <c r="CB183" i="1"/>
  <c r="AI237" i="1"/>
  <c r="O318" i="4"/>
  <c r="O322" i="4"/>
  <c r="O324" i="4" s="1"/>
  <c r="P323" i="4"/>
  <c r="BV291" i="1"/>
  <c r="BV122" i="1" s="1"/>
  <c r="BV183" i="1"/>
  <c r="AW237" i="1"/>
  <c r="BI289" i="1"/>
  <c r="AT290" i="1"/>
  <c r="BD181" i="1"/>
  <c r="BA237" i="1"/>
  <c r="AX291" i="1"/>
  <c r="AI291" i="1"/>
  <c r="AI393" i="1" s="1"/>
  <c r="BH237" i="1"/>
  <c r="AH291" i="1"/>
  <c r="AH393" i="1" s="1"/>
  <c r="AJ290" i="1"/>
  <c r="BS289" i="1"/>
  <c r="BX289" i="1"/>
  <c r="AY182" i="1"/>
  <c r="BN181" i="1"/>
  <c r="BR291" i="1"/>
  <c r="BR122" i="1" s="1"/>
  <c r="BR237" i="1"/>
  <c r="AY268" i="1"/>
  <c r="BQ99" i="1"/>
  <c r="BD322" i="1"/>
  <c r="BD376" i="1" s="1"/>
  <c r="BI322" i="1"/>
  <c r="BI376" i="1" s="1"/>
  <c r="BN322" i="1"/>
  <c r="BN376" i="1" s="1"/>
  <c r="AQ376" i="1"/>
  <c r="AT322" i="1"/>
  <c r="AT376" i="1" s="1"/>
  <c r="BP153" i="1"/>
  <c r="BS322" i="1"/>
  <c r="BS153" i="1" s="1"/>
  <c r="AO214" i="1"/>
  <c r="AY214" i="1"/>
  <c r="CA291" i="1"/>
  <c r="CA122" i="1" s="1"/>
  <c r="BQ291" i="1"/>
  <c r="BQ122" i="1" s="1"/>
  <c r="CA183" i="1"/>
  <c r="AM237" i="1"/>
  <c r="AR237" i="1"/>
  <c r="CC289" i="1"/>
  <c r="AY290" i="1"/>
  <c r="BD289" i="1"/>
  <c r="BA291" i="1"/>
  <c r="BD290" i="1"/>
  <c r="AT289" i="1"/>
  <c r="BX288" i="1"/>
  <c r="BU291" i="1"/>
  <c r="BU122" i="1" s="1"/>
  <c r="AO289" i="1"/>
  <c r="BX290" i="1"/>
  <c r="AO288" i="1"/>
  <c r="AL291" i="1"/>
  <c r="AG291" i="1"/>
  <c r="AJ288" i="1"/>
  <c r="AL183" i="1"/>
  <c r="AO180" i="1"/>
  <c r="BX181" i="1"/>
  <c r="BD180" i="1"/>
  <c r="BA183" i="1"/>
  <c r="CC180" i="1"/>
  <c r="BZ183" i="1"/>
  <c r="BS181" i="1"/>
  <c r="AJ181" i="1"/>
  <c r="BX182" i="1"/>
  <c r="AQ183" i="1"/>
  <c r="AT180" i="1"/>
  <c r="AY180" i="1"/>
  <c r="AV183" i="1"/>
  <c r="BI182" i="1"/>
  <c r="BD182" i="1"/>
  <c r="CC181" i="1"/>
  <c r="AJ235" i="1"/>
  <c r="AL237" i="1"/>
  <c r="AO234" i="1"/>
  <c r="BX236" i="1"/>
  <c r="BF237" i="1"/>
  <c r="BI234" i="1"/>
  <c r="AO236" i="1"/>
  <c r="BU237" i="1"/>
  <c r="BX234" i="1"/>
  <c r="BS236" i="1"/>
  <c r="AQ237" i="1"/>
  <c r="AT234" i="1"/>
  <c r="BC291" i="1"/>
  <c r="AN291" i="1"/>
  <c r="BH183" i="1"/>
  <c r="AS183" i="1"/>
  <c r="BD236" i="1"/>
  <c r="BN236" i="1"/>
  <c r="CC235" i="1"/>
  <c r="CC66" i="1" s="1"/>
  <c r="AX237" i="1"/>
  <c r="BD235" i="1"/>
  <c r="AN237" i="1"/>
  <c r="AT236" i="1"/>
  <c r="BI235" i="1"/>
  <c r="BM237" i="1"/>
  <c r="BW237" i="1"/>
  <c r="BR99" i="1"/>
  <c r="BW99" i="1"/>
  <c r="CB99" i="1"/>
  <c r="BM240" i="1"/>
  <c r="AN240" i="1"/>
  <c r="CB240" i="1"/>
  <c r="BR240" i="1"/>
  <c r="BC240" i="1"/>
  <c r="AS240" i="1"/>
  <c r="AX240" i="1"/>
  <c r="AI240" i="1"/>
  <c r="BH240" i="1"/>
  <c r="BW240" i="1"/>
  <c r="BH186" i="1"/>
  <c r="BM186" i="1"/>
  <c r="AX186" i="1"/>
  <c r="AI186" i="1"/>
  <c r="AN186" i="1"/>
  <c r="CB186" i="1"/>
  <c r="AS186" i="1"/>
  <c r="BM294" i="1"/>
  <c r="BM348" i="1" s="1"/>
  <c r="BW186" i="1"/>
  <c r="BH294" i="1"/>
  <c r="BH348" i="1" s="1"/>
  <c r="BC186" i="1"/>
  <c r="BR186" i="1"/>
  <c r="BC294" i="1"/>
  <c r="BC348" i="1" s="1"/>
  <c r="AI294" i="1"/>
  <c r="AI348" i="1" s="1"/>
  <c r="AN294" i="1"/>
  <c r="AN348" i="1" s="1"/>
  <c r="AX294" i="1"/>
  <c r="AX348" i="1" s="1"/>
  <c r="BR294" i="1"/>
  <c r="BR125" i="1" s="1"/>
  <c r="BR17" i="1" s="1"/>
  <c r="BW294" i="1"/>
  <c r="BW125" i="1" s="1"/>
  <c r="BW17" i="1" s="1"/>
  <c r="AS294" i="1"/>
  <c r="AS348" i="1" s="1"/>
  <c r="CB294" i="1"/>
  <c r="CB125" i="1" s="1"/>
  <c r="BL240" i="1"/>
  <c r="AH240" i="1"/>
  <c r="BG240" i="1"/>
  <c r="BQ240" i="1"/>
  <c r="CA240" i="1"/>
  <c r="AR240" i="1"/>
  <c r="AW240" i="1"/>
  <c r="BB240" i="1"/>
  <c r="BV240" i="1"/>
  <c r="AM240" i="1"/>
  <c r="BL186" i="1"/>
  <c r="BG186" i="1"/>
  <c r="AR186" i="1"/>
  <c r="BL294" i="1"/>
  <c r="BL348" i="1" s="1"/>
  <c r="AW186" i="1"/>
  <c r="AH186" i="1"/>
  <c r="CA186" i="1"/>
  <c r="BV186" i="1"/>
  <c r="BG294" i="1"/>
  <c r="BG348" i="1" s="1"/>
  <c r="BB186" i="1"/>
  <c r="BQ186" i="1"/>
  <c r="AM186" i="1"/>
  <c r="AM294" i="1"/>
  <c r="AM348" i="1" s="1"/>
  <c r="AW294" i="1"/>
  <c r="AW348" i="1" s="1"/>
  <c r="BQ294" i="1"/>
  <c r="BQ125" i="1" s="1"/>
  <c r="BB294" i="1"/>
  <c r="BB348" i="1" s="1"/>
  <c r="BV294" i="1"/>
  <c r="BV125" i="1" s="1"/>
  <c r="CA294" i="1"/>
  <c r="CA125" i="1" s="1"/>
  <c r="AH294" i="1"/>
  <c r="AH348" i="1" s="1"/>
  <c r="AR294" i="1"/>
  <c r="AR348" i="1" s="1"/>
  <c r="AG240" i="1"/>
  <c r="BK240" i="1"/>
  <c r="AQ240" i="1"/>
  <c r="BZ240" i="1"/>
  <c r="BP240" i="1"/>
  <c r="BF240" i="1"/>
  <c r="AV240" i="1"/>
  <c r="BA240" i="1"/>
  <c r="BU240" i="1"/>
  <c r="AL240" i="1"/>
  <c r="BK186" i="1"/>
  <c r="BF186" i="1"/>
  <c r="BZ186" i="1"/>
  <c r="BU186" i="1"/>
  <c r="BF294" i="1"/>
  <c r="BF348" i="1" s="1"/>
  <c r="AL186" i="1"/>
  <c r="AQ186" i="1"/>
  <c r="BK294" i="1"/>
  <c r="BK348" i="1" s="1"/>
  <c r="AV186" i="1"/>
  <c r="AG186" i="1"/>
  <c r="BA186" i="1"/>
  <c r="BP186" i="1"/>
  <c r="AL294" i="1"/>
  <c r="AV294" i="1"/>
  <c r="AV348" i="1" s="1"/>
  <c r="AG294" i="1"/>
  <c r="BU294" i="1"/>
  <c r="AQ294" i="1"/>
  <c r="BP294" i="1"/>
  <c r="BA294" i="1"/>
  <c r="BA348" i="1" s="1"/>
  <c r="BZ294" i="1"/>
  <c r="BV99" i="1"/>
  <c r="CA99" i="1"/>
  <c r="CH376" i="1"/>
  <c r="BU153" i="1"/>
  <c r="BX322" i="1"/>
  <c r="BX153" i="1" s="1"/>
  <c r="BZ153" i="1"/>
  <c r="CC322" i="1"/>
  <c r="CC153" i="1" s="1"/>
  <c r="AY322" i="1"/>
  <c r="AY376" i="1" s="1"/>
  <c r="AL376" i="1"/>
  <c r="AO322" i="1"/>
  <c r="AO376" i="1" s="1"/>
  <c r="AG376" i="1"/>
  <c r="AJ322" i="1"/>
  <c r="AJ376" i="1" s="1"/>
  <c r="BN268" i="1"/>
  <c r="AJ268" i="1"/>
  <c r="AO268" i="1"/>
  <c r="CC268" i="1"/>
  <c r="AT268" i="1"/>
  <c r="BN214" i="1"/>
  <c r="BI214" i="1"/>
  <c r="CC214" i="1"/>
  <c r="BS214" i="1"/>
  <c r="AT214" i="1"/>
  <c r="BL291" i="1"/>
  <c r="BL345" i="1" s="1"/>
  <c r="AW291" i="1"/>
  <c r="AR291" i="1"/>
  <c r="AM291" i="1"/>
  <c r="BB291" i="1"/>
  <c r="BG291" i="1"/>
  <c r="BG345" i="1" s="1"/>
  <c r="BL183" i="1"/>
  <c r="BG183" i="1"/>
  <c r="BQ183" i="1"/>
  <c r="AR183" i="1"/>
  <c r="AW183" i="1"/>
  <c r="AH237" i="1"/>
  <c r="BQ237" i="1"/>
  <c r="BL237" i="1"/>
  <c r="BG237" i="1"/>
  <c r="BN288" i="1"/>
  <c r="BK291" i="1"/>
  <c r="BK345" i="1" s="1"/>
  <c r="BN289" i="1"/>
  <c r="AQ291" i="1"/>
  <c r="AT288" i="1"/>
  <c r="AY289" i="1"/>
  <c r="AJ289" i="1"/>
  <c r="BI290" i="1"/>
  <c r="AV291" i="1"/>
  <c r="AY288" i="1"/>
  <c r="CC288" i="1"/>
  <c r="BZ291" i="1"/>
  <c r="BZ122" i="1" s="1"/>
  <c r="AO290" i="1"/>
  <c r="CC290" i="1"/>
  <c r="BN290" i="1"/>
  <c r="BS290" i="1"/>
  <c r="BP291" i="1"/>
  <c r="BP122" i="1" s="1"/>
  <c r="BS288" i="1"/>
  <c r="BF291" i="1"/>
  <c r="BF345" i="1" s="1"/>
  <c r="BI288" i="1"/>
  <c r="BI180" i="1"/>
  <c r="BF183" i="1"/>
  <c r="AO182" i="1"/>
  <c r="AY181" i="1"/>
  <c r="BS180" i="1"/>
  <c r="BP183" i="1"/>
  <c r="AO181" i="1"/>
  <c r="AT182" i="1"/>
  <c r="AT181" i="1"/>
  <c r="AG183" i="1"/>
  <c r="AJ180" i="1"/>
  <c r="BN182" i="1"/>
  <c r="CC182" i="1"/>
  <c r="BS182" i="1"/>
  <c r="BU183" i="1"/>
  <c r="BX180" i="1"/>
  <c r="BI181" i="1"/>
  <c r="AJ182" i="1"/>
  <c r="BN180" i="1"/>
  <c r="BK183" i="1"/>
  <c r="AG237" i="1"/>
  <c r="AJ234" i="1"/>
  <c r="BZ237" i="1"/>
  <c r="CC234" i="1"/>
  <c r="BP237" i="1"/>
  <c r="BS234" i="1"/>
  <c r="AY235" i="1"/>
  <c r="BK237" i="1"/>
  <c r="BN234" i="1"/>
  <c r="AV237" i="1"/>
  <c r="AY234" i="1"/>
  <c r="BW291" i="1"/>
  <c r="BW122" i="1" s="1"/>
  <c r="AS291" i="1"/>
  <c r="BH291" i="1"/>
  <c r="BH345" i="1" s="1"/>
  <c r="CB291" i="1"/>
  <c r="CB122" i="1" s="1"/>
  <c r="BW183" i="1"/>
  <c r="AI183" i="1"/>
  <c r="BR183" i="1"/>
  <c r="BM183" i="1"/>
  <c r="AY236" i="1"/>
  <c r="BN235" i="1"/>
  <c r="AO235" i="1"/>
  <c r="AT235" i="1"/>
  <c r="BI236" i="1"/>
  <c r="BD234" i="1"/>
  <c r="BC237" i="1"/>
  <c r="AJ236" i="1"/>
  <c r="BX235" i="1"/>
  <c r="BX66" i="1" s="1"/>
  <c r="CC236" i="1"/>
  <c r="BS235" i="1"/>
  <c r="BS66" i="1" s="1"/>
  <c r="AS237" i="1"/>
  <c r="CI376" i="1"/>
  <c r="AJ214" i="1"/>
  <c r="BY276" i="7"/>
  <c r="BI121" i="10"/>
  <c r="BI124" i="10"/>
  <c r="BI119" i="10"/>
  <c r="BI120" i="10"/>
  <c r="BI123" i="10"/>
  <c r="BI122" i="10"/>
  <c r="F54" i="7"/>
  <c r="BH133" i="13"/>
  <c r="AF209" i="9"/>
  <c r="CO40" i="7" s="1"/>
  <c r="AK212" i="9"/>
  <c r="AK72" i="7" s="1"/>
  <c r="AK73" i="7" s="1"/>
  <c r="AF212" i="9"/>
  <c r="AF72" i="7" s="1"/>
  <c r="AF73" i="7" s="1"/>
  <c r="AP212" i="9"/>
  <c r="AP72" i="7" s="1"/>
  <c r="AP73" i="7" s="1"/>
  <c r="BW58" i="7"/>
  <c r="BW549" i="7"/>
  <c r="BZ19" i="6"/>
  <c r="BX30" i="6"/>
  <c r="BX241" i="7" s="1"/>
  <c r="BX33" i="6"/>
  <c r="G164" i="5"/>
  <c r="E164" i="5"/>
  <c r="E169" i="5" s="1"/>
  <c r="G354" i="7"/>
  <c r="G355" i="7"/>
  <c r="G352" i="7"/>
  <c r="G356" i="7"/>
  <c r="G360" i="7" s="1"/>
  <c r="G357" i="7"/>
  <c r="G371" i="7"/>
  <c r="G353" i="7"/>
  <c r="G54" i="7"/>
  <c r="G85" i="7" s="1"/>
  <c r="J311" i="1"/>
  <c r="K308" i="1"/>
  <c r="K311" i="1" s="1"/>
  <c r="E356" i="7"/>
  <c r="E360" i="7" s="1"/>
  <c r="E357" i="7"/>
  <c r="E371" i="7"/>
  <c r="E352" i="7"/>
  <c r="E353" i="7"/>
  <c r="E354" i="7"/>
  <c r="E355" i="7"/>
  <c r="E54" i="7"/>
  <c r="E85" i="7" s="1"/>
  <c r="I333" i="1"/>
  <c r="I172" i="5" s="1"/>
  <c r="I173" i="5" s="1"/>
  <c r="F397" i="1"/>
  <c r="F164" i="5"/>
  <c r="G446" i="7"/>
  <c r="G450" i="7" s="1"/>
  <c r="G443" i="7"/>
  <c r="G445" i="7"/>
  <c r="G461" i="7"/>
  <c r="G447" i="7"/>
  <c r="G444" i="7"/>
  <c r="G442" i="7"/>
  <c r="G397" i="1"/>
  <c r="F355" i="7"/>
  <c r="F357" i="7"/>
  <c r="F354" i="7"/>
  <c r="F356" i="7"/>
  <c r="F360" i="7" s="1"/>
  <c r="F371" i="7"/>
  <c r="F352" i="7"/>
  <c r="F353" i="7"/>
  <c r="E397" i="1"/>
  <c r="J305" i="1"/>
  <c r="K299" i="1"/>
  <c r="K305" i="1" s="1"/>
  <c r="AZ873" i="7"/>
  <c r="AZ544" i="7" s="1"/>
  <c r="G164" i="1"/>
  <c r="AK110" i="27"/>
  <c r="AK133" i="27" s="1"/>
  <c r="R313" i="4"/>
  <c r="R303" i="4"/>
  <c r="P312" i="4"/>
  <c r="T309" i="4"/>
  <c r="R317" i="4"/>
  <c r="U314" i="4"/>
  <c r="S316" i="4"/>
  <c r="S370" i="4" s="1"/>
  <c r="P297" i="4"/>
  <c r="O294" i="4"/>
  <c r="CC872" i="7"/>
  <c r="CC817" i="7"/>
  <c r="P287" i="4"/>
  <c r="P302" i="4"/>
  <c r="CB817" i="7"/>
  <c r="CB872" i="7"/>
  <c r="O301" i="4"/>
  <c r="O304" i="4" s="1"/>
  <c r="P283" i="4"/>
  <c r="R310" i="4"/>
  <c r="CD91" i="5"/>
  <c r="CD103" i="4"/>
  <c r="O341" i="4"/>
  <c r="P292" i="4"/>
  <c r="M307" i="4"/>
  <c r="M319" i="4" s="1"/>
  <c r="P281" i="4"/>
  <c r="BY470" i="7"/>
  <c r="BZ548" i="7"/>
  <c r="BZ57" i="7"/>
  <c r="BT40" i="7"/>
  <c r="BV13" i="6"/>
  <c r="BV23" i="6" s="1"/>
  <c r="BV240" i="7" s="1"/>
  <c r="BX40" i="7"/>
  <c r="BY418" i="7"/>
  <c r="BY548" i="7"/>
  <c r="BY57" i="7"/>
  <c r="BW19" i="14"/>
  <c r="BZ293" i="7"/>
  <c r="BZ487" i="7"/>
  <c r="BZ707" i="7"/>
  <c r="BZ822" i="7"/>
  <c r="BZ877" i="7"/>
  <c r="BZ435" i="7"/>
  <c r="BZ436" i="7" s="1"/>
  <c r="BZ345" i="7"/>
  <c r="P308" i="4"/>
  <c r="BW40" i="7"/>
  <c r="BY223" i="7"/>
  <c r="BU31" i="6"/>
  <c r="BU653" i="7" s="1"/>
  <c r="CB12" i="6"/>
  <c r="CC32" i="6" s="1"/>
  <c r="BV22" i="14"/>
  <c r="BZ150" i="7"/>
  <c r="BS22" i="14"/>
  <c r="BT22" i="14" s="1"/>
  <c r="P311" i="4"/>
  <c r="P295" i="4"/>
  <c r="BY328" i="7"/>
  <c r="BU23" i="6"/>
  <c r="BV20" i="6"/>
  <c r="BV31" i="6" s="1"/>
  <c r="CA24" i="6"/>
  <c r="CA10" i="14"/>
  <c r="CA27" i="13"/>
  <c r="CA25" i="6"/>
  <c r="CA26" i="6"/>
  <c r="P315" i="4"/>
  <c r="P369" i="4" s="1"/>
  <c r="CB488" i="7" l="1"/>
  <c r="CM79" i="47"/>
  <c r="CK75" i="47"/>
  <c r="CL79" i="47" s="1"/>
  <c r="CL82" i="47"/>
  <c r="CB294" i="7"/>
  <c r="CB768" i="7"/>
  <c r="CB708" i="7"/>
  <c r="CB878" i="7"/>
  <c r="CB346" i="7"/>
  <c r="BV393" i="1"/>
  <c r="BM393" i="1"/>
  <c r="AA146" i="9"/>
  <c r="AF90" i="9"/>
  <c r="AF97" i="9" s="1"/>
  <c r="BR14" i="1"/>
  <c r="BR146" i="7" s="1"/>
  <c r="F67" i="7"/>
  <c r="F85" i="7"/>
  <c r="CA150" i="7"/>
  <c r="CA652" i="7"/>
  <c r="BV151" i="7"/>
  <c r="BV653" i="7"/>
  <c r="BX648" i="7"/>
  <c r="BX68" i="1"/>
  <c r="BS648" i="7"/>
  <c r="BS68" i="1"/>
  <c r="CC648" i="7"/>
  <c r="CC68" i="1"/>
  <c r="BU18" i="14"/>
  <c r="BV18" i="14" s="1"/>
  <c r="BW18" i="14" s="1"/>
  <c r="BB393" i="1"/>
  <c r="BB345" i="1"/>
  <c r="BC393" i="1"/>
  <c r="BC345" i="1"/>
  <c r="BA393" i="1"/>
  <c r="BA345" i="1"/>
  <c r="AI91" i="13"/>
  <c r="AI114" i="13" s="1"/>
  <c r="AM91" i="13"/>
  <c r="AM114" i="13" s="1"/>
  <c r="AQ67" i="13"/>
  <c r="AQ75" i="13"/>
  <c r="AQ76" i="13"/>
  <c r="AH114" i="13"/>
  <c r="AH104" i="13"/>
  <c r="AJ134" i="13"/>
  <c r="AK63" i="13"/>
  <c r="AJ105" i="13"/>
  <c r="AJ115" i="13"/>
  <c r="AI135" i="13"/>
  <c r="AI137" i="13"/>
  <c r="AR65" i="13"/>
  <c r="AR90" i="13" s="1"/>
  <c r="AS112" i="14"/>
  <c r="AS120" i="14" s="1"/>
  <c r="AW112" i="14"/>
  <c r="AW120" i="14" s="1"/>
  <c r="AV65" i="13"/>
  <c r="G119" i="9"/>
  <c r="G147" i="9"/>
  <c r="G92" i="10" s="1"/>
  <c r="AU23" i="11"/>
  <c r="AP32" i="11"/>
  <c r="AM135" i="13"/>
  <c r="AM137" i="13"/>
  <c r="AJ89" i="13"/>
  <c r="AJ91" i="13" s="1"/>
  <c r="AI105" i="13"/>
  <c r="AI115" i="13"/>
  <c r="L108" i="9"/>
  <c r="L54" i="9"/>
  <c r="AN63" i="13"/>
  <c r="AN134" i="13" s="1"/>
  <c r="AN75" i="13"/>
  <c r="AN76" i="13"/>
  <c r="AN67" i="13"/>
  <c r="AY240" i="1"/>
  <c r="AZ125" i="12"/>
  <c r="AY118" i="14"/>
  <c r="AO63" i="13"/>
  <c r="AO67" i="13"/>
  <c r="AO75" i="13"/>
  <c r="AO76" i="13"/>
  <c r="AM115" i="13"/>
  <c r="AN89" i="13"/>
  <c r="AM105" i="13"/>
  <c r="G165" i="1"/>
  <c r="N288" i="4"/>
  <c r="N289" i="4" s="1"/>
  <c r="L167" i="5"/>
  <c r="G102" i="10"/>
  <c r="BY209" i="9"/>
  <c r="CO49" i="7" s="1"/>
  <c r="BY212" i="9"/>
  <c r="BY72" i="7" s="1"/>
  <c r="BY125" i="9"/>
  <c r="CJ376" i="1"/>
  <c r="BS291" i="1"/>
  <c r="BS122" i="1" s="1"/>
  <c r="BR393" i="1"/>
  <c r="BD237" i="1"/>
  <c r="BV14" i="1"/>
  <c r="BV146" i="7" s="1"/>
  <c r="M326" i="4"/>
  <c r="M380" i="4" s="1"/>
  <c r="N298" i="4"/>
  <c r="N385" i="4"/>
  <c r="O282" i="4"/>
  <c r="O284" i="4" s="1"/>
  <c r="O338" i="4" s="1"/>
  <c r="O293" i="4"/>
  <c r="O296" i="4"/>
  <c r="F64" i="7"/>
  <c r="CC186" i="1"/>
  <c r="BN186" i="1"/>
  <c r="BX240" i="1"/>
  <c r="AI345" i="1"/>
  <c r="J333" i="1"/>
  <c r="J172" i="5" s="1"/>
  <c r="J173" i="5" s="1"/>
  <c r="F66" i="7"/>
  <c r="BI291" i="1"/>
  <c r="BI345" i="1" s="1"/>
  <c r="AY291" i="1"/>
  <c r="AY345" i="1" s="1"/>
  <c r="AO186" i="1"/>
  <c r="BI186" i="1"/>
  <c r="BD240" i="1"/>
  <c r="BD186" i="1"/>
  <c r="BS240" i="1"/>
  <c r="AJ240" i="1"/>
  <c r="F69" i="7"/>
  <c r="F65" i="7"/>
  <c r="F68" i="7"/>
  <c r="F74" i="7" s="1"/>
  <c r="BX186" i="1"/>
  <c r="CI348" i="1"/>
  <c r="P318" i="4"/>
  <c r="P322" i="4"/>
  <c r="P324" i="4" s="1"/>
  <c r="R323" i="4"/>
  <c r="AT240" i="1"/>
  <c r="CH348" i="1"/>
  <c r="CG376" i="1"/>
  <c r="AT186" i="1"/>
  <c r="AY186" i="1"/>
  <c r="AY237" i="1"/>
  <c r="BN183" i="1"/>
  <c r="AJ183" i="1"/>
  <c r="CC291" i="1"/>
  <c r="CC122" i="1" s="1"/>
  <c r="AJ291" i="1"/>
  <c r="AJ393" i="1" s="1"/>
  <c r="AW393" i="1"/>
  <c r="AW345" i="1"/>
  <c r="AX393" i="1"/>
  <c r="AX345" i="1"/>
  <c r="BS183" i="1"/>
  <c r="AV393" i="1"/>
  <c r="AV345" i="1"/>
  <c r="BX291" i="1"/>
  <c r="BX122" i="1" s="1"/>
  <c r="AH345" i="1"/>
  <c r="BX237" i="1"/>
  <c r="BX183" i="1"/>
  <c r="BH393" i="1"/>
  <c r="BW393" i="1"/>
  <c r="BW14" i="1"/>
  <c r="BW146" i="7" s="1"/>
  <c r="BS237" i="1"/>
  <c r="CC237" i="1"/>
  <c r="AJ237" i="1"/>
  <c r="BZ393" i="1"/>
  <c r="BZ14" i="1"/>
  <c r="AQ393" i="1"/>
  <c r="AQ345" i="1"/>
  <c r="BK393" i="1"/>
  <c r="AR393" i="1"/>
  <c r="AR345" i="1"/>
  <c r="BL393" i="1"/>
  <c r="BZ99" i="1"/>
  <c r="CD153" i="1"/>
  <c r="BZ171" i="1" s="1"/>
  <c r="BU99" i="1"/>
  <c r="CC294" i="1"/>
  <c r="CC125" i="1" s="1"/>
  <c r="BZ125" i="1"/>
  <c r="BP125" i="1"/>
  <c r="BS294" i="1"/>
  <c r="BS125" i="1" s="1"/>
  <c r="BU125" i="1"/>
  <c r="BX294" i="1"/>
  <c r="BX125" i="1" s="1"/>
  <c r="AY294" i="1"/>
  <c r="AY348" i="1" s="1"/>
  <c r="BS186" i="1"/>
  <c r="AJ186" i="1"/>
  <c r="BN294" i="1"/>
  <c r="BN348" i="1" s="1"/>
  <c r="AO240" i="1"/>
  <c r="BI240" i="1"/>
  <c r="CC240" i="1"/>
  <c r="BN240" i="1"/>
  <c r="CA17" i="1"/>
  <c r="CB763" i="7"/>
  <c r="CB764" i="7" s="1"/>
  <c r="CB99" i="5"/>
  <c r="CB153" i="5" s="1"/>
  <c r="BW99" i="5"/>
  <c r="BW153" i="5" s="1"/>
  <c r="BW763" i="7"/>
  <c r="BW764" i="7" s="1"/>
  <c r="BR763" i="7"/>
  <c r="BR99" i="5"/>
  <c r="BR153" i="5" s="1"/>
  <c r="AO237" i="1"/>
  <c r="AT183" i="1"/>
  <c r="CC183" i="1"/>
  <c r="BD183" i="1"/>
  <c r="AO183" i="1"/>
  <c r="AL393" i="1"/>
  <c r="AL345" i="1"/>
  <c r="BU393" i="1"/>
  <c r="BU14" i="1"/>
  <c r="AT291" i="1"/>
  <c r="CA393" i="1"/>
  <c r="CA14" i="1"/>
  <c r="CA146" i="7" s="1"/>
  <c r="BS99" i="1"/>
  <c r="CB393" i="1"/>
  <c r="CB14" i="1"/>
  <c r="CB146" i="7" s="1"/>
  <c r="AS393" i="1"/>
  <c r="AS345" i="1"/>
  <c r="BN237" i="1"/>
  <c r="BI183" i="1"/>
  <c r="BF393" i="1"/>
  <c r="BP14" i="1"/>
  <c r="BP393" i="1"/>
  <c r="BN291" i="1"/>
  <c r="BN345" i="1" s="1"/>
  <c r="BG393" i="1"/>
  <c r="AM345" i="1"/>
  <c r="AM393" i="1"/>
  <c r="CC99" i="1"/>
  <c r="BY153" i="1"/>
  <c r="BX171" i="1" s="1"/>
  <c r="BX99" i="1"/>
  <c r="CA99" i="5"/>
  <c r="CA153" i="5" s="1"/>
  <c r="CA763" i="7"/>
  <c r="CA764" i="7" s="1"/>
  <c r="BV99" i="5"/>
  <c r="BV153" i="5" s="1"/>
  <c r="BV763" i="7"/>
  <c r="BV764" i="7" s="1"/>
  <c r="BD294" i="1"/>
  <c r="BD348" i="1" s="1"/>
  <c r="AQ348" i="1"/>
  <c r="AT294" i="1"/>
  <c r="AT348" i="1" s="1"/>
  <c r="AJ294" i="1"/>
  <c r="AJ348" i="1" s="1"/>
  <c r="AG348" i="1"/>
  <c r="AO294" i="1"/>
  <c r="AO348" i="1" s="1"/>
  <c r="AL348" i="1"/>
  <c r="BI294" i="1"/>
  <c r="BI348" i="1" s="1"/>
  <c r="BV17" i="1"/>
  <c r="BQ17" i="1"/>
  <c r="CB17" i="1"/>
  <c r="AN345" i="1"/>
  <c r="AN393" i="1"/>
  <c r="AT237" i="1"/>
  <c r="BI237" i="1"/>
  <c r="AY183" i="1"/>
  <c r="AG345" i="1"/>
  <c r="AG393" i="1"/>
  <c r="AO291" i="1"/>
  <c r="BD291" i="1"/>
  <c r="BQ393" i="1"/>
  <c r="BQ14" i="1"/>
  <c r="BQ146" i="7" s="1"/>
  <c r="BT153" i="1"/>
  <c r="BP171" i="1" s="1"/>
  <c r="BP99" i="1"/>
  <c r="BK171" i="1"/>
  <c r="BF171" i="1"/>
  <c r="BQ763" i="7"/>
  <c r="BQ99" i="5"/>
  <c r="BQ153" i="5" s="1"/>
  <c r="BJ22" i="14"/>
  <c r="E173" i="5"/>
  <c r="E167" i="5"/>
  <c r="G173" i="5"/>
  <c r="BI133" i="13"/>
  <c r="BY33" i="6"/>
  <c r="BX549" i="7"/>
  <c r="BX58" i="7"/>
  <c r="CA19" i="6"/>
  <c r="BY30" i="6"/>
  <c r="BY241" i="7" s="1"/>
  <c r="BZ33" i="6"/>
  <c r="BZ30" i="6"/>
  <c r="G169" i="5"/>
  <c r="K333" i="1"/>
  <c r="K172" i="5" s="1"/>
  <c r="K173" i="5" s="1"/>
  <c r="AK112" i="27"/>
  <c r="AK137" i="27" s="1"/>
  <c r="AK139" i="27" s="1"/>
  <c r="E65" i="7"/>
  <c r="E68" i="7"/>
  <c r="E106" i="27" s="1"/>
  <c r="E66" i="7"/>
  <c r="E64" i="7"/>
  <c r="E69" i="7"/>
  <c r="E67" i="7"/>
  <c r="G69" i="7"/>
  <c r="G68" i="7"/>
  <c r="G64" i="7"/>
  <c r="G67" i="7"/>
  <c r="G65" i="7"/>
  <c r="G66" i="7"/>
  <c r="F167" i="5"/>
  <c r="F169" i="5"/>
  <c r="F173" i="5"/>
  <c r="G167" i="5"/>
  <c r="R312" i="4"/>
  <c r="S303" i="4"/>
  <c r="S313" i="4"/>
  <c r="U309" i="4"/>
  <c r="S317" i="4"/>
  <c r="W314" i="4"/>
  <c r="R297" i="4"/>
  <c r="T316" i="4"/>
  <c r="T370" i="4" s="1"/>
  <c r="N307" i="4"/>
  <c r="N319" i="4" s="1"/>
  <c r="CD817" i="7"/>
  <c r="CD872" i="7"/>
  <c r="S310" i="4"/>
  <c r="R302" i="4"/>
  <c r="P341" i="4"/>
  <c r="R287" i="4"/>
  <c r="R281" i="4"/>
  <c r="R292" i="4"/>
  <c r="R283" i="4"/>
  <c r="P301" i="4"/>
  <c r="P304" i="4" s="1"/>
  <c r="P294" i="4"/>
  <c r="BX23" i="14"/>
  <c r="BZ23" i="14" s="1"/>
  <c r="BO22" i="14"/>
  <c r="BW13" i="6"/>
  <c r="R295" i="4"/>
  <c r="CA707" i="7"/>
  <c r="CA293" i="7"/>
  <c r="CA435" i="7"/>
  <c r="CA436" i="7" s="1"/>
  <c r="CA877" i="7"/>
  <c r="CA487" i="7"/>
  <c r="CA822" i="7"/>
  <c r="CA345" i="7"/>
  <c r="BU151" i="7"/>
  <c r="BW22" i="14"/>
  <c r="R308" i="4"/>
  <c r="BX22" i="14"/>
  <c r="CC768" i="7"/>
  <c r="CC488" i="7"/>
  <c r="CC878" i="7"/>
  <c r="CC823" i="7"/>
  <c r="CC294" i="7"/>
  <c r="CC346" i="7"/>
  <c r="CC708" i="7"/>
  <c r="CA548" i="7"/>
  <c r="CA57" i="7"/>
  <c r="BU240" i="7"/>
  <c r="R311" i="4"/>
  <c r="CB27" i="13"/>
  <c r="CB24" i="6"/>
  <c r="CB10" i="14"/>
  <c r="CB26" i="6"/>
  <c r="CB25" i="6"/>
  <c r="BY40" i="7"/>
  <c r="CD32" i="6"/>
  <c r="R315" i="4"/>
  <c r="R369" i="4" s="1"/>
  <c r="BW20" i="6"/>
  <c r="CC12" i="6"/>
  <c r="CD12" i="6" s="1"/>
  <c r="BX19" i="14"/>
  <c r="BY19" i="14" s="1"/>
  <c r="CJ75" i="47" l="1"/>
  <c r="CK82" i="47"/>
  <c r="BY122" i="1"/>
  <c r="BX169" i="1" s="1"/>
  <c r="AF146" i="9"/>
  <c r="CC14" i="1"/>
  <c r="CC146" i="7" s="1"/>
  <c r="CB150" i="7"/>
  <c r="CB652" i="7"/>
  <c r="BS14" i="1"/>
  <c r="BS146" i="7" s="1"/>
  <c r="BD393" i="1"/>
  <c r="BD345" i="1"/>
  <c r="AM104" i="13"/>
  <c r="AN91" i="13"/>
  <c r="AN104" i="13" s="1"/>
  <c r="AI104" i="13"/>
  <c r="AV63" i="13"/>
  <c r="AV67" i="13"/>
  <c r="AK134" i="13"/>
  <c r="AK74" i="13"/>
  <c r="AK65" i="13"/>
  <c r="AP63" i="13"/>
  <c r="AO134" i="13"/>
  <c r="AJ114" i="13"/>
  <c r="AJ104" i="13"/>
  <c r="AU24" i="11"/>
  <c r="AU129" i="12" s="1"/>
  <c r="AU22" i="11"/>
  <c r="AW65" i="13"/>
  <c r="AX112" i="14"/>
  <c r="AX120" i="14" s="1"/>
  <c r="AJ135" i="13"/>
  <c r="AJ137" i="13"/>
  <c r="AN135" i="13"/>
  <c r="AN137" i="13"/>
  <c r="AT112" i="14"/>
  <c r="AT120" i="14" s="1"/>
  <c r="AT65" i="13" s="1"/>
  <c r="AS65" i="13"/>
  <c r="AO89" i="13"/>
  <c r="AO91" i="13" s="1"/>
  <c r="AN105" i="13"/>
  <c r="AN115" i="13"/>
  <c r="L115" i="9"/>
  <c r="L145" i="9"/>
  <c r="Q47" i="9"/>
  <c r="G187" i="9"/>
  <c r="G125" i="9"/>
  <c r="G128" i="9" s="1"/>
  <c r="AR75" i="13"/>
  <c r="AR67" i="13"/>
  <c r="AR76" i="13"/>
  <c r="AR63" i="13"/>
  <c r="AR134" i="13" s="1"/>
  <c r="AR89" i="13"/>
  <c r="AQ105" i="13"/>
  <c r="AQ115" i="13"/>
  <c r="O288" i="4"/>
  <c r="O289" i="4" s="1"/>
  <c r="N326" i="4"/>
  <c r="N172" i="5" s="1"/>
  <c r="N173" i="5" s="1"/>
  <c r="BI393" i="1"/>
  <c r="CC393" i="1"/>
  <c r="CD122" i="1"/>
  <c r="BX393" i="1"/>
  <c r="BS393" i="1"/>
  <c r="BT122" i="1"/>
  <c r="AY393" i="1"/>
  <c r="BX14" i="1"/>
  <c r="BX146" i="7" s="1"/>
  <c r="F73" i="7"/>
  <c r="AJ345" i="1"/>
  <c r="M172" i="5"/>
  <c r="M173" i="5" s="1"/>
  <c r="O385" i="4"/>
  <c r="O298" i="4"/>
  <c r="P282" i="4"/>
  <c r="P284" i="4" s="1"/>
  <c r="P338" i="4" s="1"/>
  <c r="P293" i="4"/>
  <c r="P296" i="4"/>
  <c r="F106" i="27"/>
  <c r="F108" i="27" s="1"/>
  <c r="CG345" i="1"/>
  <c r="CC171" i="1"/>
  <c r="R318" i="4"/>
  <c r="R322" i="4"/>
  <c r="R324" i="4" s="1"/>
  <c r="S323" i="4"/>
  <c r="CH345" i="1"/>
  <c r="CI345" i="1"/>
  <c r="BA171" i="1"/>
  <c r="BC171" i="1"/>
  <c r="BB171" i="1"/>
  <c r="BN171" i="1"/>
  <c r="BL171" i="1"/>
  <c r="BM171" i="1"/>
  <c r="BT99" i="1"/>
  <c r="BR171" i="1"/>
  <c r="BQ171" i="1"/>
  <c r="AO393" i="1"/>
  <c r="AO345" i="1"/>
  <c r="BF170" i="1"/>
  <c r="CG348" i="1"/>
  <c r="BA170" i="1"/>
  <c r="BY99" i="1"/>
  <c r="BW171" i="1"/>
  <c r="BV171" i="1"/>
  <c r="CC763" i="7"/>
  <c r="CC764" i="7" s="1"/>
  <c r="CC99" i="5"/>
  <c r="CC153" i="5" s="1"/>
  <c r="BN393" i="1"/>
  <c r="BP146" i="7"/>
  <c r="BS763" i="7"/>
  <c r="BS764" i="7" s="1"/>
  <c r="BS99" i="5"/>
  <c r="BS153" i="5" s="1"/>
  <c r="AT393" i="1"/>
  <c r="AT345" i="1"/>
  <c r="BN170" i="1"/>
  <c r="BU17" i="1"/>
  <c r="BP17" i="1"/>
  <c r="BT125" i="1"/>
  <c r="BP170" i="1" s="1"/>
  <c r="CC17" i="1"/>
  <c r="BU99" i="5"/>
  <c r="BU153" i="5" s="1"/>
  <c r="BU763" i="7"/>
  <c r="BU764" i="7" s="1"/>
  <c r="CD99" i="1"/>
  <c r="CB171" i="1"/>
  <c r="CA171" i="1"/>
  <c r="BQ764" i="7"/>
  <c r="BG171" i="1"/>
  <c r="BH171" i="1"/>
  <c r="BP99" i="5"/>
  <c r="BP153" i="5" s="1"/>
  <c r="BP763" i="7"/>
  <c r="CJ348" i="1"/>
  <c r="BX99" i="5"/>
  <c r="BX153" i="5" s="1"/>
  <c r="BX763" i="7"/>
  <c r="BX764" i="7" s="1"/>
  <c r="BD171" i="1"/>
  <c r="BI171" i="1"/>
  <c r="BS171" i="1"/>
  <c r="BU146" i="7"/>
  <c r="BR764" i="7"/>
  <c r="BY125" i="1"/>
  <c r="BX17" i="1"/>
  <c r="BS17" i="1"/>
  <c r="BZ17" i="1"/>
  <c r="CD125" i="1"/>
  <c r="BU171" i="1"/>
  <c r="BZ763" i="7"/>
  <c r="BZ764" i="7" s="1"/>
  <c r="BZ99" i="5"/>
  <c r="BZ153" i="5" s="1"/>
  <c r="BZ146" i="7"/>
  <c r="BJ133" i="13"/>
  <c r="BX18" i="14"/>
  <c r="BZ18" i="14" s="1"/>
  <c r="BZ549" i="7"/>
  <c r="BZ58" i="7"/>
  <c r="CB19" i="6"/>
  <c r="CC19" i="6"/>
  <c r="BZ241" i="7"/>
  <c r="CA33" i="6"/>
  <c r="CA30" i="6"/>
  <c r="CA241" i="7" s="1"/>
  <c r="BY549" i="7"/>
  <c r="BY58" i="7"/>
  <c r="AK126" i="27"/>
  <c r="G106" i="27"/>
  <c r="G74" i="7"/>
  <c r="G73" i="7"/>
  <c r="E108" i="27"/>
  <c r="E118" i="27"/>
  <c r="T313" i="4"/>
  <c r="T303" i="4"/>
  <c r="S312" i="4"/>
  <c r="W309" i="4"/>
  <c r="X314" i="4"/>
  <c r="T317" i="4"/>
  <c r="U316" i="4"/>
  <c r="U370" i="4" s="1"/>
  <c r="S297" i="4"/>
  <c r="R301" i="4"/>
  <c r="R304" i="4" s="1"/>
  <c r="S292" i="4"/>
  <c r="S287" i="4"/>
  <c r="R294" i="4"/>
  <c r="S283" i="4"/>
  <c r="S281" i="4"/>
  <c r="R341" i="4"/>
  <c r="S302" i="4"/>
  <c r="T310" i="4"/>
  <c r="O307" i="4"/>
  <c r="O319" i="4" s="1"/>
  <c r="BY22" i="14"/>
  <c r="CA23" i="14"/>
  <c r="CB23" i="14" s="1"/>
  <c r="S295" i="4"/>
  <c r="BW23" i="6"/>
  <c r="BY23" i="14"/>
  <c r="CC27" i="13"/>
  <c r="CD27" i="13" s="1"/>
  <c r="CC24" i="6"/>
  <c r="CC26" i="6"/>
  <c r="CC10" i="14"/>
  <c r="CD10" i="14" s="1"/>
  <c r="CC25" i="6"/>
  <c r="BZ19" i="14"/>
  <c r="CD768" i="7"/>
  <c r="CD294" i="7"/>
  <c r="CD708" i="7"/>
  <c r="CD346" i="7"/>
  <c r="CD878" i="7"/>
  <c r="CD488" i="7"/>
  <c r="CD823" i="7"/>
  <c r="BX13" i="6"/>
  <c r="BX23" i="6" s="1"/>
  <c r="BX240" i="7" s="1"/>
  <c r="CB435" i="7"/>
  <c r="CB436" i="7" s="1"/>
  <c r="CB487" i="7"/>
  <c r="CB877" i="7"/>
  <c r="CB345" i="7"/>
  <c r="CB822" i="7"/>
  <c r="CB707" i="7"/>
  <c r="CB293" i="7"/>
  <c r="BW31" i="6"/>
  <c r="BW653" i="7" s="1"/>
  <c r="S315" i="4"/>
  <c r="S369" i="4" s="1"/>
  <c r="CD52" i="10"/>
  <c r="S311" i="4"/>
  <c r="BX20" i="6"/>
  <c r="BX31" i="6" s="1"/>
  <c r="CB57" i="7"/>
  <c r="CB548" i="7"/>
  <c r="S308" i="4"/>
  <c r="AK90" i="13" l="1"/>
  <c r="BU169" i="1"/>
  <c r="BJ388" i="1"/>
  <c r="BV169" i="1"/>
  <c r="BY393" i="1"/>
  <c r="BW169" i="1"/>
  <c r="CK79" i="47"/>
  <c r="CH75" i="47"/>
  <c r="CJ82" i="47"/>
  <c r="CB169" i="1"/>
  <c r="BQ169" i="1"/>
  <c r="BG169" i="1"/>
  <c r="CD14" i="1"/>
  <c r="CD146" i="7" s="1"/>
  <c r="BJ146" i="7"/>
  <c r="BX151" i="7"/>
  <c r="BX653" i="7"/>
  <c r="CC150" i="7"/>
  <c r="CC652" i="7"/>
  <c r="BT14" i="1"/>
  <c r="BT146" i="7" s="1"/>
  <c r="N380" i="4"/>
  <c r="AK79" i="13"/>
  <c r="AK78" i="13"/>
  <c r="P385" i="4"/>
  <c r="BH169" i="1"/>
  <c r="BF169" i="1"/>
  <c r="BP169" i="1"/>
  <c r="AN114" i="13"/>
  <c r="AU30" i="11"/>
  <c r="AZ23" i="11" s="1"/>
  <c r="AZ22" i="11" s="1"/>
  <c r="BY14" i="1"/>
  <c r="BY146" i="7" s="1"/>
  <c r="L131" i="9"/>
  <c r="L119" i="9"/>
  <c r="L147" i="9"/>
  <c r="L92" i="10" s="1"/>
  <c r="AS63" i="13"/>
  <c r="AS67" i="13"/>
  <c r="AK67" i="13"/>
  <c r="AK121" i="27"/>
  <c r="AK137" i="13"/>
  <c r="AK135" i="13"/>
  <c r="AR105" i="13"/>
  <c r="AS89" i="13"/>
  <c r="AR115" i="13"/>
  <c r="AT63" i="13"/>
  <c r="AT67" i="13"/>
  <c r="AO137" i="13"/>
  <c r="AO135" i="13"/>
  <c r="AK76" i="13"/>
  <c r="AK75" i="13"/>
  <c r="AR91" i="13"/>
  <c r="Q54" i="9"/>
  <c r="Q108" i="9"/>
  <c r="AY112" i="14"/>
  <c r="AX65" i="13"/>
  <c r="AX90" i="13" s="1"/>
  <c r="AU130" i="12"/>
  <c r="AP65" i="13"/>
  <c r="AP134" i="13"/>
  <c r="AP74" i="13"/>
  <c r="AR135" i="13"/>
  <c r="AR137" i="13"/>
  <c r="AO104" i="13"/>
  <c r="AO114" i="13"/>
  <c r="AW63" i="13"/>
  <c r="AW67" i="13"/>
  <c r="AV74" i="13"/>
  <c r="AV90" i="13" s="1"/>
  <c r="AV115" i="13" s="1"/>
  <c r="AV134" i="13"/>
  <c r="BT101" i="6"/>
  <c r="P288" i="4"/>
  <c r="P289" i="4" s="1"/>
  <c r="CD58" i="10"/>
  <c r="CD187" i="9" s="1"/>
  <c r="CD209" i="9" s="1"/>
  <c r="CO50" i="7" s="1"/>
  <c r="BR169" i="1"/>
  <c r="BI169" i="1"/>
  <c r="BJ393" i="1"/>
  <c r="O326" i="4"/>
  <c r="O380" i="4" s="1"/>
  <c r="CJ345" i="1"/>
  <c r="CD393" i="1"/>
  <c r="CC169" i="1"/>
  <c r="CA169" i="1"/>
  <c r="BZ169" i="1"/>
  <c r="BT393" i="1"/>
  <c r="F118" i="27"/>
  <c r="F122" i="27" s="1"/>
  <c r="BS169" i="1"/>
  <c r="BD170" i="1"/>
  <c r="P298" i="4"/>
  <c r="R282" i="4"/>
  <c r="R284" i="4" s="1"/>
  <c r="R338" i="4" s="1"/>
  <c r="R293" i="4"/>
  <c r="R296" i="4"/>
  <c r="CD17" i="1"/>
  <c r="BS170" i="1"/>
  <c r="BI170" i="1"/>
  <c r="S318" i="4"/>
  <c r="S322" i="4"/>
  <c r="S324" i="4" s="1"/>
  <c r="T323" i="4"/>
  <c r="BO146" i="7"/>
  <c r="BZ170" i="1"/>
  <c r="CA170" i="1"/>
  <c r="CB170" i="1"/>
  <c r="BW170" i="1"/>
  <c r="BV170" i="1"/>
  <c r="BA169" i="1"/>
  <c r="BB169" i="1"/>
  <c r="BC169" i="1"/>
  <c r="BD169" i="1"/>
  <c r="CC170" i="1"/>
  <c r="BT17" i="1"/>
  <c r="BY17" i="1"/>
  <c r="BL170" i="1"/>
  <c r="BM170" i="1"/>
  <c r="BN169" i="1"/>
  <c r="BO393" i="1"/>
  <c r="BM169" i="1"/>
  <c r="BK169" i="1"/>
  <c r="BL169" i="1"/>
  <c r="BB170" i="1"/>
  <c r="BC170" i="1"/>
  <c r="BO763" i="7"/>
  <c r="BO103" i="1"/>
  <c r="BX170" i="1"/>
  <c r="BP764" i="7"/>
  <c r="BJ763" i="7"/>
  <c r="BJ103" i="1"/>
  <c r="BJ103" i="5" s="1"/>
  <c r="BJ110" i="5" s="1"/>
  <c r="CD99" i="5"/>
  <c r="CD153" i="5" s="1"/>
  <c r="CD763" i="7"/>
  <c r="CD764" i="7" s="1"/>
  <c r="CD103" i="1"/>
  <c r="BR170" i="1"/>
  <c r="BQ170" i="1"/>
  <c r="BU170" i="1"/>
  <c r="BK170" i="1"/>
  <c r="BY99" i="5"/>
  <c r="BY153" i="5" s="1"/>
  <c r="BY763" i="7"/>
  <c r="BY764" i="7" s="1"/>
  <c r="BY103" i="1"/>
  <c r="BH170" i="1"/>
  <c r="BG170" i="1"/>
  <c r="BT99" i="5"/>
  <c r="BT153" i="5" s="1"/>
  <c r="BT763" i="7"/>
  <c r="BT764" i="7" s="1"/>
  <c r="BT103" i="1"/>
  <c r="CD71" i="12"/>
  <c r="BK133" i="13"/>
  <c r="BY18" i="14"/>
  <c r="CA18" i="14"/>
  <c r="CB18" i="14" s="1"/>
  <c r="BT102" i="6"/>
  <c r="CB33" i="6"/>
  <c r="CB30" i="6"/>
  <c r="CB241" i="7" s="1"/>
  <c r="CA58" i="7"/>
  <c r="CA549" i="7"/>
  <c r="CD19" i="6"/>
  <c r="CC33" i="6"/>
  <c r="CC30" i="6"/>
  <c r="CC241" i="7" s="1"/>
  <c r="E122" i="27"/>
  <c r="E134" i="27"/>
  <c r="G108" i="27"/>
  <c r="G118" i="27"/>
  <c r="E110" i="27"/>
  <c r="E112" i="27" s="1"/>
  <c r="E137" i="27" s="1"/>
  <c r="E139" i="27" s="1"/>
  <c r="F110" i="27"/>
  <c r="F112" i="27" s="1"/>
  <c r="T312" i="4"/>
  <c r="U303" i="4"/>
  <c r="U313" i="4"/>
  <c r="X309" i="4"/>
  <c r="U317" i="4"/>
  <c r="Y314" i="4"/>
  <c r="T297" i="4"/>
  <c r="W316" i="4"/>
  <c r="W370" i="4" s="1"/>
  <c r="T302" i="4"/>
  <c r="T281" i="4"/>
  <c r="S294" i="4"/>
  <c r="P307" i="4"/>
  <c r="P319" i="4" s="1"/>
  <c r="U310" i="4"/>
  <c r="T283" i="4"/>
  <c r="S341" i="4"/>
  <c r="T287" i="4"/>
  <c r="T292" i="4"/>
  <c r="S301" i="4"/>
  <c r="S304" i="4" s="1"/>
  <c r="BY20" i="6"/>
  <c r="BZ20" i="6"/>
  <c r="T315" i="4"/>
  <c r="T369" i="4" s="1"/>
  <c r="CA19" i="14"/>
  <c r="CB19" i="14" s="1"/>
  <c r="BY13" i="6"/>
  <c r="CD24" i="6"/>
  <c r="CC23" i="14"/>
  <c r="CD23" i="14" s="1"/>
  <c r="BZ13" i="6"/>
  <c r="CC435" i="7"/>
  <c r="CC436" i="7" s="1"/>
  <c r="CC822" i="7"/>
  <c r="CC707" i="7"/>
  <c r="CC293" i="7"/>
  <c r="CC487" i="7"/>
  <c r="CC877" i="7"/>
  <c r="CC345" i="7"/>
  <c r="CD25" i="6"/>
  <c r="BW240" i="7"/>
  <c r="BY23" i="6"/>
  <c r="BY240" i="7" s="1"/>
  <c r="T308" i="4"/>
  <c r="BW151" i="7"/>
  <c r="BY31" i="6"/>
  <c r="T295" i="4"/>
  <c r="T311" i="4"/>
  <c r="CC57" i="7"/>
  <c r="CC548" i="7"/>
  <c r="CD26" i="6"/>
  <c r="BO103" i="5" l="1"/>
  <c r="BO157" i="1"/>
  <c r="BO164" i="1" s="1"/>
  <c r="BJ101" i="10"/>
  <c r="BJ164" i="5"/>
  <c r="AZ24" i="11"/>
  <c r="AZ129" i="12" s="1"/>
  <c r="AP90" i="13"/>
  <c r="AV105" i="13"/>
  <c r="AW89" i="13"/>
  <c r="CH82" i="47"/>
  <c r="CI82" i="47" s="1"/>
  <c r="CI75" i="47"/>
  <c r="CJ79" i="47" s="1"/>
  <c r="CN79" i="47" s="1"/>
  <c r="CG75" i="47"/>
  <c r="BY151" i="7"/>
  <c r="BY653" i="7"/>
  <c r="CD150" i="7"/>
  <c r="CD652" i="7"/>
  <c r="AP79" i="13"/>
  <c r="AP78" i="13"/>
  <c r="AV137" i="13"/>
  <c r="AV135" i="13"/>
  <c r="AW134" i="13"/>
  <c r="AW74" i="13"/>
  <c r="AW90" i="13" s="1"/>
  <c r="AW91" i="13" s="1"/>
  <c r="AP67" i="13"/>
  <c r="AP121" i="27"/>
  <c r="Q145" i="9"/>
  <c r="Q115" i="9"/>
  <c r="Q131" i="9" s="1"/>
  <c r="V47" i="9"/>
  <c r="AP125" i="27"/>
  <c r="AK122" i="27"/>
  <c r="AP126" i="27" s="1"/>
  <c r="AV75" i="13"/>
  <c r="AV76" i="13"/>
  <c r="AR104" i="13"/>
  <c r="AR114" i="13"/>
  <c r="AK104" i="10"/>
  <c r="AU63" i="13"/>
  <c r="AT74" i="13"/>
  <c r="AT90" i="13" s="1"/>
  <c r="AT134" i="13"/>
  <c r="AK91" i="13"/>
  <c r="AL89" i="13"/>
  <c r="AP89" i="13"/>
  <c r="L187" i="9"/>
  <c r="L125" i="9"/>
  <c r="AP76" i="13"/>
  <c r="AP75" i="13"/>
  <c r="AP135" i="13"/>
  <c r="AP137" i="13"/>
  <c r="AX67" i="13"/>
  <c r="AX75" i="13"/>
  <c r="AX76" i="13"/>
  <c r="AS134" i="13"/>
  <c r="AS74" i="13"/>
  <c r="AS90" i="13" s="1"/>
  <c r="AS105" i="13" s="1"/>
  <c r="O172" i="5"/>
  <c r="O173" i="5" s="1"/>
  <c r="P326" i="4"/>
  <c r="P380" i="4" s="1"/>
  <c r="R288" i="4"/>
  <c r="R289" i="4" s="1"/>
  <c r="CD212" i="9"/>
  <c r="CD72" i="7" s="1"/>
  <c r="R385" i="4"/>
  <c r="F134" i="27"/>
  <c r="R298" i="4"/>
  <c r="S282" i="4"/>
  <c r="S284" i="4" s="1"/>
  <c r="S338" i="4" s="1"/>
  <c r="S293" i="4"/>
  <c r="S296" i="4"/>
  <c r="T318" i="4"/>
  <c r="T322" i="4"/>
  <c r="T324" i="4" s="1"/>
  <c r="U323" i="4"/>
  <c r="BT818" i="7"/>
  <c r="BT819" i="7" s="1"/>
  <c r="BT829" i="7" s="1"/>
  <c r="BT110" i="1"/>
  <c r="BT873" i="7"/>
  <c r="BT544" i="7" s="1"/>
  <c r="BT103" i="5"/>
  <c r="BT774" i="7"/>
  <c r="BT777" i="7"/>
  <c r="BT779" i="7"/>
  <c r="BY777" i="7"/>
  <c r="BY774" i="7"/>
  <c r="BY779" i="7"/>
  <c r="CD873" i="7"/>
  <c r="CD544" i="7" s="1"/>
  <c r="CD818" i="7"/>
  <c r="CD819" i="7" s="1"/>
  <c r="CD834" i="7" s="1"/>
  <c r="CD110" i="1"/>
  <c r="CD103" i="5"/>
  <c r="BJ873" i="7"/>
  <c r="BJ544" i="7" s="1"/>
  <c r="BJ818" i="7"/>
  <c r="BJ110" i="1"/>
  <c r="BY873" i="7"/>
  <c r="BY544" i="7" s="1"/>
  <c r="BY103" i="5"/>
  <c r="BY818" i="7"/>
  <c r="BY819" i="7" s="1"/>
  <c r="BY834" i="7" s="1"/>
  <c r="BY110" i="1"/>
  <c r="CD774" i="7"/>
  <c r="CD779" i="7"/>
  <c r="CD777" i="7"/>
  <c r="BO818" i="7"/>
  <c r="BO873" i="7"/>
  <c r="BO544" i="7" s="1"/>
  <c r="BL133" i="13"/>
  <c r="CC18" i="14"/>
  <c r="CD18" i="14" s="1"/>
  <c r="CC58" i="7"/>
  <c r="CC549" i="7"/>
  <c r="CD30" i="6"/>
  <c r="CD241" i="7" s="1"/>
  <c r="CB58" i="7"/>
  <c r="CB549" i="7"/>
  <c r="CD33" i="6"/>
  <c r="E133" i="27"/>
  <c r="E135" i="27" s="1"/>
  <c r="F133" i="27"/>
  <c r="G110" i="27"/>
  <c r="G112" i="27" s="1"/>
  <c r="F137" i="27"/>
  <c r="F139" i="27" s="1"/>
  <c r="F126" i="27"/>
  <c r="G134" i="27"/>
  <c r="G122" i="27"/>
  <c r="L126" i="27" s="1"/>
  <c r="W313" i="4"/>
  <c r="W303" i="4"/>
  <c r="U312" i="4"/>
  <c r="Y309" i="4"/>
  <c r="W317" i="4"/>
  <c r="Z314" i="4"/>
  <c r="X316" i="4"/>
  <c r="X370" i="4" s="1"/>
  <c r="U297" i="4"/>
  <c r="T301" i="4"/>
  <c r="T304" i="4" s="1"/>
  <c r="U283" i="4"/>
  <c r="W310" i="4"/>
  <c r="T294" i="4"/>
  <c r="U281" i="4"/>
  <c r="U302" i="4"/>
  <c r="U292" i="4"/>
  <c r="T341" i="4"/>
  <c r="U287" i="4"/>
  <c r="R307" i="4"/>
  <c r="R319" i="4" s="1"/>
  <c r="CC19" i="14"/>
  <c r="CD19" i="14" s="1"/>
  <c r="U311" i="4"/>
  <c r="BZ31" i="6"/>
  <c r="BZ653" i="7" s="1"/>
  <c r="U295" i="4"/>
  <c r="CD345" i="7"/>
  <c r="CD435" i="7"/>
  <c r="CD436" i="7" s="1"/>
  <c r="CD822" i="7"/>
  <c r="CD877" i="7"/>
  <c r="CD293" i="7"/>
  <c r="CD487" i="7"/>
  <c r="CD707" i="7"/>
  <c r="BZ23" i="6"/>
  <c r="U308" i="4"/>
  <c r="U315" i="4"/>
  <c r="U369" i="4" s="1"/>
  <c r="CD548" i="7"/>
  <c r="CD57" i="7"/>
  <c r="CA13" i="6"/>
  <c r="CA23" i="6" s="1"/>
  <c r="CA240" i="7" s="1"/>
  <c r="CA20" i="6"/>
  <c r="CA31" i="6" s="1"/>
  <c r="CR133" i="5" l="1"/>
  <c r="CR134" i="5" s="1"/>
  <c r="BJ79" i="10"/>
  <c r="AZ30" i="11"/>
  <c r="AT89" i="13"/>
  <c r="AT91" i="13" s="1"/>
  <c r="AT104" i="13" s="1"/>
  <c r="AW105" i="13"/>
  <c r="AX89" i="13"/>
  <c r="AX91" i="13" s="1"/>
  <c r="AW115" i="13"/>
  <c r="AS115" i="13"/>
  <c r="AS91" i="13"/>
  <c r="AS114" i="13" s="1"/>
  <c r="CH79" i="47"/>
  <c r="CF75" i="47"/>
  <c r="CG82" i="47"/>
  <c r="CA151" i="7"/>
  <c r="CA653" i="7"/>
  <c r="AP91" i="13"/>
  <c r="AL91" i="13"/>
  <c r="AO115" i="13"/>
  <c r="AO105" i="13"/>
  <c r="AU74" i="13"/>
  <c r="AU134" i="13"/>
  <c r="AU65" i="13"/>
  <c r="AW104" i="13"/>
  <c r="AW114" i="13"/>
  <c r="AW75" i="13"/>
  <c r="AW76" i="13"/>
  <c r="AS75" i="13"/>
  <c r="AS76" i="13"/>
  <c r="L190" i="9"/>
  <c r="L128" i="9"/>
  <c r="AK104" i="13"/>
  <c r="AK130" i="27"/>
  <c r="AP122" i="27"/>
  <c r="AU126" i="27" s="1"/>
  <c r="AU125" i="27"/>
  <c r="AW137" i="13"/>
  <c r="AW135" i="13"/>
  <c r="AS135" i="13"/>
  <c r="AS137" i="13"/>
  <c r="AP104" i="10"/>
  <c r="AT137" i="13"/>
  <c r="AT135" i="13"/>
  <c r="V108" i="9"/>
  <c r="V54" i="9"/>
  <c r="AU89" i="13"/>
  <c r="AQ89" i="13"/>
  <c r="AY89" i="13"/>
  <c r="AT76" i="13"/>
  <c r="AT75" i="13"/>
  <c r="Q119" i="9"/>
  <c r="Q147" i="9"/>
  <c r="Q92" i="10" s="1"/>
  <c r="P172" i="5"/>
  <c r="P173" i="5" s="1"/>
  <c r="S288" i="4"/>
  <c r="S289" i="4" s="1"/>
  <c r="CD891" i="7"/>
  <c r="F135" i="27"/>
  <c r="S385" i="4"/>
  <c r="S298" i="4"/>
  <c r="T282" i="4"/>
  <c r="T284" i="4" s="1"/>
  <c r="T338" i="4" s="1"/>
  <c r="R326" i="4"/>
  <c r="R172" i="5" s="1"/>
  <c r="R173" i="5" s="1"/>
  <c r="T293" i="4"/>
  <c r="T296" i="4"/>
  <c r="U318" i="4"/>
  <c r="U322" i="4"/>
  <c r="U324" i="4" s="1"/>
  <c r="W323" i="4"/>
  <c r="BY874" i="7"/>
  <c r="CD874" i="7"/>
  <c r="BT874" i="7"/>
  <c r="BT834" i="7"/>
  <c r="BT832" i="7"/>
  <c r="BM133" i="13"/>
  <c r="CD58" i="7"/>
  <c r="CD549" i="7"/>
  <c r="G133" i="27"/>
  <c r="G135" i="27" s="1"/>
  <c r="G137" i="27"/>
  <c r="G139" i="27" s="1"/>
  <c r="G126" i="27"/>
  <c r="W312" i="4"/>
  <c r="X303" i="4"/>
  <c r="X313" i="4"/>
  <c r="Z309" i="4"/>
  <c r="AB314" i="4"/>
  <c r="X317" i="4"/>
  <c r="W297" i="4"/>
  <c r="Y316" i="4"/>
  <c r="Y370" i="4" s="1"/>
  <c r="S307" i="4"/>
  <c r="S319" i="4" s="1"/>
  <c r="W292" i="4"/>
  <c r="U294" i="4"/>
  <c r="X310" i="4"/>
  <c r="U301" i="4"/>
  <c r="U304" i="4" s="1"/>
  <c r="U341" i="4"/>
  <c r="W287" i="4"/>
  <c r="W302" i="4"/>
  <c r="W281" i="4"/>
  <c r="W283" i="4"/>
  <c r="W295" i="4"/>
  <c r="W311" i="4"/>
  <c r="CC20" i="6"/>
  <c r="CC31" i="6" s="1"/>
  <c r="CB20" i="6"/>
  <c r="CB31" i="6" s="1"/>
  <c r="W308" i="4"/>
  <c r="BZ151" i="7"/>
  <c r="W315" i="4"/>
  <c r="W369" i="4" s="1"/>
  <c r="CB13" i="6"/>
  <c r="CB23" i="6" s="1"/>
  <c r="CB240" i="7" s="1"/>
  <c r="BZ240" i="7"/>
  <c r="AX105" i="13" l="1"/>
  <c r="AX115" i="13"/>
  <c r="AT114" i="13"/>
  <c r="AS104" i="13"/>
  <c r="AU90" i="13"/>
  <c r="CG79" i="47"/>
  <c r="CE75" i="47"/>
  <c r="CF82" i="47"/>
  <c r="CB151" i="7"/>
  <c r="CB653" i="7"/>
  <c r="CC151" i="7"/>
  <c r="CC653" i="7"/>
  <c r="AU79" i="13"/>
  <c r="AU78" i="13"/>
  <c r="AP130" i="27"/>
  <c r="AP104" i="13"/>
  <c r="AU137" i="13"/>
  <c r="AU135" i="13"/>
  <c r="AA47" i="9"/>
  <c r="V145" i="9"/>
  <c r="V115" i="9"/>
  <c r="AK131" i="27"/>
  <c r="AK134" i="27"/>
  <c r="AK135" i="27" s="1"/>
  <c r="AU75" i="13"/>
  <c r="AU76" i="13"/>
  <c r="Q125" i="9"/>
  <c r="Q187" i="9"/>
  <c r="AK114" i="13"/>
  <c r="AK115" i="13" s="1"/>
  <c r="AK105" i="13"/>
  <c r="AU67" i="13"/>
  <c r="AU121" i="27"/>
  <c r="AU122" i="27" s="1"/>
  <c r="AL104" i="13"/>
  <c r="AL114" i="13"/>
  <c r="AT105" i="13"/>
  <c r="AQ91" i="13"/>
  <c r="AT115" i="13"/>
  <c r="AX104" i="13"/>
  <c r="AX114" i="13"/>
  <c r="BY101" i="6"/>
  <c r="T288" i="4"/>
  <c r="T289" i="4" s="1"/>
  <c r="S326" i="4"/>
  <c r="S380" i="4" s="1"/>
  <c r="T298" i="4"/>
  <c r="R380" i="4"/>
  <c r="T385" i="4"/>
  <c r="U282" i="4"/>
  <c r="U284" i="4" s="1"/>
  <c r="U385" i="4" s="1"/>
  <c r="U293" i="4"/>
  <c r="U296" i="4"/>
  <c r="W318" i="4"/>
  <c r="W322" i="4"/>
  <c r="W324" i="4" s="1"/>
  <c r="X323" i="4"/>
  <c r="BY889" i="7"/>
  <c r="BY884" i="7"/>
  <c r="BY887" i="7"/>
  <c r="BT884" i="7"/>
  <c r="BT887" i="7"/>
  <c r="BT889" i="7"/>
  <c r="CD889" i="7"/>
  <c r="CD887" i="7"/>
  <c r="CD884" i="7"/>
  <c r="BN133" i="13"/>
  <c r="Y313" i="4"/>
  <c r="Y303" i="4"/>
  <c r="X312" i="4"/>
  <c r="AB309" i="4"/>
  <c r="Y317" i="4"/>
  <c r="AC314" i="4"/>
  <c r="Z316" i="4"/>
  <c r="Z370" i="4" s="1"/>
  <c r="X297" i="4"/>
  <c r="X281" i="4"/>
  <c r="W341" i="4"/>
  <c r="X287" i="4"/>
  <c r="W301" i="4"/>
  <c r="W304" i="4" s="1"/>
  <c r="Y310" i="4"/>
  <c r="X292" i="4"/>
  <c r="X283" i="4"/>
  <c r="X302" i="4"/>
  <c r="W294" i="4"/>
  <c r="T307" i="4"/>
  <c r="T319" i="4" s="1"/>
  <c r="X308" i="4"/>
  <c r="CD20" i="6"/>
  <c r="X295" i="4"/>
  <c r="X315" i="4"/>
  <c r="X369" i="4" s="1"/>
  <c r="CD31" i="6"/>
  <c r="CC13" i="6"/>
  <c r="CC23" i="6" s="1"/>
  <c r="X311" i="4"/>
  <c r="CF79" i="47" l="1"/>
  <c r="CC75" i="47"/>
  <c r="CE82" i="47"/>
  <c r="CD151" i="7"/>
  <c r="CD653" i="7"/>
  <c r="AP114" i="13"/>
  <c r="AP115" i="13" s="1"/>
  <c r="AP105" i="13"/>
  <c r="AP134" i="27"/>
  <c r="AP135" i="27" s="1"/>
  <c r="AP131" i="27"/>
  <c r="AQ114" i="13"/>
  <c r="AQ104" i="13"/>
  <c r="AV89" i="13"/>
  <c r="AV91" i="13" s="1"/>
  <c r="AZ89" i="13"/>
  <c r="AA54" i="9"/>
  <c r="AA108" i="9"/>
  <c r="AU104" i="10"/>
  <c r="Q128" i="9"/>
  <c r="Q190" i="9"/>
  <c r="V131" i="9"/>
  <c r="V147" i="9"/>
  <c r="V92" i="10" s="1"/>
  <c r="V119" i="9"/>
  <c r="AU91" i="13"/>
  <c r="S172" i="5"/>
  <c r="S173" i="5" s="1"/>
  <c r="U288" i="4"/>
  <c r="U289" i="4" s="1"/>
  <c r="T326" i="4"/>
  <c r="T172" i="5" s="1"/>
  <c r="T173" i="5" s="1"/>
  <c r="U298" i="4"/>
  <c r="U338" i="4"/>
  <c r="W282" i="4"/>
  <c r="W284" i="4" s="1"/>
  <c r="W385" i="4" s="1"/>
  <c r="W293" i="4"/>
  <c r="W296" i="4"/>
  <c r="X318" i="4"/>
  <c r="X322" i="4"/>
  <c r="X324" i="4" s="1"/>
  <c r="Y323" i="4"/>
  <c r="BP64" i="13"/>
  <c r="BO133" i="13"/>
  <c r="BY102" i="6"/>
  <c r="Y312" i="4"/>
  <c r="Z303" i="4"/>
  <c r="Z313" i="4"/>
  <c r="AC309" i="4"/>
  <c r="AD314" i="4"/>
  <c r="Z317" i="4"/>
  <c r="Y297" i="4"/>
  <c r="AB316" i="4"/>
  <c r="AB370" i="4" s="1"/>
  <c r="X294" i="4"/>
  <c r="Y283" i="4"/>
  <c r="X301" i="4"/>
  <c r="X304" i="4" s="1"/>
  <c r="Y281" i="4"/>
  <c r="U307" i="4"/>
  <c r="U319" i="4" s="1"/>
  <c r="Y302" i="4"/>
  <c r="Y292" i="4"/>
  <c r="Z310" i="4"/>
  <c r="X341" i="4"/>
  <c r="Y287" i="4"/>
  <c r="CD13" i="6"/>
  <c r="CC240" i="7"/>
  <c r="CD23" i="6"/>
  <c r="CD240" i="7" s="1"/>
  <c r="Y295" i="4"/>
  <c r="Y308" i="4"/>
  <c r="Y311" i="4"/>
  <c r="Y315" i="4"/>
  <c r="Y369" i="4" s="1"/>
  <c r="CC82" i="47" l="1"/>
  <c r="CD82" i="47" s="1"/>
  <c r="CD75" i="47"/>
  <c r="CE79" i="47" s="1"/>
  <c r="CI79" i="47" s="1"/>
  <c r="CB75" i="47"/>
  <c r="AU104" i="13"/>
  <c r="AU130" i="27"/>
  <c r="AF47" i="9"/>
  <c r="AA145" i="9"/>
  <c r="AA115" i="9"/>
  <c r="AA131" i="9" s="1"/>
  <c r="V125" i="9"/>
  <c r="V187" i="9"/>
  <c r="AV114" i="13"/>
  <c r="AV104" i="13"/>
  <c r="T380" i="4"/>
  <c r="W288" i="4"/>
  <c r="W289" i="4" s="1"/>
  <c r="U326" i="4"/>
  <c r="U380" i="4" s="1"/>
  <c r="W338" i="4"/>
  <c r="W298" i="4"/>
  <c r="X282" i="4"/>
  <c r="X284" i="4" s="1"/>
  <c r="X338" i="4" s="1"/>
  <c r="X293" i="4"/>
  <c r="X296" i="4"/>
  <c r="Y318" i="4"/>
  <c r="Y322" i="4"/>
  <c r="Y324" i="4" s="1"/>
  <c r="Z323" i="4"/>
  <c r="BQ64" i="13"/>
  <c r="BP133" i="13"/>
  <c r="AB313" i="4"/>
  <c r="AB303" i="4"/>
  <c r="Z312" i="4"/>
  <c r="AD309" i="4"/>
  <c r="AB317" i="4"/>
  <c r="AE314" i="4"/>
  <c r="AC316" i="4"/>
  <c r="AC370" i="4" s="1"/>
  <c r="Z297" i="4"/>
  <c r="Y341" i="4"/>
  <c r="Z287" i="4"/>
  <c r="AB310" i="4"/>
  <c r="Y301" i="4"/>
  <c r="Y304" i="4" s="1"/>
  <c r="Z283" i="4"/>
  <c r="Y294" i="4"/>
  <c r="Z292" i="4"/>
  <c r="Z302" i="4"/>
  <c r="W307" i="4"/>
  <c r="W319" i="4" s="1"/>
  <c r="Z281" i="4"/>
  <c r="Z315" i="4"/>
  <c r="Z369" i="4" s="1"/>
  <c r="Z311" i="4"/>
  <c r="Z308" i="4"/>
  <c r="Z295" i="4"/>
  <c r="CC79" i="47" l="1"/>
  <c r="CC13" i="47" s="1"/>
  <c r="CC42" i="27" s="1"/>
  <c r="CB82" i="47"/>
  <c r="CA75" i="47"/>
  <c r="V190" i="9"/>
  <c r="V128" i="9"/>
  <c r="AF54" i="9"/>
  <c r="AF108" i="9"/>
  <c r="AU134" i="27"/>
  <c r="AU135" i="27" s="1"/>
  <c r="AU131" i="27"/>
  <c r="AA119" i="9"/>
  <c r="AA147" i="9"/>
  <c r="AA92" i="10" s="1"/>
  <c r="AA78" i="10"/>
  <c r="AU105" i="13"/>
  <c r="AU114" i="13"/>
  <c r="AU115" i="13" s="1"/>
  <c r="U172" i="5"/>
  <c r="U173" i="5" s="1"/>
  <c r="X288" i="4"/>
  <c r="X289" i="4" s="1"/>
  <c r="W326" i="4"/>
  <c r="W380" i="4" s="1"/>
  <c r="X298" i="4"/>
  <c r="X385" i="4"/>
  <c r="Y282" i="4"/>
  <c r="Y284" i="4" s="1"/>
  <c r="Y385" i="4" s="1"/>
  <c r="Y293" i="4"/>
  <c r="Y296" i="4"/>
  <c r="Z318" i="4"/>
  <c r="Z322" i="4"/>
  <c r="Z324" i="4" s="1"/>
  <c r="AB323" i="4"/>
  <c r="BR64" i="13"/>
  <c r="BQ133" i="13"/>
  <c r="AB312" i="4"/>
  <c r="AC303" i="4"/>
  <c r="AC313" i="4"/>
  <c r="AE309" i="4"/>
  <c r="AC317" i="4"/>
  <c r="AG314" i="4"/>
  <c r="AB297" i="4"/>
  <c r="AD316" i="4"/>
  <c r="AD370" i="4" s="1"/>
  <c r="X307" i="4"/>
  <c r="X319" i="4" s="1"/>
  <c r="AB292" i="4"/>
  <c r="Z341" i="4"/>
  <c r="AB287" i="4"/>
  <c r="AB281" i="4"/>
  <c r="AB302" i="4"/>
  <c r="Z294" i="4"/>
  <c r="AB283" i="4"/>
  <c r="Z301" i="4"/>
  <c r="Z304" i="4" s="1"/>
  <c r="AC310" i="4"/>
  <c r="AB295" i="4"/>
  <c r="AB308" i="4"/>
  <c r="AB315" i="4"/>
  <c r="AB369" i="4" s="1"/>
  <c r="AB311" i="4"/>
  <c r="CC14" i="47" l="1"/>
  <c r="CC90" i="47" s="1"/>
  <c r="CB79" i="47"/>
  <c r="CB13" i="47" s="1"/>
  <c r="CB42" i="27" s="1"/>
  <c r="BZ75" i="47"/>
  <c r="CA82" i="47"/>
  <c r="Y298" i="4"/>
  <c r="AA125" i="9"/>
  <c r="AA187" i="9"/>
  <c r="AF115" i="9"/>
  <c r="AF131" i="9" s="1"/>
  <c r="AF145" i="9"/>
  <c r="AK47" i="9"/>
  <c r="W172" i="5"/>
  <c r="W173" i="5" s="1"/>
  <c r="Y288" i="4"/>
  <c r="Y289" i="4" s="1"/>
  <c r="X326" i="4"/>
  <c r="X172" i="5" s="1"/>
  <c r="X173" i="5" s="1"/>
  <c r="Y338" i="4"/>
  <c r="Z282" i="4"/>
  <c r="Z284" i="4" s="1"/>
  <c r="Z338" i="4" s="1"/>
  <c r="Z293" i="4"/>
  <c r="Z296" i="4"/>
  <c r="AB318" i="4"/>
  <c r="AB322" i="4"/>
  <c r="AB324" i="4" s="1"/>
  <c r="AC323" i="4"/>
  <c r="BR133" i="13"/>
  <c r="BS64" i="13"/>
  <c r="AD303" i="4"/>
  <c r="AC312" i="4"/>
  <c r="AD313" i="4"/>
  <c r="AG309" i="4"/>
  <c r="AH314" i="4"/>
  <c r="AD317" i="4"/>
  <c r="AE316" i="4"/>
  <c r="AE370" i="4" s="1"/>
  <c r="AC297" i="4"/>
  <c r="AB301" i="4"/>
  <c r="AB304" i="4" s="1"/>
  <c r="AB294" i="4"/>
  <c r="AC302" i="4"/>
  <c r="AC281" i="4"/>
  <c r="AC292" i="4"/>
  <c r="AD310" i="4"/>
  <c r="AC283" i="4"/>
  <c r="AB341" i="4"/>
  <c r="AC287" i="4"/>
  <c r="Y307" i="4"/>
  <c r="Y319" i="4" s="1"/>
  <c r="AC295" i="4"/>
  <c r="AC311" i="4"/>
  <c r="AC315" i="4"/>
  <c r="AC369" i="4" s="1"/>
  <c r="AC308" i="4"/>
  <c r="CC16" i="47" l="1"/>
  <c r="CB14" i="47"/>
  <c r="CB90" i="47" s="1"/>
  <c r="CC26" i="27"/>
  <c r="CC45" i="27"/>
  <c r="CA79" i="47"/>
  <c r="CA13" i="47" s="1"/>
  <c r="CA42" i="27" s="1"/>
  <c r="BZ82" i="47"/>
  <c r="BX75" i="47"/>
  <c r="AK108" i="9"/>
  <c r="AK54" i="9"/>
  <c r="AF119" i="9"/>
  <c r="AF147" i="9"/>
  <c r="AF78" i="10"/>
  <c r="AA190" i="9"/>
  <c r="AA128" i="9"/>
  <c r="CD101" i="6"/>
  <c r="Y326" i="4"/>
  <c r="Y380" i="4" s="1"/>
  <c r="Z288" i="4"/>
  <c r="Z289" i="4" s="1"/>
  <c r="X380" i="4"/>
  <c r="Z385" i="4"/>
  <c r="Z298" i="4"/>
  <c r="AB282" i="4"/>
  <c r="AB284" i="4" s="1"/>
  <c r="AB338" i="4" s="1"/>
  <c r="AB293" i="4"/>
  <c r="AB296" i="4"/>
  <c r="AC318" i="4"/>
  <c r="AC322" i="4"/>
  <c r="AC324" i="4" s="1"/>
  <c r="AD323" i="4"/>
  <c r="BT64" i="13"/>
  <c r="BS133" i="13"/>
  <c r="CD102" i="6"/>
  <c r="AD312" i="4"/>
  <c r="AE303" i="4"/>
  <c r="AE313" i="4"/>
  <c r="AH309" i="4"/>
  <c r="AE317" i="4"/>
  <c r="AI314" i="4"/>
  <c r="AD297" i="4"/>
  <c r="AG316" i="4"/>
  <c r="Z307" i="4"/>
  <c r="Z319" i="4" s="1"/>
  <c r="AD292" i="4"/>
  <c r="AC301" i="4"/>
  <c r="AC304" i="4" s="1"/>
  <c r="AC341" i="4"/>
  <c r="AD287" i="4"/>
  <c r="AD283" i="4"/>
  <c r="AE310" i="4"/>
  <c r="AD281" i="4"/>
  <c r="AD302" i="4"/>
  <c r="AC294" i="4"/>
  <c r="AD311" i="4"/>
  <c r="AD308" i="4"/>
  <c r="AD315" i="4"/>
  <c r="AD369" i="4" s="1"/>
  <c r="AD295" i="4"/>
  <c r="CA14" i="47" l="1"/>
  <c r="CA90" i="47" s="1"/>
  <c r="CC41" i="14"/>
  <c r="CC110" i="13"/>
  <c r="CB26" i="27"/>
  <c r="CB45" i="27"/>
  <c r="CC38" i="14"/>
  <c r="CC109" i="13"/>
  <c r="CB16" i="47"/>
  <c r="BW75" i="47"/>
  <c r="BY75" i="47"/>
  <c r="BX82" i="47"/>
  <c r="BY82" i="47" s="1"/>
  <c r="Y172" i="5"/>
  <c r="Y173" i="5" s="1"/>
  <c r="AB298" i="4"/>
  <c r="AF92" i="10"/>
  <c r="AF187" i="9"/>
  <c r="AF125" i="9"/>
  <c r="AP47" i="9"/>
  <c r="AK115" i="9"/>
  <c r="AK145" i="9"/>
  <c r="AB288" i="4"/>
  <c r="AB289" i="4" s="1"/>
  <c r="Z326" i="4"/>
  <c r="Z172" i="5" s="1"/>
  <c r="Z173" i="5" s="1"/>
  <c r="AB385" i="4"/>
  <c r="AC282" i="4"/>
  <c r="AC284" i="4" s="1"/>
  <c r="AC385" i="4" s="1"/>
  <c r="AC293" i="4"/>
  <c r="AC296" i="4"/>
  <c r="AD318" i="4"/>
  <c r="AD322" i="4"/>
  <c r="AD324" i="4" s="1"/>
  <c r="AE323" i="4"/>
  <c r="BT133" i="13"/>
  <c r="BU64" i="13"/>
  <c r="AG313" i="4"/>
  <c r="AG303" i="4"/>
  <c r="AE312" i="4"/>
  <c r="AI309" i="4"/>
  <c r="AJ314" i="4"/>
  <c r="AG317" i="4"/>
  <c r="AH316" i="4"/>
  <c r="AE297" i="4"/>
  <c r="AE302" i="4"/>
  <c r="AE283" i="4"/>
  <c r="AD301" i="4"/>
  <c r="AD304" i="4" s="1"/>
  <c r="AB307" i="4"/>
  <c r="AB319" i="4" s="1"/>
  <c r="AD294" i="4"/>
  <c r="AE281" i="4"/>
  <c r="AG310" i="4"/>
  <c r="AD341" i="4"/>
  <c r="AE287" i="4"/>
  <c r="AE292" i="4"/>
  <c r="AE295" i="4"/>
  <c r="AE315" i="4"/>
  <c r="AE369" i="4" s="1"/>
  <c r="AE308" i="4"/>
  <c r="AE311" i="4"/>
  <c r="CA16" i="47" l="1"/>
  <c r="CB109" i="13"/>
  <c r="CB38" i="14"/>
  <c r="CA26" i="27"/>
  <c r="CA45" i="27"/>
  <c r="CB110" i="13"/>
  <c r="CB41" i="14"/>
  <c r="BZ79" i="47"/>
  <c r="BX79" i="47"/>
  <c r="BX13" i="47" s="1"/>
  <c r="BX42" i="27" s="1"/>
  <c r="BW82" i="47"/>
  <c r="BV75" i="47"/>
  <c r="AB326" i="4"/>
  <c r="AB380" i="4" s="1"/>
  <c r="AF190" i="9"/>
  <c r="AF128" i="9"/>
  <c r="AK131" i="9"/>
  <c r="AK119" i="9"/>
  <c r="AK78" i="10"/>
  <c r="AK147" i="9"/>
  <c r="AP54" i="9"/>
  <c r="AP108" i="9"/>
  <c r="AC288" i="4"/>
  <c r="AC289" i="4" s="1"/>
  <c r="Z380" i="4"/>
  <c r="AC338" i="4"/>
  <c r="AC298" i="4"/>
  <c r="AD282" i="4"/>
  <c r="AD284" i="4" s="1"/>
  <c r="AD338" i="4" s="1"/>
  <c r="AD293" i="4"/>
  <c r="AD296" i="4"/>
  <c r="AE318" i="4"/>
  <c r="AE322" i="4"/>
  <c r="AE324" i="4" s="1"/>
  <c r="AG323" i="4"/>
  <c r="BU133" i="13"/>
  <c r="BV64" i="13"/>
  <c r="AG312" i="4"/>
  <c r="AH303" i="4"/>
  <c r="AH313" i="4"/>
  <c r="AJ309" i="4"/>
  <c r="AH317" i="4"/>
  <c r="AL314" i="4"/>
  <c r="AG297" i="4"/>
  <c r="AI316" i="4"/>
  <c r="AG292" i="4"/>
  <c r="AE341" i="4"/>
  <c r="AG287" i="4"/>
  <c r="AH310" i="4"/>
  <c r="AG281" i="4"/>
  <c r="AE294" i="4"/>
  <c r="AC307" i="4"/>
  <c r="AC319" i="4" s="1"/>
  <c r="AE301" i="4"/>
  <c r="AE304" i="4" s="1"/>
  <c r="AG283" i="4"/>
  <c r="AG302" i="4"/>
  <c r="AG311" i="4"/>
  <c r="AG295" i="4"/>
  <c r="AG315" i="4"/>
  <c r="AG369" i="4" s="1"/>
  <c r="AG308" i="4"/>
  <c r="BX14" i="47" l="1"/>
  <c r="BX90" i="47" s="1"/>
  <c r="CA110" i="13"/>
  <c r="CA41" i="14"/>
  <c r="CD79" i="47"/>
  <c r="BZ13" i="47"/>
  <c r="BZ42" i="27" s="1"/>
  <c r="CD42" i="27" s="1"/>
  <c r="CA38" i="14"/>
  <c r="CA109" i="13"/>
  <c r="BW79" i="47"/>
  <c r="BW13" i="47" s="1"/>
  <c r="BW42" i="27" s="1"/>
  <c r="BU75" i="47"/>
  <c r="BV82" i="47"/>
  <c r="AB172" i="5"/>
  <c r="AB173" i="5" s="1"/>
  <c r="AK187" i="9"/>
  <c r="AK125" i="9"/>
  <c r="AP115" i="9"/>
  <c r="AU47" i="9"/>
  <c r="AP145" i="9"/>
  <c r="AK92" i="10"/>
  <c r="AD288" i="4"/>
  <c r="AD289" i="4" s="1"/>
  <c r="AD385" i="4"/>
  <c r="AC326" i="4"/>
  <c r="AC172" i="5" s="1"/>
  <c r="AC173" i="5" s="1"/>
  <c r="AD298" i="4"/>
  <c r="AE282" i="4"/>
  <c r="AE284" i="4" s="1"/>
  <c r="AE338" i="4" s="1"/>
  <c r="AE293" i="4"/>
  <c r="AE296" i="4"/>
  <c r="AG318" i="4"/>
  <c r="AG322" i="4"/>
  <c r="AG324" i="4" s="1"/>
  <c r="AH323" i="4"/>
  <c r="BV133" i="13"/>
  <c r="BW64" i="13"/>
  <c r="AI313" i="4"/>
  <c r="AI303" i="4"/>
  <c r="AH312" i="4"/>
  <c r="AL309" i="4"/>
  <c r="AI317" i="4"/>
  <c r="AM314" i="4"/>
  <c r="AJ316" i="4"/>
  <c r="AH297" i="4"/>
  <c r="AH283" i="4"/>
  <c r="AD307" i="4"/>
  <c r="AD319" i="4" s="1"/>
  <c r="AH281" i="4"/>
  <c r="AI310" i="4"/>
  <c r="AH292" i="4"/>
  <c r="AH302" i="4"/>
  <c r="AG301" i="4"/>
  <c r="AG304" i="4" s="1"/>
  <c r="AG294" i="4"/>
  <c r="AG341" i="4"/>
  <c r="AH287" i="4"/>
  <c r="AH315" i="4"/>
  <c r="AH369" i="4" s="1"/>
  <c r="AH308" i="4"/>
  <c r="AH295" i="4"/>
  <c r="AH311" i="4"/>
  <c r="BX16" i="47" l="1"/>
  <c r="BW14" i="47"/>
  <c r="BW90" i="47" s="1"/>
  <c r="CD13" i="47"/>
  <c r="BZ14" i="47"/>
  <c r="BZ90" i="47" s="1"/>
  <c r="CD90" i="47" s="1"/>
  <c r="BX26" i="27"/>
  <c r="BX45" i="27"/>
  <c r="BV79" i="47"/>
  <c r="BV13" i="47" s="1"/>
  <c r="BV42" i="27" s="1"/>
  <c r="BS75" i="47"/>
  <c r="BU82" i="47"/>
  <c r="AU108" i="9"/>
  <c r="AU54" i="9"/>
  <c r="AP131" i="9"/>
  <c r="AP147" i="9"/>
  <c r="AP78" i="10"/>
  <c r="AP119" i="9"/>
  <c r="AK190" i="9"/>
  <c r="AK128" i="9"/>
  <c r="AE288" i="4"/>
  <c r="AE289" i="4" s="1"/>
  <c r="AC380" i="4"/>
  <c r="AE298" i="4"/>
  <c r="AD326" i="4"/>
  <c r="AD380" i="4" s="1"/>
  <c r="AE385" i="4"/>
  <c r="AG282" i="4"/>
  <c r="AG284" i="4" s="1"/>
  <c r="AG338" i="4" s="1"/>
  <c r="AG293" i="4"/>
  <c r="AG296" i="4"/>
  <c r="AH318" i="4"/>
  <c r="AH322" i="4"/>
  <c r="AH324" i="4" s="1"/>
  <c r="AI323" i="4"/>
  <c r="BW133" i="13"/>
  <c r="BX64" i="13"/>
  <c r="AI312" i="4"/>
  <c r="AJ303" i="4"/>
  <c r="AJ313" i="4"/>
  <c r="AM309" i="4"/>
  <c r="AJ317" i="4"/>
  <c r="AN314" i="4"/>
  <c r="AI297" i="4"/>
  <c r="AL316" i="4"/>
  <c r="AH341" i="4"/>
  <c r="AI287" i="4"/>
  <c r="AH294" i="4"/>
  <c r="AH301" i="4"/>
  <c r="AH304" i="4" s="1"/>
  <c r="AI302" i="4"/>
  <c r="AI292" i="4"/>
  <c r="AI281" i="4"/>
  <c r="AI283" i="4"/>
  <c r="AJ310" i="4"/>
  <c r="AE307" i="4"/>
  <c r="AE319" i="4" s="1"/>
  <c r="AI311" i="4"/>
  <c r="AI295" i="4"/>
  <c r="AI308" i="4"/>
  <c r="AI315" i="4"/>
  <c r="AI369" i="4" s="1"/>
  <c r="BV14" i="47" l="1"/>
  <c r="BV90" i="47" s="1"/>
  <c r="BZ26" i="27"/>
  <c r="BZ45" i="27"/>
  <c r="BX41" i="14"/>
  <c r="BX110" i="13"/>
  <c r="BW26" i="27"/>
  <c r="BW45" i="27"/>
  <c r="BX109" i="13"/>
  <c r="BX38" i="14"/>
  <c r="BZ16" i="47"/>
  <c r="CD14" i="47"/>
  <c r="CD16" i="47" s="1"/>
  <c r="BW16" i="47"/>
  <c r="BT75" i="47"/>
  <c r="BR75" i="47"/>
  <c r="BS82" i="47"/>
  <c r="BT82" i="47" s="1"/>
  <c r="AP92" i="10"/>
  <c r="AP187" i="9"/>
  <c r="AP125" i="9"/>
  <c r="AZ47" i="9"/>
  <c r="AU115" i="9"/>
  <c r="AU145" i="9"/>
  <c r="AG288" i="4"/>
  <c r="AG289" i="4" s="1"/>
  <c r="AE326" i="4"/>
  <c r="AE380" i="4" s="1"/>
  <c r="AD172" i="5"/>
  <c r="AD173" i="5" s="1"/>
  <c r="AH282" i="4"/>
  <c r="AH284" i="4" s="1"/>
  <c r="AH385" i="4" s="1"/>
  <c r="AG385" i="4"/>
  <c r="AG298" i="4"/>
  <c r="AH293" i="4"/>
  <c r="AH296" i="4"/>
  <c r="AI318" i="4"/>
  <c r="AI322" i="4"/>
  <c r="AI324" i="4" s="1"/>
  <c r="AJ323" i="4"/>
  <c r="BX133" i="13"/>
  <c r="BY64" i="13"/>
  <c r="AL313" i="4"/>
  <c r="AL303" i="4"/>
  <c r="AJ312" i="4"/>
  <c r="AN309" i="4"/>
  <c r="AO314" i="4"/>
  <c r="AL317" i="4"/>
  <c r="AM316" i="4"/>
  <c r="AJ297" i="4"/>
  <c r="AG307" i="4"/>
  <c r="AG319" i="4" s="1"/>
  <c r="AL310" i="4"/>
  <c r="AJ292" i="4"/>
  <c r="AJ302" i="4"/>
  <c r="AI341" i="4"/>
  <c r="AJ287" i="4"/>
  <c r="AJ283" i="4"/>
  <c r="AJ281" i="4"/>
  <c r="AI301" i="4"/>
  <c r="AI304" i="4" s="1"/>
  <c r="AI294" i="4"/>
  <c r="AJ315" i="4"/>
  <c r="AJ369" i="4" s="1"/>
  <c r="AJ308" i="4"/>
  <c r="AJ295" i="4"/>
  <c r="AJ311" i="4"/>
  <c r="CD45" i="27" l="1"/>
  <c r="BU79" i="47"/>
  <c r="BW110" i="13"/>
  <c r="BW41" i="14"/>
  <c r="BZ41" i="14"/>
  <c r="BZ110" i="13"/>
  <c r="BV26" i="27"/>
  <c r="BV45" i="27"/>
  <c r="BV16" i="47"/>
  <c r="BW38" i="14"/>
  <c r="BW109" i="13"/>
  <c r="CD26" i="27"/>
  <c r="BZ38" i="14"/>
  <c r="BZ109" i="13"/>
  <c r="BS79" i="47"/>
  <c r="BS13" i="47" s="1"/>
  <c r="BS42" i="27" s="1"/>
  <c r="BQ75" i="47"/>
  <c r="BR82" i="47"/>
  <c r="AE172" i="5"/>
  <c r="AE173" i="5" s="1"/>
  <c r="AP190" i="9"/>
  <c r="AP128" i="9"/>
  <c r="AU131" i="9"/>
  <c r="AU147" i="9"/>
  <c r="AU78" i="10"/>
  <c r="AU119" i="9"/>
  <c r="AZ108" i="9"/>
  <c r="AZ54" i="9"/>
  <c r="BE47" i="9" s="1"/>
  <c r="AH288" i="4"/>
  <c r="AH289" i="4" s="1"/>
  <c r="AH338" i="4"/>
  <c r="AH380" i="4" s="1"/>
  <c r="AH298" i="4"/>
  <c r="AG326" i="4"/>
  <c r="AG380" i="4" s="1"/>
  <c r="AI282" i="4"/>
  <c r="AI284" i="4" s="1"/>
  <c r="AI338" i="4" s="1"/>
  <c r="AI380" i="4" s="1"/>
  <c r="AI293" i="4"/>
  <c r="AI296" i="4"/>
  <c r="AJ318" i="4"/>
  <c r="AJ322" i="4"/>
  <c r="AJ324" i="4" s="1"/>
  <c r="AL323" i="4"/>
  <c r="BZ64" i="13"/>
  <c r="BY133" i="13"/>
  <c r="AL312" i="4"/>
  <c r="AM303" i="4"/>
  <c r="AM313" i="4"/>
  <c r="AO309" i="4"/>
  <c r="AM317" i="4"/>
  <c r="AQ314" i="4"/>
  <c r="AL297" i="4"/>
  <c r="AN316" i="4"/>
  <c r="AJ294" i="4"/>
  <c r="AJ301" i="4"/>
  <c r="AJ304" i="4" s="1"/>
  <c r="AL281" i="4"/>
  <c r="AJ341" i="4"/>
  <c r="AL287" i="4"/>
  <c r="AL292" i="4"/>
  <c r="AL283" i="4"/>
  <c r="AL302" i="4"/>
  <c r="AM310" i="4"/>
  <c r="AH307" i="4"/>
  <c r="AH319" i="4" s="1"/>
  <c r="AL308" i="4"/>
  <c r="AL295" i="4"/>
  <c r="AL315" i="4"/>
  <c r="AL369" i="4" s="1"/>
  <c r="AL311" i="4"/>
  <c r="CD38" i="14" l="1"/>
  <c r="CD109" i="13"/>
  <c r="BS14" i="47"/>
  <c r="BS90" i="47" s="1"/>
  <c r="BV41" i="14"/>
  <c r="BV110" i="13"/>
  <c r="BY79" i="47"/>
  <c r="BU13" i="47"/>
  <c r="BU42" i="27" s="1"/>
  <c r="BY42" i="27" s="1"/>
  <c r="BV38" i="14"/>
  <c r="BV109" i="13"/>
  <c r="CD41" i="14"/>
  <c r="CD110" i="13"/>
  <c r="BR79" i="47"/>
  <c r="BR13" i="47" s="1"/>
  <c r="BR42" i="27" s="1"/>
  <c r="BP75" i="47"/>
  <c r="BN75" i="47" s="1"/>
  <c r="BQ82" i="47"/>
  <c r="BE108" i="9"/>
  <c r="BE54" i="9"/>
  <c r="AZ145" i="9"/>
  <c r="AZ115" i="9"/>
  <c r="AU92" i="10"/>
  <c r="AU125" i="9"/>
  <c r="AU187" i="9"/>
  <c r="AI385" i="4"/>
  <c r="AI288" i="4"/>
  <c r="AI289" i="4" s="1"/>
  <c r="AH326" i="4"/>
  <c r="AI298" i="4"/>
  <c r="AJ282" i="4"/>
  <c r="AJ284" i="4" s="1"/>
  <c r="AJ338" i="4" s="1"/>
  <c r="AJ380" i="4" s="1"/>
  <c r="AJ293" i="4"/>
  <c r="AJ296" i="4"/>
  <c r="AL318" i="4"/>
  <c r="AL322" i="4"/>
  <c r="AL324" i="4" s="1"/>
  <c r="AM323" i="4"/>
  <c r="BZ133" i="13"/>
  <c r="CA64" i="13"/>
  <c r="AN303" i="4"/>
  <c r="AM312" i="4"/>
  <c r="AN313" i="4"/>
  <c r="AQ309" i="4"/>
  <c r="AR314" i="4"/>
  <c r="AN317" i="4"/>
  <c r="AO316" i="4"/>
  <c r="AM297" i="4"/>
  <c r="AN310" i="4"/>
  <c r="AM292" i="4"/>
  <c r="AL341" i="4"/>
  <c r="AM287" i="4"/>
  <c r="AM281" i="4"/>
  <c r="AL294" i="4"/>
  <c r="AI307" i="4"/>
  <c r="AI319" i="4" s="1"/>
  <c r="AM302" i="4"/>
  <c r="AM283" i="4"/>
  <c r="AL301" i="4"/>
  <c r="AL304" i="4" s="1"/>
  <c r="AM315" i="4"/>
  <c r="AM369" i="4" s="1"/>
  <c r="AM295" i="4"/>
  <c r="AV307" i="4"/>
  <c r="AM308" i="4"/>
  <c r="AM311" i="4"/>
  <c r="BJ47" i="9" l="1"/>
  <c r="BR14" i="47"/>
  <c r="BR90" i="47" s="1"/>
  <c r="BS26" i="27"/>
  <c r="BS45" i="27"/>
  <c r="BY13" i="47"/>
  <c r="BU14" i="47"/>
  <c r="BU90" i="47" s="1"/>
  <c r="BY90" i="47" s="1"/>
  <c r="BS16" i="47"/>
  <c r="BQ79" i="47"/>
  <c r="BQ13" i="47" s="1"/>
  <c r="BQ42" i="27" s="1"/>
  <c r="BP82" i="47"/>
  <c r="BE115" i="9"/>
  <c r="BE78" i="10" s="1"/>
  <c r="BE145" i="9"/>
  <c r="AU190" i="9"/>
  <c r="AU128" i="9"/>
  <c r="AZ131" i="9"/>
  <c r="AZ147" i="9"/>
  <c r="AZ119" i="9"/>
  <c r="AJ288" i="4"/>
  <c r="AJ289" i="4" s="1"/>
  <c r="AI326" i="4"/>
  <c r="AJ385" i="4"/>
  <c r="AL282" i="4"/>
  <c r="AL284" i="4" s="1"/>
  <c r="AL338" i="4" s="1"/>
  <c r="AJ298" i="4"/>
  <c r="AL293" i="4"/>
  <c r="AL296" i="4"/>
  <c r="AM318" i="4"/>
  <c r="AM322" i="4"/>
  <c r="AM324" i="4" s="1"/>
  <c r="AN323" i="4"/>
  <c r="CA133" i="13"/>
  <c r="CB64" i="13"/>
  <c r="AO313" i="4"/>
  <c r="AN312" i="4"/>
  <c r="AO303" i="4"/>
  <c r="AR309" i="4"/>
  <c r="AO317" i="4"/>
  <c r="AS314" i="4"/>
  <c r="AN297" i="4"/>
  <c r="AQ316" i="4"/>
  <c r="AN302" i="4"/>
  <c r="AM294" i="4"/>
  <c r="AM341" i="4"/>
  <c r="AN287" i="4"/>
  <c r="AM301" i="4"/>
  <c r="AM304" i="4" s="1"/>
  <c r="AN283" i="4"/>
  <c r="AJ307" i="4"/>
  <c r="AJ319" i="4" s="1"/>
  <c r="AN281" i="4"/>
  <c r="AN292" i="4"/>
  <c r="AO310" i="4"/>
  <c r="AW307" i="4"/>
  <c r="AN311" i="4"/>
  <c r="AN295" i="4"/>
  <c r="AN308" i="4"/>
  <c r="AN315" i="4"/>
  <c r="AN369" i="4" s="1"/>
  <c r="BJ54" i="9" l="1"/>
  <c r="BO47" i="9" s="1"/>
  <c r="BJ108" i="9"/>
  <c r="BQ14" i="47"/>
  <c r="BQ90" i="47" s="1"/>
  <c r="BU26" i="27"/>
  <c r="BU45" i="27"/>
  <c r="BR16" i="47"/>
  <c r="BS109" i="13"/>
  <c r="BS38" i="14"/>
  <c r="BY14" i="47"/>
  <c r="BY16" i="47" s="1"/>
  <c r="BU16" i="47"/>
  <c r="BS41" i="14"/>
  <c r="BS110" i="13"/>
  <c r="BR26" i="27"/>
  <c r="BR45" i="27"/>
  <c r="BE131" i="9"/>
  <c r="BE119" i="9"/>
  <c r="BE147" i="9"/>
  <c r="AZ125" i="9"/>
  <c r="AZ187" i="9"/>
  <c r="AL288" i="4"/>
  <c r="AL289" i="4" s="1"/>
  <c r="AJ326" i="4"/>
  <c r="AL385" i="4"/>
  <c r="AM282" i="4"/>
  <c r="AM284" i="4" s="1"/>
  <c r="AM385" i="4" s="1"/>
  <c r="AL298" i="4"/>
  <c r="AM293" i="4"/>
  <c r="AM296" i="4"/>
  <c r="AN318" i="4"/>
  <c r="AN322" i="4"/>
  <c r="AN324" i="4" s="1"/>
  <c r="AO323" i="4"/>
  <c r="CC64" i="13"/>
  <c r="CB133" i="13"/>
  <c r="AQ303" i="4"/>
  <c r="AO312" i="4"/>
  <c r="AQ313" i="4"/>
  <c r="AS309" i="4"/>
  <c r="AT314" i="4"/>
  <c r="AQ317" i="4"/>
  <c r="AR316" i="4"/>
  <c r="AO297" i="4"/>
  <c r="AQ310" i="4"/>
  <c r="AO281" i="4"/>
  <c r="AL307" i="4"/>
  <c r="AL319" i="4" s="1"/>
  <c r="AO283" i="4"/>
  <c r="AN301" i="4"/>
  <c r="AN304" i="4" s="1"/>
  <c r="AN294" i="4"/>
  <c r="AO292" i="4"/>
  <c r="AN341" i="4"/>
  <c r="AO287" i="4"/>
  <c r="AO302" i="4"/>
  <c r="AO308" i="4"/>
  <c r="AO311" i="4"/>
  <c r="AO295" i="4"/>
  <c r="AO315" i="4"/>
  <c r="AO369" i="4" s="1"/>
  <c r="AX307" i="4"/>
  <c r="BO54" i="9" l="1"/>
  <c r="BO108" i="9"/>
  <c r="BJ145" i="9"/>
  <c r="BJ115" i="9"/>
  <c r="BQ16" i="47"/>
  <c r="BR109" i="13"/>
  <c r="BR38" i="14"/>
  <c r="BY45" i="27"/>
  <c r="BU110" i="13"/>
  <c r="BU41" i="14"/>
  <c r="BQ26" i="27"/>
  <c r="BQ45" i="27"/>
  <c r="BR110" i="13"/>
  <c r="BR41" i="14"/>
  <c r="BY26" i="27"/>
  <c r="BU109" i="13"/>
  <c r="BU38" i="14"/>
  <c r="BE92" i="10"/>
  <c r="AM338" i="4"/>
  <c r="BE125" i="9"/>
  <c r="BE190" i="9" s="1"/>
  <c r="BE187" i="9"/>
  <c r="AZ190" i="9"/>
  <c r="AZ128" i="9"/>
  <c r="AM288" i="4"/>
  <c r="AM289" i="4" s="1"/>
  <c r="AL326" i="4"/>
  <c r="AL380" i="4" s="1"/>
  <c r="AN282" i="4"/>
  <c r="AN284" i="4" s="1"/>
  <c r="AN385" i="4" s="1"/>
  <c r="AN293" i="4"/>
  <c r="AM298" i="4"/>
  <c r="AN296" i="4"/>
  <c r="AO318" i="4"/>
  <c r="AO322" i="4"/>
  <c r="AO324" i="4" s="1"/>
  <c r="AQ323" i="4"/>
  <c r="CD64" i="13"/>
  <c r="CC133" i="13"/>
  <c r="AR313" i="4"/>
  <c r="AQ312" i="4"/>
  <c r="AR303" i="4"/>
  <c r="AT309" i="4"/>
  <c r="AR317" i="4"/>
  <c r="AV314" i="4"/>
  <c r="AQ297" i="4"/>
  <c r="AS316" i="4"/>
  <c r="AO341" i="4"/>
  <c r="AQ287" i="4"/>
  <c r="AO294" i="4"/>
  <c r="AM307" i="4"/>
  <c r="AM319" i="4" s="1"/>
  <c r="AQ281" i="4"/>
  <c r="AR310" i="4"/>
  <c r="AQ302" i="4"/>
  <c r="AQ292" i="4"/>
  <c r="AO301" i="4"/>
  <c r="AO304" i="4" s="1"/>
  <c r="AQ283" i="4"/>
  <c r="AQ311" i="4"/>
  <c r="AQ308" i="4"/>
  <c r="AY307" i="4"/>
  <c r="AQ315" i="4"/>
  <c r="AQ369" i="4" s="1"/>
  <c r="CG369" i="4" s="1"/>
  <c r="AQ295" i="4"/>
  <c r="BO115" i="9" l="1"/>
  <c r="BJ131" i="9"/>
  <c r="BJ78" i="10"/>
  <c r="BJ147" i="9"/>
  <c r="BJ119" i="9"/>
  <c r="BQ41" i="14"/>
  <c r="BQ110" i="13"/>
  <c r="BY41" i="14"/>
  <c r="BY110" i="13"/>
  <c r="BY109" i="13"/>
  <c r="BY38" i="14"/>
  <c r="BQ109" i="13"/>
  <c r="BQ38" i="14"/>
  <c r="BE128" i="9"/>
  <c r="AN338" i="4"/>
  <c r="AN288" i="4"/>
  <c r="AN289" i="4" s="1"/>
  <c r="CD133" i="13"/>
  <c r="AM326" i="4"/>
  <c r="AM380" i="4" s="1"/>
  <c r="AN298" i="4"/>
  <c r="AO282" i="4"/>
  <c r="AO284" i="4" s="1"/>
  <c r="AO338" i="4" s="1"/>
  <c r="AO293" i="4"/>
  <c r="AO296" i="4"/>
  <c r="AQ318" i="4"/>
  <c r="AQ322" i="4"/>
  <c r="AQ324" i="4" s="1"/>
  <c r="AR323" i="4"/>
  <c r="AS303" i="4"/>
  <c r="AR312" i="4"/>
  <c r="AS313" i="4"/>
  <c r="AV309" i="4"/>
  <c r="AS317" i="4"/>
  <c r="AW314" i="4"/>
  <c r="AT316" i="4"/>
  <c r="AR297" i="4"/>
  <c r="AR283" i="4"/>
  <c r="AR292" i="4"/>
  <c r="AR281" i="4"/>
  <c r="AQ341" i="4"/>
  <c r="AR287" i="4"/>
  <c r="AQ301" i="4"/>
  <c r="AQ304" i="4" s="1"/>
  <c r="AR302" i="4"/>
  <c r="AS310" i="4"/>
  <c r="AN307" i="4"/>
  <c r="AN319" i="4" s="1"/>
  <c r="AQ294" i="4"/>
  <c r="AR315" i="4"/>
  <c r="AR369" i="4" s="1"/>
  <c r="CH369" i="4" s="1"/>
  <c r="AR308" i="4"/>
  <c r="AR311" i="4"/>
  <c r="AR295" i="4"/>
  <c r="BA307" i="4"/>
  <c r="BJ187" i="9" l="1"/>
  <c r="BJ125" i="9"/>
  <c r="AO288" i="4"/>
  <c r="AO289" i="4" s="1"/>
  <c r="AN326" i="4"/>
  <c r="AN380" i="4" s="1"/>
  <c r="AO385" i="4"/>
  <c r="AO298" i="4"/>
  <c r="AQ282" i="4"/>
  <c r="AQ284" i="4" s="1"/>
  <c r="AQ385" i="4" s="1"/>
  <c r="AQ293" i="4"/>
  <c r="AQ296" i="4"/>
  <c r="AR318" i="4"/>
  <c r="AR322" i="4"/>
  <c r="AR324" i="4" s="1"/>
  <c r="AS323" i="4"/>
  <c r="AT313" i="4"/>
  <c r="AS312" i="4"/>
  <c r="AT303" i="4"/>
  <c r="AW309" i="4"/>
  <c r="AX314" i="4"/>
  <c r="AT317" i="4"/>
  <c r="AS297" i="4"/>
  <c r="AV316" i="4"/>
  <c r="AR294" i="4"/>
  <c r="AO307" i="4"/>
  <c r="AO319" i="4" s="1"/>
  <c r="AS302" i="4"/>
  <c r="AR301" i="4"/>
  <c r="AR304" i="4" s="1"/>
  <c r="AR341" i="4"/>
  <c r="AS287" i="4"/>
  <c r="AS283" i="4"/>
  <c r="AT310" i="4"/>
  <c r="AS281" i="4"/>
  <c r="AS292" i="4"/>
  <c r="AS295" i="4"/>
  <c r="AS308" i="4"/>
  <c r="AS315" i="4"/>
  <c r="AS369" i="4" s="1"/>
  <c r="CI369" i="4" s="1"/>
  <c r="BB307" i="4"/>
  <c r="AS311" i="4"/>
  <c r="BJ128" i="9" l="1"/>
  <c r="BJ190" i="9"/>
  <c r="AQ288" i="4"/>
  <c r="AQ289" i="4" s="1"/>
  <c r="AQ338" i="4"/>
  <c r="AO326" i="4"/>
  <c r="AO380" i="4" s="1"/>
  <c r="AR282" i="4"/>
  <c r="AR284" i="4" s="1"/>
  <c r="AR385" i="4" s="1"/>
  <c r="AQ298" i="4"/>
  <c r="AR293" i="4"/>
  <c r="AR296" i="4"/>
  <c r="AS318" i="4"/>
  <c r="AS322" i="4"/>
  <c r="AS324" i="4" s="1"/>
  <c r="AT323" i="4"/>
  <c r="AV303" i="4"/>
  <c r="AT312" i="4"/>
  <c r="AV313" i="4"/>
  <c r="AX309" i="4"/>
  <c r="AV317" i="4"/>
  <c r="AY314" i="4"/>
  <c r="AW316" i="4"/>
  <c r="AT297" i="4"/>
  <c r="AV310" i="4"/>
  <c r="AQ307" i="4"/>
  <c r="AQ319" i="4" s="1"/>
  <c r="AS294" i="4"/>
  <c r="AT292" i="4"/>
  <c r="AT281" i="4"/>
  <c r="AT283" i="4"/>
  <c r="AS341" i="4"/>
  <c r="AT287" i="4"/>
  <c r="AS301" i="4"/>
  <c r="AS304" i="4" s="1"/>
  <c r="AT302" i="4"/>
  <c r="AT311" i="4"/>
  <c r="BC307" i="4"/>
  <c r="AT315" i="4"/>
  <c r="AT369" i="4" s="1"/>
  <c r="CJ369" i="4" s="1"/>
  <c r="AT295" i="4"/>
  <c r="AT308" i="4"/>
  <c r="AR288" i="4" l="1"/>
  <c r="AR289" i="4" s="1"/>
  <c r="AR298" i="4"/>
  <c r="AQ326" i="4"/>
  <c r="AQ380" i="4" s="1"/>
  <c r="AR338" i="4"/>
  <c r="AS282" i="4"/>
  <c r="AS284" i="4" s="1"/>
  <c r="AS385" i="4" s="1"/>
  <c r="AS293" i="4"/>
  <c r="AS296" i="4"/>
  <c r="AT318" i="4"/>
  <c r="AT322" i="4"/>
  <c r="AT324" i="4" s="1"/>
  <c r="AV323" i="4"/>
  <c r="AW313" i="4"/>
  <c r="AV312" i="4"/>
  <c r="AW303" i="4"/>
  <c r="AY309" i="4"/>
  <c r="AW317" i="4"/>
  <c r="BA314" i="4"/>
  <c r="AV297" i="4"/>
  <c r="AX316" i="4"/>
  <c r="AV283" i="4"/>
  <c r="AV281" i="4"/>
  <c r="AV292" i="4"/>
  <c r="AT294" i="4"/>
  <c r="AV302" i="4"/>
  <c r="AT301" i="4"/>
  <c r="AT304" i="4" s="1"/>
  <c r="AT341" i="4"/>
  <c r="AV287" i="4"/>
  <c r="AR307" i="4"/>
  <c r="AR319" i="4" s="1"/>
  <c r="AW310" i="4"/>
  <c r="AV308" i="4"/>
  <c r="AV295" i="4"/>
  <c r="AV315" i="4"/>
  <c r="AV369" i="4" s="1"/>
  <c r="BD307" i="4"/>
  <c r="AV311" i="4"/>
  <c r="BJ92" i="47" l="1"/>
  <c r="AR326" i="4"/>
  <c r="AR380" i="4" s="1"/>
  <c r="AS288" i="4"/>
  <c r="AS289" i="4" s="1"/>
  <c r="AS338" i="4"/>
  <c r="AS298" i="4"/>
  <c r="AT282" i="4"/>
  <c r="AT284" i="4" s="1"/>
  <c r="AT338" i="4" s="1"/>
  <c r="AT293" i="4"/>
  <c r="AT296" i="4"/>
  <c r="AV318" i="4"/>
  <c r="AV319" i="4" s="1"/>
  <c r="AV322" i="4"/>
  <c r="AV324" i="4" s="1"/>
  <c r="AW323" i="4"/>
  <c r="AQ382" i="4"/>
  <c r="CG380" i="4"/>
  <c r="AX303" i="4"/>
  <c r="AW312" i="4"/>
  <c r="AX313" i="4"/>
  <c r="BA309" i="4"/>
  <c r="BB314" i="4"/>
  <c r="AX317" i="4"/>
  <c r="AY316" i="4"/>
  <c r="AW297" i="4"/>
  <c r="AX310" i="4"/>
  <c r="AS307" i="4"/>
  <c r="AS319" i="4" s="1"/>
  <c r="AV341" i="4"/>
  <c r="AW287" i="4"/>
  <c r="AV301" i="4"/>
  <c r="AV304" i="4" s="1"/>
  <c r="AW302" i="4"/>
  <c r="AQ381" i="4"/>
  <c r="AV294" i="4"/>
  <c r="AW281" i="4"/>
  <c r="AW292" i="4"/>
  <c r="AW283" i="4"/>
  <c r="BF307" i="4"/>
  <c r="AW315" i="4"/>
  <c r="AW369" i="4" s="1"/>
  <c r="AW295" i="4"/>
  <c r="AW308" i="4"/>
  <c r="AW311" i="4"/>
  <c r="BJ91" i="47" l="1"/>
  <c r="BJ13" i="47"/>
  <c r="AT288" i="4"/>
  <c r="AT289" i="4" s="1"/>
  <c r="AS326" i="4"/>
  <c r="AS380" i="4" s="1"/>
  <c r="CI380" i="4" s="1"/>
  <c r="AT298" i="4"/>
  <c r="AT385" i="4"/>
  <c r="AV282" i="4"/>
  <c r="AV284" i="4" s="1"/>
  <c r="AV385" i="4" s="1"/>
  <c r="AV293" i="4"/>
  <c r="AV296" i="4"/>
  <c r="AW318" i="4"/>
  <c r="AW322" i="4"/>
  <c r="AW324" i="4" s="1"/>
  <c r="AX323" i="4"/>
  <c r="AR382" i="4"/>
  <c r="CH380" i="4"/>
  <c r="AY313" i="4"/>
  <c r="AX312" i="4"/>
  <c r="AY303" i="4"/>
  <c r="BB309" i="4"/>
  <c r="AY317" i="4"/>
  <c r="BC314" i="4"/>
  <c r="AX297" i="4"/>
  <c r="BA316" i="4"/>
  <c r="AX302" i="4"/>
  <c r="AX283" i="4"/>
  <c r="AW301" i="4"/>
  <c r="AW304" i="4" s="1"/>
  <c r="AT307" i="4"/>
  <c r="AT319" i="4" s="1"/>
  <c r="AY310" i="4"/>
  <c r="AX292" i="4"/>
  <c r="AR381" i="4"/>
  <c r="AX281" i="4"/>
  <c r="AW294" i="4"/>
  <c r="AW341" i="4"/>
  <c r="AX287" i="4"/>
  <c r="AX311" i="4"/>
  <c r="AX308" i="4"/>
  <c r="AX295" i="4"/>
  <c r="AX315" i="4"/>
  <c r="AX369" i="4" s="1"/>
  <c r="BG307" i="4"/>
  <c r="BK16" i="47" l="1"/>
  <c r="BI38" i="14"/>
  <c r="BI10" i="12" s="1"/>
  <c r="BI109" i="13"/>
  <c r="BJ90" i="47"/>
  <c r="BJ14" i="47"/>
  <c r="BJ16" i="47" s="1"/>
  <c r="AV288" i="4"/>
  <c r="AV289" i="4" s="1"/>
  <c r="AT326" i="4"/>
  <c r="AT380" i="4" s="1"/>
  <c r="CJ380" i="4" s="1"/>
  <c r="AV338" i="4"/>
  <c r="AW282" i="4"/>
  <c r="AW284" i="4" s="1"/>
  <c r="AW385" i="4" s="1"/>
  <c r="AV298" i="4"/>
  <c r="AV136" i="4" s="1"/>
  <c r="AW293" i="4"/>
  <c r="AW296" i="4"/>
  <c r="AX318" i="4"/>
  <c r="AX322" i="4"/>
  <c r="AX324" i="4" s="1"/>
  <c r="AY323" i="4"/>
  <c r="AW319" i="4"/>
  <c r="BA303" i="4"/>
  <c r="AY312" i="4"/>
  <c r="BA313" i="4"/>
  <c r="BC309" i="4"/>
  <c r="BD314" i="4"/>
  <c r="BA317" i="4"/>
  <c r="BB316" i="4"/>
  <c r="AY297" i="4"/>
  <c r="AX341" i="4"/>
  <c r="AY287" i="4"/>
  <c r="AY341" i="4" s="1"/>
  <c r="AY292" i="4"/>
  <c r="BA310" i="4"/>
  <c r="AS382" i="4"/>
  <c r="AS381" i="4"/>
  <c r="AX301" i="4"/>
  <c r="AX304" i="4" s="1"/>
  <c r="AY283" i="4"/>
  <c r="AY302" i="4"/>
  <c r="AX294" i="4"/>
  <c r="AY281" i="4"/>
  <c r="AY295" i="4"/>
  <c r="AY308" i="4"/>
  <c r="BH307" i="4"/>
  <c r="AY315" i="4"/>
  <c r="AY311" i="4"/>
  <c r="BI197" i="12" l="1"/>
  <c r="BI210" i="12"/>
  <c r="BI211" i="12" s="1"/>
  <c r="BI25" i="12"/>
  <c r="BJ26" i="27"/>
  <c r="BH109" i="13"/>
  <c r="BH38" i="14"/>
  <c r="BH10" i="12" s="1"/>
  <c r="BK38" i="14"/>
  <c r="BK10" i="12" s="1"/>
  <c r="BK109" i="13"/>
  <c r="AW288" i="4"/>
  <c r="AW289" i="4" s="1"/>
  <c r="AW338" i="4"/>
  <c r="AV326" i="4"/>
  <c r="AV380" i="4" s="1"/>
  <c r="AV381" i="4" s="1"/>
  <c r="AX282" i="4"/>
  <c r="AX284" i="4" s="1"/>
  <c r="AX385" i="4" s="1"/>
  <c r="AW298" i="4"/>
  <c r="AW136" i="4" s="1"/>
  <c r="AX293" i="4"/>
  <c r="AX296" i="4"/>
  <c r="AY318" i="4"/>
  <c r="AY322" i="4"/>
  <c r="AY324" i="4" s="1"/>
  <c r="BA323" i="4"/>
  <c r="AY369" i="4"/>
  <c r="BB313" i="4"/>
  <c r="BA312" i="4"/>
  <c r="BB303" i="4"/>
  <c r="AX319" i="4"/>
  <c r="BD309" i="4"/>
  <c r="BB317" i="4"/>
  <c r="BF314" i="4"/>
  <c r="AZ482" i="7"/>
  <c r="BA297" i="4"/>
  <c r="BC316" i="4"/>
  <c r="BA283" i="4"/>
  <c r="AT381" i="4"/>
  <c r="AT382" i="4"/>
  <c r="BA292" i="4"/>
  <c r="BA287" i="4"/>
  <c r="BA341" i="4" s="1"/>
  <c r="BA281" i="4"/>
  <c r="AY294" i="4"/>
  <c r="BA302" i="4"/>
  <c r="AY301" i="4"/>
  <c r="AY304" i="4" s="1"/>
  <c r="BB310" i="4"/>
  <c r="BI307" i="4"/>
  <c r="BA311" i="4"/>
  <c r="BA315" i="4"/>
  <c r="BA369" i="4" s="1"/>
  <c r="BA295" i="4"/>
  <c r="BA308" i="4"/>
  <c r="BK25" i="12" l="1"/>
  <c r="BK12" i="12"/>
  <c r="BK210" i="12"/>
  <c r="BK211" i="12" s="1"/>
  <c r="BK197" i="12"/>
  <c r="BH210" i="12"/>
  <c r="BH211" i="12" s="1"/>
  <c r="BH197" i="12"/>
  <c r="BJ109" i="13"/>
  <c r="BJ38" i="14"/>
  <c r="BJ10" i="12" s="1"/>
  <c r="AX288" i="4"/>
  <c r="AX289" i="4" s="1"/>
  <c r="AV382" i="4"/>
  <c r="AX338" i="4"/>
  <c r="AX298" i="4"/>
  <c r="AX136" i="4" s="1"/>
  <c r="AW326" i="4"/>
  <c r="AW380" i="4" s="1"/>
  <c r="AW381" i="4" s="1"/>
  <c r="AY282" i="4"/>
  <c r="AY284" i="4" s="1"/>
  <c r="AY385" i="4" s="1"/>
  <c r="AY293" i="4"/>
  <c r="AY296" i="4"/>
  <c r="BA318" i="4"/>
  <c r="BA322" i="4"/>
  <c r="BA324" i="4" s="1"/>
  <c r="BB323" i="4"/>
  <c r="AY319" i="4"/>
  <c r="BC303" i="4"/>
  <c r="BB312" i="4"/>
  <c r="BC313" i="4"/>
  <c r="BF309" i="4"/>
  <c r="BG314" i="4"/>
  <c r="BC317" i="4"/>
  <c r="BD316" i="4"/>
  <c r="BB297" i="4"/>
  <c r="BA301" i="4"/>
  <c r="BA304" i="4" s="1"/>
  <c r="BC281" i="4"/>
  <c r="BB281" i="4"/>
  <c r="BB287" i="4"/>
  <c r="BB341" i="4" s="1"/>
  <c r="BB283" i="4"/>
  <c r="BC310" i="4"/>
  <c r="BB302" i="4"/>
  <c r="BA294" i="4"/>
  <c r="BB292" i="4"/>
  <c r="BB308" i="4"/>
  <c r="BB295" i="4"/>
  <c r="BB311" i="4"/>
  <c r="BK307" i="4"/>
  <c r="BB315" i="4"/>
  <c r="BB369" i="4" s="1"/>
  <c r="BH25" i="12" l="1"/>
  <c r="BH12" i="12"/>
  <c r="BJ197" i="12"/>
  <c r="BJ210" i="12"/>
  <c r="BJ211" i="12" s="1"/>
  <c r="AY288" i="4"/>
  <c r="AY289" i="4" s="1"/>
  <c r="AX326" i="4"/>
  <c r="AX380" i="4" s="1"/>
  <c r="AX381" i="4" s="1"/>
  <c r="AY338" i="4"/>
  <c r="AW382" i="4"/>
  <c r="AY298" i="4"/>
  <c r="AY136" i="4" s="1"/>
  <c r="BA282" i="4"/>
  <c r="BA284" i="4" s="1"/>
  <c r="BA338" i="4" s="1"/>
  <c r="BA293" i="4"/>
  <c r="BA296" i="4"/>
  <c r="BB318" i="4"/>
  <c r="BB322" i="4"/>
  <c r="BB324" i="4" s="1"/>
  <c r="BC323" i="4"/>
  <c r="BA319" i="4"/>
  <c r="BD313" i="4"/>
  <c r="BC312" i="4"/>
  <c r="BD303" i="4"/>
  <c r="BG309" i="4"/>
  <c r="BH314" i="4"/>
  <c r="BD317" i="4"/>
  <c r="BC297" i="4"/>
  <c r="BF316" i="4"/>
  <c r="BC283" i="4"/>
  <c r="BB301" i="4"/>
  <c r="BB304" i="4" s="1"/>
  <c r="BC292" i="4"/>
  <c r="BB294" i="4"/>
  <c r="BC302" i="4"/>
  <c r="BD310" i="4"/>
  <c r="BC287" i="4"/>
  <c r="BC341" i="4" s="1"/>
  <c r="BC311" i="4"/>
  <c r="BC315" i="4"/>
  <c r="BC369" i="4" s="1"/>
  <c r="BC295" i="4"/>
  <c r="BL307" i="4"/>
  <c r="BC308" i="4"/>
  <c r="BA288" i="4" l="1"/>
  <c r="BA289" i="4" s="1"/>
  <c r="AX382" i="4"/>
  <c r="BA385" i="4"/>
  <c r="BA298" i="4"/>
  <c r="BA136" i="4" s="1"/>
  <c r="AY326" i="4"/>
  <c r="AY380" i="4" s="1"/>
  <c r="AY381" i="4" s="1"/>
  <c r="BB282" i="4"/>
  <c r="BB284" i="4" s="1"/>
  <c r="BB338" i="4" s="1"/>
  <c r="BB319" i="4"/>
  <c r="BB293" i="4"/>
  <c r="BB296" i="4"/>
  <c r="BC318" i="4"/>
  <c r="BC322" i="4"/>
  <c r="BC324" i="4" s="1"/>
  <c r="BD323" i="4"/>
  <c r="AZ103" i="4"/>
  <c r="AZ103" i="5" s="1"/>
  <c r="BF303" i="4"/>
  <c r="BD312" i="4"/>
  <c r="BF313" i="4"/>
  <c r="BH309" i="4"/>
  <c r="BF317" i="4"/>
  <c r="BI314" i="4"/>
  <c r="BG316" i="4"/>
  <c r="BD297" i="4"/>
  <c r="BD287" i="4"/>
  <c r="BD341" i="4" s="1"/>
  <c r="BF310" i="4"/>
  <c r="BC294" i="4"/>
  <c r="BD292" i="4"/>
  <c r="BD281" i="4"/>
  <c r="BD302" i="4"/>
  <c r="BC301" i="4"/>
  <c r="BC304" i="4" s="1"/>
  <c r="BD283" i="4"/>
  <c r="BE73" i="5"/>
  <c r="BE127" i="5" s="1"/>
  <c r="BD308" i="4"/>
  <c r="BM307" i="4"/>
  <c r="BD295" i="4"/>
  <c r="BD315" i="4"/>
  <c r="BD369" i="4" s="1"/>
  <c r="BD311" i="4"/>
  <c r="BE103" i="4" l="1"/>
  <c r="BB288" i="4"/>
  <c r="BB289" i="4" s="1"/>
  <c r="BB385" i="4"/>
  <c r="AY382" i="4"/>
  <c r="BA326" i="4"/>
  <c r="BA380" i="4" s="1"/>
  <c r="BA381" i="4" s="1"/>
  <c r="BB298" i="4"/>
  <c r="BB136" i="4" s="1"/>
  <c r="BC282" i="4"/>
  <c r="BC284" i="4" s="1"/>
  <c r="BC293" i="4"/>
  <c r="BC296" i="4"/>
  <c r="BC319" i="4"/>
  <c r="BD318" i="4"/>
  <c r="BE108" i="5"/>
  <c r="BE162" i="5" s="1"/>
  <c r="BD322" i="4"/>
  <c r="BD324" i="4" s="1"/>
  <c r="BF323" i="4"/>
  <c r="AZ817" i="7"/>
  <c r="AZ819" i="7" s="1"/>
  <c r="AZ110" i="4"/>
  <c r="AZ872" i="7"/>
  <c r="AZ110" i="5"/>
  <c r="AZ101" i="10" s="1"/>
  <c r="BF312" i="4"/>
  <c r="BG303" i="4"/>
  <c r="BG313" i="4"/>
  <c r="BI309" i="4"/>
  <c r="BK314" i="4"/>
  <c r="BG317" i="4"/>
  <c r="BF297" i="4"/>
  <c r="BH316" i="4"/>
  <c r="BF283" i="4"/>
  <c r="BD301" i="4"/>
  <c r="BD304" i="4" s="1"/>
  <c r="BF302" i="4"/>
  <c r="BF281" i="4"/>
  <c r="BF292" i="4"/>
  <c r="BD294" i="4"/>
  <c r="BF287" i="4"/>
  <c r="BF341" i="4" s="1"/>
  <c r="BE68" i="5"/>
  <c r="BE122" i="5" s="1"/>
  <c r="BG310" i="4"/>
  <c r="AZ235" i="7"/>
  <c r="BF295" i="4"/>
  <c r="BN307" i="4"/>
  <c r="BF315" i="4"/>
  <c r="BF369" i="4" s="1"/>
  <c r="BF311" i="4"/>
  <c r="BF308" i="4"/>
  <c r="BC338" i="4" l="1"/>
  <c r="BA165" i="4"/>
  <c r="BA166" i="4" s="1"/>
  <c r="BE110" i="4"/>
  <c r="BE872" i="7"/>
  <c r="BE817" i="7"/>
  <c r="BC288" i="4"/>
  <c r="BC289" i="4" s="1"/>
  <c r="BA382" i="4"/>
  <c r="AZ52" i="7"/>
  <c r="BB326" i="4"/>
  <c r="BB380" i="4" s="1"/>
  <c r="BB381" i="4" s="1"/>
  <c r="BC298" i="4"/>
  <c r="BC136" i="4" s="1"/>
  <c r="BD282" i="4"/>
  <c r="BD284" i="4" s="1"/>
  <c r="BD338" i="4" s="1"/>
  <c r="BD293" i="4"/>
  <c r="AZ825" i="7"/>
  <c r="AZ826" i="7" s="1"/>
  <c r="BD296" i="4"/>
  <c r="BF318" i="4"/>
  <c r="BF322" i="4"/>
  <c r="BF324" i="4" s="1"/>
  <c r="BG323" i="4"/>
  <c r="AZ543" i="7"/>
  <c r="AZ545" i="7" s="1"/>
  <c r="AZ880" i="7"/>
  <c r="AZ834" i="7"/>
  <c r="AZ833" i="7"/>
  <c r="AZ836" i="7" s="1"/>
  <c r="AZ829" i="7"/>
  <c r="AZ832" i="7"/>
  <c r="AZ831" i="7"/>
  <c r="AZ830" i="7"/>
  <c r="AZ874" i="7"/>
  <c r="AZ889" i="7" s="1"/>
  <c r="BD319" i="4"/>
  <c r="BH313" i="4"/>
  <c r="BH303" i="4"/>
  <c r="BG312" i="4"/>
  <c r="BK309" i="4"/>
  <c r="BH317" i="4"/>
  <c r="BL314" i="4"/>
  <c r="BI316" i="4"/>
  <c r="BG297" i="4"/>
  <c r="BG287" i="4"/>
  <c r="BG341" i="4" s="1"/>
  <c r="BG292" i="4"/>
  <c r="BG302" i="4"/>
  <c r="BF301" i="4"/>
  <c r="BF304" i="4" s="1"/>
  <c r="BG283" i="4"/>
  <c r="BH310" i="4"/>
  <c r="BF294" i="4"/>
  <c r="BG281" i="4"/>
  <c r="BG311" i="4"/>
  <c r="BG315" i="4"/>
  <c r="BG369" i="4" s="1"/>
  <c r="BP307" i="4"/>
  <c r="BG308" i="4"/>
  <c r="BG295" i="4"/>
  <c r="BE543" i="7" l="1"/>
  <c r="BD385" i="4"/>
  <c r="BD288" i="4"/>
  <c r="BD289" i="4" s="1"/>
  <c r="BC385" i="4"/>
  <c r="BC326" i="4"/>
  <c r="BC380" i="4" s="1"/>
  <c r="BC381" i="4" s="1"/>
  <c r="BF282" i="4"/>
  <c r="BF284" i="4" s="1"/>
  <c r="BD298" i="4"/>
  <c r="BD136" i="4" s="1"/>
  <c r="BF293" i="4"/>
  <c r="AZ551" i="7"/>
  <c r="AZ552" i="7" s="1"/>
  <c r="BF296" i="4"/>
  <c r="BG318" i="4"/>
  <c r="BG322" i="4"/>
  <c r="BG324" i="4" s="1"/>
  <c r="BH323" i="4"/>
  <c r="AZ559" i="7"/>
  <c r="AZ562" i="7" s="1"/>
  <c r="AZ555" i="7"/>
  <c r="AZ558" i="7"/>
  <c r="AZ573" i="7"/>
  <c r="AZ557" i="7"/>
  <c r="AZ560" i="7"/>
  <c r="AZ556" i="7"/>
  <c r="AZ887" i="7"/>
  <c r="AZ884" i="7"/>
  <c r="BF319" i="4"/>
  <c r="BI313" i="4"/>
  <c r="BH312" i="4"/>
  <c r="BI303" i="4"/>
  <c r="BL309" i="4"/>
  <c r="BM314" i="4"/>
  <c r="BI317" i="4"/>
  <c r="BH297" i="4"/>
  <c r="BK316" i="4"/>
  <c r="BH281" i="4"/>
  <c r="BG294" i="4"/>
  <c r="BG301" i="4"/>
  <c r="BG304" i="4" s="1"/>
  <c r="BH292" i="4"/>
  <c r="BH287" i="4"/>
  <c r="BH341" i="4" s="1"/>
  <c r="BI310" i="4"/>
  <c r="BH283" i="4"/>
  <c r="BH302" i="4"/>
  <c r="BH308" i="4"/>
  <c r="BH315" i="4"/>
  <c r="BH369" i="4" s="1"/>
  <c r="BP145" i="4"/>
  <c r="BH295" i="4"/>
  <c r="BQ307" i="4"/>
  <c r="BH311" i="4"/>
  <c r="BF338" i="4" l="1"/>
  <c r="BF385" i="4"/>
  <c r="BB165" i="4"/>
  <c r="BB166" i="4" s="1"/>
  <c r="BC165" i="4"/>
  <c r="BC166" i="4" s="1"/>
  <c r="BF288" i="4"/>
  <c r="BF289" i="4" s="1"/>
  <c r="BB382" i="4"/>
  <c r="BC382" i="4"/>
  <c r="BD326" i="4"/>
  <c r="BD380" i="4" s="1"/>
  <c r="BD381" i="4" s="1"/>
  <c r="BF298" i="4"/>
  <c r="BG282" i="4"/>
  <c r="BG284" i="4" s="1"/>
  <c r="BG293" i="4"/>
  <c r="BG296" i="4"/>
  <c r="BH318" i="4"/>
  <c r="BG319" i="4"/>
  <c r="BH322" i="4"/>
  <c r="BH324" i="4" s="1"/>
  <c r="BI323" i="4"/>
  <c r="BK303" i="4"/>
  <c r="BI312" i="4"/>
  <c r="BK313" i="4"/>
  <c r="BM309" i="4"/>
  <c r="BK317" i="4"/>
  <c r="BN314" i="4"/>
  <c r="BL316" i="4"/>
  <c r="BI297" i="4"/>
  <c r="BI283" i="4"/>
  <c r="BK310" i="4"/>
  <c r="BI287" i="4"/>
  <c r="BI341" i="4" s="1"/>
  <c r="BI302" i="4"/>
  <c r="BI292" i="4"/>
  <c r="BH301" i="4"/>
  <c r="BH304" i="4" s="1"/>
  <c r="BH294" i="4"/>
  <c r="BI281" i="4"/>
  <c r="BI311" i="4"/>
  <c r="BQ145" i="4"/>
  <c r="BI315" i="4"/>
  <c r="BR307" i="4"/>
  <c r="BI295" i="4"/>
  <c r="BI308" i="4"/>
  <c r="BG338" i="4" l="1"/>
  <c r="BG385" i="4"/>
  <c r="BI369" i="4"/>
  <c r="BF326" i="4"/>
  <c r="BF380" i="4" s="1"/>
  <c r="BF381" i="4" s="1"/>
  <c r="BG288" i="4"/>
  <c r="BG289" i="4" s="1"/>
  <c r="BF136" i="4"/>
  <c r="BG298" i="4"/>
  <c r="BG136" i="4" s="1"/>
  <c r="BH282" i="4"/>
  <c r="BH284" i="4" s="1"/>
  <c r="BH293" i="4"/>
  <c r="BH296" i="4"/>
  <c r="BI318" i="4"/>
  <c r="BH319" i="4"/>
  <c r="BI322" i="4"/>
  <c r="BI324" i="4" s="1"/>
  <c r="BK323" i="4"/>
  <c r="BL313" i="4"/>
  <c r="BK312" i="4"/>
  <c r="BL303" i="4"/>
  <c r="BN309" i="4"/>
  <c r="BP314" i="4"/>
  <c r="BP152" i="4" s="1"/>
  <c r="BL317" i="4"/>
  <c r="BK297" i="4"/>
  <c r="BM316" i="4"/>
  <c r="BK292" i="4"/>
  <c r="BK302" i="4"/>
  <c r="BK283" i="4"/>
  <c r="BI294" i="4"/>
  <c r="BI301" i="4"/>
  <c r="BI304" i="4" s="1"/>
  <c r="BK287" i="4"/>
  <c r="BL310" i="4"/>
  <c r="BK295" i="4"/>
  <c r="BS307" i="4"/>
  <c r="BK315" i="4"/>
  <c r="BK311" i="4"/>
  <c r="BK308" i="4"/>
  <c r="BR145" i="4"/>
  <c r="BH338" i="4" l="1"/>
  <c r="BH385" i="4"/>
  <c r="BF165" i="4"/>
  <c r="BF166" i="4" s="1"/>
  <c r="BH288" i="4"/>
  <c r="BH289" i="4" s="1"/>
  <c r="BD165" i="4"/>
  <c r="BD166" i="4" s="1"/>
  <c r="BD382" i="4"/>
  <c r="BG326" i="4"/>
  <c r="BG380" i="4" s="1"/>
  <c r="BG381" i="4" s="1"/>
  <c r="BH298" i="4"/>
  <c r="BH136" i="4" s="1"/>
  <c r="BI282" i="4"/>
  <c r="BI284" i="4" s="1"/>
  <c r="BI293" i="4"/>
  <c r="BI296" i="4"/>
  <c r="BK318" i="4"/>
  <c r="BK322" i="4"/>
  <c r="BK324" i="4" s="1"/>
  <c r="BL323" i="4"/>
  <c r="BI319" i="4"/>
  <c r="BM303" i="4"/>
  <c r="BL312" i="4"/>
  <c r="BM313" i="4"/>
  <c r="BP309" i="4"/>
  <c r="BP147" i="4" s="1"/>
  <c r="BM317" i="4"/>
  <c r="BQ314" i="4"/>
  <c r="BQ152" i="4" s="1"/>
  <c r="BN316" i="4"/>
  <c r="BL297" i="4"/>
  <c r="BM310" i="4"/>
  <c r="BK301" i="4"/>
  <c r="BK304" i="4" s="1"/>
  <c r="BK294" i="4"/>
  <c r="BL302" i="4"/>
  <c r="BL281" i="4"/>
  <c r="BL287" i="4"/>
  <c r="BL283" i="4"/>
  <c r="BL292" i="4"/>
  <c r="BL311" i="4"/>
  <c r="BL315" i="4"/>
  <c r="BS145" i="4"/>
  <c r="BT145" i="4" s="1"/>
  <c r="BL295" i="4"/>
  <c r="BL308" i="4"/>
  <c r="BU307" i="4"/>
  <c r="BL165" i="5" l="1"/>
  <c r="BI338" i="4"/>
  <c r="BI385" i="4"/>
  <c r="BK165" i="5"/>
  <c r="BJ381" i="4"/>
  <c r="BJ389" i="4"/>
  <c r="BF382" i="4"/>
  <c r="BI288" i="4"/>
  <c r="BI289" i="4" s="1"/>
  <c r="BH326" i="4"/>
  <c r="BH380" i="4" s="1"/>
  <c r="BH381" i="4" s="1"/>
  <c r="BJ390" i="4"/>
  <c r="BI298" i="4"/>
  <c r="BI136" i="4" s="1"/>
  <c r="BK282" i="4"/>
  <c r="BK284" i="4" s="1"/>
  <c r="BK293" i="4"/>
  <c r="BJ482" i="7"/>
  <c r="BK296" i="4"/>
  <c r="BL318" i="4"/>
  <c r="BL322" i="4"/>
  <c r="BL324" i="4" s="1"/>
  <c r="BM323" i="4"/>
  <c r="BK319" i="4"/>
  <c r="BN313" i="4"/>
  <c r="BM312" i="4"/>
  <c r="BN303" i="4"/>
  <c r="BQ309" i="4"/>
  <c r="BQ147" i="4" s="1"/>
  <c r="BN317" i="4"/>
  <c r="BR314" i="4"/>
  <c r="BR152" i="4" s="1"/>
  <c r="BM297" i="4"/>
  <c r="BP316" i="4"/>
  <c r="BP154" i="4" s="1"/>
  <c r="BM287" i="4"/>
  <c r="BM302" i="4"/>
  <c r="BL301" i="4"/>
  <c r="BL304" i="4" s="1"/>
  <c r="BN310" i="4"/>
  <c r="BM292" i="4"/>
  <c r="BM283" i="4"/>
  <c r="BJ388" i="4"/>
  <c r="BM281" i="4"/>
  <c r="BL294" i="4"/>
  <c r="BM308" i="4"/>
  <c r="BU145" i="4"/>
  <c r="BM295" i="4"/>
  <c r="BM315" i="4"/>
  <c r="BM311" i="4"/>
  <c r="BV307" i="4"/>
  <c r="BJ762" i="7" l="1"/>
  <c r="BJ764" i="7" s="1"/>
  <c r="BH382" i="4"/>
  <c r="BJ647" i="7"/>
  <c r="BJ655" i="7" s="1"/>
  <c r="BJ656" i="7" s="1"/>
  <c r="BJ385" i="4"/>
  <c r="BK288" i="4"/>
  <c r="BK289" i="4" s="1"/>
  <c r="BG165" i="4"/>
  <c r="BG166" i="4" s="1"/>
  <c r="BG382" i="4"/>
  <c r="BJ145" i="7"/>
  <c r="BJ288" i="7"/>
  <c r="BI326" i="4"/>
  <c r="BI380" i="4" s="1"/>
  <c r="BI381" i="4" s="1"/>
  <c r="BK298" i="4"/>
  <c r="BK136" i="4" s="1"/>
  <c r="BL282" i="4"/>
  <c r="BL284" i="4" s="1"/>
  <c r="BL293" i="4"/>
  <c r="BL296" i="4"/>
  <c r="BM318" i="4"/>
  <c r="BM322" i="4"/>
  <c r="BM324" i="4" s="1"/>
  <c r="BN323" i="4"/>
  <c r="BL319" i="4"/>
  <c r="BP303" i="4"/>
  <c r="BN312" i="4"/>
  <c r="BP313" i="4"/>
  <c r="BP151" i="4" s="1"/>
  <c r="BR309" i="4"/>
  <c r="BR147" i="4" s="1"/>
  <c r="BP317" i="4"/>
  <c r="BS314" i="4"/>
  <c r="BS152" i="4" s="1"/>
  <c r="BT152" i="4" s="1"/>
  <c r="BQ316" i="4"/>
  <c r="BQ154" i="4" s="1"/>
  <c r="BN297" i="4"/>
  <c r="BN283" i="4"/>
  <c r="BN287" i="4"/>
  <c r="BM294" i="4"/>
  <c r="BN281" i="4"/>
  <c r="BN292" i="4"/>
  <c r="BP310" i="4"/>
  <c r="BP148" i="4" s="1"/>
  <c r="BM301" i="4"/>
  <c r="BM304" i="4" s="1"/>
  <c r="BP73" i="4"/>
  <c r="BP73" i="5" s="1"/>
  <c r="BN302" i="4"/>
  <c r="BJ340" i="7"/>
  <c r="BV145" i="4"/>
  <c r="BN315" i="4"/>
  <c r="BN308" i="4"/>
  <c r="BN311" i="4"/>
  <c r="BW307" i="4"/>
  <c r="BN295" i="4"/>
  <c r="BM165" i="5" l="1"/>
  <c r="BJ778" i="7"/>
  <c r="BJ781" i="7" s="1"/>
  <c r="BJ776" i="7"/>
  <c r="BJ774" i="7"/>
  <c r="BJ779" i="7"/>
  <c r="BJ777" i="7"/>
  <c r="BJ775" i="7"/>
  <c r="BJ792" i="7"/>
  <c r="BJ147" i="7"/>
  <c r="BJ153" i="7"/>
  <c r="BJ154" i="7" s="1"/>
  <c r="BJ872" i="7"/>
  <c r="BJ817" i="7"/>
  <c r="BI382" i="4"/>
  <c r="BH165" i="4"/>
  <c r="BH166" i="4" s="1"/>
  <c r="BJ387" i="4"/>
  <c r="BJ649" i="7"/>
  <c r="BL288" i="4"/>
  <c r="BL289" i="4" s="1"/>
  <c r="BK326" i="4"/>
  <c r="BL298" i="4"/>
  <c r="BL136" i="4" s="1"/>
  <c r="BM282" i="4"/>
  <c r="BM284" i="4" s="1"/>
  <c r="BM293" i="4"/>
  <c r="BJ110" i="4"/>
  <c r="BJ702" i="7"/>
  <c r="BJ710" i="7" s="1"/>
  <c r="BJ711" i="7" s="1"/>
  <c r="BM296" i="4"/>
  <c r="BN318" i="4"/>
  <c r="BN322" i="4"/>
  <c r="BN324" i="4" s="1"/>
  <c r="BP108" i="4"/>
  <c r="BP108" i="5" s="1"/>
  <c r="BP323" i="4"/>
  <c r="BM319" i="4"/>
  <c r="BQ313" i="4"/>
  <c r="BQ151" i="4" s="1"/>
  <c r="BP312" i="4"/>
  <c r="BP150" i="4" s="1"/>
  <c r="BQ303" i="4"/>
  <c r="BS309" i="4"/>
  <c r="BS147" i="4" s="1"/>
  <c r="BT147" i="4" s="1"/>
  <c r="BQ317" i="4"/>
  <c r="BU314" i="4"/>
  <c r="BU152" i="4" s="1"/>
  <c r="BP297" i="4"/>
  <c r="BR316" i="4"/>
  <c r="BR154" i="4" s="1"/>
  <c r="BP302" i="4"/>
  <c r="BP88" i="4"/>
  <c r="BQ73" i="4"/>
  <c r="BQ73" i="5" s="1"/>
  <c r="BN301" i="4"/>
  <c r="BN304" i="4" s="1"/>
  <c r="BP292" i="4"/>
  <c r="BN294" i="4"/>
  <c r="BP125" i="4"/>
  <c r="BP287" i="4"/>
  <c r="BP283" i="4"/>
  <c r="BQ310" i="4"/>
  <c r="BQ148" i="4" s="1"/>
  <c r="BP281" i="4"/>
  <c r="BP295" i="4"/>
  <c r="BX307" i="4"/>
  <c r="BP315" i="4"/>
  <c r="BP153" i="4" s="1"/>
  <c r="BW145" i="4"/>
  <c r="BP308" i="4"/>
  <c r="BP311" i="4"/>
  <c r="BP149" i="4" s="1"/>
  <c r="BJ874" i="7" l="1"/>
  <c r="BJ889" i="7" s="1"/>
  <c r="BJ880" i="7"/>
  <c r="BJ660" i="7"/>
  <c r="BJ662" i="7"/>
  <c r="BJ664" i="7"/>
  <c r="BJ659" i="7"/>
  <c r="BJ661" i="7"/>
  <c r="BJ663" i="7"/>
  <c r="BJ667" i="7" s="1"/>
  <c r="BJ665" i="7"/>
  <c r="BJ819" i="7"/>
  <c r="BJ825" i="7"/>
  <c r="BJ826" i="7" s="1"/>
  <c r="BJ543" i="7"/>
  <c r="BJ176" i="7"/>
  <c r="CH139" i="7" s="1"/>
  <c r="CK139" i="7" s="1"/>
  <c r="CL139" i="7" s="1"/>
  <c r="BJ163" i="7"/>
  <c r="BJ159" i="7"/>
  <c r="BJ162" i="7"/>
  <c r="BJ158" i="7"/>
  <c r="BJ161" i="7"/>
  <c r="BJ165" i="7" s="1"/>
  <c r="BJ157" i="7"/>
  <c r="BJ160" i="7"/>
  <c r="BI165" i="4"/>
  <c r="BI166" i="4" s="1"/>
  <c r="BJ165" i="4"/>
  <c r="BJ386" i="4"/>
  <c r="BM288" i="4"/>
  <c r="BM289" i="4" s="1"/>
  <c r="BM298" i="4"/>
  <c r="BM136" i="4" s="1"/>
  <c r="BL326" i="4"/>
  <c r="BN282" i="4"/>
  <c r="BN284" i="4" s="1"/>
  <c r="BJ704" i="7"/>
  <c r="BN293" i="4"/>
  <c r="BP373" i="4"/>
  <c r="BP380" i="4" s="1"/>
  <c r="BP381" i="4" s="1"/>
  <c r="BP155" i="4"/>
  <c r="BQ373" i="4"/>
  <c r="BQ380" i="4" s="1"/>
  <c r="BQ381" i="4" s="1"/>
  <c r="BN296" i="4"/>
  <c r="BP318" i="4"/>
  <c r="BP156" i="4" s="1"/>
  <c r="BO482" i="7"/>
  <c r="BP322" i="4"/>
  <c r="BP324" i="4" s="1"/>
  <c r="BP162" i="4" s="1"/>
  <c r="BQ323" i="4"/>
  <c r="BQ108" i="4"/>
  <c r="BQ108" i="5" s="1"/>
  <c r="BN319" i="4"/>
  <c r="BR303" i="4"/>
  <c r="BQ312" i="4"/>
  <c r="BQ150" i="4" s="1"/>
  <c r="BR313" i="4"/>
  <c r="BR151" i="4" s="1"/>
  <c r="BU309" i="4"/>
  <c r="BU147" i="4" s="1"/>
  <c r="BV314" i="4"/>
  <c r="BV152" i="4" s="1"/>
  <c r="BR317" i="4"/>
  <c r="BS316" i="4"/>
  <c r="BS154" i="4" s="1"/>
  <c r="BT154" i="4" s="1"/>
  <c r="BQ297" i="4"/>
  <c r="BQ281" i="4"/>
  <c r="BR310" i="4"/>
  <c r="BR148" i="4" s="1"/>
  <c r="BQ283" i="4"/>
  <c r="BP17" i="4"/>
  <c r="BP301" i="4"/>
  <c r="BP304" i="4" s="1"/>
  <c r="BP142" i="4" s="1"/>
  <c r="BP88" i="5"/>
  <c r="BQ302" i="4"/>
  <c r="BQ88" i="4"/>
  <c r="BQ88" i="5" s="1"/>
  <c r="BQ125" i="4"/>
  <c r="BQ287" i="4"/>
  <c r="BP294" i="4"/>
  <c r="BQ292" i="4"/>
  <c r="BR73" i="4"/>
  <c r="BQ311" i="4"/>
  <c r="BQ149" i="4" s="1"/>
  <c r="BP146" i="4"/>
  <c r="BX145" i="4"/>
  <c r="BY145" i="4" s="1"/>
  <c r="BZ307" i="4"/>
  <c r="BQ295" i="4"/>
  <c r="BQ308" i="4"/>
  <c r="BQ315" i="4"/>
  <c r="BQ153" i="4" s="1"/>
  <c r="BN165" i="5" l="1"/>
  <c r="BJ887" i="7"/>
  <c r="BJ884" i="7"/>
  <c r="BJ719" i="7"/>
  <c r="BJ717" i="7"/>
  <c r="BJ715" i="7"/>
  <c r="BJ718" i="7"/>
  <c r="BJ721" i="7" s="1"/>
  <c r="BJ716" i="7"/>
  <c r="BJ714" i="7"/>
  <c r="BJ834" i="7"/>
  <c r="BJ832" i="7"/>
  <c r="BJ830" i="7"/>
  <c r="BJ833" i="7"/>
  <c r="BJ836" i="7" s="1"/>
  <c r="BJ831" i="7"/>
  <c r="BJ829" i="7"/>
  <c r="BJ847" i="7"/>
  <c r="BJ382" i="4"/>
  <c r="BO389" i="4"/>
  <c r="BK165" i="4"/>
  <c r="BP68" i="4"/>
  <c r="BM326" i="4"/>
  <c r="BN288" i="4"/>
  <c r="BN289" i="4" s="1"/>
  <c r="BJ235" i="7"/>
  <c r="BP282" i="4"/>
  <c r="BP284" i="4" s="1"/>
  <c r="BP122" i="4" s="1"/>
  <c r="BN298" i="4"/>
  <c r="BN136" i="4" s="1"/>
  <c r="BP293" i="4"/>
  <c r="BJ551" i="7"/>
  <c r="BJ545" i="7"/>
  <c r="BQ155" i="4"/>
  <c r="BO390" i="4"/>
  <c r="BR373" i="4"/>
  <c r="BR380" i="4" s="1"/>
  <c r="BR381" i="4" s="1"/>
  <c r="BP296" i="4"/>
  <c r="BQ318" i="4"/>
  <c r="BQ156" i="4" s="1"/>
  <c r="BP54" i="4"/>
  <c r="BP482" i="7" s="1"/>
  <c r="BP390" i="4"/>
  <c r="BQ322" i="4"/>
  <c r="BQ324" i="4" s="1"/>
  <c r="BQ162" i="4" s="1"/>
  <c r="BR108" i="4"/>
  <c r="BR108" i="5" s="1"/>
  <c r="BR323" i="4"/>
  <c r="BP319" i="4"/>
  <c r="BR312" i="4"/>
  <c r="BR150" i="4" s="1"/>
  <c r="BS303" i="4"/>
  <c r="BS313" i="4"/>
  <c r="BS151" i="4" s="1"/>
  <c r="BT151" i="4" s="1"/>
  <c r="BV309" i="4"/>
  <c r="BV147" i="4" s="1"/>
  <c r="BW314" i="4"/>
  <c r="BW152" i="4" s="1"/>
  <c r="BS317" i="4"/>
  <c r="BR297" i="4"/>
  <c r="BU316" i="4"/>
  <c r="BU154" i="4" s="1"/>
  <c r="BR73" i="5"/>
  <c r="BR292" i="4"/>
  <c r="BQ17" i="4"/>
  <c r="BQ17" i="5" s="1"/>
  <c r="BQ125" i="5" s="1"/>
  <c r="BO340" i="7"/>
  <c r="BP388" i="4"/>
  <c r="BP34" i="4"/>
  <c r="BQ301" i="4"/>
  <c r="BQ304" i="4" s="1"/>
  <c r="BQ142" i="4" s="1"/>
  <c r="BR283" i="4"/>
  <c r="BS310" i="4"/>
  <c r="BS148" i="4" s="1"/>
  <c r="BS73" i="4"/>
  <c r="BQ294" i="4"/>
  <c r="BR125" i="4"/>
  <c r="BR287" i="4"/>
  <c r="BO388" i="4"/>
  <c r="BR302" i="4"/>
  <c r="BR88" i="4"/>
  <c r="BR88" i="5" s="1"/>
  <c r="BP17" i="5"/>
  <c r="BP125" i="5" s="1"/>
  <c r="BR281" i="4"/>
  <c r="BZ145" i="4"/>
  <c r="BP157" i="4"/>
  <c r="BR315" i="4"/>
  <c r="BR153" i="4" s="1"/>
  <c r="BQ146" i="4"/>
  <c r="CA307" i="4"/>
  <c r="BR295" i="4"/>
  <c r="BR308" i="4"/>
  <c r="BR311" i="4"/>
  <c r="BR149" i="4" s="1"/>
  <c r="BO103" i="4" l="1"/>
  <c r="BO762" i="7"/>
  <c r="BO764" i="7" s="1"/>
  <c r="BO385" i="4"/>
  <c r="BL165" i="4"/>
  <c r="BJ52" i="7"/>
  <c r="BO430" i="7"/>
  <c r="BT148" i="4"/>
  <c r="BP385" i="4"/>
  <c r="BP68" i="5"/>
  <c r="BP647" i="7"/>
  <c r="BO647" i="7"/>
  <c r="BO655" i="7" s="1"/>
  <c r="BO656" i="7" s="1"/>
  <c r="BQ68" i="4"/>
  <c r="BP288" i="4"/>
  <c r="BP289" i="4" s="1"/>
  <c r="BP126" i="4"/>
  <c r="BN326" i="4"/>
  <c r="BO288" i="7"/>
  <c r="BP14" i="4"/>
  <c r="BP14" i="5" s="1"/>
  <c r="BP298" i="4"/>
  <c r="BP136" i="4" s="1"/>
  <c r="BR155" i="4"/>
  <c r="BQ282" i="4"/>
  <c r="BQ284" i="4" s="1"/>
  <c r="BQ122" i="4" s="1"/>
  <c r="BO145" i="7"/>
  <c r="BP82" i="4"/>
  <c r="BQ293" i="4"/>
  <c r="BJ560" i="7"/>
  <c r="BJ555" i="7"/>
  <c r="BJ558" i="7"/>
  <c r="BS155" i="4"/>
  <c r="BQ296" i="4"/>
  <c r="BR318" i="4"/>
  <c r="BR156" i="4" s="1"/>
  <c r="BQ390" i="4"/>
  <c r="BQ54" i="4"/>
  <c r="BQ482" i="7" s="1"/>
  <c r="BR322" i="4"/>
  <c r="BR324" i="4" s="1"/>
  <c r="BR162" i="4" s="1"/>
  <c r="BS108" i="4"/>
  <c r="BS108" i="5" s="1"/>
  <c r="BS323" i="4"/>
  <c r="BQ319" i="4"/>
  <c r="BQ157" i="4"/>
  <c r="BU313" i="4"/>
  <c r="BU151" i="4" s="1"/>
  <c r="BU303" i="4"/>
  <c r="BS312" i="4"/>
  <c r="BS150" i="4" s="1"/>
  <c r="BT150" i="4" s="1"/>
  <c r="BW309" i="4"/>
  <c r="BW147" i="4" s="1"/>
  <c r="BX314" i="4"/>
  <c r="BX152" i="4" s="1"/>
  <c r="BY152" i="4" s="1"/>
  <c r="BU317" i="4"/>
  <c r="BV316" i="4"/>
  <c r="BV154" i="4" s="1"/>
  <c r="BS297" i="4"/>
  <c r="BS281" i="4"/>
  <c r="BS302" i="4"/>
  <c r="BS88" i="4"/>
  <c r="BS88" i="5" s="1"/>
  <c r="BR17" i="4"/>
  <c r="BR294" i="4"/>
  <c r="BT73" i="4"/>
  <c r="BT73" i="5" s="1"/>
  <c r="BS73" i="5"/>
  <c r="BS283" i="4"/>
  <c r="BQ388" i="4"/>
  <c r="BQ34" i="4"/>
  <c r="BR301" i="4"/>
  <c r="BR304" i="4" s="1"/>
  <c r="BR142" i="4" s="1"/>
  <c r="BP340" i="7"/>
  <c r="BS292" i="4"/>
  <c r="BS125" i="4"/>
  <c r="BT125" i="4" s="1"/>
  <c r="BS287" i="4"/>
  <c r="BU73" i="4"/>
  <c r="BU310" i="4"/>
  <c r="BU148" i="4" s="1"/>
  <c r="BS311" i="4"/>
  <c r="BS149" i="4" s="1"/>
  <c r="BT149" i="4" s="1"/>
  <c r="BS308" i="4"/>
  <c r="CA145" i="4"/>
  <c r="BS295" i="4"/>
  <c r="BP49" i="4"/>
  <c r="BP389" i="4"/>
  <c r="BR146" i="4"/>
  <c r="CB307" i="4"/>
  <c r="BS315" i="4"/>
  <c r="BS153" i="4" s="1"/>
  <c r="BO779" i="7" l="1"/>
  <c r="BO775" i="7"/>
  <c r="BT775" i="7" s="1"/>
  <c r="BO778" i="7"/>
  <c r="BO781" i="7" s="1"/>
  <c r="BO774" i="7"/>
  <c r="BO777" i="7"/>
  <c r="BO776" i="7"/>
  <c r="BO792" i="7"/>
  <c r="BO147" i="7"/>
  <c r="BO162" i="7" s="1"/>
  <c r="BO153" i="7"/>
  <c r="BO154" i="7" s="1"/>
  <c r="BO160" i="7"/>
  <c r="BO157" i="7"/>
  <c r="BO872" i="7"/>
  <c r="BO817" i="7"/>
  <c r="BT153" i="4"/>
  <c r="BM165" i="4"/>
  <c r="BQ49" i="4"/>
  <c r="BQ430" i="7" s="1"/>
  <c r="BP387" i="4"/>
  <c r="BO387" i="4"/>
  <c r="BQ385" i="4"/>
  <c r="BP122" i="5"/>
  <c r="BP145" i="7"/>
  <c r="BP153" i="7" s="1"/>
  <c r="BO649" i="7"/>
  <c r="BP655" i="7"/>
  <c r="BP649" i="7"/>
  <c r="BP662" i="7" s="1"/>
  <c r="BQ68" i="5"/>
  <c r="BQ647" i="7"/>
  <c r="BR68" i="4"/>
  <c r="BQ288" i="4"/>
  <c r="BQ289" i="4" s="1"/>
  <c r="BQ126" i="4"/>
  <c r="BO330" i="4"/>
  <c r="BP127" i="4"/>
  <c r="BP18" i="4"/>
  <c r="BP326" i="4"/>
  <c r="BP28" i="4"/>
  <c r="BP288" i="7" s="1"/>
  <c r="BT155" i="4"/>
  <c r="BR282" i="4"/>
  <c r="BR284" i="4" s="1"/>
  <c r="BR122" i="4" s="1"/>
  <c r="BQ14" i="4"/>
  <c r="BQ14" i="5" s="1"/>
  <c r="BQ298" i="4"/>
  <c r="BQ136" i="4" s="1"/>
  <c r="BR293" i="4"/>
  <c r="BP702" i="7"/>
  <c r="BP543" i="7" s="1"/>
  <c r="BP110" i="4"/>
  <c r="BO702" i="7"/>
  <c r="BO110" i="4"/>
  <c r="BQ82" i="4"/>
  <c r="BS373" i="4"/>
  <c r="BS380" i="4" s="1"/>
  <c r="BS381" i="4" s="1"/>
  <c r="BT373" i="4"/>
  <c r="BT380" i="4" s="1"/>
  <c r="BT381" i="4" s="1"/>
  <c r="BR296" i="4"/>
  <c r="BR319" i="4"/>
  <c r="BS318" i="4"/>
  <c r="BS156" i="4" s="1"/>
  <c r="BT156" i="4" s="1"/>
  <c r="BR157" i="4"/>
  <c r="BR54" i="4"/>
  <c r="BR482" i="7" s="1"/>
  <c r="BR390" i="4"/>
  <c r="BT108" i="4"/>
  <c r="BT108" i="5" s="1"/>
  <c r="BS322" i="4"/>
  <c r="BS324" i="4" s="1"/>
  <c r="BS162" i="4" s="1"/>
  <c r="BS54" i="4" s="1"/>
  <c r="BU323" i="4"/>
  <c r="BU108" i="4"/>
  <c r="BU108" i="5" s="1"/>
  <c r="BQ389" i="4"/>
  <c r="BT88" i="4"/>
  <c r="BT88" i="5" s="1"/>
  <c r="BV313" i="4"/>
  <c r="BV151" i="4" s="1"/>
  <c r="BU312" i="4"/>
  <c r="BU150" i="4" s="1"/>
  <c r="BV303" i="4"/>
  <c r="BX309" i="4"/>
  <c r="BX147" i="4" s="1"/>
  <c r="BY147" i="4" s="1"/>
  <c r="BV317" i="4"/>
  <c r="BZ314" i="4"/>
  <c r="BZ152" i="4" s="1"/>
  <c r="BU297" i="4"/>
  <c r="BW316" i="4"/>
  <c r="BW154" i="4" s="1"/>
  <c r="BV73" i="4"/>
  <c r="BV73" i="5" s="1"/>
  <c r="BU125" i="4"/>
  <c r="BU287" i="4"/>
  <c r="BR388" i="4"/>
  <c r="BR34" i="4"/>
  <c r="BS301" i="4"/>
  <c r="BS304" i="4" s="1"/>
  <c r="BS142" i="4" s="1"/>
  <c r="BR17" i="5"/>
  <c r="BR125" i="5" s="1"/>
  <c r="BU302" i="4"/>
  <c r="BU88" i="4"/>
  <c r="BV310" i="4"/>
  <c r="BV148" i="4" s="1"/>
  <c r="BU73" i="5"/>
  <c r="BS17" i="4"/>
  <c r="BS17" i="5" s="1"/>
  <c r="BS125" i="5" s="1"/>
  <c r="BU292" i="4"/>
  <c r="BQ340" i="7"/>
  <c r="BU283" i="4"/>
  <c r="BS294" i="4"/>
  <c r="BU281" i="4"/>
  <c r="CC307" i="4"/>
  <c r="BP430" i="7"/>
  <c r="BS146" i="4"/>
  <c r="BU295" i="4"/>
  <c r="BU311" i="4"/>
  <c r="BU149" i="4" s="1"/>
  <c r="BU315" i="4"/>
  <c r="BU153" i="4" s="1"/>
  <c r="CB145" i="4"/>
  <c r="BU308" i="4"/>
  <c r="BO163" i="7" l="1"/>
  <c r="BO176" i="7"/>
  <c r="BO161" i="7"/>
  <c r="BO165" i="7" s="1"/>
  <c r="BO158" i="7"/>
  <c r="BT158" i="7" s="1"/>
  <c r="BO159" i="7"/>
  <c r="BP775" i="7"/>
  <c r="BP742" i="7" s="1"/>
  <c r="BS775" i="7"/>
  <c r="BS742" i="7" s="1"/>
  <c r="BQ775" i="7"/>
  <c r="BQ742" i="7" s="1"/>
  <c r="BR775" i="7"/>
  <c r="BR742" i="7" s="1"/>
  <c r="BY775" i="7"/>
  <c r="BO819" i="7"/>
  <c r="BO825" i="7"/>
  <c r="BO826" i="7" s="1"/>
  <c r="BO874" i="7"/>
  <c r="BO880" i="7"/>
  <c r="BO881" i="7" s="1"/>
  <c r="BO543" i="7"/>
  <c r="BO710" i="7"/>
  <c r="BO711" i="7" s="1"/>
  <c r="BO678" i="7"/>
  <c r="BO665" i="7"/>
  <c r="BO661" i="7"/>
  <c r="BO664" i="7"/>
  <c r="BO660" i="7"/>
  <c r="BT660" i="7" s="1"/>
  <c r="BY660" i="7" s="1"/>
  <c r="BO663" i="7"/>
  <c r="BO667" i="7" s="1"/>
  <c r="BO659" i="7"/>
  <c r="BO662" i="7"/>
  <c r="BO101" i="10"/>
  <c r="BN165" i="4"/>
  <c r="BN331" i="4" s="1"/>
  <c r="BR49" i="4"/>
  <c r="BR430" i="7" s="1"/>
  <c r="BP164" i="4"/>
  <c r="BP382" i="4" s="1"/>
  <c r="BT142" i="4"/>
  <c r="BQ387" i="4"/>
  <c r="BP147" i="7"/>
  <c r="BP659" i="7" s="1"/>
  <c r="BR14" i="4"/>
  <c r="BR145" i="7" s="1"/>
  <c r="BR153" i="7" s="1"/>
  <c r="BQ122" i="5"/>
  <c r="BQ649" i="7"/>
  <c r="BQ655" i="7"/>
  <c r="BQ630" i="7" s="1"/>
  <c r="BR68" i="5"/>
  <c r="BR647" i="7"/>
  <c r="BP630" i="7"/>
  <c r="BS68" i="4"/>
  <c r="BS647" i="7" s="1"/>
  <c r="BP19" i="4"/>
  <c r="BP235" i="7" s="1"/>
  <c r="BP52" i="7" s="1"/>
  <c r="BP386" i="4"/>
  <c r="BO386" i="4"/>
  <c r="BR288" i="4"/>
  <c r="BR289" i="4" s="1"/>
  <c r="BR126" i="4"/>
  <c r="BQ18" i="4"/>
  <c r="BQ127" i="4"/>
  <c r="BQ145" i="7"/>
  <c r="BQ147" i="7" s="1"/>
  <c r="BQ659" i="7" s="1"/>
  <c r="BQ326" i="4"/>
  <c r="BR298" i="4"/>
  <c r="BR136" i="4" s="1"/>
  <c r="BR385" i="4"/>
  <c r="BS282" i="4"/>
  <c r="BS284" i="4" s="1"/>
  <c r="BS122" i="4" s="1"/>
  <c r="BO704" i="7"/>
  <c r="BO551" i="7"/>
  <c r="BQ110" i="4"/>
  <c r="BQ702" i="7"/>
  <c r="BQ543" i="7" s="1"/>
  <c r="BQ28" i="4"/>
  <c r="BS293" i="4"/>
  <c r="BR82" i="4"/>
  <c r="BV373" i="4"/>
  <c r="BV380" i="4" s="1"/>
  <c r="BV381" i="4" s="1"/>
  <c r="BU373" i="4"/>
  <c r="BU380" i="4" s="1"/>
  <c r="BU381" i="4" s="1"/>
  <c r="BU155" i="4"/>
  <c r="BR389" i="4"/>
  <c r="BS296" i="4"/>
  <c r="BU318" i="4"/>
  <c r="BU156" i="4" s="1"/>
  <c r="BS319" i="4"/>
  <c r="BT162" i="4"/>
  <c r="BT390" i="4" s="1"/>
  <c r="BS390" i="4"/>
  <c r="BU322" i="4"/>
  <c r="BU324" i="4" s="1"/>
  <c r="BU162" i="4" s="1"/>
  <c r="BU54" i="4" s="1"/>
  <c r="BU482" i="7" s="1"/>
  <c r="BV323" i="4"/>
  <c r="BV108" i="4"/>
  <c r="BV108" i="5" s="1"/>
  <c r="BT54" i="4"/>
  <c r="BT482" i="7" s="1"/>
  <c r="BS482" i="7"/>
  <c r="BW313" i="4"/>
  <c r="BW151" i="4" s="1"/>
  <c r="BW303" i="4"/>
  <c r="BV312" i="4"/>
  <c r="BV150" i="4" s="1"/>
  <c r="BZ309" i="4"/>
  <c r="BZ147" i="4" s="1"/>
  <c r="CA314" i="4"/>
  <c r="CA152" i="4" s="1"/>
  <c r="BW317" i="4"/>
  <c r="BX316" i="4"/>
  <c r="BX154" i="4" s="1"/>
  <c r="BY154" i="4" s="1"/>
  <c r="BV297" i="4"/>
  <c r="BP131" i="7"/>
  <c r="BW310" i="4"/>
  <c r="BW148" i="4" s="1"/>
  <c r="BU88" i="5"/>
  <c r="BV302" i="4"/>
  <c r="BV88" i="4"/>
  <c r="BV88" i="5" s="1"/>
  <c r="BT17" i="4"/>
  <c r="BT17" i="5" s="1"/>
  <c r="BT125" i="5" s="1"/>
  <c r="BU301" i="4"/>
  <c r="BU304" i="4" s="1"/>
  <c r="BU142" i="4" s="1"/>
  <c r="BU17" i="4"/>
  <c r="BV281" i="4"/>
  <c r="BU294" i="4"/>
  <c r="BV283" i="4"/>
  <c r="BV292" i="4"/>
  <c r="BS388" i="4"/>
  <c r="BS34" i="4"/>
  <c r="BT34" i="4" s="1"/>
  <c r="BR340" i="7"/>
  <c r="BV125" i="4"/>
  <c r="BV287" i="4"/>
  <c r="BW73" i="4"/>
  <c r="BV315" i="4"/>
  <c r="BV153" i="4" s="1"/>
  <c r="BV311" i="4"/>
  <c r="BV149" i="4" s="1"/>
  <c r="BV295" i="4"/>
  <c r="BV308" i="4"/>
  <c r="BU146" i="4"/>
  <c r="BS157" i="4"/>
  <c r="BT146" i="4"/>
  <c r="BT157" i="4" s="1"/>
  <c r="CC145" i="4"/>
  <c r="CD145" i="4" s="1"/>
  <c r="CD660" i="7" l="1"/>
  <c r="BU660" i="7"/>
  <c r="BW660" i="7"/>
  <c r="BV660" i="7"/>
  <c r="BX660" i="7"/>
  <c r="BW775" i="7"/>
  <c r="BW742" i="7" s="1"/>
  <c r="BU775" i="7"/>
  <c r="BU742" i="7" s="1"/>
  <c r="BX775" i="7"/>
  <c r="BX742" i="7" s="1"/>
  <c r="BV775" i="7"/>
  <c r="BV742" i="7" s="1"/>
  <c r="CD775" i="7"/>
  <c r="BT742" i="7"/>
  <c r="BO888" i="7"/>
  <c r="BO884" i="7"/>
  <c r="BO887" i="7"/>
  <c r="BO885" i="7"/>
  <c r="BO889" i="7"/>
  <c r="BO886" i="7"/>
  <c r="BO832" i="7"/>
  <c r="BO831" i="7"/>
  <c r="BO847" i="7"/>
  <c r="BO834" i="7"/>
  <c r="BO830" i="7"/>
  <c r="BO833" i="7"/>
  <c r="BO836" i="7" s="1"/>
  <c r="BO829" i="7"/>
  <c r="BO716" i="7"/>
  <c r="BO732" i="7"/>
  <c r="BO719" i="7"/>
  <c r="BO715" i="7"/>
  <c r="BT715" i="7" s="1"/>
  <c r="BO718" i="7"/>
  <c r="BO721" i="7" s="1"/>
  <c r="BO714" i="7"/>
  <c r="BO717" i="7"/>
  <c r="BQ158" i="7"/>
  <c r="BQ660" i="7" s="1"/>
  <c r="BP158" i="7"/>
  <c r="BP134" i="7" s="1"/>
  <c r="BP169" i="7" s="1"/>
  <c r="BS158" i="7"/>
  <c r="BS660" i="7" s="1"/>
  <c r="BR158" i="7"/>
  <c r="BR660" i="7" s="1"/>
  <c r="BY158" i="7"/>
  <c r="BO165" i="4"/>
  <c r="BQ633" i="7"/>
  <c r="BQ662" i="7"/>
  <c r="BT388" i="4"/>
  <c r="BO160" i="9"/>
  <c r="BP165" i="4"/>
  <c r="BQ164" i="4"/>
  <c r="BQ382" i="4" s="1"/>
  <c r="BS385" i="4"/>
  <c r="BP162" i="7"/>
  <c r="BP664" i="7" s="1"/>
  <c r="BP637" i="7" s="1"/>
  <c r="BP675" i="7" s="1"/>
  <c r="BR147" i="7"/>
  <c r="BR659" i="7" s="1"/>
  <c r="BP160" i="7"/>
  <c r="BP157" i="7"/>
  <c r="BR14" i="5"/>
  <c r="BR122" i="5" s="1"/>
  <c r="BP56" i="4"/>
  <c r="BS649" i="7"/>
  <c r="BS655" i="7"/>
  <c r="BS630" i="7" s="1"/>
  <c r="BP634" i="7"/>
  <c r="BP661" i="7" s="1"/>
  <c r="BP670" i="7"/>
  <c r="BP673" i="7"/>
  <c r="BR655" i="7"/>
  <c r="BR649" i="7"/>
  <c r="BQ670" i="7"/>
  <c r="BQ634" i="7"/>
  <c r="BQ661" i="7" s="1"/>
  <c r="BQ673" i="7"/>
  <c r="BS68" i="5"/>
  <c r="BT68" i="4"/>
  <c r="BU68" i="4"/>
  <c r="BR131" i="7"/>
  <c r="BR135" i="7" s="1"/>
  <c r="BQ153" i="7"/>
  <c r="BR326" i="4"/>
  <c r="BS298" i="4"/>
  <c r="BS136" i="4" s="1"/>
  <c r="BS288" i="4"/>
  <c r="BS289" i="4" s="1"/>
  <c r="BS126" i="4"/>
  <c r="BO235" i="7"/>
  <c r="BQ19" i="4"/>
  <c r="BQ235" i="7" s="1"/>
  <c r="BQ386" i="4"/>
  <c r="BR18" i="4"/>
  <c r="BR127" i="4"/>
  <c r="BT122" i="4"/>
  <c r="BU282" i="4"/>
  <c r="BU284" i="4" s="1"/>
  <c r="BU122" i="4" s="1"/>
  <c r="BS14" i="4"/>
  <c r="BS145" i="7" s="1"/>
  <c r="BU293" i="4"/>
  <c r="BS82" i="4"/>
  <c r="BR110" i="4"/>
  <c r="BR702" i="7"/>
  <c r="BR543" i="7" s="1"/>
  <c r="BO545" i="7"/>
  <c r="BQ288" i="7"/>
  <c r="BV155" i="4"/>
  <c r="BU390" i="4"/>
  <c r="BU296" i="4"/>
  <c r="BR387" i="4"/>
  <c r="BR28" i="4"/>
  <c r="BR288" i="7" s="1"/>
  <c r="BV318" i="4"/>
  <c r="BV156" i="4" s="1"/>
  <c r="BU319" i="4"/>
  <c r="BV322" i="4"/>
  <c r="BV324" i="4" s="1"/>
  <c r="BV162" i="4" s="1"/>
  <c r="BW108" i="4"/>
  <c r="BW323" i="4"/>
  <c r="BX313" i="4"/>
  <c r="BX151" i="4" s="1"/>
  <c r="BY151" i="4" s="1"/>
  <c r="BW312" i="4"/>
  <c r="BW150" i="4" s="1"/>
  <c r="BX303" i="4"/>
  <c r="CA309" i="4"/>
  <c r="CA147" i="4" s="1"/>
  <c r="BX317" i="4"/>
  <c r="CC314" i="4"/>
  <c r="CC152" i="4" s="1"/>
  <c r="CB314" i="4"/>
  <c r="CB152" i="4" s="1"/>
  <c r="BW297" i="4"/>
  <c r="BZ316" i="4"/>
  <c r="BZ154" i="4" s="1"/>
  <c r="BW73" i="5"/>
  <c r="BV17" i="4"/>
  <c r="BV17" i="5" s="1"/>
  <c r="BV125" i="5" s="1"/>
  <c r="BS340" i="7"/>
  <c r="BW292" i="4"/>
  <c r="BV294" i="4"/>
  <c r="BW281" i="4"/>
  <c r="BQ160" i="7"/>
  <c r="BQ162" i="7"/>
  <c r="BQ664" i="7" s="1"/>
  <c r="BQ637" i="7" s="1"/>
  <c r="BQ157" i="7"/>
  <c r="BP171" i="7"/>
  <c r="BP168" i="7"/>
  <c r="BP173" i="7"/>
  <c r="BP135" i="7"/>
  <c r="BX73" i="4"/>
  <c r="BX73" i="5" s="1"/>
  <c r="BW125" i="4"/>
  <c r="BW287" i="4"/>
  <c r="BT340" i="7"/>
  <c r="BW283" i="4"/>
  <c r="BU17" i="5"/>
  <c r="BU125" i="5" s="1"/>
  <c r="BU388" i="4"/>
  <c r="BU34" i="4"/>
  <c r="BV301" i="4"/>
  <c r="BV304" i="4" s="1"/>
  <c r="BV142" i="4" s="1"/>
  <c r="BW302" i="4"/>
  <c r="BW88" i="4"/>
  <c r="BW88" i="5" s="1"/>
  <c r="BX310" i="4"/>
  <c r="BX148" i="4" s="1"/>
  <c r="BY148" i="4" s="1"/>
  <c r="BW295" i="4"/>
  <c r="BT389" i="4"/>
  <c r="BU157" i="4"/>
  <c r="BW308" i="4"/>
  <c r="BW311" i="4"/>
  <c r="BW149" i="4" s="1"/>
  <c r="BS389" i="4"/>
  <c r="BS49" i="4"/>
  <c r="BV146" i="4"/>
  <c r="BW315" i="4"/>
  <c r="BW153" i="4" s="1"/>
  <c r="BQ134" i="7" l="1"/>
  <c r="BZ660" i="7"/>
  <c r="CB660" i="7"/>
  <c r="CC660" i="7"/>
  <c r="CA660" i="7"/>
  <c r="BY742" i="7"/>
  <c r="CC775" i="7"/>
  <c r="CC742" i="7" s="1"/>
  <c r="BZ775" i="7"/>
  <c r="BZ742" i="7" s="1"/>
  <c r="CB775" i="7"/>
  <c r="CB742" i="7" s="1"/>
  <c r="CA775" i="7"/>
  <c r="CA742" i="7" s="1"/>
  <c r="BY715" i="7"/>
  <c r="BP715" i="7"/>
  <c r="BQ715" i="7"/>
  <c r="BR715" i="7"/>
  <c r="BS715" i="7"/>
  <c r="BO52" i="7"/>
  <c r="BV158" i="7"/>
  <c r="BW158" i="7"/>
  <c r="BX158" i="7"/>
  <c r="BU158" i="7"/>
  <c r="CD158" i="7"/>
  <c r="BP660" i="7"/>
  <c r="BP633" i="7" s="1"/>
  <c r="BR633" i="7"/>
  <c r="BR662" i="7"/>
  <c r="BS633" i="7"/>
  <c r="BS662" i="7"/>
  <c r="BP529" i="7"/>
  <c r="BO170" i="9"/>
  <c r="BO165" i="9"/>
  <c r="BO139" i="9"/>
  <c r="BO145" i="9"/>
  <c r="BO150" i="9"/>
  <c r="BQ165" i="4"/>
  <c r="BU385" i="4"/>
  <c r="BR134" i="7"/>
  <c r="BR169" i="7" s="1"/>
  <c r="BR159" i="7"/>
  <c r="BR162" i="7"/>
  <c r="BR664" i="7" s="1"/>
  <c r="BR637" i="7" s="1"/>
  <c r="BR529" i="7" s="1"/>
  <c r="BR157" i="7"/>
  <c r="BR160" i="7"/>
  <c r="BU68" i="5"/>
  <c r="BU647" i="7"/>
  <c r="BT68" i="5"/>
  <c r="BT647" i="7"/>
  <c r="BR630" i="7"/>
  <c r="BT655" i="7"/>
  <c r="BT630" i="7" s="1"/>
  <c r="BS634" i="7"/>
  <c r="BS661" i="7" s="1"/>
  <c r="BS670" i="7"/>
  <c r="BS673" i="7"/>
  <c r="BQ529" i="7"/>
  <c r="BQ675" i="7"/>
  <c r="BV68" i="4"/>
  <c r="BR173" i="7"/>
  <c r="BR168" i="7"/>
  <c r="BR171" i="7"/>
  <c r="BQ131" i="7"/>
  <c r="BQ135" i="7" s="1"/>
  <c r="BQ159" i="7" s="1"/>
  <c r="BS326" i="4"/>
  <c r="BQ56" i="4"/>
  <c r="BS18" i="4"/>
  <c r="BT18" i="4" s="1"/>
  <c r="BS127" i="4"/>
  <c r="BT126" i="4"/>
  <c r="BQ52" i="7"/>
  <c r="BR386" i="4"/>
  <c r="BR19" i="4"/>
  <c r="BR235" i="7" s="1"/>
  <c r="BR52" i="7" s="1"/>
  <c r="BR164" i="4"/>
  <c r="BU126" i="4"/>
  <c r="BU288" i="4"/>
  <c r="BU289" i="4" s="1"/>
  <c r="BT385" i="4"/>
  <c r="BT14" i="4"/>
  <c r="BT145" i="7" s="1"/>
  <c r="BT147" i="7" s="1"/>
  <c r="BS14" i="5"/>
  <c r="BS122" i="5" s="1"/>
  <c r="BU298" i="4"/>
  <c r="BU136" i="4" s="1"/>
  <c r="BV282" i="4"/>
  <c r="BV284" i="4" s="1"/>
  <c r="BV122" i="4" s="1"/>
  <c r="BU14" i="4"/>
  <c r="BU145" i="7" s="1"/>
  <c r="BU153" i="7" s="1"/>
  <c r="BO560" i="7"/>
  <c r="BO558" i="7"/>
  <c r="BO555" i="7"/>
  <c r="BU82" i="4"/>
  <c r="BS110" i="4"/>
  <c r="BT82" i="4"/>
  <c r="BS702" i="7"/>
  <c r="BS543" i="7" s="1"/>
  <c r="BV293" i="4"/>
  <c r="BW373" i="4"/>
  <c r="BW380" i="4" s="1"/>
  <c r="BW381" i="4" s="1"/>
  <c r="BX373" i="4"/>
  <c r="BX380" i="4" s="1"/>
  <c r="BX381" i="4" s="1"/>
  <c r="BW155" i="4"/>
  <c r="BV296" i="4"/>
  <c r="BS387" i="4"/>
  <c r="BT136" i="4"/>
  <c r="BS28" i="4"/>
  <c r="BV319" i="4"/>
  <c r="BW318" i="4"/>
  <c r="BW156" i="4" s="1"/>
  <c r="BV157" i="4"/>
  <c r="BV54" i="4"/>
  <c r="BV482" i="7" s="1"/>
  <c r="BV390" i="4"/>
  <c r="BW322" i="4"/>
  <c r="BW324" i="4" s="1"/>
  <c r="BW162" i="4" s="1"/>
  <c r="BX108" i="4"/>
  <c r="BX108" i="5" s="1"/>
  <c r="BX323" i="4"/>
  <c r="BW108" i="5"/>
  <c r="BZ303" i="4"/>
  <c r="BX312" i="4"/>
  <c r="BX150" i="4" s="1"/>
  <c r="BY150" i="4" s="1"/>
  <c r="BZ313" i="4"/>
  <c r="BZ151" i="4" s="1"/>
  <c r="CD152" i="4"/>
  <c r="CB309" i="4"/>
  <c r="CB147" i="4" s="1"/>
  <c r="CC309" i="4"/>
  <c r="CC147" i="4" s="1"/>
  <c r="BZ317" i="4"/>
  <c r="CA316" i="4"/>
  <c r="CA154" i="4" s="1"/>
  <c r="BX297" i="4"/>
  <c r="BX302" i="4"/>
  <c r="BX88" i="4"/>
  <c r="BX88" i="5" s="1"/>
  <c r="BX125" i="4"/>
  <c r="BY125" i="4" s="1"/>
  <c r="BX287" i="4"/>
  <c r="BZ73" i="4"/>
  <c r="BP159" i="7"/>
  <c r="BX281" i="4"/>
  <c r="BW294" i="4"/>
  <c r="BS153" i="7"/>
  <c r="BS147" i="7"/>
  <c r="BS659" i="7" s="1"/>
  <c r="BY73" i="4"/>
  <c r="BY73" i="5" s="1"/>
  <c r="BZ310" i="4"/>
  <c r="BZ148" i="4" s="1"/>
  <c r="BV388" i="4"/>
  <c r="BV34" i="4"/>
  <c r="BW301" i="4"/>
  <c r="BW304" i="4" s="1"/>
  <c r="BW142" i="4" s="1"/>
  <c r="BU340" i="7"/>
  <c r="BX283" i="4"/>
  <c r="BW17" i="4"/>
  <c r="BX292" i="4"/>
  <c r="BX311" i="4"/>
  <c r="BX149" i="4" s="1"/>
  <c r="BY149" i="4" s="1"/>
  <c r="BS430" i="7"/>
  <c r="BT49" i="4"/>
  <c r="BW146" i="4"/>
  <c r="BU49" i="4"/>
  <c r="BU389" i="4"/>
  <c r="BX315" i="4"/>
  <c r="BX153" i="4" s="1"/>
  <c r="BX308" i="4"/>
  <c r="BX295" i="4"/>
  <c r="CD742" i="7" l="1"/>
  <c r="BW715" i="7"/>
  <c r="BV715" i="7"/>
  <c r="BU715" i="7"/>
  <c r="BX715" i="7"/>
  <c r="CD715" i="7"/>
  <c r="CC158" i="7"/>
  <c r="CA158" i="7"/>
  <c r="BZ158" i="7"/>
  <c r="CB158" i="7"/>
  <c r="BY153" i="4"/>
  <c r="BT47" i="9"/>
  <c r="BS164" i="4"/>
  <c r="BS382" i="4" s="1"/>
  <c r="BV49" i="4"/>
  <c r="BV430" i="7" s="1"/>
  <c r="BR675" i="7"/>
  <c r="BV14" i="4"/>
  <c r="BV14" i="5" s="1"/>
  <c r="BT634" i="7"/>
  <c r="BT670" i="7"/>
  <c r="BT673" i="7"/>
  <c r="BT649" i="7"/>
  <c r="BT662" i="7" s="1"/>
  <c r="BU649" i="7"/>
  <c r="BU655" i="7"/>
  <c r="BV68" i="5"/>
  <c r="BV647" i="7"/>
  <c r="BR634" i="7"/>
  <c r="BR661" i="7" s="1"/>
  <c r="BR670" i="7"/>
  <c r="BR673" i="7"/>
  <c r="BW68" i="4"/>
  <c r="BQ171" i="7"/>
  <c r="BQ173" i="7"/>
  <c r="BU131" i="7"/>
  <c r="BU135" i="7" s="1"/>
  <c r="BQ169" i="7"/>
  <c r="BQ168" i="7"/>
  <c r="BU326" i="4"/>
  <c r="BU14" i="5"/>
  <c r="BU122" i="5" s="1"/>
  <c r="BR56" i="4"/>
  <c r="BU127" i="4"/>
  <c r="BU18" i="4"/>
  <c r="BV126" i="4"/>
  <c r="BV288" i="4"/>
  <c r="BV289" i="4" s="1"/>
  <c r="BR165" i="4"/>
  <c r="BR382" i="4"/>
  <c r="BS386" i="4"/>
  <c r="BS19" i="4"/>
  <c r="BT127" i="4"/>
  <c r="BT330" i="4" s="1"/>
  <c r="BT14" i="5"/>
  <c r="BT122" i="5" s="1"/>
  <c r="BV385" i="4"/>
  <c r="BU147" i="7"/>
  <c r="BU659" i="7" s="1"/>
  <c r="BV298" i="4"/>
  <c r="BW282" i="4"/>
  <c r="BW284" i="4" s="1"/>
  <c r="BW122" i="4" s="1"/>
  <c r="BV82" i="4"/>
  <c r="BT110" i="4"/>
  <c r="BT702" i="7"/>
  <c r="BT543" i="7" s="1"/>
  <c r="BT82" i="5"/>
  <c r="BT110" i="5" s="1"/>
  <c r="BT101" i="10" s="1"/>
  <c r="BW293" i="4"/>
  <c r="BU110" i="4"/>
  <c r="BU702" i="7"/>
  <c r="BU543" i="7" s="1"/>
  <c r="BX155" i="4"/>
  <c r="BY155" i="4" s="1"/>
  <c r="BY373" i="4"/>
  <c r="BY380" i="4" s="1"/>
  <c r="BY381" i="4" s="1"/>
  <c r="BZ155" i="4"/>
  <c r="BV389" i="4"/>
  <c r="BU387" i="4"/>
  <c r="BU28" i="4"/>
  <c r="BU288" i="7" s="1"/>
  <c r="BT387" i="4"/>
  <c r="BW296" i="4"/>
  <c r="BS288" i="7"/>
  <c r="BT28" i="4"/>
  <c r="BT288" i="7" s="1"/>
  <c r="BX318" i="4"/>
  <c r="BW319" i="4"/>
  <c r="BW390" i="4"/>
  <c r="BW54" i="4"/>
  <c r="BW482" i="7" s="1"/>
  <c r="BX322" i="4"/>
  <c r="BX324" i="4" s="1"/>
  <c r="BX162" i="4" s="1"/>
  <c r="BY108" i="4"/>
  <c r="BY108" i="5" s="1"/>
  <c r="BZ108" i="4"/>
  <c r="BZ108" i="5" s="1"/>
  <c r="BZ323" i="4"/>
  <c r="BY88" i="4"/>
  <c r="BY88" i="5" s="1"/>
  <c r="BW157" i="4"/>
  <c r="CA313" i="4"/>
  <c r="CA151" i="4" s="1"/>
  <c r="BZ312" i="4"/>
  <c r="BZ150" i="4" s="1"/>
  <c r="CA303" i="4"/>
  <c r="CD147" i="4"/>
  <c r="CA317" i="4"/>
  <c r="BZ297" i="4"/>
  <c r="CC316" i="4"/>
  <c r="CC154" i="4" s="1"/>
  <c r="CB316" i="4"/>
  <c r="CB154" i="4" s="1"/>
  <c r="BV340" i="7"/>
  <c r="BS131" i="7"/>
  <c r="BT153" i="7"/>
  <c r="BT157" i="7"/>
  <c r="BT160" i="7"/>
  <c r="BT162" i="7"/>
  <c r="BT664" i="7" s="1"/>
  <c r="CA73" i="4"/>
  <c r="CA73" i="5" s="1"/>
  <c r="BZ125" i="4"/>
  <c r="BZ287" i="4"/>
  <c r="BV145" i="7"/>
  <c r="BZ302" i="4"/>
  <c r="BZ88" i="4"/>
  <c r="BZ292" i="4"/>
  <c r="BW17" i="5"/>
  <c r="BW125" i="5" s="1"/>
  <c r="BZ283" i="4"/>
  <c r="BW388" i="4"/>
  <c r="BW34" i="4"/>
  <c r="BX301" i="4"/>
  <c r="BX304" i="4" s="1"/>
  <c r="BX142" i="4" s="1"/>
  <c r="CA310" i="4"/>
  <c r="CA148" i="4" s="1"/>
  <c r="BS162" i="7"/>
  <c r="BS664" i="7" s="1"/>
  <c r="BS637" i="7" s="1"/>
  <c r="BS134" i="7"/>
  <c r="BS160" i="7"/>
  <c r="BS157" i="7"/>
  <c r="BX294" i="4"/>
  <c r="BZ281" i="4"/>
  <c r="BZ73" i="5"/>
  <c r="BX17" i="4"/>
  <c r="BX17" i="5" s="1"/>
  <c r="BX125" i="5" s="1"/>
  <c r="BZ308" i="4"/>
  <c r="BZ295" i="4"/>
  <c r="BX146" i="4"/>
  <c r="BZ315" i="4"/>
  <c r="BZ153" i="4" s="1"/>
  <c r="BU430" i="7"/>
  <c r="BT430" i="7"/>
  <c r="BZ311" i="4"/>
  <c r="BZ149" i="4" s="1"/>
  <c r="CB715" i="7" l="1"/>
  <c r="CA715" i="7"/>
  <c r="BZ715" i="7"/>
  <c r="CC715" i="7"/>
  <c r="BU633" i="7"/>
  <c r="BU662" i="7"/>
  <c r="BT164" i="4"/>
  <c r="BU164" i="4"/>
  <c r="BU165" i="4" s="1"/>
  <c r="BS165" i="4"/>
  <c r="BY142" i="4"/>
  <c r="BY388" i="4" s="1"/>
  <c r="BV122" i="5"/>
  <c r="BW14" i="4"/>
  <c r="BW14" i="5" s="1"/>
  <c r="BT637" i="7"/>
  <c r="BT529" i="7" s="1"/>
  <c r="BV655" i="7"/>
  <c r="BV630" i="7" s="1"/>
  <c r="BV649" i="7"/>
  <c r="BV662" i="7" s="1"/>
  <c r="BU630" i="7"/>
  <c r="BW68" i="5"/>
  <c r="BW647" i="7"/>
  <c r="BT659" i="7"/>
  <c r="BT633" i="7"/>
  <c r="BT661" i="7"/>
  <c r="BS529" i="7"/>
  <c r="BS675" i="7"/>
  <c r="BU134" i="7"/>
  <c r="BU169" i="7" s="1"/>
  <c r="BX68" i="4"/>
  <c r="BX647" i="7" s="1"/>
  <c r="BU173" i="7"/>
  <c r="BU168" i="7"/>
  <c r="BU171" i="7"/>
  <c r="BT131" i="7"/>
  <c r="BT173" i="7" s="1"/>
  <c r="BV326" i="4"/>
  <c r="BT19" i="4"/>
  <c r="BT235" i="7" s="1"/>
  <c r="BT52" i="7" s="1"/>
  <c r="BS235" i="7"/>
  <c r="BS52" i="7" s="1"/>
  <c r="BW288" i="4"/>
  <c r="BW289" i="4" s="1"/>
  <c r="BW126" i="4"/>
  <c r="BT386" i="4"/>
  <c r="BV18" i="4"/>
  <c r="BV127" i="4"/>
  <c r="BS56" i="4"/>
  <c r="BU19" i="4"/>
  <c r="BU235" i="7" s="1"/>
  <c r="BU52" i="7" s="1"/>
  <c r="BU386" i="4"/>
  <c r="BU160" i="7"/>
  <c r="BU162" i="7"/>
  <c r="BU664" i="7" s="1"/>
  <c r="BU637" i="7" s="1"/>
  <c r="BU157" i="7"/>
  <c r="BV136" i="4"/>
  <c r="BU159" i="7"/>
  <c r="BW385" i="4"/>
  <c r="BW298" i="4"/>
  <c r="BW136" i="4" s="1"/>
  <c r="BX282" i="4"/>
  <c r="BX284" i="4" s="1"/>
  <c r="BX122" i="4" s="1"/>
  <c r="BT551" i="7"/>
  <c r="BT704" i="7"/>
  <c r="BW82" i="4"/>
  <c r="BX293" i="4"/>
  <c r="BV702" i="7"/>
  <c r="BV543" i="7" s="1"/>
  <c r="BV110" i="4"/>
  <c r="BZ373" i="4"/>
  <c r="BZ380" i="4" s="1"/>
  <c r="BZ381" i="4" s="1"/>
  <c r="CA373" i="4"/>
  <c r="CA380" i="4" s="1"/>
  <c r="CA381" i="4" s="1"/>
  <c r="BX296" i="4"/>
  <c r="BX156" i="4"/>
  <c r="BY156" i="4" s="1"/>
  <c r="BX319" i="4"/>
  <c r="BW49" i="4"/>
  <c r="BW430" i="7" s="1"/>
  <c r="BZ318" i="4"/>
  <c r="BZ156" i="4" s="1"/>
  <c r="BW389" i="4"/>
  <c r="BY162" i="4"/>
  <c r="BX54" i="4"/>
  <c r="BX482" i="7" s="1"/>
  <c r="BX390" i="4"/>
  <c r="BZ322" i="4"/>
  <c r="BZ324" i="4" s="1"/>
  <c r="BZ162" i="4" s="1"/>
  <c r="CA323" i="4"/>
  <c r="CA108" i="4"/>
  <c r="CA108" i="5" s="1"/>
  <c r="CB313" i="4"/>
  <c r="CB151" i="4" s="1"/>
  <c r="CC313" i="4"/>
  <c r="CC151" i="4" s="1"/>
  <c r="CC303" i="4"/>
  <c r="CB303" i="4"/>
  <c r="CA312" i="4"/>
  <c r="CA150" i="4" s="1"/>
  <c r="CD154" i="4"/>
  <c r="CB317" i="4"/>
  <c r="CC317" i="4"/>
  <c r="CA297" i="4"/>
  <c r="CA281" i="4"/>
  <c r="BS169" i="7"/>
  <c r="BT134" i="7"/>
  <c r="CC310" i="4"/>
  <c r="CC148" i="4" s="1"/>
  <c r="CB310" i="4"/>
  <c r="CB148" i="4" s="1"/>
  <c r="BZ301" i="4"/>
  <c r="BZ304" i="4" s="1"/>
  <c r="BZ142" i="4" s="1"/>
  <c r="BW340" i="7"/>
  <c r="CA283" i="4"/>
  <c r="BZ88" i="5"/>
  <c r="CA302" i="4"/>
  <c r="CA88" i="4"/>
  <c r="CA88" i="5" s="1"/>
  <c r="CA125" i="4"/>
  <c r="CA287" i="4"/>
  <c r="BZ294" i="4"/>
  <c r="BX34" i="4"/>
  <c r="BX388" i="4"/>
  <c r="BY17" i="4"/>
  <c r="BY17" i="5" s="1"/>
  <c r="BY125" i="5" s="1"/>
  <c r="CA292" i="4"/>
  <c r="BV147" i="7"/>
  <c r="BV659" i="7" s="1"/>
  <c r="BV153" i="7"/>
  <c r="BZ17" i="4"/>
  <c r="CB73" i="4"/>
  <c r="CC73" i="4"/>
  <c r="CC73" i="5" s="1"/>
  <c r="BS171" i="7"/>
  <c r="BS135" i="7"/>
  <c r="BS173" i="7"/>
  <c r="BS168" i="7"/>
  <c r="CA315" i="4"/>
  <c r="CA153" i="4" s="1"/>
  <c r="CA308" i="4"/>
  <c r="CA311" i="4"/>
  <c r="CA149" i="4" s="1"/>
  <c r="BY146" i="4"/>
  <c r="CA295" i="4"/>
  <c r="BZ146" i="4"/>
  <c r="BT165" i="4" l="1"/>
  <c r="BW145" i="7"/>
  <c r="BW153" i="7" s="1"/>
  <c r="BT52" i="9"/>
  <c r="BT139" i="9" s="1"/>
  <c r="BT382" i="4"/>
  <c r="BU382" i="4"/>
  <c r="BY122" i="4"/>
  <c r="BW122" i="5"/>
  <c r="BT675" i="7"/>
  <c r="BV634" i="7"/>
  <c r="BV661" i="7" s="1"/>
  <c r="BV670" i="7"/>
  <c r="BV673" i="7"/>
  <c r="BX655" i="7"/>
  <c r="BX630" i="7" s="1"/>
  <c r="BX649" i="7"/>
  <c r="BW649" i="7"/>
  <c r="BW655" i="7"/>
  <c r="BU634" i="7"/>
  <c r="BU661" i="7" s="1"/>
  <c r="BU670" i="7"/>
  <c r="BU673" i="7"/>
  <c r="BV633" i="7"/>
  <c r="BU529" i="7"/>
  <c r="BU675" i="7"/>
  <c r="BX68" i="5"/>
  <c r="BY68" i="4"/>
  <c r="BZ68" i="4"/>
  <c r="BT171" i="7"/>
  <c r="BT168" i="7"/>
  <c r="BT169" i="7"/>
  <c r="BU56" i="4"/>
  <c r="BV164" i="4"/>
  <c r="BV28" i="4"/>
  <c r="BV288" i="7" s="1"/>
  <c r="BT56" i="4"/>
  <c r="BV386" i="4"/>
  <c r="BV19" i="4"/>
  <c r="BV235" i="7" s="1"/>
  <c r="BW127" i="4"/>
  <c r="BW18" i="4"/>
  <c r="BX288" i="4"/>
  <c r="BX289" i="4" s="1"/>
  <c r="BX126" i="4"/>
  <c r="BV387" i="4"/>
  <c r="BX14" i="4"/>
  <c r="BX14" i="5" s="1"/>
  <c r="BX157" i="4"/>
  <c r="BW28" i="4"/>
  <c r="BW288" i="7" s="1"/>
  <c r="BW326" i="4"/>
  <c r="BW387" i="4"/>
  <c r="BZ282" i="4"/>
  <c r="BZ284" i="4" s="1"/>
  <c r="BZ122" i="4" s="1"/>
  <c r="BX385" i="4"/>
  <c r="BX298" i="4"/>
  <c r="BX136" i="4" s="1"/>
  <c r="BW110" i="4"/>
  <c r="BW702" i="7"/>
  <c r="BW543" i="7" s="1"/>
  <c r="BX82" i="4"/>
  <c r="BT714" i="7"/>
  <c r="BT717" i="7"/>
  <c r="BZ293" i="4"/>
  <c r="BT545" i="7"/>
  <c r="BY157" i="4"/>
  <c r="CA155" i="4"/>
  <c r="CB373" i="4"/>
  <c r="CB380" i="4" s="1"/>
  <c r="CB381" i="4" s="1"/>
  <c r="CC373" i="4"/>
  <c r="CC380" i="4" s="1"/>
  <c r="CC381" i="4" s="1"/>
  <c r="BZ296" i="4"/>
  <c r="CA318" i="4"/>
  <c r="CA156" i="4" s="1"/>
  <c r="BY390" i="4"/>
  <c r="BY54" i="4"/>
  <c r="BY482" i="7" s="1"/>
  <c r="BZ390" i="4"/>
  <c r="BZ54" i="4"/>
  <c r="BZ482" i="7" s="1"/>
  <c r="CA322" i="4"/>
  <c r="CA324" i="4" s="1"/>
  <c r="CA162" i="4" s="1"/>
  <c r="CB323" i="4"/>
  <c r="CB108" i="4"/>
  <c r="BZ319" i="4"/>
  <c r="CD151" i="4"/>
  <c r="CC312" i="4"/>
  <c r="CC150" i="4" s="1"/>
  <c r="CB312" i="4"/>
  <c r="CB150" i="4" s="1"/>
  <c r="CC297" i="4"/>
  <c r="CB297" i="4"/>
  <c r="BS159" i="7"/>
  <c r="BT135" i="7"/>
  <c r="BT159" i="7" s="1"/>
  <c r="BZ17" i="5"/>
  <c r="BZ125" i="5" s="1"/>
  <c r="BV131" i="7"/>
  <c r="CB292" i="4"/>
  <c r="BX340" i="7"/>
  <c r="CA17" i="4"/>
  <c r="CA17" i="5" s="1"/>
  <c r="CA125" i="5" s="1"/>
  <c r="CB302" i="4"/>
  <c r="CB88" i="4"/>
  <c r="BY34" i="4"/>
  <c r="CA301" i="4"/>
  <c r="CA304" i="4" s="1"/>
  <c r="CA142" i="4" s="1"/>
  <c r="CD148" i="4"/>
  <c r="CB73" i="5"/>
  <c r="CD73" i="4"/>
  <c r="CD73" i="5" s="1"/>
  <c r="BV134" i="7"/>
  <c r="BV162" i="7"/>
  <c r="BV664" i="7" s="1"/>
  <c r="BV637" i="7" s="1"/>
  <c r="BV160" i="7"/>
  <c r="BV157" i="7"/>
  <c r="CA294" i="4"/>
  <c r="CB125" i="4"/>
  <c r="CB287" i="4"/>
  <c r="CB283" i="4"/>
  <c r="BZ34" i="4"/>
  <c r="BZ388" i="4"/>
  <c r="CB281" i="4"/>
  <c r="BZ157" i="4"/>
  <c r="CB308" i="4"/>
  <c r="CC311" i="4"/>
  <c r="CC149" i="4" s="1"/>
  <c r="CB311" i="4"/>
  <c r="CB149" i="4" s="1"/>
  <c r="CB315" i="4"/>
  <c r="CB153" i="4" s="1"/>
  <c r="CA146" i="4"/>
  <c r="CB295" i="4"/>
  <c r="BW633" i="7" l="1"/>
  <c r="BW662" i="7"/>
  <c r="BX633" i="7"/>
  <c r="BX662" i="7"/>
  <c r="BW147" i="7"/>
  <c r="BW659" i="7" s="1"/>
  <c r="BT55" i="9"/>
  <c r="BT170" i="9"/>
  <c r="BT155" i="9"/>
  <c r="BT165" i="9"/>
  <c r="BT54" i="9"/>
  <c r="BY47" i="9" s="1"/>
  <c r="BT160" i="9"/>
  <c r="BW164" i="4"/>
  <c r="BW382" i="4" s="1"/>
  <c r="BX49" i="4"/>
  <c r="BX430" i="7" s="1"/>
  <c r="BY385" i="4"/>
  <c r="BZ68" i="5"/>
  <c r="BZ647" i="7"/>
  <c r="BY68" i="5"/>
  <c r="BY647" i="7"/>
  <c r="BW630" i="7"/>
  <c r="BY655" i="7"/>
  <c r="BY630" i="7" s="1"/>
  <c r="BX634" i="7"/>
  <c r="BX661" i="7" s="1"/>
  <c r="BX670" i="7"/>
  <c r="BX673" i="7"/>
  <c r="BV529" i="7"/>
  <c r="BV675" i="7"/>
  <c r="BX122" i="5"/>
  <c r="CA68" i="4"/>
  <c r="BW131" i="7"/>
  <c r="BW135" i="7" s="1"/>
  <c r="BV52" i="7"/>
  <c r="BV165" i="4"/>
  <c r="BV382" i="4"/>
  <c r="BV56" i="4"/>
  <c r="BX145" i="7"/>
  <c r="BX153" i="7" s="1"/>
  <c r="BZ288" i="4"/>
  <c r="BZ289" i="4" s="1"/>
  <c r="BZ126" i="4"/>
  <c r="BX18" i="4"/>
  <c r="BY18" i="4" s="1"/>
  <c r="BX127" i="4"/>
  <c r="BY126" i="4"/>
  <c r="BW19" i="4"/>
  <c r="BW386" i="4"/>
  <c r="BZ298" i="4"/>
  <c r="BY14" i="4"/>
  <c r="BY145" i="7" s="1"/>
  <c r="BY147" i="7" s="1"/>
  <c r="BX389" i="4"/>
  <c r="BZ14" i="4"/>
  <c r="BZ385" i="4"/>
  <c r="BX326" i="4"/>
  <c r="CA282" i="4"/>
  <c r="CA284" i="4" s="1"/>
  <c r="CA122" i="4" s="1"/>
  <c r="BY389" i="4"/>
  <c r="CA293" i="4"/>
  <c r="BX702" i="7"/>
  <c r="BX543" i="7" s="1"/>
  <c r="BX110" i="4"/>
  <c r="BY82" i="4"/>
  <c r="BT555" i="7"/>
  <c r="BT560" i="7"/>
  <c r="BT558" i="7"/>
  <c r="BZ82" i="4"/>
  <c r="CC155" i="4"/>
  <c r="CD373" i="4"/>
  <c r="CD380" i="4" s="1"/>
  <c r="CD381" i="4" s="1"/>
  <c r="CB155" i="4"/>
  <c r="CA296" i="4"/>
  <c r="BY136" i="4"/>
  <c r="BX28" i="4"/>
  <c r="BX387" i="4"/>
  <c r="CB318" i="4"/>
  <c r="CB156" i="4" s="1"/>
  <c r="CA390" i="4"/>
  <c r="CA54" i="4"/>
  <c r="CA482" i="7" s="1"/>
  <c r="CB322" i="4"/>
  <c r="CB324" i="4" s="1"/>
  <c r="CB162" i="4" s="1"/>
  <c r="CB108" i="5"/>
  <c r="CC323" i="4"/>
  <c r="CC108" i="4"/>
  <c r="CC108" i="5" s="1"/>
  <c r="CA319" i="4"/>
  <c r="CA157" i="4"/>
  <c r="CD150" i="4"/>
  <c r="CC281" i="4"/>
  <c r="CC283" i="4"/>
  <c r="CC125" i="4"/>
  <c r="CD125" i="4" s="1"/>
  <c r="CC287" i="4"/>
  <c r="CA34" i="4"/>
  <c r="CA388" i="4"/>
  <c r="CB301" i="4"/>
  <c r="CB304" i="4" s="1"/>
  <c r="CB142" i="4" s="1"/>
  <c r="CB88" i="5"/>
  <c r="CC302" i="4"/>
  <c r="CC88" i="4"/>
  <c r="CC88" i="5" s="1"/>
  <c r="CC292" i="4"/>
  <c r="BV171" i="7"/>
  <c r="BV135" i="7"/>
  <c r="BV173" i="7"/>
  <c r="BV168" i="7"/>
  <c r="BZ340" i="7"/>
  <c r="CB17" i="4"/>
  <c r="CB17" i="5" s="1"/>
  <c r="CB125" i="5" s="1"/>
  <c r="CB294" i="4"/>
  <c r="CC294" i="4"/>
  <c r="BV169" i="7"/>
  <c r="BY340" i="7"/>
  <c r="CB146" i="4"/>
  <c r="CC315" i="4"/>
  <c r="CC153" i="4" s="1"/>
  <c r="BZ49" i="4"/>
  <c r="BZ389" i="4"/>
  <c r="CC308" i="4"/>
  <c r="CC295" i="4"/>
  <c r="CD149" i="4"/>
  <c r="CD153" i="4" l="1"/>
  <c r="BW162" i="7"/>
  <c r="BW664" i="7" s="1"/>
  <c r="BW637" i="7" s="1"/>
  <c r="BW529" i="7" s="1"/>
  <c r="BW157" i="7"/>
  <c r="BW160" i="7"/>
  <c r="BW134" i="7"/>
  <c r="BW169" i="7" s="1"/>
  <c r="BW159" i="7"/>
  <c r="BY49" i="4"/>
  <c r="BY430" i="7" s="1"/>
  <c r="BT150" i="9"/>
  <c r="BT56" i="9"/>
  <c r="BT145" i="9"/>
  <c r="CA49" i="4"/>
  <c r="CA430" i="7" s="1"/>
  <c r="BX164" i="4"/>
  <c r="BX382" i="4" s="1"/>
  <c r="BW165" i="4"/>
  <c r="CA385" i="4"/>
  <c r="BY14" i="5"/>
  <c r="BY122" i="5" s="1"/>
  <c r="CA68" i="5"/>
  <c r="CA647" i="7"/>
  <c r="BY634" i="7"/>
  <c r="BY670" i="7"/>
  <c r="BY673" i="7"/>
  <c r="BY649" i="7"/>
  <c r="BY662" i="7" s="1"/>
  <c r="BZ655" i="7"/>
  <c r="BZ649" i="7"/>
  <c r="BW634" i="7"/>
  <c r="BW661" i="7" s="1"/>
  <c r="BW670" i="7"/>
  <c r="BW673" i="7"/>
  <c r="BW173" i="7"/>
  <c r="CC68" i="4"/>
  <c r="CB68" i="4"/>
  <c r="BW168" i="7"/>
  <c r="BW171" i="7"/>
  <c r="BX147" i="7"/>
  <c r="BX659" i="7" s="1"/>
  <c r="BZ326" i="4"/>
  <c r="BZ136" i="4"/>
  <c r="BZ28" i="4" s="1"/>
  <c r="BZ288" i="7" s="1"/>
  <c r="BW235" i="7"/>
  <c r="BW52" i="7" s="1"/>
  <c r="BW56" i="4"/>
  <c r="BX386" i="4"/>
  <c r="BY127" i="4"/>
  <c r="BY330" i="4" s="1"/>
  <c r="BX19" i="4"/>
  <c r="BX56" i="4" s="1"/>
  <c r="BZ127" i="4"/>
  <c r="BZ18" i="4"/>
  <c r="CA126" i="4"/>
  <c r="CA288" i="4"/>
  <c r="CA289" i="4" s="1"/>
  <c r="CA14" i="4"/>
  <c r="CA14" i="5" s="1"/>
  <c r="CA298" i="4"/>
  <c r="CA136" i="4" s="1"/>
  <c r="CB282" i="4"/>
  <c r="CB284" i="4" s="1"/>
  <c r="CB122" i="4" s="1"/>
  <c r="BZ145" i="7"/>
  <c r="BZ14" i="5"/>
  <c r="BZ122" i="5" s="1"/>
  <c r="CD155" i="4"/>
  <c r="BZ110" i="4"/>
  <c r="BZ702" i="7"/>
  <c r="BZ543" i="7" s="1"/>
  <c r="BY110" i="4"/>
  <c r="BY702" i="7"/>
  <c r="BY543" i="7" s="1"/>
  <c r="BY82" i="5"/>
  <c r="BY110" i="5" s="1"/>
  <c r="BY101" i="10" s="1"/>
  <c r="CB293" i="4"/>
  <c r="CA82" i="4"/>
  <c r="BX288" i="7"/>
  <c r="BY28" i="4"/>
  <c r="BY288" i="7" s="1"/>
  <c r="BY387" i="4"/>
  <c r="CC296" i="4"/>
  <c r="CB296" i="4"/>
  <c r="CB54" i="4"/>
  <c r="CB482" i="7" s="1"/>
  <c r="CB390" i="4"/>
  <c r="CC322" i="4"/>
  <c r="CC324" i="4" s="1"/>
  <c r="CC162" i="4" s="1"/>
  <c r="CD108" i="4"/>
  <c r="CD108" i="5" s="1"/>
  <c r="CA389" i="4"/>
  <c r="CB157" i="4"/>
  <c r="CB319" i="4"/>
  <c r="CB388" i="4"/>
  <c r="CB34" i="4"/>
  <c r="CA340" i="7"/>
  <c r="BV159" i="7"/>
  <c r="BX131" i="7"/>
  <c r="BY153" i="7"/>
  <c r="BY162" i="7"/>
  <c r="BY664" i="7" s="1"/>
  <c r="BY157" i="7"/>
  <c r="BY160" i="7"/>
  <c r="CD88" i="4"/>
  <c r="CD88" i="5" s="1"/>
  <c r="CC301" i="4"/>
  <c r="CC304" i="4" s="1"/>
  <c r="CC142" i="4" s="1"/>
  <c r="CC17" i="4"/>
  <c r="CC146" i="4"/>
  <c r="BZ430" i="7"/>
  <c r="BW675" i="7" l="1"/>
  <c r="BZ633" i="7"/>
  <c r="BZ662" i="7"/>
  <c r="BX165" i="4"/>
  <c r="CA387" i="4"/>
  <c r="BZ387" i="4"/>
  <c r="CB385" i="4"/>
  <c r="CA122" i="5"/>
  <c r="BY637" i="7"/>
  <c r="BY529" i="7" s="1"/>
  <c r="BY661" i="7"/>
  <c r="CB68" i="5"/>
  <c r="CB647" i="7"/>
  <c r="BY659" i="7"/>
  <c r="BY633" i="7"/>
  <c r="CA649" i="7"/>
  <c r="CA655" i="7"/>
  <c r="CA630" i="7" s="1"/>
  <c r="CC68" i="5"/>
  <c r="CC647" i="7"/>
  <c r="BZ630" i="7"/>
  <c r="BX157" i="7"/>
  <c r="BX134" i="7"/>
  <c r="BY134" i="7" s="1"/>
  <c r="CD68" i="4"/>
  <c r="BY131" i="7"/>
  <c r="BY173" i="7" s="1"/>
  <c r="BX160" i="7"/>
  <c r="BX162" i="7"/>
  <c r="BX664" i="7" s="1"/>
  <c r="BX637" i="7" s="1"/>
  <c r="CB126" i="4"/>
  <c r="CB288" i="4"/>
  <c r="CB289" i="4" s="1"/>
  <c r="CA18" i="4"/>
  <c r="CA127" i="4"/>
  <c r="BZ19" i="4"/>
  <c r="BZ235" i="7" s="1"/>
  <c r="BZ52" i="7" s="1"/>
  <c r="BZ386" i="4"/>
  <c r="BY386" i="4"/>
  <c r="BY164" i="4"/>
  <c r="BY19" i="4"/>
  <c r="BY235" i="7" s="1"/>
  <c r="BY52" i="7" s="1"/>
  <c r="BX235" i="7"/>
  <c r="BX52" i="7" s="1"/>
  <c r="BZ164" i="4"/>
  <c r="CA145" i="7"/>
  <c r="CA153" i="7" s="1"/>
  <c r="CB14" i="4"/>
  <c r="CB145" i="7" s="1"/>
  <c r="CB153" i="7" s="1"/>
  <c r="CB298" i="4"/>
  <c r="CB136" i="4" s="1"/>
  <c r="BZ147" i="7"/>
  <c r="BZ659" i="7" s="1"/>
  <c r="BZ153" i="7"/>
  <c r="CA326" i="4"/>
  <c r="CC282" i="4"/>
  <c r="CC284" i="4" s="1"/>
  <c r="CC122" i="4" s="1"/>
  <c r="CC293" i="4"/>
  <c r="CC298" i="4" s="1"/>
  <c r="CC136" i="4" s="1"/>
  <c r="CC82" i="4"/>
  <c r="CC110" i="4" s="1"/>
  <c r="CA702" i="7"/>
  <c r="CA543" i="7" s="1"/>
  <c r="CA110" i="4"/>
  <c r="CA28" i="4"/>
  <c r="CA288" i="7" s="1"/>
  <c r="CB82" i="4"/>
  <c r="BY551" i="7"/>
  <c r="BY704" i="7"/>
  <c r="CB389" i="4"/>
  <c r="CB49" i="4"/>
  <c r="CB430" i="7" s="1"/>
  <c r="CC318" i="4"/>
  <c r="CD162" i="4"/>
  <c r="CD390" i="4" s="1"/>
  <c r="CC54" i="4"/>
  <c r="CD54" i="4" s="1"/>
  <c r="CD482" i="7" s="1"/>
  <c r="CC390" i="4"/>
  <c r="CC388" i="4"/>
  <c r="CC34" i="4"/>
  <c r="CD34" i="4" s="1"/>
  <c r="CD142" i="4"/>
  <c r="CC17" i="5"/>
  <c r="CC125" i="5" s="1"/>
  <c r="CD17" i="4"/>
  <c r="CD17" i="5" s="1"/>
  <c r="CD125" i="5" s="1"/>
  <c r="BX135" i="7"/>
  <c r="BX171" i="7"/>
  <c r="BX173" i="7"/>
  <c r="BX168" i="7"/>
  <c r="CB340" i="7"/>
  <c r="CD146" i="4"/>
  <c r="CA633" i="7" l="1"/>
  <c r="CA662" i="7"/>
  <c r="CA164" i="4"/>
  <c r="CA382" i="4" s="1"/>
  <c r="CB387" i="4"/>
  <c r="CC385" i="4"/>
  <c r="BX169" i="7"/>
  <c r="BY675" i="7"/>
  <c r="CD68" i="5"/>
  <c r="CD647" i="7"/>
  <c r="BZ634" i="7"/>
  <c r="BZ661" i="7" s="1"/>
  <c r="BZ670" i="7"/>
  <c r="BZ673" i="7"/>
  <c r="CB655" i="7"/>
  <c r="CB649" i="7"/>
  <c r="CC649" i="7"/>
  <c r="CC655" i="7"/>
  <c r="CC630" i="7" s="1"/>
  <c r="CA634" i="7"/>
  <c r="CA661" i="7" s="1"/>
  <c r="CA670" i="7"/>
  <c r="CA673" i="7"/>
  <c r="BX529" i="7"/>
  <c r="BX675" i="7"/>
  <c r="BY168" i="7"/>
  <c r="BY169" i="7"/>
  <c r="BY171" i="7"/>
  <c r="BZ131" i="7"/>
  <c r="BZ171" i="7" s="1"/>
  <c r="CB131" i="7"/>
  <c r="CB171" i="7" s="1"/>
  <c r="CB147" i="7"/>
  <c r="CB659" i="7" s="1"/>
  <c r="CB14" i="5"/>
  <c r="CB122" i="5" s="1"/>
  <c r="BZ56" i="4"/>
  <c r="BY56" i="4"/>
  <c r="BZ165" i="4"/>
  <c r="BZ382" i="4"/>
  <c r="BY165" i="4"/>
  <c r="BY52" i="9"/>
  <c r="BY382" i="4"/>
  <c r="CB18" i="4"/>
  <c r="CB127" i="4"/>
  <c r="CA386" i="4"/>
  <c r="CA19" i="4"/>
  <c r="CA235" i="7" s="1"/>
  <c r="CA52" i="7" s="1"/>
  <c r="CC126" i="4"/>
  <c r="CC288" i="4"/>
  <c r="CC289" i="4" s="1"/>
  <c r="CC14" i="4"/>
  <c r="CC145" i="7" s="1"/>
  <c r="CC702" i="7"/>
  <c r="CC543" i="7" s="1"/>
  <c r="CA147" i="7"/>
  <c r="CA659" i="7" s="1"/>
  <c r="CD122" i="4"/>
  <c r="CB28" i="4"/>
  <c r="CB288" i="7" s="1"/>
  <c r="CC28" i="4"/>
  <c r="CC288" i="7" s="1"/>
  <c r="CB326" i="4"/>
  <c r="CC387" i="4"/>
  <c r="CD136" i="4"/>
  <c r="BZ162" i="7"/>
  <c r="BZ664" i="7" s="1"/>
  <c r="BZ637" i="7" s="1"/>
  <c r="BZ160" i="7"/>
  <c r="BZ134" i="7"/>
  <c r="CB110" i="4"/>
  <c r="CB702" i="7"/>
  <c r="CB543" i="7" s="1"/>
  <c r="BY714" i="7"/>
  <c r="BY717" i="7"/>
  <c r="CD82" i="4"/>
  <c r="BY545" i="7"/>
  <c r="CC482" i="7"/>
  <c r="CC156" i="4"/>
  <c r="CC319" i="4"/>
  <c r="CA131" i="7"/>
  <c r="CD340" i="7"/>
  <c r="BX159" i="7"/>
  <c r="BY135" i="7"/>
  <c r="BY159" i="7" s="1"/>
  <c r="CD388" i="4"/>
  <c r="CC340" i="7"/>
  <c r="CC633" i="7" l="1"/>
  <c r="CC662" i="7"/>
  <c r="CB633" i="7"/>
  <c r="CB662" i="7"/>
  <c r="CB164" i="4"/>
  <c r="CB382" i="4" s="1"/>
  <c r="CA165" i="4"/>
  <c r="CD649" i="7"/>
  <c r="CD662" i="7" s="1"/>
  <c r="CC634" i="7"/>
  <c r="CC661" i="7" s="1"/>
  <c r="CC670" i="7"/>
  <c r="CC673" i="7"/>
  <c r="CB630" i="7"/>
  <c r="CD655" i="7"/>
  <c r="CD630" i="7" s="1"/>
  <c r="BZ529" i="7"/>
  <c r="BZ675" i="7"/>
  <c r="CB134" i="7"/>
  <c r="CB169" i="7" s="1"/>
  <c r="CB160" i="7"/>
  <c r="CB162" i="7"/>
  <c r="CB664" i="7" s="1"/>
  <c r="CB637" i="7" s="1"/>
  <c r="BZ173" i="7"/>
  <c r="CB173" i="7"/>
  <c r="CB135" i="7"/>
  <c r="CB159" i="7" s="1"/>
  <c r="BZ169" i="7"/>
  <c r="BZ135" i="7"/>
  <c r="BZ159" i="7" s="1"/>
  <c r="CD14" i="4"/>
  <c r="CD14" i="5" s="1"/>
  <c r="CD122" i="5" s="1"/>
  <c r="CC14" i="5"/>
  <c r="CC122" i="5" s="1"/>
  <c r="CA56" i="4"/>
  <c r="CC326" i="4"/>
  <c r="CC18" i="4"/>
  <c r="CD18" i="4" s="1"/>
  <c r="CD126" i="4"/>
  <c r="CC127" i="4"/>
  <c r="CB19" i="4"/>
  <c r="CB235" i="7" s="1"/>
  <c r="CB52" i="7" s="1"/>
  <c r="CB386" i="4"/>
  <c r="BY165" i="9"/>
  <c r="BY55" i="9"/>
  <c r="BY155" i="9"/>
  <c r="BY54" i="9"/>
  <c r="BY170" i="9"/>
  <c r="BY139" i="9"/>
  <c r="BY160" i="9"/>
  <c r="CA134" i="7"/>
  <c r="CA169" i="7" s="1"/>
  <c r="CA162" i="7"/>
  <c r="CA664" i="7" s="1"/>
  <c r="CA637" i="7" s="1"/>
  <c r="CA160" i="7"/>
  <c r="CD385" i="4"/>
  <c r="CD28" i="4"/>
  <c r="CD288" i="7" s="1"/>
  <c r="CD387" i="4"/>
  <c r="CD702" i="7"/>
  <c r="CD543" i="7" s="1"/>
  <c r="CD82" i="5"/>
  <c r="CD110" i="5" s="1"/>
  <c r="CD101" i="10" s="1"/>
  <c r="CD110" i="4"/>
  <c r="BY560" i="7"/>
  <c r="BY555" i="7"/>
  <c r="BY558" i="7"/>
  <c r="CD156" i="4"/>
  <c r="CD157" i="4" s="1"/>
  <c r="CC157" i="4"/>
  <c r="CA173" i="7"/>
  <c r="CA171" i="7"/>
  <c r="CA135" i="7"/>
  <c r="CC147" i="7"/>
  <c r="CC659" i="7" s="1"/>
  <c r="CC153" i="7"/>
  <c r="CB165" i="4" l="1"/>
  <c r="CB634" i="7"/>
  <c r="CB661" i="7" s="1"/>
  <c r="CB670" i="7"/>
  <c r="CB673" i="7"/>
  <c r="CD659" i="7"/>
  <c r="CD633" i="7"/>
  <c r="CD634" i="7"/>
  <c r="CD661" i="7" s="1"/>
  <c r="CD670" i="7"/>
  <c r="CD673" i="7"/>
  <c r="CA529" i="7"/>
  <c r="CA675" i="7"/>
  <c r="CB529" i="7"/>
  <c r="CB675" i="7"/>
  <c r="CD145" i="7"/>
  <c r="CD147" i="7" s="1"/>
  <c r="CD162" i="7" s="1"/>
  <c r="CD664" i="7" s="1"/>
  <c r="CD637" i="7" s="1"/>
  <c r="CB56" i="4"/>
  <c r="BY145" i="9"/>
  <c r="BY56" i="9"/>
  <c r="CD47" i="9"/>
  <c r="BY150" i="9"/>
  <c r="CC19" i="4"/>
  <c r="CD127" i="4"/>
  <c r="CD330" i="4" s="1"/>
  <c r="CC386" i="4"/>
  <c r="CD551" i="7"/>
  <c r="CD704" i="7"/>
  <c r="CC164" i="4"/>
  <c r="CC389" i="4"/>
  <c r="CC49" i="4"/>
  <c r="CD389" i="4"/>
  <c r="CC162" i="7"/>
  <c r="CC664" i="7" s="1"/>
  <c r="CC637" i="7" s="1"/>
  <c r="CC134" i="7"/>
  <c r="CC160" i="7"/>
  <c r="CA159" i="7"/>
  <c r="CC131" i="7"/>
  <c r="CD153" i="7"/>
  <c r="CD164" i="4" l="1"/>
  <c r="CD529" i="7"/>
  <c r="CD675" i="7"/>
  <c r="CC529" i="7"/>
  <c r="CC675" i="7"/>
  <c r="CD160" i="7"/>
  <c r="CD131" i="7"/>
  <c r="CD171" i="7" s="1"/>
  <c r="CD386" i="4"/>
  <c r="CD19" i="4"/>
  <c r="CD235" i="7" s="1"/>
  <c r="CC235" i="7"/>
  <c r="CC382" i="4"/>
  <c r="CC165" i="4"/>
  <c r="CD717" i="7"/>
  <c r="CD714" i="7"/>
  <c r="CD545" i="7"/>
  <c r="CC56" i="4"/>
  <c r="CC430" i="7"/>
  <c r="CD49" i="4"/>
  <c r="CC169" i="7"/>
  <c r="CD134" i="7"/>
  <c r="CC173" i="7"/>
  <c r="CC171" i="7"/>
  <c r="CC135" i="7"/>
  <c r="CD165" i="4" l="1"/>
  <c r="CD382" i="4"/>
  <c r="CD52" i="9"/>
  <c r="CD169" i="7"/>
  <c r="CD173" i="7"/>
  <c r="CC52" i="7"/>
  <c r="CD560" i="7"/>
  <c r="CD558" i="7"/>
  <c r="CD555" i="7"/>
  <c r="CD56" i="4"/>
  <c r="CD430" i="7"/>
  <c r="CD52" i="7" s="1"/>
  <c r="CC159" i="7"/>
  <c r="CD135" i="7"/>
  <c r="CD139" i="9" l="1"/>
  <c r="CD159" i="7"/>
  <c r="AZ11" i="14" l="1"/>
  <c r="AZ12" i="14"/>
  <c r="AZ13" i="14"/>
  <c r="AZ15" i="14"/>
  <c r="AZ137" i="14" l="1"/>
  <c r="AZ17" i="14"/>
  <c r="AZ20" i="14"/>
  <c r="AZ194" i="12" s="1"/>
  <c r="AZ25" i="14"/>
  <c r="AZ127" i="14" s="1"/>
  <c r="AZ126" i="14" l="1"/>
  <c r="AZ135" i="14"/>
  <c r="AZ27" i="14"/>
  <c r="AZ140" i="14" s="1"/>
  <c r="AZ60" i="27"/>
  <c r="AZ81" i="14" s="1"/>
  <c r="AZ19" i="27" l="1"/>
  <c r="AZ29" i="14"/>
  <c r="AZ31" i="14" l="1"/>
  <c r="AZ235" i="12" l="1"/>
  <c r="AZ206" i="12" s="1"/>
  <c r="AZ182" i="13" l="1"/>
  <c r="AZ90" i="12" s="1"/>
  <c r="AZ88" i="12"/>
  <c r="AZ183" i="13" l="1"/>
  <c r="AZ125" i="13"/>
  <c r="AZ78" i="12"/>
  <c r="AZ32" i="14" l="1"/>
  <c r="AZ102" i="14"/>
  <c r="AZ113" i="14" s="1"/>
  <c r="AZ193" i="12" l="1"/>
  <c r="AZ198" i="12" s="1"/>
  <c r="AZ24" i="12"/>
  <c r="AZ91" i="14"/>
  <c r="AZ37" i="12" s="1"/>
  <c r="AZ42" i="12" s="1"/>
  <c r="AY105" i="14"/>
  <c r="AZ105" i="14" s="1"/>
  <c r="AZ94" i="13"/>
  <c r="AZ66" i="12" l="1"/>
  <c r="AY13" i="12" l="1"/>
  <c r="AY15" i="12" s="1"/>
  <c r="AZ13" i="12"/>
  <c r="AY14" i="12" l="1"/>
  <c r="AZ134" i="13" l="1"/>
  <c r="AZ137" i="13" s="1"/>
  <c r="AZ121" i="27" l="1"/>
  <c r="AZ10" i="27"/>
  <c r="AZ12" i="27"/>
  <c r="AZ13" i="7" s="1"/>
  <c r="AZ98" i="12" l="1"/>
  <c r="BA67" i="11" l="1"/>
  <c r="BA70" i="11"/>
  <c r="AZ126" i="13" l="1"/>
  <c r="AZ110" i="12"/>
  <c r="AZ14" i="27" l="1"/>
  <c r="AZ17" i="27" s="1"/>
  <c r="AZ55" i="27"/>
  <c r="AZ76" i="14" s="1"/>
  <c r="AZ20" i="27" l="1"/>
  <c r="AZ22" i="27" s="1"/>
  <c r="AZ27" i="27" s="1"/>
  <c r="AZ36" i="14" s="1"/>
  <c r="AZ39" i="14" l="1"/>
  <c r="AZ49" i="14"/>
  <c r="AZ54" i="14"/>
  <c r="AZ50" i="14" l="1"/>
  <c r="AZ55" i="14"/>
  <c r="AZ15" i="37" s="1"/>
  <c r="AZ18" i="37" s="1"/>
  <c r="AZ42" i="14"/>
  <c r="AZ56" i="14" l="1"/>
  <c r="AZ57" i="14" l="1"/>
  <c r="AZ51" i="27" l="1"/>
  <c r="AZ72" i="14" l="1"/>
  <c r="AZ22" i="7"/>
  <c r="AZ25" i="7"/>
  <c r="AZ28" i="7" s="1"/>
  <c r="AZ29" i="7" s="1"/>
  <c r="AZ53" i="27"/>
  <c r="AZ74" i="14" l="1"/>
  <c r="AZ58" i="27"/>
  <c r="AZ72" i="27" s="1"/>
  <c r="AZ79" i="14" l="1"/>
  <c r="AZ61" i="27"/>
  <c r="AZ63" i="27" s="1"/>
  <c r="AZ101" i="27" l="1"/>
  <c r="AZ125" i="27" s="1"/>
  <c r="AZ68" i="27"/>
  <c r="AZ81" i="27"/>
  <c r="AZ128" i="14" s="1"/>
  <c r="AZ51" i="14"/>
  <c r="AZ84" i="14"/>
  <c r="AZ85" i="14" s="1"/>
  <c r="AZ82" i="14"/>
  <c r="AZ76" i="27" l="1"/>
  <c r="AZ74" i="13"/>
  <c r="AZ90" i="13" s="1"/>
  <c r="AZ116" i="27"/>
  <c r="AZ117" i="27" s="1"/>
  <c r="BE117" i="27" s="1"/>
  <c r="AZ75" i="13" l="1"/>
  <c r="AZ78" i="13"/>
  <c r="AZ76" i="13"/>
  <c r="AZ104" i="10" s="1"/>
  <c r="AZ73" i="13" l="1"/>
  <c r="AZ129" i="13"/>
  <c r="AZ118" i="12" l="1"/>
  <c r="AZ45" i="37"/>
  <c r="AY96" i="13"/>
  <c r="AY97" i="13" s="1"/>
  <c r="AY98" i="13" s="1"/>
  <c r="AY100" i="13" s="1"/>
  <c r="AY38" i="13"/>
  <c r="BE89" i="13"/>
  <c r="BE91" i="13" s="1"/>
  <c r="AZ91" i="13" l="1"/>
  <c r="AZ130" i="27" s="1"/>
  <c r="BA89" i="13"/>
  <c r="AY134" i="14"/>
  <c r="AZ54" i="37"/>
  <c r="AY141" i="14"/>
  <c r="AZ130" i="13"/>
  <c r="AZ131" i="13" s="1"/>
  <c r="AZ135" i="13" s="1"/>
  <c r="AZ131" i="12"/>
  <c r="AZ52" i="37"/>
  <c r="AZ141" i="14" l="1"/>
  <c r="AZ57" i="37"/>
  <c r="AZ134" i="14"/>
  <c r="AY142" i="14"/>
  <c r="AY143" i="14" s="1"/>
  <c r="AY136" i="14"/>
  <c r="AY138" i="14" s="1"/>
  <c r="AZ96" i="13"/>
  <c r="AZ46" i="37"/>
  <c r="AZ53" i="37" s="1"/>
  <c r="AY146" i="14" l="1"/>
  <c r="AZ97" i="13"/>
  <c r="AZ98" i="13" s="1"/>
  <c r="AZ100" i="13" s="1"/>
  <c r="AZ136" i="14"/>
  <c r="AZ138" i="14" s="1"/>
  <c r="AZ142" i="14"/>
  <c r="AZ143" i="14" s="1"/>
  <c r="AZ104" i="13" l="1"/>
  <c r="AZ129" i="27"/>
  <c r="AZ146" i="14"/>
  <c r="AZ105" i="13" l="1"/>
  <c r="AZ114" i="13"/>
  <c r="AZ115" i="13" s="1"/>
  <c r="AZ131" i="27"/>
  <c r="AZ119" i="12"/>
  <c r="AY114" i="14"/>
  <c r="AY27" i="37" s="1"/>
  <c r="AZ120" i="14"/>
  <c r="AZ27" i="37" l="1"/>
  <c r="AY24" i="37"/>
  <c r="AZ24" i="37" s="1"/>
  <c r="AY120" i="14"/>
  <c r="AY65" i="13" s="1"/>
  <c r="AY90" i="13" s="1"/>
  <c r="BA112" i="14"/>
  <c r="BE112" i="14"/>
  <c r="AZ127" i="12"/>
  <c r="AY76" i="13" l="1"/>
  <c r="AY84" i="13"/>
  <c r="AZ84" i="13" s="1"/>
  <c r="AY67" i="13"/>
  <c r="AY115" i="13"/>
  <c r="AY75" i="13"/>
  <c r="AZ112" i="12"/>
  <c r="AZ67" i="12"/>
  <c r="AZ79" i="13"/>
  <c r="AZ19" i="37"/>
  <c r="BE23" i="11"/>
  <c r="BE30" i="11" s="1"/>
  <c r="AY91" i="13" l="1"/>
  <c r="AY104" i="13" s="1"/>
  <c r="AY105" i="13"/>
  <c r="AZ26" i="12"/>
  <c r="AZ100" i="12"/>
  <c r="AY114" i="13"/>
  <c r="BE11" i="11"/>
  <c r="AZ114" i="12"/>
  <c r="BE22" i="11"/>
  <c r="AZ12" i="12"/>
  <c r="AZ15" i="12" l="1"/>
  <c r="AZ30" i="12"/>
  <c r="AZ29" i="12"/>
  <c r="AZ116" i="12"/>
  <c r="AZ130" i="12"/>
  <c r="AZ14" i="12"/>
  <c r="AZ25" i="37" l="1"/>
  <c r="AY25" i="37" l="1"/>
  <c r="BA157" i="13" l="1"/>
  <c r="BA181" i="13" s="1"/>
  <c r="BA158" i="13"/>
  <c r="BA182" i="13" l="1"/>
  <c r="BA68" i="37"/>
  <c r="BA148" i="13"/>
  <c r="BA172" i="13" s="1"/>
  <c r="BA153" i="13" l="1"/>
  <c r="BA177" i="13" s="1"/>
  <c r="BA42" i="47"/>
  <c r="BA159" i="13" s="1"/>
  <c r="BC158" i="13"/>
  <c r="BC182" i="13" l="1"/>
  <c r="BC68" i="37"/>
  <c r="BA183" i="13"/>
  <c r="BC148" i="13"/>
  <c r="BC172" i="13" s="1"/>
  <c r="BA144" i="13"/>
  <c r="BA168" i="13" s="1"/>
  <c r="CJ208" i="13" s="1"/>
  <c r="BA185" i="13" l="1"/>
  <c r="BA174" i="13"/>
  <c r="BC153" i="13"/>
  <c r="BC177" i="13" s="1"/>
  <c r="BD158" i="13"/>
  <c r="BB31" i="47"/>
  <c r="BB150" i="13" s="1"/>
  <c r="BA150" i="13"/>
  <c r="BA44" i="47"/>
  <c r="BF158" i="13"/>
  <c r="BF182" i="13" l="1"/>
  <c r="BF68" i="37"/>
  <c r="BD182" i="13"/>
  <c r="BE182" i="13" s="1"/>
  <c r="BE90" i="12" s="1"/>
  <c r="BD68" i="37"/>
  <c r="BG158" i="13"/>
  <c r="BA161" i="13"/>
  <c r="BA85" i="47"/>
  <c r="BA100" i="47" s="1"/>
  <c r="BC144" i="13"/>
  <c r="BC168" i="13" s="1"/>
  <c r="BG182" i="13" l="1"/>
  <c r="BG68" i="37"/>
  <c r="CJ210" i="13"/>
  <c r="BC174" i="13"/>
  <c r="AZ168" i="13"/>
  <c r="BH158" i="13"/>
  <c r="BH182" i="13" s="1"/>
  <c r="BC150" i="13"/>
  <c r="BI158" i="13" l="1"/>
  <c r="AZ77" i="12"/>
  <c r="AZ174" i="13"/>
  <c r="AZ185" i="13"/>
  <c r="AZ124" i="13"/>
  <c r="AZ127" i="13" s="1"/>
  <c r="BI68" i="37" l="1"/>
  <c r="BI182" i="13"/>
  <c r="BJ40" i="47"/>
  <c r="BJ158" i="13" l="1"/>
  <c r="BJ89" i="12" s="1"/>
  <c r="BK158" i="13" l="1"/>
  <c r="BK68" i="37" l="1"/>
  <c r="BK182" i="13"/>
  <c r="AZ282" i="7" l="1"/>
  <c r="AZ476" i="7"/>
  <c r="CH507" i="7" s="1"/>
  <c r="AZ77" i="27"/>
  <c r="AZ78" i="27" s="1"/>
  <c r="AZ318" i="7" l="1"/>
  <c r="CH313" i="7"/>
  <c r="AZ479" i="7"/>
  <c r="AZ512" i="7"/>
  <c r="AZ285" i="7"/>
  <c r="AZ693" i="7"/>
  <c r="AZ731" i="7" s="1"/>
  <c r="CI317" i="7" l="1"/>
  <c r="CI319" i="7"/>
  <c r="AZ696" i="7"/>
  <c r="AZ699" i="7" s="1"/>
  <c r="AZ753" i="7"/>
  <c r="CJ44" i="7" s="1"/>
  <c r="CI318" i="7" l="1"/>
  <c r="AZ12" i="7"/>
  <c r="AZ14" i="7" s="1"/>
  <c r="AZ732" i="7"/>
  <c r="AZ792" i="7"/>
  <c r="AZ855" i="7" l="1"/>
  <c r="AZ881" i="7" s="1"/>
  <c r="AZ858" i="7"/>
  <c r="AZ895" i="7" l="1"/>
  <c r="AZ897" i="7"/>
  <c r="AZ885" i="7"/>
  <c r="AZ899" i="7"/>
  <c r="AZ894" i="7"/>
  <c r="AZ859" i="7"/>
  <c r="AZ886" i="7" s="1"/>
  <c r="AZ896" i="7" l="1"/>
  <c r="AZ808" i="7"/>
  <c r="AZ846" i="7" s="1"/>
  <c r="AZ861" i="7"/>
  <c r="AZ888" i="7" s="1"/>
  <c r="AZ104" i="27"/>
  <c r="AZ898" i="7" l="1"/>
  <c r="AZ863" i="7"/>
  <c r="AZ94" i="27"/>
  <c r="AZ95" i="27" s="1"/>
  <c r="AZ811" i="7"/>
  <c r="AZ865" i="7"/>
  <c r="AZ814" i="7" l="1"/>
  <c r="AZ16" i="7" s="1"/>
  <c r="AZ847" i="7"/>
  <c r="AZ866" i="7"/>
  <c r="AZ869" i="7" s="1"/>
  <c r="AZ901" i="7"/>
  <c r="AZ78" i="10" l="1"/>
  <c r="AZ93" i="10"/>
  <c r="AZ92" i="10" l="1"/>
  <c r="AZ19" i="1"/>
  <c r="AZ236" i="7" l="1"/>
  <c r="AZ243" i="7" s="1"/>
  <c r="AZ19" i="5"/>
  <c r="AZ127" i="5" s="1"/>
  <c r="AZ164" i="5" s="1"/>
  <c r="AZ102" i="10" s="1"/>
  <c r="AZ237" i="7" l="1"/>
  <c r="AZ247" i="7" s="1"/>
  <c r="AZ244" i="7"/>
  <c r="AZ252" i="7" l="1"/>
  <c r="AZ254" i="7"/>
  <c r="AZ253" i="7"/>
  <c r="AZ251" i="7"/>
  <c r="AZ256" i="7" s="1"/>
  <c r="AZ250" i="7"/>
  <c r="AZ267" i="7"/>
  <c r="CH227" i="7" s="1"/>
  <c r="CK227" i="7" s="1"/>
  <c r="CL227" i="7" s="1"/>
  <c r="AZ248" i="7"/>
  <c r="AZ249" i="7"/>
  <c r="AZ289" i="7" l="1"/>
  <c r="AZ290" i="7" s="1"/>
  <c r="AZ296" i="7" l="1"/>
  <c r="AZ300" i="7"/>
  <c r="AZ302" i="7"/>
  <c r="AZ304" i="7"/>
  <c r="AZ305" i="7"/>
  <c r="AZ319" i="7"/>
  <c r="CH280" i="7" s="1"/>
  <c r="CK280" i="7" s="1"/>
  <c r="CL280" i="7" s="1"/>
  <c r="AZ301" i="7"/>
  <c r="AZ303" i="7"/>
  <c r="AZ306" i="7"/>
  <c r="AZ297" i="7" l="1"/>
  <c r="AZ308" i="7"/>
  <c r="AZ341" i="7" l="1"/>
  <c r="AZ342" i="7" s="1"/>
  <c r="AZ348" i="7" l="1"/>
  <c r="AZ352" i="7"/>
  <c r="AZ356" i="7"/>
  <c r="AZ357" i="7"/>
  <c r="AZ353" i="7"/>
  <c r="AZ355" i="7"/>
  <c r="AZ349" i="7" l="1"/>
  <c r="AZ360" i="7"/>
  <c r="AZ431" i="7" l="1"/>
  <c r="AZ432" i="7" s="1"/>
  <c r="AZ438" i="7" l="1"/>
  <c r="AZ442" i="7"/>
  <c r="AZ444" i="7"/>
  <c r="AZ446" i="7"/>
  <c r="AZ447" i="7"/>
  <c r="AZ461" i="7"/>
  <c r="CH422" i="7" s="1"/>
  <c r="CK422" i="7" s="1"/>
  <c r="CL422" i="7" s="1"/>
  <c r="AZ443" i="7"/>
  <c r="AZ445" i="7"/>
  <c r="AZ448" i="7"/>
  <c r="AZ439" i="7" l="1"/>
  <c r="AZ450" i="7"/>
  <c r="AZ483" i="7" l="1"/>
  <c r="AZ53" i="7" s="1"/>
  <c r="AZ56" i="5"/>
  <c r="AZ100" i="10" s="1"/>
  <c r="AZ490" i="7" l="1"/>
  <c r="AZ484" i="7"/>
  <c r="AZ491" i="7" l="1"/>
  <c r="AZ60" i="7"/>
  <c r="AZ61" i="7" s="1"/>
  <c r="AZ54" i="7"/>
  <c r="AZ68" i="7" s="1"/>
  <c r="AZ495" i="7"/>
  <c r="AZ497" i="7"/>
  <c r="AZ500" i="7"/>
  <c r="AZ494" i="7"/>
  <c r="AZ498" i="7"/>
  <c r="AZ513" i="7"/>
  <c r="CH474" i="7" s="1"/>
  <c r="CK474" i="7" s="1"/>
  <c r="CL474" i="7" s="1"/>
  <c r="AZ496" i="7"/>
  <c r="AZ499" i="7"/>
  <c r="AZ74" i="7" l="1"/>
  <c r="AZ169" i="5"/>
  <c r="AZ79" i="10"/>
  <c r="AZ173" i="5"/>
  <c r="AZ167" i="5"/>
  <c r="AZ502" i="7"/>
  <c r="AZ65" i="7"/>
  <c r="AZ67" i="7"/>
  <c r="AZ69" i="7"/>
  <c r="AZ64" i="7"/>
  <c r="CN44" i="7" s="1"/>
  <c r="AZ170" i="5" l="1"/>
  <c r="AZ29" i="10"/>
  <c r="AZ73" i="7"/>
  <c r="AZ106" i="27"/>
  <c r="AZ118" i="27" l="1"/>
  <c r="AZ108" i="27"/>
  <c r="AZ891" i="7"/>
  <c r="AZ134" i="27" l="1"/>
  <c r="AZ122" i="27"/>
  <c r="AZ330" i="7" l="1"/>
  <c r="AZ42" i="7" l="1"/>
  <c r="AZ334" i="7"/>
  <c r="CH365" i="7" s="1"/>
  <c r="AZ354" i="7"/>
  <c r="AZ365" i="7"/>
  <c r="AZ358" i="7"/>
  <c r="AZ337" i="7" l="1"/>
  <c r="AZ371" i="7" s="1"/>
  <c r="CH332" i="7" s="1"/>
  <c r="CK332" i="7" s="1"/>
  <c r="CL332" i="7" s="1"/>
  <c r="AZ370" i="7"/>
  <c r="AZ46" i="7"/>
  <c r="AZ66" i="7"/>
  <c r="AZ79" i="7"/>
  <c r="AZ70" i="7"/>
  <c r="AZ9" i="7" l="1"/>
  <c r="AZ19" i="7" s="1"/>
  <c r="CH77" i="7"/>
  <c r="AZ49" i="7"/>
  <c r="AZ84" i="7"/>
  <c r="AZ110" i="27" s="1"/>
  <c r="AZ73" i="27"/>
  <c r="AZ74" i="27" s="1"/>
  <c r="AZ80" i="27" s="1"/>
  <c r="CH44" i="7" l="1"/>
  <c r="CK44" i="7" s="1"/>
  <c r="AZ85" i="7"/>
  <c r="AZ112" i="27"/>
  <c r="AZ133" i="27"/>
  <c r="AZ135" i="27" s="1"/>
  <c r="AZ126" i="27" l="1"/>
  <c r="AZ137" i="27"/>
  <c r="AZ139" i="27" s="1"/>
  <c r="AV172" i="1"/>
  <c r="CF172" i="1" s="1"/>
  <c r="AW172" i="1"/>
  <c r="CG172" i="1" s="1"/>
  <c r="AX172" i="1"/>
  <c r="CH172" i="1" s="1"/>
  <c r="BW211" i="1" s="1"/>
  <c r="AY172" i="1"/>
  <c r="CI172" i="1" s="1"/>
  <c r="AN309" i="1" l="1"/>
  <c r="BR330" i="1"/>
  <c r="BH315" i="1"/>
  <c r="BR275" i="1"/>
  <c r="AS329" i="1"/>
  <c r="BM269" i="1"/>
  <c r="CB321" i="1"/>
  <c r="CB152" i="1" s="1"/>
  <c r="BW302" i="1"/>
  <c r="BC265" i="1"/>
  <c r="BR318" i="1"/>
  <c r="BR149" i="1" s="1"/>
  <c r="BM299" i="1"/>
  <c r="AX262" i="1"/>
  <c r="AI256" i="1"/>
  <c r="CB249" i="1"/>
  <c r="AI241" i="1"/>
  <c r="AI242" i="1" s="1"/>
  <c r="BM212" i="1"/>
  <c r="AX330" i="1"/>
  <c r="AN321" i="1"/>
  <c r="AX308" i="1"/>
  <c r="AN302" i="1"/>
  <c r="CB271" i="1"/>
  <c r="BR267" i="1"/>
  <c r="BC261" i="1"/>
  <c r="AN249" i="1"/>
  <c r="CB329" i="1"/>
  <c r="BC324" i="1"/>
  <c r="AS320" i="1"/>
  <c r="AI317" i="1"/>
  <c r="BW310" i="1"/>
  <c r="BH304" i="1"/>
  <c r="AS295" i="1"/>
  <c r="AS296" i="1" s="1"/>
  <c r="AN271" i="1"/>
  <c r="CB266" i="1"/>
  <c r="CB97" i="1" s="1"/>
  <c r="CB263" i="1"/>
  <c r="BM260" i="1"/>
  <c r="BC254" i="1"/>
  <c r="AX248" i="1"/>
  <c r="AN245" i="1"/>
  <c r="BC221" i="1"/>
  <c r="AS215" i="1"/>
  <c r="AI211" i="1"/>
  <c r="BM329" i="1"/>
  <c r="BM323" i="1"/>
  <c r="BC319" i="1"/>
  <c r="AX316" i="1"/>
  <c r="AI310" i="1"/>
  <c r="BM303" i="1"/>
  <c r="BC300" i="1"/>
  <c r="BC276" i="1"/>
  <c r="BC270" i="1"/>
  <c r="AS266" i="1"/>
  <c r="AN263" i="1"/>
  <c r="BW256" i="1"/>
  <c r="BR250" i="1"/>
  <c r="BR81" i="1" s="1"/>
  <c r="BH247" i="1"/>
  <c r="BW241" i="1"/>
  <c r="BW242" i="1" s="1"/>
  <c r="BM217" i="1"/>
  <c r="BC213" i="1"/>
  <c r="BR246" i="1"/>
  <c r="BR77" i="1" s="1"/>
  <c r="BW216" i="1"/>
  <c r="BW317" i="1"/>
  <c r="CB295" i="1"/>
  <c r="CB126" i="1" s="1"/>
  <c r="CB127" i="1" s="1"/>
  <c r="BR264" i="1"/>
  <c r="BR95" i="1" s="1"/>
  <c r="AS255" i="1"/>
  <c r="CB245" i="1"/>
  <c r="CB76" i="1" s="1"/>
  <c r="AS222" i="1"/>
  <c r="AI216" i="1"/>
  <c r="AN187" i="1"/>
  <c r="AN188" i="1" s="1"/>
  <c r="BW206" i="1"/>
  <c r="AS208" i="1"/>
  <c r="AI209" i="1"/>
  <c r="BW209" i="1"/>
  <c r="BM210" i="1"/>
  <c r="BC211" i="1"/>
  <c r="AS212" i="1"/>
  <c r="AI213" i="1"/>
  <c r="BW213" i="1"/>
  <c r="BM215" i="1"/>
  <c r="BC216" i="1"/>
  <c r="AS217" i="1"/>
  <c r="AI221" i="1"/>
  <c r="BW221" i="1"/>
  <c r="BM222" i="1"/>
  <c r="BC241" i="1"/>
  <c r="BC242" i="1" s="1"/>
  <c r="BH245" i="1"/>
  <c r="AX246" i="1"/>
  <c r="AN247" i="1"/>
  <c r="CB247" i="1"/>
  <c r="CB78" i="1" s="1"/>
  <c r="BR248" i="1"/>
  <c r="BH249" i="1"/>
  <c r="AX250" i="1"/>
  <c r="AI254" i="1"/>
  <c r="BW254" i="1"/>
  <c r="BM255" i="1"/>
  <c r="BC256" i="1"/>
  <c r="AS260" i="1"/>
  <c r="AI261" i="1"/>
  <c r="BW261" i="1"/>
  <c r="BR262" i="1"/>
  <c r="BH263" i="1"/>
  <c r="AX264" i="1"/>
  <c r="AN265" i="1"/>
  <c r="BW265" i="1"/>
  <c r="BH266" i="1"/>
  <c r="AX267" i="1"/>
  <c r="AS269" i="1"/>
  <c r="AI270" i="1"/>
  <c r="BR270" i="1"/>
  <c r="BR101" i="1" s="1"/>
  <c r="BH271" i="1"/>
  <c r="AX275" i="1"/>
  <c r="AI276" i="1"/>
  <c r="BW276" i="1"/>
  <c r="BM295" i="1"/>
  <c r="AX299" i="1"/>
  <c r="AI300" i="1"/>
  <c r="BW300" i="1"/>
  <c r="BR301" i="1"/>
  <c r="BH302" i="1"/>
  <c r="AI304" i="1"/>
  <c r="BR308" i="1"/>
  <c r="BC310" i="1"/>
  <c r="AN315" i="1"/>
  <c r="BM316" i="1"/>
  <c r="AI319" i="1"/>
  <c r="BH321" i="1"/>
  <c r="CB324" i="1"/>
  <c r="CB155" i="1" s="1"/>
  <c r="BW325" i="1"/>
  <c r="BW156" i="1" s="1"/>
  <c r="AI187" i="1"/>
  <c r="AI188" i="1" s="1"/>
  <c r="AS207" i="1"/>
  <c r="BC208" i="1"/>
  <c r="AS209" i="1"/>
  <c r="AI210" i="1"/>
  <c r="BW210" i="1"/>
  <c r="BM211" i="1"/>
  <c r="BC212" i="1"/>
  <c r="AS213" i="1"/>
  <c r="AI215" i="1"/>
  <c r="BW215" i="1"/>
  <c r="BM216" i="1"/>
  <c r="BC217" i="1"/>
  <c r="AS221" i="1"/>
  <c r="AI222" i="1"/>
  <c r="BW222" i="1"/>
  <c r="BM241" i="1"/>
  <c r="BM242" i="1" s="1"/>
  <c r="BR245" i="1"/>
  <c r="BR76" i="1" s="1"/>
  <c r="BH246" i="1"/>
  <c r="AX247" i="1"/>
  <c r="AN248" i="1"/>
  <c r="CB248" i="1"/>
  <c r="BR249" i="1"/>
  <c r="BH250" i="1"/>
  <c r="AS254" i="1"/>
  <c r="AI255" i="1"/>
  <c r="BW255" i="1"/>
  <c r="BM256" i="1"/>
  <c r="BC260" i="1"/>
  <c r="AS261" i="1"/>
  <c r="AI262" i="1"/>
  <c r="CB262" i="1"/>
  <c r="BR263" i="1"/>
  <c r="BH264" i="1"/>
  <c r="AX265" i="1"/>
  <c r="AI266" i="1"/>
  <c r="BR266" i="1"/>
  <c r="BR97" i="1" s="1"/>
  <c r="BH267" i="1"/>
  <c r="BC269" i="1"/>
  <c r="AS270" i="1"/>
  <c r="CB270" i="1"/>
  <c r="CB101" i="1" s="1"/>
  <c r="BR271" i="1"/>
  <c r="BH275" i="1"/>
  <c r="AS276" i="1"/>
  <c r="AI295" i="1"/>
  <c r="AI296" i="1" s="1"/>
  <c r="BW295" i="1"/>
  <c r="BW126" i="1" s="1"/>
  <c r="BW18" i="1" s="1"/>
  <c r="BH299" i="1"/>
  <c r="AS300" i="1"/>
  <c r="AI301" i="1"/>
  <c r="CB301" i="1"/>
  <c r="BR302" i="1"/>
  <c r="BC303" i="1"/>
  <c r="AS304" i="1"/>
  <c r="AN308" i="1"/>
  <c r="CB308" i="1"/>
  <c r="BW309" i="1"/>
  <c r="BM310" i="1"/>
  <c r="BC314" i="1"/>
  <c r="AX315" i="1"/>
  <c r="AN316" i="1"/>
  <c r="BW316" i="1"/>
  <c r="BW147" i="1" s="1"/>
  <c r="BM317" i="1"/>
  <c r="BH318" i="1"/>
  <c r="AS319" i="1"/>
  <c r="AI320" i="1"/>
  <c r="CB320" i="1"/>
  <c r="CB151" i="1" s="1"/>
  <c r="BR321" i="1"/>
  <c r="BR152" i="1" s="1"/>
  <c r="BC323" i="1"/>
  <c r="AS324" i="1"/>
  <c r="AS325" i="1"/>
  <c r="AI329" i="1"/>
  <c r="BR329" i="1"/>
  <c r="BH330" i="1"/>
  <c r="AI206" i="1"/>
  <c r="BM207" i="1"/>
  <c r="BM208" i="1"/>
  <c r="BC209" i="1"/>
  <c r="AS210" i="1"/>
  <c r="BC206" i="1"/>
  <c r="AI208" i="1"/>
  <c r="BW208" i="1"/>
  <c r="BM209" i="1"/>
  <c r="BC210" i="1"/>
  <c r="AS211" i="1"/>
  <c r="AI212" i="1"/>
  <c r="BW212" i="1"/>
  <c r="BM213" i="1"/>
  <c r="BC215" i="1"/>
  <c r="AS216" i="1"/>
  <c r="AI217" i="1"/>
  <c r="BW217" i="1"/>
  <c r="BM221" i="1"/>
  <c r="BC222" i="1"/>
  <c r="AS241" i="1"/>
  <c r="AS242" i="1" s="1"/>
  <c r="AX245" i="1"/>
  <c r="AN246" i="1"/>
  <c r="CB246" i="1"/>
  <c r="CB77" i="1" s="1"/>
  <c r="BR247" i="1"/>
  <c r="BR78" i="1" s="1"/>
  <c r="BH248" i="1"/>
  <c r="AX249" i="1"/>
  <c r="AN250" i="1"/>
  <c r="CB250" i="1"/>
  <c r="CB81" i="1" s="1"/>
  <c r="BM254" i="1"/>
  <c r="BC255" i="1"/>
  <c r="AS256" i="1"/>
  <c r="AI260" i="1"/>
  <c r="BW260" i="1"/>
  <c r="BM261" i="1"/>
  <c r="BH262" i="1"/>
  <c r="AX263" i="1"/>
  <c r="AN264" i="1"/>
  <c r="CB264" i="1"/>
  <c r="CB95" i="1" s="1"/>
  <c r="BM265" i="1"/>
  <c r="BC266" i="1"/>
  <c r="AN267" i="1"/>
  <c r="CB267" i="1"/>
  <c r="BW269" i="1"/>
  <c r="BM270" i="1"/>
  <c r="AX271" i="1"/>
  <c r="AN275" i="1"/>
  <c r="BW275" i="1"/>
  <c r="BW277" i="1" s="1"/>
  <c r="BM276" i="1"/>
  <c r="BC295" i="1"/>
  <c r="AN299" i="1"/>
  <c r="BW299" i="1"/>
  <c r="BM300" i="1"/>
  <c r="BH301" i="1"/>
  <c r="AX302" i="1"/>
  <c r="AI303" i="1"/>
  <c r="BW303" i="1"/>
  <c r="BR304" i="1"/>
  <c r="BH308" i="1"/>
  <c r="AX309" i="1"/>
  <c r="AS310" i="1"/>
  <c r="AI314" i="1"/>
  <c r="CB314" i="1"/>
  <c r="CB145" i="1" s="1"/>
  <c r="BR315" i="1"/>
  <c r="BR146" i="1" s="1"/>
  <c r="BC316" i="1"/>
  <c r="AS317" i="1"/>
  <c r="AN318" i="1"/>
  <c r="CB318" i="1"/>
  <c r="CB149" i="1" s="1"/>
  <c r="BM319" i="1"/>
  <c r="BC320" i="1"/>
  <c r="AX321" i="1"/>
  <c r="AN323" i="1"/>
  <c r="BW323" i="1"/>
  <c r="BW154" i="1" s="1"/>
  <c r="BM324" i="1"/>
  <c r="BM325" i="1"/>
  <c r="BC329" i="1"/>
  <c r="AN330" i="1"/>
  <c r="CB330" i="1"/>
  <c r="AS303" i="1"/>
  <c r="CB304" i="1"/>
  <c r="BM309" i="1"/>
  <c r="AS314" i="1"/>
  <c r="CB315" i="1"/>
  <c r="CB146" i="1" s="1"/>
  <c r="BC317" i="1"/>
  <c r="AX318" i="1"/>
  <c r="BW319" i="1"/>
  <c r="BW150" i="1" s="1"/>
  <c r="BR320" i="1"/>
  <c r="BR151" i="1" s="1"/>
  <c r="AS323" i="1"/>
  <c r="AI324" i="1"/>
  <c r="BC325" i="1"/>
  <c r="BM314" i="1"/>
  <c r="AX301" i="1"/>
  <c r="BR201" i="1"/>
  <c r="BG192" i="1"/>
  <c r="BB265" i="1"/>
  <c r="BG266" i="1"/>
  <c r="BV275" i="1"/>
  <c r="BL299" i="1"/>
  <c r="AR323" i="1"/>
  <c r="BQ329" i="1"/>
  <c r="BQ195" i="1"/>
  <c r="AM269" i="1"/>
  <c r="AR301" i="1"/>
  <c r="BG309" i="1"/>
  <c r="BV314" i="1"/>
  <c r="BV145" i="1" s="1"/>
  <c r="BV324" i="1"/>
  <c r="BV155" i="1" s="1"/>
  <c r="AH254" i="1"/>
  <c r="BQ270" i="1"/>
  <c r="BQ101" i="1" s="1"/>
  <c r="CA295" i="1"/>
  <c r="CA296" i="1" s="1"/>
  <c r="BV302" i="1"/>
  <c r="BB316" i="1"/>
  <c r="AH319" i="1"/>
  <c r="AR262" i="1"/>
  <c r="BB304" i="1"/>
  <c r="AH318" i="1"/>
  <c r="BL320" i="1"/>
  <c r="BM330" i="1"/>
  <c r="AS330" i="1"/>
  <c r="BW329" i="1"/>
  <c r="BH329" i="1"/>
  <c r="BH331" i="1" s="1"/>
  <c r="AN329" i="1"/>
  <c r="AN331" i="1" s="1"/>
  <c r="BR325" i="1"/>
  <c r="BR156" i="1" s="1"/>
  <c r="AX325" i="1"/>
  <c r="BW324" i="1"/>
  <c r="BW155" i="1" s="1"/>
  <c r="BH324" i="1"/>
  <c r="AN324" i="1"/>
  <c r="BR323" i="1"/>
  <c r="BR154" i="1" s="1"/>
  <c r="AX323" i="1"/>
  <c r="AI323" i="1"/>
  <c r="BM321" i="1"/>
  <c r="AS321" i="1"/>
  <c r="BW320" i="1"/>
  <c r="BW151" i="1" s="1"/>
  <c r="BH320" i="1"/>
  <c r="AN320" i="1"/>
  <c r="BR319" i="1"/>
  <c r="BR150" i="1" s="1"/>
  <c r="AX319" i="1"/>
  <c r="BM318" i="1"/>
  <c r="AS318" i="1"/>
  <c r="CB317" i="1"/>
  <c r="BH317" i="1"/>
  <c r="AN317" i="1"/>
  <c r="BR316" i="1"/>
  <c r="BR147" i="1" s="1"/>
  <c r="AI316" i="1"/>
  <c r="BM315" i="1"/>
  <c r="AS315" i="1"/>
  <c r="BW314" i="1"/>
  <c r="BW145" i="1" s="1"/>
  <c r="BH314" i="1"/>
  <c r="AN314" i="1"/>
  <c r="BR310" i="1"/>
  <c r="AX310" i="1"/>
  <c r="CB309" i="1"/>
  <c r="BH309" i="1"/>
  <c r="AS309" i="1"/>
  <c r="BW308" i="1"/>
  <c r="BC308" i="1"/>
  <c r="AI308" i="1"/>
  <c r="BM304" i="1"/>
  <c r="AX304" i="1"/>
  <c r="CB303" i="1"/>
  <c r="BH303" i="1"/>
  <c r="AN303" i="1"/>
  <c r="BC302" i="1"/>
  <c r="AI302" i="1"/>
  <c r="BM301" i="1"/>
  <c r="AS301" i="1"/>
  <c r="CB300" i="1"/>
  <c r="BH300" i="1"/>
  <c r="AN300" i="1"/>
  <c r="BR299" i="1"/>
  <c r="BC299" i="1"/>
  <c r="AI299" i="1"/>
  <c r="BH295" i="1"/>
  <c r="AN295" i="1"/>
  <c r="AN296" i="1" s="1"/>
  <c r="BR276" i="1"/>
  <c r="AX276" i="1"/>
  <c r="CB275" i="1"/>
  <c r="BM275" i="1"/>
  <c r="BM277" i="1" s="1"/>
  <c r="AS275" i="1"/>
  <c r="BW271" i="1"/>
  <c r="BC271" i="1"/>
  <c r="AI271" i="1"/>
  <c r="AX270" i="1"/>
  <c r="CB269" i="1"/>
  <c r="BH269" i="1"/>
  <c r="AN269" i="1"/>
  <c r="BW267" i="1"/>
  <c r="BC267" i="1"/>
  <c r="AI267" i="1"/>
  <c r="BM266" i="1"/>
  <c r="AX266" i="1"/>
  <c r="CB265" i="1"/>
  <c r="BH265" i="1"/>
  <c r="AS265" i="1"/>
  <c r="BW264" i="1"/>
  <c r="BW95" i="1" s="1"/>
  <c r="BC264" i="1"/>
  <c r="AI264" i="1"/>
  <c r="BM263" i="1"/>
  <c r="AS263" i="1"/>
  <c r="BW262" i="1"/>
  <c r="BC262" i="1"/>
  <c r="AN262" i="1"/>
  <c r="BR261" i="1"/>
  <c r="AX261" i="1"/>
  <c r="CB260" i="1"/>
  <c r="BH260" i="1"/>
  <c r="AN260" i="1"/>
  <c r="BR256" i="1"/>
  <c r="AX256" i="1"/>
  <c r="CB255" i="1"/>
  <c r="BH255" i="1"/>
  <c r="AN255" i="1"/>
  <c r="BR254" i="1"/>
  <c r="AX254" i="1"/>
  <c r="BM250" i="1"/>
  <c r="AS250" i="1"/>
  <c r="BW249" i="1"/>
  <c r="BC249" i="1"/>
  <c r="AI249" i="1"/>
  <c r="BM248" i="1"/>
  <c r="AS248" i="1"/>
  <c r="BW247" i="1"/>
  <c r="BW78" i="1" s="1"/>
  <c r="BC247" i="1"/>
  <c r="AI247" i="1"/>
  <c r="BM246" i="1"/>
  <c r="AS246" i="1"/>
  <c r="BW245" i="1"/>
  <c r="BW76" i="1" s="1"/>
  <c r="BC245" i="1"/>
  <c r="AI245" i="1"/>
  <c r="BR241" i="1"/>
  <c r="BR242" i="1" s="1"/>
  <c r="AX241" i="1"/>
  <c r="AX242" i="1" s="1"/>
  <c r="BR222" i="1"/>
  <c r="AX222" i="1"/>
  <c r="CB221" i="1"/>
  <c r="BH221" i="1"/>
  <c r="AN221" i="1"/>
  <c r="BR217" i="1"/>
  <c r="AX217" i="1"/>
  <c r="CB216" i="1"/>
  <c r="BH216" i="1"/>
  <c r="AN216" i="1"/>
  <c r="BR215" i="1"/>
  <c r="AX215" i="1"/>
  <c r="CB213" i="1"/>
  <c r="BH213" i="1"/>
  <c r="AN213" i="1"/>
  <c r="BR212" i="1"/>
  <c r="AX212" i="1"/>
  <c r="CB211" i="1"/>
  <c r="BH211" i="1"/>
  <c r="AN211" i="1"/>
  <c r="BR210" i="1"/>
  <c r="AX210" i="1"/>
  <c r="CB209" i="1"/>
  <c r="BH209" i="1"/>
  <c r="AN209" i="1"/>
  <c r="BR208" i="1"/>
  <c r="AX208" i="1"/>
  <c r="CB207" i="1"/>
  <c r="AN207" i="1"/>
  <c r="AX206" i="1"/>
  <c r="AX201" i="1"/>
  <c r="BW330" i="1"/>
  <c r="BC330" i="1"/>
  <c r="AI330" i="1"/>
  <c r="AX329" i="1"/>
  <c r="AX331" i="1" s="1"/>
  <c r="CB325" i="1"/>
  <c r="CB156" i="1" s="1"/>
  <c r="BH325" i="1"/>
  <c r="AN325" i="1"/>
  <c r="BR324" i="1"/>
  <c r="BR155" i="1" s="1"/>
  <c r="AX324" i="1"/>
  <c r="CB323" i="1"/>
  <c r="CB154" i="1" s="1"/>
  <c r="BH323" i="1"/>
  <c r="BW321" i="1"/>
  <c r="BW152" i="1" s="1"/>
  <c r="BC321" i="1"/>
  <c r="AI321" i="1"/>
  <c r="BM320" i="1"/>
  <c r="AX320" i="1"/>
  <c r="CB319" i="1"/>
  <c r="CB150" i="1" s="1"/>
  <c r="BH319" i="1"/>
  <c r="AN319" i="1"/>
  <c r="BW318" i="1"/>
  <c r="BW149" i="1" s="1"/>
  <c r="BC318" i="1"/>
  <c r="AI318" i="1"/>
  <c r="BR317" i="1"/>
  <c r="AX317" i="1"/>
  <c r="CB316" i="1"/>
  <c r="CB147" i="1" s="1"/>
  <c r="BH316" i="1"/>
  <c r="AS316" i="1"/>
  <c r="BW315" i="1"/>
  <c r="BW146" i="1" s="1"/>
  <c r="BC315" i="1"/>
  <c r="AI315" i="1"/>
  <c r="BR314" i="1"/>
  <c r="BR145" i="1" s="1"/>
  <c r="AX314" i="1"/>
  <c r="CB310" i="1"/>
  <c r="BH310" i="1"/>
  <c r="AN310" i="1"/>
  <c r="BR309" i="1"/>
  <c r="BC309" i="1"/>
  <c r="AI309" i="1"/>
  <c r="BM308" i="1"/>
  <c r="AS308" i="1"/>
  <c r="BW304" i="1"/>
  <c r="BC304" i="1"/>
  <c r="AN304" i="1"/>
  <c r="BR303" i="1"/>
  <c r="AX303" i="1"/>
  <c r="CB302" i="1"/>
  <c r="BM302" i="1"/>
  <c r="AS302" i="1"/>
  <c r="BW301" i="1"/>
  <c r="BC301" i="1"/>
  <c r="AN301" i="1"/>
  <c r="BR300" i="1"/>
  <c r="AX300" i="1"/>
  <c r="CB299" i="1"/>
  <c r="AS299" i="1"/>
  <c r="BR295" i="1"/>
  <c r="AX295" i="1"/>
  <c r="AX296" i="1" s="1"/>
  <c r="CB276" i="1"/>
  <c r="BH276" i="1"/>
  <c r="AN276" i="1"/>
  <c r="BC275" i="1"/>
  <c r="AI275" i="1"/>
  <c r="BM271" i="1"/>
  <c r="AS271" i="1"/>
  <c r="BW270" i="1"/>
  <c r="BW101" i="1" s="1"/>
  <c r="BH270" i="1"/>
  <c r="AN270" i="1"/>
  <c r="BR269" i="1"/>
  <c r="AX269" i="1"/>
  <c r="AI269" i="1"/>
  <c r="BM267" i="1"/>
  <c r="AS267" i="1"/>
  <c r="BW266" i="1"/>
  <c r="BW97" i="1" s="1"/>
  <c r="BW103" i="1" s="1"/>
  <c r="AN266" i="1"/>
  <c r="BR265" i="1"/>
  <c r="AI265" i="1"/>
  <c r="BM264" i="1"/>
  <c r="AS264" i="1"/>
  <c r="BW263" i="1"/>
  <c r="BC263" i="1"/>
  <c r="AI263" i="1"/>
  <c r="BM262" i="1"/>
  <c r="AS262" i="1"/>
  <c r="CB261" i="1"/>
  <c r="BH261" i="1"/>
  <c r="AN261" i="1"/>
  <c r="BR260" i="1"/>
  <c r="AX260" i="1"/>
  <c r="CB256" i="1"/>
  <c r="BH256" i="1"/>
  <c r="AN256" i="1"/>
  <c r="BR255" i="1"/>
  <c r="AX255" i="1"/>
  <c r="CB254" i="1"/>
  <c r="BH254" i="1"/>
  <c r="AN254" i="1"/>
  <c r="BW250" i="1"/>
  <c r="BW81" i="1" s="1"/>
  <c r="BC250" i="1"/>
  <c r="AI250" i="1"/>
  <c r="BM249" i="1"/>
  <c r="AS249" i="1"/>
  <c r="BW248" i="1"/>
  <c r="BC248" i="1"/>
  <c r="AI248" i="1"/>
  <c r="BM247" i="1"/>
  <c r="AS247" i="1"/>
  <c r="BW246" i="1"/>
  <c r="BW77" i="1" s="1"/>
  <c r="BC246" i="1"/>
  <c r="AI246" i="1"/>
  <c r="BM245" i="1"/>
  <c r="AS245" i="1"/>
  <c r="CB241" i="1"/>
  <c r="CB242" i="1" s="1"/>
  <c r="BH241" i="1"/>
  <c r="BH242" i="1" s="1"/>
  <c r="AN241" i="1"/>
  <c r="AN242" i="1" s="1"/>
  <c r="CB222" i="1"/>
  <c r="BH222" i="1"/>
  <c r="AN222" i="1"/>
  <c r="BR221" i="1"/>
  <c r="BR223" i="1" s="1"/>
  <c r="AX221" i="1"/>
  <c r="CB217" i="1"/>
  <c r="BH217" i="1"/>
  <c r="AN217" i="1"/>
  <c r="BR216" i="1"/>
  <c r="AX216" i="1"/>
  <c r="CB215" i="1"/>
  <c r="BH215" i="1"/>
  <c r="AN215" i="1"/>
  <c r="BR213" i="1"/>
  <c r="AX213" i="1"/>
  <c r="CB212" i="1"/>
  <c r="BH212" i="1"/>
  <c r="AN212" i="1"/>
  <c r="BR211" i="1"/>
  <c r="AX211" i="1"/>
  <c r="CB210" i="1"/>
  <c r="BH210" i="1"/>
  <c r="AN210" i="1"/>
  <c r="BR209" i="1"/>
  <c r="AX209" i="1"/>
  <c r="CB208" i="1"/>
  <c r="BH208" i="1"/>
  <c r="AN208" i="1"/>
  <c r="BH207" i="1"/>
  <c r="BR206" i="1"/>
  <c r="CB202" i="1"/>
  <c r="BH194" i="1"/>
  <c r="BA187" i="1"/>
  <c r="BA188" i="1" s="1"/>
  <c r="BU193" i="1"/>
  <c r="AG254" i="1"/>
  <c r="AL260" i="1"/>
  <c r="AV260" i="1"/>
  <c r="BF260" i="1"/>
  <c r="BP260" i="1"/>
  <c r="BZ260" i="1"/>
  <c r="AL261" i="1"/>
  <c r="AV261" i="1"/>
  <c r="BF261" i="1"/>
  <c r="BP261" i="1"/>
  <c r="BZ261" i="1"/>
  <c r="AL262" i="1"/>
  <c r="BK265" i="1"/>
  <c r="BU265" i="1"/>
  <c r="AG266" i="1"/>
  <c r="AQ266" i="1"/>
  <c r="BA266" i="1"/>
  <c r="AV269" i="1"/>
  <c r="BF269" i="1"/>
  <c r="BP269" i="1"/>
  <c r="BZ269" i="1"/>
  <c r="AL270" i="1"/>
  <c r="AV270" i="1"/>
  <c r="BF270" i="1"/>
  <c r="BP270" i="1"/>
  <c r="BP101" i="1" s="1"/>
  <c r="AG276" i="1"/>
  <c r="AQ276" i="1"/>
  <c r="BA276" i="1"/>
  <c r="BK276" i="1"/>
  <c r="BU276" i="1"/>
  <c r="AG299" i="1"/>
  <c r="AQ299" i="1"/>
  <c r="BA299" i="1"/>
  <c r="BK299" i="1"/>
  <c r="AV301" i="1"/>
  <c r="BF301" i="1"/>
  <c r="BP301" i="1"/>
  <c r="BZ301" i="1"/>
  <c r="AL302" i="1"/>
  <c r="AV302" i="1"/>
  <c r="BF302" i="1"/>
  <c r="BP302" i="1"/>
  <c r="BK304" i="1"/>
  <c r="BU304" i="1"/>
  <c r="AG308" i="1"/>
  <c r="AQ308" i="1"/>
  <c r="BA308" i="1"/>
  <c r="BK308" i="1"/>
  <c r="BU308" i="1"/>
  <c r="AG309" i="1"/>
  <c r="AQ309" i="1"/>
  <c r="BA309" i="1"/>
  <c r="BZ314" i="1"/>
  <c r="BZ145" i="1" s="1"/>
  <c r="AL315" i="1"/>
  <c r="AV315" i="1"/>
  <c r="BF315" i="1"/>
  <c r="BP315" i="1"/>
  <c r="BP146" i="1" s="1"/>
  <c r="BZ315" i="1"/>
  <c r="BZ146" i="1" s="1"/>
  <c r="AL316" i="1"/>
  <c r="AV316" i="1"/>
  <c r="AQ254" i="1"/>
  <c r="BA254" i="1"/>
  <c r="BK254" i="1"/>
  <c r="BU254" i="1"/>
  <c r="AG255" i="1"/>
  <c r="AQ255" i="1"/>
  <c r="BA255" i="1"/>
  <c r="BK255" i="1"/>
  <c r="BU255" i="1"/>
  <c r="AG256" i="1"/>
  <c r="AQ256" i="1"/>
  <c r="BA256" i="1"/>
  <c r="BK256" i="1"/>
  <c r="BU256" i="1"/>
  <c r="AV262" i="1"/>
  <c r="BF262" i="1"/>
  <c r="BP262" i="1"/>
  <c r="BZ262" i="1"/>
  <c r="AL263" i="1"/>
  <c r="AV263" i="1"/>
  <c r="BF263" i="1"/>
  <c r="BP263" i="1"/>
  <c r="BZ263" i="1"/>
  <c r="AL264" i="1"/>
  <c r="AV264" i="1"/>
  <c r="BF264" i="1"/>
  <c r="BP264" i="1"/>
  <c r="BP95" i="1" s="1"/>
  <c r="BZ264" i="1"/>
  <c r="BZ95" i="1" s="1"/>
  <c r="AL265" i="1"/>
  <c r="AV265" i="1"/>
  <c r="BK266" i="1"/>
  <c r="BU266" i="1"/>
  <c r="BU97" i="1" s="1"/>
  <c r="AG267" i="1"/>
  <c r="AQ267" i="1"/>
  <c r="BA267" i="1"/>
  <c r="BK267" i="1"/>
  <c r="BU267" i="1"/>
  <c r="AG269" i="1"/>
  <c r="BZ270" i="1"/>
  <c r="BZ101" i="1" s="1"/>
  <c r="AL271" i="1"/>
  <c r="AV271" i="1"/>
  <c r="BF271" i="1"/>
  <c r="BP271" i="1"/>
  <c r="BZ271" i="1"/>
  <c r="AL275" i="1"/>
  <c r="AV275" i="1"/>
  <c r="BF275" i="1"/>
  <c r="BP275" i="1"/>
  <c r="AG295" i="1"/>
  <c r="AG296" i="1" s="1"/>
  <c r="AQ295" i="1"/>
  <c r="AQ296" i="1" s="1"/>
  <c r="BA295" i="1"/>
  <c r="BK295" i="1"/>
  <c r="BU295" i="1"/>
  <c r="BU126" i="1" s="1"/>
  <c r="BU18" i="1" s="1"/>
  <c r="BU299" i="1"/>
  <c r="AG300" i="1"/>
  <c r="AQ300" i="1"/>
  <c r="BA300" i="1"/>
  <c r="BK300" i="1"/>
  <c r="BU300" i="1"/>
  <c r="AG301" i="1"/>
  <c r="AQ301" i="1"/>
  <c r="BZ302" i="1"/>
  <c r="AL303" i="1"/>
  <c r="AV303" i="1"/>
  <c r="BF303" i="1"/>
  <c r="BP303" i="1"/>
  <c r="BZ303" i="1"/>
  <c r="AL304" i="1"/>
  <c r="AV304" i="1"/>
  <c r="BK309" i="1"/>
  <c r="BU309" i="1"/>
  <c r="AG310" i="1"/>
  <c r="AQ310" i="1"/>
  <c r="BA310" i="1"/>
  <c r="BK310" i="1"/>
  <c r="BU310" i="1"/>
  <c r="AG314" i="1"/>
  <c r="AQ314" i="1"/>
  <c r="BA314" i="1"/>
  <c r="BK314" i="1"/>
  <c r="BU314" i="1"/>
  <c r="BU145" i="1" s="1"/>
  <c r="BF316" i="1"/>
  <c r="BP316" i="1"/>
  <c r="BP147" i="1" s="1"/>
  <c r="AL254" i="1"/>
  <c r="AV254" i="1"/>
  <c r="BF254" i="1"/>
  <c r="BP254" i="1"/>
  <c r="BZ254" i="1"/>
  <c r="AL255" i="1"/>
  <c r="AV255" i="1"/>
  <c r="BF255" i="1"/>
  <c r="BP255" i="1"/>
  <c r="BZ255" i="1"/>
  <c r="AL256" i="1"/>
  <c r="AV256" i="1"/>
  <c r="BF256" i="1"/>
  <c r="BP256" i="1"/>
  <c r="BZ256" i="1"/>
  <c r="BA262" i="1"/>
  <c r="BK262" i="1"/>
  <c r="BU262" i="1"/>
  <c r="AG263" i="1"/>
  <c r="AQ263" i="1"/>
  <c r="BA263" i="1"/>
  <c r="BK263" i="1"/>
  <c r="BU263" i="1"/>
  <c r="AG264" i="1"/>
  <c r="AQ264" i="1"/>
  <c r="BA264" i="1"/>
  <c r="BK264" i="1"/>
  <c r="BU264" i="1"/>
  <c r="BU95" i="1" s="1"/>
  <c r="AG265" i="1"/>
  <c r="AQ265" i="1"/>
  <c r="BA265" i="1"/>
  <c r="BP266" i="1"/>
  <c r="BP97" i="1" s="1"/>
  <c r="BZ266" i="1"/>
  <c r="BZ97" i="1" s="1"/>
  <c r="AL267" i="1"/>
  <c r="AV267" i="1"/>
  <c r="BF267" i="1"/>
  <c r="BP267" i="1"/>
  <c r="BZ267" i="1"/>
  <c r="AL269" i="1"/>
  <c r="BU270" i="1"/>
  <c r="BU101" i="1" s="1"/>
  <c r="AG271" i="1"/>
  <c r="AQ271" i="1"/>
  <c r="BA271" i="1"/>
  <c r="BK271" i="1"/>
  <c r="BU271" i="1"/>
  <c r="AG275" i="1"/>
  <c r="AQ275" i="1"/>
  <c r="BA275" i="1"/>
  <c r="BK275" i="1"/>
  <c r="BU275" i="1"/>
  <c r="AL295" i="1"/>
  <c r="AL296" i="1" s="1"/>
  <c r="AV295" i="1"/>
  <c r="AV296" i="1" s="1"/>
  <c r="BF295" i="1"/>
  <c r="BP295" i="1"/>
  <c r="BP126" i="1" s="1"/>
  <c r="BZ295" i="1"/>
  <c r="BP299" i="1"/>
  <c r="BZ299" i="1"/>
  <c r="AL300" i="1"/>
  <c r="AV300" i="1"/>
  <c r="BF300" i="1"/>
  <c r="BP300" i="1"/>
  <c r="BZ300" i="1"/>
  <c r="AL301" i="1"/>
  <c r="AG303" i="1"/>
  <c r="AQ303" i="1"/>
  <c r="BA303" i="1"/>
  <c r="BK303" i="1"/>
  <c r="BU303" i="1"/>
  <c r="AG304" i="1"/>
  <c r="AQ304" i="1"/>
  <c r="BA304" i="1"/>
  <c r="BP309" i="1"/>
  <c r="BZ309" i="1"/>
  <c r="AL310" i="1"/>
  <c r="AV310" i="1"/>
  <c r="BF310" i="1"/>
  <c r="BP310" i="1"/>
  <c r="BZ310" i="1"/>
  <c r="AL314" i="1"/>
  <c r="AV314" i="1"/>
  <c r="BF314" i="1"/>
  <c r="BP314" i="1"/>
  <c r="BP145" i="1" s="1"/>
  <c r="BK316" i="1"/>
  <c r="BA260" i="1"/>
  <c r="AQ261" i="1"/>
  <c r="AG262" i="1"/>
  <c r="AL266" i="1"/>
  <c r="BK269" i="1"/>
  <c r="BA270" i="1"/>
  <c r="AL276" i="1"/>
  <c r="BZ276" i="1"/>
  <c r="AV299" i="1"/>
  <c r="BK301" i="1"/>
  <c r="BA302" i="1"/>
  <c r="BZ304" i="1"/>
  <c r="BP308" i="1"/>
  <c r="BF309" i="1"/>
  <c r="AG315" i="1"/>
  <c r="BU315" i="1"/>
  <c r="BU146" i="1" s="1"/>
  <c r="AQ318" i="1"/>
  <c r="BA318" i="1"/>
  <c r="BK318" i="1"/>
  <c r="BU318" i="1"/>
  <c r="BU149" i="1" s="1"/>
  <c r="AG319" i="1"/>
  <c r="AJ319" i="1" s="1"/>
  <c r="BP320" i="1"/>
  <c r="BP151" i="1" s="1"/>
  <c r="BZ320" i="1"/>
  <c r="BZ151" i="1" s="1"/>
  <c r="AL321" i="1"/>
  <c r="AV321" i="1"/>
  <c r="BF321" i="1"/>
  <c r="BP321" i="1"/>
  <c r="BP152" i="1" s="1"/>
  <c r="BZ321" i="1"/>
  <c r="BZ152" i="1" s="1"/>
  <c r="AL323" i="1"/>
  <c r="AL325" i="1"/>
  <c r="AV325" i="1"/>
  <c r="BF325" i="1"/>
  <c r="BP325" i="1"/>
  <c r="BP156" i="1" s="1"/>
  <c r="BZ325" i="1"/>
  <c r="BZ156" i="1" s="1"/>
  <c r="AL329" i="1"/>
  <c r="AV329" i="1"/>
  <c r="BF329" i="1"/>
  <c r="BP329" i="1"/>
  <c r="AV323" i="1"/>
  <c r="BP323" i="1"/>
  <c r="BP154" i="1" s="1"/>
  <c r="AL324" i="1"/>
  <c r="BF324" i="1"/>
  <c r="BF330" i="1"/>
  <c r="BZ330" i="1"/>
  <c r="AG187" i="1"/>
  <c r="AG188" i="1" s="1"/>
  <c r="BF266" i="1"/>
  <c r="BF276" i="1"/>
  <c r="AV308" i="1"/>
  <c r="AQ316" i="1"/>
  <c r="AV318" i="1"/>
  <c r="BP318" i="1"/>
  <c r="BP149" i="1" s="1"/>
  <c r="BU320" i="1"/>
  <c r="BU151" i="1" s="1"/>
  <c r="AG321" i="1"/>
  <c r="BA321" i="1"/>
  <c r="AG323" i="1"/>
  <c r="AG329" i="1"/>
  <c r="BZ250" i="1"/>
  <c r="BZ81" i="1" s="1"/>
  <c r="AQ260" i="1"/>
  <c r="AG261" i="1"/>
  <c r="BU261" i="1"/>
  <c r="BZ265" i="1"/>
  <c r="BA269" i="1"/>
  <c r="AQ270" i="1"/>
  <c r="BZ275" i="1"/>
  <c r="BP276" i="1"/>
  <c r="AL299" i="1"/>
  <c r="BA301" i="1"/>
  <c r="AQ302" i="1"/>
  <c r="BP304" i="1"/>
  <c r="BF308" i="1"/>
  <c r="AV309" i="1"/>
  <c r="BK315" i="1"/>
  <c r="BA316" i="1"/>
  <c r="BZ316" i="1"/>
  <c r="BZ147" i="1" s="1"/>
  <c r="AL317" i="1"/>
  <c r="AV317" i="1"/>
  <c r="BF317" i="1"/>
  <c r="BP317" i="1"/>
  <c r="BZ317" i="1"/>
  <c r="AQ319" i="1"/>
  <c r="BA319" i="1"/>
  <c r="BK319" i="1"/>
  <c r="BU319" i="1"/>
  <c r="BU150" i="1" s="1"/>
  <c r="AG320" i="1"/>
  <c r="AQ320" i="1"/>
  <c r="BA320" i="1"/>
  <c r="BK320" i="1"/>
  <c r="BF323" i="1"/>
  <c r="BZ323" i="1"/>
  <c r="BZ154" i="1" s="1"/>
  <c r="AV324" i="1"/>
  <c r="AL330" i="1"/>
  <c r="AG260" i="1"/>
  <c r="BU260" i="1"/>
  <c r="BK261" i="1"/>
  <c r="AG270" i="1"/>
  <c r="BU302" i="1"/>
  <c r="AL309" i="1"/>
  <c r="AL318" i="1"/>
  <c r="BK321" i="1"/>
  <c r="AQ323" i="1"/>
  <c r="BK325" i="1"/>
  <c r="BA329" i="1"/>
  <c r="BK260" i="1"/>
  <c r="BA261" i="1"/>
  <c r="AQ262" i="1"/>
  <c r="BF265" i="1"/>
  <c r="AV266" i="1"/>
  <c r="BU269" i="1"/>
  <c r="BK270" i="1"/>
  <c r="AV276" i="1"/>
  <c r="BF299" i="1"/>
  <c r="BU301" i="1"/>
  <c r="BK302" i="1"/>
  <c r="AL308" i="1"/>
  <c r="BZ308" i="1"/>
  <c r="AQ315" i="1"/>
  <c r="AG316" i="1"/>
  <c r="BU316" i="1"/>
  <c r="BU147" i="1" s="1"/>
  <c r="AG317" i="1"/>
  <c r="AQ317" i="1"/>
  <c r="BA317" i="1"/>
  <c r="BK317" i="1"/>
  <c r="BU317" i="1"/>
  <c r="AG318" i="1"/>
  <c r="AL319" i="1"/>
  <c r="AV319" i="1"/>
  <c r="BF319" i="1"/>
  <c r="BP319" i="1"/>
  <c r="BP150" i="1" s="1"/>
  <c r="BZ319" i="1"/>
  <c r="BZ150" i="1" s="1"/>
  <c r="AL320" i="1"/>
  <c r="AV320" i="1"/>
  <c r="BF320" i="1"/>
  <c r="BA323" i="1"/>
  <c r="BK323" i="1"/>
  <c r="BU323" i="1"/>
  <c r="BU154" i="1" s="1"/>
  <c r="AG324" i="1"/>
  <c r="AQ324" i="1"/>
  <c r="BA324" i="1"/>
  <c r="BK324" i="1"/>
  <c r="BU324" i="1"/>
  <c r="BU155" i="1" s="1"/>
  <c r="BU329" i="1"/>
  <c r="AG330" i="1"/>
  <c r="AQ330" i="1"/>
  <c r="BA330" i="1"/>
  <c r="BK330" i="1"/>
  <c r="BU330" i="1"/>
  <c r="BP324" i="1"/>
  <c r="BP155" i="1" s="1"/>
  <c r="BZ329" i="1"/>
  <c r="AV330" i="1"/>
  <c r="BP330" i="1"/>
  <c r="BP265" i="1"/>
  <c r="AQ269" i="1"/>
  <c r="AG302" i="1"/>
  <c r="BF304" i="1"/>
  <c r="BA315" i="1"/>
  <c r="BF318" i="1"/>
  <c r="BZ318" i="1"/>
  <c r="BZ149" i="1" s="1"/>
  <c r="AQ321" i="1"/>
  <c r="BU321" i="1"/>
  <c r="BU152" i="1" s="1"/>
  <c r="BZ324" i="1"/>
  <c r="BZ155" i="1" s="1"/>
  <c r="AQ325" i="1"/>
  <c r="BA325" i="1"/>
  <c r="BU325" i="1"/>
  <c r="BU156" i="1" s="1"/>
  <c r="AQ329" i="1"/>
  <c r="BK329" i="1"/>
  <c r="BK331" i="1" s="1"/>
  <c r="CA330" i="1"/>
  <c r="AW329" i="1"/>
  <c r="BB324" i="1"/>
  <c r="BV321" i="1"/>
  <c r="BV152" i="1" s="1"/>
  <c r="AR320" i="1"/>
  <c r="BL318" i="1"/>
  <c r="AM318" i="1"/>
  <c r="BL317" i="1"/>
  <c r="AH316" i="1"/>
  <c r="BB314" i="1"/>
  <c r="BQ310" i="1"/>
  <c r="AM309" i="1"/>
  <c r="AH304" i="1"/>
  <c r="BB302" i="1"/>
  <c r="BV300" i="1"/>
  <c r="AR299" i="1"/>
  <c r="BG295" i="1"/>
  <c r="BG296" i="1" s="1"/>
  <c r="BB275" i="1"/>
  <c r="CA271" i="1"/>
  <c r="AW270" i="1"/>
  <c r="BQ267" i="1"/>
  <c r="AM266" i="1"/>
  <c r="BL264" i="1"/>
  <c r="BB261" i="1"/>
  <c r="BB256" i="1"/>
  <c r="BW207" i="1"/>
  <c r="BC207" i="1"/>
  <c r="AI207" i="1"/>
  <c r="BM206" i="1"/>
  <c r="AS206" i="1"/>
  <c r="BH202" i="1"/>
  <c r="BM200" i="1"/>
  <c r="AW196" i="1"/>
  <c r="BG195" i="1"/>
  <c r="BL193" i="1"/>
  <c r="BV192" i="1"/>
  <c r="BH191" i="1"/>
  <c r="BG330" i="1"/>
  <c r="BQ325" i="1"/>
  <c r="BQ156" i="1" s="1"/>
  <c r="AH324" i="1"/>
  <c r="BB321" i="1"/>
  <c r="BV319" i="1"/>
  <c r="BV150" i="1" s="1"/>
  <c r="AR318" i="1"/>
  <c r="AR317" i="1"/>
  <c r="BL315" i="1"/>
  <c r="AH314" i="1"/>
  <c r="AW310" i="1"/>
  <c r="BQ308" i="1"/>
  <c r="BL303" i="1"/>
  <c r="AH302" i="1"/>
  <c r="BB300" i="1"/>
  <c r="AM295" i="1"/>
  <c r="BL276" i="1"/>
  <c r="AH275" i="1"/>
  <c r="BG271" i="1"/>
  <c r="CA269" i="1"/>
  <c r="AW267" i="1"/>
  <c r="BV263" i="1"/>
  <c r="BL260" i="1"/>
  <c r="BL255" i="1"/>
  <c r="BR207" i="1"/>
  <c r="AX207" i="1"/>
  <c r="CB206" i="1"/>
  <c r="BH206" i="1"/>
  <c r="AN206" i="1"/>
  <c r="AN202" i="1"/>
  <c r="CA196" i="1"/>
  <c r="AM196" i="1"/>
  <c r="AX195" i="1"/>
  <c r="BB193" i="1"/>
  <c r="BL192" i="1"/>
  <c r="AR187" i="1"/>
  <c r="AR188" i="1" s="1"/>
  <c r="BG196" i="1"/>
  <c r="AH193" i="1"/>
  <c r="AR192" i="1"/>
  <c r="AH187" i="1"/>
  <c r="AH188" i="1" s="1"/>
  <c r="AM330" i="1"/>
  <c r="AW325" i="1"/>
  <c r="BL323" i="1"/>
  <c r="AH321" i="1"/>
  <c r="BB319" i="1"/>
  <c r="BV316" i="1"/>
  <c r="BV147" i="1" s="1"/>
  <c r="AR315" i="1"/>
  <c r="CA309" i="1"/>
  <c r="AW308" i="1"/>
  <c r="BV304" i="1"/>
  <c r="AR303" i="1"/>
  <c r="BL301" i="1"/>
  <c r="AH300" i="1"/>
  <c r="AR276" i="1"/>
  <c r="AM271" i="1"/>
  <c r="BG269" i="1"/>
  <c r="CA266" i="1"/>
  <c r="CA97" i="1" s="1"/>
  <c r="AH263" i="1"/>
  <c r="BV254" i="1"/>
  <c r="BQ196" i="1"/>
  <c r="CA195" i="1"/>
  <c r="AR193" i="1"/>
  <c r="BB192" i="1"/>
  <c r="BW202" i="1"/>
  <c r="BC202" i="1"/>
  <c r="AI202" i="1"/>
  <c r="BM201" i="1"/>
  <c r="AS201" i="1"/>
  <c r="BC200" i="1"/>
  <c r="AN195" i="1"/>
  <c r="AX194" i="1"/>
  <c r="AN192" i="1"/>
  <c r="AX191" i="1"/>
  <c r="BR202" i="1"/>
  <c r="AX202" i="1"/>
  <c r="CB201" i="1"/>
  <c r="BH201" i="1"/>
  <c r="AI201" i="1"/>
  <c r="AS200" i="1"/>
  <c r="CB194" i="1"/>
  <c r="AN194" i="1"/>
  <c r="CB191" i="1"/>
  <c r="AN191" i="1"/>
  <c r="BM202" i="1"/>
  <c r="AS202" i="1"/>
  <c r="BW201" i="1"/>
  <c r="BC201" i="1"/>
  <c r="BW200" i="1"/>
  <c r="AI200" i="1"/>
  <c r="BR194" i="1"/>
  <c r="CB193" i="1"/>
  <c r="BR191" i="1"/>
  <c r="BQ330" i="1"/>
  <c r="CA329" i="1"/>
  <c r="AM329" i="1"/>
  <c r="BG325" i="1"/>
  <c r="BL324" i="1"/>
  <c r="BV323" i="1"/>
  <c r="BV154" i="1" s="1"/>
  <c r="AH323" i="1"/>
  <c r="AR321" i="1"/>
  <c r="BB320" i="1"/>
  <c r="BL319" i="1"/>
  <c r="BV318" i="1"/>
  <c r="BV149" i="1" s="1"/>
  <c r="BV317" i="1"/>
  <c r="AH317" i="1"/>
  <c r="AR316" i="1"/>
  <c r="BB315" i="1"/>
  <c r="BL314" i="1"/>
  <c r="BG310" i="1"/>
  <c r="BQ309" i="1"/>
  <c r="CA308" i="1"/>
  <c r="AM308" i="1"/>
  <c r="AR304" i="1"/>
  <c r="BB303" i="1"/>
  <c r="BL302" i="1"/>
  <c r="BV301" i="1"/>
  <c r="AH301" i="1"/>
  <c r="AR300" i="1"/>
  <c r="BB299" i="1"/>
  <c r="BQ295" i="1"/>
  <c r="BQ296" i="1" s="1"/>
  <c r="BB276" i="1"/>
  <c r="BL275" i="1"/>
  <c r="BQ271" i="1"/>
  <c r="CA270" i="1"/>
  <c r="CA101" i="1" s="1"/>
  <c r="AM270" i="1"/>
  <c r="AW269" i="1"/>
  <c r="BG267" i="1"/>
  <c r="BQ266" i="1"/>
  <c r="BQ97" i="1" s="1"/>
  <c r="AH265" i="1"/>
  <c r="BB263" i="1"/>
  <c r="BV261" i="1"/>
  <c r="AR260" i="1"/>
  <c r="BV256" i="1"/>
  <c r="AR255" i="1"/>
  <c r="BL196" i="1"/>
  <c r="AR196" i="1"/>
  <c r="BV195" i="1"/>
  <c r="BB195" i="1"/>
  <c r="BG193" i="1"/>
  <c r="AM193" i="1"/>
  <c r="BQ192" i="1"/>
  <c r="AW192" i="1"/>
  <c r="AW330" i="1"/>
  <c r="BG329" i="1"/>
  <c r="CA325" i="1"/>
  <c r="CA156" i="1" s="1"/>
  <c r="AM325" i="1"/>
  <c r="AR324" i="1"/>
  <c r="BB323" i="1"/>
  <c r="BL321" i="1"/>
  <c r="BV320" i="1"/>
  <c r="BV151" i="1" s="1"/>
  <c r="AH320" i="1"/>
  <c r="AR319" i="1"/>
  <c r="BB318" i="1"/>
  <c r="BB317" i="1"/>
  <c r="BL316" i="1"/>
  <c r="BV315" i="1"/>
  <c r="AH315" i="1"/>
  <c r="AR314" i="1"/>
  <c r="CA310" i="1"/>
  <c r="AM310" i="1"/>
  <c r="AW309" i="1"/>
  <c r="BG308" i="1"/>
  <c r="BL304" i="1"/>
  <c r="BV303" i="1"/>
  <c r="AH303" i="1"/>
  <c r="AR302" i="1"/>
  <c r="BB301" i="1"/>
  <c r="BL300" i="1"/>
  <c r="BV299" i="1"/>
  <c r="AH299" i="1"/>
  <c r="AW295" i="1"/>
  <c r="BV276" i="1"/>
  <c r="AH276" i="1"/>
  <c r="AR275" i="1"/>
  <c r="AW271" i="1"/>
  <c r="BG270" i="1"/>
  <c r="BQ269" i="1"/>
  <c r="CA267" i="1"/>
  <c r="AM267" i="1"/>
  <c r="AW266" i="1"/>
  <c r="BV265" i="1"/>
  <c r="AR264" i="1"/>
  <c r="BL262" i="1"/>
  <c r="AH261" i="1"/>
  <c r="AH256" i="1"/>
  <c r="BB254" i="1"/>
  <c r="CA250" i="1"/>
  <c r="CA81" i="1" s="1"/>
  <c r="BV196" i="1"/>
  <c r="BB196" i="1"/>
  <c r="AH196" i="1"/>
  <c r="BL195" i="1"/>
  <c r="BQ193" i="1"/>
  <c r="AW193" i="1"/>
  <c r="CA192" i="1"/>
  <c r="AN201" i="1"/>
  <c r="CB200" i="1"/>
  <c r="BR200" i="1"/>
  <c r="BH200" i="1"/>
  <c r="AX200" i="1"/>
  <c r="AN200" i="1"/>
  <c r="CB196" i="1"/>
  <c r="BW196" i="1"/>
  <c r="BR196" i="1"/>
  <c r="BM196" i="1"/>
  <c r="BH196" i="1"/>
  <c r="BC196" i="1"/>
  <c r="AX196" i="1"/>
  <c r="AS196" i="1"/>
  <c r="AN196" i="1"/>
  <c r="AI196" i="1"/>
  <c r="CB195" i="1"/>
  <c r="BW195" i="1"/>
  <c r="BR195" i="1"/>
  <c r="BM195" i="1"/>
  <c r="BH195" i="1"/>
  <c r="BC195" i="1"/>
  <c r="BA195" i="1"/>
  <c r="AS195" i="1"/>
  <c r="AI195" i="1"/>
  <c r="BW194" i="1"/>
  <c r="BM194" i="1"/>
  <c r="BC194" i="1"/>
  <c r="AS194" i="1"/>
  <c r="AI194" i="1"/>
  <c r="BW193" i="1"/>
  <c r="BR193" i="1"/>
  <c r="BM193" i="1"/>
  <c r="BH193" i="1"/>
  <c r="BC193" i="1"/>
  <c r="AX193" i="1"/>
  <c r="AS193" i="1"/>
  <c r="AN193" i="1"/>
  <c r="AI193" i="1"/>
  <c r="CB192" i="1"/>
  <c r="BW192" i="1"/>
  <c r="BR192" i="1"/>
  <c r="BM192" i="1"/>
  <c r="BH192" i="1"/>
  <c r="BC192" i="1"/>
  <c r="AX192" i="1"/>
  <c r="AS192" i="1"/>
  <c r="AQ192" i="1"/>
  <c r="AI192" i="1"/>
  <c r="BW191" i="1"/>
  <c r="BM191" i="1"/>
  <c r="BC191" i="1"/>
  <c r="AS191" i="1"/>
  <c r="AI191" i="1"/>
  <c r="AM187" i="1"/>
  <c r="AM188" i="1" s="1"/>
  <c r="AW187" i="1"/>
  <c r="AW188" i="1" s="1"/>
  <c r="BG187" i="1"/>
  <c r="BG188" i="1" s="1"/>
  <c r="BQ187" i="1"/>
  <c r="BQ188" i="1" s="1"/>
  <c r="CA187" i="1"/>
  <c r="CA188" i="1" s="1"/>
  <c r="AH191" i="1"/>
  <c r="AM191" i="1"/>
  <c r="AR191" i="1"/>
  <c r="AW191" i="1"/>
  <c r="BB191" i="1"/>
  <c r="BG191" i="1"/>
  <c r="BL191" i="1"/>
  <c r="BQ191" i="1"/>
  <c r="BV191" i="1"/>
  <c r="CA191" i="1"/>
  <c r="AH192" i="1"/>
  <c r="AM192" i="1"/>
  <c r="BV193" i="1"/>
  <c r="CA193" i="1"/>
  <c r="AH194" i="1"/>
  <c r="AM194" i="1"/>
  <c r="AR194" i="1"/>
  <c r="AW194" i="1"/>
  <c r="BB194" i="1"/>
  <c r="BG194" i="1"/>
  <c r="BL194" i="1"/>
  <c r="BQ194" i="1"/>
  <c r="BV194" i="1"/>
  <c r="CA194" i="1"/>
  <c r="AH195" i="1"/>
  <c r="AM195" i="1"/>
  <c r="AR195" i="1"/>
  <c r="AW195" i="1"/>
  <c r="AH200" i="1"/>
  <c r="AM200" i="1"/>
  <c r="AR200" i="1"/>
  <c r="AW200" i="1"/>
  <c r="BB200" i="1"/>
  <c r="BG200" i="1"/>
  <c r="BL200" i="1"/>
  <c r="BQ200" i="1"/>
  <c r="BV200" i="1"/>
  <c r="CA200" i="1"/>
  <c r="AH201" i="1"/>
  <c r="AM201" i="1"/>
  <c r="AR201" i="1"/>
  <c r="AW201" i="1"/>
  <c r="BB201" i="1"/>
  <c r="BG201" i="1"/>
  <c r="BL201" i="1"/>
  <c r="BQ201" i="1"/>
  <c r="BV201" i="1"/>
  <c r="CA201" i="1"/>
  <c r="AH202" i="1"/>
  <c r="AM202" i="1"/>
  <c r="AR202" i="1"/>
  <c r="AW202" i="1"/>
  <c r="BB202" i="1"/>
  <c r="BG202" i="1"/>
  <c r="BL202" i="1"/>
  <c r="BQ202" i="1"/>
  <c r="BV202" i="1"/>
  <c r="CA202" i="1"/>
  <c r="AH206" i="1"/>
  <c r="AM206" i="1"/>
  <c r="AR206" i="1"/>
  <c r="AW206" i="1"/>
  <c r="BB206" i="1"/>
  <c r="BG206" i="1"/>
  <c r="BL206" i="1"/>
  <c r="BQ206" i="1"/>
  <c r="BV206" i="1"/>
  <c r="CA206" i="1"/>
  <c r="AH207" i="1"/>
  <c r="AM207" i="1"/>
  <c r="BB187" i="1"/>
  <c r="BB188" i="1" s="1"/>
  <c r="BV187" i="1"/>
  <c r="BV188" i="1" s="1"/>
  <c r="AH221" i="1"/>
  <c r="AM221" i="1"/>
  <c r="AR221" i="1"/>
  <c r="AW221" i="1"/>
  <c r="BB221" i="1"/>
  <c r="BG221" i="1"/>
  <c r="BL221" i="1"/>
  <c r="BQ221" i="1"/>
  <c r="BV221" i="1"/>
  <c r="CA221" i="1"/>
  <c r="AH222" i="1"/>
  <c r="AM222" i="1"/>
  <c r="AR222" i="1"/>
  <c r="AW222" i="1"/>
  <c r="BB222" i="1"/>
  <c r="BG222" i="1"/>
  <c r="BL222" i="1"/>
  <c r="BQ222" i="1"/>
  <c r="BV222" i="1"/>
  <c r="CA222" i="1"/>
  <c r="AH241" i="1"/>
  <c r="AH242" i="1" s="1"/>
  <c r="AM241" i="1"/>
  <c r="AM242" i="1" s="1"/>
  <c r="AR241" i="1"/>
  <c r="AR242" i="1" s="1"/>
  <c r="AW241" i="1"/>
  <c r="AW242" i="1" s="1"/>
  <c r="BB241" i="1"/>
  <c r="BB242" i="1" s="1"/>
  <c r="BG241" i="1"/>
  <c r="BG242" i="1" s="1"/>
  <c r="BL241" i="1"/>
  <c r="BL242" i="1" s="1"/>
  <c r="BQ241" i="1"/>
  <c r="BQ242" i="1" s="1"/>
  <c r="BV241" i="1"/>
  <c r="BV242" i="1" s="1"/>
  <c r="CA241" i="1"/>
  <c r="CA242" i="1" s="1"/>
  <c r="AH245" i="1"/>
  <c r="AM245" i="1"/>
  <c r="AR245" i="1"/>
  <c r="AW245" i="1"/>
  <c r="BB245" i="1"/>
  <c r="BG245" i="1"/>
  <c r="BL245" i="1"/>
  <c r="BQ245" i="1"/>
  <c r="BV245" i="1"/>
  <c r="CA245" i="1"/>
  <c r="AH246" i="1"/>
  <c r="AM246" i="1"/>
  <c r="AR246" i="1"/>
  <c r="AW246" i="1"/>
  <c r="BB246" i="1"/>
  <c r="BG246" i="1"/>
  <c r="BL246" i="1"/>
  <c r="BQ246" i="1"/>
  <c r="BQ77" i="1" s="1"/>
  <c r="BV246" i="1"/>
  <c r="BV77" i="1" s="1"/>
  <c r="CA246" i="1"/>
  <c r="CA77" i="1" s="1"/>
  <c r="AH247" i="1"/>
  <c r="AM247" i="1"/>
  <c r="AR247" i="1"/>
  <c r="AW247" i="1"/>
  <c r="BB247" i="1"/>
  <c r="BG247" i="1"/>
  <c r="BL247" i="1"/>
  <c r="BQ247" i="1"/>
  <c r="BQ78" i="1" s="1"/>
  <c r="BV247" i="1"/>
  <c r="BV78" i="1" s="1"/>
  <c r="CA247" i="1"/>
  <c r="CA78" i="1" s="1"/>
  <c r="AH248" i="1"/>
  <c r="AM248" i="1"/>
  <c r="AR248" i="1"/>
  <c r="AW248" i="1"/>
  <c r="BB248" i="1"/>
  <c r="BG248" i="1"/>
  <c r="BL248" i="1"/>
  <c r="BQ248" i="1"/>
  <c r="BV248" i="1"/>
  <c r="CA248" i="1"/>
  <c r="AH249" i="1"/>
  <c r="AM249" i="1"/>
  <c r="AR249" i="1"/>
  <c r="AW249" i="1"/>
  <c r="BB249" i="1"/>
  <c r="BG249" i="1"/>
  <c r="BL249" i="1"/>
  <c r="BQ249" i="1"/>
  <c r="BV249" i="1"/>
  <c r="CA249" i="1"/>
  <c r="AH250" i="1"/>
  <c r="AM250" i="1"/>
  <c r="AR250" i="1"/>
  <c r="AW250" i="1"/>
  <c r="BB250" i="1"/>
  <c r="BG250" i="1"/>
  <c r="BL250" i="1"/>
  <c r="BQ250" i="1"/>
  <c r="BQ81" i="1" s="1"/>
  <c r="BV250" i="1"/>
  <c r="BV81" i="1" s="1"/>
  <c r="AM254" i="1"/>
  <c r="AW254" i="1"/>
  <c r="BG254" i="1"/>
  <c r="BQ254" i="1"/>
  <c r="CA254" i="1"/>
  <c r="AM255" i="1"/>
  <c r="AW255" i="1"/>
  <c r="BG255" i="1"/>
  <c r="BQ255" i="1"/>
  <c r="CA255" i="1"/>
  <c r="AM256" i="1"/>
  <c r="AW256" i="1"/>
  <c r="BG256" i="1"/>
  <c r="BQ256" i="1"/>
  <c r="CA256" i="1"/>
  <c r="AM260" i="1"/>
  <c r="AW260" i="1"/>
  <c r="BG260" i="1"/>
  <c r="BQ260" i="1"/>
  <c r="CA260" i="1"/>
  <c r="AM261" i="1"/>
  <c r="AW261" i="1"/>
  <c r="BG261" i="1"/>
  <c r="BQ261" i="1"/>
  <c r="CA261" i="1"/>
  <c r="AM262" i="1"/>
  <c r="AW262" i="1"/>
  <c r="BG262" i="1"/>
  <c r="BQ262" i="1"/>
  <c r="CA262" i="1"/>
  <c r="AM263" i="1"/>
  <c r="AW263" i="1"/>
  <c r="BG263" i="1"/>
  <c r="BQ263" i="1"/>
  <c r="CA263" i="1"/>
  <c r="AM264" i="1"/>
  <c r="AW264" i="1"/>
  <c r="BG264" i="1"/>
  <c r="BQ264" i="1"/>
  <c r="BQ95" i="1" s="1"/>
  <c r="CA264" i="1"/>
  <c r="CA95" i="1" s="1"/>
  <c r="AM265" i="1"/>
  <c r="AW265" i="1"/>
  <c r="BG265" i="1"/>
  <c r="BQ265" i="1"/>
  <c r="CA265" i="1"/>
  <c r="BV330" i="1"/>
  <c r="BL330" i="1"/>
  <c r="BB330" i="1"/>
  <c r="AR330" i="1"/>
  <c r="AH330" i="1"/>
  <c r="BV329" i="1"/>
  <c r="BL329" i="1"/>
  <c r="BB329" i="1"/>
  <c r="AR329" i="1"/>
  <c r="AH329" i="1"/>
  <c r="BV325" i="1"/>
  <c r="BV156" i="1" s="1"/>
  <c r="BL325" i="1"/>
  <c r="BB325" i="1"/>
  <c r="AR325" i="1"/>
  <c r="CA324" i="1"/>
  <c r="CA155" i="1" s="1"/>
  <c r="BQ324" i="1"/>
  <c r="BQ155" i="1" s="1"/>
  <c r="BG324" i="1"/>
  <c r="AW324" i="1"/>
  <c r="AM324" i="1"/>
  <c r="CA323" i="1"/>
  <c r="CA154" i="1" s="1"/>
  <c r="BQ323" i="1"/>
  <c r="BG323" i="1"/>
  <c r="AW323" i="1"/>
  <c r="AM323" i="1"/>
  <c r="CA321" i="1"/>
  <c r="CA152" i="1" s="1"/>
  <c r="BQ321" i="1"/>
  <c r="BQ152" i="1" s="1"/>
  <c r="BG321" i="1"/>
  <c r="AW321" i="1"/>
  <c r="AM321" i="1"/>
  <c r="CA320" i="1"/>
  <c r="BQ320" i="1"/>
  <c r="BQ151" i="1" s="1"/>
  <c r="BG320" i="1"/>
  <c r="AW320" i="1"/>
  <c r="AM320" i="1"/>
  <c r="CA319" i="1"/>
  <c r="CA150" i="1" s="1"/>
  <c r="BQ319" i="1"/>
  <c r="BQ150" i="1" s="1"/>
  <c r="BG319" i="1"/>
  <c r="AW319" i="1"/>
  <c r="AM319" i="1"/>
  <c r="CA318" i="1"/>
  <c r="CA149" i="1" s="1"/>
  <c r="BQ318" i="1"/>
  <c r="BQ149" i="1" s="1"/>
  <c r="BG318" i="1"/>
  <c r="AW318" i="1"/>
  <c r="CA317" i="1"/>
  <c r="BQ317" i="1"/>
  <c r="BG317" i="1"/>
  <c r="AW317" i="1"/>
  <c r="AM317" i="1"/>
  <c r="CA316" i="1"/>
  <c r="CA147" i="1" s="1"/>
  <c r="BQ316" i="1"/>
  <c r="BQ147" i="1" s="1"/>
  <c r="BG316" i="1"/>
  <c r="AW316" i="1"/>
  <c r="AM316" i="1"/>
  <c r="CA315" i="1"/>
  <c r="BQ315" i="1"/>
  <c r="BQ146" i="1" s="1"/>
  <c r="BG315" i="1"/>
  <c r="AW315" i="1"/>
  <c r="AM315" i="1"/>
  <c r="CA314" i="1"/>
  <c r="CA145" i="1" s="1"/>
  <c r="BQ314" i="1"/>
  <c r="BQ145" i="1" s="1"/>
  <c r="BG314" i="1"/>
  <c r="AW314" i="1"/>
  <c r="AM314" i="1"/>
  <c r="BV310" i="1"/>
  <c r="BL310" i="1"/>
  <c r="BB310" i="1"/>
  <c r="AR310" i="1"/>
  <c r="AH310" i="1"/>
  <c r="BV309" i="1"/>
  <c r="BL309" i="1"/>
  <c r="BB309" i="1"/>
  <c r="AR309" i="1"/>
  <c r="AH309" i="1"/>
  <c r="BV308" i="1"/>
  <c r="BL308" i="1"/>
  <c r="BB308" i="1"/>
  <c r="AR308" i="1"/>
  <c r="AH308" i="1"/>
  <c r="CA304" i="1"/>
  <c r="BQ304" i="1"/>
  <c r="BG304" i="1"/>
  <c r="AW304" i="1"/>
  <c r="AM304" i="1"/>
  <c r="CA303" i="1"/>
  <c r="BQ303" i="1"/>
  <c r="BG303" i="1"/>
  <c r="AW303" i="1"/>
  <c r="AM303" i="1"/>
  <c r="CA302" i="1"/>
  <c r="BQ302" i="1"/>
  <c r="BG302" i="1"/>
  <c r="AW302" i="1"/>
  <c r="AM302" i="1"/>
  <c r="CA301" i="1"/>
  <c r="BQ301" i="1"/>
  <c r="BG301" i="1"/>
  <c r="AW301" i="1"/>
  <c r="AM301" i="1"/>
  <c r="CA300" i="1"/>
  <c r="BQ300" i="1"/>
  <c r="BG300" i="1"/>
  <c r="AW300" i="1"/>
  <c r="AM300" i="1"/>
  <c r="CA299" i="1"/>
  <c r="BQ299" i="1"/>
  <c r="BG299" i="1"/>
  <c r="AW299" i="1"/>
  <c r="AM299" i="1"/>
  <c r="BV295" i="1"/>
  <c r="BV296" i="1" s="1"/>
  <c r="BL295" i="1"/>
  <c r="BL296" i="1" s="1"/>
  <c r="BB295" i="1"/>
  <c r="AR295" i="1"/>
  <c r="AR296" i="1" s="1"/>
  <c r="AH295" i="1"/>
  <c r="AH296" i="1" s="1"/>
  <c r="CA276" i="1"/>
  <c r="BQ276" i="1"/>
  <c r="BG276" i="1"/>
  <c r="AW276" i="1"/>
  <c r="AM276" i="1"/>
  <c r="CA275" i="1"/>
  <c r="BQ275" i="1"/>
  <c r="BG275" i="1"/>
  <c r="AW275" i="1"/>
  <c r="AM275" i="1"/>
  <c r="BV271" i="1"/>
  <c r="BL271" i="1"/>
  <c r="BB271" i="1"/>
  <c r="AR271" i="1"/>
  <c r="AH271" i="1"/>
  <c r="BV270" i="1"/>
  <c r="BV101" i="1" s="1"/>
  <c r="BL270" i="1"/>
  <c r="BB270" i="1"/>
  <c r="AR270" i="1"/>
  <c r="AH270" i="1"/>
  <c r="BV269" i="1"/>
  <c r="BL269" i="1"/>
  <c r="BB269" i="1"/>
  <c r="AR269" i="1"/>
  <c r="AH269" i="1"/>
  <c r="BV267" i="1"/>
  <c r="BL267" i="1"/>
  <c r="BB267" i="1"/>
  <c r="AR267" i="1"/>
  <c r="AH267" i="1"/>
  <c r="BV266" i="1"/>
  <c r="BV97" i="1" s="1"/>
  <c r="BL266" i="1"/>
  <c r="BB266" i="1"/>
  <c r="AR266" i="1"/>
  <c r="AH266" i="1"/>
  <c r="BL265" i="1"/>
  <c r="AR265" i="1"/>
  <c r="BV264" i="1"/>
  <c r="BV95" i="1" s="1"/>
  <c r="BB264" i="1"/>
  <c r="AH264" i="1"/>
  <c r="BL263" i="1"/>
  <c r="AR263" i="1"/>
  <c r="BV262" i="1"/>
  <c r="BB262" i="1"/>
  <c r="AH262" i="1"/>
  <c r="BL261" i="1"/>
  <c r="AR261" i="1"/>
  <c r="BV260" i="1"/>
  <c r="BB260" i="1"/>
  <c r="AH260" i="1"/>
  <c r="BL256" i="1"/>
  <c r="AR256" i="1"/>
  <c r="BV255" i="1"/>
  <c r="BB255" i="1"/>
  <c r="AH255" i="1"/>
  <c r="BL254" i="1"/>
  <c r="AR254" i="1"/>
  <c r="CA217" i="1"/>
  <c r="BV217" i="1"/>
  <c r="BQ217" i="1"/>
  <c r="BL217" i="1"/>
  <c r="BG217" i="1"/>
  <c r="BB217" i="1"/>
  <c r="AW217" i="1"/>
  <c r="AR217" i="1"/>
  <c r="AM217" i="1"/>
  <c r="AH217" i="1"/>
  <c r="CA216" i="1"/>
  <c r="BV216" i="1"/>
  <c r="BQ216" i="1"/>
  <c r="BL216" i="1"/>
  <c r="BG216" i="1"/>
  <c r="BB216" i="1"/>
  <c r="AW216" i="1"/>
  <c r="AR216" i="1"/>
  <c r="AM216" i="1"/>
  <c r="AH216" i="1"/>
  <c r="CA215" i="1"/>
  <c r="BV215" i="1"/>
  <c r="BQ215" i="1"/>
  <c r="BL215" i="1"/>
  <c r="BG215" i="1"/>
  <c r="BB215" i="1"/>
  <c r="AW215" i="1"/>
  <c r="AR215" i="1"/>
  <c r="AM215" i="1"/>
  <c r="AH215" i="1"/>
  <c r="CA213" i="1"/>
  <c r="BV213" i="1"/>
  <c r="BQ213" i="1"/>
  <c r="BL213" i="1"/>
  <c r="BG213" i="1"/>
  <c r="BB213" i="1"/>
  <c r="AW213" i="1"/>
  <c r="AR213" i="1"/>
  <c r="AM213" i="1"/>
  <c r="AH213" i="1"/>
  <c r="CA212" i="1"/>
  <c r="BV212" i="1"/>
  <c r="BQ212" i="1"/>
  <c r="BL212" i="1"/>
  <c r="BG212" i="1"/>
  <c r="BB212" i="1"/>
  <c r="AW212" i="1"/>
  <c r="AR212" i="1"/>
  <c r="AM212" i="1"/>
  <c r="AH212" i="1"/>
  <c r="CA211" i="1"/>
  <c r="BV211" i="1"/>
  <c r="BQ211" i="1"/>
  <c r="BL211" i="1"/>
  <c r="BG211" i="1"/>
  <c r="BB211" i="1"/>
  <c r="AW211" i="1"/>
  <c r="AR211" i="1"/>
  <c r="AM211" i="1"/>
  <c r="AH211" i="1"/>
  <c r="CA210" i="1"/>
  <c r="BV210" i="1"/>
  <c r="BQ210" i="1"/>
  <c r="BL210" i="1"/>
  <c r="BG210" i="1"/>
  <c r="BB210" i="1"/>
  <c r="AW210" i="1"/>
  <c r="AR210" i="1"/>
  <c r="AM210" i="1"/>
  <c r="AH210" i="1"/>
  <c r="CA209" i="1"/>
  <c r="BV209" i="1"/>
  <c r="BQ209" i="1"/>
  <c r="BL209" i="1"/>
  <c r="BG209" i="1"/>
  <c r="BB209" i="1"/>
  <c r="AW209" i="1"/>
  <c r="AR209" i="1"/>
  <c r="AM209" i="1"/>
  <c r="AH209" i="1"/>
  <c r="CA208" i="1"/>
  <c r="BV208" i="1"/>
  <c r="BQ208" i="1"/>
  <c r="BL208" i="1"/>
  <c r="BG208" i="1"/>
  <c r="BB208" i="1"/>
  <c r="AW208" i="1"/>
  <c r="AR208" i="1"/>
  <c r="AM208" i="1"/>
  <c r="AH208" i="1"/>
  <c r="CA207" i="1"/>
  <c r="BV207" i="1"/>
  <c r="BQ207" i="1"/>
  <c r="BL207" i="1"/>
  <c r="BG207" i="1"/>
  <c r="BB207" i="1"/>
  <c r="AW207" i="1"/>
  <c r="AR207" i="1"/>
  <c r="BL187" i="1"/>
  <c r="BL188" i="1" s="1"/>
  <c r="CB187" i="1"/>
  <c r="CB188" i="1" s="1"/>
  <c r="BW187" i="1"/>
  <c r="BW188" i="1" s="1"/>
  <c r="BR187" i="1"/>
  <c r="BR188" i="1" s="1"/>
  <c r="BM187" i="1"/>
  <c r="BM188" i="1" s="1"/>
  <c r="BH187" i="1"/>
  <c r="BH188" i="1" s="1"/>
  <c r="BC187" i="1"/>
  <c r="BC188" i="1" s="1"/>
  <c r="AX187" i="1"/>
  <c r="AX188" i="1" s="1"/>
  <c r="AS187" i="1"/>
  <c r="AS188" i="1" s="1"/>
  <c r="BU195" i="1"/>
  <c r="BK192" i="1"/>
  <c r="AQ187" i="1"/>
  <c r="BK187" i="1"/>
  <c r="AQ191" i="1"/>
  <c r="BK191" i="1"/>
  <c r="AG192" i="1"/>
  <c r="BA192" i="1"/>
  <c r="BU192" i="1"/>
  <c r="AQ193" i="1"/>
  <c r="BK193" i="1"/>
  <c r="AG194" i="1"/>
  <c r="BA194" i="1"/>
  <c r="BU194" i="1"/>
  <c r="AQ195" i="1"/>
  <c r="BK195" i="1"/>
  <c r="AG196" i="1"/>
  <c r="BA196" i="1"/>
  <c r="BU196" i="1"/>
  <c r="AL187" i="1"/>
  <c r="BF187" i="1"/>
  <c r="BZ187" i="1"/>
  <c r="AL191" i="1"/>
  <c r="BF191" i="1"/>
  <c r="BZ191" i="1"/>
  <c r="AV192" i="1"/>
  <c r="BP192" i="1"/>
  <c r="AL193" i="1"/>
  <c r="BF193" i="1"/>
  <c r="BZ193" i="1"/>
  <c r="AV194" i="1"/>
  <c r="BP194" i="1"/>
  <c r="AL195" i="1"/>
  <c r="BF195" i="1"/>
  <c r="BZ195" i="1"/>
  <c r="AV196" i="1"/>
  <c r="BP196" i="1"/>
  <c r="AG200" i="1"/>
  <c r="AL200" i="1"/>
  <c r="AQ200" i="1"/>
  <c r="AV200" i="1"/>
  <c r="BA200" i="1"/>
  <c r="BF200" i="1"/>
  <c r="BK200" i="1"/>
  <c r="BP200" i="1"/>
  <c r="BU200" i="1"/>
  <c r="BZ200" i="1"/>
  <c r="AG201" i="1"/>
  <c r="AL201" i="1"/>
  <c r="AQ201" i="1"/>
  <c r="AV201" i="1"/>
  <c r="BA201" i="1"/>
  <c r="BF201" i="1"/>
  <c r="BK201" i="1"/>
  <c r="BP201" i="1"/>
  <c r="BU201" i="1"/>
  <c r="BZ201" i="1"/>
  <c r="AG202" i="1"/>
  <c r="AL202" i="1"/>
  <c r="AQ202" i="1"/>
  <c r="AV202" i="1"/>
  <c r="BA202" i="1"/>
  <c r="BF202" i="1"/>
  <c r="BK202" i="1"/>
  <c r="BP202" i="1"/>
  <c r="BU202" i="1"/>
  <c r="BZ202" i="1"/>
  <c r="AG206" i="1"/>
  <c r="AL206" i="1"/>
  <c r="AQ206" i="1"/>
  <c r="AV206" i="1"/>
  <c r="BA206" i="1"/>
  <c r="BF206" i="1"/>
  <c r="BK206" i="1"/>
  <c r="BP206" i="1"/>
  <c r="BU206" i="1"/>
  <c r="BZ206" i="1"/>
  <c r="AG207" i="1"/>
  <c r="AL207" i="1"/>
  <c r="AQ207" i="1"/>
  <c r="AV207" i="1"/>
  <c r="BA207" i="1"/>
  <c r="BF207" i="1"/>
  <c r="BK207" i="1"/>
  <c r="BP207" i="1"/>
  <c r="BU207" i="1"/>
  <c r="BZ207" i="1"/>
  <c r="AG208" i="1"/>
  <c r="AL208" i="1"/>
  <c r="AQ208" i="1"/>
  <c r="AV208" i="1"/>
  <c r="BA208" i="1"/>
  <c r="BF208" i="1"/>
  <c r="BK208" i="1"/>
  <c r="BP208" i="1"/>
  <c r="BU208" i="1"/>
  <c r="BZ208" i="1"/>
  <c r="AG209" i="1"/>
  <c r="AL209" i="1"/>
  <c r="AQ209" i="1"/>
  <c r="AV209" i="1"/>
  <c r="BA209" i="1"/>
  <c r="BF209" i="1"/>
  <c r="BK209" i="1"/>
  <c r="BP209" i="1"/>
  <c r="BU209" i="1"/>
  <c r="BZ209" i="1"/>
  <c r="AG210" i="1"/>
  <c r="AL210" i="1"/>
  <c r="AQ210" i="1"/>
  <c r="AV210" i="1"/>
  <c r="BA210" i="1"/>
  <c r="BF210" i="1"/>
  <c r="BK210" i="1"/>
  <c r="BP210" i="1"/>
  <c r="BU210" i="1"/>
  <c r="BZ210" i="1"/>
  <c r="AG211" i="1"/>
  <c r="AL211" i="1"/>
  <c r="AQ211" i="1"/>
  <c r="AV211" i="1"/>
  <c r="BA211" i="1"/>
  <c r="BF211" i="1"/>
  <c r="BK211" i="1"/>
  <c r="BP211" i="1"/>
  <c r="BU211" i="1"/>
  <c r="BZ211" i="1"/>
  <c r="AG212" i="1"/>
  <c r="AL212" i="1"/>
  <c r="AQ212" i="1"/>
  <c r="AV212" i="1"/>
  <c r="BA212" i="1"/>
  <c r="BF212" i="1"/>
  <c r="BK212" i="1"/>
  <c r="BP212" i="1"/>
  <c r="BU212" i="1"/>
  <c r="BZ212" i="1"/>
  <c r="AG213" i="1"/>
  <c r="AL213" i="1"/>
  <c r="AQ213" i="1"/>
  <c r="AV213" i="1"/>
  <c r="BA213" i="1"/>
  <c r="BF213" i="1"/>
  <c r="BK213" i="1"/>
  <c r="BP213" i="1"/>
  <c r="BU213" i="1"/>
  <c r="BZ213" i="1"/>
  <c r="AG215" i="1"/>
  <c r="AL215" i="1"/>
  <c r="AQ215" i="1"/>
  <c r="AV215" i="1"/>
  <c r="BA215" i="1"/>
  <c r="BF215" i="1"/>
  <c r="BK215" i="1"/>
  <c r="BP215" i="1"/>
  <c r="BU215" i="1"/>
  <c r="BZ215" i="1"/>
  <c r="AG216" i="1"/>
  <c r="AL216" i="1"/>
  <c r="AQ216" i="1"/>
  <c r="AV187" i="1"/>
  <c r="BP187" i="1"/>
  <c r="AV191" i="1"/>
  <c r="BP191" i="1"/>
  <c r="AL192" i="1"/>
  <c r="BF192" i="1"/>
  <c r="BZ192" i="1"/>
  <c r="AV193" i="1"/>
  <c r="BP193" i="1"/>
  <c r="AL194" i="1"/>
  <c r="BF194" i="1"/>
  <c r="BZ194" i="1"/>
  <c r="AV195" i="1"/>
  <c r="BP195" i="1"/>
  <c r="AL196" i="1"/>
  <c r="BF196" i="1"/>
  <c r="BZ196" i="1"/>
  <c r="BU187" i="1"/>
  <c r="BA191" i="1"/>
  <c r="AG193" i="1"/>
  <c r="BK194" i="1"/>
  <c r="AQ196" i="1"/>
  <c r="BU191" i="1"/>
  <c r="BA193" i="1"/>
  <c r="AG195" i="1"/>
  <c r="BK196" i="1"/>
  <c r="AV216" i="1"/>
  <c r="BA216" i="1"/>
  <c r="BF216" i="1"/>
  <c r="BK216" i="1"/>
  <c r="BP216" i="1"/>
  <c r="BU216" i="1"/>
  <c r="BZ216" i="1"/>
  <c r="AG217" i="1"/>
  <c r="AL217" i="1"/>
  <c r="AQ217" i="1"/>
  <c r="AV217" i="1"/>
  <c r="BA217" i="1"/>
  <c r="BF217" i="1"/>
  <c r="BK217" i="1"/>
  <c r="BP217" i="1"/>
  <c r="BU217" i="1"/>
  <c r="BZ217" i="1"/>
  <c r="AG221" i="1"/>
  <c r="AL221" i="1"/>
  <c r="AQ221" i="1"/>
  <c r="AV221" i="1"/>
  <c r="BA221" i="1"/>
  <c r="BF221" i="1"/>
  <c r="BK221" i="1"/>
  <c r="BP221" i="1"/>
  <c r="BU221" i="1"/>
  <c r="BZ221" i="1"/>
  <c r="AG222" i="1"/>
  <c r="AL222" i="1"/>
  <c r="AQ222" i="1"/>
  <c r="AV222" i="1"/>
  <c r="BA222" i="1"/>
  <c r="BF222" i="1"/>
  <c r="BK222" i="1"/>
  <c r="BP222" i="1"/>
  <c r="BU222" i="1"/>
  <c r="BZ222" i="1"/>
  <c r="AG241" i="1"/>
  <c r="AL241" i="1"/>
  <c r="AQ241" i="1"/>
  <c r="AV241" i="1"/>
  <c r="BA241" i="1"/>
  <c r="BF241" i="1"/>
  <c r="BK241" i="1"/>
  <c r="BP241" i="1"/>
  <c r="BU241" i="1"/>
  <c r="BZ241" i="1"/>
  <c r="AG245" i="1"/>
  <c r="AL245" i="1"/>
  <c r="AQ245" i="1"/>
  <c r="AV245" i="1"/>
  <c r="BA245" i="1"/>
  <c r="BF245" i="1"/>
  <c r="BK245" i="1"/>
  <c r="BP245" i="1"/>
  <c r="BU245" i="1"/>
  <c r="BZ245" i="1"/>
  <c r="AG246" i="1"/>
  <c r="AL246" i="1"/>
  <c r="AQ246" i="1"/>
  <c r="AV246" i="1"/>
  <c r="BA246" i="1"/>
  <c r="BF246" i="1"/>
  <c r="BK246" i="1"/>
  <c r="BP246" i="1"/>
  <c r="BU246" i="1"/>
  <c r="BZ246" i="1"/>
  <c r="AG247" i="1"/>
  <c r="AL247" i="1"/>
  <c r="AQ247" i="1"/>
  <c r="AV247" i="1"/>
  <c r="BA247" i="1"/>
  <c r="BF247" i="1"/>
  <c r="BK247" i="1"/>
  <c r="BP247" i="1"/>
  <c r="BU247" i="1"/>
  <c r="BZ247" i="1"/>
  <c r="AG248" i="1"/>
  <c r="AL248" i="1"/>
  <c r="AQ248" i="1"/>
  <c r="AV248" i="1"/>
  <c r="BA248" i="1"/>
  <c r="BF248" i="1"/>
  <c r="BK248" i="1"/>
  <c r="BP248" i="1"/>
  <c r="BU248" i="1"/>
  <c r="BZ248" i="1"/>
  <c r="AG249" i="1"/>
  <c r="AL249" i="1"/>
  <c r="AQ249" i="1"/>
  <c r="AV249" i="1"/>
  <c r="BA249" i="1"/>
  <c r="BF249" i="1"/>
  <c r="BK249" i="1"/>
  <c r="BP249" i="1"/>
  <c r="BU249" i="1"/>
  <c r="BZ249" i="1"/>
  <c r="AG250" i="1"/>
  <c r="AL250" i="1"/>
  <c r="AQ250" i="1"/>
  <c r="AV250" i="1"/>
  <c r="BA250" i="1"/>
  <c r="BF250" i="1"/>
  <c r="BK250" i="1"/>
  <c r="BP250" i="1"/>
  <c r="BU250" i="1"/>
  <c r="AQ194" i="1"/>
  <c r="AG191" i="1"/>
  <c r="BX256" i="1" l="1"/>
  <c r="BK398" i="1"/>
  <c r="BI330" i="1"/>
  <c r="BH277" i="1"/>
  <c r="AI331" i="1"/>
  <c r="BW127" i="1"/>
  <c r="AJ260" i="1"/>
  <c r="CC269" i="1"/>
  <c r="CC303" i="1"/>
  <c r="AY264" i="1"/>
  <c r="AN223" i="1"/>
  <c r="CB82" i="1"/>
  <c r="CB703" i="7" s="1"/>
  <c r="CB331" i="1"/>
  <c r="CB162" i="1" s="1"/>
  <c r="BW296" i="1"/>
  <c r="BM296" i="1"/>
  <c r="BW218" i="1"/>
  <c r="BM311" i="1"/>
  <c r="AN311" i="1"/>
  <c r="BW331" i="1"/>
  <c r="BW162" i="1" s="1"/>
  <c r="AS331" i="1"/>
  <c r="BW257" i="1"/>
  <c r="AI257" i="1"/>
  <c r="CB18" i="1"/>
  <c r="CB18" i="5" s="1"/>
  <c r="CB126" i="5" s="1"/>
  <c r="CC249" i="1"/>
  <c r="BI249" i="1"/>
  <c r="BS248" i="1"/>
  <c r="AY248" i="1"/>
  <c r="AY246" i="1"/>
  <c r="BC277" i="1"/>
  <c r="BC311" i="1"/>
  <c r="BD265" i="1"/>
  <c r="BR203" i="1"/>
  <c r="BI267" i="1"/>
  <c r="CB277" i="1"/>
  <c r="BD304" i="1"/>
  <c r="AX277" i="1"/>
  <c r="BU127" i="1"/>
  <c r="BD319" i="1"/>
  <c r="BP296" i="1"/>
  <c r="BX276" i="1"/>
  <c r="BX303" i="1"/>
  <c r="AO270" i="1"/>
  <c r="BB277" i="1"/>
  <c r="CC308" i="1"/>
  <c r="CB296" i="1"/>
  <c r="CB394" i="1" s="1"/>
  <c r="CB251" i="1"/>
  <c r="BC296" i="1"/>
  <c r="BX267" i="1"/>
  <c r="BU296" i="1"/>
  <c r="AO260" i="1"/>
  <c r="BS256" i="1"/>
  <c r="AO255" i="1"/>
  <c r="AJ261" i="1"/>
  <c r="AW331" i="1"/>
  <c r="AO330" i="1"/>
  <c r="BH223" i="1"/>
  <c r="BM331" i="1"/>
  <c r="BR331" i="1"/>
  <c r="BR162" i="1" s="1"/>
  <c r="BW223" i="1"/>
  <c r="AT317" i="1"/>
  <c r="AJ324" i="1"/>
  <c r="AN257" i="1"/>
  <c r="CB311" i="1"/>
  <c r="CB142" i="1" s="1"/>
  <c r="AJ302" i="1"/>
  <c r="AJ321" i="1"/>
  <c r="AO263" i="1"/>
  <c r="AJ299" i="1"/>
  <c r="AS257" i="1"/>
  <c r="AJ254" i="1"/>
  <c r="BX302" i="1"/>
  <c r="BR277" i="1"/>
  <c r="AO249" i="1"/>
  <c r="CC222" i="1"/>
  <c r="BS271" i="1"/>
  <c r="BA296" i="1"/>
  <c r="BS308" i="1"/>
  <c r="AY270" i="1"/>
  <c r="BH296" i="1"/>
  <c r="AJ316" i="1"/>
  <c r="AX272" i="1"/>
  <c r="BW305" i="1"/>
  <c r="BW136" i="1" s="1"/>
  <c r="BI195" i="1"/>
  <c r="AJ187" i="1"/>
  <c r="AJ188" i="1" s="1"/>
  <c r="BS316" i="1"/>
  <c r="BS147" i="1" s="1"/>
  <c r="BT147" i="1" s="1"/>
  <c r="AT263" i="1"/>
  <c r="AJ267" i="1"/>
  <c r="BN269" i="1"/>
  <c r="AY309" i="1"/>
  <c r="AM331" i="1"/>
  <c r="BX263" i="1"/>
  <c r="BF311" i="1"/>
  <c r="BI309" i="1"/>
  <c r="BR257" i="1"/>
  <c r="BX324" i="1"/>
  <c r="BX155" i="1" s="1"/>
  <c r="BY155" i="1" s="1"/>
  <c r="CC304" i="1"/>
  <c r="AO314" i="1"/>
  <c r="AO319" i="1"/>
  <c r="AO324" i="1"/>
  <c r="BN329" i="1"/>
  <c r="CA103" i="1"/>
  <c r="CA818" i="7" s="1"/>
  <c r="CC260" i="1"/>
  <c r="AY256" i="1"/>
  <c r="BI255" i="1"/>
  <c r="BS254" i="1"/>
  <c r="AT324" i="1"/>
  <c r="AT323" i="1"/>
  <c r="AQ277" i="1"/>
  <c r="BC331" i="1"/>
  <c r="CB103" i="1"/>
  <c r="CB103" i="5" s="1"/>
  <c r="BC257" i="1"/>
  <c r="AN251" i="1"/>
  <c r="CC254" i="1"/>
  <c r="BK311" i="1"/>
  <c r="AY308" i="1"/>
  <c r="AQ331" i="1"/>
  <c r="BS249" i="1"/>
  <c r="CC248" i="1"/>
  <c r="AY320" i="1"/>
  <c r="CC323" i="1"/>
  <c r="CC154" i="1" s="1"/>
  <c r="CD154" i="1" s="1"/>
  <c r="BS309" i="1"/>
  <c r="AO250" i="1"/>
  <c r="BI248" i="1"/>
  <c r="AO248" i="1"/>
  <c r="BS222" i="1"/>
  <c r="AY222" i="1"/>
  <c r="CC318" i="1"/>
  <c r="CC149" i="1" s="1"/>
  <c r="CD149" i="1" s="1"/>
  <c r="BM218" i="1"/>
  <c r="AO308" i="1"/>
  <c r="AO325" i="1"/>
  <c r="BN301" i="1"/>
  <c r="AT261" i="1"/>
  <c r="BP311" i="1"/>
  <c r="BP142" i="1" s="1"/>
  <c r="BN255" i="1"/>
  <c r="AY314" i="1"/>
  <c r="AO303" i="1"/>
  <c r="AX305" i="1"/>
  <c r="BW311" i="1"/>
  <c r="BW142" i="1" s="1"/>
  <c r="BM257" i="1"/>
  <c r="BW272" i="1"/>
  <c r="BR272" i="1"/>
  <c r="BR103" i="1"/>
  <c r="BR818" i="7" s="1"/>
  <c r="BR82" i="1"/>
  <c r="BR82" i="5" s="1"/>
  <c r="BC223" i="1"/>
  <c r="BC272" i="1"/>
  <c r="AX311" i="1"/>
  <c r="BN299" i="1"/>
  <c r="BH257" i="1"/>
  <c r="AS311" i="1"/>
  <c r="BR157" i="1"/>
  <c r="BR49" i="1" s="1"/>
  <c r="AN277" i="1"/>
  <c r="AT276" i="1"/>
  <c r="CB272" i="1"/>
  <c r="AX251" i="1"/>
  <c r="AO195" i="1"/>
  <c r="BX321" i="1"/>
  <c r="BX152" i="1" s="1"/>
  <c r="BY152" i="1" s="1"/>
  <c r="AS277" i="1"/>
  <c r="BG218" i="1"/>
  <c r="BD255" i="1"/>
  <c r="AT266" i="1"/>
  <c r="AT271" i="1"/>
  <c r="BH203" i="1"/>
  <c r="AT319" i="1"/>
  <c r="BX254" i="1"/>
  <c r="AO271" i="1"/>
  <c r="AI218" i="1"/>
  <c r="CA331" i="1"/>
  <c r="CA162" i="1" s="1"/>
  <c r="BR311" i="1"/>
  <c r="BR142" i="1" s="1"/>
  <c r="AX326" i="1"/>
  <c r="AI272" i="1"/>
  <c r="BC218" i="1"/>
  <c r="BI222" i="1"/>
  <c r="BN270" i="1"/>
  <c r="AY260" i="1"/>
  <c r="AJ301" i="1"/>
  <c r="BS330" i="1"/>
  <c r="AJ300" i="1"/>
  <c r="AN305" i="1"/>
  <c r="AS218" i="1"/>
  <c r="AI305" i="1"/>
  <c r="BM305" i="1"/>
  <c r="BH251" i="1"/>
  <c r="BS325" i="1"/>
  <c r="BS156" i="1" s="1"/>
  <c r="BT156" i="1" s="1"/>
  <c r="BR326" i="1"/>
  <c r="AY317" i="1"/>
  <c r="BS267" i="1"/>
  <c r="CC329" i="1"/>
  <c r="BA331" i="1"/>
  <c r="BP157" i="1"/>
  <c r="BD261" i="1"/>
  <c r="AT302" i="1"/>
  <c r="CC275" i="1"/>
  <c r="CC330" i="1"/>
  <c r="AO266" i="1"/>
  <c r="AY310" i="1"/>
  <c r="AY300" i="1"/>
  <c r="AY267" i="1"/>
  <c r="AO256" i="1"/>
  <c r="BF257" i="1"/>
  <c r="BD310" i="1"/>
  <c r="BA257" i="1"/>
  <c r="CC301" i="1"/>
  <c r="AG277" i="1"/>
  <c r="AN218" i="1"/>
  <c r="AN272" i="1"/>
  <c r="AS272" i="1"/>
  <c r="AI277" i="1"/>
  <c r="CC299" i="1"/>
  <c r="BC305" i="1"/>
  <c r="BH311" i="1"/>
  <c r="AI326" i="1"/>
  <c r="AI223" i="1"/>
  <c r="BW251" i="1"/>
  <c r="AY249" i="1"/>
  <c r="AY247" i="1"/>
  <c r="AO246" i="1"/>
  <c r="CC215" i="1"/>
  <c r="BI215" i="1"/>
  <c r="AO215" i="1"/>
  <c r="BS213" i="1"/>
  <c r="AY213" i="1"/>
  <c r="CC212" i="1"/>
  <c r="BI212" i="1"/>
  <c r="AO212" i="1"/>
  <c r="BS211" i="1"/>
  <c r="AY211" i="1"/>
  <c r="CC210" i="1"/>
  <c r="BI210" i="1"/>
  <c r="AO210" i="1"/>
  <c r="BS209" i="1"/>
  <c r="AY209" i="1"/>
  <c r="CC208" i="1"/>
  <c r="BI208" i="1"/>
  <c r="AO208" i="1"/>
  <c r="CC266" i="1"/>
  <c r="CC97" i="1" s="1"/>
  <c r="BI254" i="1"/>
  <c r="BI323" i="1"/>
  <c r="CB305" i="1"/>
  <c r="CB136" i="1" s="1"/>
  <c r="BC326" i="1"/>
  <c r="AY275" i="1"/>
  <c r="BX299" i="1"/>
  <c r="AW311" i="1"/>
  <c r="AY269" i="1"/>
  <c r="BX301" i="1"/>
  <c r="AJ263" i="1"/>
  <c r="BI271" i="1"/>
  <c r="AO295" i="1"/>
  <c r="AO296" i="1" s="1"/>
  <c r="BN303" i="1"/>
  <c r="BD256" i="1"/>
  <c r="AY329" i="1"/>
  <c r="AV331" i="1"/>
  <c r="AT262" i="1"/>
  <c r="AY250" i="1"/>
  <c r="AO247" i="1"/>
  <c r="CC217" i="1"/>
  <c r="BS216" i="1"/>
  <c r="AY216" i="1"/>
  <c r="BN264" i="1"/>
  <c r="CA126" i="1"/>
  <c r="CA18" i="1" s="1"/>
  <c r="CA18" i="5" s="1"/>
  <c r="CA126" i="5" s="1"/>
  <c r="BN325" i="1"/>
  <c r="BK326" i="1"/>
  <c r="BW326" i="1"/>
  <c r="BZ331" i="1"/>
  <c r="BZ162" i="1" s="1"/>
  <c r="BZ398" i="1" s="1"/>
  <c r="AT267" i="1"/>
  <c r="BX269" i="1"/>
  <c r="BD271" i="1"/>
  <c r="AO301" i="1"/>
  <c r="BS302" i="1"/>
  <c r="BN309" i="1"/>
  <c r="AO315" i="1"/>
  <c r="AJ329" i="1"/>
  <c r="BD254" i="1"/>
  <c r="AT264" i="1"/>
  <c r="AT275" i="1"/>
  <c r="AJ320" i="1"/>
  <c r="AT255" i="1"/>
  <c r="BZ277" i="1"/>
  <c r="AV311" i="1"/>
  <c r="BU277" i="1"/>
  <c r="BH272" i="1"/>
  <c r="CB157" i="1"/>
  <c r="BH305" i="1"/>
  <c r="AS223" i="1"/>
  <c r="BM223" i="1"/>
  <c r="BR251" i="1"/>
  <c r="AY192" i="1"/>
  <c r="BS264" i="1"/>
  <c r="BS95" i="1" s="1"/>
  <c r="AT329" i="1"/>
  <c r="BI318" i="1"/>
  <c r="AT269" i="1"/>
  <c r="BS303" i="1"/>
  <c r="AT308" i="1"/>
  <c r="AO321" i="1"/>
  <c r="AY265" i="1"/>
  <c r="BS263" i="1"/>
  <c r="CC262" i="1"/>
  <c r="AJ256" i="1"/>
  <c r="BX265" i="1"/>
  <c r="AJ276" i="1"/>
  <c r="AT314" i="1"/>
  <c r="BX261" i="1"/>
  <c r="BI310" i="1"/>
  <c r="AT303" i="1"/>
  <c r="AT315" i="1"/>
  <c r="AO318" i="1"/>
  <c r="AV277" i="1"/>
  <c r="BS329" i="1"/>
  <c r="BB331" i="1"/>
  <c r="BU331" i="1"/>
  <c r="BU162" i="1" s="1"/>
  <c r="AO309" i="1"/>
  <c r="AT320" i="1"/>
  <c r="BS304" i="1"/>
  <c r="CC265" i="1"/>
  <c r="AQ326" i="1"/>
  <c r="AO323" i="1"/>
  <c r="AY321" i="1"/>
  <c r="AT318" i="1"/>
  <c r="AV305" i="1"/>
  <c r="BD260" i="1"/>
  <c r="BU305" i="1"/>
  <c r="BU136" i="1" s="1"/>
  <c r="BI275" i="1"/>
  <c r="AL326" i="1"/>
  <c r="AT309" i="1"/>
  <c r="BD308" i="1"/>
  <c r="BI269" i="1"/>
  <c r="CC261" i="1"/>
  <c r="AO261" i="1"/>
  <c r="AT192" i="1"/>
  <c r="BM197" i="1"/>
  <c r="CB257" i="1"/>
  <c r="BM272" i="1"/>
  <c r="AJ318" i="1"/>
  <c r="CB218" i="1"/>
  <c r="BH218" i="1"/>
  <c r="CB223" i="1"/>
  <c r="AS251" i="1"/>
  <c r="BW82" i="1"/>
  <c r="BC251" i="1"/>
  <c r="AX257" i="1"/>
  <c r="AO269" i="1"/>
  <c r="BR305" i="1"/>
  <c r="BR136" i="1" s="1"/>
  <c r="AS305" i="1"/>
  <c r="AS326" i="1"/>
  <c r="AN326" i="1"/>
  <c r="AJ323" i="1"/>
  <c r="BR218" i="1"/>
  <c r="AX223" i="1"/>
  <c r="AI251" i="1"/>
  <c r="AI311" i="1"/>
  <c r="BW157" i="1"/>
  <c r="BW49" i="1" s="1"/>
  <c r="BN317" i="1"/>
  <c r="BI265" i="1"/>
  <c r="BD329" i="1"/>
  <c r="AY324" i="1"/>
  <c r="BS317" i="1"/>
  <c r="AO299" i="1"/>
  <c r="AT260" i="1"/>
  <c r="BK305" i="1"/>
  <c r="CC309" i="1"/>
  <c r="AJ304" i="1"/>
  <c r="BS300" i="1"/>
  <c r="BI256" i="1"/>
  <c r="BS255" i="1"/>
  <c r="AO254" i="1"/>
  <c r="BX310" i="1"/>
  <c r="AG311" i="1"/>
  <c r="AT300" i="1"/>
  <c r="BP277" i="1"/>
  <c r="CC271" i="1"/>
  <c r="BU103" i="1"/>
  <c r="BU873" i="7" s="1"/>
  <c r="BZ103" i="1"/>
  <c r="BZ818" i="7" s="1"/>
  <c r="AY316" i="1"/>
  <c r="BA311" i="1"/>
  <c r="AY302" i="1"/>
  <c r="BI301" i="1"/>
  <c r="AT299" i="1"/>
  <c r="BZ157" i="1"/>
  <c r="BF305" i="1"/>
  <c r="AJ269" i="1"/>
  <c r="BS275" i="1"/>
  <c r="BK296" i="1"/>
  <c r="AO304" i="1"/>
  <c r="BD309" i="1"/>
  <c r="AY263" i="1"/>
  <c r="BN304" i="1"/>
  <c r="BD263" i="1"/>
  <c r="AT321" i="1"/>
  <c r="AI203" i="1"/>
  <c r="BA277" i="1"/>
  <c r="BM251" i="1"/>
  <c r="AO222" i="1"/>
  <c r="BI217" i="1"/>
  <c r="AO217" i="1"/>
  <c r="AO196" i="1"/>
  <c r="BI194" i="1"/>
  <c r="AO216" i="1"/>
  <c r="BS215" i="1"/>
  <c r="AY215" i="1"/>
  <c r="CC213" i="1"/>
  <c r="BI213" i="1"/>
  <c r="AO213" i="1"/>
  <c r="BS212" i="1"/>
  <c r="AY212" i="1"/>
  <c r="CC211" i="1"/>
  <c r="BI211" i="1"/>
  <c r="AO211" i="1"/>
  <c r="BS210" i="1"/>
  <c r="AY210" i="1"/>
  <c r="CC209" i="1"/>
  <c r="BI209" i="1"/>
  <c r="AO209" i="1"/>
  <c r="BS208" i="1"/>
  <c r="AY208" i="1"/>
  <c r="BS206" i="1"/>
  <c r="AY206" i="1"/>
  <c r="CC202" i="1"/>
  <c r="BI202" i="1"/>
  <c r="AO202" i="1"/>
  <c r="BS201" i="1"/>
  <c r="AY201" i="1"/>
  <c r="AY194" i="1"/>
  <c r="BI266" i="1"/>
  <c r="BI295" i="1"/>
  <c r="BI315" i="1"/>
  <c r="BN319" i="1"/>
  <c r="AT316" i="1"/>
  <c r="CC314" i="1"/>
  <c r="CC145" i="1" s="1"/>
  <c r="CD145" i="1" s="1"/>
  <c r="BH326" i="1"/>
  <c r="CB326" i="1"/>
  <c r="BP331" i="1"/>
  <c r="BP162" i="1" s="1"/>
  <c r="BN254" i="1"/>
  <c r="BX260" i="1"/>
  <c r="BD262" i="1"/>
  <c r="AJ264" i="1"/>
  <c r="BD267" i="1"/>
  <c r="BN271" i="1"/>
  <c r="BS276" i="1"/>
  <c r="BI317" i="1"/>
  <c r="AY319" i="1"/>
  <c r="AO320" i="1"/>
  <c r="AT325" i="1"/>
  <c r="BN330" i="1"/>
  <c r="CC263" i="1"/>
  <c r="AY262" i="1"/>
  <c r="CC256" i="1"/>
  <c r="AY255" i="1"/>
  <c r="CB203" i="1"/>
  <c r="BI308" i="1"/>
  <c r="BD317" i="1"/>
  <c r="AJ265" i="1"/>
  <c r="BL277" i="1"/>
  <c r="BN302" i="1"/>
  <c r="BF296" i="1"/>
  <c r="AX218" i="1"/>
  <c r="BR126" i="1"/>
  <c r="BR296" i="1"/>
  <c r="BV126" i="1"/>
  <c r="BV18" i="1" s="1"/>
  <c r="BV18" i="5" s="1"/>
  <c r="BV126" i="5" s="1"/>
  <c r="AQ305" i="1"/>
  <c r="AY276" i="1"/>
  <c r="BI320" i="1"/>
  <c r="AJ310" i="1"/>
  <c r="AY303" i="1"/>
  <c r="AY318" i="1"/>
  <c r="BD330" i="1"/>
  <c r="AO264" i="1"/>
  <c r="BI262" i="1"/>
  <c r="BS269" i="1"/>
  <c r="BX304" i="1"/>
  <c r="AT196" i="1"/>
  <c r="BS195" i="1"/>
  <c r="CC193" i="1"/>
  <c r="BX266" i="1"/>
  <c r="BX97" i="1" s="1"/>
  <c r="CC295" i="1"/>
  <c r="CC126" i="1" s="1"/>
  <c r="BD316" i="1"/>
  <c r="BS319" i="1"/>
  <c r="BS150" i="1" s="1"/>
  <c r="BT150" i="1" s="1"/>
  <c r="BM326" i="1"/>
  <c r="AJ266" i="1"/>
  <c r="BN267" i="1"/>
  <c r="BD269" i="1"/>
  <c r="AJ271" i="1"/>
  <c r="BX271" i="1"/>
  <c r="CC276" i="1"/>
  <c r="BI300" i="1"/>
  <c r="AY301" i="1"/>
  <c r="AO302" i="1"/>
  <c r="CC302" i="1"/>
  <c r="BI304" i="1"/>
  <c r="AJ309" i="1"/>
  <c r="BX309" i="1"/>
  <c r="BN310" i="1"/>
  <c r="AO316" i="1"/>
  <c r="AJ330" i="1"/>
  <c r="BX330" i="1"/>
  <c r="AO262" i="1"/>
  <c r="AY261" i="1"/>
  <c r="BI260" i="1"/>
  <c r="CC255" i="1"/>
  <c r="BN262" i="1"/>
  <c r="AJ303" i="1"/>
  <c r="BD276" i="1"/>
  <c r="BD275" i="1"/>
  <c r="BX300" i="1"/>
  <c r="BQ311" i="1"/>
  <c r="BQ142" i="1" s="1"/>
  <c r="AT330" i="1"/>
  <c r="AV326" i="1"/>
  <c r="BU326" i="1"/>
  <c r="BZ311" i="1"/>
  <c r="BZ142" i="1" s="1"/>
  <c r="BN260" i="1"/>
  <c r="CC317" i="1"/>
  <c r="AO317" i="1"/>
  <c r="AG272" i="1"/>
  <c r="BF277" i="1"/>
  <c r="BF331" i="1"/>
  <c r="AL331" i="1"/>
  <c r="AJ315" i="1"/>
  <c r="AO276" i="1"/>
  <c r="AL311" i="1"/>
  <c r="BD303" i="1"/>
  <c r="BZ305" i="1"/>
  <c r="BZ136" i="1" s="1"/>
  <c r="AL305" i="1"/>
  <c r="BZ272" i="1"/>
  <c r="AQ272" i="1"/>
  <c r="BK272" i="1"/>
  <c r="BU272" i="1"/>
  <c r="BP257" i="1"/>
  <c r="BZ257" i="1"/>
  <c r="AL257" i="1"/>
  <c r="AV257" i="1"/>
  <c r="AJ314" i="1"/>
  <c r="AQ311" i="1"/>
  <c r="BI303" i="1"/>
  <c r="AT301" i="1"/>
  <c r="BD300" i="1"/>
  <c r="AL277" i="1"/>
  <c r="AL272" i="1"/>
  <c r="AV272" i="1"/>
  <c r="BI263" i="1"/>
  <c r="BS262" i="1"/>
  <c r="BK257" i="1"/>
  <c r="BU257" i="1"/>
  <c r="AJ255" i="1"/>
  <c r="AQ257" i="1"/>
  <c r="BX308" i="1"/>
  <c r="AJ308" i="1"/>
  <c r="BP305" i="1"/>
  <c r="BP136" i="1" s="1"/>
  <c r="BA305" i="1"/>
  <c r="BN276" i="1"/>
  <c r="BP103" i="1"/>
  <c r="BP873" i="7" s="1"/>
  <c r="BF272" i="1"/>
  <c r="AG257" i="1"/>
  <c r="BU157" i="1"/>
  <c r="BP18" i="1"/>
  <c r="BP18" i="5" s="1"/>
  <c r="BP126" i="5" s="1"/>
  <c r="BP127" i="1"/>
  <c r="CC250" i="1"/>
  <c r="CC81" i="1" s="1"/>
  <c r="BD264" i="1"/>
  <c r="BS270" i="1"/>
  <c r="BS101" i="1" s="1"/>
  <c r="BX295" i="1"/>
  <c r="BX296" i="1" s="1"/>
  <c r="AY254" i="1"/>
  <c r="BI261" i="1"/>
  <c r="BN320" i="1"/>
  <c r="BX323" i="1"/>
  <c r="BX154" i="1" s="1"/>
  <c r="BY154" i="1" s="1"/>
  <c r="BD318" i="1"/>
  <c r="BS321" i="1"/>
  <c r="BS152" i="1" s="1"/>
  <c r="BT152" i="1" s="1"/>
  <c r="BF326" i="1"/>
  <c r="BZ326" i="1"/>
  <c r="BP272" i="1"/>
  <c r="BX275" i="1"/>
  <c r="BX314" i="1"/>
  <c r="BX145" i="1" s="1"/>
  <c r="BY145" i="1" s="1"/>
  <c r="AT265" i="1"/>
  <c r="BX262" i="1"/>
  <c r="AT270" i="1"/>
  <c r="BI299" i="1"/>
  <c r="AY304" i="1"/>
  <c r="BS260" i="1"/>
  <c r="BU311" i="1"/>
  <c r="BU142" i="1" s="1"/>
  <c r="AX203" i="1"/>
  <c r="AO267" i="1"/>
  <c r="AY271" i="1"/>
  <c r="AH305" i="1"/>
  <c r="AG326" i="1"/>
  <c r="BK277" i="1"/>
  <c r="AG331" i="1"/>
  <c r="BZ126" i="1"/>
  <c r="BZ296" i="1"/>
  <c r="AT250" i="1"/>
  <c r="BX249" i="1"/>
  <c r="BD249" i="1"/>
  <c r="AJ249" i="1"/>
  <c r="BN248" i="1"/>
  <c r="AT248" i="1"/>
  <c r="AJ247" i="1"/>
  <c r="AT246" i="1"/>
  <c r="BX222" i="1"/>
  <c r="BD222" i="1"/>
  <c r="AJ222" i="1"/>
  <c r="BX217" i="1"/>
  <c r="BD217" i="1"/>
  <c r="AJ217" i="1"/>
  <c r="BN216" i="1"/>
  <c r="BX194" i="1"/>
  <c r="AM296" i="1"/>
  <c r="AO265" i="1"/>
  <c r="CC267" i="1"/>
  <c r="BN318" i="1"/>
  <c r="CC325" i="1"/>
  <c r="CC156" i="1" s="1"/>
  <c r="CD156" i="1" s="1"/>
  <c r="BD321" i="1"/>
  <c r="BN324" i="1"/>
  <c r="BP326" i="1"/>
  <c r="BN263" i="1"/>
  <c r="BS310" i="1"/>
  <c r="AH257" i="1"/>
  <c r="AJ262" i="1"/>
  <c r="AO310" i="1"/>
  <c r="BX317" i="1"/>
  <c r="AR277" i="1"/>
  <c r="AY325" i="1"/>
  <c r="CA197" i="1"/>
  <c r="AJ275" i="1"/>
  <c r="BD302" i="1"/>
  <c r="BS193" i="1"/>
  <c r="BD266" i="1"/>
  <c r="BN295" i="1"/>
  <c r="BN315" i="1"/>
  <c r="BN323" i="1"/>
  <c r="BX319" i="1"/>
  <c r="BX150" i="1" s="1"/>
  <c r="BY150" i="1" s="1"/>
  <c r="BN321" i="1"/>
  <c r="BS324" i="1"/>
  <c r="BS155" i="1" s="1"/>
  <c r="BT155" i="1" s="1"/>
  <c r="BA326" i="1"/>
  <c r="AJ295" i="1"/>
  <c r="AJ296" i="1" s="1"/>
  <c r="BS314" i="1"/>
  <c r="BS145" i="1" s="1"/>
  <c r="BT145" i="1" s="1"/>
  <c r="AT254" i="1"/>
  <c r="BN256" i="1"/>
  <c r="BN265" i="1"/>
  <c r="AJ270" i="1"/>
  <c r="BI276" i="1"/>
  <c r="AO300" i="1"/>
  <c r="CC300" i="1"/>
  <c r="BS301" i="1"/>
  <c r="BI302" i="1"/>
  <c r="AT310" i="1"/>
  <c r="AY323" i="1"/>
  <c r="BS265" i="1"/>
  <c r="BA272" i="1"/>
  <c r="AY266" i="1"/>
  <c r="BD301" i="1"/>
  <c r="CC310" i="1"/>
  <c r="BQ103" i="1"/>
  <c r="BQ103" i="5" s="1"/>
  <c r="BD299" i="1"/>
  <c r="AN197" i="1"/>
  <c r="AG305" i="1"/>
  <c r="AO194" i="1"/>
  <c r="BI192" i="1"/>
  <c r="AJ216" i="1"/>
  <c r="BN215" i="1"/>
  <c r="AT215" i="1"/>
  <c r="BX213" i="1"/>
  <c r="BD213" i="1"/>
  <c r="AJ213" i="1"/>
  <c r="BN212" i="1"/>
  <c r="AT212" i="1"/>
  <c r="BX211" i="1"/>
  <c r="BD211" i="1"/>
  <c r="AJ211" i="1"/>
  <c r="BN210" i="1"/>
  <c r="AT210" i="1"/>
  <c r="BX209" i="1"/>
  <c r="BD209" i="1"/>
  <c r="AJ209" i="1"/>
  <c r="BN208" i="1"/>
  <c r="AT208" i="1"/>
  <c r="BN206" i="1"/>
  <c r="AT206" i="1"/>
  <c r="BX202" i="1"/>
  <c r="BD202" i="1"/>
  <c r="AJ202" i="1"/>
  <c r="BN201" i="1"/>
  <c r="AT201" i="1"/>
  <c r="BD196" i="1"/>
  <c r="AT193" i="1"/>
  <c r="BX195" i="1"/>
  <c r="CC270" i="1"/>
  <c r="CC101" i="1" s="1"/>
  <c r="BX316" i="1"/>
  <c r="BX147" i="1" s="1"/>
  <c r="BY147" i="1" s="1"/>
  <c r="AO329" i="1"/>
  <c r="BC203" i="1"/>
  <c r="BS194" i="1"/>
  <c r="BN195" i="1"/>
  <c r="BD315" i="1"/>
  <c r="BX318" i="1"/>
  <c r="BX149" i="1" s="1"/>
  <c r="BY149" i="1" s="1"/>
  <c r="BD314" i="1"/>
  <c r="BS192" i="1"/>
  <c r="BX196" i="1"/>
  <c r="BN192" i="1"/>
  <c r="BS266" i="1"/>
  <c r="BS97" i="1" s="1"/>
  <c r="BX320" i="1"/>
  <c r="BX151" i="1" s="1"/>
  <c r="BY151" i="1" s="1"/>
  <c r="BD324" i="1"/>
  <c r="BG326" i="1"/>
  <c r="BR197" i="1"/>
  <c r="BW203" i="1"/>
  <c r="BM203" i="1"/>
  <c r="AS203" i="1"/>
  <c r="AS197" i="1"/>
  <c r="BW197" i="1"/>
  <c r="AX197" i="1"/>
  <c r="AJ250" i="1"/>
  <c r="BN249" i="1"/>
  <c r="AT249" i="1"/>
  <c r="BX248" i="1"/>
  <c r="BD248" i="1"/>
  <c r="AJ248" i="1"/>
  <c r="AT247" i="1"/>
  <c r="AJ246" i="1"/>
  <c r="BN222" i="1"/>
  <c r="AT222" i="1"/>
  <c r="BN217" i="1"/>
  <c r="AT217" i="1"/>
  <c r="BX216" i="1"/>
  <c r="BD216" i="1"/>
  <c r="AY196" i="1"/>
  <c r="BD192" i="1"/>
  <c r="BQ257" i="1"/>
  <c r="CC264" i="1"/>
  <c r="CC95" i="1" s="1"/>
  <c r="BQ126" i="1"/>
  <c r="BB305" i="1"/>
  <c r="AY330" i="1"/>
  <c r="AR218" i="1"/>
  <c r="BL218" i="1"/>
  <c r="AH218" i="1"/>
  <c r="BL257" i="1"/>
  <c r="BV103" i="1"/>
  <c r="BV873" i="7" s="1"/>
  <c r="BQ305" i="1"/>
  <c r="BQ136" i="1" s="1"/>
  <c r="BB197" i="1"/>
  <c r="CB197" i="1"/>
  <c r="CC195" i="1"/>
  <c r="BN193" i="1"/>
  <c r="AI197" i="1"/>
  <c r="BH197" i="1"/>
  <c r="AN203" i="1"/>
  <c r="AH326" i="1"/>
  <c r="BS196" i="1"/>
  <c r="BX192" i="1"/>
  <c r="BS295" i="1"/>
  <c r="BS126" i="1" s="1"/>
  <c r="BL331" i="1"/>
  <c r="BN275" i="1"/>
  <c r="BN314" i="1"/>
  <c r="CA218" i="1"/>
  <c r="AW218" i="1"/>
  <c r="BQ218" i="1"/>
  <c r="AM218" i="1"/>
  <c r="CA326" i="1"/>
  <c r="BQ331" i="1"/>
  <c r="BQ162" i="1" s="1"/>
  <c r="AT256" i="1"/>
  <c r="AR257" i="1"/>
  <c r="BN261" i="1"/>
  <c r="BL272" i="1"/>
  <c r="BI314" i="1"/>
  <c r="BQ154" i="1"/>
  <c r="BQ157" i="1" s="1"/>
  <c r="BS323" i="1"/>
  <c r="BS154" i="1" s="1"/>
  <c r="BI264" i="1"/>
  <c r="AR197" i="1"/>
  <c r="BV277" i="1"/>
  <c r="BL305" i="1"/>
  <c r="BN300" i="1"/>
  <c r="BV146" i="1"/>
  <c r="BV157" i="1" s="1"/>
  <c r="BX315" i="1"/>
  <c r="BI329" i="1"/>
  <c r="BG331" i="1"/>
  <c r="AT304" i="1"/>
  <c r="AR305" i="1"/>
  <c r="BD320" i="1"/>
  <c r="CC192" i="1"/>
  <c r="BI270" i="1"/>
  <c r="AW296" i="1"/>
  <c r="AY295" i="1"/>
  <c r="AY296" i="1" s="1"/>
  <c r="BN316" i="1"/>
  <c r="AM311" i="1"/>
  <c r="BI325" i="1"/>
  <c r="BN196" i="1"/>
  <c r="AR326" i="1"/>
  <c r="BD323" i="1"/>
  <c r="BV305" i="1"/>
  <c r="BV136" i="1" s="1"/>
  <c r="AJ317" i="1"/>
  <c r="AR272" i="1"/>
  <c r="AM277" i="1"/>
  <c r="AO275" i="1"/>
  <c r="CA277" i="1"/>
  <c r="BB296" i="1"/>
  <c r="BD295" i="1"/>
  <c r="CA146" i="1"/>
  <c r="CC315" i="1"/>
  <c r="CC146" i="1" s="1"/>
  <c r="CA151" i="1"/>
  <c r="CC320" i="1"/>
  <c r="CC151" i="1" s="1"/>
  <c r="BX329" i="1"/>
  <c r="BV331" i="1"/>
  <c r="BV162" i="1" s="1"/>
  <c r="AH277" i="1"/>
  <c r="BC197" i="1"/>
  <c r="BD195" i="1"/>
  <c r="BD193" i="1"/>
  <c r="AJ193" i="1"/>
  <c r="BI196" i="1"/>
  <c r="CC194" i="1"/>
  <c r="AY193" i="1"/>
  <c r="AT216" i="1"/>
  <c r="BX215" i="1"/>
  <c r="BD215" i="1"/>
  <c r="AJ215" i="1"/>
  <c r="BN213" i="1"/>
  <c r="AT213" i="1"/>
  <c r="BX212" i="1"/>
  <c r="BD212" i="1"/>
  <c r="AJ212" i="1"/>
  <c r="BN211" i="1"/>
  <c r="AT211" i="1"/>
  <c r="BX210" i="1"/>
  <c r="BD210" i="1"/>
  <c r="AJ210" i="1"/>
  <c r="BN209" i="1"/>
  <c r="AT209" i="1"/>
  <c r="BX208" i="1"/>
  <c r="BD208" i="1"/>
  <c r="AJ208" i="1"/>
  <c r="BX206" i="1"/>
  <c r="BD206" i="1"/>
  <c r="AJ206" i="1"/>
  <c r="BN202" i="1"/>
  <c r="AT202" i="1"/>
  <c r="BX201" i="1"/>
  <c r="BD201" i="1"/>
  <c r="AJ201" i="1"/>
  <c r="AO193" i="1"/>
  <c r="AJ194" i="1"/>
  <c r="BB218" i="1"/>
  <c r="BV218" i="1"/>
  <c r="AW305" i="1"/>
  <c r="BX193" i="1"/>
  <c r="BS217" i="1"/>
  <c r="AY217" i="1"/>
  <c r="CC216" i="1"/>
  <c r="BI216" i="1"/>
  <c r="CC196" i="1"/>
  <c r="AY195" i="1"/>
  <c r="AO192" i="1"/>
  <c r="CC206" i="1"/>
  <c r="BI206" i="1"/>
  <c r="AO206" i="1"/>
  <c r="BS202" i="1"/>
  <c r="AY202" i="1"/>
  <c r="CC201" i="1"/>
  <c r="BI201" i="1"/>
  <c r="AO201" i="1"/>
  <c r="BI193" i="1"/>
  <c r="AJ196" i="1"/>
  <c r="BG311" i="1"/>
  <c r="CA311" i="1"/>
  <c r="CA142" i="1" s="1"/>
  <c r="BQ197" i="1"/>
  <c r="AW197" i="1"/>
  <c r="AR311" i="1"/>
  <c r="BL311" i="1"/>
  <c r="AW326" i="1"/>
  <c r="AM326" i="1"/>
  <c r="AR331" i="1"/>
  <c r="AW257" i="1"/>
  <c r="AR251" i="1"/>
  <c r="BL197" i="1"/>
  <c r="BG197" i="1"/>
  <c r="AM197" i="1"/>
  <c r="BV326" i="1"/>
  <c r="BQ272" i="1"/>
  <c r="AW272" i="1"/>
  <c r="BV76" i="1"/>
  <c r="BV82" i="1" s="1"/>
  <c r="BV82" i="5" s="1"/>
  <c r="BV251" i="1"/>
  <c r="BL251" i="1"/>
  <c r="BB251" i="1"/>
  <c r="AH251" i="1"/>
  <c r="BV223" i="1"/>
  <c r="BL223" i="1"/>
  <c r="BB223" i="1"/>
  <c r="AR223" i="1"/>
  <c r="AH223" i="1"/>
  <c r="BV203" i="1"/>
  <c r="BL203" i="1"/>
  <c r="BB203" i="1"/>
  <c r="AR203" i="1"/>
  <c r="AH203" i="1"/>
  <c r="BV197" i="1"/>
  <c r="AH197" i="1"/>
  <c r="BB257" i="1"/>
  <c r="AH272" i="1"/>
  <c r="AT194" i="1"/>
  <c r="AJ195" i="1"/>
  <c r="BN194" i="1"/>
  <c r="AT195" i="1"/>
  <c r="BD194" i="1"/>
  <c r="AJ192" i="1"/>
  <c r="BD187" i="1"/>
  <c r="BD188" i="1" s="1"/>
  <c r="BX264" i="1"/>
  <c r="BX95" i="1" s="1"/>
  <c r="BN266" i="1"/>
  <c r="BD270" i="1"/>
  <c r="BX270" i="1"/>
  <c r="BX101" i="1" s="1"/>
  <c r="BG277" i="1"/>
  <c r="AT295" i="1"/>
  <c r="AT296" i="1" s="1"/>
  <c r="AY299" i="1"/>
  <c r="AY315" i="1"/>
  <c r="BS261" i="1"/>
  <c r="BS315" i="1"/>
  <c r="BS146" i="1" s="1"/>
  <c r="BI316" i="1"/>
  <c r="CC316" i="1"/>
  <c r="CC147" i="1" s="1"/>
  <c r="CD147" i="1" s="1"/>
  <c r="BS320" i="1"/>
  <c r="BS151" i="1" s="1"/>
  <c r="BT151" i="1" s="1"/>
  <c r="BS318" i="1"/>
  <c r="BS149" i="1" s="1"/>
  <c r="BT149" i="1" s="1"/>
  <c r="BI319" i="1"/>
  <c r="CC319" i="1"/>
  <c r="CC150" i="1" s="1"/>
  <c r="CD150" i="1" s="1"/>
  <c r="BD325" i="1"/>
  <c r="BX325" i="1"/>
  <c r="BX156" i="1" s="1"/>
  <c r="BY156" i="1" s="1"/>
  <c r="BI321" i="1"/>
  <c r="CC321" i="1"/>
  <c r="CC152" i="1" s="1"/>
  <c r="CD152" i="1" s="1"/>
  <c r="BI324" i="1"/>
  <c r="CC324" i="1"/>
  <c r="CC155" i="1" s="1"/>
  <c r="CD155" i="1" s="1"/>
  <c r="BB272" i="1"/>
  <c r="BV272" i="1"/>
  <c r="BS299" i="1"/>
  <c r="BN308" i="1"/>
  <c r="BQ326" i="1"/>
  <c r="BX255" i="1"/>
  <c r="BV257" i="1"/>
  <c r="AW277" i="1"/>
  <c r="BQ277" i="1"/>
  <c r="AM305" i="1"/>
  <c r="BG305" i="1"/>
  <c r="CA305" i="1"/>
  <c r="CA136" i="1" s="1"/>
  <c r="AH311" i="1"/>
  <c r="BV311" i="1"/>
  <c r="BV142" i="1" s="1"/>
  <c r="BB311" i="1"/>
  <c r="BL326" i="1"/>
  <c r="BB326" i="1"/>
  <c r="AH331" i="1"/>
  <c r="CA272" i="1"/>
  <c r="BG272" i="1"/>
  <c r="AM272" i="1"/>
  <c r="CA257" i="1"/>
  <c r="BG257" i="1"/>
  <c r="AM257" i="1"/>
  <c r="CA76" i="1"/>
  <c r="CA82" i="1" s="1"/>
  <c r="CA251" i="1"/>
  <c r="BQ76" i="1"/>
  <c r="BQ82" i="1" s="1"/>
  <c r="BQ82" i="5" s="1"/>
  <c r="BQ251" i="1"/>
  <c r="BG251" i="1"/>
  <c r="AW251" i="1"/>
  <c r="AM251" i="1"/>
  <c r="CA223" i="1"/>
  <c r="BQ223" i="1"/>
  <c r="BG223" i="1"/>
  <c r="AW223" i="1"/>
  <c r="AM223" i="1"/>
  <c r="CA203" i="1"/>
  <c r="BQ203" i="1"/>
  <c r="BG203" i="1"/>
  <c r="AW203" i="1"/>
  <c r="AM203" i="1"/>
  <c r="AJ191" i="1"/>
  <c r="AG197" i="1"/>
  <c r="BN250" i="1"/>
  <c r="BU78" i="1"/>
  <c r="BX247" i="1"/>
  <c r="BX78" i="1" s="1"/>
  <c r="BD247" i="1"/>
  <c r="BN246" i="1"/>
  <c r="BU76" i="1"/>
  <c r="BX245" i="1"/>
  <c r="BU251" i="1"/>
  <c r="BD245" i="1"/>
  <c r="BA251" i="1"/>
  <c r="AJ245" i="1"/>
  <c r="AG251" i="1"/>
  <c r="BN241" i="1"/>
  <c r="BN242" i="1" s="1"/>
  <c r="BK242" i="1"/>
  <c r="AT241" i="1"/>
  <c r="AT242" i="1" s="1"/>
  <c r="AQ242" i="1"/>
  <c r="BN221" i="1"/>
  <c r="BK223" i="1"/>
  <c r="AT221" i="1"/>
  <c r="AQ223" i="1"/>
  <c r="BX187" i="1"/>
  <c r="BX188" i="1" s="1"/>
  <c r="BU188" i="1"/>
  <c r="BS187" i="1"/>
  <c r="BS188" i="1" s="1"/>
  <c r="BP188" i="1"/>
  <c r="BU218" i="1"/>
  <c r="BX207" i="1"/>
  <c r="BD207" i="1"/>
  <c r="BA218" i="1"/>
  <c r="AJ207" i="1"/>
  <c r="AG218" i="1"/>
  <c r="BX200" i="1"/>
  <c r="BU203" i="1"/>
  <c r="BD200" i="1"/>
  <c r="BA203" i="1"/>
  <c r="AJ200" i="1"/>
  <c r="AG203" i="1"/>
  <c r="CC187" i="1"/>
  <c r="CC188" i="1" s="1"/>
  <c r="BZ188" i="1"/>
  <c r="BN191" i="1"/>
  <c r="BK197" i="1"/>
  <c r="BP78" i="1"/>
  <c r="BS247" i="1"/>
  <c r="BS78" i="1" s="1"/>
  <c r="CC241" i="1"/>
  <c r="CC242" i="1" s="1"/>
  <c r="BZ242" i="1"/>
  <c r="CC221" i="1"/>
  <c r="BZ223" i="1"/>
  <c r="AO221" i="1"/>
  <c r="AL223" i="1"/>
  <c r="AY187" i="1"/>
  <c r="AY188" i="1" s="1"/>
  <c r="AV188" i="1"/>
  <c r="AY207" i="1"/>
  <c r="AV218" i="1"/>
  <c r="BS200" i="1"/>
  <c r="BP203" i="1"/>
  <c r="AY200" i="1"/>
  <c r="AV203" i="1"/>
  <c r="CC191" i="1"/>
  <c r="BZ197" i="1"/>
  <c r="BI187" i="1"/>
  <c r="BI188" i="1" s="1"/>
  <c r="BF188" i="1"/>
  <c r="AT191" i="1"/>
  <c r="AQ197" i="1"/>
  <c r="BI250" i="1"/>
  <c r="BZ77" i="1"/>
  <c r="CC246" i="1"/>
  <c r="CC77" i="1" s="1"/>
  <c r="BI246" i="1"/>
  <c r="BP76" i="1"/>
  <c r="BS245" i="1"/>
  <c r="BP251" i="1"/>
  <c r="AY245" i="1"/>
  <c r="AV251" i="1"/>
  <c r="BI241" i="1"/>
  <c r="BI242" i="1" s="1"/>
  <c r="BF242" i="1"/>
  <c r="AO241" i="1"/>
  <c r="AO242" i="1" s="1"/>
  <c r="AL242" i="1"/>
  <c r="BI221" i="1"/>
  <c r="BF223" i="1"/>
  <c r="BS207" i="1"/>
  <c r="BP218" i="1"/>
  <c r="BU81" i="1"/>
  <c r="BX250" i="1"/>
  <c r="BX81" i="1" s="1"/>
  <c r="BD250" i="1"/>
  <c r="BN247" i="1"/>
  <c r="BU77" i="1"/>
  <c r="BX246" i="1"/>
  <c r="BX77" i="1" s="1"/>
  <c r="BD246" i="1"/>
  <c r="BN245" i="1"/>
  <c r="BK251" i="1"/>
  <c r="AT245" i="1"/>
  <c r="AQ251" i="1"/>
  <c r="BX241" i="1"/>
  <c r="BX242" i="1" s="1"/>
  <c r="BU242" i="1"/>
  <c r="BD241" i="1"/>
  <c r="BD242" i="1" s="1"/>
  <c r="BA242" i="1"/>
  <c r="AJ241" i="1"/>
  <c r="AJ242" i="1" s="1"/>
  <c r="AG242" i="1"/>
  <c r="BX221" i="1"/>
  <c r="BU223" i="1"/>
  <c r="BD221" i="1"/>
  <c r="BA223" i="1"/>
  <c r="AJ221" i="1"/>
  <c r="AG223" i="1"/>
  <c r="BS191" i="1"/>
  <c r="BP197" i="1"/>
  <c r="BN207" i="1"/>
  <c r="BK218" i="1"/>
  <c r="AT207" i="1"/>
  <c r="AQ218" i="1"/>
  <c r="BN200" i="1"/>
  <c r="BK203" i="1"/>
  <c r="AT200" i="1"/>
  <c r="AQ203" i="1"/>
  <c r="BI191" i="1"/>
  <c r="BF197" i="1"/>
  <c r="AO187" i="1"/>
  <c r="AO188" i="1" s="1"/>
  <c r="AL188" i="1"/>
  <c r="BN187" i="1"/>
  <c r="BN188" i="1" s="1"/>
  <c r="BK188" i="1"/>
  <c r="BP81" i="1"/>
  <c r="BS250" i="1"/>
  <c r="BS81" i="1" s="1"/>
  <c r="BZ78" i="1"/>
  <c r="CC247" i="1"/>
  <c r="CC78" i="1" s="1"/>
  <c r="BI247" i="1"/>
  <c r="BP77" i="1"/>
  <c r="BS246" i="1"/>
  <c r="BS77" i="1" s="1"/>
  <c r="BZ76" i="1"/>
  <c r="CC245" i="1"/>
  <c r="BZ251" i="1"/>
  <c r="BI245" i="1"/>
  <c r="BF251" i="1"/>
  <c r="AO245" i="1"/>
  <c r="AL251" i="1"/>
  <c r="BS241" i="1"/>
  <c r="BS242" i="1" s="1"/>
  <c r="BP242" i="1"/>
  <c r="AY241" i="1"/>
  <c r="AY242" i="1" s="1"/>
  <c r="AV242" i="1"/>
  <c r="BS221" i="1"/>
  <c r="BP223" i="1"/>
  <c r="AY221" i="1"/>
  <c r="AV223" i="1"/>
  <c r="BX191" i="1"/>
  <c r="BU197" i="1"/>
  <c r="BD191" i="1"/>
  <c r="BA197" i="1"/>
  <c r="AY191" i="1"/>
  <c r="AV197" i="1"/>
  <c r="CC207" i="1"/>
  <c r="BZ218" i="1"/>
  <c r="BI207" i="1"/>
  <c r="BF218" i="1"/>
  <c r="AO207" i="1"/>
  <c r="AL218" i="1"/>
  <c r="CC200" i="1"/>
  <c r="BZ203" i="1"/>
  <c r="BI200" i="1"/>
  <c r="BF203" i="1"/>
  <c r="AO200" i="1"/>
  <c r="AL203" i="1"/>
  <c r="AO191" i="1"/>
  <c r="AL197" i="1"/>
  <c r="AT187" i="1"/>
  <c r="AT188" i="1" s="1"/>
  <c r="AQ188" i="1"/>
  <c r="BU19" i="1"/>
  <c r="BU18" i="5"/>
  <c r="BU126" i="5" s="1"/>
  <c r="BW19" i="1"/>
  <c r="BW18" i="5"/>
  <c r="BW126" i="5" s="1"/>
  <c r="BW818" i="7"/>
  <c r="BW873" i="7"/>
  <c r="BW103" i="5"/>
  <c r="AJ331" i="1" l="1"/>
  <c r="CA127" i="1"/>
  <c r="CA394" i="1" s="1"/>
  <c r="BK394" i="1"/>
  <c r="CB49" i="1"/>
  <c r="CB49" i="5" s="1"/>
  <c r="CB157" i="5" s="1"/>
  <c r="CA19" i="1"/>
  <c r="CA236" i="7" s="1"/>
  <c r="BU34" i="1"/>
  <c r="BU34" i="5" s="1"/>
  <c r="BU142" i="5" s="1"/>
  <c r="BW34" i="1"/>
  <c r="BW341" i="7" s="1"/>
  <c r="BW348" i="7" s="1"/>
  <c r="BW326" i="7" s="1"/>
  <c r="BZ34" i="1"/>
  <c r="BZ341" i="7" s="1"/>
  <c r="BZ348" i="7" s="1"/>
  <c r="BR34" i="1"/>
  <c r="BR341" i="7" s="1"/>
  <c r="BR348" i="7" s="1"/>
  <c r="BR326" i="7" s="1"/>
  <c r="BQ396" i="1"/>
  <c r="BP34" i="1"/>
  <c r="BP34" i="5" s="1"/>
  <c r="BP142" i="5" s="1"/>
  <c r="BK396" i="1"/>
  <c r="BW398" i="1"/>
  <c r="BR398" i="1"/>
  <c r="BP54" i="1"/>
  <c r="BP54" i="5" s="1"/>
  <c r="BP162" i="5" s="1"/>
  <c r="CB54" i="1"/>
  <c r="CB483" i="7" s="1"/>
  <c r="CB484" i="7" s="1"/>
  <c r="BU54" i="1"/>
  <c r="BU54" i="5" s="1"/>
  <c r="BU162" i="5" s="1"/>
  <c r="BZ54" i="1"/>
  <c r="BZ483" i="7" s="1"/>
  <c r="BZ490" i="7" s="1"/>
  <c r="CA395" i="1"/>
  <c r="BZ395" i="1"/>
  <c r="BU395" i="1"/>
  <c r="CB395" i="1"/>
  <c r="BQ395" i="1"/>
  <c r="BW395" i="1"/>
  <c r="BV395" i="1"/>
  <c r="BR395" i="1"/>
  <c r="BM395" i="1"/>
  <c r="BL395" i="1"/>
  <c r="BI331" i="1"/>
  <c r="CB19" i="1"/>
  <c r="CB19" i="5" s="1"/>
  <c r="BW394" i="1"/>
  <c r="CB82" i="5"/>
  <c r="CB110" i="5" s="1"/>
  <c r="BZ873" i="7"/>
  <c r="BZ874" i="7" s="1"/>
  <c r="BQ818" i="7"/>
  <c r="BQ825" i="7" s="1"/>
  <c r="BQ800" i="7" s="1"/>
  <c r="BU396" i="1"/>
  <c r="BR54" i="1"/>
  <c r="BR54" i="5" s="1"/>
  <c r="BR162" i="5" s="1"/>
  <c r="CB110" i="1"/>
  <c r="BM394" i="1"/>
  <c r="BR703" i="7"/>
  <c r="CA873" i="7"/>
  <c r="CA874" i="7" s="1"/>
  <c r="BP818" i="7"/>
  <c r="BP819" i="7" s="1"/>
  <c r="BS311" i="1"/>
  <c r="BS142" i="1" s="1"/>
  <c r="BP397" i="1"/>
  <c r="BM396" i="1"/>
  <c r="BW54" i="1"/>
  <c r="BW483" i="7" s="1"/>
  <c r="BW490" i="7" s="1"/>
  <c r="BW468" i="7" s="1"/>
  <c r="AO331" i="1"/>
  <c r="BP394" i="1"/>
  <c r="BM333" i="1"/>
  <c r="BM398" i="1"/>
  <c r="CB398" i="1"/>
  <c r="AO223" i="1"/>
  <c r="BW225" i="1"/>
  <c r="BI277" i="1"/>
  <c r="BU398" i="1"/>
  <c r="AN333" i="1"/>
  <c r="AN387" i="1" s="1"/>
  <c r="AN388" i="1" s="1"/>
  <c r="AT277" i="1"/>
  <c r="AO277" i="1"/>
  <c r="BU394" i="1"/>
  <c r="BD296" i="1"/>
  <c r="BD223" i="1"/>
  <c r="BN331" i="1"/>
  <c r="BS331" i="1"/>
  <c r="BS162" i="1" s="1"/>
  <c r="BP49" i="1"/>
  <c r="BP49" i="5" s="1"/>
  <c r="CB818" i="7"/>
  <c r="CB825" i="7" s="1"/>
  <c r="CB800" i="7" s="1"/>
  <c r="BN296" i="1"/>
  <c r="BX277" i="1"/>
  <c r="CA103" i="5"/>
  <c r="CB873" i="7"/>
  <c r="CB874" i="7" s="1"/>
  <c r="BS223" i="1"/>
  <c r="CA110" i="1"/>
  <c r="BX257" i="1"/>
  <c r="BI311" i="1"/>
  <c r="BS257" i="1"/>
  <c r="BW279" i="1"/>
  <c r="CC305" i="1"/>
  <c r="CC136" i="1" s="1"/>
  <c r="CB396" i="1"/>
  <c r="CB34" i="1"/>
  <c r="AX225" i="1"/>
  <c r="BD331" i="1"/>
  <c r="AT331" i="1"/>
  <c r="BX305" i="1"/>
  <c r="BX136" i="1" s="1"/>
  <c r="BP103" i="5"/>
  <c r="CC223" i="1"/>
  <c r="BZ397" i="1"/>
  <c r="BW28" i="1"/>
  <c r="BW289" i="7" s="1"/>
  <c r="AY223" i="1"/>
  <c r="BP396" i="1"/>
  <c r="BX331" i="1"/>
  <c r="BX162" i="1" s="1"/>
  <c r="BC333" i="1"/>
  <c r="BR279" i="1"/>
  <c r="AX333" i="1"/>
  <c r="AX172" i="5" s="1"/>
  <c r="AY311" i="1"/>
  <c r="BI223" i="1"/>
  <c r="AY257" i="1"/>
  <c r="BX311" i="1"/>
  <c r="BX142" i="1" s="1"/>
  <c r="BD277" i="1"/>
  <c r="BM279" i="1"/>
  <c r="AO257" i="1"/>
  <c r="BC279" i="1"/>
  <c r="CB279" i="1"/>
  <c r="BH279" i="1"/>
  <c r="CA703" i="7"/>
  <c r="CA82" i="5"/>
  <c r="CB164" i="1"/>
  <c r="CB165" i="1" s="1"/>
  <c r="BU333" i="1"/>
  <c r="BU172" i="5" s="1"/>
  <c r="BQ873" i="7"/>
  <c r="BQ880" i="7" s="1"/>
  <c r="BU818" i="7"/>
  <c r="BU819" i="7" s="1"/>
  <c r="BH225" i="1"/>
  <c r="BN257" i="1"/>
  <c r="BA333" i="1"/>
  <c r="CC257" i="1"/>
  <c r="BR103" i="5"/>
  <c r="BR110" i="5" s="1"/>
  <c r="BU397" i="1"/>
  <c r="BU103" i="5"/>
  <c r="BS296" i="1"/>
  <c r="BS305" i="1"/>
  <c r="BS136" i="1" s="1"/>
  <c r="BT154" i="1"/>
  <c r="AS279" i="1"/>
  <c r="AI279" i="1"/>
  <c r="BU49" i="1"/>
  <c r="BU431" i="7" s="1"/>
  <c r="BU164" i="1"/>
  <c r="BU165" i="1" s="1"/>
  <c r="AO251" i="1"/>
  <c r="BQ49" i="1"/>
  <c r="BQ431" i="7" s="1"/>
  <c r="BI257" i="1"/>
  <c r="BW34" i="5"/>
  <c r="BW142" i="5" s="1"/>
  <c r="BV703" i="7"/>
  <c r="BW703" i="7"/>
  <c r="BZ103" i="5"/>
  <c r="BV19" i="1"/>
  <c r="BV19" i="5" s="1"/>
  <c r="BP333" i="1"/>
  <c r="BP172" i="5" s="1"/>
  <c r="AT257" i="1"/>
  <c r="BS103" i="1"/>
  <c r="BS818" i="7" s="1"/>
  <c r="AO311" i="1"/>
  <c r="BQ34" i="1"/>
  <c r="BQ34" i="5" s="1"/>
  <c r="BQ142" i="5" s="1"/>
  <c r="AQ333" i="1"/>
  <c r="AQ172" i="5" s="1"/>
  <c r="AQ173" i="5" s="1"/>
  <c r="BD311" i="1"/>
  <c r="BR397" i="1"/>
  <c r="BR28" i="1"/>
  <c r="BR289" i="7" s="1"/>
  <c r="BW164" i="1"/>
  <c r="BW165" i="1" s="1"/>
  <c r="BR873" i="7"/>
  <c r="BR880" i="7" s="1"/>
  <c r="BW82" i="5"/>
  <c r="BW110" i="5" s="1"/>
  <c r="BR110" i="1"/>
  <c r="BH333" i="1"/>
  <c r="BV127" i="1"/>
  <c r="BV394" i="1" s="1"/>
  <c r="BW396" i="1"/>
  <c r="BW110" i="1"/>
  <c r="BN305" i="1"/>
  <c r="CC311" i="1"/>
  <c r="CC142" i="1" s="1"/>
  <c r="AJ277" i="1"/>
  <c r="AY277" i="1"/>
  <c r="BZ49" i="1"/>
  <c r="BZ431" i="7" s="1"/>
  <c r="AX279" i="1"/>
  <c r="BW333" i="1"/>
  <c r="BW172" i="5" s="1"/>
  <c r="BR396" i="1"/>
  <c r="AI333" i="1"/>
  <c r="AI387" i="1" s="1"/>
  <c r="CC277" i="1"/>
  <c r="BD257" i="1"/>
  <c r="AN279" i="1"/>
  <c r="AJ305" i="1"/>
  <c r="AL333" i="1"/>
  <c r="AL387" i="1" s="1"/>
  <c r="AL388" i="1" s="1"/>
  <c r="AV333" i="1"/>
  <c r="AV172" i="5" s="1"/>
  <c r="AT326" i="1"/>
  <c r="BK333" i="1"/>
  <c r="BN203" i="1"/>
  <c r="BN311" i="1"/>
  <c r="BM225" i="1"/>
  <c r="CC103" i="1"/>
  <c r="CC873" i="7" s="1"/>
  <c r="CC874" i="7" s="1"/>
  <c r="BK397" i="1"/>
  <c r="BR333" i="1"/>
  <c r="BR172" i="5" s="1"/>
  <c r="AS333" i="1"/>
  <c r="AS387" i="1" s="1"/>
  <c r="AS388" i="1" s="1"/>
  <c r="CB225" i="1"/>
  <c r="AO272" i="1"/>
  <c r="AJ257" i="1"/>
  <c r="CB397" i="1"/>
  <c r="AO326" i="1"/>
  <c r="AY331" i="1"/>
  <c r="BR225" i="1"/>
  <c r="AT272" i="1"/>
  <c r="CC331" i="1"/>
  <c r="CC162" i="1" s="1"/>
  <c r="AY326" i="1"/>
  <c r="BZ333" i="1"/>
  <c r="BZ172" i="5" s="1"/>
  <c r="BI305" i="1"/>
  <c r="BW397" i="1"/>
  <c r="AJ223" i="1"/>
  <c r="BQ28" i="1"/>
  <c r="BQ28" i="5" s="1"/>
  <c r="BQ136" i="5" s="1"/>
  <c r="BF333" i="1"/>
  <c r="AT305" i="1"/>
  <c r="CB28" i="1"/>
  <c r="CB289" i="7" s="1"/>
  <c r="AY305" i="1"/>
  <c r="BN277" i="1"/>
  <c r="AT311" i="1"/>
  <c r="AO305" i="1"/>
  <c r="AO203" i="1"/>
  <c r="AY251" i="1"/>
  <c r="BX126" i="1"/>
  <c r="BY126" i="1" s="1"/>
  <c r="BL333" i="1"/>
  <c r="CB333" i="1"/>
  <c r="CB172" i="5" s="1"/>
  <c r="BP398" i="1"/>
  <c r="BS277" i="1"/>
  <c r="BN272" i="1"/>
  <c r="CC272" i="1"/>
  <c r="AJ311" i="1"/>
  <c r="AS225" i="1"/>
  <c r="BI296" i="1"/>
  <c r="CC296" i="1"/>
  <c r="AJ203" i="1"/>
  <c r="BV28" i="1"/>
  <c r="AW333" i="1"/>
  <c r="AW387" i="1" s="1"/>
  <c r="AW388" i="1" s="1"/>
  <c r="BZ396" i="1"/>
  <c r="BR18" i="1"/>
  <c r="BR127" i="1"/>
  <c r="BS203" i="1"/>
  <c r="BP164" i="1"/>
  <c r="BP165" i="1" s="1"/>
  <c r="AJ326" i="1"/>
  <c r="AG333" i="1"/>
  <c r="AG387" i="1" s="1"/>
  <c r="AJ272" i="1"/>
  <c r="AY272" i="1"/>
  <c r="AO218" i="1"/>
  <c r="CC218" i="1"/>
  <c r="BD203" i="1"/>
  <c r="BN223" i="1"/>
  <c r="AI225" i="1"/>
  <c r="BD305" i="1"/>
  <c r="BV103" i="5"/>
  <c r="BV110" i="5" s="1"/>
  <c r="BN218" i="1"/>
  <c r="BX223" i="1"/>
  <c r="AT251" i="1"/>
  <c r="AY218" i="1"/>
  <c r="BN326" i="1"/>
  <c r="BP19" i="1"/>
  <c r="BP236" i="7" s="1"/>
  <c r="BV818" i="7"/>
  <c r="BV819" i="7" s="1"/>
  <c r="BV110" i="1"/>
  <c r="AT197" i="1"/>
  <c r="AM333" i="1"/>
  <c r="AM387" i="1" s="1"/>
  <c r="AM388" i="1" s="1"/>
  <c r="BS272" i="1"/>
  <c r="BZ18" i="1"/>
  <c r="BZ127" i="1"/>
  <c r="AR333" i="1"/>
  <c r="AR172" i="5" s="1"/>
  <c r="AR173" i="5" s="1"/>
  <c r="BD272" i="1"/>
  <c r="BI203" i="1"/>
  <c r="AT223" i="1"/>
  <c r="BC225" i="1"/>
  <c r="AN225" i="1"/>
  <c r="BV49" i="1"/>
  <c r="BV431" i="7" s="1"/>
  <c r="BX326" i="1"/>
  <c r="BQ703" i="7"/>
  <c r="AQ225" i="1"/>
  <c r="BP279" i="1"/>
  <c r="BS197" i="1"/>
  <c r="CC197" i="1"/>
  <c r="BX218" i="1"/>
  <c r="BX146" i="1"/>
  <c r="BX157" i="1" s="1"/>
  <c r="CA28" i="1"/>
  <c r="CC203" i="1"/>
  <c r="BS218" i="1"/>
  <c r="BQ279" i="1"/>
  <c r="BQ333" i="1"/>
  <c r="BQ172" i="5" s="1"/>
  <c r="BQ110" i="1"/>
  <c r="BI272" i="1"/>
  <c r="AG279" i="1"/>
  <c r="BN197" i="1"/>
  <c r="BX203" i="1"/>
  <c r="AJ251" i="1"/>
  <c r="AJ197" i="1"/>
  <c r="AR279" i="1"/>
  <c r="CA157" i="1"/>
  <c r="CA164" i="1" s="1"/>
  <c r="CA165" i="1" s="1"/>
  <c r="BQ18" i="1"/>
  <c r="BQ127" i="1"/>
  <c r="BI218" i="1"/>
  <c r="AY197" i="1"/>
  <c r="BX197" i="1"/>
  <c r="AT203" i="1"/>
  <c r="AT218" i="1"/>
  <c r="BD218" i="1"/>
  <c r="CA34" i="1"/>
  <c r="CA396" i="1"/>
  <c r="AO197" i="1"/>
  <c r="BD197" i="1"/>
  <c r="BX272" i="1"/>
  <c r="BI197" i="1"/>
  <c r="AJ218" i="1"/>
  <c r="AY203" i="1"/>
  <c r="CA333" i="1"/>
  <c r="CA172" i="5" s="1"/>
  <c r="BL279" i="1"/>
  <c r="CD151" i="1"/>
  <c r="AM225" i="1"/>
  <c r="BG225" i="1"/>
  <c r="CA225" i="1"/>
  <c r="AM279" i="1"/>
  <c r="CA279" i="1"/>
  <c r="BV225" i="1"/>
  <c r="AR225" i="1"/>
  <c r="BL225" i="1"/>
  <c r="BS326" i="1"/>
  <c r="BX103" i="1"/>
  <c r="BX103" i="5" s="1"/>
  <c r="AH225" i="1"/>
  <c r="BB279" i="1"/>
  <c r="AW279" i="1"/>
  <c r="BV333" i="1"/>
  <c r="BV172" i="5" s="1"/>
  <c r="AW225" i="1"/>
  <c r="BQ225" i="1"/>
  <c r="AH279" i="1"/>
  <c r="BL396" i="1"/>
  <c r="AH333" i="1"/>
  <c r="BG279" i="1"/>
  <c r="BV397" i="1"/>
  <c r="BQ397" i="1"/>
  <c r="BB333" i="1"/>
  <c r="CC326" i="1"/>
  <c r="BI326" i="1"/>
  <c r="BG333" i="1"/>
  <c r="BD326" i="1"/>
  <c r="BV396" i="1"/>
  <c r="BV34" i="1"/>
  <c r="BV279" i="1"/>
  <c r="BB225" i="1"/>
  <c r="AG225" i="1"/>
  <c r="AL279" i="1"/>
  <c r="BK225" i="1"/>
  <c r="BA279" i="1"/>
  <c r="BV54" i="1"/>
  <c r="BV398" i="1"/>
  <c r="BS157" i="1"/>
  <c r="BT146" i="1"/>
  <c r="BZ82" i="1"/>
  <c r="BZ703" i="7" s="1"/>
  <c r="BU279" i="1"/>
  <c r="BQ54" i="1"/>
  <c r="BQ398" i="1"/>
  <c r="BL398" i="1"/>
  <c r="CD146" i="1"/>
  <c r="CC157" i="1"/>
  <c r="CA54" i="1"/>
  <c r="CA398" i="1"/>
  <c r="BA225" i="1"/>
  <c r="AV279" i="1"/>
  <c r="AL225" i="1"/>
  <c r="BF225" i="1"/>
  <c r="BZ279" i="1"/>
  <c r="BD251" i="1"/>
  <c r="BU82" i="1"/>
  <c r="BN251" i="1"/>
  <c r="BF279" i="1"/>
  <c r="BK395" i="1"/>
  <c r="BP225" i="1"/>
  <c r="AQ279" i="1"/>
  <c r="CC76" i="1"/>
  <c r="CC82" i="1" s="1"/>
  <c r="CC251" i="1"/>
  <c r="BS127" i="1"/>
  <c r="BT126" i="1"/>
  <c r="BS18" i="1"/>
  <c r="BS76" i="1"/>
  <c r="BS82" i="1" s="1"/>
  <c r="BS251" i="1"/>
  <c r="AV225" i="1"/>
  <c r="CC127" i="1"/>
  <c r="CD126" i="1"/>
  <c r="CC18" i="1"/>
  <c r="BI251" i="1"/>
  <c r="BP82" i="1"/>
  <c r="BP395" i="1"/>
  <c r="BZ225" i="1"/>
  <c r="BU225" i="1"/>
  <c r="BK279" i="1"/>
  <c r="BX76" i="1"/>
  <c r="BX82" i="1" s="1"/>
  <c r="BX251" i="1"/>
  <c r="CA819" i="7"/>
  <c r="CA825" i="7"/>
  <c r="CA800" i="7" s="1"/>
  <c r="BV874" i="7"/>
  <c r="BV880" i="7"/>
  <c r="BQ110" i="5"/>
  <c r="BR431" i="7"/>
  <c r="BR49" i="5"/>
  <c r="BR825" i="7"/>
  <c r="BR800" i="7" s="1"/>
  <c r="BR819" i="7"/>
  <c r="BW819" i="7"/>
  <c r="BW825" i="7"/>
  <c r="BW800" i="7" s="1"/>
  <c r="BW236" i="7"/>
  <c r="BW19" i="5"/>
  <c r="BU236" i="7"/>
  <c r="BU19" i="5"/>
  <c r="BP880" i="7"/>
  <c r="BP874" i="7"/>
  <c r="BW874" i="7"/>
  <c r="BW880" i="7"/>
  <c r="CB710" i="7"/>
  <c r="CB685" i="7" s="1"/>
  <c r="CB704" i="7"/>
  <c r="BZ825" i="7"/>
  <c r="BZ819" i="7"/>
  <c r="BU874" i="7"/>
  <c r="BU880" i="7"/>
  <c r="BW431" i="7"/>
  <c r="BW49" i="5"/>
  <c r="BW157" i="5" s="1"/>
  <c r="BK172" i="5" l="1"/>
  <c r="BK387" i="1"/>
  <c r="BK388" i="1" s="1"/>
  <c r="BL172" i="5"/>
  <c r="BL387" i="1"/>
  <c r="BL388" i="1" s="1"/>
  <c r="BM172" i="5"/>
  <c r="BM387" i="1"/>
  <c r="CB431" i="7"/>
  <c r="CB432" i="7" s="1"/>
  <c r="BP341" i="7"/>
  <c r="BP342" i="7" s="1"/>
  <c r="BP355" i="7" s="1"/>
  <c r="BO388" i="1"/>
  <c r="BF172" i="5"/>
  <c r="BF387" i="1"/>
  <c r="BF388" i="1" s="1"/>
  <c r="BG172" i="5"/>
  <c r="BG387" i="1"/>
  <c r="BG388" i="1" s="1"/>
  <c r="BH172" i="5"/>
  <c r="BH387" i="1"/>
  <c r="BH388" i="1" s="1"/>
  <c r="BM388" i="1"/>
  <c r="CB54" i="5"/>
  <c r="CB162" i="5" s="1"/>
  <c r="BZ54" i="5"/>
  <c r="BZ162" i="5" s="1"/>
  <c r="CA19" i="5"/>
  <c r="CA127" i="5" s="1"/>
  <c r="BZ544" i="7"/>
  <c r="BR34" i="5"/>
  <c r="BR142" i="5" s="1"/>
  <c r="BR342" i="7"/>
  <c r="BR352" i="7" s="1"/>
  <c r="BF165" i="1"/>
  <c r="CB490" i="7"/>
  <c r="CB468" i="7" s="1"/>
  <c r="CB510" i="7" s="1"/>
  <c r="BK165" i="1"/>
  <c r="BK338" i="1" s="1"/>
  <c r="BH165" i="1"/>
  <c r="BZ342" i="7"/>
  <c r="CB236" i="7"/>
  <c r="CB243" i="7" s="1"/>
  <c r="BZ484" i="7"/>
  <c r="BP483" i="7"/>
  <c r="BP484" i="7" s="1"/>
  <c r="BZ34" i="5"/>
  <c r="BZ142" i="5" s="1"/>
  <c r="BU341" i="7"/>
  <c r="BU342" i="7" s="1"/>
  <c r="BU352" i="7" s="1"/>
  <c r="BU483" i="7"/>
  <c r="BU484" i="7" s="1"/>
  <c r="BU494" i="7" s="1"/>
  <c r="BX34" i="1"/>
  <c r="BX341" i="7" s="1"/>
  <c r="CC34" i="1"/>
  <c r="CC34" i="5" s="1"/>
  <c r="CC142" i="5" s="1"/>
  <c r="BS396" i="1"/>
  <c r="BN396" i="1"/>
  <c r="BX54" i="1"/>
  <c r="BX483" i="7" s="1"/>
  <c r="BS398" i="1"/>
  <c r="CD162" i="1"/>
  <c r="CD398" i="1" s="1"/>
  <c r="BN398" i="1"/>
  <c r="CD136" i="1"/>
  <c r="CD395" i="1" s="1"/>
  <c r="BS395" i="1"/>
  <c r="BX395" i="1"/>
  <c r="BN395" i="1"/>
  <c r="BJ395" i="1"/>
  <c r="BT162" i="1"/>
  <c r="BX398" i="1"/>
  <c r="BY162" i="1"/>
  <c r="AX387" i="1"/>
  <c r="AX388" i="1" s="1"/>
  <c r="BS54" i="1"/>
  <c r="BS54" i="5" s="1"/>
  <c r="BS162" i="5" s="1"/>
  <c r="BR483" i="7"/>
  <c r="BR484" i="7" s="1"/>
  <c r="BR497" i="7" s="1"/>
  <c r="BY136" i="1"/>
  <c r="BX333" i="1"/>
  <c r="BX172" i="5" s="1"/>
  <c r="BW56" i="1"/>
  <c r="BW484" i="7"/>
  <c r="BW494" i="7" s="1"/>
  <c r="CA880" i="7"/>
  <c r="BU825" i="7"/>
  <c r="BU800" i="7" s="1"/>
  <c r="BZ880" i="7"/>
  <c r="CA544" i="7"/>
  <c r="CA551" i="7" s="1"/>
  <c r="CB880" i="7"/>
  <c r="BW54" i="5"/>
  <c r="BW162" i="5" s="1"/>
  <c r="BT142" i="1"/>
  <c r="BS34" i="1"/>
  <c r="BS341" i="7" s="1"/>
  <c r="BQ710" i="7"/>
  <c r="BQ685" i="7" s="1"/>
  <c r="BQ729" i="7" s="1"/>
  <c r="BQ544" i="7"/>
  <c r="BQ551" i="7" s="1"/>
  <c r="BV710" i="7"/>
  <c r="BV685" i="7" s="1"/>
  <c r="BV724" i="7" s="1"/>
  <c r="BV544" i="7"/>
  <c r="BV551" i="7" s="1"/>
  <c r="CB544" i="7"/>
  <c r="CB551" i="7" s="1"/>
  <c r="BW710" i="7"/>
  <c r="BW685" i="7" s="1"/>
  <c r="BW727" i="7" s="1"/>
  <c r="BW544" i="7"/>
  <c r="BR704" i="7"/>
  <c r="BR688" i="7" s="1"/>
  <c r="BR544" i="7"/>
  <c r="BP825" i="7"/>
  <c r="BP800" i="7" s="1"/>
  <c r="BR710" i="7"/>
  <c r="BR685" i="7" s="1"/>
  <c r="BR724" i="7" s="1"/>
  <c r="BQ819" i="7"/>
  <c r="BR874" i="7"/>
  <c r="BR777" i="7" s="1"/>
  <c r="BP431" i="7"/>
  <c r="BP438" i="7" s="1"/>
  <c r="AN172" i="5"/>
  <c r="AN173" i="5" s="1"/>
  <c r="CA704" i="7"/>
  <c r="CA714" i="7" s="1"/>
  <c r="BU49" i="5"/>
  <c r="BU157" i="5" s="1"/>
  <c r="BR28" i="5"/>
  <c r="BR136" i="5" s="1"/>
  <c r="CA710" i="7"/>
  <c r="CA685" i="7" s="1"/>
  <c r="CA724" i="7" s="1"/>
  <c r="BT136" i="1"/>
  <c r="CC395" i="1"/>
  <c r="AV387" i="1"/>
  <c r="AV388" i="1" s="1"/>
  <c r="BZ49" i="5"/>
  <c r="BZ157" i="5" s="1"/>
  <c r="BQ341" i="7"/>
  <c r="BQ348" i="7" s="1"/>
  <c r="BQ326" i="7" s="1"/>
  <c r="BQ363" i="7" s="1"/>
  <c r="CB819" i="7"/>
  <c r="BQ874" i="7"/>
  <c r="BQ774" i="7" s="1"/>
  <c r="BC172" i="5"/>
  <c r="BC387" i="1"/>
  <c r="BC388" i="1" s="1"/>
  <c r="BB172" i="5"/>
  <c r="BB387" i="1"/>
  <c r="BB388" i="1" s="1"/>
  <c r="BA172" i="5"/>
  <c r="BA387" i="1"/>
  <c r="BA388" i="1" s="1"/>
  <c r="BA165" i="1"/>
  <c r="BA166" i="1" s="1"/>
  <c r="BC165" i="1"/>
  <c r="BC166" i="1" s="1"/>
  <c r="CA110" i="5"/>
  <c r="BN333" i="1"/>
  <c r="BP157" i="5"/>
  <c r="AW172" i="5"/>
  <c r="BW28" i="5"/>
  <c r="BW136" i="5" s="1"/>
  <c r="BQ289" i="7"/>
  <c r="BQ296" i="7" s="1"/>
  <c r="BQ274" i="7" s="1"/>
  <c r="BQ278" i="7" s="1"/>
  <c r="AM172" i="5"/>
  <c r="AM173" i="5" s="1"/>
  <c r="BX127" i="1"/>
  <c r="BY127" i="1" s="1"/>
  <c r="CC396" i="1"/>
  <c r="BQ49" i="5"/>
  <c r="BQ157" i="5" s="1"/>
  <c r="BX18" i="1"/>
  <c r="BX19" i="1" s="1"/>
  <c r="CD142" i="1"/>
  <c r="BV164" i="1"/>
  <c r="BV165" i="1" s="1"/>
  <c r="CB56" i="1"/>
  <c r="AO279" i="1"/>
  <c r="BQ704" i="7"/>
  <c r="BQ717" i="7" s="1"/>
  <c r="AT279" i="1"/>
  <c r="CB341" i="7"/>
  <c r="CB34" i="5"/>
  <c r="CB142" i="5" s="1"/>
  <c r="BW290" i="7"/>
  <c r="BW296" i="7"/>
  <c r="BW274" i="7" s="1"/>
  <c r="BW316" i="7" s="1"/>
  <c r="BS279" i="1"/>
  <c r="BX396" i="1"/>
  <c r="BY142" i="1"/>
  <c r="CC103" i="5"/>
  <c r="CC818" i="7"/>
  <c r="CC819" i="7" s="1"/>
  <c r="BR157" i="5"/>
  <c r="BS819" i="7"/>
  <c r="BS825" i="7"/>
  <c r="BS800" i="7" s="1"/>
  <c r="BS839" i="7" s="1"/>
  <c r="BW704" i="7"/>
  <c r="BW688" i="7" s="1"/>
  <c r="BV704" i="7"/>
  <c r="BV688" i="7" s="1"/>
  <c r="AQ387" i="1"/>
  <c r="AQ388" i="1" s="1"/>
  <c r="CG388" i="1" s="1"/>
  <c r="BT157" i="1"/>
  <c r="AI172" i="5"/>
  <c r="AI173" i="5" s="1"/>
  <c r="BS873" i="7"/>
  <c r="BS874" i="7" s="1"/>
  <c r="BS777" i="7" s="1"/>
  <c r="CC880" i="7"/>
  <c r="CC333" i="1"/>
  <c r="CC172" i="5" s="1"/>
  <c r="BS103" i="5"/>
  <c r="AJ279" i="1"/>
  <c r="AR387" i="1"/>
  <c r="AR388" i="1" s="1"/>
  <c r="CH388" i="1" s="1"/>
  <c r="BI333" i="1"/>
  <c r="BS333" i="1"/>
  <c r="BS172" i="5" s="1"/>
  <c r="AJ333" i="1"/>
  <c r="AJ387" i="1" s="1"/>
  <c r="BV236" i="7"/>
  <c r="BV243" i="7" s="1"/>
  <c r="BW342" i="7"/>
  <c r="BW355" i="7" s="1"/>
  <c r="AO333" i="1"/>
  <c r="AO172" i="5" s="1"/>
  <c r="AO173" i="5" s="1"/>
  <c r="AL172" i="5"/>
  <c r="AL173" i="5" s="1"/>
  <c r="AT333" i="1"/>
  <c r="AT387" i="1" s="1"/>
  <c r="AS172" i="5"/>
  <c r="AS173" i="5" s="1"/>
  <c r="BN279" i="1"/>
  <c r="AO225" i="1"/>
  <c r="AY333" i="1"/>
  <c r="AY172" i="5" s="1"/>
  <c r="CI388" i="1"/>
  <c r="AY279" i="1"/>
  <c r="CC398" i="1"/>
  <c r="CC54" i="1"/>
  <c r="CD54" i="1" s="1"/>
  <c r="CB28" i="5"/>
  <c r="CB136" i="5" s="1"/>
  <c r="BP19" i="5"/>
  <c r="BP127" i="5" s="1"/>
  <c r="BN225" i="1"/>
  <c r="CC279" i="1"/>
  <c r="AG172" i="5"/>
  <c r="AG173" i="5" s="1"/>
  <c r="BS225" i="1"/>
  <c r="BD333" i="1"/>
  <c r="BD279" i="1"/>
  <c r="BR394" i="1"/>
  <c r="BR164" i="1"/>
  <c r="BR165" i="1" s="1"/>
  <c r="BV289" i="7"/>
  <c r="BV28" i="5"/>
  <c r="BV136" i="5" s="1"/>
  <c r="BR18" i="5"/>
  <c r="BR126" i="5" s="1"/>
  <c r="BR19" i="1"/>
  <c r="BZ164" i="1"/>
  <c r="BZ165" i="1" s="1"/>
  <c r="BZ394" i="1"/>
  <c r="CD157" i="1"/>
  <c r="BV825" i="7"/>
  <c r="BV800" i="7" s="1"/>
  <c r="BV804" i="7" s="1"/>
  <c r="BV49" i="5"/>
  <c r="BV157" i="5" s="1"/>
  <c r="AT225" i="1"/>
  <c r="BX225" i="1"/>
  <c r="AJ225" i="1"/>
  <c r="BZ19" i="1"/>
  <c r="BZ18" i="5"/>
  <c r="BZ126" i="5" s="1"/>
  <c r="CI387" i="1"/>
  <c r="BZ710" i="7"/>
  <c r="BZ685" i="7" s="1"/>
  <c r="BV56" i="1"/>
  <c r="BI225" i="1"/>
  <c r="BD225" i="1"/>
  <c r="CC225" i="1"/>
  <c r="BY146" i="1"/>
  <c r="BY157" i="1" s="1"/>
  <c r="AY225" i="1"/>
  <c r="BQ18" i="5"/>
  <c r="BQ126" i="5" s="1"/>
  <c r="BQ19" i="1"/>
  <c r="BQ164" i="1"/>
  <c r="BQ165" i="1" s="1"/>
  <c r="BQ394" i="1"/>
  <c r="CA49" i="1"/>
  <c r="CA56" i="1" s="1"/>
  <c r="CA397" i="1"/>
  <c r="BI279" i="1"/>
  <c r="CA28" i="5"/>
  <c r="CA136" i="5" s="1"/>
  <c r="CA289" i="7"/>
  <c r="CA34" i="5"/>
  <c r="CA142" i="5" s="1"/>
  <c r="CA341" i="7"/>
  <c r="BX279" i="1"/>
  <c r="BX818" i="7"/>
  <c r="BX873" i="7"/>
  <c r="BV341" i="7"/>
  <c r="BV34" i="5"/>
  <c r="BV142" i="5" s="1"/>
  <c r="BL397" i="1"/>
  <c r="BL394" i="1"/>
  <c r="BL165" i="1"/>
  <c r="BL338" i="1" s="1"/>
  <c r="AH387" i="1"/>
  <c r="AH172" i="5"/>
  <c r="AH173" i="5" s="1"/>
  <c r="BZ704" i="7"/>
  <c r="BQ54" i="5"/>
  <c r="BQ162" i="5" s="1"/>
  <c r="BQ483" i="7"/>
  <c r="BX397" i="1"/>
  <c r="BX49" i="1"/>
  <c r="CC49" i="1"/>
  <c r="CC397" i="1"/>
  <c r="BZ82" i="5"/>
  <c r="BZ110" i="5" s="1"/>
  <c r="BZ110" i="1"/>
  <c r="BZ28" i="1"/>
  <c r="BS49" i="1"/>
  <c r="BS397" i="1"/>
  <c r="CA54" i="5"/>
  <c r="CA162" i="5" s="1"/>
  <c r="CA483" i="7"/>
  <c r="BV54" i="5"/>
  <c r="BV162" i="5" s="1"/>
  <c r="BV483" i="7"/>
  <c r="CC394" i="1"/>
  <c r="CD127" i="1"/>
  <c r="CC164" i="1"/>
  <c r="CC165" i="1" s="1"/>
  <c r="BS18" i="5"/>
  <c r="BS126" i="5" s="1"/>
  <c r="BT18" i="1"/>
  <c r="BS19" i="1"/>
  <c r="CC28" i="1"/>
  <c r="CC703" i="7"/>
  <c r="CC544" i="7" s="1"/>
  <c r="CC110" i="1"/>
  <c r="CC82" i="5"/>
  <c r="BN394" i="1"/>
  <c r="BS28" i="1"/>
  <c r="BS110" i="1"/>
  <c r="BS82" i="5"/>
  <c r="BS703" i="7"/>
  <c r="BU703" i="7"/>
  <c r="BU544" i="7" s="1"/>
  <c r="BU28" i="1"/>
  <c r="BU110" i="1"/>
  <c r="BU82" i="5"/>
  <c r="BU110" i="5" s="1"/>
  <c r="BP703" i="7"/>
  <c r="BP544" i="7" s="1"/>
  <c r="BP28" i="1"/>
  <c r="BP110" i="1"/>
  <c r="BP82" i="5"/>
  <c r="BP110" i="5" s="1"/>
  <c r="CC18" i="5"/>
  <c r="CC126" i="5" s="1"/>
  <c r="CD18" i="1"/>
  <c r="CC19" i="1"/>
  <c r="BS394" i="1"/>
  <c r="BT127" i="1"/>
  <c r="BS164" i="1"/>
  <c r="BS165" i="1" s="1"/>
  <c r="BX28" i="1"/>
  <c r="BX82" i="5"/>
  <c r="BX110" i="5" s="1"/>
  <c r="BX703" i="7"/>
  <c r="BX110" i="1"/>
  <c r="BV127" i="5"/>
  <c r="CA237" i="7"/>
  <c r="CA243" i="7"/>
  <c r="BU774" i="7"/>
  <c r="BU777" i="7"/>
  <c r="BU779" i="7"/>
  <c r="BU829" i="7"/>
  <c r="BU832" i="7"/>
  <c r="BU834" i="7"/>
  <c r="BU884" i="7"/>
  <c r="BU887" i="7"/>
  <c r="BU889" i="7"/>
  <c r="BZ800" i="7"/>
  <c r="BW774" i="7"/>
  <c r="BW777" i="7"/>
  <c r="BW779" i="7"/>
  <c r="BW829" i="7"/>
  <c r="BW832" i="7"/>
  <c r="BW834" i="7"/>
  <c r="BW884" i="7"/>
  <c r="BW887" i="7"/>
  <c r="BW889" i="7"/>
  <c r="CB804" i="7"/>
  <c r="BR290" i="7"/>
  <c r="BR296" i="7"/>
  <c r="BR274" i="7" s="1"/>
  <c r="CB290" i="7"/>
  <c r="CB296" i="7"/>
  <c r="CB274" i="7" s="1"/>
  <c r="BW127" i="5"/>
  <c r="BW53" i="7"/>
  <c r="BW237" i="7"/>
  <c r="BW243" i="7"/>
  <c r="BW330" i="7"/>
  <c r="BW363" i="7"/>
  <c r="BW366" i="7"/>
  <c r="BW368" i="7"/>
  <c r="BU432" i="7"/>
  <c r="BU438" i="7"/>
  <c r="CB497" i="7"/>
  <c r="CB499" i="7"/>
  <c r="BW804" i="7"/>
  <c r="CB774" i="7"/>
  <c r="CB777" i="7"/>
  <c r="CB779" i="7"/>
  <c r="CB829" i="7"/>
  <c r="CB832" i="7"/>
  <c r="CB834" i="7"/>
  <c r="CB884" i="7"/>
  <c r="CB887" i="7"/>
  <c r="CB889" i="7"/>
  <c r="BP237" i="7"/>
  <c r="BP243" i="7"/>
  <c r="CB127" i="5"/>
  <c r="BR330" i="7"/>
  <c r="BR363" i="7"/>
  <c r="BR366" i="7"/>
  <c r="BR368" i="7"/>
  <c r="BZ326" i="7"/>
  <c r="BZ468" i="7"/>
  <c r="CA804" i="7"/>
  <c r="BW432" i="7"/>
  <c r="BW438" i="7"/>
  <c r="CC774" i="7"/>
  <c r="CC777" i="7"/>
  <c r="CC779" i="7"/>
  <c r="CC829" i="7"/>
  <c r="CC832" i="7"/>
  <c r="CC834" i="7"/>
  <c r="CC884" i="7"/>
  <c r="CC887" i="7"/>
  <c r="CC889" i="7"/>
  <c r="CB688" i="7"/>
  <c r="CB714" i="7"/>
  <c r="CB717" i="7"/>
  <c r="CB689" i="7"/>
  <c r="CB724" i="7"/>
  <c r="CB727" i="7"/>
  <c r="CB729" i="7"/>
  <c r="BQ804" i="7"/>
  <c r="BQ839" i="7"/>
  <c r="BQ842" i="7"/>
  <c r="BQ844" i="7"/>
  <c r="BP774" i="7"/>
  <c r="BP777" i="7"/>
  <c r="BP779" i="7"/>
  <c r="BP829" i="7"/>
  <c r="BP832" i="7"/>
  <c r="BP834" i="7"/>
  <c r="BP884" i="7"/>
  <c r="BP887" i="7"/>
  <c r="BP889" i="7"/>
  <c r="BZ774" i="7"/>
  <c r="BZ777" i="7"/>
  <c r="BZ779" i="7"/>
  <c r="BZ829" i="7"/>
  <c r="BZ832" i="7"/>
  <c r="BZ834" i="7"/>
  <c r="BZ884" i="7"/>
  <c r="BZ887" i="7"/>
  <c r="BZ889" i="7"/>
  <c r="BU127" i="5"/>
  <c r="BU237" i="7"/>
  <c r="BU243" i="7"/>
  <c r="BW472" i="7"/>
  <c r="BW505" i="7"/>
  <c r="BW508" i="7"/>
  <c r="BW510" i="7"/>
  <c r="BZ432" i="7"/>
  <c r="BZ438" i="7"/>
  <c r="CA774" i="7"/>
  <c r="CA777" i="7"/>
  <c r="CA779" i="7"/>
  <c r="CA829" i="7"/>
  <c r="CA832" i="7"/>
  <c r="CA834" i="7"/>
  <c r="CA884" i="7"/>
  <c r="CA887" i="7"/>
  <c r="CA889" i="7"/>
  <c r="BQ432" i="7"/>
  <c r="BQ438" i="7"/>
  <c r="BV432" i="7"/>
  <c r="BV438" i="7"/>
  <c r="BR804" i="7"/>
  <c r="BR839" i="7"/>
  <c r="BR842" i="7"/>
  <c r="BR844" i="7"/>
  <c r="BR432" i="7"/>
  <c r="BR438" i="7"/>
  <c r="BV774" i="7"/>
  <c r="BV777" i="7"/>
  <c r="BV779" i="7"/>
  <c r="BV829" i="7"/>
  <c r="BV832" i="7"/>
  <c r="BV834" i="7"/>
  <c r="BV884" i="7"/>
  <c r="BV887" i="7"/>
  <c r="BV889" i="7"/>
  <c r="BN172" i="5" l="1"/>
  <c r="BN387" i="1"/>
  <c r="BN388" i="1" s="1"/>
  <c r="CB438" i="7"/>
  <c r="BP357" i="7"/>
  <c r="BP352" i="7"/>
  <c r="BP348" i="7"/>
  <c r="BP326" i="7" s="1"/>
  <c r="BP330" i="7" s="1"/>
  <c r="BM397" i="1"/>
  <c r="BO397" i="1"/>
  <c r="BI172" i="5"/>
  <c r="BI387" i="1"/>
  <c r="BI388" i="1" s="1"/>
  <c r="BR357" i="7"/>
  <c r="BR355" i="7"/>
  <c r="BJ398" i="1"/>
  <c r="BR354" i="7"/>
  <c r="BJ483" i="7"/>
  <c r="CB237" i="7"/>
  <c r="BU348" i="7"/>
  <c r="BU326" i="7" s="1"/>
  <c r="BU363" i="7" s="1"/>
  <c r="BX34" i="5"/>
  <c r="BX142" i="5" s="1"/>
  <c r="BP490" i="7"/>
  <c r="BP468" i="7" s="1"/>
  <c r="BP505" i="7" s="1"/>
  <c r="CB472" i="7"/>
  <c r="CB496" i="7" s="1"/>
  <c r="CB508" i="7"/>
  <c r="BP494" i="7"/>
  <c r="BG165" i="1"/>
  <c r="CC341" i="7"/>
  <c r="CC348" i="7" s="1"/>
  <c r="CC326" i="7" s="1"/>
  <c r="BZ355" i="7"/>
  <c r="CD34" i="1"/>
  <c r="CD34" i="5" s="1"/>
  <c r="CD142" i="5" s="1"/>
  <c r="BZ497" i="7"/>
  <c r="BZ357" i="7"/>
  <c r="BU355" i="7"/>
  <c r="BP499" i="7"/>
  <c r="BI165" i="1"/>
  <c r="BP497" i="7"/>
  <c r="BY34" i="1"/>
  <c r="BY341" i="7" s="1"/>
  <c r="BY342" i="7" s="1"/>
  <c r="CB53" i="7"/>
  <c r="BZ499" i="7"/>
  <c r="BY54" i="1"/>
  <c r="BY54" i="5" s="1"/>
  <c r="BY162" i="5" s="1"/>
  <c r="BX54" i="5"/>
  <c r="BX162" i="5" s="1"/>
  <c r="BU490" i="7"/>
  <c r="BU468" i="7" s="1"/>
  <c r="BU472" i="7" s="1"/>
  <c r="BU497" i="7"/>
  <c r="BU499" i="7"/>
  <c r="BU357" i="7"/>
  <c r="BJ396" i="1"/>
  <c r="CD396" i="1"/>
  <c r="BO396" i="1"/>
  <c r="BO398" i="1"/>
  <c r="BT398" i="1"/>
  <c r="BT54" i="1"/>
  <c r="BT483" i="7" s="1"/>
  <c r="BT484" i="7" s="1"/>
  <c r="BY398" i="1"/>
  <c r="BR494" i="7"/>
  <c r="BO395" i="1"/>
  <c r="BS483" i="7"/>
  <c r="BS490" i="7" s="1"/>
  <c r="BS468" i="7" s="1"/>
  <c r="BT395" i="1"/>
  <c r="BO341" i="7"/>
  <c r="BR490" i="7"/>
  <c r="BR468" i="7" s="1"/>
  <c r="BR505" i="7" s="1"/>
  <c r="BR499" i="7"/>
  <c r="BX164" i="1"/>
  <c r="BX165" i="1" s="1"/>
  <c r="BY395" i="1"/>
  <c r="BW499" i="7"/>
  <c r="BW496" i="7"/>
  <c r="BW497" i="7"/>
  <c r="BT396" i="1"/>
  <c r="CG387" i="1"/>
  <c r="BP432" i="7"/>
  <c r="BP442" i="7" s="1"/>
  <c r="BX18" i="5"/>
  <c r="BX126" i="5" s="1"/>
  <c r="BY18" i="1"/>
  <c r="BY18" i="5" s="1"/>
  <c r="BY126" i="5" s="1"/>
  <c r="BX394" i="1"/>
  <c r="BX544" i="7"/>
  <c r="BX551" i="7" s="1"/>
  <c r="BS34" i="5"/>
  <c r="BS142" i="5" s="1"/>
  <c r="BT34" i="1"/>
  <c r="BT341" i="7" s="1"/>
  <c r="BT342" i="7" s="1"/>
  <c r="BS544" i="7"/>
  <c r="BS551" i="7" s="1"/>
  <c r="CD880" i="7"/>
  <c r="BR884" i="7"/>
  <c r="BR832" i="7"/>
  <c r="BR779" i="7"/>
  <c r="BQ727" i="7"/>
  <c r="BR889" i="7"/>
  <c r="BR774" i="7"/>
  <c r="BW724" i="7"/>
  <c r="BR714" i="7"/>
  <c r="BR717" i="7"/>
  <c r="BQ724" i="7"/>
  <c r="BQ689" i="7"/>
  <c r="BQ716" i="7" s="1"/>
  <c r="BV729" i="7"/>
  <c r="BW689" i="7"/>
  <c r="BW716" i="7" s="1"/>
  <c r="BW729" i="7"/>
  <c r="BQ829" i="7"/>
  <c r="CA689" i="7"/>
  <c r="CA716" i="7" s="1"/>
  <c r="BV689" i="7"/>
  <c r="BV716" i="7" s="1"/>
  <c r="BQ330" i="7"/>
  <c r="BV727" i="7"/>
  <c r="BQ887" i="7"/>
  <c r="CA545" i="7"/>
  <c r="CA555" i="7" s="1"/>
  <c r="BR727" i="7"/>
  <c r="BV545" i="7"/>
  <c r="BV558" i="7" s="1"/>
  <c r="BQ834" i="7"/>
  <c r="BQ777" i="7"/>
  <c r="BQ366" i="7"/>
  <c r="CA727" i="7"/>
  <c r="BR887" i="7"/>
  <c r="BR834" i="7"/>
  <c r="BR829" i="7"/>
  <c r="CA717" i="7"/>
  <c r="CB545" i="7"/>
  <c r="CB555" i="7" s="1"/>
  <c r="BQ342" i="7"/>
  <c r="BR689" i="7"/>
  <c r="BR716" i="7" s="1"/>
  <c r="BV237" i="7"/>
  <c r="BV247" i="7" s="1"/>
  <c r="BR729" i="7"/>
  <c r="BQ889" i="7"/>
  <c r="BQ884" i="7"/>
  <c r="BQ832" i="7"/>
  <c r="BQ779" i="7"/>
  <c r="BQ368" i="7"/>
  <c r="CA729" i="7"/>
  <c r="CA688" i="7"/>
  <c r="BQ714" i="7"/>
  <c r="BW300" i="7"/>
  <c r="BQ316" i="7"/>
  <c r="BR545" i="7"/>
  <c r="BR555" i="7" s="1"/>
  <c r="BR551" i="7"/>
  <c r="BZ545" i="7"/>
  <c r="BZ558" i="7" s="1"/>
  <c r="BZ551" i="7"/>
  <c r="BW545" i="7"/>
  <c r="BW558" i="7" s="1"/>
  <c r="BW551" i="7"/>
  <c r="BW717" i="7"/>
  <c r="BQ290" i="7"/>
  <c r="BQ303" i="7" s="1"/>
  <c r="BQ311" i="7"/>
  <c r="BD172" i="5"/>
  <c r="BD387" i="1"/>
  <c r="BD388" i="1" s="1"/>
  <c r="BQ314" i="7"/>
  <c r="BD165" i="1"/>
  <c r="BD166" i="1" s="1"/>
  <c r="BB165" i="1"/>
  <c r="BB166" i="1" s="1"/>
  <c r="BQ688" i="7"/>
  <c r="BW305" i="7"/>
  <c r="BW221" i="7"/>
  <c r="BW225" i="7" s="1"/>
  <c r="BW60" i="7"/>
  <c r="CB221" i="7"/>
  <c r="CB262" i="7" s="1"/>
  <c r="CA221" i="7"/>
  <c r="CA225" i="7" s="1"/>
  <c r="BV221" i="7"/>
  <c r="BV259" i="7" s="1"/>
  <c r="BW56" i="5"/>
  <c r="AO387" i="1"/>
  <c r="AO388" i="1" s="1"/>
  <c r="BY396" i="1"/>
  <c r="BW278" i="7"/>
  <c r="BW302" i="7" s="1"/>
  <c r="BC169" i="5"/>
  <c r="BS779" i="7"/>
  <c r="CD397" i="1"/>
  <c r="BT397" i="1"/>
  <c r="AJ172" i="5"/>
  <c r="AJ173" i="5" s="1"/>
  <c r="BW714" i="7"/>
  <c r="BW303" i="7"/>
  <c r="AY387" i="1"/>
  <c r="AY388" i="1" s="1"/>
  <c r="CB342" i="7"/>
  <c r="CB348" i="7"/>
  <c r="CB326" i="7" s="1"/>
  <c r="BS880" i="7"/>
  <c r="BT880" i="7" s="1"/>
  <c r="BS884" i="7"/>
  <c r="BV717" i="7"/>
  <c r="BS889" i="7"/>
  <c r="BS832" i="7"/>
  <c r="BS774" i="7"/>
  <c r="BV714" i="7"/>
  <c r="BS887" i="7"/>
  <c r="BS834" i="7"/>
  <c r="BS829" i="7"/>
  <c r="BS110" i="5"/>
  <c r="CC825" i="7"/>
  <c r="CC800" i="7" s="1"/>
  <c r="CC804" i="7" s="1"/>
  <c r="CC831" i="7" s="1"/>
  <c r="BZ688" i="7"/>
  <c r="BW314" i="7"/>
  <c r="BW311" i="7"/>
  <c r="BQ545" i="7"/>
  <c r="BQ558" i="7" s="1"/>
  <c r="CH387" i="1"/>
  <c r="BW164" i="5"/>
  <c r="BW173" i="5" s="1"/>
  <c r="CC110" i="5"/>
  <c r="BS804" i="7"/>
  <c r="BS844" i="7"/>
  <c r="BS842" i="7"/>
  <c r="BT825" i="7"/>
  <c r="BT800" i="7" s="1"/>
  <c r="BT839" i="7" s="1"/>
  <c r="BW352" i="7"/>
  <c r="BW357" i="7"/>
  <c r="BW354" i="7"/>
  <c r="AT388" i="1"/>
  <c r="CB56" i="5"/>
  <c r="AT172" i="5"/>
  <c r="AT173" i="5" s="1"/>
  <c r="BZ714" i="7"/>
  <c r="BZ717" i="7"/>
  <c r="CC54" i="5"/>
  <c r="CC162" i="5" s="1"/>
  <c r="CC483" i="7"/>
  <c r="CB164" i="5"/>
  <c r="CB173" i="5" s="1"/>
  <c r="BV290" i="7"/>
  <c r="BV296" i="7"/>
  <c r="BV274" i="7" s="1"/>
  <c r="BR236" i="7"/>
  <c r="BR56" i="1"/>
  <c r="BR19" i="5"/>
  <c r="BJ397" i="1"/>
  <c r="BZ236" i="7"/>
  <c r="BZ19" i="5"/>
  <c r="BZ127" i="5" s="1"/>
  <c r="CA290" i="7"/>
  <c r="CA296" i="7"/>
  <c r="CA274" i="7" s="1"/>
  <c r="BQ19" i="5"/>
  <c r="BQ127" i="5" s="1"/>
  <c r="BQ164" i="5" s="1"/>
  <c r="BQ169" i="5" s="1"/>
  <c r="BQ236" i="7"/>
  <c r="BQ56" i="1"/>
  <c r="CA431" i="7"/>
  <c r="CA49" i="5"/>
  <c r="CA157" i="5" s="1"/>
  <c r="CA164" i="5" s="1"/>
  <c r="CA169" i="5" s="1"/>
  <c r="BY397" i="1"/>
  <c r="BB169" i="5"/>
  <c r="CA348" i="7"/>
  <c r="CA342" i="7"/>
  <c r="BX490" i="7"/>
  <c r="BX468" i="7" s="1"/>
  <c r="BX484" i="7"/>
  <c r="BJ341" i="7"/>
  <c r="BS342" i="7"/>
  <c r="BS348" i="7"/>
  <c r="BV56" i="5"/>
  <c r="BX348" i="7"/>
  <c r="BX326" i="7" s="1"/>
  <c r="BX342" i="7"/>
  <c r="BX880" i="7"/>
  <c r="BY880" i="7" s="1"/>
  <c r="BX874" i="7"/>
  <c r="BX825" i="7"/>
  <c r="BX819" i="7"/>
  <c r="BV342" i="7"/>
  <c r="BV348" i="7"/>
  <c r="BV164" i="5"/>
  <c r="BV169" i="5" s="1"/>
  <c r="CA484" i="7"/>
  <c r="CA490" i="7"/>
  <c r="CC431" i="7"/>
  <c r="CC49" i="5"/>
  <c r="CC157" i="5" s="1"/>
  <c r="CD49" i="1"/>
  <c r="BQ490" i="7"/>
  <c r="BQ484" i="7"/>
  <c r="BV484" i="7"/>
  <c r="BV490" i="7"/>
  <c r="CD483" i="7"/>
  <c r="CD484" i="7" s="1"/>
  <c r="CD54" i="5"/>
  <c r="CD162" i="5" s="1"/>
  <c r="BY49" i="1"/>
  <c r="BX431" i="7"/>
  <c r="BX49" i="5"/>
  <c r="BX157" i="5" s="1"/>
  <c r="BV53" i="7"/>
  <c r="BZ289" i="7"/>
  <c r="BZ28" i="5"/>
  <c r="BZ56" i="1"/>
  <c r="BT49" i="1"/>
  <c r="BS431" i="7"/>
  <c r="BS49" i="5"/>
  <c r="BS157" i="5" s="1"/>
  <c r="BX704" i="7"/>
  <c r="BX710" i="7"/>
  <c r="BX685" i="7" s="1"/>
  <c r="BJ394" i="1"/>
  <c r="BT164" i="1"/>
  <c r="BT394" i="1"/>
  <c r="BP551" i="7"/>
  <c r="BP704" i="7"/>
  <c r="BP710" i="7"/>
  <c r="BS704" i="7"/>
  <c r="BS710" i="7"/>
  <c r="BS685" i="7" s="1"/>
  <c r="CC28" i="5"/>
  <c r="CC136" i="5" s="1"/>
  <c r="CC289" i="7"/>
  <c r="CD28" i="1"/>
  <c r="BO394" i="1"/>
  <c r="BS19" i="5"/>
  <c r="BS56" i="1"/>
  <c r="BS236" i="7"/>
  <c r="CD164" i="1"/>
  <c r="CD394" i="1"/>
  <c r="BX289" i="7"/>
  <c r="BX28" i="5"/>
  <c r="BX136" i="5" s="1"/>
  <c r="CC19" i="5"/>
  <c r="CC56" i="1"/>
  <c r="CC236" i="7"/>
  <c r="BU289" i="7"/>
  <c r="BY28" i="1"/>
  <c r="BU28" i="5"/>
  <c r="BU56" i="1"/>
  <c r="BT18" i="5"/>
  <c r="BT126" i="5" s="1"/>
  <c r="BT19" i="1"/>
  <c r="BX236" i="7"/>
  <c r="BX56" i="1"/>
  <c r="BX19" i="5"/>
  <c r="CD18" i="5"/>
  <c r="CD126" i="5" s="1"/>
  <c r="CD19" i="1"/>
  <c r="BP289" i="7"/>
  <c r="BP56" i="1"/>
  <c r="BT28" i="1"/>
  <c r="BP28" i="5"/>
  <c r="BY164" i="1"/>
  <c r="BY394" i="1"/>
  <c r="BU704" i="7"/>
  <c r="BU710" i="7"/>
  <c r="BU551" i="7"/>
  <c r="BS289" i="7"/>
  <c r="BS28" i="5"/>
  <c r="BS136" i="5" s="1"/>
  <c r="CC551" i="7"/>
  <c r="CC704" i="7"/>
  <c r="CC710" i="7"/>
  <c r="BV442" i="7"/>
  <c r="BV445" i="7"/>
  <c r="BV447" i="7"/>
  <c r="BR831" i="7"/>
  <c r="BW725" i="7"/>
  <c r="BU221" i="7"/>
  <c r="BQ831" i="7"/>
  <c r="CB716" i="7"/>
  <c r="CA831" i="7"/>
  <c r="BZ472" i="7"/>
  <c r="BZ508" i="7"/>
  <c r="BZ510" i="7"/>
  <c r="BV831" i="7"/>
  <c r="BZ330" i="7"/>
  <c r="BZ366" i="7"/>
  <c r="BZ368" i="7"/>
  <c r="BP221" i="7"/>
  <c r="BW831" i="7"/>
  <c r="BU442" i="7"/>
  <c r="BU445" i="7"/>
  <c r="BU447" i="7"/>
  <c r="BW54" i="7"/>
  <c r="BW247" i="7"/>
  <c r="BW250" i="7"/>
  <c r="BW252" i="7"/>
  <c r="CB278" i="7"/>
  <c r="CB302" i="7" s="1"/>
  <c r="CB314" i="7"/>
  <c r="CB316" i="7"/>
  <c r="BR278" i="7"/>
  <c r="BR302" i="7" s="1"/>
  <c r="BR311" i="7"/>
  <c r="BR314" i="7"/>
  <c r="BR316" i="7"/>
  <c r="CB831" i="7"/>
  <c r="AY167" i="5"/>
  <c r="AY169" i="5"/>
  <c r="AY170" i="5" s="1"/>
  <c r="AY173" i="5"/>
  <c r="AW167" i="5"/>
  <c r="AW169" i="5"/>
  <c r="AW170" i="5" s="1"/>
  <c r="AW173" i="5"/>
  <c r="BZ689" i="7"/>
  <c r="BZ724" i="7"/>
  <c r="BZ727" i="7"/>
  <c r="BZ729" i="7"/>
  <c r="BR442" i="7"/>
  <c r="BR445" i="7"/>
  <c r="BR447" i="7"/>
  <c r="BQ442" i="7"/>
  <c r="BQ445" i="7"/>
  <c r="BQ447" i="7"/>
  <c r="BV725" i="7"/>
  <c r="CB445" i="7"/>
  <c r="CB447" i="7"/>
  <c r="BZ445" i="7"/>
  <c r="BZ447" i="7"/>
  <c r="BU247" i="7"/>
  <c r="BU250" i="7"/>
  <c r="BU252" i="7"/>
  <c r="BU804" i="7"/>
  <c r="CB725" i="7"/>
  <c r="BR725" i="7"/>
  <c r="BW442" i="7"/>
  <c r="BW447" i="7"/>
  <c r="BW445" i="7"/>
  <c r="BP247" i="7"/>
  <c r="BP250" i="7"/>
  <c r="BP252" i="7"/>
  <c r="AX167" i="5"/>
  <c r="AX169" i="5"/>
  <c r="AX170" i="5" s="1"/>
  <c r="AX173" i="5"/>
  <c r="AV167" i="5"/>
  <c r="AV169" i="5"/>
  <c r="AV170" i="5" s="1"/>
  <c r="AV173" i="5"/>
  <c r="CB303" i="7"/>
  <c r="CB305" i="7"/>
  <c r="BR300" i="7"/>
  <c r="BR303" i="7"/>
  <c r="BR305" i="7"/>
  <c r="BZ804" i="7"/>
  <c r="BP804" i="7"/>
  <c r="BP839" i="7"/>
  <c r="BP842" i="7"/>
  <c r="BP844" i="7"/>
  <c r="CA250" i="7"/>
  <c r="CA252" i="7"/>
  <c r="BO342" i="7" l="1"/>
  <c r="BO352" i="7" s="1"/>
  <c r="BO348" i="7"/>
  <c r="BO349" i="7" s="1"/>
  <c r="BO353" i="7"/>
  <c r="BO356" i="7"/>
  <c r="BO360" i="7" s="1"/>
  <c r="BO354" i="7"/>
  <c r="BO371" i="7"/>
  <c r="BO165" i="1"/>
  <c r="BP368" i="7"/>
  <c r="CD165" i="1"/>
  <c r="BM165" i="1"/>
  <c r="BM338" i="1" s="1"/>
  <c r="BQ302" i="7"/>
  <c r="BP363" i="7"/>
  <c r="BP366" i="7"/>
  <c r="BN397" i="1"/>
  <c r="BN165" i="1"/>
  <c r="BN338" i="1" s="1"/>
  <c r="BJ484" i="7"/>
  <c r="BJ494" i="7" s="1"/>
  <c r="BJ490" i="7"/>
  <c r="BJ491" i="7" s="1"/>
  <c r="BJ342" i="7"/>
  <c r="BJ353" i="7" s="1"/>
  <c r="BJ348" i="7"/>
  <c r="BJ349" i="7" s="1"/>
  <c r="BJ496" i="7"/>
  <c r="CD341" i="7"/>
  <c r="CD342" i="7" s="1"/>
  <c r="CD355" i="7" s="1"/>
  <c r="BU366" i="7"/>
  <c r="BP510" i="7"/>
  <c r="BU368" i="7"/>
  <c r="BU330" i="7"/>
  <c r="BU354" i="7" s="1"/>
  <c r="BP508" i="7"/>
  <c r="CB252" i="7"/>
  <c r="CB250" i="7"/>
  <c r="CB54" i="7"/>
  <c r="CB67" i="7" s="1"/>
  <c r="BP472" i="7"/>
  <c r="BP496" i="7" s="1"/>
  <c r="BY34" i="5"/>
  <c r="BY142" i="5" s="1"/>
  <c r="CC342" i="7"/>
  <c r="BY483" i="7"/>
  <c r="BY484" i="7" s="1"/>
  <c r="BY497" i="7" s="1"/>
  <c r="BH169" i="5"/>
  <c r="BU510" i="7"/>
  <c r="BT54" i="5"/>
  <c r="BT162" i="5" s="1"/>
  <c r="BU505" i="7"/>
  <c r="BU508" i="7"/>
  <c r="BO483" i="7"/>
  <c r="BR510" i="7"/>
  <c r="BR508" i="7"/>
  <c r="BS484" i="7"/>
  <c r="BS497" i="7" s="1"/>
  <c r="BR472" i="7"/>
  <c r="BR496" i="7" s="1"/>
  <c r="BY19" i="1"/>
  <c r="BY19" i="5" s="1"/>
  <c r="BP447" i="7"/>
  <c r="BP445" i="7"/>
  <c r="BT34" i="5"/>
  <c r="BT142" i="5" s="1"/>
  <c r="CJ387" i="1"/>
  <c r="BW555" i="7"/>
  <c r="BQ352" i="7"/>
  <c r="BV250" i="7"/>
  <c r="CB558" i="7"/>
  <c r="BV555" i="7"/>
  <c r="BQ725" i="7"/>
  <c r="CA725" i="7"/>
  <c r="BZ725" i="7"/>
  <c r="BZ560" i="7"/>
  <c r="CA558" i="7"/>
  <c r="BR558" i="7"/>
  <c r="CA560" i="7"/>
  <c r="BQ354" i="7"/>
  <c r="BQ357" i="7"/>
  <c r="BV560" i="7"/>
  <c r="BV252" i="7"/>
  <c r="CB560" i="7"/>
  <c r="BW560" i="7"/>
  <c r="BQ355" i="7"/>
  <c r="BZ555" i="7"/>
  <c r="BR560" i="7"/>
  <c r="CJ388" i="1"/>
  <c r="BT165" i="1"/>
  <c r="BY165" i="1"/>
  <c r="BV262" i="7"/>
  <c r="CA262" i="7"/>
  <c r="BV225" i="7"/>
  <c r="BV249" i="7" s="1"/>
  <c r="BW264" i="7"/>
  <c r="CB225" i="7"/>
  <c r="CB249" i="7" s="1"/>
  <c r="BW259" i="7"/>
  <c r="CB264" i="7"/>
  <c r="BQ305" i="7"/>
  <c r="BQ300" i="7"/>
  <c r="CA264" i="7"/>
  <c r="BQ560" i="7"/>
  <c r="BV264" i="7"/>
  <c r="BW262" i="7"/>
  <c r="BV60" i="7"/>
  <c r="CB60" i="7"/>
  <c r="BC167" i="5"/>
  <c r="BC173" i="5"/>
  <c r="CB330" i="7"/>
  <c r="CB354" i="7" s="1"/>
  <c r="CB368" i="7"/>
  <c r="CB366" i="7"/>
  <c r="BH173" i="5"/>
  <c r="CB357" i="7"/>
  <c r="CB355" i="7"/>
  <c r="BQ555" i="7"/>
  <c r="CB169" i="5"/>
  <c r="BH167" i="5"/>
  <c r="CD825" i="7"/>
  <c r="CD800" i="7" s="1"/>
  <c r="BS831" i="7"/>
  <c r="BW169" i="5"/>
  <c r="CB167" i="5"/>
  <c r="BC170" i="5"/>
  <c r="BT842" i="7"/>
  <c r="BT844" i="7"/>
  <c r="CC490" i="7"/>
  <c r="CC468" i="7" s="1"/>
  <c r="CC484" i="7"/>
  <c r="BR127" i="5"/>
  <c r="BR164" i="5" s="1"/>
  <c r="BR56" i="5"/>
  <c r="BV314" i="7"/>
  <c r="BV278" i="7"/>
  <c r="BV302" i="7" s="1"/>
  <c r="BV311" i="7"/>
  <c r="BV316" i="7"/>
  <c r="BV305" i="7"/>
  <c r="BV300" i="7"/>
  <c r="BV303" i="7"/>
  <c r="BB170" i="5"/>
  <c r="BR237" i="7"/>
  <c r="BR243" i="7"/>
  <c r="BR53" i="7"/>
  <c r="BV170" i="5"/>
  <c r="CA170" i="5"/>
  <c r="BQ56" i="5"/>
  <c r="BQ173" i="5"/>
  <c r="BZ237" i="7"/>
  <c r="BZ243" i="7"/>
  <c r="CA56" i="5"/>
  <c r="CA432" i="7"/>
  <c r="CA54" i="7" s="1"/>
  <c r="CA53" i="7"/>
  <c r="CA438" i="7"/>
  <c r="CA303" i="7"/>
  <c r="CA305" i="7"/>
  <c r="CA316" i="7"/>
  <c r="CA278" i="7"/>
  <c r="CA302" i="7" s="1"/>
  <c r="CA314" i="7"/>
  <c r="BQ237" i="7"/>
  <c r="BQ54" i="7" s="1"/>
  <c r="BQ243" i="7"/>
  <c r="BQ53" i="7"/>
  <c r="BX497" i="7"/>
  <c r="BX494" i="7"/>
  <c r="BX499" i="7"/>
  <c r="CA355" i="7"/>
  <c r="CA357" i="7"/>
  <c r="CC366" i="7"/>
  <c r="CC368" i="7"/>
  <c r="CC330" i="7"/>
  <c r="BX508" i="7"/>
  <c r="BX510" i="7"/>
  <c r="BX472" i="7"/>
  <c r="BX496" i="7" s="1"/>
  <c r="BX505" i="7"/>
  <c r="CA326" i="7"/>
  <c r="CD348" i="7"/>
  <c r="CD326" i="7" s="1"/>
  <c r="BS508" i="7"/>
  <c r="BS510" i="7"/>
  <c r="BS505" i="7"/>
  <c r="BS472" i="7"/>
  <c r="BV173" i="5"/>
  <c r="BV167" i="5"/>
  <c r="CA167" i="5"/>
  <c r="BB167" i="5"/>
  <c r="BB173" i="5"/>
  <c r="CA173" i="5"/>
  <c r="BS357" i="7"/>
  <c r="BS355" i="7"/>
  <c r="BS352" i="7"/>
  <c r="BT352" i="7"/>
  <c r="BT357" i="7"/>
  <c r="BT355" i="7"/>
  <c r="BS326" i="7"/>
  <c r="BT348" i="7"/>
  <c r="BT326" i="7" s="1"/>
  <c r="BV54" i="7"/>
  <c r="BV67" i="7" s="1"/>
  <c r="BX779" i="7"/>
  <c r="BX832" i="7"/>
  <c r="BX884" i="7"/>
  <c r="BX889" i="7"/>
  <c r="BX774" i="7"/>
  <c r="BX777" i="7"/>
  <c r="BX829" i="7"/>
  <c r="BX834" i="7"/>
  <c r="BX887" i="7"/>
  <c r="BX352" i="7"/>
  <c r="BX357" i="7"/>
  <c r="BX355" i="7"/>
  <c r="BX800" i="7"/>
  <c r="BY825" i="7"/>
  <c r="BY800" i="7" s="1"/>
  <c r="BX330" i="7"/>
  <c r="BX354" i="7" s="1"/>
  <c r="BX366" i="7"/>
  <c r="BX363" i="7"/>
  <c r="BX368" i="7"/>
  <c r="BV326" i="7"/>
  <c r="BY348" i="7"/>
  <c r="BY326" i="7" s="1"/>
  <c r="BV352" i="7"/>
  <c r="BV357" i="7"/>
  <c r="BV355" i="7"/>
  <c r="BY355" i="7"/>
  <c r="BY352" i="7"/>
  <c r="BY357" i="7"/>
  <c r="BX438" i="7"/>
  <c r="BX432" i="7"/>
  <c r="BQ497" i="7"/>
  <c r="BQ499" i="7"/>
  <c r="BQ494" i="7"/>
  <c r="CC432" i="7"/>
  <c r="CC438" i="7"/>
  <c r="CA497" i="7"/>
  <c r="CA499" i="7"/>
  <c r="BZ136" i="5"/>
  <c r="BZ164" i="5" s="1"/>
  <c r="BZ56" i="5"/>
  <c r="BY431" i="7"/>
  <c r="BY432" i="7" s="1"/>
  <c r="BY49" i="5"/>
  <c r="BY157" i="5" s="1"/>
  <c r="CD497" i="7"/>
  <c r="CD499" i="7"/>
  <c r="BQ468" i="7"/>
  <c r="BT490" i="7"/>
  <c r="BT468" i="7" s="1"/>
  <c r="BS432" i="7"/>
  <c r="BS438" i="7"/>
  <c r="BZ290" i="7"/>
  <c r="BZ53" i="7"/>
  <c r="BZ296" i="7"/>
  <c r="BZ274" i="7" s="1"/>
  <c r="BT494" i="7"/>
  <c r="BT497" i="7"/>
  <c r="BT499" i="7"/>
  <c r="BV468" i="7"/>
  <c r="BY490" i="7"/>
  <c r="BY468" i="7" s="1"/>
  <c r="CD49" i="5"/>
  <c r="CD157" i="5" s="1"/>
  <c r="CD431" i="7"/>
  <c r="CD432" i="7" s="1"/>
  <c r="BT49" i="5"/>
  <c r="BT157" i="5" s="1"/>
  <c r="BT431" i="7"/>
  <c r="BT432" i="7" s="1"/>
  <c r="BV494" i="7"/>
  <c r="BV497" i="7"/>
  <c r="BV499" i="7"/>
  <c r="CA468" i="7"/>
  <c r="BJ431" i="7"/>
  <c r="BS290" i="7"/>
  <c r="BS296" i="7"/>
  <c r="BS274" i="7" s="1"/>
  <c r="BP136" i="5"/>
  <c r="BP164" i="5" s="1"/>
  <c r="BP56" i="5"/>
  <c r="CD236" i="7"/>
  <c r="CD56" i="1"/>
  <c r="CD19" i="5"/>
  <c r="BU53" i="7"/>
  <c r="BU296" i="7"/>
  <c r="BU60" i="7" s="1"/>
  <c r="BU290" i="7"/>
  <c r="BS127" i="5"/>
  <c r="BS164" i="5" s="1"/>
  <c r="BS56" i="5"/>
  <c r="CC296" i="7"/>
  <c r="CC290" i="7"/>
  <c r="BS724" i="7"/>
  <c r="BS727" i="7"/>
  <c r="BS689" i="7"/>
  <c r="BS729" i="7"/>
  <c r="BP688" i="7"/>
  <c r="BP714" i="7"/>
  <c r="BP717" i="7"/>
  <c r="BX545" i="7"/>
  <c r="CC685" i="7"/>
  <c r="CD710" i="7"/>
  <c r="CD685" i="7" s="1"/>
  <c r="BU545" i="7"/>
  <c r="BV172" i="1"/>
  <c r="BU172" i="1"/>
  <c r="BW172" i="1"/>
  <c r="BY95" i="9"/>
  <c r="BX172" i="1"/>
  <c r="BT28" i="5"/>
  <c r="BT136" i="5" s="1"/>
  <c r="BT289" i="7"/>
  <c r="BT290" i="7" s="1"/>
  <c r="BO289" i="7"/>
  <c r="BX243" i="7"/>
  <c r="BX53" i="7"/>
  <c r="BX237" i="7"/>
  <c r="BT19" i="5"/>
  <c r="BT236" i="7"/>
  <c r="BT56" i="1"/>
  <c r="CC237" i="7"/>
  <c r="CC243" i="7"/>
  <c r="CC53" i="7"/>
  <c r="BO236" i="7"/>
  <c r="BO243" i="7" s="1"/>
  <c r="BO244" i="7" s="1"/>
  <c r="BS714" i="7"/>
  <c r="BS717" i="7"/>
  <c r="BS688" i="7"/>
  <c r="BP545" i="7"/>
  <c r="BR172" i="1"/>
  <c r="BP172" i="1"/>
  <c r="BQ172" i="1"/>
  <c r="BS172" i="1"/>
  <c r="BT95" i="9"/>
  <c r="CC688" i="7"/>
  <c r="CC714" i="7"/>
  <c r="CC717" i="7"/>
  <c r="BU685" i="7"/>
  <c r="BY710" i="7"/>
  <c r="BY685" i="7" s="1"/>
  <c r="BU136" i="5"/>
  <c r="BU164" i="5" s="1"/>
  <c r="BU56" i="5"/>
  <c r="BS53" i="7"/>
  <c r="BS237" i="7"/>
  <c r="BS243" i="7"/>
  <c r="BS545" i="7"/>
  <c r="BX689" i="7"/>
  <c r="BX724" i="7"/>
  <c r="BX727" i="7"/>
  <c r="BX729" i="7"/>
  <c r="CC545" i="7"/>
  <c r="BU717" i="7"/>
  <c r="BU688" i="7"/>
  <c r="BU714" i="7"/>
  <c r="BP290" i="7"/>
  <c r="BP53" i="7"/>
  <c r="BP296" i="7"/>
  <c r="BP60" i="7" s="1"/>
  <c r="BX56" i="5"/>
  <c r="BX127" i="5"/>
  <c r="BX164" i="5" s="1"/>
  <c r="BY289" i="7"/>
  <c r="BY290" i="7" s="1"/>
  <c r="BY28" i="5"/>
  <c r="BY136" i="5" s="1"/>
  <c r="BJ289" i="7"/>
  <c r="CC56" i="5"/>
  <c r="CC127" i="5"/>
  <c r="CC164" i="5" s="1"/>
  <c r="BX290" i="7"/>
  <c r="BX296" i="7"/>
  <c r="BX274" i="7" s="1"/>
  <c r="BZ172" i="1"/>
  <c r="CA172" i="1"/>
  <c r="CB172" i="1"/>
  <c r="CC172" i="1"/>
  <c r="CD95" i="9"/>
  <c r="CD28" i="5"/>
  <c r="CD136" i="5" s="1"/>
  <c r="CD289" i="7"/>
  <c r="CD290" i="7" s="1"/>
  <c r="BJ236" i="7"/>
  <c r="BJ243" i="7" s="1"/>
  <c r="BJ244" i="7" s="1"/>
  <c r="BJ56" i="1"/>
  <c r="BP685" i="7"/>
  <c r="BT710" i="7"/>
  <c r="BT685" i="7" s="1"/>
  <c r="BF172" i="1"/>
  <c r="BH172" i="1"/>
  <c r="BG172" i="1"/>
  <c r="BI172" i="1"/>
  <c r="BX714" i="7"/>
  <c r="BX717" i="7"/>
  <c r="BX688" i="7"/>
  <c r="BT804" i="7"/>
  <c r="BP831" i="7"/>
  <c r="CD804" i="7"/>
  <c r="BZ831" i="7"/>
  <c r="BZ716" i="7"/>
  <c r="CA249" i="7"/>
  <c r="BZ354" i="7"/>
  <c r="BZ496" i="7"/>
  <c r="BU496" i="7"/>
  <c r="BU225" i="7"/>
  <c r="BU259" i="7"/>
  <c r="BU262" i="7"/>
  <c r="BU264" i="7"/>
  <c r="BW249" i="7"/>
  <c r="BU831" i="7"/>
  <c r="BP354" i="7"/>
  <c r="BW64" i="7"/>
  <c r="BW67" i="7"/>
  <c r="BW69" i="7"/>
  <c r="BP225" i="7"/>
  <c r="BP259" i="7"/>
  <c r="BP262" i="7"/>
  <c r="BP264" i="7"/>
  <c r="BO484" i="7" l="1"/>
  <c r="BO490" i="7"/>
  <c r="BO491" i="7" s="1"/>
  <c r="BO355" i="7"/>
  <c r="BO357" i="7"/>
  <c r="BO358" i="7"/>
  <c r="BO290" i="7"/>
  <c r="BO305" i="7" s="1"/>
  <c r="BO296" i="7"/>
  <c r="BO297" i="7" s="1"/>
  <c r="BO499" i="7"/>
  <c r="BO495" i="7"/>
  <c r="BO498" i="7"/>
  <c r="BO502" i="7" s="1"/>
  <c r="BO494" i="7"/>
  <c r="BO497" i="7"/>
  <c r="BO496" i="7"/>
  <c r="BO513" i="7"/>
  <c r="BO500" i="7"/>
  <c r="BO302" i="7"/>
  <c r="BO300" i="7"/>
  <c r="BO319" i="7"/>
  <c r="BL172" i="1"/>
  <c r="BK172" i="1"/>
  <c r="BM172" i="1"/>
  <c r="BJ355" i="7"/>
  <c r="BJ500" i="7"/>
  <c r="BN172" i="1"/>
  <c r="BJ356" i="7"/>
  <c r="BJ360" i="7" s="1"/>
  <c r="BJ499" i="7"/>
  <c r="BJ498" i="7"/>
  <c r="BJ502" i="7" s="1"/>
  <c r="BJ358" i="7"/>
  <c r="BJ352" i="7"/>
  <c r="BJ357" i="7"/>
  <c r="BJ497" i="7"/>
  <c r="BJ495" i="7"/>
  <c r="BJ432" i="7"/>
  <c r="BJ461" i="7" s="1"/>
  <c r="CH424" i="7" s="1"/>
  <c r="CK424" i="7" s="1"/>
  <c r="CL424" i="7" s="1"/>
  <c r="BJ438" i="7"/>
  <c r="BJ439" i="7" s="1"/>
  <c r="BJ354" i="7"/>
  <c r="BJ290" i="7"/>
  <c r="BJ303" i="7" s="1"/>
  <c r="BJ296" i="7"/>
  <c r="BJ297" i="7" s="1"/>
  <c r="CD357" i="7"/>
  <c r="CB69" i="7"/>
  <c r="BY494" i="7"/>
  <c r="BY499" i="7"/>
  <c r="BY56" i="1"/>
  <c r="CC354" i="7"/>
  <c r="CC355" i="7"/>
  <c r="CC357" i="7"/>
  <c r="BH170" i="5"/>
  <c r="BS494" i="7"/>
  <c r="BG169" i="5"/>
  <c r="BG170" i="5" s="1"/>
  <c r="BY236" i="7"/>
  <c r="BY53" i="7" s="1"/>
  <c r="BS499" i="7"/>
  <c r="BS496" i="7"/>
  <c r="BS60" i="7"/>
  <c r="BX60" i="7"/>
  <c r="BQ221" i="7"/>
  <c r="BQ264" i="7" s="1"/>
  <c r="BQ60" i="7"/>
  <c r="BZ221" i="7"/>
  <c r="BZ225" i="7" s="1"/>
  <c r="BZ249" i="7" s="1"/>
  <c r="BZ60" i="7"/>
  <c r="CA60" i="7"/>
  <c r="CC60" i="7"/>
  <c r="BR221" i="7"/>
  <c r="BR259" i="7" s="1"/>
  <c r="BR60" i="7"/>
  <c r="CD490" i="7"/>
  <c r="CD468" i="7" s="1"/>
  <c r="CD508" i="7" s="1"/>
  <c r="CB170" i="5"/>
  <c r="CC497" i="7"/>
  <c r="CC499" i="7"/>
  <c r="CC472" i="7"/>
  <c r="CC496" i="7" s="1"/>
  <c r="CC510" i="7"/>
  <c r="CC508" i="7"/>
  <c r="BR247" i="7"/>
  <c r="BR252" i="7"/>
  <c r="BR54" i="7"/>
  <c r="BR250" i="7"/>
  <c r="BR169" i="5"/>
  <c r="BW167" i="5"/>
  <c r="BR173" i="5"/>
  <c r="BG167" i="5"/>
  <c r="BG173" i="5"/>
  <c r="BZ250" i="7"/>
  <c r="BZ252" i="7"/>
  <c r="CA69" i="7"/>
  <c r="BQ64" i="7"/>
  <c r="BQ67" i="7"/>
  <c r="BQ69" i="7"/>
  <c r="BQ247" i="7"/>
  <c r="BQ250" i="7"/>
  <c r="BQ252" i="7"/>
  <c r="CA67" i="7"/>
  <c r="CA445" i="7"/>
  <c r="CA447" i="7"/>
  <c r="CA366" i="7"/>
  <c r="CA368" i="7"/>
  <c r="CA330" i="7"/>
  <c r="CD368" i="7"/>
  <c r="CD366" i="7"/>
  <c r="BV64" i="7"/>
  <c r="BV69" i="7"/>
  <c r="BT366" i="7"/>
  <c r="BT363" i="7"/>
  <c r="BT368" i="7"/>
  <c r="BS363" i="7"/>
  <c r="BS368" i="7"/>
  <c r="BS330" i="7"/>
  <c r="BS366" i="7"/>
  <c r="BX804" i="7"/>
  <c r="BV363" i="7"/>
  <c r="BV368" i="7"/>
  <c r="BV330" i="7"/>
  <c r="BV366" i="7"/>
  <c r="BZ278" i="7"/>
  <c r="BL169" i="5"/>
  <c r="BL167" i="5"/>
  <c r="BL173" i="5"/>
  <c r="BQ167" i="5"/>
  <c r="BY363" i="7"/>
  <c r="BY368" i="7"/>
  <c r="BY366" i="7"/>
  <c r="BZ316" i="7"/>
  <c r="BV510" i="7"/>
  <c r="BV472" i="7"/>
  <c r="BV505" i="7"/>
  <c r="BV508" i="7"/>
  <c r="BS442" i="7"/>
  <c r="BS447" i="7"/>
  <c r="BS445" i="7"/>
  <c r="BQ510" i="7"/>
  <c r="BQ505" i="7"/>
  <c r="BQ472" i="7"/>
  <c r="BQ508" i="7"/>
  <c r="CC447" i="7"/>
  <c r="CC445" i="7"/>
  <c r="BT445" i="7"/>
  <c r="BT447" i="7"/>
  <c r="BT442" i="7"/>
  <c r="BY510" i="7"/>
  <c r="BY505" i="7"/>
  <c r="BY508" i="7"/>
  <c r="BT438" i="7"/>
  <c r="BT439" i="7" s="1"/>
  <c r="BT505" i="7"/>
  <c r="BT508" i="7"/>
  <c r="BT510" i="7"/>
  <c r="BZ169" i="5"/>
  <c r="BZ173" i="5"/>
  <c r="CD438" i="7"/>
  <c r="CD439" i="7" s="1"/>
  <c r="BY438" i="7"/>
  <c r="BY439" i="7" s="1"/>
  <c r="BZ314" i="7"/>
  <c r="CA508" i="7"/>
  <c r="CA472" i="7"/>
  <c r="CA510" i="7"/>
  <c r="CD447" i="7"/>
  <c r="CD445" i="7"/>
  <c r="BZ303" i="7"/>
  <c r="BZ305" i="7"/>
  <c r="BZ54" i="7"/>
  <c r="BY442" i="7"/>
  <c r="BY445" i="7"/>
  <c r="BY447" i="7"/>
  <c r="BX445" i="7"/>
  <c r="BX447" i="7"/>
  <c r="BX442" i="7"/>
  <c r="BP727" i="7"/>
  <c r="BP729" i="7"/>
  <c r="BP689" i="7"/>
  <c r="BP724" i="7"/>
  <c r="CD305" i="7"/>
  <c r="CD303" i="7"/>
  <c r="BY56" i="5"/>
  <c r="BY127" i="5"/>
  <c r="BX305" i="7"/>
  <c r="BX300" i="7"/>
  <c r="BX303" i="7"/>
  <c r="BY305" i="7"/>
  <c r="BY300" i="7"/>
  <c r="BY303" i="7"/>
  <c r="BZ167" i="5"/>
  <c r="BU167" i="5"/>
  <c r="BU169" i="5"/>
  <c r="BU173" i="5"/>
  <c r="BY727" i="7"/>
  <c r="BY729" i="7"/>
  <c r="BY724" i="7"/>
  <c r="BP555" i="7"/>
  <c r="BP558" i="7"/>
  <c r="BP560" i="7"/>
  <c r="CC252" i="7"/>
  <c r="CC54" i="7"/>
  <c r="CC250" i="7"/>
  <c r="BX54" i="7"/>
  <c r="BX250" i="7"/>
  <c r="BX252" i="7"/>
  <c r="BX247" i="7"/>
  <c r="BT305" i="7"/>
  <c r="BT300" i="7"/>
  <c r="BT303" i="7"/>
  <c r="BU558" i="7"/>
  <c r="BU560" i="7"/>
  <c r="BU555" i="7"/>
  <c r="BS716" i="7"/>
  <c r="BU303" i="7"/>
  <c r="BU305" i="7"/>
  <c r="BU54" i="7"/>
  <c r="BU300" i="7"/>
  <c r="BK167" i="5"/>
  <c r="BK169" i="5"/>
  <c r="BK173" i="5"/>
  <c r="BS316" i="7"/>
  <c r="BS278" i="7"/>
  <c r="BS302" i="7" s="1"/>
  <c r="BS311" i="7"/>
  <c r="BS314" i="7"/>
  <c r="BX725" i="7"/>
  <c r="BD169" i="5"/>
  <c r="BD170" i="5" s="1"/>
  <c r="BD173" i="5"/>
  <c r="BD167" i="5"/>
  <c r="BX173" i="5"/>
  <c r="BX167" i="5"/>
  <c r="BX169" i="5"/>
  <c r="BT296" i="7"/>
  <c r="BT274" i="7" s="1"/>
  <c r="BP274" i="7"/>
  <c r="CC560" i="7"/>
  <c r="CC555" i="7"/>
  <c r="CC558" i="7"/>
  <c r="BX716" i="7"/>
  <c r="BU724" i="7"/>
  <c r="BU727" i="7"/>
  <c r="BU729" i="7"/>
  <c r="BU689" i="7"/>
  <c r="BT113" i="9"/>
  <c r="BT166" i="9"/>
  <c r="BT156" i="9"/>
  <c r="BS725" i="7"/>
  <c r="BO237" i="7"/>
  <c r="CC303" i="7"/>
  <c r="CC305" i="7"/>
  <c r="BY296" i="7"/>
  <c r="BY274" i="7" s="1"/>
  <c r="BU274" i="7"/>
  <c r="CD237" i="7"/>
  <c r="CD53" i="7"/>
  <c r="BS300" i="7"/>
  <c r="BS303" i="7"/>
  <c r="BS305" i="7"/>
  <c r="CD113" i="9"/>
  <c r="CD140" i="9"/>
  <c r="BY688" i="7"/>
  <c r="BU725" i="7"/>
  <c r="BS221" i="7"/>
  <c r="BT243" i="7"/>
  <c r="BF167" i="5"/>
  <c r="BF169" i="5"/>
  <c r="BF173" i="5"/>
  <c r="BI167" i="5"/>
  <c r="BI169" i="5"/>
  <c r="BI173" i="5"/>
  <c r="CD688" i="7"/>
  <c r="CC725" i="7"/>
  <c r="BT53" i="7"/>
  <c r="BT237" i="7"/>
  <c r="BX221" i="7"/>
  <c r="BY243" i="7"/>
  <c r="CD724" i="7"/>
  <c r="CD729" i="7"/>
  <c r="CD727" i="7"/>
  <c r="BX560" i="7"/>
  <c r="BX555" i="7"/>
  <c r="BX558" i="7"/>
  <c r="BP725" i="7"/>
  <c r="BT688" i="7"/>
  <c r="CC274" i="7"/>
  <c r="CD296" i="7"/>
  <c r="CD274" i="7" s="1"/>
  <c r="BS169" i="5"/>
  <c r="BS173" i="5"/>
  <c r="BA173" i="5"/>
  <c r="BA167" i="5"/>
  <c r="BA169" i="5"/>
  <c r="BA170" i="5" s="1"/>
  <c r="BT727" i="7"/>
  <c r="BT729" i="7"/>
  <c r="BT724" i="7"/>
  <c r="BJ53" i="7"/>
  <c r="BJ237" i="7"/>
  <c r="BX316" i="7"/>
  <c r="BX278" i="7"/>
  <c r="BX302" i="7" s="1"/>
  <c r="BX311" i="7"/>
  <c r="BX314" i="7"/>
  <c r="CC167" i="5"/>
  <c r="CC169" i="5"/>
  <c r="CC173" i="5"/>
  <c r="BP303" i="7"/>
  <c r="BP305" i="7"/>
  <c r="BP54" i="7"/>
  <c r="BP300" i="7"/>
  <c r="BS555" i="7"/>
  <c r="BS558" i="7"/>
  <c r="BS560" i="7"/>
  <c r="BS247" i="7"/>
  <c r="BS54" i="7"/>
  <c r="BS250" i="7"/>
  <c r="BS252" i="7"/>
  <c r="BO127" i="5"/>
  <c r="CC221" i="7"/>
  <c r="CD243" i="7"/>
  <c r="BT56" i="5"/>
  <c r="BT127" i="5"/>
  <c r="BY113" i="9"/>
  <c r="BY140" i="9"/>
  <c r="BY156" i="9"/>
  <c r="BY166" i="9"/>
  <c r="CC727" i="7"/>
  <c r="CC729" i="7"/>
  <c r="CC689" i="7"/>
  <c r="CC724" i="7"/>
  <c r="CD56" i="5"/>
  <c r="CD53" i="10" s="1"/>
  <c r="CD127" i="5"/>
  <c r="BP167" i="5"/>
  <c r="BP169" i="5"/>
  <c r="BP173" i="5"/>
  <c r="BT831" i="7"/>
  <c r="BP249" i="7"/>
  <c r="BU249" i="7"/>
  <c r="BO306" i="7" l="1"/>
  <c r="BO303" i="7"/>
  <c r="BO301" i="7"/>
  <c r="BO304" i="7"/>
  <c r="BO308" i="7" s="1"/>
  <c r="BO250" i="7"/>
  <c r="BO249" i="7"/>
  <c r="BO247" i="7"/>
  <c r="BO248" i="7"/>
  <c r="BO251" i="7"/>
  <c r="BO256" i="7" s="1"/>
  <c r="BO252" i="7"/>
  <c r="BO254" i="7"/>
  <c r="BO253" i="7"/>
  <c r="BO267" i="7"/>
  <c r="BO161" i="9"/>
  <c r="BT162" i="9"/>
  <c r="BT171" i="9"/>
  <c r="BO166" i="9"/>
  <c r="BO171" i="9"/>
  <c r="BY171" i="9"/>
  <c r="BY161" i="9"/>
  <c r="BT140" i="9"/>
  <c r="BT161" i="9"/>
  <c r="BO140" i="9"/>
  <c r="BJ305" i="7"/>
  <c r="BR167" i="5"/>
  <c r="BJ442" i="7"/>
  <c r="BJ447" i="7"/>
  <c r="BJ448" i="7"/>
  <c r="BY237" i="7"/>
  <c r="BY247" i="7" s="1"/>
  <c r="BJ306" i="7"/>
  <c r="BJ304" i="7"/>
  <c r="BJ308" i="7" s="1"/>
  <c r="BO56" i="1"/>
  <c r="BO431" i="7"/>
  <c r="BO438" i="7" s="1"/>
  <c r="BO439" i="7" s="1"/>
  <c r="BM169" i="5"/>
  <c r="BM170" i="5" s="1"/>
  <c r="BM173" i="5"/>
  <c r="BM167" i="5"/>
  <c r="BJ443" i="7"/>
  <c r="BJ444" i="7"/>
  <c r="BJ445" i="7"/>
  <c r="BJ446" i="7"/>
  <c r="BJ450" i="7" s="1"/>
  <c r="BJ302" i="7"/>
  <c r="BJ301" i="7"/>
  <c r="BJ300" i="7"/>
  <c r="BT495" i="7"/>
  <c r="BT353" i="7"/>
  <c r="BJ248" i="7"/>
  <c r="BJ254" i="7"/>
  <c r="BJ267" i="7"/>
  <c r="CH229" i="7" s="1"/>
  <c r="CK229" i="7" s="1"/>
  <c r="CL229" i="7" s="1"/>
  <c r="BJ253" i="7"/>
  <c r="BJ249" i="7"/>
  <c r="BJ252" i="7"/>
  <c r="BJ251" i="7"/>
  <c r="BJ256" i="7" s="1"/>
  <c r="BJ247" i="7"/>
  <c r="BJ250" i="7"/>
  <c r="BT416" i="7"/>
  <c r="BR225" i="7"/>
  <c r="BR249" i="7" s="1"/>
  <c r="BR264" i="7"/>
  <c r="BZ264" i="7"/>
  <c r="BQ262" i="7"/>
  <c r="BR262" i="7"/>
  <c r="BQ259" i="7"/>
  <c r="BQ225" i="7"/>
  <c r="BQ249" i="7" s="1"/>
  <c r="BZ262" i="7"/>
  <c r="BJ60" i="7"/>
  <c r="BY221" i="7"/>
  <c r="BY264" i="7" s="1"/>
  <c r="BY60" i="7"/>
  <c r="BT221" i="7"/>
  <c r="BT259" i="7" s="1"/>
  <c r="BT60" i="7"/>
  <c r="CD221" i="7"/>
  <c r="CD264" i="7" s="1"/>
  <c r="CD60" i="7"/>
  <c r="BZ302" i="7"/>
  <c r="CD510" i="7"/>
  <c r="CC170" i="5"/>
  <c r="BT53" i="10"/>
  <c r="BT100" i="10"/>
  <c r="BJ100" i="10"/>
  <c r="BY100" i="10"/>
  <c r="BY53" i="10"/>
  <c r="BP170" i="5"/>
  <c r="BW170" i="5"/>
  <c r="BR69" i="7"/>
  <c r="BR67" i="7"/>
  <c r="BR64" i="7"/>
  <c r="BI170" i="5"/>
  <c r="BK170" i="5"/>
  <c r="BU170" i="5"/>
  <c r="BX170" i="5"/>
  <c r="BF170" i="5"/>
  <c r="BL170" i="5"/>
  <c r="BQ170" i="5"/>
  <c r="BZ170" i="5"/>
  <c r="CA354" i="7"/>
  <c r="CD330" i="7"/>
  <c r="BS354" i="7"/>
  <c r="BT330" i="7"/>
  <c r="BX831" i="7"/>
  <c r="BY804" i="7"/>
  <c r="BE337" i="7"/>
  <c r="BE371" i="7" s="1"/>
  <c r="CH333" i="7" s="1"/>
  <c r="CK333" i="7" s="1"/>
  <c r="CL333" i="7" s="1"/>
  <c r="BV354" i="7"/>
  <c r="BY330" i="7"/>
  <c r="BV496" i="7"/>
  <c r="BY472" i="7"/>
  <c r="BQ496" i="7"/>
  <c r="BT472" i="7"/>
  <c r="BZ69" i="7"/>
  <c r="BZ67" i="7"/>
  <c r="CA496" i="7"/>
  <c r="CD472" i="7"/>
  <c r="BT164" i="5"/>
  <c r="BP69" i="7"/>
  <c r="BP64" i="7"/>
  <c r="BP67" i="7"/>
  <c r="BT725" i="7"/>
  <c r="BU314" i="7"/>
  <c r="BU278" i="7"/>
  <c r="BU316" i="7"/>
  <c r="BU311" i="7"/>
  <c r="BJ102" i="10"/>
  <c r="BY164" i="5"/>
  <c r="BT689" i="7"/>
  <c r="BP716" i="7"/>
  <c r="CC716" i="7"/>
  <c r="CD689" i="7"/>
  <c r="BY157" i="9"/>
  <c r="BY167" i="9"/>
  <c r="BY141" i="9"/>
  <c r="BJ54" i="7"/>
  <c r="BY725" i="7"/>
  <c r="CD141" i="9"/>
  <c r="BY311" i="7"/>
  <c r="BY314" i="7"/>
  <c r="BY316" i="7"/>
  <c r="BT167" i="9"/>
  <c r="BT157" i="9"/>
  <c r="BY689" i="7"/>
  <c r="BU716" i="7"/>
  <c r="BX69" i="7"/>
  <c r="BX64" i="7"/>
  <c r="BX67" i="7"/>
  <c r="CD164" i="5"/>
  <c r="BS64" i="7"/>
  <c r="BS67" i="7"/>
  <c r="BS69" i="7"/>
  <c r="CD314" i="7"/>
  <c r="CD316" i="7"/>
  <c r="BX264" i="7"/>
  <c r="BX225" i="7"/>
  <c r="BX259" i="7"/>
  <c r="BX262" i="7"/>
  <c r="BP278" i="7"/>
  <c r="BP316" i="7"/>
  <c r="BP311" i="7"/>
  <c r="BP314" i="7"/>
  <c r="BU64" i="7"/>
  <c r="BU67" i="7"/>
  <c r="BU69" i="7"/>
  <c r="CC262" i="7"/>
  <c r="CC225" i="7"/>
  <c r="CC264" i="7"/>
  <c r="CC314" i="7"/>
  <c r="CC316" i="7"/>
  <c r="CC278" i="7"/>
  <c r="BT250" i="7"/>
  <c r="BT252" i="7"/>
  <c r="BT54" i="7"/>
  <c r="BT247" i="7"/>
  <c r="CD725" i="7"/>
  <c r="BS262" i="7"/>
  <c r="BS264" i="7"/>
  <c r="BS225" i="7"/>
  <c r="BS259" i="7"/>
  <c r="CD54" i="7"/>
  <c r="CD250" i="7"/>
  <c r="CD252" i="7"/>
  <c r="BT316" i="7"/>
  <c r="BT311" i="7"/>
  <c r="BT314" i="7"/>
  <c r="CC67" i="7"/>
  <c r="CC69" i="7"/>
  <c r="BY162" i="9" l="1"/>
  <c r="BO141" i="9"/>
  <c r="BT141" i="9"/>
  <c r="BO172" i="9"/>
  <c r="BT172" i="9"/>
  <c r="BY172" i="9"/>
  <c r="BO167" i="9"/>
  <c r="BO162" i="9"/>
  <c r="BY54" i="7"/>
  <c r="BY69" i="7" s="1"/>
  <c r="BY250" i="7"/>
  <c r="BY252" i="7"/>
  <c r="BR170" i="5"/>
  <c r="BN167" i="5"/>
  <c r="BN173" i="5"/>
  <c r="BN169" i="5"/>
  <c r="BS167" i="5"/>
  <c r="BO432" i="7"/>
  <c r="BO53" i="7"/>
  <c r="BQ495" i="7"/>
  <c r="BQ471" i="7" s="1"/>
  <c r="BQ506" i="7" s="1"/>
  <c r="BY495" i="7"/>
  <c r="BP495" i="7"/>
  <c r="BP471" i="7" s="1"/>
  <c r="BS495" i="7"/>
  <c r="BS471" i="7" s="1"/>
  <c r="BS506" i="7" s="1"/>
  <c r="BR495" i="7"/>
  <c r="BR471" i="7" s="1"/>
  <c r="BR506" i="7" s="1"/>
  <c r="BY353" i="7"/>
  <c r="BQ353" i="7"/>
  <c r="BQ329" i="7" s="1"/>
  <c r="BQ364" i="7" s="1"/>
  <c r="BS353" i="7"/>
  <c r="BS329" i="7" s="1"/>
  <c r="BS364" i="7" s="1"/>
  <c r="BP353" i="7"/>
  <c r="BP329" i="7" s="1"/>
  <c r="BR353" i="7"/>
  <c r="BR329" i="7" s="1"/>
  <c r="BR364" i="7" s="1"/>
  <c r="BT301" i="7"/>
  <c r="BT453" i="7"/>
  <c r="BT456" i="7"/>
  <c r="BT458" i="7"/>
  <c r="BU439" i="7"/>
  <c r="BU416" i="7" s="1"/>
  <c r="BV439" i="7"/>
  <c r="BV416" i="7" s="1"/>
  <c r="BW439" i="7"/>
  <c r="BW416" i="7" s="1"/>
  <c r="BX439" i="7"/>
  <c r="BX416" i="7" s="1"/>
  <c r="BZ439" i="7"/>
  <c r="BZ416" i="7" s="1"/>
  <c r="CA439" i="7"/>
  <c r="CA416" i="7" s="1"/>
  <c r="CB439" i="7"/>
  <c r="CB416" i="7" s="1"/>
  <c r="CC439" i="7"/>
  <c r="CC416" i="7" s="1"/>
  <c r="BY416" i="7"/>
  <c r="CD416" i="7"/>
  <c r="BQ439" i="7"/>
  <c r="BQ416" i="7" s="1"/>
  <c r="BR439" i="7"/>
  <c r="BR416" i="7" s="1"/>
  <c r="BS439" i="7"/>
  <c r="BS416" i="7" s="1"/>
  <c r="BP439" i="7"/>
  <c r="BP416" i="7" s="1"/>
  <c r="BY102" i="10"/>
  <c r="BT102" i="10"/>
  <c r="BT38" i="7"/>
  <c r="BT80" i="7" s="1"/>
  <c r="BY262" i="7"/>
  <c r="BT264" i="7"/>
  <c r="BJ77" i="7"/>
  <c r="BT262" i="7"/>
  <c r="BY259" i="7"/>
  <c r="CD262" i="7"/>
  <c r="BE814" i="7"/>
  <c r="BE16" i="7" s="1"/>
  <c r="CD354" i="7"/>
  <c r="BT354" i="7"/>
  <c r="BY354" i="7"/>
  <c r="CD496" i="7"/>
  <c r="BT496" i="7"/>
  <c r="BE479" i="7"/>
  <c r="BE513" i="7" s="1"/>
  <c r="CH475" i="7" s="1"/>
  <c r="CK475" i="7" s="1"/>
  <c r="CL475" i="7" s="1"/>
  <c r="BY496" i="7"/>
  <c r="BT69" i="7"/>
  <c r="BT64" i="7"/>
  <c r="BT67" i="7"/>
  <c r="CC302" i="7"/>
  <c r="CD278" i="7"/>
  <c r="BT716" i="7"/>
  <c r="BY173" i="5"/>
  <c r="BY167" i="5"/>
  <c r="BY169" i="5"/>
  <c r="CD69" i="7"/>
  <c r="CD67" i="7"/>
  <c r="BS249" i="7"/>
  <c r="BT225" i="7"/>
  <c r="BJ69" i="7"/>
  <c r="BJ64" i="7"/>
  <c r="BJ67" i="7"/>
  <c r="BT169" i="5"/>
  <c r="BT173" i="5"/>
  <c r="CC249" i="7"/>
  <c r="CD225" i="7"/>
  <c r="CD169" i="5"/>
  <c r="CD173" i="5"/>
  <c r="CD167" i="5"/>
  <c r="BY716" i="7"/>
  <c r="BJ169" i="5"/>
  <c r="BJ173" i="5"/>
  <c r="BY278" i="7"/>
  <c r="BY302" i="7" s="1"/>
  <c r="BU302" i="7"/>
  <c r="BT278" i="7"/>
  <c r="BP302" i="7"/>
  <c r="BX249" i="7"/>
  <c r="BY225" i="7"/>
  <c r="CD716" i="7"/>
  <c r="BO442" i="7" l="1"/>
  <c r="BO447" i="7"/>
  <c r="BO446" i="7"/>
  <c r="BO450" i="7" s="1"/>
  <c r="BO443" i="7"/>
  <c r="BO445" i="7"/>
  <c r="BO448" i="7"/>
  <c r="BO461" i="7"/>
  <c r="BO444" i="7"/>
  <c r="BY64" i="7"/>
  <c r="BY67" i="7"/>
  <c r="CG167" i="5"/>
  <c r="CS133" i="5"/>
  <c r="CS134" i="5" s="1"/>
  <c r="BO60" i="7"/>
  <c r="BN170" i="5"/>
  <c r="BS170" i="5"/>
  <c r="BO100" i="10"/>
  <c r="BO53" i="10"/>
  <c r="BO54" i="7"/>
  <c r="CD495" i="7"/>
  <c r="BU495" i="7"/>
  <c r="BU471" i="7" s="1"/>
  <c r="BV495" i="7"/>
  <c r="BV471" i="7" s="1"/>
  <c r="BV506" i="7" s="1"/>
  <c r="BW495" i="7"/>
  <c r="BW471" i="7" s="1"/>
  <c r="BW506" i="7" s="1"/>
  <c r="BX495" i="7"/>
  <c r="BX471" i="7" s="1"/>
  <c r="BX506" i="7" s="1"/>
  <c r="BP506" i="7"/>
  <c r="BT471" i="7"/>
  <c r="BT506" i="7" s="1"/>
  <c r="BW353" i="7"/>
  <c r="BW329" i="7" s="1"/>
  <c r="BW364" i="7" s="1"/>
  <c r="BV353" i="7"/>
  <c r="BV329" i="7" s="1"/>
  <c r="BV364" i="7" s="1"/>
  <c r="BX353" i="7"/>
  <c r="BX329" i="7" s="1"/>
  <c r="BX364" i="7" s="1"/>
  <c r="BU353" i="7"/>
  <c r="BU329" i="7" s="1"/>
  <c r="CD353" i="7"/>
  <c r="BP364" i="7"/>
  <c r="BT329" i="7"/>
  <c r="BT364" i="7" s="1"/>
  <c r="BP301" i="7"/>
  <c r="BP277" i="7" s="1"/>
  <c r="BR301" i="7"/>
  <c r="BR277" i="7" s="1"/>
  <c r="BR312" i="7" s="1"/>
  <c r="BY301" i="7"/>
  <c r="BQ301" i="7"/>
  <c r="BQ277" i="7" s="1"/>
  <c r="BQ312" i="7" s="1"/>
  <c r="BS301" i="7"/>
  <c r="BS277" i="7" s="1"/>
  <c r="BS312" i="7" s="1"/>
  <c r="BT248" i="7"/>
  <c r="BJ29" i="10"/>
  <c r="CG171" i="5"/>
  <c r="BY38" i="7"/>
  <c r="BY82" i="7" s="1"/>
  <c r="CD38" i="7"/>
  <c r="CD80" i="7" s="1"/>
  <c r="BR453" i="7"/>
  <c r="BR456" i="7"/>
  <c r="BR458" i="7"/>
  <c r="BR420" i="7"/>
  <c r="BR38" i="7"/>
  <c r="CA458" i="7"/>
  <c r="CA38" i="7"/>
  <c r="CA456" i="7"/>
  <c r="CA420" i="7"/>
  <c r="BX456" i="7"/>
  <c r="BX458" i="7"/>
  <c r="BX38" i="7"/>
  <c r="BX420" i="7"/>
  <c r="BX453" i="7"/>
  <c r="BQ458" i="7"/>
  <c r="BQ420" i="7"/>
  <c r="BQ453" i="7"/>
  <c r="BQ456" i="7"/>
  <c r="BQ38" i="7"/>
  <c r="BY456" i="7"/>
  <c r="BY453" i="7"/>
  <c r="BY458" i="7"/>
  <c r="BZ420" i="7"/>
  <c r="BZ456" i="7"/>
  <c r="BZ458" i="7"/>
  <c r="BZ38" i="7"/>
  <c r="BW453" i="7"/>
  <c r="BW456" i="7"/>
  <c r="BW458" i="7"/>
  <c r="BW420" i="7"/>
  <c r="BW38" i="7"/>
  <c r="BP453" i="7"/>
  <c r="BP456" i="7"/>
  <c r="BP420" i="7"/>
  <c r="BP458" i="7"/>
  <c r="BP38" i="7"/>
  <c r="CD456" i="7"/>
  <c r="CD458" i="7"/>
  <c r="CC456" i="7"/>
  <c r="CC38" i="7"/>
  <c r="CC458" i="7"/>
  <c r="CC420" i="7"/>
  <c r="BV458" i="7"/>
  <c r="BV420" i="7"/>
  <c r="BV453" i="7"/>
  <c r="BV456" i="7"/>
  <c r="BV38" i="7"/>
  <c r="BS420" i="7"/>
  <c r="BS456" i="7"/>
  <c r="BS458" i="7"/>
  <c r="BS453" i="7"/>
  <c r="BS38" i="7"/>
  <c r="CB420" i="7"/>
  <c r="CB456" i="7"/>
  <c r="CB458" i="7"/>
  <c r="CB38" i="7"/>
  <c r="BU420" i="7"/>
  <c r="BU453" i="7"/>
  <c r="BU456" i="7"/>
  <c r="BU458" i="7"/>
  <c r="BU38" i="7"/>
  <c r="BJ82" i="7"/>
  <c r="BT77" i="7"/>
  <c r="BT82" i="7"/>
  <c r="BT61" i="7"/>
  <c r="BJ61" i="7"/>
  <c r="BJ80" i="7"/>
  <c r="CD170" i="5"/>
  <c r="BY170" i="5"/>
  <c r="CD249" i="7"/>
  <c r="BT249" i="7"/>
  <c r="BT98" i="9"/>
  <c r="BO151" i="9"/>
  <c r="CD302" i="7"/>
  <c r="BT302" i="7"/>
  <c r="BJ65" i="7"/>
  <c r="BJ78" i="7"/>
  <c r="BY249" i="7"/>
  <c r="BJ93" i="10"/>
  <c r="BT443" i="7" l="1"/>
  <c r="CD61" i="7"/>
  <c r="BO67" i="7"/>
  <c r="BO69" i="7"/>
  <c r="BO102" i="10"/>
  <c r="BO169" i="5"/>
  <c r="BO29" i="10" s="1"/>
  <c r="BT167" i="5"/>
  <c r="BO173" i="5"/>
  <c r="BO167" i="5"/>
  <c r="BU506" i="7"/>
  <c r="BY471" i="7"/>
  <c r="BY506" i="7" s="1"/>
  <c r="CC495" i="7"/>
  <c r="CC471" i="7" s="1"/>
  <c r="CC506" i="7" s="1"/>
  <c r="CA495" i="7"/>
  <c r="CA471" i="7" s="1"/>
  <c r="CA506" i="7" s="1"/>
  <c r="BZ495" i="7"/>
  <c r="BZ471" i="7" s="1"/>
  <c r="CB495" i="7"/>
  <c r="CB471" i="7" s="1"/>
  <c r="CB506" i="7" s="1"/>
  <c r="BU364" i="7"/>
  <c r="BY329" i="7"/>
  <c r="BY364" i="7" s="1"/>
  <c r="BZ353" i="7"/>
  <c r="BZ329" i="7" s="1"/>
  <c r="CB353" i="7"/>
  <c r="CB329" i="7" s="1"/>
  <c r="CB364" i="7" s="1"/>
  <c r="CA353" i="7"/>
  <c r="CA329" i="7" s="1"/>
  <c r="CA364" i="7" s="1"/>
  <c r="CC353" i="7"/>
  <c r="CC329" i="7" s="1"/>
  <c r="CC364" i="7" s="1"/>
  <c r="BP312" i="7"/>
  <c r="BT277" i="7"/>
  <c r="BT312" i="7" s="1"/>
  <c r="BX301" i="7"/>
  <c r="BX277" i="7" s="1"/>
  <c r="BX312" i="7" s="1"/>
  <c r="CD301" i="7"/>
  <c r="BU301" i="7"/>
  <c r="BU277" i="7" s="1"/>
  <c r="BV301" i="7"/>
  <c r="BV277" i="7" s="1"/>
  <c r="BV312" i="7" s="1"/>
  <c r="BW301" i="7"/>
  <c r="BW277" i="7" s="1"/>
  <c r="BW312" i="7" s="1"/>
  <c r="BY248" i="7"/>
  <c r="BP248" i="7"/>
  <c r="BP224" i="7" s="1"/>
  <c r="BQ248" i="7"/>
  <c r="BQ224" i="7" s="1"/>
  <c r="BR248" i="7"/>
  <c r="BR224" i="7" s="1"/>
  <c r="BS248" i="7"/>
  <c r="BS224" i="7" s="1"/>
  <c r="BY77" i="7"/>
  <c r="CD82" i="7"/>
  <c r="BY61" i="7"/>
  <c r="BY80" i="7"/>
  <c r="BU444" i="7"/>
  <c r="BY420" i="7"/>
  <c r="BU42" i="7"/>
  <c r="BS77" i="7"/>
  <c r="BS80" i="7"/>
  <c r="BS61" i="7"/>
  <c r="BS82" i="7"/>
  <c r="BS444" i="7"/>
  <c r="BS42" i="7"/>
  <c r="CC444" i="7"/>
  <c r="CC42" i="7"/>
  <c r="BW80" i="7"/>
  <c r="BW61" i="7"/>
  <c r="BW82" i="7"/>
  <c r="BW77" i="7"/>
  <c r="BX77" i="7"/>
  <c r="BX80" i="7"/>
  <c r="BX61" i="7"/>
  <c r="BX82" i="7"/>
  <c r="CA444" i="7"/>
  <c r="CA42" i="7"/>
  <c r="BR444" i="7"/>
  <c r="BR42" i="7"/>
  <c r="CB444" i="7"/>
  <c r="CB42" i="7"/>
  <c r="BP82" i="7"/>
  <c r="BP61" i="7"/>
  <c r="BP77" i="7"/>
  <c r="BP80" i="7"/>
  <c r="BW444" i="7"/>
  <c r="BW42" i="7"/>
  <c r="BZ82" i="7"/>
  <c r="BZ61" i="7"/>
  <c r="BZ80" i="7"/>
  <c r="BZ444" i="7"/>
  <c r="BZ42" i="7"/>
  <c r="CD420" i="7"/>
  <c r="CB82" i="7"/>
  <c r="CB80" i="7"/>
  <c r="CB61" i="7"/>
  <c r="BV80" i="7"/>
  <c r="BV61" i="7"/>
  <c r="BV77" i="7"/>
  <c r="BV82" i="7"/>
  <c r="BV444" i="7"/>
  <c r="BV42" i="7"/>
  <c r="BX444" i="7"/>
  <c r="BX42" i="7"/>
  <c r="CA82" i="7"/>
  <c r="CA80" i="7"/>
  <c r="CA61" i="7"/>
  <c r="BR80" i="7"/>
  <c r="BR77" i="7"/>
  <c r="BR82" i="7"/>
  <c r="BR61" i="7"/>
  <c r="BU80" i="7"/>
  <c r="BU82" i="7"/>
  <c r="BU77" i="7"/>
  <c r="BU61" i="7"/>
  <c r="CC82" i="7"/>
  <c r="CC61" i="7"/>
  <c r="CC80" i="7"/>
  <c r="BP444" i="7"/>
  <c r="BP42" i="7"/>
  <c r="BT420" i="7"/>
  <c r="BQ80" i="7"/>
  <c r="BQ82" i="7"/>
  <c r="BQ77" i="7"/>
  <c r="BQ61" i="7"/>
  <c r="BQ444" i="7"/>
  <c r="BQ42" i="7"/>
  <c r="BO132" i="9"/>
  <c r="BO152" i="9"/>
  <c r="BO93" i="10" s="1"/>
  <c r="BJ66" i="7"/>
  <c r="BJ79" i="7"/>
  <c r="BJ92" i="10"/>
  <c r="BY98" i="9"/>
  <c r="BT116" i="9"/>
  <c r="BT151" i="9"/>
  <c r="BY443" i="7" l="1"/>
  <c r="BP443" i="7"/>
  <c r="BP419" i="7" s="1"/>
  <c r="BP41" i="7" s="1"/>
  <c r="BQ443" i="7"/>
  <c r="BQ419" i="7" s="1"/>
  <c r="BQ454" i="7" s="1"/>
  <c r="BR443" i="7"/>
  <c r="BR419" i="7" s="1"/>
  <c r="BR454" i="7" s="1"/>
  <c r="BS443" i="7"/>
  <c r="BS419" i="7" s="1"/>
  <c r="BS454" i="7" s="1"/>
  <c r="BO80" i="7"/>
  <c r="BO82" i="7"/>
  <c r="BO61" i="7"/>
  <c r="BO170" i="5"/>
  <c r="BT170" i="5"/>
  <c r="BZ506" i="7"/>
  <c r="CD471" i="7"/>
  <c r="CD506" i="7" s="1"/>
  <c r="BZ364" i="7"/>
  <c r="CD329" i="7"/>
  <c r="CD364" i="7" s="1"/>
  <c r="CB301" i="7"/>
  <c r="CB277" i="7" s="1"/>
  <c r="CB312" i="7" s="1"/>
  <c r="CA301" i="7"/>
  <c r="CA277" i="7" s="1"/>
  <c r="CA312" i="7" s="1"/>
  <c r="BZ301" i="7"/>
  <c r="BZ277" i="7" s="1"/>
  <c r="CC301" i="7"/>
  <c r="CC277" i="7" s="1"/>
  <c r="CC312" i="7" s="1"/>
  <c r="BY277" i="7"/>
  <c r="BY312" i="7" s="1"/>
  <c r="BU312" i="7"/>
  <c r="BQ260" i="7"/>
  <c r="BP260" i="7"/>
  <c r="BT224" i="7"/>
  <c r="BS260" i="7"/>
  <c r="BS41" i="7"/>
  <c r="BX248" i="7"/>
  <c r="BX224" i="7" s="1"/>
  <c r="CD248" i="7"/>
  <c r="BV248" i="7"/>
  <c r="BV224" i="7" s="1"/>
  <c r="BU248" i="7"/>
  <c r="BU224" i="7" s="1"/>
  <c r="BW248" i="7"/>
  <c r="BW224" i="7" s="1"/>
  <c r="BR260" i="7"/>
  <c r="BW66" i="7"/>
  <c r="BW79" i="7"/>
  <c r="CC66" i="7"/>
  <c r="CC79" i="7"/>
  <c r="BT444" i="7"/>
  <c r="BT42" i="7"/>
  <c r="CD444" i="7"/>
  <c r="CD42" i="7"/>
  <c r="BR66" i="7"/>
  <c r="BR79" i="7"/>
  <c r="BU79" i="7"/>
  <c r="BU66" i="7"/>
  <c r="BQ79" i="7"/>
  <c r="BQ66" i="7"/>
  <c r="BP79" i="7"/>
  <c r="BP66" i="7"/>
  <c r="BX66" i="7"/>
  <c r="BX79" i="7"/>
  <c r="BZ66" i="7"/>
  <c r="BZ79" i="7"/>
  <c r="BS79" i="7"/>
  <c r="BS66" i="7"/>
  <c r="BY444" i="7"/>
  <c r="BY42" i="7"/>
  <c r="BV66" i="7"/>
  <c r="BV79" i="7"/>
  <c r="CB79" i="7"/>
  <c r="CB66" i="7"/>
  <c r="CA66" i="7"/>
  <c r="CA79" i="7"/>
  <c r="BE285" i="7"/>
  <c r="BE319" i="7" s="1"/>
  <c r="CH281" i="7" s="1"/>
  <c r="CK281" i="7" s="1"/>
  <c r="CL281" i="7" s="1"/>
  <c r="BT90" i="9"/>
  <c r="BO146" i="9"/>
  <c r="BT152" i="9"/>
  <c r="BT93" i="10" s="1"/>
  <c r="BT190" i="9"/>
  <c r="BT132" i="9"/>
  <c r="BY151" i="9"/>
  <c r="BY116" i="9"/>
  <c r="BR41" i="7" l="1"/>
  <c r="BQ41" i="7"/>
  <c r="BQ65" i="7" s="1"/>
  <c r="BT419" i="7"/>
  <c r="BT454" i="7" s="1"/>
  <c r="BP454" i="7"/>
  <c r="BV443" i="7"/>
  <c r="BV419" i="7" s="1"/>
  <c r="BV454" i="7" s="1"/>
  <c r="BX443" i="7"/>
  <c r="BX419" i="7" s="1"/>
  <c r="BX454" i="7" s="1"/>
  <c r="BU443" i="7"/>
  <c r="BU419" i="7" s="1"/>
  <c r="CD443" i="7"/>
  <c r="BW443" i="7"/>
  <c r="BW419" i="7" s="1"/>
  <c r="BW454" i="7" s="1"/>
  <c r="CD277" i="7"/>
  <c r="CD312" i="7" s="1"/>
  <c r="BZ312" i="7"/>
  <c r="BO78" i="7"/>
  <c r="BO65" i="7"/>
  <c r="CB248" i="7"/>
  <c r="CB224" i="7" s="1"/>
  <c r="BZ248" i="7"/>
  <c r="BZ224" i="7" s="1"/>
  <c r="CA248" i="7"/>
  <c r="CA224" i="7" s="1"/>
  <c r="CC248" i="7"/>
  <c r="CC224" i="7" s="1"/>
  <c r="BU260" i="7"/>
  <c r="BU41" i="7"/>
  <c r="BY224" i="7"/>
  <c r="BS65" i="7"/>
  <c r="BS78" i="7"/>
  <c r="BP65" i="7"/>
  <c r="BP78" i="7"/>
  <c r="BV260" i="7"/>
  <c r="BR65" i="7"/>
  <c r="BR78" i="7"/>
  <c r="BW260" i="7"/>
  <c r="BX260" i="7"/>
  <c r="BX41" i="7"/>
  <c r="BT41" i="7"/>
  <c r="BT260" i="7"/>
  <c r="BT254" i="7"/>
  <c r="BY79" i="7"/>
  <c r="BY66" i="7"/>
  <c r="BO79" i="7"/>
  <c r="BO66" i="7"/>
  <c r="CD66" i="7"/>
  <c r="CD79" i="7"/>
  <c r="BT79" i="7"/>
  <c r="BT66" i="7"/>
  <c r="BA72" i="14"/>
  <c r="BY190" i="9"/>
  <c r="BY132" i="9"/>
  <c r="BY152" i="9"/>
  <c r="BY93" i="10" s="1"/>
  <c r="BT97" i="9"/>
  <c r="BT108" i="9"/>
  <c r="BO119" i="9"/>
  <c r="BO147" i="9"/>
  <c r="BO92" i="10" s="1"/>
  <c r="BO55" i="10" s="1"/>
  <c r="BO131" i="9"/>
  <c r="BO187" i="9" l="1"/>
  <c r="BO125" i="9"/>
  <c r="BQ78" i="7"/>
  <c r="BW41" i="7"/>
  <c r="BW78" i="7" s="1"/>
  <c r="BV41" i="7"/>
  <c r="BV65" i="7" s="1"/>
  <c r="BZ443" i="7"/>
  <c r="BZ419" i="7" s="1"/>
  <c r="CA443" i="7"/>
  <c r="CA419" i="7" s="1"/>
  <c r="CA454" i="7" s="1"/>
  <c r="CC443" i="7"/>
  <c r="CC419" i="7" s="1"/>
  <c r="CC454" i="7" s="1"/>
  <c r="CB443" i="7"/>
  <c r="CB419" i="7" s="1"/>
  <c r="CB454" i="7" s="1"/>
  <c r="BY419" i="7"/>
  <c r="BY454" i="7" s="1"/>
  <c r="BU454" i="7"/>
  <c r="CB260" i="7"/>
  <c r="BU65" i="7"/>
  <c r="BU78" i="7"/>
  <c r="BZ260" i="7"/>
  <c r="BZ41" i="7"/>
  <c r="CD224" i="7"/>
  <c r="BT78" i="7"/>
  <c r="BT65" i="7"/>
  <c r="CC41" i="7"/>
  <c r="CC260" i="7"/>
  <c r="BX65" i="7"/>
  <c r="BX78" i="7"/>
  <c r="BY260" i="7"/>
  <c r="BY254" i="7"/>
  <c r="CA260" i="7"/>
  <c r="CA41" i="7"/>
  <c r="BO61" i="10"/>
  <c r="BO60" i="10"/>
  <c r="BT146" i="9"/>
  <c r="BT99" i="9"/>
  <c r="BT117" i="9" s="1"/>
  <c r="BY90" i="9"/>
  <c r="BT115" i="9"/>
  <c r="BO190" i="9" l="1"/>
  <c r="BO128" i="9"/>
  <c r="BV78" i="7"/>
  <c r="BW65" i="7"/>
  <c r="BY41" i="7"/>
  <c r="BY78" i="7" s="1"/>
  <c r="CB41" i="7"/>
  <c r="CB65" i="7" s="1"/>
  <c r="CD419" i="7"/>
  <c r="CD454" i="7" s="1"/>
  <c r="BZ454" i="7"/>
  <c r="CC65" i="7"/>
  <c r="CC78" i="7"/>
  <c r="CD260" i="7"/>
  <c r="CD254" i="7"/>
  <c r="CA65" i="7"/>
  <c r="CA78" i="7"/>
  <c r="BZ65" i="7"/>
  <c r="BZ78" i="7"/>
  <c r="BT119" i="9"/>
  <c r="BT131" i="9"/>
  <c r="BT147" i="9"/>
  <c r="BT92" i="10" s="1"/>
  <c r="BT55" i="10" s="1"/>
  <c r="BY97" i="9"/>
  <c r="BY108" i="9"/>
  <c r="BA124" i="13"/>
  <c r="CD41" i="7" l="1"/>
  <c r="CD65" i="7" s="1"/>
  <c r="CB78" i="7"/>
  <c r="BY65" i="7"/>
  <c r="BT61" i="10"/>
  <c r="BT60" i="10"/>
  <c r="BY146" i="9"/>
  <c r="BY99" i="9"/>
  <c r="BY117" i="9" s="1"/>
  <c r="CD90" i="9"/>
  <c r="BY115" i="9"/>
  <c r="BA137" i="14"/>
  <c r="CD78" i="7" l="1"/>
  <c r="BY131" i="9"/>
  <c r="BY119" i="9"/>
  <c r="BY147" i="9"/>
  <c r="BY92" i="10" s="1"/>
  <c r="BY55" i="10" s="1"/>
  <c r="CD108" i="9"/>
  <c r="BY61" i="10" l="1"/>
  <c r="BY60" i="10"/>
  <c r="BA86" i="11" l="1"/>
  <c r="BA72" i="11" s="1"/>
  <c r="BA76" i="11" s="1"/>
  <c r="BA78" i="11" s="1"/>
  <c r="BB68" i="11" l="1"/>
  <c r="BB70" i="11"/>
  <c r="BB67" i="11" l="1"/>
  <c r="BA23" i="13" l="1"/>
  <c r="BA126" i="13"/>
  <c r="BA17" i="27" l="1"/>
  <c r="BA22" i="27" s="1"/>
  <c r="BA27" i="27" s="1"/>
  <c r="BA36" i="14" s="1"/>
  <c r="BA39" i="14" s="1"/>
  <c r="BA32" i="14" l="1"/>
  <c r="BA24" i="12" s="1"/>
  <c r="BA94" i="13" l="1"/>
  <c r="BA91" i="14"/>
  <c r="BA125" i="13"/>
  <c r="BA127" i="13" s="1"/>
  <c r="BA26" i="12" l="1"/>
  <c r="BA30" i="12"/>
  <c r="CG77" i="12" s="1"/>
  <c r="BA29" i="12"/>
  <c r="BA37" i="12"/>
  <c r="BA42" i="12" s="1"/>
  <c r="BA102" i="14"/>
  <c r="BA113" i="14" s="1"/>
  <c r="BA81" i="14"/>
  <c r="BA105" i="14" l="1"/>
  <c r="BA28" i="69" l="1"/>
  <c r="BA135" i="14"/>
  <c r="BA126" i="14"/>
  <c r="BA127" i="14"/>
  <c r="BA140" i="14"/>
  <c r="BA120" i="14"/>
  <c r="BA65" i="13" s="1"/>
  <c r="BB112" i="14" l="1"/>
  <c r="BA74" i="13" l="1"/>
  <c r="BA134" i="13"/>
  <c r="BA83" i="13" l="1"/>
  <c r="BA84" i="13" s="1"/>
  <c r="BA90" i="13"/>
  <c r="BA75" i="13"/>
  <c r="BA76" i="13"/>
  <c r="BA60" i="13" l="1"/>
  <c r="BA47" i="13"/>
  <c r="BA50" i="13" s="1"/>
  <c r="BA73" i="13"/>
  <c r="BA45" i="37" s="1"/>
  <c r="BA46" i="37" s="1"/>
  <c r="BA53" i="37" s="1"/>
  <c r="BA54" i="37" s="1"/>
  <c r="BA129" i="13"/>
  <c r="BA56" i="37" l="1"/>
  <c r="BA67" i="13"/>
  <c r="BA34" i="13"/>
  <c r="BA38" i="13" s="1"/>
  <c r="BA130" i="13"/>
  <c r="BA131" i="13" s="1"/>
  <c r="BA135" i="13" s="1"/>
  <c r="BB89" i="13"/>
  <c r="BA91" i="13"/>
  <c r="BA96" i="13" l="1"/>
  <c r="BA97" i="13" l="1"/>
  <c r="BA98" i="13" s="1"/>
  <c r="BA100" i="13" s="1"/>
  <c r="BA134" i="14"/>
  <c r="BA141" i="14"/>
  <c r="BA104" i="13" l="1"/>
  <c r="BA105" i="13"/>
  <c r="BA49" i="14" l="1"/>
  <c r="BA137" i="13"/>
  <c r="BA55" i="14" l="1"/>
  <c r="BA15" i="37" s="1"/>
  <c r="BA18" i="37" s="1"/>
  <c r="BA54" i="14"/>
  <c r="BA50" i="14"/>
  <c r="BA76" i="14"/>
  <c r="BA37" i="27"/>
  <c r="BA58" i="27"/>
  <c r="BA79" i="14" l="1"/>
  <c r="BA61" i="27"/>
  <c r="BA40" i="27"/>
  <c r="BA63" i="27" l="1"/>
  <c r="BA51" i="14" s="1"/>
  <c r="BE61" i="27"/>
  <c r="BA76" i="27"/>
  <c r="BE76" i="27" s="1"/>
  <c r="BA43" i="27"/>
  <c r="BA82" i="14"/>
  <c r="BA81" i="27"/>
  <c r="BA128" i="14" s="1"/>
  <c r="BA136" i="14" l="1"/>
  <c r="BA138" i="14" s="1"/>
  <c r="BA142" i="14"/>
  <c r="BA143" i="14" s="1"/>
  <c r="BA84" i="14"/>
  <c r="BE82" i="14"/>
  <c r="BE81" i="27"/>
  <c r="BE128" i="14" s="1"/>
  <c r="BE63" i="27"/>
  <c r="BA45" i="27"/>
  <c r="BA146" i="14" l="1"/>
  <c r="BE51" i="14"/>
  <c r="BE84" i="14"/>
  <c r="BE101" i="27"/>
  <c r="BE125" i="27" s="1"/>
  <c r="BA110" i="13"/>
  <c r="BA41" i="14"/>
  <c r="BA42" i="14" s="1"/>
  <c r="BA56" i="14" l="1"/>
  <c r="BA85" i="14"/>
  <c r="BA114" i="13"/>
  <c r="BA115" i="13"/>
  <c r="BA57" i="14" l="1"/>
  <c r="BD72" i="14" l="1"/>
  <c r="BB72" i="14" l="1"/>
  <c r="CI90" i="69" l="1"/>
  <c r="CK90" i="69" s="1"/>
  <c r="CL90" i="69" s="1"/>
  <c r="BB124" i="13" l="1"/>
  <c r="AZ120" i="6" l="1"/>
  <c r="BD157" i="13" l="1"/>
  <c r="BD181" i="13" s="1"/>
  <c r="BE181" i="13" s="1"/>
  <c r="BC157" i="13"/>
  <c r="BC181" i="13" s="1"/>
  <c r="BF148" i="13" l="1"/>
  <c r="BF172" i="13" s="1"/>
  <c r="BD148" i="13"/>
  <c r="BC183" i="13"/>
  <c r="BC185" i="13"/>
  <c r="BB42" i="47"/>
  <c r="BB159" i="13" s="1"/>
  <c r="BC159" i="13"/>
  <c r="BC44" i="47"/>
  <c r="BF157" i="13" l="1"/>
  <c r="BF181" i="13" s="1"/>
  <c r="BD172" i="13"/>
  <c r="BB44" i="47"/>
  <c r="BC161" i="13"/>
  <c r="BB110" i="13"/>
  <c r="BB41" i="14"/>
  <c r="BE172" i="13" l="1"/>
  <c r="BC85" i="47"/>
  <c r="BC100" i="47" s="1"/>
  <c r="BB161" i="13"/>
  <c r="BB85" i="47"/>
  <c r="BB100" i="47" s="1"/>
  <c r="BE96" i="12" l="1"/>
  <c r="BB86" i="11"/>
  <c r="BB72" i="11" s="1"/>
  <c r="BB76" i="11" s="1"/>
  <c r="BB78" i="11" l="1"/>
  <c r="BC68" i="11" s="1"/>
  <c r="BC70" i="11"/>
  <c r="BC76" i="11" s="1"/>
  <c r="BC78" i="11" s="1"/>
  <c r="BG28" i="47" l="1"/>
  <c r="BD68" i="11"/>
  <c r="BH28" i="47" l="1"/>
  <c r="BB23" i="13"/>
  <c r="BB126" i="13"/>
  <c r="BB17" i="27"/>
  <c r="BB22" i="27" s="1"/>
  <c r="BB27" i="27" s="1"/>
  <c r="BB36" i="14" s="1"/>
  <c r="BB32" i="14" s="1"/>
  <c r="BB24" i="12" s="1"/>
  <c r="BB76" i="14"/>
  <c r="BK28" i="47" l="1"/>
  <c r="BI28" i="47"/>
  <c r="BB39" i="14"/>
  <c r="BB29" i="12" l="1"/>
  <c r="BB26" i="12"/>
  <c r="BB30" i="12"/>
  <c r="BB94" i="13"/>
  <c r="BB91" i="14"/>
  <c r="BB125" i="13"/>
  <c r="BB127" i="13" s="1"/>
  <c r="BB42" i="14"/>
  <c r="BB37" i="12" l="1"/>
  <c r="BB42" i="12" s="1"/>
  <c r="BB102" i="14"/>
  <c r="BB105" i="14" s="1"/>
  <c r="BB58" i="27"/>
  <c r="BB79" i="14" s="1"/>
  <c r="BB113" i="14" l="1"/>
  <c r="BB81" i="14"/>
  <c r="BB82" i="14" l="1"/>
  <c r="BB63" i="27"/>
  <c r="BB81" i="27"/>
  <c r="BB128" i="14" s="1"/>
  <c r="BB84" i="14" l="1"/>
  <c r="BB85" i="14" l="1"/>
  <c r="BB137" i="14" l="1"/>
  <c r="BB15" i="14"/>
  <c r="BB25" i="14" s="1"/>
  <c r="BB135" i="14"/>
  <c r="BB140" i="14"/>
  <c r="BB29" i="14" l="1"/>
  <c r="BB127" i="14"/>
  <c r="BB126" i="14"/>
  <c r="BB49" i="14"/>
  <c r="BB50" i="14"/>
  <c r="BB51" i="14"/>
  <c r="BB56" i="14"/>
  <c r="BB57" i="14" l="1"/>
  <c r="BB55" i="14"/>
  <c r="BB15" i="37" s="1"/>
  <c r="BB18" i="37" s="1"/>
  <c r="BB54" i="14"/>
  <c r="BB21" i="37"/>
  <c r="BB22" i="37" s="1"/>
  <c r="BC24" i="37" s="1"/>
  <c r="BB13" i="12" l="1"/>
  <c r="BB15" i="12" s="1"/>
  <c r="BB25" i="37"/>
  <c r="BB14" i="12" l="1"/>
  <c r="BB74" i="13" l="1"/>
  <c r="BB134" i="13"/>
  <c r="BB137" i="13" s="1"/>
  <c r="BB73" i="13" l="1"/>
  <c r="BB45" i="37" s="1"/>
  <c r="BB47" i="13"/>
  <c r="BB50" i="13" s="1"/>
  <c r="BB129" i="13"/>
  <c r="BB60" i="13"/>
  <c r="BB46" i="37" l="1"/>
  <c r="BB53" i="37" s="1"/>
  <c r="BB34" i="13"/>
  <c r="BB38" i="13" s="1"/>
  <c r="BB130" i="13"/>
  <c r="BB131" i="13" s="1"/>
  <c r="BB135" i="13" s="1"/>
  <c r="BB52" i="37"/>
  <c r="BB54" i="37" l="1"/>
  <c r="BB56" i="37" s="1"/>
  <c r="BB96" i="13"/>
  <c r="BB141" i="14" l="1"/>
  <c r="BB134" i="14"/>
  <c r="BB97" i="13"/>
  <c r="BB98" i="13" s="1"/>
  <c r="BB100" i="13" s="1"/>
  <c r="BB136" i="14" l="1"/>
  <c r="BB138" i="14" s="1"/>
  <c r="BB142" i="14"/>
  <c r="BB143" i="14" s="1"/>
  <c r="BB146" i="14" l="1"/>
  <c r="BA49" i="69"/>
  <c r="BA75" i="69" s="1"/>
  <c r="CI102" i="69" l="1"/>
  <c r="CK102" i="69" s="1"/>
  <c r="CL102" i="69" s="1"/>
  <c r="BA76" i="69"/>
  <c r="BE76" i="69" s="1"/>
  <c r="BE75" i="69"/>
  <c r="BJ758" i="7"/>
  <c r="BJ759" i="7" s="1"/>
  <c r="BO758" i="7"/>
  <c r="BP758" i="7"/>
  <c r="CD758" i="7"/>
  <c r="AP758" i="7"/>
  <c r="AP759" i="7" s="1"/>
  <c r="AU758" i="7"/>
  <c r="AU759" i="7" s="1"/>
  <c r="AZ758" i="7"/>
  <c r="AZ759" i="7" s="1"/>
  <c r="BU758" i="7" l="1"/>
  <c r="BY758" i="7"/>
  <c r="BQ758" i="7"/>
  <c r="BT758" i="7"/>
  <c r="BW758" i="7" l="1"/>
  <c r="CA758" i="7"/>
  <c r="BZ758" i="7"/>
  <c r="BX758" i="7" l="1"/>
  <c r="BV758" i="7"/>
  <c r="BR758" i="7"/>
  <c r="BS758" i="7"/>
  <c r="CB758" i="7"/>
  <c r="CC758" i="7" l="1"/>
  <c r="CD74" i="10" l="1"/>
  <c r="BE193" i="9" l="1"/>
  <c r="BE176" i="9" l="1"/>
  <c r="BE175" i="9"/>
  <c r="BC124" i="13" l="1"/>
  <c r="BJ41" i="10" l="1"/>
  <c r="BJ44" i="10" s="1"/>
  <c r="BJ46" i="10" s="1"/>
  <c r="BJ85" i="10"/>
  <c r="BJ89" i="10" l="1"/>
  <c r="BJ193" i="9"/>
  <c r="BJ77" i="10"/>
  <c r="BJ175" i="9" l="1"/>
  <c r="BJ176" i="9"/>
  <c r="BO41" i="10"/>
  <c r="BO44" i="10" s="1"/>
  <c r="BO46" i="10" s="1"/>
  <c r="BO175" i="9" l="1"/>
  <c r="BO77" i="10"/>
  <c r="BO176" i="9"/>
  <c r="BO11" i="12" l="1"/>
  <c r="CJ22" i="10" l="1"/>
  <c r="CH22" i="10" s="1"/>
  <c r="BT41" i="10" l="1"/>
  <c r="BT44" i="10" s="1"/>
  <c r="BT11" i="10" s="1"/>
  <c r="BT29" i="10" s="1"/>
  <c r="BT85" i="10"/>
  <c r="BT89" i="10" s="1"/>
  <c r="BT175" i="9" l="1"/>
  <c r="BT77" i="10"/>
  <c r="BT14" i="10"/>
  <c r="BT19" i="10" s="1"/>
  <c r="BT11" i="12" s="1"/>
  <c r="BT176" i="9"/>
  <c r="CJ23" i="10" l="1"/>
  <c r="CH23" i="10" s="1"/>
  <c r="BT23" i="10"/>
  <c r="BT25" i="10"/>
  <c r="BT14" i="11" s="1"/>
  <c r="BT103" i="12" l="1"/>
  <c r="BT27" i="10"/>
  <c r="BY41" i="10" l="1"/>
  <c r="BY44" i="10" s="1"/>
  <c r="BY11" i="10" s="1"/>
  <c r="BY85" i="10"/>
  <c r="BY89" i="10" s="1"/>
  <c r="BY14" i="10" l="1"/>
  <c r="BY19" i="10" s="1"/>
  <c r="CJ24" i="10" s="1"/>
  <c r="CH24" i="10" s="1"/>
  <c r="BY29" i="10"/>
  <c r="BY175" i="9"/>
  <c r="BY77" i="10"/>
  <c r="BY176" i="9"/>
  <c r="BY11" i="12" l="1"/>
  <c r="BY23" i="10"/>
  <c r="BY25" i="10"/>
  <c r="BY14" i="11" s="1"/>
  <c r="BY27" i="10" l="1"/>
  <c r="BY103" i="12"/>
  <c r="CD85" i="10" l="1"/>
  <c r="CD86" i="10" l="1"/>
  <c r="CD87" i="10"/>
  <c r="CD108" i="10"/>
  <c r="CD121" i="9" l="1"/>
  <c r="CD51" i="9" s="1"/>
  <c r="CD165" i="9" s="1"/>
  <c r="CD109" i="10"/>
  <c r="CD160" i="9" l="1"/>
  <c r="CD94" i="9"/>
  <c r="CD97" i="9" s="1"/>
  <c r="CD170" i="9"/>
  <c r="CD54" i="9"/>
  <c r="CD145" i="9" s="1"/>
  <c r="CD155" i="9"/>
  <c r="CD43" i="10"/>
  <c r="CD113" i="10"/>
  <c r="CD110" i="10"/>
  <c r="CD161" i="9" l="1"/>
  <c r="CD112" i="9"/>
  <c r="CD157" i="9" s="1"/>
  <c r="CD171" i="9"/>
  <c r="CD115" i="9"/>
  <c r="CD147" i="9" s="1"/>
  <c r="CD92" i="10" s="1"/>
  <c r="CD55" i="10" s="1"/>
  <c r="CD60" i="10" s="1"/>
  <c r="CD156" i="9"/>
  <c r="CD166" i="9"/>
  <c r="CD121" i="10"/>
  <c r="BZ113" i="10"/>
  <c r="CD122" i="10"/>
  <c r="CD119" i="10"/>
  <c r="CD123" i="10"/>
  <c r="CD120" i="10"/>
  <c r="CD124" i="10"/>
  <c r="CD146" i="9"/>
  <c r="CD172" i="9" l="1"/>
  <c r="CD184" i="9"/>
  <c r="CD167" i="9"/>
  <c r="CD162" i="9"/>
  <c r="CD61" i="10"/>
  <c r="CD131" i="9"/>
  <c r="BZ121" i="10"/>
  <c r="BZ276" i="7" s="1"/>
  <c r="BZ122" i="10"/>
  <c r="BZ328" i="7" s="1"/>
  <c r="BZ119" i="10"/>
  <c r="BZ133" i="7" s="1"/>
  <c r="BZ123" i="10"/>
  <c r="BZ418" i="7" s="1"/>
  <c r="BZ120" i="10"/>
  <c r="BZ223" i="7" s="1"/>
  <c r="BZ124" i="10"/>
  <c r="BZ470" i="7" s="1"/>
  <c r="CA113" i="10"/>
  <c r="CD88" i="10"/>
  <c r="CD41" i="10"/>
  <c r="CD100" i="10"/>
  <c r="CD49" i="10"/>
  <c r="BZ453" i="7" l="1"/>
  <c r="BZ442" i="7"/>
  <c r="CA120" i="10"/>
  <c r="CA223" i="7" s="1"/>
  <c r="CA124" i="10"/>
  <c r="CA470" i="7" s="1"/>
  <c r="CA121" i="10"/>
  <c r="CA276" i="7" s="1"/>
  <c r="CA122" i="10"/>
  <c r="CA328" i="7" s="1"/>
  <c r="CA119" i="10"/>
  <c r="CA133" i="7" s="1"/>
  <c r="CA123" i="10"/>
  <c r="CA418" i="7" s="1"/>
  <c r="BZ40" i="7"/>
  <c r="BZ157" i="7"/>
  <c r="BZ168" i="7"/>
  <c r="CD44" i="10"/>
  <c r="CD11" i="10" s="1"/>
  <c r="CD29" i="10" s="1"/>
  <c r="BZ494" i="7"/>
  <c r="BZ505" i="7"/>
  <c r="BZ363" i="7"/>
  <c r="BZ352" i="7"/>
  <c r="CB113" i="10"/>
  <c r="CD96" i="10"/>
  <c r="CH96" i="10"/>
  <c r="CD102" i="10"/>
  <c r="CD179" i="9"/>
  <c r="CD125" i="9"/>
  <c r="CD180" i="9"/>
  <c r="CD107" i="27" s="1"/>
  <c r="CD89" i="10"/>
  <c r="CD77" i="10" s="1"/>
  <c r="BZ259" i="7"/>
  <c r="BZ247" i="7"/>
  <c r="BZ300" i="7"/>
  <c r="BZ311" i="7"/>
  <c r="CD175" i="9" l="1"/>
  <c r="CD176" i="9"/>
  <c r="CB119" i="10"/>
  <c r="CB133" i="7" s="1"/>
  <c r="CB123" i="10"/>
  <c r="CB418" i="7" s="1"/>
  <c r="CB120" i="10"/>
  <c r="CB223" i="7" s="1"/>
  <c r="CB124" i="10"/>
  <c r="CB470" i="7" s="1"/>
  <c r="CB121" i="10"/>
  <c r="CB276" i="7" s="1"/>
  <c r="CB122" i="10"/>
  <c r="CB328" i="7" s="1"/>
  <c r="BZ77" i="7"/>
  <c r="BZ64" i="7"/>
  <c r="BZ22" i="14"/>
  <c r="CA311" i="7"/>
  <c r="CA300" i="7"/>
  <c r="CA442" i="7"/>
  <c r="CA453" i="7"/>
  <c r="CA505" i="7"/>
  <c r="CA494" i="7"/>
  <c r="CA168" i="7"/>
  <c r="CA40" i="7"/>
  <c r="CA157" i="7"/>
  <c r="CA247" i="7"/>
  <c r="CA259" i="7"/>
  <c r="CD55" i="9"/>
  <c r="CD98" i="9"/>
  <c r="CD14" i="10"/>
  <c r="CA352" i="7"/>
  <c r="CA363" i="7"/>
  <c r="CC113" i="10"/>
  <c r="CB311" i="7" l="1"/>
  <c r="CB300" i="7"/>
  <c r="CB168" i="7"/>
  <c r="CB40" i="7"/>
  <c r="CB157" i="7"/>
  <c r="CB505" i="7"/>
  <c r="CB494" i="7"/>
  <c r="CC122" i="10"/>
  <c r="CC328" i="7" s="1"/>
  <c r="CD328" i="7" s="1"/>
  <c r="CC119" i="10"/>
  <c r="CC133" i="7" s="1"/>
  <c r="CD133" i="7" s="1"/>
  <c r="CC123" i="10"/>
  <c r="CC418" i="7" s="1"/>
  <c r="CD418" i="7" s="1"/>
  <c r="CC120" i="10"/>
  <c r="CC223" i="7" s="1"/>
  <c r="CD223" i="7" s="1"/>
  <c r="CC124" i="10"/>
  <c r="CC470" i="7" s="1"/>
  <c r="CD470" i="7" s="1"/>
  <c r="CC121" i="10"/>
  <c r="CC276" i="7" s="1"/>
  <c r="CD276" i="7" s="1"/>
  <c r="CA77" i="7"/>
  <c r="CA64" i="7"/>
  <c r="CA22" i="14"/>
  <c r="CB247" i="7"/>
  <c r="CB259" i="7"/>
  <c r="CD19" i="10"/>
  <c r="CD11" i="12" s="1"/>
  <c r="CD23" i="10"/>
  <c r="CD151" i="9"/>
  <c r="CD99" i="9"/>
  <c r="CD116" i="9"/>
  <c r="CD132" i="9" s="1"/>
  <c r="CD150" i="9"/>
  <c r="CD56" i="9"/>
  <c r="CB352" i="7"/>
  <c r="CB363" i="7"/>
  <c r="CB442" i="7"/>
  <c r="CB453" i="7"/>
  <c r="CD117" i="9" l="1"/>
  <c r="CD300" i="7"/>
  <c r="CD311" i="7"/>
  <c r="CD40" i="7"/>
  <c r="CD157" i="7"/>
  <c r="CD168" i="7"/>
  <c r="CD494" i="7"/>
  <c r="CD505" i="7"/>
  <c r="CD453" i="7"/>
  <c r="CD442" i="7"/>
  <c r="CC259" i="7"/>
  <c r="CC247" i="7"/>
  <c r="CC453" i="7"/>
  <c r="CC442" i="7"/>
  <c r="CD152" i="9"/>
  <c r="CD93" i="10" s="1"/>
  <c r="CD119" i="9"/>
  <c r="CD190" i="9"/>
  <c r="CD25" i="10"/>
  <c r="CD14" i="11" s="1"/>
  <c r="CC300" i="7"/>
  <c r="CC311" i="7"/>
  <c r="CC157" i="7"/>
  <c r="CC168" i="7"/>
  <c r="CC40" i="7"/>
  <c r="CD363" i="7"/>
  <c r="CD352" i="7"/>
  <c r="CD259" i="7"/>
  <c r="CD247" i="7"/>
  <c r="CC494" i="7"/>
  <c r="CC505" i="7"/>
  <c r="CC363" i="7"/>
  <c r="CC352" i="7"/>
  <c r="CB64" i="7"/>
  <c r="CB77" i="7"/>
  <c r="CB22" i="14"/>
  <c r="CC64" i="7" l="1"/>
  <c r="CC77" i="7"/>
  <c r="CC22" i="14"/>
  <c r="CD22" i="14" s="1"/>
  <c r="CD103" i="12"/>
  <c r="CD27" i="10"/>
  <c r="CD77" i="7"/>
  <c r="CD64" i="7"/>
  <c r="BC23" i="13" l="1"/>
  <c r="BC126" i="13"/>
  <c r="BC34" i="13"/>
  <c r="BC130" i="13"/>
  <c r="BC38" i="13" l="1"/>
  <c r="BC73" i="13"/>
  <c r="BC45" i="37" s="1"/>
  <c r="BC46" i="37" s="1"/>
  <c r="BC53" i="37" s="1"/>
  <c r="BC54" i="37" s="1"/>
  <c r="BC129" i="13"/>
  <c r="BC131" i="13" s="1"/>
  <c r="BC56" i="37" l="1"/>
  <c r="BC141" i="14"/>
  <c r="BC134" i="14"/>
  <c r="BC96" i="13"/>
  <c r="BC74" i="13" l="1"/>
  <c r="BC83" i="13" s="1"/>
  <c r="BC134" i="13"/>
  <c r="BC135" i="13" s="1"/>
  <c r="BC125" i="13"/>
  <c r="BC127" i="13" s="1"/>
  <c r="BC15" i="14"/>
  <c r="BC25" i="14" s="1"/>
  <c r="BC21" i="37"/>
  <c r="BC22" i="37" s="1"/>
  <c r="BC13" i="12" l="1"/>
  <c r="BC15" i="12" s="1"/>
  <c r="BC127" i="14"/>
  <c r="BC126" i="14"/>
  <c r="BC29" i="14"/>
  <c r="BC137" i="13"/>
  <c r="BC14" i="12" l="1"/>
  <c r="BC97" i="13"/>
  <c r="BC98" i="13" s="1"/>
  <c r="BD70" i="11"/>
  <c r="BD67" i="11"/>
  <c r="BC22" i="27"/>
  <c r="BC27" i="27" s="1"/>
  <c r="BC36" i="14" s="1"/>
  <c r="BC32" i="14" l="1"/>
  <c r="BC24" i="12" s="1"/>
  <c r="BC39" i="14"/>
  <c r="BC49" i="14"/>
  <c r="BC54" i="14"/>
  <c r="BC50" i="14" l="1"/>
  <c r="BC55" i="14"/>
  <c r="BC15" i="37" s="1"/>
  <c r="BC18" i="37" s="1"/>
  <c r="BC94" i="13"/>
  <c r="BC100" i="13" s="1"/>
  <c r="BC91" i="14"/>
  <c r="BC37" i="12" l="1"/>
  <c r="BC42" i="12" s="1"/>
  <c r="BC102" i="14"/>
  <c r="BC26" i="12"/>
  <c r="BC29" i="12"/>
  <c r="BC30" i="12"/>
  <c r="CG78" i="12" s="1"/>
  <c r="BC113" i="14" l="1"/>
  <c r="BC105" i="14"/>
  <c r="BC35" i="27"/>
  <c r="BC76" i="14" l="1"/>
  <c r="BC37" i="27"/>
  <c r="BC40" i="27" s="1"/>
  <c r="BC58" i="27"/>
  <c r="BC79" i="14" l="1"/>
  <c r="BC63" i="27"/>
  <c r="BC81" i="27"/>
  <c r="BC128" i="14" s="1"/>
  <c r="BC82" i="14"/>
  <c r="BC43" i="27"/>
  <c r="BC142" i="14" l="1"/>
  <c r="BC143" i="14" s="1"/>
  <c r="BC136" i="14"/>
  <c r="BC138" i="14" s="1"/>
  <c r="BC51" i="14"/>
  <c r="BC84" i="14"/>
  <c r="BC45" i="27"/>
  <c r="BC146" i="14" l="1"/>
  <c r="BC110" i="13"/>
  <c r="BC41" i="14"/>
  <c r="BC42" i="14" s="1"/>
  <c r="BC56" i="14" s="1"/>
  <c r="BC57" i="14" l="1"/>
  <c r="BC85" i="14"/>
  <c r="BC49" i="47" l="1"/>
  <c r="BD144" i="13" l="1"/>
  <c r="BD168" i="13" s="1"/>
  <c r="CJ211" i="13" s="1"/>
  <c r="BE168" i="13" l="1"/>
  <c r="BE77" i="12" l="1"/>
  <c r="BC25" i="37" l="1"/>
  <c r="BD156" i="13" l="1"/>
  <c r="BD180" i="13" s="1"/>
  <c r="BE180" i="13" s="1"/>
  <c r="BE85" i="12" s="1"/>
  <c r="BD147" i="13" l="1"/>
  <c r="BD171" i="13" s="1"/>
  <c r="CK211" i="13" s="1"/>
  <c r="BD31" i="47"/>
  <c r="BE31" i="47" s="1"/>
  <c r="BE150" i="13" s="1"/>
  <c r="BE171" i="13" l="1"/>
  <c r="BD174" i="13"/>
  <c r="BD150" i="13"/>
  <c r="BE74" i="12" l="1"/>
  <c r="BE125" i="13"/>
  <c r="BE174" i="13"/>
  <c r="BD137" i="14" l="1"/>
  <c r="BD15" i="14"/>
  <c r="BE15" i="14" s="1"/>
  <c r="BD25" i="14" l="1"/>
  <c r="BD126" i="14" s="1"/>
  <c r="BD135" i="14"/>
  <c r="BD127" i="14" l="1"/>
  <c r="BD29" i="14"/>
  <c r="BE29" i="14" s="1"/>
  <c r="BE97" i="13" s="1"/>
  <c r="BE98" i="13" s="1"/>
  <c r="BE25" i="14"/>
  <c r="BE126" i="14" l="1"/>
  <c r="BE127" i="14"/>
  <c r="BD140" i="14"/>
  <c r="BD81" i="14"/>
  <c r="BE78" i="13" l="1"/>
  <c r="BE62" i="14" l="1"/>
  <c r="BD21" i="37"/>
  <c r="BD22" i="37" s="1"/>
  <c r="BE21" i="37" l="1"/>
  <c r="BE22" i="37" s="1"/>
  <c r="BE13" i="12" s="1"/>
  <c r="BD13" i="12"/>
  <c r="BD15" i="12" s="1"/>
  <c r="BF24" i="37"/>
  <c r="BF25" i="37" s="1"/>
  <c r="BD114" i="14"/>
  <c r="BD27" i="37" s="1"/>
  <c r="BD24" i="37" s="1"/>
  <c r="BE24" i="37" s="1"/>
  <c r="BD116" i="14"/>
  <c r="BD117" i="14"/>
  <c r="BD118" i="14"/>
  <c r="BJ67" i="11"/>
  <c r="BD23" i="13"/>
  <c r="BE23" i="13" s="1"/>
  <c r="BE38" i="13" s="1"/>
  <c r="BE69" i="13" s="1"/>
  <c r="BD126" i="13"/>
  <c r="BE15" i="12" l="1"/>
  <c r="BE14" i="12"/>
  <c r="BE25" i="37"/>
  <c r="BE27" i="37"/>
  <c r="BD34" i="13"/>
  <c r="BD38" i="13" s="1"/>
  <c r="BD52" i="37"/>
  <c r="BD47" i="13" l="1"/>
  <c r="BD50" i="13" s="1"/>
  <c r="BD60" i="13"/>
  <c r="BD73" i="13"/>
  <c r="BD45" i="37" s="1"/>
  <c r="BD129" i="13"/>
  <c r="BD46" i="37" l="1"/>
  <c r="BD53" i="37" s="1"/>
  <c r="BD54" i="37" s="1"/>
  <c r="BE54" i="37" s="1"/>
  <c r="BE134" i="14" s="1"/>
  <c r="BE136" i="14" s="1"/>
  <c r="BE138" i="14" s="1"/>
  <c r="BE45" i="37"/>
  <c r="BD96" i="13"/>
  <c r="BD141" i="14" l="1"/>
  <c r="BE141" i="14"/>
  <c r="BE142" i="14" s="1"/>
  <c r="BE143" i="14" s="1"/>
  <c r="BE146" i="14" s="1"/>
  <c r="BD134" i="14"/>
  <c r="BE46" i="37"/>
  <c r="BE53" i="37" s="1"/>
  <c r="BD97" i="13"/>
  <c r="BD98" i="13" s="1"/>
  <c r="BD74" i="13" l="1"/>
  <c r="BD83" i="13" s="1"/>
  <c r="BE83" i="13" s="1"/>
  <c r="BD134" i="13"/>
  <c r="BD137" i="13" s="1"/>
  <c r="BD125" i="13" l="1"/>
  <c r="BF89" i="13" l="1"/>
  <c r="BE130" i="27"/>
  <c r="BJ89" i="13"/>
  <c r="BD86" i="11"/>
  <c r="BD72" i="11" l="1"/>
  <c r="BD76" i="11" s="1"/>
  <c r="BE76" i="11" s="1"/>
  <c r="BE86" i="11"/>
  <c r="BE72" i="11" l="1"/>
  <c r="BE98" i="12" s="1"/>
  <c r="BE110" i="12" s="1"/>
  <c r="BE114" i="12" s="1"/>
  <c r="BH87" i="11"/>
  <c r="BF70" i="11"/>
  <c r="BF76" i="11" s="1"/>
  <c r="BF78" i="11" s="1"/>
  <c r="BJ70" i="11"/>
  <c r="BJ68" i="11" s="1"/>
  <c r="BJ85" i="11"/>
  <c r="BH73" i="11"/>
  <c r="BE74" i="11" l="1"/>
  <c r="BJ73" i="11"/>
  <c r="BJ87" i="11"/>
  <c r="BD17" i="27"/>
  <c r="BD22" i="27" l="1"/>
  <c r="BD50" i="14" s="1"/>
  <c r="BD27" i="27" l="1"/>
  <c r="BD36" i="14" s="1"/>
  <c r="BD49" i="14" s="1"/>
  <c r="BD39" i="14" l="1"/>
  <c r="BD55" i="14" s="1"/>
  <c r="BD15" i="37" s="1"/>
  <c r="BD18" i="37" s="1"/>
  <c r="BD32" i="14"/>
  <c r="BD91" i="14" s="1"/>
  <c r="BD54" i="14"/>
  <c r="BE15" i="37"/>
  <c r="BE18" i="37" s="1"/>
  <c r="BE32" i="14" l="1"/>
  <c r="BE94" i="13" s="1"/>
  <c r="BE100" i="13" s="1"/>
  <c r="BE104" i="13" s="1"/>
  <c r="BE105" i="13" s="1"/>
  <c r="BD24" i="12"/>
  <c r="BD94" i="13"/>
  <c r="BD100" i="13" s="1"/>
  <c r="BD37" i="12"/>
  <c r="BD42" i="12" s="1"/>
  <c r="BD102" i="14"/>
  <c r="BE102" i="14" s="1"/>
  <c r="BE113" i="14" s="1"/>
  <c r="BE91" i="14" l="1"/>
  <c r="BE193" i="12"/>
  <c r="BE198" i="12" s="1"/>
  <c r="BE24" i="12"/>
  <c r="BE129" i="27"/>
  <c r="BE131" i="27" s="1"/>
  <c r="BE120" i="14"/>
  <c r="BF112" i="14" s="1"/>
  <c r="BD105" i="14"/>
  <c r="BE105" i="14" s="1"/>
  <c r="BD113" i="14"/>
  <c r="BE26" i="12" l="1"/>
  <c r="BE29" i="12"/>
  <c r="BE30" i="12"/>
  <c r="BE37" i="12"/>
  <c r="BE42" i="12" s="1"/>
  <c r="BE66" i="12"/>
  <c r="BJ112" i="14"/>
  <c r="BE100" i="12" l="1"/>
  <c r="BD35" i="27"/>
  <c r="BE35" i="27" s="1"/>
  <c r="BE116" i="12" l="1"/>
  <c r="BE130" i="12"/>
  <c r="BD76" i="14"/>
  <c r="BD37" i="27"/>
  <c r="BE37" i="27" s="1"/>
  <c r="BE40" i="27" s="1"/>
  <c r="BD58" i="27"/>
  <c r="BD79" i="14" s="1"/>
  <c r="BD40" i="27" l="1"/>
  <c r="BD82" i="14" l="1"/>
  <c r="BD43" i="27"/>
  <c r="BE43" i="27" s="1"/>
  <c r="BE45" i="27" s="1"/>
  <c r="BD63" i="27"/>
  <c r="BD81" i="27"/>
  <c r="BD128" i="14" s="1"/>
  <c r="BD136" i="14" l="1"/>
  <c r="BD138" i="14" s="1"/>
  <c r="BD142" i="14"/>
  <c r="BD143" i="14" s="1"/>
  <c r="BE41" i="14"/>
  <c r="BE42" i="14" s="1"/>
  <c r="BE110" i="13"/>
  <c r="BE114" i="13" s="1"/>
  <c r="BE115" i="13" s="1"/>
  <c r="BD84" i="14"/>
  <c r="BD51" i="14"/>
  <c r="BD45" i="27"/>
  <c r="BD146" i="14" l="1"/>
  <c r="BE56" i="14"/>
  <c r="BE57" i="14" s="1"/>
  <c r="BE85" i="14"/>
  <c r="BD110" i="13"/>
  <c r="BD41" i="14"/>
  <c r="BD42" i="14" s="1"/>
  <c r="BD56" i="14" s="1"/>
  <c r="BD85" i="14" l="1"/>
  <c r="BD57" i="14"/>
  <c r="BD23" i="10" l="1"/>
  <c r="BJ23" i="11" l="1"/>
  <c r="BJ22" i="11" s="1"/>
  <c r="BD78" i="11"/>
  <c r="BE78" i="11" s="1"/>
  <c r="BE79" i="11" l="1"/>
  <c r="BF68" i="11"/>
  <c r="BF67" i="11" l="1"/>
  <c r="BG68" i="11"/>
  <c r="BD56" i="37" l="1"/>
  <c r="BE56" i="37" s="1"/>
  <c r="BE57" i="37" s="1"/>
  <c r="BE104" i="10" l="1"/>
  <c r="BE79" i="13" l="1"/>
  <c r="BD26" i="12" l="1"/>
  <c r="BD30" i="12"/>
  <c r="CG79" i="12" s="1"/>
  <c r="BD29" i="12"/>
  <c r="BD14" i="12" l="1"/>
  <c r="BE19" i="37"/>
  <c r="BJ12" i="11"/>
  <c r="BJ11" i="11" l="1"/>
  <c r="BJ19" i="11"/>
  <c r="BJ44" i="11"/>
  <c r="BD25" i="37"/>
  <c r="BD153" i="13"/>
  <c r="BD130" i="13" s="1"/>
  <c r="BD131" i="13" s="1"/>
  <c r="BD135" i="13" s="1"/>
  <c r="BD42" i="47"/>
  <c r="BD51" i="47"/>
  <c r="BD49" i="47" s="1"/>
  <c r="BD159" i="13" l="1"/>
  <c r="BE42" i="47"/>
  <c r="BE159" i="13" s="1"/>
  <c r="BD44" i="47"/>
  <c r="BD177" i="13"/>
  <c r="BE177" i="13" s="1"/>
  <c r="BE44" i="47" l="1"/>
  <c r="BE161" i="13" s="1"/>
  <c r="BD85" i="47"/>
  <c r="BE183" i="13"/>
  <c r="BE82" i="12"/>
  <c r="BE124" i="13"/>
  <c r="BE127" i="13" s="1"/>
  <c r="BE185" i="13"/>
  <c r="BD124" i="13"/>
  <c r="BD127" i="13" s="1"/>
  <c r="BD185" i="13"/>
  <c r="BD183" i="13"/>
  <c r="BD161" i="13"/>
  <c r="BE85" i="47" l="1"/>
  <c r="BE100" i="47" s="1"/>
  <c r="BD100" i="47"/>
  <c r="BF144" i="13"/>
  <c r="BF168" i="13" s="1"/>
  <c r="CJ212" i="13" s="1"/>
  <c r="BF153" i="13" l="1"/>
  <c r="BF177" i="13" s="1"/>
  <c r="BE747" i="7" l="1"/>
  <c r="BE791" i="7" s="1"/>
  <c r="BE750" i="7" l="1"/>
  <c r="BE759" i="7" s="1"/>
  <c r="BE753" i="7" l="1"/>
  <c r="CJ45" i="7" l="1"/>
  <c r="BE12" i="7"/>
  <c r="BE14" i="7" s="1"/>
  <c r="BE792" i="7"/>
  <c r="BE540" i="7"/>
  <c r="CI45" i="7" l="1"/>
  <c r="BE11" i="7"/>
  <c r="BE94" i="27" s="1"/>
  <c r="BE95" i="27" s="1"/>
  <c r="BE44" i="7" l="1"/>
  <c r="BE48" i="7"/>
  <c r="BE77" i="27" l="1"/>
  <c r="BE78" i="27" s="1"/>
  <c r="CI78" i="7"/>
  <c r="BE68" i="7"/>
  <c r="BE73" i="7" s="1"/>
  <c r="BE70" i="7"/>
  <c r="BE81" i="7"/>
  <c r="BE36" i="11"/>
  <c r="BE37" i="11" s="1"/>
  <c r="BE104" i="27"/>
  <c r="BE46" i="7"/>
  <c r="BE73" i="27" l="1"/>
  <c r="BE74" i="27" s="1"/>
  <c r="BE80" i="27" s="1"/>
  <c r="CH78" i="7"/>
  <c r="BE74" i="7"/>
  <c r="BE106" i="27"/>
  <c r="BE118" i="27" s="1"/>
  <c r="BE122" i="27" s="1"/>
  <c r="CN45" i="7"/>
  <c r="BE9" i="7"/>
  <c r="BE19" i="7" s="1"/>
  <c r="BE84" i="7"/>
  <c r="BE49" i="7"/>
  <c r="CI85" i="7" l="1"/>
  <c r="CI86" i="7" s="1"/>
  <c r="CI87" i="7"/>
  <c r="BE134" i="27"/>
  <c r="CH45" i="7"/>
  <c r="CK45" i="7" s="1"/>
  <c r="BE891" i="7"/>
  <c r="BE108" i="27"/>
  <c r="BE110" i="27" s="1"/>
  <c r="BE85" i="7"/>
  <c r="BE112" i="27" l="1"/>
  <c r="BE133" i="27"/>
  <c r="BE135" i="27" s="1"/>
  <c r="BE137" i="27" l="1"/>
  <c r="BE139" i="27" s="1"/>
  <c r="BE126" i="27"/>
  <c r="BI194" i="12" l="1"/>
  <c r="BJ285" i="7" l="1"/>
  <c r="BJ319" i="7" s="1"/>
  <c r="CH282" i="7" s="1"/>
  <c r="CK282" i="7" s="1"/>
  <c r="CL282" i="7" s="1"/>
  <c r="BJ334" i="7"/>
  <c r="BJ476" i="7"/>
  <c r="BJ68" i="7"/>
  <c r="BJ74" i="7" s="1"/>
  <c r="CD165" i="7" s="1"/>
  <c r="BJ20" i="14"/>
  <c r="BJ194" i="12" s="1"/>
  <c r="BJ512" i="7" l="1"/>
  <c r="CH509" i="7"/>
  <c r="BJ370" i="7"/>
  <c r="CH367" i="7"/>
  <c r="BJ891" i="7"/>
  <c r="CD781" i="7"/>
  <c r="CD778" i="7" s="1"/>
  <c r="CD721" i="7"/>
  <c r="CD718" i="7" s="1"/>
  <c r="CD502" i="7"/>
  <c r="CD498" i="7" s="1"/>
  <c r="CD308" i="7"/>
  <c r="CD304" i="7" s="1"/>
  <c r="CD450" i="7"/>
  <c r="CD446" i="7" s="1"/>
  <c r="BJ337" i="7"/>
  <c r="BJ371" i="7" s="1"/>
  <c r="CH334" i="7" s="1"/>
  <c r="CK334" i="7" s="1"/>
  <c r="CL334" i="7" s="1"/>
  <c r="BJ81" i="7"/>
  <c r="BJ70" i="7"/>
  <c r="BJ479" i="7"/>
  <c r="BJ513" i="7" s="1"/>
  <c r="CH476" i="7" s="1"/>
  <c r="CK476" i="7" s="1"/>
  <c r="CL476" i="7" s="1"/>
  <c r="BJ696" i="7"/>
  <c r="BJ732" i="7" s="1"/>
  <c r="BJ34" i="11"/>
  <c r="BJ73" i="7"/>
  <c r="CN46" i="7"/>
  <c r="BJ106" i="27"/>
  <c r="CI369" i="7" l="1"/>
  <c r="CI371" i="7"/>
  <c r="CI513" i="7"/>
  <c r="CI511" i="7"/>
  <c r="BJ67" i="12"/>
  <c r="BJ41" i="11"/>
  <c r="CB498" i="7"/>
  <c r="CB474" i="7" s="1"/>
  <c r="CA498" i="7"/>
  <c r="CA474" i="7" s="1"/>
  <c r="BZ498" i="7"/>
  <c r="BZ474" i="7" s="1"/>
  <c r="CC498" i="7"/>
  <c r="CC474" i="7" s="1"/>
  <c r="CC718" i="7"/>
  <c r="CC691" i="7" s="1"/>
  <c r="CB718" i="7"/>
  <c r="CB691" i="7" s="1"/>
  <c r="CA718" i="7"/>
  <c r="CA691" i="7" s="1"/>
  <c r="BZ718" i="7"/>
  <c r="BZ691" i="7" s="1"/>
  <c r="BZ446" i="7"/>
  <c r="BZ422" i="7" s="1"/>
  <c r="CC446" i="7"/>
  <c r="CC422" i="7" s="1"/>
  <c r="CA446" i="7"/>
  <c r="CA422" i="7" s="1"/>
  <c r="CB446" i="7"/>
  <c r="CB422" i="7" s="1"/>
  <c r="CA304" i="7"/>
  <c r="CA280" i="7" s="1"/>
  <c r="CC304" i="7"/>
  <c r="CC280" i="7" s="1"/>
  <c r="BZ304" i="7"/>
  <c r="BZ280" i="7" s="1"/>
  <c r="CB304" i="7"/>
  <c r="CB280" i="7" s="1"/>
  <c r="CA778" i="7"/>
  <c r="CA745" i="7" s="1"/>
  <c r="BZ778" i="7"/>
  <c r="BZ745" i="7" s="1"/>
  <c r="CC778" i="7"/>
  <c r="CC745" i="7" s="1"/>
  <c r="CB778" i="7"/>
  <c r="CB745" i="7" s="1"/>
  <c r="BJ699" i="7"/>
  <c r="BJ16" i="7" s="1"/>
  <c r="BJ85" i="7"/>
  <c r="BJ73" i="27"/>
  <c r="CH46" i="7"/>
  <c r="BJ77" i="27"/>
  <c r="BJ84" i="7"/>
  <c r="CI512" i="7" l="1"/>
  <c r="CI370" i="7"/>
  <c r="CD745" i="7"/>
  <c r="CB282" i="7"/>
  <c r="CB315" i="7"/>
  <c r="CC315" i="7"/>
  <c r="CC282" i="7"/>
  <c r="CB424" i="7"/>
  <c r="CB457" i="7"/>
  <c r="CC457" i="7"/>
  <c r="CC424" i="7"/>
  <c r="BZ728" i="7"/>
  <c r="BZ693" i="7"/>
  <c r="CD691" i="7"/>
  <c r="CB693" i="7"/>
  <c r="CB695" i="7" s="1"/>
  <c r="CB696" i="7" s="1"/>
  <c r="CB699" i="7" s="1"/>
  <c r="CB728" i="7"/>
  <c r="CC476" i="7"/>
  <c r="CC509" i="7"/>
  <c r="CA476" i="7"/>
  <c r="CA509" i="7"/>
  <c r="BZ315" i="7"/>
  <c r="BZ282" i="7"/>
  <c r="CD280" i="7"/>
  <c r="CA315" i="7"/>
  <c r="CA282" i="7"/>
  <c r="CA424" i="7"/>
  <c r="CA457" i="7"/>
  <c r="BZ457" i="7"/>
  <c r="BZ424" i="7"/>
  <c r="CD422" i="7"/>
  <c r="CA693" i="7"/>
  <c r="CA695" i="7" s="1"/>
  <c r="CA696" i="7" s="1"/>
  <c r="CA699" i="7" s="1"/>
  <c r="CA728" i="7"/>
  <c r="CC693" i="7"/>
  <c r="CC695" i="7" s="1"/>
  <c r="CC696" i="7" s="1"/>
  <c r="CC699" i="7" s="1"/>
  <c r="CC728" i="7"/>
  <c r="BZ476" i="7"/>
  <c r="CD474" i="7"/>
  <c r="BZ509" i="7"/>
  <c r="CB476" i="7"/>
  <c r="CB509" i="7"/>
  <c r="CD161" i="7" l="1"/>
  <c r="BZ695" i="7"/>
  <c r="CD695" i="7" s="1"/>
  <c r="CD509" i="7"/>
  <c r="CD476" i="7"/>
  <c r="CD512" i="7" s="1"/>
  <c r="CD500" i="7"/>
  <c r="CD448" i="7"/>
  <c r="CD457" i="7"/>
  <c r="CD424" i="7"/>
  <c r="CD460" i="7" s="1"/>
  <c r="CD306" i="7"/>
  <c r="CD282" i="7"/>
  <c r="CD318" i="7" s="1"/>
  <c r="CD315" i="7"/>
  <c r="CD728" i="7"/>
  <c r="CD693" i="7"/>
  <c r="BF124" i="13"/>
  <c r="CA318" i="7" l="1"/>
  <c r="CA284" i="7" s="1"/>
  <c r="CA285" i="7" s="1"/>
  <c r="CB318" i="7"/>
  <c r="CB284" i="7" s="1"/>
  <c r="CB285" i="7" s="1"/>
  <c r="CC318" i="7"/>
  <c r="CC284" i="7" s="1"/>
  <c r="CC285" i="7" s="1"/>
  <c r="BZ318" i="7"/>
  <c r="BZ284" i="7" s="1"/>
  <c r="BZ285" i="7" s="1"/>
  <c r="CA460" i="7"/>
  <c r="CA426" i="7" s="1"/>
  <c r="CA427" i="7" s="1"/>
  <c r="CC460" i="7"/>
  <c r="CC426" i="7" s="1"/>
  <c r="CC427" i="7" s="1"/>
  <c r="BZ460" i="7"/>
  <c r="BZ426" i="7" s="1"/>
  <c r="BZ427" i="7" s="1"/>
  <c r="CB460" i="7"/>
  <c r="CB426" i="7" s="1"/>
  <c r="CB427" i="7" s="1"/>
  <c r="CA512" i="7"/>
  <c r="CA478" i="7" s="1"/>
  <c r="CA479" i="7" s="1"/>
  <c r="CC512" i="7"/>
  <c r="CC478" i="7" s="1"/>
  <c r="CC479" i="7" s="1"/>
  <c r="BZ512" i="7"/>
  <c r="BZ478" i="7" s="1"/>
  <c r="BZ479" i="7" s="1"/>
  <c r="CB512" i="7"/>
  <c r="CB478" i="7" s="1"/>
  <c r="CB479" i="7" s="1"/>
  <c r="CD696" i="7"/>
  <c r="CD732" i="7" s="1"/>
  <c r="BZ696" i="7"/>
  <c r="BZ699" i="7" s="1"/>
  <c r="CC161" i="7"/>
  <c r="BZ161" i="7"/>
  <c r="CA161" i="7"/>
  <c r="CB161" i="7"/>
  <c r="CD284" i="7" l="1"/>
  <c r="CD285" i="7" s="1"/>
  <c r="CD319" i="7" s="1"/>
  <c r="CH286" i="7" s="1"/>
  <c r="CK286" i="7" s="1"/>
  <c r="CL286" i="7" s="1"/>
  <c r="CD478" i="7"/>
  <c r="CD479" i="7" s="1"/>
  <c r="CD426" i="7"/>
  <c r="CD427" i="7" s="1"/>
  <c r="CD461" i="7" s="1"/>
  <c r="CH428" i="7" s="1"/>
  <c r="CK428" i="7" s="1"/>
  <c r="CL428" i="7" s="1"/>
  <c r="CD699" i="7"/>
  <c r="CB663" i="7"/>
  <c r="CB636" i="7" s="1"/>
  <c r="CB674" i="7" s="1"/>
  <c r="CB137" i="7"/>
  <c r="CA663" i="7"/>
  <c r="CA636" i="7" s="1"/>
  <c r="CA674" i="7" s="1"/>
  <c r="CA137" i="7"/>
  <c r="CC663" i="7"/>
  <c r="CC636" i="7" s="1"/>
  <c r="CC674" i="7" s="1"/>
  <c r="CC137" i="7"/>
  <c r="BL73" i="27"/>
  <c r="BM73" i="27"/>
  <c r="BZ663" i="7"/>
  <c r="BZ636" i="7" s="1"/>
  <c r="BZ674" i="7" s="1"/>
  <c r="BZ137" i="7"/>
  <c r="BO68" i="7"/>
  <c r="BO74" i="7" s="1"/>
  <c r="BO36" i="11"/>
  <c r="BO81" i="7"/>
  <c r="BK73" i="27"/>
  <c r="BT74" i="7" l="1"/>
  <c r="CD667" i="7"/>
  <c r="CD663" i="7" s="1"/>
  <c r="CD636" i="7" s="1"/>
  <c r="CD256" i="7"/>
  <c r="CD251" i="7" s="1"/>
  <c r="CD360" i="7"/>
  <c r="CD356" i="7" s="1"/>
  <c r="BO891" i="7"/>
  <c r="BO37" i="11"/>
  <c r="CD513" i="7"/>
  <c r="CH480" i="7" s="1"/>
  <c r="CK480" i="7" s="1"/>
  <c r="CL480" i="7" s="1"/>
  <c r="BO106" i="27"/>
  <c r="BO73" i="7"/>
  <c r="CC139" i="7"/>
  <c r="CC172" i="7"/>
  <c r="CA172" i="7"/>
  <c r="CA139" i="7"/>
  <c r="CB139" i="7"/>
  <c r="CB172" i="7"/>
  <c r="BZ172" i="7"/>
  <c r="CD137" i="7"/>
  <c r="BZ139" i="7"/>
  <c r="CD674" i="7" l="1"/>
  <c r="CD665" i="7"/>
  <c r="BY74" i="7"/>
  <c r="BY667" i="7" s="1"/>
  <c r="BY663" i="7" s="1"/>
  <c r="BT165" i="7"/>
  <c r="BT161" i="7" s="1"/>
  <c r="BT667" i="7"/>
  <c r="BT663" i="7" s="1"/>
  <c r="CB356" i="7"/>
  <c r="CB332" i="7" s="1"/>
  <c r="BZ356" i="7"/>
  <c r="BZ332" i="7" s="1"/>
  <c r="CC356" i="7"/>
  <c r="CC332" i="7" s="1"/>
  <c r="CA356" i="7"/>
  <c r="CA332" i="7" s="1"/>
  <c r="BZ251" i="7"/>
  <c r="BZ227" i="7" s="1"/>
  <c r="CC251" i="7"/>
  <c r="CC227" i="7" s="1"/>
  <c r="CB251" i="7"/>
  <c r="CB227" i="7" s="1"/>
  <c r="CA251" i="7"/>
  <c r="CA227" i="7" s="1"/>
  <c r="BT360" i="7"/>
  <c r="BT356" i="7" s="1"/>
  <c r="BT256" i="7"/>
  <c r="BT251" i="7" s="1"/>
  <c r="BT721" i="7"/>
  <c r="BT718" i="7" s="1"/>
  <c r="BT781" i="7"/>
  <c r="BT778" i="7" s="1"/>
  <c r="BT450" i="7"/>
  <c r="BT446" i="7" s="1"/>
  <c r="BT502" i="7"/>
  <c r="BT498" i="7" s="1"/>
  <c r="BT891" i="7"/>
  <c r="BT308" i="7"/>
  <c r="BT304" i="7" s="1"/>
  <c r="CD172" i="7"/>
  <c r="CD139" i="7"/>
  <c r="CD163" i="7"/>
  <c r="BP498" i="7" l="1"/>
  <c r="BP474" i="7" s="1"/>
  <c r="BR498" i="7"/>
  <c r="BR474" i="7" s="1"/>
  <c r="BQ498" i="7"/>
  <c r="BQ474" i="7" s="1"/>
  <c r="BS498" i="7"/>
  <c r="BS474" i="7" s="1"/>
  <c r="BY165" i="7"/>
  <c r="BY161" i="7" s="1"/>
  <c r="BY256" i="7"/>
  <c r="BY251" i="7" s="1"/>
  <c r="BY360" i="7"/>
  <c r="BY356" i="7" s="1"/>
  <c r="BY502" i="7"/>
  <c r="BY498" i="7" s="1"/>
  <c r="BY891" i="7"/>
  <c r="BY308" i="7"/>
  <c r="BY304" i="7" s="1"/>
  <c r="BY721" i="7"/>
  <c r="BY718" i="7" s="1"/>
  <c r="BY781" i="7"/>
  <c r="BY778" i="7" s="1"/>
  <c r="BY450" i="7"/>
  <c r="BY446" i="7" s="1"/>
  <c r="CA229" i="7"/>
  <c r="CA263" i="7"/>
  <c r="CA44" i="7"/>
  <c r="CA367" i="7"/>
  <c r="CA334" i="7"/>
  <c r="BQ304" i="7"/>
  <c r="BQ280" i="7" s="1"/>
  <c r="BR304" i="7"/>
  <c r="BR280" i="7" s="1"/>
  <c r="BP304" i="7"/>
  <c r="BP280" i="7" s="1"/>
  <c r="BS304" i="7"/>
  <c r="BS280" i="7" s="1"/>
  <c r="BS446" i="7"/>
  <c r="BS422" i="7" s="1"/>
  <c r="BR446" i="7"/>
  <c r="BR422" i="7" s="1"/>
  <c r="BP446" i="7"/>
  <c r="BP422" i="7" s="1"/>
  <c r="BQ446" i="7"/>
  <c r="BQ422" i="7" s="1"/>
  <c r="BQ251" i="7"/>
  <c r="BQ227" i="7" s="1"/>
  <c r="BS251" i="7"/>
  <c r="BS227" i="7" s="1"/>
  <c r="BP251" i="7"/>
  <c r="BP227" i="7" s="1"/>
  <c r="BR251" i="7"/>
  <c r="BR227" i="7" s="1"/>
  <c r="CB263" i="7"/>
  <c r="CB229" i="7"/>
  <c r="CB44" i="7"/>
  <c r="CC367" i="7"/>
  <c r="CC334" i="7"/>
  <c r="BS778" i="7"/>
  <c r="BS745" i="7" s="1"/>
  <c r="BP778" i="7"/>
  <c r="BP745" i="7" s="1"/>
  <c r="BR778" i="7"/>
  <c r="BR745" i="7" s="1"/>
  <c r="BQ778" i="7"/>
  <c r="BQ745" i="7" s="1"/>
  <c r="BT636" i="7"/>
  <c r="BP161" i="7"/>
  <c r="BS161" i="7"/>
  <c r="BQ161" i="7"/>
  <c r="BR161" i="7"/>
  <c r="CC229" i="7"/>
  <c r="CC263" i="7"/>
  <c r="CC44" i="7"/>
  <c r="BZ367" i="7"/>
  <c r="CD332" i="7"/>
  <c r="BZ334" i="7"/>
  <c r="BR718" i="7"/>
  <c r="BR691" i="7" s="1"/>
  <c r="BP718" i="7"/>
  <c r="BP691" i="7" s="1"/>
  <c r="BQ718" i="7"/>
  <c r="BQ691" i="7" s="1"/>
  <c r="BS718" i="7"/>
  <c r="BS691" i="7" s="1"/>
  <c r="BS356" i="7"/>
  <c r="BS332" i="7" s="1"/>
  <c r="BP356" i="7"/>
  <c r="BP332" i="7" s="1"/>
  <c r="BR356" i="7"/>
  <c r="BR332" i="7" s="1"/>
  <c r="BQ356" i="7"/>
  <c r="BQ332" i="7" s="1"/>
  <c r="BZ229" i="7"/>
  <c r="BZ263" i="7"/>
  <c r="CD227" i="7"/>
  <c r="BZ44" i="7"/>
  <c r="CB334" i="7"/>
  <c r="CB367" i="7"/>
  <c r="BZ175" i="7"/>
  <c r="BZ141" i="7" s="1"/>
  <c r="BZ142" i="7" s="1"/>
  <c r="CB175" i="7"/>
  <c r="CB141" i="7" s="1"/>
  <c r="CA175" i="7"/>
  <c r="CA141" i="7" s="1"/>
  <c r="CC175" i="7"/>
  <c r="CC141" i="7" s="1"/>
  <c r="BS334" i="7" l="1"/>
  <c r="BS367" i="7"/>
  <c r="BR693" i="7"/>
  <c r="BR695" i="7" s="1"/>
  <c r="BR696" i="7" s="1"/>
  <c r="BR699" i="7" s="1"/>
  <c r="BR728" i="7"/>
  <c r="CC46" i="7"/>
  <c r="CC68" i="7"/>
  <c r="CC36" i="11"/>
  <c r="CC35" i="11" s="1"/>
  <c r="CC34" i="11" s="1"/>
  <c r="CC20" i="14" s="1"/>
  <c r="CC81" i="7"/>
  <c r="BQ663" i="7"/>
  <c r="BQ636" i="7" s="1"/>
  <c r="BQ674" i="7" s="1"/>
  <c r="BQ137" i="7"/>
  <c r="BQ229" i="7"/>
  <c r="BQ263" i="7"/>
  <c r="BS424" i="7"/>
  <c r="BS457" i="7"/>
  <c r="BQ282" i="7"/>
  <c r="BQ315" i="7"/>
  <c r="BX718" i="7"/>
  <c r="BX691" i="7" s="1"/>
  <c r="BV718" i="7"/>
  <c r="BV691" i="7" s="1"/>
  <c r="BU718" i="7"/>
  <c r="BU691" i="7" s="1"/>
  <c r="BW718" i="7"/>
  <c r="BW691" i="7" s="1"/>
  <c r="BX498" i="7"/>
  <c r="BX474" i="7" s="1"/>
  <c r="BV498" i="7"/>
  <c r="BV474" i="7" s="1"/>
  <c r="BW498" i="7"/>
  <c r="BW474" i="7" s="1"/>
  <c r="BU498" i="7"/>
  <c r="BU474" i="7" s="1"/>
  <c r="BS509" i="7"/>
  <c r="BS476" i="7"/>
  <c r="BZ81" i="7"/>
  <c r="BZ68" i="7"/>
  <c r="BZ46" i="7"/>
  <c r="BZ36" i="11"/>
  <c r="BZ35" i="11" s="1"/>
  <c r="BZ34" i="11" s="1"/>
  <c r="BQ334" i="7"/>
  <c r="BQ367" i="7"/>
  <c r="BS693" i="7"/>
  <c r="BS695" i="7" s="1"/>
  <c r="BS696" i="7" s="1"/>
  <c r="BS699" i="7" s="1"/>
  <c r="BS728" i="7"/>
  <c r="BS663" i="7"/>
  <c r="BS636" i="7" s="1"/>
  <c r="BS674" i="7" s="1"/>
  <c r="BS137" i="7"/>
  <c r="BR263" i="7"/>
  <c r="BR229" i="7"/>
  <c r="BQ424" i="7"/>
  <c r="BQ457" i="7"/>
  <c r="BS315" i="7"/>
  <c r="BS282" i="7"/>
  <c r="BU304" i="7"/>
  <c r="BU280" i="7" s="1"/>
  <c r="BV304" i="7"/>
  <c r="BV280" i="7" s="1"/>
  <c r="BX304" i="7"/>
  <c r="BX280" i="7" s="1"/>
  <c r="BW304" i="7"/>
  <c r="BW280" i="7" s="1"/>
  <c r="BU356" i="7"/>
  <c r="BU332" i="7" s="1"/>
  <c r="BX356" i="7"/>
  <c r="BX332" i="7" s="1"/>
  <c r="BV356" i="7"/>
  <c r="BV332" i="7" s="1"/>
  <c r="BW356" i="7"/>
  <c r="BW332" i="7" s="1"/>
  <c r="BQ509" i="7"/>
  <c r="BQ476" i="7"/>
  <c r="CD253" i="7"/>
  <c r="CD263" i="7"/>
  <c r="CD229" i="7"/>
  <c r="CD266" i="7" s="1"/>
  <c r="CD44" i="7"/>
  <c r="BR367" i="7"/>
  <c r="BR334" i="7"/>
  <c r="BQ728" i="7"/>
  <c r="BQ693" i="7"/>
  <c r="BQ695" i="7" s="1"/>
  <c r="BQ696" i="7" s="1"/>
  <c r="BQ699" i="7" s="1"/>
  <c r="CD367" i="7"/>
  <c r="CD334" i="7"/>
  <c r="CD370" i="7" s="1"/>
  <c r="CD358" i="7"/>
  <c r="BP137" i="7"/>
  <c r="BP663" i="7"/>
  <c r="BP636" i="7" s="1"/>
  <c r="BP674" i="7" s="1"/>
  <c r="BT745" i="7"/>
  <c r="CB46" i="7"/>
  <c r="CB81" i="7"/>
  <c r="CB68" i="7"/>
  <c r="CB36" i="11"/>
  <c r="CB35" i="11" s="1"/>
  <c r="CB34" i="11" s="1"/>
  <c r="CB20" i="14" s="1"/>
  <c r="BP229" i="7"/>
  <c r="BP263" i="7"/>
  <c r="BT227" i="7"/>
  <c r="BP457" i="7"/>
  <c r="BP424" i="7"/>
  <c r="BT422" i="7"/>
  <c r="BP315" i="7"/>
  <c r="BT280" i="7"/>
  <c r="BP282" i="7"/>
  <c r="BX446" i="7"/>
  <c r="BX422" i="7" s="1"/>
  <c r="BW446" i="7"/>
  <c r="BW422" i="7" s="1"/>
  <c r="BU446" i="7"/>
  <c r="BU422" i="7" s="1"/>
  <c r="BV446" i="7"/>
  <c r="BV422" i="7" s="1"/>
  <c r="BW251" i="7"/>
  <c r="BW227" i="7" s="1"/>
  <c r="BU251" i="7"/>
  <c r="BU227" i="7" s="1"/>
  <c r="BX251" i="7"/>
  <c r="BX227" i="7" s="1"/>
  <c r="BV251" i="7"/>
  <c r="BV227" i="7" s="1"/>
  <c r="BR476" i="7"/>
  <c r="BR509" i="7"/>
  <c r="BP334" i="7"/>
  <c r="BP367" i="7"/>
  <c r="BT332" i="7"/>
  <c r="BP728" i="7"/>
  <c r="BP693" i="7"/>
  <c r="BT691" i="7"/>
  <c r="BR137" i="7"/>
  <c r="BR663" i="7"/>
  <c r="BR636" i="7" s="1"/>
  <c r="BR674" i="7" s="1"/>
  <c r="BT665" i="7"/>
  <c r="BT674" i="7"/>
  <c r="BS263" i="7"/>
  <c r="BS229" i="7"/>
  <c r="BR424" i="7"/>
  <c r="BR457" i="7"/>
  <c r="BR315" i="7"/>
  <c r="BR282" i="7"/>
  <c r="CA46" i="7"/>
  <c r="CA81" i="7"/>
  <c r="CA68" i="7"/>
  <c r="CA36" i="11"/>
  <c r="CA35" i="11" s="1"/>
  <c r="CA34" i="11" s="1"/>
  <c r="CA20" i="14" s="1"/>
  <c r="BU778" i="7"/>
  <c r="BU745" i="7" s="1"/>
  <c r="BV778" i="7"/>
  <c r="BV745" i="7" s="1"/>
  <c r="BX778" i="7"/>
  <c r="BX745" i="7" s="1"/>
  <c r="BW778" i="7"/>
  <c r="BW745" i="7" s="1"/>
  <c r="BX161" i="7"/>
  <c r="BW161" i="7"/>
  <c r="BY636" i="7"/>
  <c r="BU161" i="7"/>
  <c r="BV161" i="7"/>
  <c r="BT474" i="7"/>
  <c r="BP476" i="7"/>
  <c r="BP509" i="7"/>
  <c r="CA142" i="7"/>
  <c r="CD141" i="7"/>
  <c r="CB142" i="7"/>
  <c r="CC142" i="7"/>
  <c r="BX229" i="7" l="1"/>
  <c r="BX263" i="7"/>
  <c r="BU457" i="7"/>
  <c r="BY422" i="7"/>
  <c r="BU424" i="7"/>
  <c r="BT282" i="7"/>
  <c r="BT318" i="7" s="1"/>
  <c r="BT306" i="7"/>
  <c r="BT315" i="7"/>
  <c r="CA370" i="7"/>
  <c r="CA336" i="7" s="1"/>
  <c r="CA337" i="7" s="1"/>
  <c r="CC370" i="7"/>
  <c r="CC336" i="7" s="1"/>
  <c r="CC337" i="7" s="1"/>
  <c r="CB370" i="7"/>
  <c r="CB336" i="7" s="1"/>
  <c r="CB337" i="7" s="1"/>
  <c r="BZ370" i="7"/>
  <c r="BZ336" i="7" s="1"/>
  <c r="BY332" i="7"/>
  <c r="BU334" i="7"/>
  <c r="BU367" i="7"/>
  <c r="BU315" i="7"/>
  <c r="BY280" i="7"/>
  <c r="BU282" i="7"/>
  <c r="BW476" i="7"/>
  <c r="BW509" i="7"/>
  <c r="BY691" i="7"/>
  <c r="BU728" i="7"/>
  <c r="BU693" i="7"/>
  <c r="BU137" i="7"/>
  <c r="BU663" i="7"/>
  <c r="BU636" i="7" s="1"/>
  <c r="BU674" i="7" s="1"/>
  <c r="BY674" i="7"/>
  <c r="BY665" i="7"/>
  <c r="BR139" i="7"/>
  <c r="BR172" i="7"/>
  <c r="BR44" i="7"/>
  <c r="BT334" i="7"/>
  <c r="BT370" i="7" s="1"/>
  <c r="BT367" i="7"/>
  <c r="BT358" i="7"/>
  <c r="BY227" i="7"/>
  <c r="BU229" i="7"/>
  <c r="BU263" i="7"/>
  <c r="BW424" i="7"/>
  <c r="BW457" i="7"/>
  <c r="BT229" i="7"/>
  <c r="BT266" i="7" s="1"/>
  <c r="BT253" i="7"/>
  <c r="BT263" i="7"/>
  <c r="BW334" i="7"/>
  <c r="BW367" i="7"/>
  <c r="BW282" i="7"/>
  <c r="BW315" i="7"/>
  <c r="BZ20" i="14"/>
  <c r="CD20" i="14" s="1"/>
  <c r="CD34" i="11"/>
  <c r="CD25" i="11" s="1"/>
  <c r="CD67" i="12" s="1"/>
  <c r="BV476" i="7"/>
  <c r="BV509" i="7"/>
  <c r="BV693" i="7"/>
  <c r="BV695" i="7" s="1"/>
  <c r="BV696" i="7" s="1"/>
  <c r="BV699" i="7" s="1"/>
  <c r="BV728" i="7"/>
  <c r="BQ172" i="7"/>
  <c r="BQ44" i="7"/>
  <c r="BQ139" i="7"/>
  <c r="BT509" i="7"/>
  <c r="BT500" i="7"/>
  <c r="BT476" i="7"/>
  <c r="BT512" i="7" s="1"/>
  <c r="BW137" i="7"/>
  <c r="BW663" i="7"/>
  <c r="BW636" i="7" s="1"/>
  <c r="BW674" i="7" s="1"/>
  <c r="BT728" i="7"/>
  <c r="BT693" i="7"/>
  <c r="BW229" i="7"/>
  <c r="BW263" i="7"/>
  <c r="BX424" i="7"/>
  <c r="BX457" i="7"/>
  <c r="BT448" i="7"/>
  <c r="BT457" i="7"/>
  <c r="BT424" i="7"/>
  <c r="BT460" i="7" s="1"/>
  <c r="BP139" i="7"/>
  <c r="BT137" i="7"/>
  <c r="BP172" i="7"/>
  <c r="BP44" i="7"/>
  <c r="CD36" i="11"/>
  <c r="CD35" i="11" s="1"/>
  <c r="CD70" i="7"/>
  <c r="CD68" i="7"/>
  <c r="CD81" i="7"/>
  <c r="CD46" i="7"/>
  <c r="BV334" i="7"/>
  <c r="BV367" i="7"/>
  <c r="BX315" i="7"/>
  <c r="BX282" i="7"/>
  <c r="BZ73" i="27"/>
  <c r="BZ9" i="7"/>
  <c r="BX476" i="7"/>
  <c r="BX509" i="7"/>
  <c r="BX728" i="7"/>
  <c r="BX693" i="7"/>
  <c r="BX695" i="7" s="1"/>
  <c r="BX696" i="7" s="1"/>
  <c r="BX699" i="7" s="1"/>
  <c r="CC9" i="7"/>
  <c r="CC73" i="27"/>
  <c r="BV663" i="7"/>
  <c r="BV636" i="7" s="1"/>
  <c r="BV674" i="7" s="1"/>
  <c r="BV137" i="7"/>
  <c r="BX663" i="7"/>
  <c r="BX636" i="7" s="1"/>
  <c r="BX674" i="7" s="1"/>
  <c r="BX137" i="7"/>
  <c r="BY745" i="7"/>
  <c r="CA9" i="7"/>
  <c r="CA73" i="27"/>
  <c r="BP695" i="7"/>
  <c r="BT695" i="7" s="1"/>
  <c r="BV229" i="7"/>
  <c r="BV263" i="7"/>
  <c r="BV424" i="7"/>
  <c r="BV457" i="7"/>
  <c r="CB9" i="7"/>
  <c r="CB73" i="27"/>
  <c r="CB266" i="7"/>
  <c r="CB231" i="7" s="1"/>
  <c r="CC266" i="7"/>
  <c r="CC231" i="7" s="1"/>
  <c r="BZ266" i="7"/>
  <c r="BZ231" i="7" s="1"/>
  <c r="CA266" i="7"/>
  <c r="CA231" i="7" s="1"/>
  <c r="BX334" i="7"/>
  <c r="BX367" i="7"/>
  <c r="BV282" i="7"/>
  <c r="BV315" i="7"/>
  <c r="BS44" i="7"/>
  <c r="BS172" i="7"/>
  <c r="BS139" i="7"/>
  <c r="BU509" i="7"/>
  <c r="BY474" i="7"/>
  <c r="BU476" i="7"/>
  <c r="BW728" i="7"/>
  <c r="BW693" i="7"/>
  <c r="BW695" i="7" s="1"/>
  <c r="BW696" i="7" s="1"/>
  <c r="BW699" i="7" s="1"/>
  <c r="CD142" i="7"/>
  <c r="CD176" i="7" s="1"/>
  <c r="CH143" i="7" s="1"/>
  <c r="CK143" i="7" s="1"/>
  <c r="CL143" i="7" s="1"/>
  <c r="BE103" i="1"/>
  <c r="BE110" i="1" s="1"/>
  <c r="BE149" i="1"/>
  <c r="BE157" i="1" s="1"/>
  <c r="BE95" i="5"/>
  <c r="BE149" i="5" s="1"/>
  <c r="BE157" i="5" s="1"/>
  <c r="BP696" i="7" l="1"/>
  <c r="BP699" i="7" s="1"/>
  <c r="BY476" i="7"/>
  <c r="BY512" i="7" s="1"/>
  <c r="BY509" i="7"/>
  <c r="BY500" i="7"/>
  <c r="BS46" i="7"/>
  <c r="BS36" i="11"/>
  <c r="BS35" i="11" s="1"/>
  <c r="BS34" i="11" s="1"/>
  <c r="BS20" i="14" s="1"/>
  <c r="BS81" i="7"/>
  <c r="BS68" i="7"/>
  <c r="CB232" i="7"/>
  <c r="CB48" i="7"/>
  <c r="BV139" i="7"/>
  <c r="BV44" i="7"/>
  <c r="BV172" i="7"/>
  <c r="CD73" i="7"/>
  <c r="CD106" i="27"/>
  <c r="CN50" i="7"/>
  <c r="CD38" i="12"/>
  <c r="BQ266" i="7"/>
  <c r="BQ231" i="7" s="1"/>
  <c r="BQ232" i="7" s="1"/>
  <c r="BS266" i="7"/>
  <c r="BS231" i="7" s="1"/>
  <c r="BS232" i="7" s="1"/>
  <c r="BP266" i="7"/>
  <c r="BP231" i="7" s="1"/>
  <c r="BR266" i="7"/>
  <c r="BR231" i="7" s="1"/>
  <c r="BR232" i="7" s="1"/>
  <c r="BR370" i="7"/>
  <c r="BR336" i="7" s="1"/>
  <c r="BR337" i="7" s="1"/>
  <c r="BP370" i="7"/>
  <c r="BP336" i="7" s="1"/>
  <c r="BQ370" i="7"/>
  <c r="BQ336" i="7" s="1"/>
  <c r="BQ337" i="7" s="1"/>
  <c r="BS370" i="7"/>
  <c r="BS336" i="7" s="1"/>
  <c r="BS337" i="7" s="1"/>
  <c r="BU695" i="7"/>
  <c r="BY695" i="7" s="1"/>
  <c r="CA232" i="7"/>
  <c r="CA48" i="7"/>
  <c r="BT163" i="7"/>
  <c r="BT44" i="7"/>
  <c r="BT172" i="7"/>
  <c r="BT139" i="7"/>
  <c r="BW44" i="7"/>
  <c r="BW139" i="7"/>
  <c r="BW172" i="7"/>
  <c r="BY253" i="7"/>
  <c r="BY263" i="7"/>
  <c r="BY229" i="7"/>
  <c r="BY266" i="7" s="1"/>
  <c r="BR46" i="7"/>
  <c r="BR81" i="7"/>
  <c r="BR68" i="7"/>
  <c r="BR36" i="11"/>
  <c r="BR35" i="11" s="1"/>
  <c r="BR34" i="11" s="1"/>
  <c r="BR20" i="14" s="1"/>
  <c r="BR318" i="7"/>
  <c r="BR284" i="7" s="1"/>
  <c r="BR285" i="7" s="1"/>
  <c r="BQ318" i="7"/>
  <c r="BQ284" i="7" s="1"/>
  <c r="BQ285" i="7" s="1"/>
  <c r="BS318" i="7"/>
  <c r="BS284" i="7" s="1"/>
  <c r="BS285" i="7" s="1"/>
  <c r="BP318" i="7"/>
  <c r="BP284" i="7" s="1"/>
  <c r="BZ232" i="7"/>
  <c r="CD231" i="7"/>
  <c r="BZ48" i="7"/>
  <c r="BX44" i="7"/>
  <c r="BX172" i="7"/>
  <c r="BX139" i="7"/>
  <c r="CH83" i="7"/>
  <c r="CD9" i="7"/>
  <c r="CD73" i="27"/>
  <c r="BT696" i="7"/>
  <c r="BR512" i="7"/>
  <c r="BR478" i="7" s="1"/>
  <c r="BR479" i="7" s="1"/>
  <c r="BQ512" i="7"/>
  <c r="BQ478" i="7" s="1"/>
  <c r="BQ479" i="7" s="1"/>
  <c r="BS512" i="7"/>
  <c r="BS478" i="7" s="1"/>
  <c r="BS479" i="7" s="1"/>
  <c r="BP512" i="7"/>
  <c r="BP478" i="7" s="1"/>
  <c r="BQ81" i="7"/>
  <c r="BQ36" i="11"/>
  <c r="BQ35" i="11" s="1"/>
  <c r="BQ34" i="11" s="1"/>
  <c r="BQ20" i="14" s="1"/>
  <c r="BQ68" i="7"/>
  <c r="BQ46" i="7"/>
  <c r="BY728" i="7"/>
  <c r="BY693" i="7"/>
  <c r="BY306" i="7"/>
  <c r="BY315" i="7"/>
  <c r="BY282" i="7"/>
  <c r="BY318" i="7" s="1"/>
  <c r="BY334" i="7"/>
  <c r="BY370" i="7" s="1"/>
  <c r="BY358" i="7"/>
  <c r="BY367" i="7"/>
  <c r="CC232" i="7"/>
  <c r="CC48" i="7"/>
  <c r="BP36" i="11"/>
  <c r="BP35" i="11" s="1"/>
  <c r="BP34" i="11" s="1"/>
  <c r="BP46" i="7"/>
  <c r="BP68" i="7"/>
  <c r="BP81" i="7"/>
  <c r="BR460" i="7"/>
  <c r="BR426" i="7" s="1"/>
  <c r="BR427" i="7" s="1"/>
  <c r="BQ460" i="7"/>
  <c r="BQ426" i="7" s="1"/>
  <c r="BQ427" i="7" s="1"/>
  <c r="BS460" i="7"/>
  <c r="BS426" i="7" s="1"/>
  <c r="BS427" i="7" s="1"/>
  <c r="BP460" i="7"/>
  <c r="BP426" i="7" s="1"/>
  <c r="BY137" i="7"/>
  <c r="BU139" i="7"/>
  <c r="BU172" i="7"/>
  <c r="BU44" i="7"/>
  <c r="BZ337" i="7"/>
  <c r="CD336" i="7"/>
  <c r="CD337" i="7" s="1"/>
  <c r="CD371" i="7" s="1"/>
  <c r="CH338" i="7" s="1"/>
  <c r="CK338" i="7" s="1"/>
  <c r="CL338" i="7" s="1"/>
  <c r="BY448" i="7"/>
  <c r="BY457" i="7"/>
  <c r="BY424" i="7"/>
  <c r="BY460" i="7" s="1"/>
  <c r="BE103" i="5"/>
  <c r="BE110" i="5" s="1"/>
  <c r="BE101" i="10" s="1"/>
  <c r="BE372" i="1"/>
  <c r="BE380" i="1" s="1"/>
  <c r="BE387" i="1" s="1"/>
  <c r="BE388" i="1" s="1"/>
  <c r="BE164" i="5"/>
  <c r="BJ167" i="5" s="1"/>
  <c r="BE164" i="1"/>
  <c r="BE397" i="1"/>
  <c r="BE873" i="7"/>
  <c r="BE818" i="7"/>
  <c r="BY696" i="7" l="1"/>
  <c r="BY732" i="7" s="1"/>
  <c r="BU696" i="7"/>
  <c r="BU699" i="7" s="1"/>
  <c r="BT426" i="7"/>
  <c r="BT427" i="7" s="1"/>
  <c r="BT461" i="7" s="1"/>
  <c r="CH426" i="7" s="1"/>
  <c r="CK426" i="7" s="1"/>
  <c r="CL426" i="7" s="1"/>
  <c r="BP427" i="7"/>
  <c r="CC84" i="7"/>
  <c r="CC49" i="7"/>
  <c r="CC77" i="27"/>
  <c r="BQ73" i="27"/>
  <c r="BQ9" i="7"/>
  <c r="BP479" i="7"/>
  <c r="BT478" i="7"/>
  <c r="BT479" i="7" s="1"/>
  <c r="BT513" i="7" s="1"/>
  <c r="CH478" i="7" s="1"/>
  <c r="CK478" i="7" s="1"/>
  <c r="CL478" i="7" s="1"/>
  <c r="BT699" i="7"/>
  <c r="BT732" i="7"/>
  <c r="BZ84" i="7"/>
  <c r="BZ49" i="7"/>
  <c r="BZ77" i="27"/>
  <c r="BX266" i="7"/>
  <c r="BX231" i="7" s="1"/>
  <c r="BX232" i="7" s="1"/>
  <c r="BV266" i="7"/>
  <c r="BV231" i="7" s="1"/>
  <c r="BV232" i="7" s="1"/>
  <c r="BW266" i="7"/>
  <c r="BW231" i="7" s="1"/>
  <c r="BW232" i="7" s="1"/>
  <c r="BU266" i="7"/>
  <c r="BU231" i="7" s="1"/>
  <c r="BP232" i="7"/>
  <c r="BT231" i="7"/>
  <c r="BT232" i="7" s="1"/>
  <c r="BT267" i="7" s="1"/>
  <c r="CH231" i="7" s="1"/>
  <c r="CK231" i="7" s="1"/>
  <c r="CL231" i="7" s="1"/>
  <c r="BS73" i="27"/>
  <c r="BS9" i="7"/>
  <c r="CD232" i="7"/>
  <c r="CD267" i="7" s="1"/>
  <c r="CH233" i="7" s="1"/>
  <c r="CK233" i="7" s="1"/>
  <c r="CL233" i="7" s="1"/>
  <c r="CD48" i="7"/>
  <c r="BT70" i="7"/>
  <c r="BT81" i="7"/>
  <c r="BT36" i="11"/>
  <c r="BT35" i="11" s="1"/>
  <c r="BT46" i="7"/>
  <c r="BT68" i="7"/>
  <c r="BT336" i="7"/>
  <c r="BT337" i="7" s="1"/>
  <c r="BT371" i="7" s="1"/>
  <c r="CH336" i="7" s="1"/>
  <c r="CK336" i="7" s="1"/>
  <c r="CL336" i="7" s="1"/>
  <c r="BP337" i="7"/>
  <c r="BV68" i="7"/>
  <c r="BV81" i="7"/>
  <c r="BV36" i="11"/>
  <c r="BV35" i="11" s="1"/>
  <c r="BV34" i="11" s="1"/>
  <c r="BV20" i="14" s="1"/>
  <c r="BV46" i="7"/>
  <c r="BU460" i="7"/>
  <c r="BU426" i="7" s="1"/>
  <c r="BW460" i="7"/>
  <c r="BW426" i="7" s="1"/>
  <c r="BW427" i="7" s="1"/>
  <c r="BV460" i="7"/>
  <c r="BV426" i="7" s="1"/>
  <c r="BV427" i="7" s="1"/>
  <c r="BX460" i="7"/>
  <c r="BX426" i="7" s="1"/>
  <c r="BX427" i="7" s="1"/>
  <c r="BY163" i="7"/>
  <c r="BY44" i="7"/>
  <c r="BY172" i="7"/>
  <c r="BY139" i="7"/>
  <c r="BP73" i="27"/>
  <c r="BP9" i="7"/>
  <c r="BU370" i="7"/>
  <c r="BU336" i="7" s="1"/>
  <c r="BW370" i="7"/>
  <c r="BW336" i="7" s="1"/>
  <c r="BW337" i="7" s="1"/>
  <c r="BX370" i="7"/>
  <c r="BX336" i="7" s="1"/>
  <c r="BX337" i="7" s="1"/>
  <c r="BV370" i="7"/>
  <c r="BV336" i="7" s="1"/>
  <c r="BV337" i="7" s="1"/>
  <c r="BW81" i="7"/>
  <c r="BW36" i="11"/>
  <c r="BW35" i="11" s="1"/>
  <c r="BW34" i="11" s="1"/>
  <c r="BW20" i="14" s="1"/>
  <c r="BW46" i="7"/>
  <c r="BW68" i="7"/>
  <c r="BU46" i="7"/>
  <c r="BU68" i="7"/>
  <c r="BU81" i="7"/>
  <c r="BU36" i="11"/>
  <c r="BU35" i="11" s="1"/>
  <c r="BU34" i="11" s="1"/>
  <c r="BP20" i="14"/>
  <c r="BT20" i="14" s="1"/>
  <c r="BT34" i="11"/>
  <c r="BT25" i="11" s="1"/>
  <c r="BT67" i="12" s="1"/>
  <c r="BW318" i="7"/>
  <c r="BW284" i="7" s="1"/>
  <c r="BW285" i="7" s="1"/>
  <c r="BV318" i="7"/>
  <c r="BV284" i="7" s="1"/>
  <c r="BV285" i="7" s="1"/>
  <c r="BX318" i="7"/>
  <c r="BX284" i="7" s="1"/>
  <c r="BX285" i="7" s="1"/>
  <c r="BU318" i="7"/>
  <c r="BU284" i="7" s="1"/>
  <c r="BX81" i="7"/>
  <c r="BX68" i="7"/>
  <c r="BX36" i="11"/>
  <c r="BX35" i="11" s="1"/>
  <c r="BX34" i="11" s="1"/>
  <c r="BX20" i="14" s="1"/>
  <c r="BX46" i="7"/>
  <c r="BP285" i="7"/>
  <c r="BT284" i="7"/>
  <c r="BT285" i="7" s="1"/>
  <c r="BT319" i="7" s="1"/>
  <c r="CH284" i="7" s="1"/>
  <c r="CK284" i="7" s="1"/>
  <c r="CL284" i="7" s="1"/>
  <c r="BR73" i="27"/>
  <c r="BR9" i="7"/>
  <c r="BS175" i="7"/>
  <c r="BS141" i="7" s="1"/>
  <c r="BP175" i="7"/>
  <c r="BP141" i="7" s="1"/>
  <c r="BR175" i="7"/>
  <c r="BR141" i="7" s="1"/>
  <c r="BQ175" i="7"/>
  <c r="BQ141" i="7" s="1"/>
  <c r="CA49" i="7"/>
  <c r="CA77" i="27"/>
  <c r="CA84" i="7"/>
  <c r="CB84" i="7"/>
  <c r="CB49" i="7"/>
  <c r="CB77" i="27"/>
  <c r="BX512" i="7"/>
  <c r="BX478" i="7" s="1"/>
  <c r="BX479" i="7" s="1"/>
  <c r="BU512" i="7"/>
  <c r="BU478" i="7" s="1"/>
  <c r="BW512" i="7"/>
  <c r="BW478" i="7" s="1"/>
  <c r="BW479" i="7" s="1"/>
  <c r="BV512" i="7"/>
  <c r="BV478" i="7" s="1"/>
  <c r="BV479" i="7" s="1"/>
  <c r="BE79" i="10"/>
  <c r="BE167" i="5"/>
  <c r="BE102" i="10"/>
  <c r="BE169" i="5"/>
  <c r="CG168" i="5" s="1"/>
  <c r="BE173" i="5"/>
  <c r="BE544" i="7"/>
  <c r="BE880" i="7"/>
  <c r="BE881" i="7" s="1"/>
  <c r="BE874" i="7"/>
  <c r="BE819" i="7"/>
  <c r="BE847" i="7" s="1"/>
  <c r="BE825" i="7"/>
  <c r="BE826" i="7" s="1"/>
  <c r="BA172" i="1"/>
  <c r="BC172" i="1"/>
  <c r="BE165" i="1"/>
  <c r="BB172" i="1"/>
  <c r="BD172" i="1"/>
  <c r="BY699" i="7" l="1"/>
  <c r="CI83" i="7"/>
  <c r="CD49" i="7"/>
  <c r="CD77" i="27"/>
  <c r="CD84" i="7"/>
  <c r="BT38" i="12"/>
  <c r="BV73" i="27"/>
  <c r="BV9" i="7"/>
  <c r="BP142" i="7"/>
  <c r="BT141" i="7"/>
  <c r="BP48" i="7"/>
  <c r="BU73" i="27"/>
  <c r="BU9" i="7"/>
  <c r="BU232" i="7"/>
  <c r="BY231" i="7"/>
  <c r="BY232" i="7" s="1"/>
  <c r="BY267" i="7" s="1"/>
  <c r="CH232" i="7" s="1"/>
  <c r="CK232" i="7" s="1"/>
  <c r="CL232" i="7" s="1"/>
  <c r="BY284" i="7"/>
  <c r="BY285" i="7" s="1"/>
  <c r="BY319" i="7" s="1"/>
  <c r="CH285" i="7" s="1"/>
  <c r="CK285" i="7" s="1"/>
  <c r="CL285" i="7" s="1"/>
  <c r="BU285" i="7"/>
  <c r="BW73" i="27"/>
  <c r="BW9" i="7"/>
  <c r="BU337" i="7"/>
  <c r="BY336" i="7"/>
  <c r="BY337" i="7" s="1"/>
  <c r="BY371" i="7" s="1"/>
  <c r="CH337" i="7" s="1"/>
  <c r="CK337" i="7" s="1"/>
  <c r="CL337" i="7" s="1"/>
  <c r="BS142" i="7"/>
  <c r="BS48" i="7"/>
  <c r="BU20" i="14"/>
  <c r="BY20" i="14" s="1"/>
  <c r="BY34" i="11"/>
  <c r="BY25" i="11" s="1"/>
  <c r="BY67" i="12" s="1"/>
  <c r="BY81" i="7"/>
  <c r="BY68" i="7"/>
  <c r="BY46" i="7"/>
  <c r="BY70" i="7"/>
  <c r="BY36" i="11"/>
  <c r="BY35" i="11" s="1"/>
  <c r="BT106" i="27"/>
  <c r="CN48" i="7"/>
  <c r="BT73" i="7"/>
  <c r="BR48" i="7"/>
  <c r="BR142" i="7"/>
  <c r="BX73" i="27"/>
  <c r="BX9" i="7"/>
  <c r="BY478" i="7"/>
  <c r="BY479" i="7" s="1"/>
  <c r="BY513" i="7" s="1"/>
  <c r="CH479" i="7" s="1"/>
  <c r="CK479" i="7" s="1"/>
  <c r="CL479" i="7" s="1"/>
  <c r="BU479" i="7"/>
  <c r="BQ48" i="7"/>
  <c r="BQ142" i="7"/>
  <c r="BY426" i="7"/>
  <c r="BY427" i="7" s="1"/>
  <c r="BY461" i="7" s="1"/>
  <c r="CH427" i="7" s="1"/>
  <c r="CK427" i="7" s="1"/>
  <c r="CL427" i="7" s="1"/>
  <c r="BU427" i="7"/>
  <c r="CH81" i="7"/>
  <c r="BT73" i="27"/>
  <c r="BT9" i="7"/>
  <c r="BE170" i="5"/>
  <c r="BJ170" i="5"/>
  <c r="BE29" i="10"/>
  <c r="BE830" i="7"/>
  <c r="BE831" i="7"/>
  <c r="BE833" i="7"/>
  <c r="BE829" i="7"/>
  <c r="BE832" i="7"/>
  <c r="BE834" i="7"/>
  <c r="BE885" i="7"/>
  <c r="BE886" i="7"/>
  <c r="BE887" i="7"/>
  <c r="BE889" i="7"/>
  <c r="BE884" i="7"/>
  <c r="BE888" i="7"/>
  <c r="BE545" i="7"/>
  <c r="BE551" i="7"/>
  <c r="BE552" i="7" s="1"/>
  <c r="CH82" i="7" l="1"/>
  <c r="BY9" i="7"/>
  <c r="BY73" i="27"/>
  <c r="BP77" i="27"/>
  <c r="BP84" i="7"/>
  <c r="BP49" i="7"/>
  <c r="BQ84" i="7"/>
  <c r="BQ77" i="27"/>
  <c r="BQ49" i="7"/>
  <c r="BU175" i="7"/>
  <c r="BU141" i="7" s="1"/>
  <c r="BW175" i="7"/>
  <c r="BW141" i="7" s="1"/>
  <c r="BV175" i="7"/>
  <c r="BV141" i="7" s="1"/>
  <c r="BX175" i="7"/>
  <c r="BX141" i="7" s="1"/>
  <c r="CN49" i="7"/>
  <c r="BY106" i="27"/>
  <c r="BY73" i="7"/>
  <c r="BS84" i="7"/>
  <c r="BS77" i="27"/>
  <c r="BS49" i="7"/>
  <c r="BT142" i="7"/>
  <c r="BT176" i="7" s="1"/>
  <c r="CH141" i="7" s="1"/>
  <c r="CK141" i="7" s="1"/>
  <c r="CL141" i="7" s="1"/>
  <c r="BT48" i="7"/>
  <c r="BR77" i="27"/>
  <c r="BR84" i="7"/>
  <c r="BR49" i="7"/>
  <c r="CD85" i="7"/>
  <c r="CH50" i="7"/>
  <c r="BY38" i="12"/>
  <c r="BT830" i="7"/>
  <c r="CG170" i="5"/>
  <c r="CG172" i="5" s="1"/>
  <c r="BE555" i="7"/>
  <c r="BE556" i="7"/>
  <c r="BE557" i="7"/>
  <c r="BE558" i="7"/>
  <c r="BE560" i="7"/>
  <c r="BE573" i="7"/>
  <c r="BE559" i="7"/>
  <c r="BE562" i="7" s="1"/>
  <c r="BE836" i="7"/>
  <c r="BT77" i="27" l="1"/>
  <c r="CI81" i="7"/>
  <c r="BT84" i="7"/>
  <c r="BT49" i="7"/>
  <c r="BX48" i="7"/>
  <c r="BX142" i="7"/>
  <c r="BV48" i="7"/>
  <c r="BV142" i="7"/>
  <c r="BW48" i="7"/>
  <c r="BW142" i="7"/>
  <c r="BY141" i="7"/>
  <c r="BU48" i="7"/>
  <c r="BU142" i="7"/>
  <c r="BJ562" i="7"/>
  <c r="CD836" i="7"/>
  <c r="CD833" i="7" s="1"/>
  <c r="BY836" i="7"/>
  <c r="BY833" i="7" s="1"/>
  <c r="BT836" i="7"/>
  <c r="BT833" i="7" s="1"/>
  <c r="BU49" i="7" l="1"/>
  <c r="BU77" i="27"/>
  <c r="BU84" i="7"/>
  <c r="CH48" i="7"/>
  <c r="BT85" i="7"/>
  <c r="BY48" i="7"/>
  <c r="BY142" i="7"/>
  <c r="BY176" i="7" s="1"/>
  <c r="CH142" i="7" s="1"/>
  <c r="CK142" i="7" s="1"/>
  <c r="CL142" i="7" s="1"/>
  <c r="BV84" i="7"/>
  <c r="BV77" i="27"/>
  <c r="BV49" i="7"/>
  <c r="BW77" i="27"/>
  <c r="BW84" i="7"/>
  <c r="BW49" i="7"/>
  <c r="BX77" i="27"/>
  <c r="BX84" i="7"/>
  <c r="BX49" i="7"/>
  <c r="BY562" i="7"/>
  <c r="BO562" i="7"/>
  <c r="CD562" i="7"/>
  <c r="BT562" i="7"/>
  <c r="BP833" i="7"/>
  <c r="BP806" i="7" s="1"/>
  <c r="BP528" i="7" s="1"/>
  <c r="BR833" i="7"/>
  <c r="BR806" i="7" s="1"/>
  <c r="BR528" i="7" s="1"/>
  <c r="BS833" i="7"/>
  <c r="BS806" i="7" s="1"/>
  <c r="BS528" i="7" s="1"/>
  <c r="BQ833" i="7"/>
  <c r="BQ806" i="7" s="1"/>
  <c r="BQ528" i="7" s="1"/>
  <c r="BX833" i="7"/>
  <c r="BX806" i="7" s="1"/>
  <c r="BX528" i="7" s="1"/>
  <c r="BW833" i="7"/>
  <c r="BW806" i="7" s="1"/>
  <c r="BW528" i="7" s="1"/>
  <c r="BV833" i="7"/>
  <c r="BV806" i="7" s="1"/>
  <c r="BV528" i="7" s="1"/>
  <c r="BU833" i="7"/>
  <c r="BU806" i="7" s="1"/>
  <c r="BU528" i="7" s="1"/>
  <c r="BZ833" i="7"/>
  <c r="BZ806" i="7" s="1"/>
  <c r="BZ528" i="7" s="1"/>
  <c r="CB833" i="7"/>
  <c r="CB806" i="7" s="1"/>
  <c r="CB528" i="7" s="1"/>
  <c r="CA833" i="7"/>
  <c r="CA806" i="7" s="1"/>
  <c r="CA528" i="7" s="1"/>
  <c r="CC833" i="7"/>
  <c r="CC806" i="7" s="1"/>
  <c r="CC528" i="7" s="1"/>
  <c r="BY84" i="7" l="1"/>
  <c r="CI82" i="7"/>
  <c r="BY77" i="27"/>
  <c r="BY49" i="7"/>
  <c r="CC559" i="7"/>
  <c r="CC861" i="7"/>
  <c r="BU861" i="7"/>
  <c r="BY806" i="7"/>
  <c r="BY528" i="7" s="1"/>
  <c r="BU559" i="7"/>
  <c r="BQ559" i="7"/>
  <c r="BQ843" i="7"/>
  <c r="BQ861" i="7"/>
  <c r="CA861" i="7"/>
  <c r="CA559" i="7"/>
  <c r="BV861" i="7"/>
  <c r="BV559" i="7"/>
  <c r="BS559" i="7"/>
  <c r="BS861" i="7"/>
  <c r="BS843" i="7"/>
  <c r="CB861" i="7"/>
  <c r="CB559" i="7"/>
  <c r="BW861" i="7"/>
  <c r="BW559" i="7"/>
  <c r="BR559" i="7"/>
  <c r="BR861" i="7"/>
  <c r="BR843" i="7"/>
  <c r="CD806" i="7"/>
  <c r="CD528" i="7" s="1"/>
  <c r="BZ559" i="7"/>
  <c r="BZ861" i="7"/>
  <c r="BX861" i="7"/>
  <c r="BX559" i="7"/>
  <c r="BP843" i="7"/>
  <c r="BP559" i="7"/>
  <c r="BT806" i="7"/>
  <c r="BT528" i="7" s="1"/>
  <c r="BP861" i="7"/>
  <c r="BQ830" i="7"/>
  <c r="BQ803" i="7" s="1"/>
  <c r="BQ525" i="7" s="1"/>
  <c r="BS830" i="7"/>
  <c r="BS803" i="7" s="1"/>
  <c r="BS525" i="7" s="1"/>
  <c r="BY830" i="7"/>
  <c r="BP830" i="7"/>
  <c r="BP803" i="7" s="1"/>
  <c r="BP525" i="7" s="1"/>
  <c r="BR830" i="7"/>
  <c r="BR803" i="7" s="1"/>
  <c r="BR525" i="7" s="1"/>
  <c r="BJ858" i="7"/>
  <c r="BJ885" i="7" s="1"/>
  <c r="BY85" i="7" l="1"/>
  <c r="CH49" i="7"/>
  <c r="BT843" i="7"/>
  <c r="BT861" i="7"/>
  <c r="BT888" i="7" s="1"/>
  <c r="CD861" i="7"/>
  <c r="CD888" i="7" s="1"/>
  <c r="BY861" i="7"/>
  <c r="BY888" i="7" s="1"/>
  <c r="BJ861" i="7"/>
  <c r="BJ888" i="7" s="1"/>
  <c r="BG72" i="14"/>
  <c r="BT803" i="7"/>
  <c r="BT525" i="7" s="1"/>
  <c r="BP808" i="7"/>
  <c r="BP840" i="7"/>
  <c r="BP858" i="7"/>
  <c r="BJ556" i="7"/>
  <c r="BR808" i="7"/>
  <c r="BR840" i="7"/>
  <c r="BR858" i="7"/>
  <c r="BU830" i="7"/>
  <c r="BU803" i="7" s="1"/>
  <c r="BU525" i="7" s="1"/>
  <c r="BW830" i="7"/>
  <c r="BW803" i="7" s="1"/>
  <c r="BW525" i="7" s="1"/>
  <c r="BV830" i="7"/>
  <c r="BV803" i="7" s="1"/>
  <c r="BV525" i="7" s="1"/>
  <c r="BX830" i="7"/>
  <c r="BX803" i="7" s="1"/>
  <c r="BX525" i="7" s="1"/>
  <c r="CD830" i="7"/>
  <c r="BQ808" i="7"/>
  <c r="BQ840" i="7"/>
  <c r="BQ858" i="7"/>
  <c r="BS808" i="7"/>
  <c r="BS840" i="7"/>
  <c r="BS858" i="7"/>
  <c r="BI72" i="14"/>
  <c r="BH72" i="14"/>
  <c r="BO559" i="7" l="1"/>
  <c r="BO104" i="27"/>
  <c r="BO108" i="27" s="1"/>
  <c r="CA888" i="7"/>
  <c r="CC888" i="7"/>
  <c r="BZ888" i="7"/>
  <c r="CB888" i="7"/>
  <c r="BT559" i="7"/>
  <c r="BT104" i="27"/>
  <c r="BT108" i="27" s="1"/>
  <c r="BT110" i="27" s="1"/>
  <c r="BU888" i="7"/>
  <c r="BX888" i="7"/>
  <c r="BV888" i="7"/>
  <c r="BW888" i="7"/>
  <c r="BS888" i="7"/>
  <c r="BR888" i="7"/>
  <c r="BQ888" i="7"/>
  <c r="BP888" i="7"/>
  <c r="BJ559" i="7"/>
  <c r="BJ104" i="27"/>
  <c r="BJ108" i="27" s="1"/>
  <c r="BJ110" i="27" s="1"/>
  <c r="BY559" i="7"/>
  <c r="BY104" i="27"/>
  <c r="BY108" i="27" s="1"/>
  <c r="BY110" i="27" s="1"/>
  <c r="CD559" i="7"/>
  <c r="CD104" i="27"/>
  <c r="CD108" i="27" s="1"/>
  <c r="CD110" i="27" s="1"/>
  <c r="BS556" i="7"/>
  <c r="BX808" i="7"/>
  <c r="BX858" i="7"/>
  <c r="BS810" i="7"/>
  <c r="BS811" i="7" s="1"/>
  <c r="BS814" i="7" s="1"/>
  <c r="BS16" i="7" s="1"/>
  <c r="BS19" i="7" s="1"/>
  <c r="BS25" i="7" s="1"/>
  <c r="BS51" i="27" s="1"/>
  <c r="BQ810" i="7"/>
  <c r="BQ811" i="7" s="1"/>
  <c r="BQ814" i="7" s="1"/>
  <c r="BQ16" i="7" s="1"/>
  <c r="BQ19" i="7" s="1"/>
  <c r="BQ25" i="7" s="1"/>
  <c r="BQ51" i="27" s="1"/>
  <c r="CA830" i="7"/>
  <c r="CA803" i="7" s="1"/>
  <c r="CA525" i="7" s="1"/>
  <c r="CC830" i="7"/>
  <c r="CC803" i="7" s="1"/>
  <c r="CC525" i="7" s="1"/>
  <c r="BZ830" i="7"/>
  <c r="BZ803" i="7" s="1"/>
  <c r="BZ525" i="7" s="1"/>
  <c r="CB830" i="7"/>
  <c r="CB803" i="7" s="1"/>
  <c r="CB525" i="7" s="1"/>
  <c r="BV808" i="7"/>
  <c r="BV858" i="7"/>
  <c r="BU808" i="7"/>
  <c r="BU858" i="7"/>
  <c r="BY803" i="7"/>
  <c r="BY525" i="7" s="1"/>
  <c r="BR556" i="7"/>
  <c r="BT808" i="7"/>
  <c r="BT840" i="7"/>
  <c r="BT858" i="7"/>
  <c r="BQ556" i="7"/>
  <c r="BW808" i="7"/>
  <c r="BW858" i="7"/>
  <c r="BR810" i="7"/>
  <c r="BR811" i="7" s="1"/>
  <c r="BR814" i="7" s="1"/>
  <c r="BR16" i="7" s="1"/>
  <c r="BR19" i="7" s="1"/>
  <c r="BR25" i="7" s="1"/>
  <c r="BR51" i="27" s="1"/>
  <c r="BL72" i="14"/>
  <c r="BP810" i="7"/>
  <c r="BP811" i="7" s="1"/>
  <c r="BP814" i="7" s="1"/>
  <c r="BP16" i="7" s="1"/>
  <c r="BP556" i="7"/>
  <c r="BO556" i="7"/>
  <c r="BN72" i="14" l="1"/>
  <c r="BM72" i="14"/>
  <c r="BT810" i="7"/>
  <c r="BT811" i="7" s="1"/>
  <c r="BQ72" i="14"/>
  <c r="BQ10" i="27"/>
  <c r="BR72" i="14"/>
  <c r="BR10" i="27"/>
  <c r="BW810" i="7"/>
  <c r="BW811" i="7" s="1"/>
  <c r="BW814" i="7" s="1"/>
  <c r="BW16" i="7" s="1"/>
  <c r="BW19" i="7" s="1"/>
  <c r="BW25" i="7" s="1"/>
  <c r="BW51" i="27" s="1"/>
  <c r="BW556" i="7"/>
  <c r="BF72" i="14"/>
  <c r="BJ51" i="27"/>
  <c r="BT556" i="7"/>
  <c r="BY808" i="7"/>
  <c r="BY858" i="7"/>
  <c r="BU810" i="7"/>
  <c r="BU811" i="7" s="1"/>
  <c r="BU814" i="7" s="1"/>
  <c r="BU16" i="7" s="1"/>
  <c r="BV556" i="7"/>
  <c r="CD803" i="7"/>
  <c r="CD525" i="7" s="1"/>
  <c r="BZ808" i="7"/>
  <c r="BZ858" i="7"/>
  <c r="CA808" i="7"/>
  <c r="CA858" i="7"/>
  <c r="BX810" i="7"/>
  <c r="BX811" i="7" s="1"/>
  <c r="BX814" i="7" s="1"/>
  <c r="BX16" i="7" s="1"/>
  <c r="BX19" i="7" s="1"/>
  <c r="BX25" i="7" s="1"/>
  <c r="BX51" i="27" s="1"/>
  <c r="BT16" i="7"/>
  <c r="BP19" i="7"/>
  <c r="BT885" i="7"/>
  <c r="BU556" i="7"/>
  <c r="BV810" i="7"/>
  <c r="BV811" i="7" s="1"/>
  <c r="BV814" i="7" s="1"/>
  <c r="BV16" i="7" s="1"/>
  <c r="BV19" i="7" s="1"/>
  <c r="BV25" i="7" s="1"/>
  <c r="BV51" i="27" s="1"/>
  <c r="CB808" i="7"/>
  <c r="CB858" i="7"/>
  <c r="CC808" i="7"/>
  <c r="CC858" i="7"/>
  <c r="BS72" i="14"/>
  <c r="BS10" i="27"/>
  <c r="BX556" i="7"/>
  <c r="BJ25" i="7" l="1"/>
  <c r="BJ22" i="7"/>
  <c r="BT814" i="7"/>
  <c r="BT847" i="7"/>
  <c r="BX72" i="14"/>
  <c r="BX10" i="27"/>
  <c r="BV72" i="14"/>
  <c r="BV10" i="27"/>
  <c r="BQ885" i="7"/>
  <c r="BS885" i="7"/>
  <c r="BP885" i="7"/>
  <c r="BR885" i="7"/>
  <c r="CC810" i="7"/>
  <c r="CC811" i="7" s="1"/>
  <c r="CC814" i="7" s="1"/>
  <c r="CC16" i="7" s="1"/>
  <c r="CC19" i="7" s="1"/>
  <c r="CC25" i="7" s="1"/>
  <c r="CC51" i="27" s="1"/>
  <c r="CB556" i="7"/>
  <c r="CA556" i="7"/>
  <c r="BZ810" i="7"/>
  <c r="BZ811" i="7" s="1"/>
  <c r="BZ814" i="7" s="1"/>
  <c r="BZ16" i="7" s="1"/>
  <c r="BZ556" i="7"/>
  <c r="BY810" i="7"/>
  <c r="BY811" i="7" s="1"/>
  <c r="BY814" i="7" s="1"/>
  <c r="BY885" i="7"/>
  <c r="BY556" i="7"/>
  <c r="BJ10" i="27"/>
  <c r="CC556" i="7"/>
  <c r="CB810" i="7"/>
  <c r="CB811" i="7" s="1"/>
  <c r="CB814" i="7" s="1"/>
  <c r="CB16" i="7" s="1"/>
  <c r="CB19" i="7" s="1"/>
  <c r="CB25" i="7" s="1"/>
  <c r="CB51" i="27" s="1"/>
  <c r="BK72" i="14"/>
  <c r="BO51" i="27"/>
  <c r="BP25" i="7"/>
  <c r="BP51" i="27" s="1"/>
  <c r="BT19" i="7"/>
  <c r="BT25" i="7" s="1"/>
  <c r="BT28" i="7" s="1"/>
  <c r="BT29" i="7" s="1"/>
  <c r="CA810" i="7"/>
  <c r="CA811" i="7" s="1"/>
  <c r="CA814" i="7" s="1"/>
  <c r="CA16" i="7" s="1"/>
  <c r="CA19" i="7" s="1"/>
  <c r="CA25" i="7" s="1"/>
  <c r="CA51" i="27" s="1"/>
  <c r="CD808" i="7"/>
  <c r="CD858" i="7"/>
  <c r="BU19" i="7"/>
  <c r="BY16" i="7"/>
  <c r="BJ72" i="14"/>
  <c r="BW72" i="14"/>
  <c r="BW10" i="27"/>
  <c r="CA72" i="14" l="1"/>
  <c r="CA10" i="27"/>
  <c r="CC72" i="14"/>
  <c r="CC10" i="27"/>
  <c r="BY19" i="7"/>
  <c r="BY25" i="7" s="1"/>
  <c r="BY28" i="7" s="1"/>
  <c r="BY29" i="7" s="1"/>
  <c r="BU25" i="7"/>
  <c r="BU51" i="27" s="1"/>
  <c r="BP72" i="14"/>
  <c r="BP10" i="27"/>
  <c r="BT51" i="27"/>
  <c r="BO72" i="14"/>
  <c r="CD810" i="7"/>
  <c r="CD811" i="7" s="1"/>
  <c r="CD814" i="7" s="1"/>
  <c r="CD885" i="7"/>
  <c r="CD556" i="7"/>
  <c r="BO10" i="27"/>
  <c r="CB72" i="14"/>
  <c r="CB10" i="27"/>
  <c r="BU885" i="7"/>
  <c r="BW885" i="7"/>
  <c r="BV885" i="7"/>
  <c r="BX885" i="7"/>
  <c r="CD16" i="7"/>
  <c r="BZ19" i="7"/>
  <c r="CA885" i="7" l="1"/>
  <c r="CC885" i="7"/>
  <c r="BZ885" i="7"/>
  <c r="CB885" i="7"/>
  <c r="BT72" i="14"/>
  <c r="BZ25" i="7"/>
  <c r="BZ51" i="27" s="1"/>
  <c r="CD19" i="7"/>
  <c r="CD25" i="7" s="1"/>
  <c r="BT10" i="27"/>
  <c r="BU72" i="14"/>
  <c r="BU10" i="27"/>
  <c r="BY51" i="27"/>
  <c r="CD28" i="7" l="1"/>
  <c r="CD29" i="7" s="1"/>
  <c r="BY72" i="14"/>
  <c r="BY10" i="27"/>
  <c r="BZ72" i="14"/>
  <c r="BZ10" i="27"/>
  <c r="CD51" i="27"/>
  <c r="CD72" i="14" l="1"/>
  <c r="CD10" i="27"/>
  <c r="BF15" i="14" l="1"/>
  <c r="BF25" i="14" s="1"/>
  <c r="BF81" i="14"/>
  <c r="BF126" i="14" l="1"/>
  <c r="BF29" i="14"/>
  <c r="BF127" i="14"/>
  <c r="BF23" i="13" l="1"/>
  <c r="BF126" i="13"/>
  <c r="BF34" i="13" l="1"/>
  <c r="BF38" i="13" s="1"/>
  <c r="BF130" i="13"/>
  <c r="BF47" i="13" l="1"/>
  <c r="BF50" i="13" s="1"/>
  <c r="BF60" i="13"/>
  <c r="BF73" i="13"/>
  <c r="BF45" i="37" s="1"/>
  <c r="BF46" i="37" l="1"/>
  <c r="BF53" i="37" s="1"/>
  <c r="BF54" i="37" s="1"/>
  <c r="BF56" i="37" s="1"/>
  <c r="BF96" i="13"/>
  <c r="BF134" i="14" l="1"/>
  <c r="BF141" i="14"/>
  <c r="BF74" i="13"/>
  <c r="BF83" i="13" s="1"/>
  <c r="BF134" i="13"/>
  <c r="BF137" i="13" s="1"/>
  <c r="BG70" i="11" l="1"/>
  <c r="BG67" i="11"/>
  <c r="BF22" i="27"/>
  <c r="BF27" i="27" s="1"/>
  <c r="BF36" i="14" s="1"/>
  <c r="BF32" i="14" l="1"/>
  <c r="BF54" i="14"/>
  <c r="BF39" i="14"/>
  <c r="BF49" i="14"/>
  <c r="BF193" i="12" l="1"/>
  <c r="BF198" i="12" s="1"/>
  <c r="BF24" i="12"/>
  <c r="BF27" i="12" s="1"/>
  <c r="BF50" i="14"/>
  <c r="BF55" i="14"/>
  <c r="BF15" i="37" s="1"/>
  <c r="BF18" i="37" s="1"/>
  <c r="BF94" i="13"/>
  <c r="BF91" i="14"/>
  <c r="BF37" i="12" l="1"/>
  <c r="BF42" i="12" s="1"/>
  <c r="BF102" i="14"/>
  <c r="BF26" i="12"/>
  <c r="BF29" i="12"/>
  <c r="BF30" i="12"/>
  <c r="CG80" i="12" s="1"/>
  <c r="CG35" i="12" l="1"/>
  <c r="CG37" i="12" s="1"/>
  <c r="CG36" i="12"/>
  <c r="BF105" i="14"/>
  <c r="BF113" i="14"/>
  <c r="BF120" i="14" s="1"/>
  <c r="BF65" i="13" l="1"/>
  <c r="BG112" i="14"/>
  <c r="BF84" i="13" l="1"/>
  <c r="BF90" i="13"/>
  <c r="BF67" i="13"/>
  <c r="BF69" i="13" s="1"/>
  <c r="BF75" i="13"/>
  <c r="BF76" i="13"/>
  <c r="BG89" i="13" l="1"/>
  <c r="BF91" i="13"/>
  <c r="BF35" i="27" l="1"/>
  <c r="BF82" i="14" l="1"/>
  <c r="BF43" i="27"/>
  <c r="BF147" i="13" l="1"/>
  <c r="BF171" i="13" s="1"/>
  <c r="CK212" i="13" s="1"/>
  <c r="BF150" i="13"/>
  <c r="BF156" i="13"/>
  <c r="BF129" i="13" s="1"/>
  <c r="BF131" i="13" s="1"/>
  <c r="BF135" i="13" s="1"/>
  <c r="BF42" i="47"/>
  <c r="BF159" i="13" s="1"/>
  <c r="BF174" i="13" l="1"/>
  <c r="BF180" i="13"/>
  <c r="BF44" i="47"/>
  <c r="BF125" i="13" l="1"/>
  <c r="BF127" i="13" s="1"/>
  <c r="BF183" i="13"/>
  <c r="BF185" i="13"/>
  <c r="BF161" i="13"/>
  <c r="BF85" i="47"/>
  <c r="BF100" i="47" s="1"/>
  <c r="BG144" i="13" l="1"/>
  <c r="BG168" i="13" s="1"/>
  <c r="CJ213" i="13" s="1"/>
  <c r="BG21" i="37" l="1"/>
  <c r="BG22" i="37" s="1"/>
  <c r="BG13" i="12" s="1"/>
  <c r="BG15" i="12" s="1"/>
  <c r="BG14" i="12" l="1"/>
  <c r="BH21" i="37" l="1"/>
  <c r="BH22" i="37" l="1"/>
  <c r="BH13" i="12" s="1"/>
  <c r="BH14" i="12" s="1"/>
  <c r="BI21" i="37" l="1"/>
  <c r="BI22" i="37" s="1"/>
  <c r="BK24" i="37" s="1"/>
  <c r="BI13" i="12" l="1"/>
  <c r="BD28" i="47" l="1"/>
  <c r="BE27" i="47"/>
  <c r="BE28" i="47" l="1"/>
  <c r="BF28" i="47"/>
  <c r="BG147" i="13" l="1"/>
  <c r="BG171" i="13" s="1"/>
  <c r="CK213" i="13" s="1"/>
  <c r="BJ28" i="47" l="1"/>
  <c r="BJ27" i="47" l="1"/>
  <c r="BH147" i="13"/>
  <c r="BH171" i="13" s="1"/>
  <c r="CK214" i="13" s="1"/>
  <c r="BI147" i="13" l="1"/>
  <c r="BI171" i="13" s="1"/>
  <c r="BJ171" i="13" l="1"/>
  <c r="BJ74" i="12" s="1"/>
  <c r="CK215" i="13"/>
  <c r="BG157" i="13"/>
  <c r="BG181" i="13" s="1"/>
  <c r="BG148" i="13"/>
  <c r="BG172" i="13" s="1"/>
  <c r="BG31" i="47"/>
  <c r="BJ26" i="47"/>
  <c r="BJ147" i="13" s="1"/>
  <c r="BJ73" i="12" s="1"/>
  <c r="BK147" i="13"/>
  <c r="BG174" i="13" l="1"/>
  <c r="BG156" i="13"/>
  <c r="BG180" i="13" s="1"/>
  <c r="BG42" i="47"/>
  <c r="BG159" i="13" s="1"/>
  <c r="BG150" i="13"/>
  <c r="BH157" i="13"/>
  <c r="BH181" i="13" s="1"/>
  <c r="BH148" i="13"/>
  <c r="BH172" i="13" s="1"/>
  <c r="BG44" i="47" l="1"/>
  <c r="BJ29" i="47"/>
  <c r="BJ148" i="13" s="1"/>
  <c r="BI148" i="13"/>
  <c r="BI172" i="13" s="1"/>
  <c r="BH156" i="13"/>
  <c r="BH180" i="13" s="1"/>
  <c r="BG161" i="13" l="1"/>
  <c r="BJ172" i="13"/>
  <c r="BG85" i="47"/>
  <c r="BG100" i="47" s="1"/>
  <c r="BI157" i="13"/>
  <c r="BJ38" i="47"/>
  <c r="BJ157" i="13" s="1"/>
  <c r="BJ95" i="12" s="1"/>
  <c r="BK148" i="13"/>
  <c r="BK157" i="13"/>
  <c r="BK181" i="13" s="1"/>
  <c r="BJ37" i="47"/>
  <c r="BJ156" i="13" s="1"/>
  <c r="BJ84" i="12" s="1"/>
  <c r="BI156" i="13"/>
  <c r="BI180" i="13" s="1"/>
  <c r="BJ180" i="13" s="1"/>
  <c r="BJ85" i="12" s="1"/>
  <c r="BI181" i="13" l="1"/>
  <c r="BJ181" i="13" s="1"/>
  <c r="BK156" i="13"/>
  <c r="BK180" i="13" s="1"/>
  <c r="BJ96" i="12" l="1"/>
  <c r="BP638" i="7" l="1"/>
  <c r="BQ638" i="7"/>
  <c r="BR638" i="7"/>
  <c r="BS638" i="7"/>
  <c r="BT638" i="7"/>
  <c r="BU638" i="7"/>
  <c r="BV638" i="7"/>
  <c r="BW638" i="7"/>
  <c r="BX638" i="7"/>
  <c r="BP671" i="7"/>
  <c r="BQ671" i="7"/>
  <c r="BR671" i="7"/>
  <c r="BS671" i="7"/>
  <c r="BT671" i="7"/>
  <c r="BU671" i="7"/>
  <c r="BV671" i="7"/>
  <c r="BW671" i="7"/>
  <c r="BX671" i="7"/>
  <c r="BV640" i="7" l="1"/>
  <c r="BV641" i="7" s="1"/>
  <c r="BR640" i="7"/>
  <c r="BR641" i="7" s="1"/>
  <c r="BP640" i="7"/>
  <c r="BP641" i="7" s="1"/>
  <c r="BU640" i="7"/>
  <c r="BU641" i="7" s="1"/>
  <c r="BX640" i="7"/>
  <c r="BX641" i="7" s="1"/>
  <c r="BW640" i="7"/>
  <c r="BW641" i="7" s="1"/>
  <c r="BS640" i="7"/>
  <c r="BS641" i="7" s="1"/>
  <c r="BQ640" i="7"/>
  <c r="BQ641" i="7" s="1"/>
  <c r="CA638" i="7"/>
  <c r="CA671" i="7"/>
  <c r="CC638" i="7"/>
  <c r="CC671" i="7"/>
  <c r="BY638" i="7"/>
  <c r="BY671" i="7"/>
  <c r="BT640" i="7" l="1"/>
  <c r="BT641" i="7" s="1"/>
  <c r="BY640" i="7"/>
  <c r="BY641" i="7" s="1"/>
  <c r="BZ638" i="7"/>
  <c r="BZ671" i="7"/>
  <c r="CB638" i="7"/>
  <c r="CB671" i="7"/>
  <c r="CC640" i="7"/>
  <c r="CC641" i="7" s="1"/>
  <c r="BJ638" i="7"/>
  <c r="BJ677" i="7" s="1"/>
  <c r="CA640" i="7"/>
  <c r="CA641" i="7" s="1"/>
  <c r="BT678" i="7" l="1"/>
  <c r="BY678" i="7"/>
  <c r="CB640" i="7"/>
  <c r="CB641" i="7" s="1"/>
  <c r="BZ640" i="7"/>
  <c r="BJ641" i="7"/>
  <c r="CD638" i="7"/>
  <c r="CD671" i="7"/>
  <c r="BJ678" i="7" l="1"/>
  <c r="BJ644" i="7"/>
  <c r="CD640" i="7"/>
  <c r="CD641" i="7" s="1"/>
  <c r="BZ641" i="7"/>
  <c r="CD678" i="7" l="1"/>
  <c r="BG23" i="13" l="1"/>
  <c r="BG126" i="13"/>
  <c r="BG34" i="13"/>
  <c r="BG38" i="13" l="1"/>
  <c r="BG47" i="13"/>
  <c r="BG50" i="13" s="1"/>
  <c r="BG73" i="13"/>
  <c r="BG45" i="37" s="1"/>
  <c r="BG129" i="13"/>
  <c r="BG46" i="37" l="1"/>
  <c r="BG53" i="37" s="1"/>
  <c r="BG54" i="37" s="1"/>
  <c r="BG141" i="14" s="1"/>
  <c r="BG96" i="13"/>
  <c r="BG134" i="14" l="1"/>
  <c r="BG56" i="37"/>
  <c r="BG140" i="14"/>
  <c r="BG81" i="14" l="1"/>
  <c r="BG60" i="13" l="1"/>
  <c r="BG74" i="13"/>
  <c r="BG83" i="13" s="1"/>
  <c r="BG134" i="13"/>
  <c r="BG137" i="13" l="1"/>
  <c r="BG125" i="13"/>
  <c r="BG15" i="14"/>
  <c r="BG25" i="14" s="1"/>
  <c r="BG29" i="14" s="1"/>
  <c r="BG137" i="14"/>
  <c r="BG135" i="14"/>
  <c r="BG127" i="14" l="1"/>
  <c r="BG126" i="14"/>
  <c r="BG86" i="11"/>
  <c r="BG72" i="11" s="1"/>
  <c r="BG76" i="11" s="1"/>
  <c r="BG78" i="11" s="1"/>
  <c r="BH70" i="11" l="1"/>
  <c r="BG17" i="27"/>
  <c r="BG22" i="27" s="1"/>
  <c r="BG27" i="27" s="1"/>
  <c r="BG36" i="14" s="1"/>
  <c r="BG32" i="14" l="1"/>
  <c r="BG39" i="14"/>
  <c r="BG54" i="14"/>
  <c r="BG49" i="14"/>
  <c r="BG193" i="12" l="1"/>
  <c r="BG198" i="12" s="1"/>
  <c r="BG24" i="12"/>
  <c r="BG27" i="12" s="1"/>
  <c r="BG55" i="14"/>
  <c r="BG15" i="37" s="1"/>
  <c r="BG18" i="37" s="1"/>
  <c r="BG50" i="14"/>
  <c r="BG94" i="13"/>
  <c r="BG91" i="14"/>
  <c r="BG37" i="12" l="1"/>
  <c r="BG42" i="12" s="1"/>
  <c r="BG102" i="14"/>
  <c r="BG26" i="12"/>
  <c r="BG29" i="12"/>
  <c r="BG30" i="12"/>
  <c r="CG81" i="12" s="1"/>
  <c r="BG105" i="14" l="1"/>
  <c r="BG113" i="14"/>
  <c r="BG35" i="27" l="1"/>
  <c r="BG82" i="14" l="1"/>
  <c r="BG43" i="27"/>
  <c r="BH67" i="11" l="1"/>
  <c r="BH68" i="11"/>
  <c r="BG25" i="37" l="1"/>
  <c r="BG29" i="37"/>
  <c r="BG153" i="13"/>
  <c r="BG130" i="13" s="1"/>
  <c r="BG131" i="13" s="1"/>
  <c r="BG135" i="13" s="1"/>
  <c r="BG177" i="13" l="1"/>
  <c r="BG124" i="13" l="1"/>
  <c r="BG127" i="13" s="1"/>
  <c r="BG183" i="13"/>
  <c r="BG185" i="13"/>
  <c r="BO78" i="12" l="1"/>
  <c r="BT78" i="12"/>
  <c r="BY78" i="12"/>
  <c r="CD78" i="12"/>
  <c r="BH137" i="14" l="1"/>
  <c r="BH15" i="14"/>
  <c r="BH25" i="14" s="1"/>
  <c r="BH29" i="14" s="1"/>
  <c r="BH135" i="14"/>
  <c r="BH140" i="14"/>
  <c r="BH126" i="14" l="1"/>
  <c r="BH127" i="14"/>
  <c r="BH63" i="37"/>
  <c r="BH67" i="37" l="1"/>
  <c r="BH65" i="37"/>
  <c r="BH68" i="37" l="1"/>
  <c r="BH125" i="13"/>
  <c r="BH126" i="13"/>
  <c r="BH23" i="13"/>
  <c r="BH34" i="13" l="1"/>
  <c r="BH38" i="13" s="1"/>
  <c r="BH47" i="13" l="1"/>
  <c r="BH50" i="13" s="1"/>
  <c r="BH60" i="13"/>
  <c r="BH73" i="13"/>
  <c r="BH129" i="13"/>
  <c r="BH45" i="37" l="1"/>
  <c r="BH96" i="13"/>
  <c r="BH46" i="37" l="1"/>
  <c r="BH53" i="37" s="1"/>
  <c r="BH54" i="37" s="1"/>
  <c r="BH97" i="13"/>
  <c r="BH98" i="13" s="1"/>
  <c r="BH86" i="11"/>
  <c r="BH72" i="11" s="1"/>
  <c r="BH76" i="11" l="1"/>
  <c r="BH78" i="11" s="1"/>
  <c r="BH56" i="37"/>
  <c r="BH141" i="14"/>
  <c r="BH134" i="14"/>
  <c r="BH17" i="27"/>
  <c r="BH22" i="27" s="1"/>
  <c r="BH27" i="27" s="1"/>
  <c r="BH36" i="14" s="1"/>
  <c r="BI70" i="11" l="1"/>
  <c r="BH32" i="14"/>
  <c r="BH39" i="14"/>
  <c r="BH54" i="14"/>
  <c r="BH49" i="14"/>
  <c r="BH50" i="14" l="1"/>
  <c r="BH55" i="14"/>
  <c r="BH15" i="37" s="1"/>
  <c r="BH18" i="37" s="1"/>
  <c r="BH94" i="13"/>
  <c r="BH100" i="13" s="1"/>
  <c r="BH193" i="12"/>
  <c r="BH198" i="12" s="1"/>
  <c r="BH24" i="12"/>
  <c r="BH91" i="14"/>
  <c r="BH26" i="12" l="1"/>
  <c r="BH27" i="12"/>
  <c r="BH37" i="12"/>
  <c r="BH102" i="14"/>
  <c r="BH113" i="14" l="1"/>
  <c r="BI113" i="14" s="1"/>
  <c r="BH105" i="14"/>
  <c r="BH74" i="14"/>
  <c r="BH35" i="27"/>
  <c r="BH76" i="14" l="1"/>
  <c r="BH37" i="27"/>
  <c r="BH40" i="27" s="1"/>
  <c r="BH58" i="27"/>
  <c r="BH81" i="14"/>
  <c r="BH42" i="27"/>
  <c r="BH79" i="14" l="1"/>
  <c r="BH81" i="27"/>
  <c r="BH128" i="14" s="1"/>
  <c r="BH136" i="14" l="1"/>
  <c r="BH138" i="14" s="1"/>
  <c r="BH142" i="14"/>
  <c r="BH143" i="14" s="1"/>
  <c r="BH82" i="14"/>
  <c r="BH43" i="27"/>
  <c r="BH63" i="27"/>
  <c r="BH146" i="14" l="1"/>
  <c r="BH51" i="14"/>
  <c r="BH84" i="14"/>
  <c r="BH45" i="27"/>
  <c r="BH110" i="13" l="1"/>
  <c r="BH41" i="14"/>
  <c r="BH42" i="14" s="1"/>
  <c r="BH56" i="14" s="1"/>
  <c r="BH57" i="14" l="1"/>
  <c r="BH85" i="14"/>
  <c r="BI67" i="11" l="1"/>
  <c r="BI68" i="11"/>
  <c r="BH24" i="37" l="1"/>
  <c r="BH29" i="37"/>
  <c r="BH144" i="13"/>
  <c r="BH168" i="13" s="1"/>
  <c r="CJ214" i="13" s="1"/>
  <c r="BH31" i="47"/>
  <c r="BH150" i="13" s="1"/>
  <c r="BH153" i="13"/>
  <c r="BH42" i="47"/>
  <c r="BH159" i="13" s="1"/>
  <c r="BH130" i="13" l="1"/>
  <c r="BH131" i="13" s="1"/>
  <c r="BH177" i="13"/>
  <c r="BH183" i="13" s="1"/>
  <c r="BH174" i="13"/>
  <c r="BH25" i="37"/>
  <c r="BH44" i="47"/>
  <c r="BH161" i="13" s="1"/>
  <c r="BH124" i="13" l="1"/>
  <c r="BH127" i="13" s="1"/>
  <c r="BH185" i="13"/>
  <c r="BH85" i="47"/>
  <c r="BH100" i="47" s="1"/>
  <c r="BH15" i="12"/>
  <c r="BH96" i="47"/>
  <c r="BH99" i="47"/>
  <c r="BH41" i="12" s="1"/>
  <c r="BH29" i="12" l="1"/>
  <c r="BH30" i="12"/>
  <c r="BH42" i="12"/>
  <c r="CG82" i="12" l="1"/>
  <c r="BJ11" i="14" l="1"/>
  <c r="BJ12" i="14"/>
  <c r="BJ13" i="14"/>
  <c r="BI15" i="14"/>
  <c r="BI137" i="14"/>
  <c r="BJ137" i="14" l="1"/>
  <c r="BJ15" i="14"/>
  <c r="BI25" i="14"/>
  <c r="BI29" i="14" s="1"/>
  <c r="BJ17" i="14"/>
  <c r="BJ135" i="14" s="1"/>
  <c r="BI135" i="14"/>
  <c r="BI126" i="14" l="1"/>
  <c r="BJ25" i="14"/>
  <c r="BJ127" i="14" s="1"/>
  <c r="BI127" i="14"/>
  <c r="BJ126" i="14" l="1"/>
  <c r="BJ27" i="14"/>
  <c r="BJ140" i="14" s="1"/>
  <c r="BI140" i="14"/>
  <c r="BJ19" i="27" l="1"/>
  <c r="BJ29" i="14"/>
  <c r="BJ31" i="14" l="1"/>
  <c r="BJ235" i="12" s="1"/>
  <c r="BJ206" i="12" s="1"/>
  <c r="BJ63" i="37" l="1"/>
  <c r="BJ64" i="37" l="1"/>
  <c r="BJ65" i="37" s="1"/>
  <c r="BI125" i="13" l="1"/>
  <c r="BJ182" i="13"/>
  <c r="BJ90" i="12" s="1"/>
  <c r="BJ67" i="37"/>
  <c r="BJ125" i="13" l="1"/>
  <c r="BJ68" i="37" l="1"/>
  <c r="BI117" i="14"/>
  <c r="BI118" i="14"/>
  <c r="BO67" i="11"/>
  <c r="BI126" i="13"/>
  <c r="BJ116" i="27"/>
  <c r="BJ117" i="27" s="1"/>
  <c r="BJ118" i="27" l="1"/>
  <c r="BI23" i="13"/>
  <c r="BJ23" i="13" s="1"/>
  <c r="BJ38" i="13" s="1"/>
  <c r="BI34" i="13"/>
  <c r="BJ131" i="12"/>
  <c r="BJ52" i="37"/>
  <c r="BI38" i="13" l="1"/>
  <c r="BI47" i="13" l="1"/>
  <c r="BI50" i="13" s="1"/>
  <c r="BI60" i="13"/>
  <c r="BI73" i="13"/>
  <c r="BI45" i="37" s="1"/>
  <c r="BI46" i="37" s="1"/>
  <c r="BI53" i="37" s="1"/>
  <c r="BI54" i="37" s="1"/>
  <c r="BJ73" i="13"/>
  <c r="BI129" i="13"/>
  <c r="BJ129" i="13"/>
  <c r="BJ45" i="37"/>
  <c r="BI56" i="37" l="1"/>
  <c r="BJ56" i="37" s="1"/>
  <c r="BJ54" i="37"/>
  <c r="BI134" i="14"/>
  <c r="BI141" i="14"/>
  <c r="BI96" i="13"/>
  <c r="BJ134" i="14" l="1"/>
  <c r="BJ57" i="37"/>
  <c r="BJ141" i="14"/>
  <c r="BJ96" i="13"/>
  <c r="BJ46" i="37"/>
  <c r="BJ53" i="37" s="1"/>
  <c r="BJ126" i="13" l="1"/>
  <c r="BI86" i="11" l="1"/>
  <c r="BI72" i="11" s="1"/>
  <c r="BJ12" i="27"/>
  <c r="BI78" i="11" l="1"/>
  <c r="BJ78" i="11" s="1"/>
  <c r="BK68" i="11" s="1"/>
  <c r="BJ86" i="11"/>
  <c r="BM87" i="11" s="1"/>
  <c r="BJ13" i="7"/>
  <c r="BJ14" i="7" s="1"/>
  <c r="BJ76" i="11" l="1"/>
  <c r="BJ79" i="11" s="1"/>
  <c r="BK67" i="11" s="1"/>
  <c r="BJ72" i="11"/>
  <c r="BJ98" i="12" s="1"/>
  <c r="BJ110" i="12" s="1"/>
  <c r="BM73" i="11"/>
  <c r="BO85" i="11"/>
  <c r="BK70" i="11"/>
  <c r="BO70" i="11"/>
  <c r="BO68" i="11" s="1"/>
  <c r="BJ74" i="11" l="1"/>
  <c r="BO73" i="11"/>
  <c r="BO87" i="11"/>
  <c r="BJ14" i="27"/>
  <c r="BJ17" i="27" s="1"/>
  <c r="BI17" i="27"/>
  <c r="BI22" i="27" s="1"/>
  <c r="BJ20" i="27"/>
  <c r="BJ22" i="27" l="1"/>
  <c r="BJ27" i="27" s="1"/>
  <c r="BJ36" i="14" s="1"/>
  <c r="BJ49" i="14" s="1"/>
  <c r="BI50" i="14"/>
  <c r="BI27" i="27"/>
  <c r="BI36" i="14" s="1"/>
  <c r="BI32" i="14" s="1"/>
  <c r="BJ39" i="14" l="1"/>
  <c r="BJ54" i="14"/>
  <c r="BI54" i="14"/>
  <c r="BI39" i="14"/>
  <c r="BI49" i="14"/>
  <c r="BJ50" i="14"/>
  <c r="BJ55" i="14"/>
  <c r="BJ15" i="37" s="1"/>
  <c r="BJ18" i="37" s="1"/>
  <c r="BI94" i="13"/>
  <c r="BI24" i="12"/>
  <c r="BI26" i="12" s="1"/>
  <c r="BI193" i="12"/>
  <c r="BI198" i="12" s="1"/>
  <c r="BI91" i="14"/>
  <c r="BJ32" i="14"/>
  <c r="BI55" i="14"/>
  <c r="BI15" i="37" s="1"/>
  <c r="BI18" i="37" s="1"/>
  <c r="BJ94" i="13" l="1"/>
  <c r="BJ24" i="12"/>
  <c r="BJ193" i="12"/>
  <c r="BJ198" i="12" s="1"/>
  <c r="BJ91" i="14"/>
  <c r="BI37" i="12"/>
  <c r="BI102" i="14"/>
  <c r="BJ66" i="12" l="1"/>
  <c r="BJ100" i="12" s="1"/>
  <c r="BJ37" i="12"/>
  <c r="BI105" i="14"/>
  <c r="BJ105" i="14" s="1"/>
  <c r="BJ102" i="14"/>
  <c r="BI74" i="14" l="1"/>
  <c r="BI35" i="27"/>
  <c r="BJ35" i="27" s="1"/>
  <c r="BJ53" i="27"/>
  <c r="BJ74" i="14" s="1"/>
  <c r="BI76" i="14" l="1"/>
  <c r="BI37" i="27"/>
  <c r="BI40" i="27" s="1"/>
  <c r="BI58" i="27"/>
  <c r="BI81" i="27" s="1"/>
  <c r="BI128" i="14" s="1"/>
  <c r="BI81" i="14"/>
  <c r="BI42" i="27"/>
  <c r="BJ42" i="27" s="1"/>
  <c r="BJ60" i="27"/>
  <c r="BJ81" i="14" s="1"/>
  <c r="BI97" i="13" l="1"/>
  <c r="BI98" i="13" s="1"/>
  <c r="BI100" i="13" s="1"/>
  <c r="BI142" i="14"/>
  <c r="BI143" i="14" s="1"/>
  <c r="BI136" i="14"/>
  <c r="BI138" i="14" s="1"/>
  <c r="BI79" i="14"/>
  <c r="BI146" i="14" l="1"/>
  <c r="BJ76" i="27"/>
  <c r="BJ78" i="27" s="1"/>
  <c r="BI82" i="14" l="1"/>
  <c r="BI43" i="27"/>
  <c r="BJ61" i="27"/>
  <c r="BI63" i="27"/>
  <c r="BI51" i="14" l="1"/>
  <c r="BI84" i="14"/>
  <c r="BJ82" i="14"/>
  <c r="BJ43" i="27"/>
  <c r="BI45" i="27"/>
  <c r="BI110" i="13" l="1"/>
  <c r="BI41" i="14"/>
  <c r="BI42" i="14" s="1"/>
  <c r="BI56" i="14" s="1"/>
  <c r="BI57" i="14" l="1"/>
  <c r="BI85" i="14"/>
  <c r="BI14" i="10" l="1"/>
  <c r="BI19" i="10" s="1"/>
  <c r="BI11" i="12" l="1"/>
  <c r="BI12" i="12" s="1"/>
  <c r="BI23" i="10"/>
  <c r="BI14" i="12" l="1"/>
  <c r="BJ30" i="11"/>
  <c r="BO23" i="11" l="1"/>
  <c r="CJ21" i="10" l="1"/>
  <c r="CH21" i="10" s="1"/>
  <c r="BI24" i="37" l="1"/>
  <c r="BJ24" i="37" s="1"/>
  <c r="BJ27" i="37"/>
  <c r="BJ30" i="37"/>
  <c r="BJ29" i="37" s="1"/>
  <c r="BI144" i="13"/>
  <c r="BI168" i="13" s="1"/>
  <c r="BJ23" i="47"/>
  <c r="BJ144" i="13" s="1"/>
  <c r="BJ76" i="12" s="1"/>
  <c r="BI31" i="47"/>
  <c r="BI150" i="13" s="1"/>
  <c r="CJ215" i="13" l="1"/>
  <c r="BI174" i="13"/>
  <c r="BJ168" i="13"/>
  <c r="BJ77" i="12" s="1"/>
  <c r="BI25" i="37"/>
  <c r="BJ21" i="37"/>
  <c r="BJ22" i="37" s="1"/>
  <c r="BK21" i="37"/>
  <c r="BK22" i="37" s="1"/>
  <c r="BL24" i="37" s="1"/>
  <c r="BJ31" i="47"/>
  <c r="BJ150" i="13" s="1"/>
  <c r="BI153" i="13"/>
  <c r="BI130" i="13" s="1"/>
  <c r="BI131" i="13" s="1"/>
  <c r="BJ34" i="47"/>
  <c r="BJ153" i="13" s="1"/>
  <c r="BJ81" i="12" s="1"/>
  <c r="BI42" i="47"/>
  <c r="BI159" i="13" s="1"/>
  <c r="BI177" i="13" l="1"/>
  <c r="BI185" i="13" s="1"/>
  <c r="BK13" i="12"/>
  <c r="BK14" i="12" s="1"/>
  <c r="BJ13" i="12"/>
  <c r="BK25" i="37"/>
  <c r="BJ174" i="13"/>
  <c r="BJ25" i="37"/>
  <c r="BI44" i="47"/>
  <c r="BI161" i="13" s="1"/>
  <c r="BJ42" i="47"/>
  <c r="BJ159" i="13" s="1"/>
  <c r="BJ130" i="13"/>
  <c r="BJ131" i="13" s="1"/>
  <c r="BI124" i="13"/>
  <c r="BI127" i="13" s="1"/>
  <c r="BJ177" i="13"/>
  <c r="BJ82" i="12" s="1"/>
  <c r="BI183" i="13" l="1"/>
  <c r="BJ44" i="47"/>
  <c r="BJ161" i="13" s="1"/>
  <c r="BI85" i="47"/>
  <c r="BI100" i="47" s="1"/>
  <c r="BJ183" i="13"/>
  <c r="BJ185" i="13"/>
  <c r="BJ124" i="13"/>
  <c r="BJ127" i="13" s="1"/>
  <c r="BJ85" i="47" l="1"/>
  <c r="BJ100" i="47" s="1"/>
  <c r="BL21" i="37"/>
  <c r="BL22" i="37" s="1"/>
  <c r="BL13" i="12" s="1"/>
  <c r="BM21" i="37" l="1"/>
  <c r="BM22" i="37" s="1"/>
  <c r="BM13" i="12" l="1"/>
  <c r="BO62" i="14" l="1"/>
  <c r="BN21" i="37"/>
  <c r="BN22" i="37" s="1"/>
  <c r="BO60" i="14"/>
  <c r="BP24" i="37" l="1"/>
  <c r="BP27" i="37" s="1"/>
  <c r="BP114" i="14" s="1"/>
  <c r="BN13" i="12"/>
  <c r="BO61" i="14"/>
  <c r="BO21" i="37"/>
  <c r="BO22" i="37" s="1"/>
  <c r="BP30" i="37" l="1"/>
  <c r="BQ38" i="37" s="1"/>
  <c r="BQ36" i="37" s="1"/>
  <c r="BQ115" i="14" s="1"/>
  <c r="BO13" i="12"/>
  <c r="BJ93" i="47" l="1"/>
  <c r="BJ94" i="47" s="1"/>
  <c r="BJ71" i="47" s="1"/>
  <c r="BI94" i="47"/>
  <c r="BI71" i="47" s="1"/>
  <c r="BI69" i="47" s="1"/>
  <c r="BJ69" i="47" s="1"/>
  <c r="BI15" i="12"/>
  <c r="BI27" i="12"/>
  <c r="BI99" i="47"/>
  <c r="BI41" i="12" s="1"/>
  <c r="BI96" i="47" l="1"/>
  <c r="BJ96" i="47" s="1"/>
  <c r="BJ97" i="47" s="1"/>
  <c r="BI29" i="12"/>
  <c r="BI30" i="12"/>
  <c r="CG83" i="12" s="1"/>
  <c r="BI42" i="12"/>
  <c r="BB81" i="47" l="1"/>
  <c r="BD81" i="47"/>
  <c r="BA81" i="47"/>
  <c r="BC81" i="47"/>
  <c r="BJ99" i="47"/>
  <c r="BJ41" i="12" s="1"/>
  <c r="BJ42" i="12" l="1"/>
  <c r="BC59" i="47"/>
  <c r="BE81" i="47"/>
  <c r="BD59" i="47"/>
  <c r="BA59" i="47"/>
  <c r="BB59" i="47"/>
  <c r="BJ25" i="12"/>
  <c r="BJ26" i="12" l="1"/>
  <c r="BJ30" i="12"/>
  <c r="BJ29" i="12"/>
  <c r="BJ12" i="12"/>
  <c r="BJ15" i="12" l="1"/>
  <c r="BJ14" i="12"/>
  <c r="BJ16" i="12"/>
  <c r="BJ19" i="37" l="1"/>
  <c r="BO12" i="11"/>
  <c r="BJ28" i="7" l="1"/>
  <c r="BJ29" i="7" s="1"/>
  <c r="BJ557" i="7"/>
  <c r="BJ859" i="7"/>
  <c r="BJ886" i="7" s="1"/>
  <c r="BJ865" i="7"/>
  <c r="BJ868" i="7"/>
  <c r="BJ855" i="7" l="1"/>
  <c r="BJ894" i="7" l="1"/>
  <c r="BJ898" i="7"/>
  <c r="BJ895" i="7"/>
  <c r="BJ899" i="7"/>
  <c r="BJ863" i="7"/>
  <c r="BJ897" i="7"/>
  <c r="BJ881" i="7"/>
  <c r="BJ896" i="7"/>
  <c r="BJ565" i="7"/>
  <c r="BJ566" i="7"/>
  <c r="BJ570" i="7"/>
  <c r="BJ567" i="7"/>
  <c r="BJ569" i="7"/>
  <c r="BJ552" i="7"/>
  <c r="BJ568" i="7"/>
  <c r="BJ572" i="7" l="1"/>
  <c r="CJ46" i="7"/>
  <c r="BJ866" i="7"/>
  <c r="BJ869" i="7" s="1"/>
  <c r="BJ901" i="7"/>
  <c r="BJ540" i="7" l="1"/>
  <c r="BJ573" i="7"/>
  <c r="CI46" i="7" l="1"/>
  <c r="CK46" i="7" s="1"/>
  <c r="BJ11" i="7"/>
  <c r="BJ112" i="12"/>
  <c r="BJ25" i="10"/>
  <c r="BJ103" i="12"/>
  <c r="BJ114" i="12" l="1"/>
  <c r="BJ94" i="27"/>
  <c r="BJ95" i="27" s="1"/>
  <c r="BJ19" i="7"/>
  <c r="BJ116" i="12"/>
  <c r="BJ27" i="10"/>
  <c r="BJ26" i="10"/>
  <c r="BK15" i="14" l="1"/>
  <c r="BK25" i="14" s="1"/>
  <c r="BK29" i="14" s="1"/>
  <c r="BK137" i="14"/>
  <c r="BK135" i="14"/>
  <c r="BK140" i="14"/>
  <c r="BK126" i="14" l="1"/>
  <c r="BK127" i="14"/>
  <c r="BK126" i="13"/>
  <c r="BK23" i="13"/>
  <c r="BK34" i="13"/>
  <c r="BK38" i="13" l="1"/>
  <c r="BK60" i="13"/>
  <c r="BK86" i="11"/>
  <c r="BK72" i="11" l="1"/>
  <c r="BK76" i="11" s="1"/>
  <c r="BK78" i="11" s="1"/>
  <c r="BL68" i="11" s="1"/>
  <c r="BN87" i="11"/>
  <c r="BL67" i="11"/>
  <c r="BK17" i="27"/>
  <c r="BK22" i="27" s="1"/>
  <c r="BK27" i="27" s="1"/>
  <c r="BK36" i="14" s="1"/>
  <c r="BL70" i="11" l="1"/>
  <c r="BK32" i="14"/>
  <c r="BK39" i="14"/>
  <c r="BK49" i="14"/>
  <c r="BK54" i="14"/>
  <c r="BK50" i="14" l="1"/>
  <c r="BK55" i="14"/>
  <c r="BK15" i="37" s="1"/>
  <c r="BK18" i="37" s="1"/>
  <c r="BK94" i="13"/>
  <c r="BK24" i="12"/>
  <c r="BK26" i="12" s="1"/>
  <c r="BK193" i="12"/>
  <c r="BK198" i="12" s="1"/>
  <c r="BK91" i="14"/>
  <c r="BK37" i="12" l="1"/>
  <c r="BK102" i="14"/>
  <c r="BK105" i="14" l="1"/>
  <c r="BK113" i="14"/>
  <c r="BK74" i="14"/>
  <c r="BK35" i="27"/>
  <c r="BK76" i="14" l="1"/>
  <c r="BK37" i="27"/>
  <c r="BK58" i="27"/>
  <c r="BK79" i="14" l="1"/>
  <c r="BK81" i="27"/>
  <c r="BK40" i="27"/>
  <c r="BK81" i="14"/>
  <c r="BK42" i="27"/>
  <c r="BK72" i="27"/>
  <c r="BK74" i="27" s="1"/>
  <c r="BK82" i="14" l="1"/>
  <c r="BK43" i="27"/>
  <c r="BK63" i="27"/>
  <c r="BK128" i="14"/>
  <c r="BK51" i="14" l="1"/>
  <c r="BK84" i="14"/>
  <c r="BK45" i="27"/>
  <c r="BK110" i="13" l="1"/>
  <c r="BK41" i="14"/>
  <c r="BK42" i="14" s="1"/>
  <c r="BK56" i="14" s="1"/>
  <c r="BK85" i="14" l="1"/>
  <c r="BK57" i="14"/>
  <c r="BO20" i="14" l="1"/>
  <c r="BO34" i="11"/>
  <c r="BO30" i="11" l="1"/>
  <c r="BO32" i="11" s="1"/>
  <c r="BO67" i="12"/>
  <c r="BT23" i="11" l="1"/>
  <c r="BT22" i="11" l="1"/>
  <c r="BO116" i="27" l="1"/>
  <c r="BO117" i="27" s="1"/>
  <c r="BO118" i="27" l="1"/>
  <c r="BK29" i="37" l="1"/>
  <c r="BK96" i="13"/>
  <c r="BK97" i="13" s="1"/>
  <c r="BK98" i="13" s="1"/>
  <c r="BK100" i="13" s="1"/>
  <c r="BK144" i="13"/>
  <c r="BK168" i="13" s="1"/>
  <c r="CJ216" i="13" s="1"/>
  <c r="BK31" i="47"/>
  <c r="BK150" i="13" s="1"/>
  <c r="BK153" i="13"/>
  <c r="BK177" i="13" s="1"/>
  <c r="BK42" i="47"/>
  <c r="BK159" i="13" s="1"/>
  <c r="BK130" i="13" l="1"/>
  <c r="BK124" i="13"/>
  <c r="BK183" i="13"/>
  <c r="BK44" i="47"/>
  <c r="BK161" i="13" l="1"/>
  <c r="BK85" i="47"/>
  <c r="BK100" i="47" l="1"/>
  <c r="BL153" i="13" l="1"/>
  <c r="BL177" i="13" s="1"/>
  <c r="BL144" i="13"/>
  <c r="BL168" i="13" s="1"/>
  <c r="CJ217" i="13" s="1"/>
  <c r="BL124" i="13" l="1"/>
  <c r="BK15" i="12"/>
  <c r="BK27" i="12"/>
  <c r="BK99" i="47"/>
  <c r="BK41" i="12" s="1"/>
  <c r="BK30" i="12" l="1"/>
  <c r="CG84" i="12" s="1"/>
  <c r="BK29" i="12"/>
  <c r="BK42" i="12"/>
  <c r="BK94" i="47" l="1"/>
  <c r="BK71" i="47" s="1"/>
  <c r="BK69" i="47" l="1"/>
  <c r="BF81" i="47"/>
  <c r="BF59" i="47" l="1"/>
  <c r="BL158" i="13" l="1"/>
  <c r="BL68" i="37" l="1"/>
  <c r="BL182" i="13"/>
  <c r="BM158" i="13"/>
  <c r="BM68" i="37" l="1"/>
  <c r="BM182" i="13"/>
  <c r="BN158" i="13"/>
  <c r="BO40" i="47"/>
  <c r="BN68" i="37" l="1"/>
  <c r="BN182" i="13"/>
  <c r="BP40" i="47"/>
  <c r="BP96" i="47" s="1"/>
  <c r="BO158" i="13"/>
  <c r="BO89" i="12" s="1"/>
  <c r="BQ40" i="47" l="1"/>
  <c r="BQ96" i="47" s="1"/>
  <c r="BO91" i="47"/>
  <c r="BP158" i="13"/>
  <c r="BR40" i="47" l="1"/>
  <c r="BR96" i="47" s="1"/>
  <c r="BL16" i="47"/>
  <c r="BQ158" i="13"/>
  <c r="BS40" i="47" l="1"/>
  <c r="BS96" i="47" s="1"/>
  <c r="BT96" i="47" s="1"/>
  <c r="BR158" i="13"/>
  <c r="BL109" i="13"/>
  <c r="BL38" i="14"/>
  <c r="BL10" i="12" s="1"/>
  <c r="BL25" i="12" l="1"/>
  <c r="BL12" i="12"/>
  <c r="BL14" i="12" s="1"/>
  <c r="BL210" i="12"/>
  <c r="BL211" i="12" s="1"/>
  <c r="BL197" i="12"/>
  <c r="BS158" i="13"/>
  <c r="BT40" i="47"/>
  <c r="BU40" i="47" l="1"/>
  <c r="BU96" i="47" s="1"/>
  <c r="BT41" i="47"/>
  <c r="BT158" i="13"/>
  <c r="BT89" i="12" s="1"/>
  <c r="BU158" i="13" l="1"/>
  <c r="BV40" i="47"/>
  <c r="BV96" i="47" s="1"/>
  <c r="BV158" i="13" l="1"/>
  <c r="BW40" i="47"/>
  <c r="BX40" i="47" l="1"/>
  <c r="BX96" i="47" s="1"/>
  <c r="BW158" i="13"/>
  <c r="BW96" i="47"/>
  <c r="BY96" i="47" l="1"/>
  <c r="BY40" i="47"/>
  <c r="BX158" i="13"/>
  <c r="BZ40" i="47" l="1"/>
  <c r="BZ96" i="47" s="1"/>
  <c r="BY158" i="13"/>
  <c r="BY89" i="12" s="1"/>
  <c r="BL156" i="13"/>
  <c r="BL180" i="13" s="1"/>
  <c r="BL42" i="47"/>
  <c r="BL159" i="13" s="1"/>
  <c r="BL157" i="13"/>
  <c r="BL181" i="13" s="1"/>
  <c r="BL148" i="13"/>
  <c r="BL172" i="13" s="1"/>
  <c r="BL147" i="13"/>
  <c r="BL171" i="13" s="1"/>
  <c r="CK217" i="13" s="1"/>
  <c r="BL28" i="47"/>
  <c r="BL31" i="47"/>
  <c r="BL174" i="13" l="1"/>
  <c r="BL185" i="13"/>
  <c r="BL183" i="13"/>
  <c r="CA40" i="47"/>
  <c r="CA96" i="47" s="1"/>
  <c r="BZ158" i="13"/>
  <c r="BL150" i="13"/>
  <c r="BL44" i="47"/>
  <c r="BM157" i="13"/>
  <c r="BM181" i="13" s="1"/>
  <c r="BL85" i="47" l="1"/>
  <c r="BL100" i="47" s="1"/>
  <c r="CB40" i="47"/>
  <c r="CB96" i="47" s="1"/>
  <c r="CA158" i="13"/>
  <c r="BL161" i="13"/>
  <c r="BN157" i="13"/>
  <c r="BO38" i="47"/>
  <c r="BN181" i="13" l="1"/>
  <c r="BO181" i="13" s="1"/>
  <c r="BP181" i="13" s="1"/>
  <c r="BQ181" i="13" s="1"/>
  <c r="BR181" i="13" s="1"/>
  <c r="BS181" i="13" s="1"/>
  <c r="BT181" i="13" s="1"/>
  <c r="BU181" i="13" s="1"/>
  <c r="BV181" i="13" s="1"/>
  <c r="BW181" i="13" s="1"/>
  <c r="BX181" i="13" s="1"/>
  <c r="BY181" i="13" s="1"/>
  <c r="BZ181" i="13" s="1"/>
  <c r="CA181" i="13" s="1"/>
  <c r="CB181" i="13" s="1"/>
  <c r="CC181" i="13" s="1"/>
  <c r="CD181" i="13" s="1"/>
  <c r="CC40" i="47"/>
  <c r="CC96" i="47" s="1"/>
  <c r="CD96" i="47" s="1"/>
  <c r="CB158" i="13"/>
  <c r="BO157" i="13"/>
  <c r="BP38" i="47"/>
  <c r="BP157" i="13" s="1"/>
  <c r="BP58" i="13" l="1"/>
  <c r="CD40" i="47"/>
  <c r="CD158" i="13" s="1"/>
  <c r="CD89" i="12" s="1"/>
  <c r="CC158" i="13"/>
  <c r="BQ38" i="47"/>
  <c r="BQ157" i="13" s="1"/>
  <c r="BQ58" i="13" s="1"/>
  <c r="BR38" i="47" l="1"/>
  <c r="BR157" i="13" s="1"/>
  <c r="BR58" i="13" s="1"/>
  <c r="BS38" i="47" l="1"/>
  <c r="BS157" i="13" s="1"/>
  <c r="BS58" i="13" s="1"/>
  <c r="BT58" i="13" s="1"/>
  <c r="BT38" i="47" l="1"/>
  <c r="BU38" i="47" s="1"/>
  <c r="BV38" i="47" s="1"/>
  <c r="BW38" i="47" s="1"/>
  <c r="BX38" i="47" s="1"/>
  <c r="BY38" i="47" s="1"/>
  <c r="BZ38" i="47" s="1"/>
  <c r="CA38" i="47" s="1"/>
  <c r="CB38" i="47" s="1"/>
  <c r="CC38" i="47" s="1"/>
  <c r="CD38" i="47" s="1"/>
  <c r="BU157" i="13" l="1"/>
  <c r="BU58" i="13" s="1"/>
  <c r="BT157" i="13"/>
  <c r="BV157" i="13"/>
  <c r="BV58" i="13" s="1"/>
  <c r="BW157" i="13" l="1"/>
  <c r="BW58" i="13" s="1"/>
  <c r="BX157" i="13" l="1"/>
  <c r="BX58" i="13" s="1"/>
  <c r="BY58" i="13" s="1"/>
  <c r="BY157" i="13"/>
  <c r="BZ157" i="13" l="1"/>
  <c r="BZ58" i="13" s="1"/>
  <c r="CA157" i="13" l="1"/>
  <c r="CA58" i="13" s="1"/>
  <c r="CB157" i="13" l="1"/>
  <c r="CB58" i="13" s="1"/>
  <c r="CC157" i="13" l="1"/>
  <c r="CC58" i="13" s="1"/>
  <c r="CD58" i="13" s="1"/>
  <c r="CD157" i="13"/>
  <c r="BL15" i="14" l="1"/>
  <c r="BL25" i="14" s="1"/>
  <c r="BL29" i="14" s="1"/>
  <c r="BL137" i="14"/>
  <c r="BL135" i="14"/>
  <c r="BL140" i="14"/>
  <c r="BL127" i="14" l="1"/>
  <c r="BL126" i="14"/>
  <c r="BL63" i="37"/>
  <c r="BL65" i="37" l="1"/>
  <c r="BL67" i="37"/>
  <c r="BL23" i="13" l="1"/>
  <c r="BL126" i="13"/>
  <c r="BL34" i="13"/>
  <c r="BL130" i="13"/>
  <c r="BL38" i="13" l="1"/>
  <c r="BK47" i="13"/>
  <c r="BK50" i="13" s="1"/>
  <c r="BK73" i="13"/>
  <c r="BK129" i="13"/>
  <c r="BK131" i="13" s="1"/>
  <c r="BK171" i="13"/>
  <c r="CK216" i="13" s="1"/>
  <c r="BK172" i="13"/>
  <c r="BK45" i="37"/>
  <c r="BK185" i="13" l="1"/>
  <c r="BK46" i="37"/>
  <c r="BK53" i="37" s="1"/>
  <c r="BK54" i="37" s="1"/>
  <c r="BK56" i="37" s="1"/>
  <c r="BK174" i="13"/>
  <c r="BK125" i="13"/>
  <c r="BK127" i="13" s="1"/>
  <c r="BK141" i="14" l="1"/>
  <c r="BK142" i="14" s="1"/>
  <c r="BK143" i="14" s="1"/>
  <c r="BK134" i="14"/>
  <c r="BK136" i="14" s="1"/>
  <c r="BK138" i="14" s="1"/>
  <c r="BK146" i="14" l="1"/>
  <c r="BL125" i="13" l="1"/>
  <c r="BL127" i="13" s="1"/>
  <c r="BL47" i="13" l="1"/>
  <c r="BL50" i="13" s="1"/>
  <c r="BL60" i="13"/>
  <c r="BL73" i="13"/>
  <c r="BL45" i="37" s="1"/>
  <c r="BL129" i="13"/>
  <c r="BL131" i="13" s="1"/>
  <c r="BL46" i="37" l="1"/>
  <c r="BL53" i="37" s="1"/>
  <c r="BL54" i="37" s="1"/>
  <c r="BL56" i="37" s="1"/>
  <c r="BL96" i="13"/>
  <c r="BL72" i="11"/>
  <c r="BL76" i="11" s="1"/>
  <c r="BL134" i="14" l="1"/>
  <c r="BL141" i="14"/>
  <c r="BM70" i="11"/>
  <c r="BL17" i="27"/>
  <c r="BL22" i="27" s="1"/>
  <c r="BL27" i="27" s="1"/>
  <c r="BL36" i="14" s="1"/>
  <c r="BL32" i="14" l="1"/>
  <c r="BL39" i="14"/>
  <c r="BL49" i="14"/>
  <c r="BL54" i="14"/>
  <c r="BL94" i="13" l="1"/>
  <c r="BL24" i="12"/>
  <c r="BL193" i="12"/>
  <c r="BL198" i="12" s="1"/>
  <c r="BL91" i="14"/>
  <c r="BL50" i="14"/>
  <c r="BL55" i="14"/>
  <c r="BL15" i="37" s="1"/>
  <c r="BL18" i="37" s="1"/>
  <c r="BL26" i="12" l="1"/>
  <c r="BL37" i="12"/>
  <c r="BL102" i="14"/>
  <c r="BL105" i="14" l="1"/>
  <c r="BL113" i="14"/>
  <c r="BL74" i="14"/>
  <c r="BL35" i="27"/>
  <c r="BL76" i="14" l="1"/>
  <c r="BL37" i="27"/>
  <c r="BL58" i="27"/>
  <c r="BL80" i="14" l="1"/>
  <c r="BL72" i="27"/>
  <c r="BL74" i="27" s="1"/>
  <c r="BL79" i="14"/>
  <c r="BL40" i="27"/>
  <c r="BL81" i="14"/>
  <c r="BL42" i="27"/>
  <c r="BL82" i="14" l="1"/>
  <c r="BL63" i="27"/>
  <c r="BL43" i="27"/>
  <c r="BL81" i="27"/>
  <c r="BL128" i="14" s="1"/>
  <c r="BL45" i="27"/>
  <c r="BL51" i="14" l="1"/>
  <c r="BL84" i="14"/>
  <c r="BL110" i="13"/>
  <c r="BL41" i="14"/>
  <c r="BL42" i="14" s="1"/>
  <c r="BL56" i="14" s="1"/>
  <c r="BL97" i="13"/>
  <c r="BL98" i="13" s="1"/>
  <c r="BL100" i="13" s="1"/>
  <c r="BL136" i="14"/>
  <c r="BL138" i="14" s="1"/>
  <c r="BL142" i="14"/>
  <c r="BL143" i="14" s="1"/>
  <c r="BL85" i="14" l="1"/>
  <c r="BL146" i="14"/>
  <c r="BL57" i="14"/>
  <c r="BM67" i="11" l="1"/>
  <c r="BL78" i="11"/>
  <c r="BM68" i="11" l="1"/>
  <c r="BL25" i="37" l="1"/>
  <c r="BL29" i="37"/>
  <c r="BL49" i="47"/>
  <c r="BL94" i="47"/>
  <c r="BL71" i="47" s="1"/>
  <c r="BL69" i="47" l="1"/>
  <c r="BG81" i="47"/>
  <c r="BG59" i="47" l="1"/>
  <c r="BM144" i="13"/>
  <c r="BM168" i="13" s="1"/>
  <c r="BM153" i="13"/>
  <c r="BM177" i="13" s="1"/>
  <c r="CJ218" i="13" l="1"/>
  <c r="BM124" i="13"/>
  <c r="BM16" i="47"/>
  <c r="BM109" i="13" l="1"/>
  <c r="BM38" i="14"/>
  <c r="BM197" i="12" l="1"/>
  <c r="BM210" i="12"/>
  <c r="BM211" i="12" s="1"/>
  <c r="BM10" i="12"/>
  <c r="BM12" i="12" l="1"/>
  <c r="BM25" i="12"/>
  <c r="BM14" i="12" l="1"/>
  <c r="BM156" i="13" l="1"/>
  <c r="BM180" i="13" s="1"/>
  <c r="BM183" i="13" s="1"/>
  <c r="BM42" i="47"/>
  <c r="BM159" i="13" s="1"/>
  <c r="BM148" i="13" l="1"/>
  <c r="BM172" i="13" s="1"/>
  <c r="BM147" i="13"/>
  <c r="BM171" i="13" s="1"/>
  <c r="BM31" i="47"/>
  <c r="CK218" i="13" l="1"/>
  <c r="BM185" i="13"/>
  <c r="BM174" i="13"/>
  <c r="BM44" i="47"/>
  <c r="BM85" i="47" s="1"/>
  <c r="BM150" i="13"/>
  <c r="BM161" i="13" l="1"/>
  <c r="BL15" i="12"/>
  <c r="BL27" i="12"/>
  <c r="BL96" i="47"/>
  <c r="BL99" i="47"/>
  <c r="BL41" i="12" s="1"/>
  <c r="BM100" i="47" l="1"/>
  <c r="BL30" i="12"/>
  <c r="CG85" i="12" s="1"/>
  <c r="BL29" i="12"/>
  <c r="BL42" i="12"/>
  <c r="BM137" i="14" l="1"/>
  <c r="BM15" i="14"/>
  <c r="BM25" i="14" s="1"/>
  <c r="BM29" i="14" s="1"/>
  <c r="BM135" i="14"/>
  <c r="BM140" i="14"/>
  <c r="BM126" i="14" l="1"/>
  <c r="BM127" i="14"/>
  <c r="BM125" i="13" l="1"/>
  <c r="BM23" i="13"/>
  <c r="BM126" i="13"/>
  <c r="BM127" i="13" l="1"/>
  <c r="BM34" i="13"/>
  <c r="BM38" i="13" s="1"/>
  <c r="BM130" i="13"/>
  <c r="BM47" i="13" l="1"/>
  <c r="BM50" i="13" s="1"/>
  <c r="BM60" i="13"/>
  <c r="BM73" i="13"/>
  <c r="BM45" i="37" s="1"/>
  <c r="BM129" i="13"/>
  <c r="BM131" i="13" s="1"/>
  <c r="BM46" i="37" l="1"/>
  <c r="BM53" i="37" s="1"/>
  <c r="BM54" i="37" s="1"/>
  <c r="BM56" i="37" s="1"/>
  <c r="BM96" i="13"/>
  <c r="BM72" i="11"/>
  <c r="BM76" i="11" s="1"/>
  <c r="BN70" i="11" s="1"/>
  <c r="BM141" i="14" l="1"/>
  <c r="BM134" i="14"/>
  <c r="BM17" i="27"/>
  <c r="BM22" i="27" s="1"/>
  <c r="BM27" i="27" l="1"/>
  <c r="BM36" i="14" s="1"/>
  <c r="BM32" i="14" s="1"/>
  <c r="BM39" i="14" l="1"/>
  <c r="BM55" i="14" s="1"/>
  <c r="BM15" i="37" s="1"/>
  <c r="BM18" i="37" s="1"/>
  <c r="BM54" i="14"/>
  <c r="BM49" i="14"/>
  <c r="BM94" i="13"/>
  <c r="BM193" i="12"/>
  <c r="BM198" i="12" s="1"/>
  <c r="BM24" i="12"/>
  <c r="BM91" i="14"/>
  <c r="BM50" i="14" l="1"/>
  <c r="BM37" i="12"/>
  <c r="BM102" i="14"/>
  <c r="BM26" i="12"/>
  <c r="BM105" i="14" l="1"/>
  <c r="BM113" i="14"/>
  <c r="BM74" i="14"/>
  <c r="BM35" i="27"/>
  <c r="BM76" i="14" l="1"/>
  <c r="BM37" i="27"/>
  <c r="BO37" i="27" s="1"/>
  <c r="BM79" i="14"/>
  <c r="BM81" i="14"/>
  <c r="BM42" i="27"/>
  <c r="BM72" i="27"/>
  <c r="BM74" i="27" s="1"/>
  <c r="BM40" i="27" l="1"/>
  <c r="BM82" i="14" l="1"/>
  <c r="BM43" i="27"/>
  <c r="BM63" i="27"/>
  <c r="BM81" i="27"/>
  <c r="BM128" i="14" s="1"/>
  <c r="BM97" i="13" l="1"/>
  <c r="BM98" i="13" s="1"/>
  <c r="BM100" i="13" s="1"/>
  <c r="BM136" i="14"/>
  <c r="BM138" i="14" s="1"/>
  <c r="BM142" i="14"/>
  <c r="BM143" i="14" s="1"/>
  <c r="BM45" i="27"/>
  <c r="BM51" i="14"/>
  <c r="BM84" i="14"/>
  <c r="BM110" i="13" l="1"/>
  <c r="BM41" i="14"/>
  <c r="BM42" i="14" s="1"/>
  <c r="BM56" i="14" s="1"/>
  <c r="BM146" i="14"/>
  <c r="BM85" i="14" l="1"/>
  <c r="BM57" i="14"/>
  <c r="BM78" i="11" l="1"/>
  <c r="BN68" i="11" s="1"/>
  <c r="BM24" i="37" l="1"/>
  <c r="BM29" i="37"/>
  <c r="BM49" i="47"/>
  <c r="BM25" i="37" l="1"/>
  <c r="BN144" i="13" l="1"/>
  <c r="BN168" i="13" s="1"/>
  <c r="BO23" i="47"/>
  <c r="BO144" i="13" s="1"/>
  <c r="CJ219" i="13" l="1"/>
  <c r="BO168" i="13"/>
  <c r="BO80" i="12"/>
  <c r="BO76" i="12"/>
  <c r="CJ169" i="13" l="1"/>
  <c r="CJ167" i="13"/>
  <c r="CJ168" i="13" s="1"/>
  <c r="BO77" i="12"/>
  <c r="BO75" i="12"/>
  <c r="CC168" i="13" l="1"/>
  <c r="CA168" i="13"/>
  <c r="BW168" i="13"/>
  <c r="BQ168" i="13"/>
  <c r="BP168" i="13"/>
  <c r="BR168" i="13"/>
  <c r="BV168" i="13"/>
  <c r="BZ168" i="13"/>
  <c r="BU168" i="13"/>
  <c r="CB168" i="13"/>
  <c r="BX168" i="13"/>
  <c r="BS168" i="13"/>
  <c r="BM94" i="47"/>
  <c r="BM71" i="47" s="1"/>
  <c r="BT168" i="13" l="1"/>
  <c r="BY168" i="13"/>
  <c r="CD168" i="13"/>
  <c r="BM69" i="47"/>
  <c r="BH81" i="47"/>
  <c r="BH59" i="47" s="1"/>
  <c r="CD77" i="12" l="1"/>
  <c r="BY77" i="12"/>
  <c r="BT77" i="12"/>
  <c r="BN14" i="47"/>
  <c r="BO14" i="47" s="1"/>
  <c r="BO16" i="47" s="1"/>
  <c r="BO42" i="27" l="1"/>
  <c r="BN16" i="47"/>
  <c r="BN90" i="47"/>
  <c r="BO92" i="47" l="1"/>
  <c r="BO90" i="47"/>
  <c r="BN109" i="13"/>
  <c r="BO26" i="27"/>
  <c r="BN38" i="14"/>
  <c r="BN210" i="12" l="1"/>
  <c r="BN211" i="12" s="1"/>
  <c r="BN197" i="12"/>
  <c r="BN10" i="12"/>
  <c r="BO109" i="13"/>
  <c r="BO38" i="14"/>
  <c r="BO10" i="12" s="1"/>
  <c r="BN12" i="12" l="1"/>
  <c r="BN25" i="12"/>
  <c r="BN14" i="12" l="1"/>
  <c r="BO37" i="47" l="1"/>
  <c r="BO156" i="13" s="1"/>
  <c r="BO84" i="12" s="1"/>
  <c r="BN156" i="13"/>
  <c r="BN180" i="13" s="1"/>
  <c r="BO180" i="13" s="1"/>
  <c r="BP180" i="13" l="1"/>
  <c r="BQ180" i="13" s="1"/>
  <c r="BR180" i="13" s="1"/>
  <c r="BS180" i="13" s="1"/>
  <c r="BT180" i="13" s="1"/>
  <c r="BO85" i="12"/>
  <c r="BO83" i="12"/>
  <c r="BO26" i="47"/>
  <c r="BO147" i="13" s="1"/>
  <c r="BO73" i="12" s="1"/>
  <c r="BN31" i="47"/>
  <c r="BN147" i="13"/>
  <c r="BN171" i="13" s="1"/>
  <c r="BN28" i="47"/>
  <c r="BO28" i="47" s="1"/>
  <c r="BO29" i="47"/>
  <c r="BO148" i="13" s="1"/>
  <c r="BO95" i="12" s="1"/>
  <c r="BN148" i="13"/>
  <c r="BN172" i="13" s="1"/>
  <c r="BO172" i="13" s="1"/>
  <c r="BP172" i="13" l="1"/>
  <c r="BO96" i="12"/>
  <c r="CK219" i="13"/>
  <c r="BO171" i="13"/>
  <c r="BN174" i="13"/>
  <c r="BU180" i="13"/>
  <c r="BV180" i="13" s="1"/>
  <c r="BW180" i="13" s="1"/>
  <c r="BX180" i="13" s="1"/>
  <c r="BY180" i="13" s="1"/>
  <c r="BT85" i="12"/>
  <c r="BO94" i="12"/>
  <c r="BO72" i="12"/>
  <c r="BN150" i="13"/>
  <c r="BO31" i="47"/>
  <c r="BO150" i="13" s="1"/>
  <c r="CK169" i="13" l="1"/>
  <c r="CK167" i="13"/>
  <c r="CK168" i="13" s="1"/>
  <c r="BO74" i="12"/>
  <c r="BO174" i="13"/>
  <c r="BZ180" i="13"/>
  <c r="CA180" i="13" s="1"/>
  <c r="CB180" i="13" s="1"/>
  <c r="CC180" i="13" s="1"/>
  <c r="CD180" i="13" s="1"/>
  <c r="CD85" i="12" s="1"/>
  <c r="BY85" i="12"/>
  <c r="BQ172" i="13"/>
  <c r="BR172" i="13" s="1"/>
  <c r="BS172" i="13" s="1"/>
  <c r="BT172" i="13" s="1"/>
  <c r="BM15" i="12"/>
  <c r="BM27" i="12"/>
  <c r="BM96" i="47"/>
  <c r="BM99" i="47"/>
  <c r="BM41" i="12" s="1"/>
  <c r="BU172" i="13" l="1"/>
  <c r="BV172" i="13" s="1"/>
  <c r="BW172" i="13" s="1"/>
  <c r="BX172" i="13" s="1"/>
  <c r="BY172" i="13" s="1"/>
  <c r="BT96" i="12"/>
  <c r="BT42" i="12" s="1"/>
  <c r="BR171" i="13"/>
  <c r="BR174" i="13" s="1"/>
  <c r="CB171" i="13"/>
  <c r="BW171" i="13"/>
  <c r="BW174" i="13" s="1"/>
  <c r="BV171" i="13"/>
  <c r="BQ171" i="13"/>
  <c r="BQ174" i="13" s="1"/>
  <c r="BS171" i="13"/>
  <c r="BX171" i="13"/>
  <c r="BU171" i="13"/>
  <c r="CA171" i="13"/>
  <c r="BP171" i="13"/>
  <c r="BP174" i="13" s="1"/>
  <c r="BZ171" i="13"/>
  <c r="CC171" i="13"/>
  <c r="BM29" i="12"/>
  <c r="BM42" i="12"/>
  <c r="BM30" i="12"/>
  <c r="CG86" i="12" s="1"/>
  <c r="BU174" i="13" l="1"/>
  <c r="BV174" i="13"/>
  <c r="BT171" i="13"/>
  <c r="BS174" i="13"/>
  <c r="CD171" i="13"/>
  <c r="BY171" i="13"/>
  <c r="BX174" i="13"/>
  <c r="BZ172" i="13"/>
  <c r="CA172" i="13" s="1"/>
  <c r="CB172" i="13" s="1"/>
  <c r="CC172" i="13" s="1"/>
  <c r="CD172" i="13" s="1"/>
  <c r="CD96" i="12" s="1"/>
  <c r="BY96" i="12"/>
  <c r="BF97" i="13"/>
  <c r="BF98" i="13" s="1"/>
  <c r="BF100" i="13" s="1"/>
  <c r="BG97" i="13"/>
  <c r="BG98" i="13" s="1"/>
  <c r="BG100" i="13" s="1"/>
  <c r="BJ97" i="13"/>
  <c r="BJ98" i="13" s="1"/>
  <c r="BJ100" i="13" s="1"/>
  <c r="BJ129" i="27" s="1"/>
  <c r="CB174" i="13" l="1"/>
  <c r="BZ174" i="13"/>
  <c r="BY74" i="12"/>
  <c r="BY174" i="13"/>
  <c r="CC174" i="13"/>
  <c r="BT74" i="12"/>
  <c r="BT174" i="13"/>
  <c r="CD74" i="12"/>
  <c r="CD174" i="13"/>
  <c r="CA174" i="13"/>
  <c r="BJ133" i="27"/>
  <c r="BF104" i="13"/>
  <c r="BF105" i="13"/>
  <c r="BO11" i="14" l="1"/>
  <c r="BO12" i="14"/>
  <c r="BN137" i="14"/>
  <c r="BO13" i="14"/>
  <c r="BN15" i="14"/>
  <c r="BO137" i="14" l="1"/>
  <c r="BO15" i="14"/>
  <c r="BN25" i="14"/>
  <c r="BN29" i="14" s="1"/>
  <c r="BO17" i="14"/>
  <c r="BN135" i="14"/>
  <c r="BO135" i="14"/>
  <c r="BO25" i="14" l="1"/>
  <c r="BO126" i="14" s="1"/>
  <c r="BO127" i="14"/>
  <c r="BN127" i="14"/>
  <c r="BN126" i="14"/>
  <c r="BO27" i="14" l="1"/>
  <c r="BO140" i="14" s="1"/>
  <c r="BN140" i="14"/>
  <c r="BO60" i="27"/>
  <c r="BO81" i="14" l="1"/>
  <c r="BN81" i="14"/>
  <c r="BO19" i="27"/>
  <c r="BO29" i="14"/>
  <c r="BO31" i="14" l="1"/>
  <c r="BO63" i="37"/>
  <c r="BO64" i="37"/>
  <c r="BO65" i="37" l="1"/>
  <c r="BO67" i="37"/>
  <c r="BN125" i="13" l="1"/>
  <c r="BO182" i="13"/>
  <c r="BO125" i="13" l="1"/>
  <c r="BO90" i="12"/>
  <c r="BO88" i="12" l="1"/>
  <c r="BO68" i="37"/>
  <c r="BO11" i="27"/>
  <c r="BN34" i="27"/>
  <c r="BO34" i="27" s="1"/>
  <c r="BN40" i="27" l="1"/>
  <c r="BO40" i="27"/>
  <c r="BT67" i="11" l="1"/>
  <c r="BN23" i="13"/>
  <c r="BO23" i="13" s="1"/>
  <c r="BO38" i="13" s="1"/>
  <c r="BN126" i="13"/>
  <c r="BN34" i="13"/>
  <c r="BO131" i="12"/>
  <c r="BO52" i="37"/>
  <c r="BN38" i="13" l="1"/>
  <c r="BN47" i="13" l="1"/>
  <c r="BN50" i="13" s="1"/>
  <c r="BN60" i="13" l="1"/>
  <c r="BN73" i="13"/>
  <c r="BN45" i="37" s="1"/>
  <c r="BN46" i="37" s="1"/>
  <c r="BN53" i="37" s="1"/>
  <c r="BN54" i="37" s="1"/>
  <c r="BN129" i="13"/>
  <c r="BO129" i="13"/>
  <c r="BO118" i="12"/>
  <c r="BN56" i="37" l="1"/>
  <c r="BO56" i="37" s="1"/>
  <c r="BN141" i="14"/>
  <c r="BN134" i="14"/>
  <c r="BO54" i="37"/>
  <c r="BO45" i="37"/>
  <c r="BO134" i="14" l="1"/>
  <c r="BO57" i="37"/>
  <c r="BO141" i="14"/>
  <c r="BN96" i="13"/>
  <c r="BO44" i="37"/>
  <c r="BN97" i="13" l="1"/>
  <c r="BN98" i="13" s="1"/>
  <c r="BO96" i="13"/>
  <c r="BO46" i="37"/>
  <c r="BO53" i="37" s="1"/>
  <c r="BO97" i="13" l="1"/>
  <c r="BO98" i="13" s="1"/>
  <c r="BN63" i="13"/>
  <c r="BN67" i="13"/>
  <c r="BN69" i="13" s="1"/>
  <c r="BN134" i="13"/>
  <c r="BO63" i="13" l="1"/>
  <c r="BN74" i="13"/>
  <c r="BN83" i="13" s="1"/>
  <c r="BN84" i="13" s="1"/>
  <c r="BO84" i="13" s="1"/>
  <c r="BN137" i="13"/>
  <c r="BN86" i="11"/>
  <c r="BN72" i="11" s="1"/>
  <c r="BN78" i="11" s="1"/>
  <c r="BO78" i="11" s="1"/>
  <c r="BO12" i="27"/>
  <c r="BO86" i="11" s="1"/>
  <c r="BN76" i="13" l="1"/>
  <c r="BO83" i="13"/>
  <c r="BN75" i="13"/>
  <c r="BN90" i="13"/>
  <c r="BO65" i="13"/>
  <c r="BO134" i="13"/>
  <c r="BO137" i="13" s="1"/>
  <c r="BP78" i="11"/>
  <c r="BP68" i="11"/>
  <c r="BO72" i="11"/>
  <c r="BO98" i="12" s="1"/>
  <c r="BR85" i="11"/>
  <c r="BO76" i="11"/>
  <c r="BO121" i="27" l="1"/>
  <c r="BO122" i="27" s="1"/>
  <c r="BO67" i="13"/>
  <c r="BO121" i="14"/>
  <c r="BQ68" i="11"/>
  <c r="BQ78" i="11"/>
  <c r="BO110" i="12"/>
  <c r="BP70" i="11"/>
  <c r="BT70" i="11"/>
  <c r="BT68" i="11" s="1"/>
  <c r="BO79" i="11"/>
  <c r="BP67" i="11" s="1"/>
  <c r="BO74" i="11"/>
  <c r="BR73" i="11"/>
  <c r="BT85" i="11"/>
  <c r="BR78" i="11" l="1"/>
  <c r="BR68" i="11"/>
  <c r="BT73" i="11"/>
  <c r="BT87" i="11"/>
  <c r="BO20" i="27"/>
  <c r="BN74" i="14"/>
  <c r="BO53" i="27"/>
  <c r="BO74" i="14" s="1"/>
  <c r="BS68" i="11" l="1"/>
  <c r="BS78" i="11"/>
  <c r="BT78" i="11" s="1"/>
  <c r="BU68" i="11" l="1"/>
  <c r="BU78" i="11"/>
  <c r="BN82" i="14"/>
  <c r="BN43" i="27"/>
  <c r="BO43" i="27" s="1"/>
  <c r="BO61" i="27"/>
  <c r="BO82" i="14" s="1"/>
  <c r="BN45" i="27" l="1"/>
  <c r="BN41" i="14" s="1"/>
  <c r="BV78" i="11"/>
  <c r="BV68" i="11"/>
  <c r="BO45" i="27"/>
  <c r="BN110" i="13"/>
  <c r="BW68" i="11" l="1"/>
  <c r="BW78" i="11"/>
  <c r="BO110" i="13"/>
  <c r="BO41" i="14"/>
  <c r="BO114" i="14"/>
  <c r="BO119" i="12" s="1"/>
  <c r="BO30" i="37"/>
  <c r="BP38" i="37"/>
  <c r="BP36" i="37" s="1"/>
  <c r="BP115" i="14" s="1"/>
  <c r="BX78" i="11" l="1"/>
  <c r="BY78" i="11" s="1"/>
  <c r="BX68" i="11"/>
  <c r="BP62" i="14"/>
  <c r="BP21" i="37" s="1"/>
  <c r="BP22" i="37" s="1"/>
  <c r="BZ78" i="11" l="1"/>
  <c r="BZ68" i="11"/>
  <c r="BP60" i="14"/>
  <c r="BP61" i="14" s="1"/>
  <c r="BQ24" i="37"/>
  <c r="CA68" i="11" l="1"/>
  <c r="CA78" i="11"/>
  <c r="BQ30" i="37"/>
  <c r="BQ27" i="37"/>
  <c r="CB78" i="11" l="1"/>
  <c r="CB68" i="11"/>
  <c r="BQ114" i="14"/>
  <c r="BR38" i="37"/>
  <c r="BQ62" i="14"/>
  <c r="CC68" i="11" l="1"/>
  <c r="CC78" i="11"/>
  <c r="CD78" i="11" s="1"/>
  <c r="BR36" i="37"/>
  <c r="BQ21" i="37"/>
  <c r="BQ22" i="37" s="1"/>
  <c r="BQ60" i="14"/>
  <c r="BQ61" i="14" s="1"/>
  <c r="BR24" i="37" l="1"/>
  <c r="BR27" i="37" s="1"/>
  <c r="BR115" i="14"/>
  <c r="BR114" i="14" l="1"/>
  <c r="BR30" i="37"/>
  <c r="BS38" i="37" l="1"/>
  <c r="BR62" i="14"/>
  <c r="BR21" i="37" l="1"/>
  <c r="BR22" i="37" s="1"/>
  <c r="BR60" i="14"/>
  <c r="BR61" i="14" s="1"/>
  <c r="BS36" i="37"/>
  <c r="BT38" i="37"/>
  <c r="BS115" i="14" l="1"/>
  <c r="BT115" i="14" s="1"/>
  <c r="BT120" i="12" s="1"/>
  <c r="BT36" i="37"/>
  <c r="BS24" i="37"/>
  <c r="BS27" i="37" s="1"/>
  <c r="BS114" i="14" l="1"/>
  <c r="BT114" i="14" s="1"/>
  <c r="BT119" i="12" s="1"/>
  <c r="BT27" i="37"/>
  <c r="BS30" i="37"/>
  <c r="BT24" i="37"/>
  <c r="BT55" i="12"/>
  <c r="BU38" i="37" l="1"/>
  <c r="BT30" i="37"/>
  <c r="BS62" i="14"/>
  <c r="BT54" i="12"/>
  <c r="BS21" i="37" l="1"/>
  <c r="BS22" i="37" s="1"/>
  <c r="BT62" i="14"/>
  <c r="BS60" i="14"/>
  <c r="BU36" i="37"/>
  <c r="BU24" i="37" l="1"/>
  <c r="BT60" i="14"/>
  <c r="BS61" i="14"/>
  <c r="BT61" i="14" s="1"/>
  <c r="BU115" i="14"/>
  <c r="BT21" i="37"/>
  <c r="BT22" i="37" s="1"/>
  <c r="BU30" i="37" l="1"/>
  <c r="BT13" i="12"/>
  <c r="BT25" i="37"/>
  <c r="BU27" i="37"/>
  <c r="BU114" i="14" l="1"/>
  <c r="BV38" i="37"/>
  <c r="BU62" i="14"/>
  <c r="BV36" i="37" l="1"/>
  <c r="BU21" i="37"/>
  <c r="BU22" i="37" s="1"/>
  <c r="BU60" i="14"/>
  <c r="BU61" i="14" s="1"/>
  <c r="BV24" i="37" l="1"/>
  <c r="BV115" i="14"/>
  <c r="BV30" i="37" l="1"/>
  <c r="BV27" i="37"/>
  <c r="BW38" i="37" l="1"/>
  <c r="BV62" i="14"/>
  <c r="BV114" i="14"/>
  <c r="BW36" i="37" l="1"/>
  <c r="BV21" i="37"/>
  <c r="BV22" i="37" s="1"/>
  <c r="BV60" i="14"/>
  <c r="BV61" i="14" s="1"/>
  <c r="BW24" i="37" l="1"/>
  <c r="BW27" i="37" s="1"/>
  <c r="BW115" i="14"/>
  <c r="BW114" i="14" l="1"/>
  <c r="BW30" i="37"/>
  <c r="BX38" i="37" l="1"/>
  <c r="BW62" i="14"/>
  <c r="BW21" i="37" l="1"/>
  <c r="BW22" i="37" s="1"/>
  <c r="BW60" i="14"/>
  <c r="BW61" i="14" s="1"/>
  <c r="BX36" i="37"/>
  <c r="BY38" i="37"/>
  <c r="BX115" i="14" l="1"/>
  <c r="BY115" i="14" s="1"/>
  <c r="BY120" i="12" s="1"/>
  <c r="BY36" i="37"/>
  <c r="BX24" i="37"/>
  <c r="BX27" i="37" s="1"/>
  <c r="BX114" i="14" l="1"/>
  <c r="BY114" i="14" s="1"/>
  <c r="BY119" i="12" s="1"/>
  <c r="BY27" i="37"/>
  <c r="BX30" i="37"/>
  <c r="BY24" i="37"/>
  <c r="BY55" i="12"/>
  <c r="BY54" i="12" l="1"/>
  <c r="BZ38" i="37"/>
  <c r="BY30" i="37"/>
  <c r="BX62" i="14"/>
  <c r="BZ36" i="37" l="1"/>
  <c r="BX21" i="37"/>
  <c r="BX22" i="37" s="1"/>
  <c r="BY62" i="14"/>
  <c r="BX60" i="14"/>
  <c r="BZ115" i="14" l="1"/>
  <c r="BY21" i="37"/>
  <c r="BY22" i="37" s="1"/>
  <c r="BY60" i="14"/>
  <c r="BX61" i="14"/>
  <c r="BY61" i="14" s="1"/>
  <c r="BZ24" i="37"/>
  <c r="BZ30" i="37" l="1"/>
  <c r="BY13" i="12"/>
  <c r="BY25" i="37"/>
  <c r="BZ27" i="37"/>
  <c r="BZ114" i="14" l="1"/>
  <c r="CA38" i="37"/>
  <c r="BZ62" i="14"/>
  <c r="CA36" i="37" l="1"/>
  <c r="BZ21" i="37"/>
  <c r="BZ22" i="37" s="1"/>
  <c r="BZ60" i="14"/>
  <c r="BZ61" i="14" s="1"/>
  <c r="CA24" i="37" l="1"/>
  <c r="CA115" i="14"/>
  <c r="CA30" i="37" l="1"/>
  <c r="CA27" i="37"/>
  <c r="CA114" i="14" l="1"/>
  <c r="CB38" i="37"/>
  <c r="CA62" i="14"/>
  <c r="CA21" i="37" l="1"/>
  <c r="CA22" i="37" s="1"/>
  <c r="CA60" i="14"/>
  <c r="CA61" i="14" s="1"/>
  <c r="CB36" i="37"/>
  <c r="CB115" i="14" l="1"/>
  <c r="CB24" i="37"/>
  <c r="CB30" i="37" l="1"/>
  <c r="CB27" i="37"/>
  <c r="CC38" i="37" l="1"/>
  <c r="CB62" i="14"/>
  <c r="CB114" i="14"/>
  <c r="CC36" i="37" l="1"/>
  <c r="CD38" i="37"/>
  <c r="CB21" i="37"/>
  <c r="CB22" i="37" s="1"/>
  <c r="CB60" i="14"/>
  <c r="CB61" i="14" s="1"/>
  <c r="CC24" i="37" l="1"/>
  <c r="CC27" i="37" s="1"/>
  <c r="CC115" i="14"/>
  <c r="CD115" i="14" s="1"/>
  <c r="CD120" i="12" s="1"/>
  <c r="CD36" i="37"/>
  <c r="CC114" i="14" l="1"/>
  <c r="CD114" i="14" s="1"/>
  <c r="CD119" i="12" s="1"/>
  <c r="CD27" i="37"/>
  <c r="CD55" i="12"/>
  <c r="CC30" i="37"/>
  <c r="CD24" i="37"/>
  <c r="CD54" i="12" l="1"/>
  <c r="CD30" i="37"/>
  <c r="CC62" i="14"/>
  <c r="CD62" i="14" l="1"/>
  <c r="CC21" i="37"/>
  <c r="CC22" i="37" s="1"/>
  <c r="CC60" i="14"/>
  <c r="CD21" i="37" l="1"/>
  <c r="CD22" i="37" s="1"/>
  <c r="CC61" i="14"/>
  <c r="CD61" i="14" s="1"/>
  <c r="CD60" i="14"/>
  <c r="CD13" i="12" l="1"/>
  <c r="CD25" i="37"/>
  <c r="BT91" i="47"/>
  <c r="BO93" i="47"/>
  <c r="BO94" i="47" s="1"/>
  <c r="BO71" i="47" s="1"/>
  <c r="BN94" i="47"/>
  <c r="BN71" i="47" s="1"/>
  <c r="BO69" i="47" l="1"/>
  <c r="BN81" i="47"/>
  <c r="BK81" i="47"/>
  <c r="BL81" i="47"/>
  <c r="BN69" i="47"/>
  <c r="BI81" i="47"/>
  <c r="BM81" i="47"/>
  <c r="BN59" i="47" l="1"/>
  <c r="BO81" i="47"/>
  <c r="BM59" i="47"/>
  <c r="BI59" i="47"/>
  <c r="BJ81" i="47"/>
  <c r="BK59" i="47"/>
  <c r="BL59" i="47"/>
  <c r="BN15" i="12"/>
  <c r="BN96" i="47"/>
  <c r="BO96" i="47" s="1"/>
  <c r="BO97" i="47" s="1"/>
  <c r="BO99" i="47" s="1"/>
  <c r="BO41" i="12" s="1"/>
  <c r="BN99" i="47"/>
  <c r="BN41" i="12" s="1"/>
  <c r="BT14" i="13"/>
  <c r="BP14" i="13" s="1"/>
  <c r="BQ14" i="13" s="1"/>
  <c r="BR14" i="13" s="1"/>
  <c r="BO69" i="13"/>
  <c r="BO74" i="13"/>
  <c r="BO75" i="13" s="1"/>
  <c r="BO126" i="13"/>
  <c r="BO109" i="12"/>
  <c r="BT109" i="12" l="1"/>
  <c r="BO90" i="13"/>
  <c r="BP89" i="13" s="1"/>
  <c r="BO76" i="13"/>
  <c r="BO104" i="10" s="1"/>
  <c r="BO78" i="13"/>
  <c r="BS14" i="13"/>
  <c r="BY14" i="13"/>
  <c r="BT45" i="12" l="1"/>
  <c r="BT89" i="13"/>
  <c r="BX14" i="13"/>
  <c r="CD14" i="13"/>
  <c r="BY109" i="12"/>
  <c r="BU14" i="13"/>
  <c r="CC14" i="13" l="1"/>
  <c r="CD109" i="12"/>
  <c r="BZ14" i="13"/>
  <c r="BV14" i="13"/>
  <c r="BY45" i="12"/>
  <c r="CD45" i="12" l="1"/>
  <c r="BW14" i="13"/>
  <c r="CA14" i="13"/>
  <c r="CB14" i="13" l="1"/>
  <c r="BM75" i="47"/>
  <c r="BM82" i="47" s="1"/>
  <c r="BO75" i="47"/>
  <c r="BN82" i="47"/>
  <c r="BO82" i="47" s="1"/>
  <c r="BM58" i="47" l="1"/>
  <c r="BM60" i="47"/>
  <c r="BL75" i="47"/>
  <c r="BN58" i="47"/>
  <c r="BP58" i="47" s="1"/>
  <c r="BN60" i="47"/>
  <c r="BK75" i="47" l="1"/>
  <c r="BL82" i="47"/>
  <c r="BQ58" i="47"/>
  <c r="BP53" i="47"/>
  <c r="BP92" i="47" s="1"/>
  <c r="BL58" i="47" l="1"/>
  <c r="BL60" i="47"/>
  <c r="BR58" i="47"/>
  <c r="BQ53" i="47"/>
  <c r="BQ92" i="47" s="1"/>
  <c r="BI75" i="47"/>
  <c r="BK82" i="47"/>
  <c r="BK60" i="47" l="1"/>
  <c r="BK58" i="47"/>
  <c r="BJ75" i="47"/>
  <c r="BH75" i="47"/>
  <c r="BI82" i="47"/>
  <c r="BR53" i="47"/>
  <c r="BR92" i="47" s="1"/>
  <c r="BS58" i="47"/>
  <c r="BG75" i="47" l="1"/>
  <c r="BH82" i="47"/>
  <c r="BE75" i="47"/>
  <c r="BS53" i="47"/>
  <c r="BS92" i="47" s="1"/>
  <c r="BU58" i="47"/>
  <c r="BI58" i="47"/>
  <c r="BI60" i="47"/>
  <c r="BJ82" i="47"/>
  <c r="BT92" i="47" l="1"/>
  <c r="BV58" i="47"/>
  <c r="BU53" i="47"/>
  <c r="BU92" i="47" s="1"/>
  <c r="BP59" i="47"/>
  <c r="BF75" i="47"/>
  <c r="BG82" i="47"/>
  <c r="BH58" i="47"/>
  <c r="BH60" i="47"/>
  <c r="BD75" i="47" l="1"/>
  <c r="BF82" i="47"/>
  <c r="BP54" i="47"/>
  <c r="BP60" i="47"/>
  <c r="BP55" i="47" s="1"/>
  <c r="BP37" i="47" s="1"/>
  <c r="BP156" i="13" s="1"/>
  <c r="BP53" i="13" s="1"/>
  <c r="BW58" i="47"/>
  <c r="BV53" i="47"/>
  <c r="BV92" i="47" s="1"/>
  <c r="BQ59" i="47"/>
  <c r="BG58" i="47"/>
  <c r="BG60" i="47"/>
  <c r="BQ54" i="47" l="1"/>
  <c r="BQ60" i="47"/>
  <c r="BQ55" i="47" s="1"/>
  <c r="BQ37" i="47" s="1"/>
  <c r="BQ156" i="13" s="1"/>
  <c r="BQ53" i="13" s="1"/>
  <c r="BW53" i="47"/>
  <c r="BX58" i="47"/>
  <c r="BR59" i="47"/>
  <c r="BF58" i="47"/>
  <c r="BF60" i="47"/>
  <c r="BC75" i="47"/>
  <c r="BD82" i="47"/>
  <c r="BP26" i="47"/>
  <c r="BP29" i="47"/>
  <c r="BP147" i="13" l="1"/>
  <c r="BP41" i="13" s="1"/>
  <c r="BQ26" i="47"/>
  <c r="BP28" i="47"/>
  <c r="BP148" i="13"/>
  <c r="BP46" i="13" s="1"/>
  <c r="BQ29" i="47"/>
  <c r="BZ58" i="47"/>
  <c r="BX53" i="47"/>
  <c r="BX92" i="47" s="1"/>
  <c r="BS59" i="47"/>
  <c r="BD60" i="47"/>
  <c r="BD58" i="47"/>
  <c r="BE82" i="47"/>
  <c r="BB75" i="47"/>
  <c r="BC82" i="47"/>
  <c r="BR54" i="47"/>
  <c r="BR60" i="47"/>
  <c r="BR55" i="47" s="1"/>
  <c r="BR37" i="47" s="1"/>
  <c r="BR156" i="13" s="1"/>
  <c r="BR53" i="13" s="1"/>
  <c r="BW92" i="47"/>
  <c r="BS54" i="47" l="1"/>
  <c r="BS60" i="47"/>
  <c r="BS55" i="47" s="1"/>
  <c r="BS37" i="47" s="1"/>
  <c r="BY92" i="47"/>
  <c r="BC58" i="47"/>
  <c r="BC60" i="47"/>
  <c r="BA75" i="47"/>
  <c r="BA82" i="47" s="1"/>
  <c r="BB82" i="47"/>
  <c r="CA58" i="47"/>
  <c r="BZ53" i="47"/>
  <c r="BZ92" i="47" s="1"/>
  <c r="BZ59" i="47"/>
  <c r="BZ54" i="47" s="1"/>
  <c r="BU59" i="47"/>
  <c r="BQ147" i="13"/>
  <c r="BQ41" i="13" s="1"/>
  <c r="BQ28" i="47"/>
  <c r="BR26" i="47"/>
  <c r="BQ148" i="13"/>
  <c r="BQ46" i="13" s="1"/>
  <c r="BR29" i="47"/>
  <c r="BB58" i="47" l="1"/>
  <c r="BB60" i="47"/>
  <c r="BZ60" i="47"/>
  <c r="BZ55" i="47" s="1"/>
  <c r="BZ37" i="47" s="1"/>
  <c r="BZ156" i="13" s="1"/>
  <c r="BZ53" i="13" s="1"/>
  <c r="BA60" i="47"/>
  <c r="BA58" i="47"/>
  <c r="BR148" i="13"/>
  <c r="BR46" i="13" s="1"/>
  <c r="BS29" i="47"/>
  <c r="BR147" i="13"/>
  <c r="BR41" i="13" s="1"/>
  <c r="BR28" i="47"/>
  <c r="BS26" i="47"/>
  <c r="BS156" i="13"/>
  <c r="BS53" i="13" s="1"/>
  <c r="BT37" i="47"/>
  <c r="BT156" i="13" s="1"/>
  <c r="BT84" i="12" s="1"/>
  <c r="BU54" i="47"/>
  <c r="BU60" i="47"/>
  <c r="BU55" i="47" s="1"/>
  <c r="BU37" i="47" s="1"/>
  <c r="BU156" i="13" s="1"/>
  <c r="BU53" i="13" s="1"/>
  <c r="CB58" i="47"/>
  <c r="CA53" i="47"/>
  <c r="CA59" i="47"/>
  <c r="CA54" i="47" s="1"/>
  <c r="BV59" i="47"/>
  <c r="CA60" i="47" l="1"/>
  <c r="CA55" i="47" s="1"/>
  <c r="CA37" i="47" s="1"/>
  <c r="CA156" i="13" s="1"/>
  <c r="CA53" i="13" s="1"/>
  <c r="BV54" i="47"/>
  <c r="BV60" i="47"/>
  <c r="BV55" i="47" s="1"/>
  <c r="BV37" i="47" s="1"/>
  <c r="BV156" i="13" s="1"/>
  <c r="BV53" i="13" s="1"/>
  <c r="CB53" i="47"/>
  <c r="CB59" i="47"/>
  <c r="CB54" i="47" s="1"/>
  <c r="CC58" i="47"/>
  <c r="BW59" i="47"/>
  <c r="BT53" i="13"/>
  <c r="BS148" i="13"/>
  <c r="BS46" i="13" s="1"/>
  <c r="BT46" i="13" s="1"/>
  <c r="BU29" i="47"/>
  <c r="BT29" i="47"/>
  <c r="BT148" i="13" s="1"/>
  <c r="BT95" i="12" s="1"/>
  <c r="CA92" i="47"/>
  <c r="BS147" i="13"/>
  <c r="BS41" i="13" s="1"/>
  <c r="BU26" i="47"/>
  <c r="BT26" i="47"/>
  <c r="BT147" i="13" s="1"/>
  <c r="BT73" i="12" s="1"/>
  <c r="BS28" i="47"/>
  <c r="BT28" i="47" s="1"/>
  <c r="CB60" i="47" l="1"/>
  <c r="CB55" i="47" s="1"/>
  <c r="CB37" i="47" s="1"/>
  <c r="CB156" i="13" s="1"/>
  <c r="CB53" i="13" s="1"/>
  <c r="BU148" i="13"/>
  <c r="BU46" i="13" s="1"/>
  <c r="BV29" i="47"/>
  <c r="BW54" i="47"/>
  <c r="BW60" i="47"/>
  <c r="BW55" i="47" s="1"/>
  <c r="BW37" i="47" s="1"/>
  <c r="BW156" i="13" s="1"/>
  <c r="BW53" i="13" s="1"/>
  <c r="CB92" i="47"/>
  <c r="BU147" i="13"/>
  <c r="BU41" i="13" s="1"/>
  <c r="BU28" i="47"/>
  <c r="BV26" i="47"/>
  <c r="BT94" i="12"/>
  <c r="CC53" i="47"/>
  <c r="CC92" i="47" s="1"/>
  <c r="CC59" i="47"/>
  <c r="CC54" i="47" s="1"/>
  <c r="BX59" i="47"/>
  <c r="BT41" i="13"/>
  <c r="BT83" i="12"/>
  <c r="CC60" i="47" l="1"/>
  <c r="CC55" i="47" s="1"/>
  <c r="CC37" i="47" s="1"/>
  <c r="CC156" i="13" s="1"/>
  <c r="CC53" i="13" s="1"/>
  <c r="CD92" i="47"/>
  <c r="BX54" i="47"/>
  <c r="BX60" i="47"/>
  <c r="BX55" i="47" s="1"/>
  <c r="BX37" i="47" s="1"/>
  <c r="BV148" i="13"/>
  <c r="BV46" i="13" s="1"/>
  <c r="BW29" i="47"/>
  <c r="BT72" i="12"/>
  <c r="BV147" i="13"/>
  <c r="BV41" i="13" s="1"/>
  <c r="BV28" i="47"/>
  <c r="BW26" i="47"/>
  <c r="CD37" i="47" l="1"/>
  <c r="CD156" i="13" s="1"/>
  <c r="BX156" i="13"/>
  <c r="BX53" i="13" s="1"/>
  <c r="BY37" i="47"/>
  <c r="BY156" i="13" s="1"/>
  <c r="BY84" i="12" s="1"/>
  <c r="BW147" i="13"/>
  <c r="BW41" i="13" s="1"/>
  <c r="BX26" i="47"/>
  <c r="BW28" i="47"/>
  <c r="CD53" i="13"/>
  <c r="BW148" i="13"/>
  <c r="BW46" i="13" s="1"/>
  <c r="BX29" i="47"/>
  <c r="CD84" i="12" l="1"/>
  <c r="BX148" i="13"/>
  <c r="BX46" i="13" s="1"/>
  <c r="BY46" i="13" s="1"/>
  <c r="BZ29" i="47"/>
  <c r="BY29" i="47"/>
  <c r="BY148" i="13" s="1"/>
  <c r="BY95" i="12" s="1"/>
  <c r="BX147" i="13"/>
  <c r="BX41" i="13" s="1"/>
  <c r="BY26" i="47"/>
  <c r="BY147" i="13" s="1"/>
  <c r="BY73" i="12" s="1"/>
  <c r="BZ26" i="47"/>
  <c r="BX28" i="47"/>
  <c r="BY28" i="47" s="1"/>
  <c r="BY53" i="13"/>
  <c r="BZ147" i="13" l="1"/>
  <c r="BZ41" i="13" s="1"/>
  <c r="BZ28" i="47"/>
  <c r="CA26" i="47"/>
  <c r="BZ148" i="13"/>
  <c r="BZ46" i="13" s="1"/>
  <c r="CA29" i="47"/>
  <c r="BY83" i="12"/>
  <c r="BY94" i="12"/>
  <c r="BY41" i="13"/>
  <c r="CD83" i="12"/>
  <c r="CA148" i="13" l="1"/>
  <c r="CA46" i="13" s="1"/>
  <c r="CB29" i="47"/>
  <c r="BY72" i="12"/>
  <c r="CA147" i="13"/>
  <c r="CA41" i="13" s="1"/>
  <c r="CB26" i="47"/>
  <c r="CA28" i="47"/>
  <c r="CB148" i="13" l="1"/>
  <c r="CB46" i="13" s="1"/>
  <c r="CC29" i="47"/>
  <c r="CB147" i="13"/>
  <c r="CB41" i="13" s="1"/>
  <c r="CC26" i="47"/>
  <c r="CB28" i="47"/>
  <c r="CC148" i="13" l="1"/>
  <c r="CC46" i="13" s="1"/>
  <c r="CD46" i="13" s="1"/>
  <c r="CD29" i="47"/>
  <c r="CD148" i="13" s="1"/>
  <c r="CD95" i="12" s="1"/>
  <c r="CC147" i="13"/>
  <c r="CC41" i="13" s="1"/>
  <c r="CC28" i="47"/>
  <c r="CD28" i="47" s="1"/>
  <c r="CD26" i="47"/>
  <c r="CD147" i="13" s="1"/>
  <c r="CD73" i="12" s="1"/>
  <c r="CD41" i="13" l="1"/>
  <c r="CD94" i="12"/>
  <c r="CD72" i="12" l="1"/>
  <c r="BM78" i="47"/>
  <c r="BL78" i="47" s="1"/>
  <c r="BO78" i="47"/>
  <c r="BP79" i="47" s="1"/>
  <c r="BT79" i="47" s="1"/>
  <c r="BM79" i="47" l="1"/>
  <c r="BK78" i="47"/>
  <c r="BL79" i="47" s="1"/>
  <c r="BP13" i="47"/>
  <c r="BN79" i="47"/>
  <c r="BP14" i="47" l="1"/>
  <c r="BT13" i="47"/>
  <c r="BP42" i="27"/>
  <c r="BI78" i="47"/>
  <c r="BJ78" i="47" l="1"/>
  <c r="BK79" i="47" s="1"/>
  <c r="BO79" i="47" s="1"/>
  <c r="BH78" i="47"/>
  <c r="BP26" i="27"/>
  <c r="BT42" i="27"/>
  <c r="BP45" i="27"/>
  <c r="BT14" i="47"/>
  <c r="BT16" i="47" s="1"/>
  <c r="BP16" i="47"/>
  <c r="BP90" i="47"/>
  <c r="ES40" i="47" l="1"/>
  <c r="BP109" i="13"/>
  <c r="BP38" i="14"/>
  <c r="BT26" i="27"/>
  <c r="BP110" i="13"/>
  <c r="BP41" i="14"/>
  <c r="BG78" i="47"/>
  <c r="BT90" i="47"/>
  <c r="BT45" i="27"/>
  <c r="BI79" i="47"/>
  <c r="BF78" i="47" l="1"/>
  <c r="BT109" i="13"/>
  <c r="BT38" i="14"/>
  <c r="BT110" i="13"/>
  <c r="BT41" i="14"/>
  <c r="BH79" i="47"/>
  <c r="BD78" i="47" l="1"/>
  <c r="BG79" i="47"/>
  <c r="BC78" i="47" l="1"/>
  <c r="BB78" i="47" s="1"/>
  <c r="BA78" i="47" s="1"/>
  <c r="BE78" i="47"/>
  <c r="BF79" i="47" s="1"/>
  <c r="BJ79" i="47" s="1"/>
  <c r="BO79" i="13" l="1"/>
  <c r="BO19" i="37"/>
  <c r="BO25" i="12" l="1"/>
  <c r="BO12" i="12"/>
  <c r="BO14" i="12" s="1"/>
  <c r="BT12" i="11"/>
  <c r="BT11" i="11" s="1"/>
  <c r="BO15" i="12" l="1"/>
  <c r="BT43" i="11"/>
  <c r="BT18" i="11" s="1"/>
  <c r="BT29" i="11" s="1"/>
  <c r="BT30" i="11" s="1"/>
  <c r="BY23" i="11" s="1"/>
  <c r="BY22" i="11" s="1"/>
  <c r="BT19" i="11" l="1"/>
  <c r="BT112" i="12"/>
  <c r="BT32" i="11" l="1"/>
  <c r="BY12" i="11"/>
  <c r="BY43" i="11" l="1"/>
  <c r="BY18" i="11" s="1"/>
  <c r="BY11" i="11"/>
  <c r="BP32" i="11"/>
  <c r="BS32" i="11"/>
  <c r="BS11" i="13" s="1"/>
  <c r="BT11" i="13" s="1"/>
  <c r="BT116" i="27" s="1"/>
  <c r="BT117" i="27" s="1"/>
  <c r="BQ32" i="11" l="1"/>
  <c r="BP11" i="13"/>
  <c r="BY29" i="11"/>
  <c r="BY30" i="11" s="1"/>
  <c r="CD23" i="11" s="1"/>
  <c r="CD22" i="11" s="1"/>
  <c r="BY19" i="11"/>
  <c r="BT118" i="27"/>
  <c r="BR32" i="11" l="1"/>
  <c r="BR11" i="13" s="1"/>
  <c r="BQ11" i="13"/>
  <c r="BY32" i="11"/>
  <c r="CD12" i="11"/>
  <c r="BY112" i="12"/>
  <c r="CD43" i="11" l="1"/>
  <c r="CD18" i="11" s="1"/>
  <c r="CD11" i="11"/>
  <c r="BX32" i="11"/>
  <c r="BX11" i="13" s="1"/>
  <c r="BY11" i="13" s="1"/>
  <c r="BU32" i="11"/>
  <c r="BY116" i="27" l="1"/>
  <c r="BY117" i="27" s="1"/>
  <c r="BY118" i="27" s="1"/>
  <c r="BV32" i="11"/>
  <c r="BU11" i="13"/>
  <c r="CD29" i="11"/>
  <c r="CD30" i="11" s="1"/>
  <c r="CD19" i="11"/>
  <c r="CD112" i="12" l="1"/>
  <c r="CD32" i="11"/>
  <c r="BZ32" i="11" s="1"/>
  <c r="BW32" i="11"/>
  <c r="BW11" i="13" s="1"/>
  <c r="BV11" i="13"/>
  <c r="CC32" i="11" l="1"/>
  <c r="CC11" i="13" s="1"/>
  <c r="CD11" i="13" s="1"/>
  <c r="CA32" i="11"/>
  <c r="BZ11" i="13"/>
  <c r="CD116" i="27" l="1"/>
  <c r="CD117" i="27" s="1"/>
  <c r="CD118" i="27" s="1"/>
  <c r="CB32" i="11"/>
  <c r="CB11" i="13" s="1"/>
  <c r="CA11" i="13"/>
  <c r="BO112" i="12" l="1"/>
  <c r="BO25" i="10"/>
  <c r="BO26" i="10" s="1"/>
  <c r="BO103" i="12"/>
  <c r="BO27" i="10" l="1"/>
  <c r="BO114" i="12"/>
  <c r="BN120" i="10"/>
  <c r="BN119" i="10"/>
  <c r="BN121" i="10"/>
  <c r="BN122" i="10"/>
  <c r="BN123" i="10"/>
  <c r="BN124" i="10"/>
  <c r="BN73" i="27" l="1"/>
  <c r="BO70" i="7"/>
  <c r="BO64" i="7"/>
  <c r="CN47" i="7" s="1"/>
  <c r="BO77" i="7"/>
  <c r="CH335" i="7" l="1"/>
  <c r="CK335" i="7" s="1"/>
  <c r="CL335" i="7" s="1"/>
  <c r="CH80" i="7"/>
  <c r="BO73" i="27"/>
  <c r="CH425" i="7"/>
  <c r="CK425" i="7" s="1"/>
  <c r="CL425" i="7" s="1"/>
  <c r="CH477" i="7"/>
  <c r="CK477" i="7" s="1"/>
  <c r="CL477" i="7" s="1"/>
  <c r="CH230" i="7" l="1"/>
  <c r="CK230" i="7" s="1"/>
  <c r="CL230" i="7" s="1"/>
  <c r="CH283" i="7"/>
  <c r="CK283" i="7" s="1"/>
  <c r="CL283" i="7" s="1"/>
  <c r="BO28" i="7"/>
  <c r="BO29" i="7" s="1"/>
  <c r="BL77" i="27" l="1"/>
  <c r="BL78" i="27" s="1"/>
  <c r="BL80" i="27" s="1"/>
  <c r="BK77" i="27"/>
  <c r="BK78" i="27" s="1"/>
  <c r="BM77" i="27"/>
  <c r="BM78" i="27" s="1"/>
  <c r="BM80" i="27" s="1"/>
  <c r="BN77" i="27"/>
  <c r="CH140" i="7"/>
  <c r="CK140" i="7" s="1"/>
  <c r="CL140" i="7" s="1"/>
  <c r="BK80" i="27" l="1"/>
  <c r="CI80" i="7"/>
  <c r="BO84" i="7"/>
  <c r="BO110" i="27" s="1"/>
  <c r="BO77" i="27"/>
  <c r="CH47" i="7" l="1"/>
  <c r="BO85" i="7"/>
  <c r="BO552" i="7"/>
  <c r="BO565" i="7"/>
  <c r="BO566" i="7"/>
  <c r="BO568" i="7"/>
  <c r="BO569" i="7"/>
  <c r="BO570" i="7"/>
  <c r="BO557" i="7"/>
  <c r="BO567" i="7"/>
  <c r="BO573" i="7" l="1"/>
  <c r="BO540" i="7"/>
  <c r="BO572" i="7"/>
  <c r="CI47" i="7"/>
  <c r="BO11" i="7" l="1"/>
  <c r="BO19" i="7" s="1"/>
  <c r="CJ47" i="7"/>
  <c r="CK47" i="7" s="1"/>
  <c r="BO759" i="7"/>
  <c r="BO94" i="27" l="1"/>
  <c r="BO91" i="27" s="1"/>
  <c r="BN91" i="27" s="1"/>
  <c r="BN89" i="27" s="1"/>
  <c r="BO89" i="27" s="1"/>
  <c r="BO90" i="27" s="1"/>
  <c r="BN90" i="27" l="1"/>
  <c r="CK45" i="69"/>
  <c r="CK46" i="69" s="1"/>
  <c r="BO72" i="69"/>
  <c r="BN76" i="69"/>
  <c r="BO76" i="69" s="1"/>
  <c r="CJ98" i="69"/>
  <c r="CL98" i="69" s="1"/>
  <c r="CK47" i="69" l="1"/>
  <c r="BQ67" i="11" l="1"/>
  <c r="BR67" i="11"/>
  <c r="BS67" i="11"/>
  <c r="BU67" i="11"/>
  <c r="BV67" i="11"/>
  <c r="BW67" i="11"/>
  <c r="BX67" i="11"/>
  <c r="BY67" i="11"/>
  <c r="BZ67" i="11"/>
  <c r="CA67" i="11"/>
  <c r="CB67" i="11"/>
  <c r="CC67" i="11"/>
  <c r="CD67" i="11"/>
  <c r="BY68" i="11"/>
  <c r="CD68" i="11"/>
  <c r="BQ70" i="11"/>
  <c r="BR70" i="11"/>
  <c r="BS70" i="11"/>
  <c r="BU70" i="11"/>
  <c r="BV70" i="11"/>
  <c r="BW70" i="11"/>
  <c r="BX70" i="11"/>
  <c r="BY70" i="11"/>
  <c r="BZ70" i="11"/>
  <c r="CA70" i="11"/>
  <c r="CB70" i="11"/>
  <c r="CC70" i="11"/>
  <c r="CD70" i="11"/>
  <c r="BP72" i="11"/>
  <c r="BQ72" i="11"/>
  <c r="BR72" i="11"/>
  <c r="BS72" i="11"/>
  <c r="BT72" i="11"/>
  <c r="BU72" i="11"/>
  <c r="BV72" i="11"/>
  <c r="BW72" i="11"/>
  <c r="BX72" i="11"/>
  <c r="BY72" i="11"/>
  <c r="BZ72" i="11"/>
  <c r="CA72" i="11"/>
  <c r="CB72" i="11"/>
  <c r="CC72" i="11"/>
  <c r="CD72" i="11"/>
  <c r="BW73" i="11"/>
  <c r="BY73" i="11"/>
  <c r="CB73" i="11"/>
  <c r="CD73" i="11"/>
  <c r="BT74" i="11"/>
  <c r="BY74" i="11"/>
  <c r="CD74" i="11"/>
  <c r="BP76" i="11"/>
  <c r="BQ76" i="11"/>
  <c r="BR76" i="11"/>
  <c r="BS76" i="11"/>
  <c r="BT76" i="11"/>
  <c r="BU76" i="11"/>
  <c r="BV76" i="11"/>
  <c r="BW76" i="11"/>
  <c r="BX76" i="11"/>
  <c r="BY76" i="11"/>
  <c r="BZ76" i="11"/>
  <c r="CA76" i="11"/>
  <c r="CB76" i="11"/>
  <c r="CC76" i="11"/>
  <c r="CD76" i="11"/>
  <c r="BP79" i="11"/>
  <c r="BQ79" i="11"/>
  <c r="BR79" i="11"/>
  <c r="BS79" i="11"/>
  <c r="BT79" i="11"/>
  <c r="BU79" i="11"/>
  <c r="BV79" i="11"/>
  <c r="BW79" i="11"/>
  <c r="BX79" i="11"/>
  <c r="BY79" i="11"/>
  <c r="BZ79" i="11"/>
  <c r="CA79" i="11"/>
  <c r="CB79" i="11"/>
  <c r="CC79" i="11"/>
  <c r="CD79" i="11"/>
  <c r="BW85" i="11"/>
  <c r="BY85" i="11"/>
  <c r="CB85" i="11"/>
  <c r="CD85" i="11"/>
  <c r="BP86" i="11"/>
  <c r="BQ86" i="11"/>
  <c r="BR86" i="11"/>
  <c r="BS86" i="11"/>
  <c r="BT86" i="11"/>
  <c r="BU86" i="11"/>
  <c r="BV86" i="11"/>
  <c r="BW86" i="11"/>
  <c r="BX86" i="11"/>
  <c r="BY86" i="11"/>
  <c r="BZ86" i="11"/>
  <c r="CA86" i="11"/>
  <c r="CB86" i="11"/>
  <c r="CC86" i="11"/>
  <c r="CD86" i="11"/>
  <c r="BY87" i="11"/>
  <c r="CD87" i="11"/>
  <c r="BP15" i="13"/>
  <c r="BQ15" i="13"/>
  <c r="BR15" i="13"/>
  <c r="BS15" i="13"/>
  <c r="BT15" i="13"/>
  <c r="BU15" i="13"/>
  <c r="BV15" i="13"/>
  <c r="BW15" i="13"/>
  <c r="BX15" i="13"/>
  <c r="BY15" i="13"/>
  <c r="BZ15" i="13"/>
  <c r="CA15" i="13"/>
  <c r="CB15" i="13"/>
  <c r="CC15" i="13"/>
  <c r="CD15" i="13"/>
  <c r="BP18" i="13"/>
  <c r="BQ18" i="13"/>
  <c r="BR18" i="13"/>
  <c r="BS18" i="13"/>
  <c r="BT18" i="13"/>
  <c r="BU18" i="13"/>
  <c r="BV18" i="13"/>
  <c r="BW18" i="13"/>
  <c r="BX18" i="13"/>
  <c r="BY18" i="13"/>
  <c r="BZ18" i="13"/>
  <c r="CA18" i="13"/>
  <c r="CB18" i="13"/>
  <c r="CC18" i="13"/>
  <c r="CD18" i="13"/>
  <c r="BP23" i="13"/>
  <c r="BQ23" i="13"/>
  <c r="BR23" i="13"/>
  <c r="BS23" i="13"/>
  <c r="BT23" i="13"/>
  <c r="BU23" i="13"/>
  <c r="BV23" i="13"/>
  <c r="BW23" i="13"/>
  <c r="BX23" i="13"/>
  <c r="BY23" i="13"/>
  <c r="BZ23" i="13"/>
  <c r="CA23" i="13"/>
  <c r="CB23" i="13"/>
  <c r="CC23" i="13"/>
  <c r="CD23" i="13"/>
  <c r="BP28" i="13"/>
  <c r="BQ28" i="13"/>
  <c r="BR28" i="13"/>
  <c r="BS28" i="13"/>
  <c r="BT28" i="13"/>
  <c r="BU28" i="13"/>
  <c r="BV28" i="13"/>
  <c r="BW28" i="13"/>
  <c r="BX28" i="13"/>
  <c r="BY28" i="13"/>
  <c r="BZ28" i="13"/>
  <c r="CA28" i="13"/>
  <c r="CB28" i="13"/>
  <c r="CC28" i="13"/>
  <c r="CD28" i="13"/>
  <c r="BP33" i="13"/>
  <c r="BQ33" i="13"/>
  <c r="BR33" i="13"/>
  <c r="BS33" i="13"/>
  <c r="BT33" i="13"/>
  <c r="BU33" i="13"/>
  <c r="BV33" i="13"/>
  <c r="BW33" i="13"/>
  <c r="BX33" i="13"/>
  <c r="BY33" i="13"/>
  <c r="BZ33" i="13"/>
  <c r="CA33" i="13"/>
  <c r="CB33" i="13"/>
  <c r="CC33" i="13"/>
  <c r="CD33" i="13"/>
  <c r="BP34" i="13"/>
  <c r="BQ34" i="13"/>
  <c r="BR34" i="13"/>
  <c r="BS34" i="13"/>
  <c r="BT34" i="13"/>
  <c r="BU34" i="13"/>
  <c r="BV34" i="13"/>
  <c r="BW34" i="13"/>
  <c r="BX34" i="13"/>
  <c r="BY34" i="13"/>
  <c r="BZ34" i="13"/>
  <c r="CA34" i="13"/>
  <c r="CB34" i="13"/>
  <c r="CC34" i="13"/>
  <c r="CD34" i="13"/>
  <c r="BP38" i="13"/>
  <c r="BQ38" i="13"/>
  <c r="BR38" i="13"/>
  <c r="BS38" i="13"/>
  <c r="BT38" i="13"/>
  <c r="BU38" i="13"/>
  <c r="BV38" i="13"/>
  <c r="BW38" i="13"/>
  <c r="BX38" i="13"/>
  <c r="BY38" i="13"/>
  <c r="BZ38" i="13"/>
  <c r="CA38" i="13"/>
  <c r="CB38" i="13"/>
  <c r="CC38" i="13"/>
  <c r="CD38" i="13"/>
  <c r="BP44" i="13"/>
  <c r="BQ44" i="13"/>
  <c r="BR44" i="13"/>
  <c r="BS44" i="13"/>
  <c r="BT44" i="13"/>
  <c r="BU44" i="13"/>
  <c r="BV44" i="13"/>
  <c r="BW44" i="13"/>
  <c r="BX44" i="13"/>
  <c r="BY44" i="13"/>
  <c r="BZ44" i="13"/>
  <c r="CA44" i="13"/>
  <c r="CB44" i="13"/>
  <c r="CC44" i="13"/>
  <c r="CD44" i="13"/>
  <c r="BP47" i="13"/>
  <c r="BQ47" i="13"/>
  <c r="BR47" i="13"/>
  <c r="BS47" i="13"/>
  <c r="BT47" i="13"/>
  <c r="BU47" i="13"/>
  <c r="BV47" i="13"/>
  <c r="BW47" i="13"/>
  <c r="BX47" i="13"/>
  <c r="BY47" i="13"/>
  <c r="BZ47" i="13"/>
  <c r="CA47" i="13"/>
  <c r="CB47" i="13"/>
  <c r="CC47" i="13"/>
  <c r="CD47" i="13"/>
  <c r="BP50" i="13"/>
  <c r="BQ50" i="13"/>
  <c r="BR50" i="13"/>
  <c r="BS50" i="13"/>
  <c r="BT50" i="13"/>
  <c r="BU50" i="13"/>
  <c r="BV50" i="13"/>
  <c r="BW50" i="13"/>
  <c r="BX50" i="13"/>
  <c r="BY50" i="13"/>
  <c r="BZ50" i="13"/>
  <c r="CA50" i="13"/>
  <c r="CB50" i="13"/>
  <c r="CC50" i="13"/>
  <c r="CD50" i="13"/>
  <c r="BP56" i="13"/>
  <c r="BQ56" i="13"/>
  <c r="BR56" i="13"/>
  <c r="BS56" i="13"/>
  <c r="BT56" i="13"/>
  <c r="BU56" i="13"/>
  <c r="BV56" i="13"/>
  <c r="BW56" i="13"/>
  <c r="BX56" i="13"/>
  <c r="BY56" i="13"/>
  <c r="BZ56" i="13"/>
  <c r="CA56" i="13"/>
  <c r="CB56" i="13"/>
  <c r="CC56" i="13"/>
  <c r="CD56" i="13"/>
  <c r="BP57" i="13"/>
  <c r="BQ57" i="13"/>
  <c r="BR57" i="13"/>
  <c r="BS57" i="13"/>
  <c r="BT57" i="13"/>
  <c r="BU57" i="13"/>
  <c r="BV57" i="13"/>
  <c r="BW57" i="13"/>
  <c r="BX57" i="13"/>
  <c r="BY57" i="13"/>
  <c r="BZ57" i="13"/>
  <c r="CA57" i="13"/>
  <c r="CB57" i="13"/>
  <c r="CC57" i="13"/>
  <c r="CD57" i="13"/>
  <c r="BP60" i="13"/>
  <c r="BQ60" i="13"/>
  <c r="BR60" i="13"/>
  <c r="BS60" i="13"/>
  <c r="BT60" i="13"/>
  <c r="BU60" i="13"/>
  <c r="BV60" i="13"/>
  <c r="BW60" i="13"/>
  <c r="BX60" i="13"/>
  <c r="BY60" i="13"/>
  <c r="BZ60" i="13"/>
  <c r="CA60" i="13"/>
  <c r="CB60" i="13"/>
  <c r="CC60" i="13"/>
  <c r="CD60" i="13"/>
  <c r="BH63" i="13"/>
  <c r="BI63" i="13"/>
  <c r="BJ63" i="13"/>
  <c r="BK63" i="13"/>
  <c r="BL63" i="13"/>
  <c r="BM63" i="13"/>
  <c r="BP63" i="13"/>
  <c r="BQ63" i="13"/>
  <c r="BR63" i="13"/>
  <c r="BS63" i="13"/>
  <c r="BT63" i="13"/>
  <c r="BU63" i="13"/>
  <c r="BV63" i="13"/>
  <c r="BW63" i="13"/>
  <c r="BX63" i="13"/>
  <c r="BY63" i="13"/>
  <c r="BZ63" i="13"/>
  <c r="CA63" i="13"/>
  <c r="CB63" i="13"/>
  <c r="CC63" i="13"/>
  <c r="CD63" i="13"/>
  <c r="BB65" i="13"/>
  <c r="BC65" i="13"/>
  <c r="BD65" i="13"/>
  <c r="BG65" i="13"/>
  <c r="BH65" i="13"/>
  <c r="BI65" i="13"/>
  <c r="BJ65" i="13"/>
  <c r="BK65" i="13"/>
  <c r="BL65" i="13"/>
  <c r="BM65" i="13"/>
  <c r="BP65" i="13"/>
  <c r="BQ65" i="13"/>
  <c r="BR65" i="13"/>
  <c r="BS65" i="13"/>
  <c r="BT65" i="13"/>
  <c r="BU65" i="13"/>
  <c r="BV65" i="13"/>
  <c r="BW65" i="13"/>
  <c r="BX65" i="13"/>
  <c r="BY65" i="13"/>
  <c r="BZ65" i="13"/>
  <c r="CA65" i="13"/>
  <c r="CB65" i="13"/>
  <c r="CC65" i="13"/>
  <c r="CD65" i="13"/>
  <c r="BB67" i="13"/>
  <c r="BC67" i="13"/>
  <c r="BD67" i="13"/>
  <c r="BG67" i="13"/>
  <c r="BH67" i="13"/>
  <c r="BI67" i="13"/>
  <c r="BJ67" i="13"/>
  <c r="BK67" i="13"/>
  <c r="BL67" i="13"/>
  <c r="BM67" i="13"/>
  <c r="BP67" i="13"/>
  <c r="BQ67" i="13"/>
  <c r="BR67" i="13"/>
  <c r="BS67" i="13"/>
  <c r="BT67" i="13"/>
  <c r="BU67" i="13"/>
  <c r="BV67" i="13"/>
  <c r="BW67" i="13"/>
  <c r="BX67" i="13"/>
  <c r="BY67" i="13"/>
  <c r="BZ67" i="13"/>
  <c r="CA67" i="13"/>
  <c r="CB67" i="13"/>
  <c r="CC67" i="13"/>
  <c r="CD67" i="13"/>
  <c r="BG69" i="13"/>
  <c r="BH69" i="13"/>
  <c r="BI69" i="13"/>
  <c r="BJ69" i="13"/>
  <c r="BK69" i="13"/>
  <c r="BL69" i="13"/>
  <c r="BM69" i="13"/>
  <c r="BP69" i="13"/>
  <c r="BQ69" i="13"/>
  <c r="BR69" i="13"/>
  <c r="BS69" i="13"/>
  <c r="BT69" i="13"/>
  <c r="BU69" i="13"/>
  <c r="BV69" i="13"/>
  <c r="BW69" i="13"/>
  <c r="BX69" i="13"/>
  <c r="BY69" i="13"/>
  <c r="BZ69" i="13"/>
  <c r="CA69" i="13"/>
  <c r="CB69" i="13"/>
  <c r="CC69" i="13"/>
  <c r="CD69" i="13"/>
  <c r="BP73" i="13"/>
  <c r="BQ73" i="13"/>
  <c r="BR73" i="13"/>
  <c r="BS73" i="13"/>
  <c r="BT73" i="13"/>
  <c r="BU73" i="13"/>
  <c r="BV73" i="13"/>
  <c r="BW73" i="13"/>
  <c r="BX73" i="13"/>
  <c r="BY73" i="13"/>
  <c r="BZ73" i="13"/>
  <c r="CA73" i="13"/>
  <c r="CB73" i="13"/>
  <c r="CC73" i="13"/>
  <c r="CD73" i="13"/>
  <c r="BH74" i="13"/>
  <c r="BI74" i="13"/>
  <c r="BJ74" i="13"/>
  <c r="BK74" i="13"/>
  <c r="BL74" i="13"/>
  <c r="BM74" i="13"/>
  <c r="BP74" i="13"/>
  <c r="BQ74" i="13"/>
  <c r="BR74" i="13"/>
  <c r="BS74" i="13"/>
  <c r="BT74" i="13"/>
  <c r="BU74" i="13"/>
  <c r="BV74" i="13"/>
  <c r="BW74" i="13"/>
  <c r="BX74" i="13"/>
  <c r="BY74" i="13"/>
  <c r="BZ74" i="13"/>
  <c r="CA74" i="13"/>
  <c r="CB74" i="13"/>
  <c r="CC74" i="13"/>
  <c r="CD74" i="13"/>
  <c r="BB75" i="13"/>
  <c r="BC75" i="13"/>
  <c r="BD75" i="13"/>
  <c r="BG75" i="13"/>
  <c r="BH75" i="13"/>
  <c r="BI75" i="13"/>
  <c r="BJ75" i="13"/>
  <c r="BK75" i="13"/>
  <c r="BL75" i="13"/>
  <c r="BM75" i="13"/>
  <c r="BP75" i="13"/>
  <c r="BQ75" i="13"/>
  <c r="BR75" i="13"/>
  <c r="BS75" i="13"/>
  <c r="BT75" i="13"/>
  <c r="BU75" i="13"/>
  <c r="BV75" i="13"/>
  <c r="BW75" i="13"/>
  <c r="BX75" i="13"/>
  <c r="BY75" i="13"/>
  <c r="BZ75" i="13"/>
  <c r="CA75" i="13"/>
  <c r="CB75" i="13"/>
  <c r="CC75" i="13"/>
  <c r="CD75" i="13"/>
  <c r="BB76" i="13"/>
  <c r="BC76" i="13"/>
  <c r="BD76" i="13"/>
  <c r="BG76" i="13"/>
  <c r="BH76" i="13"/>
  <c r="BI76" i="13"/>
  <c r="BJ76" i="13"/>
  <c r="BK76" i="13"/>
  <c r="BL76" i="13"/>
  <c r="BM76" i="13"/>
  <c r="BP76" i="13"/>
  <c r="BQ76" i="13"/>
  <c r="BR76" i="13"/>
  <c r="BS76" i="13"/>
  <c r="BT76" i="13"/>
  <c r="BU76" i="13"/>
  <c r="BV76" i="13"/>
  <c r="BW76" i="13"/>
  <c r="BX76" i="13"/>
  <c r="BY76" i="13"/>
  <c r="BZ76" i="13"/>
  <c r="CA76" i="13"/>
  <c r="CB76" i="13"/>
  <c r="CC76" i="13"/>
  <c r="CD76" i="13"/>
  <c r="BJ78" i="13"/>
  <c r="BT78" i="13"/>
  <c r="BY78" i="13"/>
  <c r="CD78" i="13"/>
  <c r="BJ79" i="13"/>
  <c r="BT79" i="13"/>
  <c r="BY79" i="13"/>
  <c r="CD79" i="13"/>
  <c r="BH83" i="13"/>
  <c r="BI83" i="13"/>
  <c r="BJ83" i="13"/>
  <c r="BK83" i="13"/>
  <c r="BL83" i="13"/>
  <c r="BM83" i="13"/>
  <c r="BC84" i="13"/>
  <c r="BD84" i="13"/>
  <c r="BE84" i="13"/>
  <c r="BG84" i="13"/>
  <c r="BH84" i="13"/>
  <c r="BI84" i="13"/>
  <c r="BJ84" i="13"/>
  <c r="BK84" i="13"/>
  <c r="BL84" i="13"/>
  <c r="BM84" i="13"/>
  <c r="BC89" i="13"/>
  <c r="BD89" i="13"/>
  <c r="BH89" i="13"/>
  <c r="BI89" i="13"/>
  <c r="BK89" i="13"/>
  <c r="BL89" i="13"/>
  <c r="BM89" i="13"/>
  <c r="BN89" i="13"/>
  <c r="BO89" i="13"/>
  <c r="BQ89" i="13"/>
  <c r="BR89" i="13"/>
  <c r="BS89" i="13"/>
  <c r="BU89" i="13"/>
  <c r="BV89" i="13"/>
  <c r="BW89" i="13"/>
  <c r="BX89" i="13"/>
  <c r="BY89" i="13"/>
  <c r="BZ89" i="13"/>
  <c r="CA89" i="13"/>
  <c r="CB89" i="13"/>
  <c r="CC89" i="13"/>
  <c r="CD89" i="13"/>
  <c r="BB90" i="13"/>
  <c r="BC90" i="13"/>
  <c r="BD90" i="13"/>
  <c r="BG90" i="13"/>
  <c r="BH90" i="13"/>
  <c r="BI90" i="13"/>
  <c r="BJ90" i="13"/>
  <c r="BK90" i="13"/>
  <c r="BL90" i="13"/>
  <c r="BM90" i="13"/>
  <c r="BP90" i="13"/>
  <c r="BQ90" i="13"/>
  <c r="BR90" i="13"/>
  <c r="BS90" i="13"/>
  <c r="BT90" i="13"/>
  <c r="BU90" i="13"/>
  <c r="BV90" i="13"/>
  <c r="BW90" i="13"/>
  <c r="BX90" i="13"/>
  <c r="BY90" i="13"/>
  <c r="BZ90" i="13"/>
  <c r="CA90" i="13"/>
  <c r="CB90" i="13"/>
  <c r="CC90" i="13"/>
  <c r="CD90" i="13"/>
  <c r="BB91" i="13"/>
  <c r="BC91" i="13"/>
  <c r="BD91" i="13"/>
  <c r="BG91" i="13"/>
  <c r="BH91" i="13"/>
  <c r="BI91" i="13"/>
  <c r="BJ91" i="13"/>
  <c r="BK91" i="13"/>
  <c r="BL91" i="13"/>
  <c r="BM91" i="13"/>
  <c r="BN91" i="13"/>
  <c r="BO91" i="13"/>
  <c r="BP91" i="13"/>
  <c r="BQ91" i="13"/>
  <c r="BR91" i="13"/>
  <c r="BS91" i="13"/>
  <c r="BT91" i="13"/>
  <c r="BU91" i="13"/>
  <c r="BV91" i="13"/>
  <c r="BW91" i="13"/>
  <c r="BX91" i="13"/>
  <c r="BY91" i="13"/>
  <c r="BZ91" i="13"/>
  <c r="CA91" i="13"/>
  <c r="CB91" i="13"/>
  <c r="CC91" i="13"/>
  <c r="CD91" i="13"/>
  <c r="BN94" i="13"/>
  <c r="BO94" i="13"/>
  <c r="BP94" i="13"/>
  <c r="BQ94" i="13"/>
  <c r="BR94" i="13"/>
  <c r="BS94" i="13"/>
  <c r="BT94" i="13"/>
  <c r="BU94" i="13"/>
  <c r="BV94" i="13"/>
  <c r="BW94" i="13"/>
  <c r="BX94" i="13"/>
  <c r="BY94" i="13"/>
  <c r="BZ94" i="13"/>
  <c r="CA94" i="13"/>
  <c r="CB94" i="13"/>
  <c r="CC94" i="13"/>
  <c r="CD94" i="13"/>
  <c r="BP96" i="13"/>
  <c r="BQ96" i="13"/>
  <c r="BR96" i="13"/>
  <c r="BS96" i="13"/>
  <c r="BT96" i="13"/>
  <c r="BU96" i="13"/>
  <c r="BV96" i="13"/>
  <c r="BW96" i="13"/>
  <c r="BX96" i="13"/>
  <c r="BY96" i="13"/>
  <c r="BZ96" i="13"/>
  <c r="CA96" i="13"/>
  <c r="CB96" i="13"/>
  <c r="CC96" i="13"/>
  <c r="CD96" i="13"/>
  <c r="BP97" i="13"/>
  <c r="BQ97" i="13"/>
  <c r="BR97" i="13"/>
  <c r="BS97" i="13"/>
  <c r="BT97" i="13"/>
  <c r="BU97" i="13"/>
  <c r="BV97" i="13"/>
  <c r="BW97" i="13"/>
  <c r="BX97" i="13"/>
  <c r="BY97" i="13"/>
  <c r="BZ97" i="13"/>
  <c r="CA97" i="13"/>
  <c r="CB97" i="13"/>
  <c r="CC97" i="13"/>
  <c r="CD97" i="13"/>
  <c r="BP98" i="13"/>
  <c r="BQ98" i="13"/>
  <c r="BR98" i="13"/>
  <c r="BS98" i="13"/>
  <c r="BT98" i="13"/>
  <c r="BU98" i="13"/>
  <c r="BV98" i="13"/>
  <c r="BW98" i="13"/>
  <c r="BX98" i="13"/>
  <c r="BY98" i="13"/>
  <c r="BZ98" i="13"/>
  <c r="CA98" i="13"/>
  <c r="CB98" i="13"/>
  <c r="CC98" i="13"/>
  <c r="CD98" i="13"/>
  <c r="BN100" i="13"/>
  <c r="BO100" i="13"/>
  <c r="BP100" i="13"/>
  <c r="BQ100" i="13"/>
  <c r="BR100" i="13"/>
  <c r="BS100" i="13"/>
  <c r="BT100" i="13"/>
  <c r="BU100" i="13"/>
  <c r="BV100" i="13"/>
  <c r="BW100" i="13"/>
  <c r="BX100" i="13"/>
  <c r="BY100" i="13"/>
  <c r="BZ100" i="13"/>
  <c r="CA100" i="13"/>
  <c r="CB100" i="13"/>
  <c r="CC100" i="13"/>
  <c r="CD100" i="13"/>
  <c r="BB104" i="13"/>
  <c r="BC104" i="13"/>
  <c r="BD104" i="13"/>
  <c r="BG104" i="13"/>
  <c r="BH104" i="13"/>
  <c r="BI104" i="13"/>
  <c r="BJ104" i="13"/>
  <c r="BK104" i="13"/>
  <c r="BL104" i="13"/>
  <c r="BM104" i="13"/>
  <c r="BN104" i="13"/>
  <c r="BO104" i="13"/>
  <c r="BP104" i="13"/>
  <c r="BQ104" i="13"/>
  <c r="BR104" i="13"/>
  <c r="BS104" i="13"/>
  <c r="BT104" i="13"/>
  <c r="BU104" i="13"/>
  <c r="BV104" i="13"/>
  <c r="BW104" i="13"/>
  <c r="BX104" i="13"/>
  <c r="BY104" i="13"/>
  <c r="BZ104" i="13"/>
  <c r="CA104" i="13"/>
  <c r="CB104" i="13"/>
  <c r="CC104" i="13"/>
  <c r="CD104" i="13"/>
  <c r="BB105" i="13"/>
  <c r="BC105" i="13"/>
  <c r="BD105" i="13"/>
  <c r="BG105" i="13"/>
  <c r="BH105" i="13"/>
  <c r="BI105" i="13"/>
  <c r="BJ105" i="13"/>
  <c r="BK105" i="13"/>
  <c r="BL105" i="13"/>
  <c r="BM105" i="13"/>
  <c r="BN105" i="13"/>
  <c r="BO105" i="13"/>
  <c r="BP105" i="13"/>
  <c r="BQ105" i="13"/>
  <c r="BR105" i="13"/>
  <c r="BS105" i="13"/>
  <c r="BT105" i="13"/>
  <c r="BU105" i="13"/>
  <c r="BV105" i="13"/>
  <c r="BW105" i="13"/>
  <c r="BX105" i="13"/>
  <c r="BY105" i="13"/>
  <c r="BZ105" i="13"/>
  <c r="CA105" i="13"/>
  <c r="CB105" i="13"/>
  <c r="CC105" i="13"/>
  <c r="CD105" i="13"/>
  <c r="BF110" i="13"/>
  <c r="BG110" i="13"/>
  <c r="BJ110" i="13"/>
  <c r="BB114" i="13"/>
  <c r="BC114" i="13"/>
  <c r="BD114" i="13"/>
  <c r="BF114" i="13"/>
  <c r="BG114" i="13"/>
  <c r="BH114" i="13"/>
  <c r="BI114" i="13"/>
  <c r="BJ114" i="13"/>
  <c r="BK114" i="13"/>
  <c r="BL114" i="13"/>
  <c r="BM114" i="13"/>
  <c r="BN114" i="13"/>
  <c r="BO114" i="13"/>
  <c r="BP114" i="13"/>
  <c r="BQ114" i="13"/>
  <c r="BR114" i="13"/>
  <c r="BS114" i="13"/>
  <c r="BT114" i="13"/>
  <c r="BU114" i="13"/>
  <c r="BV114" i="13"/>
  <c r="BW114" i="13"/>
  <c r="BX114" i="13"/>
  <c r="BY114" i="13"/>
  <c r="BZ114" i="13"/>
  <c r="CA114" i="13"/>
  <c r="CB114" i="13"/>
  <c r="CC114" i="13"/>
  <c r="CD114" i="13"/>
  <c r="BB115" i="13"/>
  <c r="BC115" i="13"/>
  <c r="BD115" i="13"/>
  <c r="BF115" i="13"/>
  <c r="BG115" i="13"/>
  <c r="BH115" i="13"/>
  <c r="BI115" i="13"/>
  <c r="BJ115" i="13"/>
  <c r="BK115" i="13"/>
  <c r="BL115" i="13"/>
  <c r="BM115" i="13"/>
  <c r="BN115" i="13"/>
  <c r="BO115" i="13"/>
  <c r="BP115" i="13"/>
  <c r="BQ115" i="13"/>
  <c r="BR115" i="13"/>
  <c r="BS115" i="13"/>
  <c r="BT115" i="13"/>
  <c r="BU115" i="13"/>
  <c r="BV115" i="13"/>
  <c r="BW115" i="13"/>
  <c r="BX115" i="13"/>
  <c r="BY115" i="13"/>
  <c r="BZ115" i="13"/>
  <c r="CA115" i="13"/>
  <c r="CB115" i="13"/>
  <c r="CC115" i="13"/>
  <c r="CD115" i="13"/>
  <c r="BN124" i="13"/>
  <c r="BO124" i="13"/>
  <c r="BP124" i="13"/>
  <c r="BQ124" i="13"/>
  <c r="BR124" i="13"/>
  <c r="BS124" i="13"/>
  <c r="BT124" i="13"/>
  <c r="BU124" i="13"/>
  <c r="BV124" i="13"/>
  <c r="BW124" i="13"/>
  <c r="BX124" i="13"/>
  <c r="BY124" i="13"/>
  <c r="BZ124" i="13"/>
  <c r="CA124" i="13"/>
  <c r="CB124" i="13"/>
  <c r="CC124" i="13"/>
  <c r="CD124" i="13"/>
  <c r="BP125" i="13"/>
  <c r="BQ125" i="13"/>
  <c r="BR125" i="13"/>
  <c r="BS125" i="13"/>
  <c r="BT125" i="13"/>
  <c r="BU125" i="13"/>
  <c r="BV125" i="13"/>
  <c r="BW125" i="13"/>
  <c r="BX125" i="13"/>
  <c r="BY125" i="13"/>
  <c r="BZ125" i="13"/>
  <c r="CA125" i="13"/>
  <c r="CB125" i="13"/>
  <c r="CC125" i="13"/>
  <c r="CD125" i="13"/>
  <c r="BP126" i="13"/>
  <c r="BQ126" i="13"/>
  <c r="BR126" i="13"/>
  <c r="BS126" i="13"/>
  <c r="BT126" i="13"/>
  <c r="BU126" i="13"/>
  <c r="BV126" i="13"/>
  <c r="BW126" i="13"/>
  <c r="BX126" i="13"/>
  <c r="BY126" i="13"/>
  <c r="BZ126" i="13"/>
  <c r="CA126" i="13"/>
  <c r="CB126" i="13"/>
  <c r="CC126" i="13"/>
  <c r="CD126" i="13"/>
  <c r="BN127" i="13"/>
  <c r="BO127" i="13"/>
  <c r="BP127" i="13"/>
  <c r="BQ127" i="13"/>
  <c r="BR127" i="13"/>
  <c r="BS127" i="13"/>
  <c r="BT127" i="13"/>
  <c r="BU127" i="13"/>
  <c r="BV127" i="13"/>
  <c r="BW127" i="13"/>
  <c r="BX127" i="13"/>
  <c r="BY127" i="13"/>
  <c r="BZ127" i="13"/>
  <c r="CA127" i="13"/>
  <c r="CB127" i="13"/>
  <c r="CC127" i="13"/>
  <c r="CD127" i="13"/>
  <c r="BP129" i="13"/>
  <c r="BQ129" i="13"/>
  <c r="BR129" i="13"/>
  <c r="BS129" i="13"/>
  <c r="BT129" i="13"/>
  <c r="BU129" i="13"/>
  <c r="BV129" i="13"/>
  <c r="BW129" i="13"/>
  <c r="BX129" i="13"/>
  <c r="BY129" i="13"/>
  <c r="BZ129" i="13"/>
  <c r="CA129" i="13"/>
  <c r="CB129" i="13"/>
  <c r="CC129" i="13"/>
  <c r="CD129" i="13"/>
  <c r="BN130" i="13"/>
  <c r="BO130" i="13"/>
  <c r="BP130" i="13"/>
  <c r="BQ130" i="13"/>
  <c r="BR130" i="13"/>
  <c r="BS130" i="13"/>
  <c r="BT130" i="13"/>
  <c r="BU130" i="13"/>
  <c r="BV130" i="13"/>
  <c r="BW130" i="13"/>
  <c r="BX130" i="13"/>
  <c r="BY130" i="13"/>
  <c r="BZ130" i="13"/>
  <c r="CA130" i="13"/>
  <c r="CB130" i="13"/>
  <c r="CC130" i="13"/>
  <c r="CD130" i="13"/>
  <c r="BN131" i="13"/>
  <c r="BO131" i="13"/>
  <c r="BP131" i="13"/>
  <c r="BQ131" i="13"/>
  <c r="BR131" i="13"/>
  <c r="BS131" i="13"/>
  <c r="BT131" i="13"/>
  <c r="BU131" i="13"/>
  <c r="BV131" i="13"/>
  <c r="BW131" i="13"/>
  <c r="BX131" i="13"/>
  <c r="BY131" i="13"/>
  <c r="BZ131" i="13"/>
  <c r="CA131" i="13"/>
  <c r="CB131" i="13"/>
  <c r="CC131" i="13"/>
  <c r="CD131" i="13"/>
  <c r="BH134" i="13"/>
  <c r="BI134" i="13"/>
  <c r="BJ134" i="13"/>
  <c r="BK134" i="13"/>
  <c r="BL134" i="13"/>
  <c r="BM134" i="13"/>
  <c r="BP134" i="13"/>
  <c r="BQ134" i="13"/>
  <c r="BR134" i="13"/>
  <c r="BS134" i="13"/>
  <c r="BT134" i="13"/>
  <c r="BU134" i="13"/>
  <c r="BV134" i="13"/>
  <c r="BW134" i="13"/>
  <c r="BX134" i="13"/>
  <c r="BY134" i="13"/>
  <c r="BZ134" i="13"/>
  <c r="CA134" i="13"/>
  <c r="CB134" i="13"/>
  <c r="CC134" i="13"/>
  <c r="CD134" i="13"/>
  <c r="BH135" i="13"/>
  <c r="BI135" i="13"/>
  <c r="BJ135" i="13"/>
  <c r="BK135" i="13"/>
  <c r="BL135" i="13"/>
  <c r="BM135" i="13"/>
  <c r="BN135" i="13"/>
  <c r="BO135" i="13"/>
  <c r="BP135" i="13"/>
  <c r="BQ135" i="13"/>
  <c r="BR135" i="13"/>
  <c r="BS135" i="13"/>
  <c r="BT135" i="13"/>
  <c r="BU135" i="13"/>
  <c r="BV135" i="13"/>
  <c r="BW135" i="13"/>
  <c r="BX135" i="13"/>
  <c r="BY135" i="13"/>
  <c r="BZ135" i="13"/>
  <c r="CA135" i="13"/>
  <c r="CB135" i="13"/>
  <c r="CC135" i="13"/>
  <c r="CD135" i="13"/>
  <c r="BH137" i="13"/>
  <c r="BI137" i="13"/>
  <c r="BJ137" i="13"/>
  <c r="BK137" i="13"/>
  <c r="BL137" i="13"/>
  <c r="BM137" i="13"/>
  <c r="BP137" i="13"/>
  <c r="BQ137" i="13"/>
  <c r="BR137" i="13"/>
  <c r="BS137" i="13"/>
  <c r="BT137" i="13"/>
  <c r="BU137" i="13"/>
  <c r="BV137" i="13"/>
  <c r="BW137" i="13"/>
  <c r="BX137" i="13"/>
  <c r="BY137" i="13"/>
  <c r="BZ137" i="13"/>
  <c r="CA137" i="13"/>
  <c r="CB137" i="13"/>
  <c r="CC137" i="13"/>
  <c r="CD137" i="13"/>
  <c r="BP144" i="13"/>
  <c r="BQ144" i="13"/>
  <c r="BR144" i="13"/>
  <c r="BS144" i="13"/>
  <c r="BT144" i="13"/>
  <c r="BU144" i="13"/>
  <c r="BV144" i="13"/>
  <c r="BW144" i="13"/>
  <c r="BX144" i="13"/>
  <c r="BY144" i="13"/>
  <c r="BZ144" i="13"/>
  <c r="CA144" i="13"/>
  <c r="CB144" i="13"/>
  <c r="CC144" i="13"/>
  <c r="CD144" i="13"/>
  <c r="BP150" i="13"/>
  <c r="BQ150" i="13"/>
  <c r="BR150" i="13"/>
  <c r="BS150" i="13"/>
  <c r="BT150" i="13"/>
  <c r="BU150" i="13"/>
  <c r="BV150" i="13"/>
  <c r="BW150" i="13"/>
  <c r="BX150" i="13"/>
  <c r="BY150" i="13"/>
  <c r="BZ150" i="13"/>
  <c r="CA150" i="13"/>
  <c r="CB150" i="13"/>
  <c r="CC150" i="13"/>
  <c r="CD150" i="13"/>
  <c r="BN153" i="13"/>
  <c r="BO153" i="13"/>
  <c r="BP153" i="13"/>
  <c r="BQ153" i="13"/>
  <c r="BR153" i="13"/>
  <c r="BS153" i="13"/>
  <c r="BT153" i="13"/>
  <c r="BU153" i="13"/>
  <c r="BV153" i="13"/>
  <c r="BW153" i="13"/>
  <c r="BX153" i="13"/>
  <c r="BY153" i="13"/>
  <c r="BZ153" i="13"/>
  <c r="CA153" i="13"/>
  <c r="CB153" i="13"/>
  <c r="CC153" i="13"/>
  <c r="CD153" i="13"/>
  <c r="BN159" i="13"/>
  <c r="BO159" i="13"/>
  <c r="BP159" i="13"/>
  <c r="BQ159" i="13"/>
  <c r="BR159" i="13"/>
  <c r="BS159" i="13"/>
  <c r="BT159" i="13"/>
  <c r="BU159" i="13"/>
  <c r="BV159" i="13"/>
  <c r="BW159" i="13"/>
  <c r="BX159" i="13"/>
  <c r="BY159" i="13"/>
  <c r="BZ159" i="13"/>
  <c r="CA159" i="13"/>
  <c r="CB159" i="13"/>
  <c r="CC159" i="13"/>
  <c r="CD159" i="13"/>
  <c r="BN161" i="13"/>
  <c r="BO161" i="13"/>
  <c r="BP161" i="13"/>
  <c r="BQ161" i="13"/>
  <c r="BR161" i="13"/>
  <c r="BS161" i="13"/>
  <c r="BT161" i="13"/>
  <c r="BU161" i="13"/>
  <c r="BV161" i="13"/>
  <c r="BW161" i="13"/>
  <c r="BX161" i="13"/>
  <c r="BY161" i="13"/>
  <c r="BZ161" i="13"/>
  <c r="CA161" i="13"/>
  <c r="CB161" i="13"/>
  <c r="CC161" i="13"/>
  <c r="CD161" i="13"/>
  <c r="BN177" i="13"/>
  <c r="BO177" i="13"/>
  <c r="BP177" i="13"/>
  <c r="BQ177" i="13"/>
  <c r="BR177" i="13"/>
  <c r="BS177" i="13"/>
  <c r="BT177" i="13"/>
  <c r="BU177" i="13"/>
  <c r="BV177" i="13"/>
  <c r="BW177" i="13"/>
  <c r="BX177" i="13"/>
  <c r="BY177" i="13"/>
  <c r="BZ177" i="13"/>
  <c r="CA177" i="13"/>
  <c r="CB177" i="13"/>
  <c r="CC177" i="13"/>
  <c r="CD177" i="13"/>
  <c r="BP182" i="13"/>
  <c r="BQ182" i="13"/>
  <c r="BR182" i="13"/>
  <c r="BS182" i="13"/>
  <c r="BT182" i="13"/>
  <c r="BU182" i="13"/>
  <c r="BV182" i="13"/>
  <c r="BW182" i="13"/>
  <c r="BX182" i="13"/>
  <c r="BY182" i="13"/>
  <c r="BZ182" i="13"/>
  <c r="CA182" i="13"/>
  <c r="CB182" i="13"/>
  <c r="CC182" i="13"/>
  <c r="CD182" i="13"/>
  <c r="BN183" i="13"/>
  <c r="BO183" i="13"/>
  <c r="BP183" i="13"/>
  <c r="BQ183" i="13"/>
  <c r="BR183" i="13"/>
  <c r="BS183" i="13"/>
  <c r="BT183" i="13"/>
  <c r="BU183" i="13"/>
  <c r="BV183" i="13"/>
  <c r="BW183" i="13"/>
  <c r="BX183" i="13"/>
  <c r="BY183" i="13"/>
  <c r="BZ183" i="13"/>
  <c r="CA183" i="13"/>
  <c r="CB183" i="13"/>
  <c r="CC183" i="13"/>
  <c r="CD183" i="13"/>
  <c r="BN185" i="13"/>
  <c r="BO185" i="13"/>
  <c r="BP185" i="13"/>
  <c r="BQ185" i="13"/>
  <c r="BR185" i="13"/>
  <c r="BS185" i="13"/>
  <c r="BT185" i="13"/>
  <c r="BU185" i="13"/>
  <c r="BV185" i="13"/>
  <c r="BW185" i="13"/>
  <c r="BX185" i="13"/>
  <c r="BY185" i="13"/>
  <c r="BZ185" i="13"/>
  <c r="CA185" i="13"/>
  <c r="CB185" i="13"/>
  <c r="CC185" i="13"/>
  <c r="CD185" i="13"/>
  <c r="BJ104" i="10"/>
  <c r="BT104" i="10"/>
  <c r="BY104" i="10"/>
  <c r="CD104" i="10"/>
  <c r="BT10" i="12"/>
  <c r="BY10" i="12"/>
  <c r="CD10" i="12"/>
  <c r="BT12" i="12"/>
  <c r="BY12" i="12"/>
  <c r="CD12" i="12"/>
  <c r="BT14" i="12"/>
  <c r="BY14" i="12"/>
  <c r="CD14" i="12"/>
  <c r="BT15" i="12"/>
  <c r="BY15" i="12"/>
  <c r="CD15" i="12"/>
  <c r="BO16" i="12"/>
  <c r="BT16" i="12"/>
  <c r="BY16" i="12"/>
  <c r="CD16" i="12"/>
  <c r="BN24" i="12"/>
  <c r="BO24" i="12"/>
  <c r="BT24" i="12"/>
  <c r="BY24" i="12"/>
  <c r="CD24" i="12"/>
  <c r="BT25" i="12"/>
  <c r="BY25" i="12"/>
  <c r="CD25" i="12"/>
  <c r="BN26" i="12"/>
  <c r="BO26" i="12"/>
  <c r="BT26" i="12"/>
  <c r="BY26" i="12"/>
  <c r="CD26" i="12"/>
  <c r="BN27" i="12"/>
  <c r="BN29" i="12"/>
  <c r="BO29" i="12"/>
  <c r="BT29" i="12"/>
  <c r="BY29" i="12"/>
  <c r="CD29" i="12"/>
  <c r="BN30" i="12"/>
  <c r="BO30" i="12"/>
  <c r="BT30" i="12"/>
  <c r="BY30" i="12"/>
  <c r="CD30" i="12"/>
  <c r="BN37" i="12"/>
  <c r="BO37" i="12"/>
  <c r="BT37" i="12"/>
  <c r="BY37" i="12"/>
  <c r="CD37" i="12"/>
  <c r="BT39" i="12"/>
  <c r="BY39" i="12"/>
  <c r="CD39" i="12"/>
  <c r="BT40" i="12"/>
  <c r="BY40" i="12"/>
  <c r="CD40" i="12"/>
  <c r="BT41" i="12"/>
  <c r="BY41" i="12"/>
  <c r="CD41" i="12"/>
  <c r="BN42" i="12"/>
  <c r="BO42" i="12"/>
  <c r="BY42" i="12"/>
  <c r="CD42" i="12"/>
  <c r="BT43" i="12"/>
  <c r="BY43" i="12"/>
  <c r="CD43" i="12"/>
  <c r="BT46" i="12"/>
  <c r="BY46" i="12"/>
  <c r="CD46" i="12"/>
  <c r="BT48" i="12"/>
  <c r="BY48" i="12"/>
  <c r="CD48" i="12"/>
  <c r="BT49" i="12"/>
  <c r="BY49" i="12"/>
  <c r="CD49" i="12"/>
  <c r="BT51" i="12"/>
  <c r="BY51" i="12"/>
  <c r="CD51" i="12"/>
  <c r="BT53" i="12"/>
  <c r="BY53" i="12"/>
  <c r="CD53" i="12"/>
  <c r="BT57" i="12"/>
  <c r="BY57" i="12"/>
  <c r="CD57" i="12"/>
  <c r="BT60" i="12"/>
  <c r="BY60" i="12"/>
  <c r="CD60" i="12"/>
  <c r="BO66" i="12"/>
  <c r="BT66" i="12"/>
  <c r="BY66" i="12"/>
  <c r="CD66" i="12"/>
  <c r="BT75" i="12"/>
  <c r="BY75" i="12"/>
  <c r="CD75" i="12"/>
  <c r="BT76" i="12"/>
  <c r="BY76" i="12"/>
  <c r="CD76" i="12"/>
  <c r="BT80" i="12"/>
  <c r="BY80" i="12"/>
  <c r="CD80" i="12"/>
  <c r="BO81" i="12"/>
  <c r="BT81" i="12"/>
  <c r="BY81" i="12"/>
  <c r="CD81" i="12"/>
  <c r="BO82" i="12"/>
  <c r="BT82" i="12"/>
  <c r="BY82" i="12"/>
  <c r="CD82" i="12"/>
  <c r="CG87" i="12"/>
  <c r="BT88" i="12"/>
  <c r="BY88" i="12"/>
  <c r="CD88" i="12"/>
  <c r="BT90" i="12"/>
  <c r="BY90" i="12"/>
  <c r="CD90" i="12"/>
  <c r="BT98" i="12"/>
  <c r="BY98" i="12"/>
  <c r="CD98" i="12"/>
  <c r="BO100" i="12"/>
  <c r="BT100" i="12"/>
  <c r="BY100" i="12"/>
  <c r="CD100" i="12"/>
  <c r="BT110" i="12"/>
  <c r="BY110" i="12"/>
  <c r="CD110" i="12"/>
  <c r="BT114" i="12"/>
  <c r="BY114" i="12"/>
  <c r="CD114" i="12"/>
  <c r="BO116" i="12"/>
  <c r="BT116" i="12"/>
  <c r="BY116" i="12"/>
  <c r="CD116" i="12"/>
  <c r="BT118" i="12"/>
  <c r="BY118" i="12"/>
  <c r="CD118" i="12"/>
  <c r="BJ120" i="12"/>
  <c r="BO120" i="12"/>
  <c r="BJ127" i="12"/>
  <c r="BO127" i="12"/>
  <c r="BT127" i="12"/>
  <c r="BY127" i="12"/>
  <c r="CD127" i="12"/>
  <c r="BJ130" i="12"/>
  <c r="BO130" i="12"/>
  <c r="BT130" i="12"/>
  <c r="BY130" i="12"/>
  <c r="CD130" i="12"/>
  <c r="BT131" i="12"/>
  <c r="BY131" i="12"/>
  <c r="CD131" i="12"/>
  <c r="BN193" i="12"/>
  <c r="BN198" i="12"/>
  <c r="BP11" i="7"/>
  <c r="BQ11" i="7"/>
  <c r="BR11" i="7"/>
  <c r="BS11" i="7"/>
  <c r="BT11" i="7"/>
  <c r="BU11" i="7"/>
  <c r="BV11" i="7"/>
  <c r="BW11" i="7"/>
  <c r="BX11" i="7"/>
  <c r="BY11" i="7"/>
  <c r="BZ11" i="7"/>
  <c r="CA11" i="7"/>
  <c r="CB11" i="7"/>
  <c r="CC11" i="7"/>
  <c r="CD11" i="7"/>
  <c r="BP12" i="7"/>
  <c r="BQ12" i="7"/>
  <c r="BR12" i="7"/>
  <c r="BS12" i="7"/>
  <c r="BT12" i="7"/>
  <c r="BU12" i="7"/>
  <c r="BV12" i="7"/>
  <c r="BW12" i="7"/>
  <c r="BX12" i="7"/>
  <c r="BY12" i="7"/>
  <c r="BZ12" i="7"/>
  <c r="CA12" i="7"/>
  <c r="CB12" i="7"/>
  <c r="CC12" i="7"/>
  <c r="CD12" i="7"/>
  <c r="BP13" i="7"/>
  <c r="BQ13" i="7"/>
  <c r="BR13" i="7"/>
  <c r="BS13" i="7"/>
  <c r="BT13" i="7"/>
  <c r="BU13" i="7"/>
  <c r="BV13" i="7"/>
  <c r="BW13" i="7"/>
  <c r="BX13" i="7"/>
  <c r="BY13" i="7"/>
  <c r="BZ13" i="7"/>
  <c r="CA13" i="7"/>
  <c r="CB13" i="7"/>
  <c r="CC13" i="7"/>
  <c r="CD13" i="7"/>
  <c r="CI48" i="7"/>
  <c r="CJ48" i="7"/>
  <c r="CK48" i="7"/>
  <c r="CI49" i="7"/>
  <c r="CJ49" i="7"/>
  <c r="CK49" i="7"/>
  <c r="CI50" i="7"/>
  <c r="CJ50" i="7"/>
  <c r="CK50" i="7"/>
  <c r="BP522" i="7"/>
  <c r="BQ522" i="7"/>
  <c r="BR522" i="7"/>
  <c r="BS522" i="7"/>
  <c r="BT522" i="7"/>
  <c r="BU522" i="7"/>
  <c r="BV522" i="7"/>
  <c r="BW522" i="7"/>
  <c r="BX522" i="7"/>
  <c r="BY522" i="7"/>
  <c r="BZ522" i="7"/>
  <c r="CA522" i="7"/>
  <c r="CB522" i="7"/>
  <c r="CC522" i="7"/>
  <c r="CD522" i="7"/>
  <c r="BP526" i="7"/>
  <c r="BQ526" i="7"/>
  <c r="BR526" i="7"/>
  <c r="BS526" i="7"/>
  <c r="BT526" i="7"/>
  <c r="BU526" i="7"/>
  <c r="BV526" i="7"/>
  <c r="BW526" i="7"/>
  <c r="BX526" i="7"/>
  <c r="BY526" i="7"/>
  <c r="BZ526" i="7"/>
  <c r="CA526" i="7"/>
  <c r="CB526" i="7"/>
  <c r="CC526" i="7"/>
  <c r="CD526" i="7"/>
  <c r="BP530" i="7"/>
  <c r="BQ530" i="7"/>
  <c r="BR530" i="7"/>
  <c r="BS530" i="7"/>
  <c r="BT530" i="7"/>
  <c r="BU530" i="7"/>
  <c r="BV530" i="7"/>
  <c r="BW530" i="7"/>
  <c r="BX530" i="7"/>
  <c r="BY530" i="7"/>
  <c r="BZ530" i="7"/>
  <c r="CA530" i="7"/>
  <c r="CB530" i="7"/>
  <c r="CC530" i="7"/>
  <c r="CD530" i="7"/>
  <c r="BP532" i="7"/>
  <c r="BQ532" i="7"/>
  <c r="BR532" i="7"/>
  <c r="BS532" i="7"/>
  <c r="BT532" i="7"/>
  <c r="BU532" i="7"/>
  <c r="BV532" i="7"/>
  <c r="BW532" i="7"/>
  <c r="BX532" i="7"/>
  <c r="BY532" i="7"/>
  <c r="BZ532" i="7"/>
  <c r="CA532" i="7"/>
  <c r="CB532" i="7"/>
  <c r="CC532" i="7"/>
  <c r="CD532" i="7"/>
  <c r="BP533" i="7"/>
  <c r="BQ533" i="7"/>
  <c r="BR533" i="7"/>
  <c r="BS533" i="7"/>
  <c r="BT533" i="7"/>
  <c r="BU533" i="7"/>
  <c r="BV533" i="7"/>
  <c r="BW533" i="7"/>
  <c r="BX533" i="7"/>
  <c r="BY533" i="7"/>
  <c r="BZ533" i="7"/>
  <c r="CA533" i="7"/>
  <c r="CB533" i="7"/>
  <c r="CC533" i="7"/>
  <c r="CD533" i="7"/>
  <c r="BP536" i="7"/>
  <c r="BQ536" i="7"/>
  <c r="BR536" i="7"/>
  <c r="BS536" i="7"/>
  <c r="BT536" i="7"/>
  <c r="BU536" i="7"/>
  <c r="BV536" i="7"/>
  <c r="BW536" i="7"/>
  <c r="BX536" i="7"/>
  <c r="BY536" i="7"/>
  <c r="BZ536" i="7"/>
  <c r="CA536" i="7"/>
  <c r="CB536" i="7"/>
  <c r="CC536" i="7"/>
  <c r="CD536" i="7"/>
  <c r="BP538" i="7"/>
  <c r="BQ538" i="7"/>
  <c r="BR538" i="7"/>
  <c r="BS538" i="7"/>
  <c r="BT538" i="7"/>
  <c r="BU538" i="7"/>
  <c r="BV538" i="7"/>
  <c r="BW538" i="7"/>
  <c r="BX538" i="7"/>
  <c r="BY538" i="7"/>
  <c r="BZ538" i="7"/>
  <c r="CA538" i="7"/>
  <c r="CB538" i="7"/>
  <c r="CC538" i="7"/>
  <c r="CD538" i="7"/>
  <c r="BP540" i="7"/>
  <c r="BQ540" i="7"/>
  <c r="BR540" i="7"/>
  <c r="BS540" i="7"/>
  <c r="BT540" i="7"/>
  <c r="BU540" i="7"/>
  <c r="BV540" i="7"/>
  <c r="BW540" i="7"/>
  <c r="BX540" i="7"/>
  <c r="BY540" i="7"/>
  <c r="BZ540" i="7"/>
  <c r="CA540" i="7"/>
  <c r="CB540" i="7"/>
  <c r="CC540" i="7"/>
  <c r="CD540" i="7"/>
  <c r="BP552" i="7"/>
  <c r="BQ552" i="7"/>
  <c r="BR552" i="7"/>
  <c r="BS552" i="7"/>
  <c r="BT552" i="7"/>
  <c r="BU552" i="7"/>
  <c r="BV552" i="7"/>
  <c r="BW552" i="7"/>
  <c r="BX552" i="7"/>
  <c r="BY552" i="7"/>
  <c r="BZ552" i="7"/>
  <c r="CA552" i="7"/>
  <c r="CB552" i="7"/>
  <c r="CC552" i="7"/>
  <c r="CD552" i="7"/>
  <c r="BP557" i="7"/>
  <c r="BQ557" i="7"/>
  <c r="BR557" i="7"/>
  <c r="BS557" i="7"/>
  <c r="BT557" i="7"/>
  <c r="BU557" i="7"/>
  <c r="BV557" i="7"/>
  <c r="BW557" i="7"/>
  <c r="BX557" i="7"/>
  <c r="BY557" i="7"/>
  <c r="BZ557" i="7"/>
  <c r="CA557" i="7"/>
  <c r="CB557" i="7"/>
  <c r="CC557" i="7"/>
  <c r="CD557" i="7"/>
  <c r="BP565" i="7"/>
  <c r="BQ565" i="7"/>
  <c r="BR565" i="7"/>
  <c r="BS565" i="7"/>
  <c r="BT565" i="7"/>
  <c r="BU565" i="7"/>
  <c r="BV565" i="7"/>
  <c r="BW565" i="7"/>
  <c r="BX565" i="7"/>
  <c r="BY565" i="7"/>
  <c r="BZ565" i="7"/>
  <c r="CA565" i="7"/>
  <c r="CB565" i="7"/>
  <c r="CC565" i="7"/>
  <c r="CD565" i="7"/>
  <c r="BP566" i="7"/>
  <c r="BQ566" i="7"/>
  <c r="BR566" i="7"/>
  <c r="BS566" i="7"/>
  <c r="BT566" i="7"/>
  <c r="BU566" i="7"/>
  <c r="BV566" i="7"/>
  <c r="BW566" i="7"/>
  <c r="BX566" i="7"/>
  <c r="BY566" i="7"/>
  <c r="BZ566" i="7"/>
  <c r="CA566" i="7"/>
  <c r="CB566" i="7"/>
  <c r="CC566" i="7"/>
  <c r="CD566" i="7"/>
  <c r="BP567" i="7"/>
  <c r="BQ567" i="7"/>
  <c r="BR567" i="7"/>
  <c r="BS567" i="7"/>
  <c r="BT567" i="7"/>
  <c r="BU567" i="7"/>
  <c r="BV567" i="7"/>
  <c r="BW567" i="7"/>
  <c r="BX567" i="7"/>
  <c r="BY567" i="7"/>
  <c r="BZ567" i="7"/>
  <c r="CA567" i="7"/>
  <c r="CB567" i="7"/>
  <c r="CC567" i="7"/>
  <c r="CD567" i="7"/>
  <c r="BP568" i="7"/>
  <c r="BQ568" i="7"/>
  <c r="BR568" i="7"/>
  <c r="BS568" i="7"/>
  <c r="BT568" i="7"/>
  <c r="BU568" i="7"/>
  <c r="BV568" i="7"/>
  <c r="BW568" i="7"/>
  <c r="BX568" i="7"/>
  <c r="BY568" i="7"/>
  <c r="BZ568" i="7"/>
  <c r="CA568" i="7"/>
  <c r="CB568" i="7"/>
  <c r="CC568" i="7"/>
  <c r="CD568" i="7"/>
  <c r="BP569" i="7"/>
  <c r="BQ569" i="7"/>
  <c r="BR569" i="7"/>
  <c r="BS569" i="7"/>
  <c r="BT569" i="7"/>
  <c r="BU569" i="7"/>
  <c r="BV569" i="7"/>
  <c r="BW569" i="7"/>
  <c r="BX569" i="7"/>
  <c r="BY569" i="7"/>
  <c r="BZ569" i="7"/>
  <c r="CA569" i="7"/>
  <c r="CB569" i="7"/>
  <c r="CC569" i="7"/>
  <c r="CD569" i="7"/>
  <c r="BP570" i="7"/>
  <c r="BQ570" i="7"/>
  <c r="BR570" i="7"/>
  <c r="BS570" i="7"/>
  <c r="BT570" i="7"/>
  <c r="BU570" i="7"/>
  <c r="BV570" i="7"/>
  <c r="BW570" i="7"/>
  <c r="BX570" i="7"/>
  <c r="BY570" i="7"/>
  <c r="BZ570" i="7"/>
  <c r="CA570" i="7"/>
  <c r="CB570" i="7"/>
  <c r="CC570" i="7"/>
  <c r="CD570" i="7"/>
  <c r="BP572" i="7"/>
  <c r="BQ572" i="7"/>
  <c r="BR572" i="7"/>
  <c r="BS572" i="7"/>
  <c r="BT572" i="7"/>
  <c r="BU572" i="7"/>
  <c r="BV572" i="7"/>
  <c r="BW572" i="7"/>
  <c r="BX572" i="7"/>
  <c r="BY572" i="7"/>
  <c r="BZ572" i="7"/>
  <c r="CA572" i="7"/>
  <c r="CB572" i="7"/>
  <c r="CC572" i="7"/>
  <c r="CD572" i="7"/>
  <c r="BT573" i="7"/>
  <c r="BY573" i="7"/>
  <c r="CD573" i="7"/>
  <c r="BP739" i="7"/>
  <c r="BQ739" i="7"/>
  <c r="BR739" i="7"/>
  <c r="BS739" i="7"/>
  <c r="BT739" i="7"/>
  <c r="BU739" i="7"/>
  <c r="BV739" i="7"/>
  <c r="BW739" i="7"/>
  <c r="BX739" i="7"/>
  <c r="BY739" i="7"/>
  <c r="BZ739" i="7"/>
  <c r="CA739" i="7"/>
  <c r="CB739" i="7"/>
  <c r="CC739" i="7"/>
  <c r="CD739" i="7"/>
  <c r="BP743" i="7"/>
  <c r="BQ743" i="7"/>
  <c r="BR743" i="7"/>
  <c r="BS743" i="7"/>
  <c r="BT743" i="7"/>
  <c r="BU743" i="7"/>
  <c r="BV743" i="7"/>
  <c r="BW743" i="7"/>
  <c r="BX743" i="7"/>
  <c r="BY743" i="7"/>
  <c r="BZ743" i="7"/>
  <c r="CA743" i="7"/>
  <c r="CB743" i="7"/>
  <c r="CC743" i="7"/>
  <c r="CD743" i="7"/>
  <c r="BP747" i="7"/>
  <c r="BQ747" i="7"/>
  <c r="BR747" i="7"/>
  <c r="BS747" i="7"/>
  <c r="BT747" i="7"/>
  <c r="BU747" i="7"/>
  <c r="BV747" i="7"/>
  <c r="BW747" i="7"/>
  <c r="BX747" i="7"/>
  <c r="BY747" i="7"/>
  <c r="BZ747" i="7"/>
  <c r="CA747" i="7"/>
  <c r="CB747" i="7"/>
  <c r="CC747" i="7"/>
  <c r="CD747" i="7"/>
  <c r="BP749" i="7"/>
  <c r="BQ749" i="7"/>
  <c r="BR749" i="7"/>
  <c r="BS749" i="7"/>
  <c r="BT749" i="7"/>
  <c r="BU749" i="7"/>
  <c r="BV749" i="7"/>
  <c r="BW749" i="7"/>
  <c r="BX749" i="7"/>
  <c r="BY749" i="7"/>
  <c r="BZ749" i="7"/>
  <c r="CA749" i="7"/>
  <c r="CB749" i="7"/>
  <c r="CC749" i="7"/>
  <c r="CD749" i="7"/>
  <c r="BP750" i="7"/>
  <c r="BQ750" i="7"/>
  <c r="BR750" i="7"/>
  <c r="BS750" i="7"/>
  <c r="BT750" i="7"/>
  <c r="BU750" i="7"/>
  <c r="BV750" i="7"/>
  <c r="BW750" i="7"/>
  <c r="BX750" i="7"/>
  <c r="BY750" i="7"/>
  <c r="BZ750" i="7"/>
  <c r="CA750" i="7"/>
  <c r="CB750" i="7"/>
  <c r="CC750" i="7"/>
  <c r="CD750" i="7"/>
  <c r="BP752" i="7"/>
  <c r="BQ752" i="7"/>
  <c r="BR752" i="7"/>
  <c r="BS752" i="7"/>
  <c r="BT752" i="7"/>
  <c r="BU752" i="7"/>
  <c r="BV752" i="7"/>
  <c r="BW752" i="7"/>
  <c r="BX752" i="7"/>
  <c r="BY752" i="7"/>
  <c r="BZ752" i="7"/>
  <c r="CA752" i="7"/>
  <c r="CB752" i="7"/>
  <c r="CC752" i="7"/>
  <c r="CD752" i="7"/>
  <c r="BP753" i="7"/>
  <c r="BQ753" i="7"/>
  <c r="BR753" i="7"/>
  <c r="BS753" i="7"/>
  <c r="BT753" i="7"/>
  <c r="BU753" i="7"/>
  <c r="BV753" i="7"/>
  <c r="BW753" i="7"/>
  <c r="BX753" i="7"/>
  <c r="BY753" i="7"/>
  <c r="BZ753" i="7"/>
  <c r="CA753" i="7"/>
  <c r="CB753" i="7"/>
  <c r="CC753" i="7"/>
  <c r="CD753" i="7"/>
  <c r="BP759" i="7"/>
  <c r="BQ759" i="7"/>
  <c r="BR759" i="7"/>
  <c r="BS759" i="7"/>
  <c r="BT759" i="7"/>
  <c r="BU759" i="7"/>
  <c r="BV759" i="7"/>
  <c r="BW759" i="7"/>
  <c r="BX759" i="7"/>
  <c r="BY759" i="7"/>
  <c r="BZ759" i="7"/>
  <c r="CA759" i="7"/>
  <c r="CB759" i="7"/>
  <c r="CC759" i="7"/>
  <c r="CD759" i="7"/>
  <c r="BE767" i="7"/>
  <c r="BJ767" i="7"/>
  <c r="BO767" i="7"/>
  <c r="BP767" i="7"/>
  <c r="BQ767" i="7"/>
  <c r="BR767" i="7"/>
  <c r="BS767" i="7"/>
  <c r="BT767" i="7"/>
  <c r="BU767" i="7"/>
  <c r="BV767" i="7"/>
  <c r="BW767" i="7"/>
  <c r="BX767" i="7"/>
  <c r="BY767" i="7"/>
  <c r="BZ767" i="7"/>
  <c r="CA767" i="7"/>
  <c r="CB767" i="7"/>
  <c r="CC767" i="7"/>
  <c r="CD767" i="7"/>
  <c r="BE770" i="7"/>
  <c r="BJ770" i="7"/>
  <c r="BO770" i="7"/>
  <c r="BP770" i="7"/>
  <c r="BQ770" i="7"/>
  <c r="BR770" i="7"/>
  <c r="BS770" i="7"/>
  <c r="BT770" i="7"/>
  <c r="BU770" i="7"/>
  <c r="BV770" i="7"/>
  <c r="BW770" i="7"/>
  <c r="BX770" i="7"/>
  <c r="BY770" i="7"/>
  <c r="BZ770" i="7"/>
  <c r="CA770" i="7"/>
  <c r="CB770" i="7"/>
  <c r="CC770" i="7"/>
  <c r="CD770" i="7"/>
  <c r="BE771" i="7"/>
  <c r="BJ771" i="7"/>
  <c r="BO771" i="7"/>
  <c r="BP776" i="7"/>
  <c r="BQ776" i="7"/>
  <c r="BR776" i="7"/>
  <c r="BS776" i="7"/>
  <c r="BT776" i="7"/>
  <c r="BU776" i="7"/>
  <c r="BV776" i="7"/>
  <c r="BW776" i="7"/>
  <c r="BX776" i="7"/>
  <c r="BY776" i="7"/>
  <c r="BZ776" i="7"/>
  <c r="CA776" i="7"/>
  <c r="CB776" i="7"/>
  <c r="CC776" i="7"/>
  <c r="CD776" i="7"/>
  <c r="BP784" i="7"/>
  <c r="BQ784" i="7"/>
  <c r="BR784" i="7"/>
  <c r="BS784" i="7"/>
  <c r="BT784" i="7"/>
  <c r="BU784" i="7"/>
  <c r="BV784" i="7"/>
  <c r="BW784" i="7"/>
  <c r="BX784" i="7"/>
  <c r="BY784" i="7"/>
  <c r="BZ784" i="7"/>
  <c r="CA784" i="7"/>
  <c r="CB784" i="7"/>
  <c r="CC784" i="7"/>
  <c r="CD784" i="7"/>
  <c r="BP785" i="7"/>
  <c r="BQ785" i="7"/>
  <c r="BR785" i="7"/>
  <c r="BS785" i="7"/>
  <c r="BT785" i="7"/>
  <c r="BU785" i="7"/>
  <c r="BV785" i="7"/>
  <c r="BW785" i="7"/>
  <c r="BX785" i="7"/>
  <c r="BY785" i="7"/>
  <c r="BZ785" i="7"/>
  <c r="CA785" i="7"/>
  <c r="CB785" i="7"/>
  <c r="CC785" i="7"/>
  <c r="CD785" i="7"/>
  <c r="BP787" i="7"/>
  <c r="BQ787" i="7"/>
  <c r="BR787" i="7"/>
  <c r="BS787" i="7"/>
  <c r="BT787" i="7"/>
  <c r="BU787" i="7"/>
  <c r="BV787" i="7"/>
  <c r="BW787" i="7"/>
  <c r="BX787" i="7"/>
  <c r="BY787" i="7"/>
  <c r="BZ787" i="7"/>
  <c r="CA787" i="7"/>
  <c r="CB787" i="7"/>
  <c r="CC787" i="7"/>
  <c r="CD787" i="7"/>
  <c r="BP788" i="7"/>
  <c r="BQ788" i="7"/>
  <c r="BR788" i="7"/>
  <c r="BS788" i="7"/>
  <c r="BT788" i="7"/>
  <c r="BU788" i="7"/>
  <c r="BV788" i="7"/>
  <c r="BW788" i="7"/>
  <c r="BX788" i="7"/>
  <c r="BY788" i="7"/>
  <c r="BZ788" i="7"/>
  <c r="CA788" i="7"/>
  <c r="CB788" i="7"/>
  <c r="CC788" i="7"/>
  <c r="CD788" i="7"/>
  <c r="BP789" i="7"/>
  <c r="BQ789" i="7"/>
  <c r="BR789" i="7"/>
  <c r="BS789" i="7"/>
  <c r="BT789" i="7"/>
  <c r="BU789" i="7"/>
  <c r="BV789" i="7"/>
  <c r="BW789" i="7"/>
  <c r="BX789" i="7"/>
  <c r="BY789" i="7"/>
  <c r="BZ789" i="7"/>
  <c r="CA789" i="7"/>
  <c r="CB789" i="7"/>
  <c r="CC789" i="7"/>
  <c r="CD789" i="7"/>
  <c r="BT792" i="7"/>
  <c r="BY792" i="7"/>
  <c r="CD792" i="7"/>
  <c r="BP855" i="7"/>
  <c r="BQ855" i="7"/>
  <c r="BR855" i="7"/>
  <c r="BS855" i="7"/>
  <c r="BT855" i="7"/>
  <c r="BU855" i="7"/>
  <c r="BV855" i="7"/>
  <c r="BW855" i="7"/>
  <c r="BX855" i="7"/>
  <c r="BY855" i="7"/>
  <c r="BZ855" i="7"/>
  <c r="CA855" i="7"/>
  <c r="CB855" i="7"/>
  <c r="CC855" i="7"/>
  <c r="CD855" i="7"/>
  <c r="BP859" i="7"/>
  <c r="BQ859" i="7"/>
  <c r="BR859" i="7"/>
  <c r="BS859" i="7"/>
  <c r="BT859" i="7"/>
  <c r="BU859" i="7"/>
  <c r="BV859" i="7"/>
  <c r="BW859" i="7"/>
  <c r="BX859" i="7"/>
  <c r="BY859" i="7"/>
  <c r="BZ859" i="7"/>
  <c r="CA859" i="7"/>
  <c r="CB859" i="7"/>
  <c r="CC859" i="7"/>
  <c r="CD859" i="7"/>
  <c r="BP863" i="7"/>
  <c r="BQ863" i="7"/>
  <c r="BR863" i="7"/>
  <c r="BS863" i="7"/>
  <c r="BT863" i="7"/>
  <c r="BU863" i="7"/>
  <c r="BV863" i="7"/>
  <c r="BW863" i="7"/>
  <c r="BX863" i="7"/>
  <c r="BY863" i="7"/>
  <c r="BZ863" i="7"/>
  <c r="CA863" i="7"/>
  <c r="CB863" i="7"/>
  <c r="CC863" i="7"/>
  <c r="CD863" i="7"/>
  <c r="BP865" i="7"/>
  <c r="BQ865" i="7"/>
  <c r="BR865" i="7"/>
  <c r="BS865" i="7"/>
  <c r="BT865" i="7"/>
  <c r="BU865" i="7"/>
  <c r="BV865" i="7"/>
  <c r="BW865" i="7"/>
  <c r="BX865" i="7"/>
  <c r="BY865" i="7"/>
  <c r="BZ865" i="7"/>
  <c r="CA865" i="7"/>
  <c r="CB865" i="7"/>
  <c r="CC865" i="7"/>
  <c r="CD865" i="7"/>
  <c r="BP866" i="7"/>
  <c r="BQ866" i="7"/>
  <c r="BR866" i="7"/>
  <c r="BS866" i="7"/>
  <c r="BT866" i="7"/>
  <c r="BU866" i="7"/>
  <c r="BV866" i="7"/>
  <c r="BW866" i="7"/>
  <c r="BX866" i="7"/>
  <c r="BY866" i="7"/>
  <c r="BZ866" i="7"/>
  <c r="CA866" i="7"/>
  <c r="CB866" i="7"/>
  <c r="CC866" i="7"/>
  <c r="CD866" i="7"/>
  <c r="BP868" i="7"/>
  <c r="BQ868" i="7"/>
  <c r="BR868" i="7"/>
  <c r="BS868" i="7"/>
  <c r="BT868" i="7"/>
  <c r="BU868" i="7"/>
  <c r="BV868" i="7"/>
  <c r="BW868" i="7"/>
  <c r="BX868" i="7"/>
  <c r="BY868" i="7"/>
  <c r="BZ868" i="7"/>
  <c r="CA868" i="7"/>
  <c r="CB868" i="7"/>
  <c r="CC868" i="7"/>
  <c r="CD868" i="7"/>
  <c r="BP869" i="7"/>
  <c r="BQ869" i="7"/>
  <c r="BR869" i="7"/>
  <c r="BS869" i="7"/>
  <c r="BT869" i="7"/>
  <c r="BU869" i="7"/>
  <c r="BV869" i="7"/>
  <c r="BW869" i="7"/>
  <c r="BX869" i="7"/>
  <c r="BY869" i="7"/>
  <c r="BZ869" i="7"/>
  <c r="CA869" i="7"/>
  <c r="CB869" i="7"/>
  <c r="CC869" i="7"/>
  <c r="CD869" i="7"/>
  <c r="BP881" i="7"/>
  <c r="BQ881" i="7"/>
  <c r="BR881" i="7"/>
  <c r="BS881" i="7"/>
  <c r="BT881" i="7"/>
  <c r="BU881" i="7"/>
  <c r="BV881" i="7"/>
  <c r="BW881" i="7"/>
  <c r="BX881" i="7"/>
  <c r="BY881" i="7"/>
  <c r="BZ881" i="7"/>
  <c r="CA881" i="7"/>
  <c r="CB881" i="7"/>
  <c r="CC881" i="7"/>
  <c r="CD881" i="7"/>
  <c r="BP886" i="7"/>
  <c r="BQ886" i="7"/>
  <c r="BR886" i="7"/>
  <c r="BS886" i="7"/>
  <c r="BT886" i="7"/>
  <c r="BU886" i="7"/>
  <c r="BV886" i="7"/>
  <c r="BW886" i="7"/>
  <c r="BX886" i="7"/>
  <c r="BY886" i="7"/>
  <c r="BZ886" i="7"/>
  <c r="CA886" i="7"/>
  <c r="CB886" i="7"/>
  <c r="CC886" i="7"/>
  <c r="CD886" i="7"/>
  <c r="BP894" i="7"/>
  <c r="BQ894" i="7"/>
  <c r="BR894" i="7"/>
  <c r="BS894" i="7"/>
  <c r="BT894" i="7"/>
  <c r="BU894" i="7"/>
  <c r="BV894" i="7"/>
  <c r="BW894" i="7"/>
  <c r="BX894" i="7"/>
  <c r="BY894" i="7"/>
  <c r="BZ894" i="7"/>
  <c r="CA894" i="7"/>
  <c r="CB894" i="7"/>
  <c r="CC894" i="7"/>
  <c r="CD894" i="7"/>
  <c r="BP895" i="7"/>
  <c r="BQ895" i="7"/>
  <c r="BR895" i="7"/>
  <c r="BS895" i="7"/>
  <c r="BT895" i="7"/>
  <c r="BU895" i="7"/>
  <c r="BV895" i="7"/>
  <c r="BW895" i="7"/>
  <c r="BX895" i="7"/>
  <c r="BY895" i="7"/>
  <c r="BZ895" i="7"/>
  <c r="CA895" i="7"/>
  <c r="CB895" i="7"/>
  <c r="CC895" i="7"/>
  <c r="CD895" i="7"/>
  <c r="BP896" i="7"/>
  <c r="BQ896" i="7"/>
  <c r="BR896" i="7"/>
  <c r="BS896" i="7"/>
  <c r="BT896" i="7"/>
  <c r="BU896" i="7"/>
  <c r="BV896" i="7"/>
  <c r="BW896" i="7"/>
  <c r="BX896" i="7"/>
  <c r="BY896" i="7"/>
  <c r="BZ896" i="7"/>
  <c r="CA896" i="7"/>
  <c r="CB896" i="7"/>
  <c r="CC896" i="7"/>
  <c r="CD896" i="7"/>
  <c r="BP897" i="7"/>
  <c r="BQ897" i="7"/>
  <c r="BR897" i="7"/>
  <c r="BS897" i="7"/>
  <c r="BT897" i="7"/>
  <c r="BU897" i="7"/>
  <c r="BV897" i="7"/>
  <c r="BW897" i="7"/>
  <c r="BX897" i="7"/>
  <c r="BY897" i="7"/>
  <c r="BZ897" i="7"/>
  <c r="CA897" i="7"/>
  <c r="CB897" i="7"/>
  <c r="CC897" i="7"/>
  <c r="CD897" i="7"/>
  <c r="BP898" i="7"/>
  <c r="BQ898" i="7"/>
  <c r="BR898" i="7"/>
  <c r="BS898" i="7"/>
  <c r="BT898" i="7"/>
  <c r="BU898" i="7"/>
  <c r="BV898" i="7"/>
  <c r="BW898" i="7"/>
  <c r="BX898" i="7"/>
  <c r="BY898" i="7"/>
  <c r="BZ898" i="7"/>
  <c r="CA898" i="7"/>
  <c r="CB898" i="7"/>
  <c r="CC898" i="7"/>
  <c r="CD898" i="7"/>
  <c r="BP899" i="7"/>
  <c r="BQ899" i="7"/>
  <c r="BR899" i="7"/>
  <c r="BS899" i="7"/>
  <c r="BT899" i="7"/>
  <c r="BU899" i="7"/>
  <c r="BV899" i="7"/>
  <c r="BW899" i="7"/>
  <c r="BX899" i="7"/>
  <c r="BY899" i="7"/>
  <c r="BZ899" i="7"/>
  <c r="CA899" i="7"/>
  <c r="CB899" i="7"/>
  <c r="CC899" i="7"/>
  <c r="CD899" i="7"/>
  <c r="BP901" i="7"/>
  <c r="BQ901" i="7"/>
  <c r="BR901" i="7"/>
  <c r="BS901" i="7"/>
  <c r="BT901" i="7"/>
  <c r="BU901" i="7"/>
  <c r="BV901" i="7"/>
  <c r="BW901" i="7"/>
  <c r="BX901" i="7"/>
  <c r="BY901" i="7"/>
  <c r="BZ901" i="7"/>
  <c r="CA901" i="7"/>
  <c r="CB901" i="7"/>
  <c r="CC901" i="7"/>
  <c r="CD901" i="7"/>
  <c r="BP23" i="47"/>
  <c r="BQ23" i="47"/>
  <c r="BR23" i="47"/>
  <c r="BS23" i="47"/>
  <c r="BT23" i="47"/>
  <c r="BU23" i="47"/>
  <c r="BV23" i="47"/>
  <c r="BW23" i="47"/>
  <c r="BX23" i="47"/>
  <c r="BY23" i="47"/>
  <c r="BZ23" i="47"/>
  <c r="CA23" i="47"/>
  <c r="CB23" i="47"/>
  <c r="CC23" i="47"/>
  <c r="CD23" i="47"/>
  <c r="BP31" i="47"/>
  <c r="BQ31" i="47"/>
  <c r="BR31" i="47"/>
  <c r="BS31" i="47"/>
  <c r="BT31" i="47"/>
  <c r="BU31" i="47"/>
  <c r="BV31" i="47"/>
  <c r="BW31" i="47"/>
  <c r="BX31" i="47"/>
  <c r="BY31" i="47"/>
  <c r="BZ31" i="47"/>
  <c r="CA31" i="47"/>
  <c r="CB31" i="47"/>
  <c r="CC31" i="47"/>
  <c r="CD31" i="47"/>
  <c r="BN34" i="47"/>
  <c r="BO34" i="47"/>
  <c r="BP34" i="47"/>
  <c r="BQ34" i="47"/>
  <c r="BR34" i="47"/>
  <c r="BS34" i="47"/>
  <c r="BT34" i="47"/>
  <c r="BU34" i="47"/>
  <c r="BV34" i="47"/>
  <c r="BW34" i="47"/>
  <c r="BX34" i="47"/>
  <c r="BY34" i="47"/>
  <c r="BZ34" i="47"/>
  <c r="CA34" i="47"/>
  <c r="CB34" i="47"/>
  <c r="CC34" i="47"/>
  <c r="CD34" i="47"/>
  <c r="BN42" i="47"/>
  <c r="BO42" i="47"/>
  <c r="BP42" i="47"/>
  <c r="BQ42" i="47"/>
  <c r="BR42" i="47"/>
  <c r="BS42" i="47"/>
  <c r="BT42" i="47"/>
  <c r="BU42" i="47"/>
  <c r="BV42" i="47"/>
  <c r="BW42" i="47"/>
  <c r="BX42" i="47"/>
  <c r="BY42" i="47"/>
  <c r="BZ42" i="47"/>
  <c r="CA42" i="47"/>
  <c r="CB42" i="47"/>
  <c r="CC42" i="47"/>
  <c r="CD42" i="47"/>
  <c r="BN44" i="47"/>
  <c r="BO44" i="47"/>
  <c r="BP44" i="47"/>
  <c r="BQ44" i="47"/>
  <c r="BR44" i="47"/>
  <c r="BS44" i="47"/>
  <c r="BT44" i="47"/>
  <c r="BU44" i="47"/>
  <c r="BV44" i="47"/>
  <c r="BW44" i="47"/>
  <c r="BX44" i="47"/>
  <c r="BY44" i="47"/>
  <c r="BZ44" i="47"/>
  <c r="CA44" i="47"/>
  <c r="CB44" i="47"/>
  <c r="CC44" i="47"/>
  <c r="CD44" i="47"/>
  <c r="BG49" i="47"/>
  <c r="BH49" i="47"/>
  <c r="BI49" i="47"/>
  <c r="BN49" i="47"/>
  <c r="BP49" i="47"/>
  <c r="BQ49" i="47"/>
  <c r="BR49" i="47"/>
  <c r="BS49" i="47"/>
  <c r="BU49" i="47"/>
  <c r="BV49" i="47"/>
  <c r="BW49" i="47"/>
  <c r="BX49" i="47"/>
  <c r="BZ49" i="47"/>
  <c r="CA49" i="47"/>
  <c r="CB49" i="47"/>
  <c r="CC49" i="47"/>
  <c r="BP50" i="47"/>
  <c r="BQ50" i="47"/>
  <c r="BR50" i="47"/>
  <c r="BS50" i="47"/>
  <c r="BU50" i="47"/>
  <c r="BV50" i="47"/>
  <c r="BW50" i="47"/>
  <c r="BX50" i="47"/>
  <c r="BZ50" i="47"/>
  <c r="CA50" i="47"/>
  <c r="CB50" i="47"/>
  <c r="CC50" i="47"/>
  <c r="BG51" i="47"/>
  <c r="BH51" i="47"/>
  <c r="BI51" i="47"/>
  <c r="BN51" i="47"/>
  <c r="BP51" i="47"/>
  <c r="BQ51" i="47"/>
  <c r="BR51" i="47"/>
  <c r="BS51" i="47"/>
  <c r="BU51" i="47"/>
  <c r="BV51" i="47"/>
  <c r="BW51" i="47"/>
  <c r="BX51" i="47"/>
  <c r="BZ51" i="47"/>
  <c r="CA51" i="47"/>
  <c r="CB51" i="47"/>
  <c r="CC51" i="47"/>
  <c r="BN85" i="47"/>
  <c r="BO85" i="47"/>
  <c r="BP85" i="47"/>
  <c r="BQ85" i="47"/>
  <c r="BR85" i="47"/>
  <c r="BS85" i="47"/>
  <c r="BT85" i="47"/>
  <c r="BU85" i="47"/>
  <c r="BV85" i="47"/>
  <c r="BW85" i="47"/>
  <c r="BX85" i="47"/>
  <c r="BY85" i="47"/>
  <c r="BZ85" i="47"/>
  <c r="CA85" i="47"/>
  <c r="CB85" i="47"/>
  <c r="CC85" i="47"/>
  <c r="CD85" i="47"/>
  <c r="BP93" i="47"/>
  <c r="BQ93" i="47"/>
  <c r="BR93" i="47"/>
  <c r="BS93" i="47"/>
  <c r="BT93" i="47"/>
  <c r="BU93" i="47"/>
  <c r="BV93" i="47"/>
  <c r="BW93" i="47"/>
  <c r="BX93" i="47"/>
  <c r="BY93" i="47"/>
  <c r="BZ93" i="47"/>
  <c r="CA93" i="47"/>
  <c r="CB93" i="47"/>
  <c r="CC93" i="47"/>
  <c r="CD93" i="47"/>
  <c r="BP94" i="47"/>
  <c r="BQ94" i="47"/>
  <c r="BR94" i="47"/>
  <c r="BS94" i="47"/>
  <c r="BT94" i="47"/>
  <c r="BU94" i="47"/>
  <c r="BV94" i="47"/>
  <c r="BW94" i="47"/>
  <c r="BX94" i="47"/>
  <c r="BY94" i="47"/>
  <c r="BZ94" i="47"/>
  <c r="CA94" i="47"/>
  <c r="CB94" i="47"/>
  <c r="CC94" i="47"/>
  <c r="CD94" i="47"/>
  <c r="BP97" i="47"/>
  <c r="BQ97" i="47"/>
  <c r="BR97" i="47"/>
  <c r="BS97" i="47"/>
  <c r="BT97" i="47"/>
  <c r="BU97" i="47"/>
  <c r="BV97" i="47"/>
  <c r="BW97" i="47"/>
  <c r="BX97" i="47"/>
  <c r="BY97" i="47"/>
  <c r="BZ97" i="47"/>
  <c r="CA97" i="47"/>
  <c r="CB97" i="47"/>
  <c r="CC97" i="47"/>
  <c r="CD97" i="47"/>
  <c r="BP99" i="47"/>
  <c r="BQ99" i="47"/>
  <c r="BR99" i="47"/>
  <c r="BS99" i="47"/>
  <c r="BT99" i="47"/>
  <c r="BU99" i="47"/>
  <c r="BV99" i="47"/>
  <c r="BW99" i="47"/>
  <c r="BX99" i="47"/>
  <c r="BY99" i="47"/>
  <c r="BZ99" i="47"/>
  <c r="CA99" i="47"/>
  <c r="CB99" i="47"/>
  <c r="CC99" i="47"/>
  <c r="CD99" i="47"/>
  <c r="BN100" i="47"/>
  <c r="BO100" i="47"/>
  <c r="BP100" i="47"/>
  <c r="BQ100" i="47"/>
  <c r="BR100" i="47"/>
  <c r="BS100" i="47"/>
  <c r="BT100" i="47"/>
  <c r="BU100" i="47"/>
  <c r="BV100" i="47"/>
  <c r="BW100" i="47"/>
  <c r="BX100" i="47"/>
  <c r="BY100" i="47"/>
  <c r="BZ100" i="47"/>
  <c r="CA100" i="47"/>
  <c r="CB100" i="47"/>
  <c r="CC100" i="47"/>
  <c r="CD100" i="47"/>
  <c r="BP11" i="14"/>
  <c r="BQ11" i="14"/>
  <c r="BR11" i="14"/>
  <c r="BS11" i="14"/>
  <c r="BT11" i="14"/>
  <c r="BU11" i="14"/>
  <c r="BV11" i="14"/>
  <c r="BW11" i="14"/>
  <c r="BX11" i="14"/>
  <c r="BY11" i="14"/>
  <c r="BZ11" i="14"/>
  <c r="CA11" i="14"/>
  <c r="CB11" i="14"/>
  <c r="CC11" i="14"/>
  <c r="CD11" i="14"/>
  <c r="BP12" i="14"/>
  <c r="BQ12" i="14"/>
  <c r="BR12" i="14"/>
  <c r="BS12" i="14"/>
  <c r="BT12" i="14"/>
  <c r="BU12" i="14"/>
  <c r="BV12" i="14"/>
  <c r="BW12" i="14"/>
  <c r="BX12" i="14"/>
  <c r="BY12" i="14"/>
  <c r="BZ12" i="14"/>
  <c r="CA12" i="14"/>
  <c r="CB12" i="14"/>
  <c r="CC12" i="14"/>
  <c r="CD12" i="14"/>
  <c r="BP13" i="14"/>
  <c r="BQ13" i="14"/>
  <c r="BR13" i="14"/>
  <c r="BS13" i="14"/>
  <c r="BT13" i="14"/>
  <c r="BU13" i="14"/>
  <c r="BV13" i="14"/>
  <c r="BW13" i="14"/>
  <c r="BX13" i="14"/>
  <c r="BY13" i="14"/>
  <c r="BZ13" i="14"/>
  <c r="CA13" i="14"/>
  <c r="CB13" i="14"/>
  <c r="CC13" i="14"/>
  <c r="CD13" i="14"/>
  <c r="BP15" i="14"/>
  <c r="BQ15" i="14"/>
  <c r="BR15" i="14"/>
  <c r="BS15" i="14"/>
  <c r="BT15" i="14"/>
  <c r="BU15" i="14"/>
  <c r="BV15" i="14"/>
  <c r="BW15" i="14"/>
  <c r="BX15" i="14"/>
  <c r="BY15" i="14"/>
  <c r="BZ15" i="14"/>
  <c r="CA15" i="14"/>
  <c r="CB15" i="14"/>
  <c r="CC15" i="14"/>
  <c r="CD15" i="14"/>
  <c r="BP17" i="14"/>
  <c r="BQ17" i="14"/>
  <c r="BR17" i="14"/>
  <c r="BS17" i="14"/>
  <c r="BT17" i="14"/>
  <c r="BU17" i="14"/>
  <c r="BV17" i="14"/>
  <c r="BW17" i="14"/>
  <c r="BX17" i="14"/>
  <c r="BY17" i="14"/>
  <c r="BZ17" i="14"/>
  <c r="CA17" i="14"/>
  <c r="CB17" i="14"/>
  <c r="CC17" i="14"/>
  <c r="CD17" i="14"/>
  <c r="BP25" i="14"/>
  <c r="BQ25" i="14"/>
  <c r="BR25" i="14"/>
  <c r="BS25" i="14"/>
  <c r="BT25" i="14"/>
  <c r="BU25" i="14"/>
  <c r="BV25" i="14"/>
  <c r="BW25" i="14"/>
  <c r="BX25" i="14"/>
  <c r="BY25" i="14"/>
  <c r="BZ25" i="14"/>
  <c r="CA25" i="14"/>
  <c r="CB25" i="14"/>
  <c r="CC25" i="14"/>
  <c r="CD25" i="14"/>
  <c r="BP27" i="14"/>
  <c r="BQ27" i="14"/>
  <c r="BR27" i="14"/>
  <c r="BS27" i="14"/>
  <c r="BT27" i="14"/>
  <c r="BU27" i="14"/>
  <c r="BV27" i="14"/>
  <c r="BW27" i="14"/>
  <c r="BX27" i="14"/>
  <c r="BY27" i="14"/>
  <c r="BZ27" i="14"/>
  <c r="CA27" i="14"/>
  <c r="CB27" i="14"/>
  <c r="CC27" i="14"/>
  <c r="CD27" i="14"/>
  <c r="BP29" i="14"/>
  <c r="BQ29" i="14"/>
  <c r="BR29" i="14"/>
  <c r="BS29" i="14"/>
  <c r="BT29" i="14"/>
  <c r="BU29" i="14"/>
  <c r="BV29" i="14"/>
  <c r="BW29" i="14"/>
  <c r="BX29" i="14"/>
  <c r="BY29" i="14"/>
  <c r="BZ29" i="14"/>
  <c r="CA29" i="14"/>
  <c r="CB29" i="14"/>
  <c r="CC29" i="14"/>
  <c r="CD29" i="14"/>
  <c r="BP31" i="14"/>
  <c r="BQ31" i="14"/>
  <c r="BR31" i="14"/>
  <c r="BS31" i="14"/>
  <c r="BT31" i="14"/>
  <c r="BU31" i="14"/>
  <c r="BV31" i="14"/>
  <c r="BW31" i="14"/>
  <c r="BX31" i="14"/>
  <c r="BY31" i="14"/>
  <c r="BZ31" i="14"/>
  <c r="CA31" i="14"/>
  <c r="CB31" i="14"/>
  <c r="CC31" i="14"/>
  <c r="CD31" i="14"/>
  <c r="BN32" i="14"/>
  <c r="BO32" i="14"/>
  <c r="BP32" i="14"/>
  <c r="BQ32" i="14"/>
  <c r="BR32" i="14"/>
  <c r="BS32" i="14"/>
  <c r="BT32" i="14"/>
  <c r="BU32" i="14"/>
  <c r="BV32" i="14"/>
  <c r="BW32" i="14"/>
  <c r="BX32" i="14"/>
  <c r="BY32" i="14"/>
  <c r="BZ32" i="14"/>
  <c r="CA32" i="14"/>
  <c r="CB32" i="14"/>
  <c r="CC32" i="14"/>
  <c r="CD32" i="14"/>
  <c r="BN36" i="14"/>
  <c r="BO36" i="14"/>
  <c r="BP36" i="14"/>
  <c r="BQ36" i="14"/>
  <c r="BR36" i="14"/>
  <c r="BS36" i="14"/>
  <c r="BT36" i="14"/>
  <c r="BU36" i="14"/>
  <c r="BV36" i="14"/>
  <c r="BW36" i="14"/>
  <c r="BX36" i="14"/>
  <c r="BY36" i="14"/>
  <c r="BZ36" i="14"/>
  <c r="CA36" i="14"/>
  <c r="CB36" i="14"/>
  <c r="CC36" i="14"/>
  <c r="CD36" i="14"/>
  <c r="BN39" i="14"/>
  <c r="BO39" i="14"/>
  <c r="BP39" i="14"/>
  <c r="BQ39" i="14"/>
  <c r="BR39" i="14"/>
  <c r="BS39" i="14"/>
  <c r="BT39" i="14"/>
  <c r="BU39" i="14"/>
  <c r="BV39" i="14"/>
  <c r="BW39" i="14"/>
  <c r="BX39" i="14"/>
  <c r="BY39" i="14"/>
  <c r="BZ39" i="14"/>
  <c r="CA39" i="14"/>
  <c r="CB39" i="14"/>
  <c r="CC39" i="14"/>
  <c r="CD39" i="14"/>
  <c r="BF41" i="14"/>
  <c r="BG41" i="14"/>
  <c r="BJ41" i="14"/>
  <c r="BF42" i="14"/>
  <c r="BG42" i="14"/>
  <c r="BJ42" i="14"/>
  <c r="BN42" i="14"/>
  <c r="BO42" i="14"/>
  <c r="BP42" i="14"/>
  <c r="BQ42" i="14"/>
  <c r="BR42" i="14"/>
  <c r="BS42" i="14"/>
  <c r="BT42" i="14"/>
  <c r="BU42" i="14"/>
  <c r="BV42" i="14"/>
  <c r="BW42" i="14"/>
  <c r="BX42" i="14"/>
  <c r="BY42" i="14"/>
  <c r="BZ42" i="14"/>
  <c r="CA42" i="14"/>
  <c r="CB42" i="14"/>
  <c r="CC42" i="14"/>
  <c r="CD42" i="14"/>
  <c r="BN49" i="14"/>
  <c r="BO49" i="14"/>
  <c r="BP49" i="14"/>
  <c r="BQ49" i="14"/>
  <c r="BR49" i="14"/>
  <c r="BS49" i="14"/>
  <c r="BT49" i="14"/>
  <c r="BU49" i="14"/>
  <c r="BV49" i="14"/>
  <c r="BW49" i="14"/>
  <c r="BX49" i="14"/>
  <c r="BY49" i="14"/>
  <c r="BZ49" i="14"/>
  <c r="CA49" i="14"/>
  <c r="CB49" i="14"/>
  <c r="CC49" i="14"/>
  <c r="CD49" i="14"/>
  <c r="BN50" i="14"/>
  <c r="BO50" i="14"/>
  <c r="BP50" i="14"/>
  <c r="BQ50" i="14"/>
  <c r="BR50" i="14"/>
  <c r="BS50" i="14"/>
  <c r="BT50" i="14"/>
  <c r="BU50" i="14"/>
  <c r="BV50" i="14"/>
  <c r="BW50" i="14"/>
  <c r="BX50" i="14"/>
  <c r="BY50" i="14"/>
  <c r="BZ50" i="14"/>
  <c r="CA50" i="14"/>
  <c r="CB50" i="14"/>
  <c r="CC50" i="14"/>
  <c r="CD50" i="14"/>
  <c r="BF51" i="14"/>
  <c r="BG51" i="14"/>
  <c r="BJ51" i="14"/>
  <c r="BN51" i="14"/>
  <c r="BO51" i="14"/>
  <c r="BP51" i="14"/>
  <c r="BQ51" i="14"/>
  <c r="BR51" i="14"/>
  <c r="BS51" i="14"/>
  <c r="BT51" i="14"/>
  <c r="BU51" i="14"/>
  <c r="BV51" i="14"/>
  <c r="BW51" i="14"/>
  <c r="BX51" i="14"/>
  <c r="BY51" i="14"/>
  <c r="BZ51" i="14"/>
  <c r="CA51" i="14"/>
  <c r="CB51" i="14"/>
  <c r="CC51" i="14"/>
  <c r="CD51" i="14"/>
  <c r="BN54" i="14"/>
  <c r="BO54" i="14"/>
  <c r="BP54" i="14"/>
  <c r="BQ54" i="14"/>
  <c r="BR54" i="14"/>
  <c r="BS54" i="14"/>
  <c r="BT54" i="14"/>
  <c r="BU54" i="14"/>
  <c r="BV54" i="14"/>
  <c r="BW54" i="14"/>
  <c r="BX54" i="14"/>
  <c r="BY54" i="14"/>
  <c r="BZ54" i="14"/>
  <c r="CA54" i="14"/>
  <c r="CB54" i="14"/>
  <c r="CC54" i="14"/>
  <c r="CD54" i="14"/>
  <c r="BN55" i="14"/>
  <c r="BO55" i="14"/>
  <c r="BP55" i="14"/>
  <c r="BQ55" i="14"/>
  <c r="BR55" i="14"/>
  <c r="BS55" i="14"/>
  <c r="BT55" i="14"/>
  <c r="BU55" i="14"/>
  <c r="BV55" i="14"/>
  <c r="BW55" i="14"/>
  <c r="BX55" i="14"/>
  <c r="BY55" i="14"/>
  <c r="BZ55" i="14"/>
  <c r="CA55" i="14"/>
  <c r="CB55" i="14"/>
  <c r="CC55" i="14"/>
  <c r="CD55" i="14"/>
  <c r="BF56" i="14"/>
  <c r="BG56" i="14"/>
  <c r="BJ56" i="14"/>
  <c r="BN56" i="14"/>
  <c r="BO56" i="14"/>
  <c r="BP56" i="14"/>
  <c r="BQ56" i="14"/>
  <c r="BR56" i="14"/>
  <c r="BS56" i="14"/>
  <c r="BT56" i="14"/>
  <c r="BU56" i="14"/>
  <c r="BV56" i="14"/>
  <c r="BW56" i="14"/>
  <c r="BX56" i="14"/>
  <c r="BY56" i="14"/>
  <c r="BZ56" i="14"/>
  <c r="CA56" i="14"/>
  <c r="CB56" i="14"/>
  <c r="CC56" i="14"/>
  <c r="CD56" i="14"/>
  <c r="BF57" i="14"/>
  <c r="BG57" i="14"/>
  <c r="BJ57" i="14"/>
  <c r="BN57" i="14"/>
  <c r="BO57" i="14"/>
  <c r="BP57" i="14"/>
  <c r="BQ57" i="14"/>
  <c r="BR57" i="14"/>
  <c r="BS57" i="14"/>
  <c r="BT57" i="14"/>
  <c r="BU57" i="14"/>
  <c r="BV57" i="14"/>
  <c r="BW57" i="14"/>
  <c r="BX57" i="14"/>
  <c r="BY57" i="14"/>
  <c r="BZ57" i="14"/>
  <c r="CA57" i="14"/>
  <c r="CB57" i="14"/>
  <c r="CC57" i="14"/>
  <c r="CD57" i="14"/>
  <c r="BP74" i="14"/>
  <c r="BQ74" i="14"/>
  <c r="BR74" i="14"/>
  <c r="BS74" i="14"/>
  <c r="BT74" i="14"/>
  <c r="BU74" i="14"/>
  <c r="BV74" i="14"/>
  <c r="BW74" i="14"/>
  <c r="BX74" i="14"/>
  <c r="BY74" i="14"/>
  <c r="BZ74" i="14"/>
  <c r="CA74" i="14"/>
  <c r="CB74" i="14"/>
  <c r="CC74" i="14"/>
  <c r="CD74" i="14"/>
  <c r="BF76" i="14"/>
  <c r="BG76" i="14"/>
  <c r="BJ76" i="14"/>
  <c r="BN76" i="14"/>
  <c r="BO76" i="14"/>
  <c r="BP76" i="14"/>
  <c r="BQ76" i="14"/>
  <c r="BR76" i="14"/>
  <c r="BS76" i="14"/>
  <c r="BT76" i="14"/>
  <c r="BU76" i="14"/>
  <c r="BV76" i="14"/>
  <c r="BW76" i="14"/>
  <c r="BX76" i="14"/>
  <c r="BY76" i="14"/>
  <c r="BZ76" i="14"/>
  <c r="CA76" i="14"/>
  <c r="CB76" i="14"/>
  <c r="CC76" i="14"/>
  <c r="CD76" i="14"/>
  <c r="BF79" i="14"/>
  <c r="BG79" i="14"/>
  <c r="BJ79" i="14"/>
  <c r="BN79" i="14"/>
  <c r="BO79" i="14"/>
  <c r="BP79" i="14"/>
  <c r="BQ79" i="14"/>
  <c r="BR79" i="14"/>
  <c r="BS79" i="14"/>
  <c r="BT79" i="14"/>
  <c r="BU79" i="14"/>
  <c r="BV79" i="14"/>
  <c r="BW79" i="14"/>
  <c r="BX79" i="14"/>
  <c r="BY79" i="14"/>
  <c r="BZ79" i="14"/>
  <c r="CA79" i="14"/>
  <c r="CB79" i="14"/>
  <c r="CC79" i="14"/>
  <c r="CD79" i="14"/>
  <c r="BP81" i="14"/>
  <c r="BQ81" i="14"/>
  <c r="BR81" i="14"/>
  <c r="BS81" i="14"/>
  <c r="BT81" i="14"/>
  <c r="BU81" i="14"/>
  <c r="BV81" i="14"/>
  <c r="BW81" i="14"/>
  <c r="BX81" i="14"/>
  <c r="BY81" i="14"/>
  <c r="BZ81" i="14"/>
  <c r="CA81" i="14"/>
  <c r="CB81" i="14"/>
  <c r="CC81" i="14"/>
  <c r="CD81" i="14"/>
  <c r="BP82" i="14"/>
  <c r="BQ82" i="14"/>
  <c r="BR82" i="14"/>
  <c r="BS82" i="14"/>
  <c r="BT82" i="14"/>
  <c r="BU82" i="14"/>
  <c r="BV82" i="14"/>
  <c r="BW82" i="14"/>
  <c r="BX82" i="14"/>
  <c r="BY82" i="14"/>
  <c r="BZ82" i="14"/>
  <c r="CA82" i="14"/>
  <c r="CB82" i="14"/>
  <c r="CC82" i="14"/>
  <c r="CD82" i="14"/>
  <c r="BF84" i="14"/>
  <c r="BG84" i="14"/>
  <c r="BJ84" i="14"/>
  <c r="BN84" i="14"/>
  <c r="BO84" i="14"/>
  <c r="BP84" i="14"/>
  <c r="BQ84" i="14"/>
  <c r="BR84" i="14"/>
  <c r="BS84" i="14"/>
  <c r="BT84" i="14"/>
  <c r="BU84" i="14"/>
  <c r="BV84" i="14"/>
  <c r="BW84" i="14"/>
  <c r="BX84" i="14"/>
  <c r="BY84" i="14"/>
  <c r="BZ84" i="14"/>
  <c r="CA84" i="14"/>
  <c r="CB84" i="14"/>
  <c r="CC84" i="14"/>
  <c r="CD84" i="14"/>
  <c r="BF85" i="14"/>
  <c r="BG85" i="14"/>
  <c r="BJ85" i="14"/>
  <c r="BN85" i="14"/>
  <c r="BO85" i="14"/>
  <c r="BP85" i="14"/>
  <c r="BQ85" i="14"/>
  <c r="BR85" i="14"/>
  <c r="BS85" i="14"/>
  <c r="BT85" i="14"/>
  <c r="BU85" i="14"/>
  <c r="BV85" i="14"/>
  <c r="BW85" i="14"/>
  <c r="BX85" i="14"/>
  <c r="BY85" i="14"/>
  <c r="BZ85" i="14"/>
  <c r="CA85" i="14"/>
  <c r="CB85" i="14"/>
  <c r="CC85" i="14"/>
  <c r="CD85" i="14"/>
  <c r="BN91" i="14"/>
  <c r="BO91" i="14"/>
  <c r="BP91" i="14"/>
  <c r="BQ91" i="14"/>
  <c r="BR91" i="14"/>
  <c r="BS91" i="14"/>
  <c r="BT91" i="14"/>
  <c r="BU91" i="14"/>
  <c r="BV91" i="14"/>
  <c r="BW91" i="14"/>
  <c r="BX91" i="14"/>
  <c r="BY91" i="14"/>
  <c r="BZ91" i="14"/>
  <c r="CA91" i="14"/>
  <c r="CB91" i="14"/>
  <c r="CC91" i="14"/>
  <c r="CD91" i="14"/>
  <c r="BN102" i="14"/>
  <c r="BO102" i="14"/>
  <c r="BP102" i="14"/>
  <c r="BQ102" i="14"/>
  <c r="BR102" i="14"/>
  <c r="BS102" i="14"/>
  <c r="BT102" i="14"/>
  <c r="BU102" i="14"/>
  <c r="BV102" i="14"/>
  <c r="BW102" i="14"/>
  <c r="BX102" i="14"/>
  <c r="BY102" i="14"/>
  <c r="BZ102" i="14"/>
  <c r="CA102" i="14"/>
  <c r="CB102" i="14"/>
  <c r="CC102" i="14"/>
  <c r="CD102" i="14"/>
  <c r="BN105" i="14"/>
  <c r="BO105" i="14"/>
  <c r="BP105" i="14"/>
  <c r="BQ105" i="14"/>
  <c r="BR105" i="14"/>
  <c r="BS105" i="14"/>
  <c r="BT105" i="14"/>
  <c r="BU105" i="14"/>
  <c r="BV105" i="14"/>
  <c r="BW105" i="14"/>
  <c r="BX105" i="14"/>
  <c r="BY105" i="14"/>
  <c r="BZ105" i="14"/>
  <c r="CA105" i="14"/>
  <c r="CB105" i="14"/>
  <c r="CC105" i="14"/>
  <c r="CD105" i="14"/>
  <c r="BC112" i="14"/>
  <c r="BD112" i="14"/>
  <c r="BH112" i="14"/>
  <c r="BI112" i="14"/>
  <c r="BK112" i="14"/>
  <c r="BL112" i="14"/>
  <c r="BM112" i="14"/>
  <c r="BN112" i="14"/>
  <c r="BO112" i="14"/>
  <c r="BP112" i="14"/>
  <c r="BQ112" i="14"/>
  <c r="BR112" i="14"/>
  <c r="BS112" i="14"/>
  <c r="BT112" i="14"/>
  <c r="BU112" i="14"/>
  <c r="BV112" i="14"/>
  <c r="BW112" i="14"/>
  <c r="BX112" i="14"/>
  <c r="BY112" i="14"/>
  <c r="BZ112" i="14"/>
  <c r="CA112" i="14"/>
  <c r="CB112" i="14"/>
  <c r="CC112" i="14"/>
  <c r="CD112" i="14"/>
  <c r="BN113" i="14"/>
  <c r="BO113" i="14"/>
  <c r="BP113" i="14"/>
  <c r="BQ113" i="14"/>
  <c r="BR113" i="14"/>
  <c r="BS113" i="14"/>
  <c r="BT113" i="14"/>
  <c r="BU113" i="14"/>
  <c r="BV113" i="14"/>
  <c r="BW113" i="14"/>
  <c r="BX113" i="14"/>
  <c r="BY113" i="14"/>
  <c r="BZ113" i="14"/>
  <c r="CA113" i="14"/>
  <c r="CB113" i="14"/>
  <c r="CC113" i="14"/>
  <c r="CD113" i="14"/>
  <c r="BB115" i="14"/>
  <c r="BC115" i="14"/>
  <c r="BD115" i="14"/>
  <c r="BG115" i="14"/>
  <c r="BH115" i="14"/>
  <c r="BJ115" i="14"/>
  <c r="BK115" i="14"/>
  <c r="BN115" i="14"/>
  <c r="BO115" i="14"/>
  <c r="BB120" i="14"/>
  <c r="BC120" i="14"/>
  <c r="BD120" i="14"/>
  <c r="BG120" i="14"/>
  <c r="BH120" i="14"/>
  <c r="BI120" i="14"/>
  <c r="BJ120" i="14"/>
  <c r="BK120" i="14"/>
  <c r="BL120" i="14"/>
  <c r="BM120" i="14"/>
  <c r="BN120" i="14"/>
  <c r="BO120" i="14"/>
  <c r="BP120" i="14"/>
  <c r="BQ120" i="14"/>
  <c r="BR120" i="14"/>
  <c r="BS120" i="14"/>
  <c r="BT120" i="14"/>
  <c r="BU120" i="14"/>
  <c r="BV120" i="14"/>
  <c r="BW120" i="14"/>
  <c r="BX120" i="14"/>
  <c r="BY120" i="14"/>
  <c r="BZ120" i="14"/>
  <c r="CA120" i="14"/>
  <c r="CB120" i="14"/>
  <c r="CC120" i="14"/>
  <c r="CD120" i="14"/>
  <c r="BJ121" i="14"/>
  <c r="BO122" i="14"/>
  <c r="BP126" i="14"/>
  <c r="BQ126" i="14"/>
  <c r="BR126" i="14"/>
  <c r="BS126" i="14"/>
  <c r="BT126" i="14"/>
  <c r="BU126" i="14"/>
  <c r="BV126" i="14"/>
  <c r="BW126" i="14"/>
  <c r="BX126" i="14"/>
  <c r="BY126" i="14"/>
  <c r="BZ126" i="14"/>
  <c r="CA126" i="14"/>
  <c r="CB126" i="14"/>
  <c r="CC126" i="14"/>
  <c r="CD126" i="14"/>
  <c r="BP127" i="14"/>
  <c r="BQ127" i="14"/>
  <c r="BR127" i="14"/>
  <c r="BS127" i="14"/>
  <c r="BT127" i="14"/>
  <c r="BU127" i="14"/>
  <c r="BV127" i="14"/>
  <c r="BW127" i="14"/>
  <c r="BX127" i="14"/>
  <c r="BY127" i="14"/>
  <c r="BZ127" i="14"/>
  <c r="CA127" i="14"/>
  <c r="CB127" i="14"/>
  <c r="CC127" i="14"/>
  <c r="CD127" i="14"/>
  <c r="BF128" i="14"/>
  <c r="BG128" i="14"/>
  <c r="BJ128" i="14"/>
  <c r="BN128" i="14"/>
  <c r="BO128" i="14"/>
  <c r="BP128" i="14"/>
  <c r="BQ128" i="14"/>
  <c r="BR128" i="14"/>
  <c r="BS128" i="14"/>
  <c r="BT128" i="14"/>
  <c r="BU128" i="14"/>
  <c r="BV128" i="14"/>
  <c r="BW128" i="14"/>
  <c r="BX128" i="14"/>
  <c r="BY128" i="14"/>
  <c r="BZ128" i="14"/>
  <c r="CA128" i="14"/>
  <c r="CB128" i="14"/>
  <c r="CC128" i="14"/>
  <c r="CD128" i="14"/>
  <c r="BP134" i="14"/>
  <c r="BQ134" i="14"/>
  <c r="BR134" i="14"/>
  <c r="BS134" i="14"/>
  <c r="BT134" i="14"/>
  <c r="BU134" i="14"/>
  <c r="BV134" i="14"/>
  <c r="BW134" i="14"/>
  <c r="BX134" i="14"/>
  <c r="BY134" i="14"/>
  <c r="BZ134" i="14"/>
  <c r="CA134" i="14"/>
  <c r="CB134" i="14"/>
  <c r="CC134" i="14"/>
  <c r="CD134" i="14"/>
  <c r="BP135" i="14"/>
  <c r="BQ135" i="14"/>
  <c r="BR135" i="14"/>
  <c r="BS135" i="14"/>
  <c r="BT135" i="14"/>
  <c r="BU135" i="14"/>
  <c r="BV135" i="14"/>
  <c r="BW135" i="14"/>
  <c r="BX135" i="14"/>
  <c r="BY135" i="14"/>
  <c r="BZ135" i="14"/>
  <c r="CA135" i="14"/>
  <c r="CB135" i="14"/>
  <c r="CC135" i="14"/>
  <c r="CD135" i="14"/>
  <c r="BF136" i="14"/>
  <c r="BG136" i="14"/>
  <c r="BJ136" i="14"/>
  <c r="BN136" i="14"/>
  <c r="BO136" i="14"/>
  <c r="BP136" i="14"/>
  <c r="BQ136" i="14"/>
  <c r="BR136" i="14"/>
  <c r="BS136" i="14"/>
  <c r="BT136" i="14"/>
  <c r="BU136" i="14"/>
  <c r="BV136" i="14"/>
  <c r="BW136" i="14"/>
  <c r="BX136" i="14"/>
  <c r="BY136" i="14"/>
  <c r="BZ136" i="14"/>
  <c r="CA136" i="14"/>
  <c r="CB136" i="14"/>
  <c r="CC136" i="14"/>
  <c r="CD136" i="14"/>
  <c r="BP137" i="14"/>
  <c r="BQ137" i="14"/>
  <c r="BR137" i="14"/>
  <c r="BS137" i="14"/>
  <c r="BT137" i="14"/>
  <c r="BU137" i="14"/>
  <c r="BV137" i="14"/>
  <c r="BW137" i="14"/>
  <c r="BX137" i="14"/>
  <c r="BY137" i="14"/>
  <c r="BZ137" i="14"/>
  <c r="CA137" i="14"/>
  <c r="CB137" i="14"/>
  <c r="CC137" i="14"/>
  <c r="CD137" i="14"/>
  <c r="BF138" i="14"/>
  <c r="BG138" i="14"/>
  <c r="BJ138" i="14"/>
  <c r="BN138" i="14"/>
  <c r="BO138" i="14"/>
  <c r="BP138" i="14"/>
  <c r="BQ138" i="14"/>
  <c r="BR138" i="14"/>
  <c r="BS138" i="14"/>
  <c r="BT138" i="14"/>
  <c r="BU138" i="14"/>
  <c r="BV138" i="14"/>
  <c r="BW138" i="14"/>
  <c r="BX138" i="14"/>
  <c r="BY138" i="14"/>
  <c r="BZ138" i="14"/>
  <c r="CA138" i="14"/>
  <c r="CB138" i="14"/>
  <c r="CC138" i="14"/>
  <c r="CD138" i="14"/>
  <c r="BP140" i="14"/>
  <c r="BQ140" i="14"/>
  <c r="BR140" i="14"/>
  <c r="BS140" i="14"/>
  <c r="BT140" i="14"/>
  <c r="BU140" i="14"/>
  <c r="BV140" i="14"/>
  <c r="BW140" i="14"/>
  <c r="BX140" i="14"/>
  <c r="BY140" i="14"/>
  <c r="BZ140" i="14"/>
  <c r="CA140" i="14"/>
  <c r="CB140" i="14"/>
  <c r="CC140" i="14"/>
  <c r="CD140" i="14"/>
  <c r="BP141" i="14"/>
  <c r="BQ141" i="14"/>
  <c r="BR141" i="14"/>
  <c r="BS141" i="14"/>
  <c r="BT141" i="14"/>
  <c r="BU141" i="14"/>
  <c r="BV141" i="14"/>
  <c r="BW141" i="14"/>
  <c r="BX141" i="14"/>
  <c r="BY141" i="14"/>
  <c r="BZ141" i="14"/>
  <c r="CA141" i="14"/>
  <c r="CB141" i="14"/>
  <c r="CC141" i="14"/>
  <c r="CD141" i="14"/>
  <c r="BF142" i="14"/>
  <c r="BG142" i="14"/>
  <c r="BJ142" i="14"/>
  <c r="BN142" i="14"/>
  <c r="BO142" i="14"/>
  <c r="BP142" i="14"/>
  <c r="BQ142" i="14"/>
  <c r="BR142" i="14"/>
  <c r="BS142" i="14"/>
  <c r="BT142" i="14"/>
  <c r="BU142" i="14"/>
  <c r="BV142" i="14"/>
  <c r="BW142" i="14"/>
  <c r="BX142" i="14"/>
  <c r="BY142" i="14"/>
  <c r="BZ142" i="14"/>
  <c r="CA142" i="14"/>
  <c r="CB142" i="14"/>
  <c r="CC142" i="14"/>
  <c r="CD142" i="14"/>
  <c r="BF143" i="14"/>
  <c r="BG143" i="14"/>
  <c r="BJ143" i="14"/>
  <c r="BN143" i="14"/>
  <c r="BO143" i="14"/>
  <c r="BP143" i="14"/>
  <c r="BQ143" i="14"/>
  <c r="BR143" i="14"/>
  <c r="BS143" i="14"/>
  <c r="BT143" i="14"/>
  <c r="BU143" i="14"/>
  <c r="BV143" i="14"/>
  <c r="BW143" i="14"/>
  <c r="BX143" i="14"/>
  <c r="BY143" i="14"/>
  <c r="BZ143" i="14"/>
  <c r="CA143" i="14"/>
  <c r="CB143" i="14"/>
  <c r="CC143" i="14"/>
  <c r="CD143" i="14"/>
  <c r="BF146" i="14"/>
  <c r="BG146" i="14"/>
  <c r="BJ146" i="14"/>
  <c r="BN146" i="14"/>
  <c r="BO146" i="14"/>
  <c r="BP146" i="14"/>
  <c r="BQ146" i="14"/>
  <c r="BR146" i="14"/>
  <c r="BS146" i="14"/>
  <c r="BT146" i="14"/>
  <c r="BU146" i="14"/>
  <c r="BV146" i="14"/>
  <c r="BW146" i="14"/>
  <c r="BX146" i="14"/>
  <c r="BY146" i="14"/>
  <c r="BZ146" i="14"/>
  <c r="CA146" i="14"/>
  <c r="CB146" i="14"/>
  <c r="CC146" i="14"/>
  <c r="CD146" i="14"/>
  <c r="CM10" i="6"/>
  <c r="CM11" i="6"/>
  <c r="CM12" i="6"/>
  <c r="BA17" i="6"/>
  <c r="BB17" i="6"/>
  <c r="BC17" i="6"/>
  <c r="BD17" i="6"/>
  <c r="BE17" i="6"/>
  <c r="BF17" i="6"/>
  <c r="BG17" i="6"/>
  <c r="BH17" i="6"/>
  <c r="BI17" i="6"/>
  <c r="BJ17" i="6"/>
  <c r="BK17" i="6"/>
  <c r="BL17" i="6"/>
  <c r="BM17" i="6"/>
  <c r="BN17" i="6"/>
  <c r="BO17" i="6"/>
  <c r="BP17" i="6"/>
  <c r="BQ17" i="6"/>
  <c r="BR17" i="6"/>
  <c r="BS17" i="6"/>
  <c r="BT17" i="6"/>
  <c r="BU17" i="6"/>
  <c r="BV17" i="6"/>
  <c r="BW17" i="6"/>
  <c r="BX17" i="6"/>
  <c r="BY17" i="6"/>
  <c r="BZ17" i="6"/>
  <c r="CA17" i="6"/>
  <c r="CB17" i="6"/>
  <c r="CC17" i="6"/>
  <c r="CD17" i="6"/>
  <c r="CM51" i="6"/>
  <c r="CM52" i="6"/>
  <c r="CM53" i="6"/>
  <c r="CM54" i="6"/>
  <c r="CM55" i="6"/>
  <c r="CM56" i="6"/>
  <c r="CM57" i="6"/>
  <c r="CM58" i="6"/>
  <c r="CM59" i="6"/>
  <c r="CM60" i="6"/>
  <c r="CM61" i="6"/>
  <c r="CM62" i="6"/>
  <c r="BA69" i="6"/>
  <c r="BB69" i="6"/>
  <c r="BC69" i="6"/>
  <c r="BD69" i="6"/>
  <c r="BE69" i="6"/>
  <c r="BF69" i="6"/>
  <c r="BG69" i="6"/>
  <c r="BH69" i="6"/>
  <c r="BI69" i="6"/>
  <c r="BJ69" i="6"/>
  <c r="BK69" i="6"/>
  <c r="BL69" i="6"/>
  <c r="BM69" i="6"/>
  <c r="BN69" i="6"/>
  <c r="BO69" i="6"/>
  <c r="BP69" i="6"/>
  <c r="BQ69" i="6"/>
  <c r="BR69" i="6"/>
  <c r="BS69" i="6"/>
  <c r="BT69" i="6"/>
  <c r="BU69" i="6"/>
  <c r="BV69" i="6"/>
  <c r="BW69" i="6"/>
  <c r="BX69" i="6"/>
  <c r="BY69" i="6"/>
  <c r="BZ69" i="6"/>
  <c r="CA69" i="6"/>
  <c r="CB69" i="6"/>
  <c r="CC69" i="6"/>
  <c r="CD69" i="6"/>
  <c r="BA86" i="6"/>
  <c r="BB86" i="6"/>
  <c r="BC86" i="6"/>
  <c r="BD86" i="6"/>
  <c r="BE86" i="6"/>
  <c r="BF86" i="6"/>
  <c r="BG86" i="6"/>
  <c r="BH86" i="6"/>
  <c r="BI86" i="6"/>
  <c r="BJ86" i="6"/>
  <c r="BK86" i="6"/>
  <c r="BL86" i="6"/>
  <c r="BM86" i="6"/>
  <c r="BN86" i="6"/>
  <c r="BO86" i="6"/>
  <c r="BP86" i="6"/>
  <c r="BQ86" i="6"/>
  <c r="BR86" i="6"/>
  <c r="BS86" i="6"/>
  <c r="BT86" i="6"/>
  <c r="BU86" i="6"/>
  <c r="BV86" i="6"/>
  <c r="BW86" i="6"/>
  <c r="BX86" i="6"/>
  <c r="BY86" i="6"/>
  <c r="BZ86" i="6"/>
  <c r="CA86" i="6"/>
  <c r="CB86" i="6"/>
  <c r="CC86" i="6"/>
  <c r="CD86" i="6"/>
  <c r="BA103" i="6"/>
  <c r="BB103" i="6"/>
  <c r="BC103" i="6"/>
  <c r="BD103" i="6"/>
  <c r="BE103" i="6"/>
  <c r="BF103" i="6"/>
  <c r="BG103" i="6"/>
  <c r="BH103" i="6"/>
  <c r="BI103" i="6"/>
  <c r="BJ103" i="6"/>
  <c r="BK103" i="6"/>
  <c r="BL103" i="6"/>
  <c r="BM103" i="6"/>
  <c r="BN103" i="6"/>
  <c r="BO103" i="6"/>
  <c r="BP103" i="6"/>
  <c r="BQ103" i="6"/>
  <c r="BR103" i="6"/>
  <c r="BS103" i="6"/>
  <c r="BT103" i="6"/>
  <c r="BU103" i="6"/>
  <c r="BV103" i="6"/>
  <c r="BW103" i="6"/>
  <c r="BX103" i="6"/>
  <c r="BY103" i="6"/>
  <c r="BZ103" i="6"/>
  <c r="CA103" i="6"/>
  <c r="CB103" i="6"/>
  <c r="CC103" i="6"/>
  <c r="CD103" i="6"/>
  <c r="BA120" i="6"/>
  <c r="BB120" i="6"/>
  <c r="BC120" i="6"/>
  <c r="BD120" i="6"/>
  <c r="BE120" i="6"/>
  <c r="BF120" i="6"/>
  <c r="BG120" i="6"/>
  <c r="BH120" i="6"/>
  <c r="BI120" i="6"/>
  <c r="BJ120" i="6"/>
  <c r="BK120" i="6"/>
  <c r="BL120" i="6"/>
  <c r="BM120" i="6"/>
  <c r="BN120" i="6"/>
  <c r="BO120" i="6"/>
  <c r="BP120" i="6"/>
  <c r="BQ120" i="6"/>
  <c r="BR120" i="6"/>
  <c r="BS120" i="6"/>
  <c r="BT120" i="6"/>
  <c r="BU120" i="6"/>
  <c r="BV120" i="6"/>
  <c r="BW120" i="6"/>
  <c r="BX120" i="6"/>
  <c r="BY120" i="6"/>
  <c r="BZ120" i="6"/>
  <c r="CA120" i="6"/>
  <c r="CB120" i="6"/>
  <c r="CC120" i="6"/>
  <c r="CD120" i="6"/>
  <c r="BN15" i="37"/>
  <c r="BO15" i="37"/>
  <c r="BP15" i="37"/>
  <c r="BQ15" i="37"/>
  <c r="BR15" i="37"/>
  <c r="BS15" i="37"/>
  <c r="BT15" i="37"/>
  <c r="BU15" i="37"/>
  <c r="BV15" i="37"/>
  <c r="BW15" i="37"/>
  <c r="BX15" i="37"/>
  <c r="BY15" i="37"/>
  <c r="BZ15" i="37"/>
  <c r="CA15" i="37"/>
  <c r="CB15" i="37"/>
  <c r="CC15" i="37"/>
  <c r="CD15" i="37"/>
  <c r="BN18" i="37"/>
  <c r="BO18" i="37"/>
  <c r="BP18" i="37"/>
  <c r="BQ18" i="37"/>
  <c r="BR18" i="37"/>
  <c r="BS18" i="37"/>
  <c r="BT18" i="37"/>
  <c r="BU18" i="37"/>
  <c r="BV18" i="37"/>
  <c r="BW18" i="37"/>
  <c r="BX18" i="37"/>
  <c r="BY18" i="37"/>
  <c r="BZ18" i="37"/>
  <c r="CA18" i="37"/>
  <c r="CB18" i="37"/>
  <c r="CC18" i="37"/>
  <c r="CD18" i="37"/>
  <c r="BT19" i="37"/>
  <c r="BY19" i="37"/>
  <c r="CD19" i="37"/>
  <c r="BN24" i="37"/>
  <c r="BO24" i="37"/>
  <c r="BN25" i="37"/>
  <c r="BO25" i="37"/>
  <c r="BN27" i="37"/>
  <c r="BO27" i="37"/>
  <c r="BB36" i="37"/>
  <c r="BC36" i="37"/>
  <c r="BD36" i="37"/>
  <c r="BE36" i="37"/>
  <c r="BG36" i="37"/>
  <c r="BH36" i="37"/>
  <c r="BJ36" i="37"/>
  <c r="BK36" i="37"/>
  <c r="BO36" i="37"/>
  <c r="BP44" i="37"/>
  <c r="BQ44" i="37"/>
  <c r="BR44" i="37"/>
  <c r="BS44" i="37"/>
  <c r="BT44" i="37"/>
  <c r="BU44" i="37"/>
  <c r="BV44" i="37"/>
  <c r="BW44" i="37"/>
  <c r="BX44" i="37"/>
  <c r="BY44" i="37"/>
  <c r="BZ44" i="37"/>
  <c r="CA44" i="37"/>
  <c r="CB44" i="37"/>
  <c r="CC44" i="37"/>
  <c r="CD44" i="37"/>
  <c r="BP45" i="37"/>
  <c r="BQ45" i="37"/>
  <c r="BR45" i="37"/>
  <c r="BS45" i="37"/>
  <c r="BT45" i="37"/>
  <c r="BU45" i="37"/>
  <c r="BV45" i="37"/>
  <c r="BW45" i="37"/>
  <c r="BX45" i="37"/>
  <c r="BY45" i="37"/>
  <c r="BZ45" i="37"/>
  <c r="CA45" i="37"/>
  <c r="CB45" i="37"/>
  <c r="CC45" i="37"/>
  <c r="CD45" i="37"/>
  <c r="BT46" i="37"/>
  <c r="BY46" i="37"/>
  <c r="CD46" i="37"/>
  <c r="BP52" i="37"/>
  <c r="BQ52" i="37"/>
  <c r="BR52" i="37"/>
  <c r="BS52" i="37"/>
  <c r="BT52" i="37"/>
  <c r="BU52" i="37"/>
  <c r="BV52" i="37"/>
  <c r="BW52" i="37"/>
  <c r="BX52" i="37"/>
  <c r="BY52" i="37"/>
  <c r="BZ52" i="37"/>
  <c r="CA52" i="37"/>
  <c r="CB52" i="37"/>
  <c r="CC52" i="37"/>
  <c r="CD52" i="37"/>
  <c r="BT53" i="37"/>
  <c r="BY53" i="37"/>
  <c r="CD53" i="37"/>
  <c r="BP54" i="37"/>
  <c r="BQ54" i="37"/>
  <c r="BR54" i="37"/>
  <c r="BS54" i="37"/>
  <c r="BT54" i="37"/>
  <c r="BU54" i="37"/>
  <c r="BV54" i="37"/>
  <c r="BW54" i="37"/>
  <c r="BX54" i="37"/>
  <c r="BY54" i="37"/>
  <c r="BZ54" i="37"/>
  <c r="CA54" i="37"/>
  <c r="CB54" i="37"/>
  <c r="CC54" i="37"/>
  <c r="CD54" i="37"/>
  <c r="BP57" i="37"/>
  <c r="BQ57" i="37"/>
  <c r="BR57" i="37"/>
  <c r="BS57" i="37"/>
  <c r="BT57" i="37"/>
  <c r="BU57" i="37"/>
  <c r="BV57" i="37"/>
  <c r="BW57" i="37"/>
  <c r="BX57" i="37"/>
  <c r="BY57" i="37"/>
  <c r="BZ57" i="37"/>
  <c r="CA57" i="37"/>
  <c r="CB57" i="37"/>
  <c r="CC57" i="37"/>
  <c r="CD57" i="37"/>
  <c r="BP63" i="37"/>
  <c r="BQ63" i="37"/>
  <c r="BR63" i="37"/>
  <c r="BS63" i="37"/>
  <c r="BT63" i="37"/>
  <c r="BU63" i="37"/>
  <c r="BV63" i="37"/>
  <c r="BW63" i="37"/>
  <c r="BX63" i="37"/>
  <c r="BY63" i="37"/>
  <c r="BZ63" i="37"/>
  <c r="CA63" i="37"/>
  <c r="CB63" i="37"/>
  <c r="CC63" i="37"/>
  <c r="CD63" i="37"/>
  <c r="BP64" i="37"/>
  <c r="BQ64" i="37"/>
  <c r="BR64" i="37"/>
  <c r="BS64" i="37"/>
  <c r="BT64" i="37"/>
  <c r="BU64" i="37"/>
  <c r="BV64" i="37"/>
  <c r="BW64" i="37"/>
  <c r="BX64" i="37"/>
  <c r="BY64" i="37"/>
  <c r="BZ64" i="37"/>
  <c r="CA64" i="37"/>
  <c r="CB64" i="37"/>
  <c r="CC64" i="37"/>
  <c r="CD64" i="37"/>
  <c r="BP65" i="37"/>
  <c r="BQ65" i="37"/>
  <c r="BR65" i="37"/>
  <c r="BS65" i="37"/>
  <c r="BT65" i="37"/>
  <c r="BU65" i="37"/>
  <c r="BV65" i="37"/>
  <c r="BW65" i="37"/>
  <c r="BX65" i="37"/>
  <c r="BY65" i="37"/>
  <c r="BZ65" i="37"/>
  <c r="CA65" i="37"/>
  <c r="CB65" i="37"/>
  <c r="CC65" i="37"/>
  <c r="CD65" i="37"/>
  <c r="BT67" i="37"/>
  <c r="BY67" i="37"/>
  <c r="CD67" i="37"/>
  <c r="BP68" i="37"/>
  <c r="BQ68" i="37"/>
  <c r="BR68" i="37"/>
  <c r="BS68" i="37"/>
  <c r="BT68" i="37"/>
  <c r="BU68" i="37"/>
  <c r="BV68" i="37"/>
  <c r="BW68" i="37"/>
  <c r="BX68" i="37"/>
  <c r="BY68" i="37"/>
  <c r="BZ68" i="37"/>
  <c r="CA68" i="37"/>
  <c r="CB68" i="37"/>
  <c r="CC68" i="37"/>
  <c r="CD68" i="37"/>
  <c r="BP12" i="27"/>
  <c r="BQ12" i="27"/>
  <c r="BR12" i="27"/>
  <c r="BS12" i="27"/>
  <c r="BT12" i="27"/>
  <c r="BU12" i="27"/>
  <c r="BV12" i="27"/>
  <c r="BW12" i="27"/>
  <c r="BX12" i="27"/>
  <c r="BY12" i="27"/>
  <c r="BZ12" i="27"/>
  <c r="CA12" i="27"/>
  <c r="CB12" i="27"/>
  <c r="CC12" i="27"/>
  <c r="CD12" i="27"/>
  <c r="BN14" i="27"/>
  <c r="BO14" i="27"/>
  <c r="BP14" i="27"/>
  <c r="BQ14" i="27"/>
  <c r="BR14" i="27"/>
  <c r="BS14" i="27"/>
  <c r="BT14" i="27"/>
  <c r="BU14" i="27"/>
  <c r="BV14" i="27"/>
  <c r="BW14" i="27"/>
  <c r="BX14" i="27"/>
  <c r="BY14" i="27"/>
  <c r="BZ14" i="27"/>
  <c r="CA14" i="27"/>
  <c r="CB14" i="27"/>
  <c r="CC14" i="27"/>
  <c r="CD14" i="27"/>
  <c r="BN17" i="27"/>
  <c r="BO17" i="27"/>
  <c r="BP17" i="27"/>
  <c r="BQ17" i="27"/>
  <c r="BR17" i="27"/>
  <c r="BS17" i="27"/>
  <c r="BT17" i="27"/>
  <c r="BU17" i="27"/>
  <c r="BV17" i="27"/>
  <c r="BW17" i="27"/>
  <c r="BX17" i="27"/>
  <c r="BY17" i="27"/>
  <c r="BZ17" i="27"/>
  <c r="CA17" i="27"/>
  <c r="CB17" i="27"/>
  <c r="CC17" i="27"/>
  <c r="CD17" i="27"/>
  <c r="BP19" i="27"/>
  <c r="BQ19" i="27"/>
  <c r="BR19" i="27"/>
  <c r="BS19" i="27"/>
  <c r="BT19" i="27"/>
  <c r="BU19" i="27"/>
  <c r="BV19" i="27"/>
  <c r="BW19" i="27"/>
  <c r="BX19" i="27"/>
  <c r="BY19" i="27"/>
  <c r="BZ19" i="27"/>
  <c r="CA19" i="27"/>
  <c r="CB19" i="27"/>
  <c r="CC19" i="27"/>
  <c r="CD19" i="27"/>
  <c r="BP20" i="27"/>
  <c r="BQ20" i="27"/>
  <c r="BR20" i="27"/>
  <c r="BS20" i="27"/>
  <c r="BT20" i="27"/>
  <c r="BU20" i="27"/>
  <c r="BV20" i="27"/>
  <c r="BW20" i="27"/>
  <c r="BX20" i="27"/>
  <c r="BY20" i="27"/>
  <c r="BZ20" i="27"/>
  <c r="CA20" i="27"/>
  <c r="CB20" i="27"/>
  <c r="CC20" i="27"/>
  <c r="CD20" i="27"/>
  <c r="BN22" i="27"/>
  <c r="BO22" i="27"/>
  <c r="BP22" i="27"/>
  <c r="BQ22" i="27"/>
  <c r="BR22" i="27"/>
  <c r="BS22" i="27"/>
  <c r="BT22" i="27"/>
  <c r="BU22" i="27"/>
  <c r="BV22" i="27"/>
  <c r="BW22" i="27"/>
  <c r="BX22" i="27"/>
  <c r="BY22" i="27"/>
  <c r="BZ22" i="27"/>
  <c r="CA22" i="27"/>
  <c r="CB22" i="27"/>
  <c r="CC22" i="27"/>
  <c r="CD22" i="27"/>
  <c r="BN27" i="27"/>
  <c r="BO27" i="27"/>
  <c r="BP27" i="27"/>
  <c r="BQ27" i="27"/>
  <c r="BR27" i="27"/>
  <c r="BS27" i="27"/>
  <c r="BT27" i="27"/>
  <c r="BU27" i="27"/>
  <c r="BV27" i="27"/>
  <c r="BW27" i="27"/>
  <c r="BX27" i="27"/>
  <c r="BY27" i="27"/>
  <c r="BZ27" i="27"/>
  <c r="CA27" i="27"/>
  <c r="CB27" i="27"/>
  <c r="CC27" i="27"/>
  <c r="CD27" i="27"/>
  <c r="BF37" i="27"/>
  <c r="BG37" i="27"/>
  <c r="BJ37" i="27"/>
  <c r="BF40" i="27"/>
  <c r="BG40" i="27"/>
  <c r="BJ40" i="27"/>
  <c r="BF45" i="27"/>
  <c r="BG45" i="27"/>
  <c r="BJ45" i="27"/>
  <c r="BP53" i="27"/>
  <c r="BQ53" i="27"/>
  <c r="BR53" i="27"/>
  <c r="BS53" i="27"/>
  <c r="BT53" i="27"/>
  <c r="BU53" i="27"/>
  <c r="BV53" i="27"/>
  <c r="BW53" i="27"/>
  <c r="BX53" i="27"/>
  <c r="BY53" i="27"/>
  <c r="BZ53" i="27"/>
  <c r="CA53" i="27"/>
  <c r="CB53" i="27"/>
  <c r="CC53" i="27"/>
  <c r="CD53" i="27"/>
  <c r="BF55" i="27"/>
  <c r="BG55" i="27"/>
  <c r="BJ55" i="27"/>
  <c r="BN55" i="27"/>
  <c r="BO55" i="27"/>
  <c r="BP55" i="27"/>
  <c r="BQ55" i="27"/>
  <c r="BR55" i="27"/>
  <c r="BS55" i="27"/>
  <c r="BT55" i="27"/>
  <c r="BU55" i="27"/>
  <c r="BV55" i="27"/>
  <c r="BW55" i="27"/>
  <c r="BX55" i="27"/>
  <c r="BY55" i="27"/>
  <c r="BZ55" i="27"/>
  <c r="CA55" i="27"/>
  <c r="CB55" i="27"/>
  <c r="CC55" i="27"/>
  <c r="CD55" i="27"/>
  <c r="BF58" i="27"/>
  <c r="BG58" i="27"/>
  <c r="BJ58" i="27"/>
  <c r="BN58" i="27"/>
  <c r="BO58" i="27"/>
  <c r="BP58" i="27"/>
  <c r="BQ58" i="27"/>
  <c r="BR58" i="27"/>
  <c r="BS58" i="27"/>
  <c r="BT58" i="27"/>
  <c r="BU58" i="27"/>
  <c r="BV58" i="27"/>
  <c r="BW58" i="27"/>
  <c r="BX58" i="27"/>
  <c r="BY58" i="27"/>
  <c r="BZ58" i="27"/>
  <c r="CA58" i="27"/>
  <c r="CB58" i="27"/>
  <c r="CC58" i="27"/>
  <c r="CD58" i="27"/>
  <c r="BP60" i="27"/>
  <c r="BQ60" i="27"/>
  <c r="BR60" i="27"/>
  <c r="BS60" i="27"/>
  <c r="BT60" i="27"/>
  <c r="BU60" i="27"/>
  <c r="BV60" i="27"/>
  <c r="BW60" i="27"/>
  <c r="BX60" i="27"/>
  <c r="BY60" i="27"/>
  <c r="BZ60" i="27"/>
  <c r="CA60" i="27"/>
  <c r="CB60" i="27"/>
  <c r="CC60" i="27"/>
  <c r="CD60" i="27"/>
  <c r="BP61" i="27"/>
  <c r="BQ61" i="27"/>
  <c r="BR61" i="27"/>
  <c r="BS61" i="27"/>
  <c r="BT61" i="27"/>
  <c r="BU61" i="27"/>
  <c r="BV61" i="27"/>
  <c r="BW61" i="27"/>
  <c r="BX61" i="27"/>
  <c r="BY61" i="27"/>
  <c r="BZ61" i="27"/>
  <c r="CA61" i="27"/>
  <c r="CB61" i="27"/>
  <c r="CC61" i="27"/>
  <c r="CD61" i="27"/>
  <c r="BF63" i="27"/>
  <c r="BG63" i="27"/>
  <c r="BJ63" i="27"/>
  <c r="BN63" i="27"/>
  <c r="BO63" i="27"/>
  <c r="BP63" i="27"/>
  <c r="BQ63" i="27"/>
  <c r="BR63" i="27"/>
  <c r="BS63" i="27"/>
  <c r="BT63" i="27"/>
  <c r="BU63" i="27"/>
  <c r="BV63" i="27"/>
  <c r="BW63" i="27"/>
  <c r="BX63" i="27"/>
  <c r="BY63" i="27"/>
  <c r="BZ63" i="27"/>
  <c r="CA63" i="27"/>
  <c r="CB63" i="27"/>
  <c r="CC63" i="27"/>
  <c r="CD63" i="27"/>
  <c r="BJ72" i="27"/>
  <c r="BN72" i="27"/>
  <c r="BO72" i="27"/>
  <c r="BP72" i="27"/>
  <c r="BQ72" i="27"/>
  <c r="BR72" i="27"/>
  <c r="BS72" i="27"/>
  <c r="BT72" i="27"/>
  <c r="BU72" i="27"/>
  <c r="BV72" i="27"/>
  <c r="BW72" i="27"/>
  <c r="BX72" i="27"/>
  <c r="BY72" i="27"/>
  <c r="BZ72" i="27"/>
  <c r="CA72" i="27"/>
  <c r="CB72" i="27"/>
  <c r="CC72" i="27"/>
  <c r="CD72" i="27"/>
  <c r="BJ74" i="27"/>
  <c r="BN74" i="27"/>
  <c r="BO74" i="27"/>
  <c r="BP74" i="27"/>
  <c r="BQ74" i="27"/>
  <c r="BR74" i="27"/>
  <c r="BS74" i="27"/>
  <c r="BT74" i="27"/>
  <c r="BU74" i="27"/>
  <c r="BV74" i="27"/>
  <c r="BW74" i="27"/>
  <c r="BX74" i="27"/>
  <c r="BY74" i="27"/>
  <c r="BZ74" i="27"/>
  <c r="CA74" i="27"/>
  <c r="CB74" i="27"/>
  <c r="CC74" i="27"/>
  <c r="CD74" i="27"/>
  <c r="BN76" i="27"/>
  <c r="BO76" i="27"/>
  <c r="BP76" i="27"/>
  <c r="BQ76" i="27"/>
  <c r="BR76" i="27"/>
  <c r="BS76" i="27"/>
  <c r="BT76" i="27"/>
  <c r="BU76" i="27"/>
  <c r="BV76" i="27"/>
  <c r="BW76" i="27"/>
  <c r="BX76" i="27"/>
  <c r="BY76" i="27"/>
  <c r="BZ76" i="27"/>
  <c r="CA76" i="27"/>
  <c r="CB76" i="27"/>
  <c r="CC76" i="27"/>
  <c r="CD76" i="27"/>
  <c r="BN78" i="27"/>
  <c r="BO78" i="27"/>
  <c r="BP78" i="27"/>
  <c r="BQ78" i="27"/>
  <c r="BR78" i="27"/>
  <c r="BS78" i="27"/>
  <c r="BT78" i="27"/>
  <c r="BU78" i="27"/>
  <c r="BV78" i="27"/>
  <c r="BW78" i="27"/>
  <c r="BX78" i="27"/>
  <c r="BY78" i="27"/>
  <c r="BZ78" i="27"/>
  <c r="CA78" i="27"/>
  <c r="CB78" i="27"/>
  <c r="CC78" i="27"/>
  <c r="CD78" i="27"/>
  <c r="BJ80" i="27"/>
  <c r="BN80" i="27"/>
  <c r="BO80" i="27"/>
  <c r="BT80" i="27"/>
  <c r="BY80" i="27"/>
  <c r="CD80" i="27"/>
  <c r="BF81" i="27"/>
  <c r="BG81" i="27"/>
  <c r="BJ81" i="27"/>
  <c r="BN81" i="27"/>
  <c r="BO81" i="27"/>
  <c r="BP81" i="27"/>
  <c r="BQ81" i="27"/>
  <c r="BR81" i="27"/>
  <c r="BS81" i="27"/>
  <c r="BT81" i="27"/>
  <c r="BU81" i="27"/>
  <c r="BV81" i="27"/>
  <c r="BW81" i="27"/>
  <c r="BX81" i="27"/>
  <c r="BY81" i="27"/>
  <c r="BZ81" i="27"/>
  <c r="CA81" i="27"/>
  <c r="CB81" i="27"/>
  <c r="CC81" i="27"/>
  <c r="CD81" i="27"/>
  <c r="BP89" i="27"/>
  <c r="BQ89" i="27"/>
  <c r="BR89" i="27"/>
  <c r="BS89" i="27"/>
  <c r="BT89" i="27"/>
  <c r="BU89" i="27"/>
  <c r="BV89" i="27"/>
  <c r="BW89" i="27"/>
  <c r="BX89" i="27"/>
  <c r="BY89" i="27"/>
  <c r="BZ89" i="27"/>
  <c r="CA89" i="27"/>
  <c r="CB89" i="27"/>
  <c r="CC89" i="27"/>
  <c r="CD89" i="27"/>
  <c r="BP90" i="27"/>
  <c r="BQ90" i="27"/>
  <c r="BR90" i="27"/>
  <c r="BS90" i="27"/>
  <c r="BT90" i="27"/>
  <c r="BU90" i="27"/>
  <c r="BV90" i="27"/>
  <c r="BW90" i="27"/>
  <c r="BX90" i="27"/>
  <c r="BY90" i="27"/>
  <c r="BZ90" i="27"/>
  <c r="CA90" i="27"/>
  <c r="CB90" i="27"/>
  <c r="CC90" i="27"/>
  <c r="CD90" i="27"/>
  <c r="BP91" i="27"/>
  <c r="BQ91" i="27"/>
  <c r="BR91" i="27"/>
  <c r="BS91" i="27"/>
  <c r="BT91" i="27"/>
  <c r="BU91" i="27"/>
  <c r="BV91" i="27"/>
  <c r="BW91" i="27"/>
  <c r="BX91" i="27"/>
  <c r="BY91" i="27"/>
  <c r="BZ91" i="27"/>
  <c r="CA91" i="27"/>
  <c r="CB91" i="27"/>
  <c r="CC91" i="27"/>
  <c r="CD91" i="27"/>
  <c r="BT94" i="27"/>
  <c r="BY94" i="27"/>
  <c r="CD94" i="27"/>
  <c r="BJ101" i="27"/>
  <c r="BO101" i="27"/>
  <c r="BT101" i="27"/>
  <c r="BY101" i="27"/>
  <c r="CD101" i="27"/>
  <c r="BJ112" i="27"/>
  <c r="BO112" i="27"/>
  <c r="BT112" i="27"/>
  <c r="BY112" i="27"/>
  <c r="CD112" i="27"/>
  <c r="BJ121" i="27"/>
  <c r="BT121" i="27"/>
  <c r="BY121" i="27"/>
  <c r="CD121" i="27"/>
  <c r="BJ122" i="27"/>
  <c r="BT122" i="27"/>
  <c r="BY122" i="27"/>
  <c r="CD122" i="27"/>
  <c r="BJ125" i="27"/>
  <c r="BO125" i="27"/>
  <c r="BT125" i="27"/>
  <c r="BY125" i="27"/>
  <c r="CD125" i="27"/>
  <c r="BJ126" i="27"/>
  <c r="BO126" i="27"/>
  <c r="BT126" i="27"/>
  <c r="BY126" i="27"/>
  <c r="CD126" i="27"/>
  <c r="BO129" i="27"/>
  <c r="BT129" i="27"/>
  <c r="BY129" i="27"/>
  <c r="CD129" i="27"/>
  <c r="BJ130" i="27"/>
  <c r="BO130" i="27"/>
  <c r="BT130" i="27"/>
  <c r="BY130" i="27"/>
  <c r="CD130" i="27"/>
  <c r="BJ131" i="27"/>
  <c r="BO131" i="27"/>
  <c r="BT131" i="27"/>
  <c r="BY131" i="27"/>
  <c r="CD131" i="27"/>
  <c r="BO133" i="27"/>
  <c r="BT133" i="27"/>
  <c r="BY133" i="27"/>
  <c r="CD133" i="27"/>
  <c r="BJ134" i="27"/>
  <c r="BO134" i="27"/>
  <c r="BT134" i="27"/>
  <c r="BY134" i="27"/>
  <c r="CD134" i="27"/>
  <c r="BJ135" i="27"/>
  <c r="BO135" i="27"/>
  <c r="BT135" i="27"/>
  <c r="BY135" i="27"/>
  <c r="CD135" i="27"/>
  <c r="BJ137" i="27"/>
  <c r="BO137" i="27"/>
  <c r="BT137" i="27"/>
  <c r="BY137" i="27"/>
  <c r="CD137" i="27"/>
  <c r="BJ139" i="27"/>
  <c r="BO139" i="27"/>
  <c r="BT139" i="27"/>
  <c r="BY139" i="27"/>
  <c r="CD139" i="27"/>
</calcChain>
</file>

<file path=xl/comments1.xml><?xml version="1.0" encoding="utf-8"?>
<comments xmlns="http://schemas.openxmlformats.org/spreadsheetml/2006/main">
  <authors>
    <author>sadykoa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卟䙄_x0001_＀＀ꬄ丝_x000D_䅎偞偟䥒䕃〨착_x0018_＀＀_x0018_＀＀_x0008_＀＀_x0001_＀＀_x0001_＀＀豀碵꼝쐕</t>
        </r>
      </text>
    </comment>
    <comment ref="B1" authorId="0">
      <text>
        <r>
          <rPr>
            <b/>
            <sz val="8"/>
            <color indexed="81"/>
            <rFont val="Tahoma"/>
            <family val="2"/>
          </rPr>
          <t>34</t>
        </r>
      </text>
    </comment>
  </commentList>
</comments>
</file>

<file path=xl/comments2.xml><?xml version="1.0" encoding="utf-8"?>
<comments xmlns="http://schemas.openxmlformats.org/spreadsheetml/2006/main">
  <authors>
    <author>Chilukuru, Sasikanth (Research)</author>
  </authors>
  <commentList>
    <comment ref="D296" authorId="0">
      <text>
        <r>
          <rPr>
            <b/>
            <sz val="9"/>
            <color indexed="81"/>
            <rFont val="Tahoma"/>
            <family val="2"/>
          </rPr>
          <t>Chilukuru, Sasikanth (Research):</t>
        </r>
        <r>
          <rPr>
            <sz val="9"/>
            <color indexed="81"/>
            <rFont val="Tahoma"/>
            <family val="2"/>
          </rPr>
          <t xml:space="preserve">
BP has acquired Repsol's 3.06% stake in the Tangguh LNG project in Indonesia for $313 mn, a BP spokesman said on Monday. The purchase lifts operator BP's stake in the plant to a little more than 40%. (Reuters) 5 Dec</t>
        </r>
      </text>
    </comment>
  </commentList>
</comments>
</file>

<file path=xl/sharedStrings.xml><?xml version="1.0" encoding="utf-8"?>
<sst xmlns="http://schemas.openxmlformats.org/spreadsheetml/2006/main" count="20281" uniqueCount="4115">
  <si>
    <t>10.1602672924816</t>
  </si>
  <si>
    <t>0.990446456717589</t>
  </si>
  <si>
    <t>3,591.04688557302</t>
  </si>
  <si>
    <t>0.435</t>
  </si>
  <si>
    <t>5.64843079427449</t>
  </si>
  <si>
    <t>35,444.3313998201</t>
  </si>
  <si>
    <t>0.516835883024267</t>
  </si>
  <si>
    <t>0.0224784525214549</t>
  </si>
  <si>
    <t>13,905.5020604866</t>
  </si>
  <si>
    <t>4.24292815076796</t>
  </si>
  <si>
    <t>0.101278224648696</t>
  </si>
  <si>
    <t>23,810.5775349034</t>
  </si>
  <si>
    <t>BP SJN Fruitland Tier Two CBM NM Fee*</t>
  </si>
  <si>
    <t>BP SJN Mesaverde TGS NM Fee*</t>
  </si>
  <si>
    <t>BP.L,mscalc:dilutedEarningsPerShare,2012FY</t>
  </si>
  <si>
    <t>BP.L,mscalc:netOperatingAssetsExcludingAdjustments2,2010FY,,FYR,,,HOLD</t>
  </si>
  <si>
    <t>1.63607146233103</t>
  </si>
  <si>
    <t>39.8137651821862</t>
  </si>
  <si>
    <t>BP.L,mscalc:ebitdaBeforePensionOpebAndOperatingLeaseAdjustments,2010FY,,FYR,,,WORK</t>
  </si>
  <si>
    <t>BP.L,mscalc:bookValuePerShare,2012FY</t>
  </si>
  <si>
    <t>BP.L,mscalc:inventoryTurnover,2012FY,,FYR</t>
  </si>
  <si>
    <t>BP.L,mscalc:priceToEarningsBeforeOperatingLeaseAdjustments,2009FY,,FYR</t>
  </si>
  <si>
    <t>BP.L,mscalc:effectiveTaxRate,2008FY,,FYR</t>
  </si>
  <si>
    <t>BP.L,mstag:costOfSalesWithoutDepreciation,2013FY,,FYR</t>
  </si>
  <si>
    <t>BP.L,mscalc:capitalExpendituresToDepreciationRatioExcludingOperatingLeaseAdjustments,2014FY,,FYR</t>
  </si>
  <si>
    <t>925</t>
  </si>
  <si>
    <t>3.78854709995056</t>
  </si>
  <si>
    <t>BP.L,mscalc:marketCapitalization,2006FY,,FYR,USD,,HOLD</t>
  </si>
  <si>
    <t>BP.L,mscalc:marketCapitalization,2015FY,,FYR,USD,,HOLD</t>
  </si>
  <si>
    <t>BP.L,mscalc:returnOnNetOperatingAssetsExcludingAdjustments2calc,2008FY,,FYR,,,HOLD</t>
  </si>
  <si>
    <t>BP.L,mscalc:freeCashFlowForConsensus,2012FY,,FYR</t>
  </si>
  <si>
    <t>BP.L,mstag:sellingGeneralAndAdministrativeExpenses,2013FY,,FYR</t>
  </si>
  <si>
    <t>% of earnings</t>
  </si>
  <si>
    <t>Net debt to equity</t>
  </si>
  <si>
    <t>137,266.549126562</t>
  </si>
  <si>
    <t>BP.L,msuser:cmWorkingCapitalSales20051031T1238209890,2014FY,,FYR</t>
  </si>
  <si>
    <t>Total revenues and other income</t>
  </si>
  <si>
    <t>Purchases</t>
  </si>
  <si>
    <t>Production and manufacturing expenses</t>
  </si>
  <si>
    <t>Production and similar taxes</t>
  </si>
  <si>
    <t>BP.L,mscalc:capexsales,2009FY,,FYR</t>
  </si>
  <si>
    <t>BP.L,mscalc:daysSalesOutstanding,2009FY,,FYR</t>
  </si>
  <si>
    <t>BP.L,mscalc:operatingAssetTurnoverExcludingAdjustments2calc,2015FY,,FYR</t>
  </si>
  <si>
    <t>BP.L,mscalc:currentRatio,2010FY,,FYR</t>
  </si>
  <si>
    <t>BP.L,mscalc:tangibleOperatingAssetTurnover,2009FY,,FYR</t>
  </si>
  <si>
    <t>BP.L,mscalc:returnOnAverageEquityForConsensus,2008FY,,FYR,,,HOLD</t>
  </si>
  <si>
    <t>BP.L,mscalc:operatingRevenueForConsensus,2006FY,,FYR,,,HOLD</t>
  </si>
  <si>
    <t>BP.L,mscalc:netIncomeBeforeOperatingLeaseAdjustment,2011FY,,FYR,,,HOLD</t>
  </si>
  <si>
    <t>BP.L,mstag:costOfSalesWithDepreciation,2008FY,,FYR,,,HOLD</t>
  </si>
  <si>
    <t>BP.L,mscalc:returnOnNetOperatingAssetsExcludingAdjustments2calc,2014FY,,FYR</t>
  </si>
  <si>
    <t>BP.L,mscalc:ebitdaBeforePensionOpebAndOperatingLeaseAdjustments,2014FY,,FYR</t>
  </si>
  <si>
    <t>118,107.667386664</t>
  </si>
  <si>
    <t>8,809.06152439386</t>
  </si>
  <si>
    <t>33,280.5755381763</t>
  </si>
  <si>
    <t>25,809.9946432559</t>
  </si>
  <si>
    <t>30,054.7473356472</t>
  </si>
  <si>
    <t>28,118.5390085598</t>
  </si>
  <si>
    <t>91,200.416049702</t>
  </si>
  <si>
    <t>161,541.697051656</t>
  </si>
  <si>
    <t>24,123.2125937072</t>
  </si>
  <si>
    <t>BP.L,mscalc:freeCashFlowForConsensus,2015FY,,FYR,,,WORK</t>
  </si>
  <si>
    <t>BP.L,mscalc:returnOnAverageEquityForConsensus,2015FY,,FYR,,,WORK</t>
  </si>
  <si>
    <t>BP.L,mscalc:ebitdaBeforePensionOpebAndOperatingLeaseAdjustments,2006FY,,FYR,,,WORK</t>
  </si>
  <si>
    <t>144,003.610005501</t>
  </si>
  <si>
    <t>113,189.588190452</t>
  </si>
  <si>
    <t>145,326.380953047</t>
  </si>
  <si>
    <t>147,542.25694265</t>
  </si>
  <si>
    <t>151,069.784038089</t>
  </si>
  <si>
    <t>BP.L,mscalc:priceToEarningsBeforeOperatingLeaseAdjustments,2007FY,,FYR,,,WORK</t>
  </si>
  <si>
    <t>Everest*</t>
  </si>
  <si>
    <t>Farragon*</t>
  </si>
  <si>
    <t>Fleming</t>
  </si>
  <si>
    <t>Foinaven*</t>
  </si>
  <si>
    <t>Foinaven East*</t>
  </si>
  <si>
    <t>Hawkins</t>
  </si>
  <si>
    <t>Additions to PP&amp;E</t>
  </si>
  <si>
    <t>Percent of capex ex acq</t>
  </si>
  <si>
    <t>Remaining</t>
  </si>
  <si>
    <t>6,112.756368</t>
  </si>
  <si>
    <t>BP.L,mscalc:operatingRevenueForConsensus,2012FY,,FYR,,,WORK</t>
  </si>
  <si>
    <t>BP.L,mscalc:enterpriseValueAsif,2015FY,,FYR,,,WORK</t>
  </si>
  <si>
    <t>BP.L,mscalc:interestExpenseNet,2006FY,,FYR,,,WORK</t>
  </si>
  <si>
    <t>Assumed interest rate</t>
  </si>
  <si>
    <t>BP.L,mstag:costOfSalesWithoutDepreciation,2011FY,,FYR,,,WORK</t>
  </si>
  <si>
    <t>BP.L,mscalc:daysSalesOutstanding,2012FY,,FYR,,,WORK</t>
  </si>
  <si>
    <t>257,063.446415814</t>
  </si>
  <si>
    <t>3.22973642279896</t>
  </si>
  <si>
    <t>1.35413293404015</t>
  </si>
  <si>
    <t>10.828445232333</t>
  </si>
  <si>
    <t>3.15708937032477</t>
  </si>
  <si>
    <t>0.434670224595319</t>
  </si>
  <si>
    <t>Cash and cash equivalents at beginning of period</t>
  </si>
  <si>
    <t>1.4504313062981</t>
  </si>
  <si>
    <t>0.999112031966849</t>
  </si>
  <si>
    <t>0.3544806671721</t>
  </si>
  <si>
    <t>169,251</t>
  </si>
  <si>
    <t>Udmurtneft Fields</t>
  </si>
  <si>
    <t>BP.L,mscalc:nopatExcludingAdjustments2,2015FY,,FYR</t>
  </si>
  <si>
    <t>BP.L,mscalc:inventoryTurnover,2015FY,,FYR,,,WORK</t>
  </si>
  <si>
    <t>BP.L,mscalc:daysSalesOutstanding,2007FY,,FYR,,,WORK</t>
  </si>
  <si>
    <t>0.769816110750857</t>
  </si>
  <si>
    <t>BP.L,mscalc:evToNoa,2013FY</t>
  </si>
  <si>
    <t>BP.L,mscalc:dilutedEarningsPerShare,2013FY</t>
  </si>
  <si>
    <t>BP.L,mscalc:evToEbitda,2011FY</t>
  </si>
  <si>
    <t>BP.L,mscalc:evnopat,2011FY</t>
  </si>
  <si>
    <t>BP.L,mscalc:freeCashFlowYieldRatioForConsensus,2014FY</t>
  </si>
  <si>
    <t>Acid gas and Sour gas</t>
  </si>
  <si>
    <t>King`s Peak (DC 133)*</t>
  </si>
  <si>
    <t>Purneftegaz (Oil Fields)</t>
  </si>
  <si>
    <t>140,761.967734623</t>
  </si>
  <si>
    <t>7.01284100646288</t>
  </si>
  <si>
    <t>5.34412175390382</t>
  </si>
  <si>
    <t>5.78009837381825</t>
  </si>
  <si>
    <t>0.920020098680672</t>
  </si>
  <si>
    <t>0.820176571621929</t>
  </si>
  <si>
    <t>BP.L,mscalc:profitBeforeTaxBeforeOperatingLeaseAdjustmentsCalc,2008FY,,FYR</t>
  </si>
  <si>
    <t>Conventional gas</t>
  </si>
  <si>
    <t>Tight gas</t>
  </si>
  <si>
    <t>BP.L,mscalc:priceToBookValueReportedcalc,2008FY,,FYR,,,WORK</t>
  </si>
  <si>
    <t>Total South America</t>
  </si>
  <si>
    <t>Africa</t>
  </si>
  <si>
    <t>BP.L,mscalc:ebitdaBeforePensionOpebAndOperatingLeaseAdjustments,2008FY,,FYR</t>
  </si>
  <si>
    <t>BP.L,mscalc:enterpriseValueAsif,2012FY,,FYR,,,HOLD</t>
  </si>
  <si>
    <t>BP.L,mscalc:returnOnAverageEquityForConsensus,2011FY,,FYR,,,HOLD</t>
  </si>
  <si>
    <t>BP.L,mscalc:shareholdersEquityExcludingAdjustments2,2007FY,,FYR,,,HOLD</t>
  </si>
  <si>
    <t>BP.L,mscalc:operatingRevenueForConsensus,2013FY,,FYR,,,HOLD</t>
  </si>
  <si>
    <t>BP.L,mscalc:nopatExcludingAdjustments2,2014FY,,FYR,,,HOLD</t>
  </si>
  <si>
    <t>BP.L,mscalc:enterpriseValueAsif,2015FY,,FYR,,,HOLD</t>
  </si>
  <si>
    <t>BP.L,mstag:cashDividendsPaid,2006FY,,FYR,,,HOLD</t>
  </si>
  <si>
    <t>BP.L,mscalc:currentRatio,2006FY,,FYR</t>
  </si>
  <si>
    <t>BP.L,mscalc:currentRatio,2015FY,,FYR</t>
  </si>
  <si>
    <t>BP.L,mscalc:operatingAssetTurnoverExcludingAdjustments2calc,2009FY,,FYR</t>
  </si>
  <si>
    <t>South Ghara Fields</t>
  </si>
  <si>
    <t>South Gharib Fields</t>
  </si>
  <si>
    <t>Temsah Fields</t>
  </si>
  <si>
    <t>Indonesia</t>
  </si>
  <si>
    <t>North West Java Sea PSC*</t>
  </si>
  <si>
    <t>Sanga Sanga PSC</t>
  </si>
  <si>
    <t>Iraq</t>
  </si>
  <si>
    <t>Netherlands</t>
  </si>
  <si>
    <t>Bergen Concession*</t>
  </si>
  <si>
    <t>P/15-16*</t>
  </si>
  <si>
    <t>P/15-17*</t>
  </si>
  <si>
    <t>31,197.7927625956</t>
  </si>
  <si>
    <t>0.110122149248102</t>
  </si>
  <si>
    <t>TNK-BP (Rosneft from 1Q13)</t>
  </si>
  <si>
    <t>BP CBP Ellenburger TGS TX State*</t>
  </si>
  <si>
    <t>BP CBP SAGrayburg EOR OIL TX State*</t>
  </si>
  <si>
    <t>BP.L,mscalc:sharePriceCurrent,,,,#Refresh#</t>
  </si>
  <si>
    <t>122,015</t>
  </si>
  <si>
    <t>6.33422226297583</t>
  </si>
  <si>
    <t>BP.L,mscalc:effectiveTaxRate,2013FY,,FYR,,,WORK</t>
  </si>
  <si>
    <t>BP.L,mscalc:priceToEarningsBeforeOperatingLeaseAdjustments,2014FY,,FYR,,,WORK</t>
  </si>
  <si>
    <t>36.2497608775969</t>
  </si>
  <si>
    <t>1.68675466545289</t>
  </si>
  <si>
    <t>12.454569458562</t>
  </si>
  <si>
    <t>1.21282779129494</t>
  </si>
  <si>
    <t>1.40773170328763</t>
  </si>
  <si>
    <t>BP.L,mscalc:netDebtToEBITDAForConsensus,2012FY,,FYR,,,WORK</t>
  </si>
  <si>
    <t>West Sak</t>
  </si>
  <si>
    <t>US (Deepwater GOM)</t>
  </si>
  <si>
    <t>Atlantis (GC 699)*</t>
  </si>
  <si>
    <t>BP.L,mstag:costOfSalesWithoutDepreciation,2010FY,,FYR,,,WORK</t>
  </si>
  <si>
    <t>BP.L,mstag:costOfSalesWithoutDepreciation,2008FY,,FYR,,,WORK</t>
  </si>
  <si>
    <t>BP.L,mscalc:daysSalesOutstanding,2008FY,,FYR,,,WORK</t>
  </si>
  <si>
    <t>BP.L,mscalc:sharePriceCurrent</t>
  </si>
  <si>
    <t>BP.L,mscalc:priceToEarningsBeforeOperatingLeaseAdjustments,2011FY,,FYR,,,WORK</t>
  </si>
  <si>
    <t>BP.L,mstag:costOfSalesWithoutDepreciation,2013FY,,FYR,,,WORK</t>
  </si>
  <si>
    <t>BP.L,msuser:cmWorkingCapitalSales20051031T1238209890,2014FY,,FYR,,,WORK</t>
  </si>
  <si>
    <t>BP.L,mscalc:capitalExpendituresToDepreciationRatioExcludingOperatingLeaseAdjustments,2015FY,,FYR,,,WORK</t>
  </si>
  <si>
    <t>BP.L,mscalc:enterpriseValueAsif,2014FY,,FYR,,,WORK</t>
  </si>
  <si>
    <t>BP.L,mscalc:interestExpenseNet,2014FY,,FYR,,,WORK</t>
  </si>
  <si>
    <t>261,291</t>
  </si>
  <si>
    <t>29.6545301999485</t>
  </si>
  <si>
    <t>6.29322369507797</t>
  </si>
  <si>
    <t>1.30102642998583</t>
  </si>
  <si>
    <t>3.1620001779122</t>
  </si>
  <si>
    <t>16.1866714226265</t>
  </si>
  <si>
    <t>0.317731097918977</t>
  </si>
  <si>
    <t>3.54040938768308</t>
  </si>
  <si>
    <t>53.1111746256196</t>
  </si>
  <si>
    <t>64.3507751937985</t>
  </si>
  <si>
    <t>0.465168622928254</t>
  </si>
  <si>
    <t>BP.L,mscalc:freeCashFlowYieldRatioForConsensus,2011FY</t>
  </si>
  <si>
    <t>BP.L,mscalc:evnopat,2010FY</t>
  </si>
  <si>
    <t>BP.L,mscalc:pretaxOperatingprofitptopForReconcilaition,2011FY</t>
  </si>
  <si>
    <t>BP.L,mscalc:evEbida,2012FY</t>
  </si>
  <si>
    <t>BP.L,mscalc:evnopat,2013FY</t>
  </si>
  <si>
    <t>BP.L,mscalc:dilutedEarningsPerShare,2011FY</t>
  </si>
  <si>
    <t>BP.L,mscalc:evEbida,2011FY</t>
  </si>
  <si>
    <t>BP.L,mscalc:netIncome,2013FY</t>
  </si>
  <si>
    <t>BP.L,mscalc:returnOnNetOperatingAssetsExcludingAdjustments2calc,2011FY</t>
  </si>
  <si>
    <t>BP.L,mscalc:evrevenue,2011FY</t>
  </si>
  <si>
    <t>BP.L,mscalc:priceToEarnings,2010FY</t>
  </si>
  <si>
    <t>Reserves</t>
  </si>
  <si>
    <t>Oil &amp; Gas Exploration and Production Activities</t>
  </si>
  <si>
    <t>Production</t>
  </si>
  <si>
    <t>Oil and NGL (/bbl)</t>
  </si>
  <si>
    <t>Natural gas (/mmcf)</t>
  </si>
  <si>
    <t>Realise price</t>
  </si>
  <si>
    <t>Production x price</t>
  </si>
  <si>
    <t>BP.L,mscalc:currentRatio,2011FY,,FYR</t>
  </si>
  <si>
    <t>BP.L,mscalc:daysPayableOutstanding,2011FY,,FYR,,,HOLD</t>
  </si>
  <si>
    <t>149,943.629646132</t>
  </si>
  <si>
    <t>SUBS - Pakistan</t>
  </si>
  <si>
    <t>BP.L,mscalc:freeCashFlowForConsensus,2007FY,,FYR,,,WORK</t>
  </si>
  <si>
    <t>BP.L,mscalc:returnOnAverageEquityForConsensus,2007FY,,FYR,,,WORK</t>
  </si>
  <si>
    <t>BP.L,mscalc:profitBeforeTaxBeforeOperatingLeaseAdjustmentsCalc,2013FY,,FYR,,,WORK</t>
  </si>
  <si>
    <t>BP.L,mstag:cashDividendsPaid,2011FY,,FYR,,,WORK</t>
  </si>
  <si>
    <t>BP.L,mscalc:netDebtAsif,2012FY,,FYR,,,WORK</t>
  </si>
  <si>
    <t>BP.L,msuser:cmGrossprofitforconsensus20080605T2347008189,2007FY,,FYR,,,WORK</t>
  </si>
  <si>
    <t>SUBS - Brazil</t>
  </si>
  <si>
    <t>BP BC*</t>
  </si>
  <si>
    <t>Canada (Oil Sands)</t>
  </si>
  <si>
    <t>Sunrise</t>
  </si>
  <si>
    <t>Oil sands - in situ</t>
  </si>
  <si>
    <t>China</t>
  </si>
  <si>
    <t>Heavy oil</t>
  </si>
  <si>
    <t>Qinhuangdao 32-6</t>
  </si>
  <si>
    <t>297,107</t>
  </si>
  <si>
    <t>26,288</t>
  </si>
  <si>
    <t>7,969</t>
  </si>
  <si>
    <t>119,664</t>
  </si>
  <si>
    <t>42,774</t>
  </si>
  <si>
    <t>42,868</t>
  </si>
  <si>
    <t>239,272</t>
  </si>
  <si>
    <t>25,007</t>
  </si>
  <si>
    <t>12,843.1875</t>
  </si>
  <si>
    <t>13,007.2753679462</t>
  </si>
  <si>
    <t>34,779</t>
  </si>
  <si>
    <t>BP.L,mscalc:dividendPayoutRatioForConsensus,2009FY,,FYR,,,WORK</t>
  </si>
  <si>
    <t>Discount rate</t>
  </si>
  <si>
    <t>26,193.664862622</t>
  </si>
  <si>
    <t>26,139.274527011</t>
  </si>
  <si>
    <t>42,260.5767896321</t>
  </si>
  <si>
    <t>29,875.0218150496</t>
  </si>
  <si>
    <t>381,960.868726814</t>
  </si>
  <si>
    <t>16,217.1670676963</t>
  </si>
  <si>
    <t>21,258.8010593149</t>
  </si>
  <si>
    <t>24,665.6249636253</t>
  </si>
  <si>
    <t>BP.L,mscalc:freeCashFlowForConsensus,2006FY,,FYR,,,WORK</t>
  </si>
  <si>
    <t>BP.L,mscalc:marketCapitalization,2012FY,,FYR,#Refresh#,,HOLD</t>
  </si>
  <si>
    <t>4.13856097060852</t>
  </si>
  <si>
    <t>4,317</t>
  </si>
  <si>
    <t>1.19652822530885</t>
  </si>
  <si>
    <t>375,517</t>
  </si>
  <si>
    <t>BP.L,mscalc:marketCapitalization,2008FY,,FYR,#Refresh#,,HOLD</t>
  </si>
  <si>
    <t>BP.L,mscalc:marketCapitalization,2015FY,,FYR,#Refresh#,,HOLD</t>
  </si>
  <si>
    <t>BP.L,mstag:costOfSalesWithDepreciation,2014FY,,FYR</t>
  </si>
  <si>
    <t>BP.L,msuser:cmWorkingCapitalSales20051031T1238209890,2015FY,,FYR,,,HOLD</t>
  </si>
  <si>
    <t>BP.L,mscalc:dividendPayoutRatioForConsensus,2006FY,,FYR,,,HOLD</t>
  </si>
  <si>
    <t>BP.L,mscalc:totalCoverFixedChargeRatioInferredRatingAgency,2009FY,,FYR,,,HOLD</t>
  </si>
  <si>
    <t>BP.L,mscalc:capitalExpendituresToDepreciationRatioExcludingOperatingLeaseAdjustments,2009FY,,FYR,,,HOLD</t>
  </si>
  <si>
    <t>At start of period</t>
  </si>
  <si>
    <t>At end of period</t>
  </si>
  <si>
    <t>Total equity accounted investments</t>
  </si>
  <si>
    <t>Of which:</t>
  </si>
  <si>
    <t>Liabilities held for sale</t>
  </si>
  <si>
    <t>BP.L,mscalc:totalCoverFixedChargeRatioInferredRatingAgency,2010FY,,FYR</t>
  </si>
  <si>
    <t>BP.L,mscalc:profitBeforeTaxBeforeOperatingLeaseAdjustmentsCalc,2007FY,,FYR</t>
  </si>
  <si>
    <t>BP.L,mscalc:ebitdaBeforePensionOpebAndOperatingLeaseAdjustments,2013FY,,FYR</t>
  </si>
  <si>
    <t>BP.L,mscalc:nopatExcludingAdjustments2,2008FY,,FYR</t>
  </si>
  <si>
    <t>BP.L,mscalc:interestExpenseNet,2009FY,,FYR</t>
  </si>
  <si>
    <t>BP.L,mscalc:netDebtAsif,2015FY,,FYR</t>
  </si>
  <si>
    <t>BP.L,mscalc:returnOnAverageEquityForConsensus,2010FY,,FYR</t>
  </si>
  <si>
    <t>BP.L,mscalc:freeCashFlowForConsensus,2015FY,,FYR</t>
  </si>
  <si>
    <t>BP.L,mscalc:dividendPayoutRatioForConsensus,2012FY,,FYR,,,WORK</t>
  </si>
  <si>
    <t>Drilling cost written-off -- % of last 3 yrs</t>
  </si>
  <si>
    <t>BP.L,mscalc:inventoryTurnover,2008FY,,FYR,,,WORK</t>
  </si>
  <si>
    <t>BP.L,mscalc:effectiveTaxRate,2010FY,,FYR,,,WORK</t>
  </si>
  <si>
    <t>BP.L,mscalc:pretaxOperatingprofitptopForReconcilaition,2010FY</t>
  </si>
  <si>
    <t>0.171249936392644</t>
  </si>
  <si>
    <t>16,172.4208961971</t>
  </si>
  <si>
    <t>1,498.30518416012</t>
  </si>
  <si>
    <t>390,549.728405137</t>
  </si>
  <si>
    <t>157,071.770876699</t>
  </si>
  <si>
    <t>0.202142397679071</t>
  </si>
  <si>
    <t>0.21942520869387</t>
  </si>
  <si>
    <t>92,881.499876474</t>
  </si>
  <si>
    <t>BP.L,mstag:costOfSalesWithoutDepreciation,2014FY,,FYR,,,WORK</t>
  </si>
  <si>
    <t>Cerro Dragón Area*</t>
  </si>
  <si>
    <t>BP.L,mstag:cashDividendsPaid,2013FY,,FYR,,,HOLD</t>
  </si>
  <si>
    <t>BP.L,mscalc:nopatExcludingAdjustments2,2010FY,,FYR,,,HOLD</t>
  </si>
  <si>
    <t>BP.L,mscalc:evToNoa,2012FY,,,,,HOLD</t>
  </si>
  <si>
    <t>BP.L,mscalc:dividendYield,2013FY,,,,,HOLD</t>
  </si>
  <si>
    <t>BP.L,mscalc:evEbida,2008FY,,,,,HOLD</t>
  </si>
  <si>
    <t>BP.L,mscalc:evToNoa,2015FY,,,,,HOLD</t>
  </si>
  <si>
    <t>BP.L,mscalc:shareholdersEquityExcludingAdjustments2,2009FY,,FYR,,,HOLD</t>
  </si>
  <si>
    <t>BP.L,mscalc:profitBeforeTaxBeforeOperatingLeaseAdjustmentsCalc,2011FY,,FYR,,,HOLD</t>
  </si>
  <si>
    <t>BP.L,mscalc:dividendPayoutRatioForConsensus,2006FY,,FYR</t>
  </si>
  <si>
    <t>BP.L,mscalc:capitalExpendituresToDepreciationRatioExcludingOperatingLeaseAdjustments,2010FY,,FYR</t>
  </si>
  <si>
    <t>BP.L,mscalc:dividendPayoutRatioForConsensus,2008FY,,FYR</t>
  </si>
  <si>
    <t>13,412.25</t>
  </si>
  <si>
    <t>1,595.52445203833</t>
  </si>
  <si>
    <t>BP.L,mscalc:enterpriseValueAsif,2009FY,,FYR,,,HOLD</t>
  </si>
  <si>
    <t>BP.L,mscalc:ebitdaBeforePensionOpebAndOperatingLeaseAdjustments,2012FY,,FYR,,,HOLD</t>
  </si>
  <si>
    <t>Vixen</t>
  </si>
  <si>
    <t>Vulcan</t>
  </si>
  <si>
    <t>West Sole Area*</t>
  </si>
  <si>
    <t>Whittle*</t>
  </si>
  <si>
    <t>Wollaston*</t>
  </si>
  <si>
    <t>Merganser (AT 37)</t>
  </si>
  <si>
    <t>BP SJN Fruitland Tier One CBM CO Fee*</t>
  </si>
  <si>
    <t>BP subsidiaries</t>
  </si>
  <si>
    <t>Liquids (thousand b/d)</t>
  </si>
  <si>
    <t>Europe</t>
  </si>
  <si>
    <t xml:space="preserve">Norway </t>
  </si>
  <si>
    <t>Country + type</t>
  </si>
  <si>
    <t>Type</t>
  </si>
  <si>
    <t>Total Europe</t>
  </si>
  <si>
    <t>North America</t>
  </si>
  <si>
    <t>BP.L,mscalc:currentRatio,2014FY,,FYR,,,HOLD</t>
  </si>
  <si>
    <t>BP.L,mscalc:capitalExpendituresToDepreciationRatioExcludingOperatingLeaseAdjustments,2008FY,,FYR,,,HOLD</t>
  </si>
  <si>
    <t>BP.L,mstag:costOfSalesWithoutDepreciation,2006FY,,FYR,,,HOLD</t>
  </si>
  <si>
    <t>1.18704572404278</t>
  </si>
  <si>
    <t>BP.L,mscalc:currentRatio,2012FY,,FYR,,,WORK</t>
  </si>
  <si>
    <t>BP.L,mscalc:effectiveTaxRate,2012FY,,FYR,,,WORK</t>
  </si>
  <si>
    <t>BP.L,mscalc:dividendPayoutRatioForConsensus,2007FY,,FYR,,,WORK</t>
  </si>
  <si>
    <t>Quarter vs full year (seasonality)</t>
  </si>
  <si>
    <t>Average multiplier</t>
  </si>
  <si>
    <t>1Q</t>
  </si>
  <si>
    <t>2Q</t>
  </si>
  <si>
    <t>3Q</t>
  </si>
  <si>
    <t>Net debt-to-Capital</t>
  </si>
  <si>
    <t>Europa (MC 935)</t>
  </si>
  <si>
    <t>Great White</t>
  </si>
  <si>
    <t>Hoover/Diana</t>
  </si>
  <si>
    <t>Horn Mountain (MC 127)*</t>
  </si>
  <si>
    <t>North October</t>
  </si>
  <si>
    <t>North Shadwan Fields*</t>
  </si>
  <si>
    <t>South Belayim Fields</t>
  </si>
  <si>
    <t>BP.L,mscalc:priceToEarningsBeforeOperatingLeaseAdjustments,2008FY,,FYR,,,WORK</t>
  </si>
  <si>
    <t>BP.L,mscalc:priceToBookValueReportedcalc,2009FY,,FYR,,,WORK</t>
  </si>
  <si>
    <t>BP.L,mscalc:profitBeforeTaxBeforeOperatingLeaseAdjustmentsCalc,2006FY,,FYR,,,HOLD</t>
  </si>
  <si>
    <t>BP.L,mscalc:priceToBookValueReportedcalc,2007FY,,FYR,,,WORK</t>
  </si>
  <si>
    <t>BP.L,mscalc:totalCoverFixedChargeRatioInferredRatingAgency,2008FY,,FYR,,,WORK</t>
  </si>
  <si>
    <t>BP.L,mscalc:daysPayableOutstanding,2015FY,,FYR,,,WORK</t>
  </si>
  <si>
    <t>BP.L,mstag:costOfSalesWithDepreciation,2015FY,,FYR,,,WORK</t>
  </si>
  <si>
    <t>BP.L,mscalc:operatingAssetTurnoverExcludingAdjustments2calc,2007FY,,FYR,,,WORK</t>
  </si>
  <si>
    <t>BP Reference Price (US$)</t>
  </si>
  <si>
    <t>BP.L,mscalc:marketCapitalization,2010FY,,FYR,USD</t>
  </si>
  <si>
    <t>BP.L,mscalc:shareholdersEquityExcludingAdjustments2,2010FY,,FYR</t>
  </si>
  <si>
    <t>BP.L,mstag:costOfSalesWithoutDepreciation,2014FY,,FYR</t>
  </si>
  <si>
    <t>BP.L,mscalc:daysSalesOutstanding,2012FY,,FYR</t>
  </si>
  <si>
    <t>BP.L,mscalc:tangibleOperatingAssetTurnover,2007FY,,FYR</t>
  </si>
  <si>
    <t>BP.L,mscalc:priceToBookValueReportedcalc,2007FY,,FYR</t>
  </si>
  <si>
    <t>BP.L,mscalc:netDebtToEBITDAForConsensus,2015FY,,FYR</t>
  </si>
  <si>
    <t>BP.L,mscalc:tangibleOperatingAssetTurnover,2015FY,,FYR</t>
  </si>
  <si>
    <t>BP.L,msuser:cmWorkingCapitalSales20051031T1238209890,2015FY,,FYR</t>
  </si>
  <si>
    <t>BP.L,msuser:cmWorkingCapitalSales20051031T1238209890,2013FY,,FYR</t>
  </si>
  <si>
    <t>Finance costs</t>
  </si>
  <si>
    <t>BP shareholders</t>
  </si>
  <si>
    <t>+ Purchases of reserves-in-place</t>
  </si>
  <si>
    <t>- Sales of reserves-in-place</t>
  </si>
  <si>
    <t>Oil and natural gas</t>
  </si>
  <si>
    <t>Subsidiaries and EAI</t>
  </si>
  <si>
    <t>Proved reserves (million barrels)</t>
  </si>
  <si>
    <t>BP.L,mscalc:returnOnAverageEquityForConsensus,2008FY,,FYR,,,WORK</t>
  </si>
  <si>
    <t>Exploration expense</t>
  </si>
  <si>
    <t>0.0505987951644377</t>
  </si>
  <si>
    <t>289,506.517558738</t>
  </si>
  <si>
    <t>6.4587054341833</t>
  </si>
  <si>
    <t>5.76047961256913</t>
  </si>
  <si>
    <t>11.0705268945382</t>
  </si>
  <si>
    <t>Non-operating items</t>
  </si>
  <si>
    <t>BP.L,mstag:sellingGeneralAndAdministrativeExpenses,2011FY,,FYR,,,HOLD</t>
  </si>
  <si>
    <t>BP.L,mscalc:marketCapitalization,2011FY,,FYR,USD,,HOLD</t>
  </si>
  <si>
    <t>BP.L,mscalc:freeCashFlowForConsensus,2007FY,,FYR</t>
  </si>
  <si>
    <t>Dev Status</t>
  </si>
  <si>
    <t>Shore Status</t>
  </si>
  <si>
    <t>Crude Type</t>
  </si>
  <si>
    <t>Gas Type</t>
  </si>
  <si>
    <t>Dev Type</t>
  </si>
  <si>
    <t>BP.L,mscalc:operatingRevenueForConsensus,2012FY,,FYR,,,HOLD</t>
  </si>
  <si>
    <t>BP.L,mscalc:netOperatingAssetsExcludingAdjustments2,2008FY,,FYR,,,HOLD</t>
  </si>
  <si>
    <t>BP.L,mscalc:netOperatingAssetsExcludingAdjustments2,2007FY,,FYR,,,HOLD</t>
  </si>
  <si>
    <t>Polvo*</t>
  </si>
  <si>
    <t>SUBS - India</t>
  </si>
  <si>
    <t>BP.L,mscalc:netOperatingAssetsExcludingAdjustments2,2013FY,,FYR</t>
  </si>
  <si>
    <t>BP.L,mscalc:capitalExpendituresToDepreciationRatioExcludingOperatingLeaseAdjustments,2008FY,,FYR,,,WORK</t>
  </si>
  <si>
    <t>BP.L,mscalc:nopatExcludingAdjustments2,2007FY,,FYR</t>
  </si>
  <si>
    <t>BP.L,mscalc:enterpriseValueAsif,2012FY,,FYR</t>
  </si>
  <si>
    <t>BP.L,mscalc:profitBeforeTaxBeforeOperatingLeaseAdjustmentsCalc,2013FY,,FYR,,,HOLD</t>
  </si>
  <si>
    <t>Count</t>
  </si>
  <si>
    <t>BP.L,msuser:cmGrossprofitforconsensus20080605T2347008189,2013FY,,FYR</t>
  </si>
  <si>
    <t>BP.L,mscalc:priceToBookValue,2011FY</t>
  </si>
  <si>
    <t>BP.L,mscalc:dilutedEarningsPerShare,2009FY</t>
  </si>
  <si>
    <t>21,281.0297852819</t>
  </si>
  <si>
    <t>162,229.725894027</t>
  </si>
  <si>
    <t>23,917.0330608121</t>
  </si>
  <si>
    <t>19,675.861354912</t>
  </si>
  <si>
    <t>19,726.0973359606</t>
  </si>
  <si>
    <t>Difference: BP reported production vs WoodMac estimate - Total</t>
  </si>
  <si>
    <t>Sales and other operating revenues</t>
  </si>
  <si>
    <t>Interest and other income</t>
  </si>
  <si>
    <t>Gains on sale of businesses and fixed assets</t>
  </si>
  <si>
    <t>BP.L,mscalc:daysPayableOutstanding,2009FY,,FYR,,,WORK</t>
  </si>
  <si>
    <t>Production forecast according to WoodMackenzie - Gas</t>
  </si>
  <si>
    <t>Company</t>
  </si>
  <si>
    <t>Country</t>
  </si>
  <si>
    <t>Field</t>
  </si>
  <si>
    <t>Risk-free rate</t>
  </si>
  <si>
    <t>Credit spread</t>
  </si>
  <si>
    <t>ERP</t>
  </si>
  <si>
    <t>Dividends per share</t>
  </si>
  <si>
    <t>CAGR</t>
  </si>
  <si>
    <t>Market growth</t>
  </si>
  <si>
    <t>BP.L,mstag:cashDividendsPaid,2014FY,,FYR,,,WORK</t>
  </si>
  <si>
    <t>BP.L,mscalc:profitBeforeTaxBeforeOperatingLeaseAdjustmentsCalc,2012FY,,FYR,,,WORK</t>
  </si>
  <si>
    <t>BP.L,mscalc:netOperatingAssetsExcludingAdjustments2,2007FY,,FYR,,,WORK</t>
  </si>
  <si>
    <t>Percentage difference: Actual vs Woodmac</t>
  </si>
  <si>
    <t>6,326.70284088</t>
  </si>
  <si>
    <t>19,820.4858851187</t>
  </si>
  <si>
    <t>1,240.04813566586</t>
  </si>
  <si>
    <t>46,350.5106770573</t>
  </si>
  <si>
    <t>24,640.9693428509</t>
  </si>
  <si>
    <t>116,481.836883536</t>
  </si>
  <si>
    <t>29,735.831404806</t>
  </si>
  <si>
    <t>92,454.351168076</t>
  </si>
  <si>
    <t>385,546.555735203</t>
  </si>
  <si>
    <t>BP.L,msuser:cmGrossprofitforconsensus20080605T2347008189,2014FY,,FYR,,,WORK</t>
  </si>
  <si>
    <t>BP.L,mscalc:returnOnAverageEquityForConsensus,2014FY,,FYR,,,WORK</t>
  </si>
  <si>
    <t>BP.L,mscalc:netIncomeBeforeOperatingLeaseAdjustment,2007FY,,FYR,,,WORK</t>
  </si>
  <si>
    <t>BP.L,mscalc:tangibleOperatingAssetTurnover,2011FY,,FYR</t>
  </si>
  <si>
    <t>BP.L,mscalc:operatingAssetTurnoverExcludingAdjustments2calc,2013FY,,FYR</t>
  </si>
  <si>
    <t>BP.L,mscalc:pretaxOperatingprofitForConsensus,2008FY,,FYR,,,WORK</t>
  </si>
  <si>
    <t>BP.L,mscalc:capitalExpendituresToDepreciationRatioExcludingOperatingLeaseAdjustments,2009FY,,FYR,,,WORK</t>
  </si>
  <si>
    <t>BP.L,mscalc:operatingAssetTurnoverExcludingAdjustments2calc,2009FY,,FYR,,,WORK</t>
  </si>
  <si>
    <t>BP.L,mstag:costOfSalesWithDepreciation,2011FY,,FYR,,,WORK</t>
  </si>
  <si>
    <t>BP.L,mscalc:returnOnNetOperatingAssetsExcludingAdjustments2calc,2008FY,,FYR</t>
  </si>
  <si>
    <t>BP.L,mscalc:operatingRevenueForConsensus,2010FY,,FYR</t>
  </si>
  <si>
    <t>BP.L,mscalc:freeCashFlowForConsensus,2006FY,,FYR</t>
  </si>
  <si>
    <t>BP.L,mscalc:ebitdaBeforePensionOpebAndOperatingLeaseAdjustments,2008FY,,FYR,,,HOLD</t>
  </si>
  <si>
    <t>BP.L,mscalc:returnOnAverageEquityForConsensus,2015FY,,FYR</t>
  </si>
  <si>
    <t>BP.L,mscalc:evrevenue,2012FY</t>
  </si>
  <si>
    <t>BP.L,mscalc:dividendsPerShareCalc,2011FY</t>
  </si>
  <si>
    <t>8,795.68925305001</t>
  </si>
  <si>
    <t>33,090.5379012084</t>
  </si>
  <si>
    <t>33,696.9718231819</t>
  </si>
  <si>
    <t>123,024.530046389</t>
  </si>
  <si>
    <t>47,451.0163360993</t>
  </si>
  <si>
    <t>BP.L,mscalc:totalCoverFixedChargeRatioInferredRatingAgency,2015FY,,FYR,,,WORK</t>
  </si>
  <si>
    <t>BP.L,mscalc:returnOnNetOperatingAssetsExcludingAdjustments2calc,2009FY,,FYR</t>
  </si>
  <si>
    <t>Production - crude oil, NGLs and condensate</t>
  </si>
  <si>
    <t>BP.L,mscalc:netOperatingAssetsExcludingAdjustments2,2014FY,,FYR,,,HOLD</t>
  </si>
  <si>
    <t>BP.L,mscalc:profitBeforeTaxBeforeOperatingLeaseAdjustmentsCalc,2015FY,,FYR,,,HOLD</t>
  </si>
  <si>
    <t>370,446.36740737</t>
  </si>
  <si>
    <t>0.356451700295552</t>
  </si>
  <si>
    <t>16,026.0190240967</t>
  </si>
  <si>
    <t>16,022.239138154</t>
  </si>
  <si>
    <t>39,291.1844676925</t>
  </si>
  <si>
    <t>16,020.0720428786</t>
  </si>
  <si>
    <t>2.81837889385833</t>
  </si>
  <si>
    <t>38.6602900883094</t>
  </si>
  <si>
    <t>26,203.8947202416</t>
  </si>
  <si>
    <t>40,844.5357255791</t>
  </si>
  <si>
    <t>0.357179120060452</t>
  </si>
  <si>
    <t>1.46775921638624</t>
  </si>
  <si>
    <t>150,798.85159583</t>
  </si>
  <si>
    <t>7.01752434901366</t>
  </si>
  <si>
    <t>27,060.0965198934</t>
  </si>
  <si>
    <t>0.701635080536495</t>
  </si>
  <si>
    <t>0.949876176068828</t>
  </si>
  <si>
    <t>359,700.241690242</t>
  </si>
  <si>
    <t>86,479.473985507</t>
  </si>
  <si>
    <t>2.54866876658846</t>
  </si>
  <si>
    <t>0.0644208548073853</t>
  </si>
  <si>
    <t>27,426.5758885855</t>
  </si>
  <si>
    <t>20.7783183190588</t>
  </si>
  <si>
    <t>10.9394735072343</t>
  </si>
  <si>
    <t>6.48666068837673</t>
  </si>
  <si>
    <t>8.79898817162045</t>
  </si>
  <si>
    <t>1.64177013197001</t>
  </si>
  <si>
    <t>223,661</t>
  </si>
  <si>
    <t>+ Discoveries and extensions</t>
  </si>
  <si>
    <t>0.116141869389728</t>
  </si>
  <si>
    <t>6,483.652758</t>
  </si>
  <si>
    <t>359,057.242917955</t>
  </si>
  <si>
    <t>BP.L,mscalc:priceToEarningsBeforeOperatingLeaseAdjustments,2012FY,,FYR</t>
  </si>
  <si>
    <t>Gubkinskoye (Gas)</t>
  </si>
  <si>
    <t>Other payables</t>
  </si>
  <si>
    <t>Deferred tax liabilities</t>
  </si>
  <si>
    <t>Equity</t>
  </si>
  <si>
    <t>BP shareholders’ equity</t>
  </si>
  <si>
    <t>22,466</t>
  </si>
  <si>
    <t>6,504</t>
  </si>
  <si>
    <t>0.212445461377121</t>
  </si>
  <si>
    <t>3,583.920136</t>
  </si>
  <si>
    <t>79,387</t>
  </si>
  <si>
    <t>53,759</t>
  </si>
  <si>
    <t>21,000</t>
  </si>
  <si>
    <t>7,413</t>
  </si>
  <si>
    <t>125,475</t>
  </si>
  <si>
    <t>361,143</t>
  </si>
  <si>
    <t>344,742.476787417</t>
  </si>
  <si>
    <t>42,619</t>
  </si>
  <si>
    <t>21,371</t>
  </si>
  <si>
    <t>32,975</t>
  </si>
  <si>
    <t>516</t>
  </si>
  <si>
    <t>14,256</t>
  </si>
  <si>
    <t>29,085</t>
  </si>
  <si>
    <t>105,958</t>
  </si>
  <si>
    <t>8,333</t>
  </si>
  <si>
    <t>17,416.84</t>
  </si>
  <si>
    <t>70,021</t>
  </si>
  <si>
    <t>King (MC 764)</t>
  </si>
  <si>
    <t>BP.L,mscalc:shareholdersEquityExcludingAdjustments2,2014FY,,FYR</t>
  </si>
  <si>
    <t>BP.L,mstag:costOfSalesWithoutDepreciation,2010FY,,FYR</t>
  </si>
  <si>
    <t>BP.L,mscalc:daysSalesOutstanding,2010FY,,FYR</t>
  </si>
  <si>
    <t>BP.L,mscalc:marketCapitalization,2014FY,,FYR,,,WORK</t>
  </si>
  <si>
    <t>BP.L,mscalc:interestExpenseNet,2012FY,,FYR,,,WORK</t>
  </si>
  <si>
    <t>BP.L,mscalc:shareholdersEquityExcludingAdjustments2,2015FY,,FYR,,,WORK</t>
  </si>
  <si>
    <t>BP.L,mscalc:profitBeforeTaxBeforeOperatingLeaseAdjustmentsCalc,2007FY,,FYR,,,WORK</t>
  </si>
  <si>
    <t>BP.L,mscalc:operatingAssetTurnoverExcludingAdjustments2calc,2007FY,,FYR,,,HOLD</t>
  </si>
  <si>
    <t>BP.L,mscalc:inventoryTurnover,2009FY,,FYR,,,HOLD</t>
  </si>
  <si>
    <t>Cost value of assets by division:</t>
  </si>
  <si>
    <t>BP.L,mscalc:capitalExpendituresToDepreciationRatioExcludingOperatingLeaseAdjustments,2009FY,,FYR</t>
  </si>
  <si>
    <t>BP.L,msuser:cmWorkingCapitalSales20051031T1238209890,2008FY,,FYR</t>
  </si>
  <si>
    <t>BP.L,mscalc:priceToBookValueReportedcalc,2012FY,,FYR</t>
  </si>
  <si>
    <t>Mica (MC 211)</t>
  </si>
  <si>
    <t>Na Kika*</t>
  </si>
  <si>
    <t>Nansen (EB 602)</t>
  </si>
  <si>
    <t>Navajo</t>
  </si>
  <si>
    <t>BP.L,mscalc:inventoryTurnover,2012FY,,FYR,,,WORK</t>
  </si>
  <si>
    <t>BP.L,mscalc:capexsales,2013FY,,FYR,,,WORK</t>
  </si>
  <si>
    <t>BP.L,mscalc:netDebtToEBITDAForConsensus,2008FY,,FYR,,,WORK</t>
  </si>
  <si>
    <t>44.2102510460251</t>
  </si>
  <si>
    <t>0.394154622699386</t>
  </si>
  <si>
    <t>48.8010127828671</t>
  </si>
  <si>
    <t>44.9009447774707</t>
  </si>
  <si>
    <t>8.11768471793327</t>
  </si>
  <si>
    <t>0.427966503722084</t>
  </si>
  <si>
    <t>0.0513065461603852</t>
  </si>
  <si>
    <t>2.84442978455573</t>
  </si>
  <si>
    <t>1.94819700253099</t>
  </si>
  <si>
    <t>0.0712243806212177</t>
  </si>
  <si>
    <t>1.1591761903946</t>
  </si>
  <si>
    <t>Other inorganic capital expenditure</t>
  </si>
  <si>
    <t>BP.L,mscalc:profitBeforeTaxBeforeOperatingLeaseAdjustmentsCalc,2015FY,,FYR</t>
  </si>
  <si>
    <t>Russia - TNK-BP</t>
  </si>
  <si>
    <t>Total liquids production from EAI</t>
  </si>
  <si>
    <t>Total liquids production</t>
  </si>
  <si>
    <t>SUBS - Algeria</t>
  </si>
  <si>
    <t>SUBS</t>
  </si>
  <si>
    <t>SUBS - Angola</t>
  </si>
  <si>
    <t>EAI - Argentina</t>
  </si>
  <si>
    <t>BP.L,mscalc:daysPayableOutstanding,2012FY,,FYR,,,WORK</t>
  </si>
  <si>
    <t>Net book value of assets by division:</t>
  </si>
  <si>
    <t>Cost of debt</t>
  </si>
  <si>
    <t>ROE</t>
  </si>
  <si>
    <t>Difference with actual</t>
  </si>
  <si>
    <t>BP.L,mscalc:closePriceCurrencyCalc</t>
  </si>
  <si>
    <t>BP.L,mscalc:targetPrice,,,,GBp</t>
  </si>
  <si>
    <t>BP.L,mscalc:tangibleOperatingAssetTurnover,2015FY,,FYR,,,WORK</t>
  </si>
  <si>
    <t>BP.L,mscalc:inventoryTurnover,2014FY,,FYR,,,WORK</t>
  </si>
  <si>
    <t>BP.L,msuser:cmWorkingCapitalSales20051031T1238209890,2013FY,,FYR,,,WORK</t>
  </si>
  <si>
    <t>BP.L,mscalc:tangibleOperatingAssetTurnover,2010FY,,FYR,,,WORK</t>
  </si>
  <si>
    <t>BP.L,mscalc:capexsales,2007FY,,FYR,,,WORK</t>
  </si>
  <si>
    <t>Acquisitions and asset exchanges</t>
  </si>
  <si>
    <t>BP.L,mscalc:inventoryTurnover,2011FY,,FYR,,,WORK</t>
  </si>
  <si>
    <t>BP.L,mscalc:daysSalesOutstanding,2015FY,,FYR,,,WORK</t>
  </si>
  <si>
    <t>BP.L,mstag:periodEndBasicSharesOutstanding,2012FY,,FYR</t>
  </si>
  <si>
    <t>BP.L,mstag:averageDilutedSharesOutstanding,2012FY,,FYR</t>
  </si>
  <si>
    <t>BP.L,mstag:averageBasicSharesOutstanding,2012FY,,FYR</t>
  </si>
  <si>
    <t>19,119.757</t>
  </si>
  <si>
    <t>19,157.888</t>
  </si>
  <si>
    <t>19,027.929</t>
  </si>
  <si>
    <t>25,672</t>
  </si>
  <si>
    <t>27,965.222559406</t>
  </si>
  <si>
    <t>30,096.109335114</t>
  </si>
  <si>
    <t>BP.L,mscalc:freeCashFlowPerShareForConsensus,2014FY,,FYR</t>
  </si>
  <si>
    <t>BP.L,mscalc:dividendsPerShareCalc,2014FY</t>
  </si>
  <si>
    <t>BP.L,mscalc:dividendsPerShareCalc,2015FY</t>
  </si>
  <si>
    <t>BP.L,mscalc:ebida,2013FY,,FYR</t>
  </si>
  <si>
    <t>BP.L,mscalc:freeCashFlowPerShareForConsensus,2015FY,,FYR</t>
  </si>
  <si>
    <t>BP.L,mscalc:netOperatingProfitAfterTaxNopat,2014FY,,FYR</t>
  </si>
  <si>
    <t>BP.L,mscalc:netOperatingProfitAfterTaxNopat,2015FY,,FYR</t>
  </si>
  <si>
    <t>BP.L,mscalc:netOperatingProfitAfterTaxNopat,2013FY,,FYR</t>
  </si>
  <si>
    <t>BP.L,mscalc:freeCashFlowPerShareForConsensus,2013FY,,FYR</t>
  </si>
  <si>
    <t>BP.L,mscalc:ebida,2014FY,,FYR</t>
  </si>
  <si>
    <t>BP.L,mscalc:ebida,2015FY,,FYR</t>
  </si>
  <si>
    <t>BP.L,mscalc:dilutedEarningsPerShare,2015FY</t>
  </si>
  <si>
    <t>BP.L,mscalc:dilutedEarningsPerShare,2014FY</t>
  </si>
  <si>
    <t>40,533.5878585183</t>
  </si>
  <si>
    <t>41,991.118815508</t>
  </si>
  <si>
    <t>0.216977147071778</t>
  </si>
  <si>
    <t>0.395</t>
  </si>
  <si>
    <t>0.705023523623355</t>
  </si>
  <si>
    <t>BP.L,mscalc:netOperatingAssetsExcludingAdjustments2,2008FY,,FYR</t>
  </si>
  <si>
    <t>BP.L,mstag:sellingGeneralAndAdministrativeExpenses,2010FY,,FYR</t>
  </si>
  <si>
    <t>BP.L,mstag:sellingGeneralAndAdministrativeExpenses,2008FY,,FYR</t>
  </si>
  <si>
    <t>BP.L,mscalc:returnOnAverageEquityForConsensus,2014FY,,FYR</t>
  </si>
  <si>
    <t>BP.L,mscalc:shareholdersEquityExcludingAdjustments2,2015FY,,FYR</t>
  </si>
  <si>
    <t>BP.L,mstag:cashDividendsPaid,2015FY,,FYR</t>
  </si>
  <si>
    <t>BP.L,mscalc:netOperatingAssetsExcludingAdjustments2,2012FY,,FYR,,,HOLD</t>
  </si>
  <si>
    <t>BP.L,mscalc:freeCashFlowForConsensus,2013FY,,FYR,,,HOLD</t>
  </si>
  <si>
    <t>BP.L,mscalc:freeCashFlowForConsensus,2010FY,,FYR,,,HOLD</t>
  </si>
  <si>
    <t>BP.L,msuser:cmWorkingCapitalSales20051031T1238209890,2010FY,,FYR,,,HOLD</t>
  </si>
  <si>
    <t>BP.L,mscalc:priceToBookValueReportedcalc,2014FY,,FYR,,,HOLD</t>
  </si>
  <si>
    <t>BP.L,mstag:costOfSalesWithDepreciation,2006FY,,FYR,,,HOLD</t>
  </si>
  <si>
    <t>BP.L,mscalc:daysSalesOutstanding,2006FY,,FYR,,,HOLD</t>
  </si>
  <si>
    <t>ROSNq.L,mscalc:netIncome,2014FY,,FYR</t>
  </si>
  <si>
    <t>ROSNq.L,mscalc:netIncome,2015FY,,FYR</t>
  </si>
  <si>
    <t>8,706.20182085898</t>
  </si>
  <si>
    <t>7,038.07709144856</t>
  </si>
  <si>
    <t>4,755.12350921849</t>
  </si>
  <si>
    <t>Profit before tax from subsidiaries</t>
  </si>
  <si>
    <t>Share of net income of EAI</t>
  </si>
  <si>
    <t>of which Russia - reported in FAS69</t>
  </si>
  <si>
    <t>of which Russia - reported for Group</t>
  </si>
  <si>
    <t>Impairments and gains/(losses) on disposals</t>
  </si>
  <si>
    <t>Ex Russia</t>
  </si>
  <si>
    <t>Key ratios - Oil and NGL</t>
  </si>
  <si>
    <t>Production growth</t>
  </si>
  <si>
    <t>Oil and NGL</t>
  </si>
  <si>
    <t>King MC 84*</t>
  </si>
  <si>
    <t>Magnolia (GB 783)</t>
  </si>
  <si>
    <t>Marlin (VK 915)*</t>
  </si>
  <si>
    <t>Mars</t>
  </si>
  <si>
    <t>Financial obligations</t>
  </si>
  <si>
    <t>12,992.5788574219</t>
  </si>
  <si>
    <t>1,302</t>
  </si>
  <si>
    <t>741</t>
  </si>
  <si>
    <t>171,175.859857501</t>
  </si>
  <si>
    <t>13,007.4508770816</t>
  </si>
  <si>
    <t>14,447</t>
  </si>
  <si>
    <t>15,371</t>
  </si>
  <si>
    <t>BP.L,mscalc:dividendPayoutRatioForConsensus,2014FY,,FYR,,,HOLD</t>
  </si>
  <si>
    <t>Cash and cash equivalents at end of period</t>
  </si>
  <si>
    <t>Goodwill</t>
  </si>
  <si>
    <t>Investments in jointly controlled entities</t>
  </si>
  <si>
    <t>Investments in associates</t>
  </si>
  <si>
    <t>Other investments</t>
  </si>
  <si>
    <t>Loans</t>
  </si>
  <si>
    <t>Other receivables</t>
  </si>
  <si>
    <t>Derivative financial instruments</t>
  </si>
  <si>
    <t>Prepayments</t>
  </si>
  <si>
    <t>Deferred tax assets</t>
  </si>
  <si>
    <t>Defined benefit pension plan surpluses</t>
  </si>
  <si>
    <t>Current tax receivable</t>
  </si>
  <si>
    <t>Assets classified as held for sale</t>
  </si>
  <si>
    <t>Accruals</t>
  </si>
  <si>
    <t>Finance debt</t>
  </si>
  <si>
    <t>Current tax payable</t>
  </si>
  <si>
    <t>Provisions</t>
  </si>
  <si>
    <t>BP.L,mscalc:capitalExpendituresToDepreciationRatioExcludingOperatingLeaseAdjustments,2013FY,,FYR,,,HOLD</t>
  </si>
  <si>
    <t>EBIT</t>
  </si>
  <si>
    <t>Earnings from associates</t>
  </si>
  <si>
    <t>Impairment and losses on sale of assets</t>
  </si>
  <si>
    <t xml:space="preserve">Net finance expense relating to pensions </t>
  </si>
  <si>
    <t xml:space="preserve">   Oil and gas operations</t>
  </si>
  <si>
    <t xml:space="preserve">   Other</t>
  </si>
  <si>
    <t>SUBS - US (Permian)</t>
  </si>
  <si>
    <t>SUBS - US (Rocky Mountains)</t>
  </si>
  <si>
    <t>SUBS - Venezuela</t>
  </si>
  <si>
    <t>EAI - Venezuela</t>
  </si>
  <si>
    <t>BP.L,mscalc:effectiveTaxRate,2011FY,,FYR</t>
  </si>
  <si>
    <t>BP.L,mscalc:operatingAssetTurnoverExcludingAdjustments2calc,2014FY,,FYR</t>
  </si>
  <si>
    <t>BP.L,mscalc:daysSalesOutstanding,2015FY,,FYR,,,HOLD</t>
  </si>
  <si>
    <t>BP.L,mscalc:dividendPayoutRatioForConsensus,2008FY,,FYR,,,HOLD</t>
  </si>
  <si>
    <t>BP.L,mscalc:effectiveTaxRate,2013FY,,FYR,,,HOLD</t>
  </si>
  <si>
    <t>BP.L,mscalc:profitBeforeTaxBeforeOperatingLeaseAdjustmentsCalc,2007FY,,FYR,,,HOLD</t>
  </si>
  <si>
    <t>BP.L,mscalc:nopatExcludingAdjustments2,2006FY,,FYR,,,WORK</t>
  </si>
  <si>
    <t>BP.L,mscalc:daysPayableOutstanding,2011FY,,FYR</t>
  </si>
  <si>
    <t>US (Permian)</t>
  </si>
  <si>
    <t>BP.L,mscalc:priceToBookValueReportedcalc,2015FY,,FYR,,,WORK</t>
  </si>
  <si>
    <t>25,647.9622900719</t>
  </si>
  <si>
    <t>20,718.5893631688</t>
  </si>
  <si>
    <t>29,824.4431496603</t>
  </si>
  <si>
    <t>31,674.533446173</t>
  </si>
  <si>
    <t>180,454.174111449</t>
  </si>
  <si>
    <t>89,361.036249732</t>
  </si>
  <si>
    <t>BP.L,mscalc:returnOnNetOperatingAssetsExcludingAdjustments2calc,2014FY,,FYR,,,HOLD</t>
  </si>
  <si>
    <t>Samotlorskoye</t>
  </si>
  <si>
    <t>BP CENGOM Deep GAS OFF Fed*</t>
  </si>
  <si>
    <t>BP.L,mscalc:pretaxOperatingprofitForConsensus,2014FY,,FYR,,,WORK</t>
  </si>
  <si>
    <t>BP.L,mscalc:interestExpenseNet,2008FY,,FYR,,,WORK</t>
  </si>
  <si>
    <t>BP.L,mscalc:netOperatingAssetsExcludingAdjustments2,2009FY,,FYR,,,WORK</t>
  </si>
  <si>
    <t>BP.L,mscalc:priceToEarningsBeforeOperatingLeaseAdjustments,2011FY,,FYR</t>
  </si>
  <si>
    <t>BP.L,mscalc:netDebtToEBITDAForConsensus,2013FY,,FYR</t>
  </si>
  <si>
    <t>bpTT Assets</t>
  </si>
  <si>
    <t>TSP Area*</t>
  </si>
  <si>
    <t>Culzean</t>
  </si>
  <si>
    <t>BP.L,mscalc:pretaxOperatingprofitForConsensus,2010FY,,FYR,,,WORK</t>
  </si>
  <si>
    <t>BP.L,mscalc:pretaxOperatingprofitForConsensus,2007FY,,FYR,,,WORK</t>
  </si>
  <si>
    <t>Dividend per share</t>
  </si>
  <si>
    <t>BP.L,mscalc:tangibleOperatingAssetTurnover,2009FY,,FYR,,,HOLD</t>
  </si>
  <si>
    <t>BP.L,mscalc:daysSalesOutstanding,2012FY,,FYR,,,HOLD</t>
  </si>
  <si>
    <t>Sanga Sanga (Nilam_Badak)</t>
  </si>
  <si>
    <t>Tangguh Phase 2*</t>
  </si>
  <si>
    <t>Vorwata*</t>
  </si>
  <si>
    <t>BP.L,mscalc:capexsales,2011FY,,FYR,,,HOLD</t>
  </si>
  <si>
    <t>BP.L,msuser:cmWorkingCapitalSales20051031T1238209890,2007FY,,FYR,,,HOLD</t>
  </si>
  <si>
    <t>BP.L,mscalc:currentRatio,2008FY,,FYR,,,HOLD</t>
  </si>
  <si>
    <t>BP.L,mscalc:priceToBookValueReportedcalc,2008FY,,FYR,,,HOLD</t>
  </si>
  <si>
    <t>BP.L,mscalc:daysPayableOutstanding,2012FY,,FYR,,,HOLD</t>
  </si>
  <si>
    <t>BP.L,mstag:costOfSalesWithoutDepreciation,2008FY,,FYR,,,HOLD</t>
  </si>
  <si>
    <t>BP.L,mscalc:inventoryTurnover,2008FY,,FYR,,,HOLD</t>
  </si>
  <si>
    <t>BP.L,mscalc:priceToBookValueReportedcalc,2013FY,,FYR,,,HOLD</t>
  </si>
  <si>
    <t>BP.L,mscalc:currentRatio,2009FY,,FYR,,,HOLD</t>
  </si>
  <si>
    <t>Currency</t>
  </si>
  <si>
    <t>Buguruslanneft Fields</t>
  </si>
  <si>
    <t>BP.L,mscalc:ebitdaBeforePensionOpebAndOperatingLeaseAdjustments,2006FY,,FYR</t>
  </si>
  <si>
    <t>BP.L,mscalc:returnOnAverageEquityForConsensus,2012FY,,FYR,,,WORK</t>
  </si>
  <si>
    <t>BP.L,msuser:cmGrossprofitforconsensus20080605T2347008189,2006FY,,FYR</t>
  </si>
  <si>
    <t>Change in cash and cash equivalents</t>
  </si>
  <si>
    <t>BP.L,mscalc:netOperatingAssetsExcludingAdjustments2,2012FY,,FYR</t>
  </si>
  <si>
    <t>BP.L,mscalc:nopatExcludingAdjustments2,2012FY,,FYR</t>
  </si>
  <si>
    <t>BP.L,mscalc:profitBeforeTaxBeforeOperatingLeaseAdjustmentsCalc,2009FY,,FYR</t>
  </si>
  <si>
    <t>Cash conversion ratio</t>
  </si>
  <si>
    <t>Cash earnings</t>
  </si>
  <si>
    <t>10.9233753353964</t>
  </si>
  <si>
    <t>3.16288485919634</t>
  </si>
  <si>
    <t>Balance sheet</t>
  </si>
  <si>
    <t>1Q06</t>
  </si>
  <si>
    <t>2Q06</t>
  </si>
  <si>
    <t>3Q06</t>
  </si>
  <si>
    <t>4Q06</t>
  </si>
  <si>
    <t>1Q07</t>
  </si>
  <si>
    <t>2Q07</t>
  </si>
  <si>
    <t>BP.L,mscalc:netDebtToEBITDAForConsensus,2006FY,,FYR,,,WORK</t>
  </si>
  <si>
    <t>BP.L,mscalc:currentRatio,2008FY,,FYR,,,WORK</t>
  </si>
  <si>
    <t>BP.L,mscalc:effectiveTaxRate,2014FY,,FYR,,,WORK</t>
  </si>
  <si>
    <t>NWS JV Dom Gas 550</t>
  </si>
  <si>
    <t>NWS JV LNG</t>
  </si>
  <si>
    <t>Wanaea/Cossack</t>
  </si>
  <si>
    <t>Azerbaijan</t>
  </si>
  <si>
    <t>Canada</t>
  </si>
  <si>
    <t>US</t>
  </si>
  <si>
    <t>Entitlement Liquid Production (thousand bbl/d)</t>
  </si>
  <si>
    <t>BP.L,mscalc:totalCoverFixedChargeRatioInferredRatingAgency,2015FY,,FYR</t>
  </si>
  <si>
    <t>BP.L,mscalc:dividendYield,2010FY</t>
  </si>
  <si>
    <t>0.0192781318655311</t>
  </si>
  <si>
    <t>BP.L,mscalc:netDebtAsif,2010FY</t>
  </si>
  <si>
    <t>BP.L,mscalc:evEbida,2010FY</t>
  </si>
  <si>
    <t>Other net investments</t>
  </si>
  <si>
    <t>Share Buyback</t>
  </si>
  <si>
    <t>17,102.4471425187</t>
  </si>
  <si>
    <t>116,286.414123829</t>
  </si>
  <si>
    <t>22,682.2650145526</t>
  </si>
  <si>
    <t>27,411.9829533136</t>
  </si>
  <si>
    <t>0.172052737090342</t>
  </si>
  <si>
    <t>BP.L,mscalc:interestExpenseNet,2015FY,,FYR</t>
  </si>
  <si>
    <t>BP.L,mscalc:returnOnNetOperatingAssetsExcludingAdjustments2calc,2013FY,,FYR</t>
  </si>
  <si>
    <t>BP.L,mstag:cashDividendsPaid,2010FY,,FYR</t>
  </si>
  <si>
    <t>BP.L,mscalc:interestExpenseNet,2013FY,,FYR</t>
  </si>
  <si>
    <t>BP.L,mscalc:pretaxOperatingprofitForConsensus,2011FY,,FYR</t>
  </si>
  <si>
    <t>BP.L,mscalc:freeCashFlowForConsensus,2011FY,,FYR</t>
  </si>
  <si>
    <t>44,327.3398772701</t>
  </si>
  <si>
    <t>34,330.5860368743</t>
  </si>
  <si>
    <t>BP.L,msuser:cmWorkingCapitalSales20051031T1238209890,2014FY,,FYR,,,HOLD</t>
  </si>
  <si>
    <t>BP.L,mscalc:priceToEarningsBeforeOperatingLeaseAdjustments,2012FY,,FYR,,,HOLD</t>
  </si>
  <si>
    <t>BP.L,msuser:cmGrossprofitforconsensus20080605T2347008189,2007FY,,FYR,,,HOLD</t>
  </si>
  <si>
    <t>BP.L,mstag:cashDividendsPaid,2012FY,,FYR,,,HOLD</t>
  </si>
  <si>
    <t>BP.L,mscalc:netDebtAsif,2006FY,,FYR,,,HOLD</t>
  </si>
  <si>
    <t>BP.L,mscalc:dividendYield,2013FY</t>
  </si>
  <si>
    <t>BP.L,mscalc:bookValuePerShare,2011FY</t>
  </si>
  <si>
    <t>BP.L,mscalc:returnOnAverageEquityForConsensus,2013FY</t>
  </si>
  <si>
    <t>Additions to reserves - incl acq/dis</t>
  </si>
  <si>
    <t>Low case</t>
  </si>
  <si>
    <t>High case</t>
  </si>
  <si>
    <t>3-Year rolling average - base case</t>
  </si>
  <si>
    <t>Annual - Base case</t>
  </si>
  <si>
    <t>Annual - Low case</t>
  </si>
  <si>
    <t>Annual - High case</t>
  </si>
  <si>
    <t>% oil &amp; NGL - base case</t>
  </si>
  <si>
    <t>BP.L,mscalc:operatingAssetTurnoverExcludingAdjustments2calc,2009FY,,FYR,,,HOLD</t>
  </si>
  <si>
    <t>Non-current liabilities</t>
  </si>
  <si>
    <t>BP.L,mscalc:shareholdersEquityExcludingAdjustments2,2011FY,,FYR,,,WORK</t>
  </si>
  <si>
    <t>Inventory holding gains (losses)</t>
  </si>
  <si>
    <t>Multiple R</t>
  </si>
  <si>
    <t>R Square</t>
  </si>
  <si>
    <t>Adjusted R Square</t>
  </si>
  <si>
    <t>Standard Error</t>
  </si>
  <si>
    <t>Observations</t>
  </si>
  <si>
    <t>Regression</t>
  </si>
  <si>
    <t>Residual</t>
  </si>
  <si>
    <t>Significance F</t>
  </si>
  <si>
    <t>North El Burg*</t>
  </si>
  <si>
    <t>BP.L,mscalc:capexsales,2015FY,,FYR,,,HOLD</t>
  </si>
  <si>
    <t>BP.L,mscalc:totalCoverFixedChargeRatioInferredRatingAgency,2015FY,,FYR,,,HOLD</t>
  </si>
  <si>
    <t>% of free cash flow</t>
  </si>
  <si>
    <t>BP.L,mscalc:netDebtToEBITDAForConsensus,2008FY,,FYR</t>
  </si>
  <si>
    <t>Azeri Chirag Guneshli*</t>
  </si>
  <si>
    <t>Shah Deniz*</t>
  </si>
  <si>
    <t>Bolivia</t>
  </si>
  <si>
    <t>BP.L,mscalc:daysSalesOutstanding,2014FY,,FYR</t>
  </si>
  <si>
    <t>BP.L,mscalc:daysSalesOutstanding,2011FY,,FYR</t>
  </si>
  <si>
    <t>BP.L,mstag:costOfSalesWithoutDepreciation,2015FY,,FYR</t>
  </si>
  <si>
    <t>Profit (loss) from Innovene operations</t>
  </si>
  <si>
    <t>BP.L,mscalc:targetPrice,,,,USD</t>
  </si>
  <si>
    <t>BP.L,mscalc:ebitdaBeforePensionOpebAndOperatingLeaseAdjustments,2015FY,,FYR,,,WORK</t>
  </si>
  <si>
    <t>BP.L,mscalc:pretaxOperatingprofitForConsensus,2011FY,,FYR,,,WORK</t>
  </si>
  <si>
    <t>BP.L,msuser:cmGrossprofitforconsensus20080605T2347008189,2010FY,,FYR,,,WORK</t>
  </si>
  <si>
    <t>BP.L,mstag:costOfSalesWithDepreciation,2015FY,,FYR</t>
  </si>
  <si>
    <t>BP.L,mscalc:capexsales,2006FY,,FYR</t>
  </si>
  <si>
    <t>BP.L,mscalc:interestExpenseNet,2006FY,,FYR,,,HOLD</t>
  </si>
  <si>
    <t>BP.L,mscalc:netDebtAsif,2010FY,,FYR,,,HOLD</t>
  </si>
  <si>
    <t>BP.L,mstag:costOfSalesWithoutDepreciation,2007FY,,FYR,,,WORK</t>
  </si>
  <si>
    <t>Innovene operations</t>
  </si>
  <si>
    <t>ANOVA</t>
  </si>
  <si>
    <t>SS</t>
  </si>
  <si>
    <t>df</t>
  </si>
  <si>
    <t>F</t>
  </si>
  <si>
    <t>P-value</t>
  </si>
  <si>
    <t>Regression Statistics</t>
  </si>
  <si>
    <t>BP.L,mstag:costOfSalesWithoutDepreciation,2015FY,,FYR,,,HOLD</t>
  </si>
  <si>
    <t>BP.L,mscalc:capexsales,2008FY,,FYR,,,HOLD</t>
  </si>
  <si>
    <t>2.44534624133663</t>
  </si>
  <si>
    <t>1.20286476576965</t>
  </si>
  <si>
    <t>1.23866812688756</t>
  </si>
  <si>
    <t>0.435895404669645</t>
  </si>
  <si>
    <t>279,517.797133013</t>
  </si>
  <si>
    <t>Earnings from jointly controlled entities</t>
  </si>
  <si>
    <t>BP.L,mscalc:evToNoa,2014FY</t>
  </si>
  <si>
    <t>West Med Deepwater*</t>
  </si>
  <si>
    <t>Jordan</t>
  </si>
  <si>
    <t>Risha+</t>
  </si>
  <si>
    <t>Fateh Shah*</t>
  </si>
  <si>
    <t>NA</t>
  </si>
  <si>
    <t>This sheet contains Factset binary data for use with this workbook's =FDS codes.  Modifying the worksheet's contents may damage the workbook's =FDS functionality.</t>
  </si>
  <si>
    <t>BP.L,mscalc:priceToBookValueReportedcalc,2014FY,,FYR</t>
  </si>
  <si>
    <t>BP.L,msuser:cmWorkingCapitalSales20051031T1238209890,2007FY,,FYR,,,WORK</t>
  </si>
  <si>
    <t>BP.L,mscalc:effectiveTaxRate,2008FY,,FYR,,,WORK</t>
  </si>
  <si>
    <t>BP.L,mscalc:netDebtAsif,2013FY,,FYR,,,HOLD</t>
  </si>
  <si>
    <t>BP.L,mscalc:returnOnNetOperatingAssetsExcludingAdjustments2calc,2012FY</t>
  </si>
  <si>
    <t>BP.L,mstag:cashDividendsPaid,2013FY,,FYR</t>
  </si>
  <si>
    <t>BP.L,mscalc:capitalExpendituresToDepreciationRatioExcludingOperatingLeaseAdjustments,2007FY,,FYR,,,HOLD</t>
  </si>
  <si>
    <t>484.15</t>
  </si>
  <si>
    <t>0.423</t>
  </si>
  <si>
    <t>0.445022593189022</t>
  </si>
  <si>
    <t>0.0715306848027956</t>
  </si>
  <si>
    <t>11.7539730988953</t>
  </si>
  <si>
    <t>9.49743760668817</t>
  </si>
  <si>
    <t>(0.0760486872184594)</t>
  </si>
  <si>
    <t>9.54186261717637</t>
  </si>
  <si>
    <t>1.12164997529114</t>
  </si>
  <si>
    <t>1.03983776946282</t>
  </si>
  <si>
    <t>1.05469844787292</t>
  </si>
  <si>
    <t>5.79026033512998</t>
  </si>
  <si>
    <t>3,818</t>
  </si>
  <si>
    <t>1.43084168047421</t>
  </si>
  <si>
    <t>3,926.20689655172</t>
  </si>
  <si>
    <t>1.59209291981097</t>
  </si>
  <si>
    <t>1.13762159265394</t>
  </si>
  <si>
    <t>0.0140267455567294</t>
  </si>
  <si>
    <t>1.38394075005971</t>
  </si>
  <si>
    <t>8.79670060672663</t>
  </si>
  <si>
    <t>0.407044755178758</t>
  </si>
  <si>
    <t>3.33962424631227</t>
  </si>
  <si>
    <t>12.3749683521191</t>
  </si>
  <si>
    <t>0.384</t>
  </si>
  <si>
    <t>0.0269392280459822</t>
  </si>
  <si>
    <t>1.17011702849652</t>
  </si>
  <si>
    <t>0.980034278692236</t>
  </si>
  <si>
    <t>6.19721221984306</t>
  </si>
  <si>
    <t>BP.L,mscalc:returnOnNetOperatingAssetsExcludingAdjustments2calc,2007FY</t>
  </si>
  <si>
    <t>BP.L,mscalc:pretaxOperatingprofitptopForReconcilaition,2008FY</t>
  </si>
  <si>
    <t>BP.L,mscalc:returnOnNetOperatingAssetsExcludingAdjustments2calc,2009FY</t>
  </si>
  <si>
    <t>272,470.744519715</t>
  </si>
  <si>
    <t>0.437818880905811</t>
  </si>
  <si>
    <t>18,274</t>
  </si>
  <si>
    <t>0.131262973064517</t>
  </si>
  <si>
    <t>0.0576141117251927</t>
  </si>
  <si>
    <t>6,271.41809572418</t>
  </si>
  <si>
    <t>6,960.49255918515</t>
  </si>
  <si>
    <t>160,900.149673256</t>
  </si>
  <si>
    <t>20,226.6136765522</t>
  </si>
  <si>
    <t>20,136.6282321958</t>
  </si>
  <si>
    <t>157,663.147069806</t>
  </si>
  <si>
    <t>81,271.429289842</t>
  </si>
  <si>
    <t>29.4419987834952</t>
  </si>
  <si>
    <t>15,030.6696644159</t>
  </si>
  <si>
    <t>39,089.5162590989</t>
  </si>
  <si>
    <t>0.148130492272165</t>
  </si>
  <si>
    <t>39.9354609866289</t>
  </si>
  <si>
    <t>2,667</t>
  </si>
  <si>
    <t>9,980</t>
  </si>
  <si>
    <t>1.63034493018137</t>
  </si>
  <si>
    <t>6.07542553000572</t>
  </si>
  <si>
    <t>23,928.208273601</t>
  </si>
  <si>
    <t>7.8691251500622</t>
  </si>
  <si>
    <t>0.35022565791815</t>
  </si>
  <si>
    <t>25,264.6780913196</t>
  </si>
  <si>
    <t>373,088.782409648</t>
  </si>
  <si>
    <t>BP.L,mscalc:daysPayableOutstanding,2008FY,,FYR,,,HOLD</t>
  </si>
  <si>
    <t>BP.L,mscalc:daysPayableOutstanding,2013FY,,FYR,,,HOLD</t>
  </si>
  <si>
    <t>BP.L,mscalc:daysPayableOutstanding,2010FY,,FYR,,,HOLD</t>
  </si>
  <si>
    <t>BP.L,mscalc:capexsales,2014FY,,FYR,,,WORK</t>
  </si>
  <si>
    <t>BP.L,mscalc:priceToBookValueReportedcalc,2013FY,,FYR,,,WORK</t>
  </si>
  <si>
    <t>BP.L,mscalc:priceToEarningsBeforeOperatingLeaseAdjustments,2009FY,,FYR,,,HOLD</t>
  </si>
  <si>
    <t>40.4601922149996</t>
  </si>
  <si>
    <t>BP.L,mscalc:marketCapitalization,2006FY,,FYR,#Refresh#,,HOLD</t>
  </si>
  <si>
    <t>32,678</t>
  </si>
  <si>
    <t>BP.L,mscalc:shareholdersEquityExcludingAdjustments2,2006FY,,FYR</t>
  </si>
  <si>
    <t>By Woodmac country name</t>
  </si>
  <si>
    <t>Total</t>
  </si>
  <si>
    <t>Check</t>
  </si>
  <si>
    <t>BP country name</t>
  </si>
  <si>
    <t>BP.L,mscalc:profitBeforeTaxBeforeOperatingLeaseAdjustmentsCalc,2011FY,,FYR</t>
  </si>
  <si>
    <t>BP.L,mscalc:netDebtAsif,2010FY,,FYR</t>
  </si>
  <si>
    <t>BP.L,mscalc:interestExpenseNet,2015FY,,FYR,,,WORK</t>
  </si>
  <si>
    <t>BP.L,mscalc:operatingRevenueForConsensus,2010FY,,FYR,,,WORK</t>
  </si>
  <si>
    <t>BP.L,mscalc:freeCashFlowForConsensus,2014FY,,FYR,,,WORK</t>
  </si>
  <si>
    <t>BP.L,mscalc:netDebtAsif,2009FY,,FYR,,,WORK</t>
  </si>
  <si>
    <t>BP.L,mscalc:ebitdaBeforePensionOpebAndOperatingLeaseAdjustments,2015FY,,FYR</t>
  </si>
  <si>
    <t>0.0406205514093088</t>
  </si>
  <si>
    <t>BP.L,mscalc:netDebtToEBITDAForConsensus,2010FY,,FYR</t>
  </si>
  <si>
    <t>BP.L,mscalc:pretaxOperatingprofitForConsensus,2008FY,,FYR,,,HOLD</t>
  </si>
  <si>
    <t>Assumed interest income</t>
  </si>
  <si>
    <t>Gearing</t>
  </si>
  <si>
    <t>BP.L,mscalc:netDebtAsif,2008FY,,FYR</t>
  </si>
  <si>
    <t>BP.L,mscalc:netDebtAsif,2012FY,,FYR</t>
  </si>
  <si>
    <t>BP.L,mscalc:returnOnNetOperatingAssetsExcludingAdjustments2calc,2015FY,,FYR</t>
  </si>
  <si>
    <t>BP.L,mstag:cashDividendsPaid,2014FY,,FYR</t>
  </si>
  <si>
    <t>BP.L,mscalc:marketCapitalization,2013FY,,FYR,USD</t>
  </si>
  <si>
    <t>BP.L,mscalc:returnOnAverageEquityForConsensus,2008FY,,FYR</t>
  </si>
  <si>
    <t>BP.L,mscalc:netOperatingAssetsExcludingAdjustments2,2006FY,,FYR</t>
  </si>
  <si>
    <t>BP.L,mscalc:operatingRevenueForConsensus,2013FY,,FYR</t>
  </si>
  <si>
    <t>BP.L,mstag:cashDividendsPaid,2007FY,,FYR</t>
  </si>
  <si>
    <t>BP.L,mscalc:returnOnAverageEquityForConsensus,2011FY,,FYR</t>
  </si>
  <si>
    <t>BP.L,mscalc:pretaxOperatingprofitForConsensus,2007FY,,FYR</t>
  </si>
  <si>
    <t>BP.L,mscalc:marketCapitalization,2015FY,,FYR,USD</t>
  </si>
  <si>
    <t>BP.L,mscalc:operatingRevenueForConsensus,2008FY,,FYR</t>
  </si>
  <si>
    <t>BP.L,mscalc:marketCapitalization,2011FY,,FYR,USD</t>
  </si>
  <si>
    <t>BP.L,mscalc:netIncomeBeforeOperatingLeaseAdjustment,2007FY,,FYR</t>
  </si>
  <si>
    <t>BP.L,mscalc:pretaxOperatingprofitForConsensus,2014FY,,FYR</t>
  </si>
  <si>
    <t>BP.L,mstag:cashDividendsPaid,2006FY,,FYR</t>
  </si>
  <si>
    <t>Other income</t>
  </si>
  <si>
    <t>Co sales</t>
  </si>
  <si>
    <t>Impairments and (gains)/losses on disposals</t>
  </si>
  <si>
    <t>Summary</t>
  </si>
  <si>
    <t>Oil and NGL (bbl/d)</t>
  </si>
  <si>
    <t>Natural gas (mmcf/d)</t>
  </si>
  <si>
    <t>Deletions minus disposals</t>
  </si>
  <si>
    <t>BP.L,mscalc:enterpriseValueAsif,2012FY,,FYR,,,WORK</t>
  </si>
  <si>
    <t>BP.L,mscalc:returnOnNetOperatingAssetsExcludingAdjustments2calc,2011FY,,FYR,,,WORK</t>
  </si>
  <si>
    <t>BP.L,mscalc:enterpriseValueAsif,2010FY,,FYR,,,HOLD</t>
  </si>
  <si>
    <t>BP.L,mscalc:returnOnAverageEquityForConsensus,2014FY,,FYR,,,HOLD</t>
  </si>
  <si>
    <t>Total natural gas</t>
  </si>
  <si>
    <t>Total oil, NGL and bitumen</t>
  </si>
  <si>
    <t>Capital Expenditure (US$M)</t>
  </si>
  <si>
    <t>Groet Oost*</t>
  </si>
  <si>
    <t>Ormen Lange</t>
  </si>
  <si>
    <t>Shenzi (GC 654)</t>
  </si>
  <si>
    <t>Swordfish (VK 962)</t>
  </si>
  <si>
    <t>Slope</t>
  </si>
  <si>
    <t>Intercept</t>
  </si>
  <si>
    <t>R^2</t>
  </si>
  <si>
    <t>Period</t>
  </si>
  <si>
    <t>Brent</t>
  </si>
  <si>
    <t>WTI</t>
  </si>
  <si>
    <t>,mscalc:closePriceCurrencyCalc</t>
  </si>
  <si>
    <t>,mscalc:sedolCodeCalc</t>
  </si>
  <si>
    <t>,mscalc:targetPrice,,,,USD</t>
  </si>
  <si>
    <t>BP.L,mscalc:targetPrice</t>
  </si>
  <si>
    <t>(3,099.58962659575)</t>
  </si>
  <si>
    <t>31,363.858155135</t>
  </si>
  <si>
    <t>NBP</t>
  </si>
  <si>
    <t>Two-variable regression for realised gas prices in Europe:</t>
  </si>
  <si>
    <t>For subsidiaries only:</t>
  </si>
  <si>
    <t>BP.L,mstag:sellingGeneralAndAdministrativeExpenses,2012FY,,FYR</t>
  </si>
  <si>
    <t>BP.L,mscalc:priceToEarningsBeforeOperatingLeaseAdjustments,2013FY,,FYR,,,WORK</t>
  </si>
  <si>
    <t>BP.L,mscalc:dilutedEarningsPerShare,2016FY</t>
  </si>
  <si>
    <t>BP.L,mscalc:returnOnNetOperatingAssetsExcludingAdjustments2calc,2016FY</t>
  </si>
  <si>
    <t>BP.L,mscalc:dividendYield,2016FY</t>
  </si>
  <si>
    <t>BP.L,mscalc:currentRatio,2014FY,,FYR,,,WORK</t>
  </si>
  <si>
    <t>BP.L,mscalc:capexsales,2009FY,,FYR,,,WORK</t>
  </si>
  <si>
    <t>BP.L,mscalc:currentRatio,2009FY,,FYR,,,WORK</t>
  </si>
  <si>
    <t>BP.L,mscalc:inventoryTurnover,2009FY,,FYR,,,WORK</t>
  </si>
  <si>
    <t>BP.L,mscalc:operatingAssetTurnoverExcludingAdjustments2calc,2011FY,,FYR</t>
  </si>
  <si>
    <t>BP.L,mscalc:dividendPayoutRatioForConsensus,2010FY,,FYR</t>
  </si>
  <si>
    <t>Net Income</t>
  </si>
  <si>
    <t>Woodmac forecast - oil and gas</t>
  </si>
  <si>
    <t>Total difference - oil and gas</t>
  </si>
  <si>
    <t>BP.L,mscalc:netIncome,2012FY</t>
  </si>
  <si>
    <t>BP.L,mstag:costOfSalesWithDepreciation,2011FY,,FYR,,,HOLD</t>
  </si>
  <si>
    <t>BP.L,mscalc:evToEbitda,2013FY</t>
  </si>
  <si>
    <t>BP.L,mscalc:evrevenue,2010FY</t>
  </si>
  <si>
    <t>Coefficients</t>
  </si>
  <si>
    <t>t Stat</t>
  </si>
  <si>
    <t>Production ex Russia</t>
  </si>
  <si>
    <t>Realised oil prices</t>
  </si>
  <si>
    <t>Realised gas prices</t>
  </si>
  <si>
    <t>Two-variable regression for realised oil prices in US:</t>
  </si>
  <si>
    <t>GBp</t>
  </si>
  <si>
    <t>BP.L,mscalc:netOperatingAssetsExcludingAdjustments2,2008FY,,FYR,,,WORK</t>
  </si>
  <si>
    <t>BP.L,mscalc:operatingRevenueForConsensus,2008FY,,FYR,,,WORK</t>
  </si>
  <si>
    <t>1.57759386747936</t>
  </si>
  <si>
    <t>12.5905393133463</t>
  </si>
  <si>
    <t>188,791</t>
  </si>
  <si>
    <t>2.22737257195121</t>
  </si>
  <si>
    <t>1.43706315603558</t>
  </si>
  <si>
    <t>0.755858420311107</t>
  </si>
  <si>
    <t>0.309438023489776</t>
  </si>
  <si>
    <t>7.43375591229582</t>
  </si>
  <si>
    <t>0.360275479458606</t>
  </si>
  <si>
    <t>38.4676767882379</t>
  </si>
  <si>
    <t>1.73514098800397</t>
  </si>
  <si>
    <t>BP.L,mscalc:effectiveTaxRate,2015FY,,FYR,,,WORK</t>
  </si>
  <si>
    <t>BP.L,mscalc:marketCapitalization,2015FY,,FYR,,,WORK</t>
  </si>
  <si>
    <t>BP.L,mscalc:netOperatingAssetsExcludingAdjustments2,2014FY,,FYR,,,WORK</t>
  </si>
  <si>
    <t>BP.L,mscalc:effectiveTaxRate,2007FY,,FYR</t>
  </si>
  <si>
    <t>BP.L,mscalc:capexsales,2008FY,,FYR</t>
  </si>
  <si>
    <t>Impairment and (gain) loss on sale of businesses and fixed assets</t>
  </si>
  <si>
    <t>Share-based payments</t>
  </si>
  <si>
    <t>BP.L,mscalc:priceToBookValueReportedcalc,2009FY,,FYR</t>
  </si>
  <si>
    <t>BP.L,mscalc:inventoryTurnover,2006FY,,FYR</t>
  </si>
  <si>
    <t>1.01351131677014</t>
  </si>
  <si>
    <t>7.94694569930166</t>
  </si>
  <si>
    <t>9.65299221709792</t>
  </si>
  <si>
    <t>0.792727117126145</t>
  </si>
  <si>
    <t>0.108527506110336</t>
  </si>
  <si>
    <t>0.0540082877766183</t>
  </si>
  <si>
    <t>18,941</t>
  </si>
  <si>
    <t>BP.L,mstag:sellingGeneralAndAdministrativeExpenses,2009FY,,FYR,,,HOLD</t>
  </si>
  <si>
    <t>Basic earnings per share</t>
  </si>
  <si>
    <t>Diluted earnings per share</t>
  </si>
  <si>
    <t>Weighted average number of shares as the basis for:</t>
  </si>
  <si>
    <t>For basic EPS calc</t>
  </si>
  <si>
    <t>For diluted EPS calc</t>
  </si>
  <si>
    <t>Shares outstanding EoP</t>
  </si>
  <si>
    <t>cents</t>
  </si>
  <si>
    <t>pence</t>
  </si>
  <si>
    <t>$/£ average</t>
  </si>
  <si>
    <t>$/€ average</t>
  </si>
  <si>
    <t>NM</t>
  </si>
  <si>
    <t>BP.L,mscalc:totalCoverFixedChargeRatioInferredRatingAgency,2014FY,,FYR,,,WORK</t>
  </si>
  <si>
    <t>BP.L,mscalc:daysPayableOutstanding,2015FY,,FYR</t>
  </si>
  <si>
    <t>BP.L,mscalc:inventoryTurnover,2008FY,,FYR</t>
  </si>
  <si>
    <t>BP.L,mscalc:priceToEarningsBeforeOperatingLeaseAdjustments,2012FY,,FYR,,,WORK</t>
  </si>
  <si>
    <t>BP.L,mscalc:currentRatio,2007FY,,FYR,,,WORK</t>
  </si>
  <si>
    <t>BP.L,mscalc:daysPayableOutstanding,2006FY,,FYR,,,HOLD</t>
  </si>
  <si>
    <t>BP.L,mscalc:capitalExpendituresToDepreciationRatioExcludingOperatingLeaseAdjustments,2014FY,,FYR,,,HOLD</t>
  </si>
  <si>
    <t>BP.L,mscalc:capexsales,2010FY,,FYR,,,HOLD</t>
  </si>
  <si>
    <t>BP.L,mscalc:pretaxOperatingprofitForConsensus,2012FY,,FYR,,,HOLD</t>
  </si>
  <si>
    <t>Venezuela</t>
  </si>
  <si>
    <t>Boquerón</t>
  </si>
  <si>
    <t>Jusepín Area</t>
  </si>
  <si>
    <t>LL-652</t>
  </si>
  <si>
    <t>BP.L,mscalc:priceToEarningsBeforeOperatingLeaseAdjustments,2008FY,,FYR,,,HOLD</t>
  </si>
  <si>
    <t>8.02287104622871</t>
  </si>
  <si>
    <t>0.680188095532731</t>
  </si>
  <si>
    <t>Year</t>
  </si>
  <si>
    <t>BP.L,mscalc:netDebtAsif,2013FY,,FYR,,,WORK</t>
  </si>
  <si>
    <t>BP.L,mscalc:netDebtAsif,2015FY,,FYR,,,WORK</t>
  </si>
  <si>
    <t>BP.L,mstag:sellingGeneralAndAdministrativeExpenses,2008FY,,FYR,,,WORK</t>
  </si>
  <si>
    <t>Share of equity accounted investments - Oil and NGL</t>
  </si>
  <si>
    <t>BP.L,mscalc:profitBeforeTaxBeforeOperatingLeaseAdjustmentsCalc,2010FY,,FYR,,,HOLD</t>
  </si>
  <si>
    <t>BP.L,mscalc:freeCashFlowForConsensus,2008FY,,FYR,,,HOLD</t>
  </si>
  <si>
    <t>BP.L,mstag:sellingGeneralAndAdministrativeExpenses,2006FY,,FYR,,,HOLD</t>
  </si>
  <si>
    <t>BP.L,mscalc:pretaxOperatingprofitForConsensus,2015FY,,FYR,,,HOLD</t>
  </si>
  <si>
    <t>BP.L,mstag:sellingGeneralAndAdministrativeExpenses,2015FY,,FYR,,,HOLD</t>
  </si>
  <si>
    <t>BP.L,mscalc:netDebtAsif,2007FY,,FYR,,,HOLD</t>
  </si>
  <si>
    <t>1.48107752717366</t>
  </si>
  <si>
    <t>0.421229696543826</t>
  </si>
  <si>
    <t>0.0695456028610719</t>
  </si>
  <si>
    <t>8.45266224916473</t>
  </si>
  <si>
    <t>1.49224025109138</t>
  </si>
  <si>
    <t>1.49013622364472</t>
  </si>
  <si>
    <t>17.6996748494758</t>
  </si>
  <si>
    <t>2.5014631719994</t>
  </si>
  <si>
    <t>6.88570440308109</t>
  </si>
  <si>
    <t>0.808945458911006</t>
  </si>
  <si>
    <t>7.75301826794757</t>
  </si>
  <si>
    <t>1.0149848536221</t>
  </si>
  <si>
    <t>288,205.180931972</t>
  </si>
  <si>
    <t>BP.L,mscalc:priceToEarningsBeforeOperatingLeaseAdjustments,2006FY,,FYR,,,WORK</t>
  </si>
  <si>
    <t>BP.L,mscalc:totalCoverFixedChargeRatioInferredRatingAgency,2010FY,,FYR,,,WORK</t>
  </si>
  <si>
    <t>0.208769074262462</t>
  </si>
  <si>
    <t>1,046</t>
  </si>
  <si>
    <t>Long-term growth</t>
  </si>
  <si>
    <t>NPV ($)</t>
  </si>
  <si>
    <t xml:space="preserve">   o/w GoM spill related</t>
  </si>
  <si>
    <t xml:space="preserve">   o/w not GoM spill related</t>
  </si>
  <si>
    <t>BP.L,mstag:costOfSalesWithoutDepreciation,2006FY,,FYR</t>
  </si>
  <si>
    <t>BP.L,mscalc:returnOnNetOperatingAssetsExcludingAdjustments2calc,2009FY,,FYR,,,HOLD</t>
  </si>
  <si>
    <t>BP.L,mscalc:pretaxOperatingprofitForConsensus,2006FY,,FYR,,,HOLD</t>
  </si>
  <si>
    <r>
      <t xml:space="preserve">Operating cash flow excl. </t>
    </r>
    <r>
      <rPr>
        <sz val="8.5"/>
        <rFont val="Symbol"/>
        <family val="1"/>
        <charset val="2"/>
      </rPr>
      <t>D</t>
    </r>
    <r>
      <rPr>
        <sz val="10"/>
        <rFont val="Arial"/>
        <family val="2"/>
      </rPr>
      <t>w/c</t>
    </r>
  </si>
  <si>
    <t>FCF</t>
  </si>
  <si>
    <t>Cover</t>
  </si>
  <si>
    <t>RC earnings per share excluding identified items</t>
  </si>
  <si>
    <t>Group tax rate</t>
  </si>
  <si>
    <t>Midsteam and other activities after tax</t>
  </si>
  <si>
    <t>Selected items</t>
  </si>
  <si>
    <t>10.9041972253795</t>
  </si>
  <si>
    <t>20,967.9912315103</t>
  </si>
  <si>
    <t>7.4971953</t>
  </si>
  <si>
    <t>0.996293713183489</t>
  </si>
  <si>
    <t>16,804.618451827</t>
  </si>
  <si>
    <t>158,671.577596068</t>
  </si>
  <si>
    <t>14,367.1423529367</t>
  </si>
  <si>
    <t>0.0993043307053921</t>
  </si>
  <si>
    <t>849.999625996115</t>
  </si>
  <si>
    <t>159,363.057416727</t>
  </si>
  <si>
    <t>22,791.0513626913</t>
  </si>
  <si>
    <t>350,028.728544827</t>
  </si>
  <si>
    <t>1/29/2013 12:17:50</t>
  </si>
  <si>
    <t>11.0413436457048</t>
  </si>
  <si>
    <t>263,973.520445061</t>
  </si>
  <si>
    <t>13,717.8510360718</t>
  </si>
  <si>
    <t>11.034647718161</t>
  </si>
  <si>
    <t>26,756.8133897397</t>
  </si>
  <si>
    <t>0.148380825630593</t>
  </si>
  <si>
    <t>283,966.893421863</t>
  </si>
  <si>
    <t>6,315.56500168347</t>
  </si>
  <si>
    <t>86,055.208099766</t>
  </si>
  <si>
    <t>13,437.5</t>
  </si>
  <si>
    <t>2.19642327537378</t>
  </si>
  <si>
    <t>0.385706495963404</t>
  </si>
  <si>
    <t>0.392366291828366</t>
  </si>
  <si>
    <t>0.133533034363987</t>
  </si>
  <si>
    <t>25,858.2054662664</t>
  </si>
  <si>
    <t>13,179</t>
  </si>
  <si>
    <t>0.139887290363836</t>
  </si>
  <si>
    <t>1.06292564564079</t>
  </si>
  <si>
    <t>3.36216303182327</t>
  </si>
  <si>
    <t>0.510433290172958</t>
  </si>
  <si>
    <t>6,591.38898431728</t>
  </si>
  <si>
    <t>0.0527609130268264</t>
  </si>
  <si>
    <t>BP.L,mscalc:returnOnAverageEquityForConsensus,2009FY,,FYR,,,WORK</t>
  </si>
  <si>
    <t>BP.L,mscalc:operatingAssetTurnoverExcludingAdjustments2calc,2011FY,,FYR,,,HOLD</t>
  </si>
  <si>
    <t>BP.L,mscalc:capitalExpendituresToDepreciationRatioExcludingOperatingLeaseAdjustments,2012FY,,FYR,,,HOLD</t>
  </si>
  <si>
    <t>BP.L,mstag:sellingGeneralAndAdministrativeExpenses,2007FY,,FYR,,,WORK</t>
  </si>
  <si>
    <t>BP.L,mstag:cashDividendsPaid,2015FY,,FYR,,,HOLD</t>
  </si>
  <si>
    <t>Clair*</t>
  </si>
  <si>
    <t>Cyrus*</t>
  </si>
  <si>
    <t>Drake</t>
  </si>
  <si>
    <t>Erskine</t>
  </si>
  <si>
    <t>Net assets/(liabilities)</t>
  </si>
  <si>
    <t>BP.L,msuser:cmGrossprofitforconsensus20080605T2347008189,2008FY,,FYR,,,HOLD</t>
  </si>
  <si>
    <t>BP.L,mscalc:profitBeforeTaxBeforeOperatingLeaseAdjustmentsCalc,2014FY,,FYR,,,HOLD</t>
  </si>
  <si>
    <t>BP.L,mscalc:ebitdaBeforePensionOpebAndOperatingLeaseAdjustments,2013FY,,FYR,,,HOLD</t>
  </si>
  <si>
    <t>BP.L,mscalc:shareholdersEquityExcludingAdjustments2,2015FY,,FYR,,,HOLD</t>
  </si>
  <si>
    <t>Gross debt</t>
  </si>
  <si>
    <t>Net debt</t>
  </si>
  <si>
    <t>BP.L,mscalc:operatingRevenueForConsensus,2014FY,,FYR</t>
  </si>
  <si>
    <t>BP.L,mscalc:shareholdersEquityExcludingAdjustments2,2008FY,,FYR</t>
  </si>
  <si>
    <t>BP.L,mscalc:netOperatingAssetsExcludingAdjustments2,2012FY,,FYR,,,WORK</t>
  </si>
  <si>
    <t>BP.L,mscalc:nopatExcludingAdjustments2,2013FY,,FYR,,,WORK</t>
  </si>
  <si>
    <t>BP.L,mscalc:ebitdaBeforePensionOpebAndOperatingLeaseAdjustments,2009FY,,FYR,,,WORK</t>
  </si>
  <si>
    <t>BP.L,mscalc:daysPayableOutstanding,2011FY,,FYR,,,WORK</t>
  </si>
  <si>
    <t>BP.L,mscalc:pretaxOperatingprofitForConsensus,2012FY,,FYR</t>
  </si>
  <si>
    <t>BP.L,mscalc:enterpriseValueAsif,2013FY,,FYR</t>
  </si>
  <si>
    <t>BP.L,mscalc:pretaxOperatingprofitForConsensus,2006FY,,FYR</t>
  </si>
  <si>
    <t>BP.L,msuser:cmGrossprofitforconsensus20080605T2347008189,2011FY,,FYR</t>
  </si>
  <si>
    <t>Developed reserve life</t>
  </si>
  <si>
    <t>Lower 95%</t>
  </si>
  <si>
    <t>Upper 95%</t>
  </si>
  <si>
    <t>Lower 95.0%</t>
  </si>
  <si>
    <t>Upper 95.0%</t>
  </si>
  <si>
    <t>Other items</t>
  </si>
  <si>
    <t>Dividends</t>
  </si>
  <si>
    <t>Capex</t>
  </si>
  <si>
    <t>0.769078911463304</t>
  </si>
  <si>
    <t>7.03224427257785</t>
  </si>
  <si>
    <t>5.34970969922916</t>
  </si>
  <si>
    <t>11.7359806710572</t>
  </si>
  <si>
    <t>4.92191399885495</t>
  </si>
  <si>
    <t>0.325081094314218</t>
  </si>
  <si>
    <t>BP.L,msuser:cmGrossprofitforconsensus20080605T2347008189,2015FY,,FYR,,,WORK</t>
  </si>
  <si>
    <t>BP.L,mscalc:netDebtAsif,2008FY,,FYR,,,WORK</t>
  </si>
  <si>
    <t>BP.L,mstag:sellingGeneralAndAdministrativeExpenses,2011FY,,FYR,,,WORK</t>
  </si>
  <si>
    <t>BP.L,mscalc:operatingRevenueForConsensus,2013FY,,FYR,,,WORK</t>
  </si>
  <si>
    <t>BP.L,mscalc:pretaxOperatingprofitForConsensus,2009FY,,FYR</t>
  </si>
  <si>
    <t>BP.L,mscalc:returnOnAverageEquityForConsensus,2007FY,,FYR</t>
  </si>
  <si>
    <t>BP.L,mstag:cashDividendsPaid,2012FY,,FYR</t>
  </si>
  <si>
    <t>BP.L,mstag:sellingGeneralAndAdministrativeExpenses,2014FY,,FYR</t>
  </si>
  <si>
    <t>Dividends paid:</t>
  </si>
  <si>
    <t>Equity-accounted investments</t>
  </si>
  <si>
    <t>Net operating assets</t>
  </si>
  <si>
    <t>Revenue estimate</t>
  </si>
  <si>
    <t>0.921242958280757</t>
  </si>
  <si>
    <t>0.339283353496539</t>
  </si>
  <si>
    <t>2.03530385855085</t>
  </si>
  <si>
    <t>BP.L,mscalc:netOperatingAssetsExcludingAdjustments2,2006FY,,FYR,,,HOLD</t>
  </si>
  <si>
    <t>BP.L,mstag:sellingGeneralAndAdministrativeExpenses,2012FY,,FYR,,,HOLD</t>
  </si>
  <si>
    <t>BP.L,msuser:cmGrossprofitforconsensus20080605T2347008189,2006FY,,FYR,,,HOLD</t>
  </si>
  <si>
    <t>BP.L,mscalc:shareholdersEquityExcludingAdjustments2,2014FY,,FYR,,,HOLD</t>
  </si>
  <si>
    <t>BP.L,mscalc:inventoryTurnover,2009FY,,FYR</t>
  </si>
  <si>
    <t>BP.L,mscalc:freeCashFlowYieldRatioForConsensus,2010FY</t>
  </si>
  <si>
    <t>Subsea and HP/HT</t>
  </si>
  <si>
    <t>Kinnoull*</t>
  </si>
  <si>
    <t>Lomond*</t>
  </si>
  <si>
    <t>Loyal*</t>
  </si>
  <si>
    <t>Machar*</t>
  </si>
  <si>
    <t>Maclure*</t>
  </si>
  <si>
    <t>Madoes*</t>
  </si>
  <si>
    <t>Magnus Area*</t>
  </si>
  <si>
    <t>Marnock*</t>
  </si>
  <si>
    <t>Mercury*</t>
  </si>
  <si>
    <t>Miller*</t>
  </si>
  <si>
    <t>Mirren*</t>
  </si>
  <si>
    <t>Monan*</t>
  </si>
  <si>
    <t>Mungo*</t>
  </si>
  <si>
    <t>BP.L,mscalc:totalCoverFixedChargeRatioInferredRatingAgency,2008FY,,FYR,,,HOLD</t>
  </si>
  <si>
    <t>BP.L,mscalc:capexsales,2014FY,,FYR,,,HOLD</t>
  </si>
  <si>
    <t>BP.L,mstag:costOfSalesWithoutDepreciation,2014FY,,FYR,,,HOLD</t>
  </si>
  <si>
    <t>BP.L,mscalc:marketCapitalization,2007FY,,FYR,USD,,HOLD</t>
  </si>
  <si>
    <t>BP.L,mscalc:nopatExcludingAdjustments2,2013FY,,FYR,,,HOLD</t>
  </si>
  <si>
    <t>BP.L,mscalc:tangibleOperatingAssetTurnover,2011FY,,FYR,,,WORK</t>
  </si>
  <si>
    <t>8,651.0396756805</t>
  </si>
  <si>
    <t>137,889.555984321</t>
  </si>
  <si>
    <t>0.17888713502969</t>
  </si>
  <si>
    <t>45,573.5866546174</t>
  </si>
  <si>
    <t>1,551.21131451118</t>
  </si>
  <si>
    <t>26,633.3795441716</t>
  </si>
  <si>
    <t>BP.L,mscalc:netDebtAsif,2006FY,,FYR,,,WORK</t>
  </si>
  <si>
    <t>BP.L,mscalc:shareholdersEquityExcludingAdjustments2,2006FY,,FYR,,,WORK</t>
  </si>
  <si>
    <t>BP.L,mscalc:profitBeforeTaxBeforeOperatingLeaseAdjustmentsCalc,2010FY,,FYR,,,WORK</t>
  </si>
  <si>
    <t>BP.L,mscalc:interestExpenseNet,2011FY,,FYR,,,WORK</t>
  </si>
  <si>
    <t>BP.L,mscalc:ebitdaBeforePensionOpebAndOperatingLeaseAdjustments,2013FY,,FYR,,,WORK</t>
  </si>
  <si>
    <t>BP.L,mscalc:marketCapitalization,2007FY,,FYR,,,WORK</t>
  </si>
  <si>
    <t>BP.L,mscalc:profitBeforeTaxBeforeOperatingLeaseAdjustmentsCalc,2012FY,,FYR,,,HOLD</t>
  </si>
  <si>
    <t>BP.L,mscalc:effectiveTaxRate,2007FY,,FYR,,,HOLD</t>
  </si>
  <si>
    <t>BP.L,mscalc:returnOnNetOperatingAssetsExcludingAdjustments2calc,2009FY,,FYR,,,WORK</t>
  </si>
  <si>
    <t>BP.L,mscalc:freeCashFlowForConsensus,2011FY,,FYR,,,WORK</t>
  </si>
  <si>
    <t>BP.L,mscalc:enterpriseValueAsif,2007FY,,FYR,,,WORK</t>
  </si>
  <si>
    <t>BP.L,mscalc:operatingRevenueForConsensus,2014FY,,FYR,,,HOLD</t>
  </si>
  <si>
    <t>Currency translation differences</t>
  </si>
  <si>
    <t>Actuarial gain (loss) relating to pensions and other post-retirement benefits</t>
  </si>
  <si>
    <t>Available-for-sale investments marked to market</t>
  </si>
  <si>
    <t>Available-for-sale investments - recycled to the income statement</t>
  </si>
  <si>
    <t>Cash flow hedges marked to market</t>
  </si>
  <si>
    <t>Cash flow hedges - recycled to the income statement</t>
  </si>
  <si>
    <t>Inventory holding gains (losses) - post tax</t>
  </si>
  <si>
    <t>Total comprehensive income</t>
  </si>
  <si>
    <t>Share of equity accounted investments - Bitumen</t>
  </si>
  <si>
    <t>10.7619769670035</t>
  </si>
  <si>
    <t>8.45416181754222</t>
  </si>
  <si>
    <t>1.17636794833243</t>
  </si>
  <si>
    <t>17.307211137089</t>
  </si>
  <si>
    <t>0.327459667441246</t>
  </si>
  <si>
    <t>10.989361693308</t>
  </si>
  <si>
    <t>10.7803341288822</t>
  </si>
  <si>
    <t>BP.L,mscalc:tangibleOperatingAssetTurnover,2014FY,,FYR</t>
  </si>
  <si>
    <t>BP.L,mscalc:operatingAssetTurnoverExcludingAdjustments2calc,2010FY,,FYR</t>
  </si>
  <si>
    <t>Defined benefit pension plan and other</t>
  </si>
  <si>
    <t>CapEx - Additions to PP&amp;E</t>
  </si>
  <si>
    <t>Deferred net tax liabilities</t>
  </si>
  <si>
    <t>92,109</t>
  </si>
  <si>
    <t>77,115</t>
  </si>
  <si>
    <t>0.151122768458811</t>
  </si>
  <si>
    <t>185,969.15042087</t>
  </si>
  <si>
    <t>73,446</t>
  </si>
  <si>
    <t>Cash flow hedges - recycled to the balance sheet</t>
  </si>
  <si>
    <t>Other</t>
  </si>
  <si>
    <t>Operating activities</t>
  </si>
  <si>
    <t>BP.L,mscalc:netDebtToEBITDAForConsensus,2013FY,,FYR,,,WORK</t>
  </si>
  <si>
    <t>BP.L,mscalc:dividendPayoutRatioForConsensus,2014FY,,FYR,,,WORK</t>
  </si>
  <si>
    <t>BP.L,mscalc:returnOnAverageEquityForConsensus,2006FY,,FYR</t>
  </si>
  <si>
    <t>898.60792347329</t>
  </si>
  <si>
    <t>2.3852982823391</t>
  </si>
  <si>
    <t>144,148.907931652</t>
  </si>
  <si>
    <t>0.354036018828762</t>
  </si>
  <si>
    <t>141,993.038392631</t>
  </si>
  <si>
    <t>22.8538001633128</t>
  </si>
  <si>
    <t>2.64017763820233</t>
  </si>
  <si>
    <t>15,774</t>
  </si>
  <si>
    <t>18,216.7480633536</t>
  </si>
  <si>
    <t>132,319.57378467</t>
  </si>
  <si>
    <t>39,847.8703831979</t>
  </si>
  <si>
    <t>149,670.768164486</t>
  </si>
  <si>
    <t>6,166.14922710999</t>
  </si>
  <si>
    <t>5.63182746010124</t>
  </si>
  <si>
    <t>20,332.4728741067</t>
  </si>
  <si>
    <t>856.20179965183</t>
  </si>
  <si>
    <t>145,348.965021937</t>
  </si>
  <si>
    <t>1.52848982129591</t>
  </si>
  <si>
    <t>0.417995324114635</t>
  </si>
  <si>
    <t>1.4518821366495</t>
  </si>
  <si>
    <t>5,694.11459902087</t>
  </si>
  <si>
    <t>1.63636361742749</t>
  </si>
  <si>
    <t>134,424.181931414</t>
  </si>
  <si>
    <t>0.114309729987908</t>
  </si>
  <si>
    <t>1,142.34951837938</t>
  </si>
  <si>
    <t>3.45101084459946</t>
  </si>
  <si>
    <t>0.0613499287526296</t>
  </si>
  <si>
    <t>BP.L,mscalc:netIncomeBeforeOperatingLeaseAdjustment,2015FY,,FYR,,,HOLD</t>
  </si>
  <si>
    <t>Varyeganneftegaz Fields</t>
  </si>
  <si>
    <t>Trinidad &amp; Tobago</t>
  </si>
  <si>
    <t>UK</t>
  </si>
  <si>
    <t>Alba</t>
  </si>
  <si>
    <t>Andrew*</t>
  </si>
  <si>
    <t>Beinn</t>
  </si>
  <si>
    <t>Brae Area</t>
  </si>
  <si>
    <t>Brae East</t>
  </si>
  <si>
    <t>Brae West</t>
  </si>
  <si>
    <t>Braemar</t>
  </si>
  <si>
    <t>Britannia</t>
  </si>
  <si>
    <t>By region</t>
  </si>
  <si>
    <t>Dividends declared per ADS (cents)</t>
  </si>
  <si>
    <t>Percent of total dividends declared</t>
  </si>
  <si>
    <t>BP.L,mscalc:freeCashFlowForConsensus,2013FY,,FYR</t>
  </si>
  <si>
    <t>- Other payables</t>
  </si>
  <si>
    <t xml:space="preserve">     Provisions</t>
  </si>
  <si>
    <t>Net current liabilities</t>
  </si>
  <si>
    <t xml:space="preserve">     Other receivables</t>
  </si>
  <si>
    <t xml:space="preserve">Non-current liabilities </t>
  </si>
  <si>
    <t xml:space="preserve">     Other payables</t>
  </si>
  <si>
    <t xml:space="preserve">     Deferred tax </t>
  </si>
  <si>
    <t>Net non-current liabilities</t>
  </si>
  <si>
    <t>Net assets</t>
  </si>
  <si>
    <t>Movements in other current and non-current assets and liabilities</t>
  </si>
  <si>
    <t>Pre-tax cash flows</t>
  </si>
  <si>
    <t>Balance sheet items related to GoM oil spill</t>
  </si>
  <si>
    <t>BP.L,mstag:costOfSalesWithoutDepreciation,2006FY,,FYR,,,WORK</t>
  </si>
  <si>
    <t>BP.L,mscalc:tangibleOperatingAssetTurnover,2007FY,,FYR,,,HOLD</t>
  </si>
  <si>
    <t>BP.L,mscalc:returnOnNetOperatingAssetsExcludingAdjustments2calc,2015FY,,FYR,,,WORK</t>
  </si>
  <si>
    <t>BP.L,mstag:cashDividendsPaid,2010FY,,FYR,,,WORK</t>
  </si>
  <si>
    <t>0.0584760309988059</t>
  </si>
  <si>
    <t>38.5992890881932</t>
  </si>
  <si>
    <t>0.418812452979484</t>
  </si>
  <si>
    <t>27.4582776728993</t>
  </si>
  <si>
    <t>0.332170949631759</t>
  </si>
  <si>
    <t>18.2057872749405</t>
  </si>
  <si>
    <t>19.0806804303774</t>
  </si>
  <si>
    <t>BP.L,mscalc:totalCoverFixedChargeRatioInferredRatingAgency,2011FY,,FYR,,,WORK</t>
  </si>
  <si>
    <t>1.33082866874213</t>
  </si>
  <si>
    <t>11.0357039480761</t>
  </si>
  <si>
    <t>267,671.631316919</t>
  </si>
  <si>
    <t>1.48712389669205</t>
  </si>
  <si>
    <t>1.15846198944188</t>
  </si>
  <si>
    <t>BP.L,mscalc:operatingAssetTurnoverExcludingAdjustments2calc,2012FY,,FYR,,,HOLD</t>
  </si>
  <si>
    <t>BP.L,mscalc:pretaxOperatingprofitForConsensus,2012FY,,FYR,,,WORK</t>
  </si>
  <si>
    <t>BP.L,mscalc:nopatExcludingAdjustments2,2012FY,,FYR,,,WORK</t>
  </si>
  <si>
    <t>BP.L,mscalc:netIncomeBeforeOperatingLeaseAdjustment,2009FY,,FYR,,,WORK</t>
  </si>
  <si>
    <t>BP.L,mscalc:priceToEarningsBeforeOperatingLeaseAdjustments,2015FY,,FYR</t>
  </si>
  <si>
    <t>BP.L,mscalc:capitalExpendituresToDepreciationRatioExcludingOperatingLeaseAdjustments,2012FY,,FYR</t>
  </si>
  <si>
    <t>BP.L,mscalc:effectiveTaxRate,2009FY,,FYR</t>
  </si>
  <si>
    <t>BP.L,mscalc:capitalExpendituresToDepreciationRatioExcludingOperatingLeaseAdjustments,2011FY,,FYR</t>
  </si>
  <si>
    <t>BP.L,mscalc:dividendPayoutRatioForConsensus,2007FY,,FYR</t>
  </si>
  <si>
    <t>BP.L,mscalc:inventoryTurnover,2010FY,,FYR,,,HOLD</t>
  </si>
  <si>
    <t>BP.L,msuser:cmWorkingCapitalSales20051031T1238209890,2011FY,,FYR,,,HOLD</t>
  </si>
  <si>
    <t>BP.L,mscalc:priceToEarnings,2011FY</t>
  </si>
  <si>
    <t>BP.L,mscalc:returnOnNetOperatingAssetsExcludingAdjustments2calc,2015FY,,FYR,,,HOLD</t>
  </si>
  <si>
    <t>BP.L,mscalc:shareholdersEquityExcludingAdjustments2,2012FY,,FYR,,,HOLD</t>
  </si>
  <si>
    <t>BP.L,mscalc:shareholdersEquityExcludingAdjustments2,2013FY,,FYR,,,HOLD</t>
  </si>
  <si>
    <t>Fuels</t>
  </si>
  <si>
    <t>Lubricants</t>
  </si>
  <si>
    <t>Deferred tax asset</t>
  </si>
  <si>
    <t>Change in net assets/(liabilities)</t>
  </si>
  <si>
    <t>BP.L,mscalc:ebitdaBeforePensionOpebAndOperatingLeaseAdjustments,2007FY,,FYR,,,HOLD</t>
  </si>
  <si>
    <t>BP WESTGOM Conv GAS OFF Fed*</t>
  </si>
  <si>
    <t>BP WESTGOM Conv OIL OFF Fed*</t>
  </si>
  <si>
    <t>BP WESTGOM Deep GAS OFF Fed*</t>
  </si>
  <si>
    <t>US (Gulf Coast)</t>
  </si>
  <si>
    <t>BP ALT Cotton Valley Hz TGS TX Fee*</t>
  </si>
  <si>
    <t>BP ALT Cotton Valley TGS TX Fee*</t>
  </si>
  <si>
    <t>BP ALT Travis Peak TGS LA Fee*</t>
  </si>
  <si>
    <t>0.248231829629481</t>
  </si>
  <si>
    <t>0.600834149261198</t>
  </si>
  <si>
    <t>6.89415506650601</t>
  </si>
  <si>
    <t>2.60464368727659</t>
  </si>
  <si>
    <t>2.80870667840822</t>
  </si>
  <si>
    <t>1.33348992577493</t>
  </si>
  <si>
    <t>0.684558645757471</t>
  </si>
  <si>
    <t>BP.L,mstag:sellingGeneralAndAdministrativeExpenses,2007FY,,FYR</t>
  </si>
  <si>
    <t>BP.L,mscalc:interestExpenseNet,2007FY,,FYR</t>
  </si>
  <si>
    <t>BP.L,mscalc:netDebtAsif,2011FY,,FYR</t>
  </si>
  <si>
    <t>BP.L,mscalc:netDebtAsif,2013FY,,FYR</t>
  </si>
  <si>
    <t>Intra-year adjustment</t>
  </si>
  <si>
    <t>1.71483347940403</t>
  </si>
  <si>
    <t>0.0680212416312674</t>
  </si>
  <si>
    <t>3.01797533092659</t>
  </si>
  <si>
    <t>45.0483759069177</t>
  </si>
  <si>
    <t>2.78781535292114</t>
  </si>
  <si>
    <t>5.56093019103472</t>
  </si>
  <si>
    <t>1.78898987229371</t>
  </si>
  <si>
    <t>0.337631081313392</t>
  </si>
  <si>
    <t>BP.L,mscalc:netDebtAsif,2012FY</t>
  </si>
  <si>
    <t>BP.L,mscalc:netIncome,2011FY</t>
  </si>
  <si>
    <t>BP.L,mscalc:inventoryTurnover,2014FY,,FYR,,,HOLD</t>
  </si>
  <si>
    <t>Petromonagas(Cerro Negro)</t>
  </si>
  <si>
    <t>Vietnam</t>
  </si>
  <si>
    <t>Block 06-1*</t>
  </si>
  <si>
    <t>Entitlement Gas Production (million scf/d)</t>
  </si>
  <si>
    <t>BP.L,mscalc:capitalExpendituresToDepreciationRatioExcludingOperatingLeaseAdjustments,2015FY,,FYR,,,HOLD</t>
  </si>
  <si>
    <t>BP.L,mscalc:effectiveTaxRate,2006FY,,FYR,,,HOLD</t>
  </si>
  <si>
    <t>BP.L,mscalc:inventoryTurnover,2011FY,,FYR,,,HOLD</t>
  </si>
  <si>
    <t>BP.L,mscalc:effectiveTaxRate,2011FY,,FYR,,,HOLD</t>
  </si>
  <si>
    <t>BP.L,mscalc:netDebtToEBITDAForConsensus,2010FY,,FYR,,,HOLD</t>
  </si>
  <si>
    <t>BP.L,mscalc:returnOnAverageEquityForConsensus,2010FY</t>
  </si>
  <si>
    <t>BP.L,mstag:dailyProductionTotalCompanyMmboePerDay,2011FY</t>
  </si>
  <si>
    <t>MS</t>
  </si>
  <si>
    <t>0798059</t>
  </si>
  <si>
    <t>Repayments of long-term financing</t>
  </si>
  <si>
    <t>BP.L,mscalc:returnOnAverageEquityForConsensus,2015FY,,FYR,,,HOLD</t>
  </si>
  <si>
    <t>BP.L,mscalc:priceToBookValueReportedcalc,2014FY,,FYR,,,WORK</t>
  </si>
  <si>
    <t>BP.L,mscalc:interestExpenseNet,2007FY,,FYR,,,WORK</t>
  </si>
  <si>
    <t>BP.L,mscalc:enterpriseValueAsif,2008FY,,FYR,,,WORK</t>
  </si>
  <si>
    <t>BP.L,mstag:sellingGeneralAndAdministrativeExpenses,2014FY,,FYR,,,WORK</t>
  </si>
  <si>
    <t>BP.L,mstag:sellingGeneralAndAdministrativeExpenses,2006FY,,FYR,,,WORK</t>
  </si>
  <si>
    <t>BP.L,mscalc:ebitdaBeforePensionOpebAndOperatingLeaseAdjustments,2012FY,,FYR,,,WORK</t>
  </si>
  <si>
    <t>BP.L,mscalc:netOperatingAssetsExcludingAdjustments2,2010FY,,FYR</t>
  </si>
  <si>
    <t>BP.L,mscalc:returnOnNetOperatingAssetsExcludingAdjustments2calc,2011FY,,FYR</t>
  </si>
  <si>
    <t>BP.L,mscalc:enterpriseValueAsif,2009FY,,FYR</t>
  </si>
  <si>
    <t>BP.L,mscalc:ebitdaBeforePensionOpebAndOperatingLeaseAdjustments,2009FY,,FYR</t>
  </si>
  <si>
    <t>BP.L,mscalc:marketCapitalization,2008FY,,FYR,,,WORK</t>
  </si>
  <si>
    <t>BP.L,mstag:sellingGeneralAndAdministrativeExpenses,2010FY,,FYR,,,WORK</t>
  </si>
  <si>
    <t>BP.L,mstag:sellingGeneralAndAdministrativeExpenses,2009FY,,FYR,,,WORK</t>
  </si>
  <si>
    <t>BP.L,mscalc:netOperatingAssetsExcludingAdjustments2,2011FY,,FYR,,,WORK</t>
  </si>
  <si>
    <t>BP.L,mscalc:returnOnNetOperatingAssetsExcludingAdjustments2calc,2010FY,,FYR,,,WORK</t>
  </si>
  <si>
    <t>BP.L,mscalc:shareholdersEquityExcludingAdjustments2,2013FY,,FYR,,,WORK</t>
  </si>
  <si>
    <t>BP.L,mscalc:freeCashFlowForConsensus,2008FY,,FYR,,,WORK</t>
  </si>
  <si>
    <t>4Q19</t>
  </si>
  <si>
    <t>1Q20</t>
  </si>
  <si>
    <t>2Q20</t>
  </si>
  <si>
    <t>3Q20</t>
  </si>
  <si>
    <t>4Q20</t>
  </si>
  <si>
    <t>Intangible assets</t>
  </si>
  <si>
    <t>Property, plant and equipment</t>
  </si>
  <si>
    <t>Trade and other receivables</t>
  </si>
  <si>
    <t>BP.L,mscalc:netIncomeBeforeOperatingLeaseAdjustment,2013FY,,FYR</t>
  </si>
  <si>
    <t>BP.L,mstag:sellingGeneralAndAdministrativeExpenses,2015FY,,FYR</t>
  </si>
  <si>
    <t>BP.L,mscalc:netOperatingAssetsExcludingAdjustments2,2007FY,,FYR</t>
  </si>
  <si>
    <t>BP.L,mscalc:returnOnNetOperatingAssetsExcludingAdjustments2calc,2007FY,,FYR</t>
  </si>
  <si>
    <t>SUBS - Oman</t>
  </si>
  <si>
    <t>Capex forecast according to WoodMackenzie - Crude oil and NGL</t>
  </si>
  <si>
    <t>Growth (% y/y)</t>
  </si>
  <si>
    <t>13,699.0166015625</t>
  </si>
  <si>
    <t>5,016.2997654</t>
  </si>
  <si>
    <t>13,736.1828916222</t>
  </si>
  <si>
    <t>151,515.989662006</t>
  </si>
  <si>
    <t>185,622.818407961</t>
  </si>
  <si>
    <t>45,031.5840051714</t>
  </si>
  <si>
    <t>1,531.77858824432</t>
  </si>
  <si>
    <t>US Northwest</t>
  </si>
  <si>
    <t xml:space="preserve">Adj RC Operating profit </t>
  </si>
  <si>
    <t>0.060865437026357</t>
  </si>
  <si>
    <t>5.56700488142426</t>
  </si>
  <si>
    <t>2.46525486360122</t>
  </si>
  <si>
    <t>BP.L,mscalc:interestExpenseNet,2011FY,,FYR</t>
  </si>
  <si>
    <t>0.151886669456883</t>
  </si>
  <si>
    <t>BP.L,mscalc:netDebtAsif,2008FY,,FYR,,,HOLD</t>
  </si>
  <si>
    <t>BP.L,mscalc:interestExpenseNet,2011FY,,FYR,,,HOLD</t>
  </si>
  <si>
    <t>BP.L,mscalc:inventoryTurnover,2015FY,,FYR</t>
  </si>
  <si>
    <t>BP.L,mstag:costOfSalesWithDepreciation,2008FY,,FYR</t>
  </si>
  <si>
    <t>0.751511497082425</t>
  </si>
  <si>
    <t>1.96060410503479</t>
  </si>
  <si>
    <t>0.789329938816568</t>
  </si>
  <si>
    <t>BP.L,mscalc:priceToBookValueReportedcalc,2013FY,,FYR</t>
  </si>
  <si>
    <t>Net (decrease) increase in short-term debt</t>
  </si>
  <si>
    <t>Dividends paid</t>
  </si>
  <si>
    <t>BP.L,mstag:costOfSalesWithDepreciation,2013FY,,FYR,,,WORK</t>
  </si>
  <si>
    <t>Interest received</t>
  </si>
  <si>
    <t>Interest paid</t>
  </si>
  <si>
    <t>Net finance (income) expense related to pensions</t>
  </si>
  <si>
    <t>(Increase) decrease in inventories</t>
  </si>
  <si>
    <t>(Increase) decrease in other current and non-current assets</t>
  </si>
  <si>
    <t>(Increase) decrease in other current and non-current liabilities</t>
  </si>
  <si>
    <t>Earnings from JVs and associates</t>
  </si>
  <si>
    <t>Capital expenditure</t>
  </si>
  <si>
    <t>Proceeds from disposal of fixed assets</t>
  </si>
  <si>
    <t>Proceeds from disposal of businesses, net of cash disposed</t>
  </si>
  <si>
    <t>Total liabilities and equity</t>
  </si>
  <si>
    <t>BP.L,mscalc:priceToEarningsBeforeOperatingLeaseAdjustments,2013FY,,FYR</t>
  </si>
  <si>
    <t>BP.L,mscalc:freeCashFlowForConsensus,2011FY,,FYR,,,HOLD</t>
  </si>
  <si>
    <t>BP.L,mscalc:marketCapitalization,2013FY,,FYR,,,WORK</t>
  </si>
  <si>
    <t>BP.L,mscalc:profitBeforeTaxBeforeOperatingLeaseAdjustmentsCalc,2014FY,,FYR,,,WORK</t>
  </si>
  <si>
    <t>BP.L,mscalc:freeCashFlowForConsensus,2009FY,,FYR,,,WORK</t>
  </si>
  <si>
    <t>BP.L,mscalc:netIncomeBeforeOperatingLeaseAdjustment,2015FY,,FYR,,,WORK</t>
  </si>
  <si>
    <t>BP.L,msuser:cmGrossprofitforconsensus20080605T2347008189,2012FY,,FYR,,,WORK</t>
  </si>
  <si>
    <t>BP.L,mscalc:netOperatingAssetsExcludingAdjustments2,2013FY,,FYR,,,WORK</t>
  </si>
  <si>
    <t>Mid-stream (TNK-BP); adjustment (Rosneft)</t>
  </si>
  <si>
    <t>ROSNq.L,mscalc:netIncome,2013FY,,FYR</t>
  </si>
  <si>
    <t>ROSNq.L,mscalc:netIncome,2016FY,,FYR</t>
  </si>
  <si>
    <t>BP.L,mscalc:operatingAssetTurnoverExcludingAdjustments2calc,2012FY,,FYR</t>
  </si>
  <si>
    <t>BP.L,mscalc:totalCoverFixedChargeRatioInferredRatingAgency,2006FY,,FYR</t>
  </si>
  <si>
    <t>BP.L,mscalc:priceToBookValueReportedcalc,2010FY,,FYR,,,HOLD</t>
  </si>
  <si>
    <t>Changes in associates' equity</t>
  </si>
  <si>
    <t>Repurchase of ordinary share capital</t>
  </si>
  <si>
    <t>Interest 
 (%)</t>
  </si>
  <si>
    <t>Algeria</t>
  </si>
  <si>
    <t>BP.L,mscalc:dividendPayoutRatioForConsensus,2010FY,,FYR,,,HOLD</t>
  </si>
  <si>
    <t>BP.L,mscalc:totalCoverFixedChargeRatioInferredRatingAgency,2011FY,,FYR,,,HOLD</t>
  </si>
  <si>
    <t>BP.L,mstag:costOfSalesWithDepreciation,2012FY,,FYR,,,HOLD</t>
  </si>
  <si>
    <t>BP.L,mscalc:tangibleOperatingAssetTurnover,2013FY,,FYR,,,HOLD</t>
  </si>
  <si>
    <t>BP.L,mscalc:dividendPayoutRatioForConsensus,2009FY,,FYR,,,HOLD</t>
  </si>
  <si>
    <t>BP.L,mstag:costOfSalesWithDepreciation,2015FY,,FYR,,,HOLD</t>
  </si>
  <si>
    <t>BP.L,mscalc:currentRatio,2010FY,,FYR,,,WORK</t>
  </si>
  <si>
    <t>Operating revenue</t>
  </si>
  <si>
    <t>Operating expense</t>
  </si>
  <si>
    <t>Operating tax</t>
  </si>
  <si>
    <t>Financial expense</t>
  </si>
  <si>
    <t>Financial revenue</t>
  </si>
  <si>
    <t>Financial tax</t>
  </si>
  <si>
    <t>CCS earnings excluding identified items</t>
  </si>
  <si>
    <t>Total gas production from EAI</t>
  </si>
  <si>
    <t>Total gas production</t>
  </si>
  <si>
    <t>BP.L,mscalc:operatingRevenueForConsensus,2008FY,,FYR,,,HOLD</t>
  </si>
  <si>
    <t>BP.L,mscalc:operatingRevenueForConsensus,2010FY,,FYR,,,HOLD</t>
  </si>
  <si>
    <t>BP.L,mstag:cashDividendsPaid,2014FY,,FYR,,,HOLD</t>
  </si>
  <si>
    <t>BP.L,mscalc:nopatExcludingAdjustments2,2012FY,,FYR,,,HOLD</t>
  </si>
  <si>
    <t>BP.L,mscalc:enterpriseValueAsif,2007FY,,FYR,,,HOLD</t>
  </si>
  <si>
    <t>BP.L,mscalc:nopatExcludingAdjustments2,2011FY,,FYR,,,HOLD</t>
  </si>
  <si>
    <t>BP.L,mscalc:enterpriseValueAsif,2008FY,,FYR,,,HOLD</t>
  </si>
  <si>
    <t>BP.L,mscalc:enterpriseValueAsif,2014FY,,FYR,,,HOLD</t>
  </si>
  <si>
    <t>BP.L,mscalc:freeCashFlowForConsensus,2013FY,,FYR,,,WORK</t>
  </si>
  <si>
    <t>BP.L,mscalc:evnopat,2011FY,,,,,HOLD</t>
  </si>
  <si>
    <t>BP.L,mscalc:evnopat,2007FY,,,,,HOLD</t>
  </si>
  <si>
    <t>BP.L,mscalc:dividendsPerShareCalc,2015FY,,,,,HOLD</t>
  </si>
  <si>
    <t>BP.L,mstag:dailyProductionTotalCompanyMmboePerDay,2013FY,,,,,HOLD</t>
  </si>
  <si>
    <t>BP.L,mscalc:priceToEarnings,2014FY,,,,,HOLD</t>
  </si>
  <si>
    <t>BP.L,mscalc:priceToBookValueReportedcalc,2011FY,,FYR,,,HOLD</t>
  </si>
  <si>
    <t>BP.L,mscalc:capexsales,2009FY,,FYR,,,HOLD</t>
  </si>
  <si>
    <t>BP.L,mscalc:effectiveTaxRate,2010FY,,FYR,,,HOLD</t>
  </si>
  <si>
    <t>BP.L,mscalc:totalCoverFixedChargeRatioInferredRatingAgency,2010FY,,FYR,,,HOLD</t>
  </si>
  <si>
    <t>BP.L,mstag:costOfSalesWithoutDepreciation,2012FY,,FYR,,,HOLD</t>
  </si>
  <si>
    <t>BP.L,mscalc:effectiveTaxRate,2015FY,,FYR,,,HOLD</t>
  </si>
  <si>
    <t>BP.L,mscalc:tangibleOperatingAssetTurnover,2015FY,,FYR,,,HOLD</t>
  </si>
  <si>
    <t>Isabela (MC 562)*</t>
  </si>
  <si>
    <t>Dividends received</t>
  </si>
  <si>
    <t>BP.L,mscalc:daysSalesOutstanding,2013FY,,FYR,,,HOLD</t>
  </si>
  <si>
    <t>BP.L,mscalc:marketCapitalization,2009FY,,FYR,,,WORK</t>
  </si>
  <si>
    <t>BP.L,mscalc:netDebtAsif,2011FY,,FYR,,,WORK</t>
  </si>
  <si>
    <t>BP.L,mscalc:pretaxOperatingprofitForConsensus,2009FY,,FYR,,,HOLD</t>
  </si>
  <si>
    <t>BP.L,mscalc:netIncomeBeforeOperatingLeaseAdjustment,2012FY,,FYR,,,HOLD</t>
  </si>
  <si>
    <t>BP.L,mscalc:enterpriseValueAsif,2013FY,,FYR,,,HOLD</t>
  </si>
  <si>
    <t>BP.L,msuser:cmGrossprofitforconsensus20080605T2347008189,2009FY,,FYR,,,HOLD</t>
  </si>
  <si>
    <t>BP.L,mscalc:netDebtAsif,2014FY,,FYR,,,HOLD</t>
  </si>
  <si>
    <t>BP.L,mscalc:operatingRevenueForConsensus,2009FY,,FYR,,,HOLD</t>
  </si>
  <si>
    <t>BP.L,mscalc:factsetIdCalc</t>
  </si>
  <si>
    <t>IFRS</t>
  </si>
  <si>
    <t>BP.L,mscalc:ebitdaBeforePensionOpebAndOperatingLeaseAdjustments,2012FY,,FYR</t>
  </si>
  <si>
    <t>Summary cash flow statement</t>
  </si>
  <si>
    <t>∆ Net working capital</t>
  </si>
  <si>
    <t>Cash flow from operations</t>
  </si>
  <si>
    <t>Cash flow from investing</t>
  </si>
  <si>
    <t>Free cash flow</t>
  </si>
  <si>
    <t>Net proceeds from debt issuance</t>
  </si>
  <si>
    <t>Repurchase of shares</t>
  </si>
  <si>
    <t>Cash flow from financing activities</t>
  </si>
  <si>
    <t>Percent of total</t>
  </si>
  <si>
    <t xml:space="preserve">Reserve life </t>
  </si>
  <si>
    <t>Proved and developed</t>
  </si>
  <si>
    <t>Difference</t>
  </si>
  <si>
    <t>Additions to reserves - organic</t>
  </si>
  <si>
    <t>BP.L,mscalc:returnOnNetOperatingAssetsExcludingAdjustments2calc,2015FY,,,,,HOLD</t>
  </si>
  <si>
    <t>BP.L,mscalc:dividendYield,2011FY,,,,,HOLD</t>
  </si>
  <si>
    <t>BP.L,mscalc:evToNoa,2006FY,,,,,HOLD</t>
  </si>
  <si>
    <t>BP.L,mscalc:freeCashFlowYieldRatioForConsensus,2006FY,,,,,HOLD</t>
  </si>
  <si>
    <t>BP.L,mscalc:dividendYield,2014FY,,,,,HOLD</t>
  </si>
  <si>
    <t>BP.L,mscalc:pretaxOperatingprofitptopForReconcilaition,2013FY,,,,,HOLD</t>
  </si>
  <si>
    <t>BP.L,mscalc:priceToEarnings,2008FY,,,,,HOLD</t>
  </si>
  <si>
    <t>BP.L,mscalc:evToEbitda,2014FY,,,,,HOLD</t>
  </si>
  <si>
    <t>BP.L,mscalc:dividendYield,2012FY,,,,,HOLD</t>
  </si>
  <si>
    <t>BP.L,mscalc:dividendYield,2009FY,,,,,HOLD</t>
  </si>
  <si>
    <t>BP.L,mscalc:bookValuePerShare,2008FY,,,,,HOLD</t>
  </si>
  <si>
    <t>BP.L,mscalc:returnOnNetOperatingAssetsExcludingAdjustments2calc,2014FY,,,,,HOLD</t>
  </si>
  <si>
    <t>BP.L,mscalc:evToEbitda,2012FY,,,,,HOLD</t>
  </si>
  <si>
    <t>BP.L,mscalc:pretaxOperatingprofitptopForReconcilaition,2014FY,,,,,HOLD</t>
  </si>
  <si>
    <t>BP.L,mscalc:evrevenue,2010FY,,,,,HOLD</t>
  </si>
  <si>
    <t>BP.L,mscalc:dilutedEarningsPerShare,2010FY,,,,,HOLD</t>
  </si>
  <si>
    <t>BP.L,mscalc:dividendYield,2015FY,,,,,HOLD</t>
  </si>
  <si>
    <t>BP.L,mscalc:dilutedEarningsPerShare,2015FY,,,,,HOLD</t>
  </si>
  <si>
    <t>BP.L,mscalc:returnOnAverageEquityForConsensus,2007FY,,,,,HOLD</t>
  </si>
  <si>
    <t>BP.L,mscalc:priceToBookValue,2009FY,,,,,HOLD</t>
  </si>
  <si>
    <t>BP.L,mscalc:tangibleOperatingAssetTurnover,2010FY,,FYR,,,HOLD</t>
  </si>
  <si>
    <t>0.972105604230032</t>
  </si>
  <si>
    <t>BP.L,msuser:cmWorkingCapitalSales20051031T1238209890,2013FY,,FYR,,,HOLD</t>
  </si>
  <si>
    <t>BP.L,mstag:costOfSalesWithDepreciation,2007FY,,FYR,,,HOLD</t>
  </si>
  <si>
    <t>BP.L,mscalc:currentRatio,2010FY,,FYR,,,HOLD</t>
  </si>
  <si>
    <t>BP.L,mscalc:operatingAssetTurnoverExcludingAdjustments2calc,2014FY,,FYR,,,HOLD</t>
  </si>
  <si>
    <t>BP.L,mstag:cashDividendsPaid,2008FY,,FYR,,,WORK</t>
  </si>
  <si>
    <t>BP.L,mscalc:netIncomeBeforeOperatingLeaseAdjustment,2008FY,,FYR,,,WORK</t>
  </si>
  <si>
    <t>BP.L,mscalc:netDebtAsif,2007FY,,FYR,,,WORK</t>
  </si>
  <si>
    <t>BP.L,mscalc:daysPayableOutstanding,2013FY,,FYR,,,WORK</t>
  </si>
  <si>
    <t>BP.L,mscalc:ebitdaBeforePensionOpebAndOperatingLeaseAdjustments,2010FY,,FYR</t>
  </si>
  <si>
    <t>BP.L,mscalc:returnOnAverageEquityForConsensus,2009FY,,FYR</t>
  </si>
  <si>
    <t>BP.L,mscalc:priceToBookValueReportedcalc,2011FY,,FYR</t>
  </si>
  <si>
    <t>BP.L,mscalc:capitalExpendituresToDepreciationRatioExcludingOperatingLeaseAdjustments,2006FY,,FYR</t>
  </si>
  <si>
    <t>BP.L,mscalc:returnOnAverageEquityForConsensus,2008FY,,,,,HOLD</t>
  </si>
  <si>
    <t>BP.L,mscalc:dividendsPerShareCalc,2011FY,,,,,HOLD</t>
  </si>
  <si>
    <t>BP.L,mscalc:evToEbitda,2013FY,,,,,HOLD</t>
  </si>
  <si>
    <t>BP.L,mscalc:priceToBookValue,2008FY,,,,,HOLD</t>
  </si>
  <si>
    <t>BP.L,mscalc:returnOnNetOperatingAssetsExcludingAdjustments2calc,2007FY,,,,,HOLD</t>
  </si>
  <si>
    <t>BP.L,mscalc:evToNoa,2013FY,,,,,HOLD</t>
  </si>
  <si>
    <t>BP.L,mscalc:freeCashFlowYieldRatioForConsensus,2008FY,,,,,HOLD</t>
  </si>
  <si>
    <t>BP.L,mscalc:dilutedEarningsPerShare,2008FY,,,,,HOLD</t>
  </si>
  <si>
    <t>BP.L,mscalc:priceToEarnings,2007FY,,,,,HOLD</t>
  </si>
  <si>
    <t>BP.L,mscalc:evEbida,2007FY,,,,,HOLD</t>
  </si>
  <si>
    <t>BP.L,mscalc:evrevenue,2012FY,,,,,HOLD</t>
  </si>
  <si>
    <t>BP.L,mscalc:evToEbitda,2008FY,,,,,HOLD</t>
  </si>
  <si>
    <t>BP.L,mscalc:evnopat,2009FY,,,,,HOLD</t>
  </si>
  <si>
    <t>BP.L,mscalc:returnOnNetOperatingAssetsExcludingAdjustments2calc,2009FY,,,,,HOLD</t>
  </si>
  <si>
    <t>BP.L,mscalc:netDebtAsif,2006FY,,,,,HOLD</t>
  </si>
  <si>
    <t>BP.L,mstag:dailyProductionTotalCompanyMmboePerDay,2014FY,,,,,HOLD</t>
  </si>
  <si>
    <t>BP.L,mscalc:dividendsPerShareCalc,2006FY,,,,,HOLD</t>
  </si>
  <si>
    <t>BP.L,mscalc:pretaxOperatingprofitptopForReconcilaition,2008FY,,,,,HOLD</t>
  </si>
  <si>
    <t>BP.L,mscalc:freeCashFlowYieldRatioForConsensus,2014FY,,,,,HOLD</t>
  </si>
  <si>
    <t>BP.L,mscalc:priceToBookValue,2013FY,,,,,HOLD</t>
  </si>
  <si>
    <t>BP.L,mstag:dailyProductionTotalCompanyMmboePerDay,2015FY,,,,,HOLD</t>
  </si>
  <si>
    <t>BP.L,mscalc:returnOnNetOperatingAssetsExcludingAdjustments2calc,2006FY,,,,,HOLD</t>
  </si>
  <si>
    <t>BP.L,mscalc:netIncome,2010FY,,,,,HOLD</t>
  </si>
  <si>
    <t>BP.L,mscalc:dilutedEarningsPerShare,2007FY,,,,,HOLD</t>
  </si>
  <si>
    <t>BP.L,mscalc:netDebtAsif,2011FY,,,,,HOLD</t>
  </si>
  <si>
    <t>BP.L,mscalc:evToEbitda,2009FY,,,,,HOLD</t>
  </si>
  <si>
    <t>1.61582172288511</t>
  </si>
  <si>
    <t>0.469953796639933</t>
  </si>
  <si>
    <t>BP.L,mscalc:dilutedEarningsPerShare,2009FY,,,,,HOLD</t>
  </si>
  <si>
    <t>4.90929171120456</t>
  </si>
  <si>
    <t>1.18258569071673</t>
  </si>
  <si>
    <t>8.81216621924551</t>
  </si>
  <si>
    <t>0.0345706831845005</t>
  </si>
  <si>
    <t>1.10548984412119</t>
  </si>
  <si>
    <t>4.51360707358595</t>
  </si>
  <si>
    <t>1.01615918310475</t>
  </si>
  <si>
    <t>0.0470790915162488</t>
  </si>
  <si>
    <t>0.0490420084408373</t>
  </si>
  <si>
    <t>4.3578406265621</t>
  </si>
  <si>
    <t>0.0577772274799833</t>
  </si>
  <si>
    <t>4.83388739680095</t>
  </si>
  <si>
    <t>0.555591052558764</t>
  </si>
  <si>
    <t>0.0515251481087278</t>
  </si>
  <si>
    <t>1.80839896267133</t>
  </si>
  <si>
    <t>0.56</t>
  </si>
  <si>
    <t>1.06990167096546</t>
  </si>
  <si>
    <t>1.11231376228509</t>
  </si>
  <si>
    <t>0.5505</t>
  </si>
  <si>
    <t>0.0599513028788425</t>
  </si>
  <si>
    <t>0.028900699223435</t>
  </si>
  <si>
    <t>0.479744948014166</t>
  </si>
  <si>
    <t>5.63385189823948</t>
  </si>
  <si>
    <t>4.11443675613797</t>
  </si>
  <si>
    <t>3,838</t>
  </si>
  <si>
    <t>0.900785899703776</t>
  </si>
  <si>
    <t>2.48628635529774</t>
  </si>
  <si>
    <t>0.497129557702907</t>
  </si>
  <si>
    <t>0.0346553573985285</t>
  </si>
  <si>
    <t>8.83191990300112</t>
  </si>
  <si>
    <t>3,998</t>
  </si>
  <si>
    <t>1.35286637587654</t>
  </si>
  <si>
    <t>0.910499423726005</t>
  </si>
  <si>
    <t>8.2474849499227</t>
  </si>
  <si>
    <t>5.35965802155658</t>
  </si>
  <si>
    <t>0.479589044613693</t>
  </si>
  <si>
    <t>6.40797348416893</t>
  </si>
  <si>
    <t>5.48588052616817</t>
  </si>
  <si>
    <t>2.16367636572274</t>
  </si>
  <si>
    <t>0.0422633127110225</t>
  </si>
  <si>
    <t>Rumaila (TSC)</t>
  </si>
  <si>
    <t>BP.L,mscalc:operatingAssetTurnoverExcludingAdjustments2calc,2010FY,,FYR,,,HOLD</t>
  </si>
  <si>
    <t>BP.L,mscalc:daysPayableOutstanding,2014FY,,FYR,,,HOLD</t>
  </si>
  <si>
    <t>BP.L,msuser:cmGrossprofitforconsensus20080605T2347008189,2008FY,,FYR,,,WORK</t>
  </si>
  <si>
    <t>BP.L,mscalc:capitalExpendituresToDepreciationRatioExcludingOperatingLeaseAdjustments,2013FY,,FYR,,,WORK</t>
  </si>
  <si>
    <t>BP.L,mscalc:daysPayableOutstanding,2014FY,,FYR,,,WORK</t>
  </si>
  <si>
    <t>BOE (thousand boe/d)</t>
  </si>
  <si>
    <t>BP.L,mscalc:dividendYield,2006FY</t>
  </si>
  <si>
    <t>BP.L,mscalc:freeCashFlowYieldRatioForConsensus,2007FY</t>
  </si>
  <si>
    <t>BP.L,mscalc:evToEbitda,2009FY</t>
  </si>
  <si>
    <t>BP.L,mscalc:pretaxOperatingprofitptopForReconcilaition,2009FY</t>
  </si>
  <si>
    <t>BP.L,mscalc:evrevenue,2014FY</t>
  </si>
  <si>
    <t>BP.L,mscalc:evrevenue,2015FY</t>
  </si>
  <si>
    <t>BP.L,mscalc:dividendsPerShareCalc,2009FY</t>
  </si>
  <si>
    <t>BP.L,mscalc:dividendsPerShareCalc,2006FY</t>
  </si>
  <si>
    <t>BP.L,mscalc:dividendYield,2015FY</t>
  </si>
  <si>
    <t>BP.L,mscalc:returnOnAverageEquityForConsensus,2009FY</t>
  </si>
  <si>
    <t>BP.L,mscalc:freeCashFlowYieldRatioForConsensus,2006FY</t>
  </si>
  <si>
    <t>BP.L,mstag:dailyProductionTotalCompanyMmboePerDay,2007FY</t>
  </si>
  <si>
    <t>BP.L,mscalc:netIncome,2008FY</t>
  </si>
  <si>
    <t>BP.L,mscalc:netIncome,2009FY</t>
  </si>
  <si>
    <t>BP.L,mscalc:netDebtAsif,2006FY</t>
  </si>
  <si>
    <t>BP.L,mscalc:priceToBookValue,2006FY</t>
  </si>
  <si>
    <t>BP.L,mscalc:priceToBookValue,2008FY</t>
  </si>
  <si>
    <t>BP.L,mscalc:interestExpenseNet,2010FY,,FYR,,,HOLD</t>
  </si>
  <si>
    <t>BP.L,mscalc:ebitdaBeforePensionOpebAndOperatingLeaseAdjustments,2010FY,,FYR,,,HOLD</t>
  </si>
  <si>
    <t>BP.L,mscalc:marketCapitalization,2014FY,,FYR,USD,,HOLD</t>
  </si>
  <si>
    <t>BP.L,mscalc:operatingAssetTurnoverExcludingAdjustments2calc,2008FY,,FYR,,,HOLD</t>
  </si>
  <si>
    <t>BP.L,mscalc:currentRatio,2012FY,,FYR,,,HOLD</t>
  </si>
  <si>
    <t>Rest of North America</t>
  </si>
  <si>
    <t>Rest of Europe</t>
  </si>
  <si>
    <t>Asia (excl. Russia)</t>
  </si>
  <si>
    <t>BP equity-accounted entities</t>
  </si>
  <si>
    <t>Total EAI</t>
  </si>
  <si>
    <t>Taxation</t>
  </si>
  <si>
    <t>Minority interest</t>
  </si>
  <si>
    <t>Investment in jointly controlled entities</t>
  </si>
  <si>
    <t>Investment in associates</t>
  </si>
  <si>
    <t>Russian domestic oil</t>
  </si>
  <si>
    <t>0.719427161853726</t>
  </si>
  <si>
    <t>BP.L,mscalc:operatingRevenueForConsensus,2007FY,,FYR,,,HOLD</t>
  </si>
  <si>
    <t>BP.L,mscalc:freeCashFlowForConsensus,2012FY,,FYR,,,HOLD</t>
  </si>
  <si>
    <t>BP.L,mscalc:ebitdaBeforePensionOpebAndOperatingLeaseAdjustments,2009FY,,FYR,,,HOLD</t>
  </si>
  <si>
    <t>Shareholders' equity</t>
  </si>
  <si>
    <t>Net operating income</t>
  </si>
  <si>
    <t>Net financial expense</t>
  </si>
  <si>
    <t>BP.L,mscalc:freeCashFlowForConsensus,2012FY,,FYR,,,WORK</t>
  </si>
  <si>
    <t>BP.L,mscalc:operatingRevenueForConsensus,2014FY,,FYR,,,WORK</t>
  </si>
  <si>
    <t>BP.L,mscalc:daysSalesOutstanding,2010FY,,FYR,,,HOLD</t>
  </si>
  <si>
    <t>BP.L,mscalc:operatingAssetTurnoverExcludingAdjustments2calc,2006FY,,FYR,,,HOLD</t>
  </si>
  <si>
    <t>BP.L,mstag:costOfSalesWithDepreciation,2010FY,,FYR,,,HOLD</t>
  </si>
  <si>
    <t>BP.L,mstag:costOfSalesWithDepreciation,2009FY,,FYR,,,HOLD</t>
  </si>
  <si>
    <t>BP.L,mscalc:currentRatio,2011FY,,FYR,,,HOLD</t>
  </si>
  <si>
    <t>BP.L,mscalc:operatingAssetTurnoverExcludingAdjustments2calc,2010FY,,FYR,,,WORK</t>
  </si>
  <si>
    <t>BP.L,mscalc:priceToBookValueReportedcalc,2010FY,,FYR,,,WORK</t>
  </si>
  <si>
    <t>BP.L,mscalc:priceToEarningsBeforeOperatingLeaseAdjustments,2015FY,,FYR,,,WORK</t>
  </si>
  <si>
    <t>BP.L,mscalc:netDebtToEBITDAForConsensus,2009FY,,FYR,,,WORK</t>
  </si>
  <si>
    <t>BP.L,mscalc:effectiveTaxRate,2009FY,,FYR,,,WORK</t>
  </si>
  <si>
    <t>Badin II Fields*</t>
  </si>
  <si>
    <t>Badin III Fields*</t>
  </si>
  <si>
    <t>Qatar</t>
  </si>
  <si>
    <t>Bunduq</t>
  </si>
  <si>
    <t>Russia</t>
  </si>
  <si>
    <t>Messoyakhaneftegaz Fields</t>
  </si>
  <si>
    <t>6.29609660306582</t>
  </si>
  <si>
    <t>1.09578704612636</t>
  </si>
  <si>
    <t>1.21940128904565</t>
  </si>
  <si>
    <t>5.38162920454424</t>
  </si>
  <si>
    <t>0.324940260679899</t>
  </si>
  <si>
    <t>0.0429606893092182</t>
  </si>
  <si>
    <t>0.943669794680871</t>
  </si>
  <si>
    <t>0.0611368814109008</t>
  </si>
  <si>
    <t>0.0537960629214822</t>
  </si>
  <si>
    <t>5.44480379240111</t>
  </si>
  <si>
    <t>253,542.060737715</t>
  </si>
  <si>
    <t>39.8373393365361</t>
  </si>
  <si>
    <t>0.686563974674464</t>
  </si>
  <si>
    <t>2.38323732373434</t>
  </si>
  <si>
    <t>4.9540103693691</t>
  </si>
  <si>
    <t>5.87845051488029</t>
  </si>
  <si>
    <t>16.9884698793968</t>
  </si>
  <si>
    <t>38.7143554059762</t>
  </si>
  <si>
    <t>BP.L,mscalc:enterpriseValueAsif,2011FY,,FYR</t>
  </si>
  <si>
    <t>BP.L,mscalc:marketCapitalization,2013FY,,FYR,USD,,HOLD</t>
  </si>
  <si>
    <t>BP.L,mscalc:priceToEarningsBeforeOperatingLeaseAdjustments,2013FY,,FYR,,,HOLD</t>
  </si>
  <si>
    <t>BP.L,mscalc:currentRatio,2013FY,,FYR,,,HOLD</t>
  </si>
  <si>
    <t>BP.L,mscalc:daysSalesOutstanding,2011FY,,FYR,,,HOLD</t>
  </si>
  <si>
    <t>10.7307521940689</t>
  </si>
  <si>
    <t>1.98621875363133</t>
  </si>
  <si>
    <t>297,229.187815859</t>
  </si>
  <si>
    <t>0.32934232327464</t>
  </si>
  <si>
    <t>0.329686797711616</t>
  </si>
  <si>
    <t>3.99621214924856</t>
  </si>
  <si>
    <t>255,142.596241089</t>
  </si>
  <si>
    <t>40.2044302256618</t>
  </si>
  <si>
    <t>17.2456685061097</t>
  </si>
  <si>
    <t>0.720891059539872</t>
  </si>
  <si>
    <t>2.33994631685566</t>
  </si>
  <si>
    <t>BP.L,mscalc:profitBeforeTaxBeforeOperatingLeaseAdjustmentsCalc,2014FY,,FYR</t>
  </si>
  <si>
    <t>BP.L,mscalc:profitBeforeTaxBeforeOperatingLeaseAdjustmentsCalc,2010FY,,FYR</t>
  </si>
  <si>
    <t>P/15C*</t>
  </si>
  <si>
    <t>P/18-2 (P18C)*</t>
  </si>
  <si>
    <t>P/18-6*</t>
  </si>
  <si>
    <t>P/18A Licence*</t>
  </si>
  <si>
    <t>Norway</t>
  </si>
  <si>
    <t>Hod*</t>
  </si>
  <si>
    <t>Skarv Area*</t>
  </si>
  <si>
    <t>Tambar*</t>
  </si>
  <si>
    <t>Priobskoye North</t>
  </si>
  <si>
    <t>Prirazlomnoye (WS)</t>
  </si>
  <si>
    <t>Sakhalin-1 Area</t>
  </si>
  <si>
    <t>Sakhalinmorneftegaz</t>
  </si>
  <si>
    <t>Samaraneftegaz Fields</t>
  </si>
  <si>
    <t>88,317.367919344</t>
  </si>
  <si>
    <t>26,081.7545817749</t>
  </si>
  <si>
    <t>Reserve life</t>
  </si>
  <si>
    <t>Of which developed</t>
  </si>
  <si>
    <t>Reserve replacement ratio - organic</t>
  </si>
  <si>
    <t>3-Year rolling average</t>
  </si>
  <si>
    <t>29,826</t>
  </si>
  <si>
    <t>348,979.056111324</t>
  </si>
  <si>
    <t>BP.L,mscalc:priceToEarningsBeforeOperatingLeaseAdjustments,2014FY,,FYR</t>
  </si>
  <si>
    <t>BP.L,msuser:cmGrossprofitforconsensus20080605T2347008189,2013FY,,FYR,,,HOLD</t>
  </si>
  <si>
    <t>BP.L,mscalc:netIncome,2010FY</t>
  </si>
  <si>
    <t>BP DEL Ellenburger TGS NM Fed*</t>
  </si>
  <si>
    <t>BP DEL Ellenburger TGS TX Fee*</t>
  </si>
  <si>
    <t>US (Rocky Mountains)</t>
  </si>
  <si>
    <t>BP GGR Almond TGS WY Fed*</t>
  </si>
  <si>
    <t>BP GGR Frontier TGS WY Fed*</t>
  </si>
  <si>
    <t>165,725.990852577</t>
  </si>
  <si>
    <t>26,780</t>
  </si>
  <si>
    <t>0.207891806187357</t>
  </si>
  <si>
    <t>0.266305321567054</t>
  </si>
  <si>
    <t>24,642.2</t>
  </si>
  <si>
    <t>145,362.859857501</t>
  </si>
  <si>
    <t>12,555</t>
  </si>
  <si>
    <t>14,038</t>
  </si>
  <si>
    <t>14,577</t>
  </si>
  <si>
    <t>2,942</t>
  </si>
  <si>
    <t>40,405</t>
  </si>
  <si>
    <t>138,041.990852577</t>
  </si>
  <si>
    <t>BP.L,mscalc:totalCoverFixedChargeRatioInferredRatingAgency,2007FY,,FYR,,,HOLD</t>
  </si>
  <si>
    <t>BP.L,mscalc:inventoryTurnover,2012FY,,FYR,,,HOLD</t>
  </si>
  <si>
    <t>BP.L,mscalc:daysSalesOutstanding,2007FY,,FYR,,,HOLD</t>
  </si>
  <si>
    <t>BP.L,mstag:costOfSalesWithoutDepreciation,2013FY,,FYR,,,HOLD</t>
  </si>
  <si>
    <t>BP.L,mscalc:interestExpenseNet,2010FY,,FYR</t>
  </si>
  <si>
    <t>BP.L,mscalc:ebitdaBeforePensionOpebAndOperatingLeaseAdjustments,2008FY,,FYR,,,WORK</t>
  </si>
  <si>
    <t>BP.L,mscalc:returnOnAverageEquityForConsensus,2011FY,,FYR,,,WORK</t>
  </si>
  <si>
    <t>BP.L,mscalc:netIncomeBeforeOperatingLeaseAdjustment,2006FY,,FYR,,,WORK</t>
  </si>
  <si>
    <t>BP.L,mscalc:freeCashFlowForConsensus,2010FY,,FYR,,,WORK</t>
  </si>
  <si>
    <t>Total liquids production from subsidiaries</t>
  </si>
  <si>
    <t>BP share of equity-accounted investments</t>
  </si>
  <si>
    <t>0.150769319525108</t>
  </si>
  <si>
    <t>3,938.944401</t>
  </si>
  <si>
    <t>0.117172454629221</t>
  </si>
  <si>
    <t>169,381.331116267</t>
  </si>
  <si>
    <t>SUBS - Colombia</t>
  </si>
  <si>
    <t>SUBS - Egypt</t>
  </si>
  <si>
    <t>EAI - Iraq</t>
  </si>
  <si>
    <t>SUBS - Netherlands</t>
  </si>
  <si>
    <t>SUBS - Norway</t>
  </si>
  <si>
    <t>EAI - Oman</t>
  </si>
  <si>
    <t>EAI - Pakistan</t>
  </si>
  <si>
    <t>EAI - Qatar</t>
  </si>
  <si>
    <t>EAI - Russia</t>
  </si>
  <si>
    <t>SUBS - Trinidad &amp; Tobago</t>
  </si>
  <si>
    <t>SUBS - UK</t>
  </si>
  <si>
    <t>EAI - United Arab Emirates</t>
  </si>
  <si>
    <t>SUBS - US (Alaska)</t>
  </si>
  <si>
    <t>SUBS - US (Deepwater GOM)</t>
  </si>
  <si>
    <t>SUBS - US (GoM Shelf)</t>
  </si>
  <si>
    <t>BP.L,mscalc:nopatExcludingAdjustments2,2008FY,,FYR,,,WORK</t>
  </si>
  <si>
    <t>BP.L,mstag:cashDividendsPaid,2010FY,,FYR,,,HOLD</t>
  </si>
  <si>
    <t>BP.L,mscalc:shareholdersEquityExcludingAdjustments2,2012FY,,FYR</t>
  </si>
  <si>
    <t>BP.L,mscalc:netIncomeBeforeOperatingLeaseAdjustment,2010FY,,FYR,,,WORK</t>
  </si>
  <si>
    <t>Malochernogorskoye</t>
  </si>
  <si>
    <t>BP.L,msuser:cmGrossprofitforconsensus20080605T2347008189,2015FY,,FYR,,,HOLD</t>
  </si>
  <si>
    <t>SUBS - Eastern Indonesia</t>
  </si>
  <si>
    <t>SUBS - Western Indonesia</t>
  </si>
  <si>
    <t>Total SUBS and EAI</t>
  </si>
  <si>
    <t>BP total subsidiaries and equity accounted investments</t>
  </si>
  <si>
    <t>BP.L,msuser:cmWorkingCapitalSales20051031T1238209890,2015FY,,FYR,,,WORK</t>
  </si>
  <si>
    <t>0.140411209170964</t>
  </si>
  <si>
    <t>1,705.90414110047</t>
  </si>
  <si>
    <t>33,399.6024050947</t>
  </si>
  <si>
    <t>277.9348628244</t>
  </si>
  <si>
    <t>7,400.57669641638</t>
  </si>
  <si>
    <t>17,105.4812503722</t>
  </si>
  <si>
    <t>19,988.7499017335</t>
  </si>
  <si>
    <t>0.122319202633655</t>
  </si>
  <si>
    <t>BP.L,mscalc:daysSalesOutstanding,2008FY,,FYR</t>
  </si>
  <si>
    <t>BP.L,msuser:cmWorkingCapitalSales20051031T1238209890,2006FY,,FYR,,,WORK</t>
  </si>
  <si>
    <t>BP.L,mscalc:capexsales,2011FY,,FYR</t>
  </si>
  <si>
    <t>BP.L,mscalc:priceToBookValueReportedcalc,2015FY,,FYR</t>
  </si>
  <si>
    <t>BP.L,mscalc:capitalExpendituresToDepreciationRatioExcludingOperatingLeaseAdjustments,2008FY,,FYR</t>
  </si>
  <si>
    <t>BP.L,msuser:cmWorkingCapitalSales20051031T1238209890,2010FY,,FYR</t>
  </si>
  <si>
    <t>BP.L,mscalc:capexsales,2013FY,,FYR</t>
  </si>
  <si>
    <t>BP.L,mscalc:daysPayableOutstanding,2010FY,,FYR</t>
  </si>
  <si>
    <t>BP.L,mscalc:daysPayableOutstanding,2006FY,,FYR,,,WORK</t>
  </si>
  <si>
    <t>BP.L,mstag:costOfSalesWithDepreciation,2007FY,,FYR,,,WORK</t>
  </si>
  <si>
    <t>BP.L,mscalc:capitalExpendituresToDepreciationRatioExcludingOperatingLeaseAdjustments,2007FY,,FYR,,,WORK</t>
  </si>
  <si>
    <t>BP.L,mscalc:totalCoverFixedChargeRatioInferredRatingAgency,2007FY,,FYR,,,WORK</t>
  </si>
  <si>
    <t>BP.L,mscalc:priceToBookValueReportedcalc,2012FY,,FYR,,,WORK</t>
  </si>
  <si>
    <t>BP.L,mscalc:returnOnNetOperatingAssetsExcludingAdjustments2calc,2006FY,,FYR,,,WORK</t>
  </si>
  <si>
    <t>BP.L,mstag:cashDividendsPaid,2006FY,,FYR,,,WORK</t>
  </si>
  <si>
    <t>BP.L,mscalc:priceToBookValueReportedcalc,2011FY,,FYR,,,WORK</t>
  </si>
  <si>
    <t>BP.L,mscalc:tangibleOperatingAssetTurnover,2009FY,,FYR,,,WORK</t>
  </si>
  <si>
    <t>BP.L,mscalc:daysPayableOutstanding,2007FY,,FYR,,,WORK</t>
  </si>
  <si>
    <t>Fair value (gain) loss on embedded derivatives</t>
  </si>
  <si>
    <t>Neptune*</t>
  </si>
  <si>
    <t>Rhum*</t>
  </si>
  <si>
    <t>Schiehallion*</t>
  </si>
  <si>
    <t>Sean</t>
  </si>
  <si>
    <t>Statfjord UK</t>
  </si>
  <si>
    <t>Thistle Area</t>
  </si>
  <si>
    <t>Wytch Farm*</t>
  </si>
  <si>
    <t>BP.L,mscalc:priceToEarningsBeforeOperatingLeaseAdjustments,2006FY,,FYR,,,HOLD</t>
  </si>
  <si>
    <t>BP.L,mscalc:totalCoverFixedChargeRatioInferredRatingAgency,2012FY,,FYR,,,HOLD</t>
  </si>
  <si>
    <t>BP.L,mscalc:dividendPayoutRatioForConsensus,2013FY,,FYR,,,HOLD</t>
  </si>
  <si>
    <t>BP.L,mscalc:netDebtToEBITDAForConsensus,2013FY,,FYR,,,HOLD</t>
  </si>
  <si>
    <t>BP.L,mscalc:inventoryTurnover,2006FY,,FYR,,,HOLD</t>
  </si>
  <si>
    <t>BP.L,mscalc:netDebtToEBITDAForConsensus,2015FY,,FYR,,,HOLD</t>
  </si>
  <si>
    <t>BP.L,mscalc:priceToBookValueReportedcalc,2009FY,,FYR,,,HOLD</t>
  </si>
  <si>
    <t>BP.L,mscalc:capexsales,2007FY,,FYR,,,HOLD</t>
  </si>
  <si>
    <t>0.15921232239264</t>
  </si>
  <si>
    <t>91,385.611601036</t>
  </si>
  <si>
    <t>20,672.7507356273</t>
  </si>
  <si>
    <t>141,689.150332209</t>
  </si>
  <si>
    <t>1,619.78611052579</t>
  </si>
  <si>
    <t>93,700.901697283</t>
  </si>
  <si>
    <t>178,695.650569137</t>
  </si>
  <si>
    <t>131,316.280341706</t>
  </si>
  <si>
    <t>370,509.055822385</t>
  </si>
  <si>
    <t>90,991.258689372</t>
  </si>
  <si>
    <t>20,998.1212022577</t>
  </si>
  <si>
    <t>32,360.5002468266</t>
  </si>
  <si>
    <t>In Salah Project</t>
  </si>
  <si>
    <t>Canada (Arctic)</t>
  </si>
  <si>
    <t>Kotaneelee</t>
  </si>
  <si>
    <t>Canada (Alberta)</t>
  </si>
  <si>
    <t>TOTF.PA,mscalc:targetPrice</t>
  </si>
  <si>
    <t>39.5999984741211</t>
  </si>
  <si>
    <t>BP.L,mscalc:bookValuePerShare,2010FY</t>
  </si>
  <si>
    <t>4.99707705642764</t>
  </si>
  <si>
    <t>Difference due to accounting changes</t>
  </si>
  <si>
    <t>BP.L,mscalc:evToEbitda,2014FY</t>
  </si>
  <si>
    <t>BP.L,mscalc:priceToEarnings,2014FY</t>
  </si>
  <si>
    <t>BP.L,mscalc:evToNoa,2012FY</t>
  </si>
  <si>
    <t>BP.L,mscalc:totalCoverFixedChargeRatioInferredRatingAgency,2009FY,,FYR,,,WORK</t>
  </si>
  <si>
    <t>BP.L,mscalc:netDebtAsif,2006FY,,FYR</t>
  </si>
  <si>
    <t>BP.L,mscalc:returnOnNetOperatingAssetsExcludingAdjustments2calc,2012FY,,FYR</t>
  </si>
  <si>
    <t>BP.L,mscalc:totalCoverFixedChargeRatioInferredRatingAgency,2013FY,,FYR</t>
  </si>
  <si>
    <t>BP.L,mscalc:effectiveTaxRate,2015FY,,FYR</t>
  </si>
  <si>
    <t>BP.L,mscalc:inventoryTurnover,2011FY,,FYR</t>
  </si>
  <si>
    <t>BP.L,mscalc:currentRatio,2008FY,,FYR</t>
  </si>
  <si>
    <t>BP.L,mscalc:daysSalesOutstanding,2006FY,,FYR</t>
  </si>
  <si>
    <t>Exploration expenditure</t>
  </si>
  <si>
    <t>3.73538265292508</t>
  </si>
  <si>
    <t>33,603</t>
  </si>
  <si>
    <t>6.44336426333996</t>
  </si>
  <si>
    <t>0.212562062041552</t>
  </si>
  <si>
    <t>BP.L,mstag:costOfSalesWithoutDepreciation,2009FY,,FYR,,,HOLD</t>
  </si>
  <si>
    <t>BP.L,mscalc:tangibleOperatingAssetTurnover,2011FY,,FYR,,,HOLD</t>
  </si>
  <si>
    <t>Additions to developed reserves</t>
  </si>
  <si>
    <t>BP.L,mscalc:dividendsPerShareCalc,2010FY</t>
  </si>
  <si>
    <t>0.14</t>
  </si>
  <si>
    <t>BP.L,mscalc:freeCashFlowYieldRatioForConsensus,2012FY</t>
  </si>
  <si>
    <t>BP.L,mscalc:evEbida,2013FY</t>
  </si>
  <si>
    <t>BP.L,mstag:dailyProductionTotalCompanyMmboePerDay,2010FY</t>
  </si>
  <si>
    <t>3,822</t>
  </si>
  <si>
    <t>BP.L,mscalc:returnOnNetOperatingAssetsExcludingAdjustments2calc,2006FY,,FYR,,,HOLD</t>
  </si>
  <si>
    <t>0.326099215404765</t>
  </si>
  <si>
    <t>0.315135500206427</t>
  </si>
  <si>
    <t>3.08883700640065</t>
  </si>
  <si>
    <t>BP.L,mscalc:ebitdaBeforePensionOpebAndOperatingLeaseAdjustments,2007FY,,FYR,,,WORK</t>
  </si>
  <si>
    <t>Of which oil &amp; NGL</t>
  </si>
  <si>
    <t>Additions to proved developed reserves</t>
  </si>
  <si>
    <t>For comparison</t>
  </si>
  <si>
    <t>Oil share of proved reserves</t>
  </si>
  <si>
    <t>1.28035177544658</t>
  </si>
  <si>
    <t>0.348392889542769</t>
  </si>
  <si>
    <t>0.328222537887963</t>
  </si>
  <si>
    <t>41.1696615562115</t>
  </si>
  <si>
    <t>21.5296081911999</t>
  </si>
  <si>
    <t>BP.L,mscalc:priceToBookValueReportedcalc,2006FY,,FYR,,,HOLD</t>
  </si>
  <si>
    <t>In Amenas Area</t>
  </si>
  <si>
    <t>Onstream</t>
  </si>
  <si>
    <t>Onshore</t>
  </si>
  <si>
    <t>Condensate</t>
  </si>
  <si>
    <t>-</t>
  </si>
  <si>
    <t>Unclassified</t>
  </si>
  <si>
    <t>Light oil</t>
  </si>
  <si>
    <t>EOR</t>
  </si>
  <si>
    <t>Angola</t>
  </si>
  <si>
    <t>Total Australasia</t>
  </si>
  <si>
    <t>RC earnings per share</t>
  </si>
  <si>
    <t>2.2226907942111</t>
  </si>
  <si>
    <t>0.278840169265245</t>
  </si>
  <si>
    <t>2.76247397466375</t>
  </si>
  <si>
    <t>37.6657233107842</t>
  </si>
  <si>
    <t>39.5671339934878</t>
  </si>
  <si>
    <t>255,278.154414041</t>
  </si>
  <si>
    <t>35.7439324270185</t>
  </si>
  <si>
    <t>19.369553327006</t>
  </si>
  <si>
    <t>0.325747742955616</t>
  </si>
  <si>
    <t>BP.L,msuser:cmWorkingCapitalSales20051031T1238209890,2006FY,,FYR,,,HOLD</t>
  </si>
  <si>
    <t>BP.L,mscalc:netIncomeBeforeOperatingLeaseAdjustment,2011FY,,FYR,,,WORK</t>
  </si>
  <si>
    <t>BP.L,mscalc:currentRatio,2007FY,,FYR</t>
  </si>
  <si>
    <t>BP.L,mscalc:currentRatio,2013FY,,FYR,,,WORK</t>
  </si>
  <si>
    <t>BP.L,mscalc:totalCoverFixedChargeRatioInferredRatingAgency,2011FY,,FYR</t>
  </si>
  <si>
    <t>BP.L,mscalc:priceToBookValueReportedcalc,2008FY,,FYR</t>
  </si>
  <si>
    <t>BP.L,mscalc:currentRatio,2013FY,,FYR</t>
  </si>
  <si>
    <t>BP.L,mscalc:nopatExcludingAdjustments2,2006FY,,FYR,,,HOLD</t>
  </si>
  <si>
    <t>BP.L,mscalc:netIncomeBeforeOperatingLeaseAdjustment,2010FY,,FYR,,,HOLD</t>
  </si>
  <si>
    <t>BP.L,mscalc:interestExpenseNet,2008FY,,FYR,,,HOLD</t>
  </si>
  <si>
    <t>BP.L,mstag:costOfSalesWithDepreciation,2010FY,,FYR</t>
  </si>
  <si>
    <t>BP.L,mscalc:pretaxOperatingprofitForConsensus,2009FY,,FYR,,,WORK</t>
  </si>
  <si>
    <t>BP.L,mscalc:nopatExcludingAdjustments2,2007FY,,FYR,,,WORK</t>
  </si>
  <si>
    <t>BP.L,mscalc:returnOnAverageEquityForConsensus,2010FY,,FYR,,,WORK</t>
  </si>
  <si>
    <t>Natural gas (million scf/d)</t>
  </si>
  <si>
    <t>Sharjah</t>
  </si>
  <si>
    <t>Kazakhstan</t>
  </si>
  <si>
    <t>BP.L,mscalc:netIncomeBeforeOperatingLeaseAdjustment,2009FY,,FYR,,,HOLD</t>
  </si>
  <si>
    <t>BP.L,mscalc:enterpriseValueAsif,2011FY,,FYR,,,HOLD</t>
  </si>
  <si>
    <t>BP.L,mscalc:netIncomeBeforeOperatingLeaseAdjustment,2008FY,,FYR,,,HOLD</t>
  </si>
  <si>
    <t>BP.L,mscalc:netOperatingAssetsExcludingAdjustments2,2013FY,,FYR,,,HOLD</t>
  </si>
  <si>
    <t>BP.L,mscalc:nopatExcludingAdjustments2,2015FY,,FYR,,,HOLD</t>
  </si>
  <si>
    <t>Bull</t>
  </si>
  <si>
    <t>Bear</t>
  </si>
  <si>
    <t>3Q07</t>
  </si>
  <si>
    <t>4Q07</t>
  </si>
  <si>
    <t>1Q08</t>
  </si>
  <si>
    <t>2Q08</t>
  </si>
  <si>
    <t>3Q08</t>
  </si>
  <si>
    <t>4Q08</t>
  </si>
  <si>
    <t>1Q09</t>
  </si>
  <si>
    <t>2Q09</t>
  </si>
  <si>
    <t>3Q09</t>
  </si>
  <si>
    <t>4Q09</t>
  </si>
  <si>
    <t>1Q10</t>
  </si>
  <si>
    <t>2Q10</t>
  </si>
  <si>
    <t>3Q10</t>
  </si>
  <si>
    <t>Reserve replacement ratio - incl acq/disp</t>
  </si>
  <si>
    <t>Reserve replacement cost</t>
  </si>
  <si>
    <t>Annual</t>
  </si>
  <si>
    <t>Finding and development cost</t>
  </si>
  <si>
    <t>Finding cost</t>
  </si>
  <si>
    <t>31,867.16</t>
  </si>
  <si>
    <t>20,522</t>
  </si>
  <si>
    <t>0.138807252440725</t>
  </si>
  <si>
    <t>261,385.168627845</t>
  </si>
  <si>
    <t>4,754.366064</t>
  </si>
  <si>
    <t>Total North America</t>
  </si>
  <si>
    <t>South America</t>
  </si>
  <si>
    <t>44,284.8521511389</t>
  </si>
  <si>
    <t>185,823.15300188</t>
  </si>
  <si>
    <t>0.126232492960381</t>
  </si>
  <si>
    <t>152,319.881673574</t>
  </si>
  <si>
    <t>6,710.58060453</t>
  </si>
  <si>
    <t>41,485.0296649925</t>
  </si>
  <si>
    <t>BP.L,msuser:cmGrossprofitforconsensus20080605T2347008189,2010FY,,FYR,,,HOLD</t>
  </si>
  <si>
    <t>BP.L,mscalc:pretaxOperatingprofitForConsensus,2014FY,,FYR,,,HOLD</t>
  </si>
  <si>
    <t>BP.L,mstag:costOfSalesWithDepreciation,2009FY,,FYR</t>
  </si>
  <si>
    <t>BP.L,mstag:costOfSalesWithoutDepreciation,2011FY,,FYR</t>
  </si>
  <si>
    <t>BP.L,mscalc:tangibleOperatingAssetTurnover,2008FY,,FYR</t>
  </si>
  <si>
    <t>BP.L,mscalc:daysPayableOutstanding,2008FY,,FYR,,,WORK</t>
  </si>
  <si>
    <t>US Midwest</t>
  </si>
  <si>
    <t>North West Europe</t>
  </si>
  <si>
    <t>Mediterranean</t>
  </si>
  <si>
    <t>BP Average RMM</t>
  </si>
  <si>
    <t>Refining Marker Margin ($/bbl)</t>
  </si>
  <si>
    <t>Rest of World</t>
  </si>
  <si>
    <t>BP Average</t>
  </si>
  <si>
    <t>BP.L,mscalc:dividendPayoutRatioForConsensus,2015FY,,FYR,,,WORK</t>
  </si>
  <si>
    <t>0.719638954517391</t>
  </si>
  <si>
    <t>BP GGR Lance-Jonah TGS WY Fed*</t>
  </si>
  <si>
    <t>BP.L,mscalc:marketCapitalization,2007FY,,FYR,#Refresh#,,HOLD</t>
  </si>
  <si>
    <t>85,495</t>
  </si>
  <si>
    <t>141,312</t>
  </si>
  <si>
    <t>0.673834324288077</t>
  </si>
  <si>
    <t>Less: Expensed part of expl cost incurred</t>
  </si>
  <si>
    <t>2.14809160305344</t>
  </si>
  <si>
    <t>0.0636961841940578</t>
  </si>
  <si>
    <t>30,146</t>
  </si>
  <si>
    <t>BP.L,mscalc:marketCapitalization,2009FY,,FYR,#Refresh#,,HOLD</t>
  </si>
  <si>
    <t>BP.L,mscalc:displayCurrencyCalc</t>
  </si>
  <si>
    <t>BP.L,mscalc:interestExpenseNet,2013FY,,FYR,,,WORK</t>
  </si>
  <si>
    <t>SUBS - US (Gulf Coast)</t>
  </si>
  <si>
    <t>SUBS - US (Mid-Continent)</t>
  </si>
  <si>
    <t>Orenburgneft Fields</t>
  </si>
  <si>
    <t>Russkoye</t>
  </si>
  <si>
    <t>Scenarios</t>
  </si>
  <si>
    <t>Base case</t>
  </si>
  <si>
    <t>BP.L,mscalc:freeCashFlowForConsensus,2007FY,,FYR,,,HOLD</t>
  </si>
  <si>
    <t>DD&amp;A, incl exploration write-offs</t>
  </si>
  <si>
    <t>BP.L,mscalc:daysSalesOutstanding,2006FY,,FYR,,,WORK</t>
  </si>
  <si>
    <t>BP.L,mscalc:totalCoverFixedChargeRatioInferredRatingAgency,2006FY,,FYR,,,WORK</t>
  </si>
  <si>
    <t>BP.L,mscalc:operatingRevenueForConsensus,2009FY,,FYR,,,WORK</t>
  </si>
  <si>
    <t>BP.L,mscalc:nopatExcludingAdjustments2,2009FY,,FYR,,,HOLD</t>
  </si>
  <si>
    <t>BP.L,mstag:cashDividendsPaid,2011FY,,FYR,,,HOLD</t>
  </si>
  <si>
    <t>BP.L,mscalc:tangibleOperatingAssetTurnover,2007FY,,FYR,,,WORK</t>
  </si>
  <si>
    <t>173,567.224736519</t>
  </si>
  <si>
    <t>1,416.12961814963</t>
  </si>
  <si>
    <t>32,145.7605086707</t>
  </si>
  <si>
    <t>7,485.21903287511</t>
  </si>
  <si>
    <t>91,915.60969551</t>
  </si>
  <si>
    <t>146,990.22212586</t>
  </si>
  <si>
    <t>Vanyoganneft JV</t>
  </si>
  <si>
    <t>Urengoi Area (Rospan)</t>
  </si>
  <si>
    <t>Uvat Project*</t>
  </si>
  <si>
    <t>Santa Cruz/Santiago</t>
  </si>
  <si>
    <t>BP.L,mstag:sellingGeneralAndAdministrativeExpenses,2012FY,,FYR,,,WORK</t>
  </si>
  <si>
    <t>BP.L,mscalc:interestExpenseNet,2009FY,,FYR,,,WORK</t>
  </si>
  <si>
    <t>Accumulated depreciation by division:</t>
  </si>
  <si>
    <t>Disposals</t>
  </si>
  <si>
    <t>Exploration expenditure written off</t>
  </si>
  <si>
    <t>Dividends from JVs and associates</t>
  </si>
  <si>
    <t>Interest receivable</t>
  </si>
  <si>
    <t>BP.L,mscalc:tangibleOperatingAssetTurnover,2012FY,,FYR,,,WORK</t>
  </si>
  <si>
    <t>BP.L,mscalc:capexsales,2015FY,,FYR</t>
  </si>
  <si>
    <t>Vampire</t>
  </si>
  <si>
    <t>BP.L,mscalc:netDebtToEBITDAForConsensus,2009FY,,FYR,,,HOLD</t>
  </si>
  <si>
    <t>BP.L,mscalc:shareholdersEquityExcludingAdjustments2,2013FY,,FYR</t>
  </si>
  <si>
    <t>BP.L,mscalc:freeCashFlowForConsensus,2008FY,,FYR</t>
  </si>
  <si>
    <t>BP.L,mscalc:operatingRevenueForConsensus,2012FY,,FYR</t>
  </si>
  <si>
    <t>BP.L,mscalc:nopatExcludingAdjustments2,2010FY,,FYR</t>
  </si>
  <si>
    <t>BP.L,msuser:cmGrossprofitforconsensus20080605T2347008189,2012FY,,FYR</t>
  </si>
  <si>
    <t>BP.L,mscalc:netIncomeBeforeOperatingLeaseAdjustment,2011FY,,FYR</t>
  </si>
  <si>
    <t>35.8983783783784</t>
  </si>
  <si>
    <t>168,429.549126562</t>
  </si>
  <si>
    <t>6.83269523092071</t>
  </si>
  <si>
    <t>1.23147668888496</t>
  </si>
  <si>
    <t>3.0776297996148</t>
  </si>
  <si>
    <t>BP.L,mscalc:netDebtToEBITDAForConsensus,2012FY,,FYR,,,HOLD</t>
  </si>
  <si>
    <t>BP.L,mscalc:inventoryTurnover,2006FY,,FYR,,,WORK</t>
  </si>
  <si>
    <t>BP.L,mscalc:netDebtToEBITDAForConsensus,2007FY,,FYR,,,WORK</t>
  </si>
  <si>
    <t>94,652</t>
  </si>
  <si>
    <t>210,544.843793922</t>
  </si>
  <si>
    <t>13,006.8907651901</t>
  </si>
  <si>
    <t>0.181115684201846</t>
  </si>
  <si>
    <t>BP.L,mscalc:tangibleOperatingAssetTurnover,2013FY,,FYR,,,WORK</t>
  </si>
  <si>
    <t>BP.L,mscalc:currentRatio,2011FY,,FYR,,,WORK</t>
  </si>
  <si>
    <t>BP.L,mstag:costOfSalesWithDepreciation,2014FY,,FYR,,,HOLD</t>
  </si>
  <si>
    <t>BP.L,mscalc:priceToBookValueReportedcalc,2007FY,,FYR,,,HOLD</t>
  </si>
  <si>
    <t>BP.L,mscalc:capexsales,2006FY,,FYR,,,HOLD</t>
  </si>
  <si>
    <t>BP.L,msuser:cmGrossprofitforconsensus20080605T2347008189,2009FY,,FYR</t>
  </si>
  <si>
    <t>BP.L,mscalc:netIncomeBeforeOperatingLeaseAdjustment,2014FY,,FYR</t>
  </si>
  <si>
    <t>BP.L,mscalc:shareholdersEquityExcludingAdjustments2,2011FY,,FYR</t>
  </si>
  <si>
    <t>BP.L,mscalc:totalCoverFixedChargeRatioInferredRatingAgency,2014FY,,FYR</t>
  </si>
  <si>
    <t>BP.L,mstag:costOfSalesWithoutDepreciation,2007FY,,FYR</t>
  </si>
  <si>
    <t>BP.L,mscalc:priceToBookValueReportedcalc,2006FY,,FYR</t>
  </si>
  <si>
    <t>BP.L,mscalc:daysSalesOutstanding,2013FY,,FYR</t>
  </si>
  <si>
    <t>BP.L,mscalc:dividendPayoutRatioForConsensus,2011FY,,FYR</t>
  </si>
  <si>
    <t>BP.L,mscalc:effectiveTaxRate,2006FY,,FYR</t>
  </si>
  <si>
    <t>0.0520200822644658</t>
  </si>
  <si>
    <t>Total gas production from subsidiaries</t>
  </si>
  <si>
    <t>SUBS - United Arab Emirates</t>
  </si>
  <si>
    <t>Rest of world</t>
  </si>
  <si>
    <t>BP.L,mscalc:netDebtToEBITDAForConsensus,2010FY,,FYR,,,WORK</t>
  </si>
  <si>
    <t>Net operating charge for pensions and other post-retirement benefits, less contributions</t>
  </si>
  <si>
    <t>Income taxes paid</t>
  </si>
  <si>
    <t>Net cash provided by (used in) operating activities</t>
  </si>
  <si>
    <t>BP.L,mscalc:returnOnNetOperatingAssetsExcludingAdjustments2calc,2011FY,,FYR,,,HOLD</t>
  </si>
  <si>
    <t>BP.L,mscalc:evnopat,2014FY</t>
  </si>
  <si>
    <t>BP.L,mscalc:evToEbitda,2012FY</t>
  </si>
  <si>
    <t>BP.L,mscalc:nopatExcludingAdjustments2,2011FY,,FYR,,,WORK</t>
  </si>
  <si>
    <t>Girassol and Jasmim</t>
  </si>
  <si>
    <t>Greater Plutonio*</t>
  </si>
  <si>
    <t>Kizomba A</t>
  </si>
  <si>
    <t>Kizomba B</t>
  </si>
  <si>
    <t>Kizomba C</t>
  </si>
  <si>
    <t>BP.L,mscalc:evnopat,2006FY</t>
  </si>
  <si>
    <t>BP.L,mscalc:returnOnNetOperatingAssetsExcludingAdjustments2calc,2006FY</t>
  </si>
  <si>
    <t>BP.L,mscalc:dividendYield,2009FY</t>
  </si>
  <si>
    <t>BP.L,mscalc:evEbida,2008FY</t>
  </si>
  <si>
    <t>BP.L,mscalc:evnopat,2007FY</t>
  </si>
  <si>
    <t>BP.L,mscalc:dilutedEarningsPerShare,2006FY</t>
  </si>
  <si>
    <t>BP.L,mscalc:netOperatingAssetsExcludingAdjustments2,2006FY,,FYR,,,WORK</t>
  </si>
  <si>
    <t>BP.L,mscalc:operatingAssetTurnoverExcludingAdjustments2calc,2006FY,,FYR,,,WORK</t>
  </si>
  <si>
    <t>BP.L,mstag:cashDividendsPaid,2015FY,,FYR,,,WORK</t>
  </si>
  <si>
    <t>BP.L,mscalc:effectiveTaxRate,2012FY,,FYR,,,HOLD</t>
  </si>
  <si>
    <t>BP.L,mscalc:marketCapitalization,2010FY,,FYR,USD,,HOLD</t>
  </si>
  <si>
    <t>BP.L,mscalc:returnOnAverageEquityForConsensus,2012FY,,FYR,,,HOLD</t>
  </si>
  <si>
    <t>BP.L,mscalc:netIncomeBeforeOperatingLeaseAdjustment,2007FY,,FYR,,,HOLD</t>
  </si>
  <si>
    <t>BP.L,mscalc:pretaxOperatingprofitForConsensus,2010FY,,FYR,,,HOLD</t>
  </si>
  <si>
    <t>BP.L,msuser:cmGrossprofitforconsensus20080605T2347008189,2006FY,,FYR,,,WORK</t>
  </si>
  <si>
    <t>BP.L,mscalc:pretaxOperatingprofitForConsensus,2015FY,,FYR,,,WORK</t>
  </si>
  <si>
    <t>BP.L,msuser:cmGrossprofitforconsensus20080605T2347008189,2013FY,,FYR,,,WORK</t>
  </si>
  <si>
    <t>BP.L,mscalc:returnOnAverageEquityForConsensus,2013FY,,FYR,,,WORK</t>
  </si>
  <si>
    <t>BP.L,mstag:cashDividendsPaid,2008FY,,FYR,,,HOLD</t>
  </si>
  <si>
    <t>BP.L,mscalc:interestExpenseNet,2013FY,,FYR,,,HOLD</t>
  </si>
  <si>
    <t>BP.L,mscalc:dividendPayoutRatioForConsensus,2013FY,,FYR</t>
  </si>
  <si>
    <t>+ Earnings from TNK-BP/Rosneft</t>
  </si>
  <si>
    <t>- Dividends received from TNK-BP/Rosneft</t>
  </si>
  <si>
    <t>+ Other net investments in TNK-BP/Rosneft</t>
  </si>
  <si>
    <t>25,677.8370393823</t>
  </si>
  <si>
    <t>For comparison to DD&amp;A: F&amp;D cost/boe</t>
  </si>
  <si>
    <t>Suggested DD&amp;A/boe for convergence</t>
  </si>
  <si>
    <t>BP.L,mscalc:capitalExpendituresToDepreciationRatioExcludingOperatingLeaseAdjustments,2012FY,,FYR,,,WORK</t>
  </si>
  <si>
    <t>BP.L,mscalc:dividendPayoutRatioForConsensus,2006FY,,FYR,,,WORK</t>
  </si>
  <si>
    <t>BP.L,mscalc:inventoryTurnover,2015FY,,FYR,,,HOLD</t>
  </si>
  <si>
    <t>BP.L,mscalc:priceToEarningsBeforeOperatingLeaseAdjustments,2007FY,,FYR,,,HOLD</t>
  </si>
  <si>
    <t>- Tax shield on interest expense</t>
  </si>
  <si>
    <t>= Interest expense after tax</t>
  </si>
  <si>
    <t>ROACE numerator</t>
  </si>
  <si>
    <t>ROACE, on reported basis</t>
  </si>
  <si>
    <t>For the period</t>
  </si>
  <si>
    <t>BP.L,mstag:costOfSalesWithDepreciation,2013FY,,FYR,,,HOLD</t>
  </si>
  <si>
    <t>Production costs</t>
  </si>
  <si>
    <t>Production taxes</t>
  </si>
  <si>
    <t>Depreciation, depletion and amortization</t>
  </si>
  <si>
    <t>Allocable taxes</t>
  </si>
  <si>
    <t>Results of operations</t>
  </si>
  <si>
    <t>DD&amp;A</t>
  </si>
  <si>
    <t>Revenue</t>
  </si>
  <si>
    <t>Third parties</t>
  </si>
  <si>
    <t>Sales between businesses</t>
  </si>
  <si>
    <t>Other costs (income)</t>
  </si>
  <si>
    <t>Impairments and (gains) losses on sale of businesses and fixed assets</t>
  </si>
  <si>
    <t>Profit before taxation</t>
  </si>
  <si>
    <t>Total subsidiaries</t>
  </si>
  <si>
    <t>USA</t>
  </si>
  <si>
    <t>ADS equivalent of</t>
  </si>
  <si>
    <t>Ordinary shares (EOP)</t>
  </si>
  <si>
    <t>Ordinary shares (average)</t>
  </si>
  <si>
    <t>Apollo*</t>
  </si>
  <si>
    <t>Cleeton and Ravenspurn*</t>
  </si>
  <si>
    <t>Kx</t>
  </si>
  <si>
    <t>Minerva*</t>
  </si>
  <si>
    <t>BP.L,mscalc:profitBeforeTaxBeforeOperatingLeaseAdjustmentsCalc,2009FY,,FYR,,,WORK</t>
  </si>
  <si>
    <t>Less: FAS69 Profit before tax</t>
  </si>
  <si>
    <t>= Other profit before tax</t>
  </si>
  <si>
    <t>Less: FAS69 Taxation</t>
  </si>
  <si>
    <t>= Other taxation</t>
  </si>
  <si>
    <t>RC Profit from Innovene operations</t>
  </si>
  <si>
    <t>BP.L,mscalc:pretaxOperatingprofitForConsensus,2013FY,,FYR,,,WORK</t>
  </si>
  <si>
    <t>$IV$13</t>
  </si>
  <si>
    <t>BP.L,mscalc:priceToEarnings,2016FY</t>
  </si>
  <si>
    <t>BP.L,mscalc:evToNoa,2016FY</t>
  </si>
  <si>
    <t>BP.L,mstag:dailyProductionTotalCompanyMmboePerDay,2016FY</t>
  </si>
  <si>
    <t>BP.L,mscalc:dividendsPerShareCalc,2016FY</t>
  </si>
  <si>
    <t>BP.L,mscalc:evEbida,2016FY</t>
  </si>
  <si>
    <t>BP.L,mscalc:netDebtAsif,2016FY</t>
  </si>
  <si>
    <t>BP.L,mscalc:evrevenue,2016FY</t>
  </si>
  <si>
    <t>BP.L,mscalc:freeCashFlowYieldRatioForConsensus,2016FY</t>
  </si>
  <si>
    <t>BP.L,mscalc:netIncome,2016FY</t>
  </si>
  <si>
    <t>BP.L,mscalc:evToEbitda,2016FY</t>
  </si>
  <si>
    <t>BP.L,mscalc:returnOnAverageEquityForConsensus,2016FY</t>
  </si>
  <si>
    <t>BP.L,mscalc:pretaxOperatingprofitptopForReconcilaition,2016FY</t>
  </si>
  <si>
    <t>BP.L,mscalc:priceToBookValue,2016FY</t>
  </si>
  <si>
    <t>BP.L,mscalc:bookValuePerShare,2016FY</t>
  </si>
  <si>
    <t>BP.L,mscalc:evnopat,2016FY</t>
  </si>
  <si>
    <t>BP.L,mscalc:operatingAssetTurnoverExcludingAdjustments2calc,2015FY,,FYR,,,WORK</t>
  </si>
  <si>
    <t>Net charge for interest and other finance expense, less net interest paid</t>
  </si>
  <si>
    <t>BP.L,mscalc:operatingRevenueForConsensus,2011FY,,FYR,,,WORK</t>
  </si>
  <si>
    <t>BP.L,mscalc:marketCapitalization,2006FY,,FYR,,,WORK</t>
  </si>
  <si>
    <t>BP.L,mscalc:dividendPayoutRatioForConsensus,2013FY,,FYR,,,WORK</t>
  </si>
  <si>
    <t>BP.L,mstag:costOfSalesWithoutDepreciation,2012FY,,FYR,,,WORK</t>
  </si>
  <si>
    <t>Dividends from associates, net of earnings</t>
  </si>
  <si>
    <t>Net debt to net debt+equity</t>
  </si>
  <si>
    <t>Net debt to EBITDA</t>
  </si>
  <si>
    <t>Share-based payments (net of tax)</t>
  </si>
  <si>
    <t>Total equity</t>
  </si>
  <si>
    <t>Net cash from  Innovene operations</t>
  </si>
  <si>
    <t>Return on Average Capital Employed</t>
  </si>
  <si>
    <t>US$ million</t>
  </si>
  <si>
    <t>Capital employed</t>
  </si>
  <si>
    <t>Start of period</t>
  </si>
  <si>
    <t>End of period</t>
  </si>
  <si>
    <t>Return</t>
  </si>
  <si>
    <t>Income for the period</t>
  </si>
  <si>
    <t>Oil</t>
  </si>
  <si>
    <t>Gas</t>
  </si>
  <si>
    <t>Final</t>
  </si>
  <si>
    <t>Country totals - Subsidiaries</t>
  </si>
  <si>
    <t>Segmental analysis</t>
  </si>
  <si>
    <t>Total capex excl. acquisitions</t>
  </si>
  <si>
    <t>Net investment</t>
  </si>
  <si>
    <t>North America total</t>
  </si>
  <si>
    <t>Asia total</t>
  </si>
  <si>
    <t xml:space="preserve">Asia total </t>
  </si>
  <si>
    <t>BP.L,mscalc:shareholdersEquityExcludingAdjustments2,2011FY,,FYR,,,HOLD</t>
  </si>
  <si>
    <t>BP.L,mscalc:freeCashFlowForConsensus,2006FY,,FYR,,,HOLD</t>
  </si>
  <si>
    <t>BP.L,msuser:cmGrossprofitforconsensus20080605T2347008189,2014FY,,FYR,,,HOLD</t>
  </si>
  <si>
    <t>BP.L,mscalc:capexsales,2011FY,,FYR,,,WORK</t>
  </si>
  <si>
    <t>RC profit before interest and tax</t>
  </si>
  <si>
    <t>Adj RC profit before interest and tax</t>
  </si>
  <si>
    <t>BP.L,mscalc:tangibleOperatingAssetTurnover,2012FY,,FYR</t>
  </si>
  <si>
    <t>BP.L,mscalc:inventoryTurnover,2010FY,,FYR</t>
  </si>
  <si>
    <t>BP.L,mscalc:netDebtToEBITDAForConsensus,2014FY,,FYR</t>
  </si>
  <si>
    <t>BP.L,mscalc:capitalExpendituresToDepreciationRatioExcludingOperatingLeaseAdjustments,2015FY,,FYR</t>
  </si>
  <si>
    <t>BP.L,msuser:cmWorkingCapitalSales20051031T1238209890,2012FY,,FYR,,,WORK</t>
  </si>
  <si>
    <t>Natural gas (/mmcf) -- assume oil equivalent</t>
  </si>
  <si>
    <t>BP.L,mscalc:marketCapitalization,2006FY,,FYR,USD</t>
  </si>
  <si>
    <t>BP.L,mscalc:shareholdersEquityExcludingAdjustments2,2014FY,,FYR,,,WORK</t>
  </si>
  <si>
    <t>BP.L,mscalc:marketCapitalization,2012FY,,FYR,,,WORK</t>
  </si>
  <si>
    <t>Tax rate on inventory gains/(losses)</t>
  </si>
  <si>
    <t>Summarized group income statement</t>
  </si>
  <si>
    <t>BP.L,mstag:sellingGeneralAndAdministrativeExpenses,2008FY,,FYR,,,HOLD</t>
  </si>
  <si>
    <t>BP.L,mscalc:returnOnNetOperatingAssetsExcludingAdjustments2calc,2007FY,,FYR,,,HOLD</t>
  </si>
  <si>
    <t>Reported cash flow statement</t>
  </si>
  <si>
    <t>Cash taxes paid</t>
  </si>
  <si>
    <t>Share of taxation deferred</t>
  </si>
  <si>
    <t>1Q18</t>
  </si>
  <si>
    <t>2Q18</t>
  </si>
  <si>
    <t>Yacheng 13-1</t>
  </si>
  <si>
    <t>Colombia</t>
  </si>
  <si>
    <t>Cupiagua Norte*</t>
  </si>
  <si>
    <t>Cupiagua Sur</t>
  </si>
  <si>
    <t>Piedemonte &amp; Recetor*</t>
  </si>
  <si>
    <t>Egypt</t>
  </si>
  <si>
    <t>Baltim Fields</t>
  </si>
  <si>
    <t>East Tanka Fields</t>
  </si>
  <si>
    <t>Ceased Production</t>
  </si>
  <si>
    <t>ESMA Operated Fields</t>
  </si>
  <si>
    <t>Gupco Merged Fields</t>
  </si>
  <si>
    <t>Ha`py Development Area</t>
  </si>
  <si>
    <t>BP.L,mstag:cashDividendsPaid,2013FY,,FYR,,,WORK</t>
  </si>
  <si>
    <t>BP.L,mscalc:returnOnAverageEquityForConsensus,2012FY,,FYR</t>
  </si>
  <si>
    <t>BP.L,mscalc:nopatExcludingAdjustments2,2011FY,,FYR</t>
  </si>
  <si>
    <t>Other (costs)/income</t>
  </si>
  <si>
    <t>BP.L,mscalc:dividendsPerShareCalc,2009FY,,,,,HOLD</t>
  </si>
  <si>
    <t>BP.L,mscalc:evToNoa,2014FY,,,,,HOLD</t>
  </si>
  <si>
    <t>BP.L,mscalc:returnOnAverageEquityForConsensus,2006FY,,,,,HOLD</t>
  </si>
  <si>
    <t>BP.L,mscalc:evnopat,2012FY,,,,,HOLD</t>
  </si>
  <si>
    <t>BP.L,mscalc:dilutedEarningsPerShare,2013FY,,,,,HOLD</t>
  </si>
  <si>
    <t>BP.L,mscalc:returnOnNetOperatingAssetsExcludingAdjustments2calc,2010FY,,,,,HOLD</t>
  </si>
  <si>
    <t>BP.L,mscalc:priceToBookValue,2014FY,,,,,HOLD</t>
  </si>
  <si>
    <t>BP.L,mscalc:dividendsPerShareCalc,2012FY,,,,,HOLD</t>
  </si>
  <si>
    <t>BP.L,mscalc:interestExpenseNet,2008FY,,FYR</t>
  </si>
  <si>
    <t>Kharampurskoye</t>
  </si>
  <si>
    <t>Kynsko-Chasel Fields</t>
  </si>
  <si>
    <t>Malgobek-Voznesenka</t>
  </si>
  <si>
    <t>Malobalykskoye</t>
  </si>
  <si>
    <t>Mamontovskoye</t>
  </si>
  <si>
    <t>BP.L,mscalc:daysPayableOutstanding,2007FY,,FYR</t>
  </si>
  <si>
    <t>Depreciation of PP&amp;E (incl exploration write-offs)</t>
  </si>
  <si>
    <t>Proceeds from divestments</t>
  </si>
  <si>
    <t>Investments in JVs and associates</t>
  </si>
  <si>
    <t>BP.L,mscalc:daysPayableOutstanding,2009FY,,FYR,,,HOLD</t>
  </si>
  <si>
    <t>BP.L,mscalc:nopatExcludingAdjustments2,2006FY,,FYR</t>
  </si>
  <si>
    <t>EBITDA</t>
  </si>
  <si>
    <t xml:space="preserve">EBIT </t>
  </si>
  <si>
    <t>Share of profit of equity-accounted investments</t>
  </si>
  <si>
    <t>BP.L,mscalc:daysSalesOutstanding,2015FY,,FYR</t>
  </si>
  <si>
    <t>BP.L,mscalc:priceToEarningsBeforeOperatingLeaseAdjustments,2010FY,,FYR</t>
  </si>
  <si>
    <t>BP.L,mscalc:totalCoverFixedChargeRatioInferredRatingAgency,2012FY,,FYR</t>
  </si>
  <si>
    <t>BP.L,mscalc:effectiveTaxRate,2014FY,,FYR</t>
  </si>
  <si>
    <t>BP.L,mstag:costOfSalesWithDepreciation,2006FY,,FYR</t>
  </si>
  <si>
    <t>BP.L,mscalc:daysPayableOutstanding,2008FY,,FYR</t>
  </si>
  <si>
    <t>BP.L,mscalc:effectiveTaxRate,2013FY,,FYR</t>
  </si>
  <si>
    <t>BP.L,msuser:cmWorkingCapitalSales20051031T1238209890,2006FY,,FYR</t>
  </si>
  <si>
    <t>BP.L,mscalc:operatingAssetTurnoverExcludingAdjustments2calc,2008FY,,FYR</t>
  </si>
  <si>
    <t>BP.L,mstag:costOfSalesWithoutDepreciation,2008FY,,FYR</t>
  </si>
  <si>
    <t>BP.L,mscalc:inventoryTurnover,2013FY,,FYR,,,HOLD</t>
  </si>
  <si>
    <t>BP.L,mscalc:netIncomeBeforeOperatingLeaseAdjustment,2008FY,,FYR</t>
  </si>
  <si>
    <t>BP.L,mscalc:netDebtToEBITDAForConsensus,2007FY,,FYR,,,HOLD</t>
  </si>
  <si>
    <t>BP.L,mscalc:capexsales,2012FY,,FYR,,,HOLD</t>
  </si>
  <si>
    <t>BP.L,mscalc:operatingAssetTurnoverExcludingAdjustments2calc,2015FY,,FYR,,,HOLD</t>
  </si>
  <si>
    <t>BP.L,mscalc:netOperatingAssetsExcludingAdjustments2,2015FY,,FYR,,,WORK</t>
  </si>
  <si>
    <t>Cognac (MC 194)</t>
  </si>
  <si>
    <t>Crosby (MC 899)</t>
  </si>
  <si>
    <t>Dorado (VK 915)*</t>
  </si>
  <si>
    <t>Investment in associates (Other)</t>
  </si>
  <si>
    <t>Investment in associates - BoP</t>
  </si>
  <si>
    <t>Investment in associates - EoP</t>
  </si>
  <si>
    <t>Investment in associates (Other) - BoP</t>
  </si>
  <si>
    <t>Investment in associates (TNK-BP/Rosneft from 1Q13) - BoP</t>
  </si>
  <si>
    <t>Investment in associates (TNK-BP/Rosneft from 1Q13) - EoP</t>
  </si>
  <si>
    <t>Dividends from associates (net of Earnings recognised)</t>
  </si>
  <si>
    <t>BP.L,mscalc:daysSalesOutstanding,2009FY,,FYR,,,WORK</t>
  </si>
  <si>
    <t>BP.L,msuser:cmWorkingCapitalSales20051031T1238209890,2008FY,,FYR,,,WORK</t>
  </si>
  <si>
    <t>Alaska North Slope</t>
  </si>
  <si>
    <t>Urals (NEW - cif)</t>
  </si>
  <si>
    <t>RoW</t>
  </si>
  <si>
    <t>Average</t>
  </si>
  <si>
    <t>HH</t>
  </si>
  <si>
    <t>Brent lag</t>
  </si>
  <si>
    <t>Midstream activities - subsidiaries</t>
  </si>
  <si>
    <t>Downstream</t>
  </si>
  <si>
    <t>BP.L,mscalc:daysSalesOutstanding,2008FY,,FYR,,,HOLD</t>
  </si>
  <si>
    <t>BP.L,mscalc:effectiveTaxRate,2009FY,,FYR,,,HOLD</t>
  </si>
  <si>
    <t>BP.L,mscalc:currentRatio,2015FY,,FYR,,,HOLD</t>
  </si>
  <si>
    <t>BP.L,mscalc:daysSalesOutstanding,2007FY,,FYR</t>
  </si>
  <si>
    <t>BP.L,mscalc:currentRatio,2014FY,,FYR</t>
  </si>
  <si>
    <t>BP.L,mscalc:priceToEarningsBeforeOperatingLeaseAdjustments,2014FY,,FYR,,,HOLD</t>
  </si>
  <si>
    <t>Cash flow statement derived from P&amp;L and B/S</t>
  </si>
  <si>
    <t>Change in working capital:</t>
  </si>
  <si>
    <t>Adjustments for:</t>
  </si>
  <si>
    <t>Net investment in:</t>
  </si>
  <si>
    <t>Sales, retirements and other movements</t>
  </si>
  <si>
    <t>Cost incurred less expl expense</t>
  </si>
  <si>
    <t>BP.L,mscalc:marketCapitalization,2013FY,,FYR,#Refresh#,,HOLD</t>
  </si>
  <si>
    <t>13,958</t>
  </si>
  <si>
    <t>290,022</t>
  </si>
  <si>
    <t>44,738</t>
  </si>
  <si>
    <t>0.209811481603472</t>
  </si>
  <si>
    <t>179,129.24394091</t>
  </si>
  <si>
    <t>95,891</t>
  </si>
  <si>
    <t>284,365</t>
  </si>
  <si>
    <t>265,906</t>
  </si>
  <si>
    <t>31,704</t>
  </si>
  <si>
    <t>Base</t>
  </si>
  <si>
    <t>BP.L,mstag:cashDividendsPaid,2007FY,,FYR,,,WORK</t>
  </si>
  <si>
    <t>US GAAP</t>
  </si>
  <si>
    <t>Scrip dividend</t>
  </si>
  <si>
    <t>BP.L,mscalc:netOperatingAssetsExcludingAdjustments2,2011FY,,FYR,,,HOLD</t>
  </si>
  <si>
    <t>BP.L,mscalc:netDebtAsif,2009FY,,FYR,,,HOLD</t>
  </si>
  <si>
    <t>BP.L,mscalc:interestExpenseNet,2009FY,,FYR,,,HOLD</t>
  </si>
  <si>
    <t>BP.L,mscalc:effectiveTaxRate,2011FY,,FYR,,,WORK</t>
  </si>
  <si>
    <t>BP.L,mscalc:daysSalesOutstanding,2014FY,,FYR,,,WORK</t>
  </si>
  <si>
    <t>BP.L,mstag:costOfSalesWithDepreciation,2012FY,,FYR,,,WORK</t>
  </si>
  <si>
    <t>Exploration &amp; production</t>
  </si>
  <si>
    <t>BP.L,mscalc:returnOnNetOperatingAssetsExcludingAdjustments2calc,2013FY,,FYR,,,WORK</t>
  </si>
  <si>
    <t>BP.L,mstag:cashDividendsPaid,2012FY,,FYR,,,WORK</t>
  </si>
  <si>
    <t>Current</t>
  </si>
  <si>
    <t>Non-current</t>
  </si>
  <si>
    <t>Quarter</t>
  </si>
  <si>
    <t>BP.L,mscalc:evEbida,2014FY</t>
  </si>
  <si>
    <t>BP.L,mscalc:dividendYield,2011FY</t>
  </si>
  <si>
    <t>BP.L,mscalc:evToNoa,2010FY</t>
  </si>
  <si>
    <t>BP.L,mscalc:evrevenue,2013FY</t>
  </si>
  <si>
    <t>BP.L,mscalc:dilutedEarningsPerShare,2010FY</t>
  </si>
  <si>
    <t>1.08022994443517</t>
  </si>
  <si>
    <t>BP.L,mstag:dailyProductionTotalCompanyMmboePerDay,2013FY</t>
  </si>
  <si>
    <t>BP.L,mscalc:stockRating</t>
  </si>
  <si>
    <t>BP.L,mstag:costOfSalesWithoutDepreciation,2015FY,,FYR,,,WORK</t>
  </si>
  <si>
    <t>BP.L,mscalc:capexsales,2008FY,,FYR,,,WORK</t>
  </si>
  <si>
    <t>143,158.123336888</t>
  </si>
  <si>
    <t>27,405.5190952942</t>
  </si>
  <si>
    <t>BP.L,mscalc:netOperatingAssetsExcludingAdjustments2,2009FY,,FYR,,,HOLD</t>
  </si>
  <si>
    <t>BP.L,mstag:sellingGeneralAndAdministrativeExpenses,2010FY,,FYR,,,HOLD</t>
  </si>
  <si>
    <t>BP.L,mscalc:returnOnAverageEquityForConsensus,2010FY,,FYR,,,HOLD</t>
  </si>
  <si>
    <t>BP.L,mscalc:operatingRevenueForConsensus,2011FY,,FYR,,,HOLD</t>
  </si>
  <si>
    <t>BP.L,mstag:sellingGeneralAndAdministrativeExpenses,2014FY,,FYR,,,HOLD</t>
  </si>
  <si>
    <t>BP.L,mscalc:pretaxOperatingprofitForConsensus,2013FY,,FYR,,,HOLD</t>
  </si>
  <si>
    <t>BP.L,mscalc:returnOnNetOperatingAssetsExcludingAdjustments2calc,2012FY,,FYR,,,HOLD</t>
  </si>
  <si>
    <t>BP.L,mscalc:daysPayableOutstanding,2006FY,,FYR</t>
  </si>
  <si>
    <t>BP.L,mscalc:netDebtToEBITDAForConsensus,2011FY,,FYR</t>
  </si>
  <si>
    <t>BP.L,mscalc:nopatExcludingAdjustments2,2007FY,,FYR,,,HOLD</t>
  </si>
  <si>
    <t>BP.L,mscalc:netOperatingAssetsExcludingAdjustments2,2015FY,,FYR</t>
  </si>
  <si>
    <t>BP.L,mstag:cashDividendsPaid,2008FY,,FYR</t>
  </si>
  <si>
    <t>BP.L,msuser:cmWorkingCapitalSales20051031T1238209890,2008FY,,FYR,,,HOLD</t>
  </si>
  <si>
    <t>2.6241333321557</t>
  </si>
  <si>
    <t>BP.L,mscalc:returnOnNetOperatingAssetsExcludingAdjustments2calc,2013FY</t>
  </si>
  <si>
    <t>BP.L,mscalc:dividendsPerShareCalc,2013FY</t>
  </si>
  <si>
    <t>BP.L,mstag:dailyProductionTotalCompanyMmboePerDay,2012FY</t>
  </si>
  <si>
    <t>BP.L,mscalc:returnOnNetOperatingAssetsExcludingAdjustments2calc,2006FY,,FYR</t>
  </si>
  <si>
    <t>BP.L,mscalc:shareholdersEquityExcludingAdjustments2,2010FY,,FYR,,,WORK</t>
  </si>
  <si>
    <t>BP.L,mscalc:operatingRevenueForConsensus,2007FY,,FYR,,,WORK</t>
  </si>
  <si>
    <t>BP.L,mscalc:ebitdaBeforePensionOpebAndOperatingLeaseAdjustments,2014FY,,FYR,,,WORK</t>
  </si>
  <si>
    <t>4Q10</t>
  </si>
  <si>
    <t>1Q11</t>
  </si>
  <si>
    <t>2Q11</t>
  </si>
  <si>
    <t>3Q11</t>
  </si>
  <si>
    <t>4Q11</t>
  </si>
  <si>
    <t>1Q12</t>
  </si>
  <si>
    <t>2Q12</t>
  </si>
  <si>
    <t>3Q12</t>
  </si>
  <si>
    <t>4Q12</t>
  </si>
  <si>
    <t>1Q13</t>
  </si>
  <si>
    <t>2Q13</t>
  </si>
  <si>
    <t>3Q13</t>
  </si>
  <si>
    <t>4Q13</t>
  </si>
  <si>
    <t>1Q14</t>
  </si>
  <si>
    <t>2Q14</t>
  </si>
  <si>
    <t>3Q14</t>
  </si>
  <si>
    <t>4Q14</t>
  </si>
  <si>
    <t>1Q15</t>
  </si>
  <si>
    <t>2Q15</t>
  </si>
  <si>
    <t>3Q15</t>
  </si>
  <si>
    <t>4Q15</t>
  </si>
  <si>
    <t>1Q16</t>
  </si>
  <si>
    <t>2Q16</t>
  </si>
  <si>
    <t>3Q16</t>
  </si>
  <si>
    <t>4Q16</t>
  </si>
  <si>
    <t>1Q17</t>
  </si>
  <si>
    <t>2Q17</t>
  </si>
  <si>
    <t>3Q17</t>
  </si>
  <si>
    <t>4Q17</t>
  </si>
  <si>
    <t>BP.L,mscalc:capitalExpendituresToDepreciationRatioExcludingOperatingLeaseAdjustments,2010FY,,FYR,,,WORK</t>
  </si>
  <si>
    <t>BP.L,mscalc:netDebtAsif,2014FY,,FYR,,,WORK</t>
  </si>
  <si>
    <t>BP.L,msuser:cmWorkingCapitalSales20051031T1238209890,2007FY,,FYR</t>
  </si>
  <si>
    <t>BP.L,mscalc:priceToEarningsBeforeOperatingLeaseAdjustments,2006FY,,FYR</t>
  </si>
  <si>
    <t>BP AB*</t>
  </si>
  <si>
    <t>Canada (British Columbia)</t>
  </si>
  <si>
    <t>Acquistions/Disposals since last Woodmac update</t>
  </si>
  <si>
    <t>Brazil</t>
  </si>
  <si>
    <t>EAI - Vietnam</t>
  </si>
  <si>
    <t>33,413.668752198</t>
  </si>
  <si>
    <t>0.147426946134615</t>
  </si>
  <si>
    <t>89,599.880546328</t>
  </si>
  <si>
    <t>0.11458798934931</t>
  </si>
  <si>
    <t>0.114194865506474</t>
  </si>
  <si>
    <t>Adjustments to reconcile profit (loss) before taxation to net cash provided by operating activities</t>
  </si>
  <si>
    <t>BP.L,mstag:cashDividendsPaid,2011FY,,FYR</t>
  </si>
  <si>
    <t>BP.L,msuser:cmWorkingCapitalSales20051031T1238209890,2012FY,,FYR,,,HOLD</t>
  </si>
  <si>
    <t>BP.L,mscalc:priceToEarningsBeforeOperatingLeaseAdjustments,2010FY,,FYR,,,HOLD</t>
  </si>
  <si>
    <t>BP.L,mscalc:priceToEarningsBeforeOperatingLeaseAdjustments,2011FY,,FYR,,,HOLD</t>
  </si>
  <si>
    <t>BP.L,mscalc:effectiveTaxRate,2008FY,,FYR,,,HOLD</t>
  </si>
  <si>
    <t>BP.L,mscalc:currentRatio,2006FY,,FYR,,,HOLD</t>
  </si>
  <si>
    <t>BP.L,mscalc:operatingAssetTurnoverExcludingAdjustments2calc,2013FY,,FYR,,,HOLD</t>
  </si>
  <si>
    <t>BP.L,mscalc:enterpriseValueAsif,2015FY,,FYR</t>
  </si>
  <si>
    <t>BP.L,mscalc:pretaxOperatingprofitForConsensus,2008FY,,FYR</t>
  </si>
  <si>
    <t>BP.L,mscalc:pretaxOperatingprofitForConsensus,2010FY,,FYR</t>
  </si>
  <si>
    <t>BP.L,mscalc:freeCashFlowForConsensus,2014FY,,FYR</t>
  </si>
  <si>
    <t>BP.L,mscalc:netIncomeBeforeOperatingLeaseAdjustment,2015FY,,FYR</t>
  </si>
  <si>
    <t>BP.L,mscalc:netIncomeBeforeOperatingLeaseAdjustment,2010FY,,FYR</t>
  </si>
  <si>
    <t>BP.L,mscalc:marketCapitalization,2007FY,,FYR,USD</t>
  </si>
  <si>
    <t>BP.L,mscalc:netIncomeBeforeOperatingLeaseAdjustment,2012FY,,FYR</t>
  </si>
  <si>
    <t>BP.L,mscalc:netDebtAsif,2012FY,,FYR,,,HOLD</t>
  </si>
  <si>
    <t>BP.L,mscalc:netIncomeBeforeOperatingLeaseAdjustment,2006FY,,FYR,,,HOLD</t>
  </si>
  <si>
    <t>Modelware EPS</t>
  </si>
  <si>
    <t>Average GBP/dollar (£/$)</t>
  </si>
  <si>
    <t>Average euro/dollar (€/$)</t>
  </si>
  <si>
    <t>Brent price ($/b)</t>
  </si>
  <si>
    <t>WTI ($/bbl)</t>
  </si>
  <si>
    <t>Henry Hub ($/MMBtu)</t>
  </si>
  <si>
    <t>BP.L,mscalc:daysPayableOutstanding,2014FY,,FYR</t>
  </si>
  <si>
    <t>BP.L,mscalc:capexsales,2012FY,,FYR</t>
  </si>
  <si>
    <t>Total Africa</t>
  </si>
  <si>
    <t>Asia</t>
  </si>
  <si>
    <t>US (Mid-Continent)</t>
  </si>
  <si>
    <t>Vanguard</t>
  </si>
  <si>
    <t>Victoria</t>
  </si>
  <si>
    <t>Viking Area</t>
  </si>
  <si>
    <t>Viscount</t>
  </si>
  <si>
    <t>Dividend cover</t>
  </si>
  <si>
    <t>SUBS - Canada (Arctic)</t>
  </si>
  <si>
    <t>SUBS - China</t>
  </si>
  <si>
    <t>EAI - Jordan</t>
  </si>
  <si>
    <t>Production according to WoodMackenzie - Total</t>
  </si>
  <si>
    <t>BP.L,mscalc:sedolCodeCalc</t>
  </si>
  <si>
    <t>BP.L,mscalc:operatingAssetTurnoverExcludingAdjustments2calc,2011FY,,FYR,,,WORK</t>
  </si>
  <si>
    <t>BP.L,msuser:cmWorkingCapitalSales20051031T1238209890,2010FY,,FYR,,,WORK</t>
  </si>
  <si>
    <t>BP.L,mstag:costOfSalesWithDepreciation,2009FY,,FYR,,,WORK</t>
  </si>
  <si>
    <t>BP.L,mscalc:capitalExpendituresToDepreciationRatioExcludingOperatingLeaseAdjustments,2006FY,,FYR,,,WORK</t>
  </si>
  <si>
    <t>BP.L,mscalc:capexsales,2015FY,,FYR,,,WORK</t>
  </si>
  <si>
    <t>BP.L,mscalc:tangibleOperatingAssetTurnover,2008FY,,FYR,,,HOLD</t>
  </si>
  <si>
    <t>BP.L,mscalc:profitBeforeTaxBeforeOperatingLeaseAdjustmentsCalc,2006FY,,FYR,,,WORK</t>
  </si>
  <si>
    <t>Undeveloped</t>
  </si>
  <si>
    <t>36,941.1958476375</t>
  </si>
  <si>
    <t>Custom case</t>
  </si>
  <si>
    <t>BP.L,mscalc:marketCapitalization,2009FY,,FYR,USD,,HOLD</t>
  </si>
  <si>
    <t>BP.L,mscalc:interestExpenseNet,2012FY,,FYR</t>
  </si>
  <si>
    <t>BP.L,mscalc:marketCapitalization,2012FY,,FYR,USD</t>
  </si>
  <si>
    <t>BP.L,mscalc:shareholdersEquityExcludingAdjustments2,2009FY,,FYR</t>
  </si>
  <si>
    <t>BP.L,msuser:cmGrossprofitforconsensus20080605T2347008189,2015FY,,FYR</t>
  </si>
  <si>
    <t>BP.L,mscalc:operatingRevenueForConsensus,2009FY,,FYR</t>
  </si>
  <si>
    <t>BP.L,mscalc:dividendPayoutRatioForConsensus,2014FY,,FYR</t>
  </si>
  <si>
    <t>BP.L,mscalc:capexsales,2014FY,,FYR</t>
  </si>
  <si>
    <t>BP.L,mscalc:operatingAssetTurnoverExcludingAdjustments2calc,2012FY,,FYR,,,WORK</t>
  </si>
  <si>
    <t>Comprehensive income</t>
  </si>
  <si>
    <t xml:space="preserve">Exchange losses (gains) on translation of foreign operations </t>
  </si>
  <si>
    <t>Attributable to minority interest</t>
  </si>
  <si>
    <t>Comprehensive income attributable to BP shareholders</t>
  </si>
  <si>
    <t>Transaction involving minority interest</t>
  </si>
  <si>
    <t>BP.L,mstag:costOfSalesWithoutDepreciation,2009FY,,FYR,,,WORK</t>
  </si>
  <si>
    <t>Margarita</t>
  </si>
  <si>
    <t>BP.L,mscalc:evnopat,2012FY</t>
  </si>
  <si>
    <t>BP.L,mscalc:dividendPayoutRatioForConsensus,2009FY,,FYR</t>
  </si>
  <si>
    <t>Abu Dhabi</t>
  </si>
  <si>
    <t>BP.L,mscalc:totalCoverFixedChargeRatioInferredRatingAgency,2009FY,,FYR</t>
  </si>
  <si>
    <t>BP.L,mscalc:dividendPayoutRatioForConsensus,2015FY,,FYR</t>
  </si>
  <si>
    <t>BP.L,mstag:costOfSalesWithoutDepreciation,2012FY,,FYR</t>
  </si>
  <si>
    <t>BP.L,mscalc:inventoryTurnover,2013FY,,FYR</t>
  </si>
  <si>
    <t>BP.L,mscalc:marketCapitalization,2010FY,,FYR,,,WORK</t>
  </si>
  <si>
    <t>3Q18</t>
  </si>
  <si>
    <t>4Q18</t>
  </si>
  <si>
    <t>1Q19</t>
  </si>
  <si>
    <t>2Q19</t>
  </si>
  <si>
    <t>BP.L,mstag:costOfSalesWithDepreciation,2007FY,,FYR</t>
  </si>
  <si>
    <t>Total oil and gas production from subsidiaries</t>
  </si>
  <si>
    <t>Dividends declared per ordinary share</t>
  </si>
  <si>
    <t>BP share of equity accounted investments</t>
  </si>
  <si>
    <t>Natural gas</t>
  </si>
  <si>
    <t xml:space="preserve">Developed </t>
  </si>
  <si>
    <t>+ Revisions of previous estimates</t>
  </si>
  <si>
    <t>Reformulated income statement</t>
  </si>
  <si>
    <t>BP.L,mscalc:priceToBookValueReportedcalc,2006FY,,FYR,,,WORK</t>
  </si>
  <si>
    <t>BP.L,mscalc:daysSalesOutstanding,2010FY,,FYR,,,WORK</t>
  </si>
  <si>
    <t>BP.L,mstag:costOfSalesWithDepreciation,2006FY,,FYR,,,WORK</t>
  </si>
  <si>
    <t>BP.L,mscalc:operatingAssetTurnoverExcludingAdjustments2calc,2013FY,,FYR,,,WORK</t>
  </si>
  <si>
    <t>BP.L,mscalc:inventoryTurnover,2007FY,,FYR,,,WORK</t>
  </si>
  <si>
    <t>BP.L,mscalc:pretaxOperatingprofitForConsensus,2013FY,,FYR</t>
  </si>
  <si>
    <t>BP.L,mscalc:returnOnNetOperatingAssetsExcludingAdjustments2calc,2010FY,,FYR</t>
  </si>
  <si>
    <t>BP.L,mscalc:netDebtToEBITDAForConsensus,2012FY,,FYR</t>
  </si>
  <si>
    <t>BP.L,mscalc:sharePriceCurrent,,,,USD</t>
  </si>
  <si>
    <t>BP.L,mstag:costOfSalesWithoutDepreciation,2007FY,,FYR,,,HOLD</t>
  </si>
  <si>
    <t>BP.L,mscalc:priceToBookValueReportedcalc,2012FY,,FYR,,,HOLD</t>
  </si>
  <si>
    <t>BP.L,mscalc:operatingRevenueForConsensus,2006FY,,FYR</t>
  </si>
  <si>
    <t>BP.L,mscalc:enterpriseValueAsif,2007FY,,FYR</t>
  </si>
  <si>
    <t>BP.L,mscalc:enterpriseValueAsif,2008FY,,FYR</t>
  </si>
  <si>
    <t>BP.L,msuser:cmGrossprofitforconsensus20080605T2347008189,2014FY,,FYR</t>
  </si>
  <si>
    <t>BP.L,mscalc:netDebtAsif,2014FY,,FYR</t>
  </si>
  <si>
    <t>BP.L,mstag:sellingGeneralAndAdministrativeExpenses,2009FY,,FYR</t>
  </si>
  <si>
    <t>BP.L,mscalc:currentRatio,2006FY,,FYR,,,WORK</t>
  </si>
  <si>
    <t>BP.L,mscalc:effectiveTaxRate,2006FY,,FYR,,,WORK</t>
  </si>
  <si>
    <t>Sanga Sanga (CBM)+</t>
  </si>
  <si>
    <t>Finance (cost)/income and other</t>
  </si>
  <si>
    <t>Income by segment - as reported</t>
  </si>
  <si>
    <t>Income by segment - clean</t>
  </si>
  <si>
    <t>Profit including inventory gains (losses)</t>
  </si>
  <si>
    <t>RC Profit before interest and tax</t>
  </si>
  <si>
    <t>Taxation related to inventory gains/(losses)</t>
  </si>
  <si>
    <t>RC Profit attributable to shareholders</t>
  </si>
  <si>
    <t>RC Profit before tax</t>
  </si>
  <si>
    <t>Tax rate on non-FAS69 profit</t>
  </si>
  <si>
    <t>BP ALT Travis Peak TGS TX Fee*</t>
  </si>
  <si>
    <t>Ravenspurn North*</t>
  </si>
  <si>
    <t>Valiant N</t>
  </si>
  <si>
    <t>Valiant S</t>
  </si>
  <si>
    <t>Valkyrie</t>
  </si>
  <si>
    <t>BP.L,mscalc:dividendYield,2012FY</t>
  </si>
  <si>
    <t>BP.L,mscalc:operatingRevenue,2009FY</t>
  </si>
  <si>
    <t>BP.L,mscalc:netDebtAsif,2011FY</t>
  </si>
  <si>
    <t>BP.L,mscalc:evToEbitda,2010FY</t>
  </si>
  <si>
    <t>BP.L,mscalc:pretaxOperatingprofitptopForReconcilaition,2013FY</t>
  </si>
  <si>
    <t>BP.L,mscalc:nopatExcludingAdjustments2,2009FY,,FYR,,,WORK</t>
  </si>
  <si>
    <t>BP.L,msuser:cmGrossprofitforconsensus20080605T2347008189,2009FY,,FYR,,,WORK</t>
  </si>
  <si>
    <t>BP.L,mscalc:priceToBookValueReportedcalc,2015FY,,FYR,,,HOLD</t>
  </si>
  <si>
    <t>BP.L,mscalc:priceToEarningsBeforeOperatingLeaseAdjustments,2009FY,,FYR,,,WORK</t>
  </si>
  <si>
    <t>BP.L,mscalc:inventoryTurnover,2013FY,,FYR,,,WORK</t>
  </si>
  <si>
    <t>BP.L,mstag:sellingGeneralAndAdministrativeExpenses,2011FY,,FYR</t>
  </si>
  <si>
    <t>Naulskoye</t>
  </si>
  <si>
    <t>Osoveiskoye</t>
  </si>
  <si>
    <t>Polar Lights Other Fields</t>
  </si>
  <si>
    <t>West Sikhoreiskoye</t>
  </si>
  <si>
    <t>BP.L,mscalc:capitalExpendituresToDepreciationRatioExcludingOperatingLeaseAdjustments,2014FY,,FYR,,,WORK</t>
  </si>
  <si>
    <t>BP.L,mscalc:interestExpenseNet,2014FY,,FYR,,,HOLD</t>
  </si>
  <si>
    <t>Subsea</t>
  </si>
  <si>
    <t>Block 31 PSVM*</t>
  </si>
  <si>
    <t>31.3455268732289</t>
  </si>
  <si>
    <t>13,724.4703334272</t>
  </si>
  <si>
    <t>39.7232247186499</t>
  </si>
  <si>
    <t>157,666.926955749</t>
  </si>
  <si>
    <t>0.116888239103668</t>
  </si>
  <si>
    <t>1,137.15691090978</t>
  </si>
  <si>
    <t>39.3566923919641</t>
  </si>
  <si>
    <t>9.91611136117249</t>
  </si>
  <si>
    <t>1.59660466119964</t>
  </si>
  <si>
    <t>116,578.389133351</t>
  </si>
  <si>
    <t>8,564</t>
  </si>
  <si>
    <t>13,673.458984375</t>
  </si>
  <si>
    <t>1.62425131814161</t>
  </si>
  <si>
    <t>0.377201328951162</t>
  </si>
  <si>
    <t>3.11076357845672</t>
  </si>
  <si>
    <t>87,229.497170527</t>
  </si>
  <si>
    <t>26,407.0276096989</t>
  </si>
  <si>
    <t>8.86399848269041</t>
  </si>
  <si>
    <t>1.14024983760597</t>
  </si>
  <si>
    <t>0.407782034449189</t>
  </si>
  <si>
    <t>167,037.00730264</t>
  </si>
  <si>
    <t>16,322.194391483</t>
  </si>
  <si>
    <t>291,817.353119806</t>
  </si>
  <si>
    <t>Kangean PSC*</t>
  </si>
  <si>
    <t>Amethyst*</t>
  </si>
  <si>
    <t>Harding Area*</t>
  </si>
  <si>
    <t>Tension leg platform (TLP)</t>
  </si>
  <si>
    <t>Fixed platform</t>
  </si>
  <si>
    <t>Extended reach drilling (ERD)</t>
  </si>
  <si>
    <t>Fixed platform and HP/HT</t>
  </si>
  <si>
    <t>Production jack-up</t>
  </si>
  <si>
    <t>Fixed platform and EOR</t>
  </si>
  <si>
    <t>Artificial island</t>
  </si>
  <si>
    <t>Artificial island and EOR</t>
  </si>
  <si>
    <t>Production semi-submersible</t>
  </si>
  <si>
    <t>Spar</t>
  </si>
  <si>
    <t>Tennin Fields</t>
  </si>
  <si>
    <t>Coalbed methane</t>
  </si>
  <si>
    <t>BP.L,msuser:cmWorkingCapitalSales20051031T1238209890,2009FY,,FYR,,,HOLD</t>
  </si>
  <si>
    <t>Exploration: expense vs cost incurred</t>
  </si>
  <si>
    <t>Cost incurred</t>
  </si>
  <si>
    <t>Expense, excluding exploration wells written-off</t>
  </si>
  <si>
    <t>Capitalised</t>
  </si>
  <si>
    <t>Drilling cost written-off -- previous periods</t>
  </si>
  <si>
    <t>Expense as % of cost incurred</t>
  </si>
  <si>
    <t>BP AKM Woodford Hz SHG OK Fee*</t>
  </si>
  <si>
    <t>BP.L,mscalc:netOperatingAssetsExcludingAdjustments2,2009FY,,FYR</t>
  </si>
  <si>
    <t>BP.L,mscalc:freeCashFlowForConsensus,2010FY,,FYR</t>
  </si>
  <si>
    <t>BP.L,mscalc:profitBeforeTaxBeforeOperatingLeaseAdjustmentsCalc,2013FY,,FYR</t>
  </si>
  <si>
    <t>Income of EAIs - clean</t>
  </si>
  <si>
    <t>Profit attributable to shareholders - clean</t>
  </si>
  <si>
    <t>Add: Reported depreciation</t>
  </si>
  <si>
    <t>Depreciation:</t>
  </si>
  <si>
    <t>Less: Est. maintenance capex</t>
  </si>
  <si>
    <t>Adjusted profit</t>
  </si>
  <si>
    <t>Add: Tax effect</t>
  </si>
  <si>
    <t>DD&amp;A per boe</t>
  </si>
  <si>
    <t>F&amp;D cost per boe</t>
  </si>
  <si>
    <t>Adjusted EPS</t>
  </si>
  <si>
    <t>Replacing E&amp;P depreciation by estimated maintenance capex</t>
  </si>
  <si>
    <t>ND</t>
  </si>
  <si>
    <t>BP.L,mscalc:dividendPayoutRatioForConsensus,2012FY,,FYR,,,HOLD</t>
  </si>
  <si>
    <t>BP.L,mscalc:effectiveTaxRate,2014FY,,FYR,,,HOLD</t>
  </si>
  <si>
    <t>BP.L,mscalc:netDebtToEBITDAForConsensus,2014FY,,FYR,,,HOLD</t>
  </si>
  <si>
    <t>Model</t>
  </si>
  <si>
    <t>SUMMARY OUTPUT</t>
  </si>
  <si>
    <t>BP.L,mscalc:capitalExpendituresToDepreciationRatioExcludingOperatingLeaseAdjustments,2006FY,,FYR,,,HOLD</t>
  </si>
  <si>
    <t>BP.L,mscalc:daysPayableOutstanding,2015FY,,FYR,,,HOLD</t>
  </si>
  <si>
    <t>BP.L,msuser:cmGrossprofitforconsensus20080605T2347008189,2008FY,,FYR</t>
  </si>
  <si>
    <t>BP.L,mscalc:pretaxOperatingprofitForConsensus,2015FY,,FYR</t>
  </si>
  <si>
    <t>BP.L,mscalc:enterpriseValueAsif,2006FY,,FYR</t>
  </si>
  <si>
    <t>BP.L,mscalc:daysSalesOutstanding,2011FY,,FYR,,,WORK</t>
  </si>
  <si>
    <t>SUBS - Canada (Alberta)</t>
  </si>
  <si>
    <t>BP.L,mscalc:capexsales,2007FY,,FYR</t>
  </si>
  <si>
    <t>BP.L,mscalc:capexsales,2010FY,,FYR</t>
  </si>
  <si>
    <t>Total capex incl. acquisitions</t>
  </si>
  <si>
    <t xml:space="preserve">Capital expenditure and acquisitions </t>
  </si>
  <si>
    <t>Rating</t>
  </si>
  <si>
    <t>BP.L,mscalc:capexsales,2010FY,,FYR,,,WORK</t>
  </si>
  <si>
    <t>BP.L,mscalc:dateReleasedFromHoldinLookup</t>
  </si>
  <si>
    <t>BP.L,mscalc:capitalExpendituresToDepreciationRatioExcludingOperatingLeaseAdjustments,2011FY,,FYR,,,WORK</t>
  </si>
  <si>
    <t>BP.L,mscalc:priceToEarningsBeforeOperatingLeaseAdjustments,2010FY,,FYR,,,WORK</t>
  </si>
  <si>
    <t>BP.L,mscalc:inventoryTurnover,2010FY,,FYR,,,WORK</t>
  </si>
  <si>
    <t>BP.L,mscalc:dividendPayoutRatioForConsensus,2010FY,,FYR,,,WORK</t>
  </si>
  <si>
    <t>BP.L,msuser:cmWorkingCapitalSales20051031T1238209890,2009FY,,FYR,,,WORK</t>
  </si>
  <si>
    <t>BP.L,mscalc:daysPayableOutstanding,2010FY,,FYR,,,WORK</t>
  </si>
  <si>
    <t>Total subsidiary and EAI</t>
  </si>
  <si>
    <t>Production according to WoodMackenzie - subsidiaries</t>
  </si>
  <si>
    <t>Production according to WoodMackenzie - EAI</t>
  </si>
  <si>
    <t>Production according to WoodMackenzie - total</t>
  </si>
  <si>
    <t>4Q</t>
  </si>
  <si>
    <t>Cost incurred - Oil and gas exploration and production activities</t>
  </si>
  <si>
    <t>Acquisition of properties</t>
  </si>
  <si>
    <t>Proved</t>
  </si>
  <si>
    <t>Unproved</t>
  </si>
  <si>
    <t>Exploration</t>
  </si>
  <si>
    <t>Development</t>
  </si>
  <si>
    <t>WoodMackenzie estimate - Development cost</t>
  </si>
  <si>
    <t>Difference/other</t>
  </si>
  <si>
    <t>Equity accounted investments</t>
  </si>
  <si>
    <t>Total costs incurred</t>
  </si>
  <si>
    <t>Upstream capex minus cost incurred</t>
  </si>
  <si>
    <t>BP.L,mscalc:daysPayableOutstanding,2013FY,,FYR</t>
  </si>
  <si>
    <t>0.253956326068889</t>
  </si>
  <si>
    <t>25,935.76</t>
  </si>
  <si>
    <t>BP.L,mscalc:marketCapitalization,2011FY,,FYR,#Refresh#,,HOLD</t>
  </si>
  <si>
    <t>BP.L,mscalc:marketCapitalization,2014FY,,FYR,#Refresh#,,HOLD</t>
  </si>
  <si>
    <t>112,482</t>
  </si>
  <si>
    <t>21,658</t>
  </si>
  <si>
    <t>1.2154752446047</t>
  </si>
  <si>
    <t>3.85065761996306</t>
  </si>
  <si>
    <t>Unit development cost</t>
  </si>
  <si>
    <t>Acquisition cost</t>
  </si>
  <si>
    <t>Oil, NGL and bitumen</t>
  </si>
  <si>
    <t>BP.L,mscalc:ebitdaBeforePensionOpebAndOperatingLeaseAdjustments,2007FY,,FYR</t>
  </si>
  <si>
    <t>Acquisitions, net of cash acquired</t>
  </si>
  <si>
    <t>Proceeds from loan repayments</t>
  </si>
  <si>
    <t>Rolling 4-quarter average</t>
  </si>
  <si>
    <t>Adjustments</t>
  </si>
  <si>
    <t>ROACE, on adjusted basis</t>
  </si>
  <si>
    <t>Tax rate for tax shield calc</t>
  </si>
  <si>
    <t>Realised gas prices ($/mcf)</t>
  </si>
  <si>
    <t>Gulf of Mexico oil spill</t>
  </si>
  <si>
    <t>Less: taxation</t>
  </si>
  <si>
    <t xml:space="preserve">     Trade and other receivables</t>
  </si>
  <si>
    <t xml:space="preserve">     Trade and other payables</t>
  </si>
  <si>
    <t>- Trust fund liability</t>
  </si>
  <si>
    <t>Exploration and Production</t>
  </si>
  <si>
    <t>Refining and Marketing</t>
  </si>
  <si>
    <t>Other businesses and corporate</t>
  </si>
  <si>
    <t>Gulf of Mexico oil spill response</t>
  </si>
  <si>
    <t>Consolidation adjustment</t>
  </si>
  <si>
    <t xml:space="preserve">Profit (loss) for the period </t>
  </si>
  <si>
    <t>Fixed assets - Upstream segment</t>
  </si>
  <si>
    <t>Group fixed assets</t>
  </si>
  <si>
    <t>Reported</t>
  </si>
  <si>
    <t>On replacement basis</t>
  </si>
  <si>
    <t>Reported Upstream fixed assets</t>
  </si>
  <si>
    <t>Adjusted payout ratio</t>
  </si>
  <si>
    <t>Income statement</t>
  </si>
  <si>
    <t>Profit (loss) before interest and taxation</t>
  </si>
  <si>
    <t>Profit (loss) before taxation</t>
  </si>
  <si>
    <t>Profit (loss) for the period</t>
  </si>
  <si>
    <t>Current assets</t>
  </si>
  <si>
    <t>Current liabilities</t>
  </si>
  <si>
    <t>Non-current assets</t>
  </si>
  <si>
    <t>Cash flow statement</t>
  </si>
  <si>
    <t>Net charge for provisions, less payments</t>
  </si>
  <si>
    <t>Distribution and administration expenses</t>
  </si>
  <si>
    <t>Acquisitions of fixed assets</t>
  </si>
  <si>
    <t>Proceeds from debt issuance</t>
  </si>
  <si>
    <t>Currency translation and other effects</t>
  </si>
  <si>
    <t>Cash flow from financing</t>
  </si>
  <si>
    <t>SUBS - Vietnam</t>
  </si>
  <si>
    <t>Country totals - SUBS</t>
  </si>
  <si>
    <t>By BP country name - SUBS</t>
  </si>
  <si>
    <t>Country totals - EAI</t>
  </si>
  <si>
    <t>By BP country name - EAI</t>
  </si>
  <si>
    <t>BP.L,mscalc:inventoryTurnover,2014FY,,FYR</t>
  </si>
  <si>
    <t>BP.L,mscalc:bookValuePerShare,2014FY,,,,,HOLD</t>
  </si>
  <si>
    <t>BP.L,mscalc:netDebtAsif,2007FY,,,,,HOLD</t>
  </si>
  <si>
    <t>BP.L,mscalc:freeCashFlowYieldRatioForConsensus,2010FY,,,,,HOLD</t>
  </si>
  <si>
    <t>BP.L,mscalc:returnOnNetOperatingAssetsExcludingAdjustments2calc,2013FY,,,,,HOLD</t>
  </si>
  <si>
    <t>BP.L,mscalc:dividendsPerShareCalc,2014FY,,,,,HOLD</t>
  </si>
  <si>
    <t>BP.L,mscalc:pretaxOperatingprofitptopForReconcilaition,2012FY,,,,,HOLD</t>
  </si>
  <si>
    <t>BP.L,mscalc:returnOnNetOperatingAssetsExcludingAdjustments2calc,2012FY,,,,,HOLD</t>
  </si>
  <si>
    <t>BP.L,mscalc:priceToEarnings,2015FY,,,,,HOLD</t>
  </si>
  <si>
    <t>BP.L,mscalc:priceToBookValue,2010FY,,,,,HOLD</t>
  </si>
  <si>
    <t>BP.L,mscalc:bookValuePerShare,2012FY,,,,,HOLD</t>
  </si>
  <si>
    <t>BP.L,mscalc:priceToBookValue,2012FY,,,,,HOLD</t>
  </si>
  <si>
    <t>BP.L,mscalc:dilutedEarningsPerShare,2006FY,,,,,HOLD</t>
  </si>
  <si>
    <t>BP.L,mscalc:priceToBookValue,2011FY,,,,,HOLD</t>
  </si>
  <si>
    <t>BP.L,mscalc:netIncome,2006FY,,,,,HOLD</t>
  </si>
  <si>
    <t>BP.L,mscalc:netIncome,2013FY,,,,,HOLD</t>
  </si>
  <si>
    <t>BP.L,mscalc:priceToBookValue,2015FY,,,,,HOLD</t>
  </si>
  <si>
    <t>BP.L,mscalc:evEbida,2014FY,,,,,HOLD</t>
  </si>
  <si>
    <t>BP.L,mstag:dailyProductionTotalCompanyMmboePerDay,2007FY,,,,,HOLD</t>
  </si>
  <si>
    <t>0.415</t>
  </si>
  <si>
    <t>27,018.84</t>
  </si>
  <si>
    <t>0.232775462428878</t>
  </si>
  <si>
    <t>20,044.8915187733</t>
  </si>
  <si>
    <t>19,561.9757180061</t>
  </si>
  <si>
    <t>17,291.64</t>
  </si>
  <si>
    <t>0.0810136503538007</t>
  </si>
  <si>
    <t>30,506.2131383787</t>
  </si>
  <si>
    <t>31,493.5408931629</t>
  </si>
  <si>
    <t>0.844103475719862</t>
  </si>
  <si>
    <t>36,286</t>
  </si>
  <si>
    <t>0.848051836037131</t>
  </si>
  <si>
    <t>0.37</t>
  </si>
  <si>
    <t>BP.L,mscalc:netDebtAsif,2014FY</t>
  </si>
  <si>
    <t>BP.L,mscalc:bookValuePerShare,2014FY</t>
  </si>
  <si>
    <t>BP.L,mscalc:returnOnNetOperatingAssetsExcludingAdjustments2calc,2015FY</t>
  </si>
  <si>
    <t>BP.L,mscalc:returnOnAverageEquityForConsensus,2015FY</t>
  </si>
  <si>
    <t>BP.L,mscalc:netIncome,2014FY</t>
  </si>
  <si>
    <t>BP.L,mscalc:netIncome,2015FY</t>
  </si>
  <si>
    <t>BP.L,mstag:dailyProductionTotalCompanyMmboePerDay,2015FY</t>
  </si>
  <si>
    <t>BP.L,mscalc:netDebtAsif,2015FY</t>
  </si>
  <si>
    <t>BP.L,mscalc:returnOnAverageEquityForConsensus,2014FY</t>
  </si>
  <si>
    <t>BP.L,mstag:dailyProductionTotalCompanyMmboePerDay,2014FY</t>
  </si>
  <si>
    <t>BP.L,mscalc:pretaxOperatingprofitptopForReconcilaition,2015FY</t>
  </si>
  <si>
    <t>BP.L,mscalc:bookValuePerShare,2015FY</t>
  </si>
  <si>
    <t>BP.L,mscalc:returnOnNetOperatingAssetsExcludingAdjustments2calc,2014FY</t>
  </si>
  <si>
    <t>BP.L,mscalc:pretaxOperatingprofitptopForReconcilaition,2014FY</t>
  </si>
  <si>
    <t>5.79730284540715</t>
  </si>
  <si>
    <t>0.108414474640314</t>
  </si>
  <si>
    <t>13,428</t>
  </si>
  <si>
    <t>3,453.20689655172</t>
  </si>
  <si>
    <t>0.0492784444606159</t>
  </si>
  <si>
    <t>6.15126696249723</t>
  </si>
  <si>
    <t>0.143368716032609</t>
  </si>
  <si>
    <t>17,638</t>
  </si>
  <si>
    <t>0.0219849789046116</t>
  </si>
  <si>
    <t>6.90542535293024</t>
  </si>
  <si>
    <t>7.4941126746055</t>
  </si>
  <si>
    <t>29,249</t>
  </si>
  <si>
    <t>0.153454643529857</t>
  </si>
  <si>
    <t>0.34</t>
  </si>
  <si>
    <t>7.24104984860886</t>
  </si>
  <si>
    <t>0.118486860045742</t>
  </si>
  <si>
    <t>0.112143168313563</t>
  </si>
  <si>
    <t>15,552.8495693382</t>
  </si>
  <si>
    <t>14,990.2512625808</t>
  </si>
  <si>
    <t>3,490.51135658722</t>
  </si>
  <si>
    <t>0.920665158915221</t>
  </si>
  <si>
    <t>7.45119183158135</t>
  </si>
  <si>
    <t>0.118916465540033</t>
  </si>
  <si>
    <t>0.0751093843618224</t>
  </si>
  <si>
    <t>1.12709074865512</t>
  </si>
  <si>
    <t>3,388.87615397566</t>
  </si>
  <si>
    <t>25,419.5005166792</t>
  </si>
  <si>
    <t>5.16169232395652</t>
  </si>
  <si>
    <t>3.88059587604754</t>
  </si>
  <si>
    <t>26,420</t>
  </si>
  <si>
    <t>7.63660875413602</t>
  </si>
  <si>
    <t>22,776</t>
  </si>
  <si>
    <t>525</t>
  </si>
  <si>
    <t>0.29</t>
  </si>
  <si>
    <t>0.12541147021437</t>
  </si>
  <si>
    <t>26,003.9744979552</t>
  </si>
  <si>
    <t>3,230.70529482759</t>
  </si>
  <si>
    <t>Equal-Weight</t>
  </si>
  <si>
    <t>0.126628586493255</t>
  </si>
  <si>
    <t>3,330.65517241379</t>
  </si>
  <si>
    <t>0.0457911962852231</t>
  </si>
  <si>
    <t>6.72972903420936</t>
  </si>
  <si>
    <t>0.0100262485544144</t>
  </si>
  <si>
    <t>11.4608314811237</t>
  </si>
  <si>
    <t>10.5154555622635</t>
  </si>
  <si>
    <t>5.0110089846954</t>
  </si>
  <si>
    <t>BP.L,mscalc:evToNoa,2009FY,,,,,HOLD</t>
  </si>
  <si>
    <t>BP.L,mscalc:netIncome,2015FY,,,,,HOLD</t>
  </si>
  <si>
    <t>BP.L,mscalc:evEbida,2012FY,,,,,HOLD</t>
  </si>
  <si>
    <t>BP.L,mscalc:evrevenue,2014FY,,,,,HOLD</t>
  </si>
  <si>
    <t>BP.L,mscalc:dividendsPerShareCalc,2013FY,,,,,HOLD</t>
  </si>
  <si>
    <t>BP.L,mscalc:bookValuePerShare,2007FY,,,,,HOLD</t>
  </si>
  <si>
    <t>BP.L,mscalc:evToNoa,2011FY,,,,,HOLD</t>
  </si>
  <si>
    <t>BP.L,mscalc:pretaxOperatingprofitptopForReconcilaition,2009FY,,,,,HOLD</t>
  </si>
  <si>
    <t>BP.L,mscalc:returnOnAverageEquityForConsensus,2014FY,,,,,HOLD</t>
  </si>
  <si>
    <t>BP.L,mscalc:priceToEarnings,2012FY,,,,,HOLD</t>
  </si>
  <si>
    <t>BP.L,mscalc:netDebtAsif,2008FY,,,,,HOLD</t>
  </si>
  <si>
    <t>BP.L,mscalc:evnopat,2014FY,,,,,HOLD</t>
  </si>
  <si>
    <t>BP.L,mscalc:priceToEarnings,2006FY,,,,,HOLD</t>
  </si>
  <si>
    <t>BP.L,mscalc:dividendYield,2006FY,,,,,HOLD</t>
  </si>
  <si>
    <t>BP.L,mscalc:bookValuePerShare,2010FY,,,,,HOLD</t>
  </si>
  <si>
    <t>BP.L,mscalc:netDebtAsif,2013FY,,,,,HOLD</t>
  </si>
  <si>
    <t>BP.L,mscalc:returnOnAverageEquityForConsensus,2012FY,,,,,HOLD</t>
  </si>
  <si>
    <t>BP.L,mscalc:priceToBookValue,2006FY,,,,,HOLD</t>
  </si>
  <si>
    <t>BP.L,mstag:dailyProductionTotalCompanyMmboePerDay,2006FY,,,,,HOLD</t>
  </si>
  <si>
    <t>BP.L,mscalc:pretaxOperatingprofitptopForReconcilaition,2015FY,,,,,HOLD</t>
  </si>
  <si>
    <t>BP.L,mscalc:evEbida,2013FY,,,,,HOLD</t>
  </si>
  <si>
    <t>BP.L,mscalc:evToEbitda,2011FY,,,,,HOLD</t>
  </si>
  <si>
    <t>BP.L,mscalc:netIncomeBeforeOperatingLeaseAdjustment,2014FY,,FYR,,,HOLD</t>
  </si>
  <si>
    <t>102,113</t>
  </si>
  <si>
    <t>183,756.843793922</t>
  </si>
  <si>
    <t>Total production in barrel-of-oil-equivalent</t>
  </si>
  <si>
    <t>Production - Gas</t>
  </si>
  <si>
    <t>Production forecast according to WoodMackenzie - Crude oil and NGL</t>
  </si>
  <si>
    <t>BP.L,mscalc:ebitdaBeforePensionOpebAndOperatingLeaseAdjustments,2011FY,,FYR,,,HOLD</t>
  </si>
  <si>
    <t>177,618.698875064</t>
  </si>
  <si>
    <t>175,692.060071275</t>
  </si>
  <si>
    <t>(6,234.40153626578)</t>
  </si>
  <si>
    <t>13,733.9545936584</t>
  </si>
  <si>
    <t>18,649.1054995401</t>
  </si>
  <si>
    <t>13,735.8300807383</t>
  </si>
  <si>
    <t>BP.L,mscalc:netDebtAsif,2007FY,,FYR</t>
  </si>
  <si>
    <t>BP.L,mscalc:enterpriseValueAsif,2010FY,,FYR</t>
  </si>
  <si>
    <t>BP.L,mscalc:enterpriseValueAsif,2014FY,,FYR</t>
  </si>
  <si>
    <t>BP.L,mscalc:profitBeforeTaxBeforeOperatingLeaseAdjustmentsCalc,2015FY,,FYR,,,WORK</t>
  </si>
  <si>
    <t>BP.L,mstag:sellingGeneralAndAdministrativeExpenses,2015FY,,FYR,,,WORK</t>
  </si>
  <si>
    <t>BP.L,mscalc:profitBeforeTaxBeforeOperatingLeaseAdjustmentsCalc,2008FY,,FYR,,,HOLD</t>
  </si>
  <si>
    <t>BP.L,mscalc:enterpriseValueAsif,2006FY,,FYR,,,HOLD</t>
  </si>
  <si>
    <t>BP.L,mscalc:netDebtAsif,2015FY,,FYR,,,HOLD</t>
  </si>
  <si>
    <t>BP.L,mscalc:marketCapitalization,2011FY,,FYR,,,WORK</t>
  </si>
  <si>
    <t>BP.L,mscalc:enterpriseValueAsif,2010FY,,FYR,,,WORK</t>
  </si>
  <si>
    <t>BP.L,mscalc:netDebtAsif,2010FY,,FYR,,,WORK</t>
  </si>
  <si>
    <t>BP.L,mscalc:returnOnNetOperatingAssetsExcludingAdjustments2calc,2007FY,,FYR,,,WORK</t>
  </si>
  <si>
    <t>BP.L,mscalc:profitBeforeTaxBeforeOperatingLeaseAdjustmentsCalc,2011FY,,FYR,,,WORK</t>
  </si>
  <si>
    <t>BP.L,mscalc:returnOnNetOperatingAssetsExcludingAdjustments2calc,2008FY,,FYR,,,WORK</t>
  </si>
  <si>
    <t>Net (decrease) increase in non-controlling interests</t>
  </si>
  <si>
    <t>BP.L,mscalc:totalCoverFixedChargeRatioInferredRatingAgency,2007FY,,FYR</t>
  </si>
  <si>
    <t>BP.L,mscalc:currentRatio,2012FY,,FYR</t>
  </si>
  <si>
    <t>BP.L,mscalc:capitalExpendituresToDepreciationRatioExcludingOperatingLeaseAdjustments,2013FY,,FYR</t>
  </si>
  <si>
    <t>BP.L,mscalc:nopatExcludingAdjustments2,2013FY,,FYR</t>
  </si>
  <si>
    <t>Selected line-items excluding GoM impact</t>
  </si>
  <si>
    <t>FO</t>
  </si>
  <si>
    <t>FA</t>
  </si>
  <si>
    <t>MSI</t>
  </si>
  <si>
    <t>CSE</t>
  </si>
  <si>
    <t>Category</t>
  </si>
  <si>
    <t>OA</t>
  </si>
  <si>
    <t>OL</t>
  </si>
  <si>
    <t>Cost of equity</t>
  </si>
  <si>
    <t>Price target</t>
  </si>
  <si>
    <t>FX</t>
  </si>
  <si>
    <t>NPV (p)</t>
  </si>
  <si>
    <t>Realised oil prices ($/bbl)</t>
  </si>
  <si>
    <t xml:space="preserve">Number of days in the period </t>
  </si>
  <si>
    <t>Europe total</t>
  </si>
  <si>
    <t>Assets</t>
  </si>
  <si>
    <t>Cost</t>
  </si>
  <si>
    <t>At January 1</t>
  </si>
  <si>
    <t>Exchange adjustments</t>
  </si>
  <si>
    <t>Additions</t>
  </si>
  <si>
    <t>Acquisitions</t>
  </si>
  <si>
    <t>Transfers</t>
  </si>
  <si>
    <t>Reclassified as assets held for sale</t>
  </si>
  <si>
    <t>Deletions</t>
  </si>
  <si>
    <t>At December 31</t>
  </si>
  <si>
    <t>Depreciation</t>
  </si>
  <si>
    <t>Net book amount at December 31</t>
  </si>
  <si>
    <t>BP.L,mscalc:profitBeforeTaxBeforeOperatingLeaseAdjustmentsCalc,2008FY,,FYR,,,WORK</t>
  </si>
  <si>
    <t>BP.L,mscalc:returnOnNetOperatingAssetsExcludingAdjustments2calc,2014FY,,FYR,,,WORK</t>
  </si>
  <si>
    <t>BP.L,mscalc:enterpriseValueAsif,2006FY,,FYR,,,WORK</t>
  </si>
  <si>
    <t>BP.L,msuser:cmGrossprofitforconsensus20080605T2347008189,2011FY,,FYR,,,WORK</t>
  </si>
  <si>
    <t>BP.L,mscalc:returnOnNetOperatingAssetsExcludingAdjustments2calc,2012FY,,FYR,,,WORK</t>
  </si>
  <si>
    <t>BP.L,mscalc:shareholdersEquityExcludingAdjustments2,2007FY,,FYR,,,WORK</t>
  </si>
  <si>
    <t>BP.L,mscalc:enterpriseValueAsif,2009FY,,FYR,,,WORK</t>
  </si>
  <si>
    <t>BP.L,mstag:sellingGeneralAndAdministrativeExpenses,2013FY,,FYR,,,WORK</t>
  </si>
  <si>
    <t>BP.L,msuser:cmWorkingCapitalSales20051031T1238209890,2012FY,,FYR</t>
  </si>
  <si>
    <t>BP.L,mscalc:daysPayableOutstanding,2012FY,,FYR</t>
  </si>
  <si>
    <t>BP.L,mscalc:inventoryTurnover,2007FY,,FYR</t>
  </si>
  <si>
    <t>No. of Shares Issued (in million)</t>
  </si>
  <si>
    <t>Kizomba Satellites Phase1</t>
  </si>
  <si>
    <t>Kizomba Satellites Phase2</t>
  </si>
  <si>
    <t>Marimba North</t>
  </si>
  <si>
    <t>Pazflor</t>
  </si>
  <si>
    <t>Rosa</t>
  </si>
  <si>
    <t>Argentina</t>
  </si>
  <si>
    <t>Acambuco*</t>
  </si>
  <si>
    <t>Current Stock Price</t>
  </si>
  <si>
    <t>United Arab Emirates</t>
  </si>
  <si>
    <t>Sharjah Gas Fields</t>
  </si>
  <si>
    <t>US (Alaska)</t>
  </si>
  <si>
    <t>Badami*</t>
  </si>
  <si>
    <t>Eider*</t>
  </si>
  <si>
    <t>Apache Merged Area*</t>
  </si>
  <si>
    <t>Alligin*</t>
  </si>
  <si>
    <t>Devenick*</t>
  </si>
  <si>
    <t>ADMA OPCO Area</t>
  </si>
  <si>
    <t>Point Thomson</t>
  </si>
  <si>
    <t>Abandoned</t>
  </si>
  <si>
    <t>SUBS - US (Northeast)</t>
  </si>
  <si>
    <t>Ardalinskoye</t>
  </si>
  <si>
    <t>BP.L,mscalc:daysSalesOutstanding,2009FY,,FYR,,,HOLD</t>
  </si>
  <si>
    <t>BP.L,mstag:costOfSalesWithoutDepreciation,2011FY,,FYR,,,HOLD</t>
  </si>
  <si>
    <t>BP.L,mscalc:operatingRevenueForConsensus,2011FY,,FYR</t>
  </si>
  <si>
    <t>BP.L,mscalc:profitBeforeTaxBeforeOperatingLeaseAdjustmentsCalc,2012FY,,FYR</t>
  </si>
  <si>
    <t>BP.L,msuser:cmGrossprofitforconsensus20080605T2347008189,2011FY,,FYR,,,HOLD</t>
  </si>
  <si>
    <t>BP.L,mscalc:ebitdaBeforePensionOpebAndOperatingLeaseAdjustments,2006FY,,FYR,,,HOLD</t>
  </si>
  <si>
    <t>BP.L,mscalc:profitBeforeTaxBeforeOperatingLeaseAdjustmentsCalc,2009FY,,FYR,,,HOLD</t>
  </si>
  <si>
    <t>BP.L,mscalc:freeCashFlowForConsensus,2014FY,,FYR,,,HOLD</t>
  </si>
  <si>
    <t>Non-operating items and fair value accounting effects</t>
  </si>
  <si>
    <t>Subsidiaries</t>
  </si>
  <si>
    <t>Proved reseves - Start (million barrels)</t>
  </si>
  <si>
    <t>+ Improved recovery</t>
  </si>
  <si>
    <t>- Production</t>
  </si>
  <si>
    <t>= Proved reserves - End</t>
  </si>
  <si>
    <t>Financial assets</t>
  </si>
  <si>
    <t>Net financial obligations</t>
  </si>
  <si>
    <t>Share holders' equity</t>
  </si>
  <si>
    <t>Book value per share</t>
  </si>
  <si>
    <t>Model for working capital items</t>
  </si>
  <si>
    <t>Oil price</t>
  </si>
  <si>
    <t>Trade rec</t>
  </si>
  <si>
    <t>BP.L,mscalc:returnOnNetOperatingAssetsExcludingAdjustments2calc,2010FY</t>
  </si>
  <si>
    <t>Cuenca Marina Austral</t>
  </si>
  <si>
    <t>Shallow water</t>
  </si>
  <si>
    <t>Lindero Atravesado*</t>
  </si>
  <si>
    <t>Shale gas</t>
  </si>
  <si>
    <t>San Roque</t>
  </si>
  <si>
    <t>Tierra del Fuego*</t>
  </si>
  <si>
    <t>Australia</t>
  </si>
  <si>
    <t>LNG</t>
  </si>
  <si>
    <t>NWS JV Dom Gas</t>
  </si>
  <si>
    <t>BP.L,mscalc:tangibleOperatingAssetTurnover,2014FY,,FYR,,,HOLD</t>
  </si>
  <si>
    <t>BP.L,mscalc:inventoryTurnover,2007FY,,FYR,,,HOLD</t>
  </si>
  <si>
    <t>Under Development</t>
  </si>
  <si>
    <t>FPSO</t>
  </si>
  <si>
    <t>CLOV</t>
  </si>
  <si>
    <t>Deepwater</t>
  </si>
  <si>
    <t>Dalia_Camelia</t>
  </si>
  <si>
    <t>BP.L,mscalc:daysSalesOutstanding,2014FY,,FYR,,,HOLD</t>
  </si>
  <si>
    <t>Central Khoreiverskoye</t>
  </si>
  <si>
    <t>Labaganskoye</t>
  </si>
  <si>
    <t>BP.L,mscalc:netDebtToEBITDAForConsensus,2014FY,,FYR,,,WORK</t>
  </si>
  <si>
    <t>BP.L,mscalc:dividendPayoutRatioForConsensus,2008FY,,FYR,,,WORK</t>
  </si>
  <si>
    <t>BP.L,mstag:costOfSalesWithDepreciation,2014FY,,FYR,,,WORK</t>
  </si>
  <si>
    <t>BP.L,mstag:costOfSalesWithDepreciation,2008FY,,FYR,,,WORK</t>
  </si>
  <si>
    <t>BP.L,mscalc:dividendPayoutRatioForConsensus,2011FY,,FYR,,,WORK</t>
  </si>
  <si>
    <t>Source</t>
  </si>
  <si>
    <t>Endicott*</t>
  </si>
  <si>
    <t>Kuparuk</t>
  </si>
  <si>
    <t>Meltwater</t>
  </si>
  <si>
    <t>Northstar*</t>
  </si>
  <si>
    <t>Sag Delta North*</t>
  </si>
  <si>
    <t>Tabasco</t>
  </si>
  <si>
    <t>Tarn</t>
  </si>
  <si>
    <t>BP.L,mscalc:ebitdaBeforePensionOpebAndOperatingLeaseAdjustments,2014FY,,FYR,,,HOLD</t>
  </si>
  <si>
    <t>BP.L,mscalc:netOperatingAssetsExcludingAdjustments2,2015FY,,FYR,,,HOLD</t>
  </si>
  <si>
    <t>BP.L,mscalc:netIncomeBeforeOperatingLeaseAdjustment,2013FY,,FYR,,,HOLD</t>
  </si>
  <si>
    <t>BP.L,mscalc:shareholdersEquityExcludingAdjustments2,2010FY,,FYR,,,HOLD</t>
  </si>
  <si>
    <t>BP.L,mscalc:returnOnAverageEquityForConsensus,2006FY,,FYR,,,WORK</t>
  </si>
  <si>
    <t>BP.L,mscalc:pretaxOperatingprofitForConsensus,2006FY,,FYR,,,WORK</t>
  </si>
  <si>
    <t>BP.L,msuser:cmWorkingCapitalSales20051031T1238209890,2009FY,,FYR</t>
  </si>
  <si>
    <t>BP.L,mscalc:nopatExcludingAdjustments2,2014FY,,FYR,,,WORK</t>
  </si>
  <si>
    <t>BP.L,mscalc:operatingRevenueForConsensus,2015FY,,FYR</t>
  </si>
  <si>
    <t>1.37914705920528</t>
  </si>
  <si>
    <t>1.360163638031</t>
  </si>
  <si>
    <t>0.268482729406976</t>
  </si>
  <si>
    <t>297,668.228528663</t>
  </si>
  <si>
    <t>BP.L,mscalc:interestExpenseNet,2010FY,,FYR,,,WORK</t>
  </si>
  <si>
    <t>BP.L,mscalc:netIncomeBeforeOperatingLeaseAdjustment,2009FY,,FYR</t>
  </si>
  <si>
    <t>D6 Area</t>
  </si>
  <si>
    <t>India</t>
  </si>
  <si>
    <t>BP.L,mscalc:ebitdaBeforePensionOpebAndOperatingLeaseAdjustments,2015FY,,FYR,,,HOLD</t>
  </si>
  <si>
    <t>BP.L,mscalc:shareholdersEquityExcludingAdjustments2,2006FY,,FYR,,,HOLD</t>
  </si>
  <si>
    <t>BP.L,mscalc:pretaxOperatingprofitForConsensus,2011FY,,FYR,,,HOLD</t>
  </si>
  <si>
    <t>P/15A &amp; P/15B*</t>
  </si>
  <si>
    <t>BP.L,mscalc:operatingRevenueForConsensus,2007FY,,FYR</t>
  </si>
  <si>
    <t>BP.L,msuser:cmGrossprofitforconsensus20080605T2347008189,2007FY,,FYR</t>
  </si>
  <si>
    <t>BP.L,mscalc:shareholdersEquityExcludingAdjustments2,2007FY,,FYR</t>
  </si>
  <si>
    <t>BP.L,mscalc:netDebtToEBITDAForConsensus,2011FY,,FYR,,,WORK</t>
  </si>
  <si>
    <t>BP.L,mscalc:capexsales,2006FY,,FYR,,,WORK</t>
  </si>
  <si>
    <t>Increase (decrease) in cash and cash equivalents</t>
  </si>
  <si>
    <t>BP.L,mstag:costOfSalesWithoutDepreciation,2009FY,,FYR</t>
  </si>
  <si>
    <t>BP.L,mscalc:priceToEarningsBeforeOperatingLeaseAdjustments,2008FY,,FYR</t>
  </si>
  <si>
    <t>Developed reserves as % of total proved reserves</t>
  </si>
  <si>
    <t>BP.L,mscalc:returnOnAverageEquityForConsensus,2012FY</t>
  </si>
  <si>
    <t>BP.L,mscalc:dividendsPerShareCalc,2012FY</t>
  </si>
  <si>
    <t>BP.L,mscalc:dividendYield,2014FY</t>
  </si>
  <si>
    <t>BP.L,mscalc:priceToEarnings,2013FY</t>
  </si>
  <si>
    <t>BP.L,mscalc:returnOnAverageEquityForConsensus,2011FY</t>
  </si>
  <si>
    <t>BP.L,mscalc:netDebtToEBITDAForConsensus,2006FY,,FYR</t>
  </si>
  <si>
    <t>BP.L,mscalc:dividendPayoutRatioForConsensus,2012FY,,FYR</t>
  </si>
  <si>
    <t>BP.L,mscalc:netDebtToEBITDAForConsensus,2009FY,,FYR</t>
  </si>
  <si>
    <t>BP.L,mscalc:tangibleOperatingAssetTurnover,2013FY,,FYR</t>
  </si>
  <si>
    <t>BP.L,mscalc:effectiveTaxRate,2010FY,,FYR</t>
  </si>
  <si>
    <t>BP.L,mscalc:priceToBookValueReportedcalc,2010FY,,FYR</t>
  </si>
  <si>
    <t>BP.L,mscalc:netDebtToEBITDAForConsensus,2007FY,,FYR</t>
  </si>
  <si>
    <t>BP.L,mscalc:tangibleOperatingAssetTurnover,2010FY,,FYR</t>
  </si>
  <si>
    <t>BP.L,mscalc:effectiveTaxRate,2007FY,,FYR,,,WORK</t>
  </si>
  <si>
    <t>1,628.02675032908</t>
  </si>
  <si>
    <t>5.12688762939364</t>
  </si>
  <si>
    <t>BP.L,mscalc:marketCapitalization,2010FY,,FYR,#Refresh#,,HOLD</t>
  </si>
  <si>
    <t>BP.L,mscalc:netDebtToEBITDAForConsensus,2011FY,,FYR,,,HOLD</t>
  </si>
  <si>
    <t>BP.L,mscalc:daysPayableOutstanding,2007FY,,FYR,,,HOLD</t>
  </si>
  <si>
    <t>Equity accounted units, share</t>
  </si>
  <si>
    <t>of cost incurred</t>
  </si>
  <si>
    <t>of undeveloped reserves</t>
  </si>
  <si>
    <t>of production</t>
  </si>
  <si>
    <t>BP.L,mscalc:enterpriseValueAsif,2011FY,,FYR,,,WORK</t>
  </si>
  <si>
    <t>BP.L,mscalc:nopatExcludingAdjustments2,2014FY,,FYR</t>
  </si>
  <si>
    <t>BP.L,mscalc:tangibleOperatingAssetTurnover,2008FY,,FYR,,,WORK</t>
  </si>
  <si>
    <t>BP.L,msuser:cmWorkingCapitalSales20051031T1238209890,2011FY,,FYR,,,WORK</t>
  </si>
  <si>
    <t>Taxation and other</t>
  </si>
  <si>
    <t>NEC-25</t>
  </si>
  <si>
    <t>Verkhnechonskoye</t>
  </si>
  <si>
    <t>BP.L,mscalc:dividendPayoutRatioForConsensus,2011FY,,FYR,,,HOLD</t>
  </si>
  <si>
    <t>BP.L,mscalc:priceToEarningsBeforeOperatingLeaseAdjustments,2015FY,,FYR,,,HOLD</t>
  </si>
  <si>
    <t>Trade pay</t>
  </si>
  <si>
    <t>Invent</t>
  </si>
  <si>
    <t xml:space="preserve">Comprehensive income </t>
  </si>
  <si>
    <t>Changes in equity</t>
  </si>
  <si>
    <t>EBITDAX</t>
  </si>
  <si>
    <t>6.72274869618859</t>
  </si>
  <si>
    <t>BP.L,mscalc:daysSalesOutstanding,2013FY,,FYR,,,WORK</t>
  </si>
  <si>
    <t>BP.L,mscalc:nopatExcludingAdjustments2,2008FY,,FYR,,,HOLD</t>
  </si>
  <si>
    <t>BP.L,mscalc:pretaxOperatingprofitptopForReconcilaition,2012FY</t>
  </si>
  <si>
    <t>BP.L,mscalc:operatingRevenueForConsensus,2006FY,,FYR,,,WORK</t>
  </si>
  <si>
    <t>BP.L,mscalc:enterpriseValueAsif,2013FY,,FYR,,,WORK</t>
  </si>
  <si>
    <t>Nile (VK 914)*</t>
  </si>
  <si>
    <t>Pompano*</t>
  </si>
  <si>
    <t>Princess (MC 765)</t>
  </si>
  <si>
    <t>Ram-Powell (VK 912)</t>
  </si>
  <si>
    <t>Thunder Horse*</t>
  </si>
  <si>
    <t>Troika (GC 244)*</t>
  </si>
  <si>
    <t>Ursa (MC 810)</t>
  </si>
  <si>
    <t>Zia (MC 496)*</t>
  </si>
  <si>
    <t>US (GoM Shelf)</t>
  </si>
  <si>
    <t>BP CENGOM Conv GAS OFF Fed*</t>
  </si>
  <si>
    <t>BP CENGOM Conv OIL OFF Fed*</t>
  </si>
  <si>
    <t>BP.L,mstag:costOfSalesWithDepreciation,2013FY,,FYR</t>
  </si>
  <si>
    <t>BP.L,mscalc:operatingAssetTurnoverExcludingAdjustments2calc,2007FY,,FYR</t>
  </si>
  <si>
    <t>Net cash provided by (used in) investing activities</t>
  </si>
  <si>
    <t>Financing activities</t>
  </si>
  <si>
    <t>Net issue (repurchase) of shares</t>
  </si>
  <si>
    <t>Proceeds from long-term financing</t>
  </si>
  <si>
    <t>BP.L,mscalc:totalCoverFixedChargeRatioInferredRatingAgency,2014FY,,FYR,,,HOLD</t>
  </si>
  <si>
    <t>BP.L,mscalc:returnOnAverageEquityForConsensus,2013FY,,FYR</t>
  </si>
  <si>
    <t>BP.L,mscalc:freeCashFlowForConsensus,2009FY,,FYR</t>
  </si>
  <si>
    <t>BP.L,mstag:sellingGeneralAndAdministrativeExpenses,2006FY,,FYR</t>
  </si>
  <si>
    <t>BP.L,mscalc:pretaxOperatingprofitForConsensus,2007FY,,FYR,,,HOLD</t>
  </si>
  <si>
    <t>BP.L,mstag:sellingGeneralAndAdministrativeExpenses,2013FY,,FYR,,,HOLD</t>
  </si>
  <si>
    <t>BP.L,mscalc:returnOnAverageEquityForConsensus,2007FY,,FYR,,,HOLD</t>
  </si>
  <si>
    <t>BP.L,mstag:sellingGeneralAndAdministrativeExpenses,2007FY,,FYR,,,HOLD</t>
  </si>
  <si>
    <t>BP.L,mscalc:returnOnAverageEquityForConsensus,2009FY,,FYR,,,HOLD</t>
  </si>
  <si>
    <t>Per barrel of oil equivalent</t>
  </si>
  <si>
    <t>Production cost excluding taxes</t>
  </si>
  <si>
    <t>Taxes other than income tax</t>
  </si>
  <si>
    <t>Other income/(cost)</t>
  </si>
  <si>
    <t>As percent of revenue</t>
  </si>
  <si>
    <t>Effective tax rate</t>
  </si>
  <si>
    <t>Assumptions</t>
  </si>
  <si>
    <t>Oil and gas marker industry prices</t>
  </si>
  <si>
    <t>Brent (/bbl)</t>
  </si>
  <si>
    <t>WTI (/bbl)</t>
  </si>
  <si>
    <t>Henry Hub (/MMBtu)</t>
  </si>
  <si>
    <t>UK National Balancing Point (pence/therm)</t>
  </si>
  <si>
    <t>Singapore</t>
  </si>
  <si>
    <t>US West Coast</t>
  </si>
  <si>
    <t>US Gulf Coast</t>
  </si>
  <si>
    <t>BP.L,mscalc:netDebtToEBITDAForConsensus,2006FY,,FYR,,,HOLD</t>
  </si>
  <si>
    <t>BP.L,mscalc:marketCapitalization,2009FY,,FYR,USD</t>
  </si>
  <si>
    <t>BP.L,mscalc:nopatExcludingAdjustments2,2009FY,,FYR</t>
  </si>
  <si>
    <t>BP.L,mscalc:netIncomeBeforeOperatingLeaseAdjustment,2006FY,,FYR</t>
  </si>
  <si>
    <t>BP.L,mscalc:netDebtAsif,2009FY,,FYR</t>
  </si>
  <si>
    <t>BP.L,mscalc:ebitdaBeforePensionOpebAndOperatingLeaseAdjustments,2011FY,,FYR</t>
  </si>
  <si>
    <t>SUBS - Canada (British Columbia)</t>
  </si>
  <si>
    <t>SUBS - Canada (Oil Sands)</t>
  </si>
  <si>
    <t>EAI - China</t>
  </si>
  <si>
    <t>BP.L,mscalc:interestExpenseNet,2012FY,,FYR,,,HOLD</t>
  </si>
  <si>
    <t>BP.L,msuser:cmGrossprofitforconsensus20080605T2347008189,2012FY,,FYR,,,HOLD</t>
  </si>
  <si>
    <t>BP.L,mscalc:freeCashFlowForConsensus,2009FY,,FYR,,,HOLD</t>
  </si>
  <si>
    <t>BP.L,mscalc:interestExpenseNet,2007FY,,FYR,,,HOLD</t>
  </si>
  <si>
    <t>SUBS - Australia</t>
  </si>
  <si>
    <t>EAI</t>
  </si>
  <si>
    <t>SUBS - Azerbaijan</t>
  </si>
  <si>
    <t>EAI - Bolivia</t>
  </si>
  <si>
    <t>41,818</t>
  </si>
  <si>
    <t>BP.L,mstag:costOfSalesWithDepreciation,2012FY,,FYR</t>
  </si>
  <si>
    <t>3.91349548271838</t>
  </si>
  <si>
    <t>3Q19</t>
  </si>
  <si>
    <t>Total replacement cost profit after interest and tax</t>
  </si>
  <si>
    <t>Investing activities</t>
  </si>
  <si>
    <t>DD&amp;A  in income statement</t>
  </si>
  <si>
    <t>BP.L,mscalc:bookValuePerShare,2013FY,,,,,HOLD</t>
  </si>
  <si>
    <t>BP.L,mscalc:dividendsPerShareCalc,2008FY,,,,,HOLD</t>
  </si>
  <si>
    <t>BP.L,mscalc:bookValuePerShare,2015FY,,,,,HOLD</t>
  </si>
  <si>
    <t>BP.L,mscalc:netIncome,2008FY,,,,,HOLD</t>
  </si>
  <si>
    <t>BP.L,mscalc:freeCashFlowYieldRatioForConsensus,2009FY,,,,,HOLD</t>
  </si>
  <si>
    <t>BP.L,mscalc:dilutedEarningsPerShare,2012FY,,,,,HOLD</t>
  </si>
  <si>
    <t>BP.L,mscalc:freeCashFlowYieldRatioForConsensus,2012FY,,,,,HOLD</t>
  </si>
  <si>
    <t>BP.L,mscalc:freeCashFlowYieldRatioForConsensus,2015FY,,,,,HOLD</t>
  </si>
  <si>
    <t>BP.L,mscalc:evrevenue,2015FY,,,,,HOLD</t>
  </si>
  <si>
    <t>BP.L,mscalc:evnopat,2008FY,,,,,HOLD</t>
  </si>
  <si>
    <t>BP.L,mscalc:pretaxOperatingprofitptopForReconcilaition,2011FY,,,,,HOLD</t>
  </si>
  <si>
    <t>BP.L,mscalc:freeCashFlowYieldRatioForConsensus,2013FY,,,,,HOLD</t>
  </si>
  <si>
    <t>BP.L,mscalc:evToEbitda,2015FY,,,,,HOLD</t>
  </si>
  <si>
    <t>BP.L,mscalc:returnOnNetOperatingAssetsExcludingAdjustments2calc,2011FY,,,,,HOLD</t>
  </si>
  <si>
    <t>BP.L,mscalc:netIncome,2012FY,,,,,HOLD</t>
  </si>
  <si>
    <t>BP.L,mscalc:bookValuePerShare,2011FY,,,,,HOLD</t>
  </si>
  <si>
    <t>BP.L,mstag:dailyProductionTotalCompanyMmboePerDay,2008FY,,,,,HOLD</t>
  </si>
  <si>
    <t>BP.L,mscalc:evrevenue,2009FY,,,,,HOLD</t>
  </si>
  <si>
    <t>BP.L,mscalc:evToEbitda,2010FY,,,,,HOLD</t>
  </si>
  <si>
    <t>BP.L,mscalc:netIncome,2014FY,,,,,HOLD</t>
  </si>
  <si>
    <t>BP.L,mscalc:priceToEarnings,2013FY,,,,,HOLD</t>
  </si>
  <si>
    <t>BP.L,mscalc:priceToBookValue,2007FY,,,,,HOLD</t>
  </si>
  <si>
    <t>BP.L,mscalc:evrevenue,2006FY,,,,,HOLD</t>
  </si>
  <si>
    <t>BP.L,mscalc:evrevenue,2008FY,,,,,HOLD</t>
  </si>
  <si>
    <t>BP.L,mscalc:evnopat,2006FY,,,,,HOLD</t>
  </si>
  <si>
    <t>BP.L,mscalc:evToEbitda,2006FY,,,,,HOLD</t>
  </si>
  <si>
    <t>BP.L,mscalc:dividendYield,2007FY,,,,,HOLD</t>
  </si>
  <si>
    <t>BP.L,mscalc:evnopat,2013FY,,,,,HOLD</t>
  </si>
  <si>
    <t>BP.L,mscalc:evnopat,2015FY,,,,,HOLD</t>
  </si>
  <si>
    <t>BP.L,mscalc:evEbida,2006FY,,,,,HOLD</t>
  </si>
  <si>
    <t>BP.L,mstag:dailyProductionTotalCompanyMmboePerDay,2009FY,,,,,HOLD</t>
  </si>
  <si>
    <t>BP.L,mscalc:bookValuePerShare,2006FY,,,,,HOLD</t>
  </si>
  <si>
    <t>BP.L,mscalc:netDebtAsif,2010FY,,,,,HOLD</t>
  </si>
  <si>
    <t>BP.L,mscalc:evToNoa,2010FY,,,,,HOLD</t>
  </si>
  <si>
    <t>BP.L,mscalc:netDebtAsif,2012FY,,,,,HOLD</t>
  </si>
  <si>
    <t>BP.L,mscalc:returnOnAverageEquityForConsensus,2015FY,,,,,HOLD</t>
  </si>
  <si>
    <t>BP.L,mscalc:priceToEarnings,2010FY,,,,,HOLD</t>
  </si>
  <si>
    <t>BP.L,mscalc:evEbida,2011FY,,,,,HOLD</t>
  </si>
  <si>
    <t>BP.L,mscalc:evrevenue,2007FY,,,,,HOLD</t>
  </si>
  <si>
    <t>BP.L,mscalc:dividendsPerShareCalc,2010FY,,,,,HOLD</t>
  </si>
  <si>
    <t>BP.L,mscalc:evEbida,2009FY,,,,,HOLD</t>
  </si>
  <si>
    <t>BP.L,mscalc:bookValuePerShare,2009FY,,,,,HOLD</t>
  </si>
  <si>
    <t>BP.L,mstag:dailyProductionTotalCompanyMmboePerDay,2011FY,,,,,HOLD</t>
  </si>
  <si>
    <t>BP.L,mscalc:returnOnAverageEquityForConsensus,2011FY,,,,,HOLD</t>
  </si>
  <si>
    <t>BP.L,mscalc:netIncome,2009FY,,,,,HOLD</t>
  </si>
  <si>
    <t>BP.L,mscalc:evrevenue,2013FY,,,,,HOLD</t>
  </si>
  <si>
    <t>BP.L,mscalc:evToEbitda,2007FY,,,,,HOLD</t>
  </si>
  <si>
    <t>BP.L,mscalc:priceToEarnings,2011FY,,,,,HOLD</t>
  </si>
  <si>
    <t>BP.L,mscalc:evEbida,2015FY,,,,,HOLD</t>
  </si>
  <si>
    <t>BP.L,mscalc:evToNoa,2007FY,,,,,HOLD</t>
  </si>
  <si>
    <t>BP.L,mscalc:netIncome,2007FY,,,,,HOLD</t>
  </si>
  <si>
    <t>BP.L,mscalc:dilutedEarningsPerShare,2011FY,,,,,HOLD</t>
  </si>
  <si>
    <t>BP.L,mscalc:netIncome,2011FY,,,,,HOLD</t>
  </si>
  <si>
    <t>BP.L,mscalc:returnOnAverageEquityForConsensus,2013FY,,,,,HOLD</t>
  </si>
  <si>
    <t>BP.L,mscalc:dilutedEarningsPerShare,2014FY,,,,,HOLD</t>
  </si>
  <si>
    <t>BP.L,mscalc:dividendYield,2010FY,,,,,HOLD</t>
  </si>
  <si>
    <t>BP.L,mscalc:freeCashFlowYieldRatioForConsensus,2007FY,,,,,HOLD</t>
  </si>
  <si>
    <t>BP.L,mscalc:evnopat,2010FY,,,,,HOLD</t>
  </si>
  <si>
    <t>BP.L,mscalc:evEbida,2010FY,,,,,HOLD</t>
  </si>
  <si>
    <t>BP.L,mscalc:pretaxOperatingprofitptopForReconcilaition,2006FY,,,,,HOLD</t>
  </si>
  <si>
    <t>BP.L,mstag:dailyProductionTotalCompanyMmboePerDay,2010FY,,,,,HOLD</t>
  </si>
  <si>
    <t>BP.L,mscalc:netDebtAsif,2015FY,,,,,HOLD</t>
  </si>
  <si>
    <t>BP.L,mscalc:netDebtAsif,2009FY,,,,,HOLD</t>
  </si>
  <si>
    <t>BP.L,mscalc:returnOnNetOperatingAssetsExcludingAdjustments2calc,2008FY,,,,,HOLD</t>
  </si>
  <si>
    <t>BP.L,mscalc:operatingRevenue,2009FY,,,,,HOLD</t>
  </si>
  <si>
    <t>BP.L,mscalc:dividendsPerShareCalc,2007FY,,,,,HOLD</t>
  </si>
  <si>
    <t>BP.L,mscalc:evrevenue,2011FY,,,,,HOLD</t>
  </si>
  <si>
    <t>BP.L,mstag:dailyProductionTotalCompanyMmboePerDay,2012FY,,,,,HOLD</t>
  </si>
  <si>
    <t>BP.L,mscalc:returnOnAverageEquityForConsensus,2010FY,,,,,HOLD</t>
  </si>
  <si>
    <t>BP.L,mscalc:dividendYield,2008FY,,,,,HOLD</t>
  </si>
  <si>
    <t>BP.L,mscalc:netDebtAsif,2014FY,,,,,HOLD</t>
  </si>
  <si>
    <t>BP.L,mscalc:freeCashFlowYieldRatioForConsensus,2011FY,,,,,HOLD</t>
  </si>
  <si>
    <t>BP.L,mscalc:evToNoa,2008FY,,,,,HOLD</t>
  </si>
  <si>
    <t>BP.L,mscalc:returnOnAverageEquityForConsensus,2009FY,,,,,HOLD</t>
  </si>
  <si>
    <t>BP.L,mscalc:pretaxOperatingprofitptopForReconcilaition,2007FY,,,,,HOLD</t>
  </si>
  <si>
    <t>BP.L,mscalc:pretaxOperatingprofitptopForReconcilaition,2010FY,,,,,HOLD</t>
  </si>
  <si>
    <t>BP.L,mscalc:priceToEarnings,2009FY,,,,,HOLD</t>
  </si>
  <si>
    <t>BP.L,mscalc:operatingRevenueForConsensus,2015FY,,FYR,,,WORK</t>
  </si>
  <si>
    <t>BP.L,mscalc:netIncomeBeforeOperatingLeaseAdjustment,2014FY,,FYR,,,WORK</t>
  </si>
  <si>
    <t>BP.L,mscalc:netIncomeBeforeOperatingLeaseAdjustment,2012FY,,FYR,,,WORK</t>
  </si>
  <si>
    <t>BP.L,mscalc:shareholdersEquityExcludingAdjustments2,2009FY,,FYR,,,WORK</t>
  </si>
  <si>
    <t>Rosneft</t>
  </si>
  <si>
    <t>Dagneft fields</t>
  </si>
  <si>
    <t>Dagneftegaz fields</t>
  </si>
  <si>
    <t>BP.L,mscalc:tangibleOperatingAssetTurnover,2014FY,,FYR,,,WORK</t>
  </si>
  <si>
    <t>BP.L,mscalc:interestExpenseNet,2014FY,,FYR</t>
  </si>
  <si>
    <t>BP.L,mscalc:profitBeforeTaxBeforeOperatingLeaseAdjustmentsCalc,2006FY,,FYR</t>
  </si>
  <si>
    <t>BP.L,mstag:cashDividendsPaid,2009FY,,FYR</t>
  </si>
  <si>
    <t>BP.L,mscalc:evToNoa,2011FY</t>
  </si>
  <si>
    <t>BP.L,mscalc:netDebtAsif,2013FY</t>
  </si>
  <si>
    <t>BP.L,mscalc:priceToBookValue,2012FY</t>
  </si>
  <si>
    <t>BP.L,mscalc:priceToBookValue,2013FY</t>
  </si>
  <si>
    <t>BP.L,mscalc:priceToBookValue,2010FY</t>
  </si>
  <si>
    <t>1.45327245678437</t>
  </si>
  <si>
    <t>BP.L,mscalc:priceToBookValue,2014FY</t>
  </si>
  <si>
    <t>BP.L,mscalc:totalCoverFixedChargeRatioInferredRatingAgency,2008FY,,FYR</t>
  </si>
  <si>
    <t>0.778512215333389</t>
  </si>
  <si>
    <t>0.248491386944201</t>
  </si>
  <si>
    <t>0.706924137920875</t>
  </si>
  <si>
    <t>10.7114118909731</t>
  </si>
  <si>
    <t>2.3544443943419</t>
  </si>
  <si>
    <t>11.0339317107562</t>
  </si>
  <si>
    <t>BP.L,mscalc:operatingAssetTurnoverExcludingAdjustments2calc,2008FY,,FYR,,,WORK</t>
  </si>
  <si>
    <t>BP.L,mscalc:shareholdersEquityExcludingAdjustments2,2008FY,,FYR,,,WORK</t>
  </si>
  <si>
    <t>DD&amp;A unrelated to PP&amp;A</t>
  </si>
  <si>
    <t>Percent of cost, excluding disposals</t>
  </si>
  <si>
    <t>Percent depreciated</t>
  </si>
  <si>
    <t>Charge for the year</t>
  </si>
  <si>
    <t>Impairment or losses</t>
  </si>
  <si>
    <t>Profit attributable to shareholders</t>
  </si>
  <si>
    <t>Refining &amp; marketing</t>
  </si>
  <si>
    <t>BP.L,mscalc:totalCoverFixedChargeRatioInferredRatingAgency,2006FY,,FYR,,,HOLD</t>
  </si>
  <si>
    <t>Proved reserves (billion cubic feet)</t>
  </si>
  <si>
    <t>Proved reserves (million barrels of oil equivalent)</t>
  </si>
  <si>
    <t>0.0555692057070348</t>
  </si>
  <si>
    <t>1.47712398203448</t>
  </si>
  <si>
    <t>0.366217636571429</t>
  </si>
  <si>
    <t>0.0678269812234912</t>
  </si>
  <si>
    <t>8.95663284766191</t>
  </si>
  <si>
    <t>0.128156499366533</t>
  </si>
  <si>
    <t>6.46251964291685</t>
  </si>
  <si>
    <t>10.4636003172086</t>
  </si>
  <si>
    <t>0.624708407203508</t>
  </si>
  <si>
    <t>5.76734464070401</t>
  </si>
  <si>
    <t>2.28253134133828</t>
  </si>
  <si>
    <t>10.6821254554411</t>
  </si>
  <si>
    <t>29.9321223709369</t>
  </si>
  <si>
    <t>2.68375205270013</t>
  </si>
  <si>
    <t>1.49036321268728</t>
  </si>
  <si>
    <t>2.27149054937961</t>
  </si>
  <si>
    <t>1.47886062343246</t>
  </si>
  <si>
    <t>0.502592740327084</t>
  </si>
  <si>
    <t>0.961640978097114</t>
  </si>
  <si>
    <t>1.9069296672644</t>
  </si>
  <si>
    <t>17.2749615975422</t>
  </si>
  <si>
    <t>1.04066884692478</t>
  </si>
  <si>
    <t>0.058866667168097</t>
  </si>
  <si>
    <t>204,978</t>
  </si>
  <si>
    <t>USD</t>
  </si>
  <si>
    <t>BP.L</t>
  </si>
  <si>
    <t>BP plc</t>
  </si>
  <si>
    <t>BP.L,mstag:cashDividendsPaid,2009FY,,FYR,,,HOLD</t>
  </si>
  <si>
    <t>BP.L,mscalc:nopatExcludingAdjustments2,2010FY,,FYR,,,WORK</t>
  </si>
  <si>
    <t>BP.L,mstag:cashDividendsPaid,2009FY,,FYR,,,WORK</t>
  </si>
  <si>
    <t>BP.L,mscalc:netOperatingAssetsExcludingAdjustments2,2010FY,,FYR,,,WORK</t>
  </si>
  <si>
    <t>Tambar Øst*</t>
  </si>
  <si>
    <t>Ula*</t>
  </si>
  <si>
    <t>Valhall*</t>
  </si>
  <si>
    <t>Oman</t>
  </si>
  <si>
    <t>Pakistan</t>
  </si>
  <si>
    <t>Badin I Fields*</t>
  </si>
  <si>
    <t>Badin II (Revised) Fields*</t>
  </si>
  <si>
    <t>SUBS - Iraq</t>
  </si>
  <si>
    <t>Repurchase of share ($m)</t>
  </si>
  <si>
    <t>No. of Shares Repurchased (in million)</t>
  </si>
  <si>
    <t>BP.L,mscalc:netIncomeBeforeOperatingLeaseAdjustment,2013FY,,FYR,,,WORK</t>
  </si>
  <si>
    <t>BP.L,mscalc:ebitdaBeforePensionOpebAndOperatingLeaseAdjustments,2011FY,,FYR,,,WORK</t>
  </si>
  <si>
    <t>0.255164034021871</t>
  </si>
  <si>
    <t>33,491</t>
  </si>
  <si>
    <t>10,767</t>
  </si>
  <si>
    <t>26,243</t>
  </si>
  <si>
    <t>27,483</t>
  </si>
  <si>
    <t>956</t>
  </si>
  <si>
    <t>133,389</t>
  </si>
  <si>
    <t>24,158.84</t>
  </si>
  <si>
    <t>10,899</t>
  </si>
  <si>
    <t>119,374</t>
  </si>
  <si>
    <t>15,412</t>
  </si>
  <si>
    <t>99,852</t>
  </si>
  <si>
    <t>21,420</t>
  </si>
  <si>
    <t>85,465</t>
  </si>
  <si>
    <t>30,658</t>
  </si>
  <si>
    <t>232,940.168627845</t>
  </si>
  <si>
    <t>0.283718843415697</t>
  </si>
  <si>
    <t>9,317</t>
  </si>
  <si>
    <t>22,673</t>
  </si>
  <si>
    <t>22,027.8</t>
  </si>
  <si>
    <t>31.7741640149439</t>
  </si>
  <si>
    <t>1.19491516534864</t>
  </si>
  <si>
    <t>0.25279660350895</t>
  </si>
  <si>
    <t>0.0696187946942288</t>
  </si>
  <si>
    <t>7.23341161051183</t>
  </si>
  <si>
    <t>BP.L,mscalc:totalCoverFixedChargeRatioInferredRatingAgency,2012FY,,FYR,,,WORK</t>
  </si>
  <si>
    <t>BP.L,mscalc:priceToBookValue,2009FY</t>
  </si>
  <si>
    <t>BP.L,mscalc:freeCashFlowYieldRatioForConsensus,2009FY</t>
  </si>
  <si>
    <t>BP.L,mstag:dailyProductionTotalCompanyMmboePerDay,2006FY</t>
  </si>
  <si>
    <t>BP.L,mstag:dailyProductionTotalCompanyMmboePerDay,2009FY</t>
  </si>
  <si>
    <t>BP.L,mscalc:dividendYield,2007FY</t>
  </si>
  <si>
    <t>BP.L,mscalc:priceToBookValue,2015FY</t>
  </si>
  <si>
    <t>BP.L,mscalc:priceToEarnings,2008FY</t>
  </si>
  <si>
    <t>BP.L,mscalc:evEbida,2009FY</t>
  </si>
  <si>
    <t>BP.L,mstag:dailyProductionTotalCompanyMmboePerDay,2008FY</t>
  </si>
  <si>
    <t>BP.L,mscalc:evnopat,2009FY</t>
  </si>
  <si>
    <t>BP.L,mscalc:priceToEarnings,2015FY</t>
  </si>
  <si>
    <t>BP.L,mscalc:evrevenue,2009FY</t>
  </si>
  <si>
    <t>BP.L,mscalc:evrevenue,2006FY</t>
  </si>
  <si>
    <t>BP.L,mscalc:freeCashFlowYieldRatioForConsensus,2008FY</t>
  </si>
  <si>
    <t>BP.L,mscalc:dilutedEarningsPerShare,2008FY</t>
  </si>
  <si>
    <t>BP.L,mscalc:dividendYield,2008FY</t>
  </si>
  <si>
    <t>BP.L,mscalc:returnOnAverageEquityForConsensus,2008FY</t>
  </si>
  <si>
    <t>BP.L,mscalc:returnOnAverageEquityForConsensus,2006FY</t>
  </si>
  <si>
    <t>BP.L,mscalc:dividendsPerShareCalc,2008FY</t>
  </si>
  <si>
    <t>BP.L,mscalc:netIncome,2006FY</t>
  </si>
  <si>
    <t>BP.L,mscalc:returnOnAverageEquityForConsensus,2007FY</t>
  </si>
  <si>
    <t>BP.L,mscalc:evrevenue,2007FY</t>
  </si>
  <si>
    <t>BP.L,mscalc:evrevenue,2008FY</t>
  </si>
  <si>
    <t>BP.L,mscalc:evToEbitda,2008FY</t>
  </si>
  <si>
    <t>BP.L,mscalc:evToNoa,2008FY</t>
  </si>
  <si>
    <t>BP.L,mscalc:netDebtAsif,2007FY</t>
  </si>
  <si>
    <t>BP.L,mscalc:priceToEarnings,2007FY</t>
  </si>
  <si>
    <t>BP.L,mscalc:dividendsPerShareCalc,2007FY</t>
  </si>
  <si>
    <t>BP.L,mscalc:pretaxOperatingprofitptopForReconcilaition,2006FY</t>
  </si>
  <si>
    <t>BP.L,mscalc:dilutedEarningsPerShare,2007FY</t>
  </si>
  <si>
    <t>BP.L,mscalc:evToNoa,2009FY</t>
  </si>
  <si>
    <t>BP.L,mscalc:evnopat,2015FY</t>
  </si>
  <si>
    <t>BP.L,mscalc:evToNoa,2006FY</t>
  </si>
  <si>
    <t>BP.L,mscalc:evToEbitda,2006FY</t>
  </si>
  <si>
    <t>BP.L,mscalc:netIncome,2007FY</t>
  </si>
  <si>
    <t>BP.L,mscalc:bookValuePerShare,2006FY</t>
  </si>
  <si>
    <t>BP.L,mscalc:pretaxOperatingprofitptopForReconcilaition,2007FY</t>
  </si>
  <si>
    <t>BP.L,mscalc:returnOnNetOperatingAssetsExcludingAdjustments2calc,2008FY</t>
  </si>
  <si>
    <t>BP.L,mscalc:bookValuePerShare,2007FY</t>
  </si>
  <si>
    <t>BP.L,mscalc:evnopat,2008FY</t>
  </si>
  <si>
    <t>BP.L,mscalc:evToNoa,2007FY</t>
  </si>
  <si>
    <t>BP.L,mscalc:evToEbitda,2015FY</t>
  </si>
  <si>
    <t>BP.L,mscalc:evEbida,2015FY</t>
  </si>
  <si>
    <t>BP.L,mscalc:netDebtAsif,2009FY</t>
  </si>
  <si>
    <t>BP.L,mscalc:evToEbitda,2007FY</t>
  </si>
  <si>
    <t>BP.L,mscalc:evEbida,2007FY</t>
  </si>
  <si>
    <t>BP.L,mscalc:priceToBookValue,2007FY</t>
  </si>
  <si>
    <t>BP.L,mscalc:bookValuePerShare,2009FY</t>
  </si>
  <si>
    <t>BP.L,mscalc:evEbida,2006FY</t>
  </si>
  <si>
    <t>BP.L,mscalc:evToNoa,2015FY</t>
  </si>
  <si>
    <t>BP.L,mscalc:netDebtAsif,2008FY</t>
  </si>
  <si>
    <t>BP.L,mscalc:bookValuePerShare,2008FY</t>
  </si>
  <si>
    <t>BP.L,mscalc:priceToEarnings,2009FY</t>
  </si>
  <si>
    <t>BP.L,mscalc:freeCashFlowYieldRatioForConsensus,2015FY</t>
  </si>
  <si>
    <t>BP.L,mscalc:priceToEarnings,2006FY</t>
  </si>
  <si>
    <t>Total assets</t>
  </si>
  <si>
    <t>Trade and other payables</t>
  </si>
  <si>
    <t>BP</t>
  </si>
  <si>
    <t>BP.L,mscalc:nopatExcludingAdjustments2,2015FY,,FYR,,,WORK</t>
  </si>
  <si>
    <t>BP.L,mscalc:dividendPayoutRatioForConsensus,2015FY,,FYR,,,HOLD</t>
  </si>
  <si>
    <t>Probable Development</t>
  </si>
  <si>
    <t>Ultra Deepwater</t>
  </si>
  <si>
    <t>Medium oil</t>
  </si>
  <si>
    <t>BP.L,msuser:cmWorkingCapitalSales20051031T1238209890,2011FY,,FYR</t>
  </si>
  <si>
    <t>BP.L,mscalc:effectiveTaxRate,2012FY,,FYR</t>
  </si>
  <si>
    <t>BP.L,mscalc:operatingAssetTurnoverExcludingAdjustments2calc,2006FY,,FYR</t>
  </si>
  <si>
    <t>Stavropolneftegaz Fields</t>
  </si>
  <si>
    <t>Tomskneft Fields</t>
  </si>
  <si>
    <t>Varyngskoye</t>
  </si>
  <si>
    <t>YuganskNG Other Fields</t>
  </si>
  <si>
    <t>Yurubcheno-Tokhomskoye</t>
  </si>
  <si>
    <t>BP Share in Rosneft</t>
  </si>
  <si>
    <t>EAI - Algeria</t>
  </si>
  <si>
    <t>BP.L,mscalc:totalCoverFixedChargeRatioInferredRatingAgency,2013FY,,FYR,,,WORK</t>
  </si>
  <si>
    <t>BP.L,mscalc:netDebtToEBITDAForConsensus,2015FY,,FYR,,,WORK</t>
  </si>
  <si>
    <t>BP.L,mscalc:operatingAssetTurnoverExcludingAdjustments2calc,2014FY,,FYR,,,WORK</t>
  </si>
  <si>
    <t>BP.L,mscalc:capexsales,2012FY,,FYR,,,WORK</t>
  </si>
  <si>
    <t>BP.L,mscalc:returnOnAverageEquityForConsensus,2006FY,,FYR,,,HOLD</t>
  </si>
  <si>
    <t>Earnings per share</t>
  </si>
  <si>
    <t>Payout ratio</t>
  </si>
  <si>
    <t>Number of shares</t>
  </si>
  <si>
    <t>Total dividends declared</t>
  </si>
  <si>
    <t>Interest expense</t>
  </si>
  <si>
    <t>Total debt</t>
  </si>
  <si>
    <t>Effective interest rate</t>
  </si>
  <si>
    <t>Inventories</t>
  </si>
  <si>
    <t>Cash and cash equivalents</t>
  </si>
  <si>
    <t>Western Indonesia</t>
  </si>
  <si>
    <t>Other Asia</t>
  </si>
  <si>
    <t>Total Asia</t>
  </si>
  <si>
    <t>Australasia</t>
  </si>
  <si>
    <t>Other Australasia</t>
  </si>
  <si>
    <t>BP.L,mscalc:daysPayableOutstanding,2009FY,,FYR</t>
  </si>
  <si>
    <t>BP.L,mscalc:interestExpenseNet,2015FY,,FYR,,,HOLD</t>
  </si>
  <si>
    <t>BP.L,mscalc:interestExpenseNet,2006FY,,FYR</t>
  </si>
  <si>
    <t>BP.L,msuser:cmGrossprofitforconsensus20080605T2347008189,2010FY,,FYR</t>
  </si>
  <si>
    <t>BP.L,mstag:cashDividendsPaid,2007FY,,FYR,,,HOLD</t>
  </si>
  <si>
    <t>BP.L,mscalc:returnOnAverageEquityForConsensus,2013FY,,FYR,,,HOLD</t>
  </si>
  <si>
    <t>BP.L,mscalc:freeCashFlowForConsensus,2015FY,,FYR,,,HOLD</t>
  </si>
  <si>
    <t>of which outside of Russia - reported in FAS-69</t>
  </si>
  <si>
    <t>BP.L,mstag:costOfSalesWithDepreciation,2010FY,,FYR,,,WORK</t>
  </si>
  <si>
    <t>BP.L,mscalc:totalCoverFixedChargeRatioInferredRatingAgency,2013FY,,FYR,,,HOLD</t>
  </si>
  <si>
    <t>BP.L,mscalc:capexsales,2013FY,,FYR,,,HOLD</t>
  </si>
  <si>
    <t>BP.L,mscalc:currentRatio,2007FY,,FYR,,,HOLD</t>
  </si>
  <si>
    <t>BP.L,mscalc:marketCapitalization,2014FY,,FYR,USD</t>
  </si>
  <si>
    <t>BP.L,mscalc:netOperatingAssetsExcludingAdjustments2,2011FY,,FYR</t>
  </si>
  <si>
    <t>BP.L,mscalc:priceToEarningsBeforeOperatingLeaseAdjustments,2007FY,,FYR</t>
  </si>
  <si>
    <t>BP.L,mscalc:capitalExpendituresToDepreciationRatioExcludingOperatingLeaseAdjustments,2007FY,,FYR</t>
  </si>
  <si>
    <t>BP.L,mscalc:currentRatio,2009FY,,FYR</t>
  </si>
  <si>
    <t>.</t>
  </si>
  <si>
    <t>9,874.69407289031</t>
  </si>
  <si>
    <t>0.214853839949</t>
  </si>
  <si>
    <t>1,039.10215826816</t>
  </si>
  <si>
    <t>25,880.2043650692</t>
  </si>
  <si>
    <t>377,566.217181704</t>
  </si>
  <si>
    <t>BP.L,mscalc:shareholdersEquityExcludingAdjustments2,2012FY,,FYR,,,WORK</t>
  </si>
  <si>
    <t>Net cash (used in) provided by financing activities</t>
  </si>
  <si>
    <t>Currency translation differences relating to cash and cash equivalents</t>
  </si>
  <si>
    <t>BP.L,mscalc:netOperatingAssetsExcludingAdjustments2,2014FY,,FYR</t>
  </si>
  <si>
    <t>BP.L,mscalc:marketCapitalization,2008FY,,FYR,USD</t>
  </si>
  <si>
    <t>BP.L,mstag:costOfSalesWithDepreciation,2011FY,,FYR</t>
  </si>
  <si>
    <t>BP.L,mscalc:capitalExpendituresToDepreciationRatioExcludingOperatingLeaseAdjustments,2010FY,,FYR,,,HOLD</t>
  </si>
  <si>
    <t>BP.L,mscalc:netDebtToEBITDAForConsensus,2008FY,,FYR,,,HOLD</t>
  </si>
  <si>
    <t>BP.L,mscalc:dividendPayoutRatioForConsensus,2007FY,,FYR,,,HOLD</t>
  </si>
  <si>
    <t>BP.L,mscalc:capitalExpendituresToDepreciationRatioExcludingOperatingLeaseAdjustments,2011FY,,FYR,,,HOLD</t>
  </si>
  <si>
    <t>(1,732.19342464197)</t>
  </si>
  <si>
    <t>0.107019205454233</t>
  </si>
  <si>
    <t>Oil share of proved, developed reserves</t>
  </si>
  <si>
    <t>BP.L,mscalc:shareholdersEquityExcludingAdjustments2,2008FY,,FYR,,,HOLD</t>
  </si>
  <si>
    <t>BP.L,mscalc:marketCapitalization,2008FY,,FYR,USD,,HOLD</t>
  </si>
  <si>
    <t>BP.L,mscalc:operatingRevenueForConsensus,2015FY,,FYR,,,HOLD</t>
  </si>
  <si>
    <t>BP.L,mscalc:netDebtAsif,2011FY,,FYR,,,HOLD</t>
  </si>
  <si>
    <t>BP.L,mscalc:marketCapitalization,2012FY,,FYR,USD,,HOLD</t>
  </si>
  <si>
    <t>BP.L,mscalc:returnOnNetOperatingAssetsExcludingAdjustments2calc,2010FY,,FYR,,,HOLD</t>
  </si>
  <si>
    <t>BP.L,mscalc:tangibleOperatingAssetTurnover,2012FY,,FYR,,,HOLD</t>
  </si>
  <si>
    <t>BP.L,mstag:costOfSalesWithoutDepreciation,2010FY,,FYR,,,HOLD</t>
  </si>
  <si>
    <t>0.199740122363289</t>
  </si>
  <si>
    <t>5,289.295671</t>
  </si>
  <si>
    <t>177,995.677564458</t>
  </si>
  <si>
    <t>BP.L,mscalc:bookValuePerShare,2013FY</t>
  </si>
  <si>
    <t>BP.L,mscalc:freeCashFlowYieldRatioForConsensus,2013FY</t>
  </si>
  <si>
    <t>BP.L,mscalc:priceToEarnings,2012FY</t>
  </si>
  <si>
    <t>BP.L,mscalc:returnOnNetOperatingAssetsExcludingAdjustments2calc,2013FY,,FYR,,,HOLD</t>
  </si>
  <si>
    <t>BP.L,mscalc:currentRatio,2015FY,,FYR,,,WORK</t>
  </si>
  <si>
    <t>Reformulated balance sheet</t>
  </si>
  <si>
    <t>Operating assets</t>
  </si>
  <si>
    <t>Operating liabilities</t>
  </si>
  <si>
    <t>Movements in inventories and other current and non-current assets and liabilities</t>
  </si>
  <si>
    <t>Draugen Area</t>
  </si>
  <si>
    <t>BP GFC Eagle Ford Hawkville Condensate SHG TX Fee*</t>
  </si>
  <si>
    <t>BP GFC Eagle Ford Maverick Condensate SHG TX Fee*</t>
  </si>
  <si>
    <t>BP GFC Eagle Ford Southwest Gas SHG TX Fee*</t>
  </si>
  <si>
    <t>Grozneftegaz</t>
  </si>
  <si>
    <t>Krasnodarneftegaz</t>
  </si>
  <si>
    <t>SeverEnergia</t>
  </si>
  <si>
    <t>Sibneftegaz</t>
  </si>
  <si>
    <t>Srednebotuobinskoye</t>
  </si>
  <si>
    <t>Vankorskoye</t>
  </si>
  <si>
    <t>Severnaya Neft</t>
  </si>
  <si>
    <t>Cash flow per barrel</t>
  </si>
  <si>
    <t>WM</t>
  </si>
  <si>
    <t>Reported net income - US$</t>
  </si>
  <si>
    <t>BP share</t>
  </si>
  <si>
    <t>Reported net income (from Rosneft model)</t>
  </si>
  <si>
    <t>F'cast</t>
  </si>
  <si>
    <t>Suggested</t>
  </si>
  <si>
    <t>Development capex</t>
  </si>
  <si>
    <t>Dividend discount model</t>
  </si>
  <si>
    <t>Development cost incurred per barrel produced</t>
  </si>
  <si>
    <t>Petrochemicals</t>
  </si>
  <si>
    <t>Reported in 'Segments'</t>
  </si>
  <si>
    <t>Underlying replacement cost profit (loss) before interest and tax</t>
  </si>
  <si>
    <t>Marketing sales of refined products (mb/d)</t>
  </si>
  <si>
    <t>Trading/supply sales of refined products</t>
  </si>
  <si>
    <t>Total sales volumes of refined products</t>
  </si>
  <si>
    <t>Petrochemicals production (kte)</t>
  </si>
  <si>
    <t>Volumes</t>
  </si>
  <si>
    <t>Refining margins</t>
  </si>
  <si>
    <t>US North West Coast</t>
  </si>
  <si>
    <t>US South West Coast</t>
  </si>
  <si>
    <t>Profits per unit of volume</t>
  </si>
  <si>
    <t>Fuels (profit per barrel)</t>
  </si>
  <si>
    <t>Petrochemicals (profit per tonne)</t>
  </si>
  <si>
    <t>RMM</t>
  </si>
  <si>
    <t>Profit/bbl</t>
  </si>
  <si>
    <t>Comment</t>
  </si>
  <si>
    <t>Model for Fuels profit/bbl based on RMM</t>
  </si>
  <si>
    <t>Share</t>
  </si>
  <si>
    <t>Share of sales volume that is refined</t>
  </si>
  <si>
    <t>Very strong trading result</t>
  </si>
  <si>
    <t>Strong trading result</t>
  </si>
  <si>
    <t>Forward curve</t>
  </si>
  <si>
    <t>Company assumptions</t>
  </si>
  <si>
    <t>Price target case</t>
  </si>
  <si>
    <t>Oil price ($/bbl)</t>
  </si>
  <si>
    <t>Target RRR</t>
  </si>
  <si>
    <t>Finding cost per barrel ($/bbl)</t>
  </si>
  <si>
    <t>Development cost per barrel ($/bbl)</t>
  </si>
  <si>
    <t>Total oil and gas production from EAIs</t>
  </si>
  <si>
    <t xml:space="preserve">Total oil and gas production </t>
  </si>
  <si>
    <t>Long-term production growth target</t>
  </si>
  <si>
    <t>Required capex</t>
  </si>
  <si>
    <t>Production per year (ex Russia)</t>
  </si>
  <si>
    <t>Intra-year adjustment excl Rosneft</t>
  </si>
  <si>
    <t>Non-W/C related items in line 143</t>
  </si>
  <si>
    <t>Implied ∆ net working capital</t>
  </si>
  <si>
    <t>Cash taxes paid vs tax expense</t>
  </si>
  <si>
    <t>ROACE</t>
  </si>
  <si>
    <t>ROACE - reported</t>
  </si>
  <si>
    <t>ROACE - on replacement basis</t>
  </si>
  <si>
    <t>Milne Point*</t>
  </si>
  <si>
    <t>Nizhnevartovsk NP</t>
  </si>
  <si>
    <t>North Chaivo</t>
  </si>
  <si>
    <t>TNK-Nizhnevartovsk</t>
  </si>
  <si>
    <t>Yermakovskoye</t>
  </si>
  <si>
    <t>NOT USED</t>
  </si>
  <si>
    <t>ADCO CA (1939-2014)</t>
  </si>
  <si>
    <t>Liberty</t>
  </si>
  <si>
    <t>Mad Dog*</t>
  </si>
  <si>
    <t>Rijn*</t>
  </si>
  <si>
    <t>Krasnolenin (RN-Nyagan)</t>
  </si>
  <si>
    <t>Midstream and other activities after tax - NA, SA and Asia</t>
  </si>
  <si>
    <t>Midstream and other activities - Russia</t>
  </si>
  <si>
    <t>Midstream and other activities - Other</t>
  </si>
  <si>
    <t>Midstream and other activities</t>
  </si>
  <si>
    <t>Cash conv</t>
  </si>
  <si>
    <t>Cash conversion</t>
  </si>
  <si>
    <t>St dev</t>
  </si>
  <si>
    <t>Median</t>
  </si>
  <si>
    <t>Adjusted for:</t>
  </si>
  <si>
    <t>and: associates</t>
  </si>
  <si>
    <t>Clean water act penalty</t>
  </si>
  <si>
    <t>Natural resource damages</t>
  </si>
  <si>
    <t>State claims</t>
  </si>
  <si>
    <t>Estancia La Escondida+</t>
  </si>
  <si>
    <t>KK-EL/PC*</t>
  </si>
  <si>
    <t>29/04D (Liuhua 11-1)*</t>
  </si>
  <si>
    <t>Cupiagua*</t>
  </si>
  <si>
    <t>West Nile Delta Fields*</t>
  </si>
  <si>
    <t>WM ($)</t>
  </si>
  <si>
    <t>Rouble/$ average</t>
  </si>
  <si>
    <t>of which - BP Ex Rosneft/TNK BP</t>
  </si>
  <si>
    <t>excluding Russia</t>
  </si>
  <si>
    <t>Req. exploration cost incurred ($ bn)</t>
  </si>
  <si>
    <t>Req. development cost incurred ($ bn)</t>
  </si>
  <si>
    <t>F+D</t>
  </si>
  <si>
    <t>Subsea and EOR</t>
  </si>
  <si>
    <t>Length</t>
  </si>
  <si>
    <t>Keith*</t>
  </si>
  <si>
    <t>Net debt to CFFO</t>
  </si>
  <si>
    <t>Capex per boe produced</t>
  </si>
  <si>
    <t>Upstream</t>
  </si>
  <si>
    <t>BP ALT Haynesville Carthage SHG TX Fee*</t>
  </si>
  <si>
    <t>Mexico</t>
  </si>
  <si>
    <t>BP ALT Haynesville Shelby Trough SHG TX Fee*</t>
  </si>
  <si>
    <t>Company definition</t>
  </si>
  <si>
    <t>Fair value (asset) liability of hedges related to finance debt</t>
  </si>
  <si>
    <t>Adjusted Net Debt</t>
  </si>
  <si>
    <t>Adjusted Net debt to net debt+equity</t>
  </si>
  <si>
    <t>Provisions and other payables</t>
  </si>
  <si>
    <t>EAI - Norway</t>
  </si>
  <si>
    <t>Alvheim*</t>
  </si>
  <si>
    <t>Atla</t>
  </si>
  <si>
    <t>Bøyla*</t>
  </si>
  <si>
    <t>Enoch - Norway</t>
  </si>
  <si>
    <t>Garantiana</t>
  </si>
  <si>
    <t>Gina Krog Area</t>
  </si>
  <si>
    <t>Hanz*</t>
  </si>
  <si>
    <t>Ivar Aasen Area*</t>
  </si>
  <si>
    <t>Jette*</t>
  </si>
  <si>
    <t>Johan Sverdrup</t>
  </si>
  <si>
    <t>Varg &amp; Lilleulv</t>
  </si>
  <si>
    <t>Vilje*</t>
  </si>
  <si>
    <t>Volund*</t>
  </si>
  <si>
    <t>Europe (i.e. Aker BP in Norway)</t>
  </si>
  <si>
    <t>Decline</t>
  </si>
  <si>
    <t>New</t>
  </si>
  <si>
    <t>Guidance 2020</t>
  </si>
  <si>
    <t>Estimate</t>
  </si>
  <si>
    <t>Guidance</t>
  </si>
  <si>
    <t>BP's 'pre-tax FCF' measure</t>
  </si>
  <si>
    <t>'01</t>
  </si>
  <si>
    <t>'02</t>
  </si>
  <si>
    <t>'03</t>
  </si>
  <si>
    <t>'04</t>
  </si>
  <si>
    <t>'05</t>
  </si>
  <si>
    <t>'06</t>
  </si>
  <si>
    <t>'07</t>
  </si>
  <si>
    <t>'08</t>
  </si>
  <si>
    <t>'09</t>
  </si>
  <si>
    <t>'10</t>
  </si>
  <si>
    <t>'11</t>
  </si>
  <si>
    <t>'12</t>
  </si>
  <si>
    <t>'13</t>
  </si>
  <si>
    <t>'14</t>
  </si>
  <si>
    <t>'15</t>
  </si>
  <si>
    <t>'17e</t>
  </si>
  <si>
    <t>'18e</t>
  </si>
  <si>
    <t>Forward Curve</t>
  </si>
  <si>
    <t>Atoll*</t>
  </si>
  <si>
    <t>BP GFC Conventional GAS LA Fee*</t>
  </si>
  <si>
    <t>BP ADK Conventional GAS OK Fee*</t>
  </si>
  <si>
    <t>BP AKM Conventional GAS OK Fee*</t>
  </si>
  <si>
    <t>BP HUG Conventional GAS KS Fee*</t>
  </si>
  <si>
    <t>BP MID Conventional OIL TX Fee*</t>
  </si>
  <si>
    <t>BP GGR Conventional GAS WY Fed*</t>
  </si>
  <si>
    <t>Rosneft (TNK-BP before 1Q13)</t>
  </si>
  <si>
    <t>Criminal charge</t>
  </si>
  <si>
    <t>Known payments</t>
  </si>
  <si>
    <t>Other PSC (BEL, Opt outs)</t>
  </si>
  <si>
    <t>MDL2185</t>
  </si>
  <si>
    <t>Provisions and other payables, excl. 'Known payments'</t>
  </si>
  <si>
    <t>Tax over/(under)-paid</t>
  </si>
  <si>
    <t>Net deferred tax liability (excl. GoM spill)</t>
  </si>
  <si>
    <t>(Gains) losses on sales of assets</t>
  </si>
  <si>
    <t>CCS adjustment</t>
  </si>
  <si>
    <t xml:space="preserve">Profit attributable to shareholders </t>
  </si>
  <si>
    <t>Net impact of non-operating items</t>
  </si>
  <si>
    <t>Underlying replacement cost profit</t>
  </si>
  <si>
    <t>Net cash from operating activities</t>
  </si>
  <si>
    <t>(Increase) decrease in working capital</t>
  </si>
  <si>
    <t>Cash flow</t>
  </si>
  <si>
    <r>
      <t xml:space="preserve">Operating cash flow (excl. </t>
    </r>
    <r>
      <rPr>
        <sz val="8.5"/>
        <rFont val="Symbol"/>
        <family val="1"/>
        <charset val="2"/>
      </rPr>
      <t>D</t>
    </r>
    <r>
      <rPr>
        <sz val="10"/>
        <rFont val="Arial"/>
        <family val="2"/>
      </rPr>
      <t>w/c, incl. CCS adj.)</t>
    </r>
  </si>
  <si>
    <t>Earnings vs dividends from JVs</t>
  </si>
  <si>
    <t>Interest cost vs paid</t>
  </si>
  <si>
    <t>Interest receivable vs received</t>
  </si>
  <si>
    <t>Other Working capital</t>
  </si>
  <si>
    <t>Income tax expense</t>
  </si>
  <si>
    <t>Tax expensed vs paid</t>
  </si>
  <si>
    <t>From cash earnings to cash flow</t>
  </si>
  <si>
    <t>Post-tax cash flow</t>
  </si>
  <si>
    <t>Implied cash taxes received/(paid)</t>
  </si>
  <si>
    <t>Cash payment - pre-tax</t>
  </si>
  <si>
    <t>Finance cost (implicit part of cash payment)</t>
  </si>
  <si>
    <t>Net charge for finance cost, less payments</t>
  </si>
  <si>
    <t>Payment, net of expense</t>
  </si>
  <si>
    <t>Check: change in net liability</t>
  </si>
  <si>
    <t>Macondo payment, net of expense</t>
  </si>
  <si>
    <t>and: Macondo related cash flows</t>
  </si>
  <si>
    <t>Excl. Macondo payments</t>
  </si>
  <si>
    <t>NPV of future payments</t>
  </si>
  <si>
    <t>Undiscount sum of future payments</t>
  </si>
  <si>
    <t>EIA</t>
  </si>
  <si>
    <t>RUSSIA</t>
  </si>
  <si>
    <t>Incl. financing cost of Macondo liability</t>
  </si>
  <si>
    <t>Cusiana (Rio Chitamena)*</t>
  </si>
  <si>
    <t>Cusiana (Tauramena)*</t>
  </si>
  <si>
    <t>Cusiana Norte</t>
  </si>
  <si>
    <t>Angola LNG Gas Supply+</t>
  </si>
  <si>
    <t>BP AKM Fayetteville Enders Fault Hz SHG AR Fee*</t>
  </si>
  <si>
    <t>BP AKM Fayetteville Ozark Plateaus Hz SHG AR Fee*</t>
  </si>
  <si>
    <t>BP AKM Fayetteville River Valley Hz SHG AR Fee*</t>
  </si>
  <si>
    <t>BP AKM Fayetteville Van Buren Core Hz SHG AR Fee*</t>
  </si>
  <si>
    <t>BP AKM Fayetteville Washington Twp Hz SHG AR Fee*</t>
  </si>
  <si>
    <t>BP AKM Fayetteville White Fairway Hz SHG AR Fee*</t>
  </si>
  <si>
    <t>Oda</t>
  </si>
  <si>
    <t>Arundel*</t>
  </si>
  <si>
    <t>Vorlich*</t>
  </si>
  <si>
    <t>BP ADK Cleveland Hz OIL OK Fee*</t>
  </si>
  <si>
    <t>BP GGR Almond Hz TGS WY Fed*</t>
  </si>
  <si>
    <t>BP GGR Mesaverde Lewis Hz OIL WY Fed*</t>
  </si>
  <si>
    <t>BP SJN Fruitland Tier One Hz CBM CO Fee*</t>
  </si>
  <si>
    <t>BP SJN Mancos SHO NM Fed*</t>
  </si>
  <si>
    <t>Vankorneft Satellites</t>
  </si>
  <si>
    <t>ADCO Contract Area</t>
  </si>
  <si>
    <t>Eni</t>
  </si>
  <si>
    <t>Zohr*</t>
  </si>
  <si>
    <t>Adj effective tax rate</t>
  </si>
  <si>
    <t>Adjustment</t>
  </si>
  <si>
    <t>Coiron Amargo South+*</t>
  </si>
  <si>
    <t>Baroli</t>
  </si>
  <si>
    <t>Shearwater</t>
  </si>
  <si>
    <t>Milne Point Unit</t>
  </si>
  <si>
    <t>Prudhoe Bay Unit*</t>
  </si>
  <si>
    <t>Constellation (GC 627)</t>
  </si>
  <si>
    <t>Extended reach drilling (ERD) and HP/HT</t>
  </si>
  <si>
    <t>Zohr</t>
  </si>
  <si>
    <t>Midstream and other activities after tax</t>
  </si>
  <si>
    <t>Adj avg</t>
  </si>
  <si>
    <t>Seasonality in Fuels - profit per barrel</t>
  </si>
  <si>
    <t>Seasonality in Fuels - earnings</t>
  </si>
  <si>
    <t>PBT</t>
  </si>
  <si>
    <t>Tax</t>
  </si>
  <si>
    <t>Slope:</t>
  </si>
  <si>
    <t>Intercept:</t>
  </si>
  <si>
    <t>R^2:</t>
  </si>
  <si>
    <t>Pre-tax FCF</t>
  </si>
  <si>
    <t>Rule of thumb</t>
  </si>
  <si>
    <t>Normalised for RMM $14/bbl</t>
  </si>
  <si>
    <t>Refinery throughputs (kb/d)</t>
  </si>
  <si>
    <t>Hokchi</t>
  </si>
  <si>
    <t>Tortue*</t>
  </si>
  <si>
    <t>Mauritania</t>
  </si>
  <si>
    <t>Floating LNG (FLNG)</t>
  </si>
  <si>
    <t>Senegal</t>
  </si>
  <si>
    <t>Bashneft Delta*</t>
  </si>
  <si>
    <t>Bashneft Major Fields*</t>
  </si>
  <si>
    <t>Kondaneft Fields</t>
  </si>
  <si>
    <t>Trebs and Titov</t>
  </si>
  <si>
    <t>Junin 6</t>
  </si>
  <si>
    <t>EAI - Egypt</t>
  </si>
  <si>
    <t>Model ($)</t>
  </si>
  <si>
    <t>Diff</t>
  </si>
  <si>
    <t>$/£</t>
  </si>
  <si>
    <t>Nooros Fields</t>
  </si>
  <si>
    <t>Erginskoye*</t>
  </si>
  <si>
    <t>Prod</t>
  </si>
  <si>
    <t>Production 2016</t>
  </si>
  <si>
    <t>'16</t>
  </si>
  <si>
    <t>'19e</t>
  </si>
  <si>
    <t>8.03964</t>
  </si>
  <si>
    <t>Aguada Pichana Este</t>
  </si>
  <si>
    <t>Bandurria Centro*</t>
  </si>
  <si>
    <t>Khazzan*</t>
  </si>
  <si>
    <t>Lower Indus Other Fields+*</t>
  </si>
  <si>
    <t>Aguada de Castro*</t>
  </si>
  <si>
    <t>Aguada Pichana Oeste*</t>
  </si>
  <si>
    <t>Umar+*</t>
  </si>
  <si>
    <t>Sercan</t>
  </si>
  <si>
    <t>North Komsomolskoye (WS)</t>
  </si>
  <si>
    <t>Uvat Project</t>
  </si>
  <si>
    <t>Because of Mexico, Mauritiana and Senegal</t>
  </si>
  <si>
    <t>645</t>
  </si>
  <si>
    <t>Zinia 2</t>
  </si>
  <si>
    <t>NOAKA*</t>
  </si>
  <si>
    <t>Skogul*</t>
  </si>
  <si>
    <t>Bruce</t>
  </si>
  <si>
    <t>Seagull</t>
  </si>
  <si>
    <t>Because of Mexico</t>
  </si>
  <si>
    <t>Research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</si>
  <si>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</si>
  <si>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</si>
  <si>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</si>
  <si>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20 Bank Street, Canary Wharf</t>
  </si>
  <si>
    <t>London E14 4AD</t>
  </si>
  <si>
    <t>United Kingdom</t>
  </si>
  <si>
    <t>Tel: +44 (0)20 7425 8000</t>
  </si>
  <si>
    <t>Authors: Martijn Rats, Sasikanth Chilukuru, Robert Pulleyn, Daniel Swart</t>
  </si>
  <si>
    <t>Date: 16 Apr 2018</t>
  </si>
  <si>
    <t>Ticker: BP.L</t>
  </si>
  <si>
    <t>Stock Rating: Equal-Weight</t>
  </si>
  <si>
    <t>Industry: Integrated Oil &amp; Refining</t>
  </si>
  <si>
    <t>Industry View: Attractive</t>
  </si>
  <si>
    <t>Price as of 16 Apr 2018: 504.30</t>
  </si>
  <si>
    <t>Target Price: 550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</si>
  <si>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</si>
  <si>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</si>
  <si>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</si>
  <si>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</si>
  <si>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BP plc.</t>
  </si>
  <si>
    <t>STOCK RATINGS</t>
  </si>
  <si>
    <t>Global Stock Ratings Distribution</t>
  </si>
  <si>
    <t>(as of March 31,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</si>
  <si>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</si>
  <si>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</si>
  <si>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</si>
  <si>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</si>
  <si>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</si>
  <si>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</si>
  <si>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</si>
  <si>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</si>
  <si>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</si>
  <si>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</si>
  <si>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</si>
  <si>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</si>
  <si>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</si>
  <si>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</si>
  <si>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</si>
  <si>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</si>
  <si>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</si>
  <si>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</si>
  <si>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</si>
  <si>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</si>
  <si>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</si>
  <si>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</si>
  <si>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</si>
  <si>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</si>
  <si>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</si>
  <si>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</si>
  <si>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</si>
  <si>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</si>
  <si>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</si>
  <si>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</si>
  <si>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</si>
  <si>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</si>
  <si>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</si>
  <si>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</si>
  <si>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</si>
  <si>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</si>
  <si>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</si>
  <si>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</si>
  <si>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</si>
  <si>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</si>
  <si>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</si>
  <si>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</si>
  <si>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</si>
  <si>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</si>
  <si>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</si>
  <si>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</si>
  <si>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</si>
  <si>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</si>
  <si>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</si>
  <si>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</si>
  <si>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</si>
  <si>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</si>
  <si>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</si>
  <si>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</si>
  <si>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</si>
  <si>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</si>
  <si>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</si>
  <si>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</si>
  <si>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</si>
  <si>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</si>
  <si>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</si>
  <si>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</si>
  <si>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</si>
  <si>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</si>
  <si>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</si>
  <si>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</si>
  <si>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</si>
  <si>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</si>
  <si>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</si>
  <si>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</si>
  <si>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</si>
  <si>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</si>
  <si>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</si>
  <si>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</si>
  <si>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</si>
  <si>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</si>
  <si>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</si>
  <si>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</si>
  <si>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</si>
  <si>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</si>
  <si>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</si>
  <si>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</si>
  <si>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</si>
  <si>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</si>
  <si>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</si>
  <si>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</si>
  <si>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</si>
  <si>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</si>
  <si>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</si>
  <si>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</si>
  <si>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</si>
  <si>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</si>
  <si>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</si>
  <si>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</si>
  <si>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</si>
  <si>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</si>
  <si>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</si>
  <si>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</si>
  <si>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</si>
  <si>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</si>
  <si>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</si>
  <si>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</si>
  <si>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</si>
  <si>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</si>
  <si>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</si>
  <si>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</si>
  <si>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</si>
  <si>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</si>
  <si>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</si>
  <si>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</si>
  <si>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</si>
  <si>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</si>
  <si>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</si>
  <si>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</si>
  <si>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</si>
  <si>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</si>
  <si>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</si>
  <si>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</si>
  <si>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</si>
  <si>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</si>
  <si>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</si>
  <si>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</si>
  <si>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</si>
  <si>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</si>
  <si>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</si>
  <si>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</si>
  <si>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</si>
  <si>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</si>
  <si>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</si>
  <si>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</si>
  <si>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</si>
  <si>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</si>
  <si>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</si>
  <si>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</si>
  <si>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</si>
  <si>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</si>
  <si>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</si>
  <si>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</si>
  <si>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</si>
  <si>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</si>
  <si>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</si>
  <si>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</si>
  <si>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</si>
  <si>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</si>
  <si>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</si>
  <si>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</si>
  <si>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</si>
  <si>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</si>
  <si>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</si>
  <si>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</si>
  <si>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</si>
  <si>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</si>
  <si>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</si>
  <si>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</si>
  <si>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</si>
  <si>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</si>
  <si>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</si>
  <si>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</si>
  <si>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</si>
  <si>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</si>
  <si>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</si>
  <si>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</si>
  <si>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</si>
  <si>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</si>
  <si>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</si>
  <si>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</si>
  <si>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</si>
  <si>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</si>
  <si>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</si>
  <si>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</si>
  <si>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</si>
  <si>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&amp; Co. International PLC and its affiliates have a significant financial interest in the</t>
  </si>
  <si>
    <t>debt securities of BP plc.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</si>
  <si>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</si>
  <si>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</si>
  <si>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</si>
  <si>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</si>
  <si>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</si>
  <si>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</si>
  <si>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</si>
  <si>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</si>
  <si>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</si>
  <si>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</si>
  <si>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</si>
  <si>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</si>
  <si>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</si>
  <si>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</si>
  <si>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</si>
  <si>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</si>
  <si>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</si>
  <si>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</si>
  <si>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</si>
  <si>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</si>
  <si>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</si>
  <si>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</si>
  <si>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</si>
  <si>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</si>
  <si>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</si>
  <si>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</si>
  <si>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</si>
  <si>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</si>
  <si>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</si>
  <si>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</si>
  <si>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</si>
  <si>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</si>
  <si>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</si>
  <si>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</si>
  <si>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</si>
  <si>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</si>
  <si>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</si>
  <si>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</si>
  <si>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</si>
  <si>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</si>
  <si>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</si>
  <si>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</si>
  <si>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</si>
  <si>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</si>
  <si>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</si>
  <si>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</si>
  <si>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</si>
  <si>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</si>
  <si>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</si>
  <si>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</si>
  <si>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</si>
  <si>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</si>
  <si>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</si>
  <si>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</si>
  <si>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</si>
  <si>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</si>
  <si>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</si>
  <si>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</si>
  <si>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</si>
  <si>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</si>
  <si>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</si>
  <si>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</si>
  <si>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</si>
  <si>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</si>
  <si>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</si>
  <si>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</si>
  <si>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</si>
  <si>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</si>
  <si>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BP plc.</t>
  </si>
  <si>
    <t>Within the last 12 months, Morgan Stanley has provided or is providing investment banking services to,</t>
  </si>
  <si>
    <t>or has an investment banking client relationship with, the following company: BP plc.</t>
  </si>
  <si>
    <t>Within the last 12 months, Morgan Stanley has received compensation for products and services other than</t>
  </si>
  <si>
    <t>investment banking services from BP plc.</t>
  </si>
  <si>
    <t>In the next 3 months, Morgan Stanley expects to receive or intends to seek compensation for investment</t>
  </si>
  <si>
    <t>banking services from BP plc.</t>
  </si>
  <si>
    <t>Within the last 12 months, Morgan Stanley has received compensation for investment banking services from</t>
  </si>
  <si>
    <t>BP plc.</t>
  </si>
  <si>
    <t>Within the last 12 months, Morgan Stanley managed or co-managed a public offering (or 144A offering) of</t>
  </si>
  <si>
    <t>securities of BP plc.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</si>
  <si>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</si>
  <si>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</si>
  <si>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</si>
  <si>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</si>
  <si>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</si>
  <si>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Martijn Rats, CFA.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</si>
  <si>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</si>
  <si>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</si>
  <si>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</si>
  <si>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</si>
  <si>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</si>
  <si>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</si>
  <si>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</si>
  <si>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</si>
  <si>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</si>
  <si>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</si>
  <si>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Morgan Stanley &amp; Co. International plc, authorized by the Prudential Regulatory Authority and regulated</t>
  </si>
  <si>
    <t>by the Financial Conduct Authority and the Prudential Regulatory Authority, disseminates in the UK</t>
  </si>
  <si>
    <t>research that it has prepared, and approves solely for the purposes of section 21 of the Financial</t>
  </si>
  <si>
    <t>Services and Markets Act 2000, research which has been prepared by any of its affiliates. As used in</t>
  </si>
  <si>
    <t>this disclosure section, Morgan Stanley includes RMB Morgan Stanley Proprietary Limited, Morgan Stanley</t>
  </si>
  <si>
    <t>&amp; Co International plc and its affiliates.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</si>
  <si>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</si>
  <si>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</si>
  <si>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</si>
  <si>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</si>
  <si>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</si>
  <si>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</si>
  <si>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</si>
  <si>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</si>
  <si>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</si>
  <si>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DocType</t>
  </si>
  <si>
    <t>SubjectCode</t>
  </si>
  <si>
    <t>Description</t>
  </si>
  <si>
    <t>KeepVersions</t>
  </si>
  <si>
    <t>All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</si>
  <si>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</si>
  <si>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</si>
  <si>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</si>
  <si>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</si>
  <si>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</si>
  <si>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</si>
  <si>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</si>
  <si>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</si>
  <si>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</si>
  <si>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</si>
  <si>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</si>
  <si>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</si>
  <si>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</si>
  <si>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 xml:space="preserve"> 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</si>
  <si>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</si>
  <si>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</si>
  <si>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</si>
  <si>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</si>
  <si>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</si>
  <si>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</si>
  <si>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</si>
  <si>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</si>
  <si>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</si>
  <si>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</si>
  <si>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</si>
  <si>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</si>
  <si>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</si>
  <si>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</si>
  <si>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</si>
  <si>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</si>
  <si>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</si>
  <si>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</si>
  <si>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</si>
  <si>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</si>
  <si>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</si>
  <si>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</si>
  <si>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</si>
  <si>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Equal-Weight / Attractive</t>
  </si>
  <si>
    <t>Regular Update</t>
  </si>
  <si>
    <t>saherm</t>
  </si>
  <si>
    <t>MSA11548, MSA12869, MSA12299, MSA78CVL</t>
  </si>
  <si>
    <t>L:\OIL\Martijn\Companies\BP\Model\Valuation model - BP_1Q18_publish.xlsm</t>
  </si>
  <si>
    <t>[BRO MSA]</t>
  </si>
  <si>
    <t>[PRODUCT MODEL]</t>
  </si>
  <si>
    <t>[EMAIL_ALERT YES]</t>
  </si>
  <si>
    <t>[DISCIPLINE Company]</t>
  </si>
  <si>
    <t>[SUPPRESSED NO]</t>
  </si>
  <si>
    <t>[DOCDAT 2018-04-16]</t>
  </si>
  <si>
    <t>[DOCTIME 02:57]</t>
  </si>
  <si>
    <t>[PSYM BP.L(S&amp;P) (None)]</t>
  </si>
  <si>
    <t>[COU 36]</t>
  </si>
  <si>
    <t>[ANA MSA12869 MSA12299 MSA78CVL]</t>
  </si>
  <si>
    <t>[HL BP.L Model]</t>
  </si>
  <si>
    <t>[IND OILDOM OILCOM OILWEL OILSUB]</t>
  </si>
  <si>
    <t>[PANA MSA11548]</t>
  </si>
  <si>
    <r>
      <t xml:space="preserve">This workbook contains formulas which </t>
    </r>
    <r>
      <rPr>
        <u/>
        <sz val="14"/>
        <rFont val="Arial"/>
        <family val="2"/>
      </rPr>
      <t>intentionally</t>
    </r>
    <r>
      <rPr>
        <sz val="14"/>
        <rFont val="Arial"/>
        <family val="2"/>
      </rPr>
      <t xml:space="preserve"> use circular reference calculation. These calculations can be resolved as intended by the originating analyst by selecting the Apply Circular Settings button below.</t>
    </r>
  </si>
  <si>
    <r>
      <t xml:space="preserve">This workbook contains formulas which </t>
    </r>
    <r>
      <rPr>
        <u/>
        <sz val="14"/>
        <rFont val="Arial"/>
        <family val="2"/>
      </rPr>
      <t>intentionally</t>
    </r>
    <r>
      <rPr>
        <sz val="14"/>
        <rFont val="Arial"/>
        <family val="2"/>
      </rPr>
      <t xml:space="preserve"> use circular reference calculation. These calculations can be resolved as intended by the originating analyst by applying the following settings in the Tools &gt;&gt; Options &gt;&gt; Calculation dialog box:</t>
    </r>
  </si>
  <si>
    <t>Clicking the Apply Circular Settings button will display the model worksheets and make the following settings changes in the Tools &gt;&gt; Options &gt;&gt; Calculation dialog box:</t>
  </si>
  <si>
    <t>1) Select the Iteration check box</t>
  </si>
  <si>
    <t>Failure to apply these settings can result in incorrect calculation or unexpected termination of your Microsoft Excel session.</t>
  </si>
  <si>
    <t>2) Set Maximum Iterations = 100</t>
  </si>
  <si>
    <t>3) Set Maximum Change = 0.001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</si>
</sst>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1">
    <numFmt numFmtId="164" formatCode="_(&quot;£&quot;* #,##0.00_);_(&quot;£&quot;* \(#,##0.00\);_(&quot;£&quot;* &quot;-&quot;??_);_(@_)"/>
    <numFmt numFmtId="165" formatCode="_(* #,##0.00_);_(* \(#,##0.00\);_(* &quot;-&quot;??_);_(@_)"/>
    <numFmt numFmtId="166" formatCode="_(* #,##0_);_(* \(#,##0\);_(* &quot;-&quot;??_);_(@_)"/>
    <numFmt numFmtId="167" formatCode="#,##0.0_);\-#,##0.0_);\-_)"/>
    <numFmt numFmtId="168" formatCode="_(* #,##0.0_);_(* \(#,##0.0\);_(* &quot;-&quot;??_);_(@_)"/>
    <numFmt numFmtId="169" formatCode="#,##0_);\-#,##0_);\-_)"/>
    <numFmt numFmtId="170" formatCode="0.0%"/>
    <numFmt numFmtId="171" formatCode="_(* #,##0.0000_);_(* \(#,##0.0000\);_(* &quot;-&quot;??_);_(@_)"/>
    <numFmt numFmtId="172" formatCode="[$-409]d\-mmm\-yy;@"/>
    <numFmt numFmtId="173" formatCode="#,##0.0;\-#,##0.0"/>
    <numFmt numFmtId="174" formatCode="#,##0.00_);\-#,##0.00_);\-_)"/>
    <numFmt numFmtId="175" formatCode="_ * #,##0_ ;_ * \-#,##0_ ;_ * &quot;-&quot;_ ;_ @_ "/>
    <numFmt numFmtId="176" formatCode="#,###\p"/>
    <numFmt numFmtId="177" formatCode="@&quot;E&quot;"/>
    <numFmt numFmtId="178" formatCode="0&quot;E&quot;"/>
    <numFmt numFmtId="179" formatCode="[$€-413]\ #,##0.0_-"/>
    <numFmt numFmtId="180" formatCode="_(* #,##0.000_);_(* \(#,##0.000\);_(* &quot;-&quot;??_);_(@_)"/>
    <numFmt numFmtId="181" formatCode="_-* #,##0_-;\-* #,##0_-;_-* &quot;-&quot;??_-;_-@_-"/>
    <numFmt numFmtId="182" formatCode="_-* #,##0.0_-;\-* #,##0.0_-;_-* &quot;-&quot;??_-;_-@_-"/>
    <numFmt numFmtId="183" formatCode="#,##0.000_);\-#,##0.000_);\-_)"/>
    <numFmt numFmtId="184" formatCode="mm/dd/yy\ hh:mm"/>
  </numFmts>
  <fonts count="76">
    <font>
      <sz val="1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1"/>
      <color indexed="9"/>
      <name val="Verdana"/>
      <family val="2"/>
    </font>
    <font>
      <sz val="14"/>
      <color indexed="9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54"/>
      <name val="Arial"/>
      <family val="2"/>
    </font>
    <font>
      <sz val="10"/>
      <color indexed="23"/>
      <name val="Arial"/>
      <family val="2"/>
    </font>
    <font>
      <sz val="10"/>
      <name val="Arial"/>
      <family val="2"/>
    </font>
    <font>
      <sz val="10"/>
      <color indexed="23"/>
      <name val="Arial"/>
      <family val="2"/>
    </font>
    <font>
      <b/>
      <sz val="10"/>
      <color indexed="23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i/>
      <sz val="10"/>
      <color indexed="8"/>
      <name val="Arial"/>
      <family val="2"/>
    </font>
    <font>
      <sz val="10"/>
      <color indexed="10"/>
      <name val="Arial"/>
      <family val="2"/>
    </font>
    <font>
      <b/>
      <sz val="10"/>
      <color indexed="23"/>
      <name val="Arial"/>
      <family val="2"/>
    </font>
    <font>
      <i/>
      <sz val="10"/>
      <color indexed="10"/>
      <name val="Arial"/>
      <family val="2"/>
    </font>
    <font>
      <b/>
      <sz val="10"/>
      <name val="Arial"/>
      <family val="2"/>
    </font>
    <font>
      <i/>
      <sz val="10"/>
      <color indexed="23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u/>
      <sz val="8.5"/>
      <color indexed="12"/>
      <name val="Arial"/>
      <family val="2"/>
    </font>
    <font>
      <i/>
      <sz val="10"/>
      <color indexed="23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10"/>
      <name val="Arial"/>
      <family val="2"/>
    </font>
    <font>
      <sz val="10"/>
      <color indexed="22"/>
      <name val="Arial"/>
      <family val="2"/>
    </font>
    <font>
      <sz val="10"/>
      <color indexed="8"/>
      <name val="Arial"/>
      <family val="2"/>
    </font>
    <font>
      <sz val="11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Times New Roman"/>
      <family val="1"/>
    </font>
    <font>
      <sz val="9"/>
      <name val="Times New Roman"/>
      <family val="1"/>
    </font>
    <font>
      <sz val="10"/>
      <color indexed="8"/>
      <name val="Times New Roman"/>
      <family val="1"/>
    </font>
    <font>
      <sz val="8"/>
      <name val="Arial"/>
      <family val="2"/>
    </font>
    <font>
      <sz val="10"/>
      <name val="MS Sans Serif"/>
      <family val="2"/>
    </font>
    <font>
      <i/>
      <sz val="8"/>
      <name val="Times New Roman"/>
      <family val="1"/>
    </font>
    <font>
      <sz val="10"/>
      <color indexed="22"/>
      <name val="Arial"/>
      <family val="2"/>
    </font>
    <font>
      <sz val="12"/>
      <name val="바탕체"/>
      <family val="1"/>
      <charset val="129"/>
    </font>
    <font>
      <sz val="8"/>
      <color indexed="8"/>
      <name val="Arial"/>
      <family val="2"/>
    </font>
    <font>
      <sz val="14"/>
      <name val="Arial"/>
      <family val="2"/>
    </font>
    <font>
      <b/>
      <sz val="10"/>
      <color indexed="10"/>
      <name val="Arial"/>
      <family val="2"/>
    </font>
    <font>
      <sz val="8.5"/>
      <name val="Symbol"/>
      <family val="1"/>
      <charset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0"/>
      <color theme="0" tint="-0.499984740745262"/>
      <name val="Arial"/>
      <family val="2"/>
    </font>
    <font>
      <sz val="10"/>
      <color theme="0" tint="-0.14999847407452621"/>
      <name val="Arial"/>
      <family val="2"/>
    </font>
    <font>
      <b/>
      <sz val="10"/>
      <color theme="0" tint="-0.499984740745262"/>
      <name val="Arial"/>
      <family val="2"/>
    </font>
    <font>
      <i/>
      <sz val="10"/>
      <color theme="0" tint="-0.499984740745262"/>
      <name val="Arial"/>
      <family val="2"/>
    </font>
    <font>
      <b/>
      <sz val="10"/>
      <color rgb="FFFF0000"/>
      <name val="Arial"/>
      <family val="2"/>
    </font>
    <font>
      <b/>
      <sz val="10"/>
      <color theme="6" tint="-0.249977111117893"/>
      <name val="Arial"/>
      <family val="2"/>
    </font>
    <font>
      <sz val="10"/>
      <color theme="0"/>
      <name val="Arial"/>
      <family val="2"/>
    </font>
    <font>
      <sz val="11"/>
      <color rgb="FF9C0006"/>
      <name val="Calibri"/>
      <family val="2"/>
      <scheme val="minor"/>
    </font>
    <font>
      <b/>
      <i/>
      <sz val="10"/>
      <name val="Arial"/>
      <family val="2"/>
    </font>
    <font>
      <b/>
      <sz val="10"/>
      <color theme="1"/>
      <name val="Arial"/>
      <family val="2"/>
    </font>
    <font>
      <sz val="10"/>
      <color theme="0" tint="-0.249977111117893"/>
      <name val="Arial"/>
      <family val="2"/>
    </font>
    <font>
      <u/>
      <sz val="10"/>
      <color rgb="FF0070C0"/>
      <name val="Arial"/>
      <family val="2"/>
    </font>
    <font>
      <i/>
      <sz val="10"/>
      <color theme="0" tint="-0.34998626667073579"/>
      <name val="Arial"/>
      <family val="2"/>
    </font>
    <font>
      <sz val="10"/>
      <color theme="0" tint="-0.34998626667073579"/>
      <name val="Arial"/>
      <family val="2"/>
    </font>
    <font>
      <sz val="10"/>
      <color theme="5"/>
      <name val="Arial"/>
      <family val="2"/>
    </font>
    <font>
      <sz val="10"/>
      <color rgb="FFC00000"/>
      <name val="Arial"/>
      <family val="2"/>
    </font>
    <font>
      <sz val="10"/>
      <name val="Courier"/>
      <family val="3"/>
    </font>
    <font>
      <sz val="10"/>
      <color rgb="FF000000"/>
      <name val="Arial"/>
      <family val="2"/>
    </font>
    <font>
      <b/>
      <sz val="12"/>
      <color rgb="FF000080"/>
      <name val="Arial"/>
      <family val="2"/>
    </font>
    <font>
      <u/>
      <sz val="14"/>
      <name val="Arial"/>
      <family val="2"/>
    </font>
    <font>
      <b/>
      <u/>
      <sz val="14"/>
      <color indexed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6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31">
    <xf numFmtId="169" fontId="0" fillId="0" borderId="0" applyNumberFormat="0" applyFont="0" applyFill="0" applyBorder="0" applyAlignment="0"/>
    <xf numFmtId="0" fontId="2" fillId="0" borderId="0" applyNumberFormat="0" applyFill="0" applyBorder="0" applyAlignment="0" applyProtection="0"/>
    <xf numFmtId="0" fontId="2" fillId="0" borderId="0"/>
    <xf numFmtId="0" fontId="2" fillId="0" borderId="0"/>
    <xf numFmtId="0" fontId="40" fillId="0" borderId="0"/>
    <xf numFmtId="0" fontId="40" fillId="0" borderId="0"/>
    <xf numFmtId="0" fontId="40" fillId="0" borderId="0"/>
    <xf numFmtId="0" fontId="2" fillId="2" borderId="0" applyNumberFormat="0" applyFont="0" applyBorder="0" applyAlignment="0" applyProtection="0"/>
    <xf numFmtId="0" fontId="36" fillId="0" borderId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0" fontId="2" fillId="0" borderId="0"/>
    <xf numFmtId="169" fontId="11" fillId="0" borderId="0" applyNumberFormat="0" applyFont="0" applyFill="0" applyBorder="0" applyAlignment="0"/>
    <xf numFmtId="169" fontId="2" fillId="0" borderId="0" applyNumberFormat="0" applyFont="0" applyFill="0" applyBorder="0" applyAlignment="0"/>
    <xf numFmtId="0" fontId="2" fillId="0" borderId="0"/>
    <xf numFmtId="0" fontId="2" fillId="0" borderId="0"/>
    <xf numFmtId="0" fontId="37" fillId="0" borderId="0">
      <alignment vertical="center"/>
    </xf>
    <xf numFmtId="9" fontId="2" fillId="0" borderId="0" applyFont="0" applyFill="0" applyBorder="0" applyAlignment="0" applyProtection="0"/>
    <xf numFmtId="0" fontId="38" fillId="0" borderId="0"/>
    <xf numFmtId="0" fontId="38" fillId="0" borderId="4">
      <alignment horizontal="centerContinuous"/>
    </xf>
    <xf numFmtId="0" fontId="41" fillId="0" borderId="4"/>
    <xf numFmtId="175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69" fontId="2" fillId="0" borderId="0" applyNumberFormat="0" applyFont="0" applyFill="0" applyBorder="0" applyAlignment="0"/>
    <xf numFmtId="169" fontId="2" fillId="0" borderId="0" applyNumberFormat="0" applyFont="0" applyFill="0" applyBorder="0" applyAlignment="0"/>
    <xf numFmtId="169" fontId="2" fillId="0" borderId="0" applyNumberFormat="0" applyFont="0" applyFill="0" applyBorder="0" applyAlignment="0"/>
    <xf numFmtId="165" fontId="2" fillId="0" borderId="0" applyFont="0" applyFill="0" applyBorder="0" applyAlignment="0" applyProtection="0"/>
    <xf numFmtId="0" fontId="62" fillId="6" borderId="0" applyNumberFormat="0" applyBorder="0" applyAlignment="0" applyProtection="0"/>
    <xf numFmtId="164" fontId="2" fillId="0" borderId="0" applyFont="0" applyFill="0" applyBorder="0" applyAlignment="0" applyProtection="0"/>
    <xf numFmtId="0" fontId="71" fillId="0" borderId="0"/>
  </cellStyleXfs>
  <cellXfs count="787">
    <xf numFmtId="169" fontId="0" fillId="0" borderId="0" xfId="0"/>
    <xf numFmtId="166" fontId="0" fillId="3" borderId="0" xfId="0" applyNumberFormat="1" applyFill="1" applyAlignment="1"/>
    <xf numFmtId="166" fontId="3" fillId="3" borderId="0" xfId="0" applyNumberFormat="1" applyFont="1" applyFill="1" applyAlignment="1">
      <alignment vertical="center"/>
    </xf>
    <xf numFmtId="166" fontId="4" fillId="3" borderId="0" xfId="0" applyNumberFormat="1" applyFont="1" applyFill="1" applyAlignment="1">
      <alignment horizontal="center" vertical="center"/>
    </xf>
    <xf numFmtId="0" fontId="0" fillId="0" borderId="0" xfId="0" applyNumberFormat="1" applyAlignment="1"/>
    <xf numFmtId="166" fontId="0" fillId="0" borderId="0" xfId="0" applyNumberFormat="1" applyAlignment="1"/>
    <xf numFmtId="0" fontId="6" fillId="0" borderId="0" xfId="0" applyNumberFormat="1" applyFont="1" applyAlignment="1">
      <alignment horizontal="left" vertical="center"/>
    </xf>
    <xf numFmtId="0" fontId="7" fillId="0" borderId="0" xfId="0" applyNumberFormat="1" applyFont="1" applyAlignment="1"/>
    <xf numFmtId="166" fontId="7" fillId="0" borderId="0" xfId="0" applyNumberFormat="1" applyFont="1" applyAlignment="1"/>
    <xf numFmtId="0" fontId="8" fillId="0" borderId="0" xfId="0" applyNumberFormat="1" applyFont="1" applyAlignment="1"/>
    <xf numFmtId="0" fontId="0" fillId="3" borderId="0" xfId="0" applyNumberFormat="1" applyFill="1" applyAlignment="1"/>
    <xf numFmtId="169" fontId="0" fillId="0" borderId="0" xfId="0" applyAlignment="1"/>
    <xf numFmtId="166" fontId="10" fillId="0" borderId="0" xfId="0" applyNumberFormat="1" applyFont="1" applyAlignment="1"/>
    <xf numFmtId="166" fontId="11" fillId="0" borderId="0" xfId="0" applyNumberFormat="1" applyFont="1" applyAlignment="1"/>
    <xf numFmtId="0" fontId="7" fillId="0" borderId="3" xfId="0" applyNumberFormat="1" applyFont="1" applyBorder="1" applyAlignment="1"/>
    <xf numFmtId="166" fontId="7" fillId="0" borderId="3" xfId="0" applyNumberFormat="1" applyFont="1" applyBorder="1" applyAlignment="1"/>
    <xf numFmtId="166" fontId="13" fillId="0" borderId="3" xfId="0" applyNumberFormat="1" applyFont="1" applyBorder="1" applyAlignment="1"/>
    <xf numFmtId="166" fontId="7" fillId="0" borderId="5" xfId="0" applyNumberFormat="1" applyFont="1" applyBorder="1" applyAlignment="1"/>
    <xf numFmtId="166" fontId="13" fillId="0" borderId="5" xfId="0" applyNumberFormat="1" applyFont="1" applyBorder="1" applyAlignment="1"/>
    <xf numFmtId="166" fontId="13" fillId="0" borderId="0" xfId="0" applyNumberFormat="1" applyFont="1" applyAlignment="1"/>
    <xf numFmtId="169" fontId="5" fillId="3" borderId="0" xfId="0" applyFont="1" applyFill="1" applyAlignment="1"/>
    <xf numFmtId="169" fontId="3" fillId="3" borderId="0" xfId="0" applyFont="1" applyFill="1" applyAlignment="1"/>
    <xf numFmtId="169" fontId="2" fillId="0" borderId="0" xfId="0" applyFont="1" applyAlignment="1"/>
    <xf numFmtId="169" fontId="15" fillId="0" borderId="0" xfId="0" applyFont="1" applyAlignment="1">
      <alignment horizontal="left" vertical="center"/>
    </xf>
    <xf numFmtId="169" fontId="8" fillId="0" borderId="0" xfId="0" applyFont="1" applyAlignment="1"/>
    <xf numFmtId="168" fontId="2" fillId="0" borderId="0" xfId="9" applyNumberFormat="1" applyFont="1" applyAlignment="1"/>
    <xf numFmtId="168" fontId="8" fillId="0" borderId="0" xfId="9" applyNumberFormat="1" applyFont="1" applyAlignment="1"/>
    <xf numFmtId="167" fontId="16" fillId="0" borderId="0" xfId="0" applyNumberFormat="1" applyFont="1" applyAlignment="1">
      <alignment horizontal="left" vertical="top" wrapText="1"/>
    </xf>
    <xf numFmtId="167" fontId="17" fillId="0" borderId="0" xfId="0" applyNumberFormat="1" applyFont="1" applyAlignment="1">
      <alignment horizontal="left" vertical="top" wrapText="1"/>
    </xf>
    <xf numFmtId="166" fontId="8" fillId="0" borderId="0" xfId="0" applyNumberFormat="1" applyFont="1" applyAlignment="1"/>
    <xf numFmtId="167" fontId="18" fillId="0" borderId="0" xfId="0" applyNumberFormat="1" applyFont="1" applyAlignment="1">
      <alignment horizontal="left" vertical="top" wrapText="1"/>
    </xf>
    <xf numFmtId="0" fontId="3" fillId="3" borderId="0" xfId="0" applyNumberFormat="1" applyFont="1" applyFill="1" applyAlignment="1">
      <alignment horizontal="right"/>
    </xf>
    <xf numFmtId="0" fontId="3" fillId="3" borderId="0" xfId="0" applyNumberFormat="1" applyFont="1" applyFill="1" applyAlignment="1">
      <alignment horizontal="right" vertical="center"/>
    </xf>
    <xf numFmtId="0" fontId="9" fillId="3" borderId="0" xfId="0" applyNumberFormat="1" applyFont="1" applyFill="1" applyAlignment="1">
      <alignment horizontal="right"/>
    </xf>
    <xf numFmtId="0" fontId="3" fillId="3" borderId="0" xfId="0" applyNumberFormat="1" applyFont="1" applyFill="1" applyAlignment="1">
      <alignment horizontal="left" vertical="center"/>
    </xf>
    <xf numFmtId="0" fontId="2" fillId="0" borderId="0" xfId="0" applyNumberFormat="1" applyFont="1" applyAlignment="1"/>
    <xf numFmtId="169" fontId="0" fillId="3" borderId="0" xfId="0" applyFill="1" applyAlignment="1"/>
    <xf numFmtId="169" fontId="3" fillId="3" borderId="0" xfId="0" applyFont="1" applyFill="1" applyAlignment="1">
      <alignment vertical="center"/>
    </xf>
    <xf numFmtId="167" fontId="16" fillId="0" borderId="0" xfId="0" applyNumberFormat="1" applyFont="1" applyAlignment="1">
      <alignment vertical="top" wrapText="1"/>
    </xf>
    <xf numFmtId="169" fontId="7" fillId="0" borderId="0" xfId="0" applyFont="1" applyAlignment="1"/>
    <xf numFmtId="167" fontId="18" fillId="0" borderId="0" xfId="0" applyNumberFormat="1" applyFont="1" applyAlignment="1">
      <alignment vertical="top" wrapText="1"/>
    </xf>
    <xf numFmtId="167" fontId="17" fillId="0" borderId="0" xfId="0" applyNumberFormat="1" applyFont="1" applyAlignment="1">
      <alignment vertical="top" wrapText="1"/>
    </xf>
    <xf numFmtId="169" fontId="6" fillId="0" borderId="0" xfId="0" applyFont="1" applyAlignment="1">
      <alignment horizontal="left" vertical="center"/>
    </xf>
    <xf numFmtId="166" fontId="0" fillId="2" borderId="0" xfId="0" applyNumberFormat="1" applyFill="1" applyAlignment="1"/>
    <xf numFmtId="169" fontId="0" fillId="2" borderId="0" xfId="0" applyFill="1" applyAlignment="1"/>
    <xf numFmtId="169" fontId="4" fillId="3" borderId="0" xfId="0" applyFont="1" applyFill="1" applyAlignment="1">
      <alignment horizontal="center" vertical="center"/>
    </xf>
    <xf numFmtId="169" fontId="7" fillId="0" borderId="3" xfId="0" applyFont="1" applyBorder="1" applyAlignment="1"/>
    <xf numFmtId="169" fontId="11" fillId="0" borderId="0" xfId="0" applyFont="1" applyAlignment="1"/>
    <xf numFmtId="169" fontId="19" fillId="0" borderId="0" xfId="0" applyFont="1" applyAlignment="1"/>
    <xf numFmtId="166" fontId="19" fillId="0" borderId="0" xfId="0" applyNumberFormat="1" applyFont="1" applyAlignment="1"/>
    <xf numFmtId="169" fontId="0" fillId="0" borderId="0" xfId="0" applyBorder="1"/>
    <xf numFmtId="169" fontId="0" fillId="1" borderId="0" xfId="0" applyFill="1" applyAlignment="1"/>
    <xf numFmtId="169" fontId="7" fillId="1" borderId="0" xfId="0" applyFont="1" applyFill="1" applyAlignment="1"/>
    <xf numFmtId="169" fontId="7" fillId="1" borderId="3" xfId="0" applyFont="1" applyFill="1" applyBorder="1" applyAlignment="1"/>
    <xf numFmtId="169" fontId="7" fillId="0" borderId="0" xfId="0" applyFont="1" applyFill="1" applyAlignment="1"/>
    <xf numFmtId="169" fontId="0" fillId="0" borderId="0" xfId="0" applyFill="1" applyAlignment="1"/>
    <xf numFmtId="169" fontId="11" fillId="0" borderId="0" xfId="0" applyFont="1" applyFill="1" applyAlignment="1"/>
    <xf numFmtId="167" fontId="16" fillId="2" borderId="0" xfId="0" applyNumberFormat="1" applyFont="1" applyFill="1" applyAlignment="1">
      <alignment vertical="top" wrapText="1"/>
    </xf>
    <xf numFmtId="167" fontId="16" fillId="2" borderId="0" xfId="0" applyNumberFormat="1" applyFont="1" applyFill="1" applyAlignment="1">
      <alignment vertical="top"/>
    </xf>
    <xf numFmtId="169" fontId="0" fillId="0" borderId="0" xfId="0" applyNumberFormat="1" applyAlignment="1"/>
    <xf numFmtId="169" fontId="2" fillId="0" borderId="0" xfId="0" applyNumberFormat="1" applyFont="1" applyAlignment="1"/>
    <xf numFmtId="169" fontId="7" fillId="0" borderId="0" xfId="0" applyNumberFormat="1" applyFont="1" applyAlignment="1"/>
    <xf numFmtId="169" fontId="8" fillId="0" borderId="0" xfId="0" applyNumberFormat="1" applyFont="1" applyAlignment="1"/>
    <xf numFmtId="167" fontId="16" fillId="0" borderId="0" xfId="0" applyNumberFormat="1" applyFont="1" applyFill="1" applyAlignment="1">
      <alignment horizontal="left" vertical="top" wrapText="1"/>
    </xf>
    <xf numFmtId="169" fontId="11" fillId="1" borderId="0" xfId="0" applyFont="1" applyFill="1" applyAlignment="1"/>
    <xf numFmtId="166" fontId="10" fillId="0" borderId="0" xfId="9" applyNumberFormat="1" applyFont="1" applyAlignment="1"/>
    <xf numFmtId="166" fontId="20" fillId="0" borderId="0" xfId="0" applyNumberFormat="1" applyFont="1" applyAlignment="1"/>
    <xf numFmtId="166" fontId="20" fillId="0" borderId="3" xfId="0" applyNumberFormat="1" applyFont="1" applyBorder="1" applyAlignment="1"/>
    <xf numFmtId="169" fontId="10" fillId="0" borderId="0" xfId="0" applyFont="1" applyAlignment="1"/>
    <xf numFmtId="169" fontId="0" fillId="0" borderId="0" xfId="0" applyFont="1" applyAlignment="1"/>
    <xf numFmtId="165" fontId="0" fillId="0" borderId="0" xfId="0" applyNumberFormat="1" applyAlignment="1"/>
    <xf numFmtId="166" fontId="21" fillId="0" borderId="0" xfId="0" applyNumberFormat="1" applyFont="1" applyAlignment="1"/>
    <xf numFmtId="166" fontId="0" fillId="1" borderId="0" xfId="0" applyNumberFormat="1" applyFill="1" applyAlignment="1"/>
    <xf numFmtId="166" fontId="7" fillId="1" borderId="0" xfId="0" applyNumberFormat="1" applyFont="1" applyFill="1" applyAlignment="1"/>
    <xf numFmtId="166" fontId="7" fillId="1" borderId="3" xfId="0" applyNumberFormat="1" applyFont="1" applyFill="1" applyBorder="1" applyAlignment="1"/>
    <xf numFmtId="0" fontId="7" fillId="0" borderId="0" xfId="0" applyNumberFormat="1" applyFont="1" applyBorder="1" applyAlignment="1"/>
    <xf numFmtId="166" fontId="7" fillId="0" borderId="0" xfId="0" applyNumberFormat="1" applyFont="1" applyBorder="1" applyAlignment="1"/>
    <xf numFmtId="166" fontId="13" fillId="2" borderId="1" xfId="9" applyNumberFormat="1" applyFont="1" applyFill="1" applyBorder="1" applyAlignment="1"/>
    <xf numFmtId="166" fontId="7" fillId="0" borderId="0" xfId="9" applyNumberFormat="1" applyFont="1" applyAlignment="1"/>
    <xf numFmtId="169" fontId="13" fillId="0" borderId="0" xfId="0" applyFont="1" applyAlignment="1"/>
    <xf numFmtId="169" fontId="20" fillId="0" borderId="0" xfId="0" applyFont="1" applyAlignment="1"/>
    <xf numFmtId="169" fontId="20" fillId="0" borderId="3" xfId="0" applyFont="1" applyBorder="1" applyAlignment="1"/>
    <xf numFmtId="169" fontId="10" fillId="1" borderId="0" xfId="0" applyFont="1" applyFill="1" applyAlignment="1"/>
    <xf numFmtId="169" fontId="20" fillId="1" borderId="0" xfId="0" applyFont="1" applyFill="1" applyAlignment="1"/>
    <xf numFmtId="169" fontId="20" fillId="1" borderId="3" xfId="0" applyFont="1" applyFill="1" applyBorder="1" applyAlignment="1"/>
    <xf numFmtId="165" fontId="10" fillId="0" borderId="0" xfId="0" applyNumberFormat="1" applyFont="1" applyAlignment="1"/>
    <xf numFmtId="169" fontId="12" fillId="0" borderId="0" xfId="0" applyFont="1" applyAlignment="1"/>
    <xf numFmtId="166" fontId="12" fillId="2" borderId="1" xfId="9" applyNumberFormat="1" applyFont="1" applyFill="1" applyBorder="1" applyAlignment="1"/>
    <xf numFmtId="166" fontId="11" fillId="0" borderId="0" xfId="9" applyNumberFormat="1" applyFont="1" applyAlignment="1"/>
    <xf numFmtId="169" fontId="13" fillId="0" borderId="3" xfId="0" applyFont="1" applyBorder="1" applyAlignment="1"/>
    <xf numFmtId="166" fontId="22" fillId="0" borderId="0" xfId="9" applyNumberFormat="1" applyFont="1" applyAlignment="1"/>
    <xf numFmtId="166" fontId="20" fillId="0" borderId="5" xfId="0" applyNumberFormat="1" applyFont="1" applyBorder="1" applyAlignment="1"/>
    <xf numFmtId="166" fontId="23" fillId="0" borderId="0" xfId="0" applyNumberFormat="1" applyFont="1" applyAlignment="1"/>
    <xf numFmtId="166" fontId="10" fillId="1" borderId="0" xfId="0" applyNumberFormat="1" applyFont="1" applyFill="1" applyAlignment="1"/>
    <xf numFmtId="166" fontId="13" fillId="1" borderId="0" xfId="0" applyNumberFormat="1" applyFont="1" applyFill="1" applyAlignment="1"/>
    <xf numFmtId="166" fontId="8" fillId="1" borderId="0" xfId="0" applyNumberFormat="1" applyFont="1" applyFill="1" applyAlignment="1"/>
    <xf numFmtId="169" fontId="2" fillId="1" borderId="0" xfId="0" applyFont="1" applyFill="1" applyAlignment="1"/>
    <xf numFmtId="169" fontId="22" fillId="0" borderId="0" xfId="0" applyFont="1" applyAlignment="1"/>
    <xf numFmtId="169" fontId="24" fillId="0" borderId="0" xfId="0" applyFont="1" applyAlignment="1"/>
    <xf numFmtId="169" fontId="24" fillId="1" borderId="0" xfId="0" applyFont="1" applyFill="1" applyAlignment="1"/>
    <xf numFmtId="169" fontId="22" fillId="0" borderId="3" xfId="0" applyFont="1" applyBorder="1" applyAlignment="1"/>
    <xf numFmtId="167" fontId="8" fillId="0" borderId="0" xfId="0" applyNumberFormat="1" applyFont="1" applyAlignment="1"/>
    <xf numFmtId="169" fontId="0" fillId="1" borderId="3" xfId="0" applyFill="1" applyBorder="1" applyAlignment="1"/>
    <xf numFmtId="167" fontId="16" fillId="0" borderId="0" xfId="0" applyNumberFormat="1" applyFont="1" applyAlignment="1">
      <alignment horizontal="left" vertical="top"/>
    </xf>
    <xf numFmtId="168" fontId="0" fillId="0" borderId="0" xfId="0" applyNumberFormat="1" applyAlignment="1"/>
    <xf numFmtId="169" fontId="9" fillId="3" borderId="0" xfId="0" applyFont="1" applyFill="1" applyAlignment="1">
      <alignment horizontal="right"/>
    </xf>
    <xf numFmtId="165" fontId="11" fillId="0" borderId="0" xfId="0" applyNumberFormat="1" applyFont="1" applyAlignment="1"/>
    <xf numFmtId="166" fontId="12" fillId="0" borderId="0" xfId="0" applyNumberFormat="1" applyFont="1" applyAlignment="1"/>
    <xf numFmtId="166" fontId="2" fillId="0" borderId="0" xfId="9" applyNumberFormat="1" applyAlignment="1"/>
    <xf numFmtId="168" fontId="10" fillId="0" borderId="0" xfId="9" applyNumberFormat="1" applyFont="1" applyAlignment="1"/>
    <xf numFmtId="168" fontId="2" fillId="0" borderId="0" xfId="9" applyNumberFormat="1" applyAlignment="1"/>
    <xf numFmtId="168" fontId="10" fillId="2" borderId="1" xfId="9" applyNumberFormat="1" applyFont="1" applyFill="1" applyBorder="1" applyAlignment="1"/>
    <xf numFmtId="168" fontId="10" fillId="0" borderId="0" xfId="9" applyNumberFormat="1" applyFont="1" applyAlignment="1">
      <alignment horizontal="right"/>
    </xf>
    <xf numFmtId="166" fontId="21" fillId="0" borderId="0" xfId="9" applyNumberFormat="1" applyFont="1" applyAlignment="1"/>
    <xf numFmtId="168" fontId="10" fillId="0" borderId="0" xfId="0" applyNumberFormat="1" applyFont="1" applyAlignment="1"/>
    <xf numFmtId="166" fontId="0" fillId="0" borderId="0" xfId="9" applyNumberFormat="1" applyFont="1" applyAlignment="1"/>
    <xf numFmtId="9" fontId="0" fillId="0" borderId="0" xfId="18" applyFont="1" applyAlignment="1"/>
    <xf numFmtId="9" fontId="10" fillId="0" borderId="0" xfId="18" applyFont="1" applyAlignment="1"/>
    <xf numFmtId="9" fontId="0" fillId="2" borderId="1" xfId="18" applyFont="1" applyFill="1" applyBorder="1" applyAlignment="1"/>
    <xf numFmtId="168" fontId="0" fillId="0" borderId="0" xfId="9" applyNumberFormat="1" applyFont="1" applyAlignment="1"/>
    <xf numFmtId="168" fontId="0" fillId="2" borderId="1" xfId="9" applyNumberFormat="1" applyFont="1" applyFill="1" applyBorder="1" applyAlignment="1"/>
    <xf numFmtId="0" fontId="11" fillId="0" borderId="0" xfId="0" applyNumberFormat="1" applyFont="1" applyAlignment="1"/>
    <xf numFmtId="166" fontId="20" fillId="0" borderId="0" xfId="0" applyNumberFormat="1" applyFont="1" applyBorder="1" applyAlignment="1"/>
    <xf numFmtId="169" fontId="0" fillId="0" borderId="0" xfId="0" quotePrefix="1" applyAlignment="1"/>
    <xf numFmtId="169" fontId="7" fillId="0" borderId="0" xfId="0" quotePrefix="1" applyFont="1" applyAlignment="1"/>
    <xf numFmtId="170" fontId="0" fillId="0" borderId="0" xfId="18" applyNumberFormat="1" applyFont="1" applyAlignment="1"/>
    <xf numFmtId="168" fontId="11" fillId="2" borderId="1" xfId="9" applyNumberFormat="1" applyFont="1" applyFill="1" applyBorder="1" applyAlignment="1"/>
    <xf numFmtId="9" fontId="11" fillId="2" borderId="1" xfId="18" applyFont="1" applyFill="1" applyBorder="1" applyAlignment="1"/>
    <xf numFmtId="167" fontId="25" fillId="0" borderId="0" xfId="15" applyNumberFormat="1" applyFont="1" applyAlignment="1">
      <alignment vertical="top" wrapText="1"/>
    </xf>
    <xf numFmtId="0" fontId="26" fillId="0" borderId="0" xfId="15" applyFont="1"/>
    <xf numFmtId="0" fontId="26" fillId="0" borderId="0" xfId="0" applyNumberFormat="1" applyFont="1" applyAlignment="1"/>
    <xf numFmtId="0" fontId="24" fillId="0" borderId="0" xfId="0" applyNumberFormat="1" applyFont="1" applyAlignment="1"/>
    <xf numFmtId="0" fontId="24" fillId="0" borderId="0" xfId="15" applyFont="1"/>
    <xf numFmtId="167" fontId="16" fillId="2" borderId="0" xfId="15" applyNumberFormat="1" applyFont="1" applyFill="1" applyAlignment="1">
      <alignment vertical="top"/>
    </xf>
    <xf numFmtId="169" fontId="3" fillId="3" borderId="0" xfId="0" applyFont="1" applyFill="1" applyAlignment="1">
      <alignment horizontal="left" vertical="center"/>
    </xf>
    <xf numFmtId="0" fontId="26" fillId="0" borderId="0" xfId="15" applyFont="1" applyAlignment="1">
      <alignment horizontal="left"/>
    </xf>
    <xf numFmtId="0" fontId="24" fillId="0" borderId="0" xfId="15" applyFont="1" applyAlignment="1">
      <alignment horizontal="left"/>
    </xf>
    <xf numFmtId="0" fontId="0" fillId="0" borderId="0" xfId="0" applyNumberFormat="1" applyFill="1" applyAlignment="1"/>
    <xf numFmtId="166" fontId="0" fillId="0" borderId="0" xfId="0" applyNumberFormat="1" applyFill="1" applyAlignment="1"/>
    <xf numFmtId="166" fontId="0" fillId="2" borderId="1" xfId="0" applyNumberFormat="1" applyFill="1" applyBorder="1" applyAlignment="1"/>
    <xf numFmtId="166" fontId="7" fillId="1" borderId="0" xfId="9" applyNumberFormat="1" applyFont="1" applyFill="1" applyAlignment="1"/>
    <xf numFmtId="0" fontId="11" fillId="0" borderId="0" xfId="0" applyNumberFormat="1" applyFont="1" applyBorder="1" applyAlignment="1"/>
    <xf numFmtId="9" fontId="11" fillId="0" borderId="0" xfId="18" applyFont="1" applyAlignment="1"/>
    <xf numFmtId="166" fontId="0" fillId="1" borderId="0" xfId="9" applyNumberFormat="1" applyFont="1" applyFill="1" applyAlignment="1"/>
    <xf numFmtId="166" fontId="11" fillId="2" borderId="1" xfId="0" applyNumberFormat="1" applyFont="1" applyFill="1" applyBorder="1" applyAlignment="1"/>
    <xf numFmtId="166" fontId="21" fillId="0" borderId="0" xfId="0" applyNumberFormat="1" applyFont="1" applyAlignment="1">
      <alignment horizontal="right"/>
    </xf>
    <xf numFmtId="9" fontId="12" fillId="0" borderId="0" xfId="18" applyFont="1" applyBorder="1" applyAlignment="1"/>
    <xf numFmtId="166" fontId="0" fillId="2" borderId="1" xfId="9" applyNumberFormat="1" applyFont="1" applyFill="1" applyBorder="1" applyAlignment="1"/>
    <xf numFmtId="0" fontId="7" fillId="0" borderId="0" xfId="0" applyNumberFormat="1" applyFont="1" applyFill="1" applyAlignment="1"/>
    <xf numFmtId="168" fontId="0" fillId="1" borderId="0" xfId="9" applyNumberFormat="1" applyFont="1" applyFill="1" applyAlignment="1"/>
    <xf numFmtId="9" fontId="0" fillId="1" borderId="0" xfId="18" applyFont="1" applyFill="1" applyAlignment="1"/>
    <xf numFmtId="169" fontId="3" fillId="3" borderId="0" xfId="0" applyFont="1" applyFill="1" applyAlignment="1">
      <alignment horizontal="right"/>
    </xf>
    <xf numFmtId="165" fontId="11" fillId="0" borderId="0" xfId="9" applyFont="1" applyAlignment="1"/>
    <xf numFmtId="169" fontId="3" fillId="3" borderId="0" xfId="0" applyFont="1" applyFill="1" applyAlignment="1">
      <alignment horizontal="left"/>
    </xf>
    <xf numFmtId="169" fontId="3" fillId="3" borderId="0" xfId="0" applyFont="1" applyFill="1" applyAlignment="1">
      <alignment horizontal="center"/>
    </xf>
    <xf numFmtId="168" fontId="11" fillId="0" borderId="0" xfId="9" applyNumberFormat="1" applyFont="1" applyAlignment="1"/>
    <xf numFmtId="168" fontId="2" fillId="1" borderId="0" xfId="9" applyNumberFormat="1" applyFill="1" applyAlignment="1"/>
    <xf numFmtId="166" fontId="28" fillId="0" borderId="0" xfId="0" applyNumberFormat="1" applyFont="1" applyAlignment="1"/>
    <xf numFmtId="168" fontId="2" fillId="0" borderId="0" xfId="0" applyNumberFormat="1" applyFont="1" applyAlignment="1"/>
    <xf numFmtId="166" fontId="2" fillId="3" borderId="0" xfId="16" applyNumberFormat="1" applyFill="1" applyAlignment="1"/>
    <xf numFmtId="166" fontId="3" fillId="3" borderId="0" xfId="16" applyNumberFormat="1" applyFont="1" applyFill="1" applyAlignment="1">
      <alignment vertical="center"/>
    </xf>
    <xf numFmtId="166" fontId="4" fillId="3" borderId="0" xfId="16" applyNumberFormat="1" applyFont="1" applyFill="1" applyAlignment="1">
      <alignment horizontal="center" vertical="center"/>
    </xf>
    <xf numFmtId="166" fontId="5" fillId="3" borderId="0" xfId="16" applyNumberFormat="1" applyFont="1" applyFill="1" applyAlignment="1"/>
    <xf numFmtId="166" fontId="3" fillId="3" borderId="0" xfId="16" applyNumberFormat="1" applyFont="1" applyFill="1" applyAlignment="1"/>
    <xf numFmtId="0" fontId="2" fillId="0" borderId="0" xfId="16" applyNumberFormat="1" applyAlignment="1"/>
    <xf numFmtId="166" fontId="2" fillId="0" borderId="0" xfId="16" applyNumberFormat="1" applyAlignment="1"/>
    <xf numFmtId="0" fontId="7" fillId="0" borderId="0" xfId="16" applyNumberFormat="1" applyFont="1" applyAlignment="1"/>
    <xf numFmtId="0" fontId="2" fillId="0" borderId="0" xfId="16" applyAlignment="1"/>
    <xf numFmtId="165" fontId="2" fillId="0" borderId="0" xfId="16" applyNumberFormat="1" applyAlignment="1"/>
    <xf numFmtId="9" fontId="2" fillId="0" borderId="0" xfId="18" applyAlignment="1"/>
    <xf numFmtId="165" fontId="2" fillId="0" borderId="0" xfId="9" applyAlignment="1"/>
    <xf numFmtId="166" fontId="7" fillId="0" borderId="0" xfId="16" applyNumberFormat="1" applyFont="1" applyAlignment="1"/>
    <xf numFmtId="9" fontId="7" fillId="0" borderId="0" xfId="18" applyFont="1" applyAlignment="1"/>
    <xf numFmtId="166" fontId="2" fillId="0" borderId="0" xfId="0" applyNumberFormat="1" applyFont="1" applyAlignment="1"/>
    <xf numFmtId="166" fontId="7" fillId="0" borderId="3" xfId="0" applyNumberFormat="1" applyFont="1" applyFill="1" applyBorder="1" applyAlignment="1"/>
    <xf numFmtId="166" fontId="0" fillId="0" borderId="0" xfId="0" applyNumberFormat="1" applyBorder="1" applyAlignment="1"/>
    <xf numFmtId="166" fontId="10" fillId="0" borderId="0" xfId="0" applyNumberFormat="1" applyFont="1" applyBorder="1" applyAlignment="1"/>
    <xf numFmtId="166" fontId="13" fillId="0" borderId="3" xfId="0" applyNumberFormat="1" applyFont="1" applyFill="1" applyBorder="1" applyAlignment="1"/>
    <xf numFmtId="166" fontId="20" fillId="0" borderId="3" xfId="0" applyNumberFormat="1" applyFont="1" applyFill="1" applyBorder="1" applyAlignment="1"/>
    <xf numFmtId="166" fontId="7" fillId="0" borderId="0" xfId="0" applyNumberFormat="1" applyFont="1" applyFill="1" applyAlignment="1"/>
    <xf numFmtId="166" fontId="13" fillId="0" borderId="0" xfId="0" applyNumberFormat="1" applyFont="1" applyFill="1" applyAlignment="1"/>
    <xf numFmtId="166" fontId="10" fillId="0" borderId="0" xfId="0" applyNumberFormat="1" applyFont="1" applyFill="1" applyAlignment="1"/>
    <xf numFmtId="166" fontId="0" fillId="1" borderId="0" xfId="0" applyNumberFormat="1" applyFill="1" applyBorder="1" applyAlignment="1"/>
    <xf numFmtId="169" fontId="0" fillId="0" borderId="0" xfId="0" applyFill="1" applyBorder="1" applyAlignment="1"/>
    <xf numFmtId="169" fontId="0" fillId="0" borderId="2" xfId="0" applyFill="1" applyBorder="1" applyAlignment="1"/>
    <xf numFmtId="169" fontId="30" fillId="0" borderId="6" xfId="0" applyFont="1" applyFill="1" applyBorder="1" applyAlignment="1">
      <alignment horizontal="center"/>
    </xf>
    <xf numFmtId="9" fontId="0" fillId="0" borderId="0" xfId="18" applyFont="1" applyFill="1" applyBorder="1" applyAlignment="1"/>
    <xf numFmtId="166" fontId="12" fillId="2" borderId="1" xfId="0" applyNumberFormat="1" applyFont="1" applyFill="1" applyBorder="1" applyAlignment="1"/>
    <xf numFmtId="0" fontId="8" fillId="0" borderId="0" xfId="16" applyNumberFormat="1" applyFont="1" applyAlignment="1"/>
    <xf numFmtId="0" fontId="19" fillId="0" borderId="0" xfId="16" applyFont="1" applyAlignment="1"/>
    <xf numFmtId="0" fontId="2" fillId="3" borderId="0" xfId="16" applyNumberFormat="1" applyFill="1" applyAlignment="1"/>
    <xf numFmtId="0" fontId="3" fillId="3" borderId="0" xfId="16" applyFont="1" applyFill="1" applyAlignment="1">
      <alignment horizontal="right"/>
    </xf>
    <xf numFmtId="0" fontId="3" fillId="3" borderId="0" xfId="16" applyFont="1" applyFill="1" applyAlignment="1">
      <alignment horizontal="right" vertical="center"/>
    </xf>
    <xf numFmtId="0" fontId="9" fillId="3" borderId="0" xfId="16" applyFont="1" applyFill="1" applyAlignment="1">
      <alignment horizontal="right"/>
    </xf>
    <xf numFmtId="166" fontId="10" fillId="0" borderId="0" xfId="16" applyNumberFormat="1" applyFont="1" applyAlignment="1"/>
    <xf numFmtId="166" fontId="2" fillId="0" borderId="0" xfId="16" applyNumberFormat="1" applyFont="1" applyAlignment="1"/>
    <xf numFmtId="170" fontId="7" fillId="0" borderId="0" xfId="18" applyNumberFormat="1" applyFont="1" applyAlignment="1">
      <alignment horizontal="right"/>
    </xf>
    <xf numFmtId="170" fontId="13" fillId="0" borderId="0" xfId="18" applyNumberFormat="1" applyFont="1" applyAlignment="1"/>
    <xf numFmtId="170" fontId="13" fillId="2" borderId="1" xfId="18" applyNumberFormat="1" applyFont="1" applyFill="1" applyBorder="1" applyAlignment="1"/>
    <xf numFmtId="170" fontId="10" fillId="0" borderId="0" xfId="18" applyNumberFormat="1" applyFont="1" applyAlignment="1"/>
    <xf numFmtId="170" fontId="2" fillId="0" borderId="0" xfId="18" applyNumberFormat="1" applyFont="1" applyAlignment="1"/>
    <xf numFmtId="166" fontId="11" fillId="2" borderId="1" xfId="9" applyNumberFormat="1" applyFont="1" applyFill="1" applyBorder="1" applyAlignment="1"/>
    <xf numFmtId="0" fontId="0" fillId="0" borderId="0" xfId="0" applyNumberFormat="1" applyBorder="1" applyAlignment="1"/>
    <xf numFmtId="9" fontId="13" fillId="0" borderId="0" xfId="18" applyFont="1" applyAlignment="1"/>
    <xf numFmtId="9" fontId="12" fillId="2" borderId="1" xfId="18" applyFont="1" applyFill="1" applyBorder="1" applyAlignment="1"/>
    <xf numFmtId="166" fontId="0" fillId="0" borderId="0" xfId="0" applyNumberFormat="1" applyFill="1" applyBorder="1" applyAlignment="1"/>
    <xf numFmtId="166" fontId="10" fillId="0" borderId="0" xfId="0" applyNumberFormat="1" applyFont="1" applyFill="1" applyBorder="1" applyAlignment="1"/>
    <xf numFmtId="166" fontId="11" fillId="0" borderId="0" xfId="0" applyNumberFormat="1" applyFont="1" applyBorder="1" applyAlignment="1"/>
    <xf numFmtId="166" fontId="12" fillId="0" borderId="0" xfId="0" applyNumberFormat="1" applyFont="1" applyBorder="1" applyAlignment="1"/>
    <xf numFmtId="166" fontId="10" fillId="2" borderId="1" xfId="9" applyNumberFormat="1" applyFont="1" applyFill="1" applyBorder="1" applyAlignment="1"/>
    <xf numFmtId="166" fontId="2" fillId="0" borderId="0" xfId="0" applyNumberFormat="1" applyFont="1" applyBorder="1" applyAlignment="1"/>
    <xf numFmtId="0" fontId="3" fillId="3" borderId="0" xfId="0" applyNumberFormat="1" applyFont="1" applyFill="1" applyAlignment="1"/>
    <xf numFmtId="0" fontId="0" fillId="0" borderId="0" xfId="0" quotePrefix="1" applyNumberFormat="1" applyAlignment="1"/>
    <xf numFmtId="166" fontId="0" fillId="0" borderId="3" xfId="0" applyNumberFormat="1" applyBorder="1" applyAlignment="1"/>
    <xf numFmtId="0" fontId="8" fillId="0" borderId="0" xfId="0" applyNumberFormat="1" applyFont="1" applyBorder="1" applyAlignment="1"/>
    <xf numFmtId="0" fontId="2" fillId="0" borderId="0" xfId="16" applyNumberFormat="1" applyFont="1" applyAlignment="1"/>
    <xf numFmtId="166" fontId="20" fillId="0" borderId="0" xfId="16" applyNumberFormat="1" applyFont="1" applyAlignment="1"/>
    <xf numFmtId="165" fontId="11" fillId="2" borderId="1" xfId="9" applyFont="1" applyFill="1" applyBorder="1" applyAlignment="1"/>
    <xf numFmtId="0" fontId="2" fillId="3" borderId="0" xfId="16" applyFill="1" applyAlignment="1"/>
    <xf numFmtId="0" fontId="4" fillId="3" borderId="0" xfId="16" applyFont="1" applyFill="1" applyAlignment="1">
      <alignment horizontal="center" vertical="center"/>
    </xf>
    <xf numFmtId="0" fontId="5" fillId="3" borderId="0" xfId="16" applyFont="1" applyFill="1" applyAlignment="1"/>
    <xf numFmtId="0" fontId="3" fillId="3" borderId="0" xfId="16" applyFont="1" applyFill="1" applyAlignment="1"/>
    <xf numFmtId="0" fontId="11" fillId="0" borderId="0" xfId="16" applyFont="1" applyAlignment="1"/>
    <xf numFmtId="166" fontId="7" fillId="0" borderId="3" xfId="9" applyNumberFormat="1" applyFont="1" applyBorder="1" applyAlignment="1"/>
    <xf numFmtId="170" fontId="11" fillId="0" borderId="0" xfId="18" applyNumberFormat="1" applyFont="1" applyAlignment="1"/>
    <xf numFmtId="170" fontId="7" fillId="0" borderId="0" xfId="18" applyNumberFormat="1" applyFont="1" applyAlignment="1"/>
    <xf numFmtId="0" fontId="2" fillId="0" borderId="0" xfId="16" applyNumberFormat="1" applyFill="1" applyAlignment="1"/>
    <xf numFmtId="3" fontId="0" fillId="0" borderId="0" xfId="0" applyNumberFormat="1" applyAlignment="1"/>
    <xf numFmtId="3" fontId="10" fillId="0" borderId="0" xfId="0" applyNumberFormat="1" applyFont="1" applyAlignment="1"/>
    <xf numFmtId="3" fontId="10" fillId="2" borderId="1" xfId="9" applyNumberFormat="1" applyFont="1" applyFill="1" applyBorder="1" applyAlignment="1"/>
    <xf numFmtId="168" fontId="2" fillId="0" borderId="0" xfId="16" applyNumberFormat="1" applyAlignment="1"/>
    <xf numFmtId="168" fontId="10" fillId="0" borderId="0" xfId="16" applyNumberFormat="1" applyFont="1" applyAlignment="1"/>
    <xf numFmtId="168" fontId="12" fillId="2" borderId="1" xfId="9" applyNumberFormat="1" applyFont="1" applyFill="1" applyBorder="1" applyAlignment="1"/>
    <xf numFmtId="165" fontId="10" fillId="2" borderId="1" xfId="9" applyNumberFormat="1" applyFont="1" applyFill="1" applyBorder="1" applyAlignment="1"/>
    <xf numFmtId="165" fontId="2" fillId="0" borderId="0" xfId="9" applyNumberFormat="1" applyAlignment="1"/>
    <xf numFmtId="166" fontId="0" fillId="0" borderId="0" xfId="18" applyNumberFormat="1" applyFont="1" applyBorder="1" applyAlignment="1"/>
    <xf numFmtId="170" fontId="12" fillId="0" borderId="0" xfId="18" applyNumberFormat="1" applyFont="1" applyAlignment="1"/>
    <xf numFmtId="170" fontId="7" fillId="0" borderId="3" xfId="18" applyNumberFormat="1" applyFont="1" applyBorder="1" applyAlignment="1"/>
    <xf numFmtId="170" fontId="13" fillId="0" borderId="3" xfId="18" applyNumberFormat="1" applyFont="1" applyBorder="1" applyAlignment="1"/>
    <xf numFmtId="169" fontId="10" fillId="0" borderId="0" xfId="0" applyFont="1" applyFill="1" applyAlignment="1"/>
    <xf numFmtId="166" fontId="10" fillId="2" borderId="1" xfId="0" applyNumberFormat="1" applyFont="1" applyFill="1" applyBorder="1" applyAlignment="1"/>
    <xf numFmtId="0" fontId="7" fillId="0" borderId="5" xfId="0" applyNumberFormat="1" applyFont="1" applyBorder="1" applyAlignment="1"/>
    <xf numFmtId="9" fontId="11" fillId="0" borderId="0" xfId="18" applyFont="1" applyAlignment="1">
      <alignment horizontal="right"/>
    </xf>
    <xf numFmtId="166" fontId="11" fillId="1" borderId="0" xfId="0" applyNumberFormat="1" applyFont="1" applyFill="1" applyAlignment="1"/>
    <xf numFmtId="0" fontId="7" fillId="0" borderId="3" xfId="0" applyNumberFormat="1" applyFont="1" applyFill="1" applyBorder="1" applyAlignment="1"/>
    <xf numFmtId="0" fontId="0" fillId="0" borderId="0" xfId="0" applyNumberFormat="1" applyFill="1" applyBorder="1" applyAlignment="1"/>
    <xf numFmtId="170" fontId="8" fillId="0" borderId="0" xfId="18" applyNumberFormat="1" applyFont="1" applyAlignment="1"/>
    <xf numFmtId="166" fontId="2" fillId="0" borderId="0" xfId="16" applyNumberFormat="1" applyFill="1" applyAlignment="1"/>
    <xf numFmtId="170" fontId="13" fillId="0" borderId="0" xfId="18" applyNumberFormat="1" applyFont="1" applyAlignment="1">
      <alignment horizontal="right"/>
    </xf>
    <xf numFmtId="0" fontId="3" fillId="3" borderId="0" xfId="0" applyNumberFormat="1" applyFont="1" applyFill="1" applyAlignment="1">
      <alignment horizontal="center"/>
    </xf>
    <xf numFmtId="9" fontId="2" fillId="0" borderId="0" xfId="18" applyFont="1" applyAlignment="1"/>
    <xf numFmtId="9" fontId="2" fillId="0" borderId="0" xfId="18" applyFont="1" applyAlignment="1">
      <alignment horizontal="right"/>
    </xf>
    <xf numFmtId="0" fontId="6" fillId="0" borderId="0" xfId="0" applyNumberFormat="1" applyFont="1" applyAlignment="1"/>
    <xf numFmtId="0" fontId="11" fillId="0" borderId="0" xfId="0" applyNumberFormat="1" applyFont="1" applyFill="1" applyAlignment="1"/>
    <xf numFmtId="166" fontId="7" fillId="0" borderId="5" xfId="0" applyNumberFormat="1" applyFont="1" applyFill="1" applyBorder="1" applyAlignment="1"/>
    <xf numFmtId="166" fontId="20" fillId="0" borderId="5" xfId="0" applyNumberFormat="1" applyFont="1" applyFill="1" applyBorder="1" applyAlignment="1"/>
    <xf numFmtId="166" fontId="13" fillId="0" borderId="5" xfId="0" applyNumberFormat="1" applyFont="1" applyFill="1" applyBorder="1" applyAlignment="1"/>
    <xf numFmtId="168" fontId="0" fillId="0" borderId="0" xfId="18" applyNumberFormat="1" applyFont="1" applyAlignment="1"/>
    <xf numFmtId="3" fontId="23" fillId="0" borderId="0" xfId="0" applyNumberFormat="1" applyFont="1" applyAlignment="1"/>
    <xf numFmtId="168" fontId="7" fillId="0" borderId="0" xfId="9" applyNumberFormat="1" applyFont="1" applyAlignment="1"/>
    <xf numFmtId="166" fontId="33" fillId="2" borderId="1" xfId="0" applyNumberFormat="1" applyFont="1" applyFill="1" applyBorder="1" applyAlignment="1"/>
    <xf numFmtId="9" fontId="0" fillId="0" borderId="0" xfId="18" applyFont="1" applyBorder="1" applyAlignment="1"/>
    <xf numFmtId="169" fontId="3" fillId="3" borderId="0" xfId="0" applyFont="1" applyFill="1" applyBorder="1" applyAlignment="1">
      <alignment horizontal="left"/>
    </xf>
    <xf numFmtId="169" fontId="3" fillId="3" borderId="0" xfId="0" applyFont="1" applyFill="1" applyBorder="1" applyAlignment="1">
      <alignment horizontal="center"/>
    </xf>
    <xf numFmtId="166" fontId="7" fillId="0" borderId="0" xfId="0" applyNumberFormat="1" applyFont="1" applyFill="1" applyBorder="1" applyAlignment="1"/>
    <xf numFmtId="166" fontId="13" fillId="0" borderId="0" xfId="0" applyNumberFormat="1" applyFont="1" applyFill="1" applyBorder="1" applyAlignment="1"/>
    <xf numFmtId="166" fontId="13" fillId="0" borderId="0" xfId="0" applyNumberFormat="1" applyFont="1" applyBorder="1" applyAlignment="1"/>
    <xf numFmtId="166" fontId="20" fillId="0" borderId="0" xfId="0" applyNumberFormat="1" applyFont="1" applyFill="1" applyBorder="1" applyAlignment="1"/>
    <xf numFmtId="9" fontId="13" fillId="0" borderId="0" xfId="18" applyFont="1" applyBorder="1" applyAlignment="1"/>
    <xf numFmtId="0" fontId="0" fillId="0" borderId="3" xfId="0" applyNumberFormat="1" applyBorder="1" applyAlignment="1"/>
    <xf numFmtId="170" fontId="12" fillId="2" borderId="1" xfId="18" applyNumberFormat="1" applyFont="1" applyFill="1" applyBorder="1" applyAlignment="1"/>
    <xf numFmtId="9" fontId="11" fillId="0" borderId="0" xfId="18" applyNumberFormat="1" applyFont="1" applyAlignment="1">
      <alignment horizontal="right"/>
    </xf>
    <xf numFmtId="171" fontId="0" fillId="0" borderId="0" xfId="9" applyNumberFormat="1" applyFont="1" applyAlignment="1"/>
    <xf numFmtId="0" fontId="24" fillId="0" borderId="0" xfId="15" applyFont="1" applyBorder="1"/>
    <xf numFmtId="0" fontId="24" fillId="0" borderId="0" xfId="15" applyFont="1" applyBorder="1" applyAlignment="1">
      <alignment horizontal="left"/>
    </xf>
    <xf numFmtId="169" fontId="8" fillId="0" borderId="0" xfId="0" applyFont="1" applyBorder="1" applyAlignment="1"/>
    <xf numFmtId="169" fontId="2" fillId="0" borderId="0" xfId="0" applyFont="1" applyBorder="1" applyAlignment="1"/>
    <xf numFmtId="168" fontId="2" fillId="0" borderId="0" xfId="9" applyNumberFormat="1" applyFont="1" applyBorder="1" applyAlignment="1"/>
    <xf numFmtId="0" fontId="3" fillId="3" borderId="0" xfId="0" applyNumberFormat="1" applyFont="1" applyFill="1" applyBorder="1" applyAlignment="1">
      <alignment horizontal="left" vertical="center"/>
    </xf>
    <xf numFmtId="0" fontId="0" fillId="3" borderId="0" xfId="0" applyNumberFormat="1" applyFill="1" applyBorder="1" applyAlignment="1"/>
    <xf numFmtId="0" fontId="3" fillId="3" borderId="0" xfId="0" applyNumberFormat="1" applyFont="1" applyFill="1" applyBorder="1" applyAlignment="1">
      <alignment horizontal="right"/>
    </xf>
    <xf numFmtId="0" fontId="3" fillId="3" borderId="0" xfId="0" applyNumberFormat="1" applyFont="1" applyFill="1" applyBorder="1" applyAlignment="1">
      <alignment horizontal="right" vertical="center"/>
    </xf>
    <xf numFmtId="0" fontId="9" fillId="3" borderId="0" xfId="0" applyNumberFormat="1" applyFont="1" applyFill="1" applyBorder="1" applyAlignment="1">
      <alignment horizontal="right"/>
    </xf>
    <xf numFmtId="169" fontId="0" fillId="0" borderId="0" xfId="0" applyBorder="1" applyAlignment="1"/>
    <xf numFmtId="0" fontId="11" fillId="0" borderId="0" xfId="0" applyNumberFormat="1" applyFont="1" applyFill="1" applyBorder="1" applyAlignment="1"/>
    <xf numFmtId="168" fontId="2" fillId="1" borderId="3" xfId="9" applyNumberFormat="1" applyFill="1" applyBorder="1" applyAlignment="1"/>
    <xf numFmtId="0" fontId="8" fillId="0" borderId="0" xfId="0" applyNumberFormat="1" applyFont="1" applyFill="1" applyBorder="1" applyAlignment="1"/>
    <xf numFmtId="0" fontId="7" fillId="0" borderId="0" xfId="0" applyNumberFormat="1" applyFont="1" applyFill="1" applyBorder="1" applyAlignment="1"/>
    <xf numFmtId="166" fontId="8" fillId="0" borderId="0" xfId="0" applyNumberFormat="1" applyFont="1" applyFill="1" applyBorder="1" applyAlignment="1"/>
    <xf numFmtId="169" fontId="7" fillId="0" borderId="0" xfId="0" applyFont="1"/>
    <xf numFmtId="166" fontId="11" fillId="0" borderId="0" xfId="0" applyNumberFormat="1" applyFont="1" applyFill="1" applyAlignment="1"/>
    <xf numFmtId="166" fontId="0" fillId="0" borderId="0" xfId="18" applyNumberFormat="1" applyFont="1" applyFill="1" applyBorder="1" applyAlignment="1"/>
    <xf numFmtId="169" fontId="0" fillId="0" borderId="0" xfId="0" quotePrefix="1" applyFill="1" applyAlignment="1"/>
    <xf numFmtId="168" fontId="11" fillId="0" borderId="0" xfId="9" applyNumberFormat="1" applyFont="1" applyAlignment="1">
      <alignment horizontal="right"/>
    </xf>
    <xf numFmtId="49" fontId="0" fillId="0" borderId="0" xfId="0" applyNumberFormat="1"/>
    <xf numFmtId="0" fontId="7" fillId="1" borderId="0" xfId="0" applyNumberFormat="1" applyFont="1" applyFill="1" applyAlignment="1"/>
    <xf numFmtId="168" fontId="0" fillId="1" borderId="0" xfId="0" applyNumberFormat="1" applyFill="1" applyAlignment="1"/>
    <xf numFmtId="166" fontId="19" fillId="0" borderId="0" xfId="0" applyNumberFormat="1" applyFont="1" applyFill="1" applyAlignment="1"/>
    <xf numFmtId="165" fontId="10" fillId="0" borderId="0" xfId="16" applyNumberFormat="1" applyFont="1" applyAlignment="1"/>
    <xf numFmtId="165" fontId="2" fillId="1" borderId="0" xfId="16" applyNumberFormat="1" applyFill="1" applyAlignment="1"/>
    <xf numFmtId="166" fontId="7" fillId="1" borderId="5" xfId="0" applyNumberFormat="1" applyFont="1" applyFill="1" applyBorder="1" applyAlignment="1"/>
    <xf numFmtId="166" fontId="13" fillId="1" borderId="5" xfId="0" applyNumberFormat="1" applyFont="1" applyFill="1" applyBorder="1" applyAlignment="1"/>
    <xf numFmtId="0" fontId="8" fillId="0" borderId="0" xfId="0" quotePrefix="1" applyNumberFormat="1" applyFont="1" applyAlignment="1"/>
    <xf numFmtId="166" fontId="23" fillId="1" borderId="0" xfId="0" applyNumberFormat="1" applyFont="1" applyFill="1" applyAlignment="1"/>
    <xf numFmtId="166" fontId="13" fillId="1" borderId="3" xfId="0" applyNumberFormat="1" applyFont="1" applyFill="1" applyBorder="1" applyAlignment="1"/>
    <xf numFmtId="166" fontId="23" fillId="0" borderId="0" xfId="0" applyNumberFormat="1" applyFont="1" applyFill="1" applyAlignment="1"/>
    <xf numFmtId="166" fontId="0" fillId="0" borderId="5" xfId="0" applyNumberFormat="1" applyBorder="1" applyAlignment="1"/>
    <xf numFmtId="166" fontId="0" fillId="1" borderId="5" xfId="0" applyNumberFormat="1" applyFill="1" applyBorder="1" applyAlignment="1"/>
    <xf numFmtId="166" fontId="0" fillId="1" borderId="3" xfId="0" applyNumberFormat="1" applyFill="1" applyBorder="1" applyAlignment="1"/>
    <xf numFmtId="166" fontId="24" fillId="0" borderId="0" xfId="0" applyNumberFormat="1" applyFont="1" applyAlignment="1"/>
    <xf numFmtId="166" fontId="22" fillId="0" borderId="3" xfId="0" applyNumberFormat="1" applyFont="1" applyBorder="1" applyAlignment="1"/>
    <xf numFmtId="166" fontId="22" fillId="0" borderId="5" xfId="0" applyNumberFormat="1" applyFont="1" applyBorder="1" applyAlignment="1"/>
    <xf numFmtId="166" fontId="0" fillId="0" borderId="0" xfId="0" applyNumberFormat="1" applyAlignment="1">
      <alignment horizontal="center"/>
    </xf>
    <xf numFmtId="166" fontId="7" fillId="0" borderId="0" xfId="0" applyNumberFormat="1" applyFont="1" applyAlignment="1">
      <alignment horizontal="center"/>
    </xf>
    <xf numFmtId="166" fontId="0" fillId="0" borderId="0" xfId="0" applyNumberFormat="1" applyBorder="1" applyAlignment="1">
      <alignment horizontal="center"/>
    </xf>
    <xf numFmtId="166" fontId="7" fillId="0" borderId="0" xfId="0" applyNumberFormat="1" applyFont="1" applyBorder="1" applyAlignment="1">
      <alignment horizontal="center"/>
    </xf>
    <xf numFmtId="166" fontId="0" fillId="1" borderId="0" xfId="0" applyNumberFormat="1" applyFill="1" applyAlignment="1">
      <alignment horizontal="center"/>
    </xf>
    <xf numFmtId="166" fontId="0" fillId="0" borderId="0" xfId="0" applyNumberFormat="1" applyFill="1" applyBorder="1" applyAlignment="1">
      <alignment horizontal="center"/>
    </xf>
    <xf numFmtId="9" fontId="19" fillId="0" borderId="0" xfId="18" applyFont="1" applyAlignment="1"/>
    <xf numFmtId="0" fontId="11" fillId="0" borderId="0" xfId="9" applyNumberFormat="1" applyFont="1" applyAlignment="1">
      <alignment horizontal="left"/>
    </xf>
    <xf numFmtId="0" fontId="7" fillId="0" borderId="0" xfId="9" applyNumberFormat="1" applyFont="1" applyAlignment="1">
      <alignment horizontal="left"/>
    </xf>
    <xf numFmtId="0" fontId="8" fillId="0" borderId="0" xfId="9" applyNumberFormat="1" applyFont="1" applyAlignment="1"/>
    <xf numFmtId="166" fontId="8" fillId="0" borderId="0" xfId="0" applyNumberFormat="1" applyFont="1" applyFill="1" applyAlignment="1"/>
    <xf numFmtId="165" fontId="10" fillId="0" borderId="0" xfId="9" applyNumberFormat="1" applyFont="1" applyAlignment="1"/>
    <xf numFmtId="165" fontId="0" fillId="0" borderId="0" xfId="9" applyNumberFormat="1" applyFont="1" applyAlignment="1"/>
    <xf numFmtId="165" fontId="0" fillId="1" borderId="0" xfId="0" applyNumberFormat="1" applyFill="1" applyAlignment="1"/>
    <xf numFmtId="165" fontId="7" fillId="0" borderId="0" xfId="9" applyNumberFormat="1" applyFont="1" applyAlignment="1"/>
    <xf numFmtId="172" fontId="0" fillId="0" borderId="0" xfId="0" applyNumberFormat="1" applyAlignment="1">
      <alignment horizontal="left"/>
    </xf>
    <xf numFmtId="167" fontId="0" fillId="2" borderId="0" xfId="0" applyNumberFormat="1" applyFill="1" applyAlignment="1"/>
    <xf numFmtId="167" fontId="18" fillId="0" borderId="0" xfId="0" applyNumberFormat="1" applyFont="1" applyAlignment="1">
      <alignment vertical="top"/>
    </xf>
    <xf numFmtId="173" fontId="0" fillId="0" borderId="0" xfId="0" applyNumberFormat="1" applyAlignment="1"/>
    <xf numFmtId="169" fontId="19" fillId="0" borderId="0" xfId="0" applyFont="1" applyFill="1" applyAlignment="1"/>
    <xf numFmtId="172" fontId="16" fillId="0" borderId="0" xfId="0" applyNumberFormat="1" applyFont="1" applyAlignment="1">
      <alignment horizontal="left" vertical="top" wrapText="1"/>
    </xf>
    <xf numFmtId="169" fontId="2" fillId="0" borderId="0" xfId="0" applyFont="1" applyFill="1" applyAlignment="1"/>
    <xf numFmtId="170" fontId="23" fillId="0" borderId="0" xfId="18" applyNumberFormat="1" applyFont="1" applyAlignment="1"/>
    <xf numFmtId="169" fontId="13" fillId="0" borderId="0" xfId="0" applyFont="1" applyFill="1" applyAlignment="1"/>
    <xf numFmtId="169" fontId="0" fillId="0" borderId="0" xfId="0" applyFill="1" applyBorder="1"/>
    <xf numFmtId="166" fontId="20" fillId="0" borderId="0" xfId="0" applyNumberFormat="1" applyFont="1" applyFill="1" applyAlignment="1"/>
    <xf numFmtId="166" fontId="2" fillId="0" borderId="0" xfId="9" applyNumberFormat="1" applyFont="1" applyAlignment="1"/>
    <xf numFmtId="166" fontId="7" fillId="0" borderId="0" xfId="9" applyNumberFormat="1" applyFont="1" applyBorder="1" applyAlignment="1"/>
    <xf numFmtId="165" fontId="11" fillId="0" borderId="0" xfId="9" applyNumberFormat="1" applyFont="1" applyAlignment="1"/>
    <xf numFmtId="166" fontId="2" fillId="0" borderId="0" xfId="0" applyNumberFormat="1" applyFont="1" applyFill="1" applyAlignment="1"/>
    <xf numFmtId="166" fontId="0" fillId="0" borderId="0" xfId="9" applyNumberFormat="1" applyFont="1" applyBorder="1" applyAlignment="1"/>
    <xf numFmtId="169" fontId="7" fillId="0" borderId="0" xfId="0" applyFont="1" applyBorder="1" applyAlignment="1"/>
    <xf numFmtId="166" fontId="24" fillId="0" borderId="0" xfId="15" applyNumberFormat="1" applyFont="1" applyBorder="1"/>
    <xf numFmtId="169" fontId="11" fillId="0" borderId="0" xfId="0" applyFont="1"/>
    <xf numFmtId="166" fontId="0" fillId="0" borderId="0" xfId="18" applyNumberFormat="1" applyFont="1" applyAlignment="1"/>
    <xf numFmtId="0" fontId="3" fillId="3" borderId="0" xfId="16" applyFont="1" applyFill="1" applyAlignment="1">
      <alignment horizontal="center"/>
    </xf>
    <xf numFmtId="166" fontId="0" fillId="0" borderId="0" xfId="9" applyNumberFormat="1" applyFont="1"/>
    <xf numFmtId="169" fontId="19" fillId="0" borderId="0" xfId="0" applyFont="1"/>
    <xf numFmtId="166" fontId="0" fillId="0" borderId="0" xfId="0" applyNumberFormat="1"/>
    <xf numFmtId="170" fontId="0" fillId="0" borderId="0" xfId="18" applyNumberFormat="1" applyFont="1"/>
    <xf numFmtId="165" fontId="0" fillId="0" borderId="0" xfId="9" applyFont="1" applyAlignment="1"/>
    <xf numFmtId="166" fontId="16" fillId="3" borderId="0" xfId="0" applyNumberFormat="1" applyFont="1" applyFill="1" applyAlignment="1"/>
    <xf numFmtId="167" fontId="44" fillId="0" borderId="0" xfId="0" applyNumberFormat="1" applyFont="1" applyAlignment="1">
      <alignment vertical="top" wrapText="1"/>
    </xf>
    <xf numFmtId="169" fontId="2" fillId="0" borderId="0" xfId="0" applyNumberFormat="1" applyFont="1" applyFill="1" applyAlignment="1"/>
    <xf numFmtId="169" fontId="12" fillId="0" borderId="0" xfId="0" applyFont="1" applyFill="1" applyAlignment="1"/>
    <xf numFmtId="169" fontId="20" fillId="0" borderId="0" xfId="0" applyFont="1" applyFill="1" applyAlignment="1"/>
    <xf numFmtId="169" fontId="8" fillId="1" borderId="0" xfId="0" applyFont="1" applyFill="1" applyAlignment="1"/>
    <xf numFmtId="169" fontId="23" fillId="0" borderId="0" xfId="0" applyFont="1" applyAlignment="1"/>
    <xf numFmtId="170" fontId="19" fillId="0" borderId="0" xfId="18" applyNumberFormat="1" applyFont="1" applyAlignment="1"/>
    <xf numFmtId="0" fontId="2" fillId="0" borderId="0" xfId="0" applyNumberFormat="1" applyFont="1" applyFill="1" applyAlignment="1"/>
    <xf numFmtId="169" fontId="32" fillId="0" borderId="0" xfId="0" applyFont="1"/>
    <xf numFmtId="177" fontId="9" fillId="3" borderId="0" xfId="0" applyNumberFormat="1" applyFont="1" applyFill="1" applyAlignment="1">
      <alignment horizontal="right"/>
    </xf>
    <xf numFmtId="178" fontId="3" fillId="3" borderId="0" xfId="0" applyNumberFormat="1" applyFont="1" applyFill="1" applyAlignment="1">
      <alignment horizontal="right"/>
    </xf>
    <xf numFmtId="168" fontId="26" fillId="0" borderId="0" xfId="9" applyNumberFormat="1" applyFont="1"/>
    <xf numFmtId="0" fontId="26" fillId="0" borderId="0" xfId="15" applyFont="1" applyAlignment="1">
      <alignment horizontal="right"/>
    </xf>
    <xf numFmtId="166" fontId="10" fillId="0" borderId="0" xfId="0" applyNumberFormat="1" applyFont="1" applyAlignment="1">
      <alignment horizontal="right"/>
    </xf>
    <xf numFmtId="49" fontId="9" fillId="3" borderId="0" xfId="0" applyNumberFormat="1" applyFont="1" applyFill="1" applyAlignment="1">
      <alignment horizontal="right"/>
    </xf>
    <xf numFmtId="1" fontId="3" fillId="3" borderId="0" xfId="0" applyNumberFormat="1" applyFont="1" applyFill="1" applyAlignment="1">
      <alignment horizontal="right"/>
    </xf>
    <xf numFmtId="9" fontId="24" fillId="0" borderId="0" xfId="18" applyFont="1" applyAlignment="1"/>
    <xf numFmtId="9" fontId="24" fillId="1" borderId="0" xfId="18" applyFont="1" applyFill="1" applyAlignment="1"/>
    <xf numFmtId="169" fontId="22" fillId="1" borderId="0" xfId="0" applyFont="1" applyFill="1" applyAlignment="1"/>
    <xf numFmtId="9" fontId="11" fillId="0" borderId="0" xfId="18" applyFont="1" applyBorder="1" applyAlignment="1"/>
    <xf numFmtId="9" fontId="11" fillId="1" borderId="0" xfId="18" applyFont="1" applyFill="1" applyBorder="1" applyAlignment="1"/>
    <xf numFmtId="166" fontId="46" fillId="0" borderId="0" xfId="0" applyNumberFormat="1" applyFont="1" applyAlignment="1"/>
    <xf numFmtId="169" fontId="8" fillId="0" borderId="0" xfId="0" applyFont="1"/>
    <xf numFmtId="165" fontId="19" fillId="0" borderId="0" xfId="9" applyFont="1" applyAlignment="1"/>
    <xf numFmtId="166" fontId="10" fillId="1" borderId="3" xfId="0" applyNumberFormat="1" applyFont="1" applyFill="1" applyBorder="1" applyAlignment="1"/>
    <xf numFmtId="166" fontId="0" fillId="0" borderId="0" xfId="9" applyNumberFormat="1" applyFont="1" applyFill="1"/>
    <xf numFmtId="9" fontId="0" fillId="0" borderId="0" xfId="18" applyNumberFormat="1" applyFont="1" applyAlignment="1"/>
    <xf numFmtId="9" fontId="0" fillId="0" borderId="0" xfId="18" applyFont="1"/>
    <xf numFmtId="9" fontId="7" fillId="0" borderId="0" xfId="18" applyNumberFormat="1" applyFont="1" applyAlignment="1"/>
    <xf numFmtId="169" fontId="46" fillId="0" borderId="0" xfId="0" applyFont="1" applyAlignment="1"/>
    <xf numFmtId="166" fontId="11" fillId="0" borderId="0" xfId="9" applyNumberFormat="1" applyFont="1" applyAlignment="1">
      <alignment horizontal="right"/>
    </xf>
    <xf numFmtId="170" fontId="0" fillId="2" borderId="1" xfId="0" applyNumberFormat="1" applyFill="1" applyBorder="1"/>
    <xf numFmtId="170" fontId="0" fillId="2" borderId="1" xfId="18" applyNumberFormat="1" applyFont="1" applyFill="1" applyBorder="1"/>
    <xf numFmtId="170" fontId="7" fillId="0" borderId="0" xfId="0" applyNumberFormat="1" applyFont="1"/>
    <xf numFmtId="10" fontId="0" fillId="2" borderId="1" xfId="18" applyNumberFormat="1" applyFont="1" applyFill="1" applyBorder="1"/>
    <xf numFmtId="169" fontId="14" fillId="0" borderId="0" xfId="0" applyFont="1"/>
    <xf numFmtId="170" fontId="39" fillId="0" borderId="0" xfId="18" applyNumberFormat="1" applyFont="1" applyAlignment="1"/>
    <xf numFmtId="169" fontId="2" fillId="0" borderId="0" xfId="0" applyFont="1"/>
    <xf numFmtId="170" fontId="11" fillId="0" borderId="0" xfId="0" applyNumberFormat="1" applyFont="1"/>
    <xf numFmtId="169" fontId="22" fillId="0" borderId="0" xfId="0" applyFont="1"/>
    <xf numFmtId="170" fontId="22" fillId="0" borderId="0" xfId="0" applyNumberFormat="1" applyFont="1"/>
    <xf numFmtId="176" fontId="7" fillId="0" borderId="0" xfId="9" applyNumberFormat="1" applyFont="1" applyAlignment="1">
      <alignment horizontal="right"/>
    </xf>
    <xf numFmtId="179" fontId="7" fillId="0" borderId="0" xfId="9" applyNumberFormat="1" applyFont="1" applyAlignment="1">
      <alignment horizontal="right"/>
    </xf>
    <xf numFmtId="166" fontId="20" fillId="0" borderId="0" xfId="9" applyNumberFormat="1" applyFont="1" applyAlignment="1"/>
    <xf numFmtId="166" fontId="20" fillId="0" borderId="3" xfId="9" applyNumberFormat="1" applyFont="1" applyBorder="1" applyAlignment="1"/>
    <xf numFmtId="167" fontId="16" fillId="0" borderId="0" xfId="0" applyNumberFormat="1" applyFont="1" applyFill="1" applyAlignment="1">
      <alignment vertical="top" wrapText="1"/>
    </xf>
    <xf numFmtId="169" fontId="6" fillId="0" borderId="0" xfId="0" applyFont="1" applyFill="1" applyAlignment="1">
      <alignment horizontal="left" vertical="center"/>
    </xf>
    <xf numFmtId="166" fontId="12" fillId="0" borderId="0" xfId="9" applyNumberFormat="1" applyFont="1" applyAlignment="1"/>
    <xf numFmtId="168" fontId="10" fillId="2" borderId="1" xfId="10" applyNumberFormat="1" applyFont="1" applyFill="1" applyBorder="1" applyAlignment="1"/>
    <xf numFmtId="168" fontId="2" fillId="0" borderId="0" xfId="10" applyNumberFormat="1" applyAlignment="1"/>
    <xf numFmtId="166" fontId="12" fillId="0" borderId="0" xfId="0" applyNumberFormat="1" applyFont="1" applyFill="1" applyAlignment="1"/>
    <xf numFmtId="9" fontId="11" fillId="0" borderId="0" xfId="18" applyFont="1" applyFill="1" applyAlignment="1"/>
    <xf numFmtId="169" fontId="0" fillId="0" borderId="0" xfId="0" applyFill="1"/>
    <xf numFmtId="0" fontId="12" fillId="0" borderId="0" xfId="0" applyNumberFormat="1" applyFont="1" applyAlignment="1"/>
    <xf numFmtId="9" fontId="21" fillId="0" borderId="0" xfId="18" applyFont="1" applyAlignment="1"/>
    <xf numFmtId="170" fontId="21" fillId="0" borderId="0" xfId="18" applyNumberFormat="1" applyFont="1" applyAlignment="1"/>
    <xf numFmtId="172" fontId="0" fillId="0" borderId="0" xfId="0" applyNumberFormat="1" applyFill="1" applyAlignment="1">
      <alignment horizontal="left"/>
    </xf>
    <xf numFmtId="172" fontId="16" fillId="0" borderId="0" xfId="0" applyNumberFormat="1" applyFont="1" applyFill="1" applyAlignment="1">
      <alignment horizontal="left" vertical="top" wrapText="1"/>
    </xf>
    <xf numFmtId="173" fontId="0" fillId="0" borderId="0" xfId="0" applyNumberFormat="1" applyFill="1" applyAlignment="1"/>
    <xf numFmtId="167" fontId="16" fillId="0" borderId="0" xfId="0" applyNumberFormat="1" applyFont="1" applyFill="1" applyAlignment="1">
      <alignment vertical="top"/>
    </xf>
    <xf numFmtId="165" fontId="31" fillId="0" borderId="0" xfId="9" applyFont="1" applyAlignment="1"/>
    <xf numFmtId="166" fontId="13" fillId="0" borderId="0" xfId="9" applyNumberFormat="1" applyFont="1" applyAlignment="1"/>
    <xf numFmtId="166" fontId="7" fillId="1" borderId="3" xfId="9" applyNumberFormat="1" applyFont="1" applyFill="1" applyBorder="1" applyAlignment="1"/>
    <xf numFmtId="166" fontId="13" fillId="0" borderId="3" xfId="9" applyNumberFormat="1" applyFont="1" applyBorder="1" applyAlignment="1"/>
    <xf numFmtId="167" fontId="0" fillId="0" borderId="0" xfId="0" applyNumberFormat="1" applyFill="1" applyAlignment="1"/>
    <xf numFmtId="10" fontId="0" fillId="0" borderId="7" xfId="18" applyNumberFormat="1" applyFont="1" applyBorder="1" applyAlignment="1"/>
    <xf numFmtId="174" fontId="16" fillId="0" borderId="0" xfId="0" applyNumberFormat="1" applyFont="1" applyAlignment="1">
      <alignment vertical="top" wrapText="1"/>
    </xf>
    <xf numFmtId="166" fontId="31" fillId="0" borderId="0" xfId="9" applyNumberFormat="1" applyFont="1" applyAlignment="1"/>
    <xf numFmtId="169" fontId="35" fillId="0" borderId="0" xfId="0" applyFont="1" applyAlignment="1"/>
    <xf numFmtId="166" fontId="10" fillId="0" borderId="0" xfId="9" applyNumberFormat="1" applyFont="1"/>
    <xf numFmtId="166" fontId="35" fillId="0" borderId="0" xfId="0" applyNumberFormat="1" applyFont="1" applyAlignment="1"/>
    <xf numFmtId="166" fontId="35" fillId="0" borderId="0" xfId="0" applyNumberFormat="1" applyFont="1" applyBorder="1" applyAlignment="1"/>
    <xf numFmtId="166" fontId="13" fillId="0" borderId="0" xfId="9" applyNumberFormat="1" applyFont="1"/>
    <xf numFmtId="166" fontId="10" fillId="2" borderId="1" xfId="9" applyNumberFormat="1" applyFont="1" applyFill="1" applyBorder="1"/>
    <xf numFmtId="169" fontId="0" fillId="0" borderId="0" xfId="0" quotePrefix="1"/>
    <xf numFmtId="169" fontId="10" fillId="0" borderId="0" xfId="0" applyFont="1"/>
    <xf numFmtId="169" fontId="20" fillId="0" borderId="0" xfId="0" applyFont="1"/>
    <xf numFmtId="9" fontId="10" fillId="2" borderId="1" xfId="18" applyFont="1" applyFill="1" applyBorder="1"/>
    <xf numFmtId="169" fontId="7" fillId="0" borderId="0" xfId="0" applyFont="1" applyFill="1"/>
    <xf numFmtId="166" fontId="8" fillId="0" borderId="0" xfId="0" applyNumberFormat="1" applyFont="1" applyBorder="1" applyAlignment="1"/>
    <xf numFmtId="10" fontId="19" fillId="0" borderId="0" xfId="18" applyNumberFormat="1" applyFont="1" applyAlignment="1"/>
    <xf numFmtId="166" fontId="12" fillId="0" borderId="0" xfId="9" applyNumberFormat="1" applyFont="1" applyFill="1" applyBorder="1" applyAlignment="1"/>
    <xf numFmtId="167" fontId="0" fillId="0" borderId="0" xfId="0" applyNumberFormat="1" applyFill="1" applyBorder="1" applyAlignment="1"/>
    <xf numFmtId="167" fontId="0" fillId="0" borderId="2" xfId="0" applyNumberFormat="1" applyFill="1" applyBorder="1" applyAlignment="1"/>
    <xf numFmtId="165" fontId="42" fillId="0" borderId="0" xfId="9" applyFont="1" applyAlignment="1"/>
    <xf numFmtId="165" fontId="42" fillId="0" borderId="0" xfId="0" applyNumberFormat="1" applyFont="1" applyAlignment="1"/>
    <xf numFmtId="165" fontId="0" fillId="0" borderId="0" xfId="9" applyFont="1"/>
    <xf numFmtId="171" fontId="32" fillId="0" borderId="0" xfId="9" applyNumberFormat="1" applyFont="1" applyAlignment="1"/>
    <xf numFmtId="165" fontId="32" fillId="0" borderId="0" xfId="0" applyNumberFormat="1" applyFont="1" applyAlignment="1"/>
    <xf numFmtId="168" fontId="0" fillId="0" borderId="0" xfId="9" applyNumberFormat="1" applyFont="1"/>
    <xf numFmtId="166" fontId="12" fillId="1" borderId="0" xfId="0" applyNumberFormat="1" applyFont="1" applyFill="1" applyAlignment="1"/>
    <xf numFmtId="169" fontId="7" fillId="1" borderId="0" xfId="0" applyFont="1" applyFill="1" applyBorder="1" applyAlignment="1"/>
    <xf numFmtId="169" fontId="11" fillId="0" borderId="0" xfId="0" applyFont="1" applyBorder="1" applyAlignment="1"/>
    <xf numFmtId="166" fontId="13" fillId="0" borderId="0" xfId="9" applyNumberFormat="1" applyFont="1" applyFill="1" applyBorder="1" applyAlignment="1"/>
    <xf numFmtId="166" fontId="12" fillId="2" borderId="8" xfId="0" applyNumberFormat="1" applyFont="1" applyFill="1" applyBorder="1" applyAlignment="1"/>
    <xf numFmtId="168" fontId="19" fillId="0" borderId="0" xfId="0" applyNumberFormat="1" applyFont="1" applyAlignment="1"/>
    <xf numFmtId="166" fontId="10" fillId="1" borderId="0" xfId="0" applyNumberFormat="1" applyFont="1" applyFill="1" applyBorder="1" applyAlignment="1"/>
    <xf numFmtId="170" fontId="8" fillId="0" borderId="0" xfId="18" applyNumberFormat="1" applyFont="1"/>
    <xf numFmtId="0" fontId="10" fillId="0" borderId="0" xfId="0" applyNumberFormat="1" applyFont="1" applyBorder="1" applyAlignment="1"/>
    <xf numFmtId="0" fontId="10" fillId="0" borderId="0" xfId="0" quotePrefix="1" applyNumberFormat="1" applyFont="1" applyFill="1" applyBorder="1" applyAlignment="1"/>
    <xf numFmtId="169" fontId="10" fillId="0" borderId="0" xfId="0" applyFont="1" applyBorder="1"/>
    <xf numFmtId="0" fontId="10" fillId="0" borderId="0" xfId="0" applyNumberFormat="1" applyFont="1" applyAlignment="1"/>
    <xf numFmtId="0" fontId="0" fillId="0" borderId="0" xfId="0" applyNumberFormat="1" applyAlignment="1">
      <alignment horizontal="left"/>
    </xf>
    <xf numFmtId="166" fontId="23" fillId="0" borderId="0" xfId="9" applyNumberFormat="1" applyFont="1" applyAlignment="1"/>
    <xf numFmtId="9" fontId="12" fillId="0" borderId="0" xfId="18" applyFont="1" applyFill="1" applyBorder="1" applyAlignment="1"/>
    <xf numFmtId="169" fontId="10" fillId="0" borderId="0" xfId="0" applyFont="1" applyFill="1"/>
    <xf numFmtId="166" fontId="10" fillId="0" borderId="0" xfId="9" applyNumberFormat="1" applyFont="1" applyFill="1"/>
    <xf numFmtId="169" fontId="19" fillId="0" borderId="0" xfId="0" applyNumberFormat="1" applyFont="1" applyAlignment="1"/>
    <xf numFmtId="166" fontId="10" fillId="0" borderId="0" xfId="16" applyNumberFormat="1" applyFont="1" applyBorder="1" applyAlignment="1"/>
    <xf numFmtId="169" fontId="8" fillId="0" borderId="0" xfId="0" applyFont="1" applyFill="1"/>
    <xf numFmtId="168" fontId="7" fillId="0" borderId="0" xfId="16" applyNumberFormat="1" applyFont="1" applyAlignment="1"/>
    <xf numFmtId="169" fontId="11" fillId="0" borderId="0" xfId="0" applyFont="1" applyFill="1"/>
    <xf numFmtId="167" fontId="0" fillId="0" borderId="0" xfId="0" applyNumberFormat="1"/>
    <xf numFmtId="0" fontId="8" fillId="0" borderId="0" xfId="0" applyNumberFormat="1" applyFont="1"/>
    <xf numFmtId="0" fontId="0" fillId="0" borderId="0" xfId="0" applyNumberFormat="1"/>
    <xf numFmtId="166" fontId="23" fillId="0" borderId="0" xfId="9" applyNumberFormat="1" applyFont="1"/>
    <xf numFmtId="166" fontId="19" fillId="0" borderId="0" xfId="9" applyNumberFormat="1" applyFont="1"/>
    <xf numFmtId="167" fontId="44" fillId="0" borderId="0" xfId="0" applyNumberFormat="1" applyFont="1" applyAlignment="1">
      <alignment vertical="top"/>
    </xf>
    <xf numFmtId="10" fontId="0" fillId="0" borderId="0" xfId="18" applyNumberFormat="1" applyFont="1"/>
    <xf numFmtId="9" fontId="10" fillId="0" borderId="0" xfId="18" applyFont="1" applyFill="1" applyBorder="1"/>
    <xf numFmtId="166" fontId="31" fillId="0" borderId="0" xfId="9" applyNumberFormat="1" applyFont="1"/>
    <xf numFmtId="166" fontId="31" fillId="0" borderId="0" xfId="0" applyNumberFormat="1" applyFont="1" applyAlignment="1"/>
    <xf numFmtId="169" fontId="31" fillId="0" borderId="0" xfId="0" applyFont="1"/>
    <xf numFmtId="9" fontId="31" fillId="0" borderId="0" xfId="18" applyFont="1"/>
    <xf numFmtId="169" fontId="30" fillId="0" borderId="0" xfId="0" applyFont="1" applyFill="1" applyBorder="1" applyAlignment="1">
      <alignment horizontal="center"/>
    </xf>
    <xf numFmtId="166" fontId="19" fillId="0" borderId="0" xfId="9" applyNumberFormat="1" applyFont="1" applyAlignment="1"/>
    <xf numFmtId="165" fontId="10" fillId="0" borderId="0" xfId="9" applyFont="1" applyAlignment="1"/>
    <xf numFmtId="0" fontId="7" fillId="0" borderId="0" xfId="0" applyNumberFormat="1" applyFont="1"/>
    <xf numFmtId="9" fontId="7" fillId="0" borderId="0" xfId="18" applyFont="1"/>
    <xf numFmtId="166" fontId="7" fillId="1" borderId="0" xfId="0" applyNumberFormat="1" applyFont="1" applyFill="1" applyAlignment="1">
      <alignment horizontal="center"/>
    </xf>
    <xf numFmtId="9" fontId="13" fillId="0" borderId="0" xfId="18" applyFont="1"/>
    <xf numFmtId="167" fontId="44" fillId="0" borderId="0" xfId="0" applyNumberFormat="1" applyFont="1" applyFill="1" applyAlignment="1">
      <alignment vertical="top" wrapText="1"/>
    </xf>
    <xf numFmtId="167" fontId="44" fillId="0" borderId="0" xfId="0" applyNumberFormat="1" applyFont="1" applyFill="1" applyAlignment="1">
      <alignment vertical="top"/>
    </xf>
    <xf numFmtId="9" fontId="7" fillId="0" borderId="0" xfId="18" applyNumberFormat="1" applyFont="1" applyAlignment="1">
      <alignment horizontal="right"/>
    </xf>
    <xf numFmtId="9" fontId="13" fillId="0" borderId="0" xfId="18" applyNumberFormat="1" applyFont="1" applyAlignment="1">
      <alignment horizontal="right"/>
    </xf>
    <xf numFmtId="0" fontId="11" fillId="0" borderId="0" xfId="0" quotePrefix="1" applyNumberFormat="1" applyFont="1" applyAlignment="1"/>
    <xf numFmtId="168" fontId="21" fillId="0" borderId="0" xfId="9" applyNumberFormat="1" applyFont="1" applyAlignment="1"/>
    <xf numFmtId="169" fontId="0" fillId="1" borderId="0" xfId="0" applyFill="1" applyBorder="1" applyAlignment="1"/>
    <xf numFmtId="169" fontId="48" fillId="0" borderId="0" xfId="0" applyFont="1" applyAlignment="1"/>
    <xf numFmtId="168" fontId="8" fillId="0" borderId="0" xfId="0" applyNumberFormat="1" applyFont="1" applyAlignment="1"/>
    <xf numFmtId="168" fontId="8" fillId="0" borderId="0" xfId="0" applyNumberFormat="1" applyFont="1" applyFill="1" applyAlignment="1"/>
    <xf numFmtId="168" fontId="0" fillId="0" borderId="0" xfId="0" applyNumberFormat="1"/>
    <xf numFmtId="166" fontId="48" fillId="0" borderId="0" xfId="0" applyNumberFormat="1" applyFont="1" applyAlignment="1"/>
    <xf numFmtId="169" fontId="49" fillId="0" borderId="0" xfId="0" applyFont="1" applyAlignment="1"/>
    <xf numFmtId="169" fontId="54" fillId="0" borderId="0" xfId="0" applyFont="1" applyAlignment="1"/>
    <xf numFmtId="166" fontId="19" fillId="0" borderId="0" xfId="9" applyNumberFormat="1" applyFont="1" applyBorder="1"/>
    <xf numFmtId="169" fontId="49" fillId="0" borderId="0" xfId="13" applyFont="1" applyBorder="1" applyAlignment="1"/>
    <xf numFmtId="168" fontId="0" fillId="0" borderId="0" xfId="0" applyNumberFormat="1" applyFill="1" applyAlignment="1"/>
    <xf numFmtId="168" fontId="10" fillId="1" borderId="0" xfId="9" applyNumberFormat="1" applyFont="1" applyFill="1" applyBorder="1" applyAlignment="1"/>
    <xf numFmtId="166" fontId="55" fillId="0" borderId="0" xfId="0" applyNumberFormat="1" applyFont="1" applyAlignment="1"/>
    <xf numFmtId="170" fontId="55" fillId="0" borderId="0" xfId="18" applyNumberFormat="1" applyFont="1"/>
    <xf numFmtId="169" fontId="55" fillId="0" borderId="0" xfId="0" applyFont="1"/>
    <xf numFmtId="166" fontId="55" fillId="2" borderId="1" xfId="0" applyNumberFormat="1" applyFont="1" applyFill="1" applyBorder="1" applyAlignment="1"/>
    <xf numFmtId="170" fontId="2" fillId="2" borderId="1" xfId="18" applyNumberFormat="1" applyFont="1" applyFill="1" applyBorder="1" applyAlignment="1"/>
    <xf numFmtId="166" fontId="0" fillId="0" borderId="0" xfId="0" applyNumberFormat="1" applyAlignment="1">
      <alignment horizontal="right"/>
    </xf>
    <xf numFmtId="166" fontId="56" fillId="0" borderId="0" xfId="0" applyNumberFormat="1" applyFont="1" applyAlignment="1"/>
    <xf numFmtId="9" fontId="2" fillId="0" borderId="0" xfId="18" applyNumberFormat="1" applyFont="1" applyAlignment="1"/>
    <xf numFmtId="169" fontId="8" fillId="0" borderId="6" xfId="0" applyFont="1" applyFill="1" applyBorder="1" applyAlignment="1">
      <alignment horizontal="centerContinuous"/>
    </xf>
    <xf numFmtId="169" fontId="8" fillId="0" borderId="6" xfId="0" applyFont="1" applyFill="1" applyBorder="1" applyAlignment="1">
      <alignment horizontal="center"/>
    </xf>
    <xf numFmtId="166" fontId="55" fillId="2" borderId="1" xfId="9" applyNumberFormat="1" applyFont="1" applyFill="1" applyBorder="1" applyAlignment="1"/>
    <xf numFmtId="166" fontId="10" fillId="0" borderId="0" xfId="9" applyNumberFormat="1" applyFont="1" applyAlignment="1">
      <alignment horizontal="right"/>
    </xf>
    <xf numFmtId="168" fontId="0" fillId="0" borderId="0" xfId="9" applyNumberFormat="1" applyFont="1" applyAlignment="1">
      <alignment horizontal="right"/>
    </xf>
    <xf numFmtId="168" fontId="7" fillId="0" borderId="0" xfId="9" applyNumberFormat="1" applyFont="1" applyAlignment="1">
      <alignment horizontal="right"/>
    </xf>
    <xf numFmtId="168" fontId="13" fillId="0" borderId="0" xfId="9" applyNumberFormat="1" applyFont="1" applyAlignment="1">
      <alignment horizontal="right"/>
    </xf>
    <xf numFmtId="0" fontId="2" fillId="0" borderId="0" xfId="0" applyNumberFormat="1" applyFont="1" applyFill="1" applyBorder="1" applyAlignment="1"/>
    <xf numFmtId="9" fontId="55" fillId="2" borderId="1" xfId="18" applyNumberFormat="1" applyFont="1" applyFill="1" applyBorder="1" applyAlignment="1"/>
    <xf numFmtId="9" fontId="10" fillId="0" borderId="0" xfId="18" applyNumberFormat="1" applyFont="1" applyAlignment="1"/>
    <xf numFmtId="168" fontId="52" fillId="4" borderId="0" xfId="9" applyNumberFormat="1" applyFont="1" applyFill="1"/>
    <xf numFmtId="166" fontId="57" fillId="2" borderId="1" xfId="9" applyNumberFormat="1" applyFont="1" applyFill="1" applyBorder="1" applyAlignment="1"/>
    <xf numFmtId="168" fontId="55" fillId="2" borderId="1" xfId="9" applyNumberFormat="1" applyFont="1" applyFill="1" applyBorder="1" applyAlignment="1"/>
    <xf numFmtId="168" fontId="2" fillId="0" borderId="0" xfId="9" applyNumberFormat="1" applyFont="1" applyAlignment="1">
      <alignment horizontal="right"/>
    </xf>
    <xf numFmtId="166" fontId="2" fillId="0" borderId="0" xfId="9" applyNumberFormat="1" applyFont="1" applyAlignment="1">
      <alignment horizontal="right"/>
    </xf>
    <xf numFmtId="0" fontId="2" fillId="0" borderId="0" xfId="12"/>
    <xf numFmtId="170" fontId="2" fillId="2" borderId="1" xfId="18" applyNumberFormat="1" applyFont="1" applyFill="1" applyBorder="1"/>
    <xf numFmtId="9" fontId="2" fillId="2" borderId="1" xfId="18" applyFont="1" applyFill="1" applyBorder="1" applyAlignment="1"/>
    <xf numFmtId="168" fontId="2" fillId="2" borderId="1" xfId="0" applyNumberFormat="1" applyFont="1" applyFill="1" applyBorder="1" applyAlignment="1"/>
    <xf numFmtId="181" fontId="0" fillId="0" borderId="0" xfId="9" applyNumberFormat="1" applyFont="1" applyAlignment="1"/>
    <xf numFmtId="181" fontId="2" fillId="0" borderId="0" xfId="9" applyNumberFormat="1" applyFont="1" applyAlignment="1"/>
    <xf numFmtId="165" fontId="10" fillId="2" borderId="1" xfId="9" applyFont="1" applyFill="1" applyBorder="1" applyAlignment="1"/>
    <xf numFmtId="166" fontId="2" fillId="3" borderId="0" xfId="0" applyNumberFormat="1" applyFont="1" applyFill="1" applyAlignment="1"/>
    <xf numFmtId="0" fontId="2" fillId="3" borderId="0" xfId="0" applyNumberFormat="1" applyFont="1" applyFill="1" applyAlignment="1">
      <alignment horizontal="left" vertical="center"/>
    </xf>
    <xf numFmtId="173" fontId="2" fillId="0" borderId="0" xfId="0" applyNumberFormat="1" applyFont="1" applyAlignment="1"/>
    <xf numFmtId="173" fontId="2" fillId="0" borderId="0" xfId="0" applyNumberFormat="1" applyFont="1" applyFill="1" applyAlignment="1"/>
    <xf numFmtId="169" fontId="2" fillId="0" borderId="0" xfId="0" applyFont="1" applyBorder="1"/>
    <xf numFmtId="169" fontId="2" fillId="0" borderId="0" xfId="0" applyFont="1" applyFill="1"/>
    <xf numFmtId="167" fontId="2" fillId="0" borderId="0" xfId="0" applyNumberFormat="1" applyFont="1" applyAlignment="1">
      <alignment vertical="top" wrapText="1"/>
    </xf>
    <xf numFmtId="169" fontId="54" fillId="0" borderId="0" xfId="0" applyFont="1" applyFill="1" applyBorder="1" applyAlignment="1"/>
    <xf numFmtId="167" fontId="54" fillId="0" borderId="0" xfId="0" applyNumberFormat="1" applyFont="1" applyFill="1" applyBorder="1" applyAlignment="1"/>
    <xf numFmtId="166" fontId="54" fillId="0" borderId="0" xfId="0" applyNumberFormat="1" applyFont="1" applyFill="1" applyAlignment="1"/>
    <xf numFmtId="166" fontId="19" fillId="0" borderId="0" xfId="18" applyNumberFormat="1" applyFont="1" applyAlignment="1"/>
    <xf numFmtId="166" fontId="54" fillId="0" borderId="0" xfId="9" applyNumberFormat="1" applyFont="1"/>
    <xf numFmtId="166" fontId="54" fillId="0" borderId="0" xfId="9" applyNumberFormat="1" applyFont="1" applyAlignment="1"/>
    <xf numFmtId="0" fontId="2" fillId="0" borderId="0" xfId="0" applyNumberFormat="1" applyFont="1" applyBorder="1" applyAlignment="1"/>
    <xf numFmtId="169" fontId="35" fillId="0" borderId="0" xfId="0" applyNumberFormat="1" applyFont="1"/>
    <xf numFmtId="169" fontId="35" fillId="0" borderId="0" xfId="9" applyNumberFormat="1" applyFont="1"/>
    <xf numFmtId="169" fontId="35" fillId="0" borderId="0" xfId="9" applyNumberFormat="1" applyFont="1" applyBorder="1"/>
    <xf numFmtId="181" fontId="0" fillId="2" borderId="0" xfId="9" applyNumberFormat="1" applyFont="1" applyFill="1" applyAlignment="1"/>
    <xf numFmtId="165" fontId="10" fillId="0" borderId="0" xfId="0" applyNumberFormat="1" applyFont="1" applyFill="1" applyAlignment="1"/>
    <xf numFmtId="165" fontId="10" fillId="0" borderId="0" xfId="9" applyNumberFormat="1" applyFont="1" applyFill="1" applyAlignment="1"/>
    <xf numFmtId="166" fontId="11" fillId="0" borderId="0" xfId="9" applyNumberFormat="1" applyFont="1" applyFill="1" applyAlignment="1"/>
    <xf numFmtId="168" fontId="10" fillId="0" borderId="0" xfId="9" applyNumberFormat="1" applyFont="1" applyFill="1" applyAlignment="1"/>
    <xf numFmtId="165" fontId="2" fillId="0" borderId="0" xfId="9" applyNumberFormat="1" applyFill="1" applyAlignment="1"/>
    <xf numFmtId="168" fontId="2" fillId="0" borderId="0" xfId="9" applyNumberFormat="1" applyFill="1" applyAlignment="1"/>
    <xf numFmtId="180" fontId="0" fillId="0" borderId="0" xfId="0" applyNumberFormat="1" applyAlignment="1"/>
    <xf numFmtId="168" fontId="55" fillId="0" borderId="0" xfId="9" applyNumberFormat="1" applyFont="1"/>
    <xf numFmtId="9" fontId="55" fillId="0" borderId="0" xfId="18" applyFont="1"/>
    <xf numFmtId="168" fontId="55" fillId="4" borderId="0" xfId="9" applyNumberFormat="1" applyFont="1" applyFill="1"/>
    <xf numFmtId="168" fontId="59" fillId="0" borderId="0" xfId="9" applyNumberFormat="1" applyFont="1" applyAlignment="1"/>
    <xf numFmtId="9" fontId="54" fillId="0" borderId="0" xfId="18" applyFont="1" applyAlignment="1"/>
    <xf numFmtId="167" fontId="59" fillId="0" borderId="0" xfId="0" applyNumberFormat="1" applyFont="1"/>
    <xf numFmtId="174" fontId="54" fillId="0" borderId="0" xfId="0" applyNumberFormat="1" applyFont="1"/>
    <xf numFmtId="165" fontId="0" fillId="0" borderId="0" xfId="0" applyNumberFormat="1" applyAlignment="1"/>
    <xf numFmtId="169" fontId="10" fillId="1" borderId="3" xfId="0" applyFont="1" applyFill="1" applyBorder="1" applyAlignment="1"/>
    <xf numFmtId="169" fontId="10" fillId="0" borderId="3" xfId="0" applyFont="1" applyBorder="1" applyAlignment="1"/>
    <xf numFmtId="168" fontId="60" fillId="0" borderId="0" xfId="0" applyNumberFormat="1" applyFont="1" applyAlignment="1"/>
    <xf numFmtId="168" fontId="59" fillId="0" borderId="0" xfId="0" applyNumberFormat="1" applyFont="1" applyAlignment="1"/>
    <xf numFmtId="166" fontId="13" fillId="2" borderId="1" xfId="9" applyNumberFormat="1" applyFont="1" applyFill="1" applyBorder="1" applyAlignment="1"/>
    <xf numFmtId="166" fontId="7" fillId="0" borderId="0" xfId="9" applyNumberFormat="1" applyFont="1" applyAlignment="1"/>
    <xf numFmtId="168" fontId="10" fillId="0" borderId="0" xfId="9" applyNumberFormat="1" applyFont="1" applyAlignment="1">
      <alignment horizontal="right"/>
    </xf>
    <xf numFmtId="165" fontId="10" fillId="2" borderId="1" xfId="9" applyNumberFormat="1" applyFont="1" applyFill="1" applyBorder="1" applyAlignment="1"/>
    <xf numFmtId="165" fontId="2" fillId="0" borderId="0" xfId="9" applyNumberFormat="1" applyAlignment="1"/>
    <xf numFmtId="165" fontId="10" fillId="0" borderId="0" xfId="9" applyNumberFormat="1" applyFont="1" applyAlignment="1"/>
    <xf numFmtId="168" fontId="13" fillId="0" borderId="0" xfId="9" applyNumberFormat="1" applyFont="1" applyAlignment="1">
      <alignment horizontal="right"/>
    </xf>
    <xf numFmtId="182" fontId="10" fillId="0" borderId="0" xfId="9" applyNumberFormat="1" applyFont="1" applyAlignment="1"/>
    <xf numFmtId="182" fontId="10" fillId="0" borderId="0" xfId="9" applyNumberFormat="1" applyFont="1" applyAlignment="1">
      <alignment horizontal="right"/>
    </xf>
    <xf numFmtId="166" fontId="2" fillId="0" borderId="0" xfId="25" applyNumberFormat="1" applyFont="1" applyAlignment="1"/>
    <xf numFmtId="166" fontId="2" fillId="0" borderId="0" xfId="26" applyNumberFormat="1" applyFont="1" applyAlignment="1"/>
    <xf numFmtId="169" fontId="0" fillId="0" borderId="0" xfId="0" applyAlignment="1">
      <alignment horizontal="right"/>
    </xf>
    <xf numFmtId="169" fontId="8" fillId="0" borderId="0" xfId="0" applyFont="1" applyAlignment="1">
      <alignment horizontal="right"/>
    </xf>
    <xf numFmtId="9" fontId="10" fillId="0" borderId="0" xfId="18" applyFont="1" applyAlignment="1">
      <alignment horizontal="right"/>
    </xf>
    <xf numFmtId="9" fontId="0" fillId="0" borderId="0" xfId="18" applyFont="1" applyAlignment="1">
      <alignment horizontal="right"/>
    </xf>
    <xf numFmtId="9" fontId="0" fillId="0" borderId="0" xfId="18" applyFont="1" applyFill="1"/>
    <xf numFmtId="166" fontId="11" fillId="0" borderId="0" xfId="0" applyNumberFormat="1" applyFont="1" applyFill="1" applyBorder="1" applyAlignment="1"/>
    <xf numFmtId="178" fontId="3" fillId="0" borderId="0" xfId="0" applyNumberFormat="1" applyFont="1" applyFill="1" applyBorder="1" applyAlignment="1">
      <alignment horizontal="right"/>
    </xf>
    <xf numFmtId="169" fontId="7" fillId="0" borderId="0" xfId="0" applyFont="1" applyFill="1" applyBorder="1"/>
    <xf numFmtId="168" fontId="0" fillId="0" borderId="0" xfId="18" applyNumberFormat="1" applyFont="1" applyFill="1" applyAlignment="1"/>
    <xf numFmtId="168" fontId="0" fillId="0" borderId="0" xfId="0" applyNumberFormat="1" applyAlignment="1">
      <alignment horizontal="center"/>
    </xf>
    <xf numFmtId="170" fontId="54" fillId="0" borderId="0" xfId="18" applyNumberFormat="1" applyFont="1" applyAlignment="1"/>
    <xf numFmtId="166" fontId="35" fillId="0" borderId="0" xfId="0" applyNumberFormat="1" applyFont="1" applyFill="1" applyAlignment="1"/>
    <xf numFmtId="9" fontId="10" fillId="0" borderId="0" xfId="18" applyNumberFormat="1" applyFont="1" applyFill="1" applyAlignment="1"/>
    <xf numFmtId="170" fontId="58" fillId="0" borderId="0" xfId="18" applyNumberFormat="1" applyFont="1"/>
    <xf numFmtId="166" fontId="2" fillId="0" borderId="0" xfId="9" applyNumberFormat="1" applyFont="1"/>
    <xf numFmtId="181" fontId="19" fillId="0" borderId="0" xfId="9" applyNumberFormat="1" applyFont="1" applyAlignment="1"/>
    <xf numFmtId="181" fontId="19" fillId="0" borderId="0" xfId="18" applyNumberFormat="1" applyFont="1" applyAlignment="1"/>
    <xf numFmtId="9" fontId="2" fillId="0" borderId="0" xfId="18" applyFont="1"/>
    <xf numFmtId="9" fontId="10" fillId="0" borderId="0" xfId="18" applyFont="1"/>
    <xf numFmtId="166" fontId="0" fillId="0" borderId="0" xfId="9" applyNumberFormat="1" applyFont="1" applyFill="1" applyAlignment="1"/>
    <xf numFmtId="166" fontId="2" fillId="0" borderId="0" xfId="25" applyNumberFormat="1" applyFont="1" applyFill="1" applyAlignment="1"/>
    <xf numFmtId="165" fontId="59" fillId="0" borderId="0" xfId="0" applyNumberFormat="1" applyFont="1" applyAlignment="1"/>
    <xf numFmtId="166" fontId="54" fillId="0" borderId="0" xfId="0" applyNumberFormat="1" applyFont="1" applyAlignment="1"/>
    <xf numFmtId="9" fontId="54" fillId="0" borderId="0" xfId="18" applyFont="1"/>
    <xf numFmtId="169" fontId="8" fillId="0" borderId="0" xfId="0" applyFont="1" applyFill="1" applyBorder="1" applyAlignment="1"/>
    <xf numFmtId="169" fontId="23" fillId="1" borderId="0" xfId="0" applyFont="1" applyFill="1" applyAlignment="1"/>
    <xf numFmtId="169" fontId="23" fillId="0" borderId="0" xfId="0" applyFont="1" applyFill="1" applyAlignment="1"/>
    <xf numFmtId="9" fontId="42" fillId="0" borderId="0" xfId="18" applyFont="1" applyAlignment="1"/>
    <xf numFmtId="9" fontId="32" fillId="0" borderId="0" xfId="18" applyFont="1" applyAlignment="1"/>
    <xf numFmtId="168" fontId="2" fillId="4" borderId="0" xfId="9" applyNumberFormat="1" applyFont="1" applyFill="1"/>
    <xf numFmtId="183" fontId="0" fillId="0" borderId="0" xfId="0" applyNumberFormat="1"/>
    <xf numFmtId="182" fontId="8" fillId="0" borderId="0" xfId="9" applyNumberFormat="1" applyFont="1"/>
    <xf numFmtId="182" fontId="0" fillId="0" borderId="0" xfId="9" applyNumberFormat="1" applyFont="1"/>
    <xf numFmtId="178" fontId="3" fillId="3" borderId="0" xfId="12" applyNumberFormat="1" applyFont="1" applyFill="1" applyAlignment="1">
      <alignment horizontal="right"/>
    </xf>
    <xf numFmtId="182" fontId="0" fillId="0" borderId="0" xfId="9" applyNumberFormat="1" applyFont="1" applyAlignment="1"/>
    <xf numFmtId="169" fontId="27" fillId="0" borderId="0" xfId="11" applyNumberFormat="1" applyAlignment="1" applyProtection="1"/>
    <xf numFmtId="0" fontId="0" fillId="0" borderId="0" xfId="9" applyNumberFormat="1" applyFont="1"/>
    <xf numFmtId="182" fontId="2" fillId="0" borderId="0" xfId="9" applyNumberFormat="1" applyAlignment="1"/>
    <xf numFmtId="182" fontId="2" fillId="1" borderId="0" xfId="9" applyNumberFormat="1" applyFill="1" applyAlignment="1"/>
    <xf numFmtId="182" fontId="0" fillId="1" borderId="0" xfId="9" applyNumberFormat="1" applyFont="1" applyFill="1" applyBorder="1" applyAlignment="1"/>
    <xf numFmtId="182" fontId="0" fillId="1" borderId="0" xfId="9" applyNumberFormat="1" applyFont="1" applyFill="1" applyAlignment="1"/>
    <xf numFmtId="182" fontId="16" fillId="0" borderId="0" xfId="9" applyNumberFormat="1" applyFont="1" applyAlignment="1">
      <alignment horizontal="right"/>
    </xf>
    <xf numFmtId="182" fontId="55" fillId="2" borderId="1" xfId="9" applyNumberFormat="1" applyFont="1" applyFill="1" applyBorder="1" applyAlignment="1"/>
    <xf numFmtId="182" fontId="2" fillId="0" borderId="0" xfId="9" applyNumberFormat="1" applyFont="1" applyAlignment="1">
      <alignment horizontal="right"/>
    </xf>
    <xf numFmtId="165" fontId="59" fillId="0" borderId="0" xfId="9" applyNumberFormat="1" applyFont="1" applyAlignment="1"/>
    <xf numFmtId="165" fontId="0" fillId="1" borderId="0" xfId="9" applyFont="1" applyFill="1" applyAlignment="1">
      <alignment horizontal="center"/>
    </xf>
    <xf numFmtId="181" fontId="0" fillId="0" borderId="0" xfId="9" applyNumberFormat="1" applyFont="1"/>
    <xf numFmtId="169" fontId="7" fillId="0" borderId="3" xfId="0" applyFont="1" applyBorder="1"/>
    <xf numFmtId="169" fontId="62" fillId="0" borderId="0" xfId="28" applyNumberFormat="1" applyFill="1" applyAlignment="1"/>
    <xf numFmtId="166" fontId="62" fillId="0" borderId="0" xfId="28" applyNumberFormat="1" applyFill="1" applyAlignment="1"/>
    <xf numFmtId="169" fontId="13" fillId="0" borderId="0" xfId="0" applyFont="1" applyFill="1" applyBorder="1" applyAlignment="1"/>
    <xf numFmtId="169" fontId="54" fillId="0" borderId="0" xfId="0" applyFont="1"/>
    <xf numFmtId="165" fontId="10" fillId="0" borderId="0" xfId="0" applyNumberFormat="1" applyFont="1" applyAlignment="1"/>
    <xf numFmtId="165" fontId="0" fillId="0" borderId="0" xfId="0" applyNumberFormat="1" applyAlignment="1"/>
    <xf numFmtId="165" fontId="13" fillId="0" borderId="0" xfId="0" applyNumberFormat="1" applyFont="1" applyAlignment="1"/>
    <xf numFmtId="165" fontId="7" fillId="0" borderId="0" xfId="0" applyNumberFormat="1" applyFont="1" applyAlignment="1"/>
    <xf numFmtId="165" fontId="2" fillId="0" borderId="0" xfId="0" applyNumberFormat="1" applyFont="1" applyAlignment="1"/>
    <xf numFmtId="170" fontId="10" fillId="0" borderId="0" xfId="18" applyNumberFormat="1" applyFont="1" applyBorder="1" applyAlignment="1"/>
    <xf numFmtId="170" fontId="13" fillId="0" borderId="0" xfId="18" applyNumberFormat="1" applyFont="1" applyBorder="1" applyAlignment="1"/>
    <xf numFmtId="0" fontId="63" fillId="0" borderId="0" xfId="0" applyNumberFormat="1" applyFont="1" applyBorder="1" applyAlignment="1"/>
    <xf numFmtId="182" fontId="10" fillId="0" borderId="0" xfId="16" applyNumberFormat="1" applyFont="1" applyAlignment="1"/>
    <xf numFmtId="174" fontId="0" fillId="0" borderId="0" xfId="0" applyNumberFormat="1"/>
    <xf numFmtId="174" fontId="2" fillId="0" borderId="0" xfId="0" applyNumberFormat="1" applyFont="1"/>
    <xf numFmtId="165" fontId="2" fillId="0" borderId="0" xfId="9" applyNumberFormat="1" applyAlignment="1"/>
    <xf numFmtId="168" fontId="7" fillId="0" borderId="0" xfId="0" applyNumberFormat="1" applyFont="1" applyAlignment="1"/>
    <xf numFmtId="169" fontId="7" fillId="0" borderId="0" xfId="0" applyFont="1" applyFill="1" applyBorder="1" applyAlignment="1"/>
    <xf numFmtId="0" fontId="61" fillId="3" borderId="0" xfId="0" applyNumberFormat="1" applyFont="1" applyFill="1" applyAlignment="1">
      <alignment horizontal="left" vertical="center"/>
    </xf>
    <xf numFmtId="169" fontId="2" fillId="7" borderId="0" xfId="0" applyFont="1" applyFill="1" applyAlignment="1"/>
    <xf numFmtId="169" fontId="2" fillId="7" borderId="0" xfId="24" applyFont="1" applyFill="1" applyAlignment="1"/>
    <xf numFmtId="166" fontId="57" fillId="0" borderId="0" xfId="9" applyNumberFormat="1" applyFont="1" applyAlignment="1"/>
    <xf numFmtId="9" fontId="46" fillId="0" borderId="0" xfId="18" applyFont="1" applyAlignment="1"/>
    <xf numFmtId="0" fontId="2" fillId="0" borderId="0" xfId="0" applyNumberFormat="1" applyFont="1" applyAlignment="1">
      <alignment horizontal="left"/>
    </xf>
    <xf numFmtId="178" fontId="3" fillId="3" borderId="0" xfId="0" applyNumberFormat="1" applyFont="1" applyFill="1" applyAlignment="1">
      <alignment horizontal="left"/>
    </xf>
    <xf numFmtId="169" fontId="2" fillId="0" borderId="0" xfId="0" quotePrefix="1" applyFont="1"/>
    <xf numFmtId="169" fontId="2" fillId="0" borderId="0" xfId="0" quotePrefix="1" applyFont="1" applyFill="1"/>
    <xf numFmtId="1" fontId="0" fillId="0" borderId="0" xfId="0" applyNumberFormat="1"/>
    <xf numFmtId="169" fontId="59" fillId="0" borderId="0" xfId="0" applyFont="1" applyAlignment="1"/>
    <xf numFmtId="170" fontId="12" fillId="0" borderId="0" xfId="18" applyNumberFormat="1" applyFont="1" applyFill="1" applyBorder="1" applyAlignment="1"/>
    <xf numFmtId="181" fontId="12" fillId="0" borderId="0" xfId="9" applyNumberFormat="1" applyFont="1" applyFill="1" applyBorder="1" applyAlignment="1"/>
    <xf numFmtId="166" fontId="53" fillId="2" borderId="1" xfId="0" applyNumberFormat="1" applyFont="1" applyFill="1" applyBorder="1" applyAlignment="1"/>
    <xf numFmtId="181" fontId="12" fillId="2" borderId="1" xfId="0" applyNumberFormat="1" applyFont="1" applyFill="1" applyBorder="1" applyAlignment="1"/>
    <xf numFmtId="169" fontId="65" fillId="0" borderId="0" xfId="0" applyFont="1"/>
    <xf numFmtId="169" fontId="57" fillId="0" borderId="0" xfId="0" applyFont="1"/>
    <xf numFmtId="166" fontId="53" fillId="0" borderId="0" xfId="9" applyNumberFormat="1" applyFont="1"/>
    <xf numFmtId="166" fontId="7" fillId="0" borderId="0" xfId="18" applyNumberFormat="1" applyFont="1"/>
    <xf numFmtId="166" fontId="64" fillId="0" borderId="0" xfId="0" applyNumberFormat="1" applyFont="1" applyAlignment="1"/>
    <xf numFmtId="166" fontId="64" fillId="0" borderId="5" xfId="0" applyNumberFormat="1" applyFont="1" applyBorder="1" applyAlignment="1"/>
    <xf numFmtId="166" fontId="7" fillId="1" borderId="0" xfId="0" applyNumberFormat="1" applyFont="1" applyFill="1" applyBorder="1" applyAlignment="1"/>
    <xf numFmtId="166" fontId="13" fillId="1" borderId="0" xfId="0" applyNumberFormat="1" applyFont="1" applyFill="1" applyBorder="1" applyAlignment="1"/>
    <xf numFmtId="166" fontId="53" fillId="0" borderId="0" xfId="0" applyNumberFormat="1" applyFont="1" applyAlignment="1"/>
    <xf numFmtId="169" fontId="0" fillId="0" borderId="3" xfId="0" applyBorder="1"/>
    <xf numFmtId="9" fontId="55" fillId="0" borderId="0" xfId="18" applyFont="1" applyAlignment="1"/>
    <xf numFmtId="166" fontId="53" fillId="0" borderId="0" xfId="0" applyNumberFormat="1" applyFont="1" applyFill="1" applyAlignment="1"/>
    <xf numFmtId="9" fontId="8" fillId="0" borderId="0" xfId="18" applyFont="1"/>
    <xf numFmtId="9" fontId="58" fillId="0" borderId="0" xfId="18" applyFont="1"/>
    <xf numFmtId="9" fontId="13" fillId="0" borderId="0" xfId="18" applyFont="1" applyAlignment="1">
      <alignment horizontal="right"/>
    </xf>
    <xf numFmtId="9" fontId="58" fillId="0" borderId="0" xfId="18" applyFont="1" applyAlignment="1">
      <alignment horizontal="right"/>
    </xf>
    <xf numFmtId="0" fontId="24" fillId="0" borderId="0" xfId="15" applyFont="1" applyAlignment="1"/>
    <xf numFmtId="169" fontId="2" fillId="2" borderId="0" xfId="0" applyFont="1" applyFill="1" applyAlignment="1"/>
    <xf numFmtId="182" fontId="0" fillId="2" borderId="0" xfId="9" applyNumberFormat="1" applyFont="1" applyFill="1" applyAlignment="1"/>
    <xf numFmtId="0" fontId="2" fillId="0" borderId="0" xfId="15" applyFont="1" applyBorder="1"/>
    <xf numFmtId="166" fontId="16" fillId="2" borderId="0" xfId="9" applyNumberFormat="1" applyFont="1" applyFill="1" applyAlignment="1">
      <alignment vertical="top" wrapText="1"/>
    </xf>
    <xf numFmtId="0" fontId="66" fillId="0" borderId="0" xfId="11" applyNumberFormat="1" applyFont="1" applyAlignment="1" applyProtection="1"/>
    <xf numFmtId="169" fontId="25" fillId="0" borderId="0" xfId="11" applyNumberFormat="1" applyFont="1" applyAlignment="1" applyProtection="1"/>
    <xf numFmtId="9" fontId="8" fillId="0" borderId="0" xfId="18" applyFont="1" applyAlignment="1"/>
    <xf numFmtId="166" fontId="1" fillId="0" borderId="0" xfId="0" applyNumberFormat="1" applyFont="1" applyAlignment="1"/>
    <xf numFmtId="169" fontId="2" fillId="5" borderId="0" xfId="0" applyFont="1" applyFill="1" applyAlignment="1"/>
    <xf numFmtId="166" fontId="2" fillId="1" borderId="0" xfId="0" applyNumberFormat="1" applyFont="1" applyFill="1" applyAlignment="1"/>
    <xf numFmtId="181" fontId="0" fillId="0" borderId="0" xfId="9" applyNumberFormat="1" applyFont="1" applyFill="1" applyAlignment="1"/>
    <xf numFmtId="169" fontId="67" fillId="0" borderId="0" xfId="0" applyFont="1" applyAlignment="1"/>
    <xf numFmtId="169" fontId="67" fillId="1" borderId="0" xfId="0" applyFont="1" applyFill="1" applyAlignment="1"/>
    <xf numFmtId="166" fontId="67" fillId="0" borderId="0" xfId="9" applyNumberFormat="1" applyFont="1" applyAlignment="1"/>
    <xf numFmtId="169" fontId="68" fillId="0" borderId="0" xfId="0" applyFont="1"/>
    <xf numFmtId="169" fontId="67" fillId="0" borderId="0" xfId="0" applyFont="1"/>
    <xf numFmtId="0" fontId="7" fillId="0" borderId="0" xfId="0" applyNumberFormat="1" applyFont="1" applyAlignment="1">
      <alignment horizontal="left"/>
    </xf>
    <xf numFmtId="167" fontId="7" fillId="0" borderId="0" xfId="0" applyNumberFormat="1" applyFont="1"/>
    <xf numFmtId="182" fontId="0" fillId="0" borderId="0" xfId="9" applyNumberFormat="1" applyFont="1" applyFill="1" applyBorder="1" applyAlignment="1"/>
    <xf numFmtId="182" fontId="0" fillId="0" borderId="2" xfId="9" applyNumberFormat="1" applyFont="1" applyFill="1" applyBorder="1" applyAlignment="1"/>
    <xf numFmtId="168" fontId="11" fillId="0" borderId="0" xfId="9" applyNumberFormat="1" applyFont="1" applyBorder="1" applyAlignment="1"/>
    <xf numFmtId="166" fontId="59" fillId="0" borderId="0" xfId="0" applyNumberFormat="1" applyFont="1" applyAlignment="1"/>
    <xf numFmtId="166" fontId="54" fillId="0" borderId="0" xfId="9" applyNumberFormat="1" applyFont="1" applyFill="1" applyBorder="1" applyAlignment="1"/>
    <xf numFmtId="166" fontId="59" fillId="0" borderId="0" xfId="0" applyNumberFormat="1" applyFont="1" applyFill="1" applyAlignment="1"/>
    <xf numFmtId="166" fontId="54" fillId="0" borderId="0" xfId="9" applyNumberFormat="1" applyFont="1" applyFill="1" applyAlignment="1"/>
    <xf numFmtId="166" fontId="2" fillId="5" borderId="0" xfId="0" applyNumberFormat="1" applyFont="1" applyFill="1" applyAlignment="1"/>
    <xf numFmtId="165" fontId="2" fillId="0" borderId="0" xfId="27" applyNumberFormat="1" applyAlignment="1"/>
    <xf numFmtId="165" fontId="10" fillId="2" borderId="1" xfId="27" applyNumberFormat="1" applyFont="1" applyFill="1" applyBorder="1" applyAlignment="1"/>
    <xf numFmtId="169" fontId="69" fillId="0" borderId="0" xfId="0" applyFont="1"/>
    <xf numFmtId="181" fontId="54" fillId="0" borderId="0" xfId="9" applyNumberFormat="1" applyFont="1"/>
    <xf numFmtId="181" fontId="54" fillId="0" borderId="0" xfId="9" applyNumberFormat="1" applyFont="1" applyAlignment="1"/>
    <xf numFmtId="165" fontId="0" fillId="0" borderId="0" xfId="0" applyNumberFormat="1" applyAlignment="1"/>
    <xf numFmtId="165" fontId="10" fillId="0" borderId="0" xfId="0" applyNumberFormat="1" applyFont="1" applyAlignment="1"/>
    <xf numFmtId="165" fontId="0" fillId="1" borderId="0" xfId="0" applyNumberFormat="1" applyFill="1" applyAlignment="1"/>
    <xf numFmtId="165" fontId="0" fillId="0" borderId="0" xfId="9" applyNumberFormat="1" applyFont="1" applyAlignment="1"/>
    <xf numFmtId="169" fontId="70" fillId="0" borderId="0" xfId="0" applyFont="1"/>
    <xf numFmtId="166" fontId="70" fillId="1" borderId="0" xfId="0" applyNumberFormat="1" applyFont="1" applyFill="1" applyAlignment="1"/>
    <xf numFmtId="166" fontId="70" fillId="0" borderId="0" xfId="0" applyNumberFormat="1" applyFont="1" applyAlignment="1"/>
    <xf numFmtId="166" fontId="70" fillId="0" borderId="0" xfId="0" applyNumberFormat="1" applyFont="1" applyFill="1" applyAlignment="1"/>
    <xf numFmtId="3" fontId="10" fillId="0" borderId="0" xfId="0" applyNumberFormat="1" applyFont="1" applyFill="1" applyAlignment="1"/>
    <xf numFmtId="0" fontId="8" fillId="0" borderId="0" xfId="0" applyNumberFormat="1" applyFont="1" applyFill="1" applyAlignment="1"/>
    <xf numFmtId="9" fontId="10" fillId="0" borderId="0" xfId="18" applyFont="1" applyFill="1" applyAlignment="1"/>
    <xf numFmtId="166" fontId="21" fillId="0" borderId="0" xfId="0" applyNumberFormat="1" applyFont="1" applyFill="1" applyAlignment="1"/>
    <xf numFmtId="180" fontId="0" fillId="0" borderId="0" xfId="0" applyNumberFormat="1" applyFill="1" applyAlignment="1"/>
    <xf numFmtId="0" fontId="2" fillId="0" borderId="0" xfId="0" applyNumberFormat="1" applyFont="1" applyFill="1"/>
    <xf numFmtId="0" fontId="0" fillId="0" borderId="0" xfId="0" applyNumberFormat="1" applyFill="1"/>
    <xf numFmtId="0" fontId="7" fillId="0" borderId="0" xfId="0" applyNumberFormat="1" applyFont="1" applyFill="1"/>
    <xf numFmtId="0" fontId="0" fillId="0" borderId="0" xfId="0" applyNumberFormat="1" applyFont="1" applyFill="1" applyAlignment="1"/>
    <xf numFmtId="0" fontId="65" fillId="0" borderId="0" xfId="0" applyNumberFormat="1" applyFont="1" applyFill="1" applyAlignment="1"/>
    <xf numFmtId="169" fontId="65" fillId="0" borderId="0" xfId="0" applyFont="1" applyFill="1"/>
    <xf numFmtId="166" fontId="46" fillId="0" borderId="0" xfId="0" applyNumberFormat="1" applyFont="1" applyFill="1" applyAlignment="1"/>
    <xf numFmtId="9" fontId="0" fillId="0" borderId="0" xfId="18" applyFont="1" applyFill="1" applyAlignment="1"/>
    <xf numFmtId="165" fontId="10" fillId="0" borderId="0" xfId="9" applyFont="1" applyFill="1" applyAlignment="1"/>
    <xf numFmtId="168" fontId="10" fillId="0" borderId="0" xfId="16" applyNumberFormat="1" applyFont="1" applyFill="1" applyAlignment="1"/>
    <xf numFmtId="166" fontId="0" fillId="0" borderId="0" xfId="0" applyNumberFormat="1" applyFill="1" applyAlignment="1">
      <alignment horizontal="center"/>
    </xf>
    <xf numFmtId="166" fontId="10" fillId="0" borderId="0" xfId="16" applyNumberFormat="1" applyFont="1" applyFill="1" applyAlignment="1"/>
    <xf numFmtId="182" fontId="10" fillId="0" borderId="0" xfId="16" applyNumberFormat="1" applyFont="1" applyFill="1" applyAlignment="1"/>
    <xf numFmtId="170" fontId="10" fillId="0" borderId="0" xfId="18" applyNumberFormat="1" applyFont="1" applyFill="1" applyAlignment="1"/>
    <xf numFmtId="166" fontId="20" fillId="0" borderId="0" xfId="16" applyNumberFormat="1" applyFont="1" applyFill="1" applyAlignment="1"/>
    <xf numFmtId="166" fontId="10" fillId="0" borderId="0" xfId="9" applyNumberFormat="1" applyFont="1" applyFill="1" applyAlignment="1"/>
    <xf numFmtId="9" fontId="13" fillId="0" borderId="0" xfId="18" applyFont="1" applyFill="1" applyAlignment="1"/>
    <xf numFmtId="168" fontId="10" fillId="0" borderId="0" xfId="9" applyNumberFormat="1" applyFont="1" applyFill="1" applyAlignment="1">
      <alignment horizontal="right"/>
    </xf>
    <xf numFmtId="168" fontId="13" fillId="0" borderId="0" xfId="9" applyNumberFormat="1" applyFont="1" applyFill="1" applyAlignment="1">
      <alignment horizontal="right"/>
    </xf>
    <xf numFmtId="169" fontId="59" fillId="0" borderId="0" xfId="0" applyFont="1" applyFill="1" applyAlignment="1"/>
    <xf numFmtId="169" fontId="13" fillId="0" borderId="3" xfId="0" applyFont="1" applyFill="1" applyBorder="1" applyAlignment="1"/>
    <xf numFmtId="169" fontId="20" fillId="0" borderId="3" xfId="0" applyFont="1" applyFill="1" applyBorder="1" applyAlignment="1"/>
    <xf numFmtId="169" fontId="7" fillId="0" borderId="3" xfId="0" applyFont="1" applyFill="1" applyBorder="1" applyAlignment="1"/>
    <xf numFmtId="169" fontId="23" fillId="0" borderId="0" xfId="0" applyNumberFormat="1" applyFont="1" applyFill="1" applyAlignment="1"/>
    <xf numFmtId="169" fontId="8" fillId="0" borderId="0" xfId="0" applyFont="1" applyFill="1" applyAlignment="1"/>
    <xf numFmtId="169" fontId="54" fillId="0" borderId="0" xfId="0" applyFont="1" applyFill="1" applyAlignment="1"/>
    <xf numFmtId="9" fontId="55" fillId="0" borderId="0" xfId="18" applyFont="1" applyFill="1" applyAlignment="1"/>
    <xf numFmtId="166" fontId="0" fillId="7" borderId="0" xfId="0" applyNumberFormat="1" applyFill="1" applyAlignment="1"/>
    <xf numFmtId="168" fontId="0" fillId="8" borderId="0" xfId="0" applyNumberFormat="1" applyFill="1" applyAlignment="1"/>
    <xf numFmtId="168" fontId="10" fillId="2" borderId="1" xfId="27" applyNumberFormat="1" applyFont="1" applyFill="1" applyBorder="1" applyAlignment="1"/>
    <xf numFmtId="168" fontId="2" fillId="0" borderId="0" xfId="27" applyNumberFormat="1" applyAlignment="1"/>
    <xf numFmtId="165" fontId="10" fillId="2" borderId="1" xfId="27" applyNumberFormat="1" applyFont="1" applyFill="1" applyBorder="1" applyAlignment="1"/>
    <xf numFmtId="0" fontId="2" fillId="9" borderId="0" xfId="30" applyFont="1" applyFill="1" applyAlignment="1">
      <alignment vertical="top"/>
    </xf>
    <xf numFmtId="0" fontId="2" fillId="9" borderId="0" xfId="12" applyFill="1" applyAlignment="1">
      <alignment vertical="top"/>
    </xf>
    <xf numFmtId="0" fontId="2" fillId="9" borderId="0" xfId="12" applyFill="1"/>
    <xf numFmtId="0" fontId="34" fillId="9" borderId="0" xfId="30" applyFont="1" applyFill="1" applyAlignment="1">
      <alignment horizontal="left" vertical="top"/>
    </xf>
    <xf numFmtId="0" fontId="2" fillId="9" borderId="0" xfId="12" applyFont="1" applyFill="1" applyAlignment="1">
      <alignment vertical="top"/>
    </xf>
    <xf numFmtId="0" fontId="8" fillId="9" borderId="0" xfId="30" applyFont="1" applyFill="1" applyAlignment="1">
      <alignment vertical="top"/>
    </xf>
    <xf numFmtId="169" fontId="0" fillId="9" borderId="0" xfId="0" applyFill="1" applyAlignment="1">
      <alignment vertical="top"/>
    </xf>
    <xf numFmtId="169" fontId="72" fillId="9" borderId="0" xfId="0" applyFont="1" applyFill="1" applyAlignment="1">
      <alignment vertical="top"/>
    </xf>
    <xf numFmtId="169" fontId="73" fillId="9" borderId="0" xfId="0" applyFont="1" applyFill="1" applyAlignment="1">
      <alignment vertical="top"/>
    </xf>
    <xf numFmtId="169" fontId="72" fillId="9" borderId="10" xfId="0" applyFont="1" applyFill="1" applyBorder="1" applyAlignment="1">
      <alignment vertical="top"/>
    </xf>
    <xf numFmtId="2" fontId="2" fillId="0" borderId="0" xfId="12" applyNumberFormat="1" applyAlignment="1">
      <alignment horizontal="left"/>
    </xf>
    <xf numFmtId="0" fontId="2" fillId="0" borderId="0" xfId="12" applyNumberFormat="1" applyAlignment="1">
      <alignment horizontal="left"/>
    </xf>
    <xf numFmtId="1" fontId="2" fillId="0" borderId="0" xfId="12" applyNumberFormat="1" applyAlignment="1">
      <alignment horizontal="left"/>
    </xf>
    <xf numFmtId="0" fontId="2" fillId="0" borderId="0" xfId="12" applyFont="1"/>
    <xf numFmtId="184" fontId="2" fillId="0" borderId="0" xfId="12" applyNumberFormat="1" applyAlignment="1">
      <alignment horizontal="left"/>
    </xf>
    <xf numFmtId="49" fontId="2" fillId="0" borderId="0" xfId="12" applyNumberFormat="1"/>
    <xf numFmtId="0" fontId="45" fillId="0" borderId="0" xfId="12" applyFont="1" applyAlignment="1">
      <alignment wrapText="1"/>
    </xf>
    <xf numFmtId="0" fontId="45" fillId="0" borderId="0" xfId="12" applyFont="1" applyAlignment="1">
      <alignment horizontal="left" wrapText="1" indent="3"/>
    </xf>
    <xf numFmtId="0" fontId="45" fillId="0" borderId="0" xfId="12" applyFont="1" applyAlignment="1">
      <alignment horizontal="left" wrapText="1" indent="1"/>
    </xf>
    <xf numFmtId="0" fontId="75" fillId="0" borderId="0" xfId="12" applyFont="1" applyAlignment="1">
      <alignment wrapText="1"/>
    </xf>
    <xf numFmtId="169" fontId="0" fillId="9" borderId="15" xfId="0" applyFill="1" applyBorder="1" applyAlignment="1">
      <alignment vertical="top"/>
    </xf>
    <xf numFmtId="169" fontId="72" fillId="9" borderId="0" xfId="0" applyFont="1" applyFill="1" applyAlignment="1">
      <alignment vertical="top"/>
    </xf>
    <xf numFmtId="169" fontId="72" fillId="9" borderId="11" xfId="0" applyFont="1" applyFill="1" applyBorder="1" applyAlignment="1">
      <alignment vertical="top"/>
    </xf>
    <xf numFmtId="169" fontId="72" fillId="9" borderId="12" xfId="0" applyFont="1" applyFill="1" applyBorder="1" applyAlignment="1">
      <alignment vertical="top"/>
    </xf>
    <xf numFmtId="169" fontId="72" fillId="9" borderId="13" xfId="0" applyFont="1" applyFill="1" applyBorder="1" applyAlignment="1">
      <alignment vertical="top"/>
    </xf>
    <xf numFmtId="169" fontId="73" fillId="9" borderId="0" xfId="0" applyFont="1" applyFill="1" applyAlignment="1">
      <alignment vertical="top"/>
    </xf>
    <xf numFmtId="169" fontId="0" fillId="9" borderId="0" xfId="0" applyFill="1" applyAlignment="1">
      <alignment vertical="top"/>
    </xf>
    <xf numFmtId="169" fontId="0" fillId="9" borderId="14" xfId="0" applyFill="1" applyBorder="1" applyAlignment="1">
      <alignment vertical="top"/>
    </xf>
    <xf numFmtId="169" fontId="11" fillId="2" borderId="9" xfId="0" applyFont="1" applyFill="1" applyBorder="1" applyAlignment="1">
      <alignment horizontal="left" vertical="center"/>
    </xf>
    <xf numFmtId="169" fontId="11" fillId="2" borderId="7" xfId="0" applyFont="1" applyFill="1" applyBorder="1" applyAlignment="1">
      <alignment horizontal="left" vertical="center"/>
    </xf>
    <xf numFmtId="166" fontId="0" fillId="0" borderId="9" xfId="0" applyNumberFormat="1" applyBorder="1" applyAlignment="1">
      <alignment horizontal="left"/>
    </xf>
    <xf numFmtId="166" fontId="0" fillId="0" borderId="3" xfId="0" applyNumberFormat="1" applyBorder="1" applyAlignment="1">
      <alignment horizontal="left"/>
    </xf>
  </cellXfs>
  <cellStyles count="31">
    <cellStyle name=" _x0004_A_x0002_" xfId="1"/>
    <cellStyle name="_Sept 08 Crude " xfId="2"/>
    <cellStyle name="_SUMMARY " xfId="3"/>
    <cellStyle name="0_Capex &amp; Depreciation " xfId="4"/>
    <cellStyle name="0_OMV EP 2000-2015 Consolidated " xfId="5"/>
    <cellStyle name="0_Valuing BP " xfId="6"/>
    <cellStyle name="Bad" xfId="28" builtinId="27"/>
    <cellStyle name="c_HardInc " xfId="8"/>
    <cellStyle name="Comma" xfId="9" builtinId="3"/>
    <cellStyle name="Comma 2" xfId="27"/>
    <cellStyle name="Comma_Valuation model - Royal Dutch Shell" xfId="10"/>
    <cellStyle name="Currency 2" xfId="29"/>
    <cellStyle name="Hyperlink" xfId="11" builtinId="8"/>
    <cellStyle name="Normal" xfId="0" builtinId="0"/>
    <cellStyle name="Normal 10" xfId="12"/>
    <cellStyle name="Normal 3" xfId="13"/>
    <cellStyle name="Normal 36" xfId="14"/>
    <cellStyle name="Normal 39" xfId="24"/>
    <cellStyle name="Normal 40" xfId="25"/>
    <cellStyle name="Normal 41" xfId="26"/>
    <cellStyle name="Normal_BP_Data" xfId="15"/>
    <cellStyle name="Normal_DisclaimerSheet Samples" xfId="30"/>
    <cellStyle name="Normal_Valuation model - Royal Dutch Shell v6" xfId="16"/>
    <cellStyle name="p " xfId="17"/>
    <cellStyle name="Percent" xfId="18" builtinId="5"/>
    <cellStyle name="RRSInstruction" xfId="7"/>
    <cellStyle name="s_HardInc " xfId="19"/>
    <cellStyle name="s_Valuation " xfId="20"/>
    <cellStyle name="ssp " xfId="21"/>
    <cellStyle name="콤마 [0]_#3이설 견적_준공내역총괄표 " xfId="22"/>
    <cellStyle name="콤마_#3이설 견적_준공내역총괄표 " xfId="2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74BE74"/>
      <rgbColor rgb="002270AB"/>
      <rgbColor rgb="00F8CD14"/>
      <rgbColor rgb="00F26163"/>
      <rgbColor rgb="00A8D7E2"/>
      <rgbColor rgb="00B2122B"/>
      <rgbColor rgb="00238B45"/>
      <rgbColor rgb="001B4694"/>
      <rgbColor rgb="0041A95C"/>
      <rgbColor rgb="00800080"/>
      <rgbColor rgb="00238B45"/>
      <rgbColor rgb="00C0C0C0"/>
      <rgbColor rgb="00808080"/>
      <rgbColor rgb="00137CB1"/>
      <rgbColor rgb="00EACC80"/>
      <rgbColor rgb="004AAC6B"/>
      <rgbColor rgb="00A8D7E2"/>
      <rgbColor rgb="00E58061"/>
      <rgbColor rgb="00BCE3A1"/>
      <rgbColor rgb="008E466A"/>
      <rgbColor rgb="00F3A7A9"/>
      <rgbColor rgb="001275A6"/>
      <rgbColor rgb="00E5BF61"/>
      <rgbColor rgb="004AAC6B"/>
      <rgbColor rgb="0097D0DD"/>
      <rgbColor rgb="00763A58"/>
      <rgbColor rgb="00EF8D8F"/>
      <rgbColor rgb="00E2704C"/>
      <rgbColor rgb="00A5D981"/>
      <rgbColor rgb="0069ADCA"/>
      <rgbColor rgb="00C6D9E2"/>
      <rgbColor rgb="00E3EEDE"/>
      <rgbColor rgb="00F3EEA1"/>
      <rgbColor rgb="009DC9DC"/>
      <rgbColor rgb="00EFC1D2"/>
      <rgbColor rgb="009DC9DC"/>
      <rgbColor rgb="00EFC49F"/>
      <rgbColor rgb="004091BF"/>
      <rgbColor rgb="0097D0DD"/>
      <rgbColor rgb="00A5D981"/>
      <rgbColor rgb="00F8CD14"/>
      <rgbColor rgb="00EACC80"/>
      <rgbColor rgb="00FC7114"/>
      <rgbColor rgb="004091BF"/>
      <rgbColor rgb="00969696"/>
      <rgbColor rgb="00003366"/>
      <rgbColor rgb="0041A95C"/>
      <rgbColor rgb="00125A31"/>
      <rgbColor rgb="00125A31"/>
      <rgbColor rgb="00DDDDDD"/>
      <rgbColor rgb="008E466A"/>
      <rgbColor rgb="001B4694"/>
      <rgbColor rgb="00333333"/>
    </indexedColors>
    <mruColors>
      <color rgb="FF137CB1"/>
      <color rgb="FFEACC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worksheets/sheet10.xml" Type="http://schemas.openxmlformats.org/officeDocument/2006/relationships/worksheet"/>
<Relationship Id="rId11" Target="worksheets/sheet11.xml" Type="http://schemas.openxmlformats.org/officeDocument/2006/relationships/worksheet"/>
<Relationship Id="rId12" Target="worksheets/sheet12.xml" Type="http://schemas.openxmlformats.org/officeDocument/2006/relationships/worksheet"/>
<Relationship Id="rId13" Target="worksheets/sheet13.xml" Type="http://schemas.openxmlformats.org/officeDocument/2006/relationships/worksheet"/>
<Relationship Id="rId14" Target="worksheets/sheet14.xml" Type="http://schemas.openxmlformats.org/officeDocument/2006/relationships/worksheet"/>
<Relationship Id="rId15" Target="worksheets/sheet15.xml" Type="http://schemas.openxmlformats.org/officeDocument/2006/relationships/worksheet"/>
<Relationship Id="rId16" Target="worksheets/sheet16.xml" Type="http://schemas.openxmlformats.org/officeDocument/2006/relationships/worksheet"/>
<Relationship Id="rId17" Target="worksheets/sheet17.xml" Type="http://schemas.openxmlformats.org/officeDocument/2006/relationships/worksheet"/>
<Relationship Id="rId18" Target="worksheets/sheet18.xml" Type="http://schemas.openxmlformats.org/officeDocument/2006/relationships/worksheet"/>
<Relationship Id="rId19" Target="worksheets/sheet19.xml" Type="http://schemas.openxmlformats.org/officeDocument/2006/relationships/worksheet"/>
<Relationship Id="rId2" Target="worksheets/sheet2.xml" Type="http://schemas.openxmlformats.org/officeDocument/2006/relationships/worksheet"/>
<Relationship Id="rId20" Target="worksheets/sheet20.xml" Type="http://schemas.openxmlformats.org/officeDocument/2006/relationships/worksheet"/>
<Relationship Id="rId21" Target="worksheets/sheet21.xml" Type="http://schemas.openxmlformats.org/officeDocument/2006/relationships/worksheet"/>
<Relationship Id="rId22" Target="worksheets/sheet22.xml" Type="http://schemas.openxmlformats.org/officeDocument/2006/relationships/worksheet"/>
<Relationship Id="rId23" Target="worksheets/sheet23.xml" Type="http://schemas.openxmlformats.org/officeDocument/2006/relationships/worksheet"/>
<Relationship Id="rId24" Target="worksheets/sheet24.xml" Type="http://schemas.openxmlformats.org/officeDocument/2006/relationships/worksheet"/>
<Relationship Id="rId25" Target="worksheets/sheet25.xml" Type="http://schemas.openxmlformats.org/officeDocument/2006/relationships/worksheet"/>
<Relationship Id="rId26" Target="externalLinks/externalLink1.xml" Type="http://schemas.openxmlformats.org/officeDocument/2006/relationships/externalLink"/>
<Relationship Id="rId27" Target="externalLinks/externalLink2.xml" Type="http://schemas.openxmlformats.org/officeDocument/2006/relationships/externalLink"/>
<Relationship Id="rId28" Target="externalLinks/externalLink3.xml" Type="http://schemas.openxmlformats.org/officeDocument/2006/relationships/externalLink"/>
<Relationship Id="rId29" Target="externalLinks/externalLink4.xml" Type="http://schemas.openxmlformats.org/officeDocument/2006/relationships/externalLink"/>
<Relationship Id="rId3" Target="worksheets/sheet3.xml" Type="http://schemas.openxmlformats.org/officeDocument/2006/relationships/worksheet"/>
<Relationship Id="rId30" Target="externalLinks/externalLink5.xml" Type="http://schemas.openxmlformats.org/officeDocument/2006/relationships/externalLink"/>
<Relationship Id="rId31" Target="externalLinks/externalLink6.xml" Type="http://schemas.openxmlformats.org/officeDocument/2006/relationships/externalLink"/>
<Relationship Id="rId32" Target="theme/theme1.xml" Type="http://schemas.openxmlformats.org/officeDocument/2006/relationships/theme"/>
<Relationship Id="rId33" Target="styles.xml" Type="http://schemas.openxmlformats.org/officeDocument/2006/relationships/styles"/>
<Relationship Id="rId34" Target="sharedStrings.xml" Type="http://schemas.openxmlformats.org/officeDocument/2006/relationships/sharedStrings"/>
<Relationship Id="rId35" Target="calcChain.xml" Type="http://schemas.openxmlformats.org/officeDocument/2006/relationships/calcChain"/>
<Relationship Id="rId36" Target="../customXml/item1.xml" Type="http://schemas.openxmlformats.org/officeDocument/2006/relationships/customXml"/>
<Relationship Id="rId37" Target="../customXml/item2.xml" Type="http://schemas.openxmlformats.org/officeDocument/2006/relationships/customXml"/>
<Relationship Id="rId38" Target="vbaProject.bin" Type="http://schemas.microsoft.com/office/2006/relationships/vbaProjec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activeX/activeX1.xml><?xml version="1.0" encoding="utf-8"?>
<ax:ocx xmlns:ax="http://schemas.microsoft.com/office/2006/activeX" xmlns:r="http://schemas.openxmlformats.org/officeDocument/2006/relationships" ax:classid="{59DC45F5-F19A-11D2-A98A-0004AC83E4DD}" ax:persistence="persistPropertyBag">
  <ax:ocxPr ax:name="_ExtentX" ax:value="1720"/>
  <ax:ocxPr ax:name="_ExtentY" ax:value="450"/>
  <ax:ocxPr ax:name="RequestType" ax:value="1"/>
  <ax:ocxPr ax:name="Format" ax:value="RCTED"/>
  <ax:ocxPr ax:name="NumRows" ax:value="5"/>
  <ax:ocxPr ax:name="NumCols" ax:value="2"/>
  <ax:ocxPr ax:name="AutoRefresh" ax:value="0"/>
  <ax:ocxPr ax:name="LastRefreshed" ax:value="28/07/2015 10:46:42"/>
  <ax:ocxPr ax:name="MSChart" ax:value="0"/>
  <ax:ocxPr ax:name="SROrgin" ax:value="False"/>
  <ax:ocxPr ax:name="SDatatype" ax:value=""/>
  <ax:ocxPr ax:name="SeriesCode" ax:value="RS:RSF"/>
  <ax:ocxPr ax:name="DataTypes" ax:value="X(INC1MN)~USD,X(INC2MN)~USD,X(INC3MN)~USD,X(INC4MN)~USD"/>
  <ax:ocxPr ax:name="Font">
    <ax:font ax:persistence="persistPropertyBag">
      <ax:ocxPr ax:name="Name" ax:value="MS Sans Serif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Origin" ax:value="CG755"/>
  <ax:ocxPr ax:name="TriggerAt" ax:value=""/>
  <ax:ocxPr ax:name="CodesSection" ax:value=""/>
  <ax:ocxPr ax:name="DataTypesSection" ax:value=""/>
  <ax:ocxPr ax:name="WriteILXSection" ax:value="0"/>
  <ax:ocxPr ax:name="AcceptILXSection" ax:value="0"/>
  <ax:ocxPr ax:name="CellReferenceForm" ax:value="1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 algn="l">
              <a:defRPr sz="1400" b="0" i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Cash conversion (%)</a:t>
            </a:r>
          </a:p>
        </c:rich>
      </c:tx>
      <c:layout>
        <c:manualLayout>
          <c:xMode val="edge"/>
          <c:yMode val="edge"/>
          <c:x val="0"/>
          <c:y val="0"/>
        </c:manualLayout>
      </c:layout>
      <c:overlay val="0"/>
      <c:spPr>
        <a:noFill/>
        <a:ln w="25400"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title>
    <c:autoTitleDeleted val="0"/>
    <c:plotArea>
      <c:layout>
        <c:manualLayout>
          <c:xMode val="edge"/>
          <c:yMode val="edge"/>
          <c:x val="0"/>
          <c:y val="0.11921809433374901"/>
          <c:w val="0.98853978031751488"/>
          <c:h val="0.8333317276456664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'Cash flow statement'!$CG$39</c:f>
              <c:strCache>
                <c:ptCount val="1"/>
                <c:pt idx="0">
                  <c:v>Cash conv</c:v>
                </c:pt>
              </c:strCache>
            </c:strRef>
          </c:tx>
          <c:spPr>
            <a:solidFill>
              <a:srgbClr val="137CB1"/>
            </a:solidFill>
            <a:ln w="25400">
              <a:noFill/>
            </a:ln>
            <a:effectLst/>
          </c:spPr>
          <c:invertIfNegative val="0"/>
          <c:cat>
            <c:strRef>
              <c:f>'Cash flow statement'!$CF$40:$CF$87</c:f>
              <c:strCache>
                <c:ptCount val="48"/>
                <c:pt idx="0">
                  <c:v>2,004 </c:v>
                </c:pt>
                <c:pt idx="1">
                  <c:v>2,005 </c:v>
                </c:pt>
                <c:pt idx="2">
                  <c:v>1Q06</c:v>
                </c:pt>
                <c:pt idx="3">
                  <c:v>2Q06</c:v>
                </c:pt>
                <c:pt idx="4">
                  <c:v>3Q06</c:v>
                </c:pt>
                <c:pt idx="5">
                  <c:v>4Q06</c:v>
                </c:pt>
                <c:pt idx="6">
                  <c:v>1Q07</c:v>
                </c:pt>
                <c:pt idx="7">
                  <c:v>2Q07</c:v>
                </c:pt>
                <c:pt idx="8">
                  <c:v>3Q07</c:v>
                </c:pt>
                <c:pt idx="9">
                  <c:v>4Q07</c:v>
                </c:pt>
                <c:pt idx="10">
                  <c:v>1Q08</c:v>
                </c:pt>
                <c:pt idx="11">
                  <c:v>2Q08</c:v>
                </c:pt>
                <c:pt idx="12">
                  <c:v>3Q08</c:v>
                </c:pt>
                <c:pt idx="13">
                  <c:v>4Q08</c:v>
                </c:pt>
                <c:pt idx="14">
                  <c:v>1Q09</c:v>
                </c:pt>
                <c:pt idx="15">
                  <c:v>2Q09</c:v>
                </c:pt>
                <c:pt idx="16">
                  <c:v>3Q09</c:v>
                </c:pt>
                <c:pt idx="17">
                  <c:v>4Q09</c:v>
                </c:pt>
                <c:pt idx="18">
                  <c:v>1Q10</c:v>
                </c:pt>
                <c:pt idx="19">
                  <c:v>2Q10</c:v>
                </c:pt>
                <c:pt idx="20">
                  <c:v>3Q10</c:v>
                </c:pt>
                <c:pt idx="21">
                  <c:v>4Q10</c:v>
                </c:pt>
                <c:pt idx="22">
                  <c:v>1Q11</c:v>
                </c:pt>
                <c:pt idx="23">
                  <c:v>2Q11</c:v>
                </c:pt>
                <c:pt idx="24">
                  <c:v>3Q11</c:v>
                </c:pt>
                <c:pt idx="25">
                  <c:v>4Q11</c:v>
                </c:pt>
                <c:pt idx="26">
                  <c:v>1Q12</c:v>
                </c:pt>
                <c:pt idx="27">
                  <c:v>2Q12</c:v>
                </c:pt>
                <c:pt idx="28">
                  <c:v>3Q12</c:v>
                </c:pt>
                <c:pt idx="29">
                  <c:v>1Q13</c:v>
                </c:pt>
                <c:pt idx="30">
                  <c:v>2Q13</c:v>
                </c:pt>
                <c:pt idx="31">
                  <c:v>3Q13</c:v>
                </c:pt>
                <c:pt idx="32">
                  <c:v>4Q13</c:v>
                </c:pt>
                <c:pt idx="33">
                  <c:v>1Q14</c:v>
                </c:pt>
                <c:pt idx="34">
                  <c:v>2Q14</c:v>
                </c:pt>
                <c:pt idx="35">
                  <c:v>3Q14</c:v>
                </c:pt>
                <c:pt idx="36">
                  <c:v>4Q14</c:v>
                </c:pt>
                <c:pt idx="37">
                  <c:v>1Q15</c:v>
                </c:pt>
                <c:pt idx="38">
                  <c:v>3Q15</c:v>
                </c:pt>
                <c:pt idx="39">
                  <c:v>4Q15</c:v>
                </c:pt>
                <c:pt idx="40">
                  <c:v>1Q16</c:v>
                </c:pt>
                <c:pt idx="41">
                  <c:v>2Q16</c:v>
                </c:pt>
                <c:pt idx="42">
                  <c:v>3Q16</c:v>
                </c:pt>
                <c:pt idx="43">
                  <c:v>4Q16</c:v>
                </c:pt>
                <c:pt idx="44">
                  <c:v>1Q17</c:v>
                </c:pt>
                <c:pt idx="45">
                  <c:v>2Q17</c:v>
                </c:pt>
                <c:pt idx="46">
                  <c:v>3Q17</c:v>
                </c:pt>
                <c:pt idx="47">
                  <c:v>4Q17</c:v>
                </c:pt>
              </c:strCache>
            </c:strRef>
          </c:cat>
          <c:val>
            <c:numRef>
              <c:f>'Cash flow statement'!$CG$40:$CG$87</c:f>
              <c:numCache>
                <c:formatCode>0%</c:formatCode>
                <c:ptCount val="48"/>
                <c:pt idx="0">
                  <c:v>1.0312461097970871</c:v>
                </c:pt>
                <c:pt idx="1">
                  <c:v>1.1100544550548497</c:v>
                </c:pt>
                <c:pt idx="2">
                  <c:v>1.2783152254799821</c:v>
                </c:pt>
                <c:pt idx="3">
                  <c:v>1.0356458413185128</c:v>
                </c:pt>
                <c:pt idx="4">
                  <c:v>1.0372508847085118</c:v>
                </c:pt>
                <c:pt idx="5">
                  <c:v>0.97103472343395569</c:v>
                </c:pt>
                <c:pt idx="6">
                  <c:v>1.5943880854737751</c:v>
                </c:pt>
                <c:pt idx="7">
                  <c:v>0.9479066794503036</c:v>
                </c:pt>
                <c:pt idx="8">
                  <c:v>1.2279173003411565</c:v>
                </c:pt>
                <c:pt idx="9">
                  <c:v>0.64468294004130411</c:v>
                </c:pt>
                <c:pt idx="10">
                  <c:v>1.1848318626281897</c:v>
                </c:pt>
                <c:pt idx="11">
                  <c:v>0.28925857251051162</c:v>
                </c:pt>
                <c:pt idx="12">
                  <c:v>1.2388009027181401</c:v>
                </c:pt>
                <c:pt idx="13">
                  <c:v>1.2266762754106237</c:v>
                </c:pt>
                <c:pt idx="14">
                  <c:v>1.2266926449098881</c:v>
                </c:pt>
                <c:pt idx="15">
                  <c:v>1.1786009743542605</c:v>
                </c:pt>
                <c:pt idx="16">
                  <c:v>1.1259037321696086</c:v>
                </c:pt>
                <c:pt idx="17">
                  <c:v>0.98968377048074974</c:v>
                </c:pt>
                <c:pt idx="18">
                  <c:v>0.80827023878858473</c:v>
                </c:pt>
                <c:pt idx="19">
                  <c:v>1.8709949409780775</c:v>
                </c:pt>
                <c:pt idx="20">
                  <c:v>0.16689228389093019</c:v>
                </c:pt>
                <c:pt idx="21">
                  <c:v>1.729064039408867</c:v>
                </c:pt>
                <c:pt idx="22">
                  <c:v>2.1648411829134719</c:v>
                </c:pt>
                <c:pt idx="23">
                  <c:v>1.0150438779774342</c:v>
                </c:pt>
                <c:pt idx="24">
                  <c:v>1.228923076923077</c:v>
                </c:pt>
                <c:pt idx="25">
                  <c:v>0.5</c:v>
                </c:pt>
                <c:pt idx="26">
                  <c:v>1.2136075949367089</c:v>
                </c:pt>
                <c:pt idx="27">
                  <c:v>0.52724511106891969</c:v>
                </c:pt>
                <c:pt idx="28">
                  <c:v>1.0550980392156863</c:v>
                </c:pt>
                <c:pt idx="29">
                  <c:v>-1.4074543151800254</c:v>
                </c:pt>
                <c:pt idx="30">
                  <c:v>1.019814436232112</c:v>
                </c:pt>
                <c:pt idx="31">
                  <c:v>0.89140461215932909</c:v>
                </c:pt>
                <c:pt idx="32">
                  <c:v>0.7260582196596822</c:v>
                </c:pt>
                <c:pt idx="33">
                  <c:v>1.048760666395774</c:v>
                </c:pt>
                <c:pt idx="34">
                  <c:v>0.95506732813607376</c:v>
                </c:pt>
                <c:pt idx="35">
                  <c:v>1.0953496544453556</c:v>
                </c:pt>
                <c:pt idx="36">
                  <c:v>0.60522546267117405</c:v>
                </c:pt>
                <c:pt idx="37">
                  <c:v>0.50806320247597325</c:v>
                </c:pt>
                <c:pt idx="38">
                  <c:v>1.3272405660377358</c:v>
                </c:pt>
                <c:pt idx="39">
                  <c:v>1.9736087205966724</c:v>
                </c:pt>
                <c:pt idx="40">
                  <c:v>0.72698003863490024</c:v>
                </c:pt>
                <c:pt idx="41">
                  <c:v>1.5569007263922519</c:v>
                </c:pt>
                <c:pt idx="42">
                  <c:v>-2.2250639386189257E-2</c:v>
                </c:pt>
                <c:pt idx="43">
                  <c:v>-0.62288763711829231</c:v>
                </c:pt>
                <c:pt idx="44">
                  <c:v>0.1635936976198458</c:v>
                </c:pt>
                <c:pt idx="45">
                  <c:v>0.41993957703927492</c:v>
                </c:pt>
                <c:pt idx="46">
                  <c:v>0.67114825581395354</c:v>
                </c:pt>
                <c:pt idx="47">
                  <c:v>2.1289605336297943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998336768"/>
        <c:axId val="998342656"/>
      </c:barChart>
      <c:catAx>
        <c:axId val="998336768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ln w="12700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400" b="0" i="0">
                <a:solidFill>
                  <a:srgbClr val="808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98342656"/>
        <c:crosses val="autoZero"/>
        <c:auto val="1"/>
        <c:lblAlgn val="ctr"/>
        <c:lblOffset val="100"/>
        <c:tickLblSkip val="4"/>
        <c:tickMarkSkip val="1"/>
        <c:noMultiLvlLbl val="0"/>
      </c:catAx>
      <c:valAx>
        <c:axId val="998342656"/>
        <c:scaling>
          <c:orientation val="minMax"/>
          <c:max val="2.5"/>
          <c:min val="-0.25"/>
        </c:scaling>
        <c:delete val="0"/>
        <c:axPos val="l"/>
        <c:majorGridlines>
          <c:spPr>
            <a:ln w="12700">
              <a:solidFill>
                <a:srgbClr val="C0C0C0"/>
              </a:solidFill>
              <a:prstDash val="solid"/>
            </a:ln>
          </c:spPr>
        </c:majorGridlines>
        <c:numFmt formatCode="0%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400" b="0" i="0">
                <a:solidFill>
                  <a:srgbClr val="808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98336768"/>
        <c:crosses val="autoZero"/>
        <c:crossBetween val="between"/>
      </c:valAx>
      <c:spPr>
        <a:noFill/>
        <a:ln w="25400">
          <a:noFill/>
        </a:ln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400" b="0" i="0">
          <a:solidFill>
            <a:srgbClr val="80808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 algn="ctr">
              <a:defRPr sz="1400" b="0" i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Morgan</a:t>
            </a:r>
            <a:r>
              <a:rPr lang="en-GB" baseline="0"/>
              <a:t> Stanley forecast - Europe</a:t>
            </a:r>
            <a:endParaRPr lang="en-GB"/>
          </a:p>
        </c:rich>
      </c:tx>
      <c:layout>
        <c:manualLayout>
          <c:xMode val="edge"/>
          <c:yMode val="edge"/>
          <c:x val="0"/>
          <c:y val="2.8660611796926922E-3"/>
        </c:manualLayout>
      </c:layout>
      <c:overlay val="1"/>
      <c:spPr>
        <a:noFill/>
        <a:ln w="25400"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title>
    <c:autoTitleDeleted val="0"/>
    <c:plotArea>
      <c:layout>
        <c:manualLayout>
          <c:layoutTarget val="inner"/>
          <c:xMode val="edge"/>
          <c:yMode val="edge"/>
          <c:x val="8.7968402777777774E-2"/>
          <c:y val="0.13757765825493032"/>
          <c:w val="0.8466796875"/>
          <c:h val="0.7175691666666667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marker>
            <c:symbol val="diamond"/>
            <c:size val="11"/>
            <c:spPr>
              <a:solidFill>
                <a:srgbClr val="137CB1"/>
              </a:solidFill>
              <a:ln>
                <a:solidFill>
                  <a:srgbClr val="137CB1"/>
                </a:solidFill>
                <a:prstDash val="solid"/>
              </a:ln>
            </c:spPr>
          </c:marker>
          <c:trendline>
            <c:trendlineType val="linear"/>
            <c:dispRSqr val="1"/>
            <c:dispEq val="1"/>
            <c:trendlineLbl>
              <c:layout>
                <c:manualLayout>
                  <c:x val="0.67150850694444442"/>
                  <c:y val="-0.42715194444444443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000"/>
                  </a:pPr>
                  <a:endParaRPr lang="en-US"/>
                </a:p>
              </c:txPr>
            </c:trendlineLbl>
          </c:trendline>
          <c:xVal>
            <c:numLit>
              <c:formatCode>General</c:formatCode>
              <c:ptCount val="8"/>
              <c:pt idx="0">
                <c:v>9569.4555064002434</c:v>
              </c:pt>
              <c:pt idx="1">
                <c:v>10965.931266008121</c:v>
              </c:pt>
              <c:pt idx="2">
                <c:v>11886.446844552875</c:v>
              </c:pt>
              <c:pt idx="3">
                <c:v>11641.321063530786</c:v>
              </c:pt>
              <c:pt idx="4">
                <c:v>11176.996196437209</c:v>
              </c:pt>
              <c:pt idx="5">
                <c:v>11646.712089235882</c:v>
              </c:pt>
              <c:pt idx="6">
                <c:v>12643.81911765232</c:v>
              </c:pt>
              <c:pt idx="7">
                <c:v>12723.070557995257</c:v>
              </c:pt>
            </c:numLit>
          </c:xVal>
          <c:yVal>
            <c:numLit>
              <c:formatCode>General</c:formatCode>
              <c:ptCount val="8"/>
              <c:pt idx="0">
                <c:v>9109</c:v>
              </c:pt>
              <c:pt idx="1">
                <c:v>10153</c:v>
              </c:pt>
              <c:pt idx="2">
                <c:v>11767</c:v>
              </c:pt>
              <c:pt idx="3">
                <c:v>12392</c:v>
              </c:pt>
              <c:pt idx="4">
                <c:v>12044</c:v>
              </c:pt>
              <c:pt idx="5">
                <c:v>13330</c:v>
              </c:pt>
              <c:pt idx="6">
                <c:v>15247</c:v>
              </c:pt>
              <c:pt idx="7">
                <c:v>16664</c:v>
              </c:pt>
            </c:numLit>
          </c:yVal>
          <c:smooth val="0"/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EACC80"/>
              </a:solidFill>
              <a:ln>
                <a:solidFill>
                  <a:srgbClr val="EACC80"/>
                </a:solidFill>
                <a:prstDash val="solid"/>
              </a:ln>
            </c:spPr>
          </c:marker>
          <c:xVal>
            <c:numRef>
              <c:f>Capex!$CG$90:$CG$96</c:f>
              <c:numCache>
                <c:formatCode>#,##0_);\-#,##0_);\-_)</c:formatCode>
                <c:ptCount val="7"/>
                <c:pt idx="0">
                  <c:v>15087.13118507869</c:v>
                </c:pt>
                <c:pt idx="1">
                  <c:v>13716.844810031364</c:v>
                </c:pt>
                <c:pt idx="2">
                  <c:v>13454.688041708416</c:v>
                </c:pt>
                <c:pt idx="3">
                  <c:v>16086.82224189414</c:v>
                </c:pt>
                <c:pt idx="4">
                  <c:v>16680.170960432381</c:v>
                </c:pt>
                <c:pt idx="5">
                  <c:v>15742.855261511246</c:v>
                </c:pt>
                <c:pt idx="6">
                  <c:v>14959.251656440165</c:v>
                </c:pt>
              </c:numCache>
            </c:numRef>
          </c:xVal>
          <c:yVal>
            <c:numRef>
              <c:f>Capex!$CH$90:$CH$96</c:f>
              <c:numCache>
                <c:formatCode>#,##0_);\-#,##0_);\-_)</c:formatCode>
                <c:ptCount val="7"/>
                <c:pt idx="0">
                  <c:v>18704</c:v>
                </c:pt>
                <c:pt idx="1">
                  <c:v>16731</c:v>
                </c:pt>
                <c:pt idx="2">
                  <c:v>14143</c:v>
                </c:pt>
                <c:pt idx="3">
                  <c:v>15277</c:v>
                </c:pt>
                <c:pt idx="4">
                  <c:v>14750</c:v>
                </c:pt>
                <c:pt idx="5">
                  <c:v>15100</c:v>
                </c:pt>
                <c:pt idx="6">
                  <c:v>15200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300928"/>
        <c:axId val="1000303616"/>
      </c:scatterChart>
      <c:valAx>
        <c:axId val="1000300928"/>
        <c:scaling>
          <c:orientation val="minMax"/>
          <c:min val="8000"/>
        </c:scaling>
        <c:delete val="0"/>
        <c:axPos val="b"/>
        <c:title>
          <c:tx>
            <c:rich>
              <a:bodyPr/>
              <a:lstStyle/>
              <a:p>
                <a:pPr>
                  <a:defRPr sz="1400" b="0" i="0">
                    <a:solidFill>
                      <a:srgbClr val="333333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Wood Mackenzie forecast</a:t>
                </a:r>
              </a:p>
            </c:rich>
          </c:tx>
          <c:layout>
            <c:manualLayout>
              <c:xMode val="edge"/>
              <c:yMode val="edge"/>
              <c:x val="0.63056476149436536"/>
              <c:y val="0.9270075383799532"/>
            </c:manualLayout>
          </c:layout>
          <c:overlay val="0"/>
          <c:spPr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12700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808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0303616"/>
        <c:crosses val="autoZero"/>
        <c:crossBetween val="midCat"/>
        <c:dispUnits>
          <c:builtInUnit val="thousands"/>
        </c:dispUnits>
      </c:valAx>
      <c:valAx>
        <c:axId val="1000303616"/>
        <c:scaling>
          <c:orientation val="minMax"/>
          <c:max val="25000"/>
          <c:min val="500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12700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400" b="0" i="0">
                <a:solidFill>
                  <a:srgbClr val="808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0300928"/>
        <c:crosses val="autoZero"/>
        <c:crossBetween val="midCat"/>
        <c:majorUnit val="5000"/>
        <c:minorUnit val="1000"/>
        <c:dispUnits>
          <c:builtInUnit val="thousands"/>
        </c:dispUnits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400" b="0" i="0">
          <a:solidFill>
            <a:srgbClr val="80808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 algn="l">
              <a:defRPr sz="1400" b="0" i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Capital</a:t>
            </a:r>
            <a:r>
              <a:rPr lang="en-GB" baseline="0"/>
              <a:t> expenditure ($bn)</a:t>
            </a:r>
            <a:endParaRPr lang="en-GB"/>
          </a:p>
        </c:rich>
      </c:tx>
      <c:layout>
        <c:manualLayout>
          <c:xMode val="edge"/>
          <c:yMode val="edge"/>
          <c:x val="0"/>
          <c:y val="0"/>
        </c:manualLayout>
      </c:layout>
      <c:overlay val="0"/>
      <c:spPr>
        <a:noFill/>
        <a:ln w="25400"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title>
    <c:autoTitleDeleted val="0"/>
    <c:plotArea>
      <c:layout>
        <c:manualLayout>
          <c:layoutTarget val="inner"/>
          <c:xMode val="edge"/>
          <c:yMode val="edge"/>
          <c:x val="8.3855073661225299E-2"/>
          <c:y val="0.13190193468212583"/>
          <c:w val="0.87289422416544249"/>
          <c:h val="0.6967920054200541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Capex!$CH$9</c:f>
              <c:strCache>
                <c:ptCount val="1"/>
                <c:pt idx="0">
                  <c:v>Upstream</c:v>
                </c:pt>
              </c:strCache>
            </c:strRef>
          </c:tx>
          <c:spPr>
            <a:solidFill>
              <a:srgbClr val="137CB1"/>
            </a:solidFill>
            <a:ln w="25400">
              <a:noFill/>
            </a:ln>
            <a:effectLst/>
          </c:spPr>
          <c:invertIfNegative val="0"/>
          <c:cat>
            <c:strRef>
              <c:f>'E&amp;P - FAS69'!$DJ$18:$DJ$32</c:f>
              <c:strCache>
                <c:ptCount val="15"/>
                <c:pt idx="0">
                  <c:v>'05</c:v>
                </c:pt>
                <c:pt idx="1">
                  <c:v>'06</c:v>
                </c:pt>
                <c:pt idx="2">
                  <c:v>'07</c:v>
                </c:pt>
                <c:pt idx="3">
                  <c:v>'08</c:v>
                </c:pt>
                <c:pt idx="4">
                  <c:v>'09</c:v>
                </c:pt>
                <c:pt idx="5">
                  <c:v>'10</c:v>
                </c:pt>
                <c:pt idx="6">
                  <c:v>'11</c:v>
                </c:pt>
                <c:pt idx="7">
                  <c:v>'12</c:v>
                </c:pt>
                <c:pt idx="8">
                  <c:v>'13</c:v>
                </c:pt>
                <c:pt idx="9">
                  <c:v>'14</c:v>
                </c:pt>
                <c:pt idx="10">
                  <c:v>'15</c:v>
                </c:pt>
                <c:pt idx="11">
                  <c:v>'16</c:v>
                </c:pt>
                <c:pt idx="12">
                  <c:v>'17e</c:v>
                </c:pt>
                <c:pt idx="13">
                  <c:v>'18e</c:v>
                </c:pt>
                <c:pt idx="14">
                  <c:v>'19e</c:v>
                </c:pt>
              </c:strCache>
            </c:strRef>
          </c:cat>
          <c:val>
            <c:numRef>
              <c:f>Capex!$CH$10:$CH$24</c:f>
              <c:numCache>
                <c:formatCode>#,##0_);\-#,##0_);\-_)</c:formatCode>
                <c:ptCount val="15"/>
                <c:pt idx="0">
                  <c:v>10187</c:v>
                </c:pt>
                <c:pt idx="1">
                  <c:v>12931</c:v>
                </c:pt>
                <c:pt idx="2">
                  <c:v>12760</c:v>
                </c:pt>
                <c:pt idx="3">
                  <c:v>19713</c:v>
                </c:pt>
                <c:pt idx="4">
                  <c:v>14588</c:v>
                </c:pt>
                <c:pt idx="5">
                  <c:v>14347</c:v>
                </c:pt>
                <c:pt idx="6">
                  <c:v>14252</c:v>
                </c:pt>
                <c:pt idx="7">
                  <c:v>17659</c:v>
                </c:pt>
                <c:pt idx="8">
                  <c:v>19044</c:v>
                </c:pt>
                <c:pt idx="9">
                  <c:v>18883</c:v>
                </c:pt>
                <c:pt idx="10">
                  <c:v>16299</c:v>
                </c:pt>
                <c:pt idx="11">
                  <c:v>16048</c:v>
                </c:pt>
                <c:pt idx="12">
                  <c:v>13763</c:v>
                </c:pt>
                <c:pt idx="13">
                  <c:v>11850</c:v>
                </c:pt>
                <c:pt idx="14">
                  <c:v>13500</c:v>
                </c:pt>
              </c:numCache>
            </c:numRef>
          </c:val>
        </c:ser>
        <c:ser>
          <c:idx val="1"/>
          <c:order val="1"/>
          <c:tx>
            <c:strRef>
              <c:f>Capex!$CI$9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rgbClr val="EACC80"/>
            </a:solidFill>
            <a:ln w="25400">
              <a:noFill/>
            </a:ln>
            <a:effectLst/>
          </c:spPr>
          <c:invertIfNegative val="0"/>
          <c:cat>
            <c:strRef>
              <c:f>'E&amp;P - FAS69'!$DJ$18:$DJ$32</c:f>
              <c:strCache>
                <c:ptCount val="15"/>
                <c:pt idx="0">
                  <c:v>'05</c:v>
                </c:pt>
                <c:pt idx="1">
                  <c:v>'06</c:v>
                </c:pt>
                <c:pt idx="2">
                  <c:v>'07</c:v>
                </c:pt>
                <c:pt idx="3">
                  <c:v>'08</c:v>
                </c:pt>
                <c:pt idx="4">
                  <c:v>'09</c:v>
                </c:pt>
                <c:pt idx="5">
                  <c:v>'10</c:v>
                </c:pt>
                <c:pt idx="6">
                  <c:v>'11</c:v>
                </c:pt>
                <c:pt idx="7">
                  <c:v>'12</c:v>
                </c:pt>
                <c:pt idx="8">
                  <c:v>'13</c:v>
                </c:pt>
                <c:pt idx="9">
                  <c:v>'14</c:v>
                </c:pt>
                <c:pt idx="10">
                  <c:v>'15</c:v>
                </c:pt>
                <c:pt idx="11">
                  <c:v>'16</c:v>
                </c:pt>
                <c:pt idx="12">
                  <c:v>'17e</c:v>
                </c:pt>
                <c:pt idx="13">
                  <c:v>'18e</c:v>
                </c:pt>
                <c:pt idx="14">
                  <c:v>'19e</c:v>
                </c:pt>
              </c:strCache>
            </c:strRef>
          </c:cat>
          <c:val>
            <c:numRef>
              <c:f>Capex!$CI$10:$CI$24</c:f>
              <c:numCache>
                <c:formatCode>#,##0_);\-#,##0_);\-_)</c:formatCode>
                <c:ptCount val="15"/>
                <c:pt idx="0">
                  <c:v>3751</c:v>
                </c:pt>
                <c:pt idx="1">
                  <c:v>3979</c:v>
                </c:pt>
                <c:pt idx="2">
                  <c:v>6434</c:v>
                </c:pt>
                <c:pt idx="3">
                  <c:v>8473</c:v>
                </c:pt>
                <c:pt idx="4">
                  <c:v>5413</c:v>
                </c:pt>
                <c:pt idx="5">
                  <c:v>5263</c:v>
                </c:pt>
                <c:pt idx="6">
                  <c:v>5983</c:v>
                </c:pt>
                <c:pt idx="7">
                  <c:v>6483</c:v>
                </c:pt>
                <c:pt idx="8">
                  <c:v>5556</c:v>
                </c:pt>
                <c:pt idx="9">
                  <c:v>4009</c:v>
                </c:pt>
                <c:pt idx="10">
                  <c:v>2449</c:v>
                </c:pt>
                <c:pt idx="11">
                  <c:v>2392</c:v>
                </c:pt>
                <c:pt idx="12">
                  <c:v>2738</c:v>
                </c:pt>
                <c:pt idx="13">
                  <c:v>4050</c:v>
                </c:pt>
                <c:pt idx="14">
                  <c:v>2750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1000337408"/>
        <c:axId val="1000338944"/>
      </c:barChart>
      <c:catAx>
        <c:axId val="1000337408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ln w="12700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400" b="0" i="0">
                <a:solidFill>
                  <a:srgbClr val="808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03389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00338944"/>
        <c:scaling>
          <c:orientation val="minMax"/>
        </c:scaling>
        <c:delete val="0"/>
        <c:axPos val="l"/>
        <c:majorGridlines>
          <c:spPr>
            <a:ln w="12700">
              <a:solidFill>
                <a:srgbClr val="C0C0C0"/>
              </a:solidFill>
              <a:prstDash val="solid"/>
            </a:ln>
          </c:spPr>
        </c:majorGridlines>
        <c:numFmt formatCode="#,##0_);\-#,##0_);\-_)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400" b="0" i="0">
                <a:solidFill>
                  <a:srgbClr val="808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0337408"/>
        <c:crosses val="autoZero"/>
        <c:crossBetween val="between"/>
        <c:dispUnits>
          <c:builtInUnit val="thousands"/>
        </c:dispUnits>
      </c:valAx>
      <c:spPr>
        <a:noFill/>
        <a:ln w="25400">
          <a:noFill/>
        </a:ln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layout/>
      <c:overlay val="0"/>
      <c:spPr>
        <a:noFill/>
        <a:ln w="25400"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1100" b="0" i="0">
              <a:solidFill>
                <a:srgbClr val="80808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300" b="1" i="0">
          <a:solidFill>
            <a:srgbClr val="333333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 paperSize="9" orientation="landscape" horizontalDpi="90" verticalDpi="9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 algn="l">
              <a:defRPr sz="1400" b="0" i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F&amp;D cost vs DD&amp;A + exploration expense</a:t>
            </a:r>
          </a:p>
        </c:rich>
      </c:tx>
      <c:layout>
        <c:manualLayout>
          <c:xMode val="edge"/>
          <c:yMode val="edge"/>
          <c:x val="0"/>
          <c:y val="0"/>
        </c:manualLayout>
      </c:layout>
      <c:overlay val="0"/>
      <c:spPr>
        <a:noFill/>
        <a:ln w="25400"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title>
    <c:autoTitleDeleted val="0"/>
    <c:plotArea>
      <c:layout>
        <c:manualLayout>
          <c:xMode val="edge"/>
          <c:yMode val="edge"/>
          <c:x val="3.0940793967772413E-3"/>
          <c:y val="0.11055896808299678"/>
          <c:w val="0.93641489973208347"/>
          <c:h val="0.85181118393554667"/>
        </c:manualLayout>
      </c:layout>
      <c:lineChart>
        <c:grouping val="standard"/>
        <c:varyColors val="0"/>
        <c:ser>
          <c:idx val="0"/>
          <c:order val="0"/>
          <c:tx>
            <c:strRef>
              <c:f>'E&amp;P - FAS69'!$CN$35</c:f>
              <c:strCache>
                <c:ptCount val="1"/>
                <c:pt idx="0">
                  <c:v>DD&amp;A</c:v>
                </c:pt>
              </c:strCache>
            </c:strRef>
          </c:tx>
          <c:spPr>
            <a:ln w="25400">
              <a:solidFill>
                <a:srgbClr val="1275A6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'E&amp;P - FAS69'!$CM$36:$CM$50</c:f>
              <c:numCache>
                <c:formatCode>General</c:formatCode>
                <c:ptCount val="15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  <c:pt idx="14">
                  <c:v>2020</c:v>
                </c:pt>
              </c:numCache>
            </c:numRef>
          </c:cat>
          <c:val>
            <c:numRef>
              <c:f>'E&amp;P - FAS69'!$CN$36:$CN$50</c:f>
              <c:numCache>
                <c:formatCode>_(* #,##0.00_);_(* \(#,##0.00\);_(* "-"??_);_(@_)</c:formatCode>
                <c:ptCount val="15"/>
                <c:pt idx="0">
                  <c:v>7.4909346904210938</c:v>
                </c:pt>
                <c:pt idx="1">
                  <c:v>8.645298389837448</c:v>
                </c:pt>
                <c:pt idx="2">
                  <c:v>9.5381205866703098</c:v>
                </c:pt>
                <c:pt idx="3">
                  <c:v>10.274166160776344</c:v>
                </c:pt>
                <c:pt idx="4">
                  <c:v>9.7407091699786985</c:v>
                </c:pt>
                <c:pt idx="5">
                  <c:v>12.603380302148928</c:v>
                </c:pt>
                <c:pt idx="6">
                  <c:v>15.532137983588775</c:v>
                </c:pt>
                <c:pt idx="7">
                  <c:v>19.993643675457079</c:v>
                </c:pt>
                <c:pt idx="8">
                  <c:v>22.292146527424158</c:v>
                </c:pt>
                <c:pt idx="9">
                  <c:v>19.950558812874835</c:v>
                </c:pt>
                <c:pt idx="10">
                  <c:v>18.281704234266044</c:v>
                </c:pt>
                <c:pt idx="11">
                  <c:v>18.310454268278047</c:v>
                </c:pt>
                <c:pt idx="12">
                  <c:v>16.959625823773099</c:v>
                </c:pt>
                <c:pt idx="13">
                  <c:v>16.954740194252462</c:v>
                </c:pt>
                <c:pt idx="14">
                  <c:v>17.032572132289779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'E&amp;P - FAS69'!$CO$35</c:f>
              <c:strCache>
                <c:ptCount val="1"/>
                <c:pt idx="0">
                  <c:v>F+D</c:v>
                </c:pt>
              </c:strCache>
            </c:strRef>
          </c:tx>
          <c:spPr>
            <a:ln w="25400">
              <a:solidFill>
                <a:srgbClr val="EACC8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'E&amp;P - FAS69'!$CM$36:$CM$50</c:f>
              <c:numCache>
                <c:formatCode>General</c:formatCode>
                <c:ptCount val="15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  <c:pt idx="14">
                  <c:v>2020</c:v>
                </c:pt>
              </c:numCache>
            </c:numRef>
          </c:cat>
          <c:val>
            <c:numRef>
              <c:f>'E&amp;P - FAS69'!$CO$36:$CO$50</c:f>
              <c:numCache>
                <c:formatCode>_-* #,##0.0_-;\-* #,##0.0_-;_-* "-"??_-;_-@_-</c:formatCode>
                <c:ptCount val="15"/>
                <c:pt idx="0">
                  <c:v>17.352491282771403</c:v>
                </c:pt>
                <c:pt idx="1">
                  <c:v>16.403280468694327</c:v>
                </c:pt>
                <c:pt idx="2">
                  <c:v>17.728014439230403</c:v>
                </c:pt>
                <c:pt idx="3">
                  <c:v>9.9328395162889471</c:v>
                </c:pt>
                <c:pt idx="4">
                  <c:v>20.021711407426579</c:v>
                </c:pt>
                <c:pt idx="5">
                  <c:v>48.26252013473551</c:v>
                </c:pt>
                <c:pt idx="6">
                  <c:v>40.987713775757896</c:v>
                </c:pt>
                <c:pt idx="7">
                  <c:v>33.712907416780283</c:v>
                </c:pt>
                <c:pt idx="8">
                  <c:v>44.096748743242173</c:v>
                </c:pt>
                <c:pt idx="9">
                  <c:v>31.866886130366581</c:v>
                </c:pt>
                <c:pt idx="10">
                  <c:v>17.975343495449582</c:v>
                </c:pt>
                <c:pt idx="11">
                  <c:v>11.766964362563575</c:v>
                </c:pt>
                <c:pt idx="12">
                  <c:v>19.625625000000003</c:v>
                </c:pt>
                <c:pt idx="13">
                  <c:v>18.737500000000001</c:v>
                </c:pt>
                <c:pt idx="14">
                  <c:v>18.982639461338081</c:v>
                </c:pt>
              </c:numCache>
            </c:numRef>
          </c:val>
          <c:smooth val="0"/>
        </c:ser>
        <c:ser>
          <c:idx val="2"/>
          <c:order val="2"/>
          <c:spPr>
            <a:ln>
              <a:solidFill>
                <a:srgbClr val="137CB1"/>
              </a:solidFill>
            </a:ln>
          </c:spPr>
          <c:marker>
            <c:symbol val="none"/>
          </c:marker>
          <c:val>
            <c:numRef>
              <c:f>'E&amp;P - FAS69'!$CN$36:$CN$46</c:f>
              <c:numCache>
                <c:formatCode>_(* #,##0.00_);_(* \(#,##0.00\);_(* "-"??_);_(@_)</c:formatCode>
                <c:ptCount val="11"/>
                <c:pt idx="0">
                  <c:v>7.4909346904210938</c:v>
                </c:pt>
                <c:pt idx="1">
                  <c:v>8.645298389837448</c:v>
                </c:pt>
                <c:pt idx="2">
                  <c:v>9.5381205866703098</c:v>
                </c:pt>
                <c:pt idx="3">
                  <c:v>10.274166160776344</c:v>
                </c:pt>
                <c:pt idx="4">
                  <c:v>9.7407091699786985</c:v>
                </c:pt>
                <c:pt idx="5">
                  <c:v>12.603380302148928</c:v>
                </c:pt>
                <c:pt idx="6">
                  <c:v>15.532137983588775</c:v>
                </c:pt>
                <c:pt idx="7">
                  <c:v>19.993643675457079</c:v>
                </c:pt>
                <c:pt idx="8">
                  <c:v>22.292146527424158</c:v>
                </c:pt>
                <c:pt idx="9">
                  <c:v>19.950558812874835</c:v>
                </c:pt>
                <c:pt idx="10">
                  <c:v>18.281704234266044</c:v>
                </c:pt>
              </c:numCache>
            </c:numRef>
          </c:val>
          <c:smooth val="0"/>
        </c:ser>
        <c:ser>
          <c:idx val="3"/>
          <c:order val="3"/>
          <c:spPr>
            <a:ln>
              <a:solidFill>
                <a:srgbClr val="EACC80"/>
              </a:solidFill>
            </a:ln>
          </c:spPr>
          <c:marker>
            <c:symbol val="none"/>
          </c:marker>
          <c:val>
            <c:numRef>
              <c:f>'E&amp;P - FAS69'!$CO$36:$CO$46</c:f>
              <c:numCache>
                <c:formatCode>_-* #,##0.0_-;\-* #,##0.0_-;_-* "-"??_-;_-@_-</c:formatCode>
                <c:ptCount val="11"/>
                <c:pt idx="0">
                  <c:v>17.352491282771403</c:v>
                </c:pt>
                <c:pt idx="1">
                  <c:v>16.403280468694327</c:v>
                </c:pt>
                <c:pt idx="2">
                  <c:v>17.728014439230403</c:v>
                </c:pt>
                <c:pt idx="3">
                  <c:v>9.9328395162889471</c:v>
                </c:pt>
                <c:pt idx="4">
                  <c:v>20.021711407426579</c:v>
                </c:pt>
                <c:pt idx="5">
                  <c:v>48.26252013473551</c:v>
                </c:pt>
                <c:pt idx="6">
                  <c:v>40.987713775757896</c:v>
                </c:pt>
                <c:pt idx="7">
                  <c:v>33.712907416780283</c:v>
                </c:pt>
                <c:pt idx="8">
                  <c:v>44.096748743242173</c:v>
                </c:pt>
                <c:pt idx="9">
                  <c:v>31.866886130366581</c:v>
                </c:pt>
                <c:pt idx="10">
                  <c:v>17.975343495449582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4982656"/>
        <c:axId val="1004984192"/>
      </c:lineChart>
      <c:catAx>
        <c:axId val="1004982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200" b="0" i="0">
                <a:solidFill>
                  <a:srgbClr val="808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4984192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100498419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400" b="0" i="0">
                <a:solidFill>
                  <a:srgbClr val="808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4982656"/>
        <c:crosses val="autoZero"/>
        <c:crossBetween val="between"/>
      </c:valAx>
      <c:spPr>
        <a:noFill/>
        <a:ln w="25400">
          <a:noFill/>
        </a:ln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25" b="0" i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 algn="ctr">
              <a:defRPr sz="1400" b="0" i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en-GB" sz="1400" b="0" i="0" baseline="0">
                <a:effectLst/>
              </a:rPr>
              <a:t>Reported/MS forecast operating cash flow* ($bn)</a:t>
            </a:r>
            <a:endParaRPr lang="en-GB" sz="1400">
              <a:effectLst/>
            </a:endParaRPr>
          </a:p>
        </c:rich>
      </c:tx>
      <c:layout>
        <c:manualLayout>
          <c:xMode val="edge"/>
          <c:yMode val="edge"/>
          <c:x val="0"/>
          <c:y val="2.8609402806875268E-3"/>
        </c:manualLayout>
      </c:layout>
      <c:overlay val="0"/>
      <c:spPr>
        <a:noFill/>
        <a:ln w="25400"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title>
    <c:autoTitleDeleted val="0"/>
    <c:plotArea>
      <c:layout>
        <c:manualLayout>
          <c:layoutTarget val="inner"/>
          <c:xMode val="edge"/>
          <c:yMode val="edge"/>
          <c:x val="8.6768444189602431E-2"/>
          <c:y val="0.13337424431936626"/>
          <c:w val="0.83846712538226298"/>
          <c:h val="0.7247167500521158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  <a:effectLst/>
          </c:spPr>
          <c:marker>
            <c:symbol val="diamond"/>
            <c:size val="11"/>
            <c:spPr>
              <a:solidFill>
                <a:srgbClr val="137CB1"/>
              </a:solidFill>
              <a:ln>
                <a:solidFill>
                  <a:srgbClr val="137CB1"/>
                </a:solidFill>
                <a:prstDash val="solid"/>
              </a:ln>
              <a:effectLst/>
            </c:spPr>
          </c:marker>
          <c:trendline>
            <c:trendlineType val="linear"/>
            <c:dispRSqr val="1"/>
            <c:dispEq val="1"/>
            <c:trendlineLbl>
              <c:layout>
                <c:manualLayout>
                  <c:x val="0.21207154689092764"/>
                  <c:y val="-0.22609339170314779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200"/>
                  </a:pPr>
                  <a:endParaRPr lang="en-US"/>
                </a:p>
              </c:txPr>
            </c:trendlineLbl>
          </c:trendline>
          <c:xVal>
            <c:numRef>
              <c:f>'E&amp;P - FAS69'!$CG$36:$CG$46</c:f>
              <c:numCache>
                <c:formatCode>_(* #,##0_);_(* \(#,##0\);_(* "-"??_);_(@_)</c:formatCode>
                <c:ptCount val="11"/>
                <c:pt idx="0">
                  <c:v>24261.262409119448</c:v>
                </c:pt>
                <c:pt idx="1">
                  <c:v>26301.041845755692</c:v>
                </c:pt>
                <c:pt idx="2">
                  <c:v>33883.367356477276</c:v>
                </c:pt>
                <c:pt idx="3">
                  <c:v>22487.468750427361</c:v>
                </c:pt>
                <c:pt idx="4">
                  <c:v>25865.325221553045</c:v>
                </c:pt>
                <c:pt idx="5">
                  <c:v>28222.858333924305</c:v>
                </c:pt>
                <c:pt idx="6">
                  <c:v>24856.863921709853</c:v>
                </c:pt>
                <c:pt idx="7">
                  <c:v>26257.501960481732</c:v>
                </c:pt>
                <c:pt idx="8">
                  <c:v>27361.958576098172</c:v>
                </c:pt>
                <c:pt idx="9">
                  <c:v>16401.435318135314</c:v>
                </c:pt>
                <c:pt idx="10">
                  <c:v>14040.318001487634</c:v>
                </c:pt>
              </c:numCache>
            </c:numRef>
          </c:xVal>
          <c:yVal>
            <c:numRef>
              <c:f>'E&amp;P - FAS69'!$CH$36:$CH$46</c:f>
              <c:numCache>
                <c:formatCode>_(* #,##0_);_(* \(#,##0\);_(* "-"??_);_(@_)</c:formatCode>
                <c:ptCount val="11"/>
                <c:pt idx="0">
                  <c:v>20319</c:v>
                </c:pt>
                <c:pt idx="1">
                  <c:v>21792</c:v>
                </c:pt>
                <c:pt idx="2">
                  <c:v>29338</c:v>
                </c:pt>
                <c:pt idx="3">
                  <c:v>21277</c:v>
                </c:pt>
                <c:pt idx="4">
                  <c:v>22306</c:v>
                </c:pt>
                <c:pt idx="5">
                  <c:v>22377</c:v>
                </c:pt>
                <c:pt idx="6">
                  <c:v>21247</c:v>
                </c:pt>
                <c:pt idx="7">
                  <c:v>22942</c:v>
                </c:pt>
                <c:pt idx="8">
                  <c:v>26290</c:v>
                </c:pt>
                <c:pt idx="9">
                  <c:v>14135</c:v>
                </c:pt>
                <c:pt idx="10">
                  <c:v>10908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EACC80"/>
              </a:solidFill>
              <a:ln>
                <a:solidFill>
                  <a:srgbClr val="EACC80"/>
                </a:solidFill>
              </a:ln>
            </c:spPr>
          </c:marker>
          <c:xVal>
            <c:numRef>
              <c:f>'E&amp;P - FAS69'!$CG$47:$CG$50</c:f>
              <c:numCache>
                <c:formatCode>_(* #,##0_);_(* \(#,##0\);_(* "-"??_);_(@_)</c:formatCode>
                <c:ptCount val="4"/>
                <c:pt idx="0">
                  <c:v>17919.3751383989</c:v>
                </c:pt>
                <c:pt idx="1">
                  <c:v>21150.871742981966</c:v>
                </c:pt>
                <c:pt idx="2">
                  <c:v>19973.969301313056</c:v>
                </c:pt>
                <c:pt idx="3">
                  <c:v>21215.221046141971</c:v>
                </c:pt>
              </c:numCache>
            </c:numRef>
          </c:xVal>
          <c:yVal>
            <c:numRef>
              <c:f>'E&amp;P - FAS69'!$CH$47:$CH$50</c:f>
              <c:numCache>
                <c:formatCode>_(* #,##0_);_(* \(#,##0\);_(* "-"??_);_(@_)</c:formatCode>
                <c:ptCount val="4"/>
                <c:pt idx="0">
                  <c:v>18291</c:v>
                </c:pt>
                <c:pt idx="1">
                  <c:v>22197.47856972945</c:v>
                </c:pt>
                <c:pt idx="2">
                  <c:v>22162.957893400853</c:v>
                </c:pt>
                <c:pt idx="3">
                  <c:v>22834.444644790536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33440"/>
        <c:axId val="1001973248"/>
      </c:scatterChart>
      <c:valAx>
        <c:axId val="1001933440"/>
        <c:scaling>
          <c:orientation val="minMax"/>
          <c:min val="10000"/>
        </c:scaling>
        <c:delete val="0"/>
        <c:axPos val="b"/>
        <c:title>
          <c:tx>
            <c:rich>
              <a:bodyPr/>
              <a:lstStyle/>
              <a:p>
                <a:pPr>
                  <a:defRPr sz="1400" b="0" i="0">
                    <a:solidFill>
                      <a:srgbClr val="333333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 b="0" i="0" baseline="0">
                    <a:effectLst/>
                  </a:rPr>
                  <a:t>Wood Mackenzie estimate</a:t>
                </a:r>
                <a:endParaRPr lang="en-GB" sz="1400">
                  <a:effectLst/>
                </a:endParaRPr>
              </a:p>
            </c:rich>
          </c:tx>
          <c:layout>
            <c:manualLayout>
              <c:xMode val="edge"/>
              <c:yMode val="edge"/>
              <c:x val="0.8400800123106964"/>
              <c:y val="0.92714138751849096"/>
            </c:manualLayout>
          </c:layout>
          <c:overlay val="0"/>
          <c:spPr>
            <a:ln w="25400">
              <a:noFill/>
            </a:ln>
          </c:spPr>
        </c:title>
        <c:numFmt formatCode="_(* #,##0_);_(* \(#,##0\);_(* &quot;-&quot;??_);_(@_)" sourceLinked="1"/>
        <c:majorTickMark val="out"/>
        <c:minorTickMark val="none"/>
        <c:tickLblPos val="nextTo"/>
        <c:spPr>
          <a:ln w="12700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400" b="0" i="0">
                <a:solidFill>
                  <a:srgbClr val="808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1973248"/>
        <c:crosses val="autoZero"/>
        <c:crossBetween val="midCat"/>
        <c:dispUnits>
          <c:builtInUnit val="thousands"/>
        </c:dispUnits>
      </c:valAx>
      <c:valAx>
        <c:axId val="1001973248"/>
        <c:scaling>
          <c:orientation val="minMax"/>
          <c:min val="10000"/>
        </c:scaling>
        <c:delete val="0"/>
        <c:axPos val="l"/>
        <c:numFmt formatCode="_(* #,##0_);_(* \(#,##0\);_(* &quot;-&quot;??_);_(@_)" sourceLinked="1"/>
        <c:majorTickMark val="out"/>
        <c:minorTickMark val="none"/>
        <c:tickLblPos val="nextTo"/>
        <c:spPr>
          <a:ln w="12700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400" b="0" i="0">
                <a:solidFill>
                  <a:srgbClr val="808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1933440"/>
        <c:crosses val="autoZero"/>
        <c:crossBetween val="midCat"/>
        <c:dispUnits>
          <c:builtInUnit val="thousands"/>
        </c:dispUnits>
      </c:valAx>
      <c:spPr>
        <a:noFill/>
        <a:ln w="25400">
          <a:noFill/>
        </a:ln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r"/>
      <c:legendEntry>
        <c:idx val="2"/>
        <c:delete val="1"/>
      </c:legendEntry>
      <c:layout/>
      <c:overlay val="1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400" b="0" i="0">
          <a:solidFill>
            <a:srgbClr val="80808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'E&amp;P - FAS69'!$CH$251:$CH$262</c:f>
            </c:numRef>
          </c:xVal>
          <c:yVal>
            <c:numRef>
              <c:f>'E&amp;P - FAS69'!$CI$251:$CI$262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720832"/>
        <c:axId val="1001734912"/>
      </c:scatterChart>
      <c:valAx>
        <c:axId val="1001720832"/>
        <c:scaling>
          <c:orientation val="minMax"/>
        </c:scaling>
        <c:delete val="0"/>
        <c:axPos val="b"/>
        <c:numFmt formatCode="_-* #,##0_-;\-* #,##0_-;_-* &quot;-&quot;??_-;_-@_-" sourceLinked="1"/>
        <c:majorTickMark val="out"/>
        <c:minorTickMark val="none"/>
        <c:tickLblPos val="nextTo"/>
        <c:crossAx val="1001734912"/>
        <c:crosses val="autoZero"/>
        <c:crossBetween val="midCat"/>
      </c:valAx>
      <c:valAx>
        <c:axId val="1001734912"/>
        <c:scaling>
          <c:orientation val="minMax"/>
        </c:scaling>
        <c:delete val="0"/>
        <c:axPos val="l"/>
        <c:majorGridlines/>
        <c:numFmt formatCode="_-* #,##0_-;\-* #,##0_-;_-* &quot;-&quot;??_-;_-@_-" sourceLinked="1"/>
        <c:majorTickMark val="out"/>
        <c:minorTickMark val="none"/>
        <c:tickLblPos val="nextTo"/>
        <c:crossAx val="10017208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 algn="ctr">
              <a:defRPr sz="1400" b="0" i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en-GB" sz="1400" b="0" i="0" baseline="0">
                <a:effectLst/>
              </a:rPr>
              <a:t>Profit before tax ($bn)</a:t>
            </a:r>
            <a:endParaRPr lang="en-GB" sz="1400">
              <a:effectLst/>
            </a:endParaRPr>
          </a:p>
        </c:rich>
      </c:tx>
      <c:layout>
        <c:manualLayout>
          <c:xMode val="edge"/>
          <c:yMode val="edge"/>
          <c:x val="0"/>
          <c:y val="2.8609402806875268E-3"/>
        </c:manualLayout>
      </c:layout>
      <c:overlay val="0"/>
      <c:spPr>
        <a:noFill/>
        <a:ln w="25400"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title>
    <c:autoTitleDeleted val="0"/>
    <c:plotArea>
      <c:layout>
        <c:manualLayout>
          <c:layoutTarget val="inner"/>
          <c:xMode val="edge"/>
          <c:yMode val="edge"/>
          <c:x val="8.6768444189602431E-2"/>
          <c:y val="0.13337424431936626"/>
          <c:w val="0.83846712538226298"/>
          <c:h val="0.7247167500521158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  <a:effectLst/>
          </c:spPr>
          <c:marker>
            <c:symbol val="diamond"/>
            <c:size val="11"/>
            <c:spPr>
              <a:solidFill>
                <a:srgbClr val="137CB1"/>
              </a:solidFill>
              <a:ln>
                <a:solidFill>
                  <a:srgbClr val="137CB1"/>
                </a:solidFill>
                <a:prstDash val="solid"/>
              </a:ln>
              <a:effectLst/>
            </c:spPr>
          </c:marker>
          <c:trendline>
            <c:trendlineType val="linear"/>
            <c:dispRSqr val="1"/>
            <c:dispEq val="1"/>
            <c:trendlineLbl>
              <c:layout>
                <c:manualLayout>
                  <c:x val="0.1940908511722732"/>
                  <c:y val="-0.68977069001459246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200"/>
                  </a:pPr>
                  <a:endParaRPr lang="en-US"/>
                </a:p>
              </c:txPr>
            </c:trendlineLbl>
          </c:trendline>
          <c:xVal>
            <c:numRef>
              <c:f>'E&amp;P - FAS69'!$CH$68:$CH$79</c:f>
            </c:numRef>
          </c:xVal>
          <c:yVal>
            <c:numRef>
              <c:f>'E&amp;P - FAS69'!$CI$68:$CI$79</c:f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EACC80"/>
              </a:solidFill>
              <a:ln>
                <a:solidFill>
                  <a:srgbClr val="EACC80"/>
                </a:solidFill>
              </a:ln>
            </c:spPr>
          </c:marker>
          <c:xVal>
            <c:numRef>
              <c:f>'E&amp;P - FAS69'!$CH$79:$CH$83</c:f>
            </c:numRef>
          </c:xVal>
          <c:yVal>
            <c:numRef>
              <c:f>'E&amp;P - FAS69'!$CI$79:$CI$83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772544"/>
        <c:axId val="1001783680"/>
      </c:scatterChart>
      <c:valAx>
        <c:axId val="1001772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0" i="0">
                    <a:solidFill>
                      <a:srgbClr val="333333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 b="0" i="0" baseline="0">
                    <a:effectLst/>
                  </a:rPr>
                  <a:t>Tax expense</a:t>
                </a:r>
                <a:endParaRPr lang="en-GB" sz="1400">
                  <a:effectLst/>
                </a:endParaRPr>
              </a:p>
            </c:rich>
          </c:tx>
          <c:layout>
            <c:manualLayout>
              <c:xMode val="edge"/>
              <c:yMode val="edge"/>
              <c:x val="0.8400800123106964"/>
              <c:y val="0.92714138751849096"/>
            </c:manualLayout>
          </c:layout>
          <c:overlay val="0"/>
          <c:spPr>
            <a:ln w="25400">
              <a:noFill/>
            </a:ln>
          </c:spPr>
        </c:title>
        <c:numFmt formatCode="_-* #,##0_-;\-* #,##0_-;_-* &quot;-&quot;??_-;_-@_-" sourceLinked="1"/>
        <c:majorTickMark val="out"/>
        <c:minorTickMark val="none"/>
        <c:tickLblPos val="nextTo"/>
        <c:spPr>
          <a:ln w="12700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400" b="0" i="0">
                <a:solidFill>
                  <a:srgbClr val="808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1783680"/>
        <c:crosses val="autoZero"/>
        <c:crossBetween val="midCat"/>
        <c:dispUnits>
          <c:builtInUnit val="thousands"/>
        </c:dispUnits>
      </c:valAx>
      <c:valAx>
        <c:axId val="1001783680"/>
        <c:scaling>
          <c:orientation val="minMax"/>
        </c:scaling>
        <c:delete val="0"/>
        <c:axPos val="l"/>
        <c:numFmt formatCode="_-* #,##0_-;\-* #,##0_-;_-* &quot;-&quot;??_-;_-@_-" sourceLinked="1"/>
        <c:majorTickMark val="out"/>
        <c:minorTickMark val="none"/>
        <c:tickLblPos val="nextTo"/>
        <c:spPr>
          <a:ln w="12700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400" b="0" i="0">
                <a:solidFill>
                  <a:srgbClr val="808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1772544"/>
        <c:crosses val="autoZero"/>
        <c:crossBetween val="midCat"/>
        <c:dispUnits>
          <c:builtInUnit val="thousands"/>
        </c:dispUnits>
      </c:valAx>
      <c:spPr>
        <a:noFill/>
        <a:ln w="25400">
          <a:noFill/>
        </a:ln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r"/>
      <c:legendEntry>
        <c:idx val="0"/>
        <c:delete val="1"/>
      </c:legendEntry>
      <c:layout/>
      <c:overlay val="1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400" b="0" i="0">
          <a:solidFill>
            <a:srgbClr val="80808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 algn="ctr">
              <a:defRPr sz="1400" b="0" i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en-GB" sz="1400" b="0" i="0" baseline="0">
                <a:effectLst/>
              </a:rPr>
              <a:t>Reported/MS forecast operating cash flow* ($bn)</a:t>
            </a:r>
            <a:endParaRPr lang="en-GB" sz="1400">
              <a:effectLst/>
            </a:endParaRPr>
          </a:p>
        </c:rich>
      </c:tx>
      <c:layout>
        <c:manualLayout>
          <c:xMode val="edge"/>
          <c:yMode val="edge"/>
          <c:x val="0"/>
          <c:y val="2.8609402806875268E-3"/>
        </c:manualLayout>
      </c:layout>
      <c:overlay val="0"/>
      <c:spPr>
        <a:noFill/>
        <a:ln w="25400"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title>
    <c:autoTitleDeleted val="0"/>
    <c:plotArea>
      <c:layout>
        <c:manualLayout>
          <c:layoutTarget val="inner"/>
          <c:xMode val="edge"/>
          <c:yMode val="edge"/>
          <c:x val="8.6768444189602431E-2"/>
          <c:y val="0.13337424431936626"/>
          <c:w val="0.83846712538226298"/>
          <c:h val="0.72471675005211589"/>
        </c:manualLayout>
      </c:layout>
      <c:scatterChart>
        <c:scatterStyle val="lineMarker"/>
        <c:varyColors val="0"/>
        <c:ser>
          <c:idx val="0"/>
          <c:order val="0"/>
          <c:tx>
            <c:v>2014-2016</c:v>
          </c:tx>
          <c:spPr>
            <a:ln w="28575">
              <a:noFill/>
            </a:ln>
            <a:effectLst/>
          </c:spPr>
          <c:marker>
            <c:symbol val="diamond"/>
            <c:size val="11"/>
            <c:spPr>
              <a:solidFill>
                <a:srgbClr val="137CB1"/>
              </a:solidFill>
              <a:ln>
                <a:solidFill>
                  <a:srgbClr val="137CB1"/>
                </a:solidFill>
                <a:prstDash val="solid"/>
              </a:ln>
              <a:effectLst/>
            </c:spPr>
          </c:marker>
          <c:trendline>
            <c:trendlineType val="linear"/>
            <c:dispRSqr val="1"/>
            <c:dispEq val="1"/>
            <c:trendlineLbl>
              <c:layout>
                <c:manualLayout>
                  <c:x val="0.4453673619660044"/>
                  <c:y val="-0.19495622263914947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200"/>
                  </a:pPr>
                  <a:endParaRPr lang="en-US"/>
                </a:p>
              </c:txPr>
            </c:trendlineLbl>
          </c:trendline>
          <c:xVal>
            <c:numRef>
              <c:f>'E&amp;P - FAS69'!$CJ$137:$CJ$139</c:f>
              <c:numCache>
                <c:formatCode>_(* #,##0_);_(* \(#,##0\);_(* "-"??_);_(@_)</c:formatCode>
                <c:ptCount val="3"/>
                <c:pt idx="0">
                  <c:v>1713.1015027936237</c:v>
                </c:pt>
                <c:pt idx="1">
                  <c:v>1322.2766528084389</c:v>
                </c:pt>
                <c:pt idx="2">
                  <c:v>1076.2648586025307</c:v>
                </c:pt>
              </c:numCache>
            </c:numRef>
          </c:xVal>
          <c:yVal>
            <c:numRef>
              <c:f>'E&amp;P - FAS69'!$CK$137:$CK$139</c:f>
              <c:numCache>
                <c:formatCode>_(* #,##0_);_(* \(#,##0\);_(* "-"??_);_(@_)</c:formatCode>
                <c:ptCount val="3"/>
                <c:pt idx="0">
                  <c:v>6085</c:v>
                </c:pt>
                <c:pt idx="1">
                  <c:v>3127</c:v>
                </c:pt>
                <c:pt idx="2">
                  <c:v>2353</c:v>
                </c:pt>
              </c:numCache>
            </c:numRef>
          </c:yVal>
          <c:smooth val="0"/>
        </c:ser>
        <c:ser>
          <c:idx val="1"/>
          <c:order val="1"/>
          <c:tx>
            <c:v>2017-2020</c:v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EACC80"/>
              </a:solidFill>
              <a:ln>
                <a:solidFill>
                  <a:srgbClr val="EACC80"/>
                </a:solidFill>
              </a:ln>
            </c:spPr>
          </c:marker>
          <c:xVal>
            <c:numRef>
              <c:f>'E&amp;P - FAS69'!$CJ$140:$CJ$143</c:f>
              <c:numCache>
                <c:formatCode>_(* #,##0_);_(* \(#,##0\);_(* "-"??_);_(@_)</c:formatCode>
                <c:ptCount val="4"/>
                <c:pt idx="0">
                  <c:v>2102.3221125389778</c:v>
                </c:pt>
                <c:pt idx="1">
                  <c:v>2700.073042780547</c:v>
                </c:pt>
                <c:pt idx="2">
                  <c:v>2232.4639878301869</c:v>
                </c:pt>
                <c:pt idx="3">
                  <c:v>2536.9419562009944</c:v>
                </c:pt>
              </c:numCache>
            </c:numRef>
          </c:xVal>
          <c:yVal>
            <c:numRef>
              <c:f>'E&amp;P - FAS69'!$CK$140:$CK$143</c:f>
              <c:numCache>
                <c:formatCode>_(* #,##0_);_(* \(#,##0\);_(* "-"??_);_(@_)</c:formatCode>
                <c:ptCount val="4"/>
                <c:pt idx="0">
                  <c:v>1731.0000000000002</c:v>
                </c:pt>
                <c:pt idx="1">
                  <c:v>2037.2150467487415</c:v>
                </c:pt>
                <c:pt idx="2">
                  <c:v>2121.6598463566233</c:v>
                </c:pt>
                <c:pt idx="3">
                  <c:v>2238.4870614674805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814272"/>
        <c:axId val="1001825408"/>
      </c:scatterChart>
      <c:valAx>
        <c:axId val="1001814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0" i="0">
                    <a:solidFill>
                      <a:srgbClr val="333333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 b="0" i="0" baseline="0">
                    <a:effectLst/>
                  </a:rPr>
                  <a:t>Wood Mackenzie estimate</a:t>
                </a:r>
                <a:endParaRPr lang="en-GB" sz="1400">
                  <a:effectLst/>
                </a:endParaRPr>
              </a:p>
            </c:rich>
          </c:tx>
          <c:layout>
            <c:manualLayout>
              <c:xMode val="edge"/>
              <c:yMode val="edge"/>
              <c:x val="0.8400800123106964"/>
              <c:y val="0.92714138751849096"/>
            </c:manualLayout>
          </c:layout>
          <c:overlay val="0"/>
          <c:spPr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12700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400" b="0" i="0">
                <a:solidFill>
                  <a:srgbClr val="808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1825408"/>
        <c:crosses val="autoZero"/>
        <c:crossBetween val="midCat"/>
        <c:dispUnits>
          <c:builtInUnit val="thousands"/>
        </c:dispUnits>
      </c:valAx>
      <c:valAx>
        <c:axId val="1001825408"/>
        <c:scaling>
          <c:orientation val="minMax"/>
        </c:scaling>
        <c:delete val="0"/>
        <c:axPos val="l"/>
        <c:numFmt formatCode="_(* #,##0_);_(* \(#,##0\);_(* &quot;-&quot;??_);_(@_)" sourceLinked="1"/>
        <c:majorTickMark val="out"/>
        <c:minorTickMark val="none"/>
        <c:tickLblPos val="nextTo"/>
        <c:spPr>
          <a:ln w="12700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400" b="0" i="0">
                <a:solidFill>
                  <a:srgbClr val="808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1814272"/>
        <c:crosses val="autoZero"/>
        <c:crossBetween val="midCat"/>
        <c:dispUnits>
          <c:builtInUnit val="thousands"/>
        </c:dispUnits>
      </c:valAx>
      <c:spPr>
        <a:noFill/>
        <a:ln w="25400">
          <a:noFill/>
        </a:ln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r"/>
      <c:legendEntry>
        <c:idx val="2"/>
        <c:delete val="1"/>
      </c:legendEntry>
      <c:layout/>
      <c:overlay val="1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400" b="0" i="0">
          <a:solidFill>
            <a:srgbClr val="80808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 algn="ctr">
              <a:defRPr sz="1400" b="0" i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en-GB" sz="1400" b="0" i="0" baseline="0">
                <a:effectLst/>
              </a:rPr>
              <a:t>Reported/MS forecast operating cash flow* ($bn)</a:t>
            </a:r>
            <a:endParaRPr lang="en-GB" sz="1400">
              <a:effectLst/>
            </a:endParaRPr>
          </a:p>
        </c:rich>
      </c:tx>
      <c:layout>
        <c:manualLayout>
          <c:xMode val="edge"/>
          <c:yMode val="edge"/>
          <c:x val="0"/>
          <c:y val="2.8609402806875268E-3"/>
        </c:manualLayout>
      </c:layout>
      <c:overlay val="0"/>
      <c:spPr>
        <a:noFill/>
        <a:ln w="25400"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title>
    <c:autoTitleDeleted val="0"/>
    <c:plotArea>
      <c:layout>
        <c:manualLayout>
          <c:layoutTarget val="inner"/>
          <c:xMode val="edge"/>
          <c:yMode val="edge"/>
          <c:x val="8.6768444189602431E-2"/>
          <c:y val="0.13337424431936626"/>
          <c:w val="0.83846712538226298"/>
          <c:h val="0.72471675005211589"/>
        </c:manualLayout>
      </c:layout>
      <c:scatterChart>
        <c:scatterStyle val="lineMarker"/>
        <c:varyColors val="0"/>
        <c:ser>
          <c:idx val="0"/>
          <c:order val="0"/>
          <c:tx>
            <c:v>2014-2016</c:v>
          </c:tx>
          <c:spPr>
            <a:ln w="28575">
              <a:noFill/>
            </a:ln>
            <a:effectLst/>
          </c:spPr>
          <c:marker>
            <c:symbol val="diamond"/>
            <c:size val="11"/>
            <c:spPr>
              <a:solidFill>
                <a:srgbClr val="137CB1"/>
              </a:solidFill>
              <a:ln>
                <a:solidFill>
                  <a:srgbClr val="137CB1"/>
                </a:solidFill>
                <a:prstDash val="solid"/>
              </a:ln>
              <a:effectLst/>
            </c:spPr>
          </c:marker>
          <c:trendline>
            <c:trendlineType val="linear"/>
            <c:dispRSqr val="1"/>
            <c:dispEq val="1"/>
            <c:trendlineLbl>
              <c:layout>
                <c:manualLayout>
                  <c:x val="0.21207154689092764"/>
                  <c:y val="-0.22609339170314779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200"/>
                  </a:pPr>
                  <a:endParaRPr lang="en-US"/>
                </a:p>
              </c:txPr>
            </c:trendlineLbl>
          </c:trendline>
          <c:xVal>
            <c:numRef>
              <c:f>'E&amp;P - FAS69'!$CJ$227:$CJ$229</c:f>
              <c:numCache>
                <c:formatCode>_(* #,##0_);_(* \(#,##0\);_(* "-"??_);_(@_)</c:formatCode>
                <c:ptCount val="3"/>
                <c:pt idx="0">
                  <c:v>10274.615373723671</c:v>
                </c:pt>
                <c:pt idx="1">
                  <c:v>4794.4440587188092</c:v>
                </c:pt>
                <c:pt idx="2">
                  <c:v>4366.1134355220765</c:v>
                </c:pt>
              </c:numCache>
            </c:numRef>
          </c:xVal>
          <c:yVal>
            <c:numRef>
              <c:f>'E&amp;P - FAS69'!$CK$227:$CK$229</c:f>
              <c:numCache>
                <c:formatCode>_(* #,##0_);_(* \(#,##0\);_(* "-"??_);_(@_)</c:formatCode>
                <c:ptCount val="3"/>
                <c:pt idx="0">
                  <c:v>7316.0000000000009</c:v>
                </c:pt>
                <c:pt idx="1">
                  <c:v>3379.0000000000005</c:v>
                </c:pt>
                <c:pt idx="2">
                  <c:v>2857</c:v>
                </c:pt>
              </c:numCache>
            </c:numRef>
          </c:yVal>
          <c:smooth val="0"/>
        </c:ser>
        <c:ser>
          <c:idx val="1"/>
          <c:order val="1"/>
          <c:tx>
            <c:v>2017-2020</c:v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EACC80"/>
              </a:solidFill>
              <a:ln>
                <a:solidFill>
                  <a:srgbClr val="EACC80"/>
                </a:solidFill>
              </a:ln>
            </c:spPr>
          </c:marker>
          <c:xVal>
            <c:numRef>
              <c:f>'E&amp;P - FAS69'!$CJ$230:$CJ$233</c:f>
              <c:numCache>
                <c:formatCode>_(* #,##0_);_(* \(#,##0\);_(* "-"??_);_(@_)</c:formatCode>
                <c:ptCount val="4"/>
                <c:pt idx="0">
                  <c:v>5179.2524768236635</c:v>
                </c:pt>
                <c:pt idx="1">
                  <c:v>6223.4949407490321</c:v>
                </c:pt>
                <c:pt idx="2">
                  <c:v>5950.6835344460851</c:v>
                </c:pt>
                <c:pt idx="3">
                  <c:v>5872.2782976841418</c:v>
                </c:pt>
              </c:numCache>
            </c:numRef>
          </c:xVal>
          <c:yVal>
            <c:numRef>
              <c:f>'E&amp;P - FAS69'!$CK$230:$CK$233</c:f>
              <c:numCache>
                <c:formatCode>_(* #,##0_);_(* \(#,##0\);_(* "-"??_);_(@_)</c:formatCode>
                <c:ptCount val="4"/>
                <c:pt idx="0">
                  <c:v>7740.0000000000009</c:v>
                </c:pt>
                <c:pt idx="1">
                  <c:v>7115.8720347799244</c:v>
                </c:pt>
                <c:pt idx="2">
                  <c:v>6670.5374412977189</c:v>
                </c:pt>
                <c:pt idx="3">
                  <c:v>6487.1624398780186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181376"/>
        <c:axId val="1006208896"/>
      </c:scatterChart>
      <c:valAx>
        <c:axId val="1006181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0" i="0">
                    <a:solidFill>
                      <a:srgbClr val="333333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 b="0" i="0" baseline="0">
                    <a:effectLst/>
                  </a:rPr>
                  <a:t>Wood Mackenzie estimate</a:t>
                </a:r>
                <a:endParaRPr lang="en-GB" sz="1400">
                  <a:effectLst/>
                </a:endParaRPr>
              </a:p>
            </c:rich>
          </c:tx>
          <c:layout>
            <c:manualLayout>
              <c:xMode val="edge"/>
              <c:yMode val="edge"/>
              <c:x val="0.8400800123106964"/>
              <c:y val="0.92714138751849096"/>
            </c:manualLayout>
          </c:layout>
          <c:overlay val="0"/>
          <c:spPr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12700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400" b="0" i="0">
                <a:solidFill>
                  <a:srgbClr val="808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6208896"/>
        <c:crosses val="autoZero"/>
        <c:crossBetween val="midCat"/>
        <c:dispUnits>
          <c:builtInUnit val="thousands"/>
        </c:dispUnits>
      </c:valAx>
      <c:valAx>
        <c:axId val="1006208896"/>
        <c:scaling>
          <c:orientation val="minMax"/>
        </c:scaling>
        <c:delete val="0"/>
        <c:axPos val="l"/>
        <c:numFmt formatCode="_(* #,##0_);_(* \(#,##0\);_(* &quot;-&quot;??_);_(@_)" sourceLinked="1"/>
        <c:majorTickMark val="out"/>
        <c:minorTickMark val="none"/>
        <c:tickLblPos val="nextTo"/>
        <c:spPr>
          <a:ln w="12700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400" b="0" i="0">
                <a:solidFill>
                  <a:srgbClr val="808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6181376"/>
        <c:crosses val="autoZero"/>
        <c:crossBetween val="midCat"/>
        <c:dispUnits>
          <c:builtInUnit val="thousands"/>
        </c:dispUnits>
      </c:valAx>
      <c:spPr>
        <a:noFill/>
        <a:ln w="25400">
          <a:noFill/>
        </a:ln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r"/>
      <c:legendEntry>
        <c:idx val="2"/>
        <c:delete val="1"/>
      </c:legendEntry>
      <c:layout/>
      <c:overlay val="1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400" b="0" i="0">
          <a:solidFill>
            <a:srgbClr val="80808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 algn="ctr">
              <a:defRPr sz="1400" b="0" i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en-GB" sz="1400" b="0" i="0" baseline="0">
                <a:effectLst/>
              </a:rPr>
              <a:t>Reported/MS forecast operating cash flow* ($bn)</a:t>
            </a:r>
            <a:endParaRPr lang="en-GB" sz="1400">
              <a:effectLst/>
            </a:endParaRPr>
          </a:p>
        </c:rich>
      </c:tx>
      <c:layout>
        <c:manualLayout>
          <c:xMode val="edge"/>
          <c:yMode val="edge"/>
          <c:x val="0"/>
          <c:y val="2.8609402806875268E-3"/>
        </c:manualLayout>
      </c:layout>
      <c:overlay val="0"/>
      <c:spPr>
        <a:noFill/>
        <a:ln w="25400"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title>
    <c:autoTitleDeleted val="0"/>
    <c:plotArea>
      <c:layout>
        <c:manualLayout>
          <c:layoutTarget val="inner"/>
          <c:xMode val="edge"/>
          <c:yMode val="edge"/>
          <c:x val="8.6768444189602431E-2"/>
          <c:y val="0.13337424431936626"/>
          <c:w val="0.83846712538226298"/>
          <c:h val="0.72471675005211589"/>
        </c:manualLayout>
      </c:layout>
      <c:scatterChart>
        <c:scatterStyle val="lineMarker"/>
        <c:varyColors val="0"/>
        <c:ser>
          <c:idx val="0"/>
          <c:order val="0"/>
          <c:tx>
            <c:v>2014-2016</c:v>
          </c:tx>
          <c:spPr>
            <a:ln w="28575">
              <a:noFill/>
            </a:ln>
            <a:effectLst/>
          </c:spPr>
          <c:marker>
            <c:symbol val="diamond"/>
            <c:size val="11"/>
            <c:spPr>
              <a:solidFill>
                <a:srgbClr val="137CB1"/>
              </a:solidFill>
              <a:ln>
                <a:solidFill>
                  <a:srgbClr val="137CB1"/>
                </a:solidFill>
                <a:prstDash val="solid"/>
              </a:ln>
              <a:effectLst/>
            </c:spPr>
          </c:marker>
          <c:trendline>
            <c:trendlineType val="linear"/>
            <c:dispRSqr val="1"/>
            <c:dispEq val="1"/>
            <c:trendlineLbl>
              <c:layout>
                <c:manualLayout>
                  <c:x val="0.21207154689092764"/>
                  <c:y val="-0.22609339170314779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200"/>
                  </a:pPr>
                  <a:endParaRPr lang="en-US"/>
                </a:p>
              </c:txPr>
            </c:trendlineLbl>
          </c:trendline>
          <c:xVal>
            <c:numRef>
              <c:f>'E&amp;P - FAS69'!$CJ$280:$CJ$282</c:f>
              <c:numCache>
                <c:formatCode>_(* #,##0_);_(* \(#,##0\);_(* "-"??_);_(@_)</c:formatCode>
                <c:ptCount val="3"/>
                <c:pt idx="0">
                  <c:v>2634.1487353472362</c:v>
                </c:pt>
                <c:pt idx="1">
                  <c:v>1932.6198019583987</c:v>
                </c:pt>
                <c:pt idx="2">
                  <c:v>1611.4010482624774</c:v>
                </c:pt>
              </c:numCache>
            </c:numRef>
          </c:xVal>
          <c:yVal>
            <c:numRef>
              <c:f>'E&amp;P - FAS69'!$CK$280:$CK$282</c:f>
              <c:numCache>
                <c:formatCode>_(* #,##0_);_(* \(#,##0\);_(* "-"??_);_(@_)</c:formatCode>
                <c:ptCount val="3"/>
                <c:pt idx="0">
                  <c:v>1145</c:v>
                </c:pt>
                <c:pt idx="1">
                  <c:v>598</c:v>
                </c:pt>
                <c:pt idx="2">
                  <c:v>415</c:v>
                </c:pt>
              </c:numCache>
            </c:numRef>
          </c:yVal>
          <c:smooth val="0"/>
        </c:ser>
        <c:ser>
          <c:idx val="1"/>
          <c:order val="1"/>
          <c:tx>
            <c:v>2017-2020</c:v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EACC80"/>
              </a:solidFill>
              <a:ln>
                <a:solidFill>
                  <a:srgbClr val="EACC80"/>
                </a:solidFill>
              </a:ln>
            </c:spPr>
          </c:marker>
          <c:xVal>
            <c:numRef>
              <c:f>'E&amp;P - FAS69'!$CJ$283:$CJ$286</c:f>
              <c:numCache>
                <c:formatCode>_(* #,##0_);_(* \(#,##0\);_(* "-"??_);_(@_)</c:formatCode>
                <c:ptCount val="4"/>
                <c:pt idx="0">
                  <c:v>1820.8364764881887</c:v>
                </c:pt>
                <c:pt idx="1">
                  <c:v>2252.8880496842103</c:v>
                </c:pt>
                <c:pt idx="2">
                  <c:v>1883.2708548076489</c:v>
                </c:pt>
                <c:pt idx="3">
                  <c:v>1887.7418826216435</c:v>
                </c:pt>
              </c:numCache>
            </c:numRef>
          </c:xVal>
          <c:yVal>
            <c:numRef>
              <c:f>'E&amp;P - FAS69'!$CK$283:$CK$286</c:f>
              <c:numCache>
                <c:formatCode>_(* #,##0_);_(* \(#,##0\);_(* "-"??_);_(@_)</c:formatCode>
                <c:ptCount val="4"/>
                <c:pt idx="0">
                  <c:v>576</c:v>
                </c:pt>
                <c:pt idx="1">
                  <c:v>563.00901419308457</c:v>
                </c:pt>
                <c:pt idx="2">
                  <c:v>584.25191794202783</c:v>
                </c:pt>
                <c:pt idx="3">
                  <c:v>542.44385219715627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243840"/>
        <c:axId val="1006246528"/>
      </c:scatterChart>
      <c:valAx>
        <c:axId val="1006243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0" i="0">
                    <a:solidFill>
                      <a:srgbClr val="333333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 b="0" i="0" baseline="0">
                    <a:effectLst/>
                  </a:rPr>
                  <a:t>Wood Mackenzie estimate</a:t>
                </a:r>
                <a:endParaRPr lang="en-GB" sz="1400">
                  <a:effectLst/>
                </a:endParaRPr>
              </a:p>
            </c:rich>
          </c:tx>
          <c:layout>
            <c:manualLayout>
              <c:xMode val="edge"/>
              <c:yMode val="edge"/>
              <c:x val="0.8400800123106964"/>
              <c:y val="0.92714138751849096"/>
            </c:manualLayout>
          </c:layout>
          <c:overlay val="0"/>
          <c:spPr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12700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400" b="0" i="0">
                <a:solidFill>
                  <a:srgbClr val="808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6246528"/>
        <c:crosses val="autoZero"/>
        <c:crossBetween val="midCat"/>
        <c:dispUnits>
          <c:builtInUnit val="thousands"/>
        </c:dispUnits>
      </c:valAx>
      <c:valAx>
        <c:axId val="1006246528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 w="12700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400" b="0" i="0">
                <a:solidFill>
                  <a:srgbClr val="808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6243840"/>
        <c:crosses val="autoZero"/>
        <c:crossBetween val="midCat"/>
        <c:dispUnits>
          <c:builtInUnit val="thousands"/>
        </c:dispUnits>
      </c:valAx>
      <c:spPr>
        <a:noFill/>
        <a:ln w="25400">
          <a:noFill/>
        </a:ln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r"/>
      <c:legendEntry>
        <c:idx val="2"/>
        <c:delete val="1"/>
      </c:legendEntry>
      <c:layout/>
      <c:overlay val="1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400" b="0" i="0">
          <a:solidFill>
            <a:srgbClr val="80808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 algn="ctr">
              <a:defRPr sz="1400" b="0" i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en-GB" sz="1400" b="0" i="0" baseline="0">
                <a:effectLst/>
              </a:rPr>
              <a:t>Reported/MS forecast operating cash flow* ($bn)</a:t>
            </a:r>
            <a:endParaRPr lang="en-GB" sz="1400">
              <a:effectLst/>
            </a:endParaRPr>
          </a:p>
        </c:rich>
      </c:tx>
      <c:layout>
        <c:manualLayout>
          <c:xMode val="edge"/>
          <c:yMode val="edge"/>
          <c:x val="0"/>
          <c:y val="2.8609402806875268E-3"/>
        </c:manualLayout>
      </c:layout>
      <c:overlay val="0"/>
      <c:spPr>
        <a:noFill/>
        <a:ln w="25400"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title>
    <c:autoTitleDeleted val="0"/>
    <c:plotArea>
      <c:layout>
        <c:manualLayout>
          <c:layoutTarget val="inner"/>
          <c:xMode val="edge"/>
          <c:yMode val="edge"/>
          <c:x val="8.6768444189602431E-2"/>
          <c:y val="0.13337424431936626"/>
          <c:w val="0.83846712538226298"/>
          <c:h val="0.7247167500521158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  <a:effectLst/>
          </c:spPr>
          <c:marker>
            <c:symbol val="diamond"/>
            <c:size val="11"/>
            <c:spPr>
              <a:solidFill>
                <a:srgbClr val="137CB1"/>
              </a:solidFill>
              <a:ln>
                <a:solidFill>
                  <a:srgbClr val="137CB1"/>
                </a:solidFill>
                <a:prstDash val="solid"/>
              </a:ln>
              <a:effectLst/>
            </c:spPr>
          </c:marker>
          <c:trendline>
            <c:trendlineType val="linear"/>
            <c:dispRSqr val="1"/>
            <c:dispEq val="1"/>
            <c:trendlineLbl>
              <c:layout>
                <c:manualLayout>
                  <c:x val="0.21207154689092764"/>
                  <c:y val="-0.22609339170314779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200"/>
                  </a:pPr>
                  <a:endParaRPr lang="en-US"/>
                </a:p>
              </c:txPr>
            </c:trendlineLbl>
          </c:trendline>
          <c:xVal>
            <c:numRef>
              <c:f>'E&amp;P - FAS69'!$CJ$324:$CJ$334</c:f>
              <c:numCache>
                <c:formatCode>_(* #,##0_);_(* \(#,##0\);_(* "-"??_);_(@_)</c:formatCode>
                <c:ptCount val="11"/>
                <c:pt idx="0">
                  <c:v>2960.5621956403893</c:v>
                </c:pt>
                <c:pt idx="1">
                  <c:v>4257.4596177379053</c:v>
                </c:pt>
                <c:pt idx="2">
                  <c:v>6303.1455269293256</c:v>
                </c:pt>
                <c:pt idx="3">
                  <c:v>4401.1887267069851</c:v>
                </c:pt>
                <c:pt idx="4">
                  <c:v>4532.0388751618775</c:v>
                </c:pt>
                <c:pt idx="5">
                  <c:v>4821.1763945026341</c:v>
                </c:pt>
                <c:pt idx="6">
                  <c:v>5382.4423504374954</c:v>
                </c:pt>
                <c:pt idx="7">
                  <c:v>5897.0439481234134</c:v>
                </c:pt>
                <c:pt idx="8">
                  <c:v>5867.4823894863948</c:v>
                </c:pt>
                <c:pt idx="9">
                  <c:v>3451.9029402635592</c:v>
                </c:pt>
                <c:pt idx="10">
                  <c:v>2823.5399522365751</c:v>
                </c:pt>
              </c:numCache>
            </c:numRef>
          </c:xVal>
          <c:yVal>
            <c:numRef>
              <c:f>'E&amp;P - FAS69'!$CK$324:$CK$334</c:f>
              <c:numCache>
                <c:formatCode>_(* #,##0_);_(* \(#,##0\);_(* "-"??_);_(@_)</c:formatCode>
                <c:ptCount val="11"/>
                <c:pt idx="0">
                  <c:v>2253</c:v>
                </c:pt>
                <c:pt idx="1">
                  <c:v>3119</c:v>
                </c:pt>
                <c:pt idx="2">
                  <c:v>6342.0000000000009</c:v>
                </c:pt>
                <c:pt idx="3">
                  <c:v>4590</c:v>
                </c:pt>
                <c:pt idx="4">
                  <c:v>4671.9999999999991</c:v>
                </c:pt>
                <c:pt idx="5">
                  <c:v>4666</c:v>
                </c:pt>
                <c:pt idx="6">
                  <c:v>5142</c:v>
                </c:pt>
                <c:pt idx="7">
                  <c:v>6075.9999999999991</c:v>
                </c:pt>
                <c:pt idx="8">
                  <c:v>5947</c:v>
                </c:pt>
                <c:pt idx="9">
                  <c:v>3261</c:v>
                </c:pt>
                <c:pt idx="10">
                  <c:v>2118.9999999999995</c:v>
                </c:pt>
              </c:numCache>
            </c:numRef>
          </c:yVal>
          <c:smooth val="0"/>
        </c:ser>
        <c:ser>
          <c:idx val="1"/>
          <c:order val="1"/>
          <c:tx>
            <c:v>2017-2020</c:v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EACC80"/>
              </a:solidFill>
              <a:ln>
                <a:solidFill>
                  <a:srgbClr val="EACC80"/>
                </a:solidFill>
              </a:ln>
            </c:spPr>
          </c:marker>
          <c:xVal>
            <c:numRef>
              <c:f>'E&amp;P - FAS69'!$CJ$335:$CJ$338</c:f>
              <c:numCache>
                <c:formatCode>_(* #,##0_);_(* \(#,##0\);_(* "-"??_);_(@_)</c:formatCode>
                <c:ptCount val="4"/>
                <c:pt idx="0">
                  <c:v>3784.7095190654641</c:v>
                </c:pt>
                <c:pt idx="1">
                  <c:v>4272.0375235258289</c:v>
                </c:pt>
                <c:pt idx="2">
                  <c:v>4003.1305444093864</c:v>
                </c:pt>
                <c:pt idx="3">
                  <c:v>4432.0606191810066</c:v>
                </c:pt>
              </c:numCache>
            </c:numRef>
          </c:xVal>
          <c:yVal>
            <c:numRef>
              <c:f>'E&amp;P - FAS69'!$CK$335:$CK$338</c:f>
              <c:numCache>
                <c:formatCode>_(* #,##0_);_(* \(#,##0\);_(* "-"??_);_(@_)</c:formatCode>
                <c:ptCount val="4"/>
                <c:pt idx="0">
                  <c:v>4186.0000000000009</c:v>
                </c:pt>
                <c:pt idx="1">
                  <c:v>5177.8653459879388</c:v>
                </c:pt>
                <c:pt idx="2">
                  <c:v>5195.1119714448596</c:v>
                </c:pt>
                <c:pt idx="3">
                  <c:v>5348.8310702165345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289664"/>
        <c:axId val="1006292352"/>
      </c:scatterChart>
      <c:valAx>
        <c:axId val="1006289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0" i="0">
                    <a:solidFill>
                      <a:srgbClr val="333333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 b="0" i="0" baseline="0">
                    <a:effectLst/>
                  </a:rPr>
                  <a:t>Wood Mackenzie estimate</a:t>
                </a:r>
                <a:endParaRPr lang="en-GB" sz="1400">
                  <a:effectLst/>
                </a:endParaRPr>
              </a:p>
            </c:rich>
          </c:tx>
          <c:layout>
            <c:manualLayout>
              <c:xMode val="edge"/>
              <c:yMode val="edge"/>
              <c:x val="0.8400800123106964"/>
              <c:y val="0.92714138751849096"/>
            </c:manualLayout>
          </c:layout>
          <c:overlay val="0"/>
          <c:spPr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12700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400" b="0" i="0">
                <a:solidFill>
                  <a:srgbClr val="808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6292352"/>
        <c:crosses val="autoZero"/>
        <c:crossBetween val="midCat"/>
        <c:dispUnits>
          <c:builtInUnit val="thousands"/>
        </c:dispUnits>
      </c:valAx>
      <c:valAx>
        <c:axId val="100629235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 w="12700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400" b="0" i="0">
                <a:solidFill>
                  <a:srgbClr val="808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6289664"/>
        <c:crosses val="autoZero"/>
        <c:crossBetween val="midCat"/>
        <c:dispUnits>
          <c:builtInUnit val="thousands"/>
        </c:dispUnits>
      </c:valAx>
      <c:spPr>
        <a:noFill/>
        <a:ln w="25400">
          <a:noFill/>
        </a:ln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r"/>
      <c:legendEntry>
        <c:idx val="2"/>
        <c:delete val="1"/>
      </c:legendEntry>
      <c:layout/>
      <c:overlay val="1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400" b="0" i="0">
          <a:solidFill>
            <a:srgbClr val="80808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 algn="ctr">
              <a:defRPr sz="1400" b="0" i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en-GB" sz="1400" b="0" i="0" baseline="0">
                <a:effectLst/>
              </a:rPr>
              <a:t>Reported/MS forecast operating cash flow* ($bn)</a:t>
            </a:r>
            <a:endParaRPr lang="en-GB" sz="1400">
              <a:effectLst/>
            </a:endParaRPr>
          </a:p>
        </c:rich>
      </c:tx>
      <c:layout>
        <c:manualLayout>
          <c:xMode val="edge"/>
          <c:yMode val="edge"/>
          <c:x val="0"/>
          <c:y val="2.8609402806875268E-3"/>
        </c:manualLayout>
      </c:layout>
      <c:overlay val="0"/>
      <c:spPr>
        <a:noFill/>
        <a:ln w="25400"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title>
    <c:autoTitleDeleted val="0"/>
    <c:plotArea>
      <c:layout>
        <c:manualLayout>
          <c:layoutTarget val="inner"/>
          <c:xMode val="edge"/>
          <c:yMode val="edge"/>
          <c:x val="8.6768444189602431E-2"/>
          <c:y val="0.13337424431936626"/>
          <c:w val="0.83846712538226298"/>
          <c:h val="0.72471675005211589"/>
        </c:manualLayout>
      </c:layout>
      <c:scatterChart>
        <c:scatterStyle val="lineMarker"/>
        <c:varyColors val="0"/>
        <c:ser>
          <c:idx val="0"/>
          <c:order val="0"/>
          <c:tx>
            <c:v>2014-2016</c:v>
          </c:tx>
          <c:spPr>
            <a:ln w="28575">
              <a:noFill/>
            </a:ln>
            <a:effectLst/>
          </c:spPr>
          <c:marker>
            <c:symbol val="diamond"/>
            <c:size val="11"/>
            <c:spPr>
              <a:solidFill>
                <a:srgbClr val="137CB1"/>
              </a:solidFill>
              <a:ln>
                <a:solidFill>
                  <a:srgbClr val="137CB1"/>
                </a:solidFill>
                <a:prstDash val="solid"/>
              </a:ln>
              <a:effectLst/>
            </c:spPr>
          </c:marker>
          <c:trendline>
            <c:trendlineType val="linear"/>
            <c:dispRSqr val="1"/>
            <c:dispEq val="1"/>
            <c:trendlineLbl>
              <c:layout>
                <c:manualLayout>
                  <c:x val="0.21207154689092764"/>
                  <c:y val="-0.22609339170314779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200"/>
                  </a:pPr>
                  <a:endParaRPr lang="en-US"/>
                </a:p>
              </c:txPr>
            </c:trendlineLbl>
          </c:trendline>
          <c:xVal>
            <c:numRef>
              <c:f>'E&amp;P - FAS69'!$CJ$422:$CJ$424</c:f>
              <c:numCache>
                <c:formatCode>_(* #,##0_);_(* \(#,##0\);_(* "-"??_);_(@_)</c:formatCode>
                <c:ptCount val="3"/>
                <c:pt idx="0">
                  <c:v>5050.1268310859559</c:v>
                </c:pt>
                <c:pt idx="1">
                  <c:v>4098.2109232700932</c:v>
                </c:pt>
                <c:pt idx="2">
                  <c:v>3299.6078972944151</c:v>
                </c:pt>
              </c:numCache>
            </c:numRef>
          </c:xVal>
          <c:yVal>
            <c:numRef>
              <c:f>'E&amp;P - FAS69'!$CK$422:$CK$424</c:f>
              <c:numCache>
                <c:formatCode>_(* #,##0_);_(* \(#,##0\);_(* "-"??_);_(@_)</c:formatCode>
                <c:ptCount val="3"/>
                <c:pt idx="0">
                  <c:v>4504.9999999999991</c:v>
                </c:pt>
                <c:pt idx="1">
                  <c:v>2879</c:v>
                </c:pt>
                <c:pt idx="2">
                  <c:v>2449</c:v>
                </c:pt>
              </c:numCache>
            </c:numRef>
          </c:yVal>
          <c:smooth val="0"/>
        </c:ser>
        <c:ser>
          <c:idx val="1"/>
          <c:order val="1"/>
          <c:tx>
            <c:v>2017-2020</c:v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EACC80"/>
              </a:solidFill>
              <a:ln>
                <a:solidFill>
                  <a:srgbClr val="EACC80"/>
                </a:solidFill>
              </a:ln>
            </c:spPr>
          </c:marker>
          <c:xVal>
            <c:numRef>
              <c:f>'E&amp;P - FAS69'!$CJ$425:$CJ$428</c:f>
              <c:numCache>
                <c:formatCode>_(* #,##0_);_(* \(#,##0\);_(* "-"??_);_(@_)</c:formatCode>
                <c:ptCount val="4"/>
                <c:pt idx="0">
                  <c:v>4038.437246693381</c:v>
                </c:pt>
                <c:pt idx="1">
                  <c:v>4571.0852533119923</c:v>
                </c:pt>
                <c:pt idx="2">
                  <c:v>4964.2175156792127</c:v>
                </c:pt>
                <c:pt idx="3">
                  <c:v>5460.8139949112092</c:v>
                </c:pt>
              </c:numCache>
            </c:numRef>
          </c:xVal>
          <c:yVal>
            <c:numRef>
              <c:f>'E&amp;P - FAS69'!$CK$425:$CK$428</c:f>
              <c:numCache>
                <c:formatCode>_(* #,##0_);_(* \(#,##0\);_(* "-"??_);_(@_)</c:formatCode>
                <c:ptCount val="4"/>
                <c:pt idx="0">
                  <c:v>3312</c:v>
                </c:pt>
                <c:pt idx="1">
                  <c:v>6396.7546188879669</c:v>
                </c:pt>
                <c:pt idx="2">
                  <c:v>6725.0472663933342</c:v>
                </c:pt>
                <c:pt idx="3">
                  <c:v>7387.9285301334812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347776"/>
        <c:axId val="1006367104"/>
      </c:scatterChart>
      <c:valAx>
        <c:axId val="1006347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0" i="0">
                    <a:solidFill>
                      <a:srgbClr val="333333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 b="0" i="0" baseline="0">
                    <a:effectLst/>
                  </a:rPr>
                  <a:t>Wood Mackenzie estimate</a:t>
                </a:r>
                <a:endParaRPr lang="en-GB" sz="1400">
                  <a:effectLst/>
                </a:endParaRPr>
              </a:p>
            </c:rich>
          </c:tx>
          <c:layout>
            <c:manualLayout>
              <c:xMode val="edge"/>
              <c:yMode val="edge"/>
              <c:x val="0.8400800123106964"/>
              <c:y val="0.92714138751849096"/>
            </c:manualLayout>
          </c:layout>
          <c:overlay val="0"/>
          <c:spPr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12700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400" b="0" i="0">
                <a:solidFill>
                  <a:srgbClr val="808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6367104"/>
        <c:crosses val="autoZero"/>
        <c:crossBetween val="midCat"/>
        <c:dispUnits>
          <c:builtInUnit val="thousands"/>
        </c:dispUnits>
      </c:valAx>
      <c:valAx>
        <c:axId val="1006367104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 w="12700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400" b="0" i="0">
                <a:solidFill>
                  <a:srgbClr val="808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6347776"/>
        <c:crosses val="autoZero"/>
        <c:crossBetween val="midCat"/>
        <c:dispUnits>
          <c:builtInUnit val="thousands"/>
        </c:dispUnits>
      </c:valAx>
      <c:spPr>
        <a:noFill/>
        <a:ln w="25400">
          <a:noFill/>
        </a:ln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r"/>
      <c:legendEntry>
        <c:idx val="2"/>
        <c:delete val="1"/>
      </c:legendEntry>
      <c:layout/>
      <c:overlay val="1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400" b="0" i="0">
          <a:solidFill>
            <a:srgbClr val="80808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 algn="ctr">
              <a:defRPr sz="1400" b="0" i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en-GB" sz="1400" b="0" i="0" baseline="0">
                <a:effectLst/>
              </a:rPr>
              <a:t>Reported/MS forecast operating cash flow* ($bn)</a:t>
            </a:r>
            <a:endParaRPr lang="en-GB" sz="1400">
              <a:effectLst/>
            </a:endParaRPr>
          </a:p>
        </c:rich>
      </c:tx>
      <c:layout>
        <c:manualLayout>
          <c:xMode val="edge"/>
          <c:yMode val="edge"/>
          <c:x val="0"/>
          <c:y val="2.8609402806875268E-3"/>
        </c:manualLayout>
      </c:layout>
      <c:overlay val="0"/>
      <c:spPr>
        <a:noFill/>
        <a:ln w="25400"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title>
    <c:autoTitleDeleted val="0"/>
    <c:plotArea>
      <c:layout>
        <c:manualLayout>
          <c:layoutTarget val="inner"/>
          <c:xMode val="edge"/>
          <c:yMode val="edge"/>
          <c:x val="8.6768444189602431E-2"/>
          <c:y val="0.13337424431936626"/>
          <c:w val="0.83846712538226298"/>
          <c:h val="0.72471675005211589"/>
        </c:manualLayout>
      </c:layout>
      <c:scatterChart>
        <c:scatterStyle val="lineMarker"/>
        <c:varyColors val="0"/>
        <c:ser>
          <c:idx val="0"/>
          <c:order val="0"/>
          <c:tx>
            <c:v>2014-2016</c:v>
          </c:tx>
          <c:spPr>
            <a:ln w="28575">
              <a:noFill/>
            </a:ln>
            <a:effectLst/>
          </c:spPr>
          <c:marker>
            <c:symbol val="diamond"/>
            <c:size val="11"/>
            <c:spPr>
              <a:solidFill>
                <a:srgbClr val="137CB1"/>
              </a:solidFill>
              <a:ln>
                <a:solidFill>
                  <a:srgbClr val="137CB1"/>
                </a:solidFill>
                <a:prstDash val="solid"/>
              </a:ln>
              <a:effectLst/>
            </c:spPr>
          </c:marker>
          <c:trendline>
            <c:trendlineType val="linear"/>
            <c:dispRSqr val="1"/>
            <c:dispEq val="1"/>
            <c:trendlineLbl>
              <c:layout>
                <c:manualLayout>
                  <c:x val="0.21207154689092764"/>
                  <c:y val="-0.22609339170314779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200"/>
                  </a:pPr>
                  <a:endParaRPr lang="en-US"/>
                </a:p>
              </c:txPr>
            </c:trendlineLbl>
          </c:trendline>
          <c:xVal>
            <c:numRef>
              <c:f>'E&amp;P - FAS69'!$CJ$474:$CJ$476</c:f>
              <c:numCache>
                <c:formatCode>_(* #,##0_);_(* \(#,##0\);_(* "-"??_);_(@_)</c:formatCode>
                <c:ptCount val="3"/>
                <c:pt idx="0">
                  <c:v>5050.1268310859559</c:v>
                </c:pt>
                <c:pt idx="1">
                  <c:v>4098.2109232700932</c:v>
                </c:pt>
                <c:pt idx="2">
                  <c:v>3299.6078972944151</c:v>
                </c:pt>
              </c:numCache>
            </c:numRef>
          </c:xVal>
          <c:yVal>
            <c:numRef>
              <c:f>'E&amp;P - FAS69'!$CK$474:$CK$476</c:f>
              <c:numCache>
                <c:formatCode>_(* #,##0_);_(* \(#,##0\);_(* "-"??_);_(@_)</c:formatCode>
                <c:ptCount val="3"/>
                <c:pt idx="0">
                  <c:v>1292</c:v>
                </c:pt>
                <c:pt idx="1">
                  <c:v>891</c:v>
                </c:pt>
                <c:pt idx="2">
                  <c:v>715</c:v>
                </c:pt>
              </c:numCache>
            </c:numRef>
          </c:yVal>
          <c:smooth val="0"/>
        </c:ser>
        <c:ser>
          <c:idx val="1"/>
          <c:order val="1"/>
          <c:tx>
            <c:v>2017-2020</c:v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EACC80"/>
              </a:solidFill>
              <a:ln>
                <a:solidFill>
                  <a:srgbClr val="EACC80"/>
                </a:solidFill>
              </a:ln>
            </c:spPr>
          </c:marker>
          <c:xVal>
            <c:numRef>
              <c:f>'E&amp;P - FAS69'!$CJ$477:$CJ$480</c:f>
              <c:numCache>
                <c:formatCode>_(* #,##0_);_(* \(#,##0\);_(* "-"??_);_(@_)</c:formatCode>
                <c:ptCount val="4"/>
                <c:pt idx="0">
                  <c:v>4038.437246693381</c:v>
                </c:pt>
                <c:pt idx="1">
                  <c:v>4571.0852533119923</c:v>
                </c:pt>
                <c:pt idx="2">
                  <c:v>4964.2175156792127</c:v>
                </c:pt>
                <c:pt idx="3">
                  <c:v>5460.8139949112092</c:v>
                </c:pt>
              </c:numCache>
            </c:numRef>
          </c:xVal>
          <c:yVal>
            <c:numRef>
              <c:f>'E&amp;P - FAS69'!$CK$477:$CK$480</c:f>
              <c:numCache>
                <c:formatCode>_(* #,##0_);_(* \(#,##0\);_(* "-"??_);_(@_)</c:formatCode>
                <c:ptCount val="4"/>
                <c:pt idx="0">
                  <c:v>746</c:v>
                </c:pt>
                <c:pt idx="1">
                  <c:v>906.76250913179786</c:v>
                </c:pt>
                <c:pt idx="2">
                  <c:v>866.34944996628315</c:v>
                </c:pt>
                <c:pt idx="3">
                  <c:v>829.59169089787144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7721088"/>
        <c:axId val="1007728128"/>
      </c:scatterChart>
      <c:valAx>
        <c:axId val="1007721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0" i="0">
                    <a:solidFill>
                      <a:srgbClr val="333333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 b="0" i="0" baseline="0">
                    <a:effectLst/>
                  </a:rPr>
                  <a:t>Wood Mackenzie estimate</a:t>
                </a:r>
                <a:endParaRPr lang="en-GB" sz="1400">
                  <a:effectLst/>
                </a:endParaRPr>
              </a:p>
            </c:rich>
          </c:tx>
          <c:layout>
            <c:manualLayout>
              <c:xMode val="edge"/>
              <c:yMode val="edge"/>
              <c:x val="0.8400800123106964"/>
              <c:y val="0.92714138751849096"/>
            </c:manualLayout>
          </c:layout>
          <c:overlay val="0"/>
          <c:spPr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12700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400" b="0" i="0">
                <a:solidFill>
                  <a:srgbClr val="808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7728128"/>
        <c:crosses val="autoZero"/>
        <c:crossBetween val="midCat"/>
        <c:dispUnits>
          <c:builtInUnit val="thousands"/>
        </c:dispUnits>
      </c:valAx>
      <c:valAx>
        <c:axId val="1007728128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 w="12700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400" b="0" i="0">
                <a:solidFill>
                  <a:srgbClr val="808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7721088"/>
        <c:crosses val="autoZero"/>
        <c:crossBetween val="midCat"/>
        <c:dispUnits>
          <c:builtInUnit val="thousands"/>
        </c:dispUnits>
      </c:valAx>
      <c:spPr>
        <a:noFill/>
        <a:ln w="25400">
          <a:noFill/>
        </a:ln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r"/>
      <c:legendEntry>
        <c:idx val="2"/>
        <c:delete val="1"/>
      </c:legendEntry>
      <c:layout/>
      <c:overlay val="1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400" b="0" i="0">
          <a:solidFill>
            <a:srgbClr val="80808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'E&amp;P - FAS69'!$CH$304:$CH$315</c:f>
            </c:numRef>
          </c:xVal>
          <c:yVal>
            <c:numRef>
              <c:f>'E&amp;P - FAS69'!$CI$304:$CI$315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7815680"/>
        <c:axId val="1007833856"/>
      </c:scatterChart>
      <c:valAx>
        <c:axId val="1007815680"/>
        <c:scaling>
          <c:orientation val="minMax"/>
        </c:scaling>
        <c:delete val="0"/>
        <c:axPos val="b"/>
        <c:numFmt formatCode="_-* #,##0_-;\-* #,##0_-;_-* &quot;-&quot;??_-;_-@_-" sourceLinked="1"/>
        <c:majorTickMark val="out"/>
        <c:minorTickMark val="none"/>
        <c:tickLblPos val="nextTo"/>
        <c:crossAx val="1007833856"/>
        <c:crosses val="autoZero"/>
        <c:crossBetween val="midCat"/>
      </c:valAx>
      <c:valAx>
        <c:axId val="1007833856"/>
        <c:scaling>
          <c:orientation val="minMax"/>
        </c:scaling>
        <c:delete val="0"/>
        <c:axPos val="l"/>
        <c:majorGridlines/>
        <c:numFmt formatCode="_-* #,##0_-;\-* #,##0_-;_-* &quot;-&quot;??_-;_-@_-" sourceLinked="1"/>
        <c:majorTickMark val="out"/>
        <c:minorTickMark val="none"/>
        <c:tickLblPos val="nextTo"/>
        <c:crossAx val="10078156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'E&amp;P - FAS69'!$CI$355</c:f>
              <c:strCache>
                <c:ptCount val="1"/>
                <c:pt idx="0">
                  <c:v>Tax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'E&amp;P - FAS69'!$CH$356:$CH$367</c:f>
            </c:numRef>
          </c:xVal>
          <c:yVal>
            <c:numRef>
              <c:f>'E&amp;P - FAS69'!$CI$356:$CI$367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7854720"/>
        <c:axId val="1007856256"/>
      </c:scatterChart>
      <c:valAx>
        <c:axId val="1007854720"/>
        <c:scaling>
          <c:orientation val="minMax"/>
        </c:scaling>
        <c:delete val="0"/>
        <c:axPos val="b"/>
        <c:numFmt formatCode="_-* #,##0_-;\-* #,##0_-;_-* &quot;-&quot;??_-;_-@_-" sourceLinked="1"/>
        <c:majorTickMark val="out"/>
        <c:minorTickMark val="none"/>
        <c:tickLblPos val="nextTo"/>
        <c:crossAx val="1007856256"/>
        <c:crosses val="autoZero"/>
        <c:crossBetween val="midCat"/>
      </c:valAx>
      <c:valAx>
        <c:axId val="1007856256"/>
        <c:scaling>
          <c:orientation val="minMax"/>
        </c:scaling>
        <c:delete val="0"/>
        <c:axPos val="l"/>
        <c:majorGridlines/>
        <c:numFmt formatCode="_-* #,##0_-;\-* #,##0_-;_-* &quot;-&quot;??_-;_-@_-" sourceLinked="1"/>
        <c:majorTickMark val="out"/>
        <c:minorTickMark val="none"/>
        <c:tickLblPos val="nextTo"/>
        <c:crossAx val="10078547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'E&amp;P - FAS69'!$CI$445</c:f>
              <c:strCache>
                <c:ptCount val="1"/>
                <c:pt idx="0">
                  <c:v>Tax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'E&amp;P - FAS69'!$CH$446:$CH$457</c:f>
            </c:numRef>
          </c:xVal>
          <c:yVal>
            <c:numRef>
              <c:f>'E&amp;P - FAS69'!$CI$446:$CI$457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7885696"/>
        <c:axId val="1007899776"/>
      </c:scatterChart>
      <c:valAx>
        <c:axId val="1007885696"/>
        <c:scaling>
          <c:orientation val="minMax"/>
        </c:scaling>
        <c:delete val="0"/>
        <c:axPos val="b"/>
        <c:numFmt formatCode="_-* #,##0_-;\-* #,##0_-;_-* &quot;-&quot;??_-;_-@_-" sourceLinked="1"/>
        <c:majorTickMark val="out"/>
        <c:minorTickMark val="none"/>
        <c:tickLblPos val="nextTo"/>
        <c:crossAx val="1007899776"/>
        <c:crosses val="autoZero"/>
        <c:crossBetween val="midCat"/>
      </c:valAx>
      <c:valAx>
        <c:axId val="1007899776"/>
        <c:scaling>
          <c:orientation val="minMax"/>
        </c:scaling>
        <c:delete val="0"/>
        <c:axPos val="l"/>
        <c:majorGridlines/>
        <c:numFmt formatCode="_-* #,##0_-;\-* #,##0_-;_-* &quot;-&quot;??_-;_-@_-" sourceLinked="1"/>
        <c:majorTickMark val="out"/>
        <c:minorTickMark val="none"/>
        <c:tickLblPos val="nextTo"/>
        <c:crossAx val="10078856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 algn="ctr">
              <a:defRPr sz="1400" b="0" i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Fuels - reported profit/bbl</a:t>
            </a:r>
          </a:p>
        </c:rich>
      </c:tx>
      <c:layout>
        <c:manualLayout>
          <c:xMode val="edge"/>
          <c:yMode val="edge"/>
          <c:x val="0"/>
          <c:y val="2.8121119006465655E-3"/>
        </c:manualLayout>
      </c:layout>
      <c:overlay val="0"/>
      <c:spPr>
        <a:noFill/>
        <a:ln w="25400"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title>
    <c:autoTitleDeleted val="0"/>
    <c:plotArea>
      <c:layout>
        <c:manualLayout>
          <c:xMode val="edge"/>
          <c:yMode val="edge"/>
          <c:x val="0"/>
          <c:y val="0.10566294652017551"/>
          <c:w val="0.98853977824922101"/>
          <c:h val="0.7437542311856353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0673483690112129"/>
                  <c:y val="-0.22039808323048807"/>
                </c:manualLayout>
              </c:layout>
              <c:numFmt formatCode="General" sourceLinked="0"/>
            </c:trendlineLbl>
          </c:trendline>
          <c:xVal>
            <c:numRef>
              <c:f>'R&amp;M'!$CK$60:$CK$97</c:f>
              <c:numCache>
                <c:formatCode>_(* #,##0.0_);_(* \(#,##0.0\);_(* "-"??_);_(@_)</c:formatCode>
                <c:ptCount val="38"/>
                <c:pt idx="0">
                  <c:v>4.3276721291817086</c:v>
                </c:pt>
                <c:pt idx="1">
                  <c:v>9.2123694325286465</c:v>
                </c:pt>
                <c:pt idx="2">
                  <c:v>4.3522625140583848</c:v>
                </c:pt>
                <c:pt idx="3">
                  <c:v>3.8619203742843364</c:v>
                </c:pt>
                <c:pt idx="4">
                  <c:v>3.3353862833637846</c:v>
                </c:pt>
                <c:pt idx="5">
                  <c:v>6.5292239199171176</c:v>
                </c:pt>
                <c:pt idx="6">
                  <c:v>5.2147389277747607</c:v>
                </c:pt>
                <c:pt idx="7">
                  <c:v>1.9488624943874893</c:v>
                </c:pt>
                <c:pt idx="8">
                  <c:v>1.3457299530530733</c:v>
                </c:pt>
                <c:pt idx="9">
                  <c:v>1.5612633870439891</c:v>
                </c:pt>
                <c:pt idx="10">
                  <c:v>0.75983078430285289</c:v>
                </c:pt>
                <c:pt idx="11">
                  <c:v>-0.47104099834437285</c:v>
                </c:pt>
                <c:pt idx="12">
                  <c:v>0.67040693011117458</c:v>
                </c:pt>
                <c:pt idx="13">
                  <c:v>1.9061163128793979</c:v>
                </c:pt>
                <c:pt idx="14">
                  <c:v>0.96161225388828164</c:v>
                </c:pt>
                <c:pt idx="15">
                  <c:v>1.2437716873196267</c:v>
                </c:pt>
                <c:pt idx="16">
                  <c:v>2.4811266570697414</c:v>
                </c:pt>
                <c:pt idx="17">
                  <c:v>5.0946918710523601</c:v>
                </c:pt>
                <c:pt idx="18">
                  <c:v>4.0020177904429843</c:v>
                </c:pt>
                <c:pt idx="19">
                  <c:v>1.7770148959937249</c:v>
                </c:pt>
                <c:pt idx="20">
                  <c:v>3.2904361152802473</c:v>
                </c:pt>
                <c:pt idx="21">
                  <c:v>6.0586045694364081</c:v>
                </c:pt>
                <c:pt idx="22">
                  <c:v>7.070302093503015</c:v>
                </c:pt>
                <c:pt idx="23">
                  <c:v>4.5085924093467149</c:v>
                </c:pt>
                <c:pt idx="24">
                  <c:v>5.4672032986597507</c:v>
                </c:pt>
                <c:pt idx="25">
                  <c:v>8.005608567109384</c:v>
                </c:pt>
                <c:pt idx="26">
                  <c:v>4.9046523291143567</c:v>
                </c:pt>
                <c:pt idx="27">
                  <c:v>3.3190096493580841</c:v>
                </c:pt>
                <c:pt idx="28">
                  <c:v>4.1999825196201108</c:v>
                </c:pt>
                <c:pt idx="29">
                  <c:v>5.724407977133759</c:v>
                </c:pt>
                <c:pt idx="30">
                  <c:v>5.6450930135977053</c:v>
                </c:pt>
                <c:pt idx="31">
                  <c:v>8.1347917672138266</c:v>
                </c:pt>
                <c:pt idx="32">
                  <c:v>8.4617767583923182</c:v>
                </c:pt>
                <c:pt idx="33">
                  <c:v>4.8172759701221519</c:v>
                </c:pt>
                <c:pt idx="34">
                  <c:v>5.0419787137290433</c:v>
                </c:pt>
                <c:pt idx="35">
                  <c:v>3.9377533024295852</c:v>
                </c:pt>
                <c:pt idx="36">
                  <c:v>5.2431192768714716</c:v>
                </c:pt>
                <c:pt idx="37">
                  <c:v>6.5620338852008233</c:v>
                </c:pt>
              </c:numCache>
            </c:numRef>
          </c:xVal>
          <c:yVal>
            <c:numRef>
              <c:f>'R&amp;M'!$CJ$60:$CJ$97</c:f>
              <c:numCache>
                <c:formatCode>_(* #,##0.0_);_(* \(#,##0.0\);_(* "-"??_);_(@_)</c:formatCode>
                <c:ptCount val="38"/>
                <c:pt idx="0">
                  <c:v>2.197296519988496</c:v>
                </c:pt>
                <c:pt idx="1">
                  <c:v>6.4066416040100247</c:v>
                </c:pt>
                <c:pt idx="2">
                  <c:v>1.9501344920339334</c:v>
                </c:pt>
                <c:pt idx="3">
                  <c:v>-2.0020020020020022</c:v>
                </c:pt>
                <c:pt idx="4">
                  <c:v>6.1739113657849551E-2</c:v>
                </c:pt>
                <c:pt idx="5">
                  <c:v>1.7418490397498883</c:v>
                </c:pt>
                <c:pt idx="6">
                  <c:v>4.9987287058225274</c:v>
                </c:pt>
                <c:pt idx="7">
                  <c:v>2.8652668416447944</c:v>
                </c:pt>
                <c:pt idx="8">
                  <c:v>2.3302995828593098</c:v>
                </c:pt>
                <c:pt idx="9">
                  <c:v>2.0469124920425052</c:v>
                </c:pt>
                <c:pt idx="10">
                  <c:v>2.2708840227088403</c:v>
                </c:pt>
                <c:pt idx="11">
                  <c:v>-1.8430067062285906</c:v>
                </c:pt>
                <c:pt idx="12">
                  <c:v>0.2150420060867822</c:v>
                </c:pt>
                <c:pt idx="13">
                  <c:v>4.4965921046612687</c:v>
                </c:pt>
                <c:pt idx="14">
                  <c:v>4.5835048716893096</c:v>
                </c:pt>
                <c:pt idx="15">
                  <c:v>0.66115702479338845</c:v>
                </c:pt>
                <c:pt idx="16">
                  <c:v>6.4051711473483177</c:v>
                </c:pt>
                <c:pt idx="17">
                  <c:v>3.7184987917344774</c:v>
                </c:pt>
                <c:pt idx="18">
                  <c:v>5.4092363968907176</c:v>
                </c:pt>
                <c:pt idx="19">
                  <c:v>1.7839355247668207</c:v>
                </c:pt>
                <c:pt idx="20">
                  <c:v>2.3984336759667158</c:v>
                </c:pt>
                <c:pt idx="21">
                  <c:v>3.8221832700360308</c:v>
                </c:pt>
                <c:pt idx="22">
                  <c:v>12.022292993630574</c:v>
                </c:pt>
                <c:pt idx="23">
                  <c:v>4.8179669030732857</c:v>
                </c:pt>
                <c:pt idx="24">
                  <c:v>6.6559052999730968</c:v>
                </c:pt>
                <c:pt idx="25">
                  <c:v>5.5490502211813686</c:v>
                </c:pt>
                <c:pt idx="26">
                  <c:v>2.2457239848544197</c:v>
                </c:pt>
                <c:pt idx="27">
                  <c:v>-1.3372664700098329</c:v>
                </c:pt>
                <c:pt idx="28">
                  <c:v>4.521963824289406</c:v>
                </c:pt>
                <c:pt idx="29">
                  <c:v>3.4705407586763517</c:v>
                </c:pt>
                <c:pt idx="30">
                  <c:v>6.9275753486279799</c:v>
                </c:pt>
                <c:pt idx="31">
                  <c:v>9.3531937734836283</c:v>
                </c:pt>
                <c:pt idx="32">
                  <c:v>12.558962264150944</c:v>
                </c:pt>
                <c:pt idx="33">
                  <c:v>5.7565149747180087</c:v>
                </c:pt>
                <c:pt idx="34">
                  <c:v>6.5923317683881066</c:v>
                </c:pt>
                <c:pt idx="35">
                  <c:v>2.8183292781832927</c:v>
                </c:pt>
                <c:pt idx="36">
                  <c:v>5.9768299104792</c:v>
                </c:pt>
                <c:pt idx="37">
                  <c:v>11.384909264565424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45824"/>
        <c:axId val="998447744"/>
      </c:scatterChart>
      <c:valAx>
        <c:axId val="998445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0" i="0">
                    <a:solidFill>
                      <a:srgbClr val="333333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Model for profit/bbl</a:t>
                </a:r>
              </a:p>
            </c:rich>
          </c:tx>
          <c:layout>
            <c:manualLayout>
              <c:xMode val="edge"/>
              <c:yMode val="edge"/>
              <c:x val="0.75255200405885336"/>
              <c:y val="0.92838333013251406"/>
            </c:manualLayout>
          </c:layout>
          <c:overlay val="0"/>
          <c:spPr>
            <a:ln w="25400">
              <a:noFill/>
            </a:ln>
          </c:spPr>
        </c:title>
        <c:numFmt formatCode="_(* #,##0.0_);_(* \(#,##0.0\);_(* &quot;-&quot;??_);_(@_)" sourceLinked="1"/>
        <c:majorTickMark val="out"/>
        <c:minorTickMark val="none"/>
        <c:tickLblPos val="nextTo"/>
        <c:spPr>
          <a:ln w="12700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808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98447744"/>
        <c:crosses val="autoZero"/>
        <c:crossBetween val="midCat"/>
      </c:valAx>
      <c:valAx>
        <c:axId val="998447744"/>
        <c:scaling>
          <c:orientation val="minMax"/>
        </c:scaling>
        <c:delete val="0"/>
        <c:axPos val="l"/>
        <c:numFmt formatCode="_(* #,##0.0_);_(* \(#,##0.0\);_(* &quot;-&quot;??_);_(@_)" sourceLinked="1"/>
        <c:majorTickMark val="out"/>
        <c:minorTickMark val="none"/>
        <c:tickLblPos val="nextTo"/>
        <c:spPr>
          <a:ln w="12700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400" b="0" i="0">
                <a:solidFill>
                  <a:srgbClr val="808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9844582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400" b="0" i="0">
          <a:solidFill>
            <a:srgbClr val="80808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 algn="l">
              <a:defRPr sz="1400" b="0" i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BP: Downstream cash earnings ($bn)</a:t>
            </a:r>
          </a:p>
        </c:rich>
      </c:tx>
      <c:layout>
        <c:manualLayout>
          <c:xMode val="edge"/>
          <c:yMode val="edge"/>
          <c:x val="0"/>
          <c:y val="0"/>
        </c:manualLayout>
      </c:layout>
      <c:overlay val="0"/>
      <c:spPr>
        <a:noFill/>
        <a:ln w="25400"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title>
    <c:autoTitleDeleted val="0"/>
    <c:plotArea>
      <c:layout>
        <c:manualLayout>
          <c:layoutTarget val="inner"/>
          <c:xMode val="edge"/>
          <c:yMode val="edge"/>
          <c:x val="6.8300044597349646E-2"/>
          <c:y val="0.10735329372524495"/>
          <c:w val="0.91403797145769627"/>
          <c:h val="0.750506566604127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137CB1"/>
            </a:solidFill>
            <a:ln w="25400">
              <a:noFill/>
            </a:ln>
            <a:effectLst/>
          </c:spPr>
          <c:invertIfNegative val="0"/>
          <c:cat>
            <c:numRef>
              <c:f>('R&amp;M'!$Q$8,'R&amp;M'!$V$8,'R&amp;M'!$AA$8,'R&amp;M'!$AF$8,'R&amp;M'!$AK$8,'R&amp;M'!$AP$8,'R&amp;M'!$AU$8,'R&amp;M'!$AZ$8,'R&amp;M'!$BE$8,'R&amp;M'!$BJ$8)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('R&amp;M'!$Q$15,'R&amp;M'!$V$15,'R&amp;M'!$AA$15,'R&amp;M'!$AF$15,'R&amp;M'!$AK$15,'R&amp;M'!$AP$15,'R&amp;M'!$AU$15,'R&amp;M'!$AZ$15,'R&amp;M'!$BE$15,'R&amp;M'!$BJ$15)</c:f>
              <c:numCache>
                <c:formatCode>_(* #,##0_);_(* \(#,##0\);_(* "-"??_);_(@_)</c:formatCode>
                <c:ptCount val="10"/>
                <c:pt idx="0">
                  <c:v>6351</c:v>
                </c:pt>
                <c:pt idx="1">
                  <c:v>5526</c:v>
                </c:pt>
                <c:pt idx="2">
                  <c:v>5843</c:v>
                </c:pt>
                <c:pt idx="3">
                  <c:v>7141</c:v>
                </c:pt>
                <c:pt idx="4">
                  <c:v>8126</c:v>
                </c:pt>
                <c:pt idx="5">
                  <c:v>8232</c:v>
                </c:pt>
                <c:pt idx="6">
                  <c:v>5722</c:v>
                </c:pt>
                <c:pt idx="7">
                  <c:v>6761</c:v>
                </c:pt>
                <c:pt idx="8">
                  <c:v>9613</c:v>
                </c:pt>
                <c:pt idx="9">
                  <c:v>7584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998467840"/>
        <c:axId val="998481920"/>
      </c:barChart>
      <c:catAx>
        <c:axId val="998467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12700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400" b="0" i="0">
                <a:solidFill>
                  <a:srgbClr val="808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98481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998481920"/>
        <c:scaling>
          <c:orientation val="minMax"/>
        </c:scaling>
        <c:delete val="0"/>
        <c:axPos val="l"/>
        <c:majorGridlines>
          <c:spPr>
            <a:ln w="12700">
              <a:solidFill>
                <a:srgbClr val="C0C0C0"/>
              </a:solidFill>
              <a:prstDash val="solid"/>
            </a:ln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400" b="0" i="0">
                <a:solidFill>
                  <a:srgbClr val="808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98467840"/>
        <c:crosses val="autoZero"/>
        <c:crossBetween val="between"/>
        <c:dispUnits>
          <c:builtInUnit val="thousands"/>
          <c:dispUnitsLbl>
            <c:layout/>
          </c:dispUnitsLbl>
        </c:dispUnits>
      </c:valAx>
      <c:spPr>
        <a:noFill/>
        <a:ln w="25400">
          <a:noFill/>
        </a:ln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400" b="0" i="0">
          <a:solidFill>
            <a:srgbClr val="80808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137CB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'Woodmac profile - Oil'!$K$500:$AL$500</c:f>
              <c:numCache>
                <c:formatCode>_(* #,##0_);_(* \(#,##0\);_(* "-"??_);_(@_)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cat>
          <c:val>
            <c:numRef>
              <c:f>'Woodmac profile - Oil'!$K$501:$AL$501</c:f>
              <c:numCache>
                <c:formatCode>_(* #,##0_);_(* \(#,##0\);_(* "-"??_);_(@_)</c:formatCode>
                <c:ptCount val="28"/>
                <c:pt idx="0">
                  <c:v>59.291999999999994</c:v>
                </c:pt>
                <c:pt idx="1">
                  <c:v>63.21</c:v>
                </c:pt>
                <c:pt idx="2">
                  <c:v>65.34</c:v>
                </c:pt>
                <c:pt idx="3">
                  <c:v>67.440000000000012</c:v>
                </c:pt>
                <c:pt idx="4">
                  <c:v>66.75</c:v>
                </c:pt>
                <c:pt idx="5">
                  <c:v>66.114000000000004</c:v>
                </c:pt>
                <c:pt idx="6">
                  <c:v>71.063999999999993</c:v>
                </c:pt>
                <c:pt idx="7">
                  <c:v>70.932000000000016</c:v>
                </c:pt>
                <c:pt idx="8">
                  <c:v>70.698000000000008</c:v>
                </c:pt>
                <c:pt idx="9">
                  <c:v>64.266000000000005</c:v>
                </c:pt>
                <c:pt idx="10">
                  <c:v>62.069999999999993</c:v>
                </c:pt>
                <c:pt idx="11">
                  <c:v>63.611999999999995</c:v>
                </c:pt>
                <c:pt idx="12">
                  <c:v>64.571999999999989</c:v>
                </c:pt>
                <c:pt idx="13">
                  <c:v>61.488000000000007</c:v>
                </c:pt>
                <c:pt idx="14">
                  <c:v>59.611999999999995</c:v>
                </c:pt>
                <c:pt idx="15">
                  <c:v>53.980000000000004</c:v>
                </c:pt>
                <c:pt idx="16">
                  <c:v>54.410000000000004</c:v>
                </c:pt>
                <c:pt idx="17">
                  <c:v>55.105000000000004</c:v>
                </c:pt>
                <c:pt idx="18">
                  <c:v>55.884999999999998</c:v>
                </c:pt>
                <c:pt idx="19">
                  <c:v>56.12</c:v>
                </c:pt>
                <c:pt idx="20">
                  <c:v>55.545000000000002</c:v>
                </c:pt>
                <c:pt idx="21">
                  <c:v>54.14</c:v>
                </c:pt>
                <c:pt idx="22">
                  <c:v>52.94</c:v>
                </c:pt>
                <c:pt idx="23">
                  <c:v>47.515000000000001</c:v>
                </c:pt>
                <c:pt idx="24">
                  <c:v>43.005000000000003</c:v>
                </c:pt>
                <c:pt idx="25">
                  <c:v>38.419999999999995</c:v>
                </c:pt>
                <c:pt idx="26">
                  <c:v>34.729999999999997</c:v>
                </c:pt>
                <c:pt idx="27">
                  <c:v>31.515000000000001</c:v>
                </c:pt>
              </c:numCache>
            </c:numRef>
          </c:val>
        </c:ser>
        <c:ser>
          <c:idx val="1"/>
          <c:order val="1"/>
          <c:spPr>
            <a:solidFill>
              <a:srgbClr val="EACC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'Woodmac profile - Oil'!$K$500:$AL$500</c:f>
              <c:numCache>
                <c:formatCode>_(* #,##0_);_(* \(#,##0\);_(* "-"??_);_(@_)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cat>
          <c:val>
            <c:numRef>
              <c:f>'Woodmac profile - Oil'!$K$502:$AL$502</c:f>
              <c:numCache>
                <c:formatCode>_(* #,##0_);_(* \(#,##0\);_(* "-"??_);_(@_)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801856"/>
        <c:axId val="1031836416"/>
      </c:barChart>
      <c:catAx>
        <c:axId val="1031801856"/>
        <c:scaling>
          <c:orientation val="minMax"/>
        </c:scaling>
        <c:delete val="0"/>
        <c:axPos val="b"/>
        <c:numFmt formatCode="_(* #,##0_);_(* \(#,##0\);_(* &quot;-&quot;??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31836416"/>
        <c:crosses val="autoZero"/>
        <c:auto val="1"/>
        <c:lblAlgn val="ctr"/>
        <c:lblOffset val="100"/>
        <c:tickLblSkip val="2"/>
        <c:tickMarkSkip val="2"/>
        <c:noMultiLvlLbl val="0"/>
      </c:catAx>
      <c:valAx>
        <c:axId val="10318364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31801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_rels/drawing2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3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4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5.xml.rels><?xml version="1.0" encoding="UTF-8" standalone="yes"?>
<Relationships xmlns="http://schemas.openxmlformats.org/package/2006/relationships">
<Relationship Id="rId1" Target="../charts/chart1.xml" Type="http://schemas.openxmlformats.org/officeDocument/2006/relationships/chart"/>
<Relationship Id="rId2" Target="../media/image4.png" Type="http://schemas.openxmlformats.org/officeDocument/2006/relationships/image"/>
<Relationship Id="rId3" Target="../media/image5.png" Type="http://schemas.openxmlformats.org/officeDocument/2006/relationships/image"/>
</Relationships>

</file>

<file path=xl/drawings/_rels/drawing6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7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8.xml.rels><?xml version="1.0" encoding="UTF-8" standalone="yes"?>
<Relationships xmlns="http://schemas.openxmlformats.org/package/2006/relationships">
<Relationship Id="rId1" Target="../charts/chart2.xml" Type="http://schemas.openxmlformats.org/officeDocument/2006/relationships/chart"/>
<Relationship Id="rId2" Target="../charts/chart3.xml" Type="http://schemas.openxmlformats.org/officeDocument/2006/relationships/chart"/>
<Relationship Id="rId3" Target="../media/image4.png" Type="http://schemas.openxmlformats.org/officeDocument/2006/relationships/image"/>
</Relationships>

</file>

<file path=xl/drawings/_rels/drawing9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10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11.xml.rels><?xml version="1.0" encoding="UTF-8" standalone="yes"?>
<Relationships xmlns="http://schemas.openxmlformats.org/package/2006/relationships">
<Relationship Id="rId1" Target="../charts/chart4.xml" Type="http://schemas.openxmlformats.org/officeDocument/2006/relationships/chart"/>
<Relationship Id="rId10" Target="../charts/chart12.xml" Type="http://schemas.openxmlformats.org/officeDocument/2006/relationships/chart"/>
<Relationship Id="rId11" Target="../charts/chart13.xml" Type="http://schemas.openxmlformats.org/officeDocument/2006/relationships/chart"/>
<Relationship Id="rId12" Target="../charts/chart14.xml" Type="http://schemas.openxmlformats.org/officeDocument/2006/relationships/chart"/>
<Relationship Id="rId13" Target="../charts/chart15.xml" Type="http://schemas.openxmlformats.org/officeDocument/2006/relationships/chart"/>
<Relationship Id="rId14" Target="../charts/chart16.xml" Type="http://schemas.openxmlformats.org/officeDocument/2006/relationships/chart"/>
<Relationship Id="rId2" Target="../charts/chart5.xml" Type="http://schemas.openxmlformats.org/officeDocument/2006/relationships/chart"/>
<Relationship Id="rId3" Target="../media/image4.png" Type="http://schemas.openxmlformats.org/officeDocument/2006/relationships/image"/>
<Relationship Id="rId4" Target="../charts/chart6.xml" Type="http://schemas.openxmlformats.org/officeDocument/2006/relationships/chart"/>
<Relationship Id="rId5" Target="../charts/chart7.xml" Type="http://schemas.openxmlformats.org/officeDocument/2006/relationships/chart"/>
<Relationship Id="rId6" Target="../charts/chart8.xml" Type="http://schemas.openxmlformats.org/officeDocument/2006/relationships/chart"/>
<Relationship Id="rId7" Target="../charts/chart9.xml" Type="http://schemas.openxmlformats.org/officeDocument/2006/relationships/chart"/>
<Relationship Id="rId8" Target="../charts/chart10.xml" Type="http://schemas.openxmlformats.org/officeDocument/2006/relationships/chart"/>
<Relationship Id="rId9" Target="../charts/chart11.xml" Type="http://schemas.openxmlformats.org/officeDocument/2006/relationships/chart"/>
</Relationships>

</file>

<file path=xl/drawings/_rels/drawing12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Relationship Id="rId2" Target="../media/image7.png" Type="http://schemas.openxmlformats.org/officeDocument/2006/relationships/image"/>
<Relationship Id="rId3" Target="../media/image8.png" Type="http://schemas.openxmlformats.org/officeDocument/2006/relationships/image"/>
</Relationships>

</file>

<file path=xl/drawings/_rels/drawing13.xml.rels><?xml version="1.0" encoding="UTF-8" standalone="yes"?>
<Relationships xmlns="http://schemas.openxmlformats.org/package/2006/relationships">
<Relationship Id="rId1" Target="../charts/chart17.xml" Type="http://schemas.openxmlformats.org/officeDocument/2006/relationships/chart"/>
<Relationship Id="rId2" Target="../charts/chart18.xml" Type="http://schemas.openxmlformats.org/officeDocument/2006/relationships/chart"/>
<Relationship Id="rId3" Target="../media/image4.png" Type="http://schemas.openxmlformats.org/officeDocument/2006/relationships/image"/>
</Relationships>

</file>

<file path=xl/drawings/_rels/drawing14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15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Relationship Id="rId2" Target="../media/image9.png" Type="http://schemas.openxmlformats.org/officeDocument/2006/relationships/image"/>
</Relationships>

</file>

<file path=xl/drawings/_rels/drawing16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17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18.xml.rels><?xml version="1.0" encoding="UTF-8" standalone="yes"?>
<Relationships xmlns="http://schemas.openxmlformats.org/package/2006/relationships">
<Relationship Id="rId1" Target="../charts/chart19.xml" Type="http://schemas.openxmlformats.org/officeDocument/2006/relationships/chart"/>
<Relationship Id="rId2" Target="../media/image4.png" Type="http://schemas.openxmlformats.org/officeDocument/2006/relationships/image"/>
</Relationships>

</file>

<file path=xl/drawings/_rels/drawing19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20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vmlDrawing2.vml.rels><?xml version="1.0" encoding="UTF-8" standalone="yes"?>
<Relationships xmlns="http://schemas.openxmlformats.org/package/2006/relationships">
<Relationship Id="rId1" Target="../media/image6.emf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181</xdr:row>
      <xdr:rowOff>0</xdr:rowOff>
    </xdr:from>
    <xdr:to>
      <xdr:col>7</xdr:col>
      <xdr:colOff>390525</xdr:colOff>
      <xdr:row>204</xdr:row>
      <xdr:rowOff>104775</xdr:rowOff>
    </xdr:to>
    <xdr:pic>
      <xdr:nvPicPr>
        <xdr:cNvPr id="155649" name="Picture 1" descr="C:\Users\saherm\AppData\Local\Temp\MercuryPriceRatingHistoryChart\BP.L_2018_04_15_13_37_52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612975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89</xdr:col>
      <xdr:colOff>89647</xdr:colOff>
      <xdr:row>0</xdr:row>
      <xdr:rowOff>145677</xdr:rowOff>
    </xdr:from>
    <xdr:to>
      <xdr:col>91</xdr:col>
      <xdr:colOff>318246</xdr:colOff>
      <xdr:row>2</xdr:row>
      <xdr:rowOff>112620</xdr:rowOff>
    </xdr:to>
    <xdr:pic>
      <xdr:nvPicPr>
        <xdr:cNvPr id="3" name="Picture 1" descr="titlegraphi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21382" y="145677"/>
          <a:ext cx="1528482" cy="3479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85</xdr:col>
      <xdr:colOff>99733</xdr:colOff>
      <xdr:row>1</xdr:row>
      <xdr:rowOff>0</xdr:rowOff>
    </xdr:from>
    <xdr:to>
      <xdr:col>87</xdr:col>
      <xdr:colOff>328333</xdr:colOff>
      <xdr:row>2</xdr:row>
      <xdr:rowOff>123825</xdr:rowOff>
    </xdr:to>
    <xdr:pic>
      <xdr:nvPicPr>
        <xdr:cNvPr id="3" name="Picture 1" descr="titlegraphi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2647" y="156882"/>
          <a:ext cx="1528482" cy="3479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90</xdr:col>
      <xdr:colOff>518272</xdr:colOff>
      <xdr:row>1</xdr:row>
      <xdr:rowOff>11205</xdr:rowOff>
    </xdr:from>
    <xdr:to>
      <xdr:col>93</xdr:col>
      <xdr:colOff>94688</xdr:colOff>
      <xdr:row>2</xdr:row>
      <xdr:rowOff>135030</xdr:rowOff>
    </xdr:to>
    <xdr:pic>
      <xdr:nvPicPr>
        <xdr:cNvPr id="3" name="Picture 1" descr="titlegraphi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47205" y="168087"/>
          <a:ext cx="1528482" cy="3479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85</xdr:col>
      <xdr:colOff>504263</xdr:colOff>
      <xdr:row>39</xdr:row>
      <xdr:rowOff>29133</xdr:rowOff>
    </xdr:from>
    <xdr:to>
      <xdr:col>93</xdr:col>
      <xdr:colOff>630634</xdr:colOff>
      <xdr:row>63</xdr:row>
      <xdr:rowOff>90351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71</xdr:col>
      <xdr:colOff>369794</xdr:colOff>
      <xdr:row>1</xdr:row>
      <xdr:rowOff>89648</xdr:rowOff>
    </xdr:from>
    <xdr:to>
      <xdr:col>81</xdr:col>
      <xdr:colOff>598394</xdr:colOff>
      <xdr:row>3</xdr:row>
      <xdr:rowOff>56591</xdr:rowOff>
    </xdr:to>
    <xdr:pic>
      <xdr:nvPicPr>
        <xdr:cNvPr id="5" name="Picture 1" descr="titlegraphic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3" y="246530"/>
          <a:ext cx="1528482" cy="3479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88</xdr:col>
      <xdr:colOff>0</xdr:colOff>
      <xdr:row>10</xdr:row>
      <xdr:rowOff>0</xdr:rowOff>
    </xdr:from>
    <xdr:to>
      <xdr:col>97</xdr:col>
      <xdr:colOff>93268</xdr:colOff>
      <xdr:row>35</xdr:row>
      <xdr:rowOff>39846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181794" y="1636059"/>
          <a:ext cx="6895239" cy="39619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25</xdr:col>
      <xdr:colOff>212912</xdr:colOff>
      <xdr:row>0</xdr:row>
      <xdr:rowOff>100853</xdr:rowOff>
    </xdr:from>
    <xdr:to>
      <xdr:col>27</xdr:col>
      <xdr:colOff>441511</xdr:colOff>
      <xdr:row>2</xdr:row>
      <xdr:rowOff>67796</xdr:rowOff>
    </xdr:to>
    <xdr:pic>
      <xdr:nvPicPr>
        <xdr:cNvPr id="3" name="Picture 1" descr="titlegraphi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94941" y="100853"/>
          <a:ext cx="1528482" cy="3479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91</xdr:col>
      <xdr:colOff>616324</xdr:colOff>
      <xdr:row>1</xdr:row>
      <xdr:rowOff>89647</xdr:rowOff>
    </xdr:from>
    <xdr:to>
      <xdr:col>94</xdr:col>
      <xdr:colOff>194982</xdr:colOff>
      <xdr:row>3</xdr:row>
      <xdr:rowOff>56590</xdr:rowOff>
    </xdr:to>
    <xdr:pic>
      <xdr:nvPicPr>
        <xdr:cNvPr id="3" name="Picture 1" descr="titlegraphi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697765" y="246529"/>
          <a:ext cx="1528482" cy="3479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83</xdr:col>
      <xdr:colOff>0</xdr:colOff>
      <xdr:row>99</xdr:row>
      <xdr:rowOff>52108</xdr:rowOff>
    </xdr:from>
    <xdr:to>
      <xdr:col>91</xdr:col>
      <xdr:colOff>561974</xdr:colOff>
      <xdr:row>122</xdr:row>
      <xdr:rowOff>52108</xdr:rowOff>
    </xdr:to>
    <xdr:graphicFrame macro="">
      <xdr:nvGraphicFramePr>
        <xdr:cNvPr id="10276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83</xdr:col>
      <xdr:colOff>605116</xdr:colOff>
      <xdr:row>26</xdr:row>
      <xdr:rowOff>33624</xdr:rowOff>
    </xdr:from>
    <xdr:to>
      <xdr:col>93</xdr:col>
      <xdr:colOff>384104</xdr:colOff>
      <xdr:row>50</xdr:row>
      <xdr:rowOff>61224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71</xdr:col>
      <xdr:colOff>369794</xdr:colOff>
      <xdr:row>1</xdr:row>
      <xdr:rowOff>11206</xdr:rowOff>
    </xdr:from>
    <xdr:to>
      <xdr:col>81</xdr:col>
      <xdr:colOff>598394</xdr:colOff>
      <xdr:row>2</xdr:row>
      <xdr:rowOff>135031</xdr:rowOff>
    </xdr:to>
    <xdr:pic>
      <xdr:nvPicPr>
        <xdr:cNvPr id="13" name="Picture 1" descr="titlegraphic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2412" y="168088"/>
          <a:ext cx="1528482" cy="3479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71</xdr:col>
      <xdr:colOff>358589</xdr:colOff>
      <xdr:row>1</xdr:row>
      <xdr:rowOff>44823</xdr:rowOff>
    </xdr:from>
    <xdr:to>
      <xdr:col>81</xdr:col>
      <xdr:colOff>587188</xdr:colOff>
      <xdr:row>3</xdr:row>
      <xdr:rowOff>11766</xdr:rowOff>
    </xdr:to>
    <xdr:pic>
      <xdr:nvPicPr>
        <xdr:cNvPr id="3" name="Picture 1" descr="titlegraphi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40971" y="201705"/>
          <a:ext cx="1528482" cy="3479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83</xdr:col>
      <xdr:colOff>437029</xdr:colOff>
      <xdr:row>1</xdr:row>
      <xdr:rowOff>44824</xdr:rowOff>
    </xdr:from>
    <xdr:to>
      <xdr:col>86</xdr:col>
      <xdr:colOff>15687</xdr:colOff>
      <xdr:row>3</xdr:row>
      <xdr:rowOff>11767</xdr:rowOff>
    </xdr:to>
    <xdr:pic>
      <xdr:nvPicPr>
        <xdr:cNvPr id="3" name="Picture 1" descr="titlegraphi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19176" y="201706"/>
          <a:ext cx="1528482" cy="3479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304800</xdr:colOff>
          <xdr:row>1266</xdr:row>
          <xdr:rowOff>104775</xdr:rowOff>
        </xdr:from>
        <xdr:to>
          <xdr:col>31</xdr:col>
          <xdr:colOff>276225</xdr:colOff>
          <xdr:row>1267</xdr:row>
          <xdr:rowOff>104775</xdr:rowOff>
        </xdr:to>
        <xdr:sp macro="" textlink="">
          <xdr:nvSpPr>
            <xdr:cNvPr id="7226" name="XLDataChannel1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103</xdr:col>
      <xdr:colOff>453836</xdr:colOff>
      <xdr:row>30</xdr:row>
      <xdr:rowOff>40342</xdr:rowOff>
    </xdr:from>
    <xdr:to>
      <xdr:col>113</xdr:col>
      <xdr:colOff>232824</xdr:colOff>
      <xdr:row>54</xdr:row>
      <xdr:rowOff>112766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93</xdr:col>
      <xdr:colOff>207306</xdr:colOff>
      <xdr:row>30</xdr:row>
      <xdr:rowOff>40342</xdr:rowOff>
    </xdr:from>
    <xdr:to>
      <xdr:col>102</xdr:col>
      <xdr:colOff>636235</xdr:colOff>
      <xdr:row>54</xdr:row>
      <xdr:rowOff>112766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83</xdr:col>
      <xdr:colOff>257735</xdr:colOff>
      <xdr:row>1</xdr:row>
      <xdr:rowOff>67236</xdr:rowOff>
    </xdr:from>
    <xdr:to>
      <xdr:col>85</xdr:col>
      <xdr:colOff>486335</xdr:colOff>
      <xdr:row>3</xdr:row>
      <xdr:rowOff>34179</xdr:rowOff>
    </xdr:to>
    <xdr:pic>
      <xdr:nvPicPr>
        <xdr:cNvPr id="8" name="Picture 1" descr="titlegraphic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39882" y="224118"/>
          <a:ext cx="1528482" cy="3479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88</xdr:col>
      <xdr:colOff>95249</xdr:colOff>
      <xdr:row>248</xdr:row>
      <xdr:rowOff>113179</xdr:rowOff>
    </xdr:from>
    <xdr:to>
      <xdr:col>95</xdr:col>
      <xdr:colOff>117660</xdr:colOff>
      <xdr:row>266</xdr:row>
      <xdr:rowOff>32496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87</xdr:col>
      <xdr:colOff>638736</xdr:colOff>
      <xdr:row>66</xdr:row>
      <xdr:rowOff>11206</xdr:rowOff>
    </xdr:from>
    <xdr:to>
      <xdr:col>97</xdr:col>
      <xdr:colOff>417724</xdr:colOff>
      <xdr:row>90</xdr:row>
      <xdr:rowOff>83630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91</xdr:col>
      <xdr:colOff>0</xdr:colOff>
      <xdr:row>127</xdr:row>
      <xdr:rowOff>0</xdr:rowOff>
    </xdr:from>
    <xdr:to>
      <xdr:col>100</xdr:col>
      <xdr:colOff>428928</xdr:colOff>
      <xdr:row>151</xdr:row>
      <xdr:rowOff>72423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91</xdr:col>
      <xdr:colOff>0</xdr:colOff>
      <xdr:row>217</xdr:row>
      <xdr:rowOff>0</xdr:rowOff>
    </xdr:from>
    <xdr:to>
      <xdr:col>100</xdr:col>
      <xdr:colOff>428928</xdr:colOff>
      <xdr:row>241</xdr:row>
      <xdr:rowOff>72423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91</xdr:col>
      <xdr:colOff>0</xdr:colOff>
      <xdr:row>270</xdr:row>
      <xdr:rowOff>0</xdr:rowOff>
    </xdr:from>
    <xdr:to>
      <xdr:col>100</xdr:col>
      <xdr:colOff>428928</xdr:colOff>
      <xdr:row>294</xdr:row>
      <xdr:rowOff>72423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91</xdr:col>
      <xdr:colOff>0</xdr:colOff>
      <xdr:row>322</xdr:row>
      <xdr:rowOff>0</xdr:rowOff>
    </xdr:from>
    <xdr:to>
      <xdr:col>100</xdr:col>
      <xdr:colOff>428928</xdr:colOff>
      <xdr:row>346</xdr:row>
      <xdr:rowOff>72424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91</xdr:col>
      <xdr:colOff>0</xdr:colOff>
      <xdr:row>412</xdr:row>
      <xdr:rowOff>0</xdr:rowOff>
    </xdr:from>
    <xdr:to>
      <xdr:col>100</xdr:col>
      <xdr:colOff>428928</xdr:colOff>
      <xdr:row>436</xdr:row>
      <xdr:rowOff>72424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91</xdr:col>
      <xdr:colOff>0</xdr:colOff>
      <xdr:row>464</xdr:row>
      <xdr:rowOff>0</xdr:rowOff>
    </xdr:from>
    <xdr:to>
      <xdr:col>100</xdr:col>
      <xdr:colOff>428928</xdr:colOff>
      <xdr:row>488</xdr:row>
      <xdr:rowOff>72424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88</xdr:col>
      <xdr:colOff>0</xdr:colOff>
      <xdr:row>299</xdr:row>
      <xdr:rowOff>0</xdr:rowOff>
    </xdr:from>
    <xdr:to>
      <xdr:col>95</xdr:col>
      <xdr:colOff>22411</xdr:colOff>
      <xdr:row>316</xdr:row>
      <xdr:rowOff>76199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87</xdr:col>
      <xdr:colOff>465044</xdr:colOff>
      <xdr:row>349</xdr:row>
      <xdr:rowOff>90768</xdr:rowOff>
    </xdr:from>
    <xdr:to>
      <xdr:col>94</xdr:col>
      <xdr:colOff>487455</xdr:colOff>
      <xdr:row>367</xdr:row>
      <xdr:rowOff>10085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88</xdr:col>
      <xdr:colOff>252132</xdr:colOff>
      <xdr:row>438</xdr:row>
      <xdr:rowOff>34739</xdr:rowOff>
    </xdr:from>
    <xdr:to>
      <xdr:col>95</xdr:col>
      <xdr:colOff>274543</xdr:colOff>
      <xdr:row>455</xdr:row>
      <xdr:rowOff>110939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148</xdr:col>
      <xdr:colOff>358588</xdr:colOff>
      <xdr:row>1</xdr:row>
      <xdr:rowOff>0</xdr:rowOff>
    </xdr:from>
    <xdr:to>
      <xdr:col>150</xdr:col>
      <xdr:colOff>587187</xdr:colOff>
      <xdr:row>2</xdr:row>
      <xdr:rowOff>123825</xdr:rowOff>
    </xdr:to>
    <xdr:pic>
      <xdr:nvPicPr>
        <xdr:cNvPr id="4" name="Picture 1" descr="titlegraphi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40970" y="156882"/>
          <a:ext cx="1528482" cy="3479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147</xdr:col>
      <xdr:colOff>493057</xdr:colOff>
      <xdr:row>38</xdr:row>
      <xdr:rowOff>11203</xdr:rowOff>
    </xdr:from>
    <xdr:to>
      <xdr:col>158</xdr:col>
      <xdr:colOff>257990</xdr:colOff>
      <xdr:row>70</xdr:row>
      <xdr:rowOff>44747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324792" y="6051174"/>
          <a:ext cx="6914286" cy="5076191"/>
        </a:xfrm>
        <a:prstGeom prst="rect">
          <a:avLst/>
        </a:prstGeom>
      </xdr:spPr>
    </xdr:pic>
    <xdr:clientData/>
  </xdr:twoCellAnchor>
  <xdr:twoCellAnchor editAs="oneCell">
    <xdr:from>
      <xdr:col>69</xdr:col>
      <xdr:colOff>100853</xdr:colOff>
      <xdr:row>102</xdr:row>
      <xdr:rowOff>22413</xdr:rowOff>
    </xdr:from>
    <xdr:to>
      <xdr:col>152</xdr:col>
      <xdr:colOff>10965</xdr:colOff>
      <xdr:row>105</xdr:row>
      <xdr:rowOff>56528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682882" y="16125266"/>
          <a:ext cx="6409524" cy="504762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66675</xdr:colOff>
      <xdr:row>79</xdr:row>
      <xdr:rowOff>28575</xdr:rowOff>
    </xdr:from>
    <xdr:to>
      <xdr:col>100</xdr:col>
      <xdr:colOff>408051</xdr:colOff>
      <xdr:row>100</xdr:row>
      <xdr:rowOff>74756</xdr:rowOff>
    </xdr:to>
    <xdr:graphicFrame macro="">
      <xdr:nvGraphicFramePr>
        <xdr:cNvPr id="8499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91</xdr:col>
      <xdr:colOff>168089</xdr:colOff>
      <xdr:row>34</xdr:row>
      <xdr:rowOff>152399</xdr:rowOff>
    </xdr:from>
    <xdr:to>
      <xdr:col>100</xdr:col>
      <xdr:colOff>597018</xdr:colOff>
      <xdr:row>59</xdr:row>
      <xdr:rowOff>67940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66</xdr:col>
      <xdr:colOff>616322</xdr:colOff>
      <xdr:row>0</xdr:row>
      <xdr:rowOff>78441</xdr:rowOff>
    </xdr:from>
    <xdr:to>
      <xdr:col>69</xdr:col>
      <xdr:colOff>194980</xdr:colOff>
      <xdr:row>2</xdr:row>
      <xdr:rowOff>45384</xdr:rowOff>
    </xdr:to>
    <xdr:pic>
      <xdr:nvPicPr>
        <xdr:cNvPr id="5" name="Picture 1" descr="titlegraphic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49116" y="78441"/>
          <a:ext cx="1528482" cy="3479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71</xdr:col>
      <xdr:colOff>369794</xdr:colOff>
      <xdr:row>1</xdr:row>
      <xdr:rowOff>56029</xdr:rowOff>
    </xdr:from>
    <xdr:to>
      <xdr:col>81</xdr:col>
      <xdr:colOff>598393</xdr:colOff>
      <xdr:row>3</xdr:row>
      <xdr:rowOff>22972</xdr:rowOff>
    </xdr:to>
    <xdr:pic>
      <xdr:nvPicPr>
        <xdr:cNvPr id="3" name="Picture 1" descr="titlegraphi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52176" y="212911"/>
          <a:ext cx="1528482" cy="3479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71</xdr:col>
      <xdr:colOff>459441</xdr:colOff>
      <xdr:row>1</xdr:row>
      <xdr:rowOff>100854</xdr:rowOff>
    </xdr:from>
    <xdr:to>
      <xdr:col>82</xdr:col>
      <xdr:colOff>38099</xdr:colOff>
      <xdr:row>3</xdr:row>
      <xdr:rowOff>67797</xdr:rowOff>
    </xdr:to>
    <xdr:pic>
      <xdr:nvPicPr>
        <xdr:cNvPr id="5" name="Picture 1" descr="titlegraphi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41588" y="257736"/>
          <a:ext cx="1528482" cy="3479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84</xdr:col>
      <xdr:colOff>0</xdr:colOff>
      <xdr:row>124</xdr:row>
      <xdr:rowOff>24063</xdr:rowOff>
    </xdr:from>
    <xdr:to>
      <xdr:col>91</xdr:col>
      <xdr:colOff>392206</xdr:colOff>
      <xdr:row>157</xdr:row>
      <xdr:rowOff>9191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856824" y="19634357"/>
          <a:ext cx="4941794" cy="5162246"/>
        </a:xfrm>
        <a:prstGeom prst="rect">
          <a:avLst/>
        </a:prstGeom>
      </xdr:spPr>
    </xdr:pic>
    <xdr:clientData/>
  </xdr:twoCellAnchor>
  <xdr:twoCellAnchor>
    <xdr:from>
      <xdr:col>85</xdr:col>
      <xdr:colOff>627529</xdr:colOff>
      <xdr:row>138</xdr:row>
      <xdr:rowOff>123265</xdr:rowOff>
    </xdr:from>
    <xdr:to>
      <xdr:col>85</xdr:col>
      <xdr:colOff>627529</xdr:colOff>
      <xdr:row>153</xdr:row>
      <xdr:rowOff>123265</xdr:rowOff>
    </xdr:to>
    <xdr:cxnSp macro="">
      <xdr:nvCxnSpPr>
        <xdr:cNvPr id="7" name="Straight Arrow Connector 6"/>
        <xdr:cNvCxnSpPr/>
      </xdr:nvCxnSpPr>
      <xdr:spPr>
        <a:xfrm flipV="1">
          <a:off x="21134294" y="21929912"/>
          <a:ext cx="0" cy="2353235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89</xdr:col>
      <xdr:colOff>302559</xdr:colOff>
      <xdr:row>134</xdr:row>
      <xdr:rowOff>145676</xdr:rowOff>
    </xdr:from>
    <xdr:to>
      <xdr:col>89</xdr:col>
      <xdr:colOff>302559</xdr:colOff>
      <xdr:row>153</xdr:row>
      <xdr:rowOff>123266</xdr:rowOff>
    </xdr:to>
    <xdr:cxnSp macro="">
      <xdr:nvCxnSpPr>
        <xdr:cNvPr id="8" name="Straight Arrow Connector 7"/>
        <xdr:cNvCxnSpPr/>
      </xdr:nvCxnSpPr>
      <xdr:spPr>
        <a:xfrm flipV="1">
          <a:off x="23409088" y="21324794"/>
          <a:ext cx="0" cy="2958354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71</xdr:col>
      <xdr:colOff>515470</xdr:colOff>
      <xdr:row>1</xdr:row>
      <xdr:rowOff>134471</xdr:rowOff>
    </xdr:from>
    <xdr:to>
      <xdr:col>82</xdr:col>
      <xdr:colOff>94128</xdr:colOff>
      <xdr:row>3</xdr:row>
      <xdr:rowOff>101414</xdr:rowOff>
    </xdr:to>
    <xdr:pic>
      <xdr:nvPicPr>
        <xdr:cNvPr id="3" name="Picture 1" descr="titlegraphi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97617" y="291353"/>
          <a:ext cx="1528482" cy="3479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82</xdr:col>
      <xdr:colOff>381000</xdr:colOff>
      <xdr:row>1</xdr:row>
      <xdr:rowOff>67236</xdr:rowOff>
    </xdr:from>
    <xdr:to>
      <xdr:col>89</xdr:col>
      <xdr:colOff>609600</xdr:colOff>
      <xdr:row>3</xdr:row>
      <xdr:rowOff>34179</xdr:rowOff>
    </xdr:to>
    <xdr:pic>
      <xdr:nvPicPr>
        <xdr:cNvPr id="4" name="Picture 1" descr="titlegraphi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612971" y="224118"/>
          <a:ext cx="1528482" cy="3479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419100</xdr:colOff>
      <xdr:row>534</xdr:row>
      <xdr:rowOff>0</xdr:rowOff>
    </xdr:from>
    <xdr:to>
      <xdr:col>40</xdr:col>
      <xdr:colOff>0</xdr:colOff>
      <xdr:row>534</xdr:row>
      <xdr:rowOff>0</xdr:rowOff>
    </xdr:to>
    <xdr:graphicFrame macro="">
      <xdr:nvGraphicFramePr>
        <xdr:cNvPr id="6281" name="Chart 1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36</xdr:col>
      <xdr:colOff>549087</xdr:colOff>
      <xdr:row>1</xdr:row>
      <xdr:rowOff>11205</xdr:rowOff>
    </xdr:from>
    <xdr:to>
      <xdr:col>38</xdr:col>
      <xdr:colOff>777687</xdr:colOff>
      <xdr:row>2</xdr:row>
      <xdr:rowOff>135030</xdr:rowOff>
    </xdr:to>
    <xdr:pic>
      <xdr:nvPicPr>
        <xdr:cNvPr id="4" name="Picture 1" descr="titlegraphic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52558" y="168087"/>
          <a:ext cx="1528482" cy="3479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36</xdr:col>
      <xdr:colOff>549087</xdr:colOff>
      <xdr:row>1</xdr:row>
      <xdr:rowOff>56029</xdr:rowOff>
    </xdr:from>
    <xdr:to>
      <xdr:col>38</xdr:col>
      <xdr:colOff>777687</xdr:colOff>
      <xdr:row>3</xdr:row>
      <xdr:rowOff>22972</xdr:rowOff>
    </xdr:to>
    <xdr:pic>
      <xdr:nvPicPr>
        <xdr:cNvPr id="3" name="Picture 1" descr="titlegraphi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52558" y="212911"/>
          <a:ext cx="1528482" cy="3479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39</xdr:col>
      <xdr:colOff>0</xdr:colOff>
      <xdr:row>1</xdr:row>
      <xdr:rowOff>0</xdr:rowOff>
    </xdr:from>
    <xdr:to>
      <xdr:col>41</xdr:col>
      <xdr:colOff>49306</xdr:colOff>
      <xdr:row>2</xdr:row>
      <xdr:rowOff>123825</xdr:rowOff>
    </xdr:to>
    <xdr:pic>
      <xdr:nvPicPr>
        <xdr:cNvPr id="3" name="Picture 1" descr="titlegraphi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353059" y="156882"/>
          <a:ext cx="1528482" cy="3479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OIL/XLDATA/Integrated%20team/Models/RD%20Shell/RD%20from%20Hst%201903.xls" TargetMode="External" Type="http://schemas.microsoft.com/office/2006/relationships/xlExternalLinkPath/xlStartup"/>
</Relationships>

</file>

<file path=xl/externalLinks/_rels/externalLink2.xml.rels><?xml version="1.0" encoding="UTF-8" standalone="yes"?>
<Relationships xmlns="http://schemas.openxmlformats.org/package/2006/relationships">
<Relationship Id="rId1" Target="health/HarrS/Companies/SCIO/Models/SCIO_021303.xls" TargetMode="External" Type="http://schemas.microsoft.com/office/2006/relationships/xlExternalLinkPath/xlStartup"/>
</Relationships>

</file>

<file path=xl/externalLinks/_rels/externalLink3.xml.rels><?xml version="1.0" encoding="UTF-8" standalone="yes"?>
<Relationships xmlns="http://schemas.openxmlformats.org/package/2006/relationships">
<Relationship Id="rId1" Target="na/ny/users/johndasc/Docs/ID/Charts/Chart_Gallery/From%20Vlad/B11_BarSingle_AverageLine.xls" TargetMode="External" Type="http://schemas.microsoft.com/office/2006/relationships/xlExternalLinkPath/xlAlternateStartup"/>
</Relationships>

</file>

<file path=xl/externalLinks/_rels/externalLink4.xml.rels><?xml version="1.0" encoding="UTF-8" standalone="yes"?>
<Relationships xmlns="http://schemas.openxmlformats.org/package/2006/relationships">
<Relationship Id="rId1" Target="OIL/Martijn/Companies/RD%20Shell/Model/Valuation%20model%20-%20Royal%20Dutch%20Shell%20-%20$75.xls" TargetMode="External" Type="http://schemas.microsoft.com/office/2006/relationships/xlExternalLinkPath/xlAlternateStartup"/>
</Relationships>

</file>

<file path=xl/externalLinks/_rels/externalLink5.xml.rels><?xml version="1.0" encoding="UTF-8" standalone="yes"?>
<Relationships xmlns="http://schemas.openxmlformats.org/package/2006/relationships">
<Relationship Id="rId1" Target="NA/NY/LIB/ER/HEALTH/RubinJ/Company/Pfe/PFEwork.xls" TargetMode="External" Type="http://schemas.microsoft.com/office/2006/relationships/xlExternalLinkPath/xlAlternateStartup"/>
</Relationships>

</file>

<file path=xl/externalLinks/_rels/externalLink6.xml.rels><?xml version="1.0" encoding="UTF-8" standalone="yes"?>
<Relationships xmlns="http://schemas.openxmlformats.org/package/2006/relationships">
<Relationship Id="rId1" Target="DONNELLY/COMPANYS/INDUSTRY/ANALYSIS/SEG-ROCE.XLS" TargetMode="External" Type="http://schemas.microsoft.com/office/2006/relationships/xlExternalLinkPath/xlStartup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D"/>
      <sheetName val="ROCE"/>
      <sheetName val="Variance"/>
      <sheetName val="Capex"/>
      <sheetName val="BS"/>
      <sheetName val="DG&amp;P"/>
      <sheetName val="E&amp;P"/>
      <sheetName val="E&amp;PPR"/>
      <sheetName val="Dividends"/>
      <sheetName val="Divids"/>
      <sheetName val="ROCE SUM"/>
      <sheetName val="GOM Projects"/>
      <sheetName val="E&amp;P WoodMac"/>
      <sheetName val="Quarterly"/>
      <sheetName val="RD Summary"/>
      <sheetName val="Shell Summary"/>
      <sheetName val="EE&amp;P"/>
      <sheetName val="NEPS"/>
      <sheetName val="Sheet2"/>
      <sheetName val="ROGIC"/>
      <sheetName val="Marketing"/>
      <sheetName val="Chemicals"/>
      <sheetName val="Chemical plants"/>
      <sheetName val="Reserves"/>
      <sheetName val="RefineryMain"/>
      <sheetName val="R&amp;M"/>
      <sheetName val="WACC"/>
      <sheetName val="Sheet1"/>
      <sheetName val="GE Data RD"/>
      <sheetName val="GE Data SC"/>
      <sheetName val="GE Upload"/>
      <sheetName val="GE 2"/>
      <sheetName val="MainCode"/>
      <sheetName val="NY UPLOAD shadow"/>
      <sheetName val="NY UPLOAD"/>
      <sheetName val="Barrett"/>
      <sheetName val="Woodside"/>
      <sheetName val="GTL"/>
      <sheetName val="Fletcher"/>
      <sheetName val="DCF"/>
      <sheetName val="é|ÌÒ_x0013__x0000__x0008__x0000__x0000__x0000_@Ò_x0013__x0000_RA|"/>
      <sheetName val="MS Commodity Price Forecasts"/>
    </sheetNames>
    <sheetDataSet>
      <sheetData sheetId="0" refreshError="1">
        <row r="5">
          <cell r="U5" t="str">
            <v xml:space="preserve"> 1990</v>
          </cell>
          <cell r="Y5" t="str">
            <v xml:space="preserve"> 1991</v>
          </cell>
          <cell r="AC5" t="str">
            <v xml:space="preserve"> 1992</v>
          </cell>
          <cell r="AG5" t="str">
            <v xml:space="preserve"> 1993</v>
          </cell>
          <cell r="AI5" t="str">
            <v xml:space="preserve"> </v>
          </cell>
          <cell r="AK5">
            <v>1994</v>
          </cell>
          <cell r="AM5" t="str">
            <v xml:space="preserve"> </v>
          </cell>
          <cell r="AO5">
            <v>1995</v>
          </cell>
          <cell r="AQ5" t="str">
            <v xml:space="preserve"> </v>
          </cell>
        </row>
        <row r="123">
          <cell r="U123">
            <v>3708</v>
          </cell>
          <cell r="V123">
            <v>3788</v>
          </cell>
          <cell r="W123">
            <v>3846</v>
          </cell>
          <cell r="X123">
            <v>3774</v>
          </cell>
          <cell r="Y123">
            <v>3783</v>
          </cell>
          <cell r="Z123">
            <v>3797</v>
          </cell>
          <cell r="AA123">
            <v>3894</v>
          </cell>
          <cell r="AB123">
            <v>4081</v>
          </cell>
          <cell r="AC123">
            <v>3948</v>
          </cell>
          <cell r="AD123">
            <v>3853.9550000000004</v>
          </cell>
          <cell r="AE123">
            <v>3978</v>
          </cell>
          <cell r="AF123">
            <v>4162</v>
          </cell>
          <cell r="AG123">
            <v>4026</v>
          </cell>
          <cell r="AH123">
            <v>4131</v>
          </cell>
          <cell r="AI123">
            <v>4185</v>
          </cell>
          <cell r="AJ123">
            <v>4405</v>
          </cell>
          <cell r="AK123">
            <v>4460</v>
          </cell>
          <cell r="AL123">
            <v>4278</v>
          </cell>
          <cell r="AM123">
            <v>4520</v>
          </cell>
          <cell r="AN123">
            <v>4512</v>
          </cell>
          <cell r="AO123">
            <v>4629</v>
          </cell>
          <cell r="AP123">
            <v>4552</v>
          </cell>
          <cell r="AQ123">
            <v>4604</v>
          </cell>
          <cell r="AR123">
            <v>4939</v>
          </cell>
        </row>
        <row r="130">
          <cell r="U130">
            <v>1.5372168284789645</v>
          </cell>
          <cell r="V130">
            <v>2.0327349524815208</v>
          </cell>
          <cell r="W130">
            <v>0.56335586756803613</v>
          </cell>
          <cell r="X130">
            <v>1.5927692398280635</v>
          </cell>
          <cell r="Y130">
            <v>3.4099920697858845</v>
          </cell>
          <cell r="Z130">
            <v>1.960612179205806</v>
          </cell>
          <cell r="AA130">
            <v>1.563659190777835</v>
          </cell>
          <cell r="AB130">
            <v>1.3994391352881921</v>
          </cell>
          <cell r="AC130">
            <v>2.0375999099403357</v>
          </cell>
          <cell r="AD130">
            <v>0.93122231289386848</v>
          </cell>
          <cell r="AE130">
            <v>1.6395732082006593</v>
          </cell>
          <cell r="AF130">
            <v>1.3561855945325432</v>
          </cell>
          <cell r="AG130">
            <v>1.6227852293426066</v>
          </cell>
          <cell r="AH130">
            <v>2.173269856639501</v>
          </cell>
          <cell r="AI130">
            <v>1.8717642373556354</v>
          </cell>
          <cell r="AJ130">
            <v>1.9447597427166099</v>
          </cell>
          <cell r="AK130">
            <v>1.547085201793722</v>
          </cell>
          <cell r="AL130">
            <v>1.5245961248766298</v>
          </cell>
          <cell r="AM130">
            <v>1.5929203539823009</v>
          </cell>
          <cell r="AN130">
            <v>1.4701536643026005</v>
          </cell>
          <cell r="AO130">
            <v>1.4065912964163128</v>
          </cell>
          <cell r="AP130">
            <v>1.425502831478227</v>
          </cell>
          <cell r="AQ130">
            <v>1.561444154841201</v>
          </cell>
          <cell r="AR130">
            <v>0.22271714922048999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Y UPLOAD"/>
      <sheetName val="2002"/>
      <sheetName val="__FDSCACHE__"/>
      <sheetName val="2003"/>
      <sheetName val="Natrecor-US"/>
      <sheetName val="Annual"/>
      <sheetName val="Balance Sheet"/>
      <sheetName val="Cash Flow"/>
      <sheetName val="Milestones"/>
      <sheetName val="Snap"/>
      <sheetName val="Sheet2"/>
      <sheetName val="NY UPLOAD shado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18">
          <cell r="G18">
            <v>118000</v>
          </cell>
          <cell r="I18">
            <v>125000</v>
          </cell>
          <cell r="K18">
            <v>130000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Cash Flow"/>
      <sheetName val="upside_downside"/>
      <sheetName val="Income Statement"/>
      <sheetName val="Balance Sheet"/>
      <sheetName val="Cash"/>
      <sheetName val="Exhibit 3"/>
      <sheetName val="Cash_published"/>
      <sheetName val="NVF_published"/>
      <sheetName val="Exhibit 5"/>
      <sheetName val="IFRS"/>
      <sheetName val="Exhibit 4"/>
      <sheetName val="IFRS Life"/>
      <sheetName val="Exhibit 1"/>
      <sheetName val="Exhibit 2"/>
      <sheetName val="MCEV Roll-up"/>
      <sheetName val="Weekahead"/>
      <sheetName val="MCEV_Capital"/>
      <sheetName val="Assets(new)"/>
      <sheetName val="MCEV P&amp;L"/>
      <sheetName val="RI"/>
      <sheetName val="BULLBEAR"/>
      <sheetName val="Sheet2"/>
      <sheetName val="DCF"/>
      <sheetName val="MWA RR"/>
      <sheetName val="REVENUE BY GEOGRAPHY"/>
      <sheetName val="NonQtr"/>
      <sheetName val="Data 20d"/>
      <sheetName val="Data"/>
      <sheetName val="Risk-Reward_View_Chart"/>
      <sheetName val="Valsum"/>
      <sheetName val="Interims"/>
      <sheetName val="Financial Statements"/>
      <sheetName val="B11_BarSingle_AverageLine"/>
      <sheetName val="Good 12-00 (2)"/>
      <sheetName val="Good 11-36"/>
      <sheetName val="Good 11-50"/>
      <sheetName val="Sheet3 (5)"/>
      <sheetName val="Inputs"/>
      <sheetName val="FX"/>
      <sheetName val="CPB"/>
      <sheetName val="Total_Food_Promo"/>
      <sheetName val="CPB_2yr"/>
      <sheetName val="Summary"/>
      <sheetName val="Floater Demand"/>
      <sheetName val="Quero_Sales"/>
      <sheetName val="L2005"/>
      <sheetName val="C2000"/>
      <sheetName val="Cell Reference"/>
      <sheetName val="Shading Period-Level"/>
      <sheetName val="Sources of Change"/>
      <sheetName val="Basic (gridlines)"/>
      <sheetName val="Average (reference) Line"/>
      <sheetName val="Double (overlapping)"/>
      <sheetName val="Reference Step Line"/>
      <sheetName val="Double (gridlines)"/>
      <sheetName val="Growth Line"/>
      <sheetName val="Reference Marks"/>
      <sheetName val="Single-point highlighting"/>
      <sheetName val="CPNO"/>
      <sheetName val="MMP"/>
      <sheetName val="PAA"/>
      <sheetName val="EEP"/>
      <sheetName val="KMP"/>
      <sheetName val="ETP"/>
      <sheetName val="BPL"/>
      <sheetName val="NS"/>
      <sheetName val="BWP"/>
      <sheetName val="EPD"/>
      <sheetName val="RGNC"/>
      <sheetName val="画像1"/>
      <sheetName val="業績推移"/>
      <sheetName val="バリュエーション比較"/>
      <sheetName val="自動車設備投資"/>
      <sheetName val="ロボット機械統計年"/>
      <sheetName val="ロボット機械統計"/>
      <sheetName val="株価と関連指標"/>
      <sheetName val="画像3"/>
      <sheetName val="利益率比較"/>
      <sheetName val="ロボット試算"/>
      <sheetName val="画像2"/>
      <sheetName val="内訳"/>
      <sheetName val="株価(過去1年) "/>
      <sheetName val="WWロボット出荷台数"/>
      <sheetName val="長期営業利益"/>
      <sheetName val="中国NC化率"/>
      <sheetName val="画像4"/>
      <sheetName val="成長率比較"/>
      <sheetName val="バリュエーション"/>
      <sheetName val="四半期"/>
      <sheetName val="画像5"/>
      <sheetName val="RRBox"/>
      <sheetName val="シェアと競合"/>
      <sheetName val="Sheet4"/>
      <sheetName val="ForeignStake"/>
      <sheetName val="WP Detail "/>
      <sheetName val="Model"/>
      <sheetName val="rev change analysis"/>
      <sheetName val="rev contribution analysis"/>
      <sheetName val="WPZ"/>
      <sheetName val="TPP"/>
      <sheetName val="EPE"/>
      <sheetName val="WMZ"/>
      <sheetName val="HEP"/>
      <sheetName val="MGG"/>
      <sheetName val="ETE"/>
      <sheetName val="BGH"/>
      <sheetName val="SEP"/>
      <sheetName val="TCLP"/>
      <sheetName val="SXL"/>
      <sheetName val="WES"/>
    </sheetNames>
    <sheetDataSet>
      <sheetData sheetId="0" refreshError="1">
        <row r="5">
          <cell r="F5" t="str">
            <v>Display horizontal line for the average?</v>
          </cell>
        </row>
        <row r="10">
          <cell r="Y10" t="str">
            <v>invisible1</v>
          </cell>
        </row>
        <row r="11">
          <cell r="D11" t="str">
            <v>Jupiter</v>
          </cell>
          <cell r="E11">
            <v>78</v>
          </cell>
          <cell r="X11" t="str">
            <v xml:space="preserve">  </v>
          </cell>
          <cell r="Y11">
            <v>44.5</v>
          </cell>
        </row>
        <row r="12">
          <cell r="D12" t="str">
            <v>Juno</v>
          </cell>
          <cell r="E12">
            <v>58</v>
          </cell>
        </row>
        <row r="13">
          <cell r="D13" t="str">
            <v>Neptune</v>
          </cell>
          <cell r="E13">
            <v>45</v>
          </cell>
          <cell r="X13" t="str">
            <v>width</v>
          </cell>
          <cell r="Y13">
            <v>0.624</v>
          </cell>
        </row>
        <row r="14">
          <cell r="D14" t="str">
            <v>Pluto</v>
          </cell>
          <cell r="E14">
            <v>37</v>
          </cell>
        </row>
        <row r="15">
          <cell r="D15" t="str">
            <v>Minerva</v>
          </cell>
          <cell r="E15">
            <v>26</v>
          </cell>
          <cell r="X15" t="str">
            <v>scaling</v>
          </cell>
          <cell r="Y15">
            <v>8.0000000000000002E-3</v>
          </cell>
        </row>
        <row r="16">
          <cell r="D16" t="str">
            <v>Hermes</v>
          </cell>
          <cell r="E16">
            <v>23</v>
          </cell>
        </row>
        <row r="17">
          <cell r="X17" t="str">
            <v>label</v>
          </cell>
          <cell r="Y17" t="str">
            <v>average: 44.5</v>
          </cell>
        </row>
        <row r="28">
          <cell r="R28" t="b">
            <v>1</v>
          </cell>
        </row>
        <row r="34">
          <cell r="R34" t="str">
            <v>Notes:</v>
          </cell>
        </row>
        <row r="35">
          <cell r="R35" t="str">
            <v>-doesn't work for negative average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y assumptions"/>
      <sheetName val="Income statement"/>
      <sheetName val="Balance sheet"/>
      <sheetName val="Cash flow statement"/>
      <sheetName val="Valuation"/>
      <sheetName val="SOTP"/>
      <sheetName val="Ratios"/>
      <sheetName val="Segments"/>
      <sheetName val="Additional segments info"/>
      <sheetName val="Upstream"/>
      <sheetName val="Downstream"/>
      <sheetName val="Capex"/>
      <sheetName val="Assets"/>
      <sheetName val="Other"/>
      <sheetName val="FAS69"/>
      <sheetName val="Pearl GTL"/>
      <sheetName val="Reserves"/>
      <sheetName val="Production - Total"/>
      <sheetName val="Production - Oil"/>
      <sheetName val="AFOSHEET"/>
      <sheetName val="Production - Gas"/>
      <sheetName val="WoodMac profile - Oil"/>
      <sheetName val="WoodMac profile - Gas"/>
      <sheetName val="WoodMac profile - Capex"/>
      <sheetName val="WoodMac - NAV"/>
      <sheetName val="Production analysis"/>
      <sheetName val="Consensus"/>
      <sheetName val="Tables"/>
      <sheetName val="Tables for Marketing Pack"/>
      <sheetName val="Production Summary"/>
      <sheetName val="mwareDates"/>
      <sheetName val="MW Tagging"/>
      <sheetName val="MW-Cache"/>
      <sheetName val="mwareSettings"/>
      <sheetName val="MWA RR_RDSa.L"/>
      <sheetName val="MWA RR_RDSb.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1">
          <cell r="BB1" t="str">
            <v>.</v>
          </cell>
          <cell r="BG1" t="str">
            <v>.</v>
          </cell>
          <cell r="BL1" t="str">
            <v>.</v>
          </cell>
          <cell r="BQ1" t="str">
            <v>.</v>
          </cell>
          <cell r="BV1" t="str">
            <v>.</v>
          </cell>
          <cell r="CA1" t="str">
            <v>.</v>
          </cell>
        </row>
        <row r="2">
          <cell r="B2" t="str">
            <v>Royal Dutch Shell</v>
          </cell>
          <cell r="BB2" t="str">
            <v>.</v>
          </cell>
          <cell r="BG2" t="str">
            <v>.</v>
          </cell>
          <cell r="BL2" t="str">
            <v>.</v>
          </cell>
          <cell r="BQ2" t="str">
            <v>.</v>
          </cell>
          <cell r="BV2" t="str">
            <v>.</v>
          </cell>
          <cell r="CA2" t="str">
            <v>.</v>
          </cell>
        </row>
        <row r="3">
          <cell r="B3" t="str">
            <v>Upstream</v>
          </cell>
          <cell r="BB3" t="str">
            <v>.</v>
          </cell>
          <cell r="BG3" t="str">
            <v>.</v>
          </cell>
          <cell r="BL3" t="str">
            <v>.</v>
          </cell>
          <cell r="BQ3" t="str">
            <v>.</v>
          </cell>
          <cell r="BV3" t="str">
            <v>.</v>
          </cell>
          <cell r="CA3" t="str">
            <v>.</v>
          </cell>
        </row>
        <row r="4">
          <cell r="BB4" t="str">
            <v>.</v>
          </cell>
          <cell r="BG4" t="str">
            <v>.</v>
          </cell>
          <cell r="BL4" t="str">
            <v>.</v>
          </cell>
          <cell r="BQ4" t="str">
            <v>.</v>
          </cell>
          <cell r="BV4" t="str">
            <v>.</v>
          </cell>
          <cell r="CA4" t="str">
            <v>.</v>
          </cell>
        </row>
        <row r="6">
          <cell r="A6" t="str">
            <v>Upstream earnings</v>
          </cell>
        </row>
        <row r="8">
          <cell r="A8" t="str">
            <v>Total</v>
          </cell>
        </row>
        <row r="9">
          <cell r="C9">
            <v>2001</v>
          </cell>
          <cell r="D9">
            <v>2002</v>
          </cell>
          <cell r="E9">
            <v>2003</v>
          </cell>
          <cell r="F9">
            <v>2004</v>
          </cell>
          <cell r="G9">
            <v>2005</v>
          </cell>
          <cell r="H9" t="str">
            <v>1Q06</v>
          </cell>
          <cell r="I9" t="str">
            <v>2Q06</v>
          </cell>
          <cell r="J9" t="str">
            <v>3Q06</v>
          </cell>
          <cell r="K9" t="str">
            <v>4Q06</v>
          </cell>
          <cell r="L9">
            <v>2006</v>
          </cell>
          <cell r="M9" t="str">
            <v>1Q07</v>
          </cell>
          <cell r="N9" t="str">
            <v>2Q07</v>
          </cell>
          <cell r="O9" t="str">
            <v>3Q07</v>
          </cell>
          <cell r="P9" t="str">
            <v>4Q07</v>
          </cell>
          <cell r="Q9">
            <v>2007</v>
          </cell>
          <cell r="R9" t="str">
            <v>1Q08</v>
          </cell>
          <cell r="S9" t="str">
            <v>2Q08</v>
          </cell>
          <cell r="T9" t="str">
            <v>3Q08</v>
          </cell>
          <cell r="U9" t="str">
            <v>4Q08</v>
          </cell>
          <cell r="V9">
            <v>2008</v>
          </cell>
          <cell r="W9" t="str">
            <v>1Q09</v>
          </cell>
          <cell r="X9" t="str">
            <v>2Q09</v>
          </cell>
          <cell r="Y9" t="str">
            <v>3Q09</v>
          </cell>
          <cell r="Z9" t="str">
            <v>4Q09</v>
          </cell>
          <cell r="AA9">
            <v>2009</v>
          </cell>
          <cell r="AB9" t="str">
            <v>1Q10</v>
          </cell>
          <cell r="AC9" t="str">
            <v>2Q10</v>
          </cell>
          <cell r="AD9" t="str">
            <v>3Q10</v>
          </cell>
          <cell r="AE9" t="str">
            <v>4Q10</v>
          </cell>
          <cell r="AF9">
            <v>2010</v>
          </cell>
          <cell r="AG9" t="str">
            <v>1Q11</v>
          </cell>
          <cell r="AH9" t="str">
            <v>2Q11</v>
          </cell>
          <cell r="AI9" t="str">
            <v>3Q11</v>
          </cell>
          <cell r="AJ9" t="str">
            <v>4Q11</v>
          </cell>
          <cell r="AK9">
            <v>2011</v>
          </cell>
          <cell r="AL9" t="str">
            <v>1Q12</v>
          </cell>
          <cell r="AM9" t="str">
            <v>2Q12</v>
          </cell>
          <cell r="AN9" t="str">
            <v>3Q12</v>
          </cell>
          <cell r="AO9" t="str">
            <v>4Q12</v>
          </cell>
          <cell r="AP9">
            <v>2012</v>
          </cell>
          <cell r="AQ9" t="str">
            <v>1Q13</v>
          </cell>
          <cell r="AR9" t="str">
            <v>2Q13</v>
          </cell>
          <cell r="AS9" t="str">
            <v>3Q13</v>
          </cell>
          <cell r="AT9" t="str">
            <v>4Q13</v>
          </cell>
          <cell r="AU9">
            <v>2013</v>
          </cell>
          <cell r="AV9" t="str">
            <v>1Q14</v>
          </cell>
          <cell r="AW9" t="str">
            <v>2Q14</v>
          </cell>
          <cell r="AX9" t="str">
            <v>3Q14</v>
          </cell>
          <cell r="AY9" t="str">
            <v>4Q14</v>
          </cell>
          <cell r="AZ9">
            <v>2014</v>
          </cell>
          <cell r="BA9" t="str">
            <v>1Q15</v>
          </cell>
          <cell r="BB9" t="str">
            <v>2Q15</v>
          </cell>
          <cell r="BC9" t="str">
            <v>3Q15</v>
          </cell>
          <cell r="BD9" t="str">
            <v>4Q15</v>
          </cell>
          <cell r="BE9">
            <v>2015</v>
          </cell>
          <cell r="BF9" t="str">
            <v>1Q16</v>
          </cell>
          <cell r="BG9" t="str">
            <v>2Q16</v>
          </cell>
          <cell r="BH9" t="str">
            <v>3Q16</v>
          </cell>
          <cell r="BI9" t="str">
            <v>4Q16</v>
          </cell>
          <cell r="BJ9">
            <v>2016</v>
          </cell>
          <cell r="BK9" t="str">
            <v>1Q17</v>
          </cell>
          <cell r="BL9" t="str">
            <v>2Q17</v>
          </cell>
          <cell r="BM9" t="str">
            <v>3Q17</v>
          </cell>
          <cell r="BN9" t="str">
            <v>4Q17</v>
          </cell>
          <cell r="BO9">
            <v>2017</v>
          </cell>
          <cell r="BP9" t="str">
            <v>1Q18</v>
          </cell>
          <cell r="BQ9" t="str">
            <v>2Q18</v>
          </cell>
          <cell r="BR9" t="str">
            <v>3Q18</v>
          </cell>
          <cell r="BS9" t="str">
            <v>4Q18</v>
          </cell>
          <cell r="BT9">
            <v>2018</v>
          </cell>
          <cell r="BU9" t="str">
            <v>1Q19</v>
          </cell>
          <cell r="BV9" t="str">
            <v>2Q19</v>
          </cell>
          <cell r="BW9" t="str">
            <v>3Q19</v>
          </cell>
          <cell r="BX9" t="str">
            <v>4Q19</v>
          </cell>
          <cell r="BY9">
            <v>2019</v>
          </cell>
          <cell r="BZ9" t="str">
            <v>1Q20</v>
          </cell>
          <cell r="CA9" t="str">
            <v>2Q20</v>
          </cell>
          <cell r="CB9" t="str">
            <v>3Q20</v>
          </cell>
          <cell r="CC9" t="str">
            <v>4Q20</v>
          </cell>
          <cell r="CD9">
            <v>2020</v>
          </cell>
          <cell r="CG9" t="str">
            <v>Period</v>
          </cell>
          <cell r="CH9" t="str">
            <v>Brent</v>
          </cell>
          <cell r="CI9" t="str">
            <v>HH</v>
          </cell>
          <cell r="CJ9" t="str">
            <v>Production</v>
          </cell>
          <cell r="CK9" t="str">
            <v>Earnings</v>
          </cell>
          <cell r="CL9" t="str">
            <v xml:space="preserve">Model </v>
          </cell>
          <cell r="CM9" t="str">
            <v>Difference</v>
          </cell>
          <cell r="CQ9" t="str">
            <v>SUMMARY OUTPUT</v>
          </cell>
        </row>
        <row r="10">
          <cell r="A10" t="str">
            <v>Revenue (third party and inter-segment)</v>
          </cell>
          <cell r="G10">
            <v>60585</v>
          </cell>
          <cell r="L10">
            <v>65616</v>
          </cell>
          <cell r="Q10">
            <v>67278</v>
          </cell>
          <cell r="V10">
            <v>88308</v>
          </cell>
          <cell r="AA10">
            <v>55140</v>
          </cell>
          <cell r="AF10">
            <v>68198</v>
          </cell>
          <cell r="AK10">
            <v>91691</v>
          </cell>
          <cell r="AP10">
            <v>94550</v>
          </cell>
          <cell r="AZ10">
            <v>92796.702246066867</v>
          </cell>
          <cell r="BE10">
            <v>93223.906033075735</v>
          </cell>
          <cell r="BJ10">
            <v>92670.694570340827</v>
          </cell>
          <cell r="BO10">
            <v>97698.501764840228</v>
          </cell>
          <cell r="BT10">
            <v>101097.09055099695</v>
          </cell>
          <cell r="BY10">
            <v>102188.97190747639</v>
          </cell>
          <cell r="CD10">
            <v>106310.95802811519</v>
          </cell>
          <cell r="CG10" t="str">
            <v>1Q06</v>
          </cell>
          <cell r="CH10">
            <v>61.790390624999993</v>
          </cell>
          <cell r="CI10">
            <v>7.7488888888888896</v>
          </cell>
          <cell r="CJ10">
            <v>3746</v>
          </cell>
          <cell r="CK10">
            <v>4399</v>
          </cell>
          <cell r="CL10">
            <v>4498.1002798885838</v>
          </cell>
          <cell r="CM10">
            <v>-99.100279888583827</v>
          </cell>
        </row>
        <row r="11">
          <cell r="A11" t="str">
            <v>Share of profit of equity accounted investments</v>
          </cell>
          <cell r="G11">
            <v>5117</v>
          </cell>
          <cell r="H11">
            <v>1346</v>
          </cell>
          <cell r="I11">
            <v>1072</v>
          </cell>
          <cell r="J11">
            <v>956</v>
          </cell>
          <cell r="K11">
            <v>1219</v>
          </cell>
          <cell r="L11">
            <v>4593</v>
          </cell>
          <cell r="M11">
            <v>1339</v>
          </cell>
          <cell r="N11">
            <v>1132</v>
          </cell>
          <cell r="O11">
            <v>1269</v>
          </cell>
          <cell r="P11">
            <v>1706</v>
          </cell>
          <cell r="Q11">
            <v>5446</v>
          </cell>
          <cell r="R11">
            <v>1797</v>
          </cell>
          <cell r="S11">
            <v>1726</v>
          </cell>
          <cell r="T11">
            <v>2148</v>
          </cell>
          <cell r="U11">
            <v>1850</v>
          </cell>
          <cell r="V11">
            <v>7521</v>
          </cell>
          <cell r="W11">
            <v>870</v>
          </cell>
          <cell r="X11">
            <v>1128</v>
          </cell>
          <cell r="Y11">
            <v>524</v>
          </cell>
          <cell r="Z11">
            <v>1330</v>
          </cell>
          <cell r="AA11">
            <v>3852</v>
          </cell>
          <cell r="AB11">
            <v>1420</v>
          </cell>
          <cell r="AC11">
            <v>1030</v>
          </cell>
          <cell r="AD11">
            <v>1040</v>
          </cell>
          <cell r="AE11">
            <v>1410</v>
          </cell>
          <cell r="AF11">
            <v>4900</v>
          </cell>
          <cell r="AG11">
            <v>1560</v>
          </cell>
          <cell r="AH11">
            <v>1720</v>
          </cell>
          <cell r="AI11">
            <v>1762</v>
          </cell>
          <cell r="AJ11">
            <v>2085</v>
          </cell>
          <cell r="AK11">
            <v>7127</v>
          </cell>
          <cell r="AL11">
            <v>2286</v>
          </cell>
          <cell r="AM11">
            <v>1872</v>
          </cell>
          <cell r="AN11">
            <v>1858</v>
          </cell>
          <cell r="AO11">
            <v>1985</v>
          </cell>
          <cell r="AP11">
            <v>8001</v>
          </cell>
          <cell r="AQ11">
            <v>1886</v>
          </cell>
          <cell r="AR11">
            <v>1363</v>
          </cell>
          <cell r="AS11">
            <v>1174</v>
          </cell>
          <cell r="AT11">
            <v>1697</v>
          </cell>
          <cell r="AU11">
            <v>6120</v>
          </cell>
          <cell r="AV11">
            <v>1388.4945706334547</v>
          </cell>
          <cell r="AW11">
            <v>1398.0951285989197</v>
          </cell>
          <cell r="AX11">
            <v>1412.8966724432412</v>
          </cell>
          <cell r="AY11">
            <v>1417.600374328623</v>
          </cell>
          <cell r="AZ11">
            <v>5617.0867460042373</v>
          </cell>
          <cell r="BA11">
            <v>1270.3363332652425</v>
          </cell>
          <cell r="BB11">
            <v>1259.4846835167468</v>
          </cell>
          <cell r="BC11">
            <v>1260.0487720729429</v>
          </cell>
          <cell r="BD11">
            <v>1257.5909879547494</v>
          </cell>
          <cell r="BE11">
            <v>5047.4607768096812</v>
          </cell>
          <cell r="BF11">
            <v>1147.2174907376066</v>
          </cell>
          <cell r="BG11">
            <v>1138.956025532131</v>
          </cell>
          <cell r="BH11">
            <v>1141.504476859544</v>
          </cell>
          <cell r="BI11">
            <v>1142.1622887047154</v>
          </cell>
          <cell r="BJ11">
            <v>4569.8402818339964</v>
          </cell>
          <cell r="BK11">
            <v>1104.1105375068332</v>
          </cell>
          <cell r="BL11">
            <v>1115.2480705906976</v>
          </cell>
          <cell r="BM11">
            <v>1129.6463240213859</v>
          </cell>
          <cell r="BN11">
            <v>1136.6601510058554</v>
          </cell>
          <cell r="BO11">
            <v>4485.6650831247725</v>
          </cell>
          <cell r="BP11">
            <v>1103.7815530257394</v>
          </cell>
          <cell r="BQ11">
            <v>1116.7195170756531</v>
          </cell>
          <cell r="BR11">
            <v>1132.4171697042243</v>
          </cell>
          <cell r="BS11">
            <v>1140.7259615698249</v>
          </cell>
          <cell r="BT11">
            <v>4493.6442013754422</v>
          </cell>
          <cell r="BU11">
            <v>1101.6599057162714</v>
          </cell>
          <cell r="BV11">
            <v>1114.0819875914049</v>
          </cell>
          <cell r="BW11">
            <v>1129.2951344144599</v>
          </cell>
          <cell r="BX11">
            <v>1137.1433327349964</v>
          </cell>
          <cell r="BY11">
            <v>4482.1803604571323</v>
          </cell>
          <cell r="BZ11">
            <v>1095.6445569336631</v>
          </cell>
          <cell r="CA11">
            <v>1108.3940429664142</v>
          </cell>
          <cell r="CB11">
            <v>1123.9952576504054</v>
          </cell>
          <cell r="CC11">
            <v>1132.2961445525707</v>
          </cell>
          <cell r="CD11">
            <v>4460.3300021030536</v>
          </cell>
          <cell r="CG11" t="str">
            <v>2Q06</v>
          </cell>
          <cell r="CH11">
            <v>69.508032786885252</v>
          </cell>
          <cell r="CI11">
            <v>6.5876923076923077</v>
          </cell>
          <cell r="CJ11">
            <v>3253</v>
          </cell>
          <cell r="CK11">
            <v>4213</v>
          </cell>
          <cell r="CL11">
            <v>3774.2151037598524</v>
          </cell>
          <cell r="CM11">
            <v>438.78489624014765</v>
          </cell>
          <cell r="CQ11" t="str">
            <v>Regression Statistics</v>
          </cell>
        </row>
        <row r="12">
          <cell r="A12" t="str">
            <v>Interest and other income</v>
          </cell>
          <cell r="G12">
            <v>882</v>
          </cell>
          <cell r="L12">
            <v>479</v>
          </cell>
          <cell r="Q12">
            <v>3038</v>
          </cell>
          <cell r="V12">
            <v>4124</v>
          </cell>
          <cell r="AA12">
            <v>652</v>
          </cell>
          <cell r="AF12">
            <v>3616</v>
          </cell>
          <cell r="AK12">
            <v>4149</v>
          </cell>
          <cell r="AP12">
            <v>4836</v>
          </cell>
          <cell r="AZ12">
            <v>2307.84</v>
          </cell>
          <cell r="BE12">
            <v>2307.84</v>
          </cell>
          <cell r="BJ12">
            <v>2307.84</v>
          </cell>
          <cell r="BO12">
            <v>2307.84</v>
          </cell>
          <cell r="BT12">
            <v>2307.84</v>
          </cell>
          <cell r="BY12">
            <v>2307.84</v>
          </cell>
          <cell r="CD12">
            <v>2307.84</v>
          </cell>
          <cell r="CG12" t="str">
            <v>3Q06</v>
          </cell>
          <cell r="CH12">
            <v>69.626328125000001</v>
          </cell>
          <cell r="CI12">
            <v>6.0453260869565213</v>
          </cell>
          <cell r="CJ12">
            <v>3251</v>
          </cell>
          <cell r="CK12">
            <v>4691</v>
          </cell>
          <cell r="CL12">
            <v>3618.6927153572233</v>
          </cell>
          <cell r="CM12">
            <v>1072.3072846427767</v>
          </cell>
          <cell r="CQ12" t="str">
            <v>Multiple R</v>
          </cell>
          <cell r="CR12">
            <v>0.92279740488499007</v>
          </cell>
        </row>
        <row r="13">
          <cell r="A13" t="str">
            <v>Total revenue and other income</v>
          </cell>
          <cell r="G13">
            <v>66584</v>
          </cell>
          <cell r="L13">
            <v>70688</v>
          </cell>
          <cell r="Q13">
            <v>75762</v>
          </cell>
          <cell r="V13">
            <v>99953</v>
          </cell>
          <cell r="AA13">
            <v>59644</v>
          </cell>
          <cell r="AF13">
            <v>76714</v>
          </cell>
          <cell r="AK13">
            <v>102967</v>
          </cell>
          <cell r="AP13">
            <v>107387</v>
          </cell>
          <cell r="AZ13">
            <v>100721.6289920711</v>
          </cell>
          <cell r="BE13">
            <v>100579.20680988541</v>
          </cell>
          <cell r="BJ13">
            <v>99548.374852174835</v>
          </cell>
          <cell r="BO13">
            <v>104492.00684796501</v>
          </cell>
          <cell r="BT13">
            <v>107898.57475237238</v>
          </cell>
          <cell r="BY13">
            <v>108978.99226793351</v>
          </cell>
          <cell r="CD13">
            <v>113079.12803021824</v>
          </cell>
          <cell r="CG13" t="str">
            <v>4Q06</v>
          </cell>
          <cell r="CH13">
            <v>59.588095238095264</v>
          </cell>
          <cell r="CI13">
            <v>6.6798913043478256</v>
          </cell>
          <cell r="CJ13">
            <v>3645</v>
          </cell>
          <cell r="CK13">
            <v>3908</v>
          </cell>
          <cell r="CL13">
            <v>3922.7096046045872</v>
          </cell>
          <cell r="CM13">
            <v>-14.709604604587184</v>
          </cell>
          <cell r="CQ13" t="str">
            <v>R Square</v>
          </cell>
          <cell r="CR13">
            <v>0.85155505046247226</v>
          </cell>
        </row>
        <row r="14">
          <cell r="CG14" t="str">
            <v>1Q07</v>
          </cell>
          <cell r="CH14">
            <v>57.76203125</v>
          </cell>
          <cell r="CI14">
            <v>7.149</v>
          </cell>
          <cell r="CJ14">
            <v>3509</v>
          </cell>
          <cell r="CK14">
            <v>4178</v>
          </cell>
          <cell r="CL14">
            <v>3760.2529119924734</v>
          </cell>
          <cell r="CM14">
            <v>417.7470880075266</v>
          </cell>
          <cell r="CQ14" t="str">
            <v>Adjusted R Square</v>
          </cell>
          <cell r="CR14">
            <v>0.8350611671805247</v>
          </cell>
        </row>
        <row r="15">
          <cell r="A15" t="str">
            <v>Purchases</v>
          </cell>
          <cell r="G15">
            <v>-13689</v>
          </cell>
          <cell r="L15">
            <v>-9702</v>
          </cell>
          <cell r="Q15">
            <v>-11948</v>
          </cell>
          <cell r="V15">
            <v>-16858</v>
          </cell>
          <cell r="AA15">
            <v>-11646</v>
          </cell>
          <cell r="AF15">
            <v>-14092</v>
          </cell>
          <cell r="AK15">
            <v>-22088</v>
          </cell>
          <cell r="AP15">
            <v>-25245</v>
          </cell>
          <cell r="AZ15">
            <v>-18782</v>
          </cell>
          <cell r="BE15">
            <v>-18782</v>
          </cell>
          <cell r="BJ15">
            <v>-18782</v>
          </cell>
          <cell r="BO15">
            <v>-18782</v>
          </cell>
          <cell r="BT15">
            <v>-18782</v>
          </cell>
          <cell r="BY15">
            <v>-18782</v>
          </cell>
          <cell r="CD15">
            <v>-18782</v>
          </cell>
          <cell r="CG15" t="str">
            <v>2Q07</v>
          </cell>
          <cell r="CH15">
            <v>68.859262295081976</v>
          </cell>
          <cell r="CI15">
            <v>7.5575824175824176</v>
          </cell>
          <cell r="CJ15">
            <v>3178</v>
          </cell>
          <cell r="CK15">
            <v>3687</v>
          </cell>
          <cell r="CL15">
            <v>3909.5611886569045</v>
          </cell>
          <cell r="CM15">
            <v>-222.56118865690451</v>
          </cell>
          <cell r="CQ15" t="str">
            <v>Standard Error</v>
          </cell>
          <cell r="CR15">
            <v>529.49508821005077</v>
          </cell>
        </row>
        <row r="16">
          <cell r="A16" t="str">
            <v>Production and manufacturing expenses</v>
          </cell>
          <cell r="G16">
            <v>-8092</v>
          </cell>
          <cell r="H16">
            <v>-2370</v>
          </cell>
          <cell r="I16">
            <v>-2478</v>
          </cell>
          <cell r="J16">
            <v>-2764</v>
          </cell>
          <cell r="K16">
            <v>-2965</v>
          </cell>
          <cell r="L16">
            <v>-10506</v>
          </cell>
          <cell r="M16">
            <v>-2705</v>
          </cell>
          <cell r="N16">
            <v>-2772</v>
          </cell>
          <cell r="O16">
            <v>-2962</v>
          </cell>
          <cell r="P16">
            <v>-4683</v>
          </cell>
          <cell r="Q16">
            <v>-13048</v>
          </cell>
          <cell r="R16">
            <v>-2960</v>
          </cell>
          <cell r="S16">
            <v>-3592</v>
          </cell>
          <cell r="T16">
            <v>-3516</v>
          </cell>
          <cell r="U16">
            <v>-3695</v>
          </cell>
          <cell r="V16">
            <v>-13662</v>
          </cell>
          <cell r="W16">
            <v>-3266</v>
          </cell>
          <cell r="X16">
            <v>-3266</v>
          </cell>
          <cell r="Y16">
            <v>-3545</v>
          </cell>
          <cell r="Z16">
            <v>-3881</v>
          </cell>
          <cell r="AA16">
            <v>-13896</v>
          </cell>
          <cell r="AB16">
            <v>-2947</v>
          </cell>
          <cell r="AC16">
            <v>-3154</v>
          </cell>
          <cell r="AD16">
            <v>-3408</v>
          </cell>
          <cell r="AE16">
            <v>-4188</v>
          </cell>
          <cell r="AF16">
            <v>-13697</v>
          </cell>
          <cell r="AG16">
            <v>-3385</v>
          </cell>
          <cell r="AH16">
            <v>-4077</v>
          </cell>
          <cell r="AI16">
            <v>-3905</v>
          </cell>
          <cell r="AJ16">
            <v>-4239</v>
          </cell>
          <cell r="AK16">
            <v>-15606</v>
          </cell>
          <cell r="AL16">
            <v>-3706</v>
          </cell>
          <cell r="AM16">
            <v>-3982</v>
          </cell>
          <cell r="AN16">
            <v>-3989</v>
          </cell>
          <cell r="AO16">
            <v>-4797</v>
          </cell>
          <cell r="AP16">
            <v>-16474</v>
          </cell>
          <cell r="AQ16">
            <v>-4294</v>
          </cell>
          <cell r="AR16">
            <v>-4490</v>
          </cell>
          <cell r="AS16">
            <v>-4735</v>
          </cell>
          <cell r="AT16">
            <v>-4952</v>
          </cell>
          <cell r="AU16">
            <v>-18471</v>
          </cell>
          <cell r="AV16">
            <v>-5985.5703563937532</v>
          </cell>
          <cell r="AW16">
            <v>-7355.8728088252155</v>
          </cell>
          <cell r="AX16">
            <v>-7361.490452517116</v>
          </cell>
          <cell r="AY16">
            <v>-7129.2397582771391</v>
          </cell>
          <cell r="AZ16">
            <v>-27832.173376013227</v>
          </cell>
          <cell r="BA16">
            <v>-6284.8753903734432</v>
          </cell>
          <cell r="BB16">
            <v>-5877.2971091965701</v>
          </cell>
          <cell r="BC16">
            <v>-5771.1541260632021</v>
          </cell>
          <cell r="BD16">
            <v>-6179.4013406566464</v>
          </cell>
          <cell r="BE16">
            <v>-24112.727966289862</v>
          </cell>
          <cell r="BF16">
            <v>-5360.969758174484</v>
          </cell>
          <cell r="BG16">
            <v>-5049.8958870935785</v>
          </cell>
          <cell r="BH16">
            <v>-5031.1555108338325</v>
          </cell>
          <cell r="BI16">
            <v>-5506.5244866461826</v>
          </cell>
          <cell r="BJ16">
            <v>-20948.545642748075</v>
          </cell>
          <cell r="BK16">
            <v>-5693.7486613633428</v>
          </cell>
          <cell r="BL16">
            <v>-5379.2571559309145</v>
          </cell>
          <cell r="BM16">
            <v>-5354.2777776525672</v>
          </cell>
          <cell r="BN16">
            <v>-5816.8764583279208</v>
          </cell>
          <cell r="BO16">
            <v>-22244.160053274747</v>
          </cell>
          <cell r="BP16">
            <v>-5989.9779730405407</v>
          </cell>
          <cell r="BQ16">
            <v>-5613.3102884328673</v>
          </cell>
          <cell r="BR16">
            <v>-5529.9493548899536</v>
          </cell>
          <cell r="BS16">
            <v>-5940.3118333630155</v>
          </cell>
          <cell r="BT16">
            <v>-23073.549449726379</v>
          </cell>
          <cell r="BU16">
            <v>-6135.5336469648373</v>
          </cell>
          <cell r="BV16">
            <v>-5813.0368657177805</v>
          </cell>
          <cell r="BW16">
            <v>-5780.8192687389601</v>
          </cell>
          <cell r="BX16">
            <v>-6235.5047674684374</v>
          </cell>
          <cell r="BY16">
            <v>-23964.894548890014</v>
          </cell>
          <cell r="BZ16">
            <v>-6393.4521971512495</v>
          </cell>
          <cell r="CA16">
            <v>-6059.1836655251118</v>
          </cell>
          <cell r="CB16">
            <v>-6003.2912792970355</v>
          </cell>
          <cell r="CC16">
            <v>-6412.2334124220279</v>
          </cell>
          <cell r="CD16">
            <v>-24868.160554395425</v>
          </cell>
          <cell r="CG16" t="str">
            <v>3Q07</v>
          </cell>
          <cell r="CH16">
            <v>74.841328124999976</v>
          </cell>
          <cell r="CI16">
            <v>6.1351086956521748</v>
          </cell>
          <cell r="CJ16">
            <v>3137</v>
          </cell>
          <cell r="CK16">
            <v>3975</v>
          </cell>
          <cell r="CL16">
            <v>3723.2472500414278</v>
          </cell>
          <cell r="CM16">
            <v>251.75274995857217</v>
          </cell>
          <cell r="CQ16" t="str">
            <v>Observations</v>
          </cell>
          <cell r="CR16">
            <v>31</v>
          </cell>
        </row>
        <row r="17">
          <cell r="A17" t="str">
            <v>Taxes other than income taxes</v>
          </cell>
          <cell r="G17">
            <v>-2018</v>
          </cell>
          <cell r="L17">
            <v>-1640</v>
          </cell>
          <cell r="Q17">
            <v>-1878</v>
          </cell>
          <cell r="V17">
            <v>-2471</v>
          </cell>
          <cell r="AA17">
            <v>-1268</v>
          </cell>
          <cell r="AF17">
            <v>-2193</v>
          </cell>
          <cell r="AK17">
            <v>-3017</v>
          </cell>
          <cell r="AP17">
            <v>-2509</v>
          </cell>
          <cell r="AZ17">
            <v>-2228.5800806699267</v>
          </cell>
          <cell r="BE17">
            <v>-2316.6227088480609</v>
          </cell>
          <cell r="BJ17">
            <v>-2401.6228319166066</v>
          </cell>
          <cell r="BO17">
            <v>-2636.4806258527278</v>
          </cell>
          <cell r="BT17">
            <v>-2899.2741030063421</v>
          </cell>
          <cell r="BY17">
            <v>-3044.6122359484107</v>
          </cell>
          <cell r="CD17">
            <v>-3366.3261918314679</v>
          </cell>
          <cell r="CG17" t="str">
            <v>4Q07</v>
          </cell>
          <cell r="CH17">
            <v>88.351612903225814</v>
          </cell>
          <cell r="CI17">
            <v>6.9293043478260872</v>
          </cell>
          <cell r="CJ17">
            <v>3436</v>
          </cell>
          <cell r="CK17">
            <v>4783</v>
          </cell>
          <cell r="CL17">
            <v>5076.3792226564146</v>
          </cell>
          <cell r="CM17">
            <v>-293.37922265641464</v>
          </cell>
        </row>
        <row r="18">
          <cell r="A18" t="str">
            <v>Selling, distribution and admin expenses</v>
          </cell>
          <cell r="G18">
            <v>-1604</v>
          </cell>
          <cell r="H18">
            <v>-362</v>
          </cell>
          <cell r="I18">
            <v>-524</v>
          </cell>
          <cell r="J18">
            <v>-479</v>
          </cell>
          <cell r="K18">
            <v>-605</v>
          </cell>
          <cell r="L18">
            <v>-1970</v>
          </cell>
          <cell r="M18">
            <v>-453</v>
          </cell>
          <cell r="N18">
            <v>-499</v>
          </cell>
          <cell r="O18">
            <v>-460</v>
          </cell>
          <cell r="P18">
            <v>-603</v>
          </cell>
          <cell r="Q18">
            <v>-2015</v>
          </cell>
          <cell r="R18">
            <v>-427</v>
          </cell>
          <cell r="S18">
            <v>-525</v>
          </cell>
          <cell r="T18">
            <v>-454</v>
          </cell>
          <cell r="U18">
            <v>-624</v>
          </cell>
          <cell r="V18">
            <v>-2030</v>
          </cell>
          <cell r="W18">
            <v>-452</v>
          </cell>
          <cell r="X18">
            <v>-478</v>
          </cell>
          <cell r="Y18">
            <v>-520</v>
          </cell>
          <cell r="Z18">
            <v>-756</v>
          </cell>
          <cell r="AA18">
            <v>-2206</v>
          </cell>
          <cell r="AB18">
            <v>-369</v>
          </cell>
          <cell r="AC18">
            <v>-303</v>
          </cell>
          <cell r="AD18">
            <v>-421</v>
          </cell>
          <cell r="AE18">
            <v>-419</v>
          </cell>
          <cell r="AF18">
            <v>-1512</v>
          </cell>
          <cell r="AG18">
            <v>-288</v>
          </cell>
          <cell r="AH18">
            <v>-279</v>
          </cell>
          <cell r="AI18">
            <v>-396</v>
          </cell>
          <cell r="AJ18">
            <v>-313</v>
          </cell>
          <cell r="AK18">
            <v>-1276</v>
          </cell>
          <cell r="AL18">
            <v>-452</v>
          </cell>
          <cell r="AM18">
            <v>-252</v>
          </cell>
          <cell r="AN18">
            <v>-322</v>
          </cell>
          <cell r="AO18">
            <v>-200</v>
          </cell>
          <cell r="AP18">
            <v>-1226</v>
          </cell>
          <cell r="AQ18">
            <v>-377</v>
          </cell>
          <cell r="AR18">
            <v>-308</v>
          </cell>
          <cell r="AS18">
            <v>-263</v>
          </cell>
          <cell r="AT18">
            <v>-246</v>
          </cell>
          <cell r="AU18">
            <v>-1194</v>
          </cell>
          <cell r="AV18">
            <v>-262</v>
          </cell>
          <cell r="AW18">
            <v>-262</v>
          </cell>
          <cell r="AX18">
            <v>-262</v>
          </cell>
          <cell r="AY18">
            <v>-262</v>
          </cell>
          <cell r="AZ18">
            <v>-1048</v>
          </cell>
          <cell r="BA18">
            <v>-262</v>
          </cell>
          <cell r="BB18">
            <v>-262</v>
          </cell>
          <cell r="BC18">
            <v>-262</v>
          </cell>
          <cell r="BD18">
            <v>-262</v>
          </cell>
          <cell r="BE18">
            <v>-1048</v>
          </cell>
          <cell r="BF18">
            <v>-262</v>
          </cell>
          <cell r="BG18">
            <v>-262</v>
          </cell>
          <cell r="BH18">
            <v>-262</v>
          </cell>
          <cell r="BI18">
            <v>-262</v>
          </cell>
          <cell r="BJ18">
            <v>-1048</v>
          </cell>
          <cell r="BK18">
            <v>-262</v>
          </cell>
          <cell r="BL18">
            <v>-262</v>
          </cell>
          <cell r="BM18">
            <v>-262</v>
          </cell>
          <cell r="BN18">
            <v>-262</v>
          </cell>
          <cell r="BO18">
            <v>-1048</v>
          </cell>
          <cell r="BP18">
            <v>-262</v>
          </cell>
          <cell r="BQ18">
            <v>-262</v>
          </cell>
          <cell r="BR18">
            <v>-262</v>
          </cell>
          <cell r="BS18">
            <v>-262</v>
          </cell>
          <cell r="BT18">
            <v>-1048</v>
          </cell>
          <cell r="BU18">
            <v>-262</v>
          </cell>
          <cell r="BV18">
            <v>-262</v>
          </cell>
          <cell r="BW18">
            <v>-262</v>
          </cell>
          <cell r="BX18">
            <v>-262</v>
          </cell>
          <cell r="BY18">
            <v>-1048</v>
          </cell>
          <cell r="BZ18">
            <v>-262</v>
          </cell>
          <cell r="CA18">
            <v>-262</v>
          </cell>
          <cell r="CB18">
            <v>-262</v>
          </cell>
          <cell r="CC18">
            <v>-262</v>
          </cell>
          <cell r="CD18">
            <v>-1048</v>
          </cell>
          <cell r="CG18" t="str">
            <v>1Q08</v>
          </cell>
          <cell r="CH18">
            <v>96.659596774193588</v>
          </cell>
          <cell r="CI18">
            <v>8.5471428571428572</v>
          </cell>
          <cell r="CJ18">
            <v>3522</v>
          </cell>
          <cell r="CK18">
            <v>6416</v>
          </cell>
          <cell r="CL18">
            <v>6086.6911435103093</v>
          </cell>
          <cell r="CM18">
            <v>329.3088564896907</v>
          </cell>
          <cell r="CQ18" t="str">
            <v>ANOVA</v>
          </cell>
        </row>
        <row r="19">
          <cell r="A19" t="str">
            <v>Research and development</v>
          </cell>
          <cell r="G19">
            <v>-425</v>
          </cell>
          <cell r="L19">
            <v>-714</v>
          </cell>
          <cell r="Q19">
            <v>-866</v>
          </cell>
          <cell r="V19">
            <v>-776</v>
          </cell>
          <cell r="AA19">
            <v>-634</v>
          </cell>
          <cell r="AF19">
            <v>-620</v>
          </cell>
          <cell r="AK19">
            <v>-682</v>
          </cell>
          <cell r="AP19">
            <v>-876</v>
          </cell>
          <cell r="AZ19">
            <v>-770.00000000000045</v>
          </cell>
          <cell r="BE19">
            <v>-770.00000000000045</v>
          </cell>
          <cell r="BJ19">
            <v>-770.00000000000045</v>
          </cell>
          <cell r="BO19">
            <v>-770.00000000000045</v>
          </cell>
          <cell r="BT19">
            <v>-770.00000000000045</v>
          </cell>
          <cell r="BY19">
            <v>-770.00000000000045</v>
          </cell>
          <cell r="CD19">
            <v>-770.00000000000045</v>
          </cell>
          <cell r="CG19" t="str">
            <v>2Q08</v>
          </cell>
          <cell r="CH19">
            <v>121.25793650793652</v>
          </cell>
          <cell r="CI19">
            <v>11.35868131868132</v>
          </cell>
          <cell r="CJ19">
            <v>3126</v>
          </cell>
          <cell r="CK19">
            <v>7059</v>
          </cell>
          <cell r="CL19">
            <v>7495.4462004460074</v>
          </cell>
          <cell r="CM19">
            <v>-436.44620044600742</v>
          </cell>
          <cell r="CR19" t="str">
            <v>df</v>
          </cell>
          <cell r="CS19" t="str">
            <v>SS</v>
          </cell>
          <cell r="CT19" t="str">
            <v>MS</v>
          </cell>
          <cell r="CU19" t="str">
            <v>F</v>
          </cell>
          <cell r="CV19" t="str">
            <v>Significance F</v>
          </cell>
        </row>
        <row r="20">
          <cell r="A20" t="str">
            <v>Exploration</v>
          </cell>
          <cell r="G20">
            <v>-1157</v>
          </cell>
          <cell r="H20">
            <v>-259</v>
          </cell>
          <cell r="I20">
            <v>-227</v>
          </cell>
          <cell r="J20">
            <v>-380</v>
          </cell>
          <cell r="K20">
            <v>-532</v>
          </cell>
          <cell r="L20">
            <v>-1398</v>
          </cell>
          <cell r="M20">
            <v>-263</v>
          </cell>
          <cell r="N20">
            <v>-402</v>
          </cell>
          <cell r="O20">
            <v>-576</v>
          </cell>
          <cell r="P20">
            <v>-581</v>
          </cell>
          <cell r="Q20">
            <v>-1822</v>
          </cell>
          <cell r="R20">
            <v>-286</v>
          </cell>
          <cell r="S20">
            <v>-343</v>
          </cell>
          <cell r="T20">
            <v>-731</v>
          </cell>
          <cell r="U20">
            <v>-635</v>
          </cell>
          <cell r="V20">
            <v>-1995</v>
          </cell>
          <cell r="W20">
            <v>-348</v>
          </cell>
          <cell r="X20">
            <v>-524</v>
          </cell>
          <cell r="Y20">
            <v>-637</v>
          </cell>
          <cell r="Z20">
            <v>-669</v>
          </cell>
          <cell r="AA20">
            <v>-2178</v>
          </cell>
          <cell r="AB20">
            <v>-377</v>
          </cell>
          <cell r="AC20">
            <v>-403</v>
          </cell>
          <cell r="AD20">
            <v>-610</v>
          </cell>
          <cell r="AE20">
            <v>-646</v>
          </cell>
          <cell r="AF20">
            <v>-2036</v>
          </cell>
          <cell r="AG20">
            <v>-401</v>
          </cell>
          <cell r="AH20">
            <v>-379</v>
          </cell>
          <cell r="AI20">
            <v>-661</v>
          </cell>
          <cell r="AJ20">
            <v>-825</v>
          </cell>
          <cell r="AK20">
            <v>-2266</v>
          </cell>
          <cell r="AL20">
            <v>-362</v>
          </cell>
          <cell r="AM20">
            <v>-862</v>
          </cell>
          <cell r="AN20">
            <v>-713</v>
          </cell>
          <cell r="AO20">
            <v>-1167</v>
          </cell>
          <cell r="AP20">
            <v>-3104</v>
          </cell>
          <cell r="AQ20">
            <v>-648</v>
          </cell>
          <cell r="AR20">
            <v>-1228</v>
          </cell>
          <cell r="AS20">
            <v>-1636</v>
          </cell>
          <cell r="AT20">
            <v>-1766</v>
          </cell>
          <cell r="AU20">
            <v>-5278</v>
          </cell>
          <cell r="AV20">
            <v>-926.61000000000013</v>
          </cell>
          <cell r="AW20">
            <v>-926.61000000000013</v>
          </cell>
          <cell r="AX20">
            <v>-926.61000000000013</v>
          </cell>
          <cell r="AY20">
            <v>-926.61000000000013</v>
          </cell>
          <cell r="AZ20">
            <v>-3706.4400000000005</v>
          </cell>
          <cell r="BA20">
            <v>-790.95000000000016</v>
          </cell>
          <cell r="BB20">
            <v>-790.95000000000027</v>
          </cell>
          <cell r="BC20">
            <v>-790.95000000000016</v>
          </cell>
          <cell r="BD20">
            <v>-790.94999999999982</v>
          </cell>
          <cell r="BE20">
            <v>-3163.8000000000006</v>
          </cell>
          <cell r="BF20">
            <v>-627.39166666666665</v>
          </cell>
          <cell r="BG20">
            <v>-627.39166666666665</v>
          </cell>
          <cell r="BH20">
            <v>-627.39166666666665</v>
          </cell>
          <cell r="BI20">
            <v>-627.39166666666665</v>
          </cell>
          <cell r="BJ20">
            <v>-2509.5666666666666</v>
          </cell>
          <cell r="BK20">
            <v>-624.2166666666667</v>
          </cell>
          <cell r="BL20">
            <v>-624.2166666666667</v>
          </cell>
          <cell r="BM20">
            <v>-624.2166666666667</v>
          </cell>
          <cell r="BN20">
            <v>-624.2166666666667</v>
          </cell>
          <cell r="BO20">
            <v>-2496.8666666666668</v>
          </cell>
          <cell r="BP20">
            <v>-615.15625</v>
          </cell>
          <cell r="BQ20">
            <v>-615.15625</v>
          </cell>
          <cell r="BR20">
            <v>-615.15625</v>
          </cell>
          <cell r="BS20">
            <v>-615.15625</v>
          </cell>
          <cell r="BT20">
            <v>-2460.625</v>
          </cell>
          <cell r="BU20">
            <v>-617.8125</v>
          </cell>
          <cell r="BV20">
            <v>-617.8125</v>
          </cell>
          <cell r="BW20">
            <v>-617.8125</v>
          </cell>
          <cell r="BX20">
            <v>-617.8125</v>
          </cell>
          <cell r="BY20">
            <v>-2471.25</v>
          </cell>
          <cell r="BZ20">
            <v>-617.8125</v>
          </cell>
          <cell r="CA20">
            <v>-617.8125</v>
          </cell>
          <cell r="CB20">
            <v>-617.8125</v>
          </cell>
          <cell r="CC20">
            <v>-617.8125</v>
          </cell>
          <cell r="CD20">
            <v>-2471.25</v>
          </cell>
          <cell r="CG20" t="str">
            <v>3Q08</v>
          </cell>
          <cell r="CH20">
            <v>115.14869230769229</v>
          </cell>
          <cell r="CI20">
            <v>9.11</v>
          </cell>
          <cell r="CJ20">
            <v>2931</v>
          </cell>
          <cell r="CK20">
            <v>6279</v>
          </cell>
          <cell r="CL20">
            <v>6239.9947035617533</v>
          </cell>
          <cell r="CM20">
            <v>39.00529643824666</v>
          </cell>
          <cell r="CQ20" t="str">
            <v>Regression</v>
          </cell>
          <cell r="CR20">
            <v>3</v>
          </cell>
          <cell r="CS20">
            <v>43424511.176029608</v>
          </cell>
          <cell r="CT20">
            <v>14474837.058676535</v>
          </cell>
          <cell r="CU20">
            <v>51.628536221939605</v>
          </cell>
          <cell r="CV20">
            <v>2.58954769659629E-11</v>
          </cell>
        </row>
        <row r="21">
          <cell r="A21" t="str">
            <v>DD&amp;A</v>
          </cell>
          <cell r="G21">
            <v>-8568</v>
          </cell>
          <cell r="H21">
            <v>-2002</v>
          </cell>
          <cell r="I21">
            <v>-2345</v>
          </cell>
          <cell r="J21">
            <v>-2480</v>
          </cell>
          <cell r="K21">
            <v>-2471</v>
          </cell>
          <cell r="L21">
            <v>-9298</v>
          </cell>
          <cell r="M21">
            <v>-2410</v>
          </cell>
          <cell r="N21">
            <v>-2478</v>
          </cell>
          <cell r="O21">
            <v>-2046</v>
          </cell>
          <cell r="P21">
            <v>-2979</v>
          </cell>
          <cell r="Q21">
            <v>-9913</v>
          </cell>
          <cell r="R21">
            <v>-2329</v>
          </cell>
          <cell r="S21">
            <v>-2423</v>
          </cell>
          <cell r="T21">
            <v>-2524</v>
          </cell>
          <cell r="U21">
            <v>-2630</v>
          </cell>
          <cell r="V21">
            <v>-9906</v>
          </cell>
          <cell r="W21">
            <v>-2346</v>
          </cell>
          <cell r="X21">
            <v>-2238</v>
          </cell>
          <cell r="Y21">
            <v>-3274</v>
          </cell>
          <cell r="Z21">
            <v>-2017</v>
          </cell>
          <cell r="AA21">
            <v>-9875</v>
          </cell>
          <cell r="AB21">
            <v>-2003</v>
          </cell>
          <cell r="AC21">
            <v>-2299</v>
          </cell>
          <cell r="AD21">
            <v>-4501</v>
          </cell>
          <cell r="AE21">
            <v>-2341</v>
          </cell>
          <cell r="AF21">
            <v>-11144</v>
          </cell>
          <cell r="AG21">
            <v>-2124</v>
          </cell>
          <cell r="AH21">
            <v>-1999</v>
          </cell>
          <cell r="AI21">
            <v>-2296</v>
          </cell>
          <cell r="AJ21">
            <v>-2408</v>
          </cell>
          <cell r="AK21">
            <v>-8827</v>
          </cell>
          <cell r="AL21">
            <v>-2613</v>
          </cell>
          <cell r="AM21">
            <v>-2717</v>
          </cell>
          <cell r="AN21">
            <v>-3054</v>
          </cell>
          <cell r="AO21">
            <v>-3003</v>
          </cell>
          <cell r="AP21">
            <v>-11387</v>
          </cell>
          <cell r="AQ21">
            <v>-3019</v>
          </cell>
          <cell r="AR21">
            <v>-6220</v>
          </cell>
          <cell r="AS21">
            <v>-3214</v>
          </cell>
          <cell r="AT21">
            <v>-4496</v>
          </cell>
          <cell r="AU21">
            <v>-16949</v>
          </cell>
          <cell r="AV21">
            <v>-3067.7134799313949</v>
          </cell>
          <cell r="AW21">
            <v>-2938.7579583982797</v>
          </cell>
          <cell r="AX21">
            <v>-2979.7235494751249</v>
          </cell>
          <cell r="AY21">
            <v>-3354.8224732043191</v>
          </cell>
          <cell r="AZ21">
            <v>-12341.017461009116</v>
          </cell>
          <cell r="BA21">
            <v>-3521.4725930783065</v>
          </cell>
          <cell r="BB21">
            <v>-3240.8900278434967</v>
          </cell>
          <cell r="BC21">
            <v>-3171.8466738705347</v>
          </cell>
          <cell r="BD21">
            <v>-3452.1771468559018</v>
          </cell>
          <cell r="BE21">
            <v>-13386.386441648239</v>
          </cell>
          <cell r="BF21">
            <v>-3577.7856636007509</v>
          </cell>
          <cell r="BG21">
            <v>-3369.4576331324852</v>
          </cell>
          <cell r="BH21">
            <v>-3376.4417713989506</v>
          </cell>
          <cell r="BI21">
            <v>-3734.3964534071374</v>
          </cell>
          <cell r="BJ21">
            <v>-14058.081521539323</v>
          </cell>
          <cell r="BK21">
            <v>-3875.7204052512084</v>
          </cell>
          <cell r="BL21">
            <v>-3642.7310515145746</v>
          </cell>
          <cell r="BM21">
            <v>-3631.8424563602398</v>
          </cell>
          <cell r="BN21">
            <v>-3981.5858321934502</v>
          </cell>
          <cell r="BO21">
            <v>-15131.879745319473</v>
          </cell>
          <cell r="BP21">
            <v>-4130.552469132379</v>
          </cell>
          <cell r="BQ21">
            <v>-3851.8468764268127</v>
          </cell>
          <cell r="BR21">
            <v>-3806.3544649915871</v>
          </cell>
          <cell r="BS21">
            <v>-4140.3605545481187</v>
          </cell>
          <cell r="BT21">
            <v>-15929.114365098896</v>
          </cell>
          <cell r="BU21">
            <v>-4291.9738772845849</v>
          </cell>
          <cell r="BV21">
            <v>-4034.471214322376</v>
          </cell>
          <cell r="BW21">
            <v>-4016.1234940228856</v>
          </cell>
          <cell r="BX21">
            <v>-4384.835042990735</v>
          </cell>
          <cell r="BY21">
            <v>-16727.403628620581</v>
          </cell>
          <cell r="BZ21">
            <v>-4516.8194956590287</v>
          </cell>
          <cell r="CA21">
            <v>-4252.6768892415066</v>
          </cell>
          <cell r="CB21">
            <v>-4224.8041466432805</v>
          </cell>
          <cell r="CC21">
            <v>-4577.1515898813068</v>
          </cell>
          <cell r="CD21">
            <v>-17571.452121425122</v>
          </cell>
          <cell r="CG21" t="str">
            <v>4Q08</v>
          </cell>
          <cell r="CH21">
            <v>55.475078125000003</v>
          </cell>
          <cell r="CI21">
            <v>6.3823333333333325</v>
          </cell>
          <cell r="CJ21">
            <v>3415</v>
          </cell>
          <cell r="CK21">
            <v>3265</v>
          </cell>
          <cell r="CL21">
            <v>3279.736043188424</v>
          </cell>
          <cell r="CM21">
            <v>-14.736043188423992</v>
          </cell>
          <cell r="CQ21" t="str">
            <v>Residual</v>
          </cell>
          <cell r="CR21">
            <v>27</v>
          </cell>
          <cell r="CS21">
            <v>7569856.3078413764</v>
          </cell>
          <cell r="CT21">
            <v>280365.04843856947</v>
          </cell>
        </row>
        <row r="22">
          <cell r="A22" t="str">
            <v>Interest expense</v>
          </cell>
          <cell r="G22">
            <v>-314</v>
          </cell>
          <cell r="L22">
            <v>-354</v>
          </cell>
          <cell r="Q22">
            <v>-471</v>
          </cell>
          <cell r="V22">
            <v>-586</v>
          </cell>
          <cell r="AA22">
            <v>-645</v>
          </cell>
          <cell r="AF22">
            <v>-663</v>
          </cell>
          <cell r="AK22">
            <v>-756</v>
          </cell>
          <cell r="AP22">
            <v>-774</v>
          </cell>
          <cell r="AZ22">
            <v>-1477.027842729042</v>
          </cell>
          <cell r="BE22">
            <v>-1365.4138334673917</v>
          </cell>
          <cell r="BJ22">
            <v>-1287.2121654588439</v>
          </cell>
          <cell r="BO22">
            <v>-1282.7523770110067</v>
          </cell>
          <cell r="BT22">
            <v>-1229.1910917760304</v>
          </cell>
          <cell r="BY22">
            <v>-1150.12311423135</v>
          </cell>
          <cell r="CD22">
            <v>-1057.9897830130358</v>
          </cell>
          <cell r="CG22" t="str">
            <v>1Q09</v>
          </cell>
          <cell r="CH22">
            <v>44.456746031746043</v>
          </cell>
          <cell r="CI22">
            <v>4.6066666666666665</v>
          </cell>
          <cell r="CJ22">
            <v>3385</v>
          </cell>
          <cell r="CK22">
            <v>1854</v>
          </cell>
          <cell r="CL22">
            <v>2177.6385751011376</v>
          </cell>
          <cell r="CM22">
            <v>-323.63857510113758</v>
          </cell>
          <cell r="CQ22" t="str">
            <v>Total</v>
          </cell>
          <cell r="CR22">
            <v>30</v>
          </cell>
          <cell r="CS22">
            <v>50994367.483870983</v>
          </cell>
        </row>
        <row r="23">
          <cell r="A23" t="str">
            <v>Earnings before taxation</v>
          </cell>
          <cell r="G23">
            <v>30717</v>
          </cell>
          <cell r="L23">
            <v>35106</v>
          </cell>
          <cell r="Q23">
            <v>33801</v>
          </cell>
          <cell r="V23">
            <v>51669</v>
          </cell>
          <cell r="AA23">
            <v>17296</v>
          </cell>
          <cell r="AF23">
            <v>30757</v>
          </cell>
          <cell r="AK23">
            <v>48449</v>
          </cell>
          <cell r="AP23">
            <v>45792</v>
          </cell>
          <cell r="AZ23">
            <v>32536.390231649792</v>
          </cell>
          <cell r="BE23">
            <v>35634.255859631856</v>
          </cell>
          <cell r="BJ23">
            <v>37743.346023845312</v>
          </cell>
          <cell r="BO23">
            <v>40099.867379840376</v>
          </cell>
          <cell r="BT23">
            <v>41706.820742764743</v>
          </cell>
          <cell r="BY23">
            <v>41020.70874024315</v>
          </cell>
          <cell r="CD23">
            <v>43143.949379553203</v>
          </cell>
          <cell r="CG23" t="str">
            <v>2Q09</v>
          </cell>
          <cell r="CH23">
            <v>59.130901639344259</v>
          </cell>
          <cell r="CI23">
            <v>3.6733333333333333</v>
          </cell>
          <cell r="CJ23">
            <v>2949</v>
          </cell>
          <cell r="CK23">
            <v>2206</v>
          </cell>
          <cell r="CL23">
            <v>1947.8389034573511</v>
          </cell>
          <cell r="CM23">
            <v>258.16109654264892</v>
          </cell>
        </row>
        <row r="24">
          <cell r="CG24" t="str">
            <v>3Q09</v>
          </cell>
          <cell r="CH24">
            <v>68.08</v>
          </cell>
          <cell r="CI24">
            <v>3.1366666666666667</v>
          </cell>
          <cell r="CJ24">
            <v>2917</v>
          </cell>
          <cell r="CK24">
            <v>1666</v>
          </cell>
          <cell r="CL24">
            <v>2178.6337967554191</v>
          </cell>
          <cell r="CM24">
            <v>-512.6337967554191</v>
          </cell>
          <cell r="CR24" t="str">
            <v>Coefficients</v>
          </cell>
          <cell r="CS24" t="str">
            <v>Standard Error</v>
          </cell>
          <cell r="CT24" t="str">
            <v>t Stat</v>
          </cell>
          <cell r="CU24" t="str">
            <v>P-value</v>
          </cell>
          <cell r="CV24" t="str">
            <v>Lower 95%</v>
          </cell>
          <cell r="CW24" t="str">
            <v>Upper 95%</v>
          </cell>
          <cell r="CX24" t="str">
            <v>Lower 95.0%</v>
          </cell>
          <cell r="CY24" t="str">
            <v>Upper 95.0%</v>
          </cell>
        </row>
        <row r="25">
          <cell r="A25" t="str">
            <v>Taxation</v>
          </cell>
          <cell r="G25">
            <v>-14890</v>
          </cell>
          <cell r="L25">
            <v>-17254</v>
          </cell>
          <cell r="Q25">
            <v>-15707</v>
          </cell>
          <cell r="V25">
            <v>-25163</v>
          </cell>
          <cell r="AA25">
            <v>-8942</v>
          </cell>
          <cell r="AF25">
            <v>-14822</v>
          </cell>
          <cell r="AK25">
            <v>-23994</v>
          </cell>
          <cell r="AP25">
            <v>-23630</v>
          </cell>
          <cell r="AZ25">
            <v>-15712.089053473632</v>
          </cell>
          <cell r="BE25">
            <v>-18049.94629878016</v>
          </cell>
          <cell r="BJ25">
            <v>-20258.195080312194</v>
          </cell>
          <cell r="BO25">
            <v>-21318.64939471352</v>
          </cell>
          <cell r="BT25">
            <v>-21768.579266623878</v>
          </cell>
          <cell r="BY25">
            <v>-22300.464734870617</v>
          </cell>
          <cell r="CD25">
            <v>-23548.771160978831</v>
          </cell>
          <cell r="CG25" t="str">
            <v>4Q09</v>
          </cell>
          <cell r="CH25">
            <v>74.53</v>
          </cell>
          <cell r="CI25">
            <v>4.17</v>
          </cell>
          <cell r="CJ25">
            <v>3320</v>
          </cell>
          <cell r="CK25">
            <v>2762</v>
          </cell>
          <cell r="CL25">
            <v>3417.6372872726361</v>
          </cell>
          <cell r="CM25">
            <v>-655.63728727263606</v>
          </cell>
          <cell r="CQ25" t="str">
            <v>Intercept</v>
          </cell>
          <cell r="CR25">
            <v>-6566.937097819351</v>
          </cell>
          <cell r="CS25">
            <v>1480.1347391150518</v>
          </cell>
          <cell r="CT25">
            <v>-4.4367157423422237</v>
          </cell>
          <cell r="CU25">
            <v>1.3825777100750513E-4</v>
          </cell>
          <cell r="CV25">
            <v>-9603.9226892408096</v>
          </cell>
          <cell r="CW25">
            <v>-3529.9515063978929</v>
          </cell>
          <cell r="CX25">
            <v>-9603.9226892408096</v>
          </cell>
          <cell r="CY25">
            <v>-3529.9515063978929</v>
          </cell>
        </row>
        <row r="26">
          <cell r="A26" t="str">
            <v>Earnings after tax</v>
          </cell>
          <cell r="G26">
            <v>15827</v>
          </cell>
          <cell r="H26">
            <v>4512</v>
          </cell>
          <cell r="I26">
            <v>4517</v>
          </cell>
          <cell r="J26">
            <v>4528</v>
          </cell>
          <cell r="K26">
            <v>4295</v>
          </cell>
          <cell r="L26">
            <v>17852</v>
          </cell>
          <cell r="M26">
            <v>4321</v>
          </cell>
          <cell r="N26">
            <v>4087</v>
          </cell>
          <cell r="O26">
            <v>4101</v>
          </cell>
          <cell r="P26">
            <v>5585</v>
          </cell>
          <cell r="Q26">
            <v>18094</v>
          </cell>
          <cell r="R26">
            <v>6339</v>
          </cell>
          <cell r="S26">
            <v>6857</v>
          </cell>
          <cell r="T26">
            <v>8647</v>
          </cell>
          <cell r="U26">
            <v>4663</v>
          </cell>
          <cell r="V26">
            <v>26506</v>
          </cell>
          <cell r="W26">
            <v>2184</v>
          </cell>
          <cell r="X26">
            <v>2091</v>
          </cell>
          <cell r="Y26">
            <v>1543</v>
          </cell>
          <cell r="Z26">
            <v>2536</v>
          </cell>
          <cell r="AA26">
            <v>8354</v>
          </cell>
          <cell r="AB26">
            <v>4415</v>
          </cell>
          <cell r="AC26">
            <v>3270</v>
          </cell>
          <cell r="AD26">
            <v>3153</v>
          </cell>
          <cell r="AE26">
            <v>5097</v>
          </cell>
          <cell r="AF26">
            <v>15935</v>
          </cell>
          <cell r="AG26">
            <v>5758</v>
          </cell>
          <cell r="AH26">
            <v>6061</v>
          </cell>
          <cell r="AI26">
            <v>6071</v>
          </cell>
          <cell r="AJ26">
            <v>6565</v>
          </cell>
          <cell r="AK26">
            <v>24455</v>
          </cell>
          <cell r="AL26">
            <v>6706</v>
          </cell>
          <cell r="AM26">
            <v>4688</v>
          </cell>
          <cell r="AN26">
            <v>4590</v>
          </cell>
          <cell r="AO26">
            <v>6178</v>
          </cell>
          <cell r="AP26">
            <v>22162</v>
          </cell>
          <cell r="AQ26">
            <v>5821</v>
          </cell>
          <cell r="AR26">
            <v>1681</v>
          </cell>
          <cell r="AS26">
            <v>3290</v>
          </cell>
          <cell r="AT26">
            <v>1846</v>
          </cell>
          <cell r="AU26">
            <v>12638</v>
          </cell>
          <cell r="AV26">
            <v>4129.4700752309709</v>
          </cell>
          <cell r="AW26">
            <v>3862.4099489121354</v>
          </cell>
          <cell r="AX26">
            <v>4008.6191400967559</v>
          </cell>
          <cell r="AY26">
            <v>4823.8020139362916</v>
          </cell>
          <cell r="AZ26">
            <v>16824.301178176156</v>
          </cell>
          <cell r="BA26">
            <v>4604.3884468132537</v>
          </cell>
          <cell r="BB26">
            <v>4305.9848590120828</v>
          </cell>
          <cell r="BC26">
            <v>4230.0892463592727</v>
          </cell>
          <cell r="BD26">
            <v>4443.8470086670823</v>
          </cell>
          <cell r="BE26">
            <v>17584.309560851692</v>
          </cell>
          <cell r="BF26">
            <v>4344.8503887716788</v>
          </cell>
          <cell r="BG26">
            <v>4224.4285832967989</v>
          </cell>
          <cell r="BH26">
            <v>4301.229467743844</v>
          </cell>
          <cell r="BI26">
            <v>4614.6425037207946</v>
          </cell>
          <cell r="BJ26">
            <v>17485.150943533117</v>
          </cell>
          <cell r="BK26">
            <v>4591.0344370809407</v>
          </cell>
          <cell r="BL26">
            <v>4553.5971161598045</v>
          </cell>
          <cell r="BM26">
            <v>4661.6649555199492</v>
          </cell>
          <cell r="BN26">
            <v>4974.9214763661685</v>
          </cell>
          <cell r="BO26">
            <v>18781.217985126859</v>
          </cell>
          <cell r="BP26">
            <v>4871.449721547111</v>
          </cell>
          <cell r="BQ26">
            <v>4845.1000112142301</v>
          </cell>
          <cell r="BR26">
            <v>4957.5681749815112</v>
          </cell>
          <cell r="BS26">
            <v>5264.1235683980112</v>
          </cell>
          <cell r="BT26">
            <v>19938.241476140862</v>
          </cell>
          <cell r="BU26">
            <v>4652.0324447418516</v>
          </cell>
          <cell r="BV26">
            <v>4576.020641296258</v>
          </cell>
          <cell r="BW26">
            <v>4630.0634271221097</v>
          </cell>
          <cell r="BX26">
            <v>4862.1274922123175</v>
          </cell>
          <cell r="BY26">
            <v>18720.244005372537</v>
          </cell>
          <cell r="BZ26">
            <v>4725.3787691782709</v>
          </cell>
          <cell r="CA26">
            <v>4753.6198218871414</v>
          </cell>
          <cell r="CB26">
            <v>4904.190279689933</v>
          </cell>
          <cell r="CC26">
            <v>5211.989347819027</v>
          </cell>
          <cell r="CD26">
            <v>19595.178218574372</v>
          </cell>
          <cell r="CG26" t="str">
            <v>1Q10</v>
          </cell>
          <cell r="CH26">
            <v>76.36</v>
          </cell>
          <cell r="CI26">
            <v>5.18</v>
          </cell>
          <cell r="CJ26">
            <v>3594</v>
          </cell>
          <cell r="CK26">
            <v>4305</v>
          </cell>
          <cell r="CL26">
            <v>4224.991832540707</v>
          </cell>
          <cell r="CM26">
            <v>80.008167459292963</v>
          </cell>
          <cell r="CQ26" t="str">
            <v>Brent</v>
          </cell>
          <cell r="CR26">
            <v>48.808134110252979</v>
          </cell>
          <cell r="CS26">
            <v>4.3414175028117343</v>
          </cell>
          <cell r="CT26">
            <v>11.242441916411453</v>
          </cell>
          <cell r="CU26">
            <v>1.0868959669845661E-11</v>
          </cell>
          <cell r="CV26">
            <v>39.900281295267263</v>
          </cell>
          <cell r="CW26">
            <v>57.715986925238695</v>
          </cell>
          <cell r="CX26">
            <v>39.900281295267263</v>
          </cell>
          <cell r="CY26">
            <v>57.715986925238695</v>
          </cell>
        </row>
        <row r="27">
          <cell r="CG27" t="str">
            <v>2Q10</v>
          </cell>
          <cell r="CH27">
            <v>78.237950819672136</v>
          </cell>
          <cell r="CI27">
            <v>4.3033333333333337</v>
          </cell>
          <cell r="CJ27">
            <v>3110</v>
          </cell>
          <cell r="CK27">
            <v>3260</v>
          </cell>
          <cell r="CL27">
            <v>3312.9862329530679</v>
          </cell>
          <cell r="CM27">
            <v>-52.986232953067883</v>
          </cell>
          <cell r="CQ27" t="str">
            <v>HH</v>
          </cell>
          <cell r="CR27">
            <v>291.6949333804626</v>
          </cell>
          <cell r="CS27">
            <v>45.78951714197796</v>
          </cell>
          <cell r="CT27">
            <v>6.3703430738527835</v>
          </cell>
          <cell r="CU27">
            <v>8.021599569249509E-7</v>
          </cell>
          <cell r="CV27">
            <v>197.74260585014881</v>
          </cell>
          <cell r="CW27">
            <v>385.64726091077642</v>
          </cell>
          <cell r="CX27">
            <v>197.74260585014881</v>
          </cell>
          <cell r="CY27">
            <v>385.64726091077642</v>
          </cell>
        </row>
        <row r="28">
          <cell r="A28" t="str">
            <v>Identified items</v>
          </cell>
          <cell r="G28">
            <v>1643</v>
          </cell>
          <cell r="H28">
            <v>113</v>
          </cell>
          <cell r="I28">
            <v>304</v>
          </cell>
          <cell r="J28">
            <v>-163</v>
          </cell>
          <cell r="K28">
            <v>387</v>
          </cell>
          <cell r="L28">
            <v>641</v>
          </cell>
          <cell r="M28">
            <v>143</v>
          </cell>
          <cell r="N28">
            <v>400</v>
          </cell>
          <cell r="O28">
            <v>126</v>
          </cell>
          <cell r="P28">
            <v>802</v>
          </cell>
          <cell r="Q28">
            <v>1471</v>
          </cell>
          <cell r="R28">
            <v>-77</v>
          </cell>
          <cell r="S28">
            <v>-202</v>
          </cell>
          <cell r="T28">
            <v>2368</v>
          </cell>
          <cell r="U28">
            <v>1398</v>
          </cell>
          <cell r="V28">
            <v>3487</v>
          </cell>
          <cell r="W28">
            <v>330</v>
          </cell>
          <cell r="X28">
            <v>-115</v>
          </cell>
          <cell r="Y28">
            <v>-123</v>
          </cell>
          <cell r="Z28">
            <v>-226</v>
          </cell>
          <cell r="AA28">
            <v>-134</v>
          </cell>
          <cell r="AB28">
            <v>110</v>
          </cell>
          <cell r="AC28">
            <v>10</v>
          </cell>
          <cell r="AD28">
            <v>-284</v>
          </cell>
          <cell r="AE28">
            <v>1657</v>
          </cell>
          <cell r="AF28">
            <v>1493</v>
          </cell>
          <cell r="AG28">
            <v>1120</v>
          </cell>
          <cell r="AH28">
            <v>641</v>
          </cell>
          <cell r="AI28">
            <v>636</v>
          </cell>
          <cell r="AJ28">
            <v>1458</v>
          </cell>
          <cell r="AK28">
            <v>3855</v>
          </cell>
          <cell r="AL28">
            <v>453</v>
          </cell>
          <cell r="AM28">
            <v>181</v>
          </cell>
          <cell r="AN28">
            <v>-298</v>
          </cell>
          <cell r="AO28">
            <v>1801</v>
          </cell>
          <cell r="AP28">
            <v>2137</v>
          </cell>
          <cell r="AQ28">
            <v>173</v>
          </cell>
          <cell r="AR28">
            <v>-1845</v>
          </cell>
          <cell r="AS28">
            <v>-176</v>
          </cell>
          <cell r="AT28">
            <v>-631</v>
          </cell>
          <cell r="AU28">
            <v>-2479</v>
          </cell>
          <cell r="CG28" t="str">
            <v>3Q10</v>
          </cell>
          <cell r="CH28">
            <v>76.855384615384608</v>
          </cell>
          <cell r="CI28">
            <v>4.3166666666666664</v>
          </cell>
          <cell r="CJ28">
            <v>3058</v>
          </cell>
          <cell r="CK28">
            <v>3437</v>
          </cell>
          <cell r="CL28">
            <v>3169.0372248963545</v>
          </cell>
          <cell r="CM28">
            <v>267.96277510364553</v>
          </cell>
          <cell r="CQ28" t="str">
            <v>Production</v>
          </cell>
          <cell r="CR28">
            <v>1.545342252306718</v>
          </cell>
          <cell r="CS28">
            <v>0.4112882066152711</v>
          </cell>
          <cell r="CT28">
            <v>3.7573220613939662</v>
          </cell>
          <cell r="CU28">
            <v>8.3799595435635102E-4</v>
          </cell>
          <cell r="CV28">
            <v>0.70144856857428151</v>
          </cell>
          <cell r="CW28">
            <v>2.3892359360391544</v>
          </cell>
          <cell r="CX28">
            <v>0.70144856857428151</v>
          </cell>
          <cell r="CY28">
            <v>2.3892359360391544</v>
          </cell>
        </row>
        <row r="29">
          <cell r="A29" t="str">
            <v>Earnings excluding identified items</v>
          </cell>
          <cell r="G29">
            <v>14184</v>
          </cell>
          <cell r="H29">
            <v>4399</v>
          </cell>
          <cell r="I29">
            <v>4213</v>
          </cell>
          <cell r="J29">
            <v>4691</v>
          </cell>
          <cell r="K29">
            <v>3908</v>
          </cell>
          <cell r="L29">
            <v>17211</v>
          </cell>
          <cell r="M29">
            <v>4178</v>
          </cell>
          <cell r="N29">
            <v>3687</v>
          </cell>
          <cell r="O29">
            <v>3975</v>
          </cell>
          <cell r="P29">
            <v>4783</v>
          </cell>
          <cell r="Q29">
            <v>16623</v>
          </cell>
          <cell r="R29">
            <v>6416</v>
          </cell>
          <cell r="S29">
            <v>7059</v>
          </cell>
          <cell r="T29">
            <v>6279</v>
          </cell>
          <cell r="U29">
            <v>3265</v>
          </cell>
          <cell r="V29">
            <v>23019</v>
          </cell>
          <cell r="W29">
            <v>1854</v>
          </cell>
          <cell r="X29">
            <v>2206</v>
          </cell>
          <cell r="Y29">
            <v>1666</v>
          </cell>
          <cell r="Z29">
            <v>2762</v>
          </cell>
          <cell r="AA29">
            <v>8488</v>
          </cell>
          <cell r="AB29">
            <v>4305</v>
          </cell>
          <cell r="AC29">
            <v>3260</v>
          </cell>
          <cell r="AD29">
            <v>3437</v>
          </cell>
          <cell r="AE29">
            <v>3440</v>
          </cell>
          <cell r="AF29">
            <v>14442</v>
          </cell>
          <cell r="AG29">
            <v>4638</v>
          </cell>
          <cell r="AH29">
            <v>5420</v>
          </cell>
          <cell r="AI29">
            <v>5435</v>
          </cell>
          <cell r="AJ29">
            <v>5107</v>
          </cell>
          <cell r="AK29">
            <v>20600</v>
          </cell>
          <cell r="AL29">
            <v>6253</v>
          </cell>
          <cell r="AM29">
            <v>4507</v>
          </cell>
          <cell r="AN29">
            <v>4888</v>
          </cell>
          <cell r="AO29">
            <v>4377</v>
          </cell>
          <cell r="AP29">
            <v>20025</v>
          </cell>
          <cell r="AQ29">
            <v>5648</v>
          </cell>
          <cell r="AR29">
            <v>3526</v>
          </cell>
          <cell r="AS29">
            <v>3466</v>
          </cell>
          <cell r="AT29">
            <v>2477</v>
          </cell>
          <cell r="AU29">
            <v>15117</v>
          </cell>
          <cell r="AV29">
            <v>4129.4700752309709</v>
          </cell>
          <cell r="AW29">
            <v>3862.4099489121354</v>
          </cell>
          <cell r="AX29">
            <v>4008.6191400967559</v>
          </cell>
          <cell r="AY29">
            <v>4823.8020139362916</v>
          </cell>
          <cell r="AZ29">
            <v>16824.301178176156</v>
          </cell>
          <cell r="BA29">
            <v>4604.3884468132537</v>
          </cell>
          <cell r="BB29">
            <v>4305.9848590120828</v>
          </cell>
          <cell r="BC29">
            <v>4230.0892463592727</v>
          </cell>
          <cell r="BD29">
            <v>4443.8470086670823</v>
          </cell>
          <cell r="BE29">
            <v>17584.309560851692</v>
          </cell>
          <cell r="BF29">
            <v>4344.8503887716788</v>
          </cell>
          <cell r="BG29">
            <v>4224.4285832967989</v>
          </cell>
          <cell r="BH29">
            <v>4301.229467743844</v>
          </cell>
          <cell r="BI29">
            <v>4614.6425037207946</v>
          </cell>
          <cell r="BJ29">
            <v>17485.150943533117</v>
          </cell>
          <cell r="BK29">
            <v>4591.0344370809407</v>
          </cell>
          <cell r="BL29">
            <v>4553.5971161598045</v>
          </cell>
          <cell r="BM29">
            <v>4661.6649555199492</v>
          </cell>
          <cell r="BN29">
            <v>4974.9214763661685</v>
          </cell>
          <cell r="BO29">
            <v>18781.217985126859</v>
          </cell>
          <cell r="BP29">
            <v>4871.449721547111</v>
          </cell>
          <cell r="BQ29">
            <v>4845.1000112142301</v>
          </cell>
          <cell r="BR29">
            <v>4957.5681749815112</v>
          </cell>
          <cell r="BS29">
            <v>5264.1235683980112</v>
          </cell>
          <cell r="BT29">
            <v>19938.241476140862</v>
          </cell>
          <cell r="BU29">
            <v>4652.0324447418516</v>
          </cell>
          <cell r="BV29">
            <v>4576.020641296258</v>
          </cell>
          <cell r="BW29">
            <v>4630.0634271221097</v>
          </cell>
          <cell r="BX29">
            <v>4862.1274922123175</v>
          </cell>
          <cell r="BY29">
            <v>18720.244005372537</v>
          </cell>
          <cell r="BZ29">
            <v>4725.3787691782709</v>
          </cell>
          <cell r="CA29">
            <v>4753.6198218871414</v>
          </cell>
          <cell r="CB29">
            <v>4904.190279689933</v>
          </cell>
          <cell r="CC29">
            <v>5211.989347819027</v>
          </cell>
          <cell r="CD29">
            <v>19595.178218574372</v>
          </cell>
          <cell r="CG29" t="str">
            <v>4Q10</v>
          </cell>
          <cell r="CH29">
            <v>86.457499999999996</v>
          </cell>
          <cell r="CI29">
            <v>3.7933333333333334</v>
          </cell>
          <cell r="CJ29">
            <v>3496</v>
          </cell>
          <cell r="CK29">
            <v>3440</v>
          </cell>
          <cell r="CL29">
            <v>4161.904785038686</v>
          </cell>
          <cell r="CM29">
            <v>-721.90478503868599</v>
          </cell>
        </row>
        <row r="30">
          <cell r="CG30" t="str">
            <v>1Q11</v>
          </cell>
          <cell r="CH30">
            <v>105.42523809523809</v>
          </cell>
          <cell r="CI30">
            <v>4.22</v>
          </cell>
          <cell r="CJ30">
            <v>3504</v>
          </cell>
          <cell r="CK30">
            <v>4638</v>
          </cell>
          <cell r="CL30">
            <v>5224.5039326866727</v>
          </cell>
          <cell r="CM30">
            <v>-586.50393268667267</v>
          </cell>
        </row>
        <row r="31">
          <cell r="CG31" t="str">
            <v>2Q11</v>
          </cell>
          <cell r="CH31">
            <v>117.04450000000003</v>
          </cell>
          <cell r="CI31">
            <v>4.37</v>
          </cell>
          <cell r="CJ31">
            <v>3046</v>
          </cell>
          <cell r="CK31">
            <v>5420</v>
          </cell>
          <cell r="CL31">
            <v>5127.6059144470391</v>
          </cell>
          <cell r="CM31">
            <v>292.39408555296086</v>
          </cell>
        </row>
        <row r="32">
          <cell r="CG32" t="str">
            <v>3Q11</v>
          </cell>
          <cell r="CH32">
            <v>113.4060769230769</v>
          </cell>
          <cell r="CI32">
            <v>4.1333333333333337</v>
          </cell>
          <cell r="CJ32">
            <v>3012</v>
          </cell>
          <cell r="CK32">
            <v>5435</v>
          </cell>
          <cell r="CL32">
            <v>4828.4451688135978</v>
          </cell>
          <cell r="CM32">
            <v>606.55483118640223</v>
          </cell>
        </row>
        <row r="33">
          <cell r="A33" t="str">
            <v>Europe</v>
          </cell>
          <cell r="CG33" t="str">
            <v>4Q11</v>
          </cell>
          <cell r="CH33">
            <v>109.35</v>
          </cell>
          <cell r="CI33">
            <v>3.32</v>
          </cell>
          <cell r="CJ33">
            <v>3305</v>
          </cell>
          <cell r="CK33">
            <v>5107</v>
          </cell>
          <cell r="CL33">
            <v>4846.01568983365</v>
          </cell>
          <cell r="CM33">
            <v>260.98431016635004</v>
          </cell>
        </row>
        <row r="34">
          <cell r="C34">
            <v>2001</v>
          </cell>
          <cell r="D34">
            <v>2002</v>
          </cell>
          <cell r="E34">
            <v>2003</v>
          </cell>
          <cell r="F34">
            <v>2004</v>
          </cell>
          <cell r="G34">
            <v>2005</v>
          </cell>
          <cell r="H34" t="str">
            <v>1Q06</v>
          </cell>
          <cell r="I34" t="str">
            <v>2Q06</v>
          </cell>
          <cell r="J34" t="str">
            <v>3Q06</v>
          </cell>
          <cell r="K34" t="str">
            <v>4Q06</v>
          </cell>
          <cell r="L34">
            <v>2006</v>
          </cell>
          <cell r="M34" t="str">
            <v>1Q07</v>
          </cell>
          <cell r="N34" t="str">
            <v>2Q07</v>
          </cell>
          <cell r="O34" t="str">
            <v>3Q07</v>
          </cell>
          <cell r="P34" t="str">
            <v>4Q07</v>
          </cell>
          <cell r="Q34">
            <v>2007</v>
          </cell>
          <cell r="R34" t="str">
            <v>1Q08</v>
          </cell>
          <cell r="S34" t="str">
            <v>2Q08</v>
          </cell>
          <cell r="T34" t="str">
            <v>3Q08</v>
          </cell>
          <cell r="U34" t="str">
            <v>4Q08</v>
          </cell>
          <cell r="V34">
            <v>2008</v>
          </cell>
          <cell r="W34" t="str">
            <v>1Q09</v>
          </cell>
          <cell r="X34" t="str">
            <v>2Q09</v>
          </cell>
          <cell r="Y34" t="str">
            <v>3Q09</v>
          </cell>
          <cell r="Z34" t="str">
            <v>4Q09</v>
          </cell>
          <cell r="AA34">
            <v>2009</v>
          </cell>
          <cell r="AB34" t="str">
            <v>1Q10</v>
          </cell>
          <cell r="AC34" t="str">
            <v>2Q10</v>
          </cell>
          <cell r="AD34" t="str">
            <v>3Q10</v>
          </cell>
          <cell r="AE34" t="str">
            <v>4Q10</v>
          </cell>
          <cell r="AF34">
            <v>2010</v>
          </cell>
          <cell r="AG34" t="str">
            <v>1Q11</v>
          </cell>
          <cell r="AH34" t="str">
            <v>2Q11</v>
          </cell>
          <cell r="AI34" t="str">
            <v>3Q11</v>
          </cell>
          <cell r="AJ34" t="str">
            <v>4Q11</v>
          </cell>
          <cell r="AK34">
            <v>2011</v>
          </cell>
          <cell r="AL34" t="str">
            <v>1Q12</v>
          </cell>
          <cell r="AM34" t="str">
            <v>2Q12</v>
          </cell>
          <cell r="AN34" t="str">
            <v>3Q12</v>
          </cell>
          <cell r="AO34" t="str">
            <v>4Q12</v>
          </cell>
          <cell r="AP34">
            <v>2012</v>
          </cell>
          <cell r="AQ34" t="str">
            <v>1Q13</v>
          </cell>
          <cell r="AR34" t="str">
            <v>2Q13</v>
          </cell>
          <cell r="AS34" t="str">
            <v>3Q13</v>
          </cell>
          <cell r="AT34" t="str">
            <v>4Q13</v>
          </cell>
          <cell r="AU34">
            <v>2013</v>
          </cell>
          <cell r="AV34" t="str">
            <v>1Q14</v>
          </cell>
          <cell r="AW34" t="str">
            <v>2Q14</v>
          </cell>
          <cell r="AX34" t="str">
            <v>3Q14</v>
          </cell>
          <cell r="AY34" t="str">
            <v>4Q14</v>
          </cell>
          <cell r="AZ34">
            <v>2014</v>
          </cell>
          <cell r="BA34" t="str">
            <v>1Q15</v>
          </cell>
          <cell r="BB34" t="str">
            <v>2Q15</v>
          </cell>
          <cell r="BC34" t="str">
            <v>3Q15</v>
          </cell>
          <cell r="BD34" t="str">
            <v>4Q15</v>
          </cell>
          <cell r="BE34">
            <v>2015</v>
          </cell>
          <cell r="BF34" t="str">
            <v>1Q16</v>
          </cell>
          <cell r="BG34" t="str">
            <v>2Q16</v>
          </cell>
          <cell r="BH34" t="str">
            <v>3Q16</v>
          </cell>
          <cell r="BI34" t="str">
            <v>4Q16</v>
          </cell>
          <cell r="BJ34">
            <v>2016</v>
          </cell>
          <cell r="BK34" t="str">
            <v>1Q17</v>
          </cell>
          <cell r="BL34" t="str">
            <v>2Q17</v>
          </cell>
          <cell r="BM34" t="str">
            <v>3Q17</v>
          </cell>
          <cell r="BN34" t="str">
            <v>4Q17</v>
          </cell>
          <cell r="BO34">
            <v>2017</v>
          </cell>
          <cell r="BP34" t="str">
            <v>1Q18</v>
          </cell>
          <cell r="BQ34" t="str">
            <v>2Q18</v>
          </cell>
          <cell r="BR34" t="str">
            <v>3Q18</v>
          </cell>
          <cell r="BS34" t="str">
            <v>4Q18</v>
          </cell>
          <cell r="BT34">
            <v>2018</v>
          </cell>
          <cell r="BU34" t="str">
            <v>1Q19</v>
          </cell>
          <cell r="BV34" t="str">
            <v>2Q19</v>
          </cell>
          <cell r="BW34" t="str">
            <v>3Q19</v>
          </cell>
          <cell r="BX34" t="str">
            <v>4Q19</v>
          </cell>
          <cell r="BY34">
            <v>2019</v>
          </cell>
          <cell r="BZ34" t="str">
            <v>1Q20</v>
          </cell>
          <cell r="CA34" t="str">
            <v>2Q20</v>
          </cell>
          <cell r="CB34" t="str">
            <v>3Q20</v>
          </cell>
          <cell r="CC34" t="str">
            <v>4Q20</v>
          </cell>
          <cell r="CD34">
            <v>2020</v>
          </cell>
          <cell r="CG34" t="str">
            <v>1Q12</v>
          </cell>
          <cell r="CH34">
            <v>118.6</v>
          </cell>
          <cell r="CI34">
            <v>2.5</v>
          </cell>
          <cell r="CJ34">
            <v>3552</v>
          </cell>
          <cell r="CK34">
            <v>6253</v>
          </cell>
          <cell r="CL34">
            <v>5440.0006213012703</v>
          </cell>
          <cell r="CM34">
            <v>812.99937869872974</v>
          </cell>
        </row>
        <row r="35">
          <cell r="A35" t="str">
            <v>Revenue (third party and inter-segment)</v>
          </cell>
          <cell r="G35">
            <v>21550</v>
          </cell>
          <cell r="L35">
            <v>23367</v>
          </cell>
          <cell r="Q35">
            <v>21080</v>
          </cell>
          <cell r="V35">
            <v>28979</v>
          </cell>
          <cell r="AA35">
            <v>20403</v>
          </cell>
          <cell r="AF35">
            <v>21379</v>
          </cell>
          <cell r="AK35">
            <v>26263</v>
          </cell>
          <cell r="AP35">
            <v>26569</v>
          </cell>
          <cell r="AQ35">
            <v>7205.5746886200004</v>
          </cell>
          <cell r="AR35">
            <v>5274.7892850767994</v>
          </cell>
          <cell r="AS35">
            <v>4951.6376082480001</v>
          </cell>
          <cell r="AT35">
            <v>6456.1204628736004</v>
          </cell>
          <cell r="AU35">
            <v>23888.122044818403</v>
          </cell>
          <cell r="AV35">
            <v>6630.5316200271964</v>
          </cell>
          <cell r="AW35">
            <v>5392.5336176109577</v>
          </cell>
          <cell r="AX35">
            <v>5185.7316993207423</v>
          </cell>
          <cell r="AY35">
            <v>6894.2888799891725</v>
          </cell>
          <cell r="AZ35">
            <v>24103.085816948071</v>
          </cell>
          <cell r="BA35">
            <v>7082.2272875305025</v>
          </cell>
          <cell r="BB35">
            <v>5424.1761782745189</v>
          </cell>
          <cell r="BC35">
            <v>4880.1213055536709</v>
          </cell>
          <cell r="BD35">
            <v>6221.0688038505759</v>
          </cell>
          <cell r="BE35">
            <v>23607.59357520927</v>
          </cell>
          <cell r="BF35">
            <v>6357.1464621306695</v>
          </cell>
          <cell r="BG35">
            <v>5092.2177468557866</v>
          </cell>
          <cell r="BH35">
            <v>4845.9651963216083</v>
          </cell>
          <cell r="BI35">
            <v>6309.9585157884721</v>
          </cell>
          <cell r="BJ35">
            <v>22605.287921096537</v>
          </cell>
          <cell r="BK35">
            <v>6619.4024768141489</v>
          </cell>
          <cell r="BL35">
            <v>5488.6720740659875</v>
          </cell>
          <cell r="BM35">
            <v>5297.0401752142334</v>
          </cell>
          <cell r="BN35">
            <v>6754.6661791863771</v>
          </cell>
          <cell r="BO35">
            <v>24159.780905280746</v>
          </cell>
          <cell r="BP35">
            <v>6954.9662763743008</v>
          </cell>
          <cell r="BQ35">
            <v>5607.4337185701334</v>
          </cell>
          <cell r="BR35">
            <v>5192.5120820919128</v>
          </cell>
          <cell r="BS35">
            <v>6431.8574595986174</v>
          </cell>
          <cell r="BT35">
            <v>24186.769536634962</v>
          </cell>
          <cell r="BU35">
            <v>6695.659509995593</v>
          </cell>
          <cell r="BV35">
            <v>5507.573554606417</v>
          </cell>
          <cell r="BW35">
            <v>5238.2753063678938</v>
          </cell>
          <cell r="BX35">
            <v>6592.7513293025122</v>
          </cell>
          <cell r="BY35">
            <v>24034.259700272414</v>
          </cell>
          <cell r="BZ35">
            <v>6591.4654229686712</v>
          </cell>
          <cell r="CA35">
            <v>5294.5125017818154</v>
          </cell>
          <cell r="CB35">
            <v>4865.5444118223186</v>
          </cell>
          <cell r="CC35">
            <v>5979.5981992133238</v>
          </cell>
          <cell r="CD35">
            <v>22731.120535786129</v>
          </cell>
          <cell r="CG35" t="str">
            <v>2Q12</v>
          </cell>
          <cell r="CH35">
            <v>108.2908333333333</v>
          </cell>
          <cell r="CI35">
            <v>2.2633333333333332</v>
          </cell>
          <cell r="CJ35">
            <v>3103</v>
          </cell>
          <cell r="CK35">
            <v>4507</v>
          </cell>
          <cell r="CL35">
            <v>4173.9362932172262</v>
          </cell>
          <cell r="CM35">
            <v>333.06370678277381</v>
          </cell>
        </row>
        <row r="36">
          <cell r="A36" t="str">
            <v>Share of profit of equity accounted investments</v>
          </cell>
          <cell r="G36">
            <v>2945</v>
          </cell>
          <cell r="L36">
            <v>1493</v>
          </cell>
          <cell r="Q36">
            <v>1767</v>
          </cell>
          <cell r="V36">
            <v>2582</v>
          </cell>
          <cell r="AA36">
            <v>1485</v>
          </cell>
          <cell r="AF36">
            <v>1378</v>
          </cell>
          <cell r="AK36">
            <v>1527</v>
          </cell>
          <cell r="AP36">
            <v>1667</v>
          </cell>
          <cell r="AQ36">
            <v>429.47751848206133</v>
          </cell>
          <cell r="AR36">
            <v>371.19290701528143</v>
          </cell>
          <cell r="AS36">
            <v>329.1804227719885</v>
          </cell>
          <cell r="AT36">
            <v>308.67993378279579</v>
          </cell>
          <cell r="AU36">
            <v>1438.5307820521271</v>
          </cell>
          <cell r="AV36">
            <v>307.01784937718668</v>
          </cell>
          <cell r="AW36">
            <v>315.08118511873954</v>
          </cell>
          <cell r="AX36">
            <v>324.25021271827706</v>
          </cell>
          <cell r="AY36">
            <v>330.86825488063494</v>
          </cell>
          <cell r="AZ36">
            <v>1277.217502094838</v>
          </cell>
          <cell r="BA36">
            <v>316.82676609148064</v>
          </cell>
          <cell r="BB36">
            <v>310.28240555532307</v>
          </cell>
          <cell r="BC36">
            <v>303.69531287077569</v>
          </cell>
          <cell r="BD36">
            <v>300.16274617075544</v>
          </cell>
          <cell r="BE36">
            <v>1230.9672306883349</v>
          </cell>
          <cell r="BF36">
            <v>291.87385852390878</v>
          </cell>
          <cell r="BG36">
            <v>290.22004968519593</v>
          </cell>
          <cell r="BH36">
            <v>288.40607303905279</v>
          </cell>
          <cell r="BI36">
            <v>289.67383027162305</v>
          </cell>
          <cell r="BJ36">
            <v>1160.1738115197804</v>
          </cell>
          <cell r="BK36">
            <v>279.85540215907497</v>
          </cell>
          <cell r="BL36">
            <v>281.92233596425717</v>
          </cell>
          <cell r="BM36">
            <v>284.56874325011893</v>
          </cell>
          <cell r="BN36">
            <v>284.58786109154602</v>
          </cell>
          <cell r="BO36">
            <v>1130.9343424649971</v>
          </cell>
          <cell r="BP36">
            <v>277.71550354331345</v>
          </cell>
          <cell r="BQ36">
            <v>282.00662185360488</v>
          </cell>
          <cell r="BR36">
            <v>286.34717822128772</v>
          </cell>
          <cell r="BS36">
            <v>288.07715450184344</v>
          </cell>
          <cell r="BT36">
            <v>1134.1464581200494</v>
          </cell>
          <cell r="BU36">
            <v>280.20240221139619</v>
          </cell>
          <cell r="BV36">
            <v>283.62979189897476</v>
          </cell>
          <cell r="BW36">
            <v>287.07721082548528</v>
          </cell>
          <cell r="BX36">
            <v>287.88630226937096</v>
          </cell>
          <cell r="BY36">
            <v>1138.7957072052272</v>
          </cell>
          <cell r="BZ36">
            <v>280.60819190219166</v>
          </cell>
          <cell r="CA36">
            <v>284.64799739384625</v>
          </cell>
          <cell r="CB36">
            <v>288.72772550731349</v>
          </cell>
          <cell r="CC36">
            <v>290.16453005674288</v>
          </cell>
          <cell r="CD36">
            <v>1144.1484448600943</v>
          </cell>
          <cell r="CG36" t="str">
            <v>3Q12</v>
          </cell>
          <cell r="CH36">
            <v>109.50351562500001</v>
          </cell>
          <cell r="CI36">
            <v>2.8699999999999997</v>
          </cell>
          <cell r="CJ36">
            <v>2982</v>
          </cell>
          <cell r="CK36">
            <v>4888</v>
          </cell>
          <cell r="CL36">
            <v>4223.1002335303911</v>
          </cell>
          <cell r="CM36">
            <v>664.89976646960895</v>
          </cell>
        </row>
        <row r="37">
          <cell r="A37" t="str">
            <v>Interest and other income</v>
          </cell>
          <cell r="G37">
            <v>323</v>
          </cell>
          <cell r="L37">
            <v>113</v>
          </cell>
          <cell r="Q37">
            <v>1815</v>
          </cell>
          <cell r="V37">
            <v>2304</v>
          </cell>
          <cell r="AA37">
            <v>75</v>
          </cell>
          <cell r="AF37">
            <v>37</v>
          </cell>
          <cell r="AK37">
            <v>42</v>
          </cell>
          <cell r="AP37">
            <v>70</v>
          </cell>
          <cell r="AQ37">
            <v>32.536750000000005</v>
          </cell>
          <cell r="AR37">
            <v>32.536750000000005</v>
          </cell>
          <cell r="AS37">
            <v>32.536750000000005</v>
          </cell>
          <cell r="AT37">
            <v>32.536750000000005</v>
          </cell>
          <cell r="AU37">
            <v>130.14700000000002</v>
          </cell>
          <cell r="AV37">
            <v>57.696000000000005</v>
          </cell>
          <cell r="AW37">
            <v>57.696000000000005</v>
          </cell>
          <cell r="AX37">
            <v>57.696000000000005</v>
          </cell>
          <cell r="AY37">
            <v>57.696000000000005</v>
          </cell>
          <cell r="AZ37">
            <v>230.78400000000002</v>
          </cell>
          <cell r="BA37">
            <v>57.696000000000005</v>
          </cell>
          <cell r="BB37">
            <v>57.696000000000005</v>
          </cell>
          <cell r="BC37">
            <v>57.696000000000005</v>
          </cell>
          <cell r="BD37">
            <v>57.696000000000005</v>
          </cell>
          <cell r="BE37">
            <v>230.78400000000002</v>
          </cell>
          <cell r="BF37">
            <v>57.696000000000005</v>
          </cell>
          <cell r="BG37">
            <v>57.696000000000005</v>
          </cell>
          <cell r="BH37">
            <v>57.696000000000005</v>
          </cell>
          <cell r="BI37">
            <v>57.696000000000005</v>
          </cell>
          <cell r="BJ37">
            <v>230.78400000000002</v>
          </cell>
          <cell r="BK37">
            <v>57.696000000000005</v>
          </cell>
          <cell r="BL37">
            <v>57.696000000000005</v>
          </cell>
          <cell r="BM37">
            <v>57.696000000000005</v>
          </cell>
          <cell r="BN37">
            <v>57.696000000000005</v>
          </cell>
          <cell r="BO37">
            <v>230.78400000000002</v>
          </cell>
          <cell r="BP37">
            <v>57.696000000000005</v>
          </cell>
          <cell r="BQ37">
            <v>57.696000000000005</v>
          </cell>
          <cell r="BR37">
            <v>57.696000000000005</v>
          </cell>
          <cell r="BS37">
            <v>57.696000000000005</v>
          </cell>
          <cell r="BT37">
            <v>230.78400000000002</v>
          </cell>
          <cell r="BU37">
            <v>57.696000000000005</v>
          </cell>
          <cell r="BV37">
            <v>57.696000000000005</v>
          </cell>
          <cell r="BW37">
            <v>57.696000000000005</v>
          </cell>
          <cell r="BX37">
            <v>57.696000000000005</v>
          </cell>
          <cell r="BY37">
            <v>230.78400000000002</v>
          </cell>
          <cell r="BZ37">
            <v>57.696000000000005</v>
          </cell>
          <cell r="CA37">
            <v>57.696000000000005</v>
          </cell>
          <cell r="CB37">
            <v>57.696000000000005</v>
          </cell>
          <cell r="CC37">
            <v>57.696000000000005</v>
          </cell>
          <cell r="CD37">
            <v>230.78400000000002</v>
          </cell>
          <cell r="CG37" t="str">
            <v>4Q12</v>
          </cell>
          <cell r="CH37">
            <v>110.0775</v>
          </cell>
          <cell r="CI37">
            <v>3.39</v>
          </cell>
          <cell r="CJ37">
            <v>3414</v>
          </cell>
          <cell r="CK37">
            <v>4377</v>
          </cell>
          <cell r="CL37">
            <v>5070.3845582369249</v>
          </cell>
          <cell r="CM37">
            <v>-693.38455823692493</v>
          </cell>
        </row>
        <row r="38">
          <cell r="A38" t="str">
            <v>Total revenue and other income</v>
          </cell>
          <cell r="G38">
            <v>24818</v>
          </cell>
          <cell r="L38">
            <v>24973</v>
          </cell>
          <cell r="Q38">
            <v>24662</v>
          </cell>
          <cell r="V38">
            <v>33865</v>
          </cell>
          <cell r="AA38">
            <v>21963</v>
          </cell>
          <cell r="AF38">
            <v>22794</v>
          </cell>
          <cell r="AK38">
            <v>27832</v>
          </cell>
          <cell r="AP38">
            <v>28306</v>
          </cell>
          <cell r="AQ38">
            <v>7667.5889571020616</v>
          </cell>
          <cell r="AR38">
            <v>5678.5189420920806</v>
          </cell>
          <cell r="AS38">
            <v>5313.3547810199889</v>
          </cell>
          <cell r="AT38">
            <v>6797.3371466563967</v>
          </cell>
          <cell r="AU38">
            <v>25456.799826870527</v>
          </cell>
          <cell r="AV38">
            <v>6995.2454694043827</v>
          </cell>
          <cell r="AW38">
            <v>5765.3108027296967</v>
          </cell>
          <cell r="AX38">
            <v>5567.6779120390192</v>
          </cell>
          <cell r="AY38">
            <v>7282.853134869807</v>
          </cell>
          <cell r="AZ38">
            <v>25611.087319042905</v>
          </cell>
          <cell r="BA38">
            <v>7456.7500536219832</v>
          </cell>
          <cell r="BB38">
            <v>5792.1545838298416</v>
          </cell>
          <cell r="BC38">
            <v>5241.5126184244464</v>
          </cell>
          <cell r="BD38">
            <v>6578.9275500213316</v>
          </cell>
          <cell r="BE38">
            <v>25069.344805897606</v>
          </cell>
          <cell r="BF38">
            <v>6706.7163206545783</v>
          </cell>
          <cell r="BG38">
            <v>5440.1337965409821</v>
          </cell>
          <cell r="BH38">
            <v>5192.0672693606612</v>
          </cell>
          <cell r="BI38">
            <v>6657.3283460600951</v>
          </cell>
          <cell r="BJ38">
            <v>23996.245732616317</v>
          </cell>
          <cell r="BK38">
            <v>6956.9538789732242</v>
          </cell>
          <cell r="BL38">
            <v>5828.2904100302449</v>
          </cell>
          <cell r="BM38">
            <v>5639.3049184643523</v>
          </cell>
          <cell r="BN38">
            <v>7096.9500402779231</v>
          </cell>
          <cell r="BO38">
            <v>25521.499247745745</v>
          </cell>
          <cell r="BP38">
            <v>7290.3777799176141</v>
          </cell>
          <cell r="BQ38">
            <v>5947.1363404237381</v>
          </cell>
          <cell r="BR38">
            <v>5536.5552603132001</v>
          </cell>
          <cell r="BS38">
            <v>6777.6306141004607</v>
          </cell>
          <cell r="BT38">
            <v>25551.699994755014</v>
          </cell>
          <cell r="BU38">
            <v>7033.5579122069894</v>
          </cell>
          <cell r="BV38">
            <v>5848.8993465053918</v>
          </cell>
          <cell r="BW38">
            <v>5583.0485171933788</v>
          </cell>
          <cell r="BX38">
            <v>6938.3336315718834</v>
          </cell>
          <cell r="BY38">
            <v>25403.839407477644</v>
          </cell>
          <cell r="BZ38">
            <v>6929.7696148708628</v>
          </cell>
          <cell r="CA38">
            <v>5636.8564991756612</v>
          </cell>
          <cell r="CB38">
            <v>5211.9681373296316</v>
          </cell>
          <cell r="CC38">
            <v>6327.4587292700662</v>
          </cell>
          <cell r="CD38">
            <v>24106.052980646222</v>
          </cell>
          <cell r="CG38" t="str">
            <v>1Q13</v>
          </cell>
          <cell r="CH38">
            <v>112.57</v>
          </cell>
          <cell r="CI38">
            <v>3.45</v>
          </cell>
          <cell r="CJ38">
            <v>3559.2949773160167</v>
          </cell>
          <cell r="CK38">
            <v>5648</v>
          </cell>
          <cell r="CL38">
            <v>5434.0709960039449</v>
          </cell>
          <cell r="CM38">
            <v>213.92900399605514</v>
          </cell>
        </row>
        <row r="39">
          <cell r="CG39" t="str">
            <v>2Q13</v>
          </cell>
          <cell r="CH39">
            <v>102.43</v>
          </cell>
          <cell r="CI39">
            <v>4.01</v>
          </cell>
          <cell r="CJ39">
            <v>3062.7567356340746</v>
          </cell>
          <cell r="CK39">
            <v>3526</v>
          </cell>
          <cell r="CL39">
            <v>4335.1841540618489</v>
          </cell>
          <cell r="CM39">
            <v>-809.18415406184886</v>
          </cell>
        </row>
        <row r="40">
          <cell r="A40" t="str">
            <v>Purchases</v>
          </cell>
          <cell r="G40">
            <v>-7678</v>
          </cell>
          <cell r="L40">
            <v>-4572</v>
          </cell>
          <cell r="Q40">
            <v>-4725</v>
          </cell>
          <cell r="V40">
            <v>-7164</v>
          </cell>
          <cell r="AA40">
            <v>-7341</v>
          </cell>
          <cell r="AF40">
            <v>-7379</v>
          </cell>
          <cell r="AK40">
            <v>-9687</v>
          </cell>
          <cell r="AP40">
            <v>-10689</v>
          </cell>
          <cell r="AQ40">
            <v>-2088</v>
          </cell>
          <cell r="AR40">
            <v>-2088</v>
          </cell>
          <cell r="AS40">
            <v>-2088</v>
          </cell>
          <cell r="AT40">
            <v>-2088</v>
          </cell>
          <cell r="AU40">
            <v>-8352</v>
          </cell>
          <cell r="AV40">
            <v>-2088</v>
          </cell>
          <cell r="AW40">
            <v>-2088</v>
          </cell>
          <cell r="AX40">
            <v>-2088</v>
          </cell>
          <cell r="AY40">
            <v>-2088</v>
          </cell>
          <cell r="AZ40">
            <v>-8352</v>
          </cell>
          <cell r="BA40">
            <v>-2088</v>
          </cell>
          <cell r="BB40">
            <v>-2088</v>
          </cell>
          <cell r="BC40">
            <v>-2088</v>
          </cell>
          <cell r="BD40">
            <v>-2088</v>
          </cell>
          <cell r="BE40">
            <v>-8352</v>
          </cell>
          <cell r="BF40">
            <v>-2088</v>
          </cell>
          <cell r="BG40">
            <v>-2088</v>
          </cell>
          <cell r="BH40">
            <v>-2088</v>
          </cell>
          <cell r="BI40">
            <v>-2088</v>
          </cell>
          <cell r="BJ40">
            <v>-8352</v>
          </cell>
          <cell r="BK40">
            <v>-2088</v>
          </cell>
          <cell r="BL40">
            <v>-2088</v>
          </cell>
          <cell r="BM40">
            <v>-2088</v>
          </cell>
          <cell r="BN40">
            <v>-2088</v>
          </cell>
          <cell r="BO40">
            <v>-8352</v>
          </cell>
          <cell r="BP40">
            <v>-2088</v>
          </cell>
          <cell r="BQ40">
            <v>-2088</v>
          </cell>
          <cell r="BR40">
            <v>-2088</v>
          </cell>
          <cell r="BS40">
            <v>-2088</v>
          </cell>
          <cell r="BT40">
            <v>-8352</v>
          </cell>
          <cell r="BU40">
            <v>-2088</v>
          </cell>
          <cell r="BV40">
            <v>-2088</v>
          </cell>
          <cell r="BW40">
            <v>-2088</v>
          </cell>
          <cell r="BX40">
            <v>-2088</v>
          </cell>
          <cell r="BY40">
            <v>-8352</v>
          </cell>
          <cell r="BZ40">
            <v>-2088</v>
          </cell>
          <cell r="CA40">
            <v>-2088</v>
          </cell>
          <cell r="CB40">
            <v>-2088</v>
          </cell>
          <cell r="CC40">
            <v>-2088</v>
          </cell>
          <cell r="CD40">
            <v>-8352</v>
          </cell>
          <cell r="CG40" t="str">
            <v>3Q13</v>
          </cell>
          <cell r="CH40">
            <v>110.29199999999997</v>
          </cell>
          <cell r="CI40">
            <v>3.5166666666666671</v>
          </cell>
          <cell r="CJ40">
            <v>2930.0115974004088</v>
          </cell>
          <cell r="CK40">
            <v>3466</v>
          </cell>
          <cell r="CL40">
            <v>4369.8741997348479</v>
          </cell>
          <cell r="CM40">
            <v>-903.87419973484793</v>
          </cell>
        </row>
        <row r="41">
          <cell r="A41" t="str">
            <v>Production and manufacturing expenses</v>
          </cell>
          <cell r="G41">
            <v>-2027</v>
          </cell>
          <cell r="L41">
            <v>-2800</v>
          </cell>
          <cell r="Q41">
            <v>-3257</v>
          </cell>
          <cell r="V41">
            <v>-3131</v>
          </cell>
          <cell r="AA41">
            <v>-3229</v>
          </cell>
          <cell r="AF41">
            <v>-2981</v>
          </cell>
          <cell r="AK41">
            <v>-2775</v>
          </cell>
          <cell r="AP41">
            <v>-2555</v>
          </cell>
          <cell r="AQ41">
            <v>-1103.7630479721047</v>
          </cell>
          <cell r="AR41">
            <v>-773.0895716857782</v>
          </cell>
          <cell r="AS41">
            <v>-838.94931274998748</v>
          </cell>
          <cell r="AT41">
            <v>-1540.2035183167122</v>
          </cell>
          <cell r="AU41">
            <v>-4256.0054507245823</v>
          </cell>
          <cell r="AV41">
            <v>-1443.1156569812076</v>
          </cell>
          <cell r="AW41">
            <v>-803.18183412447843</v>
          </cell>
          <cell r="AX41">
            <v>-717.72370580825964</v>
          </cell>
          <cell r="AY41">
            <v>-1149.2009115627961</v>
          </cell>
          <cell r="AZ41">
            <v>-4113.2221084767425</v>
          </cell>
          <cell r="BA41">
            <v>-1191.0026218580679</v>
          </cell>
          <cell r="BB41">
            <v>-755.14612520965272</v>
          </cell>
          <cell r="BC41">
            <v>-622.72348469923134</v>
          </cell>
          <cell r="BD41">
            <v>-1025.7994234040052</v>
          </cell>
          <cell r="BE41">
            <v>-3594.6716551709574</v>
          </cell>
          <cell r="BF41">
            <v>-1049.3344233122803</v>
          </cell>
          <cell r="BG41">
            <v>-665.92787613178677</v>
          </cell>
          <cell r="BH41">
            <v>-576.23205762717896</v>
          </cell>
          <cell r="BI41">
            <v>-1003.6049796267614</v>
          </cell>
          <cell r="BJ41">
            <v>-3295.0993366980074</v>
          </cell>
          <cell r="BK41">
            <v>-1108.4717885223934</v>
          </cell>
          <cell r="BL41">
            <v>-731.82803266259043</v>
          </cell>
          <cell r="BM41">
            <v>-646.57749227352042</v>
          </cell>
          <cell r="BN41">
            <v>-1073.4285315079896</v>
          </cell>
          <cell r="BO41">
            <v>-3560.3058449664941</v>
          </cell>
          <cell r="BP41">
            <v>-1174.7127071018349</v>
          </cell>
          <cell r="BQ41">
            <v>-754.10220314301205</v>
          </cell>
          <cell r="BR41">
            <v>-628.34952827965014</v>
          </cell>
          <cell r="BS41">
            <v>-1022.1499139042926</v>
          </cell>
          <cell r="BT41">
            <v>-3579.3143524287898</v>
          </cell>
          <cell r="BU41">
            <v>-1123.8724117190418</v>
          </cell>
          <cell r="BV41">
            <v>-731.27764162640108</v>
          </cell>
          <cell r="BW41">
            <v>-630.90901779006117</v>
          </cell>
          <cell r="BX41">
            <v>-1044.7027304680571</v>
          </cell>
          <cell r="BY41">
            <v>-3530.7618016035613</v>
          </cell>
          <cell r="BZ41">
            <v>-1087.7097691035558</v>
          </cell>
          <cell r="CA41">
            <v>-681.65976787655734</v>
          </cell>
          <cell r="CB41">
            <v>-555.44968906599638</v>
          </cell>
          <cell r="CC41">
            <v>-923.00777581268892</v>
          </cell>
          <cell r="CD41">
            <v>-3247.8270018587982</v>
          </cell>
          <cell r="CG41" t="str">
            <v>4Q13</v>
          </cell>
        </row>
        <row r="42">
          <cell r="A42" t="str">
            <v>Taxes other than income taxes</v>
          </cell>
          <cell r="G42">
            <v>-276</v>
          </cell>
          <cell r="L42">
            <v>-345</v>
          </cell>
          <cell r="Q42">
            <v>-401</v>
          </cell>
          <cell r="V42">
            <v>-502</v>
          </cell>
          <cell r="AA42">
            <v>-322</v>
          </cell>
          <cell r="AF42">
            <v>-303</v>
          </cell>
          <cell r="AK42">
            <v>-390</v>
          </cell>
          <cell r="AP42">
            <v>-350</v>
          </cell>
          <cell r="AQ42">
            <v>-96.11149377240001</v>
          </cell>
          <cell r="AR42">
            <v>-57.495785701535986</v>
          </cell>
          <cell r="AS42">
            <v>-51.032752164959994</v>
          </cell>
          <cell r="AT42">
            <v>-81.122409257472015</v>
          </cell>
          <cell r="AU42">
            <v>-285.76244089636799</v>
          </cell>
          <cell r="AV42">
            <v>-84.610632400543935</v>
          </cell>
          <cell r="AW42">
            <v>-59.850672352219163</v>
          </cell>
          <cell r="AX42">
            <v>-55.714633986414846</v>
          </cell>
          <cell r="AY42">
            <v>-89.885777599783452</v>
          </cell>
          <cell r="AZ42">
            <v>-290.06171633896139</v>
          </cell>
          <cell r="BA42">
            <v>-93.64454575061005</v>
          </cell>
          <cell r="BB42">
            <v>-60.48352356549038</v>
          </cell>
          <cell r="BC42">
            <v>-49.60242611107342</v>
          </cell>
          <cell r="BD42">
            <v>-76.421376077011516</v>
          </cell>
          <cell r="BE42">
            <v>-280.15187150418535</v>
          </cell>
          <cell r="BF42">
            <v>-79.142929242613405</v>
          </cell>
          <cell r="BG42">
            <v>-53.844354937115732</v>
          </cell>
          <cell r="BH42">
            <v>-48.919303926432171</v>
          </cell>
          <cell r="BI42">
            <v>-78.19917031576945</v>
          </cell>
          <cell r="BJ42">
            <v>-260.10575842193077</v>
          </cell>
          <cell r="BK42">
            <v>-84.388049536282978</v>
          </cell>
          <cell r="BL42">
            <v>-61.773441481319743</v>
          </cell>
          <cell r="BM42">
            <v>-57.940803504284681</v>
          </cell>
          <cell r="BN42">
            <v>-87.093323583727539</v>
          </cell>
          <cell r="BO42">
            <v>-291.19561810561493</v>
          </cell>
          <cell r="BP42">
            <v>-91.099325527486016</v>
          </cell>
          <cell r="BQ42">
            <v>-64.148674371402663</v>
          </cell>
          <cell r="BR42">
            <v>-55.850241641838259</v>
          </cell>
          <cell r="BS42">
            <v>-80.637149191972341</v>
          </cell>
          <cell r="BT42">
            <v>-291.73539073269927</v>
          </cell>
          <cell r="BU42">
            <v>-85.913190199911867</v>
          </cell>
          <cell r="BV42">
            <v>-62.151471092128354</v>
          </cell>
          <cell r="BW42">
            <v>-56.765506127357888</v>
          </cell>
          <cell r="BX42">
            <v>-83.855026586050244</v>
          </cell>
          <cell r="BY42">
            <v>-288.68519400544835</v>
          </cell>
          <cell r="BZ42">
            <v>-83.829308459373422</v>
          </cell>
          <cell r="CA42">
            <v>-57.890250035636321</v>
          </cell>
          <cell r="CB42">
            <v>-49.310888236446367</v>
          </cell>
          <cell r="CC42">
            <v>-71.591963984266485</v>
          </cell>
          <cell r="CD42">
            <v>-262.62241071572259</v>
          </cell>
          <cell r="CH42">
            <v>109.24</v>
          </cell>
          <cell r="CI42">
            <v>3.84</v>
          </cell>
          <cell r="CJ42">
            <v>3250.1285281322598</v>
          </cell>
          <cell r="CK42">
            <v>2477</v>
          </cell>
          <cell r="CL42">
            <v>4907.5329565158854</v>
          </cell>
          <cell r="CM42">
            <v>-2430.5329565158854</v>
          </cell>
          <cell r="CN42" t="str">
            <v>Not used</v>
          </cell>
        </row>
        <row r="43">
          <cell r="A43" t="str">
            <v>Selling, distribution and admin expenses</v>
          </cell>
          <cell r="G43">
            <v>-971</v>
          </cell>
          <cell r="L43">
            <v>-1299</v>
          </cell>
          <cell r="Q43">
            <v>-1242</v>
          </cell>
          <cell r="V43">
            <v>-1431</v>
          </cell>
          <cell r="AA43">
            <v>-1555</v>
          </cell>
          <cell r="AF43">
            <v>-989</v>
          </cell>
          <cell r="AK43">
            <v>-1010</v>
          </cell>
          <cell r="AP43">
            <v>-842</v>
          </cell>
          <cell r="AQ43">
            <v>-192</v>
          </cell>
          <cell r="AR43">
            <v>-192</v>
          </cell>
          <cell r="AS43">
            <v>-192</v>
          </cell>
          <cell r="AT43">
            <v>-192</v>
          </cell>
          <cell r="AU43">
            <v>-768</v>
          </cell>
          <cell r="AV43">
            <v>-192</v>
          </cell>
          <cell r="AW43">
            <v>-192</v>
          </cell>
          <cell r="AX43">
            <v>-192</v>
          </cell>
          <cell r="AY43">
            <v>-192</v>
          </cell>
          <cell r="AZ43">
            <v>-768</v>
          </cell>
          <cell r="BA43">
            <v>-192</v>
          </cell>
          <cell r="BB43">
            <v>-192</v>
          </cell>
          <cell r="BC43">
            <v>-192</v>
          </cell>
          <cell r="BD43">
            <v>-192</v>
          </cell>
          <cell r="BE43">
            <v>-768</v>
          </cell>
          <cell r="BF43">
            <v>-192</v>
          </cell>
          <cell r="BG43">
            <v>-192</v>
          </cell>
          <cell r="BH43">
            <v>-192</v>
          </cell>
          <cell r="BI43">
            <v>-192</v>
          </cell>
          <cell r="BJ43">
            <v>-768</v>
          </cell>
          <cell r="BK43">
            <v>-192</v>
          </cell>
          <cell r="BL43">
            <v>-192</v>
          </cell>
          <cell r="BM43">
            <v>-192</v>
          </cell>
          <cell r="BN43">
            <v>-192</v>
          </cell>
          <cell r="BO43">
            <v>-768</v>
          </cell>
          <cell r="BP43">
            <v>-192</v>
          </cell>
          <cell r="BQ43">
            <v>-192</v>
          </cell>
          <cell r="BR43">
            <v>-192</v>
          </cell>
          <cell r="BS43">
            <v>-192</v>
          </cell>
          <cell r="BT43">
            <v>-768</v>
          </cell>
          <cell r="BU43">
            <v>-192</v>
          </cell>
          <cell r="BV43">
            <v>-192</v>
          </cell>
          <cell r="BW43">
            <v>-192</v>
          </cell>
          <cell r="BX43">
            <v>-192</v>
          </cell>
          <cell r="BY43">
            <v>-768</v>
          </cell>
          <cell r="BZ43">
            <v>-192</v>
          </cell>
          <cell r="CA43">
            <v>-192</v>
          </cell>
          <cell r="CB43">
            <v>-192</v>
          </cell>
          <cell r="CC43">
            <v>-192</v>
          </cell>
          <cell r="CD43">
            <v>-768</v>
          </cell>
        </row>
        <row r="44">
          <cell r="A44" t="str">
            <v>Research and development</v>
          </cell>
          <cell r="G44">
            <v>-232</v>
          </cell>
          <cell r="L44">
            <v>-281</v>
          </cell>
          <cell r="Q44">
            <v>-439</v>
          </cell>
          <cell r="V44">
            <v>-481</v>
          </cell>
          <cell r="AA44">
            <v>-415</v>
          </cell>
          <cell r="AF44">
            <v>-416</v>
          </cell>
          <cell r="AK44">
            <v>-505</v>
          </cell>
          <cell r="AP44">
            <v>-595</v>
          </cell>
          <cell r="AQ44">
            <v>-120.00000000000011</v>
          </cell>
          <cell r="AR44">
            <v>-120.00000000000011</v>
          </cell>
          <cell r="AS44">
            <v>-120.00000000000011</v>
          </cell>
          <cell r="AT44">
            <v>-120.00000000000011</v>
          </cell>
          <cell r="AU44">
            <v>-480.00000000000045</v>
          </cell>
          <cell r="AV44">
            <v>-120.00000000000011</v>
          </cell>
          <cell r="AW44">
            <v>-120.00000000000011</v>
          </cell>
          <cell r="AX44">
            <v>-120.00000000000011</v>
          </cell>
          <cell r="AY44">
            <v>-120.00000000000011</v>
          </cell>
          <cell r="AZ44">
            <v>-480.00000000000045</v>
          </cell>
          <cell r="BA44">
            <v>-120.00000000000011</v>
          </cell>
          <cell r="BB44">
            <v>-120.00000000000011</v>
          </cell>
          <cell r="BC44">
            <v>-120.00000000000011</v>
          </cell>
          <cell r="BD44">
            <v>-120.00000000000011</v>
          </cell>
          <cell r="BE44">
            <v>-480.00000000000045</v>
          </cell>
          <cell r="BF44">
            <v>-120.00000000000011</v>
          </cell>
          <cell r="BG44">
            <v>-120.00000000000011</v>
          </cell>
          <cell r="BH44">
            <v>-120.00000000000011</v>
          </cell>
          <cell r="BI44">
            <v>-120.00000000000011</v>
          </cell>
          <cell r="BJ44">
            <v>-480.00000000000045</v>
          </cell>
          <cell r="BK44">
            <v>-120.00000000000011</v>
          </cell>
          <cell r="BL44">
            <v>-120.00000000000011</v>
          </cell>
          <cell r="BM44">
            <v>-120.00000000000011</v>
          </cell>
          <cell r="BN44">
            <v>-120.00000000000011</v>
          </cell>
          <cell r="BO44">
            <v>-480.00000000000045</v>
          </cell>
          <cell r="BP44">
            <v>-120.00000000000011</v>
          </cell>
          <cell r="BQ44">
            <v>-120.00000000000011</v>
          </cell>
          <cell r="BR44">
            <v>-120.00000000000011</v>
          </cell>
          <cell r="BS44">
            <v>-120.00000000000011</v>
          </cell>
          <cell r="BT44">
            <v>-480.00000000000045</v>
          </cell>
          <cell r="BU44">
            <v>-120.00000000000011</v>
          </cell>
          <cell r="BV44">
            <v>-120.00000000000011</v>
          </cell>
          <cell r="BW44">
            <v>-120.00000000000011</v>
          </cell>
          <cell r="BX44">
            <v>-120.00000000000011</v>
          </cell>
          <cell r="BY44">
            <v>-480.00000000000045</v>
          </cell>
          <cell r="BZ44">
            <v>-120.00000000000011</v>
          </cell>
          <cell r="CA44">
            <v>-120.00000000000011</v>
          </cell>
          <cell r="CB44">
            <v>-120.00000000000011</v>
          </cell>
          <cell r="CC44">
            <v>-120.00000000000011</v>
          </cell>
          <cell r="CD44">
            <v>-480.00000000000045</v>
          </cell>
        </row>
        <row r="45">
          <cell r="A45" t="str">
            <v>Exploration</v>
          </cell>
          <cell r="G45">
            <v>-172</v>
          </cell>
          <cell r="L45">
            <v>-214</v>
          </cell>
          <cell r="Q45">
            <v>-178</v>
          </cell>
          <cell r="V45">
            <v>-416</v>
          </cell>
          <cell r="AA45">
            <v>-273</v>
          </cell>
          <cell r="AF45">
            <v>-335</v>
          </cell>
          <cell r="AK45">
            <v>-313</v>
          </cell>
          <cell r="AP45">
            <v>-370</v>
          </cell>
          <cell r="AQ45">
            <v>-110.16000000000001</v>
          </cell>
          <cell r="AR45">
            <v>-208.76000000000002</v>
          </cell>
          <cell r="AS45">
            <v>-278.12</v>
          </cell>
          <cell r="AT45">
            <v>-300.22000000000003</v>
          </cell>
          <cell r="AU45">
            <v>-897.26</v>
          </cell>
          <cell r="AV45">
            <v>-157.52370000000002</v>
          </cell>
          <cell r="AW45">
            <v>-157.52370000000002</v>
          </cell>
          <cell r="AX45">
            <v>-157.52370000000002</v>
          </cell>
          <cell r="AY45">
            <v>-157.52370000000002</v>
          </cell>
          <cell r="AZ45">
            <v>-630.09480000000008</v>
          </cell>
          <cell r="BA45">
            <v>-134.46150000000003</v>
          </cell>
          <cell r="BB45">
            <v>-134.46150000000003</v>
          </cell>
          <cell r="BC45">
            <v>-134.46150000000003</v>
          </cell>
          <cell r="BD45">
            <v>-134.46149999999997</v>
          </cell>
          <cell r="BE45">
            <v>-537.84600000000012</v>
          </cell>
          <cell r="BF45">
            <v>-106.65658333333334</v>
          </cell>
          <cell r="BG45">
            <v>-106.65658333333334</v>
          </cell>
          <cell r="BH45">
            <v>-106.65658333333334</v>
          </cell>
          <cell r="BI45">
            <v>-106.65658333333334</v>
          </cell>
          <cell r="BJ45">
            <v>-426.62633333333338</v>
          </cell>
          <cell r="BK45">
            <v>-106.11683333333335</v>
          </cell>
          <cell r="BL45">
            <v>-106.11683333333335</v>
          </cell>
          <cell r="BM45">
            <v>-106.11683333333335</v>
          </cell>
          <cell r="BN45">
            <v>-106.11683333333335</v>
          </cell>
          <cell r="BO45">
            <v>-424.46733333333339</v>
          </cell>
          <cell r="BP45">
            <v>-104.57656250000001</v>
          </cell>
          <cell r="BQ45">
            <v>-104.57656250000001</v>
          </cell>
          <cell r="BR45">
            <v>-104.57656250000001</v>
          </cell>
          <cell r="BS45">
            <v>-104.57656250000001</v>
          </cell>
          <cell r="BT45">
            <v>-418.30625000000003</v>
          </cell>
          <cell r="BU45">
            <v>-105.028125</v>
          </cell>
          <cell r="BV45">
            <v>-105.028125</v>
          </cell>
          <cell r="BW45">
            <v>-105.028125</v>
          </cell>
          <cell r="BX45">
            <v>-105.028125</v>
          </cell>
          <cell r="BY45">
            <v>-420.11250000000001</v>
          </cell>
          <cell r="BZ45">
            <v>-105.028125</v>
          </cell>
          <cell r="CA45">
            <v>-105.028125</v>
          </cell>
          <cell r="CB45">
            <v>-105.028125</v>
          </cell>
          <cell r="CC45">
            <v>-105.028125</v>
          </cell>
          <cell r="CD45">
            <v>-420.11250000000001</v>
          </cell>
        </row>
        <row r="46">
          <cell r="A46" t="str">
            <v>DD&amp;A</v>
          </cell>
          <cell r="G46">
            <v>-3779</v>
          </cell>
          <cell r="L46">
            <v>-3260</v>
          </cell>
          <cell r="Q46">
            <v>-3319</v>
          </cell>
          <cell r="V46">
            <v>-3114</v>
          </cell>
          <cell r="AA46">
            <v>-2745</v>
          </cell>
          <cell r="AF46">
            <v>-2732</v>
          </cell>
          <cell r="AK46">
            <v>-1519</v>
          </cell>
          <cell r="AP46">
            <v>-1583</v>
          </cell>
          <cell r="AQ46">
            <v>-858.0635736607926</v>
          </cell>
          <cell r="AR46">
            <v>-504.58586022576702</v>
          </cell>
          <cell r="AS46">
            <v>-424.72001159817916</v>
          </cell>
          <cell r="AT46">
            <v>-764.06564468046065</v>
          </cell>
          <cell r="AU46">
            <v>-2551.4350901651992</v>
          </cell>
          <cell r="AV46">
            <v>-636.87366973903272</v>
          </cell>
          <cell r="AW46">
            <v>-392.37335617359872</v>
          </cell>
          <cell r="AX46">
            <v>-335.11766250709621</v>
          </cell>
          <cell r="AY46">
            <v>-624.20106748580827</v>
          </cell>
          <cell r="AZ46">
            <v>-1988.5657559055358</v>
          </cell>
          <cell r="BA46">
            <v>-738.55736875110733</v>
          </cell>
          <cell r="BB46">
            <v>-431.42486195317616</v>
          </cell>
          <cell r="BC46">
            <v>-338.11135659185862</v>
          </cell>
          <cell r="BD46">
            <v>-622.1445749476427</v>
          </cell>
          <cell r="BE46">
            <v>-2130.2381622437847</v>
          </cell>
          <cell r="BF46">
            <v>-704.89965719619534</v>
          </cell>
          <cell r="BG46">
            <v>-422.23202780366802</v>
          </cell>
          <cell r="BH46">
            <v>-356.10351599402463</v>
          </cell>
          <cell r="BI46">
            <v>-671.18548738067705</v>
          </cell>
          <cell r="BJ46">
            <v>-2154.4206883745651</v>
          </cell>
          <cell r="BK46">
            <v>-779.33775654381509</v>
          </cell>
          <cell r="BL46">
            <v>-490.13831214880707</v>
          </cell>
          <cell r="BM46">
            <v>-424.68014768617815</v>
          </cell>
          <cell r="BN46">
            <v>-752.43039301877275</v>
          </cell>
          <cell r="BO46">
            <v>-2446.5866093975728</v>
          </cell>
          <cell r="BP46">
            <v>-860.98974886825738</v>
          </cell>
          <cell r="BQ46">
            <v>-525.98088810399327</v>
          </cell>
          <cell r="BR46">
            <v>-425.82109668766174</v>
          </cell>
          <cell r="BS46">
            <v>-739.47617024130466</v>
          </cell>
          <cell r="BT46">
            <v>-2552.2679039012173</v>
          </cell>
          <cell r="BU46">
            <v>-847.93125913577899</v>
          </cell>
          <cell r="BV46">
            <v>-524.71676473535649</v>
          </cell>
          <cell r="BW46">
            <v>-442.08552133067798</v>
          </cell>
          <cell r="BX46">
            <v>-782.75263107779074</v>
          </cell>
          <cell r="BY46">
            <v>-2597.4861762796045</v>
          </cell>
          <cell r="BZ46">
            <v>-842.86627578689331</v>
          </cell>
          <cell r="CA46">
            <v>-498.41731623057757</v>
          </cell>
          <cell r="CB46">
            <v>-391.35431856907724</v>
          </cell>
          <cell r="CC46">
            <v>-703.15089577344713</v>
          </cell>
          <cell r="CD46">
            <v>-2435.7888063599953</v>
          </cell>
        </row>
        <row r="47">
          <cell r="A47" t="str">
            <v>Interest expense</v>
          </cell>
          <cell r="G47">
            <v>-189</v>
          </cell>
          <cell r="L47">
            <v>-221</v>
          </cell>
          <cell r="Q47">
            <v>-300</v>
          </cell>
          <cell r="V47">
            <v>-348</v>
          </cell>
          <cell r="AA47">
            <v>-338</v>
          </cell>
          <cell r="AF47">
            <v>-344</v>
          </cell>
          <cell r="AK47">
            <v>-356</v>
          </cell>
          <cell r="AP47">
            <v>-311</v>
          </cell>
          <cell r="AQ47">
            <v>-146.52397500000001</v>
          </cell>
          <cell r="AR47">
            <v>-146.52397500000001</v>
          </cell>
          <cell r="AS47">
            <v>-146.52397500000001</v>
          </cell>
          <cell r="AT47">
            <v>-146.52397500000001</v>
          </cell>
          <cell r="AU47">
            <v>-586.09590000000003</v>
          </cell>
          <cell r="AV47">
            <v>-192.01361955477546</v>
          </cell>
          <cell r="AW47">
            <v>-192.01361955477546</v>
          </cell>
          <cell r="AX47">
            <v>-192.01361955477546</v>
          </cell>
          <cell r="AY47">
            <v>-192.01361955477546</v>
          </cell>
          <cell r="AZ47">
            <v>-768.05447821910184</v>
          </cell>
          <cell r="BA47">
            <v>-177.50379835076092</v>
          </cell>
          <cell r="BB47">
            <v>-177.50379835076092</v>
          </cell>
          <cell r="BC47">
            <v>-177.50379835076092</v>
          </cell>
          <cell r="BD47">
            <v>-177.50379835076092</v>
          </cell>
          <cell r="BE47">
            <v>-710.01519340304367</v>
          </cell>
          <cell r="BF47">
            <v>-167.33758150964971</v>
          </cell>
          <cell r="BG47">
            <v>-167.33758150964971</v>
          </cell>
          <cell r="BH47">
            <v>-167.33758150964971</v>
          </cell>
          <cell r="BI47">
            <v>-167.33758150964971</v>
          </cell>
          <cell r="BJ47">
            <v>-669.35032603859884</v>
          </cell>
          <cell r="BK47">
            <v>-166.75780901143088</v>
          </cell>
          <cell r="BL47">
            <v>-166.75780901143088</v>
          </cell>
          <cell r="BM47">
            <v>-166.75780901143088</v>
          </cell>
          <cell r="BN47">
            <v>-166.75780901143088</v>
          </cell>
          <cell r="BO47">
            <v>-667.03123604572352</v>
          </cell>
          <cell r="BP47">
            <v>-159.79484193088396</v>
          </cell>
          <cell r="BQ47">
            <v>-159.79484193088396</v>
          </cell>
          <cell r="BR47">
            <v>-159.79484193088396</v>
          </cell>
          <cell r="BS47">
            <v>-159.79484193088396</v>
          </cell>
          <cell r="BT47">
            <v>-639.17936772353585</v>
          </cell>
          <cell r="BU47">
            <v>-149.51600485007549</v>
          </cell>
          <cell r="BV47">
            <v>-149.51600485007549</v>
          </cell>
          <cell r="BW47">
            <v>-149.51600485007549</v>
          </cell>
          <cell r="BX47">
            <v>-149.51600485007549</v>
          </cell>
          <cell r="BY47">
            <v>-598.06401940030196</v>
          </cell>
          <cell r="BZ47">
            <v>-137.53867179169464</v>
          </cell>
          <cell r="CA47">
            <v>-137.53867179169464</v>
          </cell>
          <cell r="CB47">
            <v>-137.53867179169464</v>
          </cell>
          <cell r="CC47">
            <v>-137.53867179169464</v>
          </cell>
          <cell r="CD47">
            <v>-550.15468716677856</v>
          </cell>
        </row>
        <row r="48">
          <cell r="A48" t="str">
            <v>Earnings before taxation</v>
          </cell>
          <cell r="G48">
            <v>9494</v>
          </cell>
          <cell r="L48">
            <v>11981</v>
          </cell>
          <cell r="Q48">
            <v>10801</v>
          </cell>
          <cell r="V48">
            <v>17278</v>
          </cell>
          <cell r="AA48">
            <v>5745</v>
          </cell>
          <cell r="AF48">
            <v>7315</v>
          </cell>
          <cell r="AK48">
            <v>11277</v>
          </cell>
          <cell r="AP48">
            <v>11011</v>
          </cell>
          <cell r="AQ48">
            <v>2952.9668666967646</v>
          </cell>
          <cell r="AR48">
            <v>1588.0637494789992</v>
          </cell>
          <cell r="AS48">
            <v>1174.0087295068624</v>
          </cell>
          <cell r="AT48">
            <v>1565.201599401752</v>
          </cell>
          <cell r="AU48">
            <v>7280.0962759709628</v>
          </cell>
          <cell r="AV48">
            <v>2081.1081907288226</v>
          </cell>
          <cell r="AW48">
            <v>1760.3676205246247</v>
          </cell>
          <cell r="AX48">
            <v>1709.584590182473</v>
          </cell>
          <cell r="AY48">
            <v>2670.0280586666431</v>
          </cell>
          <cell r="AZ48">
            <v>8221.0884601025646</v>
          </cell>
          <cell r="BA48">
            <v>2721.580218911437</v>
          </cell>
          <cell r="BB48">
            <v>1833.1347747507614</v>
          </cell>
          <cell r="BC48">
            <v>1519.110052671522</v>
          </cell>
          <cell r="BD48">
            <v>2142.596877241911</v>
          </cell>
          <cell r="BE48">
            <v>8216.4219235756318</v>
          </cell>
          <cell r="BF48">
            <v>2199.3451460605065</v>
          </cell>
          <cell r="BG48">
            <v>1624.1353728254282</v>
          </cell>
          <cell r="BH48">
            <v>1536.8182269700419</v>
          </cell>
          <cell r="BI48">
            <v>2230.3445438939038</v>
          </cell>
          <cell r="BJ48">
            <v>7590.6432897498808</v>
          </cell>
          <cell r="BK48">
            <v>2311.8816420259686</v>
          </cell>
          <cell r="BL48">
            <v>1871.6759813927631</v>
          </cell>
          <cell r="BM48">
            <v>1837.2318326556046</v>
          </cell>
          <cell r="BN48">
            <v>2511.1231498226693</v>
          </cell>
          <cell r="BO48">
            <v>8531.9126058970069</v>
          </cell>
          <cell r="BP48">
            <v>2499.2045939891518</v>
          </cell>
          <cell r="BQ48">
            <v>1938.5331703744462</v>
          </cell>
          <cell r="BR48">
            <v>1762.162989273166</v>
          </cell>
          <cell r="BS48">
            <v>2270.9959763320071</v>
          </cell>
          <cell r="BT48">
            <v>8470.8967299687702</v>
          </cell>
          <cell r="BU48">
            <v>2321.2969213021815</v>
          </cell>
          <cell r="BV48">
            <v>1876.2093392014308</v>
          </cell>
          <cell r="BW48">
            <v>1798.7443420952063</v>
          </cell>
          <cell r="BX48">
            <v>2372.47911358991</v>
          </cell>
          <cell r="BY48">
            <v>8368.7297161887291</v>
          </cell>
          <cell r="BZ48">
            <v>2272.7974647293458</v>
          </cell>
          <cell r="CA48">
            <v>1756.3223682411954</v>
          </cell>
          <cell r="CB48">
            <v>1573.2864446664169</v>
          </cell>
          <cell r="CC48">
            <v>1987.141296907969</v>
          </cell>
          <cell r="CD48">
            <v>7589.5475745449276</v>
          </cell>
        </row>
        <row r="50">
          <cell r="A50" t="str">
            <v>Taxation</v>
          </cell>
          <cell r="G50">
            <v>-3801</v>
          </cell>
          <cell r="L50">
            <v>-6529</v>
          </cell>
          <cell r="Q50">
            <v>-4982</v>
          </cell>
          <cell r="V50">
            <v>-8469</v>
          </cell>
          <cell r="AA50">
            <v>-2989</v>
          </cell>
          <cell r="AF50">
            <v>-2987</v>
          </cell>
          <cell r="AK50">
            <v>-6196</v>
          </cell>
          <cell r="AP50">
            <v>-6443</v>
          </cell>
          <cell r="AQ50">
            <v>-1637.8642438395573</v>
          </cell>
          <cell r="AR50">
            <v>-805.06221510141665</v>
          </cell>
          <cell r="AS50">
            <v>-609.13456687766779</v>
          </cell>
          <cell r="AT50">
            <v>-976.0352501523214</v>
          </cell>
          <cell r="AU50">
            <v>-4028.0962759709628</v>
          </cell>
          <cell r="AV50">
            <v>-1254.9540077449963</v>
          </cell>
          <cell r="AW50">
            <v>-958.73146888025838</v>
          </cell>
          <cell r="AX50">
            <v>-919.7626312181601</v>
          </cell>
          <cell r="AY50">
            <v>-1539.7491583273381</v>
          </cell>
          <cell r="AZ50">
            <v>-4673.1972661707532</v>
          </cell>
          <cell r="BA50">
            <v>-1555.5320838381999</v>
          </cell>
          <cell r="BB50">
            <v>-982.29637948226332</v>
          </cell>
          <cell r="BC50">
            <v>-782.46192037571348</v>
          </cell>
          <cell r="BD50">
            <v>-1190.0245247014793</v>
          </cell>
          <cell r="BE50">
            <v>-4510.3149083976559</v>
          </cell>
          <cell r="BF50">
            <v>-1214.2488113516836</v>
          </cell>
          <cell r="BG50">
            <v>-841.4374344940461</v>
          </cell>
          <cell r="BH50">
            <v>-785.86037450803803</v>
          </cell>
          <cell r="BI50">
            <v>-1235.8284383073778</v>
          </cell>
          <cell r="BJ50">
            <v>-4077.3750586611459</v>
          </cell>
          <cell r="BK50">
            <v>-1295.0355986169102</v>
          </cell>
          <cell r="BL50">
            <v>-1007.5584122319581</v>
          </cell>
          <cell r="BM50">
            <v>-983.44955081699516</v>
          </cell>
          <cell r="BN50">
            <v>-1421.4664803786593</v>
          </cell>
          <cell r="BO50">
            <v>-4707.5100420445233</v>
          </cell>
          <cell r="BP50">
            <v>-1416.0975613690605</v>
          </cell>
          <cell r="BQ50">
            <v>-1048.8719091178123</v>
          </cell>
          <cell r="BR50">
            <v>-931.40992976298617</v>
          </cell>
          <cell r="BS50">
            <v>-1261.0268867688715</v>
          </cell>
          <cell r="BT50">
            <v>-4657.4062870187299</v>
          </cell>
          <cell r="BU50">
            <v>-1295.7574388640332</v>
          </cell>
          <cell r="BV50">
            <v>-1004.2227072016192</v>
          </cell>
          <cell r="BW50">
            <v>-951.62963678034157</v>
          </cell>
          <cell r="BX50">
            <v>-1324.031328813373</v>
          </cell>
          <cell r="BY50">
            <v>-4575.6411116593672</v>
          </cell>
          <cell r="BZ50">
            <v>-1260.3758288751587</v>
          </cell>
          <cell r="CA50">
            <v>-922.04114258828565</v>
          </cell>
          <cell r="CB50">
            <v>-800.41596899092565</v>
          </cell>
          <cell r="CC50">
            <v>-1068.4876999908056</v>
          </cell>
          <cell r="CD50">
            <v>-4051.3206404451757</v>
          </cell>
        </row>
        <row r="51">
          <cell r="A51" t="str">
            <v>Earnings after tax</v>
          </cell>
          <cell r="G51">
            <v>5693</v>
          </cell>
          <cell r="H51">
            <v>1771</v>
          </cell>
          <cell r="I51">
            <v>1410</v>
          </cell>
          <cell r="J51">
            <v>721</v>
          </cell>
          <cell r="K51">
            <v>1550</v>
          </cell>
          <cell r="L51">
            <v>5452</v>
          </cell>
          <cell r="M51">
            <v>1386</v>
          </cell>
          <cell r="N51">
            <v>1009</v>
          </cell>
          <cell r="O51">
            <v>472</v>
          </cell>
          <cell r="P51">
            <v>2952</v>
          </cell>
          <cell r="Q51">
            <v>5819</v>
          </cell>
          <cell r="R51">
            <v>1748</v>
          </cell>
          <cell r="S51">
            <v>1240</v>
          </cell>
          <cell r="T51">
            <v>3213</v>
          </cell>
          <cell r="U51">
            <v>2608</v>
          </cell>
          <cell r="V51">
            <v>8809</v>
          </cell>
          <cell r="W51">
            <v>1461</v>
          </cell>
          <cell r="X51">
            <v>209</v>
          </cell>
          <cell r="Y51">
            <v>362</v>
          </cell>
          <cell r="Z51">
            <v>724</v>
          </cell>
          <cell r="AA51">
            <v>2756</v>
          </cell>
          <cell r="AB51">
            <v>1487</v>
          </cell>
          <cell r="AC51">
            <v>910</v>
          </cell>
          <cell r="AD51">
            <v>745</v>
          </cell>
          <cell r="AE51">
            <v>1186</v>
          </cell>
          <cell r="AF51">
            <v>4328</v>
          </cell>
          <cell r="AG51">
            <v>863</v>
          </cell>
          <cell r="AH51">
            <v>1035</v>
          </cell>
          <cell r="AI51">
            <v>1261</v>
          </cell>
          <cell r="AJ51">
            <v>1922</v>
          </cell>
          <cell r="AK51">
            <v>5081</v>
          </cell>
          <cell r="AL51">
            <v>1377</v>
          </cell>
          <cell r="AM51">
            <v>1213</v>
          </cell>
          <cell r="AN51">
            <v>734</v>
          </cell>
          <cell r="AO51">
            <v>1244</v>
          </cell>
          <cell r="AP51">
            <v>4568</v>
          </cell>
          <cell r="AQ51">
            <v>1315</v>
          </cell>
          <cell r="AR51">
            <v>783</v>
          </cell>
          <cell r="AS51">
            <v>565</v>
          </cell>
          <cell r="AT51">
            <v>589</v>
          </cell>
          <cell r="AU51">
            <v>3252</v>
          </cell>
          <cell r="AV51">
            <v>826.15418298382633</v>
          </cell>
          <cell r="AW51">
            <v>801.63615164436635</v>
          </cell>
          <cell r="AX51">
            <v>789.8219589643129</v>
          </cell>
          <cell r="AY51">
            <v>1130.278900339305</v>
          </cell>
          <cell r="AZ51">
            <v>3547.8911939318109</v>
          </cell>
          <cell r="BA51">
            <v>1166.0481350732371</v>
          </cell>
          <cell r="BB51">
            <v>850.83839526849806</v>
          </cell>
          <cell r="BC51">
            <v>736.64813229580852</v>
          </cell>
          <cell r="BD51">
            <v>952.57235254043167</v>
          </cell>
          <cell r="BE51">
            <v>3706.107015177975</v>
          </cell>
          <cell r="BF51">
            <v>985.09633470882295</v>
          </cell>
          <cell r="BG51">
            <v>782.69793833138215</v>
          </cell>
          <cell r="BH51">
            <v>750.95785246200387</v>
          </cell>
          <cell r="BI51">
            <v>994.51610558652601</v>
          </cell>
          <cell r="BJ51">
            <v>3513.2682310887349</v>
          </cell>
          <cell r="BK51">
            <v>1016.8460434090584</v>
          </cell>
          <cell r="BL51">
            <v>864.11756916080503</v>
          </cell>
          <cell r="BM51">
            <v>853.78228183860949</v>
          </cell>
          <cell r="BN51">
            <v>1089.65666944401</v>
          </cell>
          <cell r="BO51">
            <v>3824.4025638524827</v>
          </cell>
          <cell r="BP51">
            <v>1083.1070326200913</v>
          </cell>
          <cell r="BQ51">
            <v>889.66126125663391</v>
          </cell>
          <cell r="BR51">
            <v>830.75305951017981</v>
          </cell>
          <cell r="BS51">
            <v>1009.9690895631356</v>
          </cell>
          <cell r="BT51">
            <v>3813.4904429500407</v>
          </cell>
          <cell r="BU51">
            <v>1025.5394824381483</v>
          </cell>
          <cell r="BV51">
            <v>871.98663199981161</v>
          </cell>
          <cell r="BW51">
            <v>847.11470531486475</v>
          </cell>
          <cell r="BX51">
            <v>1048.447784776537</v>
          </cell>
          <cell r="BY51">
            <v>3793.0886045293614</v>
          </cell>
          <cell r="BZ51">
            <v>1012.4216358541871</v>
          </cell>
          <cell r="CA51">
            <v>834.28122565290971</v>
          </cell>
          <cell r="CB51">
            <v>772.87047567549121</v>
          </cell>
          <cell r="CC51">
            <v>918.65359691716344</v>
          </cell>
          <cell r="CD51">
            <v>3538.2269340997518</v>
          </cell>
        </row>
        <row r="53">
          <cell r="A53" t="str">
            <v>Identified items</v>
          </cell>
          <cell r="H53">
            <v>118</v>
          </cell>
          <cell r="I53">
            <v>147</v>
          </cell>
          <cell r="J53">
            <v>-163</v>
          </cell>
          <cell r="K53">
            <v>460</v>
          </cell>
          <cell r="L53">
            <v>562</v>
          </cell>
          <cell r="M53">
            <v>-93</v>
          </cell>
          <cell r="N53">
            <v>19</v>
          </cell>
          <cell r="O53">
            <v>-62</v>
          </cell>
          <cell r="P53">
            <v>1317</v>
          </cell>
          <cell r="Q53">
            <v>1181</v>
          </cell>
          <cell r="R53">
            <v>-161</v>
          </cell>
          <cell r="S53">
            <v>-373</v>
          </cell>
          <cell r="T53">
            <v>1737</v>
          </cell>
          <cell r="U53">
            <v>906</v>
          </cell>
          <cell r="V53">
            <v>2109</v>
          </cell>
          <cell r="W53">
            <v>233</v>
          </cell>
          <cell r="X53">
            <v>-389</v>
          </cell>
          <cell r="Y53">
            <v>49</v>
          </cell>
          <cell r="Z53">
            <v>-76</v>
          </cell>
          <cell r="AA53">
            <v>-183</v>
          </cell>
          <cell r="AB53">
            <v>16</v>
          </cell>
          <cell r="AC53">
            <v>-49</v>
          </cell>
          <cell r="AD53">
            <v>339</v>
          </cell>
          <cell r="AE53">
            <v>-19</v>
          </cell>
          <cell r="AF53">
            <v>287</v>
          </cell>
          <cell r="AG53">
            <v>-162</v>
          </cell>
          <cell r="AH53">
            <v>85</v>
          </cell>
          <cell r="AI53">
            <v>171</v>
          </cell>
          <cell r="AJ53">
            <v>450</v>
          </cell>
          <cell r="AK53">
            <v>544</v>
          </cell>
          <cell r="AL53">
            <v>-64</v>
          </cell>
          <cell r="AM53">
            <v>160</v>
          </cell>
          <cell r="AN53">
            <v>-357</v>
          </cell>
          <cell r="AO53">
            <v>45</v>
          </cell>
          <cell r="AP53">
            <v>-216</v>
          </cell>
          <cell r="AQ53">
            <v>-7</v>
          </cell>
          <cell r="AR53">
            <v>39</v>
          </cell>
          <cell r="AS53">
            <v>78</v>
          </cell>
          <cell r="AT53">
            <v>-32</v>
          </cell>
          <cell r="AU53">
            <v>78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  <cell r="BF53">
            <v>0</v>
          </cell>
          <cell r="BG53">
            <v>0</v>
          </cell>
          <cell r="BH53">
            <v>0</v>
          </cell>
          <cell r="BI53">
            <v>0</v>
          </cell>
          <cell r="BJ53">
            <v>0</v>
          </cell>
          <cell r="BK53">
            <v>0</v>
          </cell>
          <cell r="BL53">
            <v>0</v>
          </cell>
          <cell r="BM53">
            <v>0</v>
          </cell>
          <cell r="BN53">
            <v>0</v>
          </cell>
          <cell r="BO53">
            <v>0</v>
          </cell>
          <cell r="BP53">
            <v>0</v>
          </cell>
          <cell r="BQ53">
            <v>0</v>
          </cell>
          <cell r="BR53">
            <v>0</v>
          </cell>
          <cell r="BS53">
            <v>0</v>
          </cell>
          <cell r="BT53">
            <v>0</v>
          </cell>
          <cell r="BU53">
            <v>0</v>
          </cell>
          <cell r="BV53">
            <v>0</v>
          </cell>
          <cell r="BW53">
            <v>0</v>
          </cell>
          <cell r="BX53">
            <v>0</v>
          </cell>
          <cell r="BY53">
            <v>0</v>
          </cell>
          <cell r="BZ53">
            <v>0</v>
          </cell>
          <cell r="CA53">
            <v>0</v>
          </cell>
          <cell r="CB53">
            <v>0</v>
          </cell>
          <cell r="CC53">
            <v>0</v>
          </cell>
          <cell r="CD53">
            <v>0</v>
          </cell>
        </row>
        <row r="54">
          <cell r="A54" t="str">
            <v>Earnings excluding identified items</v>
          </cell>
          <cell r="H54">
            <v>1653</v>
          </cell>
          <cell r="I54">
            <v>1263</v>
          </cell>
          <cell r="J54">
            <v>884</v>
          </cell>
          <cell r="K54">
            <v>1090</v>
          </cell>
          <cell r="L54">
            <v>4890</v>
          </cell>
          <cell r="M54">
            <v>1479</v>
          </cell>
          <cell r="N54">
            <v>990</v>
          </cell>
          <cell r="O54">
            <v>534</v>
          </cell>
          <cell r="P54">
            <v>1635</v>
          </cell>
          <cell r="Q54">
            <v>4638</v>
          </cell>
          <cell r="R54">
            <v>1909</v>
          </cell>
          <cell r="S54">
            <v>1613</v>
          </cell>
          <cell r="T54">
            <v>1476</v>
          </cell>
          <cell r="U54">
            <v>1702</v>
          </cell>
          <cell r="V54">
            <v>6700</v>
          </cell>
          <cell r="W54">
            <v>1228</v>
          </cell>
          <cell r="X54">
            <v>598</v>
          </cell>
          <cell r="Y54">
            <v>313</v>
          </cell>
          <cell r="Z54">
            <v>800</v>
          </cell>
          <cell r="AA54">
            <v>2939</v>
          </cell>
          <cell r="AB54">
            <v>1471</v>
          </cell>
          <cell r="AC54">
            <v>959</v>
          </cell>
          <cell r="AD54">
            <v>406</v>
          </cell>
          <cell r="AE54">
            <v>1205</v>
          </cell>
          <cell r="AF54">
            <v>4041</v>
          </cell>
          <cell r="AG54">
            <v>1025</v>
          </cell>
          <cell r="AH54">
            <v>950</v>
          </cell>
          <cell r="AI54">
            <v>1090</v>
          </cell>
          <cell r="AJ54">
            <v>1472</v>
          </cell>
          <cell r="AK54">
            <v>4537</v>
          </cell>
          <cell r="AL54">
            <v>1441</v>
          </cell>
          <cell r="AM54">
            <v>1053</v>
          </cell>
          <cell r="AN54">
            <v>1091</v>
          </cell>
          <cell r="AO54">
            <v>1199</v>
          </cell>
          <cell r="AP54">
            <v>4784</v>
          </cell>
          <cell r="AQ54">
            <v>1322</v>
          </cell>
          <cell r="AR54">
            <v>744</v>
          </cell>
          <cell r="AS54">
            <v>487</v>
          </cell>
          <cell r="AT54">
            <v>621</v>
          </cell>
          <cell r="AU54">
            <v>3174</v>
          </cell>
          <cell r="AV54">
            <v>826.15418298382633</v>
          </cell>
          <cell r="AW54">
            <v>801.63615164436635</v>
          </cell>
          <cell r="AX54">
            <v>789.8219589643129</v>
          </cell>
          <cell r="AY54">
            <v>1130.278900339305</v>
          </cell>
          <cell r="AZ54">
            <v>3547.8911939318109</v>
          </cell>
          <cell r="BA54">
            <v>1166.0481350732371</v>
          </cell>
          <cell r="BB54">
            <v>850.83839526849806</v>
          </cell>
          <cell r="BC54">
            <v>736.64813229580852</v>
          </cell>
          <cell r="BD54">
            <v>952.57235254043167</v>
          </cell>
          <cell r="BE54">
            <v>3706.107015177975</v>
          </cell>
          <cell r="BF54">
            <v>985.09633470882295</v>
          </cell>
          <cell r="BG54">
            <v>782.69793833138215</v>
          </cell>
          <cell r="BH54">
            <v>750.95785246200387</v>
          </cell>
          <cell r="BI54">
            <v>994.51610558652601</v>
          </cell>
          <cell r="BJ54">
            <v>3513.2682310887349</v>
          </cell>
          <cell r="BK54">
            <v>1016.8460434090584</v>
          </cell>
          <cell r="BL54">
            <v>864.11756916080503</v>
          </cell>
          <cell r="BM54">
            <v>853.78228183860949</v>
          </cell>
          <cell r="BN54">
            <v>1089.65666944401</v>
          </cell>
          <cell r="BO54">
            <v>3824.4025638524827</v>
          </cell>
          <cell r="BP54">
            <v>1083.1070326200913</v>
          </cell>
          <cell r="BQ54">
            <v>889.66126125663391</v>
          </cell>
          <cell r="BR54">
            <v>830.75305951017981</v>
          </cell>
          <cell r="BS54">
            <v>1009.9690895631356</v>
          </cell>
          <cell r="BT54">
            <v>3813.4904429500407</v>
          </cell>
          <cell r="BU54">
            <v>1025.5394824381483</v>
          </cell>
          <cell r="BV54">
            <v>871.98663199981161</v>
          </cell>
          <cell r="BW54">
            <v>847.11470531486475</v>
          </cell>
          <cell r="BX54">
            <v>1048.447784776537</v>
          </cell>
          <cell r="BY54">
            <v>3793.0886045293614</v>
          </cell>
          <cell r="BZ54">
            <v>1012.4216358541871</v>
          </cell>
          <cell r="CA54">
            <v>834.28122565290971</v>
          </cell>
          <cell r="CB54">
            <v>772.87047567549121</v>
          </cell>
          <cell r="CC54">
            <v>918.65359691716344</v>
          </cell>
          <cell r="CD54">
            <v>3538.2269340997518</v>
          </cell>
        </row>
        <row r="56">
          <cell r="A56" t="str">
            <v>Revenue</v>
          </cell>
        </row>
        <row r="57">
          <cell r="B57" t="str">
            <v>From oil and gas operations (FAS69)</v>
          </cell>
          <cell r="G57">
            <v>13268</v>
          </cell>
          <cell r="L57">
            <v>17224</v>
          </cell>
          <cell r="Q57">
            <v>15404</v>
          </cell>
          <cell r="V57">
            <v>19981</v>
          </cell>
          <cell r="AA57">
            <v>11216</v>
          </cell>
          <cell r="AF57">
            <v>12672</v>
          </cell>
          <cell r="AK57">
            <v>15417</v>
          </cell>
          <cell r="AP57">
            <v>14980</v>
          </cell>
          <cell r="AQ57">
            <v>4805.5746886200004</v>
          </cell>
          <cell r="AR57">
            <v>2874.7892850767994</v>
          </cell>
          <cell r="AS57">
            <v>2551.6376082479997</v>
          </cell>
          <cell r="AT57">
            <v>4056.1204628736004</v>
          </cell>
          <cell r="AU57">
            <v>14288.122044818399</v>
          </cell>
          <cell r="AV57">
            <v>4230.5316200271964</v>
          </cell>
          <cell r="AW57">
            <v>2992.5336176109581</v>
          </cell>
          <cell r="AX57">
            <v>2785.7316993207423</v>
          </cell>
          <cell r="AY57">
            <v>4494.2888799891725</v>
          </cell>
          <cell r="AZ57">
            <v>14503.085816948071</v>
          </cell>
          <cell r="BA57">
            <v>4682.2272875305025</v>
          </cell>
          <cell r="BB57">
            <v>3024.1761782745189</v>
          </cell>
          <cell r="BC57">
            <v>2480.1213055536709</v>
          </cell>
          <cell r="BD57">
            <v>3821.0688038505759</v>
          </cell>
          <cell r="BE57">
            <v>14007.593575209268</v>
          </cell>
          <cell r="BF57">
            <v>3957.14646213067</v>
          </cell>
          <cell r="BG57">
            <v>2692.2177468557866</v>
          </cell>
          <cell r="BH57">
            <v>2445.9651963216083</v>
          </cell>
          <cell r="BI57">
            <v>3909.9585157884726</v>
          </cell>
          <cell r="BJ57">
            <v>13005.287921096537</v>
          </cell>
          <cell r="BK57">
            <v>4219.4024768141489</v>
          </cell>
          <cell r="BL57">
            <v>3088.6720740659871</v>
          </cell>
          <cell r="BM57">
            <v>2897.0401752142338</v>
          </cell>
          <cell r="BN57">
            <v>4354.6661791863771</v>
          </cell>
          <cell r="BO57">
            <v>14559.780905280746</v>
          </cell>
          <cell r="BP57">
            <v>4554.9662763743008</v>
          </cell>
          <cell r="BQ57">
            <v>3207.4337185701334</v>
          </cell>
          <cell r="BR57">
            <v>2792.5120820919128</v>
          </cell>
          <cell r="BS57">
            <v>4031.857459598617</v>
          </cell>
          <cell r="BT57">
            <v>14586.769536634965</v>
          </cell>
          <cell r="BU57">
            <v>4295.659509995593</v>
          </cell>
          <cell r="BV57">
            <v>3107.5735546064175</v>
          </cell>
          <cell r="BW57">
            <v>2838.2753063678942</v>
          </cell>
          <cell r="BX57">
            <v>4192.7513293025122</v>
          </cell>
          <cell r="BY57">
            <v>14434.259700272418</v>
          </cell>
          <cell r="BZ57">
            <v>4191.4654229686712</v>
          </cell>
          <cell r="CA57">
            <v>2894.5125017818159</v>
          </cell>
          <cell r="CB57">
            <v>2465.5444118223181</v>
          </cell>
          <cell r="CC57">
            <v>3579.5981992133238</v>
          </cell>
          <cell r="CD57">
            <v>13131.120535786129</v>
          </cell>
        </row>
        <row r="58">
          <cell r="B58" t="str">
            <v xml:space="preserve">Other Upstream </v>
          </cell>
          <cell r="G58">
            <v>8282</v>
          </cell>
          <cell r="L58">
            <v>6143</v>
          </cell>
          <cell r="Q58">
            <v>5676</v>
          </cell>
          <cell r="V58">
            <v>8998</v>
          </cell>
          <cell r="AA58">
            <v>9187</v>
          </cell>
          <cell r="AF58">
            <v>8707</v>
          </cell>
          <cell r="AK58">
            <v>10846</v>
          </cell>
          <cell r="AP58">
            <v>11589</v>
          </cell>
          <cell r="AQ58">
            <v>2400</v>
          </cell>
          <cell r="AR58">
            <v>2400</v>
          </cell>
          <cell r="AS58">
            <v>2400</v>
          </cell>
          <cell r="AT58">
            <v>2400</v>
          </cell>
          <cell r="AU58">
            <v>9600</v>
          </cell>
          <cell r="AV58">
            <v>2400</v>
          </cell>
          <cell r="AW58">
            <v>2400</v>
          </cell>
          <cell r="AX58">
            <v>2400</v>
          </cell>
          <cell r="AY58">
            <v>2400</v>
          </cell>
          <cell r="AZ58">
            <v>9600</v>
          </cell>
          <cell r="BA58">
            <v>2400</v>
          </cell>
          <cell r="BB58">
            <v>2400</v>
          </cell>
          <cell r="BC58">
            <v>2400</v>
          </cell>
          <cell r="BD58">
            <v>2400</v>
          </cell>
          <cell r="BE58">
            <v>9600</v>
          </cell>
          <cell r="BF58">
            <v>2400</v>
          </cell>
          <cell r="BG58">
            <v>2400</v>
          </cell>
          <cell r="BH58">
            <v>2400</v>
          </cell>
          <cell r="BI58">
            <v>2400</v>
          </cell>
          <cell r="BJ58">
            <v>9600</v>
          </cell>
          <cell r="BK58">
            <v>2400</v>
          </cell>
          <cell r="BL58">
            <v>2400</v>
          </cell>
          <cell r="BM58">
            <v>2400</v>
          </cell>
          <cell r="BN58">
            <v>2400</v>
          </cell>
          <cell r="BO58">
            <v>9600</v>
          </cell>
          <cell r="BP58">
            <v>2400</v>
          </cell>
          <cell r="BQ58">
            <v>2400</v>
          </cell>
          <cell r="BR58">
            <v>2400</v>
          </cell>
          <cell r="BS58">
            <v>2400</v>
          </cell>
          <cell r="BT58">
            <v>9600</v>
          </cell>
          <cell r="BU58">
            <v>2400</v>
          </cell>
          <cell r="BV58">
            <v>2400</v>
          </cell>
          <cell r="BW58">
            <v>2400</v>
          </cell>
          <cell r="BX58">
            <v>2400</v>
          </cell>
          <cell r="BY58">
            <v>9600</v>
          </cell>
          <cell r="BZ58">
            <v>2400</v>
          </cell>
          <cell r="CA58">
            <v>2400</v>
          </cell>
          <cell r="CB58">
            <v>2400</v>
          </cell>
          <cell r="CC58">
            <v>2400</v>
          </cell>
          <cell r="CD58">
            <v>9600</v>
          </cell>
        </row>
        <row r="60">
          <cell r="A60" t="str">
            <v>Share of profit of equity accounted investments</v>
          </cell>
        </row>
        <row r="61">
          <cell r="B61" t="str">
            <v>From oil and gas operations (FAS69)</v>
          </cell>
          <cell r="G61">
            <v>2854</v>
          </cell>
          <cell r="L61">
            <v>1411</v>
          </cell>
          <cell r="Q61">
            <v>1667</v>
          </cell>
          <cell r="V61">
            <v>2519</v>
          </cell>
          <cell r="AA61">
            <v>1509</v>
          </cell>
          <cell r="AF61">
            <v>1394</v>
          </cell>
          <cell r="AK61">
            <v>1504</v>
          </cell>
          <cell r="AP61">
            <v>1658</v>
          </cell>
          <cell r="AQ61">
            <v>429.47751848206133</v>
          </cell>
          <cell r="AR61">
            <v>371.19290701528143</v>
          </cell>
          <cell r="AS61">
            <v>329.1804227719885</v>
          </cell>
          <cell r="AT61">
            <v>308.67993378279579</v>
          </cell>
          <cell r="AU61">
            <v>1438.5307820521271</v>
          </cell>
          <cell r="AV61">
            <v>307.01784937718668</v>
          </cell>
          <cell r="AW61">
            <v>315.08118511873954</v>
          </cell>
          <cell r="AX61">
            <v>324.25021271827706</v>
          </cell>
          <cell r="AY61">
            <v>330.86825488063494</v>
          </cell>
          <cell r="AZ61">
            <v>1277.217502094838</v>
          </cell>
          <cell r="BA61">
            <v>316.82676609148064</v>
          </cell>
          <cell r="BB61">
            <v>310.28240555532307</v>
          </cell>
          <cell r="BC61">
            <v>303.69531287077569</v>
          </cell>
          <cell r="BD61">
            <v>300.16274617075544</v>
          </cell>
          <cell r="BE61">
            <v>1230.9672306883347</v>
          </cell>
          <cell r="BF61">
            <v>291.87385852390878</v>
          </cell>
          <cell r="BG61">
            <v>290.22004968519593</v>
          </cell>
          <cell r="BH61">
            <v>288.40607303905279</v>
          </cell>
          <cell r="BI61">
            <v>289.67383027162305</v>
          </cell>
          <cell r="BJ61">
            <v>1160.1738115197809</v>
          </cell>
          <cell r="BK61">
            <v>279.85540215907497</v>
          </cell>
          <cell r="BL61">
            <v>281.92233596425717</v>
          </cell>
          <cell r="BM61">
            <v>284.56874325011893</v>
          </cell>
          <cell r="BN61">
            <v>284.58786109154602</v>
          </cell>
          <cell r="BO61">
            <v>1130.9343424649974</v>
          </cell>
          <cell r="BP61">
            <v>277.71550354331345</v>
          </cell>
          <cell r="BQ61">
            <v>282.00662185360488</v>
          </cell>
          <cell r="BR61">
            <v>286.34717822128772</v>
          </cell>
          <cell r="BS61">
            <v>288.07715450184344</v>
          </cell>
          <cell r="BT61">
            <v>1134.1464581200496</v>
          </cell>
          <cell r="BU61">
            <v>280.20240221139619</v>
          </cell>
          <cell r="BV61">
            <v>283.62979189897476</v>
          </cell>
          <cell r="BW61">
            <v>287.07721082548528</v>
          </cell>
          <cell r="BX61">
            <v>287.88630226937096</v>
          </cell>
          <cell r="BY61">
            <v>1138.7957072052275</v>
          </cell>
          <cell r="BZ61">
            <v>280.60819190219166</v>
          </cell>
          <cell r="CA61">
            <v>284.64799739384625</v>
          </cell>
          <cell r="CB61">
            <v>288.72772550731349</v>
          </cell>
          <cell r="CC61">
            <v>290.16453005674288</v>
          </cell>
          <cell r="CD61">
            <v>1144.1484448600945</v>
          </cell>
        </row>
        <row r="62">
          <cell r="B62" t="str">
            <v xml:space="preserve">Other Upstream </v>
          </cell>
          <cell r="G62">
            <v>91</v>
          </cell>
          <cell r="L62">
            <v>82</v>
          </cell>
          <cell r="Q62">
            <v>100</v>
          </cell>
          <cell r="V62">
            <v>63</v>
          </cell>
          <cell r="AA62">
            <v>-24</v>
          </cell>
          <cell r="AF62">
            <v>-16</v>
          </cell>
          <cell r="AK62">
            <v>23</v>
          </cell>
          <cell r="AP62">
            <v>9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0</v>
          </cell>
          <cell r="BD62">
            <v>0</v>
          </cell>
          <cell r="BE62">
            <v>0</v>
          </cell>
          <cell r="BF62">
            <v>0</v>
          </cell>
          <cell r="BG62">
            <v>0</v>
          </cell>
          <cell r="BH62">
            <v>0</v>
          </cell>
          <cell r="BI62">
            <v>0</v>
          </cell>
          <cell r="BJ62">
            <v>0</v>
          </cell>
          <cell r="BK62">
            <v>0</v>
          </cell>
          <cell r="BL62">
            <v>0</v>
          </cell>
          <cell r="BM62">
            <v>0</v>
          </cell>
          <cell r="BN62">
            <v>0</v>
          </cell>
          <cell r="BO62">
            <v>0</v>
          </cell>
          <cell r="BP62">
            <v>0</v>
          </cell>
          <cell r="BQ62">
            <v>0</v>
          </cell>
          <cell r="BR62">
            <v>0</v>
          </cell>
          <cell r="BS62">
            <v>0</v>
          </cell>
          <cell r="BT62">
            <v>0</v>
          </cell>
          <cell r="BU62">
            <v>0</v>
          </cell>
          <cell r="BV62">
            <v>0</v>
          </cell>
          <cell r="BW62">
            <v>0</v>
          </cell>
          <cell r="BX62">
            <v>0</v>
          </cell>
          <cell r="BY62">
            <v>0</v>
          </cell>
          <cell r="BZ62">
            <v>0</v>
          </cell>
          <cell r="CA62">
            <v>0</v>
          </cell>
          <cell r="CB62">
            <v>0</v>
          </cell>
          <cell r="CC62">
            <v>0</v>
          </cell>
          <cell r="CD62">
            <v>0</v>
          </cell>
        </row>
        <row r="64">
          <cell r="A64" t="str">
            <v>Production and manufacturing expenses</v>
          </cell>
        </row>
        <row r="65">
          <cell r="B65" t="str">
            <v>From oil and gas operations (FAS69)</v>
          </cell>
          <cell r="G65">
            <v>1968</v>
          </cell>
          <cell r="L65">
            <v>2291</v>
          </cell>
          <cell r="Q65">
            <v>2433</v>
          </cell>
          <cell r="V65">
            <v>2383</v>
          </cell>
          <cell r="AA65">
            <v>2729</v>
          </cell>
          <cell r="AF65">
            <v>2186</v>
          </cell>
          <cell r="AK65">
            <v>2243</v>
          </cell>
          <cell r="AP65">
            <v>2516</v>
          </cell>
          <cell r="AQ65">
            <v>930.76304797210457</v>
          </cell>
          <cell r="AR65">
            <v>545.0895716857782</v>
          </cell>
          <cell r="AS65">
            <v>457.94931274998754</v>
          </cell>
          <cell r="AT65">
            <v>828.20351831671235</v>
          </cell>
          <cell r="AU65">
            <v>2762.0054507245827</v>
          </cell>
          <cell r="AV65">
            <v>943.11565698120762</v>
          </cell>
          <cell r="AW65">
            <v>578.18183412447843</v>
          </cell>
          <cell r="AX65">
            <v>492.72370580825964</v>
          </cell>
          <cell r="AY65">
            <v>924.20091156279602</v>
          </cell>
          <cell r="AZ65">
            <v>2938.2221084767416</v>
          </cell>
          <cell r="BA65">
            <v>1041.0026218580679</v>
          </cell>
          <cell r="BB65">
            <v>605.14612520965272</v>
          </cell>
          <cell r="BC65">
            <v>472.72348469923134</v>
          </cell>
          <cell r="BD65">
            <v>875.7994234040051</v>
          </cell>
          <cell r="BE65">
            <v>2994.6716551709574</v>
          </cell>
          <cell r="BF65">
            <v>949.33442331228036</v>
          </cell>
          <cell r="BG65">
            <v>565.92787613178677</v>
          </cell>
          <cell r="BH65">
            <v>476.23205762717896</v>
          </cell>
          <cell r="BI65">
            <v>903.60497962676141</v>
          </cell>
          <cell r="BJ65">
            <v>2895.0993366980074</v>
          </cell>
          <cell r="BK65">
            <v>1008.4717885223934</v>
          </cell>
          <cell r="BL65">
            <v>631.82803266259043</v>
          </cell>
          <cell r="BM65">
            <v>546.57749227352042</v>
          </cell>
          <cell r="BN65">
            <v>973.42853150798953</v>
          </cell>
          <cell r="BO65">
            <v>3160.3058449664941</v>
          </cell>
          <cell r="BP65">
            <v>1074.7127071018349</v>
          </cell>
          <cell r="BQ65">
            <v>654.10220314301205</v>
          </cell>
          <cell r="BR65">
            <v>528.34952827965014</v>
          </cell>
          <cell r="BS65">
            <v>922.14991390429259</v>
          </cell>
          <cell r="BT65">
            <v>3179.3143524287898</v>
          </cell>
          <cell r="BU65">
            <v>1023.8724117190418</v>
          </cell>
          <cell r="BV65">
            <v>631.27764162640108</v>
          </cell>
          <cell r="BW65">
            <v>530.90901779006117</v>
          </cell>
          <cell r="BX65">
            <v>944.7027304680571</v>
          </cell>
          <cell r="BY65">
            <v>3130.7618016035613</v>
          </cell>
          <cell r="BZ65">
            <v>987.7097691035558</v>
          </cell>
          <cell r="CA65">
            <v>581.65976787655734</v>
          </cell>
          <cell r="CB65">
            <v>455.44968906599632</v>
          </cell>
          <cell r="CC65">
            <v>823.00777581268892</v>
          </cell>
          <cell r="CD65">
            <v>2847.8270018587982</v>
          </cell>
        </row>
        <row r="66">
          <cell r="B66" t="str">
            <v xml:space="preserve">Other Upstream </v>
          </cell>
          <cell r="G66">
            <v>59</v>
          </cell>
          <cell r="L66">
            <v>509</v>
          </cell>
          <cell r="Q66">
            <v>824</v>
          </cell>
          <cell r="V66">
            <v>748</v>
          </cell>
          <cell r="AA66">
            <v>500</v>
          </cell>
          <cell r="AF66">
            <v>795</v>
          </cell>
          <cell r="AK66">
            <v>532</v>
          </cell>
          <cell r="AP66">
            <v>39</v>
          </cell>
          <cell r="AQ66">
            <v>173</v>
          </cell>
          <cell r="AR66">
            <v>228</v>
          </cell>
          <cell r="AS66">
            <v>381</v>
          </cell>
          <cell r="AT66">
            <v>712</v>
          </cell>
          <cell r="AU66">
            <v>1494</v>
          </cell>
          <cell r="AV66">
            <v>500</v>
          </cell>
          <cell r="AW66">
            <v>225</v>
          </cell>
          <cell r="AX66">
            <v>225</v>
          </cell>
          <cell r="AY66">
            <v>225</v>
          </cell>
          <cell r="AZ66">
            <v>1175</v>
          </cell>
          <cell r="BA66">
            <v>150</v>
          </cell>
          <cell r="BB66">
            <v>150</v>
          </cell>
          <cell r="BC66">
            <v>150</v>
          </cell>
          <cell r="BD66">
            <v>150</v>
          </cell>
          <cell r="BE66">
            <v>600</v>
          </cell>
          <cell r="BF66">
            <v>100</v>
          </cell>
          <cell r="BG66">
            <v>100</v>
          </cell>
          <cell r="BH66">
            <v>100</v>
          </cell>
          <cell r="BI66">
            <v>100</v>
          </cell>
          <cell r="BJ66">
            <v>400</v>
          </cell>
          <cell r="BK66">
            <v>100</v>
          </cell>
          <cell r="BL66">
            <v>100</v>
          </cell>
          <cell r="BM66">
            <v>100</v>
          </cell>
          <cell r="BN66">
            <v>100</v>
          </cell>
          <cell r="BO66">
            <v>400</v>
          </cell>
          <cell r="BP66">
            <v>100</v>
          </cell>
          <cell r="BQ66">
            <v>100</v>
          </cell>
          <cell r="BR66">
            <v>100</v>
          </cell>
          <cell r="BS66">
            <v>100</v>
          </cell>
          <cell r="BT66">
            <v>400</v>
          </cell>
          <cell r="BU66">
            <v>100</v>
          </cell>
          <cell r="BV66">
            <v>100</v>
          </cell>
          <cell r="BW66">
            <v>100</v>
          </cell>
          <cell r="BX66">
            <v>100</v>
          </cell>
          <cell r="BY66">
            <v>400</v>
          </cell>
          <cell r="BZ66">
            <v>100</v>
          </cell>
          <cell r="CA66">
            <v>100</v>
          </cell>
          <cell r="CB66">
            <v>100</v>
          </cell>
          <cell r="CC66">
            <v>100</v>
          </cell>
          <cell r="CD66">
            <v>400</v>
          </cell>
        </row>
        <row r="67">
          <cell r="B67" t="str">
            <v xml:space="preserve">'Other Upstream' that balances to actual result </v>
          </cell>
          <cell r="V67">
            <v>748</v>
          </cell>
          <cell r="AA67">
            <v>500</v>
          </cell>
          <cell r="AF67">
            <v>795</v>
          </cell>
          <cell r="AK67">
            <v>531.99999999999818</v>
          </cell>
          <cell r="AP67">
            <v>39</v>
          </cell>
          <cell r="AQ67">
            <v>173.10262285720739</v>
          </cell>
          <cell r="AR67">
            <v>228.00153437758206</v>
          </cell>
          <cell r="AS67">
            <v>380.87416262919481</v>
          </cell>
          <cell r="AT67">
            <v>712.16634924943025</v>
          </cell>
          <cell r="AU67">
            <v>1494.1446691134138</v>
          </cell>
          <cell r="AV67">
            <v>500.00000000000045</v>
          </cell>
          <cell r="AW67">
            <v>224.99999999999943</v>
          </cell>
          <cell r="AX67">
            <v>224.99999999999977</v>
          </cell>
          <cell r="AY67">
            <v>225.00000000000102</v>
          </cell>
          <cell r="AZ67">
            <v>1175.0000000000027</v>
          </cell>
          <cell r="BA67">
            <v>150</v>
          </cell>
          <cell r="BB67">
            <v>150.00000000000034</v>
          </cell>
          <cell r="BC67">
            <v>150.00000000000045</v>
          </cell>
          <cell r="BD67">
            <v>150.00000000000011</v>
          </cell>
          <cell r="BE67">
            <v>600.00000000000227</v>
          </cell>
          <cell r="BF67">
            <v>99.999999999999432</v>
          </cell>
          <cell r="BG67">
            <v>99.999999999999886</v>
          </cell>
          <cell r="BH67">
            <v>100.00000000000045</v>
          </cell>
          <cell r="BI67">
            <v>100.00000000000068</v>
          </cell>
          <cell r="BJ67">
            <v>400.00000000000182</v>
          </cell>
          <cell r="BK67">
            <v>100.00000000000023</v>
          </cell>
          <cell r="BL67">
            <v>100.00000000000068</v>
          </cell>
          <cell r="BM67">
            <v>100.00000000000034</v>
          </cell>
          <cell r="BN67">
            <v>99.999999999999886</v>
          </cell>
          <cell r="BO67">
            <v>399.99999999999727</v>
          </cell>
          <cell r="BP67">
            <v>99.999999999999318</v>
          </cell>
          <cell r="BQ67">
            <v>99.999999999999773</v>
          </cell>
          <cell r="BR67">
            <v>99.999999999999432</v>
          </cell>
          <cell r="BS67">
            <v>99.999999999999091</v>
          </cell>
          <cell r="BT67">
            <v>400.00000000000227</v>
          </cell>
          <cell r="BU67">
            <v>100</v>
          </cell>
          <cell r="BV67">
            <v>99.999999999999886</v>
          </cell>
          <cell r="BW67">
            <v>99.999999999999545</v>
          </cell>
          <cell r="BX67">
            <v>99.999999999999773</v>
          </cell>
          <cell r="BY67">
            <v>400.00000000000136</v>
          </cell>
          <cell r="BZ67">
            <v>100.00000000000023</v>
          </cell>
          <cell r="CA67">
            <v>100.00000000000045</v>
          </cell>
          <cell r="CB67">
            <v>100.00000000000006</v>
          </cell>
          <cell r="CC67">
            <v>99.999999999999886</v>
          </cell>
          <cell r="CD67">
            <v>400.00000000000273</v>
          </cell>
        </row>
        <row r="69">
          <cell r="A69" t="str">
            <v>Taxes other than income taxes</v>
          </cell>
        </row>
        <row r="70">
          <cell r="B70" t="str">
            <v>From oil and gas operations (FAS69)</v>
          </cell>
          <cell r="G70">
            <v>277</v>
          </cell>
          <cell r="L70">
            <v>345</v>
          </cell>
          <cell r="Q70">
            <v>401</v>
          </cell>
          <cell r="V70">
            <v>501</v>
          </cell>
          <cell r="AA70">
            <v>322</v>
          </cell>
          <cell r="AF70">
            <v>303</v>
          </cell>
          <cell r="AK70">
            <v>390</v>
          </cell>
          <cell r="AP70">
            <v>350</v>
          </cell>
          <cell r="AQ70">
            <v>96.11149377240001</v>
          </cell>
          <cell r="AR70">
            <v>57.495785701535986</v>
          </cell>
          <cell r="AS70">
            <v>51.032752164959994</v>
          </cell>
          <cell r="AT70">
            <v>81.122409257472015</v>
          </cell>
          <cell r="AU70">
            <v>285.76244089636799</v>
          </cell>
          <cell r="AV70">
            <v>84.610632400543935</v>
          </cell>
          <cell r="AW70">
            <v>59.850672352219163</v>
          </cell>
          <cell r="AX70">
            <v>55.714633986414846</v>
          </cell>
          <cell r="AY70">
            <v>89.885777599783452</v>
          </cell>
          <cell r="AZ70">
            <v>290.06171633896139</v>
          </cell>
          <cell r="BA70">
            <v>93.64454575061005</v>
          </cell>
          <cell r="BB70">
            <v>60.48352356549038</v>
          </cell>
          <cell r="BC70">
            <v>49.60242611107342</v>
          </cell>
          <cell r="BD70">
            <v>76.421376077011516</v>
          </cell>
          <cell r="BE70">
            <v>280.15187150418535</v>
          </cell>
          <cell r="BF70">
            <v>79.142929242613405</v>
          </cell>
          <cell r="BG70">
            <v>53.844354937115732</v>
          </cell>
          <cell r="BH70">
            <v>48.919303926432171</v>
          </cell>
          <cell r="BI70">
            <v>78.19917031576945</v>
          </cell>
          <cell r="BJ70">
            <v>260.10575842193077</v>
          </cell>
          <cell r="BK70">
            <v>84.388049536282978</v>
          </cell>
          <cell r="BL70">
            <v>61.773441481319743</v>
          </cell>
          <cell r="BM70">
            <v>57.940803504284681</v>
          </cell>
          <cell r="BN70">
            <v>87.093323583727539</v>
          </cell>
          <cell r="BO70">
            <v>291.19561810561493</v>
          </cell>
          <cell r="BP70">
            <v>91.099325527486016</v>
          </cell>
          <cell r="BQ70">
            <v>64.148674371402663</v>
          </cell>
          <cell r="BR70">
            <v>55.850241641838259</v>
          </cell>
          <cell r="BS70">
            <v>80.637149191972341</v>
          </cell>
          <cell r="BT70">
            <v>291.73539073269927</v>
          </cell>
          <cell r="BU70">
            <v>85.913190199911867</v>
          </cell>
          <cell r="BV70">
            <v>62.151471092128354</v>
          </cell>
          <cell r="BW70">
            <v>56.765506127357888</v>
          </cell>
          <cell r="BX70">
            <v>83.855026586050244</v>
          </cell>
          <cell r="BY70">
            <v>288.68519400544835</v>
          </cell>
          <cell r="BZ70">
            <v>83.829308459373422</v>
          </cell>
          <cell r="CA70">
            <v>57.890250035636321</v>
          </cell>
          <cell r="CB70">
            <v>49.310888236446367</v>
          </cell>
          <cell r="CC70">
            <v>71.591963984266485</v>
          </cell>
          <cell r="CD70">
            <v>262.62241071572259</v>
          </cell>
        </row>
        <row r="71">
          <cell r="B71" t="str">
            <v xml:space="preserve">Other Upstream </v>
          </cell>
          <cell r="G71">
            <v>-1</v>
          </cell>
          <cell r="L71">
            <v>0</v>
          </cell>
          <cell r="Q71">
            <v>0</v>
          </cell>
          <cell r="V71">
            <v>1</v>
          </cell>
          <cell r="AA71">
            <v>0</v>
          </cell>
          <cell r="AF71">
            <v>0</v>
          </cell>
          <cell r="AK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  <cell r="BH71">
            <v>0</v>
          </cell>
          <cell r="BI71">
            <v>0</v>
          </cell>
          <cell r="BJ71">
            <v>0</v>
          </cell>
          <cell r="BK71">
            <v>0</v>
          </cell>
          <cell r="BL71">
            <v>0</v>
          </cell>
          <cell r="BM71">
            <v>0</v>
          </cell>
          <cell r="BN71">
            <v>0</v>
          </cell>
          <cell r="BO71">
            <v>0</v>
          </cell>
          <cell r="BP71">
            <v>0</v>
          </cell>
          <cell r="BQ71">
            <v>0</v>
          </cell>
          <cell r="BR71">
            <v>0</v>
          </cell>
          <cell r="BS71">
            <v>0</v>
          </cell>
          <cell r="BT71">
            <v>0</v>
          </cell>
          <cell r="BU71">
            <v>0</v>
          </cell>
          <cell r="BV71">
            <v>0</v>
          </cell>
          <cell r="BW71">
            <v>0</v>
          </cell>
          <cell r="BX71">
            <v>0</v>
          </cell>
          <cell r="BY71">
            <v>0</v>
          </cell>
          <cell r="BZ71">
            <v>0</v>
          </cell>
          <cell r="CA71">
            <v>0</v>
          </cell>
          <cell r="CB71">
            <v>0</v>
          </cell>
          <cell r="CC71">
            <v>0</v>
          </cell>
          <cell r="CD71">
            <v>0</v>
          </cell>
        </row>
        <row r="73">
          <cell r="A73" t="str">
            <v>Exploration</v>
          </cell>
        </row>
        <row r="74">
          <cell r="B74" t="str">
            <v>From oil and gas operations (FAS69)</v>
          </cell>
          <cell r="G74">
            <v>213</v>
          </cell>
          <cell r="L74">
            <v>214</v>
          </cell>
          <cell r="Q74">
            <v>178</v>
          </cell>
          <cell r="V74">
            <v>414</v>
          </cell>
          <cell r="AA74">
            <v>273</v>
          </cell>
          <cell r="AF74">
            <v>335</v>
          </cell>
          <cell r="AK74">
            <v>288</v>
          </cell>
          <cell r="AP74">
            <v>347</v>
          </cell>
          <cell r="AQ74">
            <v>110.16000000000001</v>
          </cell>
          <cell r="AR74">
            <v>208.76000000000002</v>
          </cell>
          <cell r="AS74">
            <v>278.12</v>
          </cell>
          <cell r="AT74">
            <v>300.22000000000003</v>
          </cell>
          <cell r="AU74">
            <v>897.26</v>
          </cell>
          <cell r="AV74">
            <v>157.52370000000002</v>
          </cell>
          <cell r="AW74">
            <v>157.52370000000002</v>
          </cell>
          <cell r="AX74">
            <v>157.52370000000002</v>
          </cell>
          <cell r="AY74">
            <v>157.52370000000002</v>
          </cell>
          <cell r="AZ74">
            <v>630.09480000000008</v>
          </cell>
          <cell r="BA74">
            <v>134.46150000000003</v>
          </cell>
          <cell r="BB74">
            <v>134.46150000000003</v>
          </cell>
          <cell r="BC74">
            <v>134.46150000000003</v>
          </cell>
          <cell r="BD74">
            <v>134.46149999999997</v>
          </cell>
          <cell r="BE74">
            <v>537.84600000000012</v>
          </cell>
          <cell r="BF74">
            <v>106.65658333333334</v>
          </cell>
          <cell r="BG74">
            <v>106.65658333333334</v>
          </cell>
          <cell r="BH74">
            <v>106.65658333333334</v>
          </cell>
          <cell r="BI74">
            <v>106.65658333333334</v>
          </cell>
          <cell r="BJ74">
            <v>426.62633333333338</v>
          </cell>
          <cell r="BK74">
            <v>106.11683333333335</v>
          </cell>
          <cell r="BL74">
            <v>106.11683333333335</v>
          </cell>
          <cell r="BM74">
            <v>106.11683333333335</v>
          </cell>
          <cell r="BN74">
            <v>106.11683333333335</v>
          </cell>
          <cell r="BO74">
            <v>424.46733333333339</v>
          </cell>
          <cell r="BP74">
            <v>104.57656250000001</v>
          </cell>
          <cell r="BQ74">
            <v>104.57656250000001</v>
          </cell>
          <cell r="BR74">
            <v>104.57656250000001</v>
          </cell>
          <cell r="BS74">
            <v>104.57656250000001</v>
          </cell>
          <cell r="BT74">
            <v>418.30625000000003</v>
          </cell>
          <cell r="BU74">
            <v>105.028125</v>
          </cell>
          <cell r="BV74">
            <v>105.028125</v>
          </cell>
          <cell r="BW74">
            <v>105.028125</v>
          </cell>
          <cell r="BX74">
            <v>105.028125</v>
          </cell>
          <cell r="BY74">
            <v>420.11250000000001</v>
          </cell>
          <cell r="BZ74">
            <v>105.028125</v>
          </cell>
          <cell r="CA74">
            <v>105.028125</v>
          </cell>
          <cell r="CB74">
            <v>105.028125</v>
          </cell>
          <cell r="CC74">
            <v>105.028125</v>
          </cell>
          <cell r="CD74">
            <v>420.11250000000001</v>
          </cell>
        </row>
        <row r="75">
          <cell r="B75" t="str">
            <v xml:space="preserve">Other Upstream </v>
          </cell>
          <cell r="G75">
            <v>-41</v>
          </cell>
          <cell r="L75">
            <v>0</v>
          </cell>
          <cell r="Q75">
            <v>0</v>
          </cell>
          <cell r="V75">
            <v>2</v>
          </cell>
          <cell r="AA75">
            <v>0</v>
          </cell>
          <cell r="AF75">
            <v>0</v>
          </cell>
          <cell r="AK75">
            <v>25</v>
          </cell>
          <cell r="AP75">
            <v>23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0</v>
          </cell>
          <cell r="BI75">
            <v>0</v>
          </cell>
          <cell r="BJ75">
            <v>0</v>
          </cell>
          <cell r="BK75">
            <v>0</v>
          </cell>
          <cell r="BL75">
            <v>0</v>
          </cell>
          <cell r="BM75">
            <v>0</v>
          </cell>
          <cell r="BN75">
            <v>0</v>
          </cell>
          <cell r="BO75">
            <v>0</v>
          </cell>
          <cell r="BP75">
            <v>0</v>
          </cell>
          <cell r="BQ75">
            <v>0</v>
          </cell>
          <cell r="BR75">
            <v>0</v>
          </cell>
          <cell r="BS75">
            <v>0</v>
          </cell>
          <cell r="BT75">
            <v>0</v>
          </cell>
          <cell r="BU75">
            <v>0</v>
          </cell>
          <cell r="BV75">
            <v>0</v>
          </cell>
          <cell r="BW75">
            <v>0</v>
          </cell>
          <cell r="BX75">
            <v>0</v>
          </cell>
          <cell r="BY75">
            <v>0</v>
          </cell>
          <cell r="BZ75">
            <v>0</v>
          </cell>
          <cell r="CA75">
            <v>0</v>
          </cell>
          <cell r="CB75">
            <v>0</v>
          </cell>
          <cell r="CC75">
            <v>0</v>
          </cell>
          <cell r="CD75">
            <v>0</v>
          </cell>
        </row>
        <row r="77">
          <cell r="A77" t="str">
            <v>DD&amp;A</v>
          </cell>
        </row>
        <row r="78">
          <cell r="B78" t="str">
            <v>From oil and gas operations (FAS69)</v>
          </cell>
          <cell r="G78">
            <v>3888</v>
          </cell>
          <cell r="L78">
            <v>3498</v>
          </cell>
          <cell r="Q78">
            <v>3311</v>
          </cell>
          <cell r="V78">
            <v>3102</v>
          </cell>
          <cell r="AA78">
            <v>2730</v>
          </cell>
          <cell r="AF78">
            <v>2690</v>
          </cell>
          <cell r="AK78">
            <v>1473</v>
          </cell>
          <cell r="AP78">
            <v>1531</v>
          </cell>
          <cell r="AQ78">
            <v>853.0635736607926</v>
          </cell>
          <cell r="AR78">
            <v>499.58586022576702</v>
          </cell>
          <cell r="AS78">
            <v>419.72001159817916</v>
          </cell>
          <cell r="AT78">
            <v>759.06564468046065</v>
          </cell>
          <cell r="AU78">
            <v>2531.4350901651992</v>
          </cell>
          <cell r="AV78">
            <v>631.87366973903272</v>
          </cell>
          <cell r="AW78">
            <v>387.37335617359872</v>
          </cell>
          <cell r="AX78">
            <v>330.11766250709621</v>
          </cell>
          <cell r="AY78">
            <v>619.20106748580827</v>
          </cell>
          <cell r="AZ78">
            <v>1968.5657559055358</v>
          </cell>
          <cell r="BA78">
            <v>733.55736875110733</v>
          </cell>
          <cell r="BB78">
            <v>426.42486195317616</v>
          </cell>
          <cell r="BC78">
            <v>333.11135659185862</v>
          </cell>
          <cell r="BD78">
            <v>617.1445749476427</v>
          </cell>
          <cell r="BE78">
            <v>2110.2381622437847</v>
          </cell>
          <cell r="BF78">
            <v>699.89965719619534</v>
          </cell>
          <cell r="BG78">
            <v>417.23202780366802</v>
          </cell>
          <cell r="BH78">
            <v>351.10351599402463</v>
          </cell>
          <cell r="BI78">
            <v>666.18548738067705</v>
          </cell>
          <cell r="BJ78">
            <v>2134.4206883745651</v>
          </cell>
          <cell r="BK78">
            <v>774.33775654381509</v>
          </cell>
          <cell r="BL78">
            <v>485.13831214880707</v>
          </cell>
          <cell r="BM78">
            <v>419.68014768617815</v>
          </cell>
          <cell r="BN78">
            <v>747.43039301877275</v>
          </cell>
          <cell r="BO78">
            <v>2426.5866093975728</v>
          </cell>
          <cell r="BP78">
            <v>855.98974886825738</v>
          </cell>
          <cell r="BQ78">
            <v>520.98088810399327</v>
          </cell>
          <cell r="BR78">
            <v>420.82109668766174</v>
          </cell>
          <cell r="BS78">
            <v>734.47617024130466</v>
          </cell>
          <cell r="BT78">
            <v>2532.2679039012173</v>
          </cell>
          <cell r="BU78">
            <v>842.93125913577899</v>
          </cell>
          <cell r="BV78">
            <v>519.71676473535649</v>
          </cell>
          <cell r="BW78">
            <v>437.08552133067798</v>
          </cell>
          <cell r="BX78">
            <v>777.75263107779074</v>
          </cell>
          <cell r="BY78">
            <v>2577.4861762796045</v>
          </cell>
          <cell r="BZ78">
            <v>837.86627578689331</v>
          </cell>
          <cell r="CA78">
            <v>493.41731623057757</v>
          </cell>
          <cell r="CB78">
            <v>386.35431856907724</v>
          </cell>
          <cell r="CC78">
            <v>698.15089577344713</v>
          </cell>
          <cell r="CD78">
            <v>2415.7888063599953</v>
          </cell>
        </row>
        <row r="79">
          <cell r="B79" t="str">
            <v xml:space="preserve">Other Upstream </v>
          </cell>
          <cell r="G79">
            <v>-109</v>
          </cell>
          <cell r="L79">
            <v>-238</v>
          </cell>
          <cell r="Q79">
            <v>8</v>
          </cell>
          <cell r="V79">
            <v>12</v>
          </cell>
          <cell r="AA79">
            <v>15</v>
          </cell>
          <cell r="AF79">
            <v>42</v>
          </cell>
          <cell r="AK79">
            <v>46</v>
          </cell>
          <cell r="AP79">
            <v>52</v>
          </cell>
          <cell r="AQ79">
            <v>5</v>
          </cell>
          <cell r="AR79">
            <v>5</v>
          </cell>
          <cell r="AS79">
            <v>5</v>
          </cell>
          <cell r="AT79">
            <v>5</v>
          </cell>
          <cell r="AU79">
            <v>20</v>
          </cell>
          <cell r="AV79">
            <v>5</v>
          </cell>
          <cell r="AW79">
            <v>5</v>
          </cell>
          <cell r="AX79">
            <v>5</v>
          </cell>
          <cell r="AY79">
            <v>5</v>
          </cell>
          <cell r="AZ79">
            <v>20</v>
          </cell>
          <cell r="BA79">
            <v>5</v>
          </cell>
          <cell r="BB79">
            <v>5</v>
          </cell>
          <cell r="BC79">
            <v>5</v>
          </cell>
          <cell r="BD79">
            <v>5</v>
          </cell>
          <cell r="BE79">
            <v>20</v>
          </cell>
          <cell r="BF79">
            <v>5</v>
          </cell>
          <cell r="BG79">
            <v>5</v>
          </cell>
          <cell r="BH79">
            <v>5</v>
          </cell>
          <cell r="BI79">
            <v>5</v>
          </cell>
          <cell r="BJ79">
            <v>20</v>
          </cell>
          <cell r="BK79">
            <v>5</v>
          </cell>
          <cell r="BL79">
            <v>5</v>
          </cell>
          <cell r="BM79">
            <v>5</v>
          </cell>
          <cell r="BN79">
            <v>5</v>
          </cell>
          <cell r="BO79">
            <v>20</v>
          </cell>
          <cell r="BP79">
            <v>5</v>
          </cell>
          <cell r="BQ79">
            <v>5</v>
          </cell>
          <cell r="BR79">
            <v>5</v>
          </cell>
          <cell r="BS79">
            <v>5</v>
          </cell>
          <cell r="BT79">
            <v>20</v>
          </cell>
          <cell r="BU79">
            <v>5</v>
          </cell>
          <cell r="BV79">
            <v>5</v>
          </cell>
          <cell r="BW79">
            <v>5</v>
          </cell>
          <cell r="BX79">
            <v>5</v>
          </cell>
          <cell r="BY79">
            <v>20</v>
          </cell>
          <cell r="BZ79">
            <v>5</v>
          </cell>
          <cell r="CA79">
            <v>5</v>
          </cell>
          <cell r="CB79">
            <v>5</v>
          </cell>
          <cell r="CC79">
            <v>5</v>
          </cell>
          <cell r="CD79">
            <v>20</v>
          </cell>
        </row>
        <row r="81">
          <cell r="A81" t="str">
            <v>Taxation</v>
          </cell>
        </row>
        <row r="82">
          <cell r="B82" t="str">
            <v>From oil and gas operations (FAS69)</v>
          </cell>
          <cell r="G82">
            <v>3767</v>
          </cell>
          <cell r="L82">
            <v>6381</v>
          </cell>
          <cell r="Q82">
            <v>4961</v>
          </cell>
          <cell r="V82">
            <v>8391</v>
          </cell>
          <cell r="AA82">
            <v>2886</v>
          </cell>
          <cell r="AF82">
            <v>2915</v>
          </cell>
          <cell r="AK82">
            <v>6048</v>
          </cell>
          <cell r="AP82">
            <v>6327</v>
          </cell>
          <cell r="AQ82">
            <v>1635.0597725895573</v>
          </cell>
          <cell r="AR82">
            <v>821.50774385141676</v>
          </cell>
          <cell r="AS82">
            <v>679.1300956276674</v>
          </cell>
          <cell r="AT82">
            <v>1161.8807789023213</v>
          </cell>
          <cell r="AU82">
            <v>4297.5783909709626</v>
          </cell>
          <cell r="AV82">
            <v>1373.7151745891679</v>
          </cell>
          <cell r="AW82">
            <v>981.2426357244301</v>
          </cell>
          <cell r="AX82">
            <v>942.27379806233148</v>
          </cell>
          <cell r="AY82">
            <v>1562.2603251715097</v>
          </cell>
          <cell r="AZ82">
            <v>4859.4919335474397</v>
          </cell>
          <cell r="BA82">
            <v>1546.7148132609664</v>
          </cell>
          <cell r="BB82">
            <v>973.47910890502976</v>
          </cell>
          <cell r="BC82">
            <v>773.64464979847992</v>
          </cell>
          <cell r="BD82">
            <v>1181.2072541242455</v>
          </cell>
          <cell r="BE82">
            <v>4475.0458260887208</v>
          </cell>
          <cell r="BF82">
            <v>1184.3733648800612</v>
          </cell>
          <cell r="BG82">
            <v>811.56198802242363</v>
          </cell>
          <cell r="BH82">
            <v>755.98492803641557</v>
          </cell>
          <cell r="BI82">
            <v>1205.9529918357555</v>
          </cell>
          <cell r="BJ82">
            <v>3957.8732727746556</v>
          </cell>
          <cell r="BK82">
            <v>1264.9572317709108</v>
          </cell>
          <cell r="BL82">
            <v>977.48004538595865</v>
          </cell>
          <cell r="BM82">
            <v>953.37118397099619</v>
          </cell>
          <cell r="BN82">
            <v>1391.3881135326601</v>
          </cell>
          <cell r="BO82">
            <v>4587.1965746605256</v>
          </cell>
          <cell r="BP82">
            <v>1383.5821560448699</v>
          </cell>
          <cell r="BQ82">
            <v>1016.3565037936216</v>
          </cell>
          <cell r="BR82">
            <v>898.89452443879577</v>
          </cell>
          <cell r="BS82">
            <v>1228.5114814446808</v>
          </cell>
          <cell r="BT82">
            <v>4527.3446657219683</v>
          </cell>
          <cell r="BU82">
            <v>1259.6444405615596</v>
          </cell>
          <cell r="BV82">
            <v>968.10970889914574</v>
          </cell>
          <cell r="BW82">
            <v>915.51663847786824</v>
          </cell>
          <cell r="BX82">
            <v>1287.9183305108993</v>
          </cell>
          <cell r="BY82">
            <v>4431.1891184494725</v>
          </cell>
          <cell r="BZ82">
            <v>1220.0707640022517</v>
          </cell>
          <cell r="CA82">
            <v>881.73607771537911</v>
          </cell>
          <cell r="CB82">
            <v>760.11090411801877</v>
          </cell>
          <cell r="CC82">
            <v>1028.1826351178988</v>
          </cell>
          <cell r="CD82">
            <v>3890.1003809535487</v>
          </cell>
        </row>
        <row r="83">
          <cell r="B83" t="str">
            <v xml:space="preserve">Other Upstream </v>
          </cell>
          <cell r="G83">
            <v>34</v>
          </cell>
          <cell r="L83">
            <v>148</v>
          </cell>
          <cell r="Q83">
            <v>21</v>
          </cell>
          <cell r="V83">
            <v>78</v>
          </cell>
          <cell r="AA83">
            <v>103</v>
          </cell>
          <cell r="AF83">
            <v>72</v>
          </cell>
          <cell r="AK83">
            <v>148</v>
          </cell>
          <cell r="AP83">
            <v>116</v>
          </cell>
          <cell r="AQ83">
            <v>2.8044712499998923</v>
          </cell>
          <cell r="AR83">
            <v>-16.445528750000108</v>
          </cell>
          <cell r="AS83">
            <v>-69.995528749999622</v>
          </cell>
          <cell r="AT83">
            <v>-185.84552874999986</v>
          </cell>
          <cell r="AU83">
            <v>-269.48211499999968</v>
          </cell>
          <cell r="AV83">
            <v>-118.7611668441716</v>
          </cell>
          <cell r="AW83">
            <v>-22.511166844171758</v>
          </cell>
          <cell r="AX83">
            <v>-22.511166844171441</v>
          </cell>
          <cell r="AY83">
            <v>-22.511166844171679</v>
          </cell>
          <cell r="AZ83">
            <v>-186.29466737668648</v>
          </cell>
          <cell r="BA83">
            <v>8.8172705772336482</v>
          </cell>
          <cell r="BB83">
            <v>8.8172705772335682</v>
          </cell>
          <cell r="BC83">
            <v>8.8172705772335682</v>
          </cell>
          <cell r="BD83">
            <v>8.8172705772338063</v>
          </cell>
          <cell r="BE83">
            <v>35.269082308934586</v>
          </cell>
          <cell r="BF83">
            <v>29.875446471622421</v>
          </cell>
          <cell r="BG83">
            <v>29.875446471622499</v>
          </cell>
          <cell r="BH83">
            <v>29.875446471622421</v>
          </cell>
          <cell r="BI83">
            <v>29.875446471622261</v>
          </cell>
          <cell r="BJ83">
            <v>119.50178588648961</v>
          </cell>
          <cell r="BK83">
            <v>30.07836684599938</v>
          </cell>
          <cell r="BL83">
            <v>30.07836684599938</v>
          </cell>
          <cell r="BM83">
            <v>30.078366845998982</v>
          </cell>
          <cell r="BN83">
            <v>30.07836684599922</v>
          </cell>
          <cell r="BO83">
            <v>120.31346738399697</v>
          </cell>
          <cell r="BP83">
            <v>32.515405324190532</v>
          </cell>
          <cell r="BQ83">
            <v>32.515405324190532</v>
          </cell>
          <cell r="BR83">
            <v>32.515405324190453</v>
          </cell>
          <cell r="BS83">
            <v>32.515405324190688</v>
          </cell>
          <cell r="BT83">
            <v>130.06162129676221</v>
          </cell>
          <cell r="BU83">
            <v>36.112998302473564</v>
          </cell>
          <cell r="BV83">
            <v>36.112998302473407</v>
          </cell>
          <cell r="BW83">
            <v>36.112998302473329</v>
          </cell>
          <cell r="BX83">
            <v>36.112998302473642</v>
          </cell>
          <cell r="BY83">
            <v>144.45199320989394</v>
          </cell>
          <cell r="BZ83">
            <v>40.305064872906904</v>
          </cell>
          <cell r="CA83">
            <v>40.305064872906506</v>
          </cell>
          <cell r="CB83">
            <v>40.305064872906904</v>
          </cell>
          <cell r="CC83">
            <v>40.305064872906662</v>
          </cell>
          <cell r="CD83">
            <v>161.22025949162696</v>
          </cell>
        </row>
        <row r="85">
          <cell r="B85" t="str">
            <v>Taxable earnings</v>
          </cell>
        </row>
        <row r="86">
          <cell r="B86" t="str">
            <v>From oil and gas operations (FAS69)</v>
          </cell>
          <cell r="G86">
            <v>6509</v>
          </cell>
          <cell r="L86">
            <v>10095</v>
          </cell>
          <cell r="Q86">
            <v>9188</v>
          </cell>
          <cell r="V86">
            <v>13141</v>
          </cell>
          <cell r="AA86">
            <v>4098</v>
          </cell>
          <cell r="AF86">
            <v>6014</v>
          </cell>
          <cell r="AK86">
            <v>9353</v>
          </cell>
          <cell r="AP86">
            <v>8905</v>
          </cell>
          <cell r="AQ86">
            <v>2515.4765732147034</v>
          </cell>
          <cell r="AR86">
            <v>1263.858067463718</v>
          </cell>
          <cell r="AS86">
            <v>1044.8155317348728</v>
          </cell>
          <cell r="AT86">
            <v>1787.5088906189558</v>
          </cell>
          <cell r="AU86">
            <v>6611.6590630322498</v>
          </cell>
          <cell r="AV86">
            <v>2113.407960906412</v>
          </cell>
          <cell r="AW86">
            <v>1509.6040549606616</v>
          </cell>
          <cell r="AX86">
            <v>1449.6519970189715</v>
          </cell>
          <cell r="AY86">
            <v>2403.4774233407843</v>
          </cell>
          <cell r="AZ86">
            <v>7476.1414362268297</v>
          </cell>
          <cell r="BA86">
            <v>2379.5612511707172</v>
          </cell>
          <cell r="BB86">
            <v>1497.6601675461995</v>
          </cell>
          <cell r="BC86">
            <v>1190.2225381515075</v>
          </cell>
          <cell r="BD86">
            <v>1817.2419294219162</v>
          </cell>
          <cell r="BE86">
            <v>6884.68588629034</v>
          </cell>
          <cell r="BF86">
            <v>1822.1128690462479</v>
          </cell>
          <cell r="BG86">
            <v>1248.5569046498824</v>
          </cell>
          <cell r="BH86">
            <v>1163.0537354406392</v>
          </cell>
          <cell r="BI86">
            <v>1855.3122951319315</v>
          </cell>
          <cell r="BJ86">
            <v>6089.0358042687003</v>
          </cell>
          <cell r="BK86">
            <v>1946.0880488783241</v>
          </cell>
          <cell r="BL86">
            <v>1503.8154544399363</v>
          </cell>
          <cell r="BM86">
            <v>1466.7248984169171</v>
          </cell>
          <cell r="BN86">
            <v>2140.5970977425541</v>
          </cell>
          <cell r="BO86">
            <v>7057.2254994777313</v>
          </cell>
          <cell r="BP86">
            <v>2128.5879323767226</v>
          </cell>
          <cell r="BQ86">
            <v>1563.6253904517255</v>
          </cell>
          <cell r="BR86">
            <v>1382.9146529827626</v>
          </cell>
          <cell r="BS86">
            <v>1890.0176637610475</v>
          </cell>
          <cell r="BT86">
            <v>6965.145639572258</v>
          </cell>
          <cell r="BU86">
            <v>1937.9145239408608</v>
          </cell>
          <cell r="BV86">
            <v>1489.3995521525319</v>
          </cell>
          <cell r="BW86">
            <v>1408.4871361197972</v>
          </cell>
          <cell r="BX86">
            <v>1981.4128161706144</v>
          </cell>
          <cell r="BY86">
            <v>6817.2140283838053</v>
          </cell>
          <cell r="BZ86">
            <v>1877.0319446188487</v>
          </cell>
          <cell r="CA86">
            <v>1356.5170426390448</v>
          </cell>
          <cell r="CB86">
            <v>1169.401390950798</v>
          </cell>
          <cell r="CC86">
            <v>1581.8194386429213</v>
          </cell>
          <cell r="CD86">
            <v>5984.7698168516135</v>
          </cell>
        </row>
        <row r="87">
          <cell r="B87" t="str">
            <v xml:space="preserve">Other Upstream </v>
          </cell>
          <cell r="G87">
            <v>40</v>
          </cell>
          <cell r="L87">
            <v>393</v>
          </cell>
          <cell r="Q87">
            <v>-154</v>
          </cell>
          <cell r="V87">
            <v>1555</v>
          </cell>
          <cell r="AA87">
            <v>162</v>
          </cell>
          <cell r="AF87">
            <v>-77</v>
          </cell>
          <cell r="AK87">
            <v>397</v>
          </cell>
          <cell r="AP87">
            <v>439</v>
          </cell>
          <cell r="AQ87">
            <v>8.0127749999996922</v>
          </cell>
          <cell r="AR87">
            <v>-46.987225000000308</v>
          </cell>
          <cell r="AS87">
            <v>-199.98722499999894</v>
          </cell>
          <cell r="AT87">
            <v>-530.98722499999963</v>
          </cell>
          <cell r="AU87">
            <v>-769.94889999999918</v>
          </cell>
          <cell r="AV87">
            <v>-339.317619554776</v>
          </cell>
          <cell r="AW87">
            <v>-64.317619554776456</v>
          </cell>
          <cell r="AX87">
            <v>-64.317619554775547</v>
          </cell>
          <cell r="AY87">
            <v>-64.317619554776229</v>
          </cell>
          <cell r="AZ87">
            <v>-532.27047821910423</v>
          </cell>
          <cell r="BA87">
            <v>25.192201649238996</v>
          </cell>
          <cell r="BB87">
            <v>25.192201649238768</v>
          </cell>
          <cell r="BC87">
            <v>25.192201649238768</v>
          </cell>
          <cell r="BD87">
            <v>25.19220164923945</v>
          </cell>
          <cell r="BE87">
            <v>100.76880659695598</v>
          </cell>
          <cell r="BF87">
            <v>85.358418490349777</v>
          </cell>
          <cell r="BG87">
            <v>85.358418490350005</v>
          </cell>
          <cell r="BH87">
            <v>85.358418490349777</v>
          </cell>
          <cell r="BI87">
            <v>85.358418490349322</v>
          </cell>
          <cell r="BJ87">
            <v>341.43367396139888</v>
          </cell>
          <cell r="BK87">
            <v>85.938190988569659</v>
          </cell>
          <cell r="BL87">
            <v>85.938190988569659</v>
          </cell>
          <cell r="BM87">
            <v>85.938190988568522</v>
          </cell>
          <cell r="BN87">
            <v>85.938190988569204</v>
          </cell>
          <cell r="BO87">
            <v>343.75276395427704</v>
          </cell>
          <cell r="BP87">
            <v>92.901158069115809</v>
          </cell>
          <cell r="BQ87">
            <v>92.901158069115809</v>
          </cell>
          <cell r="BR87">
            <v>92.901158069115581</v>
          </cell>
          <cell r="BS87">
            <v>92.901158069116264</v>
          </cell>
          <cell r="BT87">
            <v>371.60463227646346</v>
          </cell>
          <cell r="BU87">
            <v>103.17999514992448</v>
          </cell>
          <cell r="BV87">
            <v>103.17999514992403</v>
          </cell>
          <cell r="BW87">
            <v>103.1799951499238</v>
          </cell>
          <cell r="BX87">
            <v>103.17999514992471</v>
          </cell>
          <cell r="BY87">
            <v>412.71998059969701</v>
          </cell>
          <cell r="BZ87">
            <v>115.15732820830544</v>
          </cell>
          <cell r="CA87">
            <v>115.15732820830431</v>
          </cell>
          <cell r="CB87">
            <v>115.15732820830544</v>
          </cell>
          <cell r="CC87">
            <v>115.15732820830476</v>
          </cell>
          <cell r="CD87">
            <v>460.62931283321996</v>
          </cell>
        </row>
        <row r="88">
          <cell r="B88" t="str">
            <v>Check</v>
          </cell>
          <cell r="G88">
            <v>40</v>
          </cell>
          <cell r="L88">
            <v>393</v>
          </cell>
          <cell r="Q88">
            <v>-154</v>
          </cell>
          <cell r="V88">
            <v>1555</v>
          </cell>
          <cell r="AA88">
            <v>162</v>
          </cell>
          <cell r="AF88">
            <v>-77</v>
          </cell>
          <cell r="AK88">
            <v>397</v>
          </cell>
          <cell r="AP88">
            <v>439</v>
          </cell>
          <cell r="AU88">
            <v>-769.94889999999941</v>
          </cell>
          <cell r="AZ88">
            <v>-532.27047821910128</v>
          </cell>
          <cell r="BE88">
            <v>100.76880659695598</v>
          </cell>
          <cell r="BJ88">
            <v>341.43367396140093</v>
          </cell>
          <cell r="BO88">
            <v>343.75276395427682</v>
          </cell>
          <cell r="BT88">
            <v>371.60463227646324</v>
          </cell>
          <cell r="BY88">
            <v>412.71998059969883</v>
          </cell>
          <cell r="CD88">
            <v>460.62931283322177</v>
          </cell>
        </row>
        <row r="90">
          <cell r="B90" t="str">
            <v>Tax rates</v>
          </cell>
        </row>
        <row r="91">
          <cell r="B91" t="str">
            <v>From oil and gas operations (FAS69)</v>
          </cell>
          <cell r="G91">
            <v>0.57873713320018438</v>
          </cell>
          <cell r="L91">
            <v>0.63209509658246654</v>
          </cell>
          <cell r="Q91">
            <v>0.53994340444057465</v>
          </cell>
          <cell r="V91">
            <v>0.63853588007000994</v>
          </cell>
          <cell r="AA91">
            <v>0.70424597364568087</v>
          </cell>
          <cell r="AF91">
            <v>0.48470236115729964</v>
          </cell>
          <cell r="AK91">
            <v>0.64663744253180799</v>
          </cell>
          <cell r="AP91">
            <v>0.71049971925884337</v>
          </cell>
          <cell r="AQ91">
            <v>0.65</v>
          </cell>
          <cell r="AR91">
            <v>0.65</v>
          </cell>
          <cell r="AS91">
            <v>0.65</v>
          </cell>
          <cell r="AT91">
            <v>0.65</v>
          </cell>
          <cell r="AU91">
            <v>0.65</v>
          </cell>
          <cell r="AV91">
            <v>0.65</v>
          </cell>
          <cell r="AW91">
            <v>0.65</v>
          </cell>
          <cell r="AX91">
            <v>0.65</v>
          </cell>
          <cell r="AY91">
            <v>0.65</v>
          </cell>
          <cell r="AZ91">
            <v>0.65</v>
          </cell>
          <cell r="BA91">
            <v>0.65</v>
          </cell>
          <cell r="BB91">
            <v>0.65</v>
          </cell>
          <cell r="BC91">
            <v>0.65</v>
          </cell>
          <cell r="BD91">
            <v>0.65</v>
          </cell>
          <cell r="BE91">
            <v>0.65</v>
          </cell>
          <cell r="BF91">
            <v>0.65</v>
          </cell>
          <cell r="BG91">
            <v>0.65</v>
          </cell>
          <cell r="BH91">
            <v>0.65</v>
          </cell>
          <cell r="BI91">
            <v>0.65</v>
          </cell>
          <cell r="BJ91">
            <v>0.65</v>
          </cell>
          <cell r="BK91">
            <v>0.65</v>
          </cell>
          <cell r="BL91">
            <v>0.65</v>
          </cell>
          <cell r="BM91">
            <v>0.65</v>
          </cell>
          <cell r="BN91">
            <v>0.65</v>
          </cell>
          <cell r="BO91">
            <v>0.65</v>
          </cell>
          <cell r="BP91">
            <v>0.65</v>
          </cell>
          <cell r="BQ91">
            <v>0.65</v>
          </cell>
          <cell r="BR91">
            <v>0.65</v>
          </cell>
          <cell r="BS91">
            <v>0.65</v>
          </cell>
          <cell r="BT91">
            <v>0.65000000000000013</v>
          </cell>
          <cell r="BU91">
            <v>0.65</v>
          </cell>
          <cell r="BV91">
            <v>0.65</v>
          </cell>
          <cell r="BW91">
            <v>0.65</v>
          </cell>
          <cell r="BX91">
            <v>0.64999999999999991</v>
          </cell>
          <cell r="BY91">
            <v>0.64999999999999991</v>
          </cell>
          <cell r="BZ91">
            <v>0.65</v>
          </cell>
          <cell r="CA91">
            <v>0.65</v>
          </cell>
          <cell r="CB91">
            <v>0.65</v>
          </cell>
          <cell r="CC91">
            <v>0.65</v>
          </cell>
          <cell r="CD91">
            <v>0.65</v>
          </cell>
        </row>
        <row r="92">
          <cell r="B92" t="str">
            <v xml:space="preserve">Other Upstream </v>
          </cell>
          <cell r="G92">
            <v>0.85</v>
          </cell>
          <cell r="L92">
            <v>0.37659033078880405</v>
          </cell>
          <cell r="Q92">
            <v>-0.13636363636363635</v>
          </cell>
          <cell r="V92">
            <v>5.0160771704180061E-2</v>
          </cell>
          <cell r="AA92">
            <v>0.63580246913580252</v>
          </cell>
          <cell r="AF92">
            <v>-0.93506493506493504</v>
          </cell>
          <cell r="AK92">
            <v>0.37279596977329976</v>
          </cell>
          <cell r="AP92">
            <v>0.26423690205011391</v>
          </cell>
          <cell r="AQ92">
            <v>0.35</v>
          </cell>
          <cell r="AR92">
            <v>0.35</v>
          </cell>
          <cell r="AS92">
            <v>0.35</v>
          </cell>
          <cell r="AT92">
            <v>0.35</v>
          </cell>
          <cell r="AU92">
            <v>0.35</v>
          </cell>
          <cell r="AV92">
            <v>0.35</v>
          </cell>
          <cell r="AW92">
            <v>0.35</v>
          </cell>
          <cell r="AX92">
            <v>0.35</v>
          </cell>
          <cell r="AY92">
            <v>0.35</v>
          </cell>
          <cell r="AZ92">
            <v>0.35</v>
          </cell>
          <cell r="BA92">
            <v>0.35</v>
          </cell>
          <cell r="BB92">
            <v>0.35</v>
          </cell>
          <cell r="BC92">
            <v>0.35</v>
          </cell>
          <cell r="BD92">
            <v>0.35</v>
          </cell>
          <cell r="BE92">
            <v>0.34999999999999992</v>
          </cell>
          <cell r="BF92">
            <v>0.35</v>
          </cell>
          <cell r="BG92">
            <v>0.35</v>
          </cell>
          <cell r="BH92">
            <v>0.35</v>
          </cell>
          <cell r="BI92">
            <v>0.35</v>
          </cell>
          <cell r="BJ92">
            <v>0.35000000000000003</v>
          </cell>
          <cell r="BK92">
            <v>0.35</v>
          </cell>
          <cell r="BL92">
            <v>0.35</v>
          </cell>
          <cell r="BM92">
            <v>0.35</v>
          </cell>
          <cell r="BN92">
            <v>0.35</v>
          </cell>
          <cell r="BO92">
            <v>0.35</v>
          </cell>
          <cell r="BP92">
            <v>0.35</v>
          </cell>
          <cell r="BQ92">
            <v>0.35</v>
          </cell>
          <cell r="BR92">
            <v>0.35</v>
          </cell>
          <cell r="BS92">
            <v>0.35</v>
          </cell>
          <cell r="BT92">
            <v>0.35</v>
          </cell>
          <cell r="BU92">
            <v>0.35</v>
          </cell>
          <cell r="BV92">
            <v>0.35</v>
          </cell>
          <cell r="BW92">
            <v>0.35</v>
          </cell>
          <cell r="BX92">
            <v>0.35</v>
          </cell>
          <cell r="BY92">
            <v>0.35</v>
          </cell>
          <cell r="BZ92">
            <v>0.35</v>
          </cell>
          <cell r="CA92">
            <v>0.35</v>
          </cell>
          <cell r="CB92">
            <v>0.35</v>
          </cell>
          <cell r="CC92">
            <v>0.35</v>
          </cell>
          <cell r="CD92">
            <v>0.35</v>
          </cell>
        </row>
        <row r="93">
          <cell r="B93" t="str">
            <v>Tax rate</v>
          </cell>
          <cell r="G93">
            <v>0.40035812091847484</v>
          </cell>
          <cell r="L93">
            <v>0.54494616476087143</v>
          </cell>
          <cell r="Q93">
            <v>0.46125358763077495</v>
          </cell>
          <cell r="V93">
            <v>0.49016089825211251</v>
          </cell>
          <cell r="AA93">
            <v>0.52027850304612711</v>
          </cell>
          <cell r="AF93">
            <v>0.40833902939166095</v>
          </cell>
          <cell r="AK93">
            <v>0.54943690697880643</v>
          </cell>
          <cell r="AP93">
            <v>0.58514213059667608</v>
          </cell>
          <cell r="AQ93">
            <v>0.55465039662693472</v>
          </cell>
          <cell r="AR93">
            <v>0.50694577932752127</v>
          </cell>
          <cell r="AS93">
            <v>0.51885011718229068</v>
          </cell>
          <cell r="AT93">
            <v>0.62358436799794958</v>
          </cell>
          <cell r="AU93">
            <v>0.55330261074517539</v>
          </cell>
          <cell r="AV93">
            <v>0.60302199248252453</v>
          </cell>
          <cell r="AW93">
            <v>0.54462003146509663</v>
          </cell>
          <cell r="AX93">
            <v>0.53800358081139987</v>
          </cell>
          <cell r="AY93">
            <v>0.57667901778390185</v>
          </cell>
          <cell r="AZ93">
            <v>0.56844021188314175</v>
          </cell>
          <cell r="BA93">
            <v>0.57155474346457924</v>
          </cell>
          <cell r="BB93">
            <v>0.53585606089209636</v>
          </cell>
          <cell r="BC93">
            <v>0.5150791537450945</v>
          </cell>
          <cell r="BD93">
            <v>0.55541223705756337</v>
          </cell>
          <cell r="BE93">
            <v>0.54893905770053886</v>
          </cell>
          <cell r="BF93">
            <v>0.55209561515465666</v>
          </cell>
          <cell r="BG93">
            <v>0.5180833128646406</v>
          </cell>
          <cell r="BH93">
            <v>0.51135544901586938</v>
          </cell>
          <cell r="BI93">
            <v>0.5540975459109001</v>
          </cell>
          <cell r="BJ93">
            <v>0.53715803826101005</v>
          </cell>
          <cell r="BK93">
            <v>0.56016518106957802</v>
          </cell>
          <cell r="BL93">
            <v>0.53831882347616999</v>
          </cell>
          <cell r="BM93">
            <v>0.53528876069792442</v>
          </cell>
          <cell r="BN93">
            <v>0.566068008444365</v>
          </cell>
          <cell r="BO93">
            <v>0.55175319526724065</v>
          </cell>
          <cell r="BP93">
            <v>0.56661930150693673</v>
          </cell>
          <cell r="BQ93">
            <v>0.54106472107217674</v>
          </cell>
          <cell r="BR93">
            <v>0.52856060162014984</v>
          </cell>
          <cell r="BS93">
            <v>0.55527482210937928</v>
          </cell>
          <cell r="BT93">
            <v>0.54981266275405305</v>
          </cell>
          <cell r="BU93">
            <v>0.55820409141677152</v>
          </cell>
          <cell r="BV93">
            <v>0.53524022411542072</v>
          </cell>
          <cell r="BW93">
            <v>0.52905219185949914</v>
          </cell>
          <cell r="BX93">
            <v>0.55807923502007939</v>
          </cell>
          <cell r="BY93">
            <v>0.54675455736228473</v>
          </cell>
          <cell r="BZ93">
            <v>0.55454823777060558</v>
          </cell>
          <cell r="CA93">
            <v>0.52498400023887981</v>
          </cell>
          <cell r="CB93">
            <v>0.50875412529257347</v>
          </cell>
          <cell r="CC93">
            <v>0.53770091822528854</v>
          </cell>
          <cell r="CD93">
            <v>0.53380265432858753</v>
          </cell>
        </row>
        <row r="95">
          <cell r="A95" t="str">
            <v>Other items</v>
          </cell>
        </row>
        <row r="96">
          <cell r="B96" t="str">
            <v>From oil and gas operations (FAS69)</v>
          </cell>
          <cell r="G96">
            <v>413</v>
          </cell>
          <cell r="L96">
            <v>781</v>
          </cell>
          <cell r="Q96">
            <v>-107</v>
          </cell>
          <cell r="V96">
            <v>440</v>
          </cell>
          <cell r="AA96">
            <v>1064</v>
          </cell>
          <cell r="AF96">
            <v>1144</v>
          </cell>
          <cell r="AK96">
            <v>1670</v>
          </cell>
          <cell r="AP96">
            <v>1331</v>
          </cell>
          <cell r="AQ96">
            <v>300</v>
          </cell>
          <cell r="AR96">
            <v>300</v>
          </cell>
          <cell r="AS96">
            <v>300</v>
          </cell>
          <cell r="AT96">
            <v>300</v>
          </cell>
          <cell r="AU96">
            <v>1200</v>
          </cell>
          <cell r="AV96">
            <v>300</v>
          </cell>
          <cell r="AW96">
            <v>300</v>
          </cell>
          <cell r="AX96">
            <v>300</v>
          </cell>
          <cell r="AY96">
            <v>300</v>
          </cell>
          <cell r="AZ96">
            <v>1200</v>
          </cell>
          <cell r="BA96">
            <v>300</v>
          </cell>
          <cell r="BB96">
            <v>300</v>
          </cell>
          <cell r="BC96">
            <v>300</v>
          </cell>
          <cell r="BD96">
            <v>300</v>
          </cell>
          <cell r="BE96">
            <v>1200</v>
          </cell>
          <cell r="BF96">
            <v>300</v>
          </cell>
          <cell r="BG96">
            <v>300</v>
          </cell>
          <cell r="BH96">
            <v>300</v>
          </cell>
          <cell r="BI96">
            <v>300</v>
          </cell>
          <cell r="BJ96">
            <v>1200</v>
          </cell>
          <cell r="BK96">
            <v>300</v>
          </cell>
          <cell r="BL96">
            <v>300</v>
          </cell>
          <cell r="BM96">
            <v>300</v>
          </cell>
          <cell r="BN96">
            <v>300</v>
          </cell>
          <cell r="BO96">
            <v>1200</v>
          </cell>
          <cell r="BP96">
            <v>300</v>
          </cell>
          <cell r="BQ96">
            <v>300</v>
          </cell>
          <cell r="BR96">
            <v>300</v>
          </cell>
          <cell r="BS96">
            <v>300</v>
          </cell>
          <cell r="BT96">
            <v>1200</v>
          </cell>
          <cell r="BU96">
            <v>300</v>
          </cell>
          <cell r="BV96">
            <v>300</v>
          </cell>
          <cell r="BW96">
            <v>300</v>
          </cell>
          <cell r="BX96">
            <v>300</v>
          </cell>
          <cell r="BY96">
            <v>1200</v>
          </cell>
          <cell r="BZ96">
            <v>300</v>
          </cell>
          <cell r="CA96">
            <v>300</v>
          </cell>
          <cell r="CB96">
            <v>300</v>
          </cell>
          <cell r="CC96">
            <v>300</v>
          </cell>
          <cell r="CD96">
            <v>1200</v>
          </cell>
        </row>
        <row r="97">
          <cell r="B97" t="str">
            <v>Other Upstream</v>
          </cell>
          <cell r="G97">
            <v>8468</v>
          </cell>
          <cell r="L97">
            <v>5371</v>
          </cell>
          <cell r="Q97">
            <v>6513</v>
          </cell>
          <cell r="V97">
            <v>8636</v>
          </cell>
          <cell r="AA97">
            <v>8247</v>
          </cell>
          <cell r="AF97">
            <v>7640</v>
          </cell>
          <cell r="AK97">
            <v>9532</v>
          </cell>
          <cell r="AP97">
            <v>10795</v>
          </cell>
          <cell r="AQ97">
            <v>2100</v>
          </cell>
          <cell r="AR97">
            <v>2100</v>
          </cell>
          <cell r="AS97">
            <v>2100</v>
          </cell>
          <cell r="AT97">
            <v>2100</v>
          </cell>
          <cell r="AU97">
            <v>8400</v>
          </cell>
          <cell r="AV97">
            <v>2100</v>
          </cell>
          <cell r="AW97">
            <v>2100</v>
          </cell>
          <cell r="AX97">
            <v>2100</v>
          </cell>
          <cell r="AY97">
            <v>2100</v>
          </cell>
          <cell r="AZ97">
            <v>8400</v>
          </cell>
          <cell r="BA97">
            <v>2100</v>
          </cell>
          <cell r="BB97">
            <v>2100</v>
          </cell>
          <cell r="BC97">
            <v>2100</v>
          </cell>
          <cell r="BD97">
            <v>2100</v>
          </cell>
          <cell r="BE97">
            <v>8400</v>
          </cell>
          <cell r="BF97">
            <v>2100</v>
          </cell>
          <cell r="BG97">
            <v>2100</v>
          </cell>
          <cell r="BH97">
            <v>2100</v>
          </cell>
          <cell r="BI97">
            <v>2100</v>
          </cell>
          <cell r="BJ97">
            <v>8400</v>
          </cell>
          <cell r="BK97">
            <v>2100</v>
          </cell>
          <cell r="BL97">
            <v>2100</v>
          </cell>
          <cell r="BM97">
            <v>2100</v>
          </cell>
          <cell r="BN97">
            <v>2100</v>
          </cell>
          <cell r="BO97">
            <v>8400</v>
          </cell>
          <cell r="BP97">
            <v>2100</v>
          </cell>
          <cell r="BQ97">
            <v>2100</v>
          </cell>
          <cell r="BR97">
            <v>2100</v>
          </cell>
          <cell r="BS97">
            <v>2100</v>
          </cell>
          <cell r="BT97">
            <v>8400</v>
          </cell>
          <cell r="BU97">
            <v>2100</v>
          </cell>
          <cell r="BV97">
            <v>2100</v>
          </cell>
          <cell r="BW97">
            <v>2100</v>
          </cell>
          <cell r="BX97">
            <v>2100</v>
          </cell>
          <cell r="BY97">
            <v>8400</v>
          </cell>
          <cell r="BZ97">
            <v>2100</v>
          </cell>
          <cell r="CA97">
            <v>2100</v>
          </cell>
          <cell r="CB97">
            <v>2100</v>
          </cell>
          <cell r="CC97">
            <v>2100</v>
          </cell>
          <cell r="CD97">
            <v>8400</v>
          </cell>
        </row>
        <row r="99">
          <cell r="B99" t="str">
            <v>Other items % Other revenue</v>
          </cell>
          <cell r="G99">
            <v>1.0723255252354504</v>
          </cell>
          <cell r="L99">
            <v>1.0014650822073905</v>
          </cell>
          <cell r="Q99">
            <v>1.1286116983791403</v>
          </cell>
          <cell r="V99">
            <v>1.0086685930206714</v>
          </cell>
          <cell r="AA99">
            <v>1.0134973331882007</v>
          </cell>
          <cell r="AF99">
            <v>1.0088434592856323</v>
          </cell>
          <cell r="AK99">
            <v>1.0328231606122074</v>
          </cell>
          <cell r="AP99">
            <v>1.0463370437483821</v>
          </cell>
          <cell r="AQ99">
            <v>1</v>
          </cell>
          <cell r="AR99">
            <v>1</v>
          </cell>
          <cell r="AS99">
            <v>1</v>
          </cell>
          <cell r="AT99">
            <v>1</v>
          </cell>
          <cell r="AU99">
            <v>1</v>
          </cell>
          <cell r="AV99">
            <v>1</v>
          </cell>
          <cell r="AW99">
            <v>1</v>
          </cell>
          <cell r="AX99">
            <v>1</v>
          </cell>
          <cell r="AY99">
            <v>1</v>
          </cell>
          <cell r="AZ99">
            <v>1</v>
          </cell>
          <cell r="BA99">
            <v>1</v>
          </cell>
          <cell r="BB99">
            <v>1</v>
          </cell>
          <cell r="BC99">
            <v>1</v>
          </cell>
          <cell r="BD99">
            <v>1</v>
          </cell>
          <cell r="BE99">
            <v>1</v>
          </cell>
          <cell r="BF99">
            <v>1</v>
          </cell>
          <cell r="BG99">
            <v>1</v>
          </cell>
          <cell r="BH99">
            <v>1</v>
          </cell>
          <cell r="BI99">
            <v>1</v>
          </cell>
          <cell r="BJ99">
            <v>1</v>
          </cell>
          <cell r="BK99">
            <v>1</v>
          </cell>
          <cell r="BL99">
            <v>1</v>
          </cell>
          <cell r="BM99">
            <v>1</v>
          </cell>
          <cell r="BN99">
            <v>1</v>
          </cell>
          <cell r="BO99">
            <v>1</v>
          </cell>
          <cell r="BP99">
            <v>1</v>
          </cell>
          <cell r="BQ99">
            <v>1</v>
          </cell>
          <cell r="BR99">
            <v>1</v>
          </cell>
          <cell r="BS99">
            <v>1</v>
          </cell>
          <cell r="BT99">
            <v>1</v>
          </cell>
          <cell r="BU99">
            <v>1</v>
          </cell>
          <cell r="BV99">
            <v>1</v>
          </cell>
          <cell r="BW99">
            <v>1</v>
          </cell>
          <cell r="BX99">
            <v>1</v>
          </cell>
          <cell r="BY99">
            <v>1</v>
          </cell>
          <cell r="BZ99">
            <v>1</v>
          </cell>
          <cell r="CA99">
            <v>1</v>
          </cell>
          <cell r="CB99">
            <v>1</v>
          </cell>
          <cell r="CC99">
            <v>1</v>
          </cell>
          <cell r="CD99">
            <v>1</v>
          </cell>
        </row>
        <row r="101">
          <cell r="B101" t="str">
            <v>Distribution</v>
          </cell>
        </row>
        <row r="102">
          <cell r="B102" t="str">
            <v>Purchases</v>
          </cell>
          <cell r="G102">
            <v>0.86454228127463129</v>
          </cell>
          <cell r="L102">
            <v>0.74317295188556565</v>
          </cell>
          <cell r="Q102">
            <v>0.73758975960037465</v>
          </cell>
          <cell r="V102">
            <v>0.78933450859409426</v>
          </cell>
          <cell r="AA102">
            <v>0.78842229620878534</v>
          </cell>
          <cell r="AF102">
            <v>0.8400500910746812</v>
          </cell>
          <cell r="AK102">
            <v>0.86475629351901451</v>
          </cell>
          <cell r="AP102">
            <v>0.88149430974764964</v>
          </cell>
          <cell r="AQ102">
            <v>0.87</v>
          </cell>
          <cell r="AR102">
            <v>0.87</v>
          </cell>
          <cell r="AS102">
            <v>0.87</v>
          </cell>
          <cell r="AT102">
            <v>0.87</v>
          </cell>
          <cell r="AU102">
            <v>0.87</v>
          </cell>
          <cell r="AV102">
            <v>0.87</v>
          </cell>
          <cell r="AW102">
            <v>0.87</v>
          </cell>
          <cell r="AX102">
            <v>0.87</v>
          </cell>
          <cell r="AY102">
            <v>0.87</v>
          </cell>
          <cell r="AZ102">
            <v>0.87</v>
          </cell>
          <cell r="BA102">
            <v>0.87</v>
          </cell>
          <cell r="BB102">
            <v>0.87</v>
          </cell>
          <cell r="BC102">
            <v>0.87</v>
          </cell>
          <cell r="BD102">
            <v>0.87</v>
          </cell>
          <cell r="BE102">
            <v>0.87</v>
          </cell>
          <cell r="BF102">
            <v>0.87</v>
          </cell>
          <cell r="BG102">
            <v>0.87</v>
          </cell>
          <cell r="BH102">
            <v>0.87</v>
          </cell>
          <cell r="BI102">
            <v>0.87</v>
          </cell>
          <cell r="BJ102">
            <v>0.87</v>
          </cell>
          <cell r="BK102">
            <v>0.87</v>
          </cell>
          <cell r="BL102">
            <v>0.87</v>
          </cell>
          <cell r="BM102">
            <v>0.87</v>
          </cell>
          <cell r="BN102">
            <v>0.87</v>
          </cell>
          <cell r="BO102">
            <v>0.87</v>
          </cell>
          <cell r="BP102">
            <v>0.87</v>
          </cell>
          <cell r="BQ102">
            <v>0.87</v>
          </cell>
          <cell r="BR102">
            <v>0.87</v>
          </cell>
          <cell r="BS102">
            <v>0.87</v>
          </cell>
          <cell r="BT102">
            <v>0.87</v>
          </cell>
          <cell r="BU102">
            <v>0.87</v>
          </cell>
          <cell r="BV102">
            <v>0.87</v>
          </cell>
          <cell r="BW102">
            <v>0.87</v>
          </cell>
          <cell r="BX102">
            <v>0.87</v>
          </cell>
          <cell r="BY102">
            <v>0.87</v>
          </cell>
          <cell r="BZ102">
            <v>0.87</v>
          </cell>
          <cell r="CA102">
            <v>0.87</v>
          </cell>
          <cell r="CB102">
            <v>0.87</v>
          </cell>
          <cell r="CC102">
            <v>0.87</v>
          </cell>
          <cell r="CD102">
            <v>0.87</v>
          </cell>
        </row>
        <row r="103">
          <cell r="B103" t="str">
            <v>Selling, distribution and admin expenses</v>
          </cell>
          <cell r="G103">
            <v>0.10933453439927936</v>
          </cell>
          <cell r="L103">
            <v>0.21115084525357608</v>
          </cell>
          <cell r="Q103">
            <v>0.19388073680924134</v>
          </cell>
          <cell r="V103">
            <v>0.15766857646540325</v>
          </cell>
          <cell r="AA103">
            <v>0.16700676619052734</v>
          </cell>
          <cell r="AF103">
            <v>0.11259107468123862</v>
          </cell>
          <cell r="AK103">
            <v>9.016247098732369E-2</v>
          </cell>
          <cell r="AP103">
            <v>6.9437572158997193E-2</v>
          </cell>
          <cell r="AQ103">
            <v>0.08</v>
          </cell>
          <cell r="AR103">
            <v>0.08</v>
          </cell>
          <cell r="AS103">
            <v>0.08</v>
          </cell>
          <cell r="AT103">
            <v>0.08</v>
          </cell>
          <cell r="AU103">
            <v>0.08</v>
          </cell>
          <cell r="AV103">
            <v>0.08</v>
          </cell>
          <cell r="AW103">
            <v>0.08</v>
          </cell>
          <cell r="AX103">
            <v>0.08</v>
          </cell>
          <cell r="AY103">
            <v>0.08</v>
          </cell>
          <cell r="AZ103">
            <v>0.08</v>
          </cell>
          <cell r="BA103">
            <v>0.08</v>
          </cell>
          <cell r="BB103">
            <v>0.08</v>
          </cell>
          <cell r="BC103">
            <v>0.08</v>
          </cell>
          <cell r="BD103">
            <v>0.08</v>
          </cell>
          <cell r="BE103">
            <v>0.08</v>
          </cell>
          <cell r="BF103">
            <v>0.08</v>
          </cell>
          <cell r="BG103">
            <v>0.08</v>
          </cell>
          <cell r="BH103">
            <v>0.08</v>
          </cell>
          <cell r="BI103">
            <v>0.08</v>
          </cell>
          <cell r="BJ103">
            <v>0.08</v>
          </cell>
          <cell r="BK103">
            <v>0.08</v>
          </cell>
          <cell r="BL103">
            <v>0.08</v>
          </cell>
          <cell r="BM103">
            <v>0.08</v>
          </cell>
          <cell r="BN103">
            <v>0.08</v>
          </cell>
          <cell r="BO103">
            <v>0.08</v>
          </cell>
          <cell r="BP103">
            <v>0.08</v>
          </cell>
          <cell r="BQ103">
            <v>0.08</v>
          </cell>
          <cell r="BR103">
            <v>0.08</v>
          </cell>
          <cell r="BS103">
            <v>0.08</v>
          </cell>
          <cell r="BT103">
            <v>0.08</v>
          </cell>
          <cell r="BU103">
            <v>0.08</v>
          </cell>
          <cell r="BV103">
            <v>0.08</v>
          </cell>
          <cell r="BW103">
            <v>0.08</v>
          </cell>
          <cell r="BX103">
            <v>0.08</v>
          </cell>
          <cell r="BY103">
            <v>0.08</v>
          </cell>
          <cell r="BZ103">
            <v>0.08</v>
          </cell>
          <cell r="CA103">
            <v>0.08</v>
          </cell>
          <cell r="CB103">
            <v>0.08</v>
          </cell>
          <cell r="CC103">
            <v>0.08</v>
          </cell>
          <cell r="CD103">
            <v>0.08</v>
          </cell>
        </row>
        <row r="104">
          <cell r="B104" t="str">
            <v>Research and development</v>
          </cell>
          <cell r="G104">
            <v>2.6123184326089403E-2</v>
          </cell>
          <cell r="L104">
            <v>4.5676202860858259E-2</v>
          </cell>
          <cell r="Q104">
            <v>6.8529503590384011E-2</v>
          </cell>
          <cell r="V104">
            <v>5.2996914940502425E-2</v>
          </cell>
          <cell r="AA104">
            <v>4.4570937600687359E-2</v>
          </cell>
          <cell r="AF104">
            <v>4.7358834244080147E-2</v>
          </cell>
          <cell r="AK104">
            <v>4.5081235493661845E-2</v>
          </cell>
          <cell r="AP104">
            <v>4.9068118093353125E-2</v>
          </cell>
          <cell r="AQ104">
            <v>5.0000000000000044E-2</v>
          </cell>
          <cell r="AR104">
            <v>5.0000000000000044E-2</v>
          </cell>
          <cell r="AS104">
            <v>5.0000000000000044E-2</v>
          </cell>
          <cell r="AT104">
            <v>5.0000000000000044E-2</v>
          </cell>
          <cell r="AU104">
            <v>5.0000000000000044E-2</v>
          </cell>
          <cell r="AV104">
            <v>5.0000000000000044E-2</v>
          </cell>
          <cell r="AW104">
            <v>5.0000000000000044E-2</v>
          </cell>
          <cell r="AX104">
            <v>5.0000000000000044E-2</v>
          </cell>
          <cell r="AY104">
            <v>5.0000000000000044E-2</v>
          </cell>
          <cell r="AZ104">
            <v>5.0000000000000044E-2</v>
          </cell>
          <cell r="BA104">
            <v>5.0000000000000044E-2</v>
          </cell>
          <cell r="BB104">
            <v>5.0000000000000044E-2</v>
          </cell>
          <cell r="BC104">
            <v>5.0000000000000044E-2</v>
          </cell>
          <cell r="BD104">
            <v>5.0000000000000044E-2</v>
          </cell>
          <cell r="BE104">
            <v>5.0000000000000044E-2</v>
          </cell>
          <cell r="BF104">
            <v>5.0000000000000044E-2</v>
          </cell>
          <cell r="BG104">
            <v>5.0000000000000044E-2</v>
          </cell>
          <cell r="BH104">
            <v>5.0000000000000044E-2</v>
          </cell>
          <cell r="BI104">
            <v>5.0000000000000044E-2</v>
          </cell>
          <cell r="BJ104">
            <v>5.0000000000000044E-2</v>
          </cell>
          <cell r="BK104">
            <v>5.0000000000000044E-2</v>
          </cell>
          <cell r="BL104">
            <v>5.0000000000000044E-2</v>
          </cell>
          <cell r="BM104">
            <v>5.0000000000000044E-2</v>
          </cell>
          <cell r="BN104">
            <v>5.0000000000000044E-2</v>
          </cell>
          <cell r="BO104">
            <v>5.0000000000000044E-2</v>
          </cell>
          <cell r="BP104">
            <v>5.0000000000000044E-2</v>
          </cell>
          <cell r="BQ104">
            <v>5.0000000000000044E-2</v>
          </cell>
          <cell r="BR104">
            <v>5.0000000000000044E-2</v>
          </cell>
          <cell r="BS104">
            <v>5.0000000000000044E-2</v>
          </cell>
          <cell r="BT104">
            <v>5.0000000000000044E-2</v>
          </cell>
          <cell r="BU104">
            <v>5.0000000000000044E-2</v>
          </cell>
          <cell r="BV104">
            <v>5.0000000000000044E-2</v>
          </cell>
          <cell r="BW104">
            <v>5.0000000000000044E-2</v>
          </cell>
          <cell r="BX104">
            <v>5.0000000000000044E-2</v>
          </cell>
          <cell r="BY104">
            <v>5.0000000000000044E-2</v>
          </cell>
          <cell r="BZ104">
            <v>5.0000000000000044E-2</v>
          </cell>
          <cell r="CA104">
            <v>5.0000000000000044E-2</v>
          </cell>
          <cell r="CB104">
            <v>5.0000000000000044E-2</v>
          </cell>
          <cell r="CC104">
            <v>5.0000000000000044E-2</v>
          </cell>
          <cell r="CD104">
            <v>5.0000000000000044E-2</v>
          </cell>
        </row>
        <row r="106">
          <cell r="A106" t="str">
            <v>Earnings</v>
          </cell>
        </row>
        <row r="107">
          <cell r="B107" t="str">
            <v>From oil and gas operations (FAS69)</v>
          </cell>
          <cell r="G107">
            <v>5596</v>
          </cell>
          <cell r="L107">
            <v>5125</v>
          </cell>
          <cell r="Q107">
            <v>5894</v>
          </cell>
          <cell r="V107">
            <v>7269</v>
          </cell>
          <cell r="AA107">
            <v>2721</v>
          </cell>
          <cell r="AF107">
            <v>4493</v>
          </cell>
          <cell r="AK107">
            <v>4809</v>
          </cell>
          <cell r="AP107">
            <v>4236</v>
          </cell>
          <cell r="AQ107">
            <v>1309.8943191072076</v>
          </cell>
          <cell r="AR107">
            <v>813.54323062758272</v>
          </cell>
          <cell r="AS107">
            <v>694.86585887919387</v>
          </cell>
          <cell r="AT107">
            <v>934.30804549943036</v>
          </cell>
          <cell r="AU107">
            <v>3752.6114541134143</v>
          </cell>
          <cell r="AV107">
            <v>1046.7106356944307</v>
          </cell>
          <cell r="AW107">
            <v>843.44260435497108</v>
          </cell>
          <cell r="AX107">
            <v>831.62841167491706</v>
          </cell>
          <cell r="AY107">
            <v>1172.0853530499094</v>
          </cell>
          <cell r="AZ107">
            <v>3893.8670047742262</v>
          </cell>
          <cell r="BA107">
            <v>1149.6732040012316</v>
          </cell>
          <cell r="BB107">
            <v>834.46346419649285</v>
          </cell>
          <cell r="BC107">
            <v>720.2732012238032</v>
          </cell>
          <cell r="BD107">
            <v>936.19742146842611</v>
          </cell>
          <cell r="BE107">
            <v>3640.607290889955</v>
          </cell>
          <cell r="BF107">
            <v>929.61336269009541</v>
          </cell>
          <cell r="BG107">
            <v>727.21496631265472</v>
          </cell>
          <cell r="BH107">
            <v>695.47488044327645</v>
          </cell>
          <cell r="BI107">
            <v>939.03313356779904</v>
          </cell>
          <cell r="BJ107">
            <v>3291.3363430138274</v>
          </cell>
          <cell r="BK107">
            <v>960.98621926648832</v>
          </cell>
          <cell r="BL107">
            <v>808.2577450182348</v>
          </cell>
          <cell r="BM107">
            <v>797.92245769603983</v>
          </cell>
          <cell r="BN107">
            <v>1033.79684530144</v>
          </cell>
          <cell r="BO107">
            <v>3600.9632672822022</v>
          </cell>
          <cell r="BP107">
            <v>1022.7212798751661</v>
          </cell>
          <cell r="BQ107">
            <v>829.27550851170872</v>
          </cell>
          <cell r="BR107">
            <v>770.36730676525463</v>
          </cell>
          <cell r="BS107">
            <v>949.58333681821011</v>
          </cell>
          <cell r="BT107">
            <v>3571.9474319703386</v>
          </cell>
          <cell r="BU107">
            <v>958.47248559069749</v>
          </cell>
          <cell r="BV107">
            <v>804.91963515236091</v>
          </cell>
          <cell r="BW107">
            <v>780.04770846741428</v>
          </cell>
          <cell r="BX107">
            <v>981.38078792908607</v>
          </cell>
          <cell r="BY107">
            <v>3524.8206171395586</v>
          </cell>
          <cell r="BZ107">
            <v>937.56937251878867</v>
          </cell>
          <cell r="CA107">
            <v>759.42896231751195</v>
          </cell>
          <cell r="CB107">
            <v>698.01821234009276</v>
          </cell>
          <cell r="CC107">
            <v>843.80133358176545</v>
          </cell>
          <cell r="CD107">
            <v>3238.8178807581603</v>
          </cell>
        </row>
        <row r="108">
          <cell r="B108" t="str">
            <v>Upstream</v>
          </cell>
          <cell r="G108">
            <v>5693</v>
          </cell>
          <cell r="L108">
            <v>5452</v>
          </cell>
          <cell r="Q108">
            <v>5819</v>
          </cell>
          <cell r="V108">
            <v>8809</v>
          </cell>
          <cell r="AA108">
            <v>2756</v>
          </cell>
          <cell r="AF108">
            <v>4328</v>
          </cell>
          <cell r="AK108">
            <v>5081</v>
          </cell>
          <cell r="AP108">
            <v>4568</v>
          </cell>
          <cell r="AQ108">
            <v>1315</v>
          </cell>
          <cell r="AR108">
            <v>783</v>
          </cell>
          <cell r="AS108">
            <v>565</v>
          </cell>
          <cell r="AT108">
            <v>589</v>
          </cell>
          <cell r="AU108">
            <v>3252</v>
          </cell>
          <cell r="AV108">
            <v>826.15418298382633</v>
          </cell>
          <cell r="AW108">
            <v>801.63615164436635</v>
          </cell>
          <cell r="AX108">
            <v>789.8219589643129</v>
          </cell>
          <cell r="AY108">
            <v>1130.278900339305</v>
          </cell>
          <cell r="AZ108">
            <v>3547.8911939318109</v>
          </cell>
          <cell r="BA108">
            <v>1166.0481350732371</v>
          </cell>
          <cell r="BB108">
            <v>850.83839526849806</v>
          </cell>
          <cell r="BC108">
            <v>736.64813229580852</v>
          </cell>
          <cell r="BD108">
            <v>952.57235254043167</v>
          </cell>
          <cell r="BE108">
            <v>3706.107015177975</v>
          </cell>
          <cell r="BF108">
            <v>985.09633470882295</v>
          </cell>
          <cell r="BG108">
            <v>782.69793833138215</v>
          </cell>
          <cell r="BH108">
            <v>750.95785246200387</v>
          </cell>
          <cell r="BI108">
            <v>994.51610558652601</v>
          </cell>
          <cell r="BJ108">
            <v>3513.2682310887349</v>
          </cell>
          <cell r="BK108">
            <v>1016.8460434090584</v>
          </cell>
          <cell r="BL108">
            <v>864.11756916080503</v>
          </cell>
          <cell r="BM108">
            <v>853.78228183860949</v>
          </cell>
          <cell r="BN108">
            <v>1089.65666944401</v>
          </cell>
          <cell r="BO108">
            <v>3824.4025638524827</v>
          </cell>
          <cell r="BP108">
            <v>1083.1070326200913</v>
          </cell>
          <cell r="BQ108">
            <v>889.66126125663391</v>
          </cell>
          <cell r="BR108">
            <v>830.75305951017981</v>
          </cell>
          <cell r="BS108">
            <v>1009.9690895631356</v>
          </cell>
          <cell r="BT108">
            <v>3813.4904429500407</v>
          </cell>
          <cell r="BU108">
            <v>1025.5394824381483</v>
          </cell>
          <cell r="BV108">
            <v>871.98663199981161</v>
          </cell>
          <cell r="BW108">
            <v>847.11470531486475</v>
          </cell>
          <cell r="BX108">
            <v>1048.447784776537</v>
          </cell>
          <cell r="BY108">
            <v>3793.0886045293614</v>
          </cell>
          <cell r="BZ108">
            <v>1012.4216358541871</v>
          </cell>
          <cell r="CA108">
            <v>834.28122565290971</v>
          </cell>
          <cell r="CB108">
            <v>772.87047567549121</v>
          </cell>
          <cell r="CC108">
            <v>918.65359691716344</v>
          </cell>
          <cell r="CD108">
            <v>3538.2269340997518</v>
          </cell>
        </row>
        <row r="109">
          <cell r="B109" t="str">
            <v>Difference</v>
          </cell>
          <cell r="G109">
            <v>97</v>
          </cell>
          <cell r="L109">
            <v>327</v>
          </cell>
          <cell r="Q109">
            <v>-75</v>
          </cell>
          <cell r="V109">
            <v>1540</v>
          </cell>
          <cell r="AA109">
            <v>35</v>
          </cell>
          <cell r="AF109">
            <v>-165</v>
          </cell>
          <cell r="AK109">
            <v>272</v>
          </cell>
          <cell r="AP109">
            <v>332</v>
          </cell>
          <cell r="AQ109">
            <v>5.1056808927924067</v>
          </cell>
          <cell r="AR109">
            <v>-30.543230627582716</v>
          </cell>
          <cell r="AS109">
            <v>-129.86585887919387</v>
          </cell>
          <cell r="AT109">
            <v>-345.30804549943036</v>
          </cell>
          <cell r="AU109">
            <v>-500.61145411341431</v>
          </cell>
          <cell r="AV109">
            <v>-220.55645271060439</v>
          </cell>
          <cell r="AW109">
            <v>-41.806452710604731</v>
          </cell>
          <cell r="AX109">
            <v>-41.806452710604162</v>
          </cell>
          <cell r="AY109">
            <v>-41.80645271060439</v>
          </cell>
          <cell r="AZ109">
            <v>-345.97581084241529</v>
          </cell>
          <cell r="BA109">
            <v>16.374931072005438</v>
          </cell>
          <cell r="BB109">
            <v>16.374931072005211</v>
          </cell>
          <cell r="BC109">
            <v>16.374931072005324</v>
          </cell>
          <cell r="BD109">
            <v>16.374931072005552</v>
          </cell>
          <cell r="BE109">
            <v>65.499724288019934</v>
          </cell>
          <cell r="BF109">
            <v>55.482972018727537</v>
          </cell>
          <cell r="BG109">
            <v>55.482972018727423</v>
          </cell>
          <cell r="BH109">
            <v>55.482972018727423</v>
          </cell>
          <cell r="BI109">
            <v>55.482972018726969</v>
          </cell>
          <cell r="BJ109">
            <v>221.93188807490742</v>
          </cell>
          <cell r="BK109">
            <v>55.859824142570119</v>
          </cell>
          <cell r="BL109">
            <v>55.859824142570233</v>
          </cell>
          <cell r="BM109">
            <v>55.859824142569664</v>
          </cell>
          <cell r="BN109">
            <v>55.859824142570005</v>
          </cell>
          <cell r="BO109">
            <v>223.43929657028048</v>
          </cell>
          <cell r="BP109">
            <v>60.385752744925185</v>
          </cell>
          <cell r="BQ109">
            <v>60.385752744925185</v>
          </cell>
          <cell r="BR109">
            <v>60.385752744925185</v>
          </cell>
          <cell r="BS109">
            <v>60.385752744925526</v>
          </cell>
          <cell r="BT109">
            <v>241.5430109797021</v>
          </cell>
          <cell r="BU109">
            <v>67.06699684745081</v>
          </cell>
          <cell r="BV109">
            <v>67.066996847450696</v>
          </cell>
          <cell r="BW109">
            <v>67.066996847450469</v>
          </cell>
          <cell r="BX109">
            <v>67.066996847450923</v>
          </cell>
          <cell r="BY109">
            <v>268.26798738980278</v>
          </cell>
          <cell r="BZ109">
            <v>74.852263335398447</v>
          </cell>
          <cell r="CA109">
            <v>74.852263335397765</v>
          </cell>
          <cell r="CB109">
            <v>74.852263335398447</v>
          </cell>
          <cell r="CC109">
            <v>74.852263335397993</v>
          </cell>
          <cell r="CD109">
            <v>299.40905334159152</v>
          </cell>
        </row>
        <row r="113">
          <cell r="A113" t="str">
            <v>Non-Europe International: Asia (East Asia and Oceania) and Other (Africa, Middle East and CIS)</v>
          </cell>
        </row>
        <row r="114">
          <cell r="C114">
            <v>2001</v>
          </cell>
          <cell r="D114">
            <v>2002</v>
          </cell>
          <cell r="E114">
            <v>2003</v>
          </cell>
          <cell r="F114">
            <v>2004</v>
          </cell>
          <cell r="G114">
            <v>2005</v>
          </cell>
          <cell r="H114" t="str">
            <v>1Q06</v>
          </cell>
          <cell r="I114" t="str">
            <v>2Q06</v>
          </cell>
          <cell r="J114" t="str">
            <v>3Q06</v>
          </cell>
          <cell r="K114" t="str">
            <v>4Q06</v>
          </cell>
          <cell r="L114">
            <v>2006</v>
          </cell>
          <cell r="M114" t="str">
            <v>1Q07</v>
          </cell>
          <cell r="N114" t="str">
            <v>2Q07</v>
          </cell>
          <cell r="O114" t="str">
            <v>3Q07</v>
          </cell>
          <cell r="P114" t="str">
            <v>4Q07</v>
          </cell>
          <cell r="Q114">
            <v>2007</v>
          </cell>
          <cell r="R114" t="str">
            <v>1Q08</v>
          </cell>
          <cell r="S114" t="str">
            <v>2Q08</v>
          </cell>
          <cell r="T114" t="str">
            <v>3Q08</v>
          </cell>
          <cell r="U114" t="str">
            <v>4Q08</v>
          </cell>
          <cell r="V114">
            <v>2008</v>
          </cell>
          <cell r="W114" t="str">
            <v>1Q09</v>
          </cell>
          <cell r="X114" t="str">
            <v>2Q09</v>
          </cell>
          <cell r="Y114" t="str">
            <v>3Q09</v>
          </cell>
          <cell r="Z114" t="str">
            <v>4Q09</v>
          </cell>
          <cell r="AA114">
            <v>2009</v>
          </cell>
          <cell r="AB114" t="str">
            <v>1Q10</v>
          </cell>
          <cell r="AC114" t="str">
            <v>2Q10</v>
          </cell>
          <cell r="AD114" t="str">
            <v>3Q10</v>
          </cell>
          <cell r="AE114" t="str">
            <v>4Q10</v>
          </cell>
          <cell r="AF114">
            <v>2010</v>
          </cell>
          <cell r="AG114" t="str">
            <v>1Q11</v>
          </cell>
          <cell r="AH114" t="str">
            <v>2Q11</v>
          </cell>
          <cell r="AI114" t="str">
            <v>3Q11</v>
          </cell>
          <cell r="AJ114" t="str">
            <v>4Q11</v>
          </cell>
          <cell r="AK114">
            <v>2011</v>
          </cell>
          <cell r="AL114" t="str">
            <v>1Q12</v>
          </cell>
          <cell r="AM114" t="str">
            <v>2Q12</v>
          </cell>
          <cell r="AN114" t="str">
            <v>3Q12</v>
          </cell>
          <cell r="AO114" t="str">
            <v>4Q12</v>
          </cell>
          <cell r="AP114">
            <v>2012</v>
          </cell>
          <cell r="AQ114" t="str">
            <v>1Q13</v>
          </cell>
          <cell r="AR114" t="str">
            <v>2Q13</v>
          </cell>
          <cell r="AS114" t="str">
            <v>3Q13</v>
          </cell>
          <cell r="AT114" t="str">
            <v>4Q13</v>
          </cell>
          <cell r="AU114">
            <v>2013</v>
          </cell>
          <cell r="AV114" t="str">
            <v>1Q14</v>
          </cell>
          <cell r="AW114" t="str">
            <v>2Q14</v>
          </cell>
          <cell r="AX114" t="str">
            <v>3Q14</v>
          </cell>
          <cell r="AY114" t="str">
            <v>4Q14</v>
          </cell>
          <cell r="AZ114">
            <v>2014</v>
          </cell>
          <cell r="BA114" t="str">
            <v>1Q15</v>
          </cell>
          <cell r="BB114" t="str">
            <v>2Q15</v>
          </cell>
          <cell r="BC114" t="str">
            <v>3Q15</v>
          </cell>
          <cell r="BD114" t="str">
            <v>4Q15</v>
          </cell>
          <cell r="BE114">
            <v>2015</v>
          </cell>
          <cell r="BF114" t="str">
            <v>1Q16</v>
          </cell>
          <cell r="BG114" t="str">
            <v>2Q16</v>
          </cell>
          <cell r="BH114" t="str">
            <v>3Q16</v>
          </cell>
          <cell r="BI114" t="str">
            <v>4Q16</v>
          </cell>
          <cell r="BJ114">
            <v>2016</v>
          </cell>
          <cell r="BK114" t="str">
            <v>1Q17</v>
          </cell>
          <cell r="BL114" t="str">
            <v>2Q17</v>
          </cell>
          <cell r="BM114" t="str">
            <v>3Q17</v>
          </cell>
          <cell r="BN114" t="str">
            <v>4Q17</v>
          </cell>
          <cell r="BO114">
            <v>2017</v>
          </cell>
          <cell r="BP114" t="str">
            <v>1Q18</v>
          </cell>
          <cell r="BQ114" t="str">
            <v>2Q18</v>
          </cell>
          <cell r="BR114" t="str">
            <v>3Q18</v>
          </cell>
          <cell r="BS114" t="str">
            <v>4Q18</v>
          </cell>
          <cell r="BT114">
            <v>2018</v>
          </cell>
          <cell r="BU114" t="str">
            <v>1Q19</v>
          </cell>
          <cell r="BV114" t="str">
            <v>2Q19</v>
          </cell>
          <cell r="BW114" t="str">
            <v>3Q19</v>
          </cell>
          <cell r="BX114" t="str">
            <v>4Q19</v>
          </cell>
          <cell r="BY114">
            <v>2019</v>
          </cell>
          <cell r="BZ114" t="str">
            <v>1Q20</v>
          </cell>
          <cell r="CA114" t="str">
            <v>2Q20</v>
          </cell>
          <cell r="CB114" t="str">
            <v>3Q20</v>
          </cell>
          <cell r="CC114" t="str">
            <v>4Q20</v>
          </cell>
          <cell r="CD114">
            <v>2020</v>
          </cell>
        </row>
        <row r="115">
          <cell r="A115" t="str">
            <v>Revenue (third party and inter-segment)</v>
          </cell>
          <cell r="G115">
            <v>20223</v>
          </cell>
          <cell r="L115">
            <v>24054</v>
          </cell>
          <cell r="Q115">
            <v>26918</v>
          </cell>
          <cell r="V115">
            <v>35283</v>
          </cell>
          <cell r="AA115">
            <v>21933</v>
          </cell>
          <cell r="AF115">
            <v>30843</v>
          </cell>
          <cell r="AK115">
            <v>44576</v>
          </cell>
          <cell r="AP115">
            <v>49867</v>
          </cell>
          <cell r="AQ115">
            <v>12848.994544437104</v>
          </cell>
          <cell r="AR115">
            <v>10694.656746171662</v>
          </cell>
          <cell r="AS115">
            <v>10791.557825792075</v>
          </cell>
          <cell r="AT115">
            <v>10458.868592619374</v>
          </cell>
          <cell r="AU115">
            <v>44794.077709020217</v>
          </cell>
          <cell r="AV115">
            <v>10873.832753853065</v>
          </cell>
          <cell r="AW115">
            <v>11530.270393879571</v>
          </cell>
          <cell r="AX115">
            <v>12001.824130194289</v>
          </cell>
          <cell r="AY115">
            <v>12533.814749321</v>
          </cell>
          <cell r="AZ115">
            <v>46939.742027247921</v>
          </cell>
          <cell r="BA115">
            <v>11717.723337928213</v>
          </cell>
          <cell r="BB115">
            <v>11870.828386182673</v>
          </cell>
          <cell r="BC115">
            <v>12041.659314618</v>
          </cell>
          <cell r="BD115">
            <v>12116.55542582499</v>
          </cell>
          <cell r="BE115">
            <v>47746.766464553875</v>
          </cell>
          <cell r="BF115">
            <v>11785.217184810268</v>
          </cell>
          <cell r="BG115">
            <v>11972.121644386922</v>
          </cell>
          <cell r="BH115">
            <v>12181.938429858166</v>
          </cell>
          <cell r="BI115">
            <v>12291.570397594354</v>
          </cell>
          <cell r="BJ115">
            <v>48230.847656649712</v>
          </cell>
          <cell r="BK115">
            <v>12399.637006297957</v>
          </cell>
          <cell r="BL115">
            <v>12630.674152955209</v>
          </cell>
          <cell r="BM115">
            <v>12865.645014307129</v>
          </cell>
          <cell r="BN115">
            <v>12994.449727186249</v>
          </cell>
          <cell r="BO115">
            <v>50890.40590074654</v>
          </cell>
          <cell r="BP115">
            <v>12952.976761486387</v>
          </cell>
          <cell r="BQ115">
            <v>13239.789392542267</v>
          </cell>
          <cell r="BR115">
            <v>13532.174085370207</v>
          </cell>
          <cell r="BS115">
            <v>13712.335885110311</v>
          </cell>
          <cell r="BT115">
            <v>53437.276124509168</v>
          </cell>
          <cell r="BU115">
            <v>13098.193055166123</v>
          </cell>
          <cell r="BV115">
            <v>13227.107962580001</v>
          </cell>
          <cell r="BW115">
            <v>13355.870013892505</v>
          </cell>
          <cell r="BX115">
            <v>13365.685540216125</v>
          </cell>
          <cell r="BY115">
            <v>53046.856571854754</v>
          </cell>
          <cell r="BZ115">
            <v>13512.030899183677</v>
          </cell>
          <cell r="CA115">
            <v>13950.79918543494</v>
          </cell>
          <cell r="CB115">
            <v>14399.953468900658</v>
          </cell>
          <cell r="CC115">
            <v>14726.18601886849</v>
          </cell>
          <cell r="CD115">
            <v>56588.969572387759</v>
          </cell>
        </row>
        <row r="116">
          <cell r="A116" t="str">
            <v>Share of profit of equity accounted investments</v>
          </cell>
          <cell r="G116">
            <v>1517</v>
          </cell>
          <cell r="L116">
            <v>2110</v>
          </cell>
          <cell r="Q116">
            <v>2509</v>
          </cell>
          <cell r="V116">
            <v>3498</v>
          </cell>
          <cell r="AA116">
            <v>1723</v>
          </cell>
          <cell r="AF116">
            <v>2608</v>
          </cell>
          <cell r="AK116">
            <v>4232</v>
          </cell>
          <cell r="AP116">
            <v>5211</v>
          </cell>
          <cell r="AQ116">
            <v>1097.2865061420532</v>
          </cell>
          <cell r="AR116">
            <v>1002.7910404278722</v>
          </cell>
          <cell r="AS116">
            <v>1053.302738040303</v>
          </cell>
          <cell r="AT116">
            <v>1012.5867888654606</v>
          </cell>
          <cell r="AU116">
            <v>4165.9670734756883</v>
          </cell>
          <cell r="AV116">
            <v>787.31819599814185</v>
          </cell>
          <cell r="AW116">
            <v>789.38600950879027</v>
          </cell>
          <cell r="AX116">
            <v>792.05253227187632</v>
          </cell>
          <cell r="AY116">
            <v>790.12415383156906</v>
          </cell>
          <cell r="AZ116">
            <v>3158.8808916103771</v>
          </cell>
          <cell r="BA116">
            <v>702.06391102278917</v>
          </cell>
          <cell r="BB116">
            <v>698.2283666367664</v>
          </cell>
          <cell r="BC116">
            <v>702.91034637364805</v>
          </cell>
          <cell r="BD116">
            <v>703.99915724638947</v>
          </cell>
          <cell r="BE116">
            <v>2807.201781279593</v>
          </cell>
          <cell r="BF116">
            <v>634.7182625941</v>
          </cell>
          <cell r="BG116">
            <v>628.51209369948754</v>
          </cell>
          <cell r="BH116">
            <v>630.73436997340798</v>
          </cell>
          <cell r="BI116">
            <v>630.12959027260877</v>
          </cell>
          <cell r="BJ116">
            <v>2524.0943165396043</v>
          </cell>
          <cell r="BK116">
            <v>607.97332368529828</v>
          </cell>
          <cell r="BL116">
            <v>614.88114203760665</v>
          </cell>
          <cell r="BM116">
            <v>621.91292897701737</v>
          </cell>
          <cell r="BN116">
            <v>626.29760937107699</v>
          </cell>
          <cell r="BO116">
            <v>2471.0650040709993</v>
          </cell>
          <cell r="BP116">
            <v>606.39659084040045</v>
          </cell>
          <cell r="BQ116">
            <v>612.83121517493669</v>
          </cell>
          <cell r="BR116">
            <v>619.37336738656074</v>
          </cell>
          <cell r="BS116">
            <v>623.28445211117491</v>
          </cell>
          <cell r="BT116">
            <v>2461.8856255130731</v>
          </cell>
          <cell r="BU116">
            <v>598.22079538802473</v>
          </cell>
          <cell r="BV116">
            <v>604.94236628710507</v>
          </cell>
          <cell r="BW116">
            <v>611.78422646320223</v>
          </cell>
          <cell r="BX116">
            <v>616.08620876616794</v>
          </cell>
          <cell r="BY116">
            <v>2431.0335969045</v>
          </cell>
          <cell r="BZ116">
            <v>588.02259935353436</v>
          </cell>
          <cell r="CA116">
            <v>594.40321957988999</v>
          </cell>
          <cell r="CB116">
            <v>600.89419965458455</v>
          </cell>
          <cell r="CC116">
            <v>604.95614423314771</v>
          </cell>
          <cell r="CD116">
            <v>2388.2761628211565</v>
          </cell>
        </row>
        <row r="117">
          <cell r="A117" t="str">
            <v>Interest and other income</v>
          </cell>
          <cell r="G117">
            <v>209</v>
          </cell>
          <cell r="L117">
            <v>168</v>
          </cell>
          <cell r="Q117">
            <v>418</v>
          </cell>
          <cell r="V117">
            <v>1136</v>
          </cell>
          <cell r="AA117">
            <v>461</v>
          </cell>
          <cell r="AF117">
            <v>3319</v>
          </cell>
          <cell r="AK117">
            <v>1893</v>
          </cell>
          <cell r="AP117">
            <v>3884</v>
          </cell>
          <cell r="AQ117">
            <v>260.29400000000004</v>
          </cell>
          <cell r="AR117">
            <v>260.29400000000004</v>
          </cell>
          <cell r="AS117">
            <v>260.29400000000004</v>
          </cell>
          <cell r="AT117">
            <v>260.29400000000004</v>
          </cell>
          <cell r="AU117">
            <v>1041.1760000000002</v>
          </cell>
          <cell r="AV117">
            <v>461.56800000000004</v>
          </cell>
          <cell r="AW117">
            <v>461.56800000000004</v>
          </cell>
          <cell r="AX117">
            <v>461.56800000000004</v>
          </cell>
          <cell r="AY117">
            <v>461.56800000000004</v>
          </cell>
          <cell r="AZ117">
            <v>1846.2720000000002</v>
          </cell>
          <cell r="BA117">
            <v>461.56800000000004</v>
          </cell>
          <cell r="BB117">
            <v>461.56800000000004</v>
          </cell>
          <cell r="BC117">
            <v>461.56800000000004</v>
          </cell>
          <cell r="BD117">
            <v>461.56800000000004</v>
          </cell>
          <cell r="BE117">
            <v>1846.2720000000002</v>
          </cell>
          <cell r="BF117">
            <v>461.56800000000004</v>
          </cell>
          <cell r="BG117">
            <v>461.56800000000004</v>
          </cell>
          <cell r="BH117">
            <v>461.56800000000004</v>
          </cell>
          <cell r="BI117">
            <v>461.56800000000004</v>
          </cell>
          <cell r="BJ117">
            <v>1846.2720000000002</v>
          </cell>
          <cell r="BK117">
            <v>461.56800000000004</v>
          </cell>
          <cell r="BL117">
            <v>461.56800000000004</v>
          </cell>
          <cell r="BM117">
            <v>461.56800000000004</v>
          </cell>
          <cell r="BN117">
            <v>461.56800000000004</v>
          </cell>
          <cell r="BO117">
            <v>1846.2720000000002</v>
          </cell>
          <cell r="BP117">
            <v>461.56800000000004</v>
          </cell>
          <cell r="BQ117">
            <v>461.56800000000004</v>
          </cell>
          <cell r="BR117">
            <v>461.56800000000004</v>
          </cell>
          <cell r="BS117">
            <v>461.56800000000004</v>
          </cell>
          <cell r="BT117">
            <v>1846.2720000000002</v>
          </cell>
          <cell r="BU117">
            <v>461.56800000000004</v>
          </cell>
          <cell r="BV117">
            <v>461.56800000000004</v>
          </cell>
          <cell r="BW117">
            <v>461.56800000000004</v>
          </cell>
          <cell r="BX117">
            <v>461.56800000000004</v>
          </cell>
          <cell r="BY117">
            <v>1846.2720000000002</v>
          </cell>
          <cell r="BZ117">
            <v>461.56800000000004</v>
          </cell>
          <cell r="CA117">
            <v>461.56800000000004</v>
          </cell>
          <cell r="CB117">
            <v>461.56800000000004</v>
          </cell>
          <cell r="CC117">
            <v>461.56800000000004</v>
          </cell>
          <cell r="CD117">
            <v>1846.2720000000002</v>
          </cell>
        </row>
        <row r="118">
          <cell r="A118" t="str">
            <v>Total revenue and other income</v>
          </cell>
          <cell r="G118">
            <v>21949</v>
          </cell>
          <cell r="L118">
            <v>26332</v>
          </cell>
          <cell r="Q118">
            <v>29845</v>
          </cell>
          <cell r="V118">
            <v>39917</v>
          </cell>
          <cell r="AA118">
            <v>24117</v>
          </cell>
          <cell r="AF118">
            <v>36770</v>
          </cell>
          <cell r="AK118">
            <v>50701</v>
          </cell>
          <cell r="AP118">
            <v>58962</v>
          </cell>
          <cell r="AQ118">
            <v>14206.575050579157</v>
          </cell>
          <cell r="AR118">
            <v>11957.741786599534</v>
          </cell>
          <cell r="AS118">
            <v>12105.154563832379</v>
          </cell>
          <cell r="AT118">
            <v>11731.749381484835</v>
          </cell>
          <cell r="AU118">
            <v>50001.220782495904</v>
          </cell>
          <cell r="AV118">
            <v>12122.718949851205</v>
          </cell>
          <cell r="AW118">
            <v>12781.224403388362</v>
          </cell>
          <cell r="AX118">
            <v>13255.444662466165</v>
          </cell>
          <cell r="AY118">
            <v>13785.506903152569</v>
          </cell>
          <cell r="AZ118">
            <v>51944.894918858299</v>
          </cell>
          <cell r="BA118">
            <v>12881.355248951002</v>
          </cell>
          <cell r="BB118">
            <v>13030.624752819438</v>
          </cell>
          <cell r="BC118">
            <v>13206.137660991648</v>
          </cell>
          <cell r="BD118">
            <v>13282.122583071379</v>
          </cell>
          <cell r="BE118">
            <v>52400.240245833469</v>
          </cell>
          <cell r="BF118">
            <v>12881.503447404368</v>
          </cell>
          <cell r="BG118">
            <v>13062.201738086409</v>
          </cell>
          <cell r="BH118">
            <v>13274.240799831574</v>
          </cell>
          <cell r="BI118">
            <v>13383.267987866962</v>
          </cell>
          <cell r="BJ118">
            <v>52601.213973189311</v>
          </cell>
          <cell r="BK118">
            <v>13469.178329983255</v>
          </cell>
          <cell r="BL118">
            <v>13707.123294992814</v>
          </cell>
          <cell r="BM118">
            <v>13949.125943284145</v>
          </cell>
          <cell r="BN118">
            <v>14082.315336557325</v>
          </cell>
          <cell r="BO118">
            <v>55207.74290481754</v>
          </cell>
          <cell r="BP118">
            <v>14020.941352326787</v>
          </cell>
          <cell r="BQ118">
            <v>14314.188607717202</v>
          </cell>
          <cell r="BR118">
            <v>14613.115452756767</v>
          </cell>
          <cell r="BS118">
            <v>14797.188337221485</v>
          </cell>
          <cell r="BT118">
            <v>57745.433750022239</v>
          </cell>
          <cell r="BU118">
            <v>14157.981850554146</v>
          </cell>
          <cell r="BV118">
            <v>14293.618328867105</v>
          </cell>
          <cell r="BW118">
            <v>14429.222240355706</v>
          </cell>
          <cell r="BX118">
            <v>14443.339748982293</v>
          </cell>
          <cell r="BY118">
            <v>57324.162168759256</v>
          </cell>
          <cell r="BZ118">
            <v>14561.621498537212</v>
          </cell>
          <cell r="CA118">
            <v>15006.77040501483</v>
          </cell>
          <cell r="CB118">
            <v>15462.415668555241</v>
          </cell>
          <cell r="CC118">
            <v>15792.710163101636</v>
          </cell>
          <cell r="CD118">
            <v>60823.517735208916</v>
          </cell>
        </row>
        <row r="120">
          <cell r="A120" t="str">
            <v>Purchases</v>
          </cell>
          <cell r="G120">
            <v>-857</v>
          </cell>
          <cell r="L120">
            <v>-1608</v>
          </cell>
          <cell r="Q120">
            <v>-3164</v>
          </cell>
          <cell r="V120">
            <v>-4463</v>
          </cell>
          <cell r="AA120">
            <v>-2687</v>
          </cell>
          <cell r="AF120">
            <v>-3777</v>
          </cell>
          <cell r="AK120">
            <v>-6795</v>
          </cell>
          <cell r="AP120">
            <v>-10854</v>
          </cell>
          <cell r="AQ120">
            <v>-1940</v>
          </cell>
          <cell r="AR120">
            <v>-1940</v>
          </cell>
          <cell r="AS120">
            <v>-1940</v>
          </cell>
          <cell r="AT120">
            <v>-1940</v>
          </cell>
          <cell r="AU120">
            <v>-7760</v>
          </cell>
          <cell r="AV120">
            <v>-1940</v>
          </cell>
          <cell r="AW120">
            <v>-1940</v>
          </cell>
          <cell r="AX120">
            <v>-1940</v>
          </cell>
          <cell r="AY120">
            <v>-1940</v>
          </cell>
          <cell r="AZ120">
            <v>-7760</v>
          </cell>
          <cell r="BA120">
            <v>-1940</v>
          </cell>
          <cell r="BB120">
            <v>-1940</v>
          </cell>
          <cell r="BC120">
            <v>-1940</v>
          </cell>
          <cell r="BD120">
            <v>-1940</v>
          </cell>
          <cell r="BE120">
            <v>-7760</v>
          </cell>
          <cell r="BF120">
            <v>-1940</v>
          </cell>
          <cell r="BG120">
            <v>-1940</v>
          </cell>
          <cell r="BH120">
            <v>-1940</v>
          </cell>
          <cell r="BI120">
            <v>-1940</v>
          </cell>
          <cell r="BJ120">
            <v>-7760</v>
          </cell>
          <cell r="BK120">
            <v>-1940</v>
          </cell>
          <cell r="BL120">
            <v>-1940</v>
          </cell>
          <cell r="BM120">
            <v>-1940</v>
          </cell>
          <cell r="BN120">
            <v>-1940</v>
          </cell>
          <cell r="BO120">
            <v>-7760</v>
          </cell>
          <cell r="BP120">
            <v>-1940</v>
          </cell>
          <cell r="BQ120">
            <v>-1940</v>
          </cell>
          <cell r="BR120">
            <v>-1940</v>
          </cell>
          <cell r="BS120">
            <v>-1940</v>
          </cell>
          <cell r="BT120">
            <v>-7760</v>
          </cell>
          <cell r="BU120">
            <v>-1940</v>
          </cell>
          <cell r="BV120">
            <v>-1940</v>
          </cell>
          <cell r="BW120">
            <v>-1940</v>
          </cell>
          <cell r="BX120">
            <v>-1940</v>
          </cell>
          <cell r="BY120">
            <v>-7760</v>
          </cell>
          <cell r="BZ120">
            <v>-1940</v>
          </cell>
          <cell r="CA120">
            <v>-1940</v>
          </cell>
          <cell r="CB120">
            <v>-1940</v>
          </cell>
          <cell r="CC120">
            <v>-1940</v>
          </cell>
          <cell r="CD120">
            <v>-7760</v>
          </cell>
        </row>
        <row r="121">
          <cell r="A121" t="str">
            <v>Production and manufacturing expenses</v>
          </cell>
          <cell r="G121">
            <v>-2673</v>
          </cell>
          <cell r="L121">
            <v>-3823</v>
          </cell>
          <cell r="Q121">
            <v>-5298</v>
          </cell>
          <cell r="V121">
            <v>-4959</v>
          </cell>
          <cell r="AA121">
            <v>-5253</v>
          </cell>
          <cell r="AF121">
            <v>-5174</v>
          </cell>
          <cell r="AK121">
            <v>-6341</v>
          </cell>
          <cell r="AP121">
            <v>-6511</v>
          </cell>
          <cell r="AQ121">
            <v>-1769.0700128210781</v>
          </cell>
          <cell r="AR121">
            <v>-2987.2159105101787</v>
          </cell>
          <cell r="AS121">
            <v>-3154.7333679262738</v>
          </cell>
          <cell r="AT121">
            <v>-3930.5591415402146</v>
          </cell>
          <cell r="AU121">
            <v>-11841.578432797745</v>
          </cell>
          <cell r="AV121">
            <v>-1423.6337522113581</v>
          </cell>
          <cell r="AW121">
            <v>-3478.0129148635524</v>
          </cell>
          <cell r="AX121">
            <v>-3514.4646629422473</v>
          </cell>
          <cell r="AY121">
            <v>-3054.8299280307419</v>
          </cell>
          <cell r="AZ121">
            <v>-11470.9412580479</v>
          </cell>
          <cell r="BA121">
            <v>-2580.9096940633522</v>
          </cell>
          <cell r="BB121">
            <v>-2603.8676008472148</v>
          </cell>
          <cell r="BC121">
            <v>-2627.076200696235</v>
          </cell>
          <cell r="BD121">
            <v>-2638.6080816934596</v>
          </cell>
          <cell r="BE121">
            <v>-10450.461577300262</v>
          </cell>
          <cell r="BF121">
            <v>-1976.1521524066175</v>
          </cell>
          <cell r="BG121">
            <v>-1998.1592317689824</v>
          </cell>
          <cell r="BH121">
            <v>-2020.3641131099585</v>
          </cell>
          <cell r="BI121">
            <v>-2029.463004126088</v>
          </cell>
          <cell r="BJ121">
            <v>-8024.1385014116458</v>
          </cell>
          <cell r="BK121">
            <v>-2075.8797485329542</v>
          </cell>
          <cell r="BL121">
            <v>-2116.2168099799674</v>
          </cell>
          <cell r="BM121">
            <v>-2157.1297066520638</v>
          </cell>
          <cell r="BN121">
            <v>-2183.6181270058423</v>
          </cell>
          <cell r="BO121">
            <v>-8532.8443921708276</v>
          </cell>
          <cell r="BP121">
            <v>-2217.1473649088402</v>
          </cell>
          <cell r="BQ121">
            <v>-2239.9945828792843</v>
          </cell>
          <cell r="BR121">
            <v>-2263.0042373285178</v>
          </cell>
          <cell r="BS121">
            <v>-2270.4763153528215</v>
          </cell>
          <cell r="BT121">
            <v>-8990.6225004694643</v>
          </cell>
          <cell r="BU121">
            <v>-2295.5057048055382</v>
          </cell>
          <cell r="BV121">
            <v>-2313.606335239956</v>
          </cell>
          <cell r="BW121">
            <v>-2331.749665069181</v>
          </cell>
          <cell r="BX121">
            <v>-2333.7138372302729</v>
          </cell>
          <cell r="BY121">
            <v>-9274.5755423449482</v>
          </cell>
          <cell r="BZ121">
            <v>-2390.5578134855673</v>
          </cell>
          <cell r="CA121">
            <v>-2423.8915681979838</v>
          </cell>
          <cell r="CB121">
            <v>-2457.5870110606088</v>
          </cell>
          <cell r="CC121">
            <v>-2474.2246659702178</v>
          </cell>
          <cell r="CD121">
            <v>-9746.2610587143772</v>
          </cell>
        </row>
        <row r="122">
          <cell r="A122" t="str">
            <v>Taxes other than income taxes</v>
          </cell>
          <cell r="G122">
            <v>-1611</v>
          </cell>
          <cell r="L122">
            <v>-1156</v>
          </cell>
          <cell r="Q122">
            <v>-1337</v>
          </cell>
          <cell r="V122">
            <v>-1778</v>
          </cell>
          <cell r="AA122">
            <v>-822</v>
          </cell>
          <cell r="AF122">
            <v>-1636</v>
          </cell>
          <cell r="AK122">
            <v>-2388</v>
          </cell>
          <cell r="AP122">
            <v>-1976</v>
          </cell>
          <cell r="AQ122">
            <v>-461.97632926516957</v>
          </cell>
          <cell r="AR122">
            <v>-361.1611301959519</v>
          </cell>
          <cell r="AS122">
            <v>-356.2907672005436</v>
          </cell>
          <cell r="AT122">
            <v>-354.40710220756802</v>
          </cell>
          <cell r="AU122">
            <v>-1533.8353288692331</v>
          </cell>
          <cell r="AV122">
            <v>-348.71220916489619</v>
          </cell>
          <cell r="AW122">
            <v>-387.75945222567117</v>
          </cell>
          <cell r="AX122">
            <v>-407.82858286135263</v>
          </cell>
          <cell r="AY122">
            <v>-438.50043029394385</v>
          </cell>
          <cell r="AZ122">
            <v>-1582.8006745458638</v>
          </cell>
          <cell r="BA122">
            <v>-424.26912804715738</v>
          </cell>
          <cell r="BB122">
            <v>-427.17888454647101</v>
          </cell>
          <cell r="BC122">
            <v>-431.69281267443722</v>
          </cell>
          <cell r="BD122">
            <v>-431.43526988115468</v>
          </cell>
          <cell r="BE122">
            <v>-1714.5760951492202</v>
          </cell>
          <cell r="BF122">
            <v>-439.51302593752257</v>
          </cell>
          <cell r="BG122">
            <v>-453.61870149971645</v>
          </cell>
          <cell r="BH122">
            <v>-470.02440010534895</v>
          </cell>
          <cell r="BI122">
            <v>-481.39195776204878</v>
          </cell>
          <cell r="BJ122">
            <v>-1844.5480853046367</v>
          </cell>
          <cell r="BK122">
            <v>-492.46321689707321</v>
          </cell>
          <cell r="BL122">
            <v>-509.60516098408073</v>
          </cell>
          <cell r="BM122">
            <v>-527.1285861317017</v>
          </cell>
          <cell r="BN122">
            <v>-539.11922254917226</v>
          </cell>
          <cell r="BO122">
            <v>-2068.3161865620277</v>
          </cell>
          <cell r="BP122">
            <v>-547.71992747697254</v>
          </cell>
          <cell r="BQ122">
            <v>-573.86984468114088</v>
          </cell>
          <cell r="BR122">
            <v>-600.6845610475325</v>
          </cell>
          <cell r="BS122">
            <v>-621.36936403663458</v>
          </cell>
          <cell r="BT122">
            <v>-2343.6436972422807</v>
          </cell>
          <cell r="BU122">
            <v>-611.64950466994185</v>
          </cell>
          <cell r="BV122">
            <v>-621.04959720819284</v>
          </cell>
          <cell r="BW122">
            <v>-630.50601637765408</v>
          </cell>
          <cell r="BX122">
            <v>-633.09295877597003</v>
          </cell>
          <cell r="BY122">
            <v>-2496.2980770317586</v>
          </cell>
          <cell r="BZ122">
            <v>-649.51825219205011</v>
          </cell>
          <cell r="CA122">
            <v>-685.15918450521201</v>
          </cell>
          <cell r="CB122">
            <v>-721.74674521863869</v>
          </cell>
          <cell r="CC122">
            <v>-751.09927695763815</v>
          </cell>
          <cell r="CD122">
            <v>-2807.5234588735393</v>
          </cell>
        </row>
        <row r="123">
          <cell r="A123" t="str">
            <v>Selling, distribution and admin expenses</v>
          </cell>
          <cell r="G123">
            <v>-111</v>
          </cell>
          <cell r="L123">
            <v>-114</v>
          </cell>
          <cell r="Q123">
            <v>-122</v>
          </cell>
          <cell r="V123">
            <v>-146</v>
          </cell>
          <cell r="AA123">
            <v>-110</v>
          </cell>
          <cell r="AF123">
            <v>-102</v>
          </cell>
          <cell r="AK123">
            <v>-105</v>
          </cell>
          <cell r="AP123">
            <v>-203</v>
          </cell>
          <cell r="AQ123">
            <v>-40</v>
          </cell>
          <cell r="AR123">
            <v>-40</v>
          </cell>
          <cell r="AS123">
            <v>-40</v>
          </cell>
          <cell r="AT123">
            <v>-40</v>
          </cell>
          <cell r="AU123">
            <v>-160</v>
          </cell>
          <cell r="AV123">
            <v>-40</v>
          </cell>
          <cell r="AW123">
            <v>-40</v>
          </cell>
          <cell r="AX123">
            <v>-40</v>
          </cell>
          <cell r="AY123">
            <v>-40</v>
          </cell>
          <cell r="AZ123">
            <v>-160</v>
          </cell>
          <cell r="BA123">
            <v>-40</v>
          </cell>
          <cell r="BB123">
            <v>-40</v>
          </cell>
          <cell r="BC123">
            <v>-40</v>
          </cell>
          <cell r="BD123">
            <v>-40</v>
          </cell>
          <cell r="BE123">
            <v>-160</v>
          </cell>
          <cell r="BF123">
            <v>-40</v>
          </cell>
          <cell r="BG123">
            <v>-40</v>
          </cell>
          <cell r="BH123">
            <v>-40</v>
          </cell>
          <cell r="BI123">
            <v>-40</v>
          </cell>
          <cell r="BJ123">
            <v>-160</v>
          </cell>
          <cell r="BK123">
            <v>-40</v>
          </cell>
          <cell r="BL123">
            <v>-40</v>
          </cell>
          <cell r="BM123">
            <v>-40</v>
          </cell>
          <cell r="BN123">
            <v>-40</v>
          </cell>
          <cell r="BO123">
            <v>-160</v>
          </cell>
          <cell r="BP123">
            <v>-40</v>
          </cell>
          <cell r="BQ123">
            <v>-40</v>
          </cell>
          <cell r="BR123">
            <v>-40</v>
          </cell>
          <cell r="BS123">
            <v>-40</v>
          </cell>
          <cell r="BT123">
            <v>-160</v>
          </cell>
          <cell r="BU123">
            <v>-40</v>
          </cell>
          <cell r="BV123">
            <v>-40</v>
          </cell>
          <cell r="BW123">
            <v>-40</v>
          </cell>
          <cell r="BX123">
            <v>-40</v>
          </cell>
          <cell r="BY123">
            <v>-160</v>
          </cell>
          <cell r="BZ123">
            <v>-40</v>
          </cell>
          <cell r="CA123">
            <v>-40</v>
          </cell>
          <cell r="CB123">
            <v>-40</v>
          </cell>
          <cell r="CC123">
            <v>-40</v>
          </cell>
          <cell r="CD123">
            <v>-160</v>
          </cell>
        </row>
        <row r="124">
          <cell r="A124" t="str">
            <v>Research and development</v>
          </cell>
          <cell r="G124">
            <v>-7</v>
          </cell>
          <cell r="L124">
            <v>0</v>
          </cell>
          <cell r="Q124">
            <v>0</v>
          </cell>
          <cell r="V124">
            <v>0</v>
          </cell>
          <cell r="AA124">
            <v>0</v>
          </cell>
          <cell r="AF124">
            <v>-5</v>
          </cell>
          <cell r="AK124">
            <v>-15</v>
          </cell>
          <cell r="AP124">
            <v>-16</v>
          </cell>
          <cell r="AQ124">
            <v>-20.000000000000018</v>
          </cell>
          <cell r="AR124">
            <v>-20.000000000000018</v>
          </cell>
          <cell r="AS124">
            <v>-20.000000000000018</v>
          </cell>
          <cell r="AT124">
            <v>-20.000000000000018</v>
          </cell>
          <cell r="AU124">
            <v>-80.000000000000071</v>
          </cell>
          <cell r="AV124">
            <v>-20.000000000000018</v>
          </cell>
          <cell r="AW124">
            <v>-20.000000000000018</v>
          </cell>
          <cell r="AX124">
            <v>-20.000000000000018</v>
          </cell>
          <cell r="AY124">
            <v>-20.000000000000018</v>
          </cell>
          <cell r="AZ124">
            <v>-80.000000000000071</v>
          </cell>
          <cell r="BA124">
            <v>-20.000000000000018</v>
          </cell>
          <cell r="BB124">
            <v>-20.000000000000018</v>
          </cell>
          <cell r="BC124">
            <v>-20.000000000000018</v>
          </cell>
          <cell r="BD124">
            <v>-20.000000000000018</v>
          </cell>
          <cell r="BE124">
            <v>-80.000000000000071</v>
          </cell>
          <cell r="BF124">
            <v>-20.000000000000018</v>
          </cell>
          <cell r="BG124">
            <v>-20.000000000000018</v>
          </cell>
          <cell r="BH124">
            <v>-20.000000000000018</v>
          </cell>
          <cell r="BI124">
            <v>-20.000000000000018</v>
          </cell>
          <cell r="BJ124">
            <v>-80.000000000000071</v>
          </cell>
          <cell r="BK124">
            <v>-20.000000000000018</v>
          </cell>
          <cell r="BL124">
            <v>-20.000000000000018</v>
          </cell>
          <cell r="BM124">
            <v>-20.000000000000018</v>
          </cell>
          <cell r="BN124">
            <v>-20.000000000000018</v>
          </cell>
          <cell r="BO124">
            <v>-80.000000000000071</v>
          </cell>
          <cell r="BP124">
            <v>-20.000000000000018</v>
          </cell>
          <cell r="BQ124">
            <v>-20.000000000000018</v>
          </cell>
          <cell r="BR124">
            <v>-20.000000000000018</v>
          </cell>
          <cell r="BS124">
            <v>-20.000000000000018</v>
          </cell>
          <cell r="BT124">
            <v>-80.000000000000071</v>
          </cell>
          <cell r="BU124">
            <v>-20.000000000000018</v>
          </cell>
          <cell r="BV124">
            <v>-20.000000000000018</v>
          </cell>
          <cell r="BW124">
            <v>-20.000000000000018</v>
          </cell>
          <cell r="BX124">
            <v>-20.000000000000018</v>
          </cell>
          <cell r="BY124">
            <v>-80.000000000000071</v>
          </cell>
          <cell r="BZ124">
            <v>-20.000000000000018</v>
          </cell>
          <cell r="CA124">
            <v>-20.000000000000018</v>
          </cell>
          <cell r="CB124">
            <v>-20.000000000000018</v>
          </cell>
          <cell r="CC124">
            <v>-20.000000000000018</v>
          </cell>
          <cell r="CD124">
            <v>-80.000000000000071</v>
          </cell>
        </row>
        <row r="125">
          <cell r="A125" t="str">
            <v>Exploration</v>
          </cell>
          <cell r="G125">
            <v>-363</v>
          </cell>
          <cell r="L125">
            <v>-533</v>
          </cell>
          <cell r="Q125">
            <v>-667</v>
          </cell>
          <cell r="V125">
            <v>-573</v>
          </cell>
          <cell r="AA125">
            <v>-936</v>
          </cell>
          <cell r="AF125">
            <v>-679</v>
          </cell>
          <cell r="AK125">
            <v>-997</v>
          </cell>
          <cell r="AP125">
            <v>-1362</v>
          </cell>
          <cell r="AQ125">
            <v>-226.8</v>
          </cell>
          <cell r="AR125">
            <v>-429.8</v>
          </cell>
          <cell r="AS125">
            <v>-572.59999999999991</v>
          </cell>
          <cell r="AT125">
            <v>-618.1</v>
          </cell>
          <cell r="AU125">
            <v>-1847.2999999999997</v>
          </cell>
          <cell r="AV125">
            <v>-324.31349999999998</v>
          </cell>
          <cell r="AW125">
            <v>-324.31349999999998</v>
          </cell>
          <cell r="AX125">
            <v>-324.31349999999998</v>
          </cell>
          <cell r="AY125">
            <v>-324.31350000000003</v>
          </cell>
          <cell r="AZ125">
            <v>-1297.2539999999999</v>
          </cell>
          <cell r="BA125">
            <v>-276.83250000000004</v>
          </cell>
          <cell r="BB125">
            <v>-276.8325000000001</v>
          </cell>
          <cell r="BC125">
            <v>-276.83250000000004</v>
          </cell>
          <cell r="BD125">
            <v>-276.83249999999992</v>
          </cell>
          <cell r="BE125">
            <v>-1107.3300000000002</v>
          </cell>
          <cell r="BF125">
            <v>-219.58708333333334</v>
          </cell>
          <cell r="BG125">
            <v>-219.58708333333334</v>
          </cell>
          <cell r="BH125">
            <v>-219.58708333333334</v>
          </cell>
          <cell r="BI125">
            <v>-219.58708333333334</v>
          </cell>
          <cell r="BJ125">
            <v>-878.34833333333336</v>
          </cell>
          <cell r="BK125">
            <v>-218.47583333333336</v>
          </cell>
          <cell r="BL125">
            <v>-218.47583333333336</v>
          </cell>
          <cell r="BM125">
            <v>-218.47583333333336</v>
          </cell>
          <cell r="BN125">
            <v>-218.47583333333336</v>
          </cell>
          <cell r="BO125">
            <v>-873.90333333333342</v>
          </cell>
          <cell r="BP125">
            <v>-215.3046875</v>
          </cell>
          <cell r="BQ125">
            <v>-215.3046875</v>
          </cell>
          <cell r="BR125">
            <v>-215.3046875</v>
          </cell>
          <cell r="BS125">
            <v>-215.3046875</v>
          </cell>
          <cell r="BT125">
            <v>-861.21875</v>
          </cell>
          <cell r="BU125">
            <v>-216.234375</v>
          </cell>
          <cell r="BV125">
            <v>-216.234375</v>
          </cell>
          <cell r="BW125">
            <v>-216.234375</v>
          </cell>
          <cell r="BX125">
            <v>-216.234375</v>
          </cell>
          <cell r="BY125">
            <v>-864.9375</v>
          </cell>
          <cell r="BZ125">
            <v>-216.234375</v>
          </cell>
          <cell r="CA125">
            <v>-216.234375</v>
          </cell>
          <cell r="CB125">
            <v>-216.234375</v>
          </cell>
          <cell r="CC125">
            <v>-216.234375</v>
          </cell>
          <cell r="CD125">
            <v>-864.9375</v>
          </cell>
        </row>
        <row r="126">
          <cell r="A126" t="str">
            <v>DD&amp;A</v>
          </cell>
          <cell r="G126">
            <v>-2086</v>
          </cell>
          <cell r="L126">
            <v>-2903</v>
          </cell>
          <cell r="Q126">
            <v>-3590</v>
          </cell>
          <cell r="V126">
            <v>-3369</v>
          </cell>
          <cell r="AA126">
            <v>-2599</v>
          </cell>
          <cell r="AF126">
            <v>-2508</v>
          </cell>
          <cell r="AK126">
            <v>-2825</v>
          </cell>
          <cell r="AP126">
            <v>-3485</v>
          </cell>
          <cell r="AQ126">
            <v>-960.9927783316524</v>
          </cell>
          <cell r="AR126">
            <v>-886.2500611947828</v>
          </cell>
          <cell r="AS126">
            <v>-861.70086557876334</v>
          </cell>
          <cell r="AT126">
            <v>-902.83644075461132</v>
          </cell>
          <cell r="AU126">
            <v>-3611.7801458598096</v>
          </cell>
          <cell r="AV126">
            <v>-932.41647435648622</v>
          </cell>
          <cell r="AW126">
            <v>-980.58007295193977</v>
          </cell>
          <cell r="AX126">
            <v>-1012.5701508438469</v>
          </cell>
          <cell r="AY126">
            <v>-1048.4622048228084</v>
          </cell>
          <cell r="AZ126">
            <v>-3974.0289029750811</v>
          </cell>
          <cell r="BA126">
            <v>-1111.7522320635287</v>
          </cell>
          <cell r="BB126">
            <v>-1132.006041445183</v>
          </cell>
          <cell r="BC126">
            <v>-1152.4735314551956</v>
          </cell>
          <cell r="BD126">
            <v>-1162.3028403596782</v>
          </cell>
          <cell r="BE126">
            <v>-4558.5346453235852</v>
          </cell>
          <cell r="BF126">
            <v>-1285.3868260999582</v>
          </cell>
          <cell r="BG126">
            <v>-1306.4392125858928</v>
          </cell>
          <cell r="BH126">
            <v>-1327.6820066597629</v>
          </cell>
          <cell r="BI126">
            <v>-1336.440755704805</v>
          </cell>
          <cell r="BJ126">
            <v>-5255.9488010504192</v>
          </cell>
          <cell r="BK126">
            <v>-1425.4741145757732</v>
          </cell>
          <cell r="BL126">
            <v>-1465.2022752519169</v>
          </cell>
          <cell r="BM126">
            <v>-1505.4953192379862</v>
          </cell>
          <cell r="BN126">
            <v>-1531.479951494551</v>
          </cell>
          <cell r="BO126">
            <v>-5927.6516605602274</v>
          </cell>
          <cell r="BP126">
            <v>-1609.4162158844492</v>
          </cell>
          <cell r="BQ126">
            <v>-1633.5095163354129</v>
          </cell>
          <cell r="BR126">
            <v>-1657.7828064545092</v>
          </cell>
          <cell r="BS126">
            <v>-1666.0623311886568</v>
          </cell>
          <cell r="BT126">
            <v>-6566.7708698630277</v>
          </cell>
          <cell r="BU126">
            <v>-1736.2462544175846</v>
          </cell>
          <cell r="BV126">
            <v>-1756.383664451168</v>
          </cell>
          <cell r="BW126">
            <v>-1776.5853280780857</v>
          </cell>
          <cell r="BX126">
            <v>-1779.540993371495</v>
          </cell>
          <cell r="BY126">
            <v>-7048.7562403183329</v>
          </cell>
          <cell r="BZ126">
            <v>-1883.9025638993676</v>
          </cell>
          <cell r="CA126">
            <v>-1921.4558929302932</v>
          </cell>
          <cell r="CB126">
            <v>-1959.426553394723</v>
          </cell>
          <cell r="CC126">
            <v>-1978.6237993359148</v>
          </cell>
          <cell r="CD126">
            <v>-7743.4088095602983</v>
          </cell>
        </row>
        <row r="127">
          <cell r="A127" t="str">
            <v>Interest expense</v>
          </cell>
          <cell r="G127">
            <v>-80</v>
          </cell>
          <cell r="L127">
            <v>-77</v>
          </cell>
          <cell r="Q127">
            <v>-92</v>
          </cell>
          <cell r="V127">
            <v>-134</v>
          </cell>
          <cell r="AA127">
            <v>-160</v>
          </cell>
          <cell r="AF127">
            <v>-165</v>
          </cell>
          <cell r="AK127">
            <v>-202</v>
          </cell>
          <cell r="AP127">
            <v>-218</v>
          </cell>
          <cell r="AQ127">
            <v>-70.444218750000005</v>
          </cell>
          <cell r="AR127">
            <v>-70.444218750000005</v>
          </cell>
          <cell r="AS127">
            <v>-70.444218750000005</v>
          </cell>
          <cell r="AT127">
            <v>-70.444218750000005</v>
          </cell>
          <cell r="AU127">
            <v>-281.77687500000002</v>
          </cell>
          <cell r="AV127">
            <v>-92.314240170565128</v>
          </cell>
          <cell r="AW127">
            <v>-92.314240170565128</v>
          </cell>
          <cell r="AX127">
            <v>-92.314240170565128</v>
          </cell>
          <cell r="AY127">
            <v>-92.314240170565128</v>
          </cell>
          <cell r="AZ127">
            <v>-369.25696068226051</v>
          </cell>
          <cell r="BA127">
            <v>-85.338364591711979</v>
          </cell>
          <cell r="BB127">
            <v>-85.338364591711979</v>
          </cell>
          <cell r="BC127">
            <v>-85.338364591711979</v>
          </cell>
          <cell r="BD127">
            <v>-85.338364591711979</v>
          </cell>
          <cell r="BE127">
            <v>-341.35345836684792</v>
          </cell>
          <cell r="BF127">
            <v>-80.450760341177741</v>
          </cell>
          <cell r="BG127">
            <v>-80.450760341177741</v>
          </cell>
          <cell r="BH127">
            <v>-80.450760341177741</v>
          </cell>
          <cell r="BI127">
            <v>-80.450760341177741</v>
          </cell>
          <cell r="BJ127">
            <v>-321.80304136471096</v>
          </cell>
          <cell r="BK127">
            <v>-80.172023563187921</v>
          </cell>
          <cell r="BL127">
            <v>-80.172023563187921</v>
          </cell>
          <cell r="BM127">
            <v>-80.172023563187921</v>
          </cell>
          <cell r="BN127">
            <v>-80.172023563187921</v>
          </cell>
          <cell r="BO127">
            <v>-320.68809425275168</v>
          </cell>
          <cell r="BP127">
            <v>-76.824443236001898</v>
          </cell>
          <cell r="BQ127">
            <v>-76.824443236001898</v>
          </cell>
          <cell r="BR127">
            <v>-76.824443236001898</v>
          </cell>
          <cell r="BS127">
            <v>-76.824443236001898</v>
          </cell>
          <cell r="BT127">
            <v>-307.29777294400759</v>
          </cell>
          <cell r="BU127">
            <v>-71.882694639459373</v>
          </cell>
          <cell r="BV127">
            <v>-71.882694639459373</v>
          </cell>
          <cell r="BW127">
            <v>-71.882694639459373</v>
          </cell>
          <cell r="BX127">
            <v>-71.882694639459373</v>
          </cell>
          <cell r="BY127">
            <v>-287.53077855783749</v>
          </cell>
          <cell r="BZ127">
            <v>-66.124361438314722</v>
          </cell>
          <cell r="CA127">
            <v>-66.124361438314722</v>
          </cell>
          <cell r="CB127">
            <v>-66.124361438314722</v>
          </cell>
          <cell r="CC127">
            <v>-66.124361438314722</v>
          </cell>
          <cell r="CD127">
            <v>-264.49744575325889</v>
          </cell>
        </row>
        <row r="128">
          <cell r="A128" t="str">
            <v>Earnings before taxation</v>
          </cell>
          <cell r="G128">
            <v>14161</v>
          </cell>
          <cell r="L128">
            <v>16118</v>
          </cell>
          <cell r="Q128">
            <v>15575</v>
          </cell>
          <cell r="V128">
            <v>24495</v>
          </cell>
          <cell r="AA128">
            <v>11550</v>
          </cell>
          <cell r="AF128">
            <v>22724</v>
          </cell>
          <cell r="AK128">
            <v>31033</v>
          </cell>
          <cell r="AP128">
            <v>34337</v>
          </cell>
          <cell r="AQ128">
            <v>8717.291711411257</v>
          </cell>
          <cell r="AR128">
            <v>5222.8704659486211</v>
          </cell>
          <cell r="AS128">
            <v>5089.3853443767975</v>
          </cell>
          <cell r="AT128">
            <v>3855.4024782324414</v>
          </cell>
          <cell r="AU128">
            <v>22888.823480250543</v>
          </cell>
          <cell r="AV128">
            <v>7001.3287739479001</v>
          </cell>
          <cell r="AW128">
            <v>5518.2442231766327</v>
          </cell>
          <cell r="AX128">
            <v>5903.9535256481522</v>
          </cell>
          <cell r="AY128">
            <v>6827.0865998345098</v>
          </cell>
          <cell r="AZ128">
            <v>25250.613122607196</v>
          </cell>
          <cell r="BA128">
            <v>6402.2533301852518</v>
          </cell>
          <cell r="BB128">
            <v>6505.4013613888565</v>
          </cell>
          <cell r="BC128">
            <v>6632.7242515740672</v>
          </cell>
          <cell r="BD128">
            <v>6687.6055265453761</v>
          </cell>
          <cell r="BE128">
            <v>26227.984469693554</v>
          </cell>
          <cell r="BF128">
            <v>6880.4135992857591</v>
          </cell>
          <cell r="BG128">
            <v>7003.9467485573059</v>
          </cell>
          <cell r="BH128">
            <v>7156.1324362819914</v>
          </cell>
          <cell r="BI128">
            <v>7235.9344265995087</v>
          </cell>
          <cell r="BJ128">
            <v>28276.427210724567</v>
          </cell>
          <cell r="BK128">
            <v>7176.7133930809323</v>
          </cell>
          <cell r="BL128">
            <v>7317.4511918803264</v>
          </cell>
          <cell r="BM128">
            <v>7460.7244743658721</v>
          </cell>
          <cell r="BN128">
            <v>7529.4501786112378</v>
          </cell>
          <cell r="BO128">
            <v>29484.339237938369</v>
          </cell>
          <cell r="BP128">
            <v>7354.5287133205238</v>
          </cell>
          <cell r="BQ128">
            <v>7574.6855330853623</v>
          </cell>
          <cell r="BR128">
            <v>7799.5147171902063</v>
          </cell>
          <cell r="BS128">
            <v>7947.1511959073705</v>
          </cell>
          <cell r="BT128">
            <v>30675.88015950346</v>
          </cell>
          <cell r="BU128">
            <v>7226.4633170216212</v>
          </cell>
          <cell r="BV128">
            <v>7314.4616623283282</v>
          </cell>
          <cell r="BW128">
            <v>7402.2641611913259</v>
          </cell>
          <cell r="BX128">
            <v>7408.8748899650973</v>
          </cell>
          <cell r="BY128">
            <v>29352.064030506372</v>
          </cell>
          <cell r="BZ128">
            <v>7355.2841325219106</v>
          </cell>
          <cell r="CA128">
            <v>7693.9050229430268</v>
          </cell>
          <cell r="CB128">
            <v>8041.2966224429556</v>
          </cell>
          <cell r="CC128">
            <v>8306.4036843995491</v>
          </cell>
          <cell r="CD128">
            <v>31396.889462307445</v>
          </cell>
        </row>
        <row r="130">
          <cell r="A130" t="str">
            <v>Taxation</v>
          </cell>
          <cell r="G130">
            <v>-9035</v>
          </cell>
          <cell r="L130">
            <v>-8797</v>
          </cell>
          <cell r="Q130">
            <v>-8941</v>
          </cell>
          <cell r="V130">
            <v>-14006</v>
          </cell>
          <cell r="AA130">
            <v>-7097</v>
          </cell>
          <cell r="AF130">
            <v>-11847</v>
          </cell>
          <cell r="AK130">
            <v>-16417</v>
          </cell>
          <cell r="AP130">
            <v>-17660</v>
          </cell>
          <cell r="AQ130">
            <v>-4522.7224829516927</v>
          </cell>
          <cell r="AR130">
            <v>-2096.0480171061581</v>
          </cell>
          <cell r="AS130">
            <v>-2018.5654058108962</v>
          </cell>
          <cell r="AT130">
            <v>-1169.4875743817977</v>
          </cell>
          <cell r="AU130">
            <v>-9806.8234802505431</v>
          </cell>
          <cell r="AV130">
            <v>-3406.7153138592639</v>
          </cell>
          <cell r="AW130">
            <v>-2370.0790778523069</v>
          </cell>
          <cell r="AX130">
            <v>-2652.0877121816761</v>
          </cell>
          <cell r="AY130">
            <v>-3304.6385692041085</v>
          </cell>
          <cell r="AZ130">
            <v>-11733.520673097357</v>
          </cell>
          <cell r="BA130">
            <v>-3242.3807855247856</v>
          </cell>
          <cell r="BB130">
            <v>-3334.0935245669366</v>
          </cell>
          <cell r="BC130">
            <v>-3428.4877872182647</v>
          </cell>
          <cell r="BD130">
            <v>-3474.2708810558715</v>
          </cell>
          <cell r="BE130">
            <v>-13479.232978365859</v>
          </cell>
          <cell r="BF130">
            <v>-3861.5294566322409</v>
          </cell>
          <cell r="BG130">
            <v>-3937.3017541824502</v>
          </cell>
          <cell r="BH130">
            <v>-4015.9611813530109</v>
          </cell>
          <cell r="BI130">
            <v>-4045.7254972504002</v>
          </cell>
          <cell r="BJ130">
            <v>-15860.517889418104</v>
          </cell>
          <cell r="BK130">
            <v>-3984.7600048548311</v>
          </cell>
          <cell r="BL130">
            <v>-4039.9021836433731</v>
          </cell>
          <cell r="BM130">
            <v>-4095.1818696279047</v>
          </cell>
          <cell r="BN130">
            <v>-4100.4741286569169</v>
          </cell>
          <cell r="BO130">
            <v>-16220.318186783026</v>
          </cell>
          <cell r="BP130">
            <v>-3994.4185064451967</v>
          </cell>
          <cell r="BQ130">
            <v>-4100.2152462502245</v>
          </cell>
          <cell r="BR130">
            <v>-4207.4967355129602</v>
          </cell>
          <cell r="BS130">
            <v>-4264.4856070585511</v>
          </cell>
          <cell r="BT130">
            <v>-16566.616095266931</v>
          </cell>
          <cell r="BU130">
            <v>-4141.9860267830509</v>
          </cell>
          <cell r="BV130">
            <v>-4211.8120255672111</v>
          </cell>
          <cell r="BW130">
            <v>-4282.1121092673156</v>
          </cell>
          <cell r="BX130">
            <v>-4300.7876201496465</v>
          </cell>
          <cell r="BY130">
            <v>-16936.697781767223</v>
          </cell>
          <cell r="BZ130">
            <v>-4316.8332266626976</v>
          </cell>
          <cell r="CA130">
            <v>-4516.5250298126084</v>
          </cell>
          <cell r="CB130">
            <v>-4721.0542289424775</v>
          </cell>
          <cell r="CC130">
            <v>-4872.2811122554831</v>
          </cell>
          <cell r="CD130">
            <v>-18426.693597673271</v>
          </cell>
        </row>
        <row r="131">
          <cell r="A131" t="str">
            <v>Earnings after tax</v>
          </cell>
          <cell r="G131">
            <v>5126</v>
          </cell>
          <cell r="H131">
            <v>1477</v>
          </cell>
          <cell r="I131">
            <v>1793</v>
          </cell>
          <cell r="J131">
            <v>2245</v>
          </cell>
          <cell r="K131">
            <v>1806</v>
          </cell>
          <cell r="L131">
            <v>7321</v>
          </cell>
          <cell r="M131">
            <v>1675</v>
          </cell>
          <cell r="N131">
            <v>1612</v>
          </cell>
          <cell r="O131">
            <v>2196</v>
          </cell>
          <cell r="P131">
            <v>1151</v>
          </cell>
          <cell r="Q131">
            <v>6634</v>
          </cell>
          <cell r="R131">
            <v>2491</v>
          </cell>
          <cell r="S131">
            <v>2928</v>
          </cell>
          <cell r="T131">
            <v>2864</v>
          </cell>
          <cell r="U131">
            <v>2206</v>
          </cell>
          <cell r="V131">
            <v>10489</v>
          </cell>
          <cell r="W131">
            <v>1071</v>
          </cell>
          <cell r="X131">
            <v>1193</v>
          </cell>
          <cell r="Y131">
            <v>1033</v>
          </cell>
          <cell r="Z131">
            <v>1156</v>
          </cell>
          <cell r="AA131">
            <v>4453</v>
          </cell>
          <cell r="AB131">
            <v>1996</v>
          </cell>
          <cell r="AC131">
            <v>2027</v>
          </cell>
          <cell r="AD131">
            <v>2975</v>
          </cell>
          <cell r="AE131">
            <v>3879</v>
          </cell>
          <cell r="AF131">
            <v>10877</v>
          </cell>
          <cell r="AG131">
            <v>2991</v>
          </cell>
          <cell r="AH131">
            <v>3826</v>
          </cell>
          <cell r="AI131">
            <v>4126</v>
          </cell>
          <cell r="AJ131">
            <v>3673</v>
          </cell>
          <cell r="AK131">
            <v>14616</v>
          </cell>
          <cell r="AL131">
            <v>4188</v>
          </cell>
          <cell r="AM131">
            <v>3561</v>
          </cell>
          <cell r="AN131">
            <v>4397</v>
          </cell>
          <cell r="AO131">
            <v>4531</v>
          </cell>
          <cell r="AP131">
            <v>16677</v>
          </cell>
          <cell r="AQ131">
            <v>4196</v>
          </cell>
          <cell r="AR131">
            <v>3128</v>
          </cell>
          <cell r="AS131">
            <v>3072</v>
          </cell>
          <cell r="AT131">
            <v>2686</v>
          </cell>
          <cell r="AU131">
            <v>13082</v>
          </cell>
          <cell r="AV131">
            <v>3594.6134600886362</v>
          </cell>
          <cell r="AW131">
            <v>3148.1651453243257</v>
          </cell>
          <cell r="AX131">
            <v>3251.8658134664761</v>
          </cell>
          <cell r="AY131">
            <v>3522.4480306304013</v>
          </cell>
          <cell r="AZ131">
            <v>13517.092449509839</v>
          </cell>
          <cell r="BA131">
            <v>3159.8725446604662</v>
          </cell>
          <cell r="BB131">
            <v>3171.3078368219199</v>
          </cell>
          <cell r="BC131">
            <v>3204.2364643558026</v>
          </cell>
          <cell r="BD131">
            <v>3213.3346454895045</v>
          </cell>
          <cell r="BE131">
            <v>12748.751491327694</v>
          </cell>
          <cell r="BF131">
            <v>3018.8841426535182</v>
          </cell>
          <cell r="BG131">
            <v>3066.6449943748557</v>
          </cell>
          <cell r="BH131">
            <v>3140.1712549289805</v>
          </cell>
          <cell r="BI131">
            <v>3190.2089293491085</v>
          </cell>
          <cell r="BJ131">
            <v>12415.909321306463</v>
          </cell>
          <cell r="BK131">
            <v>3191.9533882261012</v>
          </cell>
          <cell r="BL131">
            <v>3277.5490082369533</v>
          </cell>
          <cell r="BM131">
            <v>3365.5426047379674</v>
          </cell>
          <cell r="BN131">
            <v>3428.9760499543208</v>
          </cell>
          <cell r="BO131">
            <v>13264.021051155343</v>
          </cell>
          <cell r="BP131">
            <v>3360.1102068753271</v>
          </cell>
          <cell r="BQ131">
            <v>3474.4702868351378</v>
          </cell>
          <cell r="BR131">
            <v>3592.0179816772461</v>
          </cell>
          <cell r="BS131">
            <v>3682.6655888488194</v>
          </cell>
          <cell r="BT131">
            <v>14109.26406423653</v>
          </cell>
          <cell r="BU131">
            <v>3084.4772902385703</v>
          </cell>
          <cell r="BV131">
            <v>3102.6496367611171</v>
          </cell>
          <cell r="BW131">
            <v>3120.1520519240103</v>
          </cell>
          <cell r="BX131">
            <v>3108.0872698154508</v>
          </cell>
          <cell r="BY131">
            <v>12415.366248739148</v>
          </cell>
          <cell r="BZ131">
            <v>3038.450905859213</v>
          </cell>
          <cell r="CA131">
            <v>3177.3799931304184</v>
          </cell>
          <cell r="CB131">
            <v>3320.2423935004781</v>
          </cell>
          <cell r="CC131">
            <v>3434.122572144066</v>
          </cell>
          <cell r="CD131">
            <v>12970.195864634175</v>
          </cell>
        </row>
        <row r="133">
          <cell r="A133" t="str">
            <v>Identified items</v>
          </cell>
          <cell r="H133">
            <v>0</v>
          </cell>
          <cell r="I133">
            <v>0</v>
          </cell>
          <cell r="J133">
            <v>0</v>
          </cell>
          <cell r="K133">
            <v>-71</v>
          </cell>
          <cell r="L133">
            <v>-71</v>
          </cell>
          <cell r="M133">
            <v>126</v>
          </cell>
          <cell r="N133">
            <v>136</v>
          </cell>
          <cell r="O133">
            <v>122</v>
          </cell>
          <cell r="P133">
            <v>-682</v>
          </cell>
          <cell r="Q133">
            <v>-298</v>
          </cell>
          <cell r="R133">
            <v>0</v>
          </cell>
          <cell r="S133">
            <v>179</v>
          </cell>
          <cell r="T133">
            <v>126</v>
          </cell>
          <cell r="U133">
            <v>465</v>
          </cell>
          <cell r="V133">
            <v>770</v>
          </cell>
          <cell r="W133">
            <v>162</v>
          </cell>
          <cell r="X133">
            <v>70</v>
          </cell>
          <cell r="Y133">
            <v>31</v>
          </cell>
          <cell r="Z133">
            <v>-289</v>
          </cell>
          <cell r="AA133">
            <v>-26</v>
          </cell>
          <cell r="AB133">
            <v>-50</v>
          </cell>
          <cell r="AC133">
            <v>17</v>
          </cell>
          <cell r="AD133">
            <v>555</v>
          </cell>
          <cell r="AE133">
            <v>1907</v>
          </cell>
          <cell r="AF133">
            <v>2429</v>
          </cell>
          <cell r="AG133">
            <v>183</v>
          </cell>
          <cell r="AH133">
            <v>509</v>
          </cell>
          <cell r="AI133">
            <v>513</v>
          </cell>
          <cell r="AJ133">
            <v>696</v>
          </cell>
          <cell r="AK133">
            <v>1901</v>
          </cell>
          <cell r="AL133">
            <v>0</v>
          </cell>
          <cell r="AM133">
            <v>166</v>
          </cell>
          <cell r="AN133">
            <v>498</v>
          </cell>
          <cell r="AO133">
            <v>1284</v>
          </cell>
          <cell r="AP133">
            <v>1948</v>
          </cell>
          <cell r="AQ133">
            <v>233</v>
          </cell>
          <cell r="AR133">
            <v>49</v>
          </cell>
          <cell r="AS133">
            <v>-91</v>
          </cell>
          <cell r="AT133">
            <v>48</v>
          </cell>
          <cell r="AU133">
            <v>239</v>
          </cell>
          <cell r="AV133">
            <v>0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  <cell r="BF133">
            <v>0</v>
          </cell>
          <cell r="BG133">
            <v>0</v>
          </cell>
          <cell r="BH133">
            <v>0</v>
          </cell>
          <cell r="BI133">
            <v>0</v>
          </cell>
          <cell r="BJ133">
            <v>0</v>
          </cell>
          <cell r="BK133">
            <v>0</v>
          </cell>
          <cell r="BL133">
            <v>0</v>
          </cell>
          <cell r="BM133">
            <v>0</v>
          </cell>
          <cell r="BN133">
            <v>0</v>
          </cell>
          <cell r="BO133">
            <v>0</v>
          </cell>
          <cell r="BP133">
            <v>0</v>
          </cell>
          <cell r="BQ133">
            <v>0</v>
          </cell>
          <cell r="BR133">
            <v>0</v>
          </cell>
          <cell r="BS133">
            <v>0</v>
          </cell>
          <cell r="BT133">
            <v>0</v>
          </cell>
          <cell r="BU133">
            <v>0</v>
          </cell>
          <cell r="BV133">
            <v>0</v>
          </cell>
          <cell r="BW133">
            <v>0</v>
          </cell>
          <cell r="BX133">
            <v>0</v>
          </cell>
          <cell r="BY133">
            <v>0</v>
          </cell>
          <cell r="BZ133">
            <v>0</v>
          </cell>
          <cell r="CA133">
            <v>0</v>
          </cell>
          <cell r="CB133">
            <v>0</v>
          </cell>
          <cell r="CC133">
            <v>0</v>
          </cell>
          <cell r="CD133">
            <v>0</v>
          </cell>
        </row>
        <row r="134">
          <cell r="A134" t="str">
            <v>Earnings excluding identified items</v>
          </cell>
          <cell r="H134">
            <v>1477</v>
          </cell>
          <cell r="I134">
            <v>1793</v>
          </cell>
          <cell r="J134">
            <v>2245</v>
          </cell>
          <cell r="K134">
            <v>1877</v>
          </cell>
          <cell r="L134">
            <v>7392</v>
          </cell>
          <cell r="M134">
            <v>1549</v>
          </cell>
          <cell r="N134">
            <v>1476</v>
          </cell>
          <cell r="O134">
            <v>2074</v>
          </cell>
          <cell r="P134">
            <v>1833</v>
          </cell>
          <cell r="Q134">
            <v>6932</v>
          </cell>
          <cell r="R134">
            <v>2491</v>
          </cell>
          <cell r="S134">
            <v>2749</v>
          </cell>
          <cell r="T134">
            <v>2738</v>
          </cell>
          <cell r="U134">
            <v>1741</v>
          </cell>
          <cell r="V134">
            <v>9719</v>
          </cell>
          <cell r="W134">
            <v>909</v>
          </cell>
          <cell r="X134">
            <v>1123</v>
          </cell>
          <cell r="Y134">
            <v>1002</v>
          </cell>
          <cell r="Z134">
            <v>1445</v>
          </cell>
          <cell r="AA134">
            <v>4479</v>
          </cell>
          <cell r="AB134">
            <v>2046</v>
          </cell>
          <cell r="AC134">
            <v>2010</v>
          </cell>
          <cell r="AD134">
            <v>2420</v>
          </cell>
          <cell r="AE134">
            <v>1972</v>
          </cell>
          <cell r="AF134">
            <v>8448</v>
          </cell>
          <cell r="AG134">
            <v>2808</v>
          </cell>
          <cell r="AH134">
            <v>3317</v>
          </cell>
          <cell r="AI134">
            <v>3613</v>
          </cell>
          <cell r="AJ134">
            <v>2977</v>
          </cell>
          <cell r="AK134">
            <v>12715</v>
          </cell>
          <cell r="AL134">
            <v>4188</v>
          </cell>
          <cell r="AM134">
            <v>3395</v>
          </cell>
          <cell r="AN134">
            <v>3899</v>
          </cell>
          <cell r="AO134">
            <v>3247</v>
          </cell>
          <cell r="AP134">
            <v>14729</v>
          </cell>
          <cell r="AQ134">
            <v>3963</v>
          </cell>
          <cell r="AR134">
            <v>3079</v>
          </cell>
          <cell r="AS134">
            <v>3163</v>
          </cell>
          <cell r="AT134">
            <v>2638</v>
          </cell>
          <cell r="AU134">
            <v>12843</v>
          </cell>
          <cell r="AV134">
            <v>3594.6134600886362</v>
          </cell>
          <cell r="AW134">
            <v>3148.1651453243257</v>
          </cell>
          <cell r="AX134">
            <v>3251.8658134664761</v>
          </cell>
          <cell r="AY134">
            <v>3522.4480306304013</v>
          </cell>
          <cell r="AZ134">
            <v>13517.092449509839</v>
          </cell>
          <cell r="BA134">
            <v>3159.8725446604662</v>
          </cell>
          <cell r="BB134">
            <v>3171.3078368219199</v>
          </cell>
          <cell r="BC134">
            <v>3204.2364643558026</v>
          </cell>
          <cell r="BD134">
            <v>3213.3346454895045</v>
          </cell>
          <cell r="BE134">
            <v>12748.751491327694</v>
          </cell>
          <cell r="BF134">
            <v>3018.8841426535182</v>
          </cell>
          <cell r="BG134">
            <v>3066.6449943748557</v>
          </cell>
          <cell r="BH134">
            <v>3140.1712549289805</v>
          </cell>
          <cell r="BI134">
            <v>3190.2089293491085</v>
          </cell>
          <cell r="BJ134">
            <v>12415.909321306463</v>
          </cell>
          <cell r="BK134">
            <v>3191.9533882261012</v>
          </cell>
          <cell r="BL134">
            <v>3277.5490082369533</v>
          </cell>
          <cell r="BM134">
            <v>3365.5426047379674</v>
          </cell>
          <cell r="BN134">
            <v>3428.9760499543208</v>
          </cell>
          <cell r="BO134">
            <v>13264.021051155343</v>
          </cell>
          <cell r="BP134">
            <v>3360.1102068753271</v>
          </cell>
          <cell r="BQ134">
            <v>3474.4702868351378</v>
          </cell>
          <cell r="BR134">
            <v>3592.0179816772461</v>
          </cell>
          <cell r="BS134">
            <v>3682.6655888488194</v>
          </cell>
          <cell r="BT134">
            <v>14109.26406423653</v>
          </cell>
          <cell r="BU134">
            <v>3084.4772902385703</v>
          </cell>
          <cell r="BV134">
            <v>3102.6496367611171</v>
          </cell>
          <cell r="BW134">
            <v>3120.1520519240103</v>
          </cell>
          <cell r="BX134">
            <v>3108.0872698154508</v>
          </cell>
          <cell r="BY134">
            <v>12415.366248739148</v>
          </cell>
          <cell r="BZ134">
            <v>3038.450905859213</v>
          </cell>
          <cell r="CA134">
            <v>3177.3799931304184</v>
          </cell>
          <cell r="CB134">
            <v>3320.2423935004781</v>
          </cell>
          <cell r="CC134">
            <v>3434.122572144066</v>
          </cell>
          <cell r="CD134">
            <v>12970.195864634175</v>
          </cell>
        </row>
        <row r="136">
          <cell r="A136" t="str">
            <v>Revenue</v>
          </cell>
        </row>
        <row r="137">
          <cell r="B137" t="str">
            <v>From oil and gas operations (FAS69)</v>
          </cell>
          <cell r="G137">
            <v>18533</v>
          </cell>
          <cell r="L137">
            <v>21708</v>
          </cell>
          <cell r="Q137">
            <v>23699</v>
          </cell>
          <cell r="V137">
            <v>29908</v>
          </cell>
          <cell r="AA137">
            <v>19634</v>
          </cell>
          <cell r="AF137">
            <v>26521</v>
          </cell>
          <cell r="AK137">
            <v>35834</v>
          </cell>
          <cell r="AP137">
            <v>36672</v>
          </cell>
          <cell r="AQ137">
            <v>9535.9566887105975</v>
          </cell>
          <cell r="AR137">
            <v>7381.6188904451546</v>
          </cell>
          <cell r="AS137">
            <v>7478.5199700655685</v>
          </cell>
          <cell r="AT137">
            <v>7145.8307368928672</v>
          </cell>
          <cell r="AU137">
            <v>31541.926286114191</v>
          </cell>
          <cell r="AV137">
            <v>7427.5359695266661</v>
          </cell>
          <cell r="AW137">
            <v>8083.9736095531716</v>
          </cell>
          <cell r="AX137">
            <v>8555.5273458678894</v>
          </cell>
          <cell r="AY137">
            <v>9087.5179649946003</v>
          </cell>
          <cell r="AZ137">
            <v>33154.554889942323</v>
          </cell>
          <cell r="BA137">
            <v>8565.8183431028338</v>
          </cell>
          <cell r="BB137">
            <v>8718.9233913572934</v>
          </cell>
          <cell r="BC137">
            <v>8889.7543197926207</v>
          </cell>
          <cell r="BD137">
            <v>8964.6504309996108</v>
          </cell>
          <cell r="BE137">
            <v>35139.146485252364</v>
          </cell>
          <cell r="BF137">
            <v>8934.8008163368613</v>
          </cell>
          <cell r="BG137">
            <v>9121.7052759135149</v>
          </cell>
          <cell r="BH137">
            <v>9331.5220613847596</v>
          </cell>
          <cell r="BI137">
            <v>9441.1540291209476</v>
          </cell>
          <cell r="BJ137">
            <v>36829.182182756085</v>
          </cell>
          <cell r="BK137">
            <v>9538.8279991208528</v>
          </cell>
          <cell r="BL137">
            <v>9769.8651457781052</v>
          </cell>
          <cell r="BM137">
            <v>10004.836007130025</v>
          </cell>
          <cell r="BN137">
            <v>10133.640720009145</v>
          </cell>
          <cell r="BO137">
            <v>39447.169872038132</v>
          </cell>
          <cell r="BP137">
            <v>10084.34082333187</v>
          </cell>
          <cell r="BQ137">
            <v>10371.15345438775</v>
          </cell>
          <cell r="BR137">
            <v>10663.53814721569</v>
          </cell>
          <cell r="BS137">
            <v>10843.699946955794</v>
          </cell>
          <cell r="BT137">
            <v>41962.732371891107</v>
          </cell>
          <cell r="BU137">
            <v>10659.905893212828</v>
          </cell>
          <cell r="BV137">
            <v>10788.820800626707</v>
          </cell>
          <cell r="BW137">
            <v>10917.582851939211</v>
          </cell>
          <cell r="BX137">
            <v>10927.398378262831</v>
          </cell>
          <cell r="BY137">
            <v>43293.707924041577</v>
          </cell>
          <cell r="BZ137">
            <v>11063.342063357395</v>
          </cell>
          <cell r="CA137">
            <v>11502.110349608658</v>
          </cell>
          <cell r="CB137">
            <v>11951.264633074376</v>
          </cell>
          <cell r="CC137">
            <v>12277.497183042207</v>
          </cell>
          <cell r="CD137">
            <v>46794.214229082638</v>
          </cell>
        </row>
        <row r="138">
          <cell r="B138" t="str">
            <v>Pearl GTL</v>
          </cell>
          <cell r="AF138">
            <v>0</v>
          </cell>
          <cell r="AG138">
            <v>0</v>
          </cell>
          <cell r="AH138">
            <v>0</v>
          </cell>
          <cell r="AI138">
            <v>957.7221634551538</v>
          </cell>
          <cell r="AJ138">
            <v>957.7221634551538</v>
          </cell>
          <cell r="AK138">
            <v>1915.4443269103076</v>
          </cell>
          <cell r="AL138">
            <v>1052.8261242520121</v>
          </cell>
          <cell r="AM138">
            <v>1052.8261242520121</v>
          </cell>
          <cell r="AN138">
            <v>1052.8261242520121</v>
          </cell>
          <cell r="AO138">
            <v>1052.8261242520121</v>
          </cell>
          <cell r="AP138">
            <v>4211.3044970080482</v>
          </cell>
          <cell r="AQ138">
            <v>1313.0378557265071</v>
          </cell>
          <cell r="AR138">
            <v>1313.0378557265071</v>
          </cell>
          <cell r="AS138">
            <v>1313.0378557265071</v>
          </cell>
          <cell r="AT138">
            <v>1313.0378557265071</v>
          </cell>
          <cell r="AU138">
            <v>5252.1514229060285</v>
          </cell>
          <cell r="AV138">
            <v>1446.2967843263996</v>
          </cell>
          <cell r="AW138">
            <v>1446.2967843263996</v>
          </cell>
          <cell r="AX138">
            <v>1446.2967843263996</v>
          </cell>
          <cell r="AY138">
            <v>1446.2967843263996</v>
          </cell>
          <cell r="AZ138">
            <v>5785.1871373055983</v>
          </cell>
          <cell r="BA138">
            <v>1151.9049948253798</v>
          </cell>
          <cell r="BB138">
            <v>1151.9049948253798</v>
          </cell>
          <cell r="BC138">
            <v>1151.9049948253798</v>
          </cell>
          <cell r="BD138">
            <v>1151.9049948253798</v>
          </cell>
          <cell r="BE138">
            <v>4607.6199793015194</v>
          </cell>
          <cell r="BF138">
            <v>850.41636847340624</v>
          </cell>
          <cell r="BG138">
            <v>850.41636847340624</v>
          </cell>
          <cell r="BH138">
            <v>850.41636847340624</v>
          </cell>
          <cell r="BI138">
            <v>850.41636847340624</v>
          </cell>
          <cell r="BJ138">
            <v>3401.6654738936249</v>
          </cell>
          <cell r="BK138">
            <v>860.80900717710324</v>
          </cell>
          <cell r="BL138">
            <v>860.80900717710324</v>
          </cell>
          <cell r="BM138">
            <v>860.80900717710324</v>
          </cell>
          <cell r="BN138">
            <v>860.80900717710324</v>
          </cell>
          <cell r="BO138">
            <v>3443.236028708413</v>
          </cell>
          <cell r="BP138">
            <v>868.63593815451713</v>
          </cell>
          <cell r="BQ138">
            <v>868.63593815451713</v>
          </cell>
          <cell r="BR138">
            <v>868.63593815451713</v>
          </cell>
          <cell r="BS138">
            <v>868.63593815451713</v>
          </cell>
          <cell r="BT138">
            <v>3474.5437526180685</v>
          </cell>
          <cell r="BU138">
            <v>438.28716195329463</v>
          </cell>
          <cell r="BV138">
            <v>438.28716195329463</v>
          </cell>
          <cell r="BW138">
            <v>438.28716195329463</v>
          </cell>
          <cell r="BX138">
            <v>438.28716195329463</v>
          </cell>
          <cell r="BY138">
            <v>1753.1486478131785</v>
          </cell>
          <cell r="BZ138">
            <v>448.68883582628177</v>
          </cell>
          <cell r="CA138">
            <v>448.68883582628177</v>
          </cell>
          <cell r="CB138">
            <v>448.68883582628177</v>
          </cell>
          <cell r="CC138">
            <v>448.68883582628177</v>
          </cell>
          <cell r="CD138">
            <v>1794.7553433051271</v>
          </cell>
        </row>
        <row r="139">
          <cell r="B139" t="str">
            <v xml:space="preserve">Other Upstream </v>
          </cell>
          <cell r="G139">
            <v>1690</v>
          </cell>
          <cell r="L139">
            <v>2346</v>
          </cell>
          <cell r="Q139">
            <v>3219</v>
          </cell>
          <cell r="V139">
            <v>5375</v>
          </cell>
          <cell r="AA139">
            <v>2299</v>
          </cell>
          <cell r="AF139">
            <v>4322</v>
          </cell>
          <cell r="AK139">
            <v>6826.5556730896924</v>
          </cell>
          <cell r="AP139">
            <v>8983.6955029919518</v>
          </cell>
          <cell r="AQ139">
            <v>2000</v>
          </cell>
          <cell r="AR139">
            <v>2000</v>
          </cell>
          <cell r="AS139">
            <v>2000</v>
          </cell>
          <cell r="AT139">
            <v>2000</v>
          </cell>
          <cell r="AU139">
            <v>8000</v>
          </cell>
          <cell r="AV139">
            <v>2000</v>
          </cell>
          <cell r="AW139">
            <v>2000</v>
          </cell>
          <cell r="AX139">
            <v>2000</v>
          </cell>
          <cell r="AY139">
            <v>2000</v>
          </cell>
          <cell r="AZ139">
            <v>8000</v>
          </cell>
          <cell r="BA139">
            <v>2000</v>
          </cell>
          <cell r="BB139">
            <v>2000</v>
          </cell>
          <cell r="BC139">
            <v>2000</v>
          </cell>
          <cell r="BD139">
            <v>2000</v>
          </cell>
          <cell r="BE139">
            <v>8000</v>
          </cell>
          <cell r="BF139">
            <v>2000</v>
          </cell>
          <cell r="BG139">
            <v>2000</v>
          </cell>
          <cell r="BH139">
            <v>2000</v>
          </cell>
          <cell r="BI139">
            <v>2000</v>
          </cell>
          <cell r="BJ139">
            <v>8000</v>
          </cell>
          <cell r="BK139">
            <v>2000</v>
          </cell>
          <cell r="BL139">
            <v>2000</v>
          </cell>
          <cell r="BM139">
            <v>2000</v>
          </cell>
          <cell r="BN139">
            <v>2000</v>
          </cell>
          <cell r="BO139">
            <v>8000</v>
          </cell>
          <cell r="BP139">
            <v>2000</v>
          </cell>
          <cell r="BQ139">
            <v>2000</v>
          </cell>
          <cell r="BR139">
            <v>2000</v>
          </cell>
          <cell r="BS139">
            <v>2000</v>
          </cell>
          <cell r="BT139">
            <v>8000</v>
          </cell>
          <cell r="BU139">
            <v>2000</v>
          </cell>
          <cell r="BV139">
            <v>2000</v>
          </cell>
          <cell r="BW139">
            <v>2000</v>
          </cell>
          <cell r="BX139">
            <v>2000</v>
          </cell>
          <cell r="BY139">
            <v>8000</v>
          </cell>
          <cell r="BZ139">
            <v>2000</v>
          </cell>
          <cell r="CA139">
            <v>2000</v>
          </cell>
          <cell r="CB139">
            <v>2000</v>
          </cell>
          <cell r="CC139">
            <v>2000</v>
          </cell>
          <cell r="CD139">
            <v>8000</v>
          </cell>
        </row>
        <row r="141">
          <cell r="A141" t="str">
            <v>Share of profit of equity accounted investments</v>
          </cell>
        </row>
        <row r="142">
          <cell r="B142" t="str">
            <v>From oil and gas operations (FAS69)</v>
          </cell>
          <cell r="G142">
            <v>529</v>
          </cell>
          <cell r="L142">
            <v>739</v>
          </cell>
          <cell r="Q142">
            <v>835</v>
          </cell>
          <cell r="V142">
            <v>1002</v>
          </cell>
          <cell r="AA142">
            <v>835</v>
          </cell>
          <cell r="AF142">
            <v>1603</v>
          </cell>
          <cell r="AK142">
            <v>2708</v>
          </cell>
          <cell r="AP142">
            <v>3391</v>
          </cell>
          <cell r="AQ142">
            <v>697.28650614205321</v>
          </cell>
          <cell r="AR142">
            <v>602.79104042787219</v>
          </cell>
          <cell r="AS142">
            <v>653.30273804030298</v>
          </cell>
          <cell r="AT142">
            <v>612.58678886546056</v>
          </cell>
          <cell r="AU142">
            <v>2565.9670734756892</v>
          </cell>
          <cell r="AV142">
            <v>387.31819599814179</v>
          </cell>
          <cell r="AW142">
            <v>389.38600950879027</v>
          </cell>
          <cell r="AX142">
            <v>392.05253227187632</v>
          </cell>
          <cell r="AY142">
            <v>390.12415383156906</v>
          </cell>
          <cell r="AZ142">
            <v>1558.8808916103781</v>
          </cell>
          <cell r="BA142">
            <v>302.06391102278911</v>
          </cell>
          <cell r="BB142">
            <v>298.22836663676634</v>
          </cell>
          <cell r="BC142">
            <v>302.91034637364811</v>
          </cell>
          <cell r="BD142">
            <v>303.99915724638947</v>
          </cell>
          <cell r="BE142">
            <v>1207.2017812795918</v>
          </cell>
          <cell r="BF142">
            <v>234.71826259410003</v>
          </cell>
          <cell r="BG142">
            <v>228.51209369948756</v>
          </cell>
          <cell r="BH142">
            <v>230.73436997340795</v>
          </cell>
          <cell r="BI142">
            <v>230.12959027260882</v>
          </cell>
          <cell r="BJ142">
            <v>924.09431653960496</v>
          </cell>
          <cell r="BK142">
            <v>207.97332368529825</v>
          </cell>
          <cell r="BL142">
            <v>214.88114203760668</v>
          </cell>
          <cell r="BM142">
            <v>221.91292897701743</v>
          </cell>
          <cell r="BN142">
            <v>226.29760937107696</v>
          </cell>
          <cell r="BO142">
            <v>871.06500407099895</v>
          </cell>
          <cell r="BP142">
            <v>206.39659084040045</v>
          </cell>
          <cell r="BQ142">
            <v>212.83121517493669</v>
          </cell>
          <cell r="BR142">
            <v>219.37336738656072</v>
          </cell>
          <cell r="BS142">
            <v>223.28445211117486</v>
          </cell>
          <cell r="BT142">
            <v>861.88562551307291</v>
          </cell>
          <cell r="BU142">
            <v>198.2207953880247</v>
          </cell>
          <cell r="BV142">
            <v>204.94236628710507</v>
          </cell>
          <cell r="BW142">
            <v>211.78422646320223</v>
          </cell>
          <cell r="BX142">
            <v>216.08620876616791</v>
          </cell>
          <cell r="BY142">
            <v>831.0335969044994</v>
          </cell>
          <cell r="BZ142">
            <v>188.02259935353442</v>
          </cell>
          <cell r="CA142">
            <v>194.40321957988994</v>
          </cell>
          <cell r="CB142">
            <v>200.8941996545845</v>
          </cell>
          <cell r="CC142">
            <v>204.95614423314768</v>
          </cell>
          <cell r="CD142">
            <v>788.27616282115639</v>
          </cell>
        </row>
        <row r="143">
          <cell r="B143" t="str">
            <v xml:space="preserve">Other Upstream </v>
          </cell>
          <cell r="G143">
            <v>988</v>
          </cell>
          <cell r="L143">
            <v>1371</v>
          </cell>
          <cell r="Q143">
            <v>1674</v>
          </cell>
          <cell r="V143">
            <v>2496</v>
          </cell>
          <cell r="AA143">
            <v>888</v>
          </cell>
          <cell r="AF143">
            <v>1005</v>
          </cell>
          <cell r="AK143">
            <v>1524</v>
          </cell>
          <cell r="AP143">
            <v>1820</v>
          </cell>
          <cell r="AQ143">
            <v>400</v>
          </cell>
          <cell r="AR143">
            <v>400</v>
          </cell>
          <cell r="AS143">
            <v>400</v>
          </cell>
          <cell r="AT143">
            <v>400</v>
          </cell>
          <cell r="AU143">
            <v>1600</v>
          </cell>
          <cell r="AV143">
            <v>400</v>
          </cell>
          <cell r="AW143">
            <v>400</v>
          </cell>
          <cell r="AX143">
            <v>400</v>
          </cell>
          <cell r="AY143">
            <v>400</v>
          </cell>
          <cell r="AZ143">
            <v>1600</v>
          </cell>
          <cell r="BA143">
            <v>400</v>
          </cell>
          <cell r="BB143">
            <v>400</v>
          </cell>
          <cell r="BC143">
            <v>400</v>
          </cell>
          <cell r="BD143">
            <v>400</v>
          </cell>
          <cell r="BE143">
            <v>1600</v>
          </cell>
          <cell r="BF143">
            <v>400</v>
          </cell>
          <cell r="BG143">
            <v>400</v>
          </cell>
          <cell r="BH143">
            <v>400</v>
          </cell>
          <cell r="BI143">
            <v>400</v>
          </cell>
          <cell r="BJ143">
            <v>1600</v>
          </cell>
          <cell r="BK143">
            <v>400</v>
          </cell>
          <cell r="BL143">
            <v>400</v>
          </cell>
          <cell r="BM143">
            <v>400</v>
          </cell>
          <cell r="BN143">
            <v>400</v>
          </cell>
          <cell r="BO143">
            <v>1600</v>
          </cell>
          <cell r="BP143">
            <v>400</v>
          </cell>
          <cell r="BQ143">
            <v>400</v>
          </cell>
          <cell r="BR143">
            <v>400</v>
          </cell>
          <cell r="BS143">
            <v>400</v>
          </cell>
          <cell r="BT143">
            <v>1600</v>
          </cell>
          <cell r="BU143">
            <v>400</v>
          </cell>
          <cell r="BV143">
            <v>400</v>
          </cell>
          <cell r="BW143">
            <v>400</v>
          </cell>
          <cell r="BX143">
            <v>400</v>
          </cell>
          <cell r="BY143">
            <v>1600</v>
          </cell>
          <cell r="BZ143">
            <v>400</v>
          </cell>
          <cell r="CA143">
            <v>400</v>
          </cell>
          <cell r="CB143">
            <v>400</v>
          </cell>
          <cell r="CC143">
            <v>400</v>
          </cell>
          <cell r="CD143">
            <v>1600</v>
          </cell>
        </row>
        <row r="145">
          <cell r="A145" t="str">
            <v>Production and manufacturing expenses</v>
          </cell>
        </row>
        <row r="146">
          <cell r="B146" t="str">
            <v>From oil and gas operations (FAS69)</v>
          </cell>
          <cell r="G146">
            <v>1891</v>
          </cell>
          <cell r="L146">
            <v>2307</v>
          </cell>
          <cell r="Q146">
            <v>2756</v>
          </cell>
          <cell r="V146">
            <v>2695</v>
          </cell>
          <cell r="AA146">
            <v>2575</v>
          </cell>
          <cell r="AF146">
            <v>2637</v>
          </cell>
          <cell r="AK146">
            <v>3140</v>
          </cell>
          <cell r="AP146">
            <v>3517</v>
          </cell>
          <cell r="AQ146">
            <v>917.832436235302</v>
          </cell>
          <cell r="AR146">
            <v>830.97833392440248</v>
          </cell>
          <cell r="AS146">
            <v>803.49579134049748</v>
          </cell>
          <cell r="AT146">
            <v>851.3215649544386</v>
          </cell>
          <cell r="AU146">
            <v>3403.6281264546406</v>
          </cell>
          <cell r="AV146">
            <v>879.93991286128607</v>
          </cell>
          <cell r="AW146">
            <v>934.31907551348036</v>
          </cell>
          <cell r="AX146">
            <v>970.77082359217536</v>
          </cell>
          <cell r="AY146">
            <v>1011.1360886806701</v>
          </cell>
          <cell r="AZ146">
            <v>3796.165900647612</v>
          </cell>
          <cell r="BA146">
            <v>1039.6235087295283</v>
          </cell>
          <cell r="BB146">
            <v>1062.5814155133912</v>
          </cell>
          <cell r="BC146">
            <v>1085.7900153624114</v>
          </cell>
          <cell r="BD146">
            <v>1097.3218963596357</v>
          </cell>
          <cell r="BE146">
            <v>4285.3168359649662</v>
          </cell>
          <cell r="BF146">
            <v>1170.638040198718</v>
          </cell>
          <cell r="BG146">
            <v>1192.645119561083</v>
          </cell>
          <cell r="BH146">
            <v>1214.850000902059</v>
          </cell>
          <cell r="BI146">
            <v>1223.9488919181886</v>
          </cell>
          <cell r="BJ146">
            <v>4802.0820525800482</v>
          </cell>
          <cell r="BK146">
            <v>1272.290283519857</v>
          </cell>
          <cell r="BL146">
            <v>1312.6273449668706</v>
          </cell>
          <cell r="BM146">
            <v>1353.5402416389668</v>
          </cell>
          <cell r="BN146">
            <v>1380.0286619927451</v>
          </cell>
          <cell r="BO146">
            <v>5318.4865321184388</v>
          </cell>
          <cell r="BP146">
            <v>1391.0722366981931</v>
          </cell>
          <cell r="BQ146">
            <v>1413.9194546686376</v>
          </cell>
          <cell r="BR146">
            <v>1436.9291091178709</v>
          </cell>
          <cell r="BS146">
            <v>1444.4011871421746</v>
          </cell>
          <cell r="BT146">
            <v>5686.3219876268759</v>
          </cell>
          <cell r="BU146">
            <v>1454.2027173656579</v>
          </cell>
          <cell r="BV146">
            <v>1472.3033478000759</v>
          </cell>
          <cell r="BW146">
            <v>1490.4466776293007</v>
          </cell>
          <cell r="BX146">
            <v>1492.4108497903926</v>
          </cell>
          <cell r="BY146">
            <v>5909.3635925854269</v>
          </cell>
          <cell r="BZ146">
            <v>1518.9249490120937</v>
          </cell>
          <cell r="CA146">
            <v>1552.2587037245103</v>
          </cell>
          <cell r="CB146">
            <v>1585.9541465871355</v>
          </cell>
          <cell r="CC146">
            <v>1602.5918014967442</v>
          </cell>
          <cell r="CD146">
            <v>6259.7296008204839</v>
          </cell>
        </row>
        <row r="147">
          <cell r="B147" t="str">
            <v>Pearl GTL</v>
          </cell>
          <cell r="AF147">
            <v>0</v>
          </cell>
          <cell r="AG147">
            <v>0</v>
          </cell>
          <cell r="AH147">
            <v>0</v>
          </cell>
          <cell r="AI147">
            <v>88.432411904560098</v>
          </cell>
          <cell r="AJ147">
            <v>88.432411904560098</v>
          </cell>
          <cell r="AK147">
            <v>176.8648238091202</v>
          </cell>
          <cell r="AL147">
            <v>96.590757777419952</v>
          </cell>
          <cell r="AM147">
            <v>96.590757777419952</v>
          </cell>
          <cell r="AN147">
            <v>96.590757777419952</v>
          </cell>
          <cell r="AO147">
            <v>96.590757777419952</v>
          </cell>
          <cell r="AP147">
            <v>386.36303110967981</v>
          </cell>
          <cell r="AQ147">
            <v>61.237576585776068</v>
          </cell>
          <cell r="AR147">
            <v>61.237576585776068</v>
          </cell>
          <cell r="AS147">
            <v>61.237576585776068</v>
          </cell>
          <cell r="AT147">
            <v>61.237576585776068</v>
          </cell>
          <cell r="AU147">
            <v>244.95030634310427</v>
          </cell>
          <cell r="AV147">
            <v>43.693839350072082</v>
          </cell>
          <cell r="AW147">
            <v>43.693839350072082</v>
          </cell>
          <cell r="AX147">
            <v>43.693839350072082</v>
          </cell>
          <cell r="AY147">
            <v>43.693839350072082</v>
          </cell>
          <cell r="AZ147">
            <v>174.77535740028833</v>
          </cell>
          <cell r="BA147">
            <v>41.28618533382388</v>
          </cell>
          <cell r="BB147">
            <v>41.28618533382388</v>
          </cell>
          <cell r="BC147">
            <v>41.28618533382388</v>
          </cell>
          <cell r="BD147">
            <v>41.28618533382388</v>
          </cell>
          <cell r="BE147">
            <v>165.14474133529552</v>
          </cell>
          <cell r="BF147">
            <v>55.51411220789943</v>
          </cell>
          <cell r="BG147">
            <v>55.51411220789943</v>
          </cell>
          <cell r="BH147">
            <v>55.51411220789943</v>
          </cell>
          <cell r="BI147">
            <v>55.51411220789943</v>
          </cell>
          <cell r="BJ147">
            <v>222.05644883159772</v>
          </cell>
          <cell r="BK147">
            <v>53.589465013096941</v>
          </cell>
          <cell r="BL147">
            <v>53.589465013096941</v>
          </cell>
          <cell r="BM147">
            <v>53.589465013096941</v>
          </cell>
          <cell r="BN147">
            <v>53.589465013096941</v>
          </cell>
          <cell r="BO147">
            <v>214.35786005238776</v>
          </cell>
          <cell r="BP147">
            <v>76.075128210646866</v>
          </cell>
          <cell r="BQ147">
            <v>76.075128210646866</v>
          </cell>
          <cell r="BR147">
            <v>76.075128210646866</v>
          </cell>
          <cell r="BS147">
            <v>76.075128210646866</v>
          </cell>
          <cell r="BT147">
            <v>304.30051284258747</v>
          </cell>
          <cell r="BU147">
            <v>91.302987439880226</v>
          </cell>
          <cell r="BV147">
            <v>91.302987439880226</v>
          </cell>
          <cell r="BW147">
            <v>91.302987439880226</v>
          </cell>
          <cell r="BX147">
            <v>91.302987439880226</v>
          </cell>
          <cell r="BY147">
            <v>365.21194975952091</v>
          </cell>
          <cell r="BZ147">
            <v>121.63286447347343</v>
          </cell>
          <cell r="CA147">
            <v>121.63286447347343</v>
          </cell>
          <cell r="CB147">
            <v>121.63286447347343</v>
          </cell>
          <cell r="CC147">
            <v>121.63286447347343</v>
          </cell>
          <cell r="CD147">
            <v>486.53145789389373</v>
          </cell>
        </row>
        <row r="148">
          <cell r="B148" t="str">
            <v xml:space="preserve">Other Upstream </v>
          </cell>
          <cell r="G148">
            <v>782</v>
          </cell>
          <cell r="L148">
            <v>1516</v>
          </cell>
          <cell r="Q148">
            <v>2542</v>
          </cell>
          <cell r="V148">
            <v>2264</v>
          </cell>
          <cell r="AA148">
            <v>2678</v>
          </cell>
          <cell r="AF148">
            <v>2537</v>
          </cell>
          <cell r="AK148">
            <v>3024.13517619088</v>
          </cell>
          <cell r="AP148">
            <v>2607.6369688903201</v>
          </cell>
          <cell r="AQ148">
            <v>790</v>
          </cell>
          <cell r="AR148">
            <v>2095</v>
          </cell>
          <cell r="AS148">
            <v>2290</v>
          </cell>
          <cell r="AT148">
            <v>3018</v>
          </cell>
          <cell r="AU148">
            <v>8193</v>
          </cell>
          <cell r="AV148">
            <v>500</v>
          </cell>
          <cell r="AW148">
            <v>2500</v>
          </cell>
          <cell r="AX148">
            <v>2500</v>
          </cell>
          <cell r="AY148">
            <v>2000</v>
          </cell>
          <cell r="AZ148">
            <v>7500</v>
          </cell>
          <cell r="BA148">
            <v>1500</v>
          </cell>
          <cell r="BB148">
            <v>1500</v>
          </cell>
          <cell r="BC148">
            <v>1500</v>
          </cell>
          <cell r="BD148">
            <v>1500</v>
          </cell>
          <cell r="BE148">
            <v>6000</v>
          </cell>
          <cell r="BF148">
            <v>750</v>
          </cell>
          <cell r="BG148">
            <v>750</v>
          </cell>
          <cell r="BH148">
            <v>750</v>
          </cell>
          <cell r="BI148">
            <v>750</v>
          </cell>
          <cell r="BJ148">
            <v>3000</v>
          </cell>
          <cell r="BK148">
            <v>750</v>
          </cell>
          <cell r="BL148">
            <v>750</v>
          </cell>
          <cell r="BM148">
            <v>750</v>
          </cell>
          <cell r="BN148">
            <v>750</v>
          </cell>
          <cell r="BO148">
            <v>3000</v>
          </cell>
          <cell r="BP148">
            <v>750</v>
          </cell>
          <cell r="BQ148">
            <v>750</v>
          </cell>
          <cell r="BR148">
            <v>750</v>
          </cell>
          <cell r="BS148">
            <v>750</v>
          </cell>
          <cell r="BT148">
            <v>3000</v>
          </cell>
          <cell r="BU148">
            <v>750</v>
          </cell>
          <cell r="BV148">
            <v>750</v>
          </cell>
          <cell r="BW148">
            <v>750</v>
          </cell>
          <cell r="BX148">
            <v>750</v>
          </cell>
          <cell r="BY148">
            <v>3000</v>
          </cell>
          <cell r="BZ148">
            <v>750</v>
          </cell>
          <cell r="CA148">
            <v>750</v>
          </cell>
          <cell r="CB148">
            <v>750</v>
          </cell>
          <cell r="CC148">
            <v>750</v>
          </cell>
          <cell r="CD148">
            <v>3000</v>
          </cell>
        </row>
        <row r="149">
          <cell r="B149" t="str">
            <v xml:space="preserve">'Other Upstream' that balances to actual result </v>
          </cell>
          <cell r="AF149">
            <v>2537</v>
          </cell>
          <cell r="AK149">
            <v>3024.13517619088</v>
          </cell>
          <cell r="AP149">
            <v>2607.6369688903201</v>
          </cell>
          <cell r="AQ149">
            <v>788.56922845956365</v>
          </cell>
          <cell r="AR149">
            <v>2093.8224488424626</v>
          </cell>
          <cell r="AS149">
            <v>2288.8199385659009</v>
          </cell>
          <cell r="AT149">
            <v>3017.9149038506434</v>
          </cell>
          <cell r="AU149">
            <v>8189.1265197185676</v>
          </cell>
          <cell r="AV149">
            <v>499.99999999999909</v>
          </cell>
          <cell r="AW149">
            <v>2500.0000000000009</v>
          </cell>
          <cell r="AX149">
            <v>2500.0000000000009</v>
          </cell>
          <cell r="AY149">
            <v>2000.0000000000007</v>
          </cell>
          <cell r="AZ149">
            <v>7500.0000000000018</v>
          </cell>
          <cell r="BA149">
            <v>1499.9999999999991</v>
          </cell>
          <cell r="BB149">
            <v>1499.9999999999984</v>
          </cell>
          <cell r="BC149">
            <v>1499.9999999999993</v>
          </cell>
          <cell r="BD149">
            <v>1499.9999999999995</v>
          </cell>
          <cell r="BE149">
            <v>6000.0000000000082</v>
          </cell>
          <cell r="BF149">
            <v>749.99999999999818</v>
          </cell>
          <cell r="BG149">
            <v>750.00000000000045</v>
          </cell>
          <cell r="BH149">
            <v>750</v>
          </cell>
          <cell r="BI149">
            <v>749.99999999999955</v>
          </cell>
          <cell r="BJ149">
            <v>2999.9999999999891</v>
          </cell>
          <cell r="BK149">
            <v>750.00000000000205</v>
          </cell>
          <cell r="BL149">
            <v>750.00000000000068</v>
          </cell>
          <cell r="BM149">
            <v>750.00000000000227</v>
          </cell>
          <cell r="BN149">
            <v>750.00000000000023</v>
          </cell>
          <cell r="BO149">
            <v>2999.9999999999991</v>
          </cell>
          <cell r="BP149">
            <v>749.99999999999841</v>
          </cell>
          <cell r="BQ149">
            <v>749.99999999999886</v>
          </cell>
          <cell r="BR149">
            <v>749.99999999999818</v>
          </cell>
          <cell r="BS149">
            <v>749.99999999999864</v>
          </cell>
          <cell r="BT149">
            <v>3000.0000000000009</v>
          </cell>
          <cell r="BU149">
            <v>749.99999999999955</v>
          </cell>
          <cell r="BV149">
            <v>749.99999999999886</v>
          </cell>
          <cell r="BW149">
            <v>749.99999999999818</v>
          </cell>
          <cell r="BX149">
            <v>749.99999999999864</v>
          </cell>
          <cell r="BY149">
            <v>2999.9999999999964</v>
          </cell>
          <cell r="BZ149">
            <v>750.00000000000045</v>
          </cell>
          <cell r="CA149">
            <v>749.99999999999955</v>
          </cell>
          <cell r="CB149">
            <v>749.99999999999864</v>
          </cell>
          <cell r="CC149">
            <v>750</v>
          </cell>
          <cell r="CD149">
            <v>3000</v>
          </cell>
        </row>
        <row r="151">
          <cell r="A151" t="str">
            <v>Taxes other than income taxes</v>
          </cell>
        </row>
        <row r="152">
          <cell r="B152" t="str">
            <v>From oil and gas operations (FAS69)</v>
          </cell>
          <cell r="G152">
            <v>1611</v>
          </cell>
          <cell r="L152">
            <v>1156</v>
          </cell>
          <cell r="Q152">
            <v>1336</v>
          </cell>
          <cell r="V152">
            <v>1779</v>
          </cell>
          <cell r="AA152">
            <v>822</v>
          </cell>
          <cell r="AF152">
            <v>1636</v>
          </cell>
          <cell r="AK152">
            <v>2387</v>
          </cell>
          <cell r="AP152">
            <v>1980</v>
          </cell>
          <cell r="AQ152">
            <v>466.94206666516959</v>
          </cell>
          <cell r="AR152">
            <v>366.12686759595192</v>
          </cell>
          <cell r="AS152">
            <v>361.25650460054362</v>
          </cell>
          <cell r="AT152">
            <v>359.37283960756804</v>
          </cell>
          <cell r="AU152">
            <v>1553.6982784692332</v>
          </cell>
          <cell r="AV152">
            <v>354.47852296489617</v>
          </cell>
          <cell r="AW152">
            <v>393.52576602567115</v>
          </cell>
          <cell r="AX152">
            <v>413.59489666135261</v>
          </cell>
          <cell r="AY152">
            <v>444.26674409394383</v>
          </cell>
          <cell r="AZ152">
            <v>1605.8659297458639</v>
          </cell>
          <cell r="BA152">
            <v>430.17959969215735</v>
          </cell>
          <cell r="BB152">
            <v>433.08935619147098</v>
          </cell>
          <cell r="BC152">
            <v>437.60328431943719</v>
          </cell>
          <cell r="BD152">
            <v>437.34574152615465</v>
          </cell>
          <cell r="BE152">
            <v>1738.2179817292204</v>
          </cell>
          <cell r="BF152">
            <v>444.85383699305385</v>
          </cell>
          <cell r="BG152">
            <v>458.95951255524773</v>
          </cell>
          <cell r="BH152">
            <v>475.36521116088022</v>
          </cell>
          <cell r="BI152">
            <v>486.73276881758005</v>
          </cell>
          <cell r="BJ152">
            <v>1865.9113295267621</v>
          </cell>
          <cell r="BK152">
            <v>497.93754822899274</v>
          </cell>
          <cell r="BL152">
            <v>515.07949231600026</v>
          </cell>
          <cell r="BM152">
            <v>532.60291746362122</v>
          </cell>
          <cell r="BN152">
            <v>544.59355388109179</v>
          </cell>
          <cell r="BO152">
            <v>2090.2135118897058</v>
          </cell>
          <cell r="BP152">
            <v>552.32612790737494</v>
          </cell>
          <cell r="BQ152">
            <v>578.47604511154327</v>
          </cell>
          <cell r="BR152">
            <v>605.29076147793489</v>
          </cell>
          <cell r="BS152">
            <v>625.97556446703697</v>
          </cell>
          <cell r="BT152">
            <v>2362.0684989638903</v>
          </cell>
          <cell r="BU152">
            <v>615.72208644383966</v>
          </cell>
          <cell r="BV152">
            <v>625.12217898209065</v>
          </cell>
          <cell r="BW152">
            <v>634.57859815155189</v>
          </cell>
          <cell r="BX152">
            <v>637.16554054986784</v>
          </cell>
          <cell r="BY152">
            <v>2512.5884041273503</v>
          </cell>
          <cell r="BZ152">
            <v>652.37098759572098</v>
          </cell>
          <cell r="CA152">
            <v>688.01191990888287</v>
          </cell>
          <cell r="CB152">
            <v>724.59948062230956</v>
          </cell>
          <cell r="CC152">
            <v>753.95201236130902</v>
          </cell>
          <cell r="CD152">
            <v>2818.9344004882223</v>
          </cell>
        </row>
        <row r="153">
          <cell r="B153" t="str">
            <v>Pearl GTL</v>
          </cell>
          <cell r="AF153">
            <v>0</v>
          </cell>
          <cell r="AG153">
            <v>0</v>
          </cell>
          <cell r="AH153">
            <v>0</v>
          </cell>
          <cell r="AI153">
            <v>-1.8034496018471475</v>
          </cell>
          <cell r="AJ153">
            <v>-1.8034496018471475</v>
          </cell>
          <cell r="AK153">
            <v>-3.6068992036942951</v>
          </cell>
          <cell r="AL153">
            <v>-1.1184890204828168</v>
          </cell>
          <cell r="AM153">
            <v>-1.1184890204828168</v>
          </cell>
          <cell r="AN153">
            <v>-1.1184890204828168</v>
          </cell>
          <cell r="AO153">
            <v>-1.1184890204828168</v>
          </cell>
          <cell r="AP153">
            <v>-4.4739560819312674</v>
          </cell>
          <cell r="AQ153">
            <v>-4.965737400000001</v>
          </cell>
          <cell r="AR153">
            <v>-4.965737400000001</v>
          </cell>
          <cell r="AS153">
            <v>-4.965737400000001</v>
          </cell>
          <cell r="AT153">
            <v>-4.965737400000001</v>
          </cell>
          <cell r="AU153">
            <v>-19.862949600000004</v>
          </cell>
          <cell r="AV153">
            <v>-5.7663138000000007</v>
          </cell>
          <cell r="AW153">
            <v>-5.7663138000000007</v>
          </cell>
          <cell r="AX153">
            <v>-5.7663138000000007</v>
          </cell>
          <cell r="AY153">
            <v>-5.7663138000000007</v>
          </cell>
          <cell r="AZ153">
            <v>-23.065255200000003</v>
          </cell>
          <cell r="BA153">
            <v>-5.9104716449999994</v>
          </cell>
          <cell r="BB153">
            <v>-5.9104716449999994</v>
          </cell>
          <cell r="BC153">
            <v>-5.9104716449999994</v>
          </cell>
          <cell r="BD153">
            <v>-5.9104716449999994</v>
          </cell>
          <cell r="BE153">
            <v>-23.641886579999998</v>
          </cell>
          <cell r="BF153">
            <v>-5.3408110555312485</v>
          </cell>
          <cell r="BG153">
            <v>-5.3408110555312485</v>
          </cell>
          <cell r="BH153">
            <v>-5.3408110555312485</v>
          </cell>
          <cell r="BI153">
            <v>-5.3408110555312485</v>
          </cell>
          <cell r="BJ153">
            <v>-21.363244222124994</v>
          </cell>
          <cell r="BK153">
            <v>-5.4743313319195295</v>
          </cell>
          <cell r="BL153">
            <v>-5.4743313319195295</v>
          </cell>
          <cell r="BM153">
            <v>-5.4743313319195295</v>
          </cell>
          <cell r="BN153">
            <v>-5.4743313319195295</v>
          </cell>
          <cell r="BO153">
            <v>-21.897325327678118</v>
          </cell>
          <cell r="BP153">
            <v>-4.6062004304024402</v>
          </cell>
          <cell r="BQ153">
            <v>-4.6062004304024402</v>
          </cell>
          <cell r="BR153">
            <v>-4.6062004304024402</v>
          </cell>
          <cell r="BS153">
            <v>-4.6062004304024402</v>
          </cell>
          <cell r="BT153">
            <v>-18.424801721609761</v>
          </cell>
          <cell r="BU153">
            <v>-4.0725817738978627</v>
          </cell>
          <cell r="BV153">
            <v>-4.0725817738978627</v>
          </cell>
          <cell r="BW153">
            <v>-4.0725817738978627</v>
          </cell>
          <cell r="BX153">
            <v>-4.0725817738978627</v>
          </cell>
          <cell r="BY153">
            <v>-16.290327095591451</v>
          </cell>
          <cell r="BZ153">
            <v>-2.8527354036709087</v>
          </cell>
          <cell r="CA153">
            <v>-2.8527354036709087</v>
          </cell>
          <cell r="CB153">
            <v>-2.8527354036709087</v>
          </cell>
          <cell r="CC153">
            <v>-2.8527354036709087</v>
          </cell>
          <cell r="CD153">
            <v>-11.410941614683635</v>
          </cell>
        </row>
        <row r="154">
          <cell r="B154" t="str">
            <v xml:space="preserve">Other Upstream </v>
          </cell>
          <cell r="G154">
            <v>0</v>
          </cell>
          <cell r="L154">
            <v>0</v>
          </cell>
          <cell r="Q154">
            <v>1</v>
          </cell>
          <cell r="V154">
            <v>-1</v>
          </cell>
          <cell r="AA154">
            <v>0</v>
          </cell>
          <cell r="AF154">
            <v>0</v>
          </cell>
          <cell r="AK154">
            <v>4.6068992036942955</v>
          </cell>
          <cell r="AP154">
            <v>0.47395608193126737</v>
          </cell>
          <cell r="AQ154">
            <v>0</v>
          </cell>
          <cell r="AR154">
            <v>0</v>
          </cell>
          <cell r="AS154">
            <v>0</v>
          </cell>
          <cell r="AT154">
            <v>0</v>
          </cell>
          <cell r="AU154">
            <v>0</v>
          </cell>
          <cell r="AV154">
            <v>0</v>
          </cell>
          <cell r="AW154">
            <v>0</v>
          </cell>
          <cell r="AX154">
            <v>0</v>
          </cell>
          <cell r="AY154">
            <v>0</v>
          </cell>
          <cell r="AZ154">
            <v>0</v>
          </cell>
          <cell r="BA154">
            <v>0</v>
          </cell>
          <cell r="BB154">
            <v>0</v>
          </cell>
          <cell r="BC154">
            <v>0</v>
          </cell>
          <cell r="BD154">
            <v>0</v>
          </cell>
          <cell r="BE154">
            <v>0</v>
          </cell>
          <cell r="BF154">
            <v>0</v>
          </cell>
          <cell r="BG154">
            <v>0</v>
          </cell>
          <cell r="BH154">
            <v>0</v>
          </cell>
          <cell r="BI154">
            <v>0</v>
          </cell>
          <cell r="BJ154">
            <v>0</v>
          </cell>
          <cell r="BK154">
            <v>0</v>
          </cell>
          <cell r="BL154">
            <v>0</v>
          </cell>
          <cell r="BM154">
            <v>0</v>
          </cell>
          <cell r="BN154">
            <v>0</v>
          </cell>
          <cell r="BO154">
            <v>0</v>
          </cell>
          <cell r="BP154">
            <v>0</v>
          </cell>
          <cell r="BQ154">
            <v>0</v>
          </cell>
          <cell r="BR154">
            <v>0</v>
          </cell>
          <cell r="BS154">
            <v>0</v>
          </cell>
          <cell r="BT154">
            <v>0</v>
          </cell>
          <cell r="BU154">
            <v>0</v>
          </cell>
          <cell r="BV154">
            <v>0</v>
          </cell>
          <cell r="BW154">
            <v>0</v>
          </cell>
          <cell r="BX154">
            <v>0</v>
          </cell>
          <cell r="BY154">
            <v>0</v>
          </cell>
          <cell r="BZ154">
            <v>0</v>
          </cell>
          <cell r="CA154">
            <v>0</v>
          </cell>
          <cell r="CB154">
            <v>0</v>
          </cell>
          <cell r="CC154">
            <v>0</v>
          </cell>
          <cell r="CD154">
            <v>0</v>
          </cell>
        </row>
        <row r="156">
          <cell r="A156" t="str">
            <v>Exploration</v>
          </cell>
        </row>
        <row r="157">
          <cell r="B157" t="str">
            <v>From oil and gas operations (FAS69)</v>
          </cell>
          <cell r="G157">
            <v>321</v>
          </cell>
          <cell r="L157">
            <v>534</v>
          </cell>
          <cell r="Q157">
            <v>669</v>
          </cell>
          <cell r="V157">
            <v>574</v>
          </cell>
          <cell r="AA157">
            <v>936</v>
          </cell>
          <cell r="AF157">
            <v>679</v>
          </cell>
          <cell r="AK157">
            <v>997</v>
          </cell>
          <cell r="AP157">
            <v>1335</v>
          </cell>
          <cell r="AQ157">
            <v>226.8</v>
          </cell>
          <cell r="AR157">
            <v>429.8</v>
          </cell>
          <cell r="AS157">
            <v>572.59999999999991</v>
          </cell>
          <cell r="AT157">
            <v>618.1</v>
          </cell>
          <cell r="AU157">
            <v>1847.3000000000002</v>
          </cell>
          <cell r="AV157">
            <v>324.31349999999998</v>
          </cell>
          <cell r="AW157">
            <v>324.31349999999998</v>
          </cell>
          <cell r="AX157">
            <v>324.31349999999998</v>
          </cell>
          <cell r="AY157">
            <v>324.31350000000003</v>
          </cell>
          <cell r="AZ157">
            <v>1297.2539999999999</v>
          </cell>
          <cell r="BA157">
            <v>276.83250000000004</v>
          </cell>
          <cell r="BB157">
            <v>276.8325000000001</v>
          </cell>
          <cell r="BC157">
            <v>276.83250000000004</v>
          </cell>
          <cell r="BD157">
            <v>276.83249999999992</v>
          </cell>
          <cell r="BE157">
            <v>1107.3300000000002</v>
          </cell>
          <cell r="BF157">
            <v>219.58708333333334</v>
          </cell>
          <cell r="BG157">
            <v>219.58708333333334</v>
          </cell>
          <cell r="BH157">
            <v>219.58708333333334</v>
          </cell>
          <cell r="BI157">
            <v>219.58708333333334</v>
          </cell>
          <cell r="BJ157">
            <v>878.34833333333336</v>
          </cell>
          <cell r="BK157">
            <v>218.47583333333336</v>
          </cell>
          <cell r="BL157">
            <v>218.47583333333336</v>
          </cell>
          <cell r="BM157">
            <v>218.47583333333336</v>
          </cell>
          <cell r="BN157">
            <v>218.47583333333336</v>
          </cell>
          <cell r="BO157">
            <v>873.90333333333342</v>
          </cell>
          <cell r="BP157">
            <v>215.3046875</v>
          </cell>
          <cell r="BQ157">
            <v>215.3046875</v>
          </cell>
          <cell r="BR157">
            <v>215.3046875</v>
          </cell>
          <cell r="BS157">
            <v>215.3046875</v>
          </cell>
          <cell r="BT157">
            <v>861.21875</v>
          </cell>
          <cell r="BU157">
            <v>216.234375</v>
          </cell>
          <cell r="BV157">
            <v>216.234375</v>
          </cell>
          <cell r="BW157">
            <v>216.234375</v>
          </cell>
          <cell r="BX157">
            <v>216.234375</v>
          </cell>
          <cell r="BY157">
            <v>864.9375</v>
          </cell>
          <cell r="BZ157">
            <v>216.234375</v>
          </cell>
          <cell r="CA157">
            <v>216.234375</v>
          </cell>
          <cell r="CB157">
            <v>216.234375</v>
          </cell>
          <cell r="CC157">
            <v>216.234375</v>
          </cell>
          <cell r="CD157">
            <v>864.9375</v>
          </cell>
        </row>
        <row r="158">
          <cell r="B158" t="str">
            <v xml:space="preserve">Other Upstream </v>
          </cell>
          <cell r="G158">
            <v>42</v>
          </cell>
          <cell r="L158">
            <v>-1</v>
          </cell>
          <cell r="Q158">
            <v>-2</v>
          </cell>
          <cell r="V158">
            <v>-1</v>
          </cell>
          <cell r="AA158">
            <v>0</v>
          </cell>
          <cell r="AF158">
            <v>0</v>
          </cell>
          <cell r="AK158">
            <v>0</v>
          </cell>
          <cell r="AP158">
            <v>27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  <cell r="BF158">
            <v>0</v>
          </cell>
          <cell r="BG158">
            <v>0</v>
          </cell>
          <cell r="BH158">
            <v>0</v>
          </cell>
          <cell r="BI158">
            <v>0</v>
          </cell>
          <cell r="BJ158">
            <v>0</v>
          </cell>
          <cell r="BK158">
            <v>0</v>
          </cell>
          <cell r="BL158">
            <v>0</v>
          </cell>
          <cell r="BM158">
            <v>0</v>
          </cell>
          <cell r="BN158">
            <v>0</v>
          </cell>
          <cell r="BO158">
            <v>0</v>
          </cell>
          <cell r="BP158">
            <v>0</v>
          </cell>
          <cell r="BQ158">
            <v>0</v>
          </cell>
          <cell r="BR158">
            <v>0</v>
          </cell>
          <cell r="BS158">
            <v>0</v>
          </cell>
          <cell r="BT158">
            <v>0</v>
          </cell>
          <cell r="BU158">
            <v>0</v>
          </cell>
          <cell r="BV158">
            <v>0</v>
          </cell>
          <cell r="BW158">
            <v>0</v>
          </cell>
          <cell r="BX158">
            <v>0</v>
          </cell>
          <cell r="BY158">
            <v>0</v>
          </cell>
          <cell r="BZ158">
            <v>0</v>
          </cell>
          <cell r="CA158">
            <v>0</v>
          </cell>
          <cell r="CB158">
            <v>0</v>
          </cell>
          <cell r="CC158">
            <v>0</v>
          </cell>
          <cell r="CD158">
            <v>0</v>
          </cell>
        </row>
        <row r="160">
          <cell r="A160" t="str">
            <v>DD&amp;A</v>
          </cell>
        </row>
        <row r="161">
          <cell r="B161" t="str">
            <v>From oil and gas operations (FAS69)</v>
          </cell>
          <cell r="G161">
            <v>2044</v>
          </cell>
          <cell r="L161">
            <v>2810</v>
          </cell>
          <cell r="Q161">
            <v>3411</v>
          </cell>
          <cell r="V161">
            <v>3114</v>
          </cell>
          <cell r="AA161">
            <v>2477</v>
          </cell>
          <cell r="AF161">
            <v>2376</v>
          </cell>
          <cell r="AK161">
            <v>2540</v>
          </cell>
          <cell r="AP161">
            <v>2787</v>
          </cell>
          <cell r="AQ161">
            <v>771.85059804158482</v>
          </cell>
          <cell r="AR161">
            <v>697.10788090471522</v>
          </cell>
          <cell r="AS161">
            <v>672.55868528869576</v>
          </cell>
          <cell r="AT161">
            <v>713.69426046454373</v>
          </cell>
          <cell r="AU161">
            <v>2855.2114246995397</v>
          </cell>
          <cell r="AV161">
            <v>760.17517710769494</v>
          </cell>
          <cell r="AW161">
            <v>808.33877570314849</v>
          </cell>
          <cell r="AX161">
            <v>840.32885359505565</v>
          </cell>
          <cell r="AY161">
            <v>876.22090757401713</v>
          </cell>
          <cell r="AZ161">
            <v>3285.0637139799164</v>
          </cell>
          <cell r="BA161">
            <v>947.82067122157673</v>
          </cell>
          <cell r="BB161">
            <v>968.074480603231</v>
          </cell>
          <cell r="BC161">
            <v>988.54197061324362</v>
          </cell>
          <cell r="BD161">
            <v>998.37127951772618</v>
          </cell>
          <cell r="BE161">
            <v>3902.8084019557773</v>
          </cell>
          <cell r="BF161">
            <v>1114.9957111374247</v>
          </cell>
          <cell r="BG161">
            <v>1136.0480976233594</v>
          </cell>
          <cell r="BH161">
            <v>1157.2908916972294</v>
          </cell>
          <cell r="BI161">
            <v>1166.0496407422715</v>
          </cell>
          <cell r="BJ161">
            <v>4574.3843412002852</v>
          </cell>
          <cell r="BK161">
            <v>1262.3373067087427</v>
          </cell>
          <cell r="BL161">
            <v>1302.0654673848865</v>
          </cell>
          <cell r="BM161">
            <v>1342.3585113709557</v>
          </cell>
          <cell r="BN161">
            <v>1368.3431436275205</v>
          </cell>
          <cell r="BO161">
            <v>5275.1044290921054</v>
          </cell>
          <cell r="BP161">
            <v>1431.3393495794642</v>
          </cell>
          <cell r="BQ161">
            <v>1455.4326500304278</v>
          </cell>
          <cell r="BR161">
            <v>1479.7059401495242</v>
          </cell>
          <cell r="BS161">
            <v>1487.9854648836717</v>
          </cell>
          <cell r="BT161">
            <v>5854.4634046430883</v>
          </cell>
          <cell r="BU161">
            <v>1549.2484383157616</v>
          </cell>
          <cell r="BV161">
            <v>1569.385848349345</v>
          </cell>
          <cell r="BW161">
            <v>1589.5875119762627</v>
          </cell>
          <cell r="BX161">
            <v>1592.5431772696718</v>
          </cell>
          <cell r="BY161">
            <v>6300.7649759110409</v>
          </cell>
          <cell r="BZ161">
            <v>1670.8273925836868</v>
          </cell>
          <cell r="CA161">
            <v>1708.3807216146124</v>
          </cell>
          <cell r="CB161">
            <v>1746.3513820790422</v>
          </cell>
          <cell r="CC161">
            <v>1765.548628020234</v>
          </cell>
          <cell r="CD161">
            <v>6891.1081242975742</v>
          </cell>
        </row>
        <row r="162">
          <cell r="B162" t="str">
            <v>Pearl GTL</v>
          </cell>
          <cell r="AF162">
            <v>0</v>
          </cell>
          <cell r="AG162">
            <v>0</v>
          </cell>
          <cell r="AH162">
            <v>0</v>
          </cell>
          <cell r="AI162">
            <v>218.13027179006559</v>
          </cell>
          <cell r="AJ162">
            <v>218.13027179006559</v>
          </cell>
          <cell r="AK162">
            <v>436.26054358013118</v>
          </cell>
          <cell r="AL162">
            <v>218.5369473810668</v>
          </cell>
          <cell r="AM162">
            <v>218.5369473810668</v>
          </cell>
          <cell r="AN162">
            <v>218.5369473810668</v>
          </cell>
          <cell r="AO162">
            <v>218.5369473810668</v>
          </cell>
          <cell r="AP162">
            <v>874.14778952426718</v>
          </cell>
          <cell r="AQ162">
            <v>149.14218029006756</v>
          </cell>
          <cell r="AR162">
            <v>149.14218029006756</v>
          </cell>
          <cell r="AS162">
            <v>149.14218029006756</v>
          </cell>
          <cell r="AT162">
            <v>149.14218029006756</v>
          </cell>
          <cell r="AU162">
            <v>596.56872116027023</v>
          </cell>
          <cell r="AV162">
            <v>132.24129724879126</v>
          </cell>
          <cell r="AW162">
            <v>132.24129724879126</v>
          </cell>
          <cell r="AX162">
            <v>132.24129724879126</v>
          </cell>
          <cell r="AY162">
            <v>132.24129724879126</v>
          </cell>
          <cell r="AZ162">
            <v>528.96518899516502</v>
          </cell>
          <cell r="BA162">
            <v>123.93156084195198</v>
          </cell>
          <cell r="BB162">
            <v>123.93156084195198</v>
          </cell>
          <cell r="BC162">
            <v>123.93156084195198</v>
          </cell>
          <cell r="BD162">
            <v>123.93156084195198</v>
          </cell>
          <cell r="BE162">
            <v>495.72624336780791</v>
          </cell>
          <cell r="BF162">
            <v>130.39111496253349</v>
          </cell>
          <cell r="BG162">
            <v>130.39111496253349</v>
          </cell>
          <cell r="BH162">
            <v>130.39111496253349</v>
          </cell>
          <cell r="BI162">
            <v>130.39111496253349</v>
          </cell>
          <cell r="BJ162">
            <v>521.56445985013397</v>
          </cell>
          <cell r="BK162">
            <v>123.13680786703038</v>
          </cell>
          <cell r="BL162">
            <v>123.13680786703038</v>
          </cell>
          <cell r="BM162">
            <v>123.13680786703038</v>
          </cell>
          <cell r="BN162">
            <v>123.13680786703038</v>
          </cell>
          <cell r="BO162">
            <v>492.54723146812154</v>
          </cell>
          <cell r="BP162">
            <v>138.07686630498512</v>
          </cell>
          <cell r="BQ162">
            <v>138.07686630498512</v>
          </cell>
          <cell r="BR162">
            <v>138.07686630498512</v>
          </cell>
          <cell r="BS162">
            <v>138.07686630498512</v>
          </cell>
          <cell r="BT162">
            <v>552.30746521994047</v>
          </cell>
          <cell r="BU162">
            <v>146.9978161018231</v>
          </cell>
          <cell r="BV162">
            <v>146.9978161018231</v>
          </cell>
          <cell r="BW162">
            <v>146.9978161018231</v>
          </cell>
          <cell r="BX162">
            <v>146.9978161018231</v>
          </cell>
          <cell r="BY162">
            <v>587.99126440729242</v>
          </cell>
          <cell r="BZ162">
            <v>173.07517131568085</v>
          </cell>
          <cell r="CA162">
            <v>173.07517131568085</v>
          </cell>
          <cell r="CB162">
            <v>173.07517131568085</v>
          </cell>
          <cell r="CC162">
            <v>173.07517131568085</v>
          </cell>
          <cell r="CD162">
            <v>692.30068526272339</v>
          </cell>
        </row>
        <row r="163">
          <cell r="B163" t="str">
            <v xml:space="preserve">Other Upstream </v>
          </cell>
          <cell r="G163">
            <v>42</v>
          </cell>
          <cell r="L163">
            <v>93</v>
          </cell>
          <cell r="Q163">
            <v>179</v>
          </cell>
          <cell r="V163">
            <v>255</v>
          </cell>
          <cell r="AA163">
            <v>122</v>
          </cell>
          <cell r="AF163">
            <v>132</v>
          </cell>
          <cell r="AK163">
            <v>-151.26054358013118</v>
          </cell>
          <cell r="AP163">
            <v>-176.14778952426718</v>
          </cell>
          <cell r="AQ163">
            <v>40</v>
          </cell>
          <cell r="AR163">
            <v>40</v>
          </cell>
          <cell r="AS163">
            <v>40</v>
          </cell>
          <cell r="AT163">
            <v>40</v>
          </cell>
          <cell r="AU163">
            <v>160</v>
          </cell>
          <cell r="AV163">
            <v>40</v>
          </cell>
          <cell r="AW163">
            <v>40</v>
          </cell>
          <cell r="AX163">
            <v>40</v>
          </cell>
          <cell r="AY163">
            <v>40</v>
          </cell>
          <cell r="AZ163">
            <v>160</v>
          </cell>
          <cell r="BA163">
            <v>40</v>
          </cell>
          <cell r="BB163">
            <v>40</v>
          </cell>
          <cell r="BC163">
            <v>40</v>
          </cell>
          <cell r="BD163">
            <v>40</v>
          </cell>
          <cell r="BE163">
            <v>160</v>
          </cell>
          <cell r="BF163">
            <v>40</v>
          </cell>
          <cell r="BG163">
            <v>40</v>
          </cell>
          <cell r="BH163">
            <v>40</v>
          </cell>
          <cell r="BI163">
            <v>40</v>
          </cell>
          <cell r="BJ163">
            <v>160</v>
          </cell>
          <cell r="BK163">
            <v>40</v>
          </cell>
          <cell r="BL163">
            <v>40</v>
          </cell>
          <cell r="BM163">
            <v>40</v>
          </cell>
          <cell r="BN163">
            <v>40</v>
          </cell>
          <cell r="BO163">
            <v>160</v>
          </cell>
          <cell r="BP163">
            <v>40</v>
          </cell>
          <cell r="BQ163">
            <v>40</v>
          </cell>
          <cell r="BR163">
            <v>40</v>
          </cell>
          <cell r="BS163">
            <v>40</v>
          </cell>
          <cell r="BT163">
            <v>160</v>
          </cell>
          <cell r="BU163">
            <v>40</v>
          </cell>
          <cell r="BV163">
            <v>40</v>
          </cell>
          <cell r="BW163">
            <v>40</v>
          </cell>
          <cell r="BX163">
            <v>40</v>
          </cell>
          <cell r="BY163">
            <v>160</v>
          </cell>
          <cell r="BZ163">
            <v>40</v>
          </cell>
          <cell r="CA163">
            <v>40</v>
          </cell>
          <cell r="CB163">
            <v>40</v>
          </cell>
          <cell r="CC163">
            <v>40</v>
          </cell>
          <cell r="CD163">
            <v>160</v>
          </cell>
        </row>
        <row r="165">
          <cell r="A165" t="str">
            <v>Taxation</v>
          </cell>
        </row>
        <row r="166">
          <cell r="B166" t="str">
            <v>From oil and gas operations (FAS69)</v>
          </cell>
          <cell r="G166">
            <v>8987</v>
          </cell>
          <cell r="L166">
            <v>8767</v>
          </cell>
          <cell r="Q166">
            <v>8970</v>
          </cell>
          <cell r="V166">
            <v>13808</v>
          </cell>
          <cell r="AA166">
            <v>7183</v>
          </cell>
          <cell r="AF166">
            <v>11840</v>
          </cell>
          <cell r="AK166">
            <v>16244</v>
          </cell>
          <cell r="AP166">
            <v>17204</v>
          </cell>
          <cell r="AQ166">
            <v>4482.5683476573668</v>
          </cell>
          <cell r="AR166">
            <v>2969.3938818118322</v>
          </cell>
          <cell r="AS166">
            <v>3028.4112705165717</v>
          </cell>
          <cell r="AT166">
            <v>2688.9334390874724</v>
          </cell>
          <cell r="AU166">
            <v>13169.306939073243</v>
          </cell>
          <cell r="AV166">
            <v>3040.2952922177519</v>
          </cell>
          <cell r="AW166">
            <v>3403.6590562107936</v>
          </cell>
          <cell r="AX166">
            <v>3685.6676905401637</v>
          </cell>
          <cell r="AY166">
            <v>3988.2185475625947</v>
          </cell>
          <cell r="AZ166">
            <v>14117.840586531305</v>
          </cell>
          <cell r="BA166">
            <v>3567.4947261636044</v>
          </cell>
          <cell r="BB166">
            <v>3659.2074652057577</v>
          </cell>
          <cell r="BC166">
            <v>3753.6017278570853</v>
          </cell>
          <cell r="BD166">
            <v>3799.3848216946894</v>
          </cell>
          <cell r="BE166">
            <v>14779.688740921138</v>
          </cell>
          <cell r="BF166">
            <v>3650.9313639842362</v>
          </cell>
          <cell r="BG166">
            <v>3726.7036615344459</v>
          </cell>
          <cell r="BH166">
            <v>3805.3630887050076</v>
          </cell>
          <cell r="BI166">
            <v>3835.1274046023968</v>
          </cell>
          <cell r="BJ166">
            <v>15018.125518826088</v>
          </cell>
          <cell r="BK166">
            <v>3770.9476278644106</v>
          </cell>
          <cell r="BL166">
            <v>3826.089806652953</v>
          </cell>
          <cell r="BM166">
            <v>3881.3694926374837</v>
          </cell>
          <cell r="BN166">
            <v>3886.6617516664974</v>
          </cell>
          <cell r="BO166">
            <v>15365.068678821344</v>
          </cell>
          <cell r="BP166">
            <v>3771.3366691946785</v>
          </cell>
          <cell r="BQ166">
            <v>3877.133408999709</v>
          </cell>
          <cell r="BR166">
            <v>3984.4148982624429</v>
          </cell>
          <cell r="BS166">
            <v>4041.4037698080347</v>
          </cell>
          <cell r="BT166">
            <v>15674.288746264865</v>
          </cell>
          <cell r="BU166">
            <v>3910.9046414008344</v>
          </cell>
          <cell r="BV166">
            <v>3980.7306401849928</v>
          </cell>
          <cell r="BW166">
            <v>4051.0307238850974</v>
          </cell>
          <cell r="BX166">
            <v>4069.7062347674264</v>
          </cell>
          <cell r="BY166">
            <v>16012.372240238348</v>
          </cell>
          <cell r="BZ166">
            <v>4076.030665724742</v>
          </cell>
          <cell r="CA166">
            <v>4275.7224688746519</v>
          </cell>
          <cell r="CB166">
            <v>4480.251668004521</v>
          </cell>
          <cell r="CC166">
            <v>4631.4785513175275</v>
          </cell>
          <cell r="CD166">
            <v>17463.483353921445</v>
          </cell>
        </row>
        <row r="167">
          <cell r="B167" t="str">
            <v>Pearl GTL</v>
          </cell>
          <cell r="G167">
            <v>0</v>
          </cell>
          <cell r="L167">
            <v>0</v>
          </cell>
          <cell r="Q167">
            <v>0</v>
          </cell>
          <cell r="V167">
            <v>0</v>
          </cell>
          <cell r="AA167">
            <v>0</v>
          </cell>
          <cell r="AF167">
            <v>0</v>
          </cell>
          <cell r="AK167">
            <v>-27.001368479723023</v>
          </cell>
          <cell r="AP167">
            <v>-39.528943735741755</v>
          </cell>
          <cell r="AQ167">
            <v>-36.740711580674933</v>
          </cell>
          <cell r="AR167">
            <v>-36.740711580674933</v>
          </cell>
          <cell r="AS167">
            <v>-36.740711580674933</v>
          </cell>
          <cell r="AT167">
            <v>-36.740711580674933</v>
          </cell>
          <cell r="AU167">
            <v>-146.96284632269973</v>
          </cell>
          <cell r="AV167">
            <v>-39.0576102390907</v>
          </cell>
          <cell r="AW167">
            <v>-39.0576102390907</v>
          </cell>
          <cell r="AX167">
            <v>-39.0576102390907</v>
          </cell>
          <cell r="AY167">
            <v>-39.0576102390907</v>
          </cell>
          <cell r="AZ167">
            <v>-156.2304409563628</v>
          </cell>
          <cell r="BA167">
            <v>-35.474685424620638</v>
          </cell>
          <cell r="BB167">
            <v>-35.474685424620638</v>
          </cell>
          <cell r="BC167">
            <v>-35.474685424620638</v>
          </cell>
          <cell r="BD167">
            <v>-35.474685424620638</v>
          </cell>
          <cell r="BE167">
            <v>-141.89874169848255</v>
          </cell>
          <cell r="BF167">
            <v>-28.183975113171289</v>
          </cell>
          <cell r="BG167">
            <v>-28.183975113171289</v>
          </cell>
          <cell r="BH167">
            <v>-28.183975113171289</v>
          </cell>
          <cell r="BI167">
            <v>-28.183975113171289</v>
          </cell>
          <cell r="BJ167">
            <v>-112.73590045268516</v>
          </cell>
          <cell r="BK167">
            <v>-25.164806515347426</v>
          </cell>
          <cell r="BL167">
            <v>-25.164806515347426</v>
          </cell>
          <cell r="BM167">
            <v>-25.164806515347426</v>
          </cell>
          <cell r="BN167">
            <v>-25.164806515347426</v>
          </cell>
          <cell r="BO167">
            <v>-100.6592260613897</v>
          </cell>
          <cell r="BP167">
            <v>-18.238652484281214</v>
          </cell>
          <cell r="BQ167">
            <v>-18.238652484281214</v>
          </cell>
          <cell r="BR167">
            <v>-18.238652484281214</v>
          </cell>
          <cell r="BS167">
            <v>-18.238652484281214</v>
          </cell>
          <cell r="BT167">
            <v>-72.954609937124857</v>
          </cell>
          <cell r="BU167">
            <v>-13.69832837015889</v>
          </cell>
          <cell r="BV167">
            <v>-13.69832837015889</v>
          </cell>
          <cell r="BW167">
            <v>-13.69832837015889</v>
          </cell>
          <cell r="BX167">
            <v>-13.69832837015889</v>
          </cell>
          <cell r="BY167">
            <v>-54.793313480635561</v>
          </cell>
          <cell r="BZ167">
            <v>-8.0079860552230464</v>
          </cell>
          <cell r="CA167">
            <v>-8.0079860552230464</v>
          </cell>
          <cell r="CB167">
            <v>-8.0079860552230464</v>
          </cell>
          <cell r="CC167">
            <v>-8.0079860552230464</v>
          </cell>
          <cell r="CD167">
            <v>-32.031944220892186</v>
          </cell>
        </row>
        <row r="168">
          <cell r="B168" t="str">
            <v xml:space="preserve">Other Upstream </v>
          </cell>
          <cell r="G168">
            <v>48</v>
          </cell>
          <cell r="L168">
            <v>30</v>
          </cell>
          <cell r="Q168">
            <v>-29</v>
          </cell>
          <cell r="V168">
            <v>198</v>
          </cell>
          <cell r="AA168">
            <v>-86</v>
          </cell>
          <cell r="AF168">
            <v>7</v>
          </cell>
          <cell r="AK168">
            <v>200.00136847972317</v>
          </cell>
          <cell r="AP168">
            <v>495.52894373574236</v>
          </cell>
          <cell r="AQ168">
            <v>76.894846874999985</v>
          </cell>
          <cell r="AR168">
            <v>-836.60515312499933</v>
          </cell>
          <cell r="AS168">
            <v>-973.10515312500058</v>
          </cell>
          <cell r="AT168">
            <v>-1482.7051531249997</v>
          </cell>
          <cell r="AU168">
            <v>-3215.5206124999995</v>
          </cell>
          <cell r="AV168">
            <v>405.47763188060242</v>
          </cell>
          <cell r="AW168">
            <v>-994.52236811939622</v>
          </cell>
          <cell r="AX168">
            <v>-994.5223681193969</v>
          </cell>
          <cell r="AY168">
            <v>-644.52236811939565</v>
          </cell>
          <cell r="AZ168">
            <v>-2228.0894724775862</v>
          </cell>
          <cell r="BA168">
            <v>-289.63925521419822</v>
          </cell>
          <cell r="BB168">
            <v>-289.63925521420077</v>
          </cell>
          <cell r="BC168">
            <v>-289.63925521420015</v>
          </cell>
          <cell r="BD168">
            <v>-289.63925521419759</v>
          </cell>
          <cell r="BE168">
            <v>-1158.5570208567967</v>
          </cell>
          <cell r="BF168">
            <v>238.78206776117585</v>
          </cell>
          <cell r="BG168">
            <v>238.7820677611752</v>
          </cell>
          <cell r="BH168">
            <v>238.78206776117457</v>
          </cell>
          <cell r="BI168">
            <v>238.78206776117457</v>
          </cell>
          <cell r="BJ168">
            <v>955.12827104470034</v>
          </cell>
          <cell r="BK168">
            <v>238.97718350576767</v>
          </cell>
          <cell r="BL168">
            <v>238.97718350576704</v>
          </cell>
          <cell r="BM168">
            <v>238.97718350576832</v>
          </cell>
          <cell r="BN168">
            <v>238.97718350576704</v>
          </cell>
          <cell r="BO168">
            <v>955.90873402307011</v>
          </cell>
          <cell r="BP168">
            <v>241.32048973479968</v>
          </cell>
          <cell r="BQ168">
            <v>241.32048973479712</v>
          </cell>
          <cell r="BR168">
            <v>241.3204897347984</v>
          </cell>
          <cell r="BS168">
            <v>241.32048973479775</v>
          </cell>
          <cell r="BT168">
            <v>965.28195893919292</v>
          </cell>
          <cell r="BU168">
            <v>244.77971375237547</v>
          </cell>
          <cell r="BV168">
            <v>244.77971375237738</v>
          </cell>
          <cell r="BW168">
            <v>244.77971375237738</v>
          </cell>
          <cell r="BX168">
            <v>244.77971375237928</v>
          </cell>
          <cell r="BY168">
            <v>979.1188550095095</v>
          </cell>
          <cell r="BZ168">
            <v>248.81054699317855</v>
          </cell>
          <cell r="CA168">
            <v>248.81054699317983</v>
          </cell>
          <cell r="CB168">
            <v>248.81054699317983</v>
          </cell>
          <cell r="CC168">
            <v>248.81054699317917</v>
          </cell>
          <cell r="CD168">
            <v>995.24218797271737</v>
          </cell>
        </row>
        <row r="170">
          <cell r="B170" t="str">
            <v>Taxable earnings</v>
          </cell>
        </row>
        <row r="171">
          <cell r="B171" t="str">
            <v>From oil and gas operations (FAS69)</v>
          </cell>
          <cell r="G171">
            <v>12242</v>
          </cell>
          <cell r="L171">
            <v>13325</v>
          </cell>
          <cell r="Q171">
            <v>12418</v>
          </cell>
          <cell r="V171">
            <v>19627</v>
          </cell>
          <cell r="AA171">
            <v>9459</v>
          </cell>
          <cell r="AF171">
            <v>19421</v>
          </cell>
          <cell r="AK171">
            <v>24268</v>
          </cell>
          <cell r="AP171">
            <v>25987</v>
          </cell>
          <cell r="AQ171">
            <v>6402.5315877685407</v>
          </cell>
          <cell r="AR171">
            <v>4307.6058080200855</v>
          </cell>
          <cell r="AS171">
            <v>4318.608988835832</v>
          </cell>
          <cell r="AT171">
            <v>3853.3420718663169</v>
          </cell>
          <cell r="AU171">
            <v>18882.088456490776</v>
          </cell>
          <cell r="AV171">
            <v>4358.6288565927898</v>
          </cell>
          <cell r="AW171">
            <v>4873.4764923108723</v>
          </cell>
          <cell r="AX171">
            <v>5256.5192720193063</v>
          </cell>
          <cell r="AY171">
            <v>5681.5807246459699</v>
          </cell>
          <cell r="AZ171">
            <v>20170.205345568938</v>
          </cell>
          <cell r="BA171">
            <v>5121.36206345957</v>
          </cell>
          <cell r="BB171">
            <v>5228.3456390492011</v>
          </cell>
          <cell r="BC171">
            <v>5350.9865494975293</v>
          </cell>
          <cell r="BD171">
            <v>5404.7790135960931</v>
          </cell>
          <cell r="BE171">
            <v>21105.473265602392</v>
          </cell>
          <cell r="BF171">
            <v>5234.7261446743314</v>
          </cell>
          <cell r="BG171">
            <v>5364.4654628404924</v>
          </cell>
          <cell r="BH171">
            <v>5514.4288742912577</v>
          </cell>
          <cell r="BI171">
            <v>5594.8356443095745</v>
          </cell>
          <cell r="BJ171">
            <v>21708.456126115656</v>
          </cell>
          <cell r="BK171">
            <v>5537.7870273299277</v>
          </cell>
          <cell r="BL171">
            <v>5671.6170077770139</v>
          </cell>
          <cell r="BM171">
            <v>5807.8585033231475</v>
          </cell>
          <cell r="BN171">
            <v>5872.1995271744554</v>
          </cell>
          <cell r="BO171">
            <v>22889.462065604544</v>
          </cell>
          <cell r="BP171">
            <v>5744.2984216468358</v>
          </cell>
          <cell r="BQ171">
            <v>5958.0206170771417</v>
          </cell>
          <cell r="BR171">
            <v>6176.3076489703599</v>
          </cell>
          <cell r="BS171">
            <v>6320.0330429629112</v>
          </cell>
          <cell r="BT171">
            <v>24198.659730657251</v>
          </cell>
          <cell r="BU171">
            <v>6074.49827608757</v>
          </cell>
          <cell r="BV171">
            <v>6155.7750504951946</v>
          </cell>
          <cell r="BW171">
            <v>6236.7356891820955</v>
          </cell>
          <cell r="BX171">
            <v>6239.0444356528978</v>
          </cell>
          <cell r="BY171">
            <v>24706.053451417756</v>
          </cell>
          <cell r="BZ171">
            <v>6254.9843591658946</v>
          </cell>
          <cell r="CA171">
            <v>6587.2246293606531</v>
          </cell>
          <cell r="CB171">
            <v>6928.1252487858874</v>
          </cell>
          <cell r="CC171">
            <v>7189.1703661639185</v>
          </cell>
          <cell r="CD171">
            <v>26959.504603476351</v>
          </cell>
        </row>
        <row r="172">
          <cell r="B172" t="str">
            <v>Pearl GTL</v>
          </cell>
          <cell r="G172">
            <v>0</v>
          </cell>
          <cell r="L172">
            <v>0</v>
          </cell>
          <cell r="Q172">
            <v>0</v>
          </cell>
          <cell r="V172">
            <v>0</v>
          </cell>
          <cell r="AA172">
            <v>0</v>
          </cell>
          <cell r="AF172">
            <v>0</v>
          </cell>
          <cell r="AK172">
            <v>1305.9258587247507</v>
          </cell>
          <cell r="AP172">
            <v>2955.2676324560321</v>
          </cell>
          <cell r="AQ172">
            <v>1107.6238362506633</v>
          </cell>
          <cell r="AR172">
            <v>1107.6238362506633</v>
          </cell>
          <cell r="AS172">
            <v>1107.6238362506633</v>
          </cell>
          <cell r="AT172">
            <v>1107.6238362506633</v>
          </cell>
          <cell r="AU172">
            <v>4430.4953450026533</v>
          </cell>
          <cell r="AV172">
            <v>1276.1279615275362</v>
          </cell>
          <cell r="AW172">
            <v>1276.1279615275362</v>
          </cell>
          <cell r="AX172">
            <v>1276.1279615275362</v>
          </cell>
          <cell r="AY172">
            <v>1276.1279615275362</v>
          </cell>
          <cell r="AZ172">
            <v>5104.5118461101447</v>
          </cell>
          <cell r="BA172">
            <v>992.59772029460396</v>
          </cell>
          <cell r="BB172">
            <v>992.59772029460396</v>
          </cell>
          <cell r="BC172">
            <v>992.59772029460396</v>
          </cell>
          <cell r="BD172">
            <v>992.59772029460396</v>
          </cell>
          <cell r="BE172">
            <v>3970.3908811784158</v>
          </cell>
          <cell r="BF172">
            <v>669.8519523585046</v>
          </cell>
          <cell r="BG172">
            <v>669.8519523585046</v>
          </cell>
          <cell r="BH172">
            <v>669.8519523585046</v>
          </cell>
          <cell r="BI172">
            <v>669.8519523585046</v>
          </cell>
          <cell r="BJ172">
            <v>2679.4078094340184</v>
          </cell>
          <cell r="BK172">
            <v>689.55706562889543</v>
          </cell>
          <cell r="BL172">
            <v>689.55706562889543</v>
          </cell>
          <cell r="BM172">
            <v>689.55706562889543</v>
          </cell>
          <cell r="BN172">
            <v>689.55706562889543</v>
          </cell>
          <cell r="BO172">
            <v>2758.2282625155817</v>
          </cell>
          <cell r="BP172">
            <v>659.0901440692877</v>
          </cell>
          <cell r="BQ172">
            <v>659.0901440692877</v>
          </cell>
          <cell r="BR172">
            <v>659.0901440692877</v>
          </cell>
          <cell r="BS172">
            <v>659.0901440692877</v>
          </cell>
          <cell r="BT172">
            <v>2636.3605762771508</v>
          </cell>
          <cell r="BU172">
            <v>204.05894018548912</v>
          </cell>
          <cell r="BV172">
            <v>204.05894018548912</v>
          </cell>
          <cell r="BW172">
            <v>204.05894018548912</v>
          </cell>
          <cell r="BX172">
            <v>204.05894018548912</v>
          </cell>
          <cell r="BY172">
            <v>816.23576074195648</v>
          </cell>
          <cell r="BZ172">
            <v>156.83353544079836</v>
          </cell>
          <cell r="CA172">
            <v>156.83353544079836</v>
          </cell>
          <cell r="CB172">
            <v>156.83353544079836</v>
          </cell>
          <cell r="CC172">
            <v>156.83353544079836</v>
          </cell>
          <cell r="CD172">
            <v>627.33414176319343</v>
          </cell>
        </row>
        <row r="173">
          <cell r="B173" t="str">
            <v xml:space="preserve">Other Upstream </v>
          </cell>
          <cell r="G173">
            <v>402</v>
          </cell>
          <cell r="L173">
            <v>683</v>
          </cell>
          <cell r="Q173">
            <v>648</v>
          </cell>
          <cell r="V173">
            <v>1370</v>
          </cell>
          <cell r="AA173">
            <v>368</v>
          </cell>
          <cell r="AF173">
            <v>695</v>
          </cell>
          <cell r="AK173">
            <v>1227.0741412752504</v>
          </cell>
          <cell r="AP173">
            <v>183.7323675439693</v>
          </cell>
          <cell r="AQ173">
            <v>109.84978124999998</v>
          </cell>
          <cell r="AR173">
            <v>-1195.1502187499991</v>
          </cell>
          <cell r="AS173">
            <v>-1390.1502187500009</v>
          </cell>
          <cell r="AT173">
            <v>-2118.1502187499996</v>
          </cell>
          <cell r="AU173">
            <v>-4589.7273947185713</v>
          </cell>
          <cell r="AV173">
            <v>579.25375982943206</v>
          </cell>
          <cell r="AW173">
            <v>-1420.7462401705661</v>
          </cell>
          <cell r="AX173">
            <v>-1420.746240170567</v>
          </cell>
          <cell r="AY173">
            <v>-920.74624017056522</v>
          </cell>
          <cell r="AZ173">
            <v>-3182.9849606822645</v>
          </cell>
          <cell r="BA173">
            <v>-413.77036459171177</v>
          </cell>
          <cell r="BB173">
            <v>-413.77036459171541</v>
          </cell>
          <cell r="BC173">
            <v>-413.7703645917145</v>
          </cell>
          <cell r="BD173">
            <v>-413.77036459171086</v>
          </cell>
          <cell r="BE173">
            <v>-1655.0814583668471</v>
          </cell>
          <cell r="BF173">
            <v>341.11723965882265</v>
          </cell>
          <cell r="BG173">
            <v>341.11723965882175</v>
          </cell>
          <cell r="BH173">
            <v>341.11723965882084</v>
          </cell>
          <cell r="BI173">
            <v>341.11723965882084</v>
          </cell>
          <cell r="BJ173">
            <v>1364.468958635287</v>
          </cell>
          <cell r="BK173">
            <v>341.395976436811</v>
          </cell>
          <cell r="BL173">
            <v>341.39597643681009</v>
          </cell>
          <cell r="BM173">
            <v>341.39597643681191</v>
          </cell>
          <cell r="BN173">
            <v>341.39597643681009</v>
          </cell>
          <cell r="BO173">
            <v>1365.583905747244</v>
          </cell>
          <cell r="BP173">
            <v>344.74355676399955</v>
          </cell>
          <cell r="BQ173">
            <v>344.74355676399591</v>
          </cell>
          <cell r="BR173">
            <v>344.74355676399773</v>
          </cell>
          <cell r="BS173">
            <v>344.74355676399682</v>
          </cell>
          <cell r="BT173">
            <v>1378.9742270559836</v>
          </cell>
          <cell r="BU173">
            <v>349.6853053605364</v>
          </cell>
          <cell r="BV173">
            <v>349.68530536053913</v>
          </cell>
          <cell r="BW173">
            <v>349.68530536053913</v>
          </cell>
          <cell r="BX173">
            <v>349.68530536054186</v>
          </cell>
          <cell r="BY173">
            <v>1398.7412214421565</v>
          </cell>
          <cell r="BZ173">
            <v>355.44363856168366</v>
          </cell>
          <cell r="CA173">
            <v>355.44363856168547</v>
          </cell>
          <cell r="CB173">
            <v>355.44363856168547</v>
          </cell>
          <cell r="CC173">
            <v>355.44363856168457</v>
          </cell>
          <cell r="CD173">
            <v>1421.7745542467455</v>
          </cell>
        </row>
        <row r="174">
          <cell r="B174" t="str">
            <v>Check</v>
          </cell>
          <cell r="G174">
            <v>402</v>
          </cell>
          <cell r="L174">
            <v>683</v>
          </cell>
          <cell r="Q174">
            <v>648</v>
          </cell>
          <cell r="V174">
            <v>1370</v>
          </cell>
          <cell r="AA174">
            <v>368</v>
          </cell>
          <cell r="AF174">
            <v>695</v>
          </cell>
          <cell r="AK174">
            <v>1227.0741412752491</v>
          </cell>
          <cell r="AP174">
            <v>183.73236754396748</v>
          </cell>
          <cell r="AU174">
            <v>-4593.6008750000001</v>
          </cell>
          <cell r="AZ174">
            <v>-3182.9849606822604</v>
          </cell>
          <cell r="BE174">
            <v>-1655.0814583668478</v>
          </cell>
          <cell r="BJ174">
            <v>1364.4689586352893</v>
          </cell>
          <cell r="BO174">
            <v>1365.5839057472485</v>
          </cell>
          <cell r="BT174">
            <v>1378.9742270559925</v>
          </cell>
          <cell r="BY174">
            <v>1398.7412214421627</v>
          </cell>
          <cell r="CD174">
            <v>1421.7745542467412</v>
          </cell>
        </row>
        <row r="176">
          <cell r="B176" t="str">
            <v>Tax rates</v>
          </cell>
        </row>
        <row r="177">
          <cell r="B177" t="str">
            <v>From oil and gas operations (FAS69)</v>
          </cell>
          <cell r="G177">
            <v>0.73411207319065508</v>
          </cell>
          <cell r="L177">
            <v>0.65793621013133208</v>
          </cell>
          <cell r="Q177">
            <v>0.72233854082783056</v>
          </cell>
          <cell r="V177">
            <v>0.70352066031487237</v>
          </cell>
          <cell r="AA177">
            <v>0.75938259858335977</v>
          </cell>
          <cell r="AF177">
            <v>0.60964934864322129</v>
          </cell>
          <cell r="AK177">
            <v>0.66935882643810785</v>
          </cell>
          <cell r="AP177">
            <v>0.66202331935198366</v>
          </cell>
          <cell r="AQ177">
            <v>0.70012436271629008</v>
          </cell>
          <cell r="AR177">
            <v>0.68933742179548718</v>
          </cell>
          <cell r="AS177">
            <v>0.70124692426320845</v>
          </cell>
          <cell r="AT177">
            <v>0.6978185141463763</v>
          </cell>
          <cell r="AU177">
            <v>0.69744970051478883</v>
          </cell>
          <cell r="AV177">
            <v>0.69753479643467498</v>
          </cell>
          <cell r="AW177">
            <v>0.69840473460391506</v>
          </cell>
          <cell r="AX177">
            <v>0.70116126276928958</v>
          </cell>
          <cell r="AY177">
            <v>0.70195580083236575</v>
          </cell>
          <cell r="AZ177">
            <v>0.69993539206246913</v>
          </cell>
          <cell r="BA177">
            <v>0.69659100097947357</v>
          </cell>
          <cell r="BB177">
            <v>0.69987864571845737</v>
          </cell>
          <cell r="BC177">
            <v>0.70147844572877083</v>
          </cell>
          <cell r="BD177">
            <v>0.7029676536519025</v>
          </cell>
          <cell r="BE177">
            <v>0.70027753251138936</v>
          </cell>
          <cell r="BF177">
            <v>0.69744457743956578</v>
          </cell>
          <cell r="BG177">
            <v>0.69470177175139292</v>
          </cell>
          <cell r="BH177">
            <v>0.6900738363760458</v>
          </cell>
          <cell r="BI177">
            <v>0.68547633003358177</v>
          </cell>
          <cell r="BJ177">
            <v>0.69180993026763504</v>
          </cell>
          <cell r="BK177">
            <v>0.68094847440938733</v>
          </cell>
          <cell r="BL177">
            <v>0.67460299265739487</v>
          </cell>
          <cell r="BM177">
            <v>0.6682961526036898</v>
          </cell>
          <cell r="BN177">
            <v>0.66187494714380979</v>
          </cell>
          <cell r="BO177">
            <v>0.67127259849020526</v>
          </cell>
          <cell r="BP177">
            <v>0.65653564497672323</v>
          </cell>
          <cell r="BQ177">
            <v>0.65074185844320476</v>
          </cell>
          <cell r="BR177">
            <v>0.64511276392241845</v>
          </cell>
          <cell r="BS177">
            <v>0.63945927850930562</v>
          </cell>
          <cell r="BT177">
            <v>0.6477337555355237</v>
          </cell>
          <cell r="BU177">
            <v>0.64382348362764685</v>
          </cell>
          <cell r="BV177">
            <v>0.64666603433872516</v>
          </cell>
          <cell r="BW177">
            <v>0.64954343518385682</v>
          </cell>
          <cell r="BX177">
            <v>0.65229640159495728</v>
          </cell>
          <cell r="BY177">
            <v>0.64811534030415852</v>
          </cell>
          <cell r="BZ177">
            <v>0.65164522110304413</v>
          </cell>
          <cell r="CA177">
            <v>0.64909316281956631</v>
          </cell>
          <cell r="CB177">
            <v>0.6466759054030754</v>
          </cell>
          <cell r="CC177">
            <v>0.64422990629290733</v>
          </cell>
          <cell r="CD177">
            <v>0.64776722016136667</v>
          </cell>
        </row>
        <row r="178">
          <cell r="B178" t="str">
            <v>Pearl GTL</v>
          </cell>
          <cell r="G178">
            <v>0</v>
          </cell>
          <cell r="L178">
            <v>0</v>
          </cell>
          <cell r="Q178">
            <v>0</v>
          </cell>
          <cell r="V178">
            <v>0</v>
          </cell>
          <cell r="AA178">
            <v>0</v>
          </cell>
          <cell r="AF178">
            <v>0</v>
          </cell>
          <cell r="AK178">
            <v>-2.0676034783544392E-2</v>
          </cell>
          <cell r="AP178">
            <v>-1.3375757681510038E-2</v>
          </cell>
          <cell r="AQ178">
            <v>-3.3170748387867162E-2</v>
          </cell>
          <cell r="AR178">
            <v>-3.3170748387867162E-2</v>
          </cell>
          <cell r="AS178">
            <v>-3.3170748387867162E-2</v>
          </cell>
          <cell r="AT178">
            <v>-3.3170748387867162E-2</v>
          </cell>
          <cell r="AU178">
            <v>-3.3170748387867162E-2</v>
          </cell>
          <cell r="AV178">
            <v>-3.0606343107111612E-2</v>
          </cell>
          <cell r="AW178">
            <v>-3.0606343107111612E-2</v>
          </cell>
          <cell r="AX178">
            <v>-3.0606343107111612E-2</v>
          </cell>
          <cell r="AY178">
            <v>-3.0606343107111612E-2</v>
          </cell>
          <cell r="AZ178">
            <v>-3.0606343107111612E-2</v>
          </cell>
          <cell r="BA178">
            <v>-3.5739237255241446E-2</v>
          </cell>
          <cell r="BB178">
            <v>-3.5739237255241446E-2</v>
          </cell>
          <cell r="BC178">
            <v>-3.5739237255241446E-2</v>
          </cell>
          <cell r="BD178">
            <v>-3.5739237255241446E-2</v>
          </cell>
          <cell r="BE178">
            <v>-3.5739237255241446E-2</v>
          </cell>
          <cell r="BF178">
            <v>-4.2074931653087476E-2</v>
          </cell>
          <cell r="BG178">
            <v>-4.2074931653087476E-2</v>
          </cell>
          <cell r="BH178">
            <v>-4.2074931653087476E-2</v>
          </cell>
          <cell r="BI178">
            <v>-4.2074931653087476E-2</v>
          </cell>
          <cell r="BJ178">
            <v>-4.2074931653087476E-2</v>
          </cell>
          <cell r="BK178">
            <v>-3.6494160918206842E-2</v>
          </cell>
          <cell r="BL178">
            <v>-3.6494160918206842E-2</v>
          </cell>
          <cell r="BM178">
            <v>-3.6494160918206842E-2</v>
          </cell>
          <cell r="BN178">
            <v>-3.6494160918206842E-2</v>
          </cell>
          <cell r="BO178">
            <v>-3.6494160918206842E-2</v>
          </cell>
          <cell r="BP178">
            <v>-2.7672470372070764E-2</v>
          </cell>
          <cell r="BQ178">
            <v>-2.7672470372070764E-2</v>
          </cell>
          <cell r="BR178">
            <v>-2.7672470372070764E-2</v>
          </cell>
          <cell r="BS178">
            <v>-2.7672470372070764E-2</v>
          </cell>
          <cell r="BT178">
            <v>-2.7672470372070764E-2</v>
          </cell>
          <cell r="BU178">
            <v>-6.7129273325183106E-2</v>
          </cell>
          <cell r="BV178">
            <v>-6.7129273325183106E-2</v>
          </cell>
          <cell r="BW178">
            <v>-6.7129273325183106E-2</v>
          </cell>
          <cell r="BX178">
            <v>-6.7129273325183106E-2</v>
          </cell>
          <cell r="BY178">
            <v>-6.7129273325183106E-2</v>
          </cell>
          <cell r="BZ178">
            <v>-5.1060419142600448E-2</v>
          </cell>
          <cell r="CA178">
            <v>-5.1060419142600448E-2</v>
          </cell>
          <cell r="CB178">
            <v>-5.1060419142600448E-2</v>
          </cell>
          <cell r="CC178">
            <v>-5.1060419142600448E-2</v>
          </cell>
          <cell r="CD178">
            <v>-5.1060419142600448E-2</v>
          </cell>
        </row>
        <row r="179">
          <cell r="B179" t="str">
            <v xml:space="preserve">Other Upstream </v>
          </cell>
          <cell r="G179">
            <v>0.11940298507462686</v>
          </cell>
          <cell r="L179">
            <v>4.3923865300146414E-2</v>
          </cell>
          <cell r="Q179">
            <v>-4.4753086419753084E-2</v>
          </cell>
          <cell r="V179">
            <v>0.14452554744525548</v>
          </cell>
          <cell r="AA179">
            <v>-0.23369565217391305</v>
          </cell>
          <cell r="AF179">
            <v>1.0071942446043165E-2</v>
          </cell>
          <cell r="AK179">
            <v>0.16299045163796666</v>
          </cell>
          <cell r="AP179">
            <v>2.6970149590934569</v>
          </cell>
          <cell r="AQ179">
            <v>0.7</v>
          </cell>
          <cell r="AR179">
            <v>0.7</v>
          </cell>
          <cell r="AS179">
            <v>0.7</v>
          </cell>
          <cell r="AT179">
            <v>0.7</v>
          </cell>
          <cell r="AU179">
            <v>0.70059076192632264</v>
          </cell>
          <cell r="AV179">
            <v>0.7</v>
          </cell>
          <cell r="AW179">
            <v>0.7</v>
          </cell>
          <cell r="AX179">
            <v>0.7</v>
          </cell>
          <cell r="AY179">
            <v>0.7</v>
          </cell>
          <cell r="AZ179">
            <v>0.70000000000000029</v>
          </cell>
          <cell r="BA179">
            <v>0.7</v>
          </cell>
          <cell r="BB179">
            <v>0.7</v>
          </cell>
          <cell r="BC179">
            <v>0.7</v>
          </cell>
          <cell r="BD179">
            <v>0.7</v>
          </cell>
          <cell r="BE179">
            <v>0.70000000000000229</v>
          </cell>
          <cell r="BF179">
            <v>0.7</v>
          </cell>
          <cell r="BG179">
            <v>0.7</v>
          </cell>
          <cell r="BH179">
            <v>0.7</v>
          </cell>
          <cell r="BI179">
            <v>0.7</v>
          </cell>
          <cell r="BJ179">
            <v>0.69999999999999962</v>
          </cell>
          <cell r="BK179">
            <v>0.7</v>
          </cell>
          <cell r="BL179">
            <v>0.7</v>
          </cell>
          <cell r="BM179">
            <v>0.7</v>
          </cell>
          <cell r="BN179">
            <v>0.7</v>
          </cell>
          <cell r="BO179">
            <v>0.69999999999999951</v>
          </cell>
          <cell r="BP179">
            <v>0.7</v>
          </cell>
          <cell r="BQ179">
            <v>0.7</v>
          </cell>
          <cell r="BR179">
            <v>0.7</v>
          </cell>
          <cell r="BS179">
            <v>0.7</v>
          </cell>
          <cell r="BT179">
            <v>0.70000000000000318</v>
          </cell>
          <cell r="BU179">
            <v>0.7</v>
          </cell>
          <cell r="BV179">
            <v>0.7</v>
          </cell>
          <cell r="BW179">
            <v>0.7</v>
          </cell>
          <cell r="BX179">
            <v>0.7</v>
          </cell>
          <cell r="BY179">
            <v>0.7</v>
          </cell>
          <cell r="BZ179">
            <v>0.7</v>
          </cell>
          <cell r="CA179">
            <v>0.7</v>
          </cell>
          <cell r="CB179">
            <v>0.7</v>
          </cell>
          <cell r="CC179">
            <v>0.7</v>
          </cell>
          <cell r="CD179">
            <v>0.69999999999999685</v>
          </cell>
        </row>
        <row r="180">
          <cell r="B180" t="str">
            <v>Tax rate</v>
          </cell>
          <cell r="G180">
            <v>0.63801991384789214</v>
          </cell>
          <cell r="L180">
            <v>0.5457873185258717</v>
          </cell>
          <cell r="Q180">
            <v>0.57406099518459064</v>
          </cell>
          <cell r="V180">
            <v>0.57179016125739945</v>
          </cell>
          <cell r="AA180">
            <v>0.61445887445887448</v>
          </cell>
          <cell r="AF180">
            <v>0.52134307340257002</v>
          </cell>
          <cell r="AK180">
            <v>0.52901749750265847</v>
          </cell>
          <cell r="AP180">
            <v>0.51431400530040483</v>
          </cell>
          <cell r="AQ180">
            <v>0.51882197277295217</v>
          </cell>
          <cell r="AR180">
            <v>0.40132108019367785</v>
          </cell>
          <cell r="AS180">
            <v>0.39662263106903184</v>
          </cell>
          <cell r="AT180">
            <v>0.30333735089519481</v>
          </cell>
          <cell r="AU180">
            <v>0.42845467739800125</v>
          </cell>
          <cell r="AV180">
            <v>0.48658125105276118</v>
          </cell>
          <cell r="AW180">
            <v>0.42949876482413951</v>
          </cell>
          <cell r="AX180">
            <v>0.44920538426672707</v>
          </cell>
          <cell r="AY180">
            <v>0.48404813984404615</v>
          </cell>
          <cell r="AZ180">
            <v>0.46468260458167593</v>
          </cell>
          <cell r="BA180">
            <v>0.50644368760568337</v>
          </cell>
          <cell r="BB180">
            <v>0.51251157912493994</v>
          </cell>
          <cell r="BC180">
            <v>0.51690491827767782</v>
          </cell>
          <cell r="BD180">
            <v>0.51950894341260279</v>
          </cell>
          <cell r="BE180">
            <v>0.51392561231462974</v>
          </cell>
          <cell r="BF180">
            <v>0.56123507706471276</v>
          </cell>
          <cell r="BG180">
            <v>0.56215472440498881</v>
          </cell>
          <cell r="BH180">
            <v>0.5611915678071947</v>
          </cell>
          <cell r="BI180">
            <v>0.55911583200342363</v>
          </cell>
          <cell r="BJ180">
            <v>0.56090954388334435</v>
          </cell>
          <cell r="BK180">
            <v>0.55523465778869441</v>
          </cell>
          <cell r="BL180">
            <v>0.55209144245829411</v>
          </cell>
          <cell r="BM180">
            <v>0.54889868721173718</v>
          </cell>
          <cell r="BN180">
            <v>0.54459144179013941</v>
          </cell>
          <cell r="BO180">
            <v>0.55013334556644444</v>
          </cell>
          <cell r="BP180">
            <v>0.54312365375778671</v>
          </cell>
          <cell r="BQ180">
            <v>0.54130501237852735</v>
          </cell>
          <cell r="BR180">
            <v>0.53945622106970281</v>
          </cell>
          <cell r="BS180">
            <v>0.53660557122087704</v>
          </cell>
          <cell r="BT180">
            <v>0.54005348857560176</v>
          </cell>
          <cell r="BU180">
            <v>0.57316917627282249</v>
          </cell>
          <cell r="BV180">
            <v>0.57581982379637131</v>
          </cell>
          <cell r="BW180">
            <v>0.57848680025736199</v>
          </cell>
          <cell r="BX180">
            <v>0.58049132749897292</v>
          </cell>
          <cell r="BY180">
            <v>0.57701897093725563</v>
          </cell>
          <cell r="BZ180">
            <v>0.58690230708770497</v>
          </cell>
          <cell r="CA180">
            <v>0.58702635610193354</v>
          </cell>
          <cell r="CB180">
            <v>0.58710111697237899</v>
          </cell>
          <cell r="CC180">
            <v>0.58656926599970427</v>
          </cell>
          <cell r="CD180">
            <v>0.58689551459531886</v>
          </cell>
        </row>
        <row r="182">
          <cell r="A182" t="str">
            <v>Other items</v>
          </cell>
        </row>
        <row r="183">
          <cell r="B183" t="str">
            <v>From oil and gas operations (FAS69)</v>
          </cell>
          <cell r="G183">
            <v>424</v>
          </cell>
          <cell r="L183">
            <v>1576</v>
          </cell>
          <cell r="Q183">
            <v>3109</v>
          </cell>
          <cell r="V183">
            <v>2119</v>
          </cell>
          <cell r="AA183">
            <v>3365</v>
          </cell>
          <cell r="AF183">
            <v>-228</v>
          </cell>
          <cell r="AK183">
            <v>2502</v>
          </cell>
          <cell r="AP183">
            <v>1066</v>
          </cell>
          <cell r="AQ183">
            <v>750</v>
          </cell>
          <cell r="AR183">
            <v>750</v>
          </cell>
          <cell r="AS183">
            <v>750</v>
          </cell>
          <cell r="AT183">
            <v>750</v>
          </cell>
          <cell r="AU183">
            <v>3000</v>
          </cell>
          <cell r="AV183">
            <v>750</v>
          </cell>
          <cell r="AW183">
            <v>750</v>
          </cell>
          <cell r="AX183">
            <v>750</v>
          </cell>
          <cell r="AY183">
            <v>750</v>
          </cell>
          <cell r="AZ183">
            <v>3000</v>
          </cell>
          <cell r="BA183">
            <v>750</v>
          </cell>
          <cell r="BB183">
            <v>750</v>
          </cell>
          <cell r="BC183">
            <v>750</v>
          </cell>
          <cell r="BD183">
            <v>750</v>
          </cell>
          <cell r="BE183">
            <v>3000</v>
          </cell>
          <cell r="BF183">
            <v>750</v>
          </cell>
          <cell r="BG183">
            <v>750</v>
          </cell>
          <cell r="BH183">
            <v>750</v>
          </cell>
          <cell r="BI183">
            <v>750</v>
          </cell>
          <cell r="BJ183">
            <v>3000</v>
          </cell>
          <cell r="BK183">
            <v>750</v>
          </cell>
          <cell r="BL183">
            <v>750</v>
          </cell>
          <cell r="BM183">
            <v>750</v>
          </cell>
          <cell r="BN183">
            <v>750</v>
          </cell>
          <cell r="BO183">
            <v>3000</v>
          </cell>
          <cell r="BP183">
            <v>750</v>
          </cell>
          <cell r="BQ183">
            <v>750</v>
          </cell>
          <cell r="BR183">
            <v>750</v>
          </cell>
          <cell r="BS183">
            <v>750</v>
          </cell>
          <cell r="BT183">
            <v>3000</v>
          </cell>
          <cell r="BU183">
            <v>750</v>
          </cell>
          <cell r="BV183">
            <v>750</v>
          </cell>
          <cell r="BW183">
            <v>750</v>
          </cell>
          <cell r="BX183">
            <v>750</v>
          </cell>
          <cell r="BY183">
            <v>3000</v>
          </cell>
          <cell r="BZ183">
            <v>750</v>
          </cell>
          <cell r="CA183">
            <v>750</v>
          </cell>
          <cell r="CB183">
            <v>750</v>
          </cell>
          <cell r="CC183">
            <v>750</v>
          </cell>
          <cell r="CD183">
            <v>3000</v>
          </cell>
        </row>
        <row r="184">
          <cell r="B184" t="str">
            <v>Other Upstream</v>
          </cell>
          <cell r="G184">
            <v>551</v>
          </cell>
          <cell r="L184">
            <v>146</v>
          </cell>
          <cell r="Q184">
            <v>177</v>
          </cell>
          <cell r="V184">
            <v>2490</v>
          </cell>
          <cell r="AA184">
            <v>-568</v>
          </cell>
          <cell r="AF184">
            <v>4112</v>
          </cell>
          <cell r="AK184">
            <v>4413</v>
          </cell>
          <cell r="AP184">
            <v>10007</v>
          </cell>
          <cell r="AQ184">
            <v>1250</v>
          </cell>
          <cell r="AR184">
            <v>1250</v>
          </cell>
          <cell r="AS184">
            <v>1250</v>
          </cell>
          <cell r="AT184">
            <v>1250</v>
          </cell>
          <cell r="AU184">
            <v>5000</v>
          </cell>
          <cell r="AV184">
            <v>1250</v>
          </cell>
          <cell r="AW184">
            <v>1250</v>
          </cell>
          <cell r="AX184">
            <v>1250</v>
          </cell>
          <cell r="AY184">
            <v>1250</v>
          </cell>
          <cell r="AZ184">
            <v>5000</v>
          </cell>
          <cell r="BA184">
            <v>1250</v>
          </cell>
          <cell r="BB184">
            <v>1250</v>
          </cell>
          <cell r="BC184">
            <v>1250</v>
          </cell>
          <cell r="BD184">
            <v>1250</v>
          </cell>
          <cell r="BE184">
            <v>5000</v>
          </cell>
          <cell r="BF184">
            <v>1250</v>
          </cell>
          <cell r="BG184">
            <v>1250</v>
          </cell>
          <cell r="BH184">
            <v>1250</v>
          </cell>
          <cell r="BI184">
            <v>1250</v>
          </cell>
          <cell r="BJ184">
            <v>5000</v>
          </cell>
          <cell r="BK184">
            <v>1250</v>
          </cell>
          <cell r="BL184">
            <v>1250</v>
          </cell>
          <cell r="BM184">
            <v>1250</v>
          </cell>
          <cell r="BN184">
            <v>1250</v>
          </cell>
          <cell r="BO184">
            <v>5000</v>
          </cell>
          <cell r="BP184">
            <v>1250</v>
          </cell>
          <cell r="BQ184">
            <v>1250</v>
          </cell>
          <cell r="BR184">
            <v>1250</v>
          </cell>
          <cell r="BS184">
            <v>1250</v>
          </cell>
          <cell r="BT184">
            <v>5000</v>
          </cell>
          <cell r="BU184">
            <v>1250</v>
          </cell>
          <cell r="BV184">
            <v>1250</v>
          </cell>
          <cell r="BW184">
            <v>1250</v>
          </cell>
          <cell r="BX184">
            <v>1250</v>
          </cell>
          <cell r="BY184">
            <v>5000</v>
          </cell>
          <cell r="BZ184">
            <v>1250</v>
          </cell>
          <cell r="CA184">
            <v>1250</v>
          </cell>
          <cell r="CB184">
            <v>1250</v>
          </cell>
          <cell r="CC184">
            <v>1250</v>
          </cell>
          <cell r="CD184">
            <v>5000</v>
          </cell>
        </row>
        <row r="186">
          <cell r="B186" t="str">
            <v>Other items % Other revenue</v>
          </cell>
          <cell r="G186">
            <v>0.57692307692307687</v>
          </cell>
          <cell r="L186">
            <v>0.73401534526854217</v>
          </cell>
          <cell r="Q186">
            <v>1.0208139173656414</v>
          </cell>
          <cell r="V186">
            <v>0.85748837209302331</v>
          </cell>
          <cell r="AA186">
            <v>1.2166159199652022</v>
          </cell>
          <cell r="AF186">
            <v>0.89865802869042111</v>
          </cell>
          <cell r="AK186">
            <v>1.0129559225978271</v>
          </cell>
          <cell r="AP186">
            <v>1.2325662636620109</v>
          </cell>
          <cell r="AQ186">
            <v>1</v>
          </cell>
          <cell r="AR186">
            <v>1</v>
          </cell>
          <cell r="AS186">
            <v>1</v>
          </cell>
          <cell r="AT186">
            <v>1</v>
          </cell>
          <cell r="AU186">
            <v>1</v>
          </cell>
          <cell r="AV186">
            <v>1</v>
          </cell>
          <cell r="AW186">
            <v>1</v>
          </cell>
          <cell r="AX186">
            <v>1</v>
          </cell>
          <cell r="AY186">
            <v>1</v>
          </cell>
          <cell r="AZ186">
            <v>1</v>
          </cell>
          <cell r="BA186">
            <v>1</v>
          </cell>
          <cell r="BB186">
            <v>1</v>
          </cell>
          <cell r="BC186">
            <v>1</v>
          </cell>
          <cell r="BD186">
            <v>1</v>
          </cell>
          <cell r="BE186">
            <v>1</v>
          </cell>
          <cell r="BF186">
            <v>1</v>
          </cell>
          <cell r="BG186">
            <v>1</v>
          </cell>
          <cell r="BH186">
            <v>1</v>
          </cell>
          <cell r="BI186">
            <v>1</v>
          </cell>
          <cell r="BJ186">
            <v>1</v>
          </cell>
          <cell r="BK186">
            <v>1</v>
          </cell>
          <cell r="BL186">
            <v>1</v>
          </cell>
          <cell r="BM186">
            <v>1</v>
          </cell>
          <cell r="BN186">
            <v>1</v>
          </cell>
          <cell r="BO186">
            <v>1</v>
          </cell>
          <cell r="BP186">
            <v>1</v>
          </cell>
          <cell r="BQ186">
            <v>1</v>
          </cell>
          <cell r="BR186">
            <v>1</v>
          </cell>
          <cell r="BS186">
            <v>1</v>
          </cell>
          <cell r="BT186">
            <v>1</v>
          </cell>
          <cell r="BU186">
            <v>1</v>
          </cell>
          <cell r="BV186">
            <v>1</v>
          </cell>
          <cell r="BW186">
            <v>1</v>
          </cell>
          <cell r="BX186">
            <v>1</v>
          </cell>
          <cell r="BY186">
            <v>1</v>
          </cell>
          <cell r="BZ186">
            <v>1</v>
          </cell>
          <cell r="CA186">
            <v>1</v>
          </cell>
          <cell r="CB186">
            <v>1</v>
          </cell>
          <cell r="CC186">
            <v>1</v>
          </cell>
          <cell r="CD186">
            <v>1</v>
          </cell>
        </row>
        <row r="188">
          <cell r="B188" t="str">
            <v>Distribution</v>
          </cell>
        </row>
        <row r="189">
          <cell r="B189" t="str">
            <v>Purchases</v>
          </cell>
          <cell r="G189">
            <v>0.87897435897435894</v>
          </cell>
          <cell r="L189">
            <v>0.93379790940766549</v>
          </cell>
          <cell r="Q189">
            <v>0.96287279367011569</v>
          </cell>
          <cell r="V189">
            <v>0.96832284660446954</v>
          </cell>
          <cell r="AA189">
            <v>0.96067214873078299</v>
          </cell>
          <cell r="AF189">
            <v>0.97245108135942326</v>
          </cell>
          <cell r="AK189">
            <v>0.98264642082429499</v>
          </cell>
          <cell r="AP189">
            <v>0.98022216201571388</v>
          </cell>
          <cell r="AQ189">
            <v>0.97</v>
          </cell>
          <cell r="AR189">
            <v>0.97</v>
          </cell>
          <cell r="AS189">
            <v>0.97</v>
          </cell>
          <cell r="AT189">
            <v>0.97</v>
          </cell>
          <cell r="AU189">
            <v>0.97</v>
          </cell>
          <cell r="AV189">
            <v>0.97</v>
          </cell>
          <cell r="AW189">
            <v>0.97</v>
          </cell>
          <cell r="AX189">
            <v>0.97</v>
          </cell>
          <cell r="AY189">
            <v>0.97</v>
          </cell>
          <cell r="AZ189">
            <v>0.97</v>
          </cell>
          <cell r="BA189">
            <v>0.97</v>
          </cell>
          <cell r="BB189">
            <v>0.97</v>
          </cell>
          <cell r="BC189">
            <v>0.97</v>
          </cell>
          <cell r="BD189">
            <v>0.97</v>
          </cell>
          <cell r="BE189">
            <v>0.97</v>
          </cell>
          <cell r="BF189">
            <v>0.97</v>
          </cell>
          <cell r="BG189">
            <v>0.97</v>
          </cell>
          <cell r="BH189">
            <v>0.97</v>
          </cell>
          <cell r="BI189">
            <v>0.97</v>
          </cell>
          <cell r="BJ189">
            <v>0.97</v>
          </cell>
          <cell r="BK189">
            <v>0.97</v>
          </cell>
          <cell r="BL189">
            <v>0.97</v>
          </cell>
          <cell r="BM189">
            <v>0.97</v>
          </cell>
          <cell r="BN189">
            <v>0.97</v>
          </cell>
          <cell r="BO189">
            <v>0.97</v>
          </cell>
          <cell r="BP189">
            <v>0.97</v>
          </cell>
          <cell r="BQ189">
            <v>0.97</v>
          </cell>
          <cell r="BR189">
            <v>0.97</v>
          </cell>
          <cell r="BS189">
            <v>0.97</v>
          </cell>
          <cell r="BT189">
            <v>0.97</v>
          </cell>
          <cell r="BU189">
            <v>0.97</v>
          </cell>
          <cell r="BV189">
            <v>0.97</v>
          </cell>
          <cell r="BW189">
            <v>0.97</v>
          </cell>
          <cell r="BX189">
            <v>0.97</v>
          </cell>
          <cell r="BY189">
            <v>0.97</v>
          </cell>
          <cell r="BZ189">
            <v>0.97</v>
          </cell>
          <cell r="CA189">
            <v>0.97</v>
          </cell>
          <cell r="CB189">
            <v>0.97</v>
          </cell>
          <cell r="CC189">
            <v>0.97</v>
          </cell>
          <cell r="CD189">
            <v>0.97</v>
          </cell>
        </row>
        <row r="190">
          <cell r="B190" t="str">
            <v>Selling, distribution and admin expenses</v>
          </cell>
          <cell r="G190">
            <v>0.11384615384615385</v>
          </cell>
          <cell r="L190">
            <v>6.6202090592334492E-2</v>
          </cell>
          <cell r="Q190">
            <v>3.7127206329884359E-2</v>
          </cell>
          <cell r="V190">
            <v>3.1677153395530483E-2</v>
          </cell>
          <cell r="AA190">
            <v>3.9327851269217021E-2</v>
          </cell>
          <cell r="AF190">
            <v>2.6261585993820804E-2</v>
          </cell>
          <cell r="AK190">
            <v>1.5184381778741865E-2</v>
          </cell>
          <cell r="AP190">
            <v>1.8332881784520905E-2</v>
          </cell>
          <cell r="AQ190">
            <v>0.02</v>
          </cell>
          <cell r="AR190">
            <v>0.02</v>
          </cell>
          <cell r="AS190">
            <v>0.02</v>
          </cell>
          <cell r="AT190">
            <v>0.02</v>
          </cell>
          <cell r="AU190">
            <v>0.02</v>
          </cell>
          <cell r="AV190">
            <v>0.02</v>
          </cell>
          <cell r="AW190">
            <v>0.02</v>
          </cell>
          <cell r="AX190">
            <v>0.02</v>
          </cell>
          <cell r="AY190">
            <v>0.02</v>
          </cell>
          <cell r="AZ190">
            <v>0.02</v>
          </cell>
          <cell r="BA190">
            <v>0.02</v>
          </cell>
          <cell r="BB190">
            <v>0.02</v>
          </cell>
          <cell r="BC190">
            <v>0.02</v>
          </cell>
          <cell r="BD190">
            <v>0.02</v>
          </cell>
          <cell r="BE190">
            <v>0.02</v>
          </cell>
          <cell r="BF190">
            <v>0.02</v>
          </cell>
          <cell r="BG190">
            <v>0.02</v>
          </cell>
          <cell r="BH190">
            <v>0.02</v>
          </cell>
          <cell r="BI190">
            <v>0.02</v>
          </cell>
          <cell r="BJ190">
            <v>0.02</v>
          </cell>
          <cell r="BK190">
            <v>0.02</v>
          </cell>
          <cell r="BL190">
            <v>0.02</v>
          </cell>
          <cell r="BM190">
            <v>0.02</v>
          </cell>
          <cell r="BN190">
            <v>0.02</v>
          </cell>
          <cell r="BO190">
            <v>0.02</v>
          </cell>
          <cell r="BP190">
            <v>0.02</v>
          </cell>
          <cell r="BQ190">
            <v>0.02</v>
          </cell>
          <cell r="BR190">
            <v>0.02</v>
          </cell>
          <cell r="BS190">
            <v>0.02</v>
          </cell>
          <cell r="BT190">
            <v>0.02</v>
          </cell>
          <cell r="BU190">
            <v>0.02</v>
          </cell>
          <cell r="BV190">
            <v>0.02</v>
          </cell>
          <cell r="BW190">
            <v>0.02</v>
          </cell>
          <cell r="BX190">
            <v>0.02</v>
          </cell>
          <cell r="BY190">
            <v>0.02</v>
          </cell>
          <cell r="BZ190">
            <v>0.02</v>
          </cell>
          <cell r="CA190">
            <v>0.02</v>
          </cell>
          <cell r="CB190">
            <v>0.02</v>
          </cell>
          <cell r="CC190">
            <v>0.02</v>
          </cell>
          <cell r="CD190">
            <v>0.02</v>
          </cell>
        </row>
        <row r="191">
          <cell r="B191" t="str">
            <v>Research and development</v>
          </cell>
          <cell r="G191">
            <v>7.1794871794871795E-3</v>
          </cell>
          <cell r="L191">
            <v>0</v>
          </cell>
          <cell r="Q191">
            <v>0</v>
          </cell>
          <cell r="V191">
            <v>0</v>
          </cell>
          <cell r="AA191">
            <v>0</v>
          </cell>
          <cell r="AF191">
            <v>1.2873326467559218E-3</v>
          </cell>
          <cell r="AK191">
            <v>2.1691973969631237E-3</v>
          </cell>
          <cell r="AP191">
            <v>1.4449561997651947E-3</v>
          </cell>
          <cell r="AQ191">
            <v>1.0000000000000009E-2</v>
          </cell>
          <cell r="AR191">
            <v>1.0000000000000009E-2</v>
          </cell>
          <cell r="AS191">
            <v>1.0000000000000009E-2</v>
          </cell>
          <cell r="AT191">
            <v>1.0000000000000009E-2</v>
          </cell>
          <cell r="AU191">
            <v>1.0000000000000009E-2</v>
          </cell>
          <cell r="AV191">
            <v>1.0000000000000009E-2</v>
          </cell>
          <cell r="AW191">
            <v>1.0000000000000009E-2</v>
          </cell>
          <cell r="AX191">
            <v>1.0000000000000009E-2</v>
          </cell>
          <cell r="AY191">
            <v>1.0000000000000009E-2</v>
          </cell>
          <cell r="AZ191">
            <v>1.0000000000000009E-2</v>
          </cell>
          <cell r="BA191">
            <v>1.0000000000000009E-2</v>
          </cell>
          <cell r="BB191">
            <v>1.0000000000000009E-2</v>
          </cell>
          <cell r="BC191">
            <v>1.0000000000000009E-2</v>
          </cell>
          <cell r="BD191">
            <v>1.0000000000000009E-2</v>
          </cell>
          <cell r="BE191">
            <v>1.0000000000000009E-2</v>
          </cell>
          <cell r="BF191">
            <v>1.0000000000000009E-2</v>
          </cell>
          <cell r="BG191">
            <v>1.0000000000000009E-2</v>
          </cell>
          <cell r="BH191">
            <v>1.0000000000000009E-2</v>
          </cell>
          <cell r="BI191">
            <v>1.0000000000000009E-2</v>
          </cell>
          <cell r="BJ191">
            <v>1.0000000000000009E-2</v>
          </cell>
          <cell r="BK191">
            <v>1.0000000000000009E-2</v>
          </cell>
          <cell r="BL191">
            <v>1.0000000000000009E-2</v>
          </cell>
          <cell r="BM191">
            <v>1.0000000000000009E-2</v>
          </cell>
          <cell r="BN191">
            <v>1.0000000000000009E-2</v>
          </cell>
          <cell r="BO191">
            <v>1.0000000000000009E-2</v>
          </cell>
          <cell r="BP191">
            <v>1.0000000000000009E-2</v>
          </cell>
          <cell r="BQ191">
            <v>1.0000000000000009E-2</v>
          </cell>
          <cell r="BR191">
            <v>1.0000000000000009E-2</v>
          </cell>
          <cell r="BS191">
            <v>1.0000000000000009E-2</v>
          </cell>
          <cell r="BT191">
            <v>1.0000000000000009E-2</v>
          </cell>
          <cell r="BU191">
            <v>1.0000000000000009E-2</v>
          </cell>
          <cell r="BV191">
            <v>1.0000000000000009E-2</v>
          </cell>
          <cell r="BW191">
            <v>1.0000000000000009E-2</v>
          </cell>
          <cell r="BX191">
            <v>1.0000000000000009E-2</v>
          </cell>
          <cell r="BY191">
            <v>1.0000000000000009E-2</v>
          </cell>
          <cell r="BZ191">
            <v>1.0000000000000009E-2</v>
          </cell>
          <cell r="CA191">
            <v>1.0000000000000009E-2</v>
          </cell>
          <cell r="CB191">
            <v>1.0000000000000009E-2</v>
          </cell>
          <cell r="CC191">
            <v>1.0000000000000009E-2</v>
          </cell>
          <cell r="CD191">
            <v>1.0000000000000009E-2</v>
          </cell>
        </row>
        <row r="193">
          <cell r="A193" t="str">
            <v>Earnings</v>
          </cell>
        </row>
        <row r="194">
          <cell r="B194" t="str">
            <v>From oil and gas operations (FAS69+PGTL)</v>
          </cell>
          <cell r="G194">
            <v>3784</v>
          </cell>
          <cell r="L194">
            <v>5297</v>
          </cell>
          <cell r="Q194">
            <v>4283</v>
          </cell>
          <cell r="V194">
            <v>6821</v>
          </cell>
          <cell r="AA194">
            <v>3111</v>
          </cell>
          <cell r="AF194">
            <v>9184</v>
          </cell>
          <cell r="AK194">
            <v>12064.927227204473</v>
          </cell>
          <cell r="AP194">
            <v>15168.796576191773</v>
          </cell>
          <cell r="AQ194">
            <v>3761.6142940845657</v>
          </cell>
          <cell r="AR194">
            <v>3085.3675144674635</v>
          </cell>
          <cell r="AS194">
            <v>3087.8650041909013</v>
          </cell>
          <cell r="AT194">
            <v>2921.3599694756431</v>
          </cell>
          <cell r="AU194">
            <v>12856.206782218578</v>
          </cell>
          <cell r="AV194">
            <v>3020.8373321398058</v>
          </cell>
          <cell r="AW194">
            <v>3174.3890173754962</v>
          </cell>
          <cell r="AX194">
            <v>3278.0896855176452</v>
          </cell>
          <cell r="AY194">
            <v>3398.6719026815708</v>
          </cell>
          <cell r="AZ194">
            <v>12871.987937714517</v>
          </cell>
          <cell r="BA194">
            <v>2884.0036540379792</v>
          </cell>
          <cell r="BB194">
            <v>2895.4389461994342</v>
          </cell>
          <cell r="BC194">
            <v>2928.367573733316</v>
          </cell>
          <cell r="BD194">
            <v>2937.4657548670184</v>
          </cell>
          <cell r="BE194">
            <v>11645.275928837744</v>
          </cell>
          <cell r="BF194">
            <v>2516.5489707558713</v>
          </cell>
          <cell r="BG194">
            <v>2564.3098224772102</v>
          </cell>
          <cell r="BH194">
            <v>2637.8360830313331</v>
          </cell>
          <cell r="BI194">
            <v>2687.8737574514626</v>
          </cell>
          <cell r="BJ194">
            <v>10406.568633715877</v>
          </cell>
          <cell r="BK194">
            <v>2689.5345952950584</v>
          </cell>
          <cell r="BL194">
            <v>2775.1302153059105</v>
          </cell>
          <cell r="BM194">
            <v>2863.1238118069236</v>
          </cell>
          <cell r="BN194">
            <v>2926.557257023278</v>
          </cell>
          <cell r="BO194">
            <v>11254.34587943117</v>
          </cell>
          <cell r="BP194">
            <v>2856.6871398461262</v>
          </cell>
          <cell r="BQ194">
            <v>2971.0472198059388</v>
          </cell>
          <cell r="BR194">
            <v>3088.5949146480461</v>
          </cell>
          <cell r="BS194">
            <v>3179.2425218196213</v>
          </cell>
          <cell r="BT194">
            <v>12095.571796119737</v>
          </cell>
          <cell r="BU194">
            <v>2579.5716986304083</v>
          </cell>
          <cell r="BV194">
            <v>2597.7440451529551</v>
          </cell>
          <cell r="BW194">
            <v>2615.2464603158483</v>
          </cell>
          <cell r="BX194">
            <v>2603.1816782072874</v>
          </cell>
          <cell r="BY194">
            <v>10395.743882306497</v>
          </cell>
          <cell r="BZ194">
            <v>2531.8178142907082</v>
          </cell>
          <cell r="CA194">
            <v>2670.7469015619126</v>
          </cell>
          <cell r="CB194">
            <v>2813.6093019319719</v>
          </cell>
          <cell r="CC194">
            <v>2927.4894805755612</v>
          </cell>
          <cell r="CD194">
            <v>10943.663498360151</v>
          </cell>
        </row>
        <row r="195">
          <cell r="B195" t="str">
            <v>Upstream</v>
          </cell>
          <cell r="G195">
            <v>5126</v>
          </cell>
          <cell r="L195">
            <v>7321</v>
          </cell>
          <cell r="Q195">
            <v>6634</v>
          </cell>
          <cell r="V195">
            <v>10489</v>
          </cell>
          <cell r="AA195">
            <v>4453</v>
          </cell>
          <cell r="AF195">
            <v>10877</v>
          </cell>
          <cell r="AK195">
            <v>14616</v>
          </cell>
          <cell r="AP195">
            <v>16677</v>
          </cell>
          <cell r="AQ195">
            <v>4196</v>
          </cell>
          <cell r="AR195">
            <v>3128</v>
          </cell>
          <cell r="AS195">
            <v>3072</v>
          </cell>
          <cell r="AT195">
            <v>2686</v>
          </cell>
          <cell r="AU195">
            <v>13082</v>
          </cell>
          <cell r="AV195">
            <v>3594.6134600886362</v>
          </cell>
          <cell r="AW195">
            <v>3148.1651453243257</v>
          </cell>
          <cell r="AX195">
            <v>3251.8658134664761</v>
          </cell>
          <cell r="AY195">
            <v>3522.4480306304013</v>
          </cell>
          <cell r="AZ195">
            <v>13517.092449509839</v>
          </cell>
          <cell r="BA195">
            <v>3159.8725446604662</v>
          </cell>
          <cell r="BB195">
            <v>3171.3078368219199</v>
          </cell>
          <cell r="BC195">
            <v>3204.2364643558026</v>
          </cell>
          <cell r="BD195">
            <v>3213.3346454895045</v>
          </cell>
          <cell r="BE195">
            <v>12748.751491327694</v>
          </cell>
          <cell r="BF195">
            <v>3018.8841426535182</v>
          </cell>
          <cell r="BG195">
            <v>3066.6449943748557</v>
          </cell>
          <cell r="BH195">
            <v>3140.1712549289805</v>
          </cell>
          <cell r="BI195">
            <v>3190.2089293491085</v>
          </cell>
          <cell r="BJ195">
            <v>12415.909321306463</v>
          </cell>
          <cell r="BK195">
            <v>3191.9533882261012</v>
          </cell>
          <cell r="BL195">
            <v>3277.5490082369533</v>
          </cell>
          <cell r="BM195">
            <v>3365.5426047379674</v>
          </cell>
          <cell r="BN195">
            <v>3428.9760499543208</v>
          </cell>
          <cell r="BO195">
            <v>13264.021051155343</v>
          </cell>
          <cell r="BP195">
            <v>3360.1102068753271</v>
          </cell>
          <cell r="BQ195">
            <v>3474.4702868351378</v>
          </cell>
          <cell r="BR195">
            <v>3592.0179816772461</v>
          </cell>
          <cell r="BS195">
            <v>3682.6655888488194</v>
          </cell>
          <cell r="BT195">
            <v>14109.26406423653</v>
          </cell>
          <cell r="BU195">
            <v>3084.4772902385703</v>
          </cell>
          <cell r="BV195">
            <v>3102.6496367611171</v>
          </cell>
          <cell r="BW195">
            <v>3120.1520519240103</v>
          </cell>
          <cell r="BX195">
            <v>3108.0872698154508</v>
          </cell>
          <cell r="BY195">
            <v>12415.366248739148</v>
          </cell>
          <cell r="BZ195">
            <v>3038.450905859213</v>
          </cell>
          <cell r="CA195">
            <v>3177.3799931304184</v>
          </cell>
          <cell r="CB195">
            <v>3320.2423935004781</v>
          </cell>
          <cell r="CC195">
            <v>3434.122572144066</v>
          </cell>
          <cell r="CD195">
            <v>12970.195864634175</v>
          </cell>
        </row>
        <row r="196">
          <cell r="B196" t="str">
            <v>Difference</v>
          </cell>
          <cell r="G196">
            <v>1342</v>
          </cell>
          <cell r="L196">
            <v>2024</v>
          </cell>
          <cell r="Q196">
            <v>2351</v>
          </cell>
          <cell r="V196">
            <v>3668</v>
          </cell>
          <cell r="AA196">
            <v>1342</v>
          </cell>
          <cell r="AF196">
            <v>1693</v>
          </cell>
          <cell r="AK196">
            <v>2551.0727727955273</v>
          </cell>
          <cell r="AP196">
            <v>1508.2034238082269</v>
          </cell>
          <cell r="AQ196">
            <v>434.3857059154343</v>
          </cell>
          <cell r="AR196">
            <v>42.632485532536521</v>
          </cell>
          <cell r="AS196">
            <v>-15.865004190901345</v>
          </cell>
          <cell r="AT196">
            <v>-235.35996947564308</v>
          </cell>
          <cell r="AU196">
            <v>225.79321778142184</v>
          </cell>
          <cell r="AV196">
            <v>573.77612794883044</v>
          </cell>
          <cell r="AW196">
            <v>-26.223872051170474</v>
          </cell>
          <cell r="AX196">
            <v>-26.22387205116911</v>
          </cell>
          <cell r="AY196">
            <v>123.77612794883044</v>
          </cell>
          <cell r="AZ196">
            <v>645.10451179532174</v>
          </cell>
          <cell r="BA196">
            <v>275.86889062248702</v>
          </cell>
          <cell r="BB196">
            <v>275.86889062248565</v>
          </cell>
          <cell r="BC196">
            <v>275.86889062248656</v>
          </cell>
          <cell r="BD196">
            <v>275.86889062248611</v>
          </cell>
          <cell r="BE196">
            <v>1103.4755624899499</v>
          </cell>
          <cell r="BF196">
            <v>502.33517189764689</v>
          </cell>
          <cell r="BG196">
            <v>502.33517189764552</v>
          </cell>
          <cell r="BH196">
            <v>502.33517189764734</v>
          </cell>
          <cell r="BI196">
            <v>502.33517189764598</v>
          </cell>
          <cell r="BJ196">
            <v>2009.3406875905857</v>
          </cell>
          <cell r="BK196">
            <v>502.41879293104284</v>
          </cell>
          <cell r="BL196">
            <v>502.41879293104284</v>
          </cell>
          <cell r="BM196">
            <v>502.41879293104375</v>
          </cell>
          <cell r="BN196">
            <v>502.41879293104284</v>
          </cell>
          <cell r="BO196">
            <v>2009.6751717241732</v>
          </cell>
          <cell r="BP196">
            <v>503.42306702920087</v>
          </cell>
          <cell r="BQ196">
            <v>503.42306702919905</v>
          </cell>
          <cell r="BR196">
            <v>503.42306702919996</v>
          </cell>
          <cell r="BS196">
            <v>503.42306702919814</v>
          </cell>
          <cell r="BT196">
            <v>2013.6922681167925</v>
          </cell>
          <cell r="BU196">
            <v>504.90559160816201</v>
          </cell>
          <cell r="BV196">
            <v>504.90559160816201</v>
          </cell>
          <cell r="BW196">
            <v>504.90559160816201</v>
          </cell>
          <cell r="BX196">
            <v>504.90559160816338</v>
          </cell>
          <cell r="BY196">
            <v>2019.6223664326517</v>
          </cell>
          <cell r="BZ196">
            <v>506.63309156850482</v>
          </cell>
          <cell r="CA196">
            <v>506.63309156850573</v>
          </cell>
          <cell r="CB196">
            <v>506.63309156850619</v>
          </cell>
          <cell r="CC196">
            <v>506.63309156850482</v>
          </cell>
          <cell r="CD196">
            <v>2026.5323662740248</v>
          </cell>
        </row>
        <row r="197">
          <cell r="B197" t="str">
            <v>Difference as % of total</v>
          </cell>
          <cell r="G197">
            <v>0.26180257510729615</v>
          </cell>
          <cell r="L197">
            <v>0.2764649638027592</v>
          </cell>
          <cell r="Q197">
            <v>0.3543864938197166</v>
          </cell>
          <cell r="V197">
            <v>0.34969968538468871</v>
          </cell>
          <cell r="AA197">
            <v>0.30136986301369861</v>
          </cell>
          <cell r="AF197">
            <v>0.15564953571756918</v>
          </cell>
          <cell r="AK197">
            <v>0.17453973541293974</v>
          </cell>
          <cell r="AP197">
            <v>9.043613502477825E-2</v>
          </cell>
          <cell r="AQ197">
            <v>0.10352376213427891</v>
          </cell>
          <cell r="AR197">
            <v>1.3629311231629323E-2</v>
          </cell>
          <cell r="AS197">
            <v>-5.1643893850590317E-3</v>
          </cell>
          <cell r="AT197">
            <v>-8.7624709410142623E-2</v>
          </cell>
          <cell r="AU197">
            <v>1.7259839304496396E-2</v>
          </cell>
          <cell r="AV197">
            <v>0.15962109259299392</v>
          </cell>
          <cell r="AW197">
            <v>-8.3298908540799799E-3</v>
          </cell>
          <cell r="AX197">
            <v>-8.0642540484210708E-3</v>
          </cell>
          <cell r="AY197">
            <v>3.5139234666488071E-2</v>
          </cell>
          <cell r="AZ197">
            <v>4.7725094298568235E-2</v>
          </cell>
          <cell r="BA197">
            <v>8.7303803151379825E-2</v>
          </cell>
          <cell r="BB197">
            <v>8.6988997857408781E-2</v>
          </cell>
          <cell r="BC197">
            <v>8.6095047507034964E-2</v>
          </cell>
          <cell r="BD197">
            <v>8.5851279451929455E-2</v>
          </cell>
          <cell r="BE197">
            <v>8.6555578657297252E-2</v>
          </cell>
          <cell r="BF197">
            <v>0.16639763176075639</v>
          </cell>
          <cell r="BG197">
            <v>0.16380610498413689</v>
          </cell>
          <cell r="BH197">
            <v>0.15997062934359241</v>
          </cell>
          <cell r="BI197">
            <v>0.15746152776274008</v>
          </cell>
          <cell r="BJ197">
            <v>0.16183596670945669</v>
          </cell>
          <cell r="BK197">
            <v>0.1574016697061662</v>
          </cell>
          <cell r="BL197">
            <v>0.1532910085153241</v>
          </cell>
          <cell r="BM197">
            <v>0.14928314745555296</v>
          </cell>
          <cell r="BN197">
            <v>0.14652152293036164</v>
          </cell>
          <cell r="BO197">
            <v>0.15151326765642636</v>
          </cell>
          <cell r="BP197">
            <v>0.14982337960198927</v>
          </cell>
          <cell r="BQ197">
            <v>0.14489203402794454</v>
          </cell>
          <cell r="BR197">
            <v>0.14015048632750249</v>
          </cell>
          <cell r="BS197">
            <v>0.13670072801439606</v>
          </cell>
          <cell r="BT197">
            <v>0.14272128290666847</v>
          </cell>
          <cell r="BU197">
            <v>0.16369243281707219</v>
          </cell>
          <cell r="BV197">
            <v>0.16273367950602291</v>
          </cell>
          <cell r="BW197">
            <v>0.16182082898710565</v>
          </cell>
          <cell r="BX197">
            <v>0.16244897513387493</v>
          </cell>
          <cell r="BY197">
            <v>0.1626711871377742</v>
          </cell>
          <cell r="BZ197">
            <v>0.16674058830160335</v>
          </cell>
          <cell r="CA197">
            <v>0.15944995331495138</v>
          </cell>
          <cell r="CB197">
            <v>0.15258918823525142</v>
          </cell>
          <cell r="CC197">
            <v>0.14752912306568972</v>
          </cell>
          <cell r="CD197">
            <v>0.15624531714280193</v>
          </cell>
        </row>
        <row r="202">
          <cell r="A202" t="str">
            <v>Americas</v>
          </cell>
        </row>
        <row r="203">
          <cell r="C203">
            <v>2001</v>
          </cell>
          <cell r="D203">
            <v>2002</v>
          </cell>
          <cell r="E203">
            <v>2003</v>
          </cell>
          <cell r="F203">
            <v>2004</v>
          </cell>
          <cell r="G203">
            <v>2005</v>
          </cell>
          <cell r="H203" t="str">
            <v>1Q06</v>
          </cell>
          <cell r="I203" t="str">
            <v>2Q06</v>
          </cell>
          <cell r="J203" t="str">
            <v>3Q06</v>
          </cell>
          <cell r="K203" t="str">
            <v>4Q06</v>
          </cell>
          <cell r="L203">
            <v>2006</v>
          </cell>
          <cell r="M203" t="str">
            <v>1Q07</v>
          </cell>
          <cell r="N203" t="str">
            <v>2Q07</v>
          </cell>
          <cell r="O203" t="str">
            <v>3Q07</v>
          </cell>
          <cell r="P203" t="str">
            <v>4Q07</v>
          </cell>
          <cell r="Q203">
            <v>2007</v>
          </cell>
          <cell r="R203" t="str">
            <v>1Q08</v>
          </cell>
          <cell r="S203" t="str">
            <v>2Q08</v>
          </cell>
          <cell r="T203" t="str">
            <v>3Q08</v>
          </cell>
          <cell r="U203" t="str">
            <v>4Q08</v>
          </cell>
          <cell r="V203">
            <v>2008</v>
          </cell>
          <cell r="W203" t="str">
            <v>1Q09</v>
          </cell>
          <cell r="X203" t="str">
            <v>2Q09</v>
          </cell>
          <cell r="Y203" t="str">
            <v>3Q09</v>
          </cell>
          <cell r="Z203" t="str">
            <v>4Q09</v>
          </cell>
          <cell r="AA203">
            <v>2009</v>
          </cell>
          <cell r="AB203" t="str">
            <v>1Q10</v>
          </cell>
          <cell r="AC203" t="str">
            <v>2Q10</v>
          </cell>
          <cell r="AD203" t="str">
            <v>3Q10</v>
          </cell>
          <cell r="AE203" t="str">
            <v>4Q10</v>
          </cell>
          <cell r="AF203">
            <v>2010</v>
          </cell>
          <cell r="AG203" t="str">
            <v>1Q11</v>
          </cell>
          <cell r="AH203" t="str">
            <v>2Q11</v>
          </cell>
          <cell r="AI203" t="str">
            <v>3Q11</v>
          </cell>
          <cell r="AJ203" t="str">
            <v>4Q11</v>
          </cell>
          <cell r="AK203">
            <v>2011</v>
          </cell>
          <cell r="AL203" t="str">
            <v>1Q12</v>
          </cell>
          <cell r="AM203" t="str">
            <v>2Q12</v>
          </cell>
          <cell r="AN203" t="str">
            <v>3Q12</v>
          </cell>
          <cell r="AO203" t="str">
            <v>4Q12</v>
          </cell>
          <cell r="AP203">
            <v>2012</v>
          </cell>
          <cell r="AQ203" t="str">
            <v>1Q13</v>
          </cell>
          <cell r="AR203" t="str">
            <v>2Q13</v>
          </cell>
          <cell r="AS203" t="str">
            <v>3Q13</v>
          </cell>
          <cell r="AT203" t="str">
            <v>4Q13</v>
          </cell>
          <cell r="AU203">
            <v>2013</v>
          </cell>
          <cell r="AV203" t="str">
            <v>1Q14</v>
          </cell>
          <cell r="AW203" t="str">
            <v>2Q14</v>
          </cell>
          <cell r="AX203" t="str">
            <v>3Q14</v>
          </cell>
          <cell r="AY203" t="str">
            <v>4Q14</v>
          </cell>
          <cell r="AZ203">
            <v>2014</v>
          </cell>
          <cell r="BA203" t="str">
            <v>1Q15</v>
          </cell>
          <cell r="BB203" t="str">
            <v>2Q15</v>
          </cell>
          <cell r="BC203" t="str">
            <v>3Q15</v>
          </cell>
          <cell r="BD203" t="str">
            <v>4Q15</v>
          </cell>
          <cell r="BE203">
            <v>2015</v>
          </cell>
          <cell r="BF203" t="str">
            <v>1Q16</v>
          </cell>
          <cell r="BG203" t="str">
            <v>2Q16</v>
          </cell>
          <cell r="BH203" t="str">
            <v>3Q16</v>
          </cell>
          <cell r="BI203" t="str">
            <v>4Q16</v>
          </cell>
          <cell r="BJ203">
            <v>2016</v>
          </cell>
          <cell r="BK203" t="str">
            <v>1Q17</v>
          </cell>
          <cell r="BL203" t="str">
            <v>2Q17</v>
          </cell>
          <cell r="BM203" t="str">
            <v>3Q17</v>
          </cell>
          <cell r="BN203" t="str">
            <v>4Q17</v>
          </cell>
          <cell r="BO203">
            <v>2017</v>
          </cell>
          <cell r="BP203" t="str">
            <v>1Q18</v>
          </cell>
          <cell r="BQ203" t="str">
            <v>2Q18</v>
          </cell>
          <cell r="BR203" t="str">
            <v>3Q18</v>
          </cell>
          <cell r="BS203" t="str">
            <v>4Q18</v>
          </cell>
          <cell r="BT203">
            <v>2018</v>
          </cell>
          <cell r="BU203" t="str">
            <v>1Q19</v>
          </cell>
          <cell r="BV203" t="str">
            <v>2Q19</v>
          </cell>
          <cell r="BW203" t="str">
            <v>3Q19</v>
          </cell>
          <cell r="BX203" t="str">
            <v>4Q19</v>
          </cell>
          <cell r="BY203">
            <v>2019</v>
          </cell>
          <cell r="BZ203" t="str">
            <v>1Q20</v>
          </cell>
          <cell r="CA203" t="str">
            <v>2Q20</v>
          </cell>
          <cell r="CB203" t="str">
            <v>3Q20</v>
          </cell>
          <cell r="CC203" t="str">
            <v>4Q20</v>
          </cell>
          <cell r="CD203">
            <v>2020</v>
          </cell>
        </row>
        <row r="204">
          <cell r="A204" t="str">
            <v>Revenue (third party and inter-segment)</v>
          </cell>
          <cell r="G204">
            <v>18812</v>
          </cell>
          <cell r="L204">
            <v>18195</v>
          </cell>
          <cell r="Q204">
            <v>19280</v>
          </cell>
          <cell r="V204">
            <v>24046</v>
          </cell>
          <cell r="AA204">
            <v>12804</v>
          </cell>
          <cell r="AF204">
            <v>15976</v>
          </cell>
          <cell r="AK204">
            <v>20852</v>
          </cell>
          <cell r="AP204">
            <v>18114</v>
          </cell>
          <cell r="AQ204">
            <v>4962.8088910522565</v>
          </cell>
          <cell r="AR204">
            <v>4703.232924748474</v>
          </cell>
          <cell r="AS204">
            <v>4922.0454354049871</v>
          </cell>
          <cell r="AT204">
            <v>4505.9342104276848</v>
          </cell>
          <cell r="AU204">
            <v>19094.021461633401</v>
          </cell>
          <cell r="AV204">
            <v>5036.2918897216177</v>
          </cell>
          <cell r="AW204">
            <v>5377.7687225044665</v>
          </cell>
          <cell r="AX204">
            <v>5588.5632869160672</v>
          </cell>
          <cell r="AY204">
            <v>5751.250502728717</v>
          </cell>
          <cell r="AZ204">
            <v>21753.874401870871</v>
          </cell>
          <cell r="BA204">
            <v>5462.465917490671</v>
          </cell>
          <cell r="BB204">
            <v>5478.6202918338295</v>
          </cell>
          <cell r="BC204">
            <v>5485.4318944748275</v>
          </cell>
          <cell r="BD204">
            <v>5443.0278895132569</v>
          </cell>
          <cell r="BE204">
            <v>21869.545993312582</v>
          </cell>
          <cell r="BF204">
            <v>5236.1788089382171</v>
          </cell>
          <cell r="BG204">
            <v>5395.3369123017883</v>
          </cell>
          <cell r="BH204">
            <v>5548.893529762021</v>
          </cell>
          <cell r="BI204">
            <v>5654.1497415925623</v>
          </cell>
          <cell r="BJ204">
            <v>21834.55899259459</v>
          </cell>
          <cell r="BK204">
            <v>5563.8773374408584</v>
          </cell>
          <cell r="BL204">
            <v>5641.6390758585667</v>
          </cell>
          <cell r="BM204">
            <v>5711.8296788941798</v>
          </cell>
          <cell r="BN204">
            <v>5730.9688666193351</v>
          </cell>
          <cell r="BO204">
            <v>22648.314958812942</v>
          </cell>
          <cell r="BP204">
            <v>5689.107708719429</v>
          </cell>
          <cell r="BQ204">
            <v>5820.1626290321392</v>
          </cell>
          <cell r="BR204">
            <v>5945.3742834454415</v>
          </cell>
          <cell r="BS204">
            <v>6018.4002686558078</v>
          </cell>
          <cell r="BT204">
            <v>23473.044889852816</v>
          </cell>
          <cell r="BU204">
            <v>6018.1183980903597</v>
          </cell>
          <cell r="BV204">
            <v>6202.2057670075301</v>
          </cell>
          <cell r="BW204">
            <v>6381.8531352342761</v>
          </cell>
          <cell r="BX204">
            <v>6505.6783350170444</v>
          </cell>
          <cell r="BY204">
            <v>25107.855635349213</v>
          </cell>
          <cell r="BZ204">
            <v>6489.6795970156854</v>
          </cell>
          <cell r="CA204">
            <v>6674.2842678852903</v>
          </cell>
          <cell r="CB204">
            <v>6854.074766427756</v>
          </cell>
          <cell r="CC204">
            <v>6972.8292886125737</v>
          </cell>
          <cell r="CD204">
            <v>26990.867919941305</v>
          </cell>
        </row>
        <row r="205">
          <cell r="A205" t="str">
            <v>Share of profit of equity accounted investments</v>
          </cell>
          <cell r="G205">
            <v>655</v>
          </cell>
          <cell r="L205">
            <v>990</v>
          </cell>
          <cell r="Q205">
            <v>1170</v>
          </cell>
          <cell r="V205">
            <v>1441</v>
          </cell>
          <cell r="AA205">
            <v>644</v>
          </cell>
          <cell r="AF205">
            <v>914</v>
          </cell>
          <cell r="AK205">
            <v>1368</v>
          </cell>
          <cell r="AP205">
            <v>1123</v>
          </cell>
          <cell r="AQ205">
            <v>332.59203662756261</v>
          </cell>
          <cell r="AR205">
            <v>316.12764165168926</v>
          </cell>
          <cell r="AS205">
            <v>331.98600248126166</v>
          </cell>
          <cell r="AT205">
            <v>288.81208358737035</v>
          </cell>
          <cell r="AU205">
            <v>1269.5177643478837</v>
          </cell>
          <cell r="AV205">
            <v>294.15852525812625</v>
          </cell>
          <cell r="AW205">
            <v>293.62793397138989</v>
          </cell>
          <cell r="AX205">
            <v>296.59392745308799</v>
          </cell>
          <cell r="AY205">
            <v>296.60796561641905</v>
          </cell>
          <cell r="AZ205">
            <v>1180.9883522990226</v>
          </cell>
          <cell r="BA205">
            <v>251.44565615097281</v>
          </cell>
          <cell r="BB205">
            <v>250.97391132465725</v>
          </cell>
          <cell r="BC205">
            <v>253.44311282851908</v>
          </cell>
          <cell r="BD205">
            <v>253.4290845376045</v>
          </cell>
          <cell r="BE205">
            <v>1009.2917648417535</v>
          </cell>
          <cell r="BF205">
            <v>220.62536961959771</v>
          </cell>
          <cell r="BG205">
            <v>220.22388214744751</v>
          </cell>
          <cell r="BH205">
            <v>222.36403384708331</v>
          </cell>
          <cell r="BI205">
            <v>222.3588681604835</v>
          </cell>
          <cell r="BJ205">
            <v>885.57215377461216</v>
          </cell>
          <cell r="BK205">
            <v>216.28181166246009</v>
          </cell>
          <cell r="BL205">
            <v>218.44459258883381</v>
          </cell>
          <cell r="BM205">
            <v>223.16465179424961</v>
          </cell>
          <cell r="BN205">
            <v>225.77468054323234</v>
          </cell>
          <cell r="BO205">
            <v>883.66573658877621</v>
          </cell>
          <cell r="BP205">
            <v>219.66945864202563</v>
          </cell>
          <cell r="BQ205">
            <v>221.88168004711144</v>
          </cell>
          <cell r="BR205">
            <v>226.69662409637596</v>
          </cell>
          <cell r="BS205">
            <v>229.36435495680644</v>
          </cell>
          <cell r="BT205">
            <v>897.6121177423197</v>
          </cell>
          <cell r="BU205">
            <v>223.23670811685048</v>
          </cell>
          <cell r="BV205">
            <v>225.50982940532504</v>
          </cell>
          <cell r="BW205">
            <v>230.43369712577231</v>
          </cell>
          <cell r="BX205">
            <v>233.17082169945758</v>
          </cell>
          <cell r="BY205">
            <v>912.35105634740535</v>
          </cell>
          <cell r="BZ205">
            <v>227.01376567793704</v>
          </cell>
          <cell r="CA205">
            <v>229.34282599267789</v>
          </cell>
          <cell r="CB205">
            <v>234.37333248850726</v>
          </cell>
          <cell r="CC205">
            <v>237.17547026268016</v>
          </cell>
          <cell r="CD205">
            <v>927.90539442180261</v>
          </cell>
        </row>
        <row r="206">
          <cell r="A206" t="str">
            <v>Interest and other income</v>
          </cell>
          <cell r="G206">
            <v>350</v>
          </cell>
          <cell r="L206">
            <v>198</v>
          </cell>
          <cell r="Q206">
            <v>805</v>
          </cell>
          <cell r="V206">
            <v>684</v>
          </cell>
          <cell r="AA206">
            <v>116</v>
          </cell>
          <cell r="AF206">
            <v>260</v>
          </cell>
          <cell r="AK206">
            <v>2214</v>
          </cell>
          <cell r="AP206">
            <v>882</v>
          </cell>
          <cell r="AQ206">
            <v>32.536749999999998</v>
          </cell>
          <cell r="AR206">
            <v>32.536749999999998</v>
          </cell>
          <cell r="AS206">
            <v>32.536749999999998</v>
          </cell>
          <cell r="AT206">
            <v>32.536749999999998</v>
          </cell>
          <cell r="AU206">
            <v>130.14699999999999</v>
          </cell>
          <cell r="AV206">
            <v>57.695999999999991</v>
          </cell>
          <cell r="AW206">
            <v>57.695999999999991</v>
          </cell>
          <cell r="AX206">
            <v>57.695999999999991</v>
          </cell>
          <cell r="AY206">
            <v>57.695999999999991</v>
          </cell>
          <cell r="AZ206">
            <v>230.78399999999996</v>
          </cell>
          <cell r="BA206">
            <v>57.695999999999991</v>
          </cell>
          <cell r="BB206">
            <v>57.695999999999991</v>
          </cell>
          <cell r="BC206">
            <v>57.695999999999991</v>
          </cell>
          <cell r="BD206">
            <v>57.695999999999991</v>
          </cell>
          <cell r="BE206">
            <v>230.78399999999996</v>
          </cell>
          <cell r="BF206">
            <v>57.695999999999991</v>
          </cell>
          <cell r="BG206">
            <v>57.695999999999991</v>
          </cell>
          <cell r="BH206">
            <v>57.695999999999991</v>
          </cell>
          <cell r="BI206">
            <v>57.695999999999991</v>
          </cell>
          <cell r="BJ206">
            <v>230.78399999999996</v>
          </cell>
          <cell r="BK206">
            <v>57.695999999999991</v>
          </cell>
          <cell r="BL206">
            <v>57.695999999999991</v>
          </cell>
          <cell r="BM206">
            <v>57.695999999999991</v>
          </cell>
          <cell r="BN206">
            <v>57.695999999999991</v>
          </cell>
          <cell r="BO206">
            <v>230.78399999999996</v>
          </cell>
          <cell r="BP206">
            <v>57.695999999999991</v>
          </cell>
          <cell r="BQ206">
            <v>57.695999999999991</v>
          </cell>
          <cell r="BR206">
            <v>57.695999999999991</v>
          </cell>
          <cell r="BS206">
            <v>57.695999999999991</v>
          </cell>
          <cell r="BT206">
            <v>230.78399999999996</v>
          </cell>
          <cell r="BU206">
            <v>57.695999999999991</v>
          </cell>
          <cell r="BV206">
            <v>57.695999999999991</v>
          </cell>
          <cell r="BW206">
            <v>57.695999999999991</v>
          </cell>
          <cell r="BX206">
            <v>57.695999999999991</v>
          </cell>
          <cell r="BY206">
            <v>230.78399999999996</v>
          </cell>
          <cell r="BZ206">
            <v>57.695999999999991</v>
          </cell>
          <cell r="CA206">
            <v>57.695999999999991</v>
          </cell>
          <cell r="CB206">
            <v>57.695999999999991</v>
          </cell>
          <cell r="CC206">
            <v>57.695999999999991</v>
          </cell>
          <cell r="CD206">
            <v>230.78399999999996</v>
          </cell>
        </row>
        <row r="207">
          <cell r="A207" t="str">
            <v>Total revenue and other income</v>
          </cell>
          <cell r="G207">
            <v>19817</v>
          </cell>
          <cell r="L207">
            <v>19383</v>
          </cell>
          <cell r="Q207">
            <v>21255</v>
          </cell>
          <cell r="V207">
            <v>26171</v>
          </cell>
          <cell r="AA207">
            <v>13564</v>
          </cell>
          <cell r="AF207">
            <v>17150</v>
          </cell>
          <cell r="AK207">
            <v>24434</v>
          </cell>
          <cell r="AP207">
            <v>20119</v>
          </cell>
          <cell r="AQ207">
            <v>5327.937677679819</v>
          </cell>
          <cell r="AR207">
            <v>5051.8973164001636</v>
          </cell>
          <cell r="AS207">
            <v>5286.5681878862488</v>
          </cell>
          <cell r="AT207">
            <v>4827.2830440150556</v>
          </cell>
          <cell r="AU207">
            <v>20493.686225981288</v>
          </cell>
          <cell r="AV207">
            <v>5388.1464149797439</v>
          </cell>
          <cell r="AW207">
            <v>5729.0926564758565</v>
          </cell>
          <cell r="AX207">
            <v>5942.8532143691555</v>
          </cell>
          <cell r="AY207">
            <v>6105.5544683451362</v>
          </cell>
          <cell r="AZ207">
            <v>23165.646754169895</v>
          </cell>
          <cell r="BA207">
            <v>5771.6075736416442</v>
          </cell>
          <cell r="BB207">
            <v>5787.2902031584863</v>
          </cell>
          <cell r="BC207">
            <v>5796.5710073033461</v>
          </cell>
          <cell r="BD207">
            <v>5754.1529740508613</v>
          </cell>
          <cell r="BE207">
            <v>23109.621758154335</v>
          </cell>
          <cell r="BF207">
            <v>5514.5001785578152</v>
          </cell>
          <cell r="BG207">
            <v>5673.2567944492357</v>
          </cell>
          <cell r="BH207">
            <v>5828.9535636091041</v>
          </cell>
          <cell r="BI207">
            <v>5934.2046097530456</v>
          </cell>
          <cell r="BJ207">
            <v>22950.915146369203</v>
          </cell>
          <cell r="BK207">
            <v>5837.8551491033186</v>
          </cell>
          <cell r="BL207">
            <v>5917.7796684474006</v>
          </cell>
          <cell r="BM207">
            <v>5992.6903306884296</v>
          </cell>
          <cell r="BN207">
            <v>6014.4395471625676</v>
          </cell>
          <cell r="BO207">
            <v>23762.764695401718</v>
          </cell>
          <cell r="BP207">
            <v>5966.4731673614542</v>
          </cell>
          <cell r="BQ207">
            <v>6099.7403090792504</v>
          </cell>
          <cell r="BR207">
            <v>6229.7669075418171</v>
          </cell>
          <cell r="BS207">
            <v>6305.4606236126147</v>
          </cell>
          <cell r="BT207">
            <v>24601.441007595135</v>
          </cell>
          <cell r="BU207">
            <v>6299.0511062072101</v>
          </cell>
          <cell r="BV207">
            <v>6485.411596412855</v>
          </cell>
          <cell r="BW207">
            <v>6669.9828323600486</v>
          </cell>
          <cell r="BX207">
            <v>6796.5451567165019</v>
          </cell>
          <cell r="BY207">
            <v>26250.990691696617</v>
          </cell>
          <cell r="BZ207">
            <v>6774.3893626936224</v>
          </cell>
          <cell r="CA207">
            <v>6961.3230938779679</v>
          </cell>
          <cell r="CB207">
            <v>7146.1440989162629</v>
          </cell>
          <cell r="CC207">
            <v>7267.700758875254</v>
          </cell>
          <cell r="CD207">
            <v>28149.557314363108</v>
          </cell>
        </row>
        <row r="209">
          <cell r="A209" t="str">
            <v>Purchases</v>
          </cell>
          <cell r="G209">
            <v>-5154</v>
          </cell>
          <cell r="L209">
            <v>-3522</v>
          </cell>
          <cell r="Q209">
            <v>-4059</v>
          </cell>
          <cell r="V209">
            <v>-5231</v>
          </cell>
          <cell r="AA209">
            <v>-1618</v>
          </cell>
          <cell r="AF209">
            <v>-2936</v>
          </cell>
          <cell r="AK209">
            <v>-5606</v>
          </cell>
          <cell r="AP209">
            <v>-3702</v>
          </cell>
          <cell r="AQ209">
            <v>-667.5</v>
          </cell>
          <cell r="AR209">
            <v>-667.5</v>
          </cell>
          <cell r="AS209">
            <v>-667.5</v>
          </cell>
          <cell r="AT209">
            <v>-667.5</v>
          </cell>
          <cell r="AU209">
            <v>-2670</v>
          </cell>
          <cell r="AV209">
            <v>-667.5</v>
          </cell>
          <cell r="AW209">
            <v>-667.5</v>
          </cell>
          <cell r="AX209">
            <v>-667.5</v>
          </cell>
          <cell r="AY209">
            <v>-667.5</v>
          </cell>
          <cell r="AZ209">
            <v>-2670</v>
          </cell>
          <cell r="BA209">
            <v>-667.5</v>
          </cell>
          <cell r="BB209">
            <v>-667.5</v>
          </cell>
          <cell r="BC209">
            <v>-667.5</v>
          </cell>
          <cell r="BD209">
            <v>-667.5</v>
          </cell>
          <cell r="BE209">
            <v>-2670</v>
          </cell>
          <cell r="BF209">
            <v>-667.5</v>
          </cell>
          <cell r="BG209">
            <v>-667.5</v>
          </cell>
          <cell r="BH209">
            <v>-667.5</v>
          </cell>
          <cell r="BI209">
            <v>-667.5</v>
          </cell>
          <cell r="BJ209">
            <v>-2670</v>
          </cell>
          <cell r="BK209">
            <v>-667.5</v>
          </cell>
          <cell r="BL209">
            <v>-667.5</v>
          </cell>
          <cell r="BM209">
            <v>-667.5</v>
          </cell>
          <cell r="BN209">
            <v>-667.5</v>
          </cell>
          <cell r="BO209">
            <v>-2670</v>
          </cell>
          <cell r="BP209">
            <v>-667.5</v>
          </cell>
          <cell r="BQ209">
            <v>-667.5</v>
          </cell>
          <cell r="BR209">
            <v>-667.5</v>
          </cell>
          <cell r="BS209">
            <v>-667.5</v>
          </cell>
          <cell r="BT209">
            <v>-2670</v>
          </cell>
          <cell r="BU209">
            <v>-667.5</v>
          </cell>
          <cell r="BV209">
            <v>-667.5</v>
          </cell>
          <cell r="BW209">
            <v>-667.5</v>
          </cell>
          <cell r="BX209">
            <v>-667.5</v>
          </cell>
          <cell r="BY209">
            <v>-2670</v>
          </cell>
          <cell r="BZ209">
            <v>-667.5</v>
          </cell>
          <cell r="CA209">
            <v>-667.5</v>
          </cell>
          <cell r="CB209">
            <v>-667.5</v>
          </cell>
          <cell r="CC209">
            <v>-667.5</v>
          </cell>
          <cell r="CD209">
            <v>-2670</v>
          </cell>
        </row>
        <row r="210">
          <cell r="A210" t="str">
            <v>Production and manufacturing expenses</v>
          </cell>
          <cell r="G210">
            <v>-3392</v>
          </cell>
          <cell r="L210">
            <v>-3883</v>
          </cell>
          <cell r="Q210">
            <v>-4493</v>
          </cell>
          <cell r="V210">
            <v>-5572</v>
          </cell>
          <cell r="AA210">
            <v>-5414</v>
          </cell>
          <cell r="AF210">
            <v>-5542</v>
          </cell>
          <cell r="AK210">
            <v>-6490</v>
          </cell>
          <cell r="AP210">
            <v>-7408</v>
          </cell>
          <cell r="AQ210">
            <v>-2320.4816099818468</v>
          </cell>
          <cell r="AR210">
            <v>-5681.410909376692</v>
          </cell>
          <cell r="AS210">
            <v>-2713.9843543105326</v>
          </cell>
          <cell r="AT210">
            <v>-3869.6627958372801</v>
          </cell>
          <cell r="AU210">
            <v>-14585.53966950635</v>
          </cell>
          <cell r="AV210">
            <v>-3118.8209472011881</v>
          </cell>
          <cell r="AW210">
            <v>-3074.6780598371843</v>
          </cell>
          <cell r="AX210">
            <v>-3129.302083766609</v>
          </cell>
          <cell r="AY210">
            <v>-2925.208918683601</v>
          </cell>
          <cell r="AZ210">
            <v>-12248.010009488582</v>
          </cell>
          <cell r="BA210">
            <v>-2512.9630744520236</v>
          </cell>
          <cell r="BB210">
            <v>-2518.2833831397029</v>
          </cell>
          <cell r="BC210">
            <v>-2521.3544406677352</v>
          </cell>
          <cell r="BD210">
            <v>-2514.9938355591812</v>
          </cell>
          <cell r="BE210">
            <v>-10067.594733818642</v>
          </cell>
          <cell r="BF210">
            <v>-2335.4831824555858</v>
          </cell>
          <cell r="BG210">
            <v>-2385.8087791928092</v>
          </cell>
          <cell r="BH210">
            <v>-2434.559340096695</v>
          </cell>
          <cell r="BI210">
            <v>-2473.456502893333</v>
          </cell>
          <cell r="BJ210">
            <v>-9629.3078046384217</v>
          </cell>
          <cell r="BK210">
            <v>-2509.3971243079955</v>
          </cell>
          <cell r="BL210">
            <v>-2531.2123132883571</v>
          </cell>
          <cell r="BM210">
            <v>-2550.5705787269826</v>
          </cell>
          <cell r="BN210">
            <v>-2559.8297998140883</v>
          </cell>
          <cell r="BO210">
            <v>-10151.009816137424</v>
          </cell>
          <cell r="BP210">
            <v>-2598.1179010298661</v>
          </cell>
          <cell r="BQ210">
            <v>-2619.213502410571</v>
          </cell>
          <cell r="BR210">
            <v>-2638.595589281786</v>
          </cell>
          <cell r="BS210">
            <v>-2647.6856041059013</v>
          </cell>
          <cell r="BT210">
            <v>-10503.612596828125</v>
          </cell>
          <cell r="BU210">
            <v>-2716.1555304402573</v>
          </cell>
          <cell r="BV210">
            <v>-2768.1528888514231</v>
          </cell>
          <cell r="BW210">
            <v>-2818.1605858797175</v>
          </cell>
          <cell r="BX210">
            <v>-2857.0881997701067</v>
          </cell>
          <cell r="BY210">
            <v>-11159.557204941506</v>
          </cell>
          <cell r="BZ210">
            <v>-2915.1846145621262</v>
          </cell>
          <cell r="CA210">
            <v>-2953.6323294505705</v>
          </cell>
          <cell r="CB210">
            <v>-2990.2545791704306</v>
          </cell>
          <cell r="CC210">
            <v>-3015.0009706391211</v>
          </cell>
          <cell r="CD210">
            <v>-11874.072493822248</v>
          </cell>
        </row>
        <row r="211">
          <cell r="A211" t="str">
            <v>Taxes other than income taxes</v>
          </cell>
          <cell r="G211">
            <v>-131</v>
          </cell>
          <cell r="L211">
            <v>-139</v>
          </cell>
          <cell r="Q211">
            <v>-140</v>
          </cell>
          <cell r="V211">
            <v>-191</v>
          </cell>
          <cell r="AA211">
            <v>-124</v>
          </cell>
          <cell r="AF211">
            <v>-254</v>
          </cell>
          <cell r="AK211">
            <v>-239</v>
          </cell>
          <cell r="AP211">
            <v>-183</v>
          </cell>
          <cell r="AQ211">
            <v>-73.64378114335895</v>
          </cell>
          <cell r="AR211">
            <v>-64.157449620656905</v>
          </cell>
          <cell r="AS211">
            <v>-66.479610206195446</v>
          </cell>
          <cell r="AT211">
            <v>-68.384268684860174</v>
          </cell>
          <cell r="AU211">
            <v>-272.66510965507149</v>
          </cell>
          <cell r="AV211">
            <v>-70.158011009745181</v>
          </cell>
          <cell r="AW211">
            <v>-82.741234208779787</v>
          </cell>
          <cell r="AX211">
            <v>-95.489641035773673</v>
          </cell>
          <cell r="AY211">
            <v>-107.32880353080296</v>
          </cell>
          <cell r="AZ211">
            <v>-355.71768978510158</v>
          </cell>
          <cell r="BA211">
            <v>-87.935015930038134</v>
          </cell>
          <cell r="BB211">
            <v>-83.218814738448827</v>
          </cell>
          <cell r="BC211">
            <v>-78.291406244756786</v>
          </cell>
          <cell r="BD211">
            <v>-72.449505281411504</v>
          </cell>
          <cell r="BE211">
            <v>-321.89474219465524</v>
          </cell>
          <cell r="BF211">
            <v>-69.346054036589607</v>
          </cell>
          <cell r="BG211">
            <v>-72.754766929135144</v>
          </cell>
          <cell r="BH211">
            <v>-76.140812362245498</v>
          </cell>
          <cell r="BI211">
            <v>-78.727354862068651</v>
          </cell>
          <cell r="BJ211">
            <v>-296.96898819003889</v>
          </cell>
          <cell r="BK211">
            <v>-73.521299634650504</v>
          </cell>
          <cell r="BL211">
            <v>-70.912691487691148</v>
          </cell>
          <cell r="BM211">
            <v>-68.093716675405915</v>
          </cell>
          <cell r="BN211">
            <v>-64.441113387337595</v>
          </cell>
          <cell r="BO211">
            <v>-276.96882118508518</v>
          </cell>
          <cell r="BP211">
            <v>-63.767441066266969</v>
          </cell>
          <cell r="BQ211">
            <v>-65.384470027250003</v>
          </cell>
          <cell r="BR211">
            <v>-66.94598346680516</v>
          </cell>
          <cell r="BS211">
            <v>-67.797120471039975</v>
          </cell>
          <cell r="BT211">
            <v>-263.89501503136211</v>
          </cell>
          <cell r="BU211">
            <v>-65.345136602864343</v>
          </cell>
          <cell r="BV211">
            <v>-65.235931078481713</v>
          </cell>
          <cell r="BW211">
            <v>-65.005825368891266</v>
          </cell>
          <cell r="BX211">
            <v>-64.04207186096636</v>
          </cell>
          <cell r="BY211">
            <v>-259.62896491120364</v>
          </cell>
          <cell r="BZ211">
            <v>-66.653960968819234</v>
          </cell>
          <cell r="CA211">
            <v>-71.672601266552377</v>
          </cell>
          <cell r="CB211">
            <v>-76.752586590752813</v>
          </cell>
          <cell r="CC211">
            <v>-81.101173416081579</v>
          </cell>
          <cell r="CD211">
            <v>-296.18032224220599</v>
          </cell>
        </row>
        <row r="212">
          <cell r="A212" t="str">
            <v>Selling, distribution and admin expenses</v>
          </cell>
          <cell r="G212">
            <v>-522</v>
          </cell>
          <cell r="L212">
            <v>-557</v>
          </cell>
          <cell r="Q212">
            <v>-651</v>
          </cell>
          <cell r="V212">
            <v>-453</v>
          </cell>
          <cell r="AA212">
            <v>-541</v>
          </cell>
          <cell r="AF212">
            <v>-421</v>
          </cell>
          <cell r="AK212">
            <v>-161</v>
          </cell>
          <cell r="AP212">
            <v>-181</v>
          </cell>
          <cell r="AQ212">
            <v>-30</v>
          </cell>
          <cell r="AR212">
            <v>-30</v>
          </cell>
          <cell r="AS212">
            <v>-30</v>
          </cell>
          <cell r="AT212">
            <v>-30</v>
          </cell>
          <cell r="AU212">
            <v>-120</v>
          </cell>
          <cell r="AV212">
            <v>-30</v>
          </cell>
          <cell r="AW212">
            <v>-30</v>
          </cell>
          <cell r="AX212">
            <v>-30</v>
          </cell>
          <cell r="AY212">
            <v>-30</v>
          </cell>
          <cell r="AZ212">
            <v>-120</v>
          </cell>
          <cell r="BA212">
            <v>-30</v>
          </cell>
          <cell r="BB212">
            <v>-30</v>
          </cell>
          <cell r="BC212">
            <v>-30</v>
          </cell>
          <cell r="BD212">
            <v>-30</v>
          </cell>
          <cell r="BE212">
            <v>-120</v>
          </cell>
          <cell r="BF212">
            <v>-30</v>
          </cell>
          <cell r="BG212">
            <v>-30</v>
          </cell>
          <cell r="BH212">
            <v>-30</v>
          </cell>
          <cell r="BI212">
            <v>-30</v>
          </cell>
          <cell r="BJ212">
            <v>-120</v>
          </cell>
          <cell r="BK212">
            <v>-30</v>
          </cell>
          <cell r="BL212">
            <v>-30</v>
          </cell>
          <cell r="BM212">
            <v>-30</v>
          </cell>
          <cell r="BN212">
            <v>-30</v>
          </cell>
          <cell r="BO212">
            <v>-120</v>
          </cell>
          <cell r="BP212">
            <v>-30</v>
          </cell>
          <cell r="BQ212">
            <v>-30</v>
          </cell>
          <cell r="BR212">
            <v>-30</v>
          </cell>
          <cell r="BS212">
            <v>-30</v>
          </cell>
          <cell r="BT212">
            <v>-120</v>
          </cell>
          <cell r="BU212">
            <v>-30</v>
          </cell>
          <cell r="BV212">
            <v>-30</v>
          </cell>
          <cell r="BW212">
            <v>-30</v>
          </cell>
          <cell r="BX212">
            <v>-30</v>
          </cell>
          <cell r="BY212">
            <v>-120</v>
          </cell>
          <cell r="BZ212">
            <v>-30</v>
          </cell>
          <cell r="CA212">
            <v>-30</v>
          </cell>
          <cell r="CB212">
            <v>-30</v>
          </cell>
          <cell r="CC212">
            <v>-30</v>
          </cell>
          <cell r="CD212">
            <v>-120</v>
          </cell>
        </row>
        <row r="213">
          <cell r="A213" t="str">
            <v>Research and development</v>
          </cell>
          <cell r="G213">
            <v>-186</v>
          </cell>
          <cell r="L213">
            <v>-433</v>
          </cell>
          <cell r="Q213">
            <v>-427</v>
          </cell>
          <cell r="V213">
            <v>-295</v>
          </cell>
          <cell r="AA213">
            <v>-219</v>
          </cell>
          <cell r="AF213">
            <v>-199</v>
          </cell>
          <cell r="AK213">
            <v>-162</v>
          </cell>
          <cell r="AP213">
            <v>-265</v>
          </cell>
          <cell r="AQ213">
            <v>-52.499999999999964</v>
          </cell>
          <cell r="AR213">
            <v>-52.499999999999964</v>
          </cell>
          <cell r="AS213">
            <v>-52.499999999999964</v>
          </cell>
          <cell r="AT213">
            <v>-52.499999999999964</v>
          </cell>
          <cell r="AU213">
            <v>-209.99999999999986</v>
          </cell>
          <cell r="AV213">
            <v>-52.499999999999964</v>
          </cell>
          <cell r="AW213">
            <v>-52.499999999999964</v>
          </cell>
          <cell r="AX213">
            <v>-52.499999999999964</v>
          </cell>
          <cell r="AY213">
            <v>-52.499999999999964</v>
          </cell>
          <cell r="AZ213">
            <v>-209.99999999999986</v>
          </cell>
          <cell r="BA213">
            <v>-52.499999999999964</v>
          </cell>
          <cell r="BB213">
            <v>-52.499999999999964</v>
          </cell>
          <cell r="BC213">
            <v>-52.499999999999964</v>
          </cell>
          <cell r="BD213">
            <v>-52.499999999999964</v>
          </cell>
          <cell r="BE213">
            <v>-209.99999999999986</v>
          </cell>
          <cell r="BF213">
            <v>-52.499999999999964</v>
          </cell>
          <cell r="BG213">
            <v>-52.499999999999964</v>
          </cell>
          <cell r="BH213">
            <v>-52.499999999999964</v>
          </cell>
          <cell r="BI213">
            <v>-52.499999999999964</v>
          </cell>
          <cell r="BJ213">
            <v>-209.99999999999986</v>
          </cell>
          <cell r="BK213">
            <v>-52.499999999999964</v>
          </cell>
          <cell r="BL213">
            <v>-52.499999999999964</v>
          </cell>
          <cell r="BM213">
            <v>-52.499999999999964</v>
          </cell>
          <cell r="BN213">
            <v>-52.499999999999964</v>
          </cell>
          <cell r="BO213">
            <v>-209.99999999999986</v>
          </cell>
          <cell r="BP213">
            <v>-52.499999999999964</v>
          </cell>
          <cell r="BQ213">
            <v>-52.499999999999964</v>
          </cell>
          <cell r="BR213">
            <v>-52.499999999999964</v>
          </cell>
          <cell r="BS213">
            <v>-52.499999999999964</v>
          </cell>
          <cell r="BT213">
            <v>-209.99999999999986</v>
          </cell>
          <cell r="BU213">
            <v>-52.499999999999964</v>
          </cell>
          <cell r="BV213">
            <v>-52.499999999999964</v>
          </cell>
          <cell r="BW213">
            <v>-52.499999999999964</v>
          </cell>
          <cell r="BX213">
            <v>-52.499999999999964</v>
          </cell>
          <cell r="BY213">
            <v>-209.99999999999986</v>
          </cell>
          <cell r="BZ213">
            <v>-52.499999999999964</v>
          </cell>
          <cell r="CA213">
            <v>-52.499999999999964</v>
          </cell>
          <cell r="CB213">
            <v>-52.499999999999964</v>
          </cell>
          <cell r="CC213">
            <v>-52.499999999999964</v>
          </cell>
          <cell r="CD213">
            <v>-209.99999999999986</v>
          </cell>
        </row>
        <row r="214">
          <cell r="A214" t="str">
            <v>Exploration</v>
          </cell>
          <cell r="G214">
            <v>-622</v>
          </cell>
          <cell r="L214">
            <v>-651</v>
          </cell>
          <cell r="Q214">
            <v>-977</v>
          </cell>
          <cell r="V214">
            <v>-1006</v>
          </cell>
          <cell r="AA214">
            <v>-969</v>
          </cell>
          <cell r="AF214">
            <v>-1022</v>
          </cell>
          <cell r="AK214">
            <v>-956</v>
          </cell>
          <cell r="AP214">
            <v>-1372</v>
          </cell>
          <cell r="AQ214">
            <v>-311.04000000000002</v>
          </cell>
          <cell r="AR214">
            <v>-589.44000000000005</v>
          </cell>
          <cell r="AS214">
            <v>-785.28</v>
          </cell>
          <cell r="AT214">
            <v>-847.68</v>
          </cell>
          <cell r="AU214">
            <v>-2533.44</v>
          </cell>
          <cell r="AV214">
            <v>-444.77280000000007</v>
          </cell>
          <cell r="AW214">
            <v>-444.77280000000007</v>
          </cell>
          <cell r="AX214">
            <v>-444.77280000000007</v>
          </cell>
          <cell r="AY214">
            <v>-444.77280000000007</v>
          </cell>
          <cell r="AZ214">
            <v>-1779.0912000000003</v>
          </cell>
          <cell r="BA214">
            <v>-379.65600000000006</v>
          </cell>
          <cell r="BB214">
            <v>-379.65600000000012</v>
          </cell>
          <cell r="BC214">
            <v>-379.65600000000006</v>
          </cell>
          <cell r="BD214">
            <v>-379.65599999999995</v>
          </cell>
          <cell r="BE214">
            <v>-1518.6240000000003</v>
          </cell>
          <cell r="BF214">
            <v>-301.14800000000002</v>
          </cell>
          <cell r="BG214">
            <v>-301.14800000000002</v>
          </cell>
          <cell r="BH214">
            <v>-301.14800000000002</v>
          </cell>
          <cell r="BI214">
            <v>-301.14800000000002</v>
          </cell>
          <cell r="BJ214">
            <v>-1204.5920000000001</v>
          </cell>
          <cell r="BK214">
            <v>-299.62400000000002</v>
          </cell>
          <cell r="BL214">
            <v>-299.62400000000002</v>
          </cell>
          <cell r="BM214">
            <v>-299.62400000000002</v>
          </cell>
          <cell r="BN214">
            <v>-299.62400000000002</v>
          </cell>
          <cell r="BO214">
            <v>-1198.4960000000001</v>
          </cell>
          <cell r="BP214">
            <v>-295.27500000000003</v>
          </cell>
          <cell r="BQ214">
            <v>-295.27500000000003</v>
          </cell>
          <cell r="BR214">
            <v>-295.27500000000003</v>
          </cell>
          <cell r="BS214">
            <v>-295.27500000000003</v>
          </cell>
          <cell r="BT214">
            <v>-1181.1000000000001</v>
          </cell>
          <cell r="BU214">
            <v>-296.55</v>
          </cell>
          <cell r="BV214">
            <v>-296.55</v>
          </cell>
          <cell r="BW214">
            <v>-296.55</v>
          </cell>
          <cell r="BX214">
            <v>-296.55</v>
          </cell>
          <cell r="BY214">
            <v>-1186.2</v>
          </cell>
          <cell r="BZ214">
            <v>-296.55</v>
          </cell>
          <cell r="CA214">
            <v>-296.55</v>
          </cell>
          <cell r="CB214">
            <v>-296.55</v>
          </cell>
          <cell r="CC214">
            <v>-296.55</v>
          </cell>
          <cell r="CD214">
            <v>-1186.2</v>
          </cell>
        </row>
        <row r="215">
          <cell r="A215" t="str">
            <v>DD&amp;A</v>
          </cell>
          <cell r="G215">
            <v>-2703</v>
          </cell>
          <cell r="L215">
            <v>-3135</v>
          </cell>
          <cell r="Q215">
            <v>-3004</v>
          </cell>
          <cell r="V215">
            <v>-3423</v>
          </cell>
          <cell r="AA215">
            <v>-4531</v>
          </cell>
          <cell r="AF215">
            <v>-5904</v>
          </cell>
          <cell r="AK215">
            <v>-4483</v>
          </cell>
          <cell r="AP215">
            <v>-6319</v>
          </cell>
          <cell r="AQ215">
            <v>-1508.9737392868205</v>
          </cell>
          <cell r="AR215">
            <v>-1385.992527898806</v>
          </cell>
          <cell r="AS215">
            <v>-1581.5298764405534</v>
          </cell>
          <cell r="AT215">
            <v>-1505.3377338108892</v>
          </cell>
          <cell r="AU215">
            <v>-5981.8338774370695</v>
          </cell>
          <cell r="AV215">
            <v>-1498.4233358358761</v>
          </cell>
          <cell r="AW215">
            <v>-1565.8045292727411</v>
          </cell>
          <cell r="AX215">
            <v>-1632.0357361241818</v>
          </cell>
          <cell r="AY215">
            <v>-1682.1592008957023</v>
          </cell>
          <cell r="AZ215">
            <v>-6378.4228021285007</v>
          </cell>
          <cell r="BA215">
            <v>-1671.1629922636705</v>
          </cell>
          <cell r="BB215">
            <v>-1677.4591244451374</v>
          </cell>
          <cell r="BC215">
            <v>-1681.2617858234803</v>
          </cell>
          <cell r="BD215">
            <v>-1667.7297315485807</v>
          </cell>
          <cell r="BE215">
            <v>-6697.6136340808698</v>
          </cell>
          <cell r="BF215">
            <v>-1587.4991803045971</v>
          </cell>
          <cell r="BG215">
            <v>-1640.7863927429244</v>
          </cell>
          <cell r="BH215">
            <v>-1692.6562487451629</v>
          </cell>
          <cell r="BI215">
            <v>-1726.7702103216552</v>
          </cell>
          <cell r="BJ215">
            <v>-6647.7120321143393</v>
          </cell>
          <cell r="BK215">
            <v>-1670.9085341316199</v>
          </cell>
          <cell r="BL215">
            <v>-1687.3904641138504</v>
          </cell>
          <cell r="BM215">
            <v>-1701.6669894360755</v>
          </cell>
          <cell r="BN215">
            <v>-1697.6754876801263</v>
          </cell>
          <cell r="BO215">
            <v>-6757.6414753616718</v>
          </cell>
          <cell r="BP215">
            <v>-1660.1465043796729</v>
          </cell>
          <cell r="BQ215">
            <v>-1692.3564719874064</v>
          </cell>
          <cell r="BR215">
            <v>-1722.750561849416</v>
          </cell>
          <cell r="BS215">
            <v>-1734.8220531181571</v>
          </cell>
          <cell r="BT215">
            <v>-6810.075591334652</v>
          </cell>
          <cell r="BU215">
            <v>-1707.7963637312214</v>
          </cell>
          <cell r="BV215">
            <v>-1753.3707851358511</v>
          </cell>
          <cell r="BW215">
            <v>-1797.4526446141217</v>
          </cell>
          <cell r="BX215">
            <v>-1822.5414185414495</v>
          </cell>
          <cell r="BY215">
            <v>-7081.1612120226437</v>
          </cell>
          <cell r="BZ215">
            <v>-1790.0506559727673</v>
          </cell>
          <cell r="CA215">
            <v>-1832.803680080636</v>
          </cell>
          <cell r="CB215">
            <v>-1874.0232746794807</v>
          </cell>
          <cell r="CC215">
            <v>-1895.3768947719445</v>
          </cell>
          <cell r="CD215">
            <v>-7392.2545055048286</v>
          </cell>
        </row>
        <row r="216">
          <cell r="A216" t="str">
            <v>Interest expense</v>
          </cell>
          <cell r="G216">
            <v>-45</v>
          </cell>
          <cell r="L216">
            <v>-56</v>
          </cell>
          <cell r="Q216">
            <v>-79</v>
          </cell>
          <cell r="V216">
            <v>-104</v>
          </cell>
          <cell r="AA216">
            <v>-147</v>
          </cell>
          <cell r="AF216">
            <v>-154</v>
          </cell>
          <cell r="AK216">
            <v>-198</v>
          </cell>
          <cell r="AP216">
            <v>-245</v>
          </cell>
          <cell r="AQ216">
            <v>-64.808681249999992</v>
          </cell>
          <cell r="AR216">
            <v>-64.808681249999992</v>
          </cell>
          <cell r="AS216">
            <v>-64.808681249999992</v>
          </cell>
          <cell r="AT216">
            <v>-64.808681249999992</v>
          </cell>
          <cell r="AU216">
            <v>-259.23472499999997</v>
          </cell>
          <cell r="AV216">
            <v>-84.92910095691991</v>
          </cell>
          <cell r="AW216">
            <v>-84.92910095691991</v>
          </cell>
          <cell r="AX216">
            <v>-84.92910095691991</v>
          </cell>
          <cell r="AY216">
            <v>-84.92910095691991</v>
          </cell>
          <cell r="AZ216">
            <v>-339.71640382767964</v>
          </cell>
          <cell r="BA216">
            <v>-78.511295424375021</v>
          </cell>
          <cell r="BB216">
            <v>-78.511295424375021</v>
          </cell>
          <cell r="BC216">
            <v>-78.511295424375021</v>
          </cell>
          <cell r="BD216">
            <v>-78.511295424375021</v>
          </cell>
          <cell r="BE216">
            <v>-314.04518169750008</v>
          </cell>
          <cell r="BF216">
            <v>-74.014699513883514</v>
          </cell>
          <cell r="BG216">
            <v>-74.014699513883514</v>
          </cell>
          <cell r="BH216">
            <v>-74.014699513883514</v>
          </cell>
          <cell r="BI216">
            <v>-74.014699513883514</v>
          </cell>
          <cell r="BJ216">
            <v>-296.05879805553406</v>
          </cell>
          <cell r="BK216">
            <v>-73.758261678132882</v>
          </cell>
          <cell r="BL216">
            <v>-73.758261678132882</v>
          </cell>
          <cell r="BM216">
            <v>-73.758261678132882</v>
          </cell>
          <cell r="BN216">
            <v>-73.758261678132882</v>
          </cell>
          <cell r="BO216">
            <v>-295.03304671253153</v>
          </cell>
          <cell r="BP216">
            <v>-70.678487777121745</v>
          </cell>
          <cell r="BQ216">
            <v>-70.678487777121745</v>
          </cell>
          <cell r="BR216">
            <v>-70.678487777121745</v>
          </cell>
          <cell r="BS216">
            <v>-70.678487777121745</v>
          </cell>
          <cell r="BT216">
            <v>-282.71395110848698</v>
          </cell>
          <cell r="BU216">
            <v>-66.132079068302616</v>
          </cell>
          <cell r="BV216">
            <v>-66.132079068302616</v>
          </cell>
          <cell r="BW216">
            <v>-66.132079068302616</v>
          </cell>
          <cell r="BX216">
            <v>-66.132079068302616</v>
          </cell>
          <cell r="BY216">
            <v>-264.52831627321046</v>
          </cell>
          <cell r="BZ216">
            <v>-60.83441252324954</v>
          </cell>
          <cell r="CA216">
            <v>-60.83441252324954</v>
          </cell>
          <cell r="CB216">
            <v>-60.83441252324954</v>
          </cell>
          <cell r="CC216">
            <v>-60.83441252324954</v>
          </cell>
          <cell r="CD216">
            <v>-243.33765009299816</v>
          </cell>
        </row>
        <row r="217">
          <cell r="A217" t="str">
            <v>Earnings before taxation</v>
          </cell>
          <cell r="G217">
            <v>7062</v>
          </cell>
          <cell r="L217">
            <v>7007</v>
          </cell>
          <cell r="Q217">
            <v>7425</v>
          </cell>
          <cell r="V217">
            <v>9896</v>
          </cell>
          <cell r="AA217">
            <v>1</v>
          </cell>
          <cell r="AF217">
            <v>718</v>
          </cell>
          <cell r="AK217">
            <v>6139</v>
          </cell>
          <cell r="AP217">
            <v>444</v>
          </cell>
          <cell r="AQ217">
            <v>298.98986601779285</v>
          </cell>
          <cell r="AR217">
            <v>-3483.9122517459914</v>
          </cell>
          <cell r="AS217">
            <v>-675.51433432103261</v>
          </cell>
          <cell r="AT217">
            <v>-2278.5904355679736</v>
          </cell>
          <cell r="AU217">
            <v>-6139.6131353372193</v>
          </cell>
          <cell r="AV217">
            <v>-578.95778002398549</v>
          </cell>
          <cell r="AW217">
            <v>-273.83306779976851</v>
          </cell>
          <cell r="AX217">
            <v>-193.67614751432916</v>
          </cell>
          <cell r="AY217">
            <v>111.15564427811</v>
          </cell>
          <cell r="AZ217">
            <v>-935.31135105997305</v>
          </cell>
          <cell r="BA217">
            <v>291.37919557153714</v>
          </cell>
          <cell r="BB217">
            <v>300.16158541082245</v>
          </cell>
          <cell r="BC217">
            <v>307.49607914299895</v>
          </cell>
          <cell r="BD217">
            <v>290.81260623731305</v>
          </cell>
          <cell r="BE217">
            <v>1189.8494663626716</v>
          </cell>
          <cell r="BF217">
            <v>397.00906224715908</v>
          </cell>
          <cell r="BG217">
            <v>448.74415607048326</v>
          </cell>
          <cell r="BH217">
            <v>500.43446289111711</v>
          </cell>
          <cell r="BI217">
            <v>530.08784216210495</v>
          </cell>
          <cell r="BJ217">
            <v>1876.2755233708644</v>
          </cell>
          <cell r="BK217">
            <v>460.64592935092008</v>
          </cell>
          <cell r="BL217">
            <v>504.88193787936888</v>
          </cell>
          <cell r="BM217">
            <v>548.97678417183238</v>
          </cell>
          <cell r="BN217">
            <v>569.11088460288261</v>
          </cell>
          <cell r="BO217">
            <v>2083.6155360050038</v>
          </cell>
          <cell r="BP217">
            <v>528.48783310852627</v>
          </cell>
          <cell r="BQ217">
            <v>606.83237687690144</v>
          </cell>
          <cell r="BR217">
            <v>685.52128516668813</v>
          </cell>
          <cell r="BS217">
            <v>739.20235814039461</v>
          </cell>
          <cell r="BT217">
            <v>2560.04385329251</v>
          </cell>
          <cell r="BU217">
            <v>697.07199636456426</v>
          </cell>
          <cell r="BV217">
            <v>785.9699122787963</v>
          </cell>
          <cell r="BW217">
            <v>876.68169742901546</v>
          </cell>
          <cell r="BX217">
            <v>940.19138747567672</v>
          </cell>
          <cell r="BY217">
            <v>3299.9149935480527</v>
          </cell>
          <cell r="BZ217">
            <v>895.11571866665986</v>
          </cell>
          <cell r="CA217">
            <v>995.83007055695953</v>
          </cell>
          <cell r="CB217">
            <v>1097.7292459523492</v>
          </cell>
          <cell r="CC217">
            <v>1168.8373075248571</v>
          </cell>
          <cell r="CD217">
            <v>4157.5123427008257</v>
          </cell>
        </row>
        <row r="219">
          <cell r="A219" t="str">
            <v>Taxation</v>
          </cell>
          <cell r="G219">
            <v>-2054</v>
          </cell>
          <cell r="L219">
            <v>-1928</v>
          </cell>
          <cell r="Q219">
            <v>-1784</v>
          </cell>
          <cell r="V219">
            <v>-2688</v>
          </cell>
          <cell r="AA219">
            <v>1144</v>
          </cell>
          <cell r="AF219">
            <v>12</v>
          </cell>
          <cell r="AK219">
            <v>-1381</v>
          </cell>
          <cell r="AP219">
            <v>473</v>
          </cell>
          <cell r="AQ219">
            <v>11.068434652547211</v>
          </cell>
          <cell r="AR219">
            <v>1253.8381317918584</v>
          </cell>
          <cell r="AS219">
            <v>328.6572466233539</v>
          </cell>
          <cell r="AT219">
            <v>850.04932226945948</v>
          </cell>
          <cell r="AU219">
            <v>2443.6131353372193</v>
          </cell>
          <cell r="AV219">
            <v>287.66021218249443</v>
          </cell>
          <cell r="AW219">
            <v>186.44171974321199</v>
          </cell>
          <cell r="AX219">
            <v>160.60751518029645</v>
          </cell>
          <cell r="AY219">
            <v>59.919438688475623</v>
          </cell>
          <cell r="AZ219">
            <v>694.62888579447838</v>
          </cell>
          <cell r="BA219">
            <v>-12.911428491986229</v>
          </cell>
          <cell r="BB219">
            <v>-16.32295848915723</v>
          </cell>
          <cell r="BC219">
            <v>-18.291429435337008</v>
          </cell>
          <cell r="BD219">
            <v>-12.872595600167315</v>
          </cell>
          <cell r="BE219">
            <v>-60.398412016647796</v>
          </cell>
          <cell r="BF219">
            <v>-56.139150837821234</v>
          </cell>
          <cell r="BG219">
            <v>-73.658505479922354</v>
          </cell>
          <cell r="BH219">
            <v>-90.334102538256872</v>
          </cell>
          <cell r="BI219">
            <v>-100.17037337694453</v>
          </cell>
          <cell r="BJ219">
            <v>-320.30213223294493</v>
          </cell>
          <cell r="BK219">
            <v>-78.410923905138986</v>
          </cell>
          <cell r="BL219">
            <v>-92.951399117323206</v>
          </cell>
          <cell r="BM219">
            <v>-106.63671522846087</v>
          </cell>
          <cell r="BN219">
            <v>-112.82212763504488</v>
          </cell>
          <cell r="BO219">
            <v>-390.8211658859679</v>
          </cell>
          <cell r="BP219">
            <v>-100.25535105683403</v>
          </cell>
          <cell r="BQ219">
            <v>-125.8639137544431</v>
          </cell>
          <cell r="BR219">
            <v>-150.72415137260316</v>
          </cell>
          <cell r="BS219">
            <v>-167.71346815433839</v>
          </cell>
          <cell r="BT219">
            <v>-544.55688433821865</v>
          </cell>
          <cell r="BU219">
            <v>-155.05632429943086</v>
          </cell>
          <cell r="BV219">
            <v>-184.585539743467</v>
          </cell>
          <cell r="BW219">
            <v>-213.88502754578059</v>
          </cell>
          <cell r="BX219">
            <v>-234.59894985534694</v>
          </cell>
          <cell r="BY219">
            <v>-788.12584144402547</v>
          </cell>
          <cell r="BZ219">
            <v>-220.60949120178898</v>
          </cell>
          <cell r="CA219">
            <v>-253.87146745314638</v>
          </cell>
          <cell r="CB219">
            <v>-286.65183543838594</v>
          </cell>
          <cell r="CC219">
            <v>-309.62412876705952</v>
          </cell>
          <cell r="CD219">
            <v>-1070.7569228603809</v>
          </cell>
        </row>
        <row r="220">
          <cell r="A220" t="str">
            <v>Earnings after tax</v>
          </cell>
          <cell r="G220">
            <v>5008</v>
          </cell>
          <cell r="H220">
            <v>1264</v>
          </cell>
          <cell r="I220">
            <v>1314</v>
          </cell>
          <cell r="J220">
            <v>1562</v>
          </cell>
          <cell r="K220">
            <v>939</v>
          </cell>
          <cell r="L220">
            <v>5079</v>
          </cell>
          <cell r="M220">
            <v>1260</v>
          </cell>
          <cell r="N220">
            <v>1466</v>
          </cell>
          <cell r="O220">
            <v>1433</v>
          </cell>
          <cell r="P220">
            <v>1482</v>
          </cell>
          <cell r="Q220">
            <v>5641</v>
          </cell>
          <cell r="R220">
            <v>2100</v>
          </cell>
          <cell r="S220">
            <v>2689</v>
          </cell>
          <cell r="T220">
            <v>2570</v>
          </cell>
          <cell r="U220">
            <v>-151</v>
          </cell>
          <cell r="V220">
            <v>7208</v>
          </cell>
          <cell r="W220">
            <v>-348</v>
          </cell>
          <cell r="X220">
            <v>689</v>
          </cell>
          <cell r="Y220">
            <v>148</v>
          </cell>
          <cell r="Z220">
            <v>656</v>
          </cell>
          <cell r="AA220">
            <v>1145</v>
          </cell>
          <cell r="AB220">
            <v>932</v>
          </cell>
          <cell r="AC220">
            <v>333</v>
          </cell>
          <cell r="AD220">
            <v>-567</v>
          </cell>
          <cell r="AE220">
            <v>32</v>
          </cell>
          <cell r="AF220">
            <v>730</v>
          </cell>
          <cell r="AG220">
            <v>1904</v>
          </cell>
          <cell r="AH220">
            <v>1200</v>
          </cell>
          <cell r="AI220">
            <v>684</v>
          </cell>
          <cell r="AJ220">
            <v>970</v>
          </cell>
          <cell r="AK220">
            <v>4758</v>
          </cell>
          <cell r="AL220">
            <v>1141</v>
          </cell>
          <cell r="AM220">
            <v>-86</v>
          </cell>
          <cell r="AN220">
            <v>-541</v>
          </cell>
          <cell r="AO220">
            <v>403</v>
          </cell>
          <cell r="AP220">
            <v>917</v>
          </cell>
          <cell r="AQ220">
            <v>310</v>
          </cell>
          <cell r="AR220">
            <v>-2230</v>
          </cell>
          <cell r="AS220">
            <v>-347</v>
          </cell>
          <cell r="AT220">
            <v>-1429</v>
          </cell>
          <cell r="AU220">
            <v>-3696</v>
          </cell>
          <cell r="AV220">
            <v>-291.29756784149106</v>
          </cell>
          <cell r="AW220">
            <v>-87.391348056556524</v>
          </cell>
          <cell r="AX220">
            <v>-33.068632334032714</v>
          </cell>
          <cell r="AY220">
            <v>171.07508296658563</v>
          </cell>
          <cell r="AZ220">
            <v>-240.68246526549467</v>
          </cell>
          <cell r="BA220">
            <v>278.46776707955092</v>
          </cell>
          <cell r="BB220">
            <v>283.8386269216652</v>
          </cell>
          <cell r="BC220">
            <v>289.20464970766193</v>
          </cell>
          <cell r="BD220">
            <v>277.94001063714575</v>
          </cell>
          <cell r="BE220">
            <v>1129.4510543460237</v>
          </cell>
          <cell r="BF220">
            <v>340.86991140933787</v>
          </cell>
          <cell r="BG220">
            <v>375.08565059056093</v>
          </cell>
          <cell r="BH220">
            <v>410.10036035286021</v>
          </cell>
          <cell r="BI220">
            <v>429.91746878516039</v>
          </cell>
          <cell r="BJ220">
            <v>1555.9733911379194</v>
          </cell>
          <cell r="BK220">
            <v>382.2350054457811</v>
          </cell>
          <cell r="BL220">
            <v>411.93053876204567</v>
          </cell>
          <cell r="BM220">
            <v>442.34006894337153</v>
          </cell>
          <cell r="BN220">
            <v>456.28875696783774</v>
          </cell>
          <cell r="BO220">
            <v>1692.7943701190361</v>
          </cell>
          <cell r="BP220">
            <v>428.23248205169227</v>
          </cell>
          <cell r="BQ220">
            <v>480.96846312245833</v>
          </cell>
          <cell r="BR220">
            <v>534.79713379408497</v>
          </cell>
          <cell r="BS220">
            <v>571.48888998605617</v>
          </cell>
          <cell r="BT220">
            <v>2015.4869689542916</v>
          </cell>
          <cell r="BU220">
            <v>542.01567206513346</v>
          </cell>
          <cell r="BV220">
            <v>601.38437253532925</v>
          </cell>
          <cell r="BW220">
            <v>662.79666988323493</v>
          </cell>
          <cell r="BX220">
            <v>705.59243762032975</v>
          </cell>
          <cell r="BY220">
            <v>2511.7891521040274</v>
          </cell>
          <cell r="BZ220">
            <v>674.5062274648709</v>
          </cell>
          <cell r="CA220">
            <v>741.95860310381318</v>
          </cell>
          <cell r="CB220">
            <v>811.07741051396329</v>
          </cell>
          <cell r="CC220">
            <v>859.21317875779755</v>
          </cell>
          <cell r="CD220">
            <v>3086.755419840445</v>
          </cell>
        </row>
        <row r="222">
          <cell r="A222" t="str">
            <v>Identified items</v>
          </cell>
          <cell r="H222">
            <v>-5</v>
          </cell>
          <cell r="I222">
            <v>157</v>
          </cell>
          <cell r="J222">
            <v>0</v>
          </cell>
          <cell r="K222">
            <v>-2</v>
          </cell>
          <cell r="L222">
            <v>150</v>
          </cell>
          <cell r="M222">
            <v>110</v>
          </cell>
          <cell r="N222">
            <v>245</v>
          </cell>
          <cell r="O222">
            <v>66</v>
          </cell>
          <cell r="P222">
            <v>167</v>
          </cell>
          <cell r="Q222">
            <v>588</v>
          </cell>
          <cell r="R222">
            <v>84</v>
          </cell>
          <cell r="S222">
            <v>-8</v>
          </cell>
          <cell r="T222">
            <v>505</v>
          </cell>
          <cell r="U222">
            <v>27</v>
          </cell>
          <cell r="V222">
            <v>608</v>
          </cell>
          <cell r="W222">
            <v>-65</v>
          </cell>
          <cell r="X222">
            <v>204</v>
          </cell>
          <cell r="Y222">
            <v>-203</v>
          </cell>
          <cell r="Z222">
            <v>139</v>
          </cell>
          <cell r="AA222">
            <v>75</v>
          </cell>
          <cell r="AB222">
            <v>144</v>
          </cell>
          <cell r="AC222">
            <v>42</v>
          </cell>
          <cell r="AD222">
            <v>-1178</v>
          </cell>
          <cell r="AE222">
            <v>-231</v>
          </cell>
          <cell r="AF222">
            <v>-1223</v>
          </cell>
          <cell r="AG222">
            <v>1099</v>
          </cell>
          <cell r="AH222">
            <v>47</v>
          </cell>
          <cell r="AI222">
            <v>-48</v>
          </cell>
          <cell r="AJ222">
            <v>312</v>
          </cell>
          <cell r="AK222">
            <v>1410</v>
          </cell>
          <cell r="AL222">
            <v>517</v>
          </cell>
          <cell r="AM222">
            <v>-145</v>
          </cell>
          <cell r="AN222">
            <v>-439</v>
          </cell>
          <cell r="AO222">
            <v>472</v>
          </cell>
          <cell r="AP222">
            <v>405</v>
          </cell>
          <cell r="AQ222">
            <v>-53</v>
          </cell>
          <cell r="AR222">
            <v>-1933</v>
          </cell>
          <cell r="AS222">
            <v>-163</v>
          </cell>
          <cell r="AT222">
            <v>-647</v>
          </cell>
          <cell r="AU222">
            <v>-2796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  <cell r="BC222">
            <v>0</v>
          </cell>
          <cell r="BD222">
            <v>0</v>
          </cell>
          <cell r="BE222">
            <v>0</v>
          </cell>
          <cell r="BF222">
            <v>0</v>
          </cell>
          <cell r="BG222">
            <v>0</v>
          </cell>
          <cell r="BH222">
            <v>0</v>
          </cell>
          <cell r="BI222">
            <v>0</v>
          </cell>
          <cell r="BJ222">
            <v>0</v>
          </cell>
          <cell r="BK222">
            <v>0</v>
          </cell>
          <cell r="BL222">
            <v>0</v>
          </cell>
          <cell r="BM222">
            <v>0</v>
          </cell>
          <cell r="BN222">
            <v>0</v>
          </cell>
          <cell r="BO222">
            <v>0</v>
          </cell>
          <cell r="BP222">
            <v>0</v>
          </cell>
          <cell r="BQ222">
            <v>0</v>
          </cell>
          <cell r="BR222">
            <v>0</v>
          </cell>
          <cell r="BS222">
            <v>0</v>
          </cell>
          <cell r="BT222">
            <v>0</v>
          </cell>
          <cell r="BU222">
            <v>0</v>
          </cell>
          <cell r="BV222">
            <v>0</v>
          </cell>
          <cell r="BW222">
            <v>0</v>
          </cell>
          <cell r="BX222">
            <v>0</v>
          </cell>
          <cell r="BY222">
            <v>0</v>
          </cell>
          <cell r="BZ222">
            <v>0</v>
          </cell>
          <cell r="CA222">
            <v>0</v>
          </cell>
          <cell r="CB222">
            <v>0</v>
          </cell>
          <cell r="CC222">
            <v>0</v>
          </cell>
          <cell r="CD222">
            <v>0</v>
          </cell>
        </row>
        <row r="223">
          <cell r="A223" t="str">
            <v>Earnings excluding identified items</v>
          </cell>
          <cell r="H223">
            <v>1269</v>
          </cell>
          <cell r="I223">
            <v>1157</v>
          </cell>
          <cell r="J223">
            <v>1562</v>
          </cell>
          <cell r="K223">
            <v>941</v>
          </cell>
          <cell r="L223">
            <v>4929</v>
          </cell>
          <cell r="M223">
            <v>1150</v>
          </cell>
          <cell r="N223">
            <v>1221</v>
          </cell>
          <cell r="O223">
            <v>1367</v>
          </cell>
          <cell r="P223">
            <v>1315</v>
          </cell>
          <cell r="Q223">
            <v>5053</v>
          </cell>
          <cell r="R223">
            <v>2016</v>
          </cell>
          <cell r="S223">
            <v>2697</v>
          </cell>
          <cell r="T223">
            <v>2065</v>
          </cell>
          <cell r="U223">
            <v>-178</v>
          </cell>
          <cell r="V223">
            <v>6600</v>
          </cell>
          <cell r="W223">
            <v>-283</v>
          </cell>
          <cell r="X223">
            <v>485</v>
          </cell>
          <cell r="Y223">
            <v>351</v>
          </cell>
          <cell r="Z223">
            <v>517</v>
          </cell>
          <cell r="AA223">
            <v>1070</v>
          </cell>
          <cell r="AB223">
            <v>788</v>
          </cell>
          <cell r="AC223">
            <v>291</v>
          </cell>
          <cell r="AD223">
            <v>611</v>
          </cell>
          <cell r="AE223">
            <v>263</v>
          </cell>
          <cell r="AF223">
            <v>1953</v>
          </cell>
          <cell r="AG223">
            <v>805</v>
          </cell>
          <cell r="AH223">
            <v>1153</v>
          </cell>
          <cell r="AI223">
            <v>732</v>
          </cell>
          <cell r="AJ223">
            <v>658</v>
          </cell>
          <cell r="AK223">
            <v>3348</v>
          </cell>
          <cell r="AL223">
            <v>624</v>
          </cell>
          <cell r="AM223">
            <v>59</v>
          </cell>
          <cell r="AN223">
            <v>-102</v>
          </cell>
          <cell r="AO223">
            <v>-69</v>
          </cell>
          <cell r="AP223">
            <v>512</v>
          </cell>
          <cell r="AQ223">
            <v>363</v>
          </cell>
          <cell r="AR223">
            <v>-297</v>
          </cell>
          <cell r="AS223">
            <v>-184</v>
          </cell>
          <cell r="AT223">
            <v>-782</v>
          </cell>
          <cell r="AU223">
            <v>-900</v>
          </cell>
          <cell r="AV223">
            <v>-291.29756784149106</v>
          </cell>
          <cell r="AW223">
            <v>-87.391348056556524</v>
          </cell>
          <cell r="AX223">
            <v>-33.068632334032714</v>
          </cell>
          <cell r="AY223">
            <v>171.07508296658563</v>
          </cell>
          <cell r="AZ223">
            <v>-240.68246526549467</v>
          </cell>
          <cell r="BA223">
            <v>278.46776707955092</v>
          </cell>
          <cell r="BB223">
            <v>283.8386269216652</v>
          </cell>
          <cell r="BC223">
            <v>289.20464970766193</v>
          </cell>
          <cell r="BD223">
            <v>277.94001063714575</v>
          </cell>
          <cell r="BE223">
            <v>1129.4510543460237</v>
          </cell>
          <cell r="BF223">
            <v>340.86991140933787</v>
          </cell>
          <cell r="BG223">
            <v>375.08565059056093</v>
          </cell>
          <cell r="BH223">
            <v>410.10036035286021</v>
          </cell>
          <cell r="BI223">
            <v>429.91746878516039</v>
          </cell>
          <cell r="BJ223">
            <v>1555.9733911379194</v>
          </cell>
          <cell r="BK223">
            <v>382.2350054457811</v>
          </cell>
          <cell r="BL223">
            <v>411.93053876204567</v>
          </cell>
          <cell r="BM223">
            <v>442.34006894337153</v>
          </cell>
          <cell r="BN223">
            <v>456.28875696783774</v>
          </cell>
          <cell r="BO223">
            <v>1692.7943701190361</v>
          </cell>
          <cell r="BP223">
            <v>428.23248205169227</v>
          </cell>
          <cell r="BQ223">
            <v>480.96846312245833</v>
          </cell>
          <cell r="BR223">
            <v>534.79713379408497</v>
          </cell>
          <cell r="BS223">
            <v>571.48888998605617</v>
          </cell>
          <cell r="BT223">
            <v>2015.4869689542916</v>
          </cell>
          <cell r="BU223">
            <v>542.01567206513346</v>
          </cell>
          <cell r="BV223">
            <v>601.38437253532925</v>
          </cell>
          <cell r="BW223">
            <v>662.79666988323493</v>
          </cell>
          <cell r="BX223">
            <v>705.59243762032975</v>
          </cell>
          <cell r="BY223">
            <v>2511.7891521040274</v>
          </cell>
          <cell r="BZ223">
            <v>674.5062274648709</v>
          </cell>
          <cell r="CA223">
            <v>741.95860310381318</v>
          </cell>
          <cell r="CB223">
            <v>811.07741051396329</v>
          </cell>
          <cell r="CC223">
            <v>859.21317875779755</v>
          </cell>
          <cell r="CD223">
            <v>3086.755419840445</v>
          </cell>
        </row>
        <row r="225">
          <cell r="A225" t="str">
            <v>Revenue</v>
          </cell>
        </row>
        <row r="226">
          <cell r="B226" t="str">
            <v>From oil and gas operations (FAS69)</v>
          </cell>
          <cell r="G226">
            <v>10714</v>
          </cell>
          <cell r="L226">
            <v>11560</v>
          </cell>
          <cell r="Q226">
            <v>11900</v>
          </cell>
          <cell r="V226">
            <v>14008</v>
          </cell>
          <cell r="AA226">
            <v>10116</v>
          </cell>
          <cell r="AF226">
            <v>12765</v>
          </cell>
          <cell r="AK226">
            <v>16103</v>
          </cell>
          <cell r="AP226">
            <v>15583</v>
          </cell>
          <cell r="AQ226">
            <v>4212.8088910522565</v>
          </cell>
          <cell r="AR226">
            <v>3953.2329247484736</v>
          </cell>
          <cell r="AS226">
            <v>4172.0454354049871</v>
          </cell>
          <cell r="AT226">
            <v>3755.9342104276848</v>
          </cell>
          <cell r="AU226">
            <v>16094.021461633401</v>
          </cell>
          <cell r="AV226">
            <v>4161.2918897216177</v>
          </cell>
          <cell r="AW226">
            <v>4377.7687225044665</v>
          </cell>
          <cell r="AX226">
            <v>4588.5632869160672</v>
          </cell>
          <cell r="AY226">
            <v>4751.250502728717</v>
          </cell>
          <cell r="AZ226">
            <v>17878.874401870871</v>
          </cell>
          <cell r="BA226">
            <v>4462.465917490671</v>
          </cell>
          <cell r="BB226">
            <v>4478.6202918338295</v>
          </cell>
          <cell r="BC226">
            <v>4485.4318944748275</v>
          </cell>
          <cell r="BD226">
            <v>4443.0278895132569</v>
          </cell>
          <cell r="BE226">
            <v>17869.545993312582</v>
          </cell>
          <cell r="BF226">
            <v>4236.1788089382171</v>
          </cell>
          <cell r="BG226">
            <v>4395.3369123017883</v>
          </cell>
          <cell r="BH226">
            <v>4548.893529762021</v>
          </cell>
          <cell r="BI226">
            <v>4654.1497415925623</v>
          </cell>
          <cell r="BJ226">
            <v>17834.55899259459</v>
          </cell>
          <cell r="BK226">
            <v>4563.8773374408584</v>
          </cell>
          <cell r="BL226">
            <v>4641.6390758585667</v>
          </cell>
          <cell r="BM226">
            <v>4711.8296788941798</v>
          </cell>
          <cell r="BN226">
            <v>4730.9688666193351</v>
          </cell>
          <cell r="BO226">
            <v>18648.314958812942</v>
          </cell>
          <cell r="BP226">
            <v>4689.107708719429</v>
          </cell>
          <cell r="BQ226">
            <v>4820.1626290321392</v>
          </cell>
          <cell r="BR226">
            <v>4945.3742834454415</v>
          </cell>
          <cell r="BS226">
            <v>5018.4002686558078</v>
          </cell>
          <cell r="BT226">
            <v>19473.044889852816</v>
          </cell>
          <cell r="BU226">
            <v>5018.1183980903597</v>
          </cell>
          <cell r="BV226">
            <v>5202.2057670075301</v>
          </cell>
          <cell r="BW226">
            <v>5381.8531352342761</v>
          </cell>
          <cell r="BX226">
            <v>5505.6783350170444</v>
          </cell>
          <cell r="BY226">
            <v>21107.855635349213</v>
          </cell>
          <cell r="BZ226">
            <v>5489.6795970156854</v>
          </cell>
          <cell r="CA226">
            <v>5674.2842678852903</v>
          </cell>
          <cell r="CB226">
            <v>5854.074766427756</v>
          </cell>
          <cell r="CC226">
            <v>5972.8292886125737</v>
          </cell>
          <cell r="CD226">
            <v>22990.867919941305</v>
          </cell>
        </row>
        <row r="227">
          <cell r="B227" t="str">
            <v xml:space="preserve">Other Upstream </v>
          </cell>
          <cell r="G227">
            <v>8098</v>
          </cell>
          <cell r="L227">
            <v>6635</v>
          </cell>
          <cell r="Q227">
            <v>7380</v>
          </cell>
          <cell r="V227">
            <v>10038</v>
          </cell>
          <cell r="AA227">
            <v>2688</v>
          </cell>
          <cell r="AF227">
            <v>3211</v>
          </cell>
          <cell r="AK227">
            <v>4749</v>
          </cell>
          <cell r="AP227">
            <v>2531</v>
          </cell>
          <cell r="AQ227">
            <v>750</v>
          </cell>
          <cell r="AR227">
            <v>750</v>
          </cell>
          <cell r="AS227">
            <v>750</v>
          </cell>
          <cell r="AT227">
            <v>750</v>
          </cell>
          <cell r="AU227">
            <v>3000</v>
          </cell>
          <cell r="AV227">
            <v>750</v>
          </cell>
          <cell r="AW227">
            <v>750</v>
          </cell>
          <cell r="AX227">
            <v>750</v>
          </cell>
          <cell r="AY227">
            <v>750</v>
          </cell>
          <cell r="AZ227">
            <v>3000</v>
          </cell>
          <cell r="BA227">
            <v>750</v>
          </cell>
          <cell r="BB227">
            <v>750</v>
          </cell>
          <cell r="BC227">
            <v>750</v>
          </cell>
          <cell r="BD227">
            <v>750</v>
          </cell>
          <cell r="BE227">
            <v>3000</v>
          </cell>
          <cell r="BF227">
            <v>750</v>
          </cell>
          <cell r="BG227">
            <v>750</v>
          </cell>
          <cell r="BH227">
            <v>750</v>
          </cell>
          <cell r="BI227">
            <v>750</v>
          </cell>
          <cell r="BJ227">
            <v>3000</v>
          </cell>
          <cell r="BK227">
            <v>750</v>
          </cell>
          <cell r="BL227">
            <v>750</v>
          </cell>
          <cell r="BM227">
            <v>750</v>
          </cell>
          <cell r="BN227">
            <v>750</v>
          </cell>
          <cell r="BO227">
            <v>3000</v>
          </cell>
          <cell r="BP227">
            <v>750</v>
          </cell>
          <cell r="BQ227">
            <v>750</v>
          </cell>
          <cell r="BR227">
            <v>750</v>
          </cell>
          <cell r="BS227">
            <v>750</v>
          </cell>
          <cell r="BT227">
            <v>3000</v>
          </cell>
          <cell r="BU227">
            <v>750</v>
          </cell>
          <cell r="BV227">
            <v>750</v>
          </cell>
          <cell r="BW227">
            <v>750</v>
          </cell>
          <cell r="BX227">
            <v>750</v>
          </cell>
          <cell r="BY227">
            <v>3000</v>
          </cell>
          <cell r="BZ227">
            <v>750</v>
          </cell>
          <cell r="CA227">
            <v>750</v>
          </cell>
          <cell r="CB227">
            <v>750</v>
          </cell>
          <cell r="CC227">
            <v>750</v>
          </cell>
          <cell r="CD227">
            <v>3000</v>
          </cell>
        </row>
        <row r="228">
          <cell r="B228" t="str">
            <v>Repsol LNG assets</v>
          </cell>
          <cell r="G228">
            <v>0</v>
          </cell>
          <cell r="L228">
            <v>0</v>
          </cell>
          <cell r="Q228">
            <v>0</v>
          </cell>
          <cell r="V228">
            <v>0</v>
          </cell>
          <cell r="AA228">
            <v>0</v>
          </cell>
          <cell r="AF228">
            <v>0</v>
          </cell>
          <cell r="AK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125</v>
          </cell>
          <cell r="AW228">
            <v>250</v>
          </cell>
          <cell r="AX228">
            <v>250</v>
          </cell>
          <cell r="AY228">
            <v>250</v>
          </cell>
          <cell r="AZ228">
            <v>875</v>
          </cell>
          <cell r="BA228">
            <v>250</v>
          </cell>
          <cell r="BB228">
            <v>250</v>
          </cell>
          <cell r="BC228">
            <v>250</v>
          </cell>
          <cell r="BD228">
            <v>250</v>
          </cell>
          <cell r="BE228">
            <v>1000</v>
          </cell>
          <cell r="BF228">
            <v>250</v>
          </cell>
          <cell r="BG228">
            <v>250</v>
          </cell>
          <cell r="BH228">
            <v>250</v>
          </cell>
          <cell r="BI228">
            <v>250</v>
          </cell>
          <cell r="BJ228">
            <v>1000</v>
          </cell>
          <cell r="BK228">
            <v>250</v>
          </cell>
          <cell r="BL228">
            <v>250</v>
          </cell>
          <cell r="BM228">
            <v>250</v>
          </cell>
          <cell r="BN228">
            <v>250</v>
          </cell>
          <cell r="BO228">
            <v>1000</v>
          </cell>
          <cell r="BP228">
            <v>250</v>
          </cell>
          <cell r="BQ228">
            <v>250</v>
          </cell>
          <cell r="BR228">
            <v>250</v>
          </cell>
          <cell r="BS228">
            <v>250</v>
          </cell>
          <cell r="BT228">
            <v>1000</v>
          </cell>
          <cell r="BU228">
            <v>250</v>
          </cell>
          <cell r="BV228">
            <v>250</v>
          </cell>
          <cell r="BW228">
            <v>250</v>
          </cell>
          <cell r="BX228">
            <v>250</v>
          </cell>
          <cell r="BY228">
            <v>1000</v>
          </cell>
          <cell r="BZ228">
            <v>250</v>
          </cell>
          <cell r="CA228">
            <v>250</v>
          </cell>
          <cell r="CB228">
            <v>250</v>
          </cell>
          <cell r="CC228">
            <v>250</v>
          </cell>
          <cell r="CD228">
            <v>1000</v>
          </cell>
        </row>
        <row r="230">
          <cell r="A230" t="str">
            <v>Share of profit of equity accounted investments</v>
          </cell>
        </row>
        <row r="231">
          <cell r="B231" t="str">
            <v>From oil and gas operations (FAS69)</v>
          </cell>
          <cell r="G231">
            <v>729</v>
          </cell>
          <cell r="L231">
            <v>925</v>
          </cell>
          <cell r="Q231">
            <v>1081</v>
          </cell>
          <cell r="V231">
            <v>1449</v>
          </cell>
          <cell r="AA231">
            <v>564</v>
          </cell>
          <cell r="AF231">
            <v>818</v>
          </cell>
          <cell r="AK231">
            <v>1342</v>
          </cell>
          <cell r="AP231">
            <v>1018</v>
          </cell>
          <cell r="AQ231">
            <v>307.59203662756261</v>
          </cell>
          <cell r="AR231">
            <v>291.12764165168926</v>
          </cell>
          <cell r="AS231">
            <v>306.98600248126166</v>
          </cell>
          <cell r="AT231">
            <v>263.81208358737035</v>
          </cell>
          <cell r="AU231">
            <v>1169.5177643478837</v>
          </cell>
          <cell r="AV231">
            <v>269.15852525812625</v>
          </cell>
          <cell r="AW231">
            <v>268.62793397138989</v>
          </cell>
          <cell r="AX231">
            <v>271.59392745308799</v>
          </cell>
          <cell r="AY231">
            <v>271.60796561641905</v>
          </cell>
          <cell r="AZ231">
            <v>1080.9883522990226</v>
          </cell>
          <cell r="BA231">
            <v>226.44565615097281</v>
          </cell>
          <cell r="BB231">
            <v>225.97391132465725</v>
          </cell>
          <cell r="BC231">
            <v>228.44311282851908</v>
          </cell>
          <cell r="BD231">
            <v>228.4290845376045</v>
          </cell>
          <cell r="BE231">
            <v>909.29176484175355</v>
          </cell>
          <cell r="BF231">
            <v>195.62536961959771</v>
          </cell>
          <cell r="BG231">
            <v>195.22388214744751</v>
          </cell>
          <cell r="BH231">
            <v>197.36403384708331</v>
          </cell>
          <cell r="BI231">
            <v>197.3588681604835</v>
          </cell>
          <cell r="BJ231">
            <v>785.57215377461216</v>
          </cell>
          <cell r="BK231">
            <v>191.28181166246009</v>
          </cell>
          <cell r="BL231">
            <v>193.44459258883381</v>
          </cell>
          <cell r="BM231">
            <v>198.16465179424961</v>
          </cell>
          <cell r="BN231">
            <v>200.77468054323234</v>
          </cell>
          <cell r="BO231">
            <v>783.66573658877621</v>
          </cell>
          <cell r="BP231">
            <v>194.66945864202563</v>
          </cell>
          <cell r="BQ231">
            <v>196.88168004711144</v>
          </cell>
          <cell r="BR231">
            <v>201.69662409637596</v>
          </cell>
          <cell r="BS231">
            <v>204.36435495680644</v>
          </cell>
          <cell r="BT231">
            <v>797.6121177423197</v>
          </cell>
          <cell r="BU231">
            <v>198.23670811685048</v>
          </cell>
          <cell r="BV231">
            <v>200.50982940532504</v>
          </cell>
          <cell r="BW231">
            <v>205.43369712577231</v>
          </cell>
          <cell r="BX231">
            <v>208.17082169945758</v>
          </cell>
          <cell r="BY231">
            <v>812.35105634740535</v>
          </cell>
          <cell r="BZ231">
            <v>202.01376567793704</v>
          </cell>
          <cell r="CA231">
            <v>204.34282599267789</v>
          </cell>
          <cell r="CB231">
            <v>209.37333248850726</v>
          </cell>
          <cell r="CC231">
            <v>212.17547026268016</v>
          </cell>
          <cell r="CD231">
            <v>827.90539442180261</v>
          </cell>
        </row>
        <row r="232">
          <cell r="B232" t="str">
            <v xml:space="preserve">Other Upstream </v>
          </cell>
          <cell r="G232">
            <v>-74</v>
          </cell>
          <cell r="L232">
            <v>65</v>
          </cell>
          <cell r="Q232">
            <v>89</v>
          </cell>
          <cell r="V232">
            <v>-8</v>
          </cell>
          <cell r="AA232">
            <v>80</v>
          </cell>
          <cell r="AF232">
            <v>96</v>
          </cell>
          <cell r="AK232">
            <v>26</v>
          </cell>
          <cell r="AP232">
            <v>105</v>
          </cell>
          <cell r="AQ232">
            <v>25</v>
          </cell>
          <cell r="AR232">
            <v>25</v>
          </cell>
          <cell r="AS232">
            <v>25</v>
          </cell>
          <cell r="AT232">
            <v>25</v>
          </cell>
          <cell r="AU232">
            <v>100</v>
          </cell>
          <cell r="AV232">
            <v>25</v>
          </cell>
          <cell r="AW232">
            <v>25</v>
          </cell>
          <cell r="AX232">
            <v>25</v>
          </cell>
          <cell r="AY232">
            <v>25</v>
          </cell>
          <cell r="AZ232">
            <v>100</v>
          </cell>
          <cell r="BA232">
            <v>25</v>
          </cell>
          <cell r="BB232">
            <v>25</v>
          </cell>
          <cell r="BC232">
            <v>25</v>
          </cell>
          <cell r="BD232">
            <v>25</v>
          </cell>
          <cell r="BE232">
            <v>100</v>
          </cell>
          <cell r="BF232">
            <v>25</v>
          </cell>
          <cell r="BG232">
            <v>25</v>
          </cell>
          <cell r="BH232">
            <v>25</v>
          </cell>
          <cell r="BI232">
            <v>25</v>
          </cell>
          <cell r="BJ232">
            <v>100</v>
          </cell>
          <cell r="BK232">
            <v>25</v>
          </cell>
          <cell r="BL232">
            <v>25</v>
          </cell>
          <cell r="BM232">
            <v>25</v>
          </cell>
          <cell r="BN232">
            <v>25</v>
          </cell>
          <cell r="BO232">
            <v>100</v>
          </cell>
          <cell r="BP232">
            <v>25</v>
          </cell>
          <cell r="BQ232">
            <v>25</v>
          </cell>
          <cell r="BR232">
            <v>25</v>
          </cell>
          <cell r="BS232">
            <v>25</v>
          </cell>
          <cell r="BT232">
            <v>100</v>
          </cell>
          <cell r="BU232">
            <v>25</v>
          </cell>
          <cell r="BV232">
            <v>25</v>
          </cell>
          <cell r="BW232">
            <v>25</v>
          </cell>
          <cell r="BX232">
            <v>25</v>
          </cell>
          <cell r="BY232">
            <v>100</v>
          </cell>
          <cell r="BZ232">
            <v>25</v>
          </cell>
          <cell r="CA232">
            <v>25</v>
          </cell>
          <cell r="CB232">
            <v>25</v>
          </cell>
          <cell r="CC232">
            <v>25</v>
          </cell>
          <cell r="CD232">
            <v>100</v>
          </cell>
        </row>
        <row r="234">
          <cell r="A234" t="str">
            <v>Production and manufacturing expenses</v>
          </cell>
        </row>
        <row r="235">
          <cell r="B235" t="str">
            <v>From oil and gas operations (FAS69)</v>
          </cell>
          <cell r="G235">
            <v>1471</v>
          </cell>
          <cell r="L235">
            <v>1906</v>
          </cell>
          <cell r="Q235">
            <v>2055</v>
          </cell>
          <cell r="V235">
            <v>2205</v>
          </cell>
          <cell r="AA235">
            <v>3813</v>
          </cell>
          <cell r="AF235">
            <v>4166</v>
          </cell>
          <cell r="AK235">
            <v>5234</v>
          </cell>
          <cell r="AP235">
            <v>5727</v>
          </cell>
          <cell r="AQ235">
            <v>1519.4816099818468</v>
          </cell>
          <cell r="AR235">
            <v>1392.410909376692</v>
          </cell>
          <cell r="AS235">
            <v>1399.9843543105326</v>
          </cell>
          <cell r="AT235">
            <v>1417.6627958372803</v>
          </cell>
          <cell r="AU235">
            <v>5729.5396695063519</v>
          </cell>
          <cell r="AV235">
            <v>1518.8209472011881</v>
          </cell>
          <cell r="AW235">
            <v>1574.6780598371843</v>
          </cell>
          <cell r="AX235">
            <v>1629.302083766609</v>
          </cell>
          <cell r="AY235">
            <v>1675.208918683601</v>
          </cell>
          <cell r="AZ235">
            <v>6398.010009488582</v>
          </cell>
          <cell r="BA235">
            <v>1762.9630744520236</v>
          </cell>
          <cell r="BB235">
            <v>1768.2833831397029</v>
          </cell>
          <cell r="BC235">
            <v>1771.3544406677352</v>
          </cell>
          <cell r="BD235">
            <v>1764.993835559181</v>
          </cell>
          <cell r="BE235">
            <v>7067.5947338186434</v>
          </cell>
          <cell r="BF235">
            <v>1835.4831824555856</v>
          </cell>
          <cell r="BG235">
            <v>1885.8087791928094</v>
          </cell>
          <cell r="BH235">
            <v>1934.559340096695</v>
          </cell>
          <cell r="BI235">
            <v>1973.4565028933328</v>
          </cell>
          <cell r="BJ235">
            <v>7629.3078046384217</v>
          </cell>
          <cell r="BK235">
            <v>2009.3971243079955</v>
          </cell>
          <cell r="BL235">
            <v>2031.2123132883571</v>
          </cell>
          <cell r="BM235">
            <v>2050.5705787269826</v>
          </cell>
          <cell r="BN235">
            <v>2059.8297998140883</v>
          </cell>
          <cell r="BO235">
            <v>8151.0098161374226</v>
          </cell>
          <cell r="BP235">
            <v>2098.1179010298661</v>
          </cell>
          <cell r="BQ235">
            <v>2119.213502410571</v>
          </cell>
          <cell r="BR235">
            <v>2138.595589281786</v>
          </cell>
          <cell r="BS235">
            <v>2147.6856041059013</v>
          </cell>
          <cell r="BT235">
            <v>8503.6125968281249</v>
          </cell>
          <cell r="BU235">
            <v>2216.1555304402573</v>
          </cell>
          <cell r="BV235">
            <v>2268.1528888514231</v>
          </cell>
          <cell r="BW235">
            <v>2318.1605858797175</v>
          </cell>
          <cell r="BX235">
            <v>2357.0881997701067</v>
          </cell>
          <cell r="BY235">
            <v>9159.5572049415041</v>
          </cell>
          <cell r="BZ235">
            <v>2415.1846145621262</v>
          </cell>
          <cell r="CA235">
            <v>2453.6323294505705</v>
          </cell>
          <cell r="CB235">
            <v>2490.2545791704306</v>
          </cell>
          <cell r="CC235">
            <v>2515.0009706391211</v>
          </cell>
          <cell r="CD235">
            <v>9874.0724938222484</v>
          </cell>
        </row>
        <row r="236">
          <cell r="B236" t="str">
            <v xml:space="preserve">Other Upstream </v>
          </cell>
          <cell r="G236">
            <v>1921</v>
          </cell>
          <cell r="L236">
            <v>1977</v>
          </cell>
          <cell r="Q236">
            <v>2438</v>
          </cell>
          <cell r="V236">
            <v>3367</v>
          </cell>
          <cell r="AA236">
            <v>1601</v>
          </cell>
          <cell r="AF236">
            <v>1376</v>
          </cell>
          <cell r="AK236">
            <v>1256</v>
          </cell>
          <cell r="AP236">
            <v>1681</v>
          </cell>
          <cell r="AQ236">
            <v>801</v>
          </cell>
          <cell r="AR236">
            <v>4289</v>
          </cell>
          <cell r="AS236">
            <v>1314</v>
          </cell>
          <cell r="AT236">
            <v>2452</v>
          </cell>
          <cell r="AU236">
            <v>8856</v>
          </cell>
          <cell r="AV236">
            <v>1600</v>
          </cell>
          <cell r="AW236">
            <v>1500</v>
          </cell>
          <cell r="AX236">
            <v>1500</v>
          </cell>
          <cell r="AY236">
            <v>1250</v>
          </cell>
          <cell r="AZ236">
            <v>5850</v>
          </cell>
          <cell r="BA236">
            <v>750</v>
          </cell>
          <cell r="BB236">
            <v>750</v>
          </cell>
          <cell r="BC236">
            <v>750</v>
          </cell>
          <cell r="BD236">
            <v>750</v>
          </cell>
          <cell r="BE236">
            <v>3000</v>
          </cell>
          <cell r="BF236">
            <v>500</v>
          </cell>
          <cell r="BG236">
            <v>500</v>
          </cell>
          <cell r="BH236">
            <v>500</v>
          </cell>
          <cell r="BI236">
            <v>500</v>
          </cell>
          <cell r="BJ236">
            <v>2000</v>
          </cell>
          <cell r="BK236">
            <v>500</v>
          </cell>
          <cell r="BL236">
            <v>500</v>
          </cell>
          <cell r="BM236">
            <v>500</v>
          </cell>
          <cell r="BN236">
            <v>500</v>
          </cell>
          <cell r="BO236">
            <v>2000</v>
          </cell>
          <cell r="BP236">
            <v>500</v>
          </cell>
          <cell r="BQ236">
            <v>500</v>
          </cell>
          <cell r="BR236">
            <v>500</v>
          </cell>
          <cell r="BS236">
            <v>500</v>
          </cell>
          <cell r="BT236">
            <v>2000</v>
          </cell>
          <cell r="BU236">
            <v>500</v>
          </cell>
          <cell r="BV236">
            <v>500</v>
          </cell>
          <cell r="BW236">
            <v>500</v>
          </cell>
          <cell r="BX236">
            <v>500</v>
          </cell>
          <cell r="BY236">
            <v>2000</v>
          </cell>
          <cell r="BZ236">
            <v>500</v>
          </cell>
          <cell r="CA236">
            <v>500</v>
          </cell>
          <cell r="CB236">
            <v>500</v>
          </cell>
          <cell r="CC236">
            <v>500</v>
          </cell>
          <cell r="CD236">
            <v>2000</v>
          </cell>
        </row>
        <row r="237">
          <cell r="B237" t="str">
            <v xml:space="preserve">'Other Upstream' that balances to actual result </v>
          </cell>
          <cell r="AK237">
            <v>1256</v>
          </cell>
          <cell r="AP237">
            <v>1681</v>
          </cell>
          <cell r="AQ237">
            <v>801.05830067034003</v>
          </cell>
          <cell r="AR237">
            <v>4288.9258800458674</v>
          </cell>
          <cell r="AS237">
            <v>1314.1429123023213</v>
          </cell>
          <cell r="AT237">
            <v>2452.4588867014854</v>
          </cell>
          <cell r="AU237">
            <v>8856.5859797200155</v>
          </cell>
          <cell r="AV237">
            <v>1600.0000000000009</v>
          </cell>
          <cell r="AW237">
            <v>1500.0000000000005</v>
          </cell>
          <cell r="AX237">
            <v>1500.0000000000009</v>
          </cell>
          <cell r="AY237">
            <v>1250</v>
          </cell>
          <cell r="AZ237">
            <v>5850.0000000000036</v>
          </cell>
          <cell r="BA237">
            <v>750</v>
          </cell>
          <cell r="BB237">
            <v>749.99999999999955</v>
          </cell>
          <cell r="BC237">
            <v>749.99999999999955</v>
          </cell>
          <cell r="BD237">
            <v>749.99999999999977</v>
          </cell>
          <cell r="BE237">
            <v>2999.9999999999964</v>
          </cell>
          <cell r="BF237">
            <v>500.00000000000068</v>
          </cell>
          <cell r="BG237">
            <v>499.99999999999977</v>
          </cell>
          <cell r="BH237">
            <v>499.99999999999955</v>
          </cell>
          <cell r="BI237">
            <v>500.00000000000023</v>
          </cell>
          <cell r="BJ237">
            <v>2000.0000000000055</v>
          </cell>
          <cell r="BK237">
            <v>499.99999999999955</v>
          </cell>
          <cell r="BL237">
            <v>500</v>
          </cell>
          <cell r="BM237">
            <v>500.00000000000045</v>
          </cell>
          <cell r="BN237">
            <v>500.00000000000045</v>
          </cell>
          <cell r="BO237">
            <v>2000.0000000000055</v>
          </cell>
          <cell r="BP237">
            <v>500.00000000000045</v>
          </cell>
          <cell r="BQ237">
            <v>500</v>
          </cell>
          <cell r="BR237">
            <v>500.00000000000091</v>
          </cell>
          <cell r="BS237">
            <v>500.00000000000045</v>
          </cell>
          <cell r="BT237">
            <v>1999.9999999999982</v>
          </cell>
          <cell r="BU237">
            <v>500.00000000000045</v>
          </cell>
          <cell r="BV237">
            <v>500</v>
          </cell>
          <cell r="BW237">
            <v>500</v>
          </cell>
          <cell r="BX237">
            <v>500</v>
          </cell>
          <cell r="BY237">
            <v>2000.0000000000036</v>
          </cell>
          <cell r="BZ237">
            <v>500.00000000000045</v>
          </cell>
          <cell r="CA237">
            <v>499.99999999999955</v>
          </cell>
          <cell r="CB237">
            <v>499.99999999999909</v>
          </cell>
          <cell r="CC237">
            <v>499.99999999999909</v>
          </cell>
          <cell r="CD237">
            <v>2000</v>
          </cell>
        </row>
        <row r="239">
          <cell r="A239" t="str">
            <v>Taxes other than income taxes</v>
          </cell>
        </row>
        <row r="240">
          <cell r="B240" t="str">
            <v>From oil and gas operations (FAS69)</v>
          </cell>
          <cell r="G240">
            <v>131</v>
          </cell>
          <cell r="L240">
            <v>138</v>
          </cell>
          <cell r="Q240">
            <v>141</v>
          </cell>
          <cell r="V240">
            <v>191</v>
          </cell>
          <cell r="AA240">
            <v>124</v>
          </cell>
          <cell r="AF240">
            <v>254</v>
          </cell>
          <cell r="AK240">
            <v>239</v>
          </cell>
          <cell r="AP240">
            <v>184</v>
          </cell>
          <cell r="AQ240">
            <v>73.64378114335895</v>
          </cell>
          <cell r="AR240">
            <v>64.157449620656905</v>
          </cell>
          <cell r="AS240">
            <v>66.479610206195446</v>
          </cell>
          <cell r="AT240">
            <v>68.384268684860174</v>
          </cell>
          <cell r="AU240">
            <v>272.66510965507149</v>
          </cell>
          <cell r="AV240">
            <v>70.158011009745181</v>
          </cell>
          <cell r="AW240">
            <v>82.741234208779787</v>
          </cell>
          <cell r="AX240">
            <v>95.489641035773673</v>
          </cell>
          <cell r="AY240">
            <v>107.32880353080296</v>
          </cell>
          <cell r="AZ240">
            <v>355.71768978510158</v>
          </cell>
          <cell r="BA240">
            <v>87.935015930038134</v>
          </cell>
          <cell r="BB240">
            <v>83.218814738448827</v>
          </cell>
          <cell r="BC240">
            <v>78.291406244756786</v>
          </cell>
          <cell r="BD240">
            <v>72.449505281411504</v>
          </cell>
          <cell r="BE240">
            <v>321.89474219465524</v>
          </cell>
          <cell r="BF240">
            <v>69.346054036589607</v>
          </cell>
          <cell r="BG240">
            <v>72.754766929135144</v>
          </cell>
          <cell r="BH240">
            <v>76.140812362245498</v>
          </cell>
          <cell r="BI240">
            <v>78.727354862068651</v>
          </cell>
          <cell r="BJ240">
            <v>296.96898819003889</v>
          </cell>
          <cell r="BK240">
            <v>73.521299634650504</v>
          </cell>
          <cell r="BL240">
            <v>70.912691487691148</v>
          </cell>
          <cell r="BM240">
            <v>68.093716675405915</v>
          </cell>
          <cell r="BN240">
            <v>64.441113387337595</v>
          </cell>
          <cell r="BO240">
            <v>276.96882118508518</v>
          </cell>
          <cell r="BP240">
            <v>63.767441066266969</v>
          </cell>
          <cell r="BQ240">
            <v>65.384470027250003</v>
          </cell>
          <cell r="BR240">
            <v>66.94598346680516</v>
          </cell>
          <cell r="BS240">
            <v>67.797120471039975</v>
          </cell>
          <cell r="BT240">
            <v>263.89501503136216</v>
          </cell>
          <cell r="BU240">
            <v>65.345136602864343</v>
          </cell>
          <cell r="BV240">
            <v>65.235931078481713</v>
          </cell>
          <cell r="BW240">
            <v>65.005825368891266</v>
          </cell>
          <cell r="BX240">
            <v>64.04207186096636</v>
          </cell>
          <cell r="BY240">
            <v>259.6289649112037</v>
          </cell>
          <cell r="BZ240">
            <v>66.653960968819234</v>
          </cell>
          <cell r="CA240">
            <v>71.672601266552377</v>
          </cell>
          <cell r="CB240">
            <v>76.752586590752813</v>
          </cell>
          <cell r="CC240">
            <v>81.101173416081579</v>
          </cell>
          <cell r="CD240">
            <v>296.18032224220599</v>
          </cell>
        </row>
        <row r="241">
          <cell r="B241" t="str">
            <v xml:space="preserve">Other Upstream </v>
          </cell>
          <cell r="G241">
            <v>0</v>
          </cell>
          <cell r="L241">
            <v>1</v>
          </cell>
          <cell r="Q241">
            <v>-1</v>
          </cell>
          <cell r="V241">
            <v>0</v>
          </cell>
          <cell r="AA241">
            <v>0</v>
          </cell>
          <cell r="AF241">
            <v>0</v>
          </cell>
          <cell r="AK241">
            <v>0</v>
          </cell>
          <cell r="AP241">
            <v>-1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  <cell r="BC241">
            <v>0</v>
          </cell>
          <cell r="BD241">
            <v>0</v>
          </cell>
          <cell r="BE241">
            <v>0</v>
          </cell>
          <cell r="BF241">
            <v>0</v>
          </cell>
          <cell r="BG241">
            <v>0</v>
          </cell>
          <cell r="BH241">
            <v>0</v>
          </cell>
          <cell r="BI241">
            <v>0</v>
          </cell>
          <cell r="BJ241">
            <v>0</v>
          </cell>
          <cell r="BK241">
            <v>0</v>
          </cell>
          <cell r="BL241">
            <v>0</v>
          </cell>
          <cell r="BM241">
            <v>0</v>
          </cell>
          <cell r="BN241">
            <v>0</v>
          </cell>
          <cell r="BO241">
            <v>0</v>
          </cell>
          <cell r="BP241">
            <v>0</v>
          </cell>
          <cell r="BQ241">
            <v>0</v>
          </cell>
          <cell r="BR241">
            <v>0</v>
          </cell>
          <cell r="BS241">
            <v>0</v>
          </cell>
          <cell r="BT241">
            <v>0</v>
          </cell>
          <cell r="BU241">
            <v>0</v>
          </cell>
          <cell r="BV241">
            <v>0</v>
          </cell>
          <cell r="BW241">
            <v>0</v>
          </cell>
          <cell r="BX241">
            <v>0</v>
          </cell>
          <cell r="BY241">
            <v>0</v>
          </cell>
          <cell r="BZ241">
            <v>0</v>
          </cell>
          <cell r="CA241">
            <v>0</v>
          </cell>
          <cell r="CB241">
            <v>0</v>
          </cell>
          <cell r="CC241">
            <v>0</v>
          </cell>
          <cell r="CD241">
            <v>0</v>
          </cell>
        </row>
        <row r="243">
          <cell r="A243" t="str">
            <v>Exploration</v>
          </cell>
        </row>
        <row r="244">
          <cell r="B244" t="str">
            <v>From oil and gas operations (FAS69)</v>
          </cell>
          <cell r="G244">
            <v>624</v>
          </cell>
          <cell r="L244">
            <v>650</v>
          </cell>
          <cell r="Q244">
            <v>975</v>
          </cell>
          <cell r="V244">
            <v>1007</v>
          </cell>
          <cell r="AA244">
            <v>969</v>
          </cell>
          <cell r="AF244">
            <v>1022</v>
          </cell>
          <cell r="AK244">
            <v>981</v>
          </cell>
          <cell r="AP244">
            <v>1422</v>
          </cell>
          <cell r="AQ244">
            <v>311.04000000000002</v>
          </cell>
          <cell r="AR244">
            <v>589.44000000000005</v>
          </cell>
          <cell r="AS244">
            <v>785.28</v>
          </cell>
          <cell r="AT244">
            <v>847.68</v>
          </cell>
          <cell r="AU244">
            <v>2533.44</v>
          </cell>
          <cell r="AV244">
            <v>444.77280000000007</v>
          </cell>
          <cell r="AW244">
            <v>444.77280000000007</v>
          </cell>
          <cell r="AX244">
            <v>444.77280000000007</v>
          </cell>
          <cell r="AY244">
            <v>444.77280000000007</v>
          </cell>
          <cell r="AZ244">
            <v>1779.0912000000003</v>
          </cell>
          <cell r="BA244">
            <v>379.65600000000006</v>
          </cell>
          <cell r="BB244">
            <v>379.65600000000012</v>
          </cell>
          <cell r="BC244">
            <v>379.65600000000006</v>
          </cell>
          <cell r="BD244">
            <v>379.65599999999995</v>
          </cell>
          <cell r="BE244">
            <v>1518.6240000000003</v>
          </cell>
          <cell r="BF244">
            <v>301.14800000000002</v>
          </cell>
          <cell r="BG244">
            <v>301.14800000000002</v>
          </cell>
          <cell r="BH244">
            <v>301.14800000000002</v>
          </cell>
          <cell r="BI244">
            <v>301.14800000000002</v>
          </cell>
          <cell r="BJ244">
            <v>1204.5920000000001</v>
          </cell>
          <cell r="BK244">
            <v>299.62400000000002</v>
          </cell>
          <cell r="BL244">
            <v>299.62400000000002</v>
          </cell>
          <cell r="BM244">
            <v>299.62400000000002</v>
          </cell>
          <cell r="BN244">
            <v>299.62400000000002</v>
          </cell>
          <cell r="BO244">
            <v>1198.4960000000001</v>
          </cell>
          <cell r="BP244">
            <v>295.27500000000003</v>
          </cell>
          <cell r="BQ244">
            <v>295.27500000000003</v>
          </cell>
          <cell r="BR244">
            <v>295.27500000000003</v>
          </cell>
          <cell r="BS244">
            <v>295.27500000000003</v>
          </cell>
          <cell r="BT244">
            <v>1181.1000000000001</v>
          </cell>
          <cell r="BU244">
            <v>296.55</v>
          </cell>
          <cell r="BV244">
            <v>296.55</v>
          </cell>
          <cell r="BW244">
            <v>296.55</v>
          </cell>
          <cell r="BX244">
            <v>296.55</v>
          </cell>
          <cell r="BY244">
            <v>1186.2</v>
          </cell>
          <cell r="BZ244">
            <v>296.55</v>
          </cell>
          <cell r="CA244">
            <v>296.55</v>
          </cell>
          <cell r="CB244">
            <v>296.55</v>
          </cell>
          <cell r="CC244">
            <v>296.55</v>
          </cell>
          <cell r="CD244">
            <v>1186.2</v>
          </cell>
        </row>
        <row r="245">
          <cell r="B245" t="str">
            <v xml:space="preserve">Other Upstream </v>
          </cell>
          <cell r="G245">
            <v>-2</v>
          </cell>
          <cell r="L245">
            <v>1</v>
          </cell>
          <cell r="Q245">
            <v>2</v>
          </cell>
          <cell r="V245">
            <v>-1</v>
          </cell>
          <cell r="AA245">
            <v>0</v>
          </cell>
          <cell r="AF245">
            <v>0</v>
          </cell>
          <cell r="AK245">
            <v>-25</v>
          </cell>
          <cell r="AP245">
            <v>-50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  <cell r="BC245">
            <v>0</v>
          </cell>
          <cell r="BD245">
            <v>0</v>
          </cell>
          <cell r="BE245">
            <v>0</v>
          </cell>
          <cell r="BF245">
            <v>0</v>
          </cell>
          <cell r="BG245">
            <v>0</v>
          </cell>
          <cell r="BH245">
            <v>0</v>
          </cell>
          <cell r="BI245">
            <v>0</v>
          </cell>
          <cell r="BJ245">
            <v>0</v>
          </cell>
          <cell r="BK245">
            <v>0</v>
          </cell>
          <cell r="BL245">
            <v>0</v>
          </cell>
          <cell r="BM245">
            <v>0</v>
          </cell>
          <cell r="BN245">
            <v>0</v>
          </cell>
          <cell r="BO245">
            <v>0</v>
          </cell>
          <cell r="BP245">
            <v>0</v>
          </cell>
          <cell r="BQ245">
            <v>0</v>
          </cell>
          <cell r="BR245">
            <v>0</v>
          </cell>
          <cell r="BS245">
            <v>0</v>
          </cell>
          <cell r="BT245">
            <v>0</v>
          </cell>
          <cell r="BU245">
            <v>0</v>
          </cell>
          <cell r="BV245">
            <v>0</v>
          </cell>
          <cell r="BW245">
            <v>0</v>
          </cell>
          <cell r="BX245">
            <v>0</v>
          </cell>
          <cell r="BY245">
            <v>0</v>
          </cell>
          <cell r="BZ245">
            <v>0</v>
          </cell>
          <cell r="CA245">
            <v>0</v>
          </cell>
          <cell r="CB245">
            <v>0</v>
          </cell>
          <cell r="CC245">
            <v>0</v>
          </cell>
          <cell r="CD245">
            <v>0</v>
          </cell>
        </row>
        <row r="247">
          <cell r="A247" t="str">
            <v>DD&amp;A</v>
          </cell>
        </row>
        <row r="248">
          <cell r="B248" t="str">
            <v>From oil and gas operations (FAS69)</v>
          </cell>
          <cell r="G248">
            <v>2449</v>
          </cell>
          <cell r="L248">
            <v>2857</v>
          </cell>
          <cell r="Q248">
            <v>2710</v>
          </cell>
          <cell r="V248">
            <v>3120</v>
          </cell>
          <cell r="AA248">
            <v>4563</v>
          </cell>
          <cell r="AF248">
            <v>5672</v>
          </cell>
          <cell r="AK248">
            <v>4354</v>
          </cell>
          <cell r="AP248">
            <v>6189</v>
          </cell>
          <cell r="AQ248">
            <v>1408.9737392868205</v>
          </cell>
          <cell r="AR248">
            <v>1285.992527898806</v>
          </cell>
          <cell r="AS248">
            <v>1281.5298764405534</v>
          </cell>
          <cell r="AT248">
            <v>1305.3377338108892</v>
          </cell>
          <cell r="AU248">
            <v>5281.8338774370695</v>
          </cell>
          <cell r="AV248">
            <v>1398.4233358358761</v>
          </cell>
          <cell r="AW248">
            <v>1465.8045292727411</v>
          </cell>
          <cell r="AX248">
            <v>1532.0357361241818</v>
          </cell>
          <cell r="AY248">
            <v>1582.1592008957023</v>
          </cell>
          <cell r="AZ248">
            <v>5978.4228021285016</v>
          </cell>
          <cell r="BA248">
            <v>1571.1629922636705</v>
          </cell>
          <cell r="BB248">
            <v>1577.4591244451374</v>
          </cell>
          <cell r="BC248">
            <v>1581.2617858234803</v>
          </cell>
          <cell r="BD248">
            <v>1567.7297315485807</v>
          </cell>
          <cell r="BE248">
            <v>6297.6136340808689</v>
          </cell>
          <cell r="BF248">
            <v>1562.4991803045971</v>
          </cell>
          <cell r="BG248">
            <v>1615.7863927429244</v>
          </cell>
          <cell r="BH248">
            <v>1667.6562487451629</v>
          </cell>
          <cell r="BI248">
            <v>1701.7702103216552</v>
          </cell>
          <cell r="BJ248">
            <v>6547.7120321143402</v>
          </cell>
          <cell r="BK248">
            <v>1645.9085341316199</v>
          </cell>
          <cell r="BL248">
            <v>1662.3904641138504</v>
          </cell>
          <cell r="BM248">
            <v>1676.6669894360755</v>
          </cell>
          <cell r="BN248">
            <v>1672.6754876801263</v>
          </cell>
          <cell r="BO248">
            <v>6657.6414753616718</v>
          </cell>
          <cell r="BP248">
            <v>1635.1465043796729</v>
          </cell>
          <cell r="BQ248">
            <v>1667.3564719874064</v>
          </cell>
          <cell r="BR248">
            <v>1697.750561849416</v>
          </cell>
          <cell r="BS248">
            <v>1709.8220531181571</v>
          </cell>
          <cell r="BT248">
            <v>6710.0755913346529</v>
          </cell>
          <cell r="BU248">
            <v>1682.7963637312214</v>
          </cell>
          <cell r="BV248">
            <v>1728.3707851358511</v>
          </cell>
          <cell r="BW248">
            <v>1772.4526446141217</v>
          </cell>
          <cell r="BX248">
            <v>1797.5414185414495</v>
          </cell>
          <cell r="BY248">
            <v>6981.1612120226428</v>
          </cell>
          <cell r="BZ248">
            <v>1765.0506559727673</v>
          </cell>
          <cell r="CA248">
            <v>1807.803680080636</v>
          </cell>
          <cell r="CB248">
            <v>1849.0232746794807</v>
          </cell>
          <cell r="CC248">
            <v>1870.3768947719445</v>
          </cell>
          <cell r="CD248">
            <v>7292.2545055048286</v>
          </cell>
        </row>
        <row r="249">
          <cell r="B249" t="str">
            <v xml:space="preserve">Other Upstream </v>
          </cell>
          <cell r="G249">
            <v>254</v>
          </cell>
          <cell r="L249">
            <v>278</v>
          </cell>
          <cell r="Q249">
            <v>294</v>
          </cell>
          <cell r="V249">
            <v>303</v>
          </cell>
          <cell r="AA249">
            <v>-32</v>
          </cell>
          <cell r="AF249">
            <v>232</v>
          </cell>
          <cell r="AK249">
            <v>129</v>
          </cell>
          <cell r="AP249">
            <v>130</v>
          </cell>
          <cell r="AQ249">
            <v>100</v>
          </cell>
          <cell r="AR249">
            <v>100</v>
          </cell>
          <cell r="AS249">
            <v>300</v>
          </cell>
          <cell r="AT249">
            <v>200</v>
          </cell>
          <cell r="AU249">
            <v>700</v>
          </cell>
          <cell r="AV249">
            <v>100</v>
          </cell>
          <cell r="AW249">
            <v>100</v>
          </cell>
          <cell r="AX249">
            <v>100</v>
          </cell>
          <cell r="AY249">
            <v>100</v>
          </cell>
          <cell r="AZ249">
            <v>400</v>
          </cell>
          <cell r="BA249">
            <v>100</v>
          </cell>
          <cell r="BB249">
            <v>100</v>
          </cell>
          <cell r="BC249">
            <v>100</v>
          </cell>
          <cell r="BD249">
            <v>100</v>
          </cell>
          <cell r="BE249">
            <v>400</v>
          </cell>
          <cell r="BF249">
            <v>25</v>
          </cell>
          <cell r="BG249">
            <v>25</v>
          </cell>
          <cell r="BH249">
            <v>25</v>
          </cell>
          <cell r="BI249">
            <v>25</v>
          </cell>
          <cell r="BJ249">
            <v>100</v>
          </cell>
          <cell r="BK249">
            <v>25</v>
          </cell>
          <cell r="BL249">
            <v>25</v>
          </cell>
          <cell r="BM249">
            <v>25</v>
          </cell>
          <cell r="BN249">
            <v>25</v>
          </cell>
          <cell r="BO249">
            <v>100</v>
          </cell>
          <cell r="BP249">
            <v>25</v>
          </cell>
          <cell r="BQ249">
            <v>25</v>
          </cell>
          <cell r="BR249">
            <v>25</v>
          </cell>
          <cell r="BS249">
            <v>25</v>
          </cell>
          <cell r="BT249">
            <v>100</v>
          </cell>
          <cell r="BU249">
            <v>25</v>
          </cell>
          <cell r="BV249">
            <v>25</v>
          </cell>
          <cell r="BW249">
            <v>25</v>
          </cell>
          <cell r="BX249">
            <v>25</v>
          </cell>
          <cell r="BY249">
            <v>100</v>
          </cell>
          <cell r="BZ249">
            <v>25</v>
          </cell>
          <cell r="CA249">
            <v>25</v>
          </cell>
          <cell r="CB249">
            <v>25</v>
          </cell>
          <cell r="CC249">
            <v>25</v>
          </cell>
          <cell r="CD249">
            <v>100</v>
          </cell>
        </row>
        <row r="251">
          <cell r="A251" t="str">
            <v>Taxation</v>
          </cell>
        </row>
        <row r="252">
          <cell r="B252" t="str">
            <v>From oil and gas operations (FAS69)</v>
          </cell>
          <cell r="G252">
            <v>1769</v>
          </cell>
          <cell r="L252">
            <v>1669</v>
          </cell>
          <cell r="Q252">
            <v>1441</v>
          </cell>
          <cell r="V252">
            <v>2342</v>
          </cell>
          <cell r="AA252">
            <v>-1156</v>
          </cell>
          <cell r="AF252">
            <v>60</v>
          </cell>
          <cell r="AK252">
            <v>1350</v>
          </cell>
          <cell r="AP252">
            <v>-418</v>
          </cell>
          <cell r="AQ252">
            <v>164.91130265995281</v>
          </cell>
          <cell r="AR252">
            <v>73.181605520641526</v>
          </cell>
          <cell r="AS252">
            <v>82.612490689146043</v>
          </cell>
          <cell r="AT252">
            <v>-96.23958495696013</v>
          </cell>
          <cell r="AU252">
            <v>224.46581391278025</v>
          </cell>
          <cell r="AV252">
            <v>109.07671113328914</v>
          </cell>
          <cell r="AW252">
            <v>136.04520357257161</v>
          </cell>
          <cell r="AX252">
            <v>161.87940813548715</v>
          </cell>
          <cell r="AY252">
            <v>180.06748462730792</v>
          </cell>
          <cell r="AZ252">
            <v>587.06880746865579</v>
          </cell>
          <cell r="BA252">
            <v>85.780475982029685</v>
          </cell>
          <cell r="BB252">
            <v>89.192005979201213</v>
          </cell>
          <cell r="BC252">
            <v>91.160476925380834</v>
          </cell>
          <cell r="BD252">
            <v>85.741643090211113</v>
          </cell>
          <cell r="BE252">
            <v>351.87460197682287</v>
          </cell>
          <cell r="BF252">
            <v>20.274321677402586</v>
          </cell>
          <cell r="BG252">
            <v>37.79367631950408</v>
          </cell>
          <cell r="BH252">
            <v>54.46927337783827</v>
          </cell>
          <cell r="BI252">
            <v>64.305544216526499</v>
          </cell>
          <cell r="BJ252">
            <v>176.8428155912714</v>
          </cell>
          <cell r="BK252">
            <v>42.461470258922773</v>
          </cell>
          <cell r="BL252">
            <v>57.001945471107156</v>
          </cell>
          <cell r="BM252">
            <v>70.687261582244858</v>
          </cell>
          <cell r="BN252">
            <v>76.872673988828723</v>
          </cell>
          <cell r="BO252">
            <v>247.0233513011035</v>
          </cell>
          <cell r="BP252">
            <v>63.289572023284521</v>
          </cell>
          <cell r="BQ252">
            <v>88.898134720893353</v>
          </cell>
          <cell r="BR252">
            <v>113.75837233905325</v>
          </cell>
          <cell r="BS252">
            <v>130.74768912078821</v>
          </cell>
          <cell r="BT252">
            <v>396.69376820401936</v>
          </cell>
          <cell r="BU252">
            <v>116.59023039197078</v>
          </cell>
          <cell r="BV252">
            <v>146.11944583600706</v>
          </cell>
          <cell r="BW252">
            <v>175.41893363832037</v>
          </cell>
          <cell r="BX252">
            <v>196.1328559478869</v>
          </cell>
          <cell r="BY252">
            <v>634.26146581418516</v>
          </cell>
          <cell r="BZ252">
            <v>180.3951673344616</v>
          </cell>
          <cell r="CA252">
            <v>213.65714358581886</v>
          </cell>
          <cell r="CB252">
            <v>246.43751157105862</v>
          </cell>
          <cell r="CC252">
            <v>269.40980489973163</v>
          </cell>
          <cell r="CD252">
            <v>909.89962739107068</v>
          </cell>
        </row>
        <row r="253">
          <cell r="B253" t="str">
            <v xml:space="preserve">Other Upstream </v>
          </cell>
          <cell r="G253">
            <v>285</v>
          </cell>
          <cell r="L253">
            <v>259</v>
          </cell>
          <cell r="Q253">
            <v>343</v>
          </cell>
          <cell r="V253">
            <v>346</v>
          </cell>
          <cell r="AA253">
            <v>12</v>
          </cell>
          <cell r="AF253">
            <v>-72</v>
          </cell>
          <cell r="AK253">
            <v>31</v>
          </cell>
          <cell r="AP253">
            <v>-55</v>
          </cell>
          <cell r="AQ253">
            <v>-175.97973731250002</v>
          </cell>
          <cell r="AR253">
            <v>-1327.0197373125</v>
          </cell>
          <cell r="AS253">
            <v>-411.26973731249996</v>
          </cell>
          <cell r="AT253">
            <v>-753.80973731249935</v>
          </cell>
          <cell r="AU253">
            <v>-2668.0789492499994</v>
          </cell>
          <cell r="AV253">
            <v>-396.73692331578354</v>
          </cell>
          <cell r="AW253">
            <v>-322.4869233157836</v>
          </cell>
          <cell r="AX253">
            <v>-322.4869233157836</v>
          </cell>
          <cell r="AY253">
            <v>-239.98692331578354</v>
          </cell>
          <cell r="AZ253">
            <v>-1281.6976932631342</v>
          </cell>
          <cell r="BA253">
            <v>-72.869047490043457</v>
          </cell>
          <cell r="BB253">
            <v>-72.869047490043982</v>
          </cell>
          <cell r="BC253">
            <v>-72.869047490043826</v>
          </cell>
          <cell r="BD253">
            <v>-72.869047490043798</v>
          </cell>
          <cell r="BE253">
            <v>-291.47618996017508</v>
          </cell>
          <cell r="BF253">
            <v>35.864829160418644</v>
          </cell>
          <cell r="BG253">
            <v>35.864829160418267</v>
          </cell>
          <cell r="BH253">
            <v>35.864829160418608</v>
          </cell>
          <cell r="BI253">
            <v>35.864829160418033</v>
          </cell>
          <cell r="BJ253">
            <v>143.45931664167355</v>
          </cell>
          <cell r="BK253">
            <v>35.949453646216213</v>
          </cell>
          <cell r="BL253">
            <v>35.94945364621605</v>
          </cell>
          <cell r="BM253">
            <v>35.949453646216007</v>
          </cell>
          <cell r="BN253">
            <v>35.949453646216156</v>
          </cell>
          <cell r="BO253">
            <v>143.7978145848644</v>
          </cell>
          <cell r="BP253">
            <v>36.965779033549516</v>
          </cell>
          <cell r="BQ253">
            <v>36.965779033549744</v>
          </cell>
          <cell r="BR253">
            <v>36.965779033549893</v>
          </cell>
          <cell r="BS253">
            <v>36.96577903355017</v>
          </cell>
          <cell r="BT253">
            <v>147.86311613419932</v>
          </cell>
          <cell r="BU253">
            <v>38.466093907460071</v>
          </cell>
          <cell r="BV253">
            <v>38.466093907459936</v>
          </cell>
          <cell r="BW253">
            <v>38.466093907460234</v>
          </cell>
          <cell r="BX253">
            <v>38.466093907460049</v>
          </cell>
          <cell r="BY253">
            <v>153.86437562984031</v>
          </cell>
          <cell r="BZ253">
            <v>40.214323867327373</v>
          </cell>
          <cell r="CA253">
            <v>40.214323867327522</v>
          </cell>
          <cell r="CB253">
            <v>40.214323867327337</v>
          </cell>
          <cell r="CC253">
            <v>40.214323867327899</v>
          </cell>
          <cell r="CD253">
            <v>160.85729546931015</v>
          </cell>
        </row>
        <row r="255">
          <cell r="B255" t="str">
            <v>Taxable earnings</v>
          </cell>
        </row>
        <row r="256">
          <cell r="B256" t="str">
            <v>From oil and gas operations (FAS69)</v>
          </cell>
          <cell r="G256">
            <v>5237</v>
          </cell>
          <cell r="L256">
            <v>4866</v>
          </cell>
          <cell r="Q256">
            <v>4869</v>
          </cell>
          <cell r="V256">
            <v>7038</v>
          </cell>
          <cell r="AA256">
            <v>-1153</v>
          </cell>
          <cell r="AF256">
            <v>-129</v>
          </cell>
          <cell r="AK256">
            <v>4516</v>
          </cell>
          <cell r="AP256">
            <v>-740</v>
          </cell>
          <cell r="AQ256">
            <v>499.66976064023027</v>
          </cell>
          <cell r="AR256">
            <v>221.23203785231874</v>
          </cell>
          <cell r="AS256">
            <v>238.77159444770572</v>
          </cell>
          <cell r="AT256">
            <v>-283.13058790534552</v>
          </cell>
          <cell r="AU256">
            <v>676.54280503490918</v>
          </cell>
          <cell r="AV256">
            <v>329.11679567480815</v>
          </cell>
          <cell r="AW256">
            <v>409.77209918576148</v>
          </cell>
          <cell r="AX256">
            <v>486.96302598950285</v>
          </cell>
          <cell r="AY256">
            <v>541.78077961861072</v>
          </cell>
          <cell r="AZ256">
            <v>1767.6327004686832</v>
          </cell>
          <cell r="BA256">
            <v>260.74883484493841</v>
          </cell>
          <cell r="BB256">
            <v>270.00296951054088</v>
          </cell>
          <cell r="BC256">
            <v>274.8682617388551</v>
          </cell>
          <cell r="BD256">
            <v>258.19881712408369</v>
          </cell>
          <cell r="BE256">
            <v>1063.818883218418</v>
          </cell>
          <cell r="BF256">
            <v>67.702392141444278</v>
          </cell>
          <cell r="BG256">
            <v>119.83897343691979</v>
          </cell>
          <cell r="BH256">
            <v>169.38912855791682</v>
          </cell>
          <cell r="BI256">
            <v>199.0476735155062</v>
          </cell>
          <cell r="BJ256">
            <v>555.97816765178709</v>
          </cell>
          <cell r="BK256">
            <v>135.4263793665927</v>
          </cell>
          <cell r="BL256">
            <v>177.49960696866825</v>
          </cell>
          <cell r="BM256">
            <v>216.8743940557161</v>
          </cell>
          <cell r="BN256">
            <v>234.39846573778317</v>
          </cell>
          <cell r="BO256">
            <v>764.19884612876035</v>
          </cell>
          <cell r="BP256">
            <v>196.80086224362333</v>
          </cell>
          <cell r="BQ256">
            <v>272.93318460691199</v>
          </cell>
          <cell r="BR256">
            <v>346.80714884743372</v>
          </cell>
          <cell r="BS256">
            <v>397.82049096070887</v>
          </cell>
          <cell r="BT256">
            <v>1214.3616866586779</v>
          </cell>
          <cell r="BU256">
            <v>357.27136731601661</v>
          </cell>
          <cell r="BV256">
            <v>443.89616194177449</v>
          </cell>
          <cell r="BW256">
            <v>529.68407937154541</v>
          </cell>
          <cell r="BX256">
            <v>590.45664484452209</v>
          </cell>
          <cell r="BY256">
            <v>1921.3082534738587</v>
          </cell>
          <cell r="BZ256">
            <v>546.24036551197321</v>
          </cell>
          <cell r="CA256">
            <v>644.62565708753152</v>
          </cell>
          <cell r="CB256">
            <v>741.49432598709245</v>
          </cell>
          <cell r="CC256">
            <v>809.80024978542576</v>
          </cell>
          <cell r="CD256">
            <v>2742.1605983720228</v>
          </cell>
        </row>
        <row r="257">
          <cell r="B257" t="str">
            <v xml:space="preserve">Other Upstream </v>
          </cell>
          <cell r="G257">
            <v>1170</v>
          </cell>
          <cell r="L257">
            <v>1151</v>
          </cell>
          <cell r="Q257">
            <v>1386</v>
          </cell>
          <cell r="V257">
            <v>1417</v>
          </cell>
          <cell r="AA257">
            <v>510</v>
          </cell>
          <cell r="AF257">
            <v>-67</v>
          </cell>
          <cell r="AK257">
            <v>255</v>
          </cell>
          <cell r="AP257">
            <v>61</v>
          </cell>
          <cell r="AQ257">
            <v>-533.27193125000008</v>
          </cell>
          <cell r="AR257">
            <v>-4021.2719312499994</v>
          </cell>
          <cell r="AS257">
            <v>-1246.2719312499999</v>
          </cell>
          <cell r="AT257">
            <v>-2284.271931249998</v>
          </cell>
          <cell r="AU257">
            <v>-8085.0877249999976</v>
          </cell>
          <cell r="AV257">
            <v>-1202.2331009569198</v>
          </cell>
          <cell r="AW257">
            <v>-977.23310095691988</v>
          </cell>
          <cell r="AX257">
            <v>-977.23310095692</v>
          </cell>
          <cell r="AY257">
            <v>-727.23310095691977</v>
          </cell>
          <cell r="AZ257">
            <v>-3883.9324038276791</v>
          </cell>
          <cell r="BA257">
            <v>-220.81529542437409</v>
          </cell>
          <cell r="BB257">
            <v>-220.81529542437568</v>
          </cell>
          <cell r="BC257">
            <v>-220.81529542437522</v>
          </cell>
          <cell r="BD257">
            <v>-220.81529542437514</v>
          </cell>
          <cell r="BE257">
            <v>-883.26118169750009</v>
          </cell>
          <cell r="BF257">
            <v>108.6813004861171</v>
          </cell>
          <cell r="BG257">
            <v>108.68130048611596</v>
          </cell>
          <cell r="BH257">
            <v>108.68130048611698</v>
          </cell>
          <cell r="BI257">
            <v>108.68130048611525</v>
          </cell>
          <cell r="BJ257">
            <v>434.72520194446531</v>
          </cell>
          <cell r="BK257">
            <v>108.9377383218673</v>
          </cell>
          <cell r="BL257">
            <v>108.93773832186682</v>
          </cell>
          <cell r="BM257">
            <v>108.93773832186668</v>
          </cell>
          <cell r="BN257">
            <v>108.93773832186713</v>
          </cell>
          <cell r="BO257">
            <v>435.75095328746789</v>
          </cell>
          <cell r="BP257">
            <v>112.01751222287731</v>
          </cell>
          <cell r="BQ257">
            <v>112.017512222878</v>
          </cell>
          <cell r="BR257">
            <v>112.01751222287845</v>
          </cell>
          <cell r="BS257">
            <v>112.0175122228793</v>
          </cell>
          <cell r="BT257">
            <v>448.07004889151307</v>
          </cell>
          <cell r="BU257">
            <v>116.56392093169717</v>
          </cell>
          <cell r="BV257">
            <v>116.56392093169677</v>
          </cell>
          <cell r="BW257">
            <v>116.56392093169768</v>
          </cell>
          <cell r="BX257">
            <v>116.56392093169711</v>
          </cell>
          <cell r="BY257">
            <v>466.25568372678873</v>
          </cell>
          <cell r="BZ257">
            <v>121.86158747674961</v>
          </cell>
          <cell r="CA257">
            <v>121.86158747675006</v>
          </cell>
          <cell r="CB257">
            <v>121.86158747674949</v>
          </cell>
          <cell r="CC257">
            <v>121.8615874767512</v>
          </cell>
          <cell r="CD257">
            <v>487.44634990700035</v>
          </cell>
        </row>
        <row r="258">
          <cell r="B258" t="str">
            <v>Check</v>
          </cell>
          <cell r="G258">
            <v>1170</v>
          </cell>
          <cell r="L258">
            <v>1151</v>
          </cell>
          <cell r="Q258">
            <v>1386</v>
          </cell>
          <cell r="V258">
            <v>1417</v>
          </cell>
          <cell r="AA258">
            <v>510</v>
          </cell>
          <cell r="AF258">
            <v>-67</v>
          </cell>
          <cell r="AK258">
            <v>255</v>
          </cell>
          <cell r="AP258">
            <v>61</v>
          </cell>
          <cell r="AU258">
            <v>-8085.0877249999994</v>
          </cell>
          <cell r="AZ258">
            <v>-3883.9324038276791</v>
          </cell>
          <cell r="BE258">
            <v>-883.26118169749998</v>
          </cell>
          <cell r="BJ258">
            <v>434.72520194446588</v>
          </cell>
          <cell r="BO258">
            <v>435.75095328746829</v>
          </cell>
          <cell r="BT258">
            <v>448.07004889151312</v>
          </cell>
          <cell r="BY258">
            <v>466.25568372678936</v>
          </cell>
          <cell r="CD258">
            <v>487.4463499070016</v>
          </cell>
        </row>
        <row r="260">
          <cell r="B260" t="str">
            <v>Tax rates</v>
          </cell>
        </row>
        <row r="261">
          <cell r="B261" t="str">
            <v>From oil and gas operations (FAS69)</v>
          </cell>
          <cell r="G261">
            <v>0.33778881038762648</v>
          </cell>
          <cell r="L261">
            <v>0.3429921907110563</v>
          </cell>
          <cell r="Q261">
            <v>0.29595399466009448</v>
          </cell>
          <cell r="V261">
            <v>0.33276499005399263</v>
          </cell>
          <cell r="AA261">
            <v>1.002601908065915</v>
          </cell>
          <cell r="AF261">
            <v>-0.46511627906976744</v>
          </cell>
          <cell r="AK261">
            <v>0.29893711248892824</v>
          </cell>
          <cell r="AP261">
            <v>0.56486486486486487</v>
          </cell>
          <cell r="AQ261">
            <v>0.33004059010625503</v>
          </cell>
          <cell r="AR261">
            <v>0.33079117396863278</v>
          </cell>
          <cell r="AS261">
            <v>0.34598960935966494</v>
          </cell>
          <cell r="AT261">
            <v>0.33991235517490026</v>
          </cell>
          <cell r="AU261">
            <v>0.33178360961387793</v>
          </cell>
          <cell r="AV261">
            <v>0.33142249975314247</v>
          </cell>
          <cell r="AW261">
            <v>0.33200211493876847</v>
          </cell>
          <cell r="AX261">
            <v>0.33242648721953827</v>
          </cell>
          <cell r="AY261">
            <v>0.3323622605328807</v>
          </cell>
          <cell r="AZ261">
            <v>0.33212149068808017</v>
          </cell>
          <cell r="BA261">
            <v>0.32897740859720981</v>
          </cell>
          <cell r="BB261">
            <v>0.33033712977634183</v>
          </cell>
          <cell r="BC261">
            <v>0.33165152043632429</v>
          </cell>
          <cell r="BD261">
            <v>0.33207604916720396</v>
          </cell>
          <cell r="BE261">
            <v>0.33076551613022809</v>
          </cell>
          <cell r="BF261">
            <v>0.29946241242178478</v>
          </cell>
          <cell r="BG261">
            <v>0.31537049455282357</v>
          </cell>
          <cell r="BH261">
            <v>0.32156298247448839</v>
          </cell>
          <cell r="BI261">
            <v>0.32306604282675511</v>
          </cell>
          <cell r="BJ261">
            <v>0.31807510776579495</v>
          </cell>
          <cell r="BK261">
            <v>0.31353913807280942</v>
          </cell>
          <cell r="BL261">
            <v>0.32113843204829734</v>
          </cell>
          <cell r="BM261">
            <v>0.32593641075066221</v>
          </cell>
          <cell r="BN261">
            <v>0.32795724044893976</v>
          </cell>
          <cell r="BO261">
            <v>0.32324486297311472</v>
          </cell>
          <cell r="BP261">
            <v>0.32159194477988223</v>
          </cell>
          <cell r="BQ261">
            <v>0.3257139099773726</v>
          </cell>
          <cell r="BR261">
            <v>0.32801622664675079</v>
          </cell>
          <cell r="BS261">
            <v>0.32866001649397603</v>
          </cell>
          <cell r="BT261">
            <v>0.32666854740412982</v>
          </cell>
          <cell r="BU261">
            <v>0.32633522038961332</v>
          </cell>
          <cell r="BV261">
            <v>0.32917483493622418</v>
          </cell>
          <cell r="BW261">
            <v>0.33117652666934938</v>
          </cell>
          <cell r="BX261">
            <v>0.33217147721240775</v>
          </cell>
          <cell r="BY261">
            <v>0.33011957590219915</v>
          </cell>
          <cell r="BZ261">
            <v>0.33024869402572093</v>
          </cell>
          <cell r="CA261">
            <v>0.33144374760250517</v>
          </cell>
          <cell r="CB261">
            <v>0.33235252507562474</v>
          </cell>
          <cell r="CC261">
            <v>0.33268673968811152</v>
          </cell>
          <cell r="CD261">
            <v>0.33181850396773394</v>
          </cell>
        </row>
        <row r="262">
          <cell r="B262" t="str">
            <v xml:space="preserve">Other Upstream </v>
          </cell>
          <cell r="G262">
            <v>0.24358974358974358</v>
          </cell>
          <cell r="L262">
            <v>0.22502172024326672</v>
          </cell>
          <cell r="Q262">
            <v>0.24747474747474749</v>
          </cell>
          <cell r="V262">
            <v>0.24417784050811575</v>
          </cell>
          <cell r="AA262">
            <v>2.3529411764705882E-2</v>
          </cell>
          <cell r="AF262">
            <v>1.0746268656716418</v>
          </cell>
          <cell r="AK262">
            <v>0.12156862745098039</v>
          </cell>
          <cell r="AP262">
            <v>-0.90163934426229508</v>
          </cell>
          <cell r="AQ262">
            <v>0.33</v>
          </cell>
          <cell r="AR262">
            <v>0.33</v>
          </cell>
          <cell r="AS262">
            <v>0.33</v>
          </cell>
          <cell r="AT262">
            <v>0.33</v>
          </cell>
          <cell r="AU262">
            <v>0.33</v>
          </cell>
          <cell r="AV262">
            <v>0.33</v>
          </cell>
          <cell r="AW262">
            <v>0.33</v>
          </cell>
          <cell r="AX262">
            <v>0.33</v>
          </cell>
          <cell r="AY262">
            <v>0.33</v>
          </cell>
          <cell r="AZ262">
            <v>0.33</v>
          </cell>
          <cell r="BA262">
            <v>0.33</v>
          </cell>
          <cell r="BB262">
            <v>0.33</v>
          </cell>
          <cell r="BC262">
            <v>0.33</v>
          </cell>
          <cell r="BD262">
            <v>0.33</v>
          </cell>
          <cell r="BE262">
            <v>0.33000000000000007</v>
          </cell>
          <cell r="BF262">
            <v>0.33</v>
          </cell>
          <cell r="BG262">
            <v>0.33</v>
          </cell>
          <cell r="BH262">
            <v>0.33</v>
          </cell>
          <cell r="BI262">
            <v>0.33</v>
          </cell>
          <cell r="BJ262">
            <v>0.33</v>
          </cell>
          <cell r="BK262">
            <v>0.33</v>
          </cell>
          <cell r="BL262">
            <v>0.33</v>
          </cell>
          <cell r="BM262">
            <v>0.33</v>
          </cell>
          <cell r="BN262">
            <v>0.33</v>
          </cell>
          <cell r="BO262">
            <v>0.32999999999999996</v>
          </cell>
          <cell r="BP262">
            <v>0.33</v>
          </cell>
          <cell r="BQ262">
            <v>0.33</v>
          </cell>
          <cell r="BR262">
            <v>0.33</v>
          </cell>
          <cell r="BS262">
            <v>0.33</v>
          </cell>
          <cell r="BT262">
            <v>0.33</v>
          </cell>
          <cell r="BU262">
            <v>0.33</v>
          </cell>
          <cell r="BV262">
            <v>0.33</v>
          </cell>
          <cell r="BW262">
            <v>0.33</v>
          </cell>
          <cell r="BX262">
            <v>0.33</v>
          </cell>
          <cell r="BY262">
            <v>0.33000000000000007</v>
          </cell>
          <cell r="BZ262">
            <v>0.33</v>
          </cell>
          <cell r="CA262">
            <v>0.33</v>
          </cell>
          <cell r="CB262">
            <v>0.33</v>
          </cell>
          <cell r="CC262">
            <v>0.33</v>
          </cell>
          <cell r="CD262">
            <v>0.33000000000000007</v>
          </cell>
        </row>
        <row r="263">
          <cell r="B263" t="str">
            <v>Tax rate</v>
          </cell>
          <cell r="G263">
            <v>0.29085244973095442</v>
          </cell>
          <cell r="L263">
            <v>0.27515341801056087</v>
          </cell>
          <cell r="Q263">
            <v>0.24026936026936027</v>
          </cell>
          <cell r="V263">
            <v>0.27162489894907033</v>
          </cell>
          <cell r="AA263">
            <v>-1144</v>
          </cell>
          <cell r="AF263">
            <v>-1.6713091922005572E-2</v>
          </cell>
          <cell r="AK263">
            <v>0.22495520443068903</v>
          </cell>
          <cell r="AP263">
            <v>-1.0653153153153154</v>
          </cell>
          <cell r="AQ263">
            <v>-3.7019430791973833E-2</v>
          </cell>
          <cell r="AR263">
            <v>0.359893717519288</v>
          </cell>
          <cell r="AS263">
            <v>0.48652890090584261</v>
          </cell>
          <cell r="AT263">
            <v>0.373059286566158</v>
          </cell>
          <cell r="AU263">
            <v>0.39800767271031051</v>
          </cell>
          <cell r="AV263">
            <v>0.49685870387746933</v>
          </cell>
          <cell r="AW263">
            <v>0.6808590402950947</v>
          </cell>
          <cell r="AX263">
            <v>0.82925810556208979</v>
          </cell>
          <cell r="AY263">
            <v>-0.53905889419846242</v>
          </cell>
          <cell r="AZ263">
            <v>0.74267128802325222</v>
          </cell>
          <cell r="BA263">
            <v>4.4311428846732184E-2</v>
          </cell>
          <cell r="BB263">
            <v>5.4380571274023855E-2</v>
          </cell>
          <cell r="BC263">
            <v>5.948508184662317E-2</v>
          </cell>
          <cell r="BD263">
            <v>4.4264228317746436E-2</v>
          </cell>
          <cell r="BE263">
            <v>5.0761389338841022E-2</v>
          </cell>
          <cell r="BF263">
            <v>0.14140521256633595</v>
          </cell>
          <cell r="BG263">
            <v>0.16414365398076175</v>
          </cell>
          <cell r="BH263">
            <v>0.18051135410694422</v>
          </cell>
          <cell r="BI263">
            <v>0.18896938471249008</v>
          </cell>
          <cell r="BJ263">
            <v>0.17071167226948578</v>
          </cell>
          <cell r="BK263">
            <v>0.17021950897433316</v>
          </cell>
          <cell r="BL263">
            <v>0.18410521776188402</v>
          </cell>
          <cell r="BM263">
            <v>0.19424631114288263</v>
          </cell>
          <cell r="BN263">
            <v>0.19824278657711938</v>
          </cell>
          <cell r="BO263">
            <v>0.18756875207184542</v>
          </cell>
          <cell r="BP263">
            <v>0.18970228787887033</v>
          </cell>
          <cell r="BQ263">
            <v>0.20741133556882568</v>
          </cell>
          <cell r="BR263">
            <v>0.2198679379239899</v>
          </cell>
          <cell r="BS263">
            <v>0.22688437923311527</v>
          </cell>
          <cell r="BT263">
            <v>0.21271388911477279</v>
          </cell>
          <cell r="BU263">
            <v>0.22243946838790721</v>
          </cell>
          <cell r="BV263">
            <v>0.2348506435930737</v>
          </cell>
          <cell r="BW263">
            <v>0.24397113362013442</v>
          </cell>
          <cell r="BX263">
            <v>0.2495225471967176</v>
          </cell>
          <cell r="BY263">
            <v>0.23883216476332209</v>
          </cell>
          <cell r="BZ263">
            <v>0.24645918578036247</v>
          </cell>
          <cell r="CA263">
            <v>0.25493452644100029</v>
          </cell>
          <cell r="CB263">
            <v>0.26113163741911372</v>
          </cell>
          <cell r="CC263">
            <v>0.26489925225155847</v>
          </cell>
          <cell r="CD263">
            <v>0.25754750307362645</v>
          </cell>
        </row>
        <row r="265">
          <cell r="A265" t="str">
            <v>Other items</v>
          </cell>
        </row>
        <row r="266">
          <cell r="B266" t="str">
            <v>From oil and gas operations (FAS69)</v>
          </cell>
          <cell r="G266">
            <v>802</v>
          </cell>
          <cell r="L266">
            <v>1143</v>
          </cell>
          <cell r="Q266">
            <v>1150</v>
          </cell>
          <cell r="V266">
            <v>447</v>
          </cell>
          <cell r="AA266">
            <v>1800</v>
          </cell>
          <cell r="AF266">
            <v>1780</v>
          </cell>
          <cell r="AK266">
            <v>779</v>
          </cell>
          <cell r="AP266">
            <v>2801</v>
          </cell>
          <cell r="AQ266">
            <v>400</v>
          </cell>
          <cell r="AR266">
            <v>400</v>
          </cell>
          <cell r="AS266">
            <v>400</v>
          </cell>
          <cell r="AT266">
            <v>400</v>
          </cell>
          <cell r="AU266">
            <v>1600</v>
          </cell>
          <cell r="AV266">
            <v>400</v>
          </cell>
          <cell r="AW266">
            <v>400</v>
          </cell>
          <cell r="AX266">
            <v>400</v>
          </cell>
          <cell r="AY266">
            <v>400</v>
          </cell>
          <cell r="AZ266">
            <v>1600</v>
          </cell>
          <cell r="BA266">
            <v>400</v>
          </cell>
          <cell r="BB266">
            <v>400</v>
          </cell>
          <cell r="BC266">
            <v>400</v>
          </cell>
          <cell r="BD266">
            <v>400</v>
          </cell>
          <cell r="BE266">
            <v>1600</v>
          </cell>
          <cell r="BF266">
            <v>400</v>
          </cell>
          <cell r="BG266">
            <v>400</v>
          </cell>
          <cell r="BH266">
            <v>400</v>
          </cell>
          <cell r="BI266">
            <v>400</v>
          </cell>
          <cell r="BJ266">
            <v>1600</v>
          </cell>
          <cell r="BK266">
            <v>400</v>
          </cell>
          <cell r="BL266">
            <v>400</v>
          </cell>
          <cell r="BM266">
            <v>400</v>
          </cell>
          <cell r="BN266">
            <v>400</v>
          </cell>
          <cell r="BO266">
            <v>1600</v>
          </cell>
          <cell r="BP266">
            <v>400</v>
          </cell>
          <cell r="BQ266">
            <v>400</v>
          </cell>
          <cell r="BR266">
            <v>400</v>
          </cell>
          <cell r="BS266">
            <v>400</v>
          </cell>
          <cell r="BT266">
            <v>1600</v>
          </cell>
          <cell r="BU266">
            <v>400</v>
          </cell>
          <cell r="BV266">
            <v>400</v>
          </cell>
          <cell r="BW266">
            <v>400</v>
          </cell>
          <cell r="BX266">
            <v>400</v>
          </cell>
          <cell r="BY266">
            <v>1600</v>
          </cell>
          <cell r="BZ266">
            <v>400</v>
          </cell>
          <cell r="CA266">
            <v>400</v>
          </cell>
          <cell r="CB266">
            <v>400</v>
          </cell>
          <cell r="CC266">
            <v>400</v>
          </cell>
          <cell r="CD266">
            <v>1600</v>
          </cell>
        </row>
        <row r="267">
          <cell r="B267" t="str">
            <v>Other Upstream</v>
          </cell>
          <cell r="G267">
            <v>5060</v>
          </cell>
          <cell r="L267">
            <v>3369</v>
          </cell>
          <cell r="Q267">
            <v>3987</v>
          </cell>
          <cell r="V267">
            <v>5532</v>
          </cell>
          <cell r="AA267">
            <v>578</v>
          </cell>
          <cell r="AF267">
            <v>1776</v>
          </cell>
          <cell r="AK267">
            <v>5150</v>
          </cell>
          <cell r="AP267">
            <v>1347</v>
          </cell>
          <cell r="AQ267">
            <v>350</v>
          </cell>
          <cell r="AR267">
            <v>350</v>
          </cell>
          <cell r="AS267">
            <v>350</v>
          </cell>
          <cell r="AT267">
            <v>350</v>
          </cell>
          <cell r="AU267">
            <v>1400</v>
          </cell>
          <cell r="AV267">
            <v>350</v>
          </cell>
          <cell r="AW267">
            <v>350</v>
          </cell>
          <cell r="AX267">
            <v>350</v>
          </cell>
          <cell r="AY267">
            <v>350</v>
          </cell>
          <cell r="AZ267">
            <v>1400</v>
          </cell>
          <cell r="BA267">
            <v>350</v>
          </cell>
          <cell r="BB267">
            <v>350</v>
          </cell>
          <cell r="BC267">
            <v>350</v>
          </cell>
          <cell r="BD267">
            <v>350</v>
          </cell>
          <cell r="BE267">
            <v>1400</v>
          </cell>
          <cell r="BF267">
            <v>350</v>
          </cell>
          <cell r="BG267">
            <v>350</v>
          </cell>
          <cell r="BH267">
            <v>350</v>
          </cell>
          <cell r="BI267">
            <v>350</v>
          </cell>
          <cell r="BJ267">
            <v>1400</v>
          </cell>
          <cell r="BK267">
            <v>350</v>
          </cell>
          <cell r="BL267">
            <v>350</v>
          </cell>
          <cell r="BM267">
            <v>350</v>
          </cell>
          <cell r="BN267">
            <v>350</v>
          </cell>
          <cell r="BO267">
            <v>1400</v>
          </cell>
          <cell r="BP267">
            <v>350</v>
          </cell>
          <cell r="BQ267">
            <v>350</v>
          </cell>
          <cell r="BR267">
            <v>350</v>
          </cell>
          <cell r="BS267">
            <v>350</v>
          </cell>
          <cell r="BT267">
            <v>1400</v>
          </cell>
          <cell r="BU267">
            <v>350</v>
          </cell>
          <cell r="BV267">
            <v>350</v>
          </cell>
          <cell r="BW267">
            <v>350</v>
          </cell>
          <cell r="BX267">
            <v>350</v>
          </cell>
          <cell r="BY267">
            <v>1400</v>
          </cell>
          <cell r="BZ267">
            <v>350</v>
          </cell>
          <cell r="CA267">
            <v>350</v>
          </cell>
          <cell r="CB267">
            <v>350</v>
          </cell>
          <cell r="CC267">
            <v>350</v>
          </cell>
          <cell r="CD267">
            <v>1400</v>
          </cell>
        </row>
        <row r="269">
          <cell r="B269" t="str">
            <v>Other items % Other revenue</v>
          </cell>
          <cell r="G269">
            <v>0.72388244010866876</v>
          </cell>
          <cell r="L269">
            <v>0.68003014318010546</v>
          </cell>
          <cell r="Q269">
            <v>0.6960704607046071</v>
          </cell>
          <cell r="V269">
            <v>0.59563658099222949</v>
          </cell>
          <cell r="AA269">
            <v>0.88467261904761907</v>
          </cell>
          <cell r="AF269">
            <v>1.107443164123326</v>
          </cell>
          <cell r="AK269">
            <v>1.2484733628132239</v>
          </cell>
          <cell r="AP269">
            <v>1.6388779138680363</v>
          </cell>
          <cell r="AQ269">
            <v>1</v>
          </cell>
          <cell r="AR269">
            <v>1</v>
          </cell>
          <cell r="AS269">
            <v>1</v>
          </cell>
          <cell r="AT269">
            <v>1</v>
          </cell>
          <cell r="AU269">
            <v>1</v>
          </cell>
          <cell r="AV269">
            <v>1</v>
          </cell>
          <cell r="AW269">
            <v>1</v>
          </cell>
          <cell r="AX269">
            <v>1</v>
          </cell>
          <cell r="AY269">
            <v>1</v>
          </cell>
          <cell r="AZ269">
            <v>1</v>
          </cell>
          <cell r="BA269">
            <v>1</v>
          </cell>
          <cell r="BB269">
            <v>1</v>
          </cell>
          <cell r="BC269">
            <v>1</v>
          </cell>
          <cell r="BD269">
            <v>1</v>
          </cell>
          <cell r="BE269">
            <v>1</v>
          </cell>
          <cell r="BF269">
            <v>1</v>
          </cell>
          <cell r="BG269">
            <v>1</v>
          </cell>
          <cell r="BH269">
            <v>1</v>
          </cell>
          <cell r="BI269">
            <v>1</v>
          </cell>
          <cell r="BJ269">
            <v>1</v>
          </cell>
          <cell r="BK269">
            <v>1</v>
          </cell>
          <cell r="BL269">
            <v>1</v>
          </cell>
          <cell r="BM269">
            <v>1</v>
          </cell>
          <cell r="BN269">
            <v>1</v>
          </cell>
          <cell r="BO269">
            <v>1</v>
          </cell>
          <cell r="BP269">
            <v>1</v>
          </cell>
          <cell r="BQ269">
            <v>1</v>
          </cell>
          <cell r="BR269">
            <v>1</v>
          </cell>
          <cell r="BS269">
            <v>1</v>
          </cell>
          <cell r="BT269">
            <v>1</v>
          </cell>
          <cell r="BU269">
            <v>1</v>
          </cell>
          <cell r="BV269">
            <v>1</v>
          </cell>
          <cell r="BW269">
            <v>1</v>
          </cell>
          <cell r="BX269">
            <v>1</v>
          </cell>
          <cell r="BY269">
            <v>1</v>
          </cell>
          <cell r="BZ269">
            <v>1</v>
          </cell>
          <cell r="CA269">
            <v>1</v>
          </cell>
          <cell r="CB269">
            <v>1</v>
          </cell>
          <cell r="CC269">
            <v>1</v>
          </cell>
          <cell r="CD269">
            <v>1</v>
          </cell>
        </row>
        <row r="271">
          <cell r="B271" t="str">
            <v>Distribution</v>
          </cell>
        </row>
        <row r="272">
          <cell r="B272" t="str">
            <v>Purchases</v>
          </cell>
          <cell r="G272">
            <v>0.87922210849539406</v>
          </cell>
          <cell r="L272">
            <v>0.78058510638297873</v>
          </cell>
          <cell r="Q272">
            <v>0.79014989293361881</v>
          </cell>
          <cell r="V272">
            <v>0.87489546746947655</v>
          </cell>
          <cell r="AA272">
            <v>0.68040370058873001</v>
          </cell>
          <cell r="AF272">
            <v>0.82564679415073117</v>
          </cell>
          <cell r="AK272">
            <v>0.9455220104570754</v>
          </cell>
          <cell r="AP272">
            <v>0.8924783027965284</v>
          </cell>
          <cell r="AQ272">
            <v>0.89</v>
          </cell>
          <cell r="AR272">
            <v>0.89</v>
          </cell>
          <cell r="AS272">
            <v>0.89</v>
          </cell>
          <cell r="AT272">
            <v>0.89</v>
          </cell>
          <cell r="AU272">
            <v>0.89</v>
          </cell>
          <cell r="AV272">
            <v>0.89</v>
          </cell>
          <cell r="AW272">
            <v>0.89</v>
          </cell>
          <cell r="AX272">
            <v>0.89</v>
          </cell>
          <cell r="AY272">
            <v>0.89</v>
          </cell>
          <cell r="AZ272">
            <v>0.89</v>
          </cell>
          <cell r="BA272">
            <v>0.89</v>
          </cell>
          <cell r="BB272">
            <v>0.89</v>
          </cell>
          <cell r="BC272">
            <v>0.89</v>
          </cell>
          <cell r="BD272">
            <v>0.89</v>
          </cell>
          <cell r="BE272">
            <v>0.89</v>
          </cell>
          <cell r="BF272">
            <v>0.89</v>
          </cell>
          <cell r="BG272">
            <v>0.89</v>
          </cell>
          <cell r="BH272">
            <v>0.89</v>
          </cell>
          <cell r="BI272">
            <v>0.89</v>
          </cell>
          <cell r="BJ272">
            <v>0.89</v>
          </cell>
          <cell r="BK272">
            <v>0.89</v>
          </cell>
          <cell r="BL272">
            <v>0.89</v>
          </cell>
          <cell r="BM272">
            <v>0.89</v>
          </cell>
          <cell r="BN272">
            <v>0.89</v>
          </cell>
          <cell r="BO272">
            <v>0.89</v>
          </cell>
          <cell r="BP272">
            <v>0.89</v>
          </cell>
          <cell r="BQ272">
            <v>0.89</v>
          </cell>
          <cell r="BR272">
            <v>0.89</v>
          </cell>
          <cell r="BS272">
            <v>0.89</v>
          </cell>
          <cell r="BT272">
            <v>0.89</v>
          </cell>
          <cell r="BU272">
            <v>0.89</v>
          </cell>
          <cell r="BV272">
            <v>0.89</v>
          </cell>
          <cell r="BW272">
            <v>0.89</v>
          </cell>
          <cell r="BX272">
            <v>0.89</v>
          </cell>
          <cell r="BY272">
            <v>0.89</v>
          </cell>
          <cell r="BZ272">
            <v>0.89</v>
          </cell>
          <cell r="CA272">
            <v>0.89</v>
          </cell>
          <cell r="CB272">
            <v>0.89</v>
          </cell>
          <cell r="CC272">
            <v>0.89</v>
          </cell>
          <cell r="CD272">
            <v>0.89</v>
          </cell>
        </row>
        <row r="273">
          <cell r="B273" t="str">
            <v>Selling, distribution and admin expenses</v>
          </cell>
          <cell r="G273">
            <v>8.9048106448311154E-2</v>
          </cell>
          <cell r="L273">
            <v>0.12344858156028368</v>
          </cell>
          <cell r="Q273">
            <v>0.12672766205956784</v>
          </cell>
          <cell r="V273">
            <v>7.5765178123432017E-2</v>
          </cell>
          <cell r="AA273">
            <v>0.22750210260723297</v>
          </cell>
          <cell r="AF273">
            <v>0.11839145106861643</v>
          </cell>
          <cell r="AK273">
            <v>2.7154663518299881E-2</v>
          </cell>
          <cell r="AP273">
            <v>4.3635486981677914E-2</v>
          </cell>
          <cell r="AQ273">
            <v>0.04</v>
          </cell>
          <cell r="AR273">
            <v>0.04</v>
          </cell>
          <cell r="AS273">
            <v>0.04</v>
          </cell>
          <cell r="AT273">
            <v>0.04</v>
          </cell>
          <cell r="AU273">
            <v>0.04</v>
          </cell>
          <cell r="AV273">
            <v>0.04</v>
          </cell>
          <cell r="AW273">
            <v>0.04</v>
          </cell>
          <cell r="AX273">
            <v>0.04</v>
          </cell>
          <cell r="AY273">
            <v>0.04</v>
          </cell>
          <cell r="AZ273">
            <v>0.04</v>
          </cell>
          <cell r="BA273">
            <v>0.04</v>
          </cell>
          <cell r="BB273">
            <v>0.04</v>
          </cell>
          <cell r="BC273">
            <v>0.04</v>
          </cell>
          <cell r="BD273">
            <v>0.04</v>
          </cell>
          <cell r="BE273">
            <v>0.04</v>
          </cell>
          <cell r="BF273">
            <v>0.04</v>
          </cell>
          <cell r="BG273">
            <v>0.04</v>
          </cell>
          <cell r="BH273">
            <v>0.04</v>
          </cell>
          <cell r="BI273">
            <v>0.04</v>
          </cell>
          <cell r="BJ273">
            <v>0.04</v>
          </cell>
          <cell r="BK273">
            <v>0.04</v>
          </cell>
          <cell r="BL273">
            <v>0.04</v>
          </cell>
          <cell r="BM273">
            <v>0.04</v>
          </cell>
          <cell r="BN273">
            <v>0.04</v>
          </cell>
          <cell r="BO273">
            <v>0.04</v>
          </cell>
          <cell r="BP273">
            <v>0.04</v>
          </cell>
          <cell r="BQ273">
            <v>0.04</v>
          </cell>
          <cell r="BR273">
            <v>0.04</v>
          </cell>
          <cell r="BS273">
            <v>0.04</v>
          </cell>
          <cell r="BT273">
            <v>0.04</v>
          </cell>
          <cell r="BU273">
            <v>0.04</v>
          </cell>
          <cell r="BV273">
            <v>0.04</v>
          </cell>
          <cell r="BW273">
            <v>0.04</v>
          </cell>
          <cell r="BX273">
            <v>0.04</v>
          </cell>
          <cell r="BY273">
            <v>0.04</v>
          </cell>
          <cell r="BZ273">
            <v>0.04</v>
          </cell>
          <cell r="CA273">
            <v>0.04</v>
          </cell>
          <cell r="CB273">
            <v>0.04</v>
          </cell>
          <cell r="CC273">
            <v>0.04</v>
          </cell>
          <cell r="CD273">
            <v>0.04</v>
          </cell>
        </row>
        <row r="274">
          <cell r="B274" t="str">
            <v>Research and development</v>
          </cell>
          <cell r="G274">
            <v>3.1729785056294778E-2</v>
          </cell>
          <cell r="L274">
            <v>9.5966312056737585E-2</v>
          </cell>
          <cell r="Q274">
            <v>8.3122445006813317E-2</v>
          </cell>
          <cell r="V274">
            <v>4.9339354407091487E-2</v>
          </cell>
          <cell r="AA274">
            <v>9.2094196804037007E-2</v>
          </cell>
          <cell r="AF274">
            <v>5.596175478065242E-2</v>
          </cell>
          <cell r="AK274">
            <v>2.7323326024624724E-2</v>
          </cell>
          <cell r="AP274">
            <v>6.3886210221793638E-2</v>
          </cell>
          <cell r="AQ274">
            <v>6.9999999999999951E-2</v>
          </cell>
          <cell r="AR274">
            <v>6.9999999999999951E-2</v>
          </cell>
          <cell r="AS274">
            <v>6.9999999999999951E-2</v>
          </cell>
          <cell r="AT274">
            <v>6.9999999999999951E-2</v>
          </cell>
          <cell r="AU274">
            <v>6.9999999999999951E-2</v>
          </cell>
          <cell r="AV274">
            <v>6.9999999999999951E-2</v>
          </cell>
          <cell r="AW274">
            <v>6.9999999999999951E-2</v>
          </cell>
          <cell r="AX274">
            <v>6.9999999999999951E-2</v>
          </cell>
          <cell r="AY274">
            <v>6.9999999999999951E-2</v>
          </cell>
          <cell r="AZ274">
            <v>6.9999999999999951E-2</v>
          </cell>
          <cell r="BA274">
            <v>6.9999999999999951E-2</v>
          </cell>
          <cell r="BB274">
            <v>6.9999999999999951E-2</v>
          </cell>
          <cell r="BC274">
            <v>6.9999999999999951E-2</v>
          </cell>
          <cell r="BD274">
            <v>6.9999999999999951E-2</v>
          </cell>
          <cell r="BE274">
            <v>6.9999999999999951E-2</v>
          </cell>
          <cell r="BF274">
            <v>6.9999999999999951E-2</v>
          </cell>
          <cell r="BG274">
            <v>6.9999999999999951E-2</v>
          </cell>
          <cell r="BH274">
            <v>6.9999999999999951E-2</v>
          </cell>
          <cell r="BI274">
            <v>6.9999999999999951E-2</v>
          </cell>
          <cell r="BJ274">
            <v>6.9999999999999951E-2</v>
          </cell>
          <cell r="BK274">
            <v>6.9999999999999951E-2</v>
          </cell>
          <cell r="BL274">
            <v>6.9999999999999951E-2</v>
          </cell>
          <cell r="BM274">
            <v>6.9999999999999951E-2</v>
          </cell>
          <cell r="BN274">
            <v>6.9999999999999951E-2</v>
          </cell>
          <cell r="BO274">
            <v>6.9999999999999951E-2</v>
          </cell>
          <cell r="BP274">
            <v>6.9999999999999951E-2</v>
          </cell>
          <cell r="BQ274">
            <v>6.9999999999999951E-2</v>
          </cell>
          <cell r="BR274">
            <v>6.9999999999999951E-2</v>
          </cell>
          <cell r="BS274">
            <v>6.9999999999999951E-2</v>
          </cell>
          <cell r="BT274">
            <v>6.9999999999999951E-2</v>
          </cell>
          <cell r="BU274">
            <v>6.9999999999999951E-2</v>
          </cell>
          <cell r="BV274">
            <v>6.9999999999999951E-2</v>
          </cell>
          <cell r="BW274">
            <v>6.9999999999999951E-2</v>
          </cell>
          <cell r="BX274">
            <v>6.9999999999999951E-2</v>
          </cell>
          <cell r="BY274">
            <v>6.9999999999999951E-2</v>
          </cell>
          <cell r="BZ274">
            <v>6.9999999999999951E-2</v>
          </cell>
          <cell r="CA274">
            <v>6.9999999999999951E-2</v>
          </cell>
          <cell r="CB274">
            <v>6.9999999999999951E-2</v>
          </cell>
          <cell r="CC274">
            <v>6.9999999999999951E-2</v>
          </cell>
          <cell r="CD274">
            <v>6.9999999999999951E-2</v>
          </cell>
        </row>
        <row r="276">
          <cell r="A276" t="str">
            <v>Earnings</v>
          </cell>
        </row>
        <row r="277">
          <cell r="B277" t="str">
            <v>From oil and gas operations (FAS69)</v>
          </cell>
          <cell r="G277">
            <v>4197</v>
          </cell>
          <cell r="L277">
            <v>4122</v>
          </cell>
          <cell r="Q277">
            <v>4509</v>
          </cell>
          <cell r="V277">
            <v>6145</v>
          </cell>
          <cell r="AA277">
            <v>567</v>
          </cell>
          <cell r="AF277">
            <v>629</v>
          </cell>
          <cell r="AK277">
            <v>4508</v>
          </cell>
          <cell r="AP277">
            <v>696</v>
          </cell>
          <cell r="AQ277">
            <v>642.35049460784001</v>
          </cell>
          <cell r="AR277">
            <v>439.17807398336646</v>
          </cell>
          <cell r="AS277">
            <v>463.14510623982136</v>
          </cell>
          <cell r="AT277">
            <v>76.921080638984932</v>
          </cell>
          <cell r="AU277">
            <v>1621.5947554700128</v>
          </cell>
          <cell r="AV277">
            <v>489.19860979964523</v>
          </cell>
          <cell r="AW277">
            <v>542.35482958457976</v>
          </cell>
          <cell r="AX277">
            <v>596.67754530710374</v>
          </cell>
          <cell r="AY277">
            <v>633.32126060772191</v>
          </cell>
          <cell r="AZ277">
            <v>2261.5522452990499</v>
          </cell>
          <cell r="BA277">
            <v>401.41401501388157</v>
          </cell>
          <cell r="BB277">
            <v>406.78487485599697</v>
          </cell>
          <cell r="BC277">
            <v>412.15089764199337</v>
          </cell>
          <cell r="BD277">
            <v>400.88625857147701</v>
          </cell>
          <cell r="BE277">
            <v>1621.2360460833474</v>
          </cell>
          <cell r="BF277">
            <v>243.0534400836394</v>
          </cell>
          <cell r="BG277">
            <v>277.26917926486323</v>
          </cell>
          <cell r="BH277">
            <v>312.28388902716188</v>
          </cell>
          <cell r="BI277">
            <v>332.1009974594632</v>
          </cell>
          <cell r="BJ277">
            <v>1164.7075058351277</v>
          </cell>
          <cell r="BK277">
            <v>284.24672077013003</v>
          </cell>
          <cell r="BL277">
            <v>313.94225408639488</v>
          </cell>
          <cell r="BM277">
            <v>344.35178426772086</v>
          </cell>
          <cell r="BN277">
            <v>358.30047229218678</v>
          </cell>
          <cell r="BO277">
            <v>1300.8412314164329</v>
          </cell>
          <cell r="BP277">
            <v>328.18074886236445</v>
          </cell>
          <cell r="BQ277">
            <v>380.91672993313011</v>
          </cell>
          <cell r="BR277">
            <v>434.74540060475641</v>
          </cell>
          <cell r="BS277">
            <v>471.43715679672709</v>
          </cell>
          <cell r="BT277">
            <v>1615.2800361969762</v>
          </cell>
          <cell r="BU277">
            <v>438.91784504089634</v>
          </cell>
          <cell r="BV277">
            <v>498.28654551109241</v>
          </cell>
          <cell r="BW277">
            <v>559.6988428589973</v>
          </cell>
          <cell r="BX277">
            <v>602.4946105960928</v>
          </cell>
          <cell r="BY277">
            <v>2099.3978440070778</v>
          </cell>
          <cell r="BZ277">
            <v>567.85896385544856</v>
          </cell>
          <cell r="CA277">
            <v>635.3113394943905</v>
          </cell>
          <cell r="CB277">
            <v>704.43014690454117</v>
          </cell>
          <cell r="CC277">
            <v>752.5659151483743</v>
          </cell>
          <cell r="CD277">
            <v>2660.1663654027561</v>
          </cell>
        </row>
        <row r="278">
          <cell r="B278" t="str">
            <v>Upstream</v>
          </cell>
          <cell r="G278">
            <v>5008</v>
          </cell>
          <cell r="L278">
            <v>5079</v>
          </cell>
          <cell r="Q278">
            <v>5641</v>
          </cell>
          <cell r="V278">
            <v>7208</v>
          </cell>
          <cell r="AA278">
            <v>1145</v>
          </cell>
          <cell r="AF278">
            <v>730</v>
          </cell>
          <cell r="AK278">
            <v>4758</v>
          </cell>
          <cell r="AP278">
            <v>917</v>
          </cell>
          <cell r="AQ278">
            <v>310</v>
          </cell>
          <cell r="AR278">
            <v>-2230</v>
          </cell>
          <cell r="AS278">
            <v>-347</v>
          </cell>
          <cell r="AT278">
            <v>-1429</v>
          </cell>
          <cell r="AU278">
            <v>-3696</v>
          </cell>
          <cell r="AV278">
            <v>-291.29756784149106</v>
          </cell>
          <cell r="AW278">
            <v>-87.391348056556524</v>
          </cell>
          <cell r="AX278">
            <v>-33.068632334032714</v>
          </cell>
          <cell r="AY278">
            <v>171.07508296658563</v>
          </cell>
          <cell r="AZ278">
            <v>-240.68246526549467</v>
          </cell>
          <cell r="BA278">
            <v>278.46776707955092</v>
          </cell>
          <cell r="BB278">
            <v>283.8386269216652</v>
          </cell>
          <cell r="BC278">
            <v>289.20464970766193</v>
          </cell>
          <cell r="BD278">
            <v>277.94001063714575</v>
          </cell>
          <cell r="BE278">
            <v>1129.4510543460237</v>
          </cell>
          <cell r="BF278">
            <v>340.86991140933787</v>
          </cell>
          <cell r="BG278">
            <v>375.08565059056093</v>
          </cell>
          <cell r="BH278">
            <v>410.10036035286021</v>
          </cell>
          <cell r="BI278">
            <v>429.91746878516039</v>
          </cell>
          <cell r="BJ278">
            <v>1555.9733911379194</v>
          </cell>
          <cell r="BK278">
            <v>382.2350054457811</v>
          </cell>
          <cell r="BL278">
            <v>411.93053876204567</v>
          </cell>
          <cell r="BM278">
            <v>442.34006894337153</v>
          </cell>
          <cell r="BN278">
            <v>456.28875696783774</v>
          </cell>
          <cell r="BO278">
            <v>1692.7943701190361</v>
          </cell>
          <cell r="BP278">
            <v>428.23248205169227</v>
          </cell>
          <cell r="BQ278">
            <v>480.96846312245833</v>
          </cell>
          <cell r="BR278">
            <v>534.79713379408497</v>
          </cell>
          <cell r="BS278">
            <v>571.48888998605617</v>
          </cell>
          <cell r="BT278">
            <v>2015.4869689542916</v>
          </cell>
          <cell r="BU278">
            <v>542.01567206513346</v>
          </cell>
          <cell r="BV278">
            <v>601.38437253532925</v>
          </cell>
          <cell r="BW278">
            <v>662.79666988323493</v>
          </cell>
          <cell r="BX278">
            <v>705.59243762032975</v>
          </cell>
          <cell r="BY278">
            <v>2511.7891521040274</v>
          </cell>
          <cell r="BZ278">
            <v>674.5062274648709</v>
          </cell>
          <cell r="CA278">
            <v>741.95860310381318</v>
          </cell>
          <cell r="CB278">
            <v>811.07741051396329</v>
          </cell>
          <cell r="CC278">
            <v>859.21317875779755</v>
          </cell>
          <cell r="CD278">
            <v>3086.755419840445</v>
          </cell>
        </row>
        <row r="279">
          <cell r="B279" t="str">
            <v>Difference</v>
          </cell>
          <cell r="G279">
            <v>811</v>
          </cell>
          <cell r="L279">
            <v>957</v>
          </cell>
          <cell r="Q279">
            <v>1132</v>
          </cell>
          <cell r="V279">
            <v>1063</v>
          </cell>
          <cell r="AA279">
            <v>578</v>
          </cell>
          <cell r="AF279">
            <v>101</v>
          </cell>
          <cell r="AK279">
            <v>250</v>
          </cell>
          <cell r="AP279">
            <v>221</v>
          </cell>
          <cell r="AQ279">
            <v>-332.35049460784001</v>
          </cell>
          <cell r="AR279">
            <v>-2669.1780739833666</v>
          </cell>
          <cell r="AS279">
            <v>-810.14510623982142</v>
          </cell>
          <cell r="AT279">
            <v>-1505.9210806389849</v>
          </cell>
          <cell r="AU279">
            <v>-5317.5947554700124</v>
          </cell>
          <cell r="AV279">
            <v>-780.49617764113623</v>
          </cell>
          <cell r="AW279">
            <v>-629.74617764113623</v>
          </cell>
          <cell r="AX279">
            <v>-629.74617764113646</v>
          </cell>
          <cell r="AY279">
            <v>-462.24617764113628</v>
          </cell>
          <cell r="AZ279">
            <v>-2502.2347105645445</v>
          </cell>
          <cell r="BA279">
            <v>-122.94624793433064</v>
          </cell>
          <cell r="BB279">
            <v>-122.94624793433178</v>
          </cell>
          <cell r="BC279">
            <v>-122.94624793433144</v>
          </cell>
          <cell r="BD279">
            <v>-122.94624793433127</v>
          </cell>
          <cell r="BE279">
            <v>-491.78499173732371</v>
          </cell>
          <cell r="BF279">
            <v>97.816471325698473</v>
          </cell>
          <cell r="BG279">
            <v>97.816471325697705</v>
          </cell>
          <cell r="BH279">
            <v>97.81647132569833</v>
          </cell>
          <cell r="BI279">
            <v>97.816471325697194</v>
          </cell>
          <cell r="BJ279">
            <v>391.26588530279173</v>
          </cell>
          <cell r="BK279">
            <v>97.988284675651073</v>
          </cell>
          <cell r="BL279">
            <v>97.988284675650789</v>
          </cell>
          <cell r="BM279">
            <v>97.988284675650675</v>
          </cell>
          <cell r="BN279">
            <v>97.988284675650959</v>
          </cell>
          <cell r="BO279">
            <v>391.95313870260316</v>
          </cell>
          <cell r="BP279">
            <v>100.05173318932782</v>
          </cell>
          <cell r="BQ279">
            <v>100.05173318932822</v>
          </cell>
          <cell r="BR279">
            <v>100.05173318932856</v>
          </cell>
          <cell r="BS279">
            <v>100.05173318932907</v>
          </cell>
          <cell r="BT279">
            <v>400.20693275731537</v>
          </cell>
          <cell r="BU279">
            <v>103.09782702423712</v>
          </cell>
          <cell r="BV279">
            <v>103.09782702423684</v>
          </cell>
          <cell r="BW279">
            <v>103.09782702423763</v>
          </cell>
          <cell r="BX279">
            <v>103.09782702423695</v>
          </cell>
          <cell r="BY279">
            <v>412.39130809694961</v>
          </cell>
          <cell r="BZ279">
            <v>106.64726360942234</v>
          </cell>
          <cell r="CA279">
            <v>106.64726360942268</v>
          </cell>
          <cell r="CB279">
            <v>106.64726360942211</v>
          </cell>
          <cell r="CC279">
            <v>106.64726360942325</v>
          </cell>
          <cell r="CD279">
            <v>426.5890544376889</v>
          </cell>
        </row>
      </sheetData>
      <sheetData sheetId="10" refreshError="1">
        <row r="1">
          <cell r="BB1" t="str">
            <v>.</v>
          </cell>
        </row>
        <row r="2">
          <cell r="B2" t="str">
            <v>Royal Dutch Shell</v>
          </cell>
          <cell r="BB2" t="str">
            <v>.</v>
          </cell>
        </row>
        <row r="3">
          <cell r="B3" t="str">
            <v>Downstream</v>
          </cell>
          <cell r="BB3" t="str">
            <v>.</v>
          </cell>
        </row>
        <row r="4">
          <cell r="BB4" t="str">
            <v>.</v>
          </cell>
        </row>
        <row r="6">
          <cell r="A6" t="str">
            <v>Oil products</v>
          </cell>
        </row>
        <row r="8">
          <cell r="D8" t="str">
            <v>Benchmark refining margins</v>
          </cell>
        </row>
        <row r="9">
          <cell r="C9" t="str">
            <v>Refining intake</v>
          </cell>
          <cell r="D9" t="str">
            <v>USGC</v>
          </cell>
          <cell r="E9" t="str">
            <v>Rotterdam</v>
          </cell>
          <cell r="F9" t="str">
            <v>Model</v>
          </cell>
          <cell r="G9" t="str">
            <v>Difference</v>
          </cell>
          <cell r="H9" t="str">
            <v>Motiva upgrade</v>
          </cell>
          <cell r="I9" t="str">
            <v>Earnings Refining</v>
          </cell>
          <cell r="J9" t="str">
            <v>Marketing &amp; Others</v>
          </cell>
          <cell r="K9" t="str">
            <v>Total OP</v>
          </cell>
        </row>
        <row r="10">
          <cell r="B10" t="str">
            <v>1Q08</v>
          </cell>
          <cell r="C10">
            <v>3694</v>
          </cell>
          <cell r="D10">
            <v>4.58</v>
          </cell>
          <cell r="E10">
            <v>4.18</v>
          </cell>
          <cell r="F10">
            <v>408.61262593925983</v>
          </cell>
          <cell r="G10">
            <v>-305.61262593925983</v>
          </cell>
          <cell r="H10">
            <v>0</v>
          </cell>
          <cell r="I10">
            <v>103</v>
          </cell>
          <cell r="J10">
            <v>1092</v>
          </cell>
          <cell r="K10">
            <v>1195</v>
          </cell>
          <cell r="N10" t="str">
            <v>SUMMARY OUTPUT</v>
          </cell>
        </row>
        <row r="11">
          <cell r="B11" t="str">
            <v>2Q08</v>
          </cell>
          <cell r="C11">
            <v>3464</v>
          </cell>
          <cell r="D11">
            <v>7.17</v>
          </cell>
          <cell r="E11">
            <v>9.51</v>
          </cell>
          <cell r="F11">
            <v>535.20879895302517</v>
          </cell>
          <cell r="G11">
            <v>17.791201046974834</v>
          </cell>
          <cell r="H11">
            <v>0</v>
          </cell>
          <cell r="I11">
            <v>553</v>
          </cell>
          <cell r="J11">
            <v>791</v>
          </cell>
          <cell r="K11">
            <v>1344</v>
          </cell>
        </row>
        <row r="12">
          <cell r="B12" t="str">
            <v>3Q08</v>
          </cell>
          <cell r="C12">
            <v>3273</v>
          </cell>
          <cell r="D12">
            <v>8.14</v>
          </cell>
          <cell r="E12">
            <v>10.44</v>
          </cell>
          <cell r="F12">
            <v>382.71721804301569</v>
          </cell>
          <cell r="G12">
            <v>126.28278195698431</v>
          </cell>
          <cell r="H12">
            <v>0</v>
          </cell>
          <cell r="I12">
            <v>509</v>
          </cell>
          <cell r="J12">
            <v>1317</v>
          </cell>
          <cell r="K12">
            <v>1826</v>
          </cell>
          <cell r="N12" t="str">
            <v>Regression Statistics</v>
          </cell>
        </row>
        <row r="13">
          <cell r="B13" t="str">
            <v>4Q08</v>
          </cell>
          <cell r="C13">
            <v>3125</v>
          </cell>
          <cell r="D13">
            <v>2.62</v>
          </cell>
          <cell r="E13">
            <v>8.9600000000000009</v>
          </cell>
          <cell r="F13">
            <v>-63.844963883955643</v>
          </cell>
          <cell r="G13">
            <v>135.84496388395564</v>
          </cell>
          <cell r="H13">
            <v>0</v>
          </cell>
          <cell r="I13">
            <v>72</v>
          </cell>
          <cell r="J13">
            <v>891</v>
          </cell>
          <cell r="K13">
            <v>963</v>
          </cell>
          <cell r="N13" t="str">
            <v>Multiple R</v>
          </cell>
          <cell r="O13">
            <v>0.85294302200975347</v>
          </cell>
        </row>
        <row r="14">
          <cell r="B14" t="str">
            <v>1Q09</v>
          </cell>
          <cell r="C14">
            <v>3153</v>
          </cell>
          <cell r="D14">
            <v>7.28</v>
          </cell>
          <cell r="E14">
            <v>4.6500000000000004</v>
          </cell>
          <cell r="F14">
            <v>-162.23120437173543</v>
          </cell>
          <cell r="G14">
            <v>160.23120437173543</v>
          </cell>
          <cell r="H14">
            <v>0</v>
          </cell>
          <cell r="I14">
            <v>-2</v>
          </cell>
          <cell r="J14">
            <v>1265</v>
          </cell>
          <cell r="K14">
            <v>1263</v>
          </cell>
          <cell r="N14" t="str">
            <v>R Square</v>
          </cell>
          <cell r="O14">
            <v>0.72751179879513084</v>
          </cell>
        </row>
        <row r="15">
          <cell r="B15" t="str">
            <v>2Q09</v>
          </cell>
          <cell r="C15">
            <v>3136</v>
          </cell>
          <cell r="D15">
            <v>4.9000000000000004</v>
          </cell>
          <cell r="E15">
            <v>3.13</v>
          </cell>
          <cell r="F15">
            <v>-351.79320089499242</v>
          </cell>
          <cell r="G15">
            <v>-176.20679910500758</v>
          </cell>
          <cell r="H15">
            <v>0</v>
          </cell>
          <cell r="I15">
            <v>-528</v>
          </cell>
          <cell r="J15">
            <v>882</v>
          </cell>
          <cell r="K15">
            <v>354</v>
          </cell>
          <cell r="N15" t="str">
            <v>Adjusted R Square</v>
          </cell>
          <cell r="O15">
            <v>0.68209709859431933</v>
          </cell>
        </row>
        <row r="16">
          <cell r="B16" t="str">
            <v>3Q09</v>
          </cell>
          <cell r="C16">
            <v>2997</v>
          </cell>
          <cell r="D16">
            <v>3.57</v>
          </cell>
          <cell r="E16">
            <v>3.28</v>
          </cell>
          <cell r="F16">
            <v>-557.45933176883068</v>
          </cell>
          <cell r="G16">
            <v>103.45933176883068</v>
          </cell>
          <cell r="H16">
            <v>0</v>
          </cell>
          <cell r="I16">
            <v>-454</v>
          </cell>
          <cell r="J16">
            <v>1041</v>
          </cell>
          <cell r="K16">
            <v>587</v>
          </cell>
          <cell r="N16" t="str">
            <v>Standard Error</v>
          </cell>
          <cell r="O16">
            <v>226.25170280352947</v>
          </cell>
        </row>
        <row r="17">
          <cell r="B17" t="str">
            <v>4Q09</v>
          </cell>
          <cell r="C17">
            <v>2986</v>
          </cell>
          <cell r="D17">
            <v>1.33</v>
          </cell>
          <cell r="E17">
            <v>2.66</v>
          </cell>
          <cell r="F17">
            <v>-678.0723293692887</v>
          </cell>
          <cell r="G17">
            <v>-215.9276706307113</v>
          </cell>
          <cell r="H17">
            <v>0</v>
          </cell>
          <cell r="I17">
            <v>-894</v>
          </cell>
          <cell r="J17">
            <v>282</v>
          </cell>
          <cell r="K17">
            <v>-612</v>
          </cell>
          <cell r="N17" t="str">
            <v>Observations</v>
          </cell>
          <cell r="O17">
            <v>22</v>
          </cell>
        </row>
        <row r="18">
          <cell r="B18" t="str">
            <v>1Q10</v>
          </cell>
          <cell r="C18">
            <v>2998</v>
          </cell>
          <cell r="D18">
            <v>3.01</v>
          </cell>
          <cell r="E18">
            <v>3.38</v>
          </cell>
          <cell r="F18">
            <v>-566.6859729911879</v>
          </cell>
          <cell r="G18">
            <v>157.6859729911879</v>
          </cell>
          <cell r="H18">
            <v>0</v>
          </cell>
          <cell r="I18">
            <v>-409</v>
          </cell>
          <cell r="J18">
            <v>874</v>
          </cell>
          <cell r="K18">
            <v>465</v>
          </cell>
        </row>
        <row r="19">
          <cell r="B19" t="str">
            <v>2Q10</v>
          </cell>
          <cell r="C19">
            <v>3296</v>
          </cell>
          <cell r="D19">
            <v>5.39</v>
          </cell>
          <cell r="E19">
            <v>3.77</v>
          </cell>
          <cell r="F19">
            <v>-94.729780546694201</v>
          </cell>
          <cell r="G19">
            <v>-42.270219453305799</v>
          </cell>
          <cell r="H19">
            <v>0</v>
          </cell>
          <cell r="I19">
            <v>-137</v>
          </cell>
          <cell r="J19">
            <v>853</v>
          </cell>
          <cell r="K19">
            <v>716</v>
          </cell>
          <cell r="N19" t="str">
            <v>ANOVA</v>
          </cell>
        </row>
        <row r="20">
          <cell r="B20" t="str">
            <v>3Q10</v>
          </cell>
          <cell r="C20">
            <v>3292</v>
          </cell>
          <cell r="D20">
            <v>3.69</v>
          </cell>
          <cell r="E20">
            <v>2.83</v>
          </cell>
          <cell r="F20">
            <v>-210.61053292435639</v>
          </cell>
          <cell r="G20">
            <v>119.61053292435639</v>
          </cell>
          <cell r="H20">
            <v>0</v>
          </cell>
          <cell r="I20">
            <v>-91</v>
          </cell>
          <cell r="J20">
            <v>1229</v>
          </cell>
          <cell r="K20">
            <v>1138</v>
          </cell>
          <cell r="O20" t="str">
            <v>df</v>
          </cell>
          <cell r="P20" t="str">
            <v>SS</v>
          </cell>
          <cell r="Q20" t="str">
            <v>MS</v>
          </cell>
          <cell r="R20" t="str">
            <v>F</v>
          </cell>
          <cell r="S20" t="str">
            <v>Significance F</v>
          </cell>
        </row>
        <row r="21">
          <cell r="B21" t="str">
            <v>4Q10</v>
          </cell>
          <cell r="C21">
            <v>3201</v>
          </cell>
          <cell r="D21">
            <v>4.5</v>
          </cell>
          <cell r="E21">
            <v>1.1000000000000001</v>
          </cell>
          <cell r="F21">
            <v>-410.85799544145692</v>
          </cell>
          <cell r="G21">
            <v>-56.142004558543078</v>
          </cell>
          <cell r="H21">
            <v>0</v>
          </cell>
          <cell r="I21">
            <v>-467</v>
          </cell>
          <cell r="J21">
            <v>375</v>
          </cell>
          <cell r="K21">
            <v>-92</v>
          </cell>
          <cell r="N21" t="str">
            <v>Regression</v>
          </cell>
          <cell r="O21">
            <v>3</v>
          </cell>
          <cell r="P21">
            <v>2460076.1870157137</v>
          </cell>
          <cell r="Q21">
            <v>820025.39567190455</v>
          </cell>
          <cell r="R21">
            <v>16.019302022875198</v>
          </cell>
          <cell r="S21">
            <v>2.5351634513509194E-5</v>
          </cell>
        </row>
        <row r="22">
          <cell r="B22" t="str">
            <v>1Q11</v>
          </cell>
          <cell r="C22">
            <v>3030</v>
          </cell>
          <cell r="D22">
            <v>12.05</v>
          </cell>
          <cell r="E22">
            <v>0.54</v>
          </cell>
          <cell r="F22">
            <v>-434.92945545580881</v>
          </cell>
          <cell r="G22">
            <v>472.92945545580881</v>
          </cell>
          <cell r="H22">
            <v>0</v>
          </cell>
          <cell r="I22">
            <v>38</v>
          </cell>
          <cell r="J22">
            <v>1126</v>
          </cell>
          <cell r="K22">
            <v>1164</v>
          </cell>
          <cell r="N22" t="str">
            <v>Residual</v>
          </cell>
          <cell r="O22">
            <v>18</v>
          </cell>
          <cell r="P22">
            <v>921416.99438693933</v>
          </cell>
          <cell r="Q22">
            <v>51189.833021496626</v>
          </cell>
        </row>
        <row r="23">
          <cell r="B23" t="str">
            <v>2Q11</v>
          </cell>
          <cell r="C23">
            <v>2834</v>
          </cell>
          <cell r="D23">
            <v>16.8</v>
          </cell>
          <cell r="E23">
            <v>3.33</v>
          </cell>
          <cell r="F23">
            <v>-361.8886286251319</v>
          </cell>
          <cell r="G23">
            <v>0</v>
          </cell>
          <cell r="H23">
            <v>0</v>
          </cell>
          <cell r="I23">
            <v>-361.8886286251319</v>
          </cell>
          <cell r="J23">
            <v>614.4766197458332</v>
          </cell>
          <cell r="K23">
            <v>551</v>
          </cell>
          <cell r="N23" t="str">
            <v>Total</v>
          </cell>
          <cell r="O23">
            <v>21</v>
          </cell>
          <cell r="P23">
            <v>3381493.181402653</v>
          </cell>
        </row>
        <row r="24">
          <cell r="B24" t="str">
            <v>3Q11</v>
          </cell>
          <cell r="C24">
            <v>2854</v>
          </cell>
          <cell r="D24">
            <v>26.48</v>
          </cell>
          <cell r="E24">
            <v>3.56</v>
          </cell>
          <cell r="F24">
            <v>-30.976609128395012</v>
          </cell>
          <cell r="G24">
            <v>-70.023390871604988</v>
          </cell>
          <cell r="H24">
            <v>0</v>
          </cell>
          <cell r="I24">
            <v>-101</v>
          </cell>
          <cell r="J24">
            <v>1245</v>
          </cell>
          <cell r="K24">
            <v>1144</v>
          </cell>
        </row>
        <row r="25">
          <cell r="B25" t="str">
            <v>4Q11</v>
          </cell>
          <cell r="C25">
            <v>2666</v>
          </cell>
          <cell r="D25">
            <v>16.22</v>
          </cell>
          <cell r="E25">
            <v>3.72</v>
          </cell>
          <cell r="F25">
            <v>-566.30676524795592</v>
          </cell>
          <cell r="G25">
            <v>-397.69323475204408</v>
          </cell>
          <cell r="H25">
            <v>0</v>
          </cell>
          <cell r="I25">
            <v>-964</v>
          </cell>
          <cell r="J25">
            <v>306</v>
          </cell>
          <cell r="K25">
            <v>-658</v>
          </cell>
          <cell r="O25" t="str">
            <v>Coefficients</v>
          </cell>
          <cell r="P25" t="str">
            <v>Standard Error</v>
          </cell>
          <cell r="Q25" t="str">
            <v>t Stat</v>
          </cell>
          <cell r="R25" t="str">
            <v>P-value</v>
          </cell>
          <cell r="S25" t="str">
            <v>Lower 95%</v>
          </cell>
          <cell r="T25" t="str">
            <v>Upper 95%</v>
          </cell>
          <cell r="U25" t="str">
            <v>Lower 95.0%</v>
          </cell>
          <cell r="V25" t="str">
            <v>Upper 95.0%</v>
          </cell>
        </row>
        <row r="26">
          <cell r="B26" t="str">
            <v>1Q12</v>
          </cell>
          <cell r="C26">
            <v>2782</v>
          </cell>
          <cell r="D26">
            <v>18.510000000000002</v>
          </cell>
          <cell r="E26">
            <v>4.34</v>
          </cell>
          <cell r="F26">
            <v>-311.84448733251861</v>
          </cell>
          <cell r="G26">
            <v>110.84448733251861</v>
          </cell>
          <cell r="H26">
            <v>0</v>
          </cell>
          <cell r="I26">
            <v>-201</v>
          </cell>
          <cell r="J26">
            <v>823</v>
          </cell>
          <cell r="K26">
            <v>622</v>
          </cell>
          <cell r="N26" t="str">
            <v>Intercept</v>
          </cell>
          <cell r="O26">
            <v>-4650.7151839555099</v>
          </cell>
          <cell r="P26">
            <v>893.79053690128683</v>
          </cell>
          <cell r="Q26">
            <v>-5.2033614050997166</v>
          </cell>
          <cell r="R26">
            <v>5.9910494634739953E-5</v>
          </cell>
          <cell r="S26">
            <v>-6528.4994192694094</v>
          </cell>
          <cell r="T26">
            <v>-2772.9309486416105</v>
          </cell>
          <cell r="U26">
            <v>-6528.4994192694094</v>
          </cell>
          <cell r="V26">
            <v>-2772.9309486416105</v>
          </cell>
        </row>
        <row r="27">
          <cell r="B27" t="str">
            <v>2Q12</v>
          </cell>
          <cell r="C27">
            <v>2810</v>
          </cell>
          <cell r="D27">
            <v>20.98</v>
          </cell>
          <cell r="E27">
            <v>7.76</v>
          </cell>
          <cell r="F27">
            <v>14.994429173279059</v>
          </cell>
          <cell r="G27">
            <v>-195.99442917327906</v>
          </cell>
          <cell r="H27">
            <v>0</v>
          </cell>
          <cell r="I27">
            <v>-181</v>
          </cell>
          <cell r="J27">
            <v>1028</v>
          </cell>
          <cell r="K27">
            <v>847</v>
          </cell>
          <cell r="N27" t="str">
            <v>Refining intake</v>
          </cell>
          <cell r="O27">
            <v>1.2604353157529522</v>
          </cell>
          <cell r="P27">
            <v>0.27854674446990857</v>
          </cell>
          <cell r="Q27">
            <v>4.5250405570226189</v>
          </cell>
          <cell r="R27">
            <v>2.6212123886681801E-4</v>
          </cell>
          <cell r="S27">
            <v>0.67523032200018107</v>
          </cell>
          <cell r="T27">
            <v>1.8456403095057232</v>
          </cell>
          <cell r="U27">
            <v>0.67523032200018107</v>
          </cell>
          <cell r="V27">
            <v>1.8456403095057232</v>
          </cell>
        </row>
        <row r="28">
          <cell r="B28" t="str">
            <v>3Q12</v>
          </cell>
          <cell r="C28">
            <v>2880</v>
          </cell>
          <cell r="D28">
            <v>26.49</v>
          </cell>
          <cell r="E28">
            <v>9.31</v>
          </cell>
          <cell r="F28">
            <v>367.38899420426867</v>
          </cell>
          <cell r="G28">
            <v>92.61100579573133</v>
          </cell>
          <cell r="H28">
            <v>0</v>
          </cell>
          <cell r="I28">
            <v>460</v>
          </cell>
          <cell r="J28">
            <v>982</v>
          </cell>
          <cell r="K28">
            <v>1442</v>
          </cell>
          <cell r="N28" t="str">
            <v>USGC</v>
          </cell>
          <cell r="O28">
            <v>30.071443218392702</v>
          </cell>
          <cell r="P28">
            <v>8.3991880820927225</v>
          </cell>
          <cell r="Q28">
            <v>3.5802797751970532</v>
          </cell>
          <cell r="R28">
            <v>2.1389890074214675E-3</v>
          </cell>
          <cell r="S28">
            <v>12.425403884982307</v>
          </cell>
          <cell r="T28">
            <v>47.717482551803094</v>
          </cell>
          <cell r="U28">
            <v>12.425403884982307</v>
          </cell>
          <cell r="V28">
            <v>47.717482551803094</v>
          </cell>
        </row>
        <row r="29">
          <cell r="B29" t="str">
            <v>4Q12</v>
          </cell>
          <cell r="C29">
            <v>2804</v>
          </cell>
          <cell r="D29">
            <v>22.28</v>
          </cell>
          <cell r="E29">
            <v>5.93</v>
          </cell>
          <cell r="F29">
            <v>-69.733955991998243</v>
          </cell>
          <cell r="G29">
            <v>171.73395599199824</v>
          </cell>
          <cell r="H29">
            <v>0</v>
          </cell>
          <cell r="I29">
            <v>102</v>
          </cell>
          <cell r="J29">
            <v>852</v>
          </cell>
          <cell r="K29">
            <v>954</v>
          </cell>
          <cell r="N29" t="str">
            <v>Rotterdam</v>
          </cell>
          <cell r="O29">
            <v>63.52931664189618</v>
          </cell>
          <cell r="P29">
            <v>19.587592679057199</v>
          </cell>
          <cell r="Q29">
            <v>3.2433447888581481</v>
          </cell>
          <cell r="R29">
            <v>4.5110587906697641E-3</v>
          </cell>
          <cell r="S29">
            <v>22.377311533404182</v>
          </cell>
          <cell r="T29">
            <v>104.68132175038818</v>
          </cell>
          <cell r="U29">
            <v>22.377311533404182</v>
          </cell>
          <cell r="V29">
            <v>104.68132175038818</v>
          </cell>
        </row>
        <row r="30">
          <cell r="B30" t="str">
            <v>1Q13</v>
          </cell>
          <cell r="C30">
            <v>2890</v>
          </cell>
          <cell r="D30">
            <v>22.29</v>
          </cell>
          <cell r="E30">
            <v>4.6399999999999997</v>
          </cell>
          <cell r="F30">
            <v>-42.988622873106635</v>
          </cell>
          <cell r="G30">
            <v>123.82141745643997</v>
          </cell>
          <cell r="H30">
            <v>17.167205416666668</v>
          </cell>
          <cell r="I30">
            <v>98</v>
          </cell>
          <cell r="J30">
            <v>1193</v>
          </cell>
          <cell r="K30">
            <v>1291</v>
          </cell>
        </row>
        <row r="31">
          <cell r="B31" t="str">
            <v>2Q13</v>
          </cell>
          <cell r="C31">
            <v>2914</v>
          </cell>
          <cell r="D31">
            <v>16.28</v>
          </cell>
          <cell r="E31">
            <v>5.72</v>
          </cell>
          <cell r="F31">
            <v>-124.85588706432782</v>
          </cell>
          <cell r="G31">
            <v>-485.9728388523389</v>
          </cell>
          <cell r="H31">
            <v>112.8287259166667</v>
          </cell>
          <cell r="I31">
            <v>-498</v>
          </cell>
          <cell r="J31">
            <v>1328</v>
          </cell>
          <cell r="K31">
            <v>830</v>
          </cell>
        </row>
        <row r="32">
          <cell r="B32" t="str">
            <v>3Q13</v>
          </cell>
          <cell r="C32">
            <v>2947</v>
          </cell>
          <cell r="D32">
            <v>6.2</v>
          </cell>
          <cell r="E32">
            <v>1.89</v>
          </cell>
          <cell r="F32">
            <v>-629.69895202434145</v>
          </cell>
          <cell r="G32">
            <v>-364.1730158923254</v>
          </cell>
          <cell r="H32">
            <v>15.791967916666669</v>
          </cell>
          <cell r="I32">
            <v>-978.08000000000015</v>
          </cell>
          <cell r="J32">
            <v>1279.0800000000002</v>
          </cell>
          <cell r="K32">
            <v>301</v>
          </cell>
        </row>
        <row r="33">
          <cell r="B33" t="str">
            <v>4Q13</v>
          </cell>
          <cell r="C33">
            <v>2910</v>
          </cell>
          <cell r="D33">
            <v>8.5</v>
          </cell>
          <cell r="E33">
            <v>3.76</v>
          </cell>
          <cell r="F33">
            <v>-488.37091718455133</v>
          </cell>
          <cell r="G33">
            <v>107.11762551788462</v>
          </cell>
          <cell r="H33">
            <v>37.933291666666669</v>
          </cell>
          <cell r="I33">
            <v>-343.32000000000005</v>
          </cell>
          <cell r="J33">
            <v>595.32000000000005</v>
          </cell>
          <cell r="K33">
            <v>252</v>
          </cell>
        </row>
        <row r="34">
          <cell r="B34" t="str">
            <v>1Q14</v>
          </cell>
          <cell r="C34">
            <v>2800</v>
          </cell>
          <cell r="D34">
            <v>13.659999999999997</v>
          </cell>
          <cell r="E34">
            <v>5</v>
          </cell>
          <cell r="F34">
            <v>-393.07380227451858</v>
          </cell>
          <cell r="G34">
            <v>0</v>
          </cell>
          <cell r="H34">
            <v>87.606870166666653</v>
          </cell>
          <cell r="I34">
            <v>-305.4669321078519</v>
          </cell>
          <cell r="J34">
            <v>1047.0153677636574</v>
          </cell>
          <cell r="K34">
            <v>741.54843565580552</v>
          </cell>
          <cell r="N34" t="str">
            <v>Marketing &amp; Others: Quarterly average</v>
          </cell>
        </row>
        <row r="35">
          <cell r="B35" t="str">
            <v>2Q14</v>
          </cell>
          <cell r="C35">
            <v>2850</v>
          </cell>
          <cell r="D35">
            <v>13.659999999999997</v>
          </cell>
          <cell r="E35">
            <v>5</v>
          </cell>
          <cell r="F35">
            <v>-330.05203648687075</v>
          </cell>
          <cell r="G35">
            <v>0</v>
          </cell>
          <cell r="H35">
            <v>87.606870166666653</v>
          </cell>
          <cell r="I35">
            <v>-242.44516632020409</v>
          </cell>
          <cell r="J35">
            <v>1151.7169045400233</v>
          </cell>
          <cell r="K35">
            <v>909.27173821981921</v>
          </cell>
          <cell r="N35" t="str">
            <v>Marketing &amp; Others</v>
          </cell>
          <cell r="O35" t="str">
            <v>Average</v>
          </cell>
          <cell r="P35" t="str">
            <v>St Dev</v>
          </cell>
        </row>
        <row r="36">
          <cell r="B36" t="str">
            <v>3Q14</v>
          </cell>
          <cell r="C36">
            <v>2850</v>
          </cell>
          <cell r="D36">
            <v>13.659999999999997</v>
          </cell>
          <cell r="E36">
            <v>5</v>
          </cell>
          <cell r="F36">
            <v>-330.05203648687075</v>
          </cell>
          <cell r="G36">
            <v>0</v>
          </cell>
          <cell r="H36">
            <v>87.606870166666653</v>
          </cell>
          <cell r="I36">
            <v>-242.44516632020409</v>
          </cell>
          <cell r="J36">
            <v>1151.7169045400233</v>
          </cell>
          <cell r="K36">
            <v>909.27173821981921</v>
          </cell>
          <cell r="N36" t="str">
            <v>1Q</v>
          </cell>
          <cell r="O36">
            <v>1062.1666666666667</v>
          </cell>
          <cell r="P36">
            <v>161.15770399070456</v>
          </cell>
        </row>
        <row r="37">
          <cell r="B37" t="str">
            <v>4Q14</v>
          </cell>
          <cell r="C37">
            <v>2850</v>
          </cell>
          <cell r="D37">
            <v>13.659999999999997</v>
          </cell>
          <cell r="E37">
            <v>5</v>
          </cell>
          <cell r="F37">
            <v>-330.05203648687075</v>
          </cell>
          <cell r="G37">
            <v>0</v>
          </cell>
          <cell r="H37">
            <v>87.606870166666653</v>
          </cell>
          <cell r="I37">
            <v>-242.44516632020409</v>
          </cell>
          <cell r="J37">
            <v>595.32000000000005</v>
          </cell>
          <cell r="K37">
            <v>352.87483367979598</v>
          </cell>
          <cell r="N37" t="str">
            <v>2Q</v>
          </cell>
          <cell r="O37">
            <v>916.07943662430546</v>
          </cell>
          <cell r="P37">
            <v>221.34223538027993</v>
          </cell>
        </row>
        <row r="38">
          <cell r="B38" t="str">
            <v>1Q15</v>
          </cell>
          <cell r="C38">
            <v>2850</v>
          </cell>
          <cell r="D38">
            <v>15.129999999999995</v>
          </cell>
          <cell r="E38">
            <v>5</v>
          </cell>
          <cell r="F38">
            <v>-285.84701495583363</v>
          </cell>
          <cell r="G38">
            <v>0</v>
          </cell>
          <cell r="H38">
            <v>101.75806404166661</v>
          </cell>
          <cell r="I38">
            <v>-184.08895091416701</v>
          </cell>
          <cell r="J38">
            <v>1073.1907519577487</v>
          </cell>
          <cell r="K38">
            <v>889.10180104358164</v>
          </cell>
          <cell r="N38" t="str">
            <v>3Q</v>
          </cell>
          <cell r="O38">
            <v>1162.8</v>
          </cell>
          <cell r="P38">
            <v>128.40623037843608</v>
          </cell>
        </row>
        <row r="39">
          <cell r="B39" t="str">
            <v>2Q15</v>
          </cell>
          <cell r="C39">
            <v>2850</v>
          </cell>
          <cell r="D39">
            <v>15.129999999999995</v>
          </cell>
          <cell r="E39">
            <v>5</v>
          </cell>
          <cell r="F39">
            <v>-285.84701495583363</v>
          </cell>
          <cell r="G39">
            <v>0</v>
          </cell>
          <cell r="H39">
            <v>101.75806404166661</v>
          </cell>
          <cell r="I39">
            <v>-184.08895091416701</v>
          </cell>
          <cell r="J39">
            <v>1180.5098271535237</v>
          </cell>
          <cell r="K39">
            <v>996.42087623935663</v>
          </cell>
          <cell r="N39" t="str">
            <v>4Q</v>
          </cell>
          <cell r="O39">
            <v>541.20000000000005</v>
          </cell>
          <cell r="P39">
            <v>271.69203153570771</v>
          </cell>
        </row>
        <row r="40">
          <cell r="B40" t="str">
            <v>3Q15</v>
          </cell>
          <cell r="C40">
            <v>2850</v>
          </cell>
          <cell r="D40">
            <v>15.129999999999995</v>
          </cell>
          <cell r="E40">
            <v>5</v>
          </cell>
          <cell r="F40">
            <v>-285.84701495583363</v>
          </cell>
          <cell r="G40">
            <v>0</v>
          </cell>
          <cell r="H40">
            <v>101.75806404166661</v>
          </cell>
          <cell r="I40">
            <v>-184.08895091416701</v>
          </cell>
          <cell r="J40">
            <v>1180.5098271535237</v>
          </cell>
          <cell r="K40">
            <v>996.42087623935663</v>
          </cell>
        </row>
        <row r="41">
          <cell r="B41" t="str">
            <v>4Q15</v>
          </cell>
          <cell r="C41">
            <v>2850</v>
          </cell>
          <cell r="D41">
            <v>15.129999999999995</v>
          </cell>
          <cell r="E41">
            <v>5</v>
          </cell>
          <cell r="F41">
            <v>-285.84701495583363</v>
          </cell>
          <cell r="G41">
            <v>0</v>
          </cell>
          <cell r="H41">
            <v>101.75806404166661</v>
          </cell>
          <cell r="I41">
            <v>-184.08895091416701</v>
          </cell>
          <cell r="J41">
            <v>610.20299999999997</v>
          </cell>
          <cell r="K41">
            <v>426.11404908583296</v>
          </cell>
          <cell r="N41" t="str">
            <v>Sum</v>
          </cell>
          <cell r="O41">
            <v>3682.2461032909723</v>
          </cell>
        </row>
        <row r="42">
          <cell r="B42" t="str">
            <v>1Q16</v>
          </cell>
          <cell r="C42">
            <v>2850</v>
          </cell>
          <cell r="D42">
            <v>18.22</v>
          </cell>
          <cell r="E42">
            <v>5</v>
          </cell>
          <cell r="F42">
            <v>-192.92625541100006</v>
          </cell>
          <cell r="G42">
            <v>0</v>
          </cell>
          <cell r="H42">
            <v>131.50445116666666</v>
          </cell>
          <cell r="I42">
            <v>-61.421804244333401</v>
          </cell>
          <cell r="J42">
            <v>1100.0205207566923</v>
          </cell>
          <cell r="K42">
            <v>1038.598716512359</v>
          </cell>
          <cell r="N42" t="str">
            <v>Last 4 quarters</v>
          </cell>
          <cell r="O42">
            <v>4055</v>
          </cell>
        </row>
        <row r="43">
          <cell r="B43" t="str">
            <v>2Q16</v>
          </cell>
          <cell r="C43">
            <v>2850</v>
          </cell>
          <cell r="D43">
            <v>18.22</v>
          </cell>
          <cell r="E43">
            <v>5</v>
          </cell>
          <cell r="F43">
            <v>-192.92625541100006</v>
          </cell>
          <cell r="G43">
            <v>0</v>
          </cell>
          <cell r="H43">
            <v>131.50445116666666</v>
          </cell>
          <cell r="I43">
            <v>-61.421804244333401</v>
          </cell>
          <cell r="J43">
            <v>1210.0225728323617</v>
          </cell>
          <cell r="K43">
            <v>1148.6007685880284</v>
          </cell>
          <cell r="N43" t="str">
            <v>Difference</v>
          </cell>
          <cell r="O43">
            <v>1.1012300335862621</v>
          </cell>
        </row>
        <row r="44">
          <cell r="B44" t="str">
            <v>3Q16</v>
          </cell>
          <cell r="C44">
            <v>2850</v>
          </cell>
          <cell r="D44">
            <v>18.22</v>
          </cell>
          <cell r="E44">
            <v>5</v>
          </cell>
          <cell r="F44">
            <v>-192.92625541100006</v>
          </cell>
          <cell r="G44">
            <v>0</v>
          </cell>
          <cell r="H44">
            <v>131.50445116666666</v>
          </cell>
          <cell r="I44">
            <v>-61.421804244333401</v>
          </cell>
          <cell r="J44">
            <v>1210.0225728323617</v>
          </cell>
          <cell r="K44">
            <v>1148.6007685880284</v>
          </cell>
        </row>
        <row r="45">
          <cell r="B45" t="str">
            <v>4Q16</v>
          </cell>
          <cell r="C45">
            <v>2850</v>
          </cell>
          <cell r="D45">
            <v>18.22</v>
          </cell>
          <cell r="E45">
            <v>5</v>
          </cell>
          <cell r="F45">
            <v>-192.92625541100006</v>
          </cell>
          <cell r="G45">
            <v>0</v>
          </cell>
          <cell r="H45">
            <v>131.50445116666666</v>
          </cell>
          <cell r="I45">
            <v>-61.421804244333401</v>
          </cell>
          <cell r="J45">
            <v>625.45807499999989</v>
          </cell>
          <cell r="K45">
            <v>564.03627075566646</v>
          </cell>
        </row>
        <row r="46">
          <cell r="B46" t="str">
            <v>1Q17</v>
          </cell>
          <cell r="C46">
            <v>2850</v>
          </cell>
          <cell r="D46">
            <v>14.301861496424905</v>
          </cell>
          <cell r="E46">
            <v>5</v>
          </cell>
          <cell r="F46">
            <v>-310.7503349430566</v>
          </cell>
          <cell r="G46">
            <v>0</v>
          </cell>
          <cell r="H46">
            <v>93.785854164494211</v>
          </cell>
          <cell r="I46">
            <v>-216.9644807785624</v>
          </cell>
          <cell r="J46">
            <v>1127.5210337756096</v>
          </cell>
          <cell r="K46">
            <v>910.55655299704722</v>
          </cell>
        </row>
        <row r="47">
          <cell r="B47" t="str">
            <v>2Q17</v>
          </cell>
          <cell r="C47">
            <v>2850</v>
          </cell>
          <cell r="D47">
            <v>14.384229899400268</v>
          </cell>
          <cell r="E47">
            <v>5</v>
          </cell>
          <cell r="F47">
            <v>-308.27339818999326</v>
          </cell>
          <cell r="G47">
            <v>0</v>
          </cell>
          <cell r="H47">
            <v>94.57878698060199</v>
          </cell>
          <cell r="I47">
            <v>-213.69461120939127</v>
          </cell>
          <cell r="J47">
            <v>1240.2731371531706</v>
          </cell>
          <cell r="K47">
            <v>1026.5785259437794</v>
          </cell>
        </row>
        <row r="48">
          <cell r="B48" t="str">
            <v>3Q17</v>
          </cell>
          <cell r="C48">
            <v>2850</v>
          </cell>
          <cell r="D48">
            <v>14.467108347816307</v>
          </cell>
          <cell r="E48">
            <v>5</v>
          </cell>
          <cell r="F48">
            <v>-305.78112363442187</v>
          </cell>
          <cell r="G48">
            <v>0</v>
          </cell>
          <cell r="H48">
            <v>95.376629832026879</v>
          </cell>
          <cell r="I48">
            <v>-210.404493802395</v>
          </cell>
          <cell r="J48">
            <v>1240.2731371531706</v>
          </cell>
          <cell r="K48">
            <v>1029.8686433507755</v>
          </cell>
        </row>
        <row r="49">
          <cell r="B49" t="str">
            <v>4Q17</v>
          </cell>
          <cell r="C49">
            <v>2850</v>
          </cell>
          <cell r="D49">
            <v>14.550500000000028</v>
          </cell>
          <cell r="E49">
            <v>5</v>
          </cell>
          <cell r="F49">
            <v>-303.2734163008912</v>
          </cell>
          <cell r="G49">
            <v>0</v>
          </cell>
          <cell r="H49">
            <v>96.179413122916955</v>
          </cell>
          <cell r="I49">
            <v>-207.09400317797423</v>
          </cell>
          <cell r="J49">
            <v>641.09452687499981</v>
          </cell>
          <cell r="K49">
            <v>434.00052369702559</v>
          </cell>
        </row>
        <row r="50">
          <cell r="B50" t="str">
            <v>1Q18</v>
          </cell>
          <cell r="C50">
            <v>2850</v>
          </cell>
          <cell r="D50">
            <v>14.634408033835555</v>
          </cell>
          <cell r="E50">
            <v>5</v>
          </cell>
          <cell r="F50">
            <v>-300.75018062583922</v>
          </cell>
          <cell r="G50">
            <v>0</v>
          </cell>
          <cell r="H50">
            <v>96.987167445690147</v>
          </cell>
          <cell r="I50">
            <v>-203.76301318014907</v>
          </cell>
          <cell r="J50">
            <v>1155.7090596199996</v>
          </cell>
          <cell r="K50">
            <v>951.94604643985053</v>
          </cell>
        </row>
        <row r="51">
          <cell r="B51" t="str">
            <v>2Q18</v>
          </cell>
          <cell r="C51">
            <v>2850</v>
          </cell>
          <cell r="D51">
            <v>14.718835646885296</v>
          </cell>
          <cell r="E51">
            <v>5</v>
          </cell>
          <cell r="F51">
            <v>-298.21132045394938</v>
          </cell>
          <cell r="G51">
            <v>0</v>
          </cell>
          <cell r="H51">
            <v>97.799923582200577</v>
          </cell>
          <cell r="I51">
            <v>-200.41139687174882</v>
          </cell>
          <cell r="J51">
            <v>1271.2799655819997</v>
          </cell>
          <cell r="K51">
            <v>1070.8685687102509</v>
          </cell>
        </row>
        <row r="52">
          <cell r="B52" t="str">
            <v>3Q18</v>
          </cell>
          <cell r="C52">
            <v>2850</v>
          </cell>
          <cell r="D52">
            <v>14.803786056511726</v>
          </cell>
          <cell r="E52">
            <v>5</v>
          </cell>
          <cell r="F52">
            <v>-295.65673903448908</v>
          </cell>
          <cell r="G52">
            <v>0</v>
          </cell>
          <cell r="H52">
            <v>98.617712504910997</v>
          </cell>
          <cell r="I52">
            <v>-197.03902652957808</v>
          </cell>
          <cell r="J52">
            <v>1271.2799655819997</v>
          </cell>
          <cell r="K52">
            <v>1074.2409390524217</v>
          </cell>
        </row>
        <row r="53">
          <cell r="B53" t="str">
            <v>4Q18</v>
          </cell>
          <cell r="C53">
            <v>2850</v>
          </cell>
          <cell r="D53">
            <v>14.889262500000029</v>
          </cell>
          <cell r="E53">
            <v>5</v>
          </cell>
          <cell r="F53">
            <v>-293.08633901762039</v>
          </cell>
          <cell r="G53">
            <v>0</v>
          </cell>
          <cell r="H53">
            <v>99.440565378073188</v>
          </cell>
          <cell r="I53">
            <v>-193.6457736395472</v>
          </cell>
          <cell r="J53">
            <v>657.1218900468748</v>
          </cell>
          <cell r="K53">
            <v>463.47611640732759</v>
          </cell>
        </row>
        <row r="54">
          <cell r="B54" t="str">
            <v>1Q19</v>
          </cell>
          <cell r="C54">
            <v>2850</v>
          </cell>
          <cell r="D54">
            <v>14.975268234681451</v>
          </cell>
          <cell r="E54">
            <v>5</v>
          </cell>
          <cell r="F54">
            <v>-290.50002245069186</v>
          </cell>
          <cell r="G54">
            <v>0</v>
          </cell>
          <cell r="H54">
            <v>100.2685135589158</v>
          </cell>
          <cell r="I54">
            <v>-190.23150889177606</v>
          </cell>
          <cell r="J54">
            <v>1184.6017861104995</v>
          </cell>
          <cell r="K54">
            <v>994.37027721872346</v>
          </cell>
        </row>
        <row r="55">
          <cell r="B55" t="str">
            <v>2Q19</v>
          </cell>
          <cell r="C55">
            <v>2850</v>
          </cell>
          <cell r="D55">
            <v>15.061806538057439</v>
          </cell>
          <cell r="E55">
            <v>5</v>
          </cell>
          <cell r="F55">
            <v>-287.89769077450478</v>
          </cell>
          <cell r="G55">
            <v>0</v>
          </cell>
          <cell r="H55">
            <v>101.10158859883904</v>
          </cell>
          <cell r="I55">
            <v>-186.79610217566574</v>
          </cell>
          <cell r="J55">
            <v>1303.0619647215497</v>
          </cell>
          <cell r="K55">
            <v>1116.2658625458839</v>
          </cell>
        </row>
        <row r="56">
          <cell r="B56" t="str">
            <v>3Q19</v>
          </cell>
          <cell r="C56">
            <v>2850</v>
          </cell>
          <cell r="D56">
            <v>15.148880707924533</v>
          </cell>
          <cell r="E56">
            <v>5</v>
          </cell>
          <cell r="F56">
            <v>-285.27924481955779</v>
          </cell>
          <cell r="G56">
            <v>0</v>
          </cell>
          <cell r="H56">
            <v>101.93982224461722</v>
          </cell>
          <cell r="I56">
            <v>-183.33942257494056</v>
          </cell>
          <cell r="J56">
            <v>1303.0619647215497</v>
          </cell>
          <cell r="K56">
            <v>1119.7225421466092</v>
          </cell>
        </row>
        <row r="57">
          <cell r="B57" t="str">
            <v>4Q19</v>
          </cell>
          <cell r="C57">
            <v>2850</v>
          </cell>
          <cell r="D57">
            <v>15.236494062500043</v>
          </cell>
          <cell r="E57">
            <v>5</v>
          </cell>
          <cell r="F57">
            <v>-282.64458480226745</v>
          </cell>
          <cell r="G57">
            <v>0</v>
          </cell>
          <cell r="H57">
            <v>102.78324643960849</v>
          </cell>
          <cell r="I57">
            <v>-179.86133836265896</v>
          </cell>
          <cell r="J57">
            <v>673.54993729804664</v>
          </cell>
          <cell r="K57">
            <v>493.68859893538769</v>
          </cell>
        </row>
        <row r="58">
          <cell r="B58" t="str">
            <v>1Q20</v>
          </cell>
          <cell r="C58">
            <v>2850</v>
          </cell>
          <cell r="D58">
            <v>15.324649940548497</v>
          </cell>
          <cell r="E58">
            <v>5</v>
          </cell>
          <cell r="F58">
            <v>-279.99361032116576</v>
          </cell>
          <cell r="G58">
            <v>0</v>
          </cell>
          <cell r="H58">
            <v>103.63189332497211</v>
          </cell>
          <cell r="I58">
            <v>-176.36171699619365</v>
          </cell>
          <cell r="J58">
            <v>1214.2168307632619</v>
          </cell>
          <cell r="K58">
            <v>1037.8551137670684</v>
          </cell>
        </row>
        <row r="59">
          <cell r="B59" t="str">
            <v>2Q20</v>
          </cell>
          <cell r="C59">
            <v>2850</v>
          </cell>
          <cell r="D59">
            <v>15.413351701508873</v>
          </cell>
          <cell r="E59">
            <v>5</v>
          </cell>
          <cell r="F59">
            <v>-277.3262203530744</v>
          </cell>
          <cell r="G59">
            <v>0</v>
          </cell>
          <cell r="H59">
            <v>104.48579524089334</v>
          </cell>
          <cell r="I59">
            <v>-172.84042511218107</v>
          </cell>
          <cell r="J59">
            <v>1335.6385138395883</v>
          </cell>
          <cell r="K59">
            <v>1162.7980887274073</v>
          </cell>
        </row>
        <row r="60">
          <cell r="B60" t="str">
            <v>3Q20</v>
          </cell>
          <cell r="C60">
            <v>2850</v>
          </cell>
          <cell r="D60">
            <v>15.502602725622637</v>
          </cell>
          <cell r="E60">
            <v>5</v>
          </cell>
          <cell r="F60">
            <v>-274.6423132492539</v>
          </cell>
          <cell r="G60">
            <v>0</v>
          </cell>
          <cell r="H60">
            <v>105.34498472781588</v>
          </cell>
          <cell r="I60">
            <v>-169.29732852143803</v>
          </cell>
          <cell r="J60">
            <v>1335.6385138395883</v>
          </cell>
          <cell r="K60">
            <v>1166.3411853181503</v>
          </cell>
        </row>
        <row r="61">
          <cell r="B61" t="str">
            <v>4Q20</v>
          </cell>
          <cell r="C61">
            <v>2850</v>
          </cell>
          <cell r="D61">
            <v>15.592406414062523</v>
          </cell>
          <cell r="E61">
            <v>5</v>
          </cell>
          <cell r="F61">
            <v>-271.94178673153169</v>
          </cell>
          <cell r="G61">
            <v>0</v>
          </cell>
          <cell r="H61">
            <v>106.20949452768181</v>
          </cell>
          <cell r="I61">
            <v>-165.73229220384988</v>
          </cell>
          <cell r="J61">
            <v>690.38868573049774</v>
          </cell>
          <cell r="K61">
            <v>524.65639352664789</v>
          </cell>
        </row>
        <row r="65">
          <cell r="A65" t="str">
            <v>Chemicals</v>
          </cell>
        </row>
        <row r="68">
          <cell r="A68" t="str">
            <v>Chemicals</v>
          </cell>
          <cell r="D68" t="str">
            <v>Cracking margin</v>
          </cell>
        </row>
        <row r="69">
          <cell r="C69" t="str">
            <v>First line derivs</v>
          </cell>
          <cell r="D69" t="str">
            <v>Asia naphtha</v>
          </cell>
          <cell r="E69" t="str">
            <v>Earnings Chem</v>
          </cell>
          <cell r="F69" t="str">
            <v>Difference/adj</v>
          </cell>
          <cell r="G69" t="str">
            <v>Model</v>
          </cell>
          <cell r="I69" t="str">
            <v>SUMMARY OUTPUT - 4Q13 not used</v>
          </cell>
        </row>
        <row r="70">
          <cell r="B70" t="str">
            <v>1Q05</v>
          </cell>
          <cell r="C70">
            <v>2348</v>
          </cell>
          <cell r="D70">
            <v>697</v>
          </cell>
          <cell r="E70">
            <v>571</v>
          </cell>
          <cell r="F70">
            <v>41.040725549376134</v>
          </cell>
          <cell r="G70">
            <v>529.95927445062387</v>
          </cell>
        </row>
        <row r="71">
          <cell r="B71" t="str">
            <v>2Q05</v>
          </cell>
          <cell r="C71">
            <v>2229</v>
          </cell>
          <cell r="D71">
            <v>277</v>
          </cell>
          <cell r="E71">
            <v>360</v>
          </cell>
          <cell r="F71">
            <v>27.978736997436954</v>
          </cell>
          <cell r="G71">
            <v>332.02126300256305</v>
          </cell>
          <cell r="I71" t="str">
            <v>Regression Statistics</v>
          </cell>
        </row>
        <row r="72">
          <cell r="B72" t="str">
            <v>3Q05</v>
          </cell>
          <cell r="C72">
            <v>2265</v>
          </cell>
          <cell r="D72">
            <v>296</v>
          </cell>
          <cell r="E72">
            <v>324</v>
          </cell>
          <cell r="F72">
            <v>-37.239706552809594</v>
          </cell>
          <cell r="G72">
            <v>361.23970655280959</v>
          </cell>
          <cell r="I72" t="str">
            <v>Multiple R</v>
          </cell>
          <cell r="J72">
            <v>0.65166226360564705</v>
          </cell>
        </row>
        <row r="73">
          <cell r="B73" t="str">
            <v>4Q05</v>
          </cell>
          <cell r="C73">
            <v>2274</v>
          </cell>
          <cell r="D73">
            <v>131</v>
          </cell>
          <cell r="E73">
            <v>92</v>
          </cell>
          <cell r="F73">
            <v>-228.37732750077782</v>
          </cell>
          <cell r="G73">
            <v>320.37732750077782</v>
          </cell>
          <cell r="I73" t="str">
            <v>R Square</v>
          </cell>
          <cell r="J73">
            <v>0.42466370580763585</v>
          </cell>
        </row>
        <row r="74">
          <cell r="B74" t="str">
            <v>1Q06</v>
          </cell>
          <cell r="C74">
            <v>2227</v>
          </cell>
          <cell r="D74">
            <v>305</v>
          </cell>
          <cell r="E74">
            <v>139</v>
          </cell>
          <cell r="F74">
            <v>-199.64260319099492</v>
          </cell>
          <cell r="G74">
            <v>338.64260319099492</v>
          </cell>
          <cell r="I74" t="str">
            <v>Adjusted R Square</v>
          </cell>
          <cell r="J74">
            <v>0.38754523521458012</v>
          </cell>
        </row>
        <row r="75">
          <cell r="B75" t="str">
            <v>2Q06</v>
          </cell>
          <cell r="C75">
            <v>2366</v>
          </cell>
          <cell r="D75">
            <v>297</v>
          </cell>
          <cell r="E75">
            <v>378</v>
          </cell>
          <cell r="F75">
            <v>-50.371840082810081</v>
          </cell>
          <cell r="G75">
            <v>428.37184008281008</v>
          </cell>
          <cell r="I75" t="str">
            <v>Standard Error</v>
          </cell>
          <cell r="J75">
            <v>141.5544732355288</v>
          </cell>
        </row>
        <row r="76">
          <cell r="B76" t="str">
            <v>3Q06</v>
          </cell>
          <cell r="C76">
            <v>2206</v>
          </cell>
          <cell r="D76">
            <v>670</v>
          </cell>
          <cell r="E76">
            <v>335</v>
          </cell>
          <cell r="F76">
            <v>-93.313103951331072</v>
          </cell>
          <cell r="G76">
            <v>428.31310395133107</v>
          </cell>
          <cell r="I76" t="str">
            <v>Observations</v>
          </cell>
          <cell r="J76">
            <v>34</v>
          </cell>
        </row>
        <row r="77">
          <cell r="B77" t="str">
            <v>4Q06</v>
          </cell>
          <cell r="C77">
            <v>2192</v>
          </cell>
          <cell r="D77">
            <v>598</v>
          </cell>
          <cell r="E77">
            <v>356</v>
          </cell>
          <cell r="F77">
            <v>-42.6168104319961</v>
          </cell>
          <cell r="G77">
            <v>398.6168104319961</v>
          </cell>
        </row>
        <row r="78">
          <cell r="B78" t="str">
            <v>1Q07</v>
          </cell>
          <cell r="C78">
            <v>2287</v>
          </cell>
          <cell r="D78">
            <v>518</v>
          </cell>
          <cell r="E78">
            <v>480</v>
          </cell>
          <cell r="F78">
            <v>41.206200951547089</v>
          </cell>
          <cell r="G78">
            <v>438.79379904845291</v>
          </cell>
          <cell r="I78" t="str">
            <v>ANOVA</v>
          </cell>
        </row>
        <row r="79">
          <cell r="B79" t="str">
            <v>2Q07</v>
          </cell>
          <cell r="C79">
            <v>2431</v>
          </cell>
          <cell r="D79">
            <v>138</v>
          </cell>
          <cell r="E79">
            <v>494</v>
          </cell>
          <cell r="F79">
            <v>67.723574982989078</v>
          </cell>
          <cell r="G79">
            <v>426.27642501701092</v>
          </cell>
          <cell r="J79" t="str">
            <v>df</v>
          </cell>
          <cell r="K79" t="str">
            <v>SS</v>
          </cell>
          <cell r="L79" t="str">
            <v>MS</v>
          </cell>
          <cell r="M79" t="str">
            <v>F</v>
          </cell>
          <cell r="N79" t="str">
            <v>Significance F</v>
          </cell>
        </row>
        <row r="80">
          <cell r="B80" t="str">
            <v>3Q07</v>
          </cell>
          <cell r="C80">
            <v>2400</v>
          </cell>
          <cell r="D80">
            <v>272</v>
          </cell>
          <cell r="E80">
            <v>342</v>
          </cell>
          <cell r="F80">
            <v>-101.78144252163128</v>
          </cell>
          <cell r="G80">
            <v>443.78144252163128</v>
          </cell>
          <cell r="I80" t="str">
            <v>Regression</v>
          </cell>
          <cell r="J80">
            <v>2</v>
          </cell>
          <cell r="K80">
            <v>458492.52902325301</v>
          </cell>
          <cell r="L80">
            <v>229246.2645116265</v>
          </cell>
          <cell r="M80">
            <v>11.440765177622469</v>
          </cell>
          <cell r="N80">
            <v>1.9001481407045459E-4</v>
          </cell>
        </row>
        <row r="81">
          <cell r="B81" t="str">
            <v>4Q07</v>
          </cell>
          <cell r="C81">
            <v>2469</v>
          </cell>
          <cell r="D81">
            <v>-17</v>
          </cell>
          <cell r="E81">
            <v>394</v>
          </cell>
          <cell r="F81">
            <v>-13.445660743004737</v>
          </cell>
          <cell r="G81">
            <v>407.44566074300474</v>
          </cell>
          <cell r="I81" t="str">
            <v>Residual</v>
          </cell>
          <cell r="J81">
            <v>31</v>
          </cell>
          <cell r="K81">
            <v>621167.73568262917</v>
          </cell>
          <cell r="L81">
            <v>20037.668892988037</v>
          </cell>
        </row>
        <row r="82">
          <cell r="B82" t="str">
            <v>1Q08</v>
          </cell>
          <cell r="C82">
            <v>2340</v>
          </cell>
          <cell r="D82">
            <v>8</v>
          </cell>
          <cell r="E82">
            <v>201</v>
          </cell>
          <cell r="F82">
            <v>-128.15886824344119</v>
          </cell>
          <cell r="G82">
            <v>329.15886824344119</v>
          </cell>
          <cell r="I82" t="str">
            <v>Total</v>
          </cell>
          <cell r="J82">
            <v>33</v>
          </cell>
          <cell r="K82">
            <v>1079660.2647058822</v>
          </cell>
        </row>
        <row r="83">
          <cell r="B83" t="str">
            <v>2Q08</v>
          </cell>
          <cell r="C83">
            <v>2335</v>
          </cell>
          <cell r="D83">
            <v>28</v>
          </cell>
          <cell r="E83">
            <v>64</v>
          </cell>
          <cell r="F83">
            <v>-267.52459281184184</v>
          </cell>
          <cell r="G83">
            <v>331.52459281184184</v>
          </cell>
        </row>
        <row r="84">
          <cell r="B84" t="str">
            <v>3Q08</v>
          </cell>
          <cell r="C84">
            <v>2180</v>
          </cell>
          <cell r="D84">
            <v>65</v>
          </cell>
          <cell r="E84">
            <v>148</v>
          </cell>
          <cell r="F84">
            <v>-91.434336407034152</v>
          </cell>
          <cell r="G84">
            <v>239.43433640703415</v>
          </cell>
          <cell r="J84" t="str">
            <v>Coefficients</v>
          </cell>
          <cell r="K84" t="str">
            <v>Standard Error</v>
          </cell>
          <cell r="L84" t="str">
            <v>t Stat</v>
          </cell>
          <cell r="M84" t="str">
            <v>P-value</v>
          </cell>
          <cell r="N84" t="str">
            <v>Lower 95%</v>
          </cell>
          <cell r="O84" t="str">
            <v>Upper 95%</v>
          </cell>
          <cell r="P84" t="str">
            <v>Lower 95.0%</v>
          </cell>
          <cell r="Q84" t="str">
            <v>Upper 95.0%</v>
          </cell>
        </row>
        <row r="85">
          <cell r="B85" t="str">
            <v>4Q08</v>
          </cell>
          <cell r="C85">
            <v>1899</v>
          </cell>
          <cell r="D85">
            <v>-29</v>
          </cell>
          <cell r="E85">
            <v>3</v>
          </cell>
          <cell r="F85">
            <v>-23.777490161908229</v>
          </cell>
          <cell r="G85">
            <v>26.777490161908229</v>
          </cell>
          <cell r="I85" t="str">
            <v>Intercept</v>
          </cell>
          <cell r="J85">
            <v>-1221.8756228708494</v>
          </cell>
          <cell r="K85">
            <v>383.08235887213846</v>
          </cell>
          <cell r="L85">
            <v>-3.1895899003761623</v>
          </cell>
          <cell r="M85">
            <v>3.2515815551071078E-3</v>
          </cell>
          <cell r="N85">
            <v>-2003.1772418204484</v>
          </cell>
          <cell r="O85">
            <v>-440.57400392125044</v>
          </cell>
          <cell r="P85">
            <v>-2003.1772418204484</v>
          </cell>
          <cell r="Q85">
            <v>-440.57400392125044</v>
          </cell>
        </row>
        <row r="86">
          <cell r="B86" t="str">
            <v>1Q09</v>
          </cell>
          <cell r="C86">
            <v>1875</v>
          </cell>
          <cell r="D86">
            <v>16</v>
          </cell>
          <cell r="E86">
            <v>-55</v>
          </cell>
          <cell r="F86">
            <v>-78.661589669499705</v>
          </cell>
          <cell r="G86">
            <v>23.661589669499705</v>
          </cell>
          <cell r="I86" t="str">
            <v>First line derivs</v>
          </cell>
          <cell r="J86">
            <v>0.66186515853412908</v>
          </cell>
          <cell r="K86">
            <v>0.17146650913876557</v>
          </cell>
          <cell r="L86">
            <v>3.8600258549527617</v>
          </cell>
          <cell r="M86">
            <v>5.3819249249520949E-4</v>
          </cell>
          <cell r="N86">
            <v>0.31215690890296299</v>
          </cell>
          <cell r="O86">
            <v>1.0115734081652952</v>
          </cell>
          <cell r="P86">
            <v>0.31215690890296299</v>
          </cell>
          <cell r="Q86">
            <v>1.0115734081652952</v>
          </cell>
        </row>
        <row r="87">
          <cell r="B87" t="str">
            <v>2Q09</v>
          </cell>
          <cell r="C87">
            <v>2030</v>
          </cell>
          <cell r="D87">
            <v>68</v>
          </cell>
          <cell r="E87">
            <v>49</v>
          </cell>
          <cell r="F87">
            <v>-92.005820181075336</v>
          </cell>
          <cell r="G87">
            <v>141.00582018107534</v>
          </cell>
          <cell r="I87" t="str">
            <v>Asia naphtha</v>
          </cell>
          <cell r="J87">
            <v>0.28375251805356966</v>
          </cell>
          <cell r="K87">
            <v>0.12939812849728261</v>
          </cell>
          <cell r="L87">
            <v>2.192864157687787</v>
          </cell>
          <cell r="M87">
            <v>3.5946758317018761E-2</v>
          </cell>
          <cell r="N87">
            <v>1.9843296074180686E-2</v>
          </cell>
          <cell r="O87">
            <v>0.54766174003295864</v>
          </cell>
          <cell r="P87">
            <v>1.9843296074180686E-2</v>
          </cell>
          <cell r="Q87">
            <v>0.54766174003295864</v>
          </cell>
        </row>
        <row r="88">
          <cell r="B88" t="str">
            <v>3Q09</v>
          </cell>
          <cell r="C88">
            <v>2108</v>
          </cell>
          <cell r="D88">
            <v>240</v>
          </cell>
          <cell r="E88">
            <v>169</v>
          </cell>
          <cell r="F88">
            <v>-72.436735651951381</v>
          </cell>
          <cell r="G88">
            <v>241.43673565195138</v>
          </cell>
        </row>
        <row r="89">
          <cell r="B89" t="str">
            <v>4Q09</v>
          </cell>
          <cell r="C89">
            <v>2132</v>
          </cell>
          <cell r="D89">
            <v>98</v>
          </cell>
          <cell r="E89">
            <v>185</v>
          </cell>
          <cell r="F89">
            <v>-32.028641893163638</v>
          </cell>
          <cell r="G89">
            <v>217.02864189316364</v>
          </cell>
        </row>
        <row r="90">
          <cell r="B90" t="str">
            <v>1Q10</v>
          </cell>
          <cell r="C90">
            <v>2285</v>
          </cell>
          <cell r="D90">
            <v>444</v>
          </cell>
          <cell r="E90">
            <v>313</v>
          </cell>
          <cell r="F90">
            <v>-103.47238239542042</v>
          </cell>
          <cell r="G90">
            <v>416.47238239542042</v>
          </cell>
        </row>
        <row r="91">
          <cell r="B91" t="str">
            <v>2Q10</v>
          </cell>
          <cell r="C91">
            <v>2329</v>
          </cell>
          <cell r="D91">
            <v>301</v>
          </cell>
          <cell r="E91">
            <v>444</v>
          </cell>
          <cell r="F91">
            <v>38.982160710738185</v>
          </cell>
          <cell r="G91">
            <v>405.01783928926181</v>
          </cell>
        </row>
        <row r="92">
          <cell r="B92" t="str">
            <v>3Q10</v>
          </cell>
          <cell r="C92">
            <v>2428</v>
          </cell>
          <cell r="D92">
            <v>155</v>
          </cell>
          <cell r="E92">
            <v>315</v>
          </cell>
          <cell r="F92">
            <v>-114.11462234831924</v>
          </cell>
          <cell r="G92">
            <v>429.11462234831924</v>
          </cell>
        </row>
        <row r="93">
          <cell r="B93" t="str">
            <v>4Q10</v>
          </cell>
          <cell r="C93">
            <v>2485</v>
          </cell>
          <cell r="D93">
            <v>52</v>
          </cell>
          <cell r="E93">
            <v>574</v>
          </cell>
          <cell r="F93">
            <v>136.38557297475296</v>
          </cell>
          <cell r="G93">
            <v>437.61442702524704</v>
          </cell>
        </row>
        <row r="94">
          <cell r="B94" t="str">
            <v>1Q11</v>
          </cell>
          <cell r="C94">
            <v>2402</v>
          </cell>
          <cell r="D94">
            <v>230</v>
          </cell>
          <cell r="E94">
            <v>489</v>
          </cell>
          <cell r="F94">
            <v>55.812432919550304</v>
          </cell>
          <cell r="G94">
            <v>433.1875670804497</v>
          </cell>
        </row>
        <row r="95">
          <cell r="B95" t="str">
            <v>2Q11</v>
          </cell>
          <cell r="C95">
            <v>2207</v>
          </cell>
          <cell r="D95">
            <v>296</v>
          </cell>
          <cell r="E95">
            <v>530</v>
          </cell>
          <cell r="F95">
            <v>207.14847264216996</v>
          </cell>
          <cell r="G95">
            <v>322.85152735783004</v>
          </cell>
        </row>
        <row r="96">
          <cell r="B96" t="str">
            <v>3Q11</v>
          </cell>
          <cell r="C96">
            <v>2331</v>
          </cell>
          <cell r="D96">
            <v>294</v>
          </cell>
          <cell r="E96">
            <v>674</v>
          </cell>
          <cell r="F96">
            <v>269.64469802004504</v>
          </cell>
          <cell r="G96">
            <v>404.35530197995496</v>
          </cell>
        </row>
        <row r="97">
          <cell r="B97" t="str">
            <v>4Q11</v>
          </cell>
          <cell r="C97">
            <v>2224</v>
          </cell>
          <cell r="D97">
            <v>0</v>
          </cell>
          <cell r="E97">
            <v>380</v>
          </cell>
          <cell r="F97">
            <v>129.88751029094624</v>
          </cell>
          <cell r="G97">
            <v>250.11248970905376</v>
          </cell>
        </row>
        <row r="98">
          <cell r="B98" t="str">
            <v>1Q12</v>
          </cell>
          <cell r="C98">
            <v>2356</v>
          </cell>
          <cell r="D98">
            <v>91</v>
          </cell>
          <cell r="E98">
            <v>499</v>
          </cell>
          <cell r="F98">
            <v>135.69983022156646</v>
          </cell>
          <cell r="G98">
            <v>363.30016977843354</v>
          </cell>
        </row>
        <row r="99">
          <cell r="B99" t="str">
            <v>2Q12</v>
          </cell>
          <cell r="C99">
            <v>2177</v>
          </cell>
          <cell r="D99">
            <v>181</v>
          </cell>
          <cell r="E99">
            <v>449</v>
          </cell>
          <cell r="F99">
            <v>178.63596697435418</v>
          </cell>
          <cell r="G99">
            <v>270.36403302564582</v>
          </cell>
        </row>
        <row r="100">
          <cell r="B100" t="str">
            <v>3Q12</v>
          </cell>
          <cell r="C100">
            <v>2279</v>
          </cell>
          <cell r="D100">
            <v>89</v>
          </cell>
          <cell r="E100">
            <v>289</v>
          </cell>
          <cell r="F100">
            <v>-22.769047535198411</v>
          </cell>
          <cell r="G100">
            <v>311.76904753519841</v>
          </cell>
        </row>
        <row r="101">
          <cell r="B101" t="str">
            <v>4Q12</v>
          </cell>
          <cell r="C101">
            <v>2162</v>
          </cell>
          <cell r="D101">
            <v>67</v>
          </cell>
          <cell r="E101">
            <v>209</v>
          </cell>
          <cell r="F101">
            <v>-19.088268589526933</v>
          </cell>
          <cell r="G101">
            <v>228.08826858952693</v>
          </cell>
        </row>
        <row r="102">
          <cell r="B102" t="str">
            <v>1Q13</v>
          </cell>
          <cell r="C102">
            <v>2093</v>
          </cell>
          <cell r="D102">
            <v>101</v>
          </cell>
          <cell r="E102">
            <v>557</v>
          </cell>
          <cell r="F102">
            <v>364.9328417355066</v>
          </cell>
          <cell r="G102">
            <v>192.06715826449343</v>
          </cell>
        </row>
        <row r="103">
          <cell r="B103" t="str">
            <v>2Q13</v>
          </cell>
          <cell r="C103">
            <v>2106</v>
          </cell>
          <cell r="D103">
            <v>172</v>
          </cell>
          <cell r="E103">
            <v>338</v>
          </cell>
          <cell r="F103">
            <v>117.18216589275949</v>
          </cell>
          <cell r="G103">
            <v>220.81783410724051</v>
          </cell>
        </row>
        <row r="104">
          <cell r="B104" t="str">
            <v>3Q13</v>
          </cell>
          <cell r="C104">
            <v>2108</v>
          </cell>
          <cell r="D104">
            <v>52</v>
          </cell>
          <cell r="E104">
            <v>591</v>
          </cell>
          <cell r="F104">
            <v>402.90873774211974</v>
          </cell>
          <cell r="G104">
            <v>188.09126225788026</v>
          </cell>
        </row>
        <row r="105">
          <cell r="B105" t="str">
            <v>4Q13</v>
          </cell>
          <cell r="C105">
            <v>2172</v>
          </cell>
          <cell r="D105">
            <v>204</v>
          </cell>
          <cell r="E105">
            <v>306</v>
          </cell>
          <cell r="F105">
            <v>32.4189848517928</v>
          </cell>
          <cell r="G105">
            <v>273.5810151482072</v>
          </cell>
        </row>
        <row r="106">
          <cell r="B106" t="str">
            <v>1Q14</v>
          </cell>
          <cell r="C106">
            <v>2350</v>
          </cell>
          <cell r="D106">
            <v>160</v>
          </cell>
          <cell r="E106">
            <v>378.90790257292502</v>
          </cell>
          <cell r="F106">
            <v>0</v>
          </cell>
          <cell r="G106">
            <v>378.90790257292502</v>
          </cell>
        </row>
        <row r="107">
          <cell r="B107" t="str">
            <v>2Q14</v>
          </cell>
          <cell r="C107">
            <v>2350</v>
          </cell>
          <cell r="D107">
            <v>160</v>
          </cell>
          <cell r="E107">
            <v>378.90790257292502</v>
          </cell>
          <cell r="F107">
            <v>0</v>
          </cell>
          <cell r="G107">
            <v>378.90790257292502</v>
          </cell>
        </row>
        <row r="108">
          <cell r="B108" t="str">
            <v>3Q14</v>
          </cell>
          <cell r="C108">
            <v>2350</v>
          </cell>
          <cell r="D108">
            <v>160</v>
          </cell>
          <cell r="E108">
            <v>378.90790257292502</v>
          </cell>
          <cell r="F108">
            <v>0</v>
          </cell>
          <cell r="G108">
            <v>378.90790257292502</v>
          </cell>
        </row>
        <row r="109">
          <cell r="B109" t="str">
            <v>4Q14</v>
          </cell>
          <cell r="C109">
            <v>2350</v>
          </cell>
          <cell r="D109">
            <v>160</v>
          </cell>
          <cell r="E109">
            <v>378.90790257292502</v>
          </cell>
          <cell r="F109">
            <v>0</v>
          </cell>
          <cell r="G109">
            <v>378.90790257292502</v>
          </cell>
        </row>
        <row r="110">
          <cell r="B110" t="str">
            <v>1Q15</v>
          </cell>
          <cell r="C110">
            <v>2350</v>
          </cell>
          <cell r="D110">
            <v>200</v>
          </cell>
          <cell r="E110">
            <v>390.25800329506785</v>
          </cell>
          <cell r="F110">
            <v>0</v>
          </cell>
          <cell r="G110">
            <v>390.25800329506785</v>
          </cell>
        </row>
        <row r="111">
          <cell r="B111" t="str">
            <v>2Q15</v>
          </cell>
          <cell r="C111">
            <v>2350</v>
          </cell>
          <cell r="D111">
            <v>200</v>
          </cell>
          <cell r="E111">
            <v>390.25800329506785</v>
          </cell>
          <cell r="F111">
            <v>0</v>
          </cell>
          <cell r="G111">
            <v>390.25800329506785</v>
          </cell>
        </row>
        <row r="112">
          <cell r="B112" t="str">
            <v>3Q15</v>
          </cell>
          <cell r="C112">
            <v>2350</v>
          </cell>
          <cell r="D112">
            <v>200</v>
          </cell>
          <cell r="E112">
            <v>390.25800329506785</v>
          </cell>
          <cell r="F112">
            <v>0</v>
          </cell>
          <cell r="G112">
            <v>390.25800329506785</v>
          </cell>
        </row>
        <row r="113">
          <cell r="B113" t="str">
            <v>4Q15</v>
          </cell>
          <cell r="C113">
            <v>2350</v>
          </cell>
          <cell r="D113">
            <v>200</v>
          </cell>
          <cell r="E113">
            <v>390.25800329506785</v>
          </cell>
          <cell r="F113">
            <v>0</v>
          </cell>
          <cell r="G113">
            <v>390.25800329506785</v>
          </cell>
        </row>
        <row r="114">
          <cell r="B114" t="str">
            <v>1Q16</v>
          </cell>
          <cell r="C114">
            <v>2350</v>
          </cell>
          <cell r="D114">
            <v>200.99258631464076</v>
          </cell>
          <cell r="E114">
            <v>390.53965216123265</v>
          </cell>
          <cell r="F114">
            <v>0</v>
          </cell>
          <cell r="G114">
            <v>390.53965216123265</v>
          </cell>
        </row>
        <row r="115">
          <cell r="B115" t="str">
            <v>2Q16</v>
          </cell>
          <cell r="C115">
            <v>2350</v>
          </cell>
          <cell r="D115">
            <v>201.99009876724159</v>
          </cell>
          <cell r="E115">
            <v>390.82269883144795</v>
          </cell>
          <cell r="F115">
            <v>0</v>
          </cell>
          <cell r="G115">
            <v>390.82269883144795</v>
          </cell>
        </row>
        <row r="116">
          <cell r="B116" t="str">
            <v>3Q16</v>
          </cell>
          <cell r="C116">
            <v>2350</v>
          </cell>
          <cell r="D116">
            <v>202.9925618058881</v>
          </cell>
          <cell r="E116">
            <v>391.10715024291949</v>
          </cell>
          <cell r="F116">
            <v>0</v>
          </cell>
          <cell r="G116">
            <v>391.10715024291949</v>
          </cell>
        </row>
        <row r="117">
          <cell r="B117" t="str">
            <v>4Q16</v>
          </cell>
          <cell r="C117">
            <v>2350</v>
          </cell>
          <cell r="D117">
            <v>204.00000000000009</v>
          </cell>
          <cell r="E117">
            <v>391.39301336728215</v>
          </cell>
          <cell r="F117">
            <v>0</v>
          </cell>
          <cell r="G117">
            <v>391.39301336728215</v>
          </cell>
        </row>
        <row r="118">
          <cell r="B118" t="str">
            <v>1Q17</v>
          </cell>
          <cell r="C118">
            <v>2350</v>
          </cell>
          <cell r="D118">
            <v>205.01243804093366</v>
          </cell>
          <cell r="E118">
            <v>391.68029521077023</v>
          </cell>
          <cell r="F118">
            <v>0</v>
          </cell>
          <cell r="G118">
            <v>391.68029521077023</v>
          </cell>
        </row>
        <row r="119">
          <cell r="B119" t="str">
            <v>2Q17</v>
          </cell>
          <cell r="C119">
            <v>2350</v>
          </cell>
          <cell r="D119">
            <v>206.02990074258651</v>
          </cell>
          <cell r="E119">
            <v>391.96900281438985</v>
          </cell>
          <cell r="F119">
            <v>0</v>
          </cell>
          <cell r="G119">
            <v>391.96900281438985</v>
          </cell>
        </row>
        <row r="120">
          <cell r="B120" t="str">
            <v>3Q17</v>
          </cell>
          <cell r="C120">
            <v>2350</v>
          </cell>
          <cell r="D120">
            <v>207.05241304200592</v>
          </cell>
          <cell r="E120">
            <v>392.25914325409082</v>
          </cell>
          <cell r="F120">
            <v>0</v>
          </cell>
          <cell r="G120">
            <v>392.25914325409082</v>
          </cell>
        </row>
        <row r="121">
          <cell r="B121" t="str">
            <v>4Q17</v>
          </cell>
          <cell r="C121">
            <v>2350</v>
          </cell>
          <cell r="D121">
            <v>208.08000000000013</v>
          </cell>
          <cell r="E121">
            <v>392.5507236409407</v>
          </cell>
          <cell r="F121">
            <v>0</v>
          </cell>
          <cell r="G121">
            <v>392.5507236409407</v>
          </cell>
        </row>
        <row r="122">
          <cell r="B122" t="str">
            <v>1Q18</v>
          </cell>
          <cell r="C122">
            <v>2350</v>
          </cell>
          <cell r="D122">
            <v>209.11268680175237</v>
          </cell>
          <cell r="E122">
            <v>392.84375112129857</v>
          </cell>
          <cell r="F122">
            <v>0</v>
          </cell>
          <cell r="G122">
            <v>392.84375112129857</v>
          </cell>
        </row>
        <row r="123">
          <cell r="B123" t="str">
            <v>2Q18</v>
          </cell>
          <cell r="C123">
            <v>2350</v>
          </cell>
          <cell r="D123">
            <v>210.15049875743827</v>
          </cell>
          <cell r="E123">
            <v>393.13823287699057</v>
          </cell>
          <cell r="F123">
            <v>0</v>
          </cell>
          <cell r="G123">
            <v>393.13823287699057</v>
          </cell>
        </row>
        <row r="124">
          <cell r="B124" t="str">
            <v>3Q18</v>
          </cell>
          <cell r="C124">
            <v>2350</v>
          </cell>
          <cell r="D124">
            <v>211.19346130284609</v>
          </cell>
          <cell r="E124">
            <v>393.43417612548558</v>
          </cell>
          <cell r="F124">
            <v>0</v>
          </cell>
          <cell r="G124">
            <v>393.43417612548558</v>
          </cell>
        </row>
        <row r="125">
          <cell r="B125" t="str">
            <v>4Q18</v>
          </cell>
          <cell r="C125">
            <v>2350</v>
          </cell>
          <cell r="D125">
            <v>212.24160000000018</v>
          </cell>
          <cell r="E125">
            <v>393.73158812007244</v>
          </cell>
          <cell r="F125">
            <v>0</v>
          </cell>
          <cell r="G125">
            <v>393.73158812007244</v>
          </cell>
        </row>
        <row r="126">
          <cell r="B126" t="str">
            <v>1Q19</v>
          </cell>
          <cell r="C126">
            <v>2350</v>
          </cell>
          <cell r="D126">
            <v>213.29494053778748</v>
          </cell>
          <cell r="E126">
            <v>394.03047615003749</v>
          </cell>
          <cell r="F126">
            <v>0</v>
          </cell>
          <cell r="G126">
            <v>394.03047615003749</v>
          </cell>
        </row>
        <row r="127">
          <cell r="B127" t="str">
            <v>2Q19</v>
          </cell>
          <cell r="C127">
            <v>2350</v>
          </cell>
          <cell r="D127">
            <v>214.3535087325871</v>
          </cell>
          <cell r="E127">
            <v>394.33084754084331</v>
          </cell>
          <cell r="F127">
            <v>0</v>
          </cell>
          <cell r="G127">
            <v>394.33084754084331</v>
          </cell>
        </row>
        <row r="128">
          <cell r="B128" t="str">
            <v>3Q19</v>
          </cell>
          <cell r="C128">
            <v>2350</v>
          </cell>
          <cell r="D128">
            <v>215.41733052890308</v>
          </cell>
          <cell r="E128">
            <v>394.63270965430826</v>
          </cell>
          <cell r="F128">
            <v>0</v>
          </cell>
          <cell r="G128">
            <v>394.63270965430826</v>
          </cell>
        </row>
        <row r="129">
          <cell r="B129" t="str">
            <v>4Q19</v>
          </cell>
          <cell r="C129">
            <v>2350</v>
          </cell>
          <cell r="D129">
            <v>216.48643200000026</v>
          </cell>
          <cell r="E129">
            <v>394.93606988878685</v>
          </cell>
          <cell r="F129">
            <v>0</v>
          </cell>
          <cell r="G129">
            <v>394.93606988878685</v>
          </cell>
        </row>
        <row r="130">
          <cell r="B130" t="str">
            <v>1Q20</v>
          </cell>
          <cell r="C130">
            <v>2350</v>
          </cell>
          <cell r="D130">
            <v>217.56083934854331</v>
          </cell>
          <cell r="E130">
            <v>395.2409356793512</v>
          </cell>
          <cell r="F130">
            <v>0</v>
          </cell>
          <cell r="G130">
            <v>395.2409356793512</v>
          </cell>
        </row>
        <row r="131">
          <cell r="B131" t="str">
            <v>2Q20</v>
          </cell>
          <cell r="C131">
            <v>2350</v>
          </cell>
          <cell r="D131">
            <v>218.64057890723893</v>
          </cell>
          <cell r="E131">
            <v>395.5473144979731</v>
          </cell>
          <cell r="F131">
            <v>0</v>
          </cell>
          <cell r="G131">
            <v>395.5473144979731</v>
          </cell>
        </row>
        <row r="132">
          <cell r="B132" t="str">
            <v>3Q20</v>
          </cell>
          <cell r="C132">
            <v>2350</v>
          </cell>
          <cell r="D132">
            <v>219.72567713948123</v>
          </cell>
          <cell r="E132">
            <v>395.85521385370737</v>
          </cell>
          <cell r="F132">
            <v>0</v>
          </cell>
          <cell r="G132">
            <v>395.85521385370737</v>
          </cell>
        </row>
        <row r="133">
          <cell r="B133" t="str">
            <v>4Q20</v>
          </cell>
          <cell r="C133">
            <v>2350</v>
          </cell>
          <cell r="D133">
            <v>220.81616064000036</v>
          </cell>
          <cell r="E133">
            <v>396.16464129287556</v>
          </cell>
          <cell r="F133">
            <v>0</v>
          </cell>
          <cell r="G133">
            <v>396.16464129287556</v>
          </cell>
        </row>
      </sheetData>
      <sheetData sheetId="11" refreshError="1"/>
      <sheetData sheetId="12" refreshError="1"/>
      <sheetData sheetId="13" refreshError="1"/>
      <sheetData sheetId="14" refreshError="1">
        <row r="1">
          <cell r="BB1" t="str">
            <v>.</v>
          </cell>
          <cell r="BG1" t="str">
            <v>.</v>
          </cell>
          <cell r="BL1" t="str">
            <v>.</v>
          </cell>
          <cell r="BQ1" t="str">
            <v>.</v>
          </cell>
          <cell r="BV1" t="str">
            <v>.</v>
          </cell>
          <cell r="CA1" t="str">
            <v>.</v>
          </cell>
        </row>
        <row r="2">
          <cell r="B2" t="str">
            <v>Royal Dutch Shell</v>
          </cell>
          <cell r="BB2" t="str">
            <v>.</v>
          </cell>
          <cell r="BG2" t="str">
            <v>.</v>
          </cell>
          <cell r="BL2" t="str">
            <v>.</v>
          </cell>
          <cell r="BQ2" t="str">
            <v>.</v>
          </cell>
          <cell r="BV2" t="str">
            <v>.</v>
          </cell>
          <cell r="CA2" t="str">
            <v>.</v>
          </cell>
        </row>
        <row r="3">
          <cell r="B3" t="str">
            <v>Oil &amp; Gas Exploration and Production Activities</v>
          </cell>
          <cell r="BB3" t="str">
            <v>.</v>
          </cell>
          <cell r="BG3" t="str">
            <v>.</v>
          </cell>
          <cell r="BL3" t="str">
            <v>.</v>
          </cell>
          <cell r="BQ3" t="str">
            <v>.</v>
          </cell>
          <cell r="BV3" t="str">
            <v>.</v>
          </cell>
          <cell r="CA3" t="str">
            <v>.</v>
          </cell>
        </row>
        <row r="4">
          <cell r="BB4" t="str">
            <v>.</v>
          </cell>
          <cell r="BG4" t="str">
            <v>.</v>
          </cell>
          <cell r="BL4" t="str">
            <v>.</v>
          </cell>
          <cell r="BQ4" t="str">
            <v>.</v>
          </cell>
          <cell r="BV4" t="str">
            <v>.</v>
          </cell>
          <cell r="CA4" t="str">
            <v>.</v>
          </cell>
        </row>
        <row r="6">
          <cell r="A6" t="str">
            <v>Shell subsidiaries</v>
          </cell>
        </row>
        <row r="8">
          <cell r="A8" t="str">
            <v>Total subsidiaries</v>
          </cell>
        </row>
        <row r="9">
          <cell r="C9">
            <v>2001</v>
          </cell>
          <cell r="D9">
            <v>2002</v>
          </cell>
          <cell r="E9">
            <v>2003</v>
          </cell>
          <cell r="F9">
            <v>2004</v>
          </cell>
          <cell r="G9">
            <v>2005</v>
          </cell>
          <cell r="H9" t="str">
            <v>1Q06</v>
          </cell>
          <cell r="I9" t="str">
            <v>2Q06</v>
          </cell>
          <cell r="J9" t="str">
            <v>3Q06</v>
          </cell>
          <cell r="K9" t="str">
            <v>4Q06</v>
          </cell>
          <cell r="L9">
            <v>2006</v>
          </cell>
          <cell r="M9" t="str">
            <v>1Q07</v>
          </cell>
          <cell r="N9" t="str">
            <v>2Q07</v>
          </cell>
          <cell r="O9" t="str">
            <v>3Q07</v>
          </cell>
          <cell r="P9" t="str">
            <v>4Q07</v>
          </cell>
          <cell r="Q9">
            <v>2007</v>
          </cell>
          <cell r="R9" t="str">
            <v>1Q08</v>
          </cell>
          <cell r="S9" t="str">
            <v>2Q08</v>
          </cell>
          <cell r="T9" t="str">
            <v>3Q08</v>
          </cell>
          <cell r="U9" t="str">
            <v>4Q08</v>
          </cell>
          <cell r="V9">
            <v>2008</v>
          </cell>
          <cell r="W9" t="str">
            <v>1Q09</v>
          </cell>
          <cell r="X9" t="str">
            <v>2Q09</v>
          </cell>
          <cell r="Y9" t="str">
            <v>3Q09</v>
          </cell>
          <cell r="Z9" t="str">
            <v>4Q09</v>
          </cell>
          <cell r="AA9">
            <v>2009</v>
          </cell>
          <cell r="AB9" t="str">
            <v>1Q10</v>
          </cell>
          <cell r="AC9" t="str">
            <v>2Q10</v>
          </cell>
          <cell r="AD9" t="str">
            <v>3Q10</v>
          </cell>
          <cell r="AE9" t="str">
            <v>4Q10</v>
          </cell>
          <cell r="AF9">
            <v>2010</v>
          </cell>
          <cell r="AG9" t="str">
            <v>1Q11</v>
          </cell>
          <cell r="AH9" t="str">
            <v>2Q11</v>
          </cell>
          <cell r="AI9" t="str">
            <v>3Q11</v>
          </cell>
          <cell r="AJ9" t="str">
            <v>4Q11</v>
          </cell>
          <cell r="AK9">
            <v>2011</v>
          </cell>
          <cell r="AL9" t="str">
            <v>1Q12</v>
          </cell>
          <cell r="AM9" t="str">
            <v>2Q12</v>
          </cell>
          <cell r="AN9" t="str">
            <v>3Q12</v>
          </cell>
          <cell r="AO9" t="str">
            <v>4Q12</v>
          </cell>
          <cell r="AP9">
            <v>2012</v>
          </cell>
          <cell r="AQ9" t="str">
            <v>1Q13</v>
          </cell>
          <cell r="AR9" t="str">
            <v>2Q13</v>
          </cell>
          <cell r="AS9" t="str">
            <v>3Q13</v>
          </cell>
          <cell r="AT9" t="str">
            <v>4Q13</v>
          </cell>
          <cell r="AU9">
            <v>2013</v>
          </cell>
          <cell r="AV9" t="str">
            <v>1Q14</v>
          </cell>
          <cell r="AW9" t="str">
            <v>2Q14</v>
          </cell>
          <cell r="AX9" t="str">
            <v>3Q14</v>
          </cell>
          <cell r="AY9" t="str">
            <v>4Q14</v>
          </cell>
          <cell r="AZ9">
            <v>2014</v>
          </cell>
          <cell r="BA9" t="str">
            <v>1Q15</v>
          </cell>
          <cell r="BB9" t="str">
            <v>2Q15</v>
          </cell>
          <cell r="BC9" t="str">
            <v>3Q15</v>
          </cell>
          <cell r="BD9" t="str">
            <v>4Q15</v>
          </cell>
          <cell r="BE9">
            <v>2015</v>
          </cell>
          <cell r="BF9" t="str">
            <v>1Q16</v>
          </cell>
          <cell r="BG9" t="str">
            <v>2Q16</v>
          </cell>
          <cell r="BH9" t="str">
            <v>3Q16</v>
          </cell>
          <cell r="BI9" t="str">
            <v>4Q16</v>
          </cell>
          <cell r="BJ9">
            <v>2016</v>
          </cell>
          <cell r="BK9" t="str">
            <v>1Q17</v>
          </cell>
          <cell r="BL9" t="str">
            <v>2Q17</v>
          </cell>
          <cell r="BM9" t="str">
            <v>3Q17</v>
          </cell>
          <cell r="BN9" t="str">
            <v>4Q17</v>
          </cell>
          <cell r="BO9">
            <v>2017</v>
          </cell>
          <cell r="BP9" t="str">
            <v>1Q18</v>
          </cell>
          <cell r="BQ9" t="str">
            <v>2Q18</v>
          </cell>
          <cell r="BR9" t="str">
            <v>3Q18</v>
          </cell>
          <cell r="BS9" t="str">
            <v>4Q18</v>
          </cell>
          <cell r="BT9">
            <v>2018</v>
          </cell>
          <cell r="BU9" t="str">
            <v>1Q19</v>
          </cell>
          <cell r="BV9" t="str">
            <v>2Q19</v>
          </cell>
          <cell r="BW9" t="str">
            <v>3Q19</v>
          </cell>
          <cell r="BX9" t="str">
            <v>4Q19</v>
          </cell>
          <cell r="BY9">
            <v>2019</v>
          </cell>
          <cell r="BZ9" t="str">
            <v>1Q20</v>
          </cell>
          <cell r="CA9" t="str">
            <v>2Q20</v>
          </cell>
          <cell r="CB9" t="str">
            <v>3Q20</v>
          </cell>
          <cell r="CC9" t="str">
            <v>4Q20</v>
          </cell>
          <cell r="CD9">
            <v>2020</v>
          </cell>
          <cell r="CG9" t="str">
            <v>Period</v>
          </cell>
          <cell r="CH9" t="str">
            <v>Brent</v>
          </cell>
          <cell r="CI9" t="str">
            <v>HH</v>
          </cell>
          <cell r="CJ9" t="str">
            <v>Production</v>
          </cell>
          <cell r="CK9" t="str">
            <v>Earnings</v>
          </cell>
          <cell r="CL9" t="str">
            <v xml:space="preserve">Model </v>
          </cell>
          <cell r="CM9" t="str">
            <v>Difference</v>
          </cell>
          <cell r="CP9" t="str">
            <v>SUMMARY OUTPUT</v>
          </cell>
        </row>
        <row r="10">
          <cell r="A10" t="str">
            <v>Third parties</v>
          </cell>
          <cell r="C10">
            <v>10838</v>
          </cell>
          <cell r="D10">
            <v>10971</v>
          </cell>
          <cell r="E10">
            <v>10981</v>
          </cell>
          <cell r="F10">
            <v>9400</v>
          </cell>
          <cell r="G10">
            <v>10936</v>
          </cell>
          <cell r="L10">
            <v>14788</v>
          </cell>
          <cell r="Q10">
            <v>12658</v>
          </cell>
          <cell r="V10">
            <v>20077</v>
          </cell>
          <cell r="AA10">
            <v>11530</v>
          </cell>
          <cell r="AF10">
            <v>14899</v>
          </cell>
          <cell r="AK10">
            <v>18038</v>
          </cell>
          <cell r="AP10">
            <v>17237</v>
          </cell>
          <cell r="CG10">
            <v>2006</v>
          </cell>
          <cell r="CH10">
            <v>65.128211693745129</v>
          </cell>
          <cell r="CI10">
            <v>6.7654496469713861</v>
          </cell>
          <cell r="CJ10">
            <v>3472.7586206896549</v>
          </cell>
          <cell r="CK10">
            <v>11469</v>
          </cell>
          <cell r="CL10">
            <v>11728.914376934408</v>
          </cell>
          <cell r="CM10">
            <v>-259.91437693440821</v>
          </cell>
        </row>
        <row r="11">
          <cell r="A11" t="str">
            <v>Sales between businesses</v>
          </cell>
          <cell r="C11">
            <v>13790</v>
          </cell>
          <cell r="D11">
            <v>14679</v>
          </cell>
          <cell r="E11">
            <v>19846</v>
          </cell>
          <cell r="F11">
            <v>24807</v>
          </cell>
          <cell r="G11">
            <v>31579</v>
          </cell>
          <cell r="L11">
            <v>35704</v>
          </cell>
          <cell r="Q11">
            <v>38345</v>
          </cell>
          <cell r="V11">
            <v>43820</v>
          </cell>
          <cell r="AA11">
            <v>29436</v>
          </cell>
          <cell r="AF11">
            <v>37059</v>
          </cell>
          <cell r="AK11">
            <v>49316</v>
          </cell>
          <cell r="AP11">
            <v>49998</v>
          </cell>
          <cell r="CG11">
            <v>2007</v>
          </cell>
          <cell r="CH11">
            <v>72.453558643326943</v>
          </cell>
          <cell r="CI11">
            <v>6.9427488652651697</v>
          </cell>
          <cell r="CJ11">
            <v>3315.2068965517237</v>
          </cell>
          <cell r="CK11">
            <v>11103</v>
          </cell>
          <cell r="CL11">
            <v>10584.382081886099</v>
          </cell>
          <cell r="CM11">
            <v>518.6179181139014</v>
          </cell>
          <cell r="CP11" t="str">
            <v>Regression Statistics</v>
          </cell>
        </row>
        <row r="12">
          <cell r="A12" t="str">
            <v>Revenue</v>
          </cell>
          <cell r="C12">
            <v>24628</v>
          </cell>
          <cell r="D12">
            <v>25650</v>
          </cell>
          <cell r="E12">
            <v>30827</v>
          </cell>
          <cell r="F12">
            <v>34207</v>
          </cell>
          <cell r="G12">
            <v>42515</v>
          </cell>
          <cell r="L12">
            <v>50492</v>
          </cell>
          <cell r="Q12">
            <v>51003</v>
          </cell>
          <cell r="V12">
            <v>63897</v>
          </cell>
          <cell r="AA12">
            <v>40966</v>
          </cell>
          <cell r="AF12">
            <v>51958</v>
          </cell>
          <cell r="AK12">
            <v>67354</v>
          </cell>
          <cell r="AP12">
            <v>67235</v>
          </cell>
          <cell r="AQ12">
            <v>18554.340268382854</v>
          </cell>
          <cell r="AR12">
            <v>14209.641100270428</v>
          </cell>
          <cell r="AS12">
            <v>14202.203013718556</v>
          </cell>
          <cell r="AT12">
            <v>14957.885410194152</v>
          </cell>
          <cell r="AU12">
            <v>61924.069792565992</v>
          </cell>
          <cell r="AV12">
            <v>15819.359479275483</v>
          </cell>
          <cell r="AW12">
            <v>15454.275949668598</v>
          </cell>
          <cell r="AX12">
            <v>15929.822332104701</v>
          </cell>
          <cell r="AY12">
            <v>18333.057347712489</v>
          </cell>
          <cell r="AZ12">
            <v>65536.515108761261</v>
          </cell>
          <cell r="BA12">
            <v>17710.511548124006</v>
          </cell>
          <cell r="BB12">
            <v>16221.719861465641</v>
          </cell>
          <cell r="BC12">
            <v>15855.307519821119</v>
          </cell>
          <cell r="BD12">
            <v>17228.747124363443</v>
          </cell>
          <cell r="BE12">
            <v>67016.286053774209</v>
          </cell>
          <cell r="BF12">
            <v>17128.126087405748</v>
          </cell>
          <cell r="BG12">
            <v>16209.25993507109</v>
          </cell>
          <cell r="BH12">
            <v>16326.380787468388</v>
          </cell>
          <cell r="BI12">
            <v>18005.262286501984</v>
          </cell>
          <cell r="BJ12">
            <v>67669.029096447208</v>
          </cell>
          <cell r="BK12">
            <v>18322.10781337586</v>
          </cell>
          <cell r="BL12">
            <v>17500.176295702659</v>
          </cell>
          <cell r="BM12">
            <v>17613.705861238439</v>
          </cell>
          <cell r="BN12">
            <v>19219.275765814855</v>
          </cell>
          <cell r="BO12">
            <v>72655.265736131827</v>
          </cell>
          <cell r="BP12">
            <v>19328.414808425598</v>
          </cell>
          <cell r="BQ12">
            <v>18398.749801990023</v>
          </cell>
          <cell r="BR12">
            <v>18401.424512753045</v>
          </cell>
          <cell r="BS12">
            <v>19893.957675210218</v>
          </cell>
          <cell r="BT12">
            <v>76022.546798378869</v>
          </cell>
          <cell r="BU12">
            <v>19973.683801298786</v>
          </cell>
          <cell r="BV12">
            <v>19098.600122240656</v>
          </cell>
          <cell r="BW12">
            <v>19137.711293541382</v>
          </cell>
          <cell r="BX12">
            <v>20625.828042582387</v>
          </cell>
          <cell r="BY12">
            <v>78835.823259663215</v>
          </cell>
          <cell r="BZ12">
            <v>20744.487083341752</v>
          </cell>
          <cell r="CA12">
            <v>20070.907119275766</v>
          </cell>
          <cell r="CB12">
            <v>20270.883811324449</v>
          </cell>
          <cell r="CC12">
            <v>21829.924670868106</v>
          </cell>
          <cell r="CD12">
            <v>82916.202684810094</v>
          </cell>
          <cell r="CG12">
            <v>2008</v>
          </cell>
          <cell r="CH12">
            <v>97.135325928705598</v>
          </cell>
          <cell r="CI12">
            <v>8.8495393772893785</v>
          </cell>
          <cell r="CJ12">
            <v>3248.4137931034484</v>
          </cell>
          <cell r="CK12">
            <v>15265</v>
          </cell>
          <cell r="CL12">
            <v>15442.223627665939</v>
          </cell>
          <cell r="CM12">
            <v>-177.22362766593869</v>
          </cell>
          <cell r="CP12" t="str">
            <v>Multiple R</v>
          </cell>
          <cell r="CQ12">
            <v>0.99722739375346447</v>
          </cell>
        </row>
        <row r="13">
          <cell r="CG13">
            <v>2009</v>
          </cell>
          <cell r="CH13">
            <v>61.549411917772581</v>
          </cell>
          <cell r="CI13">
            <v>3.9</v>
          </cell>
          <cell r="CJ13">
            <v>3142.5862068965516</v>
          </cell>
          <cell r="CK13">
            <v>3491</v>
          </cell>
          <cell r="CL13">
            <v>3660.6193145185098</v>
          </cell>
          <cell r="CM13">
            <v>-169.61931451850978</v>
          </cell>
          <cell r="CP13" t="str">
            <v>R Square</v>
          </cell>
          <cell r="CQ13">
            <v>0.99446247485232731</v>
          </cell>
        </row>
        <row r="14">
          <cell r="A14" t="str">
            <v>Production cost excluding taxes</v>
          </cell>
          <cell r="C14">
            <v>-4324</v>
          </cell>
          <cell r="D14">
            <v>-5164</v>
          </cell>
          <cell r="E14">
            <v>-5769</v>
          </cell>
          <cell r="F14">
            <v>-6497</v>
          </cell>
          <cell r="G14">
            <v>-5330</v>
          </cell>
          <cell r="L14">
            <v>-6504</v>
          </cell>
          <cell r="Q14">
            <v>-7244</v>
          </cell>
          <cell r="V14">
            <v>-7283</v>
          </cell>
          <cell r="AA14">
            <v>-9117</v>
          </cell>
          <cell r="AF14">
            <v>-8989</v>
          </cell>
          <cell r="AK14">
            <v>-10617</v>
          </cell>
          <cell r="AP14">
            <v>-11760</v>
          </cell>
          <cell r="AQ14">
            <v>-3368.0770941892533</v>
          </cell>
          <cell r="AR14">
            <v>-2768.4788149868727</v>
          </cell>
          <cell r="AS14">
            <v>-2661.4294584010177</v>
          </cell>
          <cell r="AT14">
            <v>-3097.1878791084314</v>
          </cell>
          <cell r="AU14">
            <v>-11895.173246685576</v>
          </cell>
          <cell r="AV14">
            <v>-3341.8765170436818</v>
          </cell>
          <cell r="AW14">
            <v>-3087.1789694751433</v>
          </cell>
          <cell r="AX14">
            <v>-3092.7966131670437</v>
          </cell>
          <cell r="AY14">
            <v>-3610.5459189270673</v>
          </cell>
          <cell r="AZ14">
            <v>-13132.398018612934</v>
          </cell>
          <cell r="BA14">
            <v>-3843.5892050396205</v>
          </cell>
          <cell r="BB14">
            <v>-3436.0109238627469</v>
          </cell>
          <cell r="BC14">
            <v>-3329.867940729378</v>
          </cell>
          <cell r="BD14">
            <v>-3738.1151553228219</v>
          </cell>
          <cell r="BE14">
            <v>-14347.583224954567</v>
          </cell>
          <cell r="BF14">
            <v>-3955.4556459665846</v>
          </cell>
          <cell r="BG14">
            <v>-3644.3817748856791</v>
          </cell>
          <cell r="BH14">
            <v>-3625.6413986259331</v>
          </cell>
          <cell r="BI14">
            <v>-4101.0103744382832</v>
          </cell>
          <cell r="BJ14">
            <v>-15326.489193916479</v>
          </cell>
          <cell r="BK14">
            <v>-4290.1591963502469</v>
          </cell>
          <cell r="BL14">
            <v>-3975.6676909178182</v>
          </cell>
          <cell r="BM14">
            <v>-3950.68831263947</v>
          </cell>
          <cell r="BN14">
            <v>-4413.2869933148222</v>
          </cell>
          <cell r="BO14">
            <v>-16629.802193222356</v>
          </cell>
          <cell r="BP14">
            <v>-4563.9028448298941</v>
          </cell>
          <cell r="BQ14">
            <v>-4187.2351602222207</v>
          </cell>
          <cell r="BR14">
            <v>-4103.874226679307</v>
          </cell>
          <cell r="BS14">
            <v>-4514.2367051523679</v>
          </cell>
          <cell r="BT14">
            <v>-17369.248936883789</v>
          </cell>
          <cell r="BU14">
            <v>-4694.2306595249574</v>
          </cell>
          <cell r="BV14">
            <v>-4371.7338782778997</v>
          </cell>
          <cell r="BW14">
            <v>-4339.5162812990793</v>
          </cell>
          <cell r="BX14">
            <v>-4794.2017800285566</v>
          </cell>
          <cell r="BY14">
            <v>-18199.682599130494</v>
          </cell>
          <cell r="BZ14">
            <v>-4921.8193326777755</v>
          </cell>
          <cell r="CA14">
            <v>-4587.5508010516378</v>
          </cell>
          <cell r="CB14">
            <v>-4531.6584148235625</v>
          </cell>
          <cell r="CC14">
            <v>-4940.6005479485548</v>
          </cell>
          <cell r="CD14">
            <v>-18981.629096501532</v>
          </cell>
          <cell r="CG14">
            <v>2010</v>
          </cell>
          <cell r="CH14">
            <v>79.495533596837973</v>
          </cell>
          <cell r="CI14">
            <v>4.3983333333333334</v>
          </cell>
          <cell r="CJ14">
            <v>3313.3103448275865</v>
          </cell>
          <cell r="CK14">
            <v>10491</v>
          </cell>
          <cell r="CL14">
            <v>10402.860598995059</v>
          </cell>
          <cell r="CM14">
            <v>88.139401004940737</v>
          </cell>
          <cell r="CP14" t="str">
            <v>Adjusted R Square</v>
          </cell>
          <cell r="CQ14">
            <v>0.97784989940930922</v>
          </cell>
        </row>
        <row r="15">
          <cell r="A15" t="str">
            <v>Taxes other than income tax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-2019</v>
          </cell>
          <cell r="L15">
            <v>-1639</v>
          </cell>
          <cell r="Q15">
            <v>-1878</v>
          </cell>
          <cell r="V15">
            <v>-2471</v>
          </cell>
          <cell r="AA15">
            <v>-1268</v>
          </cell>
          <cell r="AF15">
            <v>-2193</v>
          </cell>
          <cell r="AK15">
            <v>-3016</v>
          </cell>
          <cell r="AP15">
            <v>-2514</v>
          </cell>
          <cell r="AQ15">
            <v>-636.69734158092865</v>
          </cell>
          <cell r="AR15">
            <v>-487.78010291814479</v>
          </cell>
          <cell r="AS15">
            <v>-478.76886697169903</v>
          </cell>
          <cell r="AT15">
            <v>-508.87951754990019</v>
          </cell>
          <cell r="AU15">
            <v>-2112.1258290206724</v>
          </cell>
          <cell r="AV15">
            <v>-509.24716637518526</v>
          </cell>
          <cell r="AW15">
            <v>-536.1176725866701</v>
          </cell>
          <cell r="AX15">
            <v>-564.7991716835412</v>
          </cell>
          <cell r="AY15">
            <v>-641.48132522453022</v>
          </cell>
          <cell r="AZ15">
            <v>-2251.6453358699264</v>
          </cell>
          <cell r="BA15">
            <v>-611.75916137280547</v>
          </cell>
          <cell r="BB15">
            <v>-576.79169449541018</v>
          </cell>
          <cell r="BC15">
            <v>-565.49711667526742</v>
          </cell>
          <cell r="BD15">
            <v>-586.21662288457776</v>
          </cell>
          <cell r="BE15">
            <v>-2340.2645954280611</v>
          </cell>
          <cell r="BF15">
            <v>-593.34282027225686</v>
          </cell>
          <cell r="BG15">
            <v>-585.5586344214986</v>
          </cell>
          <cell r="BH15">
            <v>-600.42532744955793</v>
          </cell>
          <cell r="BI15">
            <v>-643.65929399541824</v>
          </cell>
          <cell r="BJ15">
            <v>-2422.9860761387317</v>
          </cell>
          <cell r="BK15">
            <v>-655.84689739992621</v>
          </cell>
          <cell r="BL15">
            <v>-647.7656252850112</v>
          </cell>
          <cell r="BM15">
            <v>-658.63743764331184</v>
          </cell>
          <cell r="BN15">
            <v>-696.12799085215693</v>
          </cell>
          <cell r="BO15">
            <v>-2658.3779511804059</v>
          </cell>
          <cell r="BP15">
            <v>-707.19289450112808</v>
          </cell>
          <cell r="BQ15">
            <v>-708.00918951019594</v>
          </cell>
          <cell r="BR15">
            <v>-728.0869865865784</v>
          </cell>
          <cell r="BS15">
            <v>-774.40983413004938</v>
          </cell>
          <cell r="BT15">
            <v>-2917.6989047279517</v>
          </cell>
          <cell r="BU15">
            <v>-766.98041324661585</v>
          </cell>
          <cell r="BV15">
            <v>-752.50958115270078</v>
          </cell>
          <cell r="BW15">
            <v>-756.34992964780099</v>
          </cell>
          <cell r="BX15">
            <v>-785.0626389968844</v>
          </cell>
          <cell r="BY15">
            <v>-3060.9025630440019</v>
          </cell>
          <cell r="BZ15">
            <v>-802.85425702391365</v>
          </cell>
          <cell r="CA15">
            <v>-817.57477121107149</v>
          </cell>
          <cell r="CB15">
            <v>-850.66295544950867</v>
          </cell>
          <cell r="CC15">
            <v>-906.64514976165697</v>
          </cell>
          <cell r="CD15">
            <v>-3377.7371334461504</v>
          </cell>
          <cell r="CG15">
            <v>2011</v>
          </cell>
          <cell r="CH15">
            <v>111.26</v>
          </cell>
          <cell r="CI15">
            <v>4.01</v>
          </cell>
          <cell r="CJ15">
            <v>3215.3103448275861</v>
          </cell>
          <cell r="CK15">
            <v>14495</v>
          </cell>
          <cell r="CL15">
            <v>14736.789697229215</v>
          </cell>
          <cell r="CM15">
            <v>-241.78969722921465</v>
          </cell>
          <cell r="CP15" t="str">
            <v>Standard Error</v>
          </cell>
          <cell r="CQ15">
            <v>635.97760054605442</v>
          </cell>
        </row>
        <row r="16">
          <cell r="A16" t="str">
            <v>Exploration expense</v>
          </cell>
          <cell r="C16">
            <v>-819</v>
          </cell>
          <cell r="D16">
            <v>-977</v>
          </cell>
          <cell r="E16">
            <v>-1116</v>
          </cell>
          <cell r="F16">
            <v>-1102</v>
          </cell>
          <cell r="G16">
            <v>-1158</v>
          </cell>
          <cell r="L16">
            <v>-1398</v>
          </cell>
          <cell r="Q16">
            <v>-1822</v>
          </cell>
          <cell r="V16">
            <v>-1995</v>
          </cell>
          <cell r="AA16">
            <v>-2178</v>
          </cell>
          <cell r="AF16">
            <v>-2036</v>
          </cell>
          <cell r="AK16">
            <v>-2266</v>
          </cell>
          <cell r="AP16">
            <v>-3104</v>
          </cell>
          <cell r="AQ16">
            <v>-648.00000000000011</v>
          </cell>
          <cell r="AR16">
            <v>-1228.0000000000002</v>
          </cell>
          <cell r="AS16">
            <v>-1636</v>
          </cell>
          <cell r="AT16">
            <v>-1766</v>
          </cell>
          <cell r="AU16">
            <v>-5278</v>
          </cell>
          <cell r="AV16">
            <v>-926.61</v>
          </cell>
          <cell r="AW16">
            <v>-926.61</v>
          </cell>
          <cell r="AX16">
            <v>-926.61</v>
          </cell>
          <cell r="AY16">
            <v>-926.61</v>
          </cell>
          <cell r="AZ16">
            <v>-3706.44</v>
          </cell>
          <cell r="BA16">
            <v>-790.95</v>
          </cell>
          <cell r="BB16">
            <v>-790.95000000000016</v>
          </cell>
          <cell r="BC16">
            <v>-790.95</v>
          </cell>
          <cell r="BD16">
            <v>-790.94999999999982</v>
          </cell>
          <cell r="BE16">
            <v>-3163.8</v>
          </cell>
          <cell r="BF16">
            <v>-627.39166666666665</v>
          </cell>
          <cell r="BG16">
            <v>-627.39166666666665</v>
          </cell>
          <cell r="BH16">
            <v>-627.39166666666665</v>
          </cell>
          <cell r="BI16">
            <v>-627.39166666666665</v>
          </cell>
          <cell r="BJ16">
            <v>-2509.5666666666666</v>
          </cell>
          <cell r="BK16">
            <v>-624.2166666666667</v>
          </cell>
          <cell r="BL16">
            <v>-624.2166666666667</v>
          </cell>
          <cell r="BM16">
            <v>-624.2166666666667</v>
          </cell>
          <cell r="BN16">
            <v>-624.2166666666667</v>
          </cell>
          <cell r="BO16">
            <v>-2496.8666666666668</v>
          </cell>
          <cell r="BP16">
            <v>-615.15625</v>
          </cell>
          <cell r="BQ16">
            <v>-615.15625</v>
          </cell>
          <cell r="BR16">
            <v>-615.15625</v>
          </cell>
          <cell r="BS16">
            <v>-615.15625</v>
          </cell>
          <cell r="BT16">
            <v>-2460.625</v>
          </cell>
          <cell r="BU16">
            <v>-617.8125</v>
          </cell>
          <cell r="BV16">
            <v>-617.8125</v>
          </cell>
          <cell r="BW16">
            <v>-617.8125</v>
          </cell>
          <cell r="BX16">
            <v>-617.8125</v>
          </cell>
          <cell r="BY16">
            <v>-2471.25</v>
          </cell>
          <cell r="BZ16">
            <v>-617.8125</v>
          </cell>
          <cell r="CA16">
            <v>-617.8125</v>
          </cell>
          <cell r="CB16">
            <v>-617.8125</v>
          </cell>
          <cell r="CC16">
            <v>-617.8125</v>
          </cell>
          <cell r="CD16">
            <v>-2471.25</v>
          </cell>
          <cell r="CG16">
            <v>2012</v>
          </cell>
          <cell r="CH16">
            <v>111.6697023809523</v>
          </cell>
          <cell r="CI16">
            <v>2.7558333333333334</v>
          </cell>
          <cell r="CJ16">
            <v>3262.1379310344823</v>
          </cell>
          <cell r="CK16">
            <v>11039</v>
          </cell>
          <cell r="CL16">
            <v>14861.482656904911</v>
          </cell>
          <cell r="CM16">
            <v>-3822.482656904911</v>
          </cell>
          <cell r="CP16" t="str">
            <v>Observations</v>
          </cell>
          <cell r="CQ16">
            <v>5</v>
          </cell>
        </row>
        <row r="17">
          <cell r="A17" t="str">
            <v>DD&amp;A</v>
          </cell>
          <cell r="C17">
            <v>-4211</v>
          </cell>
          <cell r="D17">
            <v>-6003</v>
          </cell>
          <cell r="E17">
            <v>-7657</v>
          </cell>
          <cell r="F17">
            <v>-7797</v>
          </cell>
          <cell r="G17">
            <v>-8381</v>
          </cell>
          <cell r="L17">
            <v>-9165</v>
          </cell>
          <cell r="Q17">
            <v>-9432</v>
          </cell>
          <cell r="V17">
            <v>-9336</v>
          </cell>
          <cell r="AA17">
            <v>-9770</v>
          </cell>
          <cell r="AF17">
            <v>-10738</v>
          </cell>
          <cell r="AK17">
            <v>-8367</v>
          </cell>
          <cell r="AP17">
            <v>-10507</v>
          </cell>
          <cell r="AQ17">
            <v>-3033.8879109891982</v>
          </cell>
          <cell r="AR17">
            <v>-2482.6862690292883</v>
          </cell>
          <cell r="AS17">
            <v>-2373.8085733274288</v>
          </cell>
          <cell r="AT17">
            <v>-2778.0976389558937</v>
          </cell>
          <cell r="AU17">
            <v>-10668.480392301808</v>
          </cell>
          <cell r="AV17">
            <v>-2790.4721826826039</v>
          </cell>
          <cell r="AW17">
            <v>-2661.5166611494888</v>
          </cell>
          <cell r="AX17">
            <v>-2702.4822522263335</v>
          </cell>
          <cell r="AY17">
            <v>-3077.5811759555281</v>
          </cell>
          <cell r="AZ17">
            <v>-11232.052272013954</v>
          </cell>
          <cell r="BA17">
            <v>-3252.5410322363541</v>
          </cell>
          <cell r="BB17">
            <v>-2971.9584670015442</v>
          </cell>
          <cell r="BC17">
            <v>-2902.9151130285823</v>
          </cell>
          <cell r="BD17">
            <v>-3183.2455860139498</v>
          </cell>
          <cell r="BE17">
            <v>-12310.660198280431</v>
          </cell>
          <cell r="BF17">
            <v>-3377.3945486382172</v>
          </cell>
          <cell r="BG17">
            <v>-3169.0665181699515</v>
          </cell>
          <cell r="BH17">
            <v>-3176.0506564364168</v>
          </cell>
          <cell r="BI17">
            <v>-3534.0053384446037</v>
          </cell>
          <cell r="BJ17">
            <v>-13256.51706168919</v>
          </cell>
          <cell r="BK17">
            <v>-3682.5835973841781</v>
          </cell>
          <cell r="BL17">
            <v>-3449.5942436475443</v>
          </cell>
          <cell r="BM17">
            <v>-3438.7056484932095</v>
          </cell>
          <cell r="BN17">
            <v>-3788.449024326419</v>
          </cell>
          <cell r="BO17">
            <v>-14359.33251385135</v>
          </cell>
          <cell r="BP17">
            <v>-3922.4756028273946</v>
          </cell>
          <cell r="BQ17">
            <v>-3643.7700101218275</v>
          </cell>
          <cell r="BR17">
            <v>-3598.2775986866022</v>
          </cell>
          <cell r="BS17">
            <v>-3932.2836882431338</v>
          </cell>
          <cell r="BT17">
            <v>-15096.806899878957</v>
          </cell>
          <cell r="BU17">
            <v>-4074.9760611827628</v>
          </cell>
          <cell r="BV17">
            <v>-3817.4733982205521</v>
          </cell>
          <cell r="BW17">
            <v>-3799.1256779210626</v>
          </cell>
          <cell r="BX17">
            <v>-4167.8372268889116</v>
          </cell>
          <cell r="BY17">
            <v>-15859.412364213291</v>
          </cell>
          <cell r="BZ17">
            <v>-4273.7443243433463</v>
          </cell>
          <cell r="CA17">
            <v>-4009.6017179258256</v>
          </cell>
          <cell r="CB17">
            <v>-3981.7289753276004</v>
          </cell>
          <cell r="CC17">
            <v>-4334.0764185656262</v>
          </cell>
          <cell r="CD17">
            <v>-16599.151436162399</v>
          </cell>
          <cell r="CG17">
            <v>2013</v>
          </cell>
          <cell r="CH17">
            <v>108.66</v>
          </cell>
          <cell r="CI17">
            <v>3.7</v>
          </cell>
          <cell r="CJ17">
            <v>3199.5996837586199</v>
          </cell>
          <cell r="CK17">
            <v>8478.9391806009517</v>
          </cell>
          <cell r="CL17">
            <v>13770.833913606206</v>
          </cell>
          <cell r="CM17">
            <v>-5291.8947330052542</v>
          </cell>
        </row>
        <row r="18">
          <cell r="A18" t="str">
            <v>Other income/(cost)</v>
          </cell>
          <cell r="C18">
            <v>-1241</v>
          </cell>
          <cell r="D18">
            <v>-1459</v>
          </cell>
          <cell r="E18">
            <v>-1114</v>
          </cell>
          <cell r="F18">
            <v>-1983</v>
          </cell>
          <cell r="G18">
            <v>-1639</v>
          </cell>
          <cell r="L18">
            <v>-3500</v>
          </cell>
          <cell r="Q18">
            <v>-4152</v>
          </cell>
          <cell r="V18">
            <v>-3006</v>
          </cell>
          <cell r="AA18">
            <v>-6229</v>
          </cell>
          <cell r="AF18">
            <v>-2696</v>
          </cell>
          <cell r="AK18">
            <v>-4951</v>
          </cell>
          <cell r="AP18">
            <v>-5198</v>
          </cell>
          <cell r="AQ18">
            <v>-1450</v>
          </cell>
          <cell r="AR18">
            <v>-1450</v>
          </cell>
          <cell r="AS18">
            <v>-1450</v>
          </cell>
          <cell r="AT18">
            <v>-1450</v>
          </cell>
          <cell r="AU18">
            <v>-5800</v>
          </cell>
          <cell r="AV18">
            <v>-1450</v>
          </cell>
          <cell r="AW18">
            <v>-1450</v>
          </cell>
          <cell r="AX18">
            <v>-1450</v>
          </cell>
          <cell r="AY18">
            <v>-1450</v>
          </cell>
          <cell r="AZ18">
            <v>-5800</v>
          </cell>
          <cell r="BA18">
            <v>-1450</v>
          </cell>
          <cell r="BB18">
            <v>-1450</v>
          </cell>
          <cell r="BC18">
            <v>-1450</v>
          </cell>
          <cell r="BD18">
            <v>-1450</v>
          </cell>
          <cell r="BE18">
            <v>-5800</v>
          </cell>
          <cell r="BF18">
            <v>-1450</v>
          </cell>
          <cell r="BG18">
            <v>-1450</v>
          </cell>
          <cell r="BH18">
            <v>-1450</v>
          </cell>
          <cell r="BI18">
            <v>-1450</v>
          </cell>
          <cell r="BJ18">
            <v>-5800</v>
          </cell>
          <cell r="BK18">
            <v>-1450</v>
          </cell>
          <cell r="BL18">
            <v>-1450</v>
          </cell>
          <cell r="BM18">
            <v>-1450</v>
          </cell>
          <cell r="BN18">
            <v>-1450</v>
          </cell>
          <cell r="BO18">
            <v>-5800</v>
          </cell>
          <cell r="BP18">
            <v>-1450</v>
          </cell>
          <cell r="BQ18">
            <v>-1450</v>
          </cell>
          <cell r="BR18">
            <v>-1450</v>
          </cell>
          <cell r="BS18">
            <v>-1450</v>
          </cell>
          <cell r="BT18">
            <v>-5800</v>
          </cell>
          <cell r="BU18">
            <v>-1450</v>
          </cell>
          <cell r="BV18">
            <v>-1450</v>
          </cell>
          <cell r="BW18">
            <v>-1450</v>
          </cell>
          <cell r="BX18">
            <v>-1450</v>
          </cell>
          <cell r="BY18">
            <v>-5800</v>
          </cell>
          <cell r="BZ18">
            <v>-1450</v>
          </cell>
          <cell r="CA18">
            <v>-1450</v>
          </cell>
          <cell r="CB18">
            <v>-1450</v>
          </cell>
          <cell r="CC18">
            <v>-1450</v>
          </cell>
          <cell r="CD18">
            <v>-5800</v>
          </cell>
          <cell r="CG18">
            <v>2014</v>
          </cell>
          <cell r="CH18">
            <v>108.8</v>
          </cell>
          <cell r="CI18">
            <v>4.17</v>
          </cell>
          <cell r="CJ18">
            <v>3158.3598515698873</v>
          </cell>
          <cell r="CK18">
            <v>9849.5781547170482</v>
          </cell>
          <cell r="CL18">
            <v>13377.175487990695</v>
          </cell>
          <cell r="CM18">
            <v>-3527.5973332736467</v>
          </cell>
          <cell r="CP18" t="str">
            <v>ANOVA</v>
          </cell>
        </row>
        <row r="19">
          <cell r="A19" t="str">
            <v>Earnings before tax</v>
          </cell>
          <cell r="C19">
            <v>14033</v>
          </cell>
          <cell r="D19">
            <v>12047</v>
          </cell>
          <cell r="E19">
            <v>15171</v>
          </cell>
          <cell r="F19">
            <v>16828</v>
          </cell>
          <cell r="G19">
            <v>23988</v>
          </cell>
          <cell r="L19">
            <v>28286</v>
          </cell>
          <cell r="Q19">
            <v>26475</v>
          </cell>
          <cell r="V19">
            <v>39806</v>
          </cell>
          <cell r="AA19">
            <v>12404</v>
          </cell>
          <cell r="AF19">
            <v>25306</v>
          </cell>
          <cell r="AK19">
            <v>38137</v>
          </cell>
          <cell r="AP19">
            <v>34152</v>
          </cell>
          <cell r="AQ19">
            <v>9417.6779216234718</v>
          </cell>
          <cell r="AR19">
            <v>5792.6959133361224</v>
          </cell>
          <cell r="AS19">
            <v>5602.1961150184106</v>
          </cell>
          <cell r="AT19">
            <v>5357.720374579927</v>
          </cell>
          <cell r="AU19">
            <v>26170.290324557936</v>
          </cell>
          <cell r="AV19">
            <v>6801.1536131740095</v>
          </cell>
          <cell r="AW19">
            <v>6792.852646457296</v>
          </cell>
          <cell r="AX19">
            <v>7193.1342950277794</v>
          </cell>
          <cell r="AY19">
            <v>8626.8389276053658</v>
          </cell>
          <cell r="AZ19">
            <v>29413.979482264447</v>
          </cell>
          <cell r="BA19">
            <v>7761.6721494752264</v>
          </cell>
          <cell r="BB19">
            <v>6996.0087761059431</v>
          </cell>
          <cell r="BC19">
            <v>6816.0773493878924</v>
          </cell>
          <cell r="BD19">
            <v>7480.2197601420921</v>
          </cell>
          <cell r="BE19">
            <v>29053.978035111151</v>
          </cell>
          <cell r="BF19">
            <v>7124.5414058620236</v>
          </cell>
          <cell r="BG19">
            <v>6732.8613409272939</v>
          </cell>
          <cell r="BH19">
            <v>6846.8717382898139</v>
          </cell>
          <cell r="BI19">
            <v>7649.1956129570117</v>
          </cell>
          <cell r="BJ19">
            <v>28353.470098036145</v>
          </cell>
          <cell r="BK19">
            <v>7619.3014555748441</v>
          </cell>
          <cell r="BL19">
            <v>7352.9320691856192</v>
          </cell>
          <cell r="BM19">
            <v>7491.4577957957808</v>
          </cell>
          <cell r="BN19">
            <v>8247.1950906547936</v>
          </cell>
          <cell r="BO19">
            <v>30710.886411211039</v>
          </cell>
          <cell r="BP19">
            <v>8069.6872162671807</v>
          </cell>
          <cell r="BQ19">
            <v>7794.5791921357786</v>
          </cell>
          <cell r="BR19">
            <v>7906.0294508005563</v>
          </cell>
          <cell r="BS19">
            <v>8607.871197684668</v>
          </cell>
          <cell r="BT19">
            <v>32378.167056888185</v>
          </cell>
          <cell r="BU19">
            <v>8369.6841673444469</v>
          </cell>
          <cell r="BV19">
            <v>8089.0707645895009</v>
          </cell>
          <cell r="BW19">
            <v>8174.9069046734385</v>
          </cell>
          <cell r="BX19">
            <v>8810.913896668033</v>
          </cell>
          <cell r="BY19">
            <v>33444.575733275415</v>
          </cell>
          <cell r="BZ19">
            <v>8678.2566692967157</v>
          </cell>
          <cell r="CA19">
            <v>8588.3673290872302</v>
          </cell>
          <cell r="CB19">
            <v>8839.0209657237792</v>
          </cell>
          <cell r="CC19">
            <v>9580.7900545922676</v>
          </cell>
          <cell r="CD19">
            <v>35686.435018699995</v>
          </cell>
          <cell r="CQ19" t="str">
            <v>df</v>
          </cell>
          <cell r="CR19" t="str">
            <v>SS</v>
          </cell>
          <cell r="CS19" t="str">
            <v>MS</v>
          </cell>
          <cell r="CT19" t="str">
            <v>F</v>
          </cell>
          <cell r="CU19" t="str">
            <v>Significance F</v>
          </cell>
        </row>
        <row r="20">
          <cell r="CP20" t="str">
            <v>Regression</v>
          </cell>
          <cell r="CQ20">
            <v>3</v>
          </cell>
          <cell r="CR20">
            <v>72636737.291603699</v>
          </cell>
          <cell r="CS20">
            <v>24212245.7638679</v>
          </cell>
          <cell r="CT20">
            <v>59.862029115435334</v>
          </cell>
          <cell r="CU20">
            <v>9.4660029600383125E-2</v>
          </cell>
        </row>
        <row r="21">
          <cell r="A21" t="str">
            <v>Taxation</v>
          </cell>
          <cell r="C21">
            <v>-6945</v>
          </cell>
          <cell r="D21">
            <v>-5947</v>
          </cell>
          <cell r="E21">
            <v>-7280</v>
          </cell>
          <cell r="F21">
            <v>-9769</v>
          </cell>
          <cell r="G21">
            <v>-14523</v>
          </cell>
          <cell r="L21">
            <v>-16817</v>
          </cell>
          <cell r="Q21">
            <v>-15372</v>
          </cell>
          <cell r="V21">
            <v>-24541</v>
          </cell>
          <cell r="AA21">
            <v>-8913</v>
          </cell>
          <cell r="AF21">
            <v>-14815</v>
          </cell>
          <cell r="AK21">
            <v>-23642</v>
          </cell>
          <cell r="AP21">
            <v>-23113</v>
          </cell>
          <cell r="AQ21">
            <v>-6282.539422906877</v>
          </cell>
          <cell r="AR21">
            <v>-3864.0832311838908</v>
          </cell>
          <cell r="AS21">
            <v>-3790.1538568333854</v>
          </cell>
          <cell r="AT21">
            <v>-3754.5746330328338</v>
          </cell>
          <cell r="AU21">
            <v>-17691.351143956985</v>
          </cell>
          <cell r="AV21">
            <v>-4523.0871779402087</v>
          </cell>
          <cell r="AW21">
            <v>-4520.9468955077946</v>
          </cell>
          <cell r="AX21">
            <v>-4789.8208967379833</v>
          </cell>
          <cell r="AY21">
            <v>-5730.5463573614124</v>
          </cell>
          <cell r="AZ21">
            <v>-19564.401327547403</v>
          </cell>
          <cell r="BA21">
            <v>-5199.9900154066008</v>
          </cell>
          <cell r="BB21">
            <v>-4721.8785800899896</v>
          </cell>
          <cell r="BC21">
            <v>-4618.4068545809459</v>
          </cell>
          <cell r="BD21">
            <v>-5066.3337189091462</v>
          </cell>
          <cell r="BE21">
            <v>-19606.609168986681</v>
          </cell>
          <cell r="BF21">
            <v>-4855.5790505416999</v>
          </cell>
          <cell r="BG21">
            <v>-4576.0593258763738</v>
          </cell>
          <cell r="BH21">
            <v>-4615.8172901192629</v>
          </cell>
          <cell r="BI21">
            <v>-5105.3859406546799</v>
          </cell>
          <cell r="BJ21">
            <v>-19152.841607192015</v>
          </cell>
          <cell r="BK21">
            <v>-5078.3663298942438</v>
          </cell>
          <cell r="BL21">
            <v>-4860.5717975100188</v>
          </cell>
          <cell r="BM21">
            <v>-4905.4279381907245</v>
          </cell>
          <cell r="BN21">
            <v>-5354.9225391879863</v>
          </cell>
          <cell r="BO21">
            <v>-20199.288604782974</v>
          </cell>
          <cell r="BP21">
            <v>-5218.2083972628325</v>
          </cell>
          <cell r="BQ21">
            <v>-4982.3880475142241</v>
          </cell>
          <cell r="BR21">
            <v>-4997.0677950402924</v>
          </cell>
          <cell r="BS21">
            <v>-5400.6629403735042</v>
          </cell>
          <cell r="BT21">
            <v>-20598.327180190852</v>
          </cell>
          <cell r="BU21">
            <v>-5287.1393123543639</v>
          </cell>
          <cell r="BV21">
            <v>-5094.9597949201452</v>
          </cell>
          <cell r="BW21">
            <v>-5141.9662960012865</v>
          </cell>
          <cell r="BX21">
            <v>-5553.7574212262125</v>
          </cell>
          <cell r="BY21">
            <v>-21077.822824502007</v>
          </cell>
          <cell r="BZ21">
            <v>-5476.4965970614558</v>
          </cell>
          <cell r="CA21">
            <v>-5371.1156901758495</v>
          </cell>
          <cell r="CB21">
            <v>-5486.800083693598</v>
          </cell>
          <cell r="CC21">
            <v>-5929.0709913351575</v>
          </cell>
          <cell r="CD21">
            <v>-22263.483362266066</v>
          </cell>
          <cell r="CP21" t="str">
            <v>Residual</v>
          </cell>
          <cell r="CQ21">
            <v>1</v>
          </cell>
          <cell r="CR21">
            <v>404467.50839631679</v>
          </cell>
          <cell r="CS21">
            <v>404467.50839631679</v>
          </cell>
        </row>
        <row r="22">
          <cell r="A22" t="str">
            <v>Earnings after tax</v>
          </cell>
          <cell r="C22">
            <v>7088</v>
          </cell>
          <cell r="D22">
            <v>6100</v>
          </cell>
          <cell r="E22">
            <v>7891</v>
          </cell>
          <cell r="F22">
            <v>7059</v>
          </cell>
          <cell r="G22">
            <v>9465</v>
          </cell>
          <cell r="L22">
            <v>11469</v>
          </cell>
          <cell r="Q22">
            <v>11103</v>
          </cell>
          <cell r="V22">
            <v>15265</v>
          </cell>
          <cell r="AA22">
            <v>3491</v>
          </cell>
          <cell r="AF22">
            <v>10491</v>
          </cell>
          <cell r="AK22">
            <v>14495</v>
          </cell>
          <cell r="AP22">
            <v>11039</v>
          </cell>
          <cell r="AQ22">
            <v>3135.138498716598</v>
          </cell>
          <cell r="AR22">
            <v>1928.6126821522309</v>
          </cell>
          <cell r="AS22">
            <v>1812.042258185025</v>
          </cell>
          <cell r="AT22">
            <v>1603.1457415470932</v>
          </cell>
          <cell r="AU22">
            <v>8478.9391806009517</v>
          </cell>
          <cell r="AV22">
            <v>2278.0664352338003</v>
          </cell>
          <cell r="AW22">
            <v>2271.9057509495005</v>
          </cell>
          <cell r="AX22">
            <v>2403.3133982897975</v>
          </cell>
          <cell r="AY22">
            <v>2896.2925702439525</v>
          </cell>
          <cell r="AZ22">
            <v>9849.5781547170482</v>
          </cell>
          <cell r="BA22">
            <v>2561.6821340686251</v>
          </cell>
          <cell r="BB22">
            <v>2274.1301960159531</v>
          </cell>
          <cell r="BC22">
            <v>2197.6704948069455</v>
          </cell>
          <cell r="BD22">
            <v>2413.8860412329477</v>
          </cell>
          <cell r="BE22">
            <v>9447.3688661244669</v>
          </cell>
          <cell r="BF22">
            <v>2268.9623553203232</v>
          </cell>
          <cell r="BG22">
            <v>2156.802015050921</v>
          </cell>
          <cell r="BH22">
            <v>2231.054448170552</v>
          </cell>
          <cell r="BI22">
            <v>2543.8096723023336</v>
          </cell>
          <cell r="BJ22">
            <v>9200.6284908441285</v>
          </cell>
          <cell r="BK22">
            <v>2540.9351256805999</v>
          </cell>
          <cell r="BL22">
            <v>2492.3602716755991</v>
          </cell>
          <cell r="BM22">
            <v>2586.0298576050559</v>
          </cell>
          <cell r="BN22">
            <v>2892.2725514668068</v>
          </cell>
          <cell r="BO22">
            <v>10511.597806428061</v>
          </cell>
          <cell r="BP22">
            <v>2851.4788190043487</v>
          </cell>
          <cell r="BQ22">
            <v>2812.1911446215554</v>
          </cell>
          <cell r="BR22">
            <v>2908.9616557602649</v>
          </cell>
          <cell r="BS22">
            <v>3207.2082573111643</v>
          </cell>
          <cell r="BT22">
            <v>11779.839876697335</v>
          </cell>
          <cell r="BU22">
            <v>3082.544854990083</v>
          </cell>
          <cell r="BV22">
            <v>2994.1109696693557</v>
          </cell>
          <cell r="BW22">
            <v>3032.9406086721519</v>
          </cell>
          <cell r="BX22">
            <v>3257.1564754418218</v>
          </cell>
          <cell r="BY22">
            <v>12366.752908773411</v>
          </cell>
          <cell r="BZ22">
            <v>3201.7600722352613</v>
          </cell>
          <cell r="CA22">
            <v>3217.2516389113794</v>
          </cell>
          <cell r="CB22">
            <v>3352.2208820301789</v>
          </cell>
          <cell r="CC22">
            <v>3651.7190632571087</v>
          </cell>
          <cell r="CD22">
            <v>13422.95165643393</v>
          </cell>
          <cell r="CP22" t="str">
            <v>Total</v>
          </cell>
          <cell r="CQ22">
            <v>4</v>
          </cell>
          <cell r="CR22">
            <v>73041204.800000012</v>
          </cell>
        </row>
        <row r="24">
          <cell r="A24" t="str">
            <v>Earnings from discontinued operations</v>
          </cell>
          <cell r="C24">
            <v>67</v>
          </cell>
          <cell r="D24">
            <v>85</v>
          </cell>
          <cell r="E24">
            <v>78</v>
          </cell>
          <cell r="F24">
            <v>0</v>
          </cell>
          <cell r="G24">
            <v>0</v>
          </cell>
          <cell r="L24">
            <v>0</v>
          </cell>
          <cell r="Q24">
            <v>0</v>
          </cell>
          <cell r="V24">
            <v>0</v>
          </cell>
          <cell r="AA24">
            <v>0</v>
          </cell>
          <cell r="AF24">
            <v>0</v>
          </cell>
          <cell r="AK24">
            <v>0</v>
          </cell>
          <cell r="AP24">
            <v>0</v>
          </cell>
        </row>
        <row r="25">
          <cell r="A25" t="str">
            <v>Earnings from operations</v>
          </cell>
          <cell r="C25">
            <v>7155</v>
          </cell>
          <cell r="D25">
            <v>6185</v>
          </cell>
          <cell r="E25">
            <v>7969</v>
          </cell>
          <cell r="F25">
            <v>7059</v>
          </cell>
          <cell r="G25">
            <v>9465</v>
          </cell>
          <cell r="L25">
            <v>11469</v>
          </cell>
          <cell r="Q25">
            <v>11103</v>
          </cell>
          <cell r="V25">
            <v>15265</v>
          </cell>
          <cell r="AA25">
            <v>3491</v>
          </cell>
          <cell r="AF25">
            <v>10491</v>
          </cell>
          <cell r="AK25">
            <v>14495</v>
          </cell>
          <cell r="AP25">
            <v>11039</v>
          </cell>
          <cell r="AU25">
            <v>8478.9391806009517</v>
          </cell>
          <cell r="AZ25">
            <v>9849.5781547170482</v>
          </cell>
          <cell r="BE25">
            <v>9447.3688661244669</v>
          </cell>
          <cell r="BJ25">
            <v>9200.6284908441285</v>
          </cell>
          <cell r="BO25">
            <v>10511.597806428061</v>
          </cell>
          <cell r="BT25">
            <v>11779.839876697335</v>
          </cell>
          <cell r="BY25">
            <v>12366.752908773411</v>
          </cell>
          <cell r="CD25">
            <v>13422.95165643393</v>
          </cell>
        </row>
        <row r="27">
          <cell r="A27" t="str">
            <v>Production</v>
          </cell>
          <cell r="CQ27" t="str">
            <v>Coefficients</v>
          </cell>
          <cell r="CR27" t="str">
            <v>Standard Error</v>
          </cell>
          <cell r="CS27" t="str">
            <v>t Stat</v>
          </cell>
          <cell r="CT27" t="str">
            <v>P-value</v>
          </cell>
          <cell r="CU27" t="str">
            <v>Lower 95%</v>
          </cell>
          <cell r="CV27" t="str">
            <v>Upper 95%</v>
          </cell>
          <cell r="CW27" t="str">
            <v>Lower 95.0%</v>
          </cell>
          <cell r="CX27" t="str">
            <v>Upper 95.0%</v>
          </cell>
        </row>
        <row r="28">
          <cell r="B28" t="str">
            <v>Oil and NGL (/bbl)</v>
          </cell>
          <cell r="C28">
            <v>1838.7</v>
          </cell>
          <cell r="D28">
            <v>1970.4</v>
          </cell>
          <cell r="E28">
            <v>1934.6</v>
          </cell>
          <cell r="F28">
            <v>1872.3</v>
          </cell>
          <cell r="G28">
            <v>1736</v>
          </cell>
          <cell r="L28">
            <v>1623</v>
          </cell>
          <cell r="Q28">
            <v>1477</v>
          </cell>
          <cell r="V28">
            <v>1337</v>
          </cell>
          <cell r="AA28">
            <v>1243</v>
          </cell>
          <cell r="AF28">
            <v>1264</v>
          </cell>
          <cell r="AK28">
            <v>1207</v>
          </cell>
          <cell r="AP28">
            <v>1189.5</v>
          </cell>
          <cell r="AQ28">
            <v>1214.5823675603199</v>
          </cell>
          <cell r="AR28">
            <v>1077.9243798534401</v>
          </cell>
          <cell r="AS28">
            <v>1060.2663921465601</v>
          </cell>
          <cell r="AT28">
            <v>1114.60840443968</v>
          </cell>
          <cell r="AU28">
            <v>1116.845386</v>
          </cell>
          <cell r="AV28">
            <v>1110.0306360071759</v>
          </cell>
          <cell r="AW28">
            <v>1210.3703497428501</v>
          </cell>
          <cell r="AX28">
            <v>1284.710063478524</v>
          </cell>
          <cell r="AY28">
            <v>1374.0497772141985</v>
          </cell>
          <cell r="AZ28">
            <v>1244.7902066106872</v>
          </cell>
          <cell r="BA28">
            <v>1371.002359643318</v>
          </cell>
          <cell r="BB28">
            <v>1351.9299925172384</v>
          </cell>
          <cell r="BC28">
            <v>1331.8576253911588</v>
          </cell>
          <cell r="BD28">
            <v>1311.7852582650785</v>
          </cell>
          <cell r="BE28">
            <v>1341.6438089541984</v>
          </cell>
          <cell r="BF28">
            <v>1394.3059844155357</v>
          </cell>
          <cell r="BG28">
            <v>1422.8367105659929</v>
          </cell>
          <cell r="BH28">
            <v>1450.3674367164499</v>
          </cell>
          <cell r="BI28">
            <v>1477.8981628669071</v>
          </cell>
          <cell r="BJ28">
            <v>1436.3520736412213</v>
          </cell>
          <cell r="BK28">
            <v>1508.6977028865565</v>
          </cell>
          <cell r="BL28">
            <v>1519.887242906206</v>
          </cell>
          <cell r="BM28">
            <v>1530.0767829258555</v>
          </cell>
          <cell r="BN28">
            <v>1540.2663229455045</v>
          </cell>
          <cell r="BO28">
            <v>1524.7320129160303</v>
          </cell>
          <cell r="BP28">
            <v>1538.9412325825699</v>
          </cell>
          <cell r="BQ28">
            <v>1539.6361422196351</v>
          </cell>
          <cell r="BR28">
            <v>1539.3310518567007</v>
          </cell>
          <cell r="BS28">
            <v>1539.0259614937659</v>
          </cell>
          <cell r="BT28">
            <v>1539.2335970381678</v>
          </cell>
          <cell r="BU28">
            <v>1551.6453962641986</v>
          </cell>
          <cell r="BV28">
            <v>1561.4848310346308</v>
          </cell>
          <cell r="BW28">
            <v>1570.3242658050635</v>
          </cell>
          <cell r="BX28">
            <v>1579.1637005754963</v>
          </cell>
          <cell r="BY28">
            <v>1565.6545484198475</v>
          </cell>
          <cell r="BZ28">
            <v>1596.9217477101834</v>
          </cell>
          <cell r="CA28">
            <v>1609.3897948448705</v>
          </cell>
          <cell r="CB28">
            <v>1620.8578419795572</v>
          </cell>
          <cell r="CC28">
            <v>1632.3258891142443</v>
          </cell>
          <cell r="CD28">
            <v>1614.8738184122135</v>
          </cell>
          <cell r="CP28" t="str">
            <v>Intercept</v>
          </cell>
          <cell r="CQ28">
            <v>-64453.519872947225</v>
          </cell>
          <cell r="CR28">
            <v>10659.635318144088</v>
          </cell>
          <cell r="CS28">
            <v>-6.0465032760772726</v>
          </cell>
          <cell r="CT28">
            <v>0.10434276994408545</v>
          </cell>
          <cell r="CU28">
            <v>-199897.02861492452</v>
          </cell>
          <cell r="CV28">
            <v>70989.988869030058</v>
          </cell>
          <cell r="CW28">
            <v>-199897.02861492452</v>
          </cell>
          <cell r="CX28">
            <v>70989.988869030058</v>
          </cell>
        </row>
        <row r="29">
          <cell r="B29" t="str">
            <v>Natural gas (/mmcf)</v>
          </cell>
          <cell r="C29">
            <v>6724.59</v>
          </cell>
          <cell r="D29">
            <v>7121.52</v>
          </cell>
          <cell r="E29">
            <v>6639.21</v>
          </cell>
          <cell r="F29">
            <v>6440.46</v>
          </cell>
          <cell r="G29">
            <v>5995</v>
          </cell>
          <cell r="L29">
            <v>6101</v>
          </cell>
          <cell r="Q29">
            <v>5962</v>
          </cell>
          <cell r="V29">
            <v>6109</v>
          </cell>
          <cell r="AA29">
            <v>5957</v>
          </cell>
          <cell r="AF29">
            <v>6244</v>
          </cell>
          <cell r="AK29">
            <v>5893</v>
          </cell>
          <cell r="AP29">
            <v>6189</v>
          </cell>
          <cell r="AQ29">
            <v>7987.5871737830394</v>
          </cell>
          <cell r="AR29">
            <v>6015.2497379276801</v>
          </cell>
          <cell r="AS29">
            <v>5456.9123020723209</v>
          </cell>
          <cell r="AT29">
            <v>7107.5748662169599</v>
          </cell>
          <cell r="AU29">
            <v>6635.8310199999996</v>
          </cell>
          <cell r="AV29">
            <v>7743.5883669022123</v>
          </cell>
          <cell r="AW29">
            <v>6061.3731156410076</v>
          </cell>
          <cell r="AX29">
            <v>5567.4525195572214</v>
          </cell>
          <cell r="AY29">
            <v>7181.9441169529937</v>
          </cell>
          <cell r="AZ29">
            <v>6638.5895297633597</v>
          </cell>
          <cell r="BA29">
            <v>7939.3442678230849</v>
          </cell>
          <cell r="BB29">
            <v>6341.4039767512941</v>
          </cell>
          <cell r="BC29">
            <v>5974.8807680966629</v>
          </cell>
          <cell r="BD29">
            <v>7739.4797643976626</v>
          </cell>
          <cell r="BE29">
            <v>6998.7771942671752</v>
          </cell>
          <cell r="BF29">
            <v>8107.1420067897252</v>
          </cell>
          <cell r="BG29">
            <v>6552.4382702012508</v>
          </cell>
          <cell r="BH29">
            <v>6157.3221498389103</v>
          </cell>
          <cell r="BI29">
            <v>7769.0183052006478</v>
          </cell>
          <cell r="BJ29">
            <v>7146.4801830076331</v>
          </cell>
          <cell r="BK29">
            <v>8258.0777357303996</v>
          </cell>
          <cell r="BL29">
            <v>6888.3811588602357</v>
          </cell>
          <cell r="BM29">
            <v>6640.8165927376285</v>
          </cell>
          <cell r="BN29">
            <v>8335.242664183188</v>
          </cell>
          <cell r="BO29">
            <v>7530.6295378778623</v>
          </cell>
          <cell r="BP29">
            <v>8753.4088815771829</v>
          </cell>
          <cell r="BQ29">
            <v>7207.2627540471949</v>
          </cell>
          <cell r="BR29">
            <v>6772.112405982085</v>
          </cell>
          <cell r="BS29">
            <v>8259.6800460271243</v>
          </cell>
          <cell r="BT29">
            <v>7748.1160219083968</v>
          </cell>
          <cell r="BU29">
            <v>8645.1516131266198</v>
          </cell>
          <cell r="BV29">
            <v>7215.0173846845501</v>
          </cell>
          <cell r="BW29">
            <v>6857.1726236351251</v>
          </cell>
          <cell r="BX29">
            <v>8355.0597074086691</v>
          </cell>
          <cell r="BY29">
            <v>7768.1003322137403</v>
          </cell>
          <cell r="BZ29">
            <v>8565.2083752078324</v>
          </cell>
          <cell r="CA29">
            <v>7166.9317177687844</v>
          </cell>
          <cell r="CB29">
            <v>6772.7540739641699</v>
          </cell>
          <cell r="CC29">
            <v>8116.296114646997</v>
          </cell>
          <cell r="CD29">
            <v>7655.2975703969469</v>
          </cell>
          <cell r="CP29" t="str">
            <v>Brent</v>
          </cell>
          <cell r="CQ29">
            <v>196.49510800391127</v>
          </cell>
          <cell r="CR29">
            <v>32.814579015701568</v>
          </cell>
          <cell r="CS29">
            <v>5.9880429339011059</v>
          </cell>
          <cell r="CT29">
            <v>0.10534304564369448</v>
          </cell>
          <cell r="CU29">
            <v>-220.45365122918602</v>
          </cell>
          <cell r="CV29">
            <v>613.44386723700859</v>
          </cell>
          <cell r="CW29">
            <v>-220.45365122918602</v>
          </cell>
          <cell r="CX29">
            <v>613.44386723700859</v>
          </cell>
        </row>
        <row r="30">
          <cell r="B30" t="str">
            <v>Total</v>
          </cell>
          <cell r="C30">
            <v>2998.1120689655172</v>
          </cell>
          <cell r="D30">
            <v>3198.248275862069</v>
          </cell>
          <cell r="E30">
            <v>3079.2913793103448</v>
          </cell>
          <cell r="F30">
            <v>2982.7241379310344</v>
          </cell>
          <cell r="G30">
            <v>2769.6206896551726</v>
          </cell>
          <cell r="L30">
            <v>2674.8965517241377</v>
          </cell>
          <cell r="Q30">
            <v>2504.9310344827586</v>
          </cell>
          <cell r="V30">
            <v>2390.2758620689656</v>
          </cell>
          <cell r="AA30">
            <v>2270.0689655172414</v>
          </cell>
          <cell r="AF30">
            <v>2340.5517241379312</v>
          </cell>
          <cell r="AK30">
            <v>2223.0344827586205</v>
          </cell>
          <cell r="AP30">
            <v>2256.5689655172414</v>
          </cell>
          <cell r="AQ30">
            <v>2591.7525699367061</v>
          </cell>
          <cell r="AR30">
            <v>2115.0364036340743</v>
          </cell>
          <cell r="AS30">
            <v>2001.1133407797188</v>
          </cell>
          <cell r="AT30">
            <v>2340.05234689088</v>
          </cell>
          <cell r="AU30">
            <v>2260.954182551724</v>
          </cell>
          <cell r="AV30">
            <v>2445.1320785765229</v>
          </cell>
          <cell r="AW30">
            <v>2255.4346800257827</v>
          </cell>
          <cell r="AX30">
            <v>2244.6156702987346</v>
          </cell>
          <cell r="AY30">
            <v>2612.3160042750596</v>
          </cell>
          <cell r="AZ30">
            <v>2389.3746082940252</v>
          </cell>
          <cell r="BA30">
            <v>2739.8548196128154</v>
          </cell>
          <cell r="BB30">
            <v>2445.27550575022</v>
          </cell>
          <cell r="BC30">
            <v>2362.0094819595488</v>
          </cell>
          <cell r="BD30">
            <v>2646.1783210922617</v>
          </cell>
          <cell r="BE30">
            <v>2548.3295321037112</v>
          </cell>
          <cell r="BF30">
            <v>2792.089089034454</v>
          </cell>
          <cell r="BG30">
            <v>2552.5674468075877</v>
          </cell>
          <cell r="BH30">
            <v>2511.9747039300551</v>
          </cell>
          <cell r="BI30">
            <v>2817.3840775566741</v>
          </cell>
          <cell r="BJ30">
            <v>2668.5038293321923</v>
          </cell>
          <cell r="BK30">
            <v>2932.5042090469706</v>
          </cell>
          <cell r="BL30">
            <v>2707.5391668476259</v>
          </cell>
          <cell r="BM30">
            <v>2675.0451609840675</v>
          </cell>
          <cell r="BN30">
            <v>2977.3771271150199</v>
          </cell>
          <cell r="BO30">
            <v>2823.1164159984201</v>
          </cell>
          <cell r="BP30">
            <v>3048.1496604407048</v>
          </cell>
          <cell r="BQ30">
            <v>2782.2676515381172</v>
          </cell>
          <cell r="BR30">
            <v>2706.9366390949913</v>
          </cell>
          <cell r="BS30">
            <v>2963.108728050167</v>
          </cell>
          <cell r="BT30">
            <v>2875.1156697809947</v>
          </cell>
          <cell r="BU30">
            <v>3042.1887778377541</v>
          </cell>
          <cell r="BV30">
            <v>2805.4533456354156</v>
          </cell>
          <cell r="BW30">
            <v>2752.5954078111199</v>
          </cell>
          <cell r="BX30">
            <v>3019.6912363356114</v>
          </cell>
          <cell r="BY30">
            <v>2904.9821919049755</v>
          </cell>
          <cell r="BZ30">
            <v>3073.6818124011888</v>
          </cell>
          <cell r="CA30">
            <v>2845.067677218799</v>
          </cell>
          <cell r="CB30">
            <v>2788.574061628552</v>
          </cell>
          <cell r="CC30">
            <v>3031.6872881913127</v>
          </cell>
          <cell r="CD30">
            <v>2934.752709859963</v>
          </cell>
          <cell r="CP30" t="str">
            <v>HH</v>
          </cell>
          <cell r="CQ30">
            <v>602.43499506909393</v>
          </cell>
          <cell r="CR30">
            <v>239.53231708288766</v>
          </cell>
          <cell r="CS30">
            <v>2.5150468312825929</v>
          </cell>
          <cell r="CT30">
            <v>0.24092344844929925</v>
          </cell>
          <cell r="CU30">
            <v>-2441.1116661923652</v>
          </cell>
          <cell r="CV30">
            <v>3645.9816563305531</v>
          </cell>
          <cell r="CW30">
            <v>-2441.1116661923652</v>
          </cell>
          <cell r="CX30">
            <v>3645.9816563305531</v>
          </cell>
        </row>
        <row r="31">
          <cell r="CP31" t="str">
            <v>Production</v>
          </cell>
          <cell r="CQ31">
            <v>17.07844457744833</v>
          </cell>
          <cell r="CR31">
            <v>3.0955321447615565</v>
          </cell>
          <cell r="CS31">
            <v>5.5171271945437521</v>
          </cell>
          <cell r="CT31">
            <v>0.11415043036595522</v>
          </cell>
          <cell r="CU31">
            <v>-22.254020614529846</v>
          </cell>
          <cell r="CV31">
            <v>56.41090976942651</v>
          </cell>
          <cell r="CW31">
            <v>-22.254020614529846</v>
          </cell>
          <cell r="CX31">
            <v>56.41090976942651</v>
          </cell>
        </row>
        <row r="32">
          <cell r="A32" t="str">
            <v>Realise price</v>
          </cell>
        </row>
        <row r="33">
          <cell r="B33" t="str">
            <v>Oil and NGL (/bbl)</v>
          </cell>
          <cell r="F33">
            <v>35.61</v>
          </cell>
          <cell r="G33">
            <v>50.36</v>
          </cell>
          <cell r="L33">
            <v>60.64</v>
          </cell>
          <cell r="Q33">
            <v>67.989999999999995</v>
          </cell>
          <cell r="V33">
            <v>92.75</v>
          </cell>
          <cell r="AA33">
            <v>57.16</v>
          </cell>
          <cell r="AF33">
            <v>75.489999999999995</v>
          </cell>
          <cell r="AK33">
            <v>105.05</v>
          </cell>
          <cell r="AP33">
            <v>106.03</v>
          </cell>
          <cell r="AQ33">
            <v>103.63</v>
          </cell>
          <cell r="AR33">
            <v>96.08</v>
          </cell>
          <cell r="AS33">
            <v>100.38</v>
          </cell>
          <cell r="AT33">
            <v>97.87</v>
          </cell>
          <cell r="AU33">
            <v>99.57</v>
          </cell>
          <cell r="AV33">
            <v>102.10487757118889</v>
          </cell>
          <cell r="AW33">
            <v>102.10487757118889</v>
          </cell>
          <cell r="AX33">
            <v>102.10487757118889</v>
          </cell>
          <cell r="AY33">
            <v>102.10487757118889</v>
          </cell>
          <cell r="AZ33">
            <v>102.10487757118889</v>
          </cell>
          <cell r="BA33">
            <v>96.598187231534112</v>
          </cell>
          <cell r="BB33">
            <v>96.598187231534112</v>
          </cell>
          <cell r="BC33">
            <v>96.598187231534112</v>
          </cell>
          <cell r="BD33">
            <v>96.598187231534112</v>
          </cell>
          <cell r="BE33">
            <v>96.598187231534112</v>
          </cell>
          <cell r="BF33">
            <v>91.175213467988954</v>
          </cell>
          <cell r="BG33">
            <v>91.175213467988954</v>
          </cell>
          <cell r="BH33">
            <v>91.175213467988954</v>
          </cell>
          <cell r="BI33">
            <v>91.175213467988954</v>
          </cell>
          <cell r="BJ33">
            <v>91.175213467988954</v>
          </cell>
          <cell r="BK33">
            <v>91.734214632228642</v>
          </cell>
          <cell r="BL33">
            <v>92.296677269373632</v>
          </cell>
          <cell r="BM33">
            <v>92.862622813716797</v>
          </cell>
          <cell r="BN33">
            <v>93.432072832277413</v>
          </cell>
          <cell r="BO33">
            <v>92.581396886899114</v>
          </cell>
          <cell r="BP33">
            <v>94.005049025623094</v>
          </cell>
          <cell r="BQ33">
            <v>94.581573228696698</v>
          </cell>
          <cell r="BR33">
            <v>95.161667411648438</v>
          </cell>
          <cell r="BS33">
            <v>95.745353680673077</v>
          </cell>
          <cell r="BT33">
            <v>94.873410836660327</v>
          </cell>
          <cell r="BU33">
            <v>96.332654278852402</v>
          </cell>
          <cell r="BV33">
            <v>96.923591587002846</v>
          </cell>
          <cell r="BW33">
            <v>97.518188124528365</v>
          </cell>
          <cell r="BX33">
            <v>98.116466550278616</v>
          </cell>
          <cell r="BY33">
            <v>97.222725135165561</v>
          </cell>
          <cell r="BZ33">
            <v>98.718449663412429</v>
          </cell>
          <cell r="CA33">
            <v>99.324160404266635</v>
          </cell>
          <cell r="CB33">
            <v>99.933621855230285</v>
          </cell>
          <cell r="CC33">
            <v>100.54685724162429</v>
          </cell>
          <cell r="CD33">
            <v>99.630772291133411</v>
          </cell>
        </row>
        <row r="34">
          <cell r="B34" t="str">
            <v>Natural gas (/mmcf)</v>
          </cell>
          <cell r="F34">
            <v>3.59</v>
          </cell>
          <cell r="G34">
            <v>4.7699999999999996</v>
          </cell>
          <cell r="L34">
            <v>5.08</v>
          </cell>
          <cell r="Q34">
            <v>5.14</v>
          </cell>
          <cell r="V34">
            <v>6.85</v>
          </cell>
          <cell r="AA34">
            <v>5.51</v>
          </cell>
          <cell r="AF34">
            <v>5.64</v>
          </cell>
          <cell r="AK34">
            <v>6.65</v>
          </cell>
          <cell r="AP34">
            <v>6.71</v>
          </cell>
          <cell r="AQ34">
            <v>7.55</v>
          </cell>
          <cell r="AR34">
            <v>6.98</v>
          </cell>
          <cell r="AS34">
            <v>6.49</v>
          </cell>
          <cell r="AT34">
            <v>7.13</v>
          </cell>
          <cell r="AU34">
            <v>7.08</v>
          </cell>
          <cell r="AV34">
            <v>7.0299962941423164</v>
          </cell>
          <cell r="AW34">
            <v>7.0086267221082661</v>
          </cell>
          <cell r="AX34">
            <v>7.0033821272800854</v>
          </cell>
          <cell r="AY34">
            <v>7.0033821272800854</v>
          </cell>
          <cell r="AZ34">
            <v>7.0113468177026874</v>
          </cell>
          <cell r="BA34">
            <v>6.9501312972301861</v>
          </cell>
          <cell r="BB34">
            <v>6.8313246661374922</v>
          </cell>
          <cell r="BC34">
            <v>6.7607610266310498</v>
          </cell>
          <cell r="BD34">
            <v>6.7607610266310498</v>
          </cell>
          <cell r="BE34">
            <v>6.8257445041574449</v>
          </cell>
          <cell r="BF34">
            <v>6.7115821794154904</v>
          </cell>
          <cell r="BG34">
            <v>6.5945817302144079</v>
          </cell>
          <cell r="BH34">
            <v>6.5250908487410015</v>
          </cell>
          <cell r="BI34">
            <v>6.5250908487410015</v>
          </cell>
          <cell r="BJ34">
            <v>6.5890864017779753</v>
          </cell>
          <cell r="BK34">
            <v>6.5342571555717432</v>
          </cell>
          <cell r="BL34">
            <v>6.555540650929947</v>
          </cell>
          <cell r="BM34">
            <v>6.5841190721782059</v>
          </cell>
          <cell r="BN34">
            <v>6.6128744580504311</v>
          </cell>
          <cell r="BO34">
            <v>6.571697834182582</v>
          </cell>
          <cell r="BP34">
            <v>6.6418079043551668</v>
          </cell>
          <cell r="BQ34">
            <v>6.67092051368647</v>
          </cell>
          <cell r="BR34">
            <v>6.7002133954659344</v>
          </cell>
          <cell r="BS34">
            <v>6.7296876659849643</v>
          </cell>
          <cell r="BT34">
            <v>6.6856573698731339</v>
          </cell>
          <cell r="BU34">
            <v>6.7593444484473189</v>
          </cell>
          <cell r="BV34">
            <v>6.7891848730119042</v>
          </cell>
          <cell r="BW34">
            <v>6.8192100768358559</v>
          </cell>
          <cell r="BX34">
            <v>6.8494212041178626</v>
          </cell>
          <cell r="BY34">
            <v>6.8042901506032356</v>
          </cell>
          <cell r="BZ34">
            <v>6.8798194061417739</v>
          </cell>
          <cell r="CA34">
            <v>6.9104058413204754</v>
          </cell>
          <cell r="CB34">
            <v>6.9411816752400259</v>
          </cell>
          <cell r="CC34">
            <v>6.9721480807040814</v>
          </cell>
          <cell r="CD34">
            <v>6.9258887508515894</v>
          </cell>
        </row>
        <row r="36">
          <cell r="A36" t="str">
            <v>Production x price</v>
          </cell>
          <cell r="F36">
            <v>32774.756856</v>
          </cell>
          <cell r="G36">
            <v>42347.705150000002</v>
          </cell>
          <cell r="L36">
            <v>47235.307000000001</v>
          </cell>
          <cell r="Q36">
            <v>47839.057150000001</v>
          </cell>
          <cell r="V36">
            <v>60536.491000000002</v>
          </cell>
          <cell r="AA36">
            <v>37913.626749999996</v>
          </cell>
          <cell r="AF36">
            <v>47681.964799999994</v>
          </cell>
          <cell r="AK36">
            <v>60584.086999999992</v>
          </cell>
          <cell r="AP36">
            <v>61192.569374999999</v>
          </cell>
          <cell r="AQ36">
            <v>16755.610852110411</v>
          </cell>
          <cell r="AR36">
            <v>13245.36100042189</v>
          </cell>
          <cell r="AS36">
            <v>13049.730918139137</v>
          </cell>
          <cell r="AT36">
            <v>14698.263467154733</v>
          </cell>
          <cell r="AU36">
            <v>57748.966237826171</v>
          </cell>
          <cell r="AV36">
            <v>15099.924574122097</v>
          </cell>
          <cell r="AW36">
            <v>15112.06223501893</v>
          </cell>
          <cell r="AX36">
            <v>15655.286831862481</v>
          </cell>
          <cell r="AY36">
            <v>17534.747667921059</v>
          </cell>
          <cell r="AZ36">
            <v>63402.021308924566</v>
          </cell>
          <cell r="BA36">
            <v>16885.424493628434</v>
          </cell>
          <cell r="BB36">
            <v>15826.19001103415</v>
          </cell>
          <cell r="BC36">
            <v>15552.579143507715</v>
          </cell>
          <cell r="BD36">
            <v>16471.75830515561</v>
          </cell>
          <cell r="BE36">
            <v>64735.951953325915</v>
          </cell>
          <cell r="BF36">
            <v>16338.410602878745</v>
          </cell>
          <cell r="BG36">
            <v>15737.360777408498</v>
          </cell>
          <cell r="BH36">
            <v>15862.147529732192</v>
          </cell>
          <cell r="BI36">
            <v>17060.593227188067</v>
          </cell>
          <cell r="BJ36">
            <v>64998.512137207501</v>
          </cell>
          <cell r="BK36">
            <v>17312.36421849388</v>
          </cell>
          <cell r="BL36">
            <v>16874.822059582795</v>
          </cell>
          <cell r="BM36">
            <v>17094.600072379424</v>
          </cell>
          <cell r="BN36">
            <v>18310.777349560351</v>
          </cell>
          <cell r="BO36">
            <v>69592.563700016442</v>
          </cell>
          <cell r="BP36">
            <v>18252.603568457045</v>
          </cell>
          <cell r="BQ36">
            <v>17626.725979080071</v>
          </cell>
          <cell r="BR36">
            <v>17651.111522326271</v>
          </cell>
          <cell r="BS36">
            <v>18670.447978267424</v>
          </cell>
          <cell r="BT36">
            <v>72200.889048130804</v>
          </cell>
          <cell r="BU36">
            <v>18711.870937547828</v>
          </cell>
          <cell r="BV36">
            <v>18229.921247639828</v>
          </cell>
          <cell r="BW36">
            <v>18390.402359714684</v>
          </cell>
          <cell r="BX36">
            <v>19519.574268440356</v>
          </cell>
          <cell r="BY36">
            <v>74851.7688133427</v>
          </cell>
          <cell r="BZ36">
            <v>19491.545336862531</v>
          </cell>
          <cell r="CA36">
            <v>19053.370421810825</v>
          </cell>
          <cell r="CB36">
            <v>19226.998224013081</v>
          </cell>
          <cell r="CC36">
            <v>20305.619600092028</v>
          </cell>
          <cell r="CD36">
            <v>78077.533582778473</v>
          </cell>
        </row>
        <row r="37">
          <cell r="A37" t="str">
            <v>Difference with actual</v>
          </cell>
          <cell r="F37">
            <v>4.3699581061508397E-2</v>
          </cell>
          <cell r="G37">
            <v>3.9505056863748944E-3</v>
          </cell>
          <cell r="L37">
            <v>6.8946159278693742E-2</v>
          </cell>
          <cell r="Q37">
            <v>6.613723259803006E-2</v>
          </cell>
          <cell r="V37">
            <v>5.5512120780175422E-2</v>
          </cell>
          <cell r="AA37">
            <v>8.0508606315274456E-2</v>
          </cell>
          <cell r="AF37">
            <v>8.9678250842549323E-2</v>
          </cell>
          <cell r="AK37">
            <v>0.11174407893610749</v>
          </cell>
          <cell r="AP37">
            <v>9.8744515661220333E-2</v>
          </cell>
          <cell r="AQ37">
            <v>0.10735087083058437</v>
          </cell>
          <cell r="AR37">
            <v>7.2801345302542009E-2</v>
          </cell>
          <cell r="AS37">
            <v>8.8313858945358037E-2</v>
          </cell>
          <cell r="AT37">
            <v>1.7663443278151947E-2</v>
          </cell>
          <cell r="AU37">
            <v>7.2297459621105453E-2</v>
          </cell>
          <cell r="AV37">
            <v>4.764493369631384E-2</v>
          </cell>
          <cell r="AW37">
            <v>2.2645070495849406E-2</v>
          </cell>
          <cell r="AX37">
            <v>1.7536280439363727E-2</v>
          </cell>
          <cell r="AY37">
            <v>4.5527297849395243E-2</v>
          </cell>
          <cell r="AZ37">
            <v>3.3666021299801008E-2</v>
          </cell>
          <cell r="BA37">
            <v>4.8863862131918179E-2</v>
          </cell>
          <cell r="BB37">
            <v>2.4992108028257132E-2</v>
          </cell>
          <cell r="BC37">
            <v>1.9464834322336477E-2</v>
          </cell>
          <cell r="BD37">
            <v>4.5956770684942416E-2</v>
          </cell>
          <cell r="BE37">
            <v>3.5225157453348199E-2</v>
          </cell>
          <cell r="BF37">
            <v>4.8334902563157423E-2</v>
          </cell>
          <cell r="BG37">
            <v>2.9985914686534887E-2</v>
          </cell>
          <cell r="BH37">
            <v>2.9266734335059663E-2</v>
          </cell>
          <cell r="BI37">
            <v>5.5371407473010725E-2</v>
          </cell>
          <cell r="BJ37">
            <v>4.1085816758427152E-2</v>
          </cell>
          <cell r="BK37">
            <v>5.832499721807638E-2</v>
          </cell>
          <cell r="BL37">
            <v>3.7058419573955836E-2</v>
          </cell>
          <cell r="BM37">
            <v>3.0366653016806078E-2</v>
          </cell>
          <cell r="BN37">
            <v>4.9615502330179195E-2</v>
          </cell>
          <cell r="BO37">
            <v>4.4009041674587079E-2</v>
          </cell>
          <cell r="BP37">
            <v>5.8940152616238306E-2</v>
          </cell>
          <cell r="BQ37">
            <v>4.3798481001305234E-2</v>
          </cell>
          <cell r="BR37">
            <v>4.2507974043318963E-2</v>
          </cell>
          <cell r="BS37">
            <v>6.55318875244435E-2</v>
          </cell>
          <cell r="BT37">
            <v>5.293089601293488E-2</v>
          </cell>
          <cell r="BU37">
            <v>6.7433816103282584E-2</v>
          </cell>
          <cell r="BV37">
            <v>4.7651268636900612E-2</v>
          </cell>
          <cell r="BW37">
            <v>4.0635812050731746E-2</v>
          </cell>
          <cell r="BX37">
            <v>5.6674072852636259E-2</v>
          </cell>
          <cell r="BY37">
            <v>5.3225922506327406E-2</v>
          </cell>
          <cell r="BZ37">
            <v>6.4281293495475067E-2</v>
          </cell>
          <cell r="CA37">
            <v>5.3404551265121114E-2</v>
          </cell>
          <cell r="CB37">
            <v>5.4292696922790151E-2</v>
          </cell>
          <cell r="CC37">
            <v>7.5068138810655549E-2</v>
          </cell>
          <cell r="CD37">
            <v>6.1972617217750825E-2</v>
          </cell>
        </row>
        <row r="39">
          <cell r="A39" t="str">
            <v>Per barrel of oil equivalent</v>
          </cell>
        </row>
        <row r="40">
          <cell r="B40" t="str">
            <v>Production cost excluding taxes</v>
          </cell>
          <cell r="C40">
            <v>3.9513450698170041</v>
          </cell>
          <cell r="D40">
            <v>4.4236544461720868</v>
          </cell>
          <cell r="E40">
            <v>5.1328300914461291</v>
          </cell>
          <cell r="F40">
            <v>5.9676990485439134</v>
          </cell>
          <cell r="G40">
            <v>5.2724691798303578</v>
          </cell>
          <cell r="L40">
            <v>6.6616326043361225</v>
          </cell>
          <cell r="Q40">
            <v>7.9230026971835814</v>
          </cell>
          <cell r="V40">
            <v>8.3477497196758872</v>
          </cell>
          <cell r="AA40">
            <v>11.003226144757015</v>
          </cell>
          <cell r="AF40">
            <v>10.522047860038086</v>
          </cell>
          <cell r="AK40">
            <v>13.084669382537456</v>
          </cell>
          <cell r="AP40">
            <v>14.277949654778945</v>
          </cell>
          <cell r="AQ40">
            <v>3.560374004936814</v>
          </cell>
          <cell r="AR40">
            <v>3.5861668634568482</v>
          </cell>
          <cell r="AS40">
            <v>3.6437654023244628</v>
          </cell>
          <cell r="AT40">
            <v>3.6261779593977508</v>
          </cell>
          <cell r="AU40">
            <v>14.414054028977869</v>
          </cell>
          <cell r="AV40">
            <v>3.7445118626976197</v>
          </cell>
          <cell r="AW40">
            <v>3.750064078028549</v>
          </cell>
          <cell r="AX40">
            <v>3.7749960898259807</v>
          </cell>
          <cell r="AY40">
            <v>3.7866424318533145</v>
          </cell>
          <cell r="AZ40">
            <v>15.057987361564296</v>
          </cell>
          <cell r="BA40">
            <v>3.8434085296381877</v>
          </cell>
          <cell r="BB40">
            <v>3.8497619333245257</v>
          </cell>
          <cell r="BC40">
            <v>3.8623578502502518</v>
          </cell>
          <cell r="BD40">
            <v>3.8702650168408699</v>
          </cell>
          <cell r="BE40">
            <v>15.425182142439098</v>
          </cell>
          <cell r="BF40">
            <v>3.8812747150620628</v>
          </cell>
          <cell r="BG40">
            <v>3.9115940363941957</v>
          </cell>
          <cell r="BH40">
            <v>3.9543647037064522</v>
          </cell>
          <cell r="BI40">
            <v>3.9879705969015982</v>
          </cell>
          <cell r="BJ40">
            <v>15.735552219051586</v>
          </cell>
          <cell r="BK40">
            <v>4.0081309263451494</v>
          </cell>
          <cell r="BL40">
            <v>4.022929892375922</v>
          </cell>
          <cell r="BM40">
            <v>4.0462134075862757</v>
          </cell>
          <cell r="BN40">
            <v>4.0610230836542991</v>
          </cell>
          <cell r="BO40">
            <v>16.138584169270345</v>
          </cell>
          <cell r="BP40">
            <v>4.1021094117422834</v>
          </cell>
          <cell r="BQ40">
            <v>4.1232112032614019</v>
          </cell>
          <cell r="BR40">
            <v>4.1535848566286102</v>
          </cell>
          <cell r="BS40">
            <v>4.1739176419207666</v>
          </cell>
          <cell r="BT40">
            <v>16.551328313113586</v>
          </cell>
          <cell r="BU40">
            <v>4.2275173750550961</v>
          </cell>
          <cell r="BV40">
            <v>4.2693110936263103</v>
          </cell>
          <cell r="BW40">
            <v>4.3192274710810228</v>
          </cell>
          <cell r="BX40">
            <v>4.3497160369540167</v>
          </cell>
          <cell r="BY40">
            <v>17.164354482499995</v>
          </cell>
          <cell r="BZ40">
            <v>4.3870632521165716</v>
          </cell>
          <cell r="CA40">
            <v>4.4176918645164927</v>
          </cell>
          <cell r="CB40">
            <v>4.4522764079341544</v>
          </cell>
          <cell r="CC40">
            <v>4.4648047854115109</v>
          </cell>
          <cell r="CD40">
            <v>17.720219868394935</v>
          </cell>
        </row>
        <row r="41">
          <cell r="B41" t="str">
            <v>Taxes other than income tax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1.997207368494839</v>
          </cell>
          <cell r="L41">
            <v>1.6787232224026607</v>
          </cell>
          <cell r="Q41">
            <v>2.0540307931130268</v>
          </cell>
          <cell r="V41">
            <v>2.8322517585224656</v>
          </cell>
          <cell r="AA41">
            <v>1.5303379128607979</v>
          </cell>
          <cell r="AF41">
            <v>2.5670097849664617</v>
          </cell>
          <cell r="AK41">
            <v>3.7169975376973694</v>
          </cell>
          <cell r="AP41">
            <v>3.0522759721185602</v>
          </cell>
          <cell r="AQ41">
            <v>2.7295873026287878</v>
          </cell>
          <cell r="AR41">
            <v>2.5343397881844609</v>
          </cell>
          <cell r="AS41">
            <v>2.600557058690999</v>
          </cell>
          <cell r="AT41">
            <v>2.3637501576203821</v>
          </cell>
          <cell r="AU41">
            <v>2.55938229600704</v>
          </cell>
          <cell r="AV41">
            <v>2.3141088770579832</v>
          </cell>
          <cell r="AW41">
            <v>2.6120920493208728</v>
          </cell>
          <cell r="AX41">
            <v>2.7350434698363246</v>
          </cell>
          <cell r="AY41">
            <v>2.6691346256945647</v>
          </cell>
          <cell r="AZ41">
            <v>2.5818016604583289</v>
          </cell>
          <cell r="BA41">
            <v>2.4809066402335738</v>
          </cell>
          <cell r="BB41">
            <v>2.592088398331907</v>
          </cell>
          <cell r="BC41">
            <v>2.6023213864701269</v>
          </cell>
          <cell r="BD41">
            <v>2.4079706810282788</v>
          </cell>
          <cell r="BE41">
            <v>2.5160340302604309</v>
          </cell>
          <cell r="BF41">
            <v>2.3612061767359038</v>
          </cell>
          <cell r="BG41">
            <v>2.5208776662946937</v>
          </cell>
          <cell r="BH41">
            <v>2.5981003091614823</v>
          </cell>
          <cell r="BI41">
            <v>2.4832598187786501</v>
          </cell>
          <cell r="BJ41">
            <v>2.4876554209329047</v>
          </cell>
          <cell r="BK41">
            <v>2.4849709427207674</v>
          </cell>
          <cell r="BL41">
            <v>2.6290676278003278</v>
          </cell>
          <cell r="BM41">
            <v>2.6762548488885551</v>
          </cell>
          <cell r="BN41">
            <v>2.5413672078386962</v>
          </cell>
          <cell r="BO41">
            <v>2.5798536759711284</v>
          </cell>
          <cell r="BP41">
            <v>2.577858603784644</v>
          </cell>
          <cell r="BQ41">
            <v>2.7963955083714263</v>
          </cell>
          <cell r="BR41">
            <v>2.9235959461846148</v>
          </cell>
          <cell r="BS41">
            <v>2.8407658879951976</v>
          </cell>
          <cell r="BT41">
            <v>2.7803040112123734</v>
          </cell>
          <cell r="BU41">
            <v>2.8012740871676307</v>
          </cell>
          <cell r="BV41">
            <v>2.9475935037337573</v>
          </cell>
          <cell r="BW41">
            <v>2.9867066057534548</v>
          </cell>
          <cell r="BX41">
            <v>2.8258814847140097</v>
          </cell>
          <cell r="BY41">
            <v>2.8867765326297565</v>
          </cell>
          <cell r="BZ41">
            <v>2.9022531934925317</v>
          </cell>
          <cell r="CA41">
            <v>3.1578644744083086</v>
          </cell>
          <cell r="CB41">
            <v>3.3157937597961178</v>
          </cell>
          <cell r="CC41">
            <v>3.2506118367653869</v>
          </cell>
          <cell r="CD41">
            <v>3.1532722696251319</v>
          </cell>
        </row>
        <row r="42">
          <cell r="B42" t="str">
            <v>Exploration expense</v>
          </cell>
          <cell r="C42">
            <v>0.74841619153101901</v>
          </cell>
          <cell r="D42">
            <v>0.83693075017624485</v>
          </cell>
          <cell r="E42">
            <v>0.99293437026414977</v>
          </cell>
          <cell r="F42">
            <v>1.0122216948584566</v>
          </cell>
          <cell r="G42">
            <v>1.1455008086760889</v>
          </cell>
          <cell r="L42">
            <v>1.4318822848803658</v>
          </cell>
          <cell r="Q42">
            <v>1.992781738579305</v>
          </cell>
          <cell r="V42">
            <v>2.2866621846427839</v>
          </cell>
          <cell r="AA42">
            <v>2.6286088124690994</v>
          </cell>
          <cell r="AF42">
            <v>2.383233890648297</v>
          </cell>
          <cell r="AK42">
            <v>2.7926778582301854</v>
          </cell>
          <cell r="AP42">
            <v>3.7686016775879123</v>
          </cell>
          <cell r="AQ42">
            <v>2.7780429673407574</v>
          </cell>
          <cell r="AR42">
            <v>6.3802710304745194</v>
          </cell>
          <cell r="AS42">
            <v>8.8863575756899973</v>
          </cell>
          <cell r="AT42">
            <v>8.2030866529192927</v>
          </cell>
          <cell r="AU42">
            <v>6.3956510415805079</v>
          </cell>
          <cell r="AV42">
            <v>4.2106791518029043</v>
          </cell>
          <cell r="AW42">
            <v>4.5146629883384923</v>
          </cell>
          <cell r="AX42">
            <v>4.4871146358639207</v>
          </cell>
          <cell r="AY42">
            <v>3.8555242970622086</v>
          </cell>
          <cell r="AZ42">
            <v>4.2499112955069629</v>
          </cell>
          <cell r="BA42">
            <v>3.2075908805179916</v>
          </cell>
          <cell r="BB42">
            <v>3.5545108194635016</v>
          </cell>
          <cell r="BC42">
            <v>3.6398171448334971</v>
          </cell>
          <cell r="BD42">
            <v>3.2489430285812912</v>
          </cell>
          <cell r="BE42">
            <v>3.4014224205626347</v>
          </cell>
          <cell r="BF42">
            <v>2.4967034704931996</v>
          </cell>
          <cell r="BG42">
            <v>2.7009722810797951</v>
          </cell>
          <cell r="BH42">
            <v>2.7147863499627998</v>
          </cell>
          <cell r="BI42">
            <v>2.4204987498883099</v>
          </cell>
          <cell r="BJ42">
            <v>2.5765468419342268</v>
          </cell>
          <cell r="BK42">
            <v>2.3651255876610575</v>
          </cell>
          <cell r="BL42">
            <v>2.5334901498434532</v>
          </cell>
          <cell r="BM42">
            <v>2.53639223257822</v>
          </cell>
          <cell r="BN42">
            <v>2.2788392193669966</v>
          </cell>
          <cell r="BO42">
            <v>2.4231131790532352</v>
          </cell>
          <cell r="BP42">
            <v>2.242366748966067</v>
          </cell>
          <cell r="BQ42">
            <v>2.429657976101506</v>
          </cell>
          <cell r="BR42">
            <v>2.470128366394404</v>
          </cell>
          <cell r="BS42">
            <v>2.2565763162733541</v>
          </cell>
          <cell r="BT42">
            <v>2.3447537874808</v>
          </cell>
          <cell r="BU42">
            <v>2.2564619866267335</v>
          </cell>
          <cell r="BV42">
            <v>2.4199826249866425</v>
          </cell>
          <cell r="BW42">
            <v>2.439644141602944</v>
          </cell>
          <cell r="BX42">
            <v>2.2238542735973996</v>
          </cell>
          <cell r="BY42">
            <v>2.3306676247697116</v>
          </cell>
          <cell r="BZ42">
            <v>2.2333422105167928</v>
          </cell>
          <cell r="CA42">
            <v>2.3862871192874735</v>
          </cell>
          <cell r="CB42">
            <v>2.4081674405835001</v>
          </cell>
          <cell r="CC42">
            <v>2.2150547277835857</v>
          </cell>
          <cell r="CD42">
            <v>2.3070250254674947</v>
          </cell>
        </row>
        <row r="43">
          <cell r="B43" t="str">
            <v>DD&amp;A</v>
          </cell>
          <cell r="C43">
            <v>3.8480837393615643</v>
          </cell>
          <cell r="D43">
            <v>5.1423697986775823</v>
          </cell>
          <cell r="E43">
            <v>6.8126330404234716</v>
          </cell>
          <cell r="F43">
            <v>7.1617899771428188</v>
          </cell>
          <cell r="G43">
            <v>8.2905373726375657</v>
          </cell>
          <cell r="L43">
            <v>9.3871252796341569</v>
          </cell>
          <cell r="Q43">
            <v>10.316090756465425</v>
          </cell>
          <cell r="V43">
            <v>10.70089130617796</v>
          </cell>
          <cell r="AA43">
            <v>11.791326032058356</v>
          </cell>
          <cell r="AF43">
            <v>12.569334733684387</v>
          </cell>
          <cell r="AK43">
            <v>10.311710344135905</v>
          </cell>
          <cell r="AP43">
            <v>12.756668114180474</v>
          </cell>
          <cell r="AQ43">
            <v>13.006591010530375</v>
          </cell>
          <cell r="AR43">
            <v>12.899194853456379</v>
          </cell>
          <cell r="AS43">
            <v>12.893955867253093</v>
          </cell>
          <cell r="AT43">
            <v>12.904289729686122</v>
          </cell>
          <cell r="AU43">
            <v>12.927600934654468</v>
          </cell>
          <cell r="AV43">
            <v>12.680397409166302</v>
          </cell>
          <cell r="AW43">
            <v>12.96753840659807</v>
          </cell>
          <cell r="AX43">
            <v>13.086786962289715</v>
          </cell>
          <cell r="AY43">
            <v>12.805483428926756</v>
          </cell>
          <cell r="AZ43">
            <v>12.878995969867784</v>
          </cell>
          <cell r="BA43">
            <v>13.190240790836215</v>
          </cell>
          <cell r="BB43">
            <v>13.355911910933877</v>
          </cell>
          <cell r="BC43">
            <v>13.358720776784502</v>
          </cell>
          <cell r="BD43">
            <v>13.075647708378776</v>
          </cell>
          <cell r="BE43">
            <v>13.23527265009138</v>
          </cell>
          <cell r="BF43">
            <v>13.44033263242236</v>
          </cell>
          <cell r="BG43">
            <v>13.643089759148483</v>
          </cell>
          <cell r="BH43">
            <v>13.743088132958903</v>
          </cell>
          <cell r="BI43">
            <v>13.634314828010854</v>
          </cell>
          <cell r="BJ43">
            <v>13.61033266181777</v>
          </cell>
          <cell r="BK43">
            <v>13.953124227497224</v>
          </cell>
          <cell r="BL43">
            <v>14.000768489420441</v>
          </cell>
          <cell r="BM43">
            <v>13.972562353287096</v>
          </cell>
          <cell r="BN43">
            <v>13.830560249711919</v>
          </cell>
          <cell r="BO43">
            <v>13.935180569001478</v>
          </cell>
          <cell r="BP43">
            <v>14.29820288001752</v>
          </cell>
          <cell r="BQ43">
            <v>14.391652313004968</v>
          </cell>
          <cell r="BR43">
            <v>14.448699117788882</v>
          </cell>
          <cell r="BS43">
            <v>14.424787588124952</v>
          </cell>
          <cell r="BT43">
            <v>14.385895923741918</v>
          </cell>
          <cell r="BU43">
            <v>14.883202554938332</v>
          </cell>
          <cell r="BV43">
            <v>14.953111656113222</v>
          </cell>
          <cell r="BW43">
            <v>15.002148230010613</v>
          </cell>
          <cell r="BX43">
            <v>15.002387664016577</v>
          </cell>
          <cell r="BY43">
            <v>14.957215556962828</v>
          </cell>
          <cell r="BZ43">
            <v>15.449240014587865</v>
          </cell>
          <cell r="CA43">
            <v>15.48699796938282</v>
          </cell>
          <cell r="CB43">
            <v>15.520356217479947</v>
          </cell>
          <cell r="CC43">
            <v>15.539045360071448</v>
          </cell>
          <cell r="CD43">
            <v>15.496067886596402</v>
          </cell>
        </row>
        <row r="44">
          <cell r="B44" t="str">
            <v>Other income/(cost)</v>
          </cell>
          <cell r="C44">
            <v>1.1340470008424843</v>
          </cell>
          <cell r="D44">
            <v>1.2498280087074118</v>
          </cell>
          <cell r="E44">
            <v>0.99115491798769062</v>
          </cell>
          <cell r="F44">
            <v>1.8214479318550993</v>
          </cell>
          <cell r="G44">
            <v>1.6213090029534627</v>
          </cell>
          <cell r="L44">
            <v>3.5848268934773109</v>
          </cell>
          <cell r="Q44">
            <v>4.5411799004288005</v>
          </cell>
          <cell r="V44">
            <v>3.445466930845217</v>
          </cell>
          <cell r="AA44">
            <v>7.5177246523737464</v>
          </cell>
          <cell r="AF44">
            <v>3.1557949750431282</v>
          </cell>
          <cell r="AK44">
            <v>6.1017423107227042</v>
          </cell>
          <cell r="AP44">
            <v>6.3109508763215096</v>
          </cell>
          <cell r="AQ44">
            <v>6.2162998497594097</v>
          </cell>
          <cell r="AR44">
            <v>7.5337076499902702</v>
          </cell>
          <cell r="AS44">
            <v>7.8760504185516478</v>
          </cell>
          <cell r="AT44">
            <v>6.7352636731217297</v>
          </cell>
          <cell r="AU44">
            <v>7.0281879577807782</v>
          </cell>
          <cell r="AV44">
            <v>6.5890555574774847</v>
          </cell>
          <cell r="AW44">
            <v>7.0647428077517125</v>
          </cell>
          <cell r="AX44">
            <v>7.0216339366105318</v>
          </cell>
          <cell r="AY44">
            <v>6.0332936518494318</v>
          </cell>
          <cell r="AZ44">
            <v>6.650447737975087</v>
          </cell>
          <cell r="BA44">
            <v>5.8802791285809315</v>
          </cell>
          <cell r="BB44">
            <v>6.5162661207687931</v>
          </cell>
          <cell r="BC44">
            <v>6.6726529616392574</v>
          </cell>
          <cell r="BD44">
            <v>5.9560874789087475</v>
          </cell>
          <cell r="BE44">
            <v>6.2356185723697077</v>
          </cell>
          <cell r="BF44">
            <v>5.7702711472872714</v>
          </cell>
          <cell r="BG44">
            <v>6.2423682296795517</v>
          </cell>
          <cell r="BH44">
            <v>6.2742946975377842</v>
          </cell>
          <cell r="BI44">
            <v>5.5941501518265566</v>
          </cell>
          <cell r="BJ44">
            <v>5.9548016323741875</v>
          </cell>
          <cell r="BK44">
            <v>5.4939771480658957</v>
          </cell>
          <cell r="BL44">
            <v>5.8850731059295764</v>
          </cell>
          <cell r="BM44">
            <v>5.891814386946443</v>
          </cell>
          <cell r="BN44">
            <v>5.2935415610212448</v>
          </cell>
          <cell r="BO44">
            <v>5.6286771841409617</v>
          </cell>
          <cell r="BP44">
            <v>5.2855380823990599</v>
          </cell>
          <cell r="BQ44">
            <v>5.7270068626421065</v>
          </cell>
          <cell r="BR44">
            <v>5.8224006197968174</v>
          </cell>
          <cell r="BS44">
            <v>5.3190318046778575</v>
          </cell>
          <cell r="BT44">
            <v>5.5268771013009452</v>
          </cell>
          <cell r="BU44">
            <v>5.2958945968376545</v>
          </cell>
          <cell r="BV44">
            <v>5.6796759635498342</v>
          </cell>
          <cell r="BW44">
            <v>5.7258213540908747</v>
          </cell>
          <cell r="BX44">
            <v>5.2193646077349189</v>
          </cell>
          <cell r="BY44">
            <v>5.4700545164043808</v>
          </cell>
          <cell r="BZ44">
            <v>5.2416327045007174</v>
          </cell>
          <cell r="CA44">
            <v>5.6005929355052491</v>
          </cell>
          <cell r="CB44">
            <v>5.6519458393057365</v>
          </cell>
          <cell r="CC44">
            <v>5.1987121582781173</v>
          </cell>
          <cell r="CD44">
            <v>5.4145655630597744</v>
          </cell>
        </row>
        <row r="45">
          <cell r="B45" t="str">
            <v>Earnings before tax</v>
          </cell>
          <cell r="F45">
            <v>15.45704780497106</v>
          </cell>
          <cell r="G45">
            <v>23.729078927911935</v>
          </cell>
          <cell r="L45">
            <v>28.971546716828346</v>
          </cell>
          <cell r="Q45">
            <v>28.956584263933642</v>
          </cell>
          <cell r="V45">
            <v>45.625501213980279</v>
          </cell>
          <cell r="AA45">
            <v>14.970277185430076</v>
          </cell>
          <cell r="AF45">
            <v>29.621864851053932</v>
          </cell>
          <cell r="AK45">
            <v>47.001039487786663</v>
          </cell>
          <cell r="AP45">
            <v>41.464331344388654</v>
          </cell>
          <cell r="AQ45">
            <v>40.374558516738276</v>
          </cell>
          <cell r="AR45">
            <v>30.096881045770839</v>
          </cell>
          <cell r="AS45">
            <v>30.429778659654598</v>
          </cell>
          <cell r="AT45">
            <v>24.886661661829191</v>
          </cell>
          <cell r="AU45">
            <v>31.712020570807741</v>
          </cell>
          <cell r="AV45">
            <v>30.905640698029156</v>
          </cell>
          <cell r="AW45">
            <v>33.096384053914733</v>
          </cell>
          <cell r="AX45">
            <v>34.832797156251125</v>
          </cell>
          <cell r="AY45">
            <v>35.895346577551045</v>
          </cell>
          <cell r="AZ45">
            <v>33.726919536667452</v>
          </cell>
          <cell r="BA45">
            <v>31.47641292651522</v>
          </cell>
          <cell r="BB45">
            <v>31.439899978165727</v>
          </cell>
          <cell r="BC45">
            <v>31.366426698038193</v>
          </cell>
          <cell r="BD45">
            <v>30.726098795081452</v>
          </cell>
          <cell r="BE45">
            <v>31.236125006372525</v>
          </cell>
          <cell r="BF45">
            <v>28.352093594413187</v>
          </cell>
          <cell r="BG45">
            <v>28.985517054787724</v>
          </cell>
          <cell r="BH45">
            <v>29.627097270533167</v>
          </cell>
          <cell r="BI45">
            <v>29.510861241085859</v>
          </cell>
          <cell r="BJ45">
            <v>29.110222417803165</v>
          </cell>
          <cell r="BK45">
            <v>28.869150400795455</v>
          </cell>
          <cell r="BL45">
            <v>29.84313294489062</v>
          </cell>
          <cell r="BM45">
            <v>30.440192289980459</v>
          </cell>
          <cell r="BN45">
            <v>30.108186189125185</v>
          </cell>
          <cell r="BO45">
            <v>29.803735456470392</v>
          </cell>
          <cell r="BP45">
            <v>29.415613168709687</v>
          </cell>
          <cell r="BQ45">
            <v>30.785936913633773</v>
          </cell>
          <cell r="BR45">
            <v>31.746255706533141</v>
          </cell>
          <cell r="BS45">
            <v>31.576234945555331</v>
          </cell>
          <cell r="BT45">
            <v>30.85347415324344</v>
          </cell>
          <cell r="BU45">
            <v>30.568941489018705</v>
          </cell>
          <cell r="BV45">
            <v>31.685035026960456</v>
          </cell>
          <cell r="BW45">
            <v>32.281418291368354</v>
          </cell>
          <cell r="BX45">
            <v>31.715429071771656</v>
          </cell>
          <cell r="BY45">
            <v>31.542009058453715</v>
          </cell>
          <cell r="BZ45">
            <v>31.37119584540492</v>
          </cell>
          <cell r="CA45">
            <v>33.172378890213807</v>
          </cell>
          <cell r="CB45">
            <v>34.453563979833575</v>
          </cell>
          <cell r="CC45">
            <v>34.350186029461298</v>
          </cell>
          <cell r="CD45">
            <v>33.314921055279896</v>
          </cell>
        </row>
        <row r="47">
          <cell r="A47" t="str">
            <v>For comparison to DD&amp;A: F&amp;D cost/boe</v>
          </cell>
          <cell r="L47">
            <v>11.344831027806055</v>
          </cell>
          <cell r="Q47">
            <v>10.885018302177512</v>
          </cell>
          <cell r="V47">
            <v>12.999184458549722</v>
          </cell>
          <cell r="AA47">
            <v>9.3055737088086197</v>
          </cell>
          <cell r="AF47">
            <v>10.740339400880288</v>
          </cell>
          <cell r="AK47">
            <v>10.852333522230653</v>
          </cell>
          <cell r="AP47">
            <v>26.44580426712357</v>
          </cell>
          <cell r="AU47">
            <v>27.661971862536749</v>
          </cell>
          <cell r="AZ47">
            <v>28.005341158711705</v>
          </cell>
          <cell r="BE47">
            <v>20.92026283389508</v>
          </cell>
          <cell r="BJ47">
            <v>20.269887874494966</v>
          </cell>
          <cell r="BO47">
            <v>20.012412195824474</v>
          </cell>
          <cell r="BT47">
            <v>19.894769498494686</v>
          </cell>
          <cell r="BY47">
            <v>20.328098499870944</v>
          </cell>
          <cell r="CD47">
            <v>23.364194637066447</v>
          </cell>
        </row>
        <row r="48">
          <cell r="B48" t="str">
            <v>Difference</v>
          </cell>
          <cell r="L48">
            <v>-0.17256367621285706</v>
          </cell>
          <cell r="Q48">
            <v>-5.2267027019906376E-2</v>
          </cell>
          <cell r="V48">
            <v>-0.17680287249560078</v>
          </cell>
          <cell r="AA48">
            <v>0.26712510169004755</v>
          </cell>
          <cell r="AF48">
            <v>0.17029213552173172</v>
          </cell>
          <cell r="AK48">
            <v>-4.9816306970966062E-2</v>
          </cell>
          <cell r="AP48">
            <v>-0.51762979165511391</v>
          </cell>
          <cell r="AU48">
            <v>-0.53265801155113546</v>
          </cell>
          <cell r="AZ48">
            <v>-0.54012358225239909</v>
          </cell>
          <cell r="BE48">
            <v>-0.36734673196134293</v>
          </cell>
          <cell r="BJ48">
            <v>-0.32854425509954244</v>
          </cell>
          <cell r="BO48">
            <v>-0.30367311883027226</v>
          </cell>
          <cell r="BT48">
            <v>-0.27690059817830959</v>
          </cell>
          <cell r="BY48">
            <v>-0.26420980511001624</v>
          </cell>
          <cell r="CD48">
            <v>-0.33676002416053952</v>
          </cell>
        </row>
        <row r="49">
          <cell r="B49" t="str">
            <v>Suggested DD&amp;A/boe for convergence</v>
          </cell>
          <cell r="L49">
            <v>9.3871252796341569</v>
          </cell>
          <cell r="Q49">
            <v>10.316090756465425</v>
          </cell>
          <cell r="V49">
            <v>10.70089130617796</v>
          </cell>
          <cell r="AA49">
            <v>11.791326032058356</v>
          </cell>
          <cell r="AF49">
            <v>12.569334733684387</v>
          </cell>
          <cell r="AK49">
            <v>10.481785165157866</v>
          </cell>
          <cell r="AP49">
            <v>12.756668114180474</v>
          </cell>
          <cell r="AU49">
            <v>13.936582713059556</v>
          </cell>
          <cell r="AZ49">
            <v>15.116497311938637</v>
          </cell>
          <cell r="BE49">
            <v>16.296411910817717</v>
          </cell>
          <cell r="BJ49">
            <v>17.476326509696797</v>
          </cell>
          <cell r="BO49">
            <v>18.656241108575877</v>
          </cell>
          <cell r="BT49">
            <v>19.836155707454957</v>
          </cell>
          <cell r="BY49">
            <v>21.016070306334036</v>
          </cell>
          <cell r="CD49">
            <v>22.195984905213123</v>
          </cell>
        </row>
        <row r="51">
          <cell r="A51" t="str">
            <v>As percent of revenue</v>
          </cell>
        </row>
        <row r="52">
          <cell r="B52" t="str">
            <v>Production cost excluding taxes</v>
          </cell>
          <cell r="C52">
            <v>0.17557251908396945</v>
          </cell>
          <cell r="D52">
            <v>0.20132553606237816</v>
          </cell>
          <cell r="E52">
            <v>0.18714114250494696</v>
          </cell>
          <cell r="F52">
            <v>0.18993188528663724</v>
          </cell>
          <cell r="G52">
            <v>0.12536751734681878</v>
          </cell>
          <cell r="L52">
            <v>0.12881248514616178</v>
          </cell>
          <cell r="Q52">
            <v>0.14203086092974923</v>
          </cell>
          <cell r="V52">
            <v>0.11398031206472917</v>
          </cell>
          <cell r="AA52">
            <v>0.22255040765512865</v>
          </cell>
          <cell r="AF52">
            <v>0.17300511951961201</v>
          </cell>
          <cell r="AK52">
            <v>0.15762983638685157</v>
          </cell>
          <cell r="AP52">
            <v>0.17490890161374284</v>
          </cell>
          <cell r="AQ52">
            <v>0.18152502570671061</v>
          </cell>
          <cell r="AR52">
            <v>0.19483101617071699</v>
          </cell>
          <cell r="AS52">
            <v>0.18739553686355712</v>
          </cell>
          <cell r="AT52">
            <v>0.20706054326353007</v>
          </cell>
          <cell r="AU52">
            <v>0.19209288547300221</v>
          </cell>
          <cell r="AV52">
            <v>0.2112523279733155</v>
          </cell>
          <cell r="AW52">
            <v>0.1997621227632696</v>
          </cell>
          <cell r="AX52">
            <v>0.19415135641116804</v>
          </cell>
          <cell r="AY52">
            <v>0.19694183302042492</v>
          </cell>
          <cell r="AZ52">
            <v>0.20038291625392401</v>
          </cell>
          <cell r="BA52">
            <v>0.21702304840803735</v>
          </cell>
          <cell r="BB52">
            <v>0.21181545195000684</v>
          </cell>
          <cell r="BC52">
            <v>0.21001597960598534</v>
          </cell>
          <cell r="BD52">
            <v>0.21696964546172334</v>
          </cell>
          <cell r="BE52">
            <v>0.21409099294822148</v>
          </cell>
          <cell r="BF52">
            <v>0.23093335638596318</v>
          </cell>
          <cell r="BG52">
            <v>0.22483332301930264</v>
          </cell>
          <cell r="BH52">
            <v>0.22207257357422783</v>
          </cell>
          <cell r="BI52">
            <v>0.2277673220852045</v>
          </cell>
          <cell r="BJ52">
            <v>0.22649193284673796</v>
          </cell>
          <cell r="BK52">
            <v>0.23415205499545538</v>
          </cell>
          <cell r="BL52">
            <v>0.22717872230201946</v>
          </cell>
          <cell r="BM52">
            <v>0.22429625791205832</v>
          </cell>
          <cell r="BN52">
            <v>0.22962816326121374</v>
          </cell>
          <cell r="BO52">
            <v>0.22888639969494012</v>
          </cell>
          <cell r="BP52">
            <v>0.23612401172394171</v>
          </cell>
          <cell r="BQ52">
            <v>0.22758259149593557</v>
          </cell>
          <cell r="BR52">
            <v>0.22301937677896247</v>
          </cell>
          <cell r="BS52">
            <v>0.22691496477734746</v>
          </cell>
          <cell r="BT52">
            <v>0.22847496786643007</v>
          </cell>
          <cell r="BU52">
            <v>0.23502077564779089</v>
          </cell>
          <cell r="BV52">
            <v>0.22890336727805191</v>
          </cell>
          <cell r="BW52">
            <v>0.2267521029415667</v>
          </cell>
          <cell r="BX52">
            <v>0.23243681514898903</v>
          </cell>
          <cell r="BY52">
            <v>0.23085548988542703</v>
          </cell>
          <cell r="BZ52">
            <v>0.23725914807650739</v>
          </cell>
          <cell r="CA52">
            <v>0.22856718800944628</v>
          </cell>
          <cell r="CB52">
            <v>0.22355504856142111</v>
          </cell>
          <cell r="CC52">
            <v>0.22632238188809486</v>
          </cell>
          <cell r="CD52">
            <v>0.22892545102018871</v>
          </cell>
        </row>
        <row r="53">
          <cell r="B53" t="str">
            <v>Taxes other than income tax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4.7489121486534162E-2</v>
          </cell>
          <cell r="L53">
            <v>3.2460587815891624E-2</v>
          </cell>
          <cell r="Q53">
            <v>3.6821363449208867E-2</v>
          </cell>
          <cell r="V53">
            <v>3.86716121257649E-2</v>
          </cell>
          <cell r="AA53">
            <v>3.0952497192794023E-2</v>
          </cell>
          <cell r="AF53">
            <v>4.2207167327456795E-2</v>
          </cell>
          <cell r="AK53">
            <v>4.4778335362413518E-2</v>
          </cell>
          <cell r="AP53">
            <v>3.7391239681713394E-2</v>
          </cell>
          <cell r="AQ53">
            <v>3.4315277847193515E-2</v>
          </cell>
          <cell r="AR53">
            <v>3.4327404856753327E-2</v>
          </cell>
          <cell r="AS53">
            <v>3.3710887424242164E-2</v>
          </cell>
          <cell r="AT53">
            <v>3.4020819360140758E-2</v>
          </cell>
          <cell r="AU53">
            <v>3.4108317429650495E-2</v>
          </cell>
          <cell r="AV53">
            <v>3.2191389736249201E-2</v>
          </cell>
          <cell r="AW53">
            <v>3.4690572003029795E-2</v>
          </cell>
          <cell r="AX53">
            <v>3.5455459571903339E-2</v>
          </cell>
          <cell r="AY53">
            <v>3.4990417204175235E-2</v>
          </cell>
          <cell r="AZ53">
            <v>3.4357111178908488E-2</v>
          </cell>
          <cell r="BA53">
            <v>3.4542150841351975E-2</v>
          </cell>
          <cell r="BB53">
            <v>3.5556753502171301E-2</v>
          </cell>
          <cell r="BC53">
            <v>3.5666108397350557E-2</v>
          </cell>
          <cell r="BD53">
            <v>3.4025493476284155E-2</v>
          </cell>
          <cell r="BE53">
            <v>3.4920833923118642E-2</v>
          </cell>
          <cell r="BF53">
            <v>3.4641432299388535E-2</v>
          </cell>
          <cell r="BG53">
            <v>3.6124945664826894E-2</v>
          </cell>
          <cell r="BH53">
            <v>3.6776388794657132E-2</v>
          </cell>
          <cell r="BI53">
            <v>3.5748398648874483E-2</v>
          </cell>
          <cell r="BJ53">
            <v>3.5806425901061797E-2</v>
          </cell>
          <cell r="BK53">
            <v>3.5795384683913502E-2</v>
          </cell>
          <cell r="BL53">
            <v>3.70148056990761E-2</v>
          </cell>
          <cell r="BM53">
            <v>3.7393461820702981E-2</v>
          </cell>
          <cell r="BN53">
            <v>3.6220302957011175E-2</v>
          </cell>
          <cell r="BO53">
            <v>3.658892338010377E-2</v>
          </cell>
          <cell r="BP53">
            <v>3.658825110649272E-2</v>
          </cell>
          <cell r="BQ53">
            <v>3.8481374937421951E-2</v>
          </cell>
          <cell r="BR53">
            <v>3.9566881687989983E-2</v>
          </cell>
          <cell r="BS53">
            <v>3.8926886584012312E-2</v>
          </cell>
          <cell r="BT53">
            <v>3.8379389110260245E-2</v>
          </cell>
          <cell r="BU53">
            <v>3.8399547167996276E-2</v>
          </cell>
          <cell r="BV53">
            <v>3.940129519107477E-2</v>
          </cell>
          <cell r="BW53">
            <v>3.9521441098500365E-2</v>
          </cell>
          <cell r="BX53">
            <v>3.8062115003388408E-2</v>
          </cell>
          <cell r="BY53">
            <v>3.882629033963713E-2</v>
          </cell>
          <cell r="BZ53">
            <v>3.8702053890193412E-2</v>
          </cell>
          <cell r="CA53">
            <v>4.0734320893044552E-2</v>
          </cell>
          <cell r="CB53">
            <v>4.1964768944819306E-2</v>
          </cell>
          <cell r="CC53">
            <v>4.1532216140515089E-2</v>
          </cell>
          <cell r="CD53">
            <v>4.073675619572166E-2</v>
          </cell>
        </row>
        <row r="54">
          <cell r="B54" t="str">
            <v>Exploration expense</v>
          </cell>
          <cell r="C54">
            <v>3.3254831898651943E-2</v>
          </cell>
          <cell r="D54">
            <v>3.8089668615984403E-2</v>
          </cell>
          <cell r="E54">
            <v>3.6202030687384437E-2</v>
          </cell>
          <cell r="F54">
            <v>3.2215628380156111E-2</v>
          </cell>
          <cell r="G54">
            <v>2.7237445607432669E-2</v>
          </cell>
          <cell r="L54">
            <v>2.7687554464073515E-2</v>
          </cell>
          <cell r="Q54">
            <v>3.5723388820265475E-2</v>
          </cell>
          <cell r="V54">
            <v>3.1222123104371096E-2</v>
          </cell>
          <cell r="AA54">
            <v>5.3166040130840211E-2</v>
          </cell>
          <cell r="AF54">
            <v>3.9185495977520302E-2</v>
          </cell>
          <cell r="AK54">
            <v>3.3643139234492386E-2</v>
          </cell>
          <cell r="AP54">
            <v>4.616643117423961E-2</v>
          </cell>
          <cell r="AQ54">
            <v>3.4924443048196724E-2</v>
          </cell>
          <cell r="AR54">
            <v>8.642019818337493E-2</v>
          </cell>
          <cell r="AS54">
            <v>0.11519339629349848</v>
          </cell>
          <cell r="AT54">
            <v>0.11806481675520988</v>
          </cell>
          <cell r="AU54">
            <v>8.5233415983159852E-2</v>
          </cell>
          <cell r="AV54">
            <v>5.8574432246383097E-2</v>
          </cell>
          <cell r="AW54">
            <v>5.9958163230537521E-2</v>
          </cell>
          <cell r="AX54">
            <v>5.8168257039033354E-2</v>
          </cell>
          <cell r="AY54">
            <v>5.054312450048698E-2</v>
          </cell>
          <cell r="AZ54">
            <v>5.6555341611450802E-2</v>
          </cell>
          <cell r="BA54">
            <v>4.4659918368297032E-2</v>
          </cell>
          <cell r="BB54">
            <v>4.8758701713181814E-2</v>
          </cell>
          <cell r="BC54">
            <v>4.9885503577348694E-2</v>
          </cell>
          <cell r="BD54">
            <v>4.5908735805954511E-2</v>
          </cell>
          <cell r="BE54">
            <v>4.7209420072329152E-2</v>
          </cell>
          <cell r="BF54">
            <v>3.6629323223396022E-2</v>
          </cell>
          <cell r="BG54">
            <v>3.8705756412062566E-2</v>
          </cell>
          <cell r="BH54">
            <v>3.8428092229003542E-2</v>
          </cell>
          <cell r="BI54">
            <v>3.4844905710537957E-2</v>
          </cell>
          <cell r="BJ54">
            <v>3.708589734736456E-2</v>
          </cell>
          <cell r="BK54">
            <v>3.4069042329887611E-2</v>
          </cell>
          <cell r="BL54">
            <v>3.5669164476928687E-2</v>
          </cell>
          <cell r="BM54">
            <v>3.5439258017834152E-2</v>
          </cell>
          <cell r="BN54">
            <v>3.2478677879056971E-2</v>
          </cell>
          <cell r="BO54">
            <v>3.4365942253032911E-2</v>
          </cell>
          <cell r="BP54">
            <v>3.1826523597364154E-2</v>
          </cell>
          <cell r="BQ54">
            <v>3.3434676628597025E-2</v>
          </cell>
          <cell r="BR54">
            <v>3.3429816782590285E-2</v>
          </cell>
          <cell r="BS54">
            <v>3.0921763283257797E-2</v>
          </cell>
          <cell r="BT54">
            <v>3.2367042458152313E-2</v>
          </cell>
          <cell r="BU54">
            <v>3.0931324744403275E-2</v>
          </cell>
          <cell r="BV54">
            <v>3.2348575081193855E-2</v>
          </cell>
          <cell r="BW54">
            <v>3.2282465260540329E-2</v>
          </cell>
          <cell r="BX54">
            <v>2.9953342902137803E-2</v>
          </cell>
          <cell r="BY54">
            <v>3.1346790048229621E-2</v>
          </cell>
          <cell r="BZ54">
            <v>2.9782008951000583E-2</v>
          </cell>
          <cell r="CA54">
            <v>3.0781493647921033E-2</v>
          </cell>
          <cell r="CB54">
            <v>3.0477827496345047E-2</v>
          </cell>
          <cell r="CC54">
            <v>2.8301174159545625E-2</v>
          </cell>
          <cell r="CD54">
            <v>2.9804186877611591E-2</v>
          </cell>
        </row>
        <row r="55">
          <cell r="B55" t="str">
            <v>DD&amp;A</v>
          </cell>
          <cell r="C55">
            <v>0.17098424557414324</v>
          </cell>
          <cell r="D55">
            <v>0.23403508771929823</v>
          </cell>
          <cell r="E55">
            <v>0.24838615499399877</v>
          </cell>
          <cell r="F55">
            <v>0.22793580261350016</v>
          </cell>
          <cell r="G55">
            <v>0.19713042455603905</v>
          </cell>
          <cell r="L55">
            <v>0.18151390319258495</v>
          </cell>
          <cell r="Q55">
            <v>0.18493029821775189</v>
          </cell>
          <cell r="V55">
            <v>0.14611014601624489</v>
          </cell>
          <cell r="AA55">
            <v>0.23849045549968267</v>
          </cell>
          <cell r="AF55">
            <v>0.20666692328419109</v>
          </cell>
          <cell r="AK55">
            <v>0.12422424800308816</v>
          </cell>
          <cell r="AP55">
            <v>0.1562727745965643</v>
          </cell>
          <cell r="AQ55">
            <v>0.16351365055857217</v>
          </cell>
          <cell r="AR55">
            <v>0.1747184359907612</v>
          </cell>
          <cell r="AS55">
            <v>0.16714368686565451</v>
          </cell>
          <cell r="AT55">
            <v>0.18572796640510125</v>
          </cell>
          <cell r="AU55">
            <v>0.17228325638219863</v>
          </cell>
          <cell r="AV55">
            <v>0.17639602831823414</v>
          </cell>
          <cell r="AW55">
            <v>0.17221878720281053</v>
          </cell>
          <cell r="AX55">
            <v>0.16964924001567772</v>
          </cell>
          <cell r="AY55">
            <v>0.16787059122681106</v>
          </cell>
          <cell r="AZ55">
            <v>0.17138616927332462</v>
          </cell>
          <cell r="BA55">
            <v>0.18365031542981494</v>
          </cell>
          <cell r="BB55">
            <v>0.18320859270054157</v>
          </cell>
          <cell r="BC55">
            <v>0.18308790979926279</v>
          </cell>
          <cell r="BD55">
            <v>0.18476361415232986</v>
          </cell>
          <cell r="BE55">
            <v>0.18369654487272385</v>
          </cell>
          <cell r="BF55">
            <v>0.19718412460319309</v>
          </cell>
          <cell r="BG55">
            <v>0.1955096365203704</v>
          </cell>
          <cell r="BH55">
            <v>0.19453488790817941</v>
          </cell>
          <cell r="BI55">
            <v>0.19627624869946736</v>
          </cell>
          <cell r="BJ55">
            <v>0.19590227964989659</v>
          </cell>
          <cell r="BK55">
            <v>0.20099126339032602</v>
          </cell>
          <cell r="BL55">
            <v>0.19711768529409765</v>
          </cell>
          <cell r="BM55">
            <v>0.19522896973433565</v>
          </cell>
          <cell r="BN55">
            <v>0.1971171583408412</v>
          </cell>
          <cell r="BO55">
            <v>0.19763650120008278</v>
          </cell>
          <cell r="BP55">
            <v>0.20293829792588672</v>
          </cell>
          <cell r="BQ55">
            <v>0.19804443504784844</v>
          </cell>
          <cell r="BR55">
            <v>0.19554342633597893</v>
          </cell>
          <cell r="BS55">
            <v>0.19766221243866106</v>
          </cell>
          <cell r="BT55">
            <v>0.19858328266635875</v>
          </cell>
          <cell r="BU55">
            <v>0.20401725098490786</v>
          </cell>
          <cell r="BV55">
            <v>0.19988236696861553</v>
          </cell>
          <cell r="BW55">
            <v>0.19851515260360292</v>
          </cell>
          <cell r="BX55">
            <v>0.20206884389244098</v>
          </cell>
          <cell r="BY55">
            <v>0.20117012429713341</v>
          </cell>
          <cell r="BZ55">
            <v>0.20601831740516982</v>
          </cell>
          <cell r="CA55">
            <v>0.19977182366984653</v>
          </cell>
          <cell r="CB55">
            <v>0.19642601735515763</v>
          </cell>
          <cell r="CC55">
            <v>0.19853831306845612</v>
          </cell>
          <cell r="CD55">
            <v>0.20019189131539059</v>
          </cell>
        </row>
        <row r="56">
          <cell r="B56" t="str">
            <v>Other income/(cost)</v>
          </cell>
          <cell r="C56">
            <v>5.0389800227383465E-2</v>
          </cell>
          <cell r="D56">
            <v>5.688109161793372E-2</v>
          </cell>
          <cell r="E56">
            <v>3.6137152496188409E-2</v>
          </cell>
          <cell r="F56">
            <v>5.7970590814745517E-2</v>
          </cell>
          <cell r="G56">
            <v>3.855109961190168E-2</v>
          </cell>
          <cell r="L56">
            <v>6.9317911748395786E-2</v>
          </cell>
          <cell r="Q56">
            <v>8.1406976060231756E-2</v>
          </cell>
          <cell r="V56">
            <v>4.704446218132307E-2</v>
          </cell>
          <cell r="AA56">
            <v>0.1520529219352634</v>
          </cell>
          <cell r="AF56">
            <v>5.1888063435852033E-2</v>
          </cell>
          <cell r="AK56">
            <v>7.3507141372450041E-2</v>
          </cell>
          <cell r="AP56">
            <v>7.7310924369747902E-2</v>
          </cell>
          <cell r="AQ56">
            <v>7.8148830894884641E-2</v>
          </cell>
          <cell r="AR56">
            <v>0.10204339362043455</v>
          </cell>
          <cell r="AS56">
            <v>0.10209683656819853</v>
          </cell>
          <cell r="AT56">
            <v>9.6938835954164401E-2</v>
          </cell>
          <cell r="AU56">
            <v>9.366309448698884E-2</v>
          </cell>
          <cell r="AV56">
            <v>9.1659842606118536E-2</v>
          </cell>
          <cell r="AW56">
            <v>9.3825165586686313E-2</v>
          </cell>
          <cell r="AX56">
            <v>9.1024241813274592E-2</v>
          </cell>
          <cell r="AY56">
            <v>7.9092099724486165E-2</v>
          </cell>
          <cell r="AZ56">
            <v>8.8500280955961699E-2</v>
          </cell>
          <cell r="BA56">
            <v>8.1872282235325486E-2</v>
          </cell>
          <cell r="BB56">
            <v>8.9386329709986237E-2</v>
          </cell>
          <cell r="BC56">
            <v>9.1452026281251153E-2</v>
          </cell>
          <cell r="BD56">
            <v>8.4161662454812644E-2</v>
          </cell>
          <cell r="BE56">
            <v>8.6546126942129417E-2</v>
          </cell>
          <cell r="BF56">
            <v>8.4656079281561339E-2</v>
          </cell>
          <cell r="BG56">
            <v>8.9455040255274967E-2</v>
          </cell>
          <cell r="BH56">
            <v>8.881331501914827E-2</v>
          </cell>
          <cell r="BI56">
            <v>8.0532012082213458E-2</v>
          </cell>
          <cell r="BJ56">
            <v>8.5711293296869759E-2</v>
          </cell>
          <cell r="BK56">
            <v>7.9139366210990353E-2</v>
          </cell>
          <cell r="BL56">
            <v>8.285630815936762E-2</v>
          </cell>
          <cell r="BM56">
            <v>8.2322255828680496E-2</v>
          </cell>
          <cell r="BN56">
            <v>7.5445090526205016E-2</v>
          </cell>
          <cell r="BO56">
            <v>7.98290384218584E-2</v>
          </cell>
          <cell r="BP56">
            <v>7.5019085339989675E-2</v>
          </cell>
          <cell r="BQ56">
            <v>7.8809702594203807E-2</v>
          </cell>
          <cell r="BR56">
            <v>7.8798247331073878E-2</v>
          </cell>
          <cell r="BS56">
            <v>7.2886452443137503E-2</v>
          </cell>
          <cell r="BT56">
            <v>7.6293155705271384E-2</v>
          </cell>
          <cell r="BU56">
            <v>7.259552190896873E-2</v>
          </cell>
          <cell r="BV56">
            <v>7.5921794828902114E-2</v>
          </cell>
          <cell r="BW56">
            <v>7.576663571517811E-2</v>
          </cell>
          <cell r="BX56">
            <v>7.0300207924086699E-2</v>
          </cell>
          <cell r="BY56">
            <v>7.357061498421115E-2</v>
          </cell>
          <cell r="BZ56">
            <v>6.9898088787376175E-2</v>
          </cell>
          <cell r="CA56">
            <v>7.2243869765479807E-2</v>
          </cell>
          <cell r="CB56">
            <v>7.1531168226120906E-2</v>
          </cell>
          <cell r="CC56">
            <v>6.6422583763425247E-2</v>
          </cell>
          <cell r="CD56">
            <v>6.9950140167990782E-2</v>
          </cell>
        </row>
        <row r="58">
          <cell r="A58" t="str">
            <v>Effective tax rate</v>
          </cell>
          <cell r="C58">
            <v>0.49490486709898096</v>
          </cell>
          <cell r="D58">
            <v>0.4936498713372624</v>
          </cell>
          <cell r="E58">
            <v>0.47986289631533846</v>
          </cell>
          <cell r="F58">
            <v>0.58052056096981219</v>
          </cell>
          <cell r="G58">
            <v>0.60542771385692851</v>
          </cell>
          <cell r="L58">
            <v>0.59453439864243796</v>
          </cell>
          <cell r="Q58">
            <v>0.58062322946175637</v>
          </cell>
          <cell r="V58">
            <v>0.61651509822639805</v>
          </cell>
          <cell r="AA58">
            <v>0.71855852950661081</v>
          </cell>
          <cell r="AF58">
            <v>0.58543428435944045</v>
          </cell>
          <cell r="AK58">
            <v>0.61992290951044915</v>
          </cell>
          <cell r="AP58">
            <v>0.67676856406652608</v>
          </cell>
          <cell r="AQ58">
            <v>0.66710068821549351</v>
          </cell>
          <cell r="AR58">
            <v>0.66706129391116142</v>
          </cell>
          <cell r="AS58">
            <v>0.67654787140934103</v>
          </cell>
          <cell r="AT58">
            <v>0.70077838530854863</v>
          </cell>
          <cell r="AU58">
            <v>0.67600897523691583</v>
          </cell>
          <cell r="AV58">
            <v>0.66504705454363988</v>
          </cell>
          <cell r="AW58">
            <v>0.66554467332154221</v>
          </cell>
          <cell r="AX58">
            <v>0.66588787311380027</v>
          </cell>
          <cell r="AY58">
            <v>0.6642695436243754</v>
          </cell>
          <cell r="AZ58">
            <v>0.66513955853352047</v>
          </cell>
          <cell r="BA58">
            <v>0.66995744154926418</v>
          </cell>
          <cell r="BB58">
            <v>0.67493891605982803</v>
          </cell>
          <cell r="BC58">
            <v>0.67757547601711055</v>
          </cell>
          <cell r="BD58">
            <v>0.67729744330571751</v>
          </cell>
          <cell r="BE58">
            <v>0.67483389521711923</v>
          </cell>
          <cell r="BF58">
            <v>0.68152864499412735</v>
          </cell>
          <cell r="BG58">
            <v>0.67966041392531173</v>
          </cell>
          <cell r="BH58">
            <v>0.67414981126434603</v>
          </cell>
          <cell r="BI58">
            <v>0.66744089169410703</v>
          </cell>
          <cell r="BJ58">
            <v>0.67550255898020062</v>
          </cell>
          <cell r="BK58">
            <v>0.66651337520955223</v>
          </cell>
          <cell r="BL58">
            <v>0.66103858321764097</v>
          </cell>
          <cell r="BM58">
            <v>0.65480285304999775</v>
          </cell>
          <cell r="BN58">
            <v>0.64930227554042586</v>
          </cell>
          <cell r="BO58">
            <v>0.65772405049856209</v>
          </cell>
          <cell r="BP58">
            <v>0.64664320405675335</v>
          </cell>
          <cell r="BQ58">
            <v>0.63921193494847395</v>
          </cell>
          <cell r="BR58">
            <v>0.63205782702141267</v>
          </cell>
          <cell r="BS58">
            <v>0.62740982251525401</v>
          </cell>
          <cell r="BT58">
            <v>0.63617953246086334</v>
          </cell>
          <cell r="BU58">
            <v>0.63170117374116874</v>
          </cell>
          <cell r="BV58">
            <v>0.62985724110904118</v>
          </cell>
          <cell r="BW58">
            <v>0.62899386573585592</v>
          </cell>
          <cell r="BX58">
            <v>0.63032705646192289</v>
          </cell>
          <cell r="BY58">
            <v>0.63023143102786605</v>
          </cell>
          <cell r="BZ58">
            <v>0.63105953254840408</v>
          </cell>
          <cell r="CA58">
            <v>0.62539426696211076</v>
          </cell>
          <cell r="CB58">
            <v>0.62074749058413548</v>
          </cell>
          <cell r="CC58">
            <v>0.6188499025185541</v>
          </cell>
          <cell r="CD58">
            <v>0.6238640354689341</v>
          </cell>
        </row>
        <row r="59">
          <cell r="A59" t="str">
            <v>Operating cash flow per barrel</v>
          </cell>
          <cell r="F59">
            <v>16.479373346148432</v>
          </cell>
          <cell r="G59">
            <v>20.420184104922715</v>
          </cell>
          <cell r="L59">
            <v>26.150800069789341</v>
          </cell>
          <cell r="Q59">
            <v>28.993771189900542</v>
          </cell>
          <cell r="V59">
            <v>33.929711273080549</v>
          </cell>
          <cell r="AA59">
            <v>26.15091632166228</v>
          </cell>
          <cell r="AF59">
            <v>30.388573199960927</v>
          </cell>
          <cell r="AK59">
            <v>37.070148851591235</v>
          </cell>
          <cell r="AP59">
            <v>36.238796028557992</v>
          </cell>
          <cell r="AQ59">
            <v>34.95609524855935</v>
          </cell>
          <cell r="AR59">
            <v>36.732676220947859</v>
          </cell>
          <cell r="AS59">
            <v>39.823589367871143</v>
          </cell>
          <cell r="AT59">
            <v>35.579315913493424</v>
          </cell>
          <cell r="AU59">
            <v>36.625849976059762</v>
          </cell>
          <cell r="AV59">
            <v>33.368614521995354</v>
          </cell>
          <cell r="AW59">
            <v>35.518627496348039</v>
          </cell>
          <cell r="AX59">
            <v>36.531405851826868</v>
          </cell>
          <cell r="AY59">
            <v>35.031041609637647</v>
          </cell>
          <cell r="AZ59">
            <v>35.073166168702734</v>
          </cell>
          <cell r="BA59">
            <v>32.219178068765615</v>
          </cell>
          <cell r="BB59">
            <v>33.554394414800846</v>
          </cell>
          <cell r="BC59">
            <v>34.062176870118464</v>
          </cell>
          <cell r="BD59">
            <v>32.460694077742581</v>
          </cell>
          <cell r="BE59">
            <v>33.029242739857011</v>
          </cell>
          <cell r="BF59">
            <v>30.315587093722769</v>
          </cell>
          <cell r="BG59">
            <v>31.784319247028392</v>
          </cell>
          <cell r="BH59">
            <v>32.652352070500953</v>
          </cell>
          <cell r="BI59">
            <v>31.721670000052786</v>
          </cell>
          <cell r="BJ59">
            <v>31.587873818220505</v>
          </cell>
          <cell r="BK59">
            <v>31.009021634912795</v>
          </cell>
          <cell r="BL59">
            <v>32.445865376624958</v>
          </cell>
          <cell r="BM59">
            <v>33.179118447790323</v>
          </cell>
          <cell r="BN59">
            <v>32.224513250512899</v>
          </cell>
          <cell r="BO59">
            <v>32.188072784248746</v>
          </cell>
          <cell r="BP59">
            <v>31.778940359721084</v>
          </cell>
          <cell r="BQ59">
            <v>33.563308869119282</v>
          </cell>
          <cell r="BR59">
            <v>34.704935078980519</v>
          </cell>
          <cell r="BS59">
            <v>34.042914450850866</v>
          </cell>
          <cell r="BT59">
            <v>33.482652204163365</v>
          </cell>
          <cell r="BU59">
            <v>33.232501882635482</v>
          </cell>
          <cell r="BV59">
            <v>34.685466781181162</v>
          </cell>
          <cell r="BW59">
            <v>35.433074520312253</v>
          </cell>
          <cell r="BX59">
            <v>34.450791408891099</v>
          </cell>
          <cell r="BY59">
            <v>34.421181250187438</v>
          </cell>
          <cell r="BZ59">
            <v>34.02573888262156</v>
          </cell>
          <cell r="CA59">
            <v>35.802083961434263</v>
          </cell>
          <cell r="CB59">
            <v>36.948278890342806</v>
          </cell>
          <cell r="CC59">
            <v>36.341652470999094</v>
          </cell>
          <cell r="CD59">
            <v>35.74859843952769</v>
          </cell>
        </row>
        <row r="61">
          <cell r="A61" t="str">
            <v>Clean DD&amp;A</v>
          </cell>
          <cell r="Q61">
            <v>9459</v>
          </cell>
          <cell r="V61">
            <v>9637</v>
          </cell>
          <cell r="AA61">
            <v>9098</v>
          </cell>
          <cell r="AF61">
            <v>8560</v>
          </cell>
          <cell r="AK61">
            <v>8505</v>
          </cell>
          <cell r="AP61">
            <v>10507</v>
          </cell>
        </row>
        <row r="62">
          <cell r="A62" t="str">
            <v>Identified items in DD&amp;A</v>
          </cell>
          <cell r="Q62">
            <v>-27</v>
          </cell>
          <cell r="V62">
            <v>-301</v>
          </cell>
          <cell r="AA62">
            <v>672</v>
          </cell>
          <cell r="AF62">
            <v>2178</v>
          </cell>
          <cell r="AK62">
            <v>-138</v>
          </cell>
          <cell r="AP62">
            <v>0</v>
          </cell>
        </row>
        <row r="63">
          <cell r="A63" t="str">
            <v>Clean DD&amp;A per barrel</v>
          </cell>
          <cell r="Q63">
            <v>10.345621550615611</v>
          </cell>
          <cell r="V63">
            <v>11.045896477895994</v>
          </cell>
          <cell r="AA63">
            <v>10.980295213886071</v>
          </cell>
          <cell r="AF63">
            <v>10.019883155181446</v>
          </cell>
          <cell r="AK63">
            <v>10.481785165157866</v>
          </cell>
          <cell r="AP63">
            <v>12.756668114180474</v>
          </cell>
        </row>
        <row r="66">
          <cell r="A66" t="str">
            <v>Europe</v>
          </cell>
        </row>
        <row r="67">
          <cell r="C67">
            <v>2001</v>
          </cell>
          <cell r="D67">
            <v>2002</v>
          </cell>
          <cell r="E67">
            <v>2003</v>
          </cell>
          <cell r="F67">
            <v>2004</v>
          </cell>
          <cell r="G67">
            <v>2005</v>
          </cell>
          <cell r="H67" t="str">
            <v>1Q06</v>
          </cell>
          <cell r="I67" t="str">
            <v>2Q06</v>
          </cell>
          <cell r="J67" t="str">
            <v>3Q06</v>
          </cell>
          <cell r="K67" t="str">
            <v>4Q06</v>
          </cell>
          <cell r="L67">
            <v>2006</v>
          </cell>
          <cell r="M67" t="str">
            <v>1Q07</v>
          </cell>
          <cell r="N67" t="str">
            <v>2Q07</v>
          </cell>
          <cell r="O67" t="str">
            <v>3Q07</v>
          </cell>
          <cell r="P67" t="str">
            <v>4Q07</v>
          </cell>
          <cell r="Q67">
            <v>2007</v>
          </cell>
          <cell r="R67" t="str">
            <v>1Q08</v>
          </cell>
          <cell r="S67" t="str">
            <v>2Q08</v>
          </cell>
          <cell r="T67" t="str">
            <v>3Q08</v>
          </cell>
          <cell r="U67" t="str">
            <v>4Q08</v>
          </cell>
          <cell r="V67">
            <v>2008</v>
          </cell>
          <cell r="W67" t="str">
            <v>1Q09</v>
          </cell>
          <cell r="X67" t="str">
            <v>2Q09</v>
          </cell>
          <cell r="Y67" t="str">
            <v>3Q09</v>
          </cell>
          <cell r="Z67" t="str">
            <v>4Q09</v>
          </cell>
          <cell r="AA67">
            <v>2009</v>
          </cell>
          <cell r="AB67" t="str">
            <v>1Q10</v>
          </cell>
          <cell r="AC67" t="str">
            <v>2Q10</v>
          </cell>
          <cell r="AD67" t="str">
            <v>3Q10</v>
          </cell>
          <cell r="AE67" t="str">
            <v>4Q10</v>
          </cell>
          <cell r="AF67">
            <v>2010</v>
          </cell>
          <cell r="AG67" t="str">
            <v>1Q11</v>
          </cell>
          <cell r="AH67" t="str">
            <v>2Q11</v>
          </cell>
          <cell r="AI67" t="str">
            <v>3Q11</v>
          </cell>
          <cell r="AJ67" t="str">
            <v>4Q11</v>
          </cell>
          <cell r="AK67">
            <v>2011</v>
          </cell>
          <cell r="AL67" t="str">
            <v>1Q12</v>
          </cell>
          <cell r="AM67" t="str">
            <v>2Q12</v>
          </cell>
          <cell r="AN67" t="str">
            <v>3Q12</v>
          </cell>
          <cell r="AO67" t="str">
            <v>4Q12</v>
          </cell>
          <cell r="AP67">
            <v>2012</v>
          </cell>
          <cell r="AQ67" t="str">
            <v>1Q13</v>
          </cell>
          <cell r="AR67" t="str">
            <v>2Q13</v>
          </cell>
          <cell r="AS67" t="str">
            <v>3Q13</v>
          </cell>
          <cell r="AT67" t="str">
            <v>4Q13</v>
          </cell>
          <cell r="AU67">
            <v>2013</v>
          </cell>
          <cell r="AV67" t="str">
            <v>1Q14</v>
          </cell>
          <cell r="AW67" t="str">
            <v>2Q14</v>
          </cell>
          <cell r="AX67" t="str">
            <v>3Q14</v>
          </cell>
          <cell r="AY67" t="str">
            <v>4Q14</v>
          </cell>
          <cell r="AZ67">
            <v>2014</v>
          </cell>
          <cell r="BA67" t="str">
            <v>1Q15</v>
          </cell>
          <cell r="BB67" t="str">
            <v>2Q15</v>
          </cell>
          <cell r="BC67" t="str">
            <v>3Q15</v>
          </cell>
          <cell r="BD67" t="str">
            <v>4Q15</v>
          </cell>
          <cell r="BE67">
            <v>2015</v>
          </cell>
          <cell r="BF67" t="str">
            <v>1Q16</v>
          </cell>
          <cell r="BG67" t="str">
            <v>2Q16</v>
          </cell>
          <cell r="BH67" t="str">
            <v>3Q16</v>
          </cell>
          <cell r="BI67" t="str">
            <v>4Q16</v>
          </cell>
          <cell r="BJ67">
            <v>2016</v>
          </cell>
          <cell r="BK67" t="str">
            <v>1Q17</v>
          </cell>
          <cell r="BL67" t="str">
            <v>2Q17</v>
          </cell>
          <cell r="BM67" t="str">
            <v>3Q17</v>
          </cell>
          <cell r="BN67" t="str">
            <v>4Q17</v>
          </cell>
          <cell r="BO67">
            <v>2017</v>
          </cell>
          <cell r="BP67" t="str">
            <v>1Q18</v>
          </cell>
          <cell r="BQ67" t="str">
            <v>2Q18</v>
          </cell>
          <cell r="BR67" t="str">
            <v>3Q18</v>
          </cell>
          <cell r="BS67" t="str">
            <v>4Q18</v>
          </cell>
          <cell r="BT67">
            <v>2018</v>
          </cell>
          <cell r="BU67" t="str">
            <v>1Q19</v>
          </cell>
          <cell r="BV67" t="str">
            <v>2Q19</v>
          </cell>
          <cell r="BW67" t="str">
            <v>3Q19</v>
          </cell>
          <cell r="BX67" t="str">
            <v>4Q19</v>
          </cell>
          <cell r="BY67">
            <v>2019</v>
          </cell>
          <cell r="BZ67" t="str">
            <v>1Q20</v>
          </cell>
          <cell r="CA67" t="str">
            <v>2Q20</v>
          </cell>
          <cell r="CB67" t="str">
            <v>3Q20</v>
          </cell>
          <cell r="CC67" t="str">
            <v>4Q20</v>
          </cell>
          <cell r="CD67">
            <v>2020</v>
          </cell>
        </row>
        <row r="68">
          <cell r="A68" t="str">
            <v>Third parties</v>
          </cell>
          <cell r="C68">
            <v>4971</v>
          </cell>
          <cell r="D68">
            <v>5472</v>
          </cell>
          <cell r="E68">
            <v>5386</v>
          </cell>
          <cell r="F68">
            <v>3440</v>
          </cell>
          <cell r="G68">
            <v>3399</v>
          </cell>
          <cell r="L68">
            <v>5937</v>
          </cell>
          <cell r="Q68">
            <v>3750</v>
          </cell>
          <cell r="V68">
            <v>6210</v>
          </cell>
          <cell r="AA68">
            <v>2945</v>
          </cell>
          <cell r="AF68">
            <v>4100</v>
          </cell>
          <cell r="AK68">
            <v>5038</v>
          </cell>
          <cell r="AP68">
            <v>4705</v>
          </cell>
        </row>
        <row r="69">
          <cell r="A69" t="str">
            <v>Sales between businesses</v>
          </cell>
          <cell r="C69">
            <v>3723</v>
          </cell>
          <cell r="D69">
            <v>4572</v>
          </cell>
          <cell r="E69">
            <v>5873</v>
          </cell>
          <cell r="F69">
            <v>7117</v>
          </cell>
          <cell r="G69">
            <v>9869</v>
          </cell>
          <cell r="L69">
            <v>11287</v>
          </cell>
          <cell r="Q69">
            <v>11654</v>
          </cell>
          <cell r="V69">
            <v>13771</v>
          </cell>
          <cell r="AA69">
            <v>8271</v>
          </cell>
          <cell r="AF69">
            <v>8572</v>
          </cell>
          <cell r="AK69">
            <v>10379</v>
          </cell>
          <cell r="AP69">
            <v>10275</v>
          </cell>
        </row>
        <row r="70">
          <cell r="A70" t="str">
            <v>Revenue</v>
          </cell>
          <cell r="C70">
            <v>8694</v>
          </cell>
          <cell r="D70">
            <v>10044</v>
          </cell>
          <cell r="E70">
            <v>11259</v>
          </cell>
          <cell r="F70">
            <v>10557</v>
          </cell>
          <cell r="G70">
            <v>13268</v>
          </cell>
          <cell r="L70">
            <v>17224</v>
          </cell>
          <cell r="Q70">
            <v>15404</v>
          </cell>
          <cell r="V70">
            <v>19981</v>
          </cell>
          <cell r="AA70">
            <v>11216</v>
          </cell>
          <cell r="AF70">
            <v>12672</v>
          </cell>
          <cell r="AK70">
            <v>15417</v>
          </cell>
          <cell r="AP70">
            <v>14980</v>
          </cell>
          <cell r="AQ70">
            <v>4805.5746886200004</v>
          </cell>
          <cell r="AR70">
            <v>2874.7892850767994</v>
          </cell>
          <cell r="AS70">
            <v>2551.6376082479997</v>
          </cell>
          <cell r="AT70">
            <v>4056.1204628736004</v>
          </cell>
          <cell r="AU70">
            <v>14288.122044818399</v>
          </cell>
          <cell r="AV70">
            <v>4230.5316200271964</v>
          </cell>
          <cell r="AW70">
            <v>2992.5336176109581</v>
          </cell>
          <cell r="AX70">
            <v>2785.7316993207423</v>
          </cell>
          <cell r="AY70">
            <v>4494.2888799891725</v>
          </cell>
          <cell r="AZ70">
            <v>14503.085816948069</v>
          </cell>
          <cell r="BA70">
            <v>4682.2272875305025</v>
          </cell>
          <cell r="BB70">
            <v>3024.1761782745189</v>
          </cell>
          <cell r="BC70">
            <v>2480.1213055536709</v>
          </cell>
          <cell r="BD70">
            <v>3821.0688038505759</v>
          </cell>
          <cell r="BE70">
            <v>14007.593575209268</v>
          </cell>
          <cell r="BF70">
            <v>3957.14646213067</v>
          </cell>
          <cell r="BG70">
            <v>2692.2177468557866</v>
          </cell>
          <cell r="BH70">
            <v>2445.9651963216083</v>
          </cell>
          <cell r="BI70">
            <v>3909.9585157884726</v>
          </cell>
          <cell r="BJ70">
            <v>13005.287921096538</v>
          </cell>
          <cell r="BK70">
            <v>4219.4024768141489</v>
          </cell>
          <cell r="BL70">
            <v>3088.6720740659871</v>
          </cell>
          <cell r="BM70">
            <v>2897.0401752142338</v>
          </cell>
          <cell r="BN70">
            <v>4354.6661791863771</v>
          </cell>
          <cell r="BO70">
            <v>14559.780905280746</v>
          </cell>
          <cell r="BP70">
            <v>4554.9662763743008</v>
          </cell>
          <cell r="BQ70">
            <v>3207.4337185701334</v>
          </cell>
          <cell r="BR70">
            <v>2792.5120820919128</v>
          </cell>
          <cell r="BS70">
            <v>4031.857459598617</v>
          </cell>
          <cell r="BT70">
            <v>14586.769536634964</v>
          </cell>
          <cell r="BU70">
            <v>4295.659509995593</v>
          </cell>
          <cell r="BV70">
            <v>3107.5735546064175</v>
          </cell>
          <cell r="BW70">
            <v>2838.2753063678942</v>
          </cell>
          <cell r="BX70">
            <v>4192.7513293025122</v>
          </cell>
          <cell r="BY70">
            <v>14434.259700272416</v>
          </cell>
          <cell r="BZ70">
            <v>4191.4654229686712</v>
          </cell>
          <cell r="CA70">
            <v>2894.5125017818159</v>
          </cell>
          <cell r="CB70">
            <v>2465.5444118223181</v>
          </cell>
          <cell r="CC70">
            <v>3579.5981992133238</v>
          </cell>
          <cell r="CD70">
            <v>13131.120535786129</v>
          </cell>
        </row>
        <row r="72">
          <cell r="A72" t="str">
            <v>Production cost excluding taxes</v>
          </cell>
          <cell r="C72">
            <v>-1275</v>
          </cell>
          <cell r="D72">
            <v>-1826</v>
          </cell>
          <cell r="E72">
            <v>-1886</v>
          </cell>
          <cell r="F72">
            <v>-1799</v>
          </cell>
          <cell r="G72">
            <v>-1968</v>
          </cell>
          <cell r="L72">
            <v>-2291</v>
          </cell>
          <cell r="Q72">
            <v>-2433</v>
          </cell>
          <cell r="V72">
            <v>-2383</v>
          </cell>
          <cell r="AA72">
            <v>-2729</v>
          </cell>
          <cell r="AF72">
            <v>-2186</v>
          </cell>
          <cell r="AK72">
            <v>-2243</v>
          </cell>
          <cell r="AP72">
            <v>-2516</v>
          </cell>
          <cell r="AQ72">
            <v>-930.76304797210457</v>
          </cell>
          <cell r="AR72">
            <v>-545.0895716857782</v>
          </cell>
          <cell r="AS72">
            <v>-457.94931274998754</v>
          </cell>
          <cell r="AT72">
            <v>-828.20351831671235</v>
          </cell>
          <cell r="AU72">
            <v>-2762.0054507245827</v>
          </cell>
          <cell r="AV72">
            <v>-943.11565698120762</v>
          </cell>
          <cell r="AW72">
            <v>-578.18183412447843</v>
          </cell>
          <cell r="AX72">
            <v>-492.72370580825964</v>
          </cell>
          <cell r="AY72">
            <v>-924.20091156279602</v>
          </cell>
          <cell r="AZ72">
            <v>-2938.2221084767416</v>
          </cell>
          <cell r="BA72">
            <v>-1041.0026218580679</v>
          </cell>
          <cell r="BB72">
            <v>-605.14612520965272</v>
          </cell>
          <cell r="BC72">
            <v>-472.72348469923134</v>
          </cell>
          <cell r="BD72">
            <v>-875.7994234040051</v>
          </cell>
          <cell r="BE72">
            <v>-2994.6716551709574</v>
          </cell>
          <cell r="BF72">
            <v>-949.33442331228036</v>
          </cell>
          <cell r="BG72">
            <v>-565.92787613178677</v>
          </cell>
          <cell r="BH72">
            <v>-476.23205762717896</v>
          </cell>
          <cell r="BI72">
            <v>-903.60497962676141</v>
          </cell>
          <cell r="BJ72">
            <v>-2895.0993366980074</v>
          </cell>
          <cell r="BK72">
            <v>-1008.4717885223934</v>
          </cell>
          <cell r="BL72">
            <v>-631.82803266259043</v>
          </cell>
          <cell r="BM72">
            <v>-546.57749227352042</v>
          </cell>
          <cell r="BN72">
            <v>-973.42853150798953</v>
          </cell>
          <cell r="BO72">
            <v>-3160.3058449664941</v>
          </cell>
          <cell r="BP72">
            <v>-1074.7127071018349</v>
          </cell>
          <cell r="BQ72">
            <v>-654.10220314301205</v>
          </cell>
          <cell r="BR72">
            <v>-528.34952827965014</v>
          </cell>
          <cell r="BS72">
            <v>-922.14991390429259</v>
          </cell>
          <cell r="BT72">
            <v>-3179.3143524287898</v>
          </cell>
          <cell r="BU72">
            <v>-1023.8724117190418</v>
          </cell>
          <cell r="BV72">
            <v>-631.27764162640108</v>
          </cell>
          <cell r="BW72">
            <v>-530.90901779006117</v>
          </cell>
          <cell r="BX72">
            <v>-944.7027304680571</v>
          </cell>
          <cell r="BY72">
            <v>-3130.7618016035613</v>
          </cell>
          <cell r="BZ72">
            <v>-987.7097691035558</v>
          </cell>
          <cell r="CA72">
            <v>-581.65976787655734</v>
          </cell>
          <cell r="CB72">
            <v>-455.44968906599632</v>
          </cell>
          <cell r="CC72">
            <v>-823.00777581268892</v>
          </cell>
          <cell r="CD72">
            <v>-2847.8270018587982</v>
          </cell>
        </row>
        <row r="73">
          <cell r="A73" t="str">
            <v>Taxes other than income tax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-277</v>
          </cell>
          <cell r="L73">
            <v>-345</v>
          </cell>
          <cell r="Q73">
            <v>-401</v>
          </cell>
          <cell r="V73">
            <v>-501</v>
          </cell>
          <cell r="AA73">
            <v>-322</v>
          </cell>
          <cell r="AF73">
            <v>-303</v>
          </cell>
          <cell r="AK73">
            <v>-390</v>
          </cell>
          <cell r="AP73">
            <v>-350</v>
          </cell>
          <cell r="AQ73">
            <v>-96.11149377240001</v>
          </cell>
          <cell r="AR73">
            <v>-57.495785701535986</v>
          </cell>
          <cell r="AS73">
            <v>-51.032752164959994</v>
          </cell>
          <cell r="AT73">
            <v>-81.122409257472015</v>
          </cell>
          <cell r="AU73">
            <v>-285.76244089636799</v>
          </cell>
          <cell r="AV73">
            <v>-84.610632400543935</v>
          </cell>
          <cell r="AW73">
            <v>-59.850672352219163</v>
          </cell>
          <cell r="AX73">
            <v>-55.714633986414846</v>
          </cell>
          <cell r="AY73">
            <v>-89.885777599783452</v>
          </cell>
          <cell r="AZ73">
            <v>-290.06171633896139</v>
          </cell>
          <cell r="BA73">
            <v>-93.64454575061005</v>
          </cell>
          <cell r="BB73">
            <v>-60.48352356549038</v>
          </cell>
          <cell r="BC73">
            <v>-49.60242611107342</v>
          </cell>
          <cell r="BD73">
            <v>-76.421376077011516</v>
          </cell>
          <cell r="BE73">
            <v>-280.15187150418535</v>
          </cell>
          <cell r="BF73">
            <v>-79.142929242613405</v>
          </cell>
          <cell r="BG73">
            <v>-53.844354937115732</v>
          </cell>
          <cell r="BH73">
            <v>-48.919303926432171</v>
          </cell>
          <cell r="BI73">
            <v>-78.19917031576945</v>
          </cell>
          <cell r="BJ73">
            <v>-260.10575842193077</v>
          </cell>
          <cell r="BK73">
            <v>-84.388049536282978</v>
          </cell>
          <cell r="BL73">
            <v>-61.773441481319743</v>
          </cell>
          <cell r="BM73">
            <v>-57.940803504284681</v>
          </cell>
          <cell r="BN73">
            <v>-87.093323583727539</v>
          </cell>
          <cell r="BO73">
            <v>-291.19561810561493</v>
          </cell>
          <cell r="BP73">
            <v>-91.099325527486016</v>
          </cell>
          <cell r="BQ73">
            <v>-64.148674371402663</v>
          </cell>
          <cell r="BR73">
            <v>-55.850241641838259</v>
          </cell>
          <cell r="BS73">
            <v>-80.637149191972341</v>
          </cell>
          <cell r="BT73">
            <v>-291.73539073269927</v>
          </cell>
          <cell r="BU73">
            <v>-85.913190199911867</v>
          </cell>
          <cell r="BV73">
            <v>-62.151471092128354</v>
          </cell>
          <cell r="BW73">
            <v>-56.765506127357888</v>
          </cell>
          <cell r="BX73">
            <v>-83.855026586050244</v>
          </cell>
          <cell r="BY73">
            <v>-288.68519400544835</v>
          </cell>
          <cell r="BZ73">
            <v>-83.829308459373422</v>
          </cell>
          <cell r="CA73">
            <v>-57.890250035636321</v>
          </cell>
          <cell r="CB73">
            <v>-49.310888236446367</v>
          </cell>
          <cell r="CC73">
            <v>-71.591963984266485</v>
          </cell>
          <cell r="CD73">
            <v>-262.62241071572259</v>
          </cell>
        </row>
        <row r="74">
          <cell r="A74" t="str">
            <v>Exploration expense</v>
          </cell>
          <cell r="C74">
            <v>-98</v>
          </cell>
          <cell r="D74">
            <v>-177</v>
          </cell>
          <cell r="E74">
            <v>-229</v>
          </cell>
          <cell r="F74">
            <v>-145</v>
          </cell>
          <cell r="G74">
            <v>-213</v>
          </cell>
          <cell r="L74">
            <v>-214</v>
          </cell>
          <cell r="Q74">
            <v>-178</v>
          </cell>
          <cell r="V74">
            <v>-414</v>
          </cell>
          <cell r="AA74">
            <v>-273</v>
          </cell>
          <cell r="AF74">
            <v>-335</v>
          </cell>
          <cell r="AK74">
            <v>-288</v>
          </cell>
          <cell r="AP74">
            <v>-347</v>
          </cell>
          <cell r="AQ74">
            <v>-110.16000000000001</v>
          </cell>
          <cell r="AR74">
            <v>-208.76000000000002</v>
          </cell>
          <cell r="AS74">
            <v>-278.12</v>
          </cell>
          <cell r="AT74">
            <v>-300.22000000000003</v>
          </cell>
          <cell r="AU74">
            <v>-897.26</v>
          </cell>
          <cell r="AV74">
            <v>-157.52370000000002</v>
          </cell>
          <cell r="AW74">
            <v>-157.52370000000002</v>
          </cell>
          <cell r="AX74">
            <v>-157.52370000000002</v>
          </cell>
          <cell r="AY74">
            <v>-157.52370000000002</v>
          </cell>
          <cell r="AZ74">
            <v>-630.09480000000008</v>
          </cell>
          <cell r="BA74">
            <v>-134.46150000000003</v>
          </cell>
          <cell r="BB74">
            <v>-134.46150000000003</v>
          </cell>
          <cell r="BC74">
            <v>-134.46150000000003</v>
          </cell>
          <cell r="BD74">
            <v>-134.46149999999997</v>
          </cell>
          <cell r="BE74">
            <v>-537.84600000000012</v>
          </cell>
          <cell r="BF74">
            <v>-106.65658333333334</v>
          </cell>
          <cell r="BG74">
            <v>-106.65658333333334</v>
          </cell>
          <cell r="BH74">
            <v>-106.65658333333334</v>
          </cell>
          <cell r="BI74">
            <v>-106.65658333333334</v>
          </cell>
          <cell r="BJ74">
            <v>-426.62633333333338</v>
          </cell>
          <cell r="BK74">
            <v>-106.11683333333335</v>
          </cell>
          <cell r="BL74">
            <v>-106.11683333333335</v>
          </cell>
          <cell r="BM74">
            <v>-106.11683333333335</v>
          </cell>
          <cell r="BN74">
            <v>-106.11683333333335</v>
          </cell>
          <cell r="BO74">
            <v>-424.46733333333339</v>
          </cell>
          <cell r="BP74">
            <v>-104.57656250000001</v>
          </cell>
          <cell r="BQ74">
            <v>-104.57656250000001</v>
          </cell>
          <cell r="BR74">
            <v>-104.57656250000001</v>
          </cell>
          <cell r="BS74">
            <v>-104.57656250000001</v>
          </cell>
          <cell r="BT74">
            <v>-418.30625000000003</v>
          </cell>
          <cell r="BU74">
            <v>-105.028125</v>
          </cell>
          <cell r="BV74">
            <v>-105.028125</v>
          </cell>
          <cell r="BW74">
            <v>-105.028125</v>
          </cell>
          <cell r="BX74">
            <v>-105.028125</v>
          </cell>
          <cell r="BY74">
            <v>-420.11250000000001</v>
          </cell>
          <cell r="BZ74">
            <v>-105.028125</v>
          </cell>
          <cell r="CA74">
            <v>-105.028125</v>
          </cell>
          <cell r="CB74">
            <v>-105.028125</v>
          </cell>
          <cell r="CC74">
            <v>-105.028125</v>
          </cell>
          <cell r="CD74">
            <v>-420.11250000000001</v>
          </cell>
        </row>
        <row r="75">
          <cell r="A75" t="str">
            <v>DD&amp;A</v>
          </cell>
          <cell r="C75">
            <v>-1452</v>
          </cell>
          <cell r="D75">
            <v>-2469</v>
          </cell>
          <cell r="E75">
            <v>-3723</v>
          </cell>
          <cell r="F75">
            <v>-3501</v>
          </cell>
          <cell r="G75">
            <v>-3888</v>
          </cell>
          <cell r="L75">
            <v>-3498</v>
          </cell>
          <cell r="Q75">
            <v>-3311</v>
          </cell>
          <cell r="V75">
            <v>-3102</v>
          </cell>
          <cell r="AA75">
            <v>-2730</v>
          </cell>
          <cell r="AF75">
            <v>-2690</v>
          </cell>
          <cell r="AK75">
            <v>-1473</v>
          </cell>
          <cell r="AP75">
            <v>-1531</v>
          </cell>
          <cell r="AQ75">
            <v>-853.0635736607926</v>
          </cell>
          <cell r="AR75">
            <v>-499.58586022576702</v>
          </cell>
          <cell r="AS75">
            <v>-419.72001159817916</v>
          </cell>
          <cell r="AT75">
            <v>-759.06564468046065</v>
          </cell>
          <cell r="AU75">
            <v>-2531.4350901651992</v>
          </cell>
          <cell r="AV75">
            <v>-631.87366973903272</v>
          </cell>
          <cell r="AW75">
            <v>-387.37335617359872</v>
          </cell>
          <cell r="AX75">
            <v>-330.11766250709621</v>
          </cell>
          <cell r="AY75">
            <v>-619.20106748580827</v>
          </cell>
          <cell r="AZ75">
            <v>-1968.5657559055358</v>
          </cell>
          <cell r="BA75">
            <v>-733.55736875110733</v>
          </cell>
          <cell r="BB75">
            <v>-426.42486195317616</v>
          </cell>
          <cell r="BC75">
            <v>-333.11135659185862</v>
          </cell>
          <cell r="BD75">
            <v>-617.1445749476427</v>
          </cell>
          <cell r="BE75">
            <v>-2110.2381622437847</v>
          </cell>
          <cell r="BF75">
            <v>-699.89965719619534</v>
          </cell>
          <cell r="BG75">
            <v>-417.23202780366802</v>
          </cell>
          <cell r="BH75">
            <v>-351.10351599402463</v>
          </cell>
          <cell r="BI75">
            <v>-666.18548738067705</v>
          </cell>
          <cell r="BJ75">
            <v>-2134.4206883745651</v>
          </cell>
          <cell r="BK75">
            <v>-774.33775654381509</v>
          </cell>
          <cell r="BL75">
            <v>-485.13831214880707</v>
          </cell>
          <cell r="BM75">
            <v>-419.68014768617815</v>
          </cell>
          <cell r="BN75">
            <v>-747.43039301877275</v>
          </cell>
          <cell r="BO75">
            <v>-2426.5866093975728</v>
          </cell>
          <cell r="BP75">
            <v>-855.98974886825738</v>
          </cell>
          <cell r="BQ75">
            <v>-520.98088810399327</v>
          </cell>
          <cell r="BR75">
            <v>-420.82109668766174</v>
          </cell>
          <cell r="BS75">
            <v>-734.47617024130466</v>
          </cell>
          <cell r="BT75">
            <v>-2532.2679039012173</v>
          </cell>
          <cell r="BU75">
            <v>-842.93125913577899</v>
          </cell>
          <cell r="BV75">
            <v>-519.71676473535649</v>
          </cell>
          <cell r="BW75">
            <v>-437.08552133067798</v>
          </cell>
          <cell r="BX75">
            <v>-777.75263107779074</v>
          </cell>
          <cell r="BY75">
            <v>-2577.4861762796045</v>
          </cell>
          <cell r="BZ75">
            <v>-837.86627578689331</v>
          </cell>
          <cell r="CA75">
            <v>-493.41731623057757</v>
          </cell>
          <cell r="CB75">
            <v>-386.35431856907724</v>
          </cell>
          <cell r="CC75">
            <v>-698.15089577344713</v>
          </cell>
          <cell r="CD75">
            <v>-2415.7888063599953</v>
          </cell>
        </row>
        <row r="76">
          <cell r="A76" t="str">
            <v>Other income/(cost)</v>
          </cell>
          <cell r="C76">
            <v>-274</v>
          </cell>
          <cell r="D76">
            <v>-428</v>
          </cell>
          <cell r="E76">
            <v>-512</v>
          </cell>
          <cell r="F76">
            <v>-1201</v>
          </cell>
          <cell r="G76">
            <v>-413</v>
          </cell>
          <cell r="L76">
            <v>-781</v>
          </cell>
          <cell r="Q76">
            <v>107</v>
          </cell>
          <cell r="V76">
            <v>-440</v>
          </cell>
          <cell r="AA76">
            <v>-1064</v>
          </cell>
          <cell r="AF76">
            <v>-1144</v>
          </cell>
          <cell r="AK76">
            <v>-1670</v>
          </cell>
          <cell r="AP76">
            <v>-1331</v>
          </cell>
          <cell r="AQ76">
            <v>-300</v>
          </cell>
          <cell r="AR76">
            <v>-300</v>
          </cell>
          <cell r="AS76">
            <v>-300</v>
          </cell>
          <cell r="AT76">
            <v>-300</v>
          </cell>
          <cell r="AU76">
            <v>-1200</v>
          </cell>
          <cell r="AV76">
            <v>-300</v>
          </cell>
          <cell r="AW76">
            <v>-300</v>
          </cell>
          <cell r="AX76">
            <v>-300</v>
          </cell>
          <cell r="AY76">
            <v>-300</v>
          </cell>
          <cell r="AZ76">
            <v>-1200</v>
          </cell>
          <cell r="BA76">
            <v>-300</v>
          </cell>
          <cell r="BB76">
            <v>-300</v>
          </cell>
          <cell r="BC76">
            <v>-300</v>
          </cell>
          <cell r="BD76">
            <v>-300</v>
          </cell>
          <cell r="BE76">
            <v>-1200</v>
          </cell>
          <cell r="BF76">
            <v>-300</v>
          </cell>
          <cell r="BG76">
            <v>-300</v>
          </cell>
          <cell r="BH76">
            <v>-300</v>
          </cell>
          <cell r="BI76">
            <v>-300</v>
          </cell>
          <cell r="BJ76">
            <v>-1200</v>
          </cell>
          <cell r="BK76">
            <v>-300</v>
          </cell>
          <cell r="BL76">
            <v>-300</v>
          </cell>
          <cell r="BM76">
            <v>-300</v>
          </cell>
          <cell r="BN76">
            <v>-300</v>
          </cell>
          <cell r="BO76">
            <v>-1200</v>
          </cell>
          <cell r="BP76">
            <v>-300</v>
          </cell>
          <cell r="BQ76">
            <v>-300</v>
          </cell>
          <cell r="BR76">
            <v>-300</v>
          </cell>
          <cell r="BS76">
            <v>-300</v>
          </cell>
          <cell r="BT76">
            <v>-1200</v>
          </cell>
          <cell r="BU76">
            <v>-300</v>
          </cell>
          <cell r="BV76">
            <v>-300</v>
          </cell>
          <cell r="BW76">
            <v>-300</v>
          </cell>
          <cell r="BX76">
            <v>-300</v>
          </cell>
          <cell r="BY76">
            <v>-1200</v>
          </cell>
          <cell r="BZ76">
            <v>-300</v>
          </cell>
          <cell r="CA76">
            <v>-300</v>
          </cell>
          <cell r="CB76">
            <v>-300</v>
          </cell>
          <cell r="CC76">
            <v>-300</v>
          </cell>
          <cell r="CD76">
            <v>-1200</v>
          </cell>
        </row>
        <row r="77">
          <cell r="A77" t="str">
            <v>Earnings before tax</v>
          </cell>
          <cell r="C77">
            <v>5595</v>
          </cell>
          <cell r="D77">
            <v>5144</v>
          </cell>
          <cell r="E77">
            <v>4909</v>
          </cell>
          <cell r="F77">
            <v>3911</v>
          </cell>
          <cell r="G77">
            <v>6509</v>
          </cell>
          <cell r="L77">
            <v>10095</v>
          </cell>
          <cell r="Q77">
            <v>9188</v>
          </cell>
          <cell r="V77">
            <v>13141</v>
          </cell>
          <cell r="AA77">
            <v>4098</v>
          </cell>
          <cell r="AF77">
            <v>6014</v>
          </cell>
          <cell r="AK77">
            <v>9353</v>
          </cell>
          <cell r="AP77">
            <v>8905</v>
          </cell>
          <cell r="AQ77">
            <v>2515.4765732147034</v>
          </cell>
          <cell r="AR77">
            <v>1263.858067463718</v>
          </cell>
          <cell r="AS77">
            <v>1044.8155317348728</v>
          </cell>
          <cell r="AT77">
            <v>1787.5088906189558</v>
          </cell>
          <cell r="AU77">
            <v>6611.6590630322498</v>
          </cell>
          <cell r="AV77">
            <v>2113.407960906412</v>
          </cell>
          <cell r="AW77">
            <v>1509.6040549606616</v>
          </cell>
          <cell r="AX77">
            <v>1449.6519970189715</v>
          </cell>
          <cell r="AY77">
            <v>2403.4774233407843</v>
          </cell>
          <cell r="AZ77">
            <v>7476.1414362268279</v>
          </cell>
          <cell r="BA77">
            <v>2379.5612511707172</v>
          </cell>
          <cell r="BB77">
            <v>1497.6601675461995</v>
          </cell>
          <cell r="BC77">
            <v>1190.2225381515075</v>
          </cell>
          <cell r="BD77">
            <v>1817.2419294219162</v>
          </cell>
          <cell r="BE77">
            <v>6884.6858862903409</v>
          </cell>
          <cell r="BF77">
            <v>1822.1128690462479</v>
          </cell>
          <cell r="BG77">
            <v>1248.5569046498824</v>
          </cell>
          <cell r="BH77">
            <v>1163.0537354406392</v>
          </cell>
          <cell r="BI77">
            <v>1855.3122951319315</v>
          </cell>
          <cell r="BJ77">
            <v>6089.0358042687021</v>
          </cell>
          <cell r="BK77">
            <v>1946.0880488783241</v>
          </cell>
          <cell r="BL77">
            <v>1503.8154544399363</v>
          </cell>
          <cell r="BM77">
            <v>1466.7248984169171</v>
          </cell>
          <cell r="BN77">
            <v>2140.5970977425541</v>
          </cell>
          <cell r="BO77">
            <v>7057.2254994777304</v>
          </cell>
          <cell r="BP77">
            <v>2128.5879323767226</v>
          </cell>
          <cell r="BQ77">
            <v>1563.6253904517255</v>
          </cell>
          <cell r="BR77">
            <v>1382.9146529827626</v>
          </cell>
          <cell r="BS77">
            <v>1890.0176637610475</v>
          </cell>
          <cell r="BT77">
            <v>6965.1456395722571</v>
          </cell>
          <cell r="BU77">
            <v>1937.9145239408608</v>
          </cell>
          <cell r="BV77">
            <v>1489.3995521525319</v>
          </cell>
          <cell r="BW77">
            <v>1408.4871361197972</v>
          </cell>
          <cell r="BX77">
            <v>1981.4128161706144</v>
          </cell>
          <cell r="BY77">
            <v>6817.2140283838035</v>
          </cell>
          <cell r="BZ77">
            <v>1877.0319446188487</v>
          </cell>
          <cell r="CA77">
            <v>1356.5170426390448</v>
          </cell>
          <cell r="CB77">
            <v>1169.401390950798</v>
          </cell>
          <cell r="CC77">
            <v>1581.8194386429213</v>
          </cell>
          <cell r="CD77">
            <v>5984.7698168516145</v>
          </cell>
        </row>
        <row r="79">
          <cell r="A79" t="str">
            <v>Taxation</v>
          </cell>
          <cell r="C79">
            <v>-2454</v>
          </cell>
          <cell r="D79">
            <v>-2340</v>
          </cell>
          <cell r="E79">
            <v>-1686</v>
          </cell>
          <cell r="F79">
            <v>-2686</v>
          </cell>
          <cell r="G79">
            <v>-3767</v>
          </cell>
          <cell r="L79">
            <v>-6381</v>
          </cell>
          <cell r="Q79">
            <v>-4961</v>
          </cell>
          <cell r="V79">
            <v>-8391</v>
          </cell>
          <cell r="AA79">
            <v>-2886</v>
          </cell>
          <cell r="AF79">
            <v>-2915</v>
          </cell>
          <cell r="AK79">
            <v>-6048</v>
          </cell>
          <cell r="AP79">
            <v>-6327</v>
          </cell>
          <cell r="AQ79">
            <v>-1635.0597725895573</v>
          </cell>
          <cell r="AR79">
            <v>-821.50774385141676</v>
          </cell>
          <cell r="AS79">
            <v>-679.1300956276674</v>
          </cell>
          <cell r="AT79">
            <v>-1161.8807789023213</v>
          </cell>
          <cell r="AU79">
            <v>-4297.5783909709626</v>
          </cell>
          <cell r="AV79">
            <v>-1373.7151745891679</v>
          </cell>
          <cell r="AW79">
            <v>-981.2426357244301</v>
          </cell>
          <cell r="AX79">
            <v>-942.27379806233148</v>
          </cell>
          <cell r="AY79">
            <v>-1562.2603251715097</v>
          </cell>
          <cell r="AZ79">
            <v>-4859.4919335474397</v>
          </cell>
          <cell r="BA79">
            <v>-1546.7148132609664</v>
          </cell>
          <cell r="BB79">
            <v>-973.47910890502976</v>
          </cell>
          <cell r="BC79">
            <v>-773.64464979847992</v>
          </cell>
          <cell r="BD79">
            <v>-1181.2072541242455</v>
          </cell>
          <cell r="BE79">
            <v>-4475.0458260887208</v>
          </cell>
          <cell r="BF79">
            <v>-1184.3733648800612</v>
          </cell>
          <cell r="BG79">
            <v>-811.56198802242363</v>
          </cell>
          <cell r="BH79">
            <v>-755.98492803641557</v>
          </cell>
          <cell r="BI79">
            <v>-1205.9529918357555</v>
          </cell>
          <cell r="BJ79">
            <v>-3957.8732727746556</v>
          </cell>
          <cell r="BK79">
            <v>-1264.9572317709108</v>
          </cell>
          <cell r="BL79">
            <v>-977.48004538595865</v>
          </cell>
          <cell r="BM79">
            <v>-953.37118397099619</v>
          </cell>
          <cell r="BN79">
            <v>-1391.3881135326601</v>
          </cell>
          <cell r="BO79">
            <v>-4587.1965746605256</v>
          </cell>
          <cell r="BP79">
            <v>-1383.5821560448699</v>
          </cell>
          <cell r="BQ79">
            <v>-1016.3565037936216</v>
          </cell>
          <cell r="BR79">
            <v>-898.89452443879577</v>
          </cell>
          <cell r="BS79">
            <v>-1228.5114814446808</v>
          </cell>
          <cell r="BT79">
            <v>-4527.3446657219683</v>
          </cell>
          <cell r="BU79">
            <v>-1259.6444405615596</v>
          </cell>
          <cell r="BV79">
            <v>-968.10970889914574</v>
          </cell>
          <cell r="BW79">
            <v>-915.51663847786824</v>
          </cell>
          <cell r="BX79">
            <v>-1287.9183305108993</v>
          </cell>
          <cell r="BY79">
            <v>-4431.1891184494725</v>
          </cell>
          <cell r="BZ79">
            <v>-1220.0707640022517</v>
          </cell>
          <cell r="CA79">
            <v>-881.73607771537911</v>
          </cell>
          <cell r="CB79">
            <v>-760.11090411801877</v>
          </cell>
          <cell r="CC79">
            <v>-1028.1826351178988</v>
          </cell>
          <cell r="CD79">
            <v>-3890.1003809535487</v>
          </cell>
        </row>
        <row r="80">
          <cell r="A80" t="str">
            <v>Earnings after tax</v>
          </cell>
          <cell r="C80">
            <v>3141</v>
          </cell>
          <cell r="D80">
            <v>2804</v>
          </cell>
          <cell r="E80">
            <v>3223</v>
          </cell>
          <cell r="F80">
            <v>1225</v>
          </cell>
          <cell r="G80">
            <v>2742</v>
          </cell>
          <cell r="L80">
            <v>3714</v>
          </cell>
          <cell r="Q80">
            <v>4227</v>
          </cell>
          <cell r="V80">
            <v>4750</v>
          </cell>
          <cell r="AA80">
            <v>1212</v>
          </cell>
          <cell r="AF80">
            <v>3099</v>
          </cell>
          <cell r="AK80">
            <v>3305</v>
          </cell>
          <cell r="AP80">
            <v>2578</v>
          </cell>
          <cell r="AQ80">
            <v>880.41680062514615</v>
          </cell>
          <cell r="AR80">
            <v>442.35032361230128</v>
          </cell>
          <cell r="AS80">
            <v>365.68543610720542</v>
          </cell>
          <cell r="AT80">
            <v>625.62811171663452</v>
          </cell>
          <cell r="AU80">
            <v>2314.0806720612873</v>
          </cell>
          <cell r="AV80">
            <v>739.6927863172441</v>
          </cell>
          <cell r="AW80">
            <v>528.36141923623154</v>
          </cell>
          <cell r="AX80">
            <v>507.37819895664006</v>
          </cell>
          <cell r="AY80">
            <v>841.21709816927455</v>
          </cell>
          <cell r="AZ80">
            <v>2616.6495026793882</v>
          </cell>
          <cell r="BA80">
            <v>832.84643790975088</v>
          </cell>
          <cell r="BB80">
            <v>524.18105864116978</v>
          </cell>
          <cell r="BC80">
            <v>416.57788835302756</v>
          </cell>
          <cell r="BD80">
            <v>636.03467529767067</v>
          </cell>
          <cell r="BE80">
            <v>2409.6400602016201</v>
          </cell>
          <cell r="BF80">
            <v>637.73950416618663</v>
          </cell>
          <cell r="BG80">
            <v>436.99491662745879</v>
          </cell>
          <cell r="BH80">
            <v>407.06880740422366</v>
          </cell>
          <cell r="BI80">
            <v>649.35930329617599</v>
          </cell>
          <cell r="BJ80">
            <v>2131.1625314940466</v>
          </cell>
          <cell r="BK80">
            <v>681.13081710741335</v>
          </cell>
          <cell r="BL80">
            <v>526.33540905397763</v>
          </cell>
          <cell r="BM80">
            <v>513.3537144459209</v>
          </cell>
          <cell r="BN80">
            <v>749.20898420989397</v>
          </cell>
          <cell r="BO80">
            <v>2470.0289248172048</v>
          </cell>
          <cell r="BP80">
            <v>745.00577633185276</v>
          </cell>
          <cell r="BQ80">
            <v>547.26888665810384</v>
          </cell>
          <cell r="BR80">
            <v>484.02012854396685</v>
          </cell>
          <cell r="BS80">
            <v>661.50618231636668</v>
          </cell>
          <cell r="BT80">
            <v>2437.8009738502888</v>
          </cell>
          <cell r="BU80">
            <v>678.27008337930124</v>
          </cell>
          <cell r="BV80">
            <v>521.28984325338615</v>
          </cell>
          <cell r="BW80">
            <v>492.970497641929</v>
          </cell>
          <cell r="BX80">
            <v>693.49448565971511</v>
          </cell>
          <cell r="BY80">
            <v>2386.0249099343309</v>
          </cell>
          <cell r="BZ80">
            <v>656.96118061659695</v>
          </cell>
          <cell r="CA80">
            <v>474.78096492366569</v>
          </cell>
          <cell r="CB80">
            <v>409.29048683277927</v>
          </cell>
          <cell r="CC80">
            <v>553.63680352502251</v>
          </cell>
          <cell r="CD80">
            <v>2094.6694358980658</v>
          </cell>
        </row>
        <row r="82">
          <cell r="A82" t="str">
            <v>Earnings from discontinued operations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L82">
            <v>0</v>
          </cell>
          <cell r="Q82">
            <v>0</v>
          </cell>
          <cell r="V82">
            <v>0</v>
          </cell>
          <cell r="AA82">
            <v>0</v>
          </cell>
          <cell r="AF82">
            <v>0</v>
          </cell>
          <cell r="AK82">
            <v>0</v>
          </cell>
          <cell r="AP82">
            <v>0</v>
          </cell>
        </row>
        <row r="83">
          <cell r="A83" t="str">
            <v>Earnings from operations</v>
          </cell>
          <cell r="C83">
            <v>3141</v>
          </cell>
          <cell r="D83">
            <v>2804</v>
          </cell>
          <cell r="E83">
            <v>3223</v>
          </cell>
          <cell r="F83">
            <v>1225</v>
          </cell>
          <cell r="G83">
            <v>2742</v>
          </cell>
          <cell r="L83">
            <v>3714</v>
          </cell>
          <cell r="Q83">
            <v>4227</v>
          </cell>
          <cell r="V83">
            <v>4750</v>
          </cell>
          <cell r="AA83">
            <v>1212</v>
          </cell>
          <cell r="AF83">
            <v>3099</v>
          </cell>
          <cell r="AK83">
            <v>3305</v>
          </cell>
          <cell r="AP83">
            <v>2578</v>
          </cell>
          <cell r="AU83">
            <v>2314.0806720612873</v>
          </cell>
          <cell r="AZ83">
            <v>2616.6495026793882</v>
          </cell>
          <cell r="BE83">
            <v>2409.6400602016201</v>
          </cell>
          <cell r="BJ83">
            <v>2131.1625314940466</v>
          </cell>
          <cell r="BO83">
            <v>2470.0289248172048</v>
          </cell>
          <cell r="BT83">
            <v>2437.8009738502888</v>
          </cell>
          <cell r="BY83">
            <v>2386.0249099343309</v>
          </cell>
          <cell r="CD83">
            <v>2094.6694358980658</v>
          </cell>
        </row>
        <row r="85">
          <cell r="A85" t="str">
            <v>Production</v>
          </cell>
        </row>
        <row r="86">
          <cell r="B86" t="str">
            <v>Oil and NGL (kbbl/d)</v>
          </cell>
          <cell r="C86">
            <v>537</v>
          </cell>
          <cell r="D86">
            <v>687</v>
          </cell>
          <cell r="E86">
            <v>663</v>
          </cell>
          <cell r="F86">
            <v>572</v>
          </cell>
          <cell r="G86">
            <v>534</v>
          </cell>
          <cell r="L86">
            <v>490</v>
          </cell>
          <cell r="Q86">
            <v>417</v>
          </cell>
          <cell r="V86">
            <v>370</v>
          </cell>
          <cell r="AA86">
            <v>312</v>
          </cell>
          <cell r="AF86">
            <v>280</v>
          </cell>
          <cell r="AK86">
            <v>234</v>
          </cell>
          <cell r="AP86">
            <v>215</v>
          </cell>
          <cell r="AQ86">
            <v>190</v>
          </cell>
          <cell r="AR86">
            <v>175</v>
          </cell>
          <cell r="AS86">
            <v>161</v>
          </cell>
          <cell r="AT86">
            <v>165</v>
          </cell>
          <cell r="AU86">
            <v>172.75</v>
          </cell>
          <cell r="AV86">
            <v>153.10426710170387</v>
          </cell>
          <cell r="AW86">
            <v>180.02881944102595</v>
          </cell>
          <cell r="AX86">
            <v>201.95337178034811</v>
          </cell>
          <cell r="AY86">
            <v>223.87792411967018</v>
          </cell>
          <cell r="AZ86">
            <v>189.74109561068704</v>
          </cell>
          <cell r="BA86">
            <v>222.58904485348151</v>
          </cell>
          <cell r="BB86">
            <v>206.30016558729287</v>
          </cell>
          <cell r="BC86">
            <v>190.01128632110419</v>
          </cell>
          <cell r="BD86">
            <v>173.72240705491549</v>
          </cell>
          <cell r="BE86">
            <v>198.15572595419852</v>
          </cell>
          <cell r="BF86">
            <v>192.83621018714777</v>
          </cell>
          <cell r="BG86">
            <v>206.95001331938005</v>
          </cell>
          <cell r="BH86">
            <v>221.06381645161233</v>
          </cell>
          <cell r="BI86">
            <v>235.1776195838446</v>
          </cell>
          <cell r="BJ86">
            <v>214.00691488549617</v>
          </cell>
          <cell r="BK86">
            <v>248.40010793351286</v>
          </cell>
          <cell r="BL86">
            <v>261.62259628318111</v>
          </cell>
          <cell r="BM86">
            <v>274.84508463284942</v>
          </cell>
          <cell r="BN86">
            <v>288.06757298251767</v>
          </cell>
          <cell r="BO86">
            <v>268.23384045801527</v>
          </cell>
          <cell r="BP86">
            <v>277.93487745363274</v>
          </cell>
          <cell r="BQ86">
            <v>267.80218192474774</v>
          </cell>
          <cell r="BR86">
            <v>257.6694863958628</v>
          </cell>
          <cell r="BS86">
            <v>247.53679086697784</v>
          </cell>
          <cell r="BT86">
            <v>262.73583416030527</v>
          </cell>
          <cell r="BU86">
            <v>251.75735833698059</v>
          </cell>
          <cell r="BV86">
            <v>255.97792580698342</v>
          </cell>
          <cell r="BW86">
            <v>260.19849327698614</v>
          </cell>
          <cell r="BX86">
            <v>264.41906074698892</v>
          </cell>
          <cell r="BY86">
            <v>258.08820954198478</v>
          </cell>
          <cell r="BZ86">
            <v>251.15468415811699</v>
          </cell>
          <cell r="CA86">
            <v>237.89030756924512</v>
          </cell>
          <cell r="CB86">
            <v>224.62593098037323</v>
          </cell>
          <cell r="CC86">
            <v>211.36155439150133</v>
          </cell>
          <cell r="CD86">
            <v>231.25811927480919</v>
          </cell>
        </row>
        <row r="87">
          <cell r="B87" t="str">
            <v>Natural gas (mmcf/d)</v>
          </cell>
          <cell r="C87">
            <v>2109</v>
          </cell>
          <cell r="D87">
            <v>2118</v>
          </cell>
          <cell r="E87">
            <v>2042</v>
          </cell>
          <cell r="F87">
            <v>2054</v>
          </cell>
          <cell r="G87">
            <v>2086</v>
          </cell>
          <cell r="L87">
            <v>1975</v>
          </cell>
          <cell r="Q87">
            <v>1813</v>
          </cell>
          <cell r="V87">
            <v>1938</v>
          </cell>
          <cell r="AA87">
            <v>1831</v>
          </cell>
          <cell r="AF87">
            <v>1817</v>
          </cell>
          <cell r="AK87">
            <v>1571</v>
          </cell>
          <cell r="AP87">
            <v>1503</v>
          </cell>
          <cell r="AQ87">
            <v>2923.2020000000002</v>
          </cell>
          <cell r="AR87">
            <v>1316.404</v>
          </cell>
          <cell r="AS87">
            <v>1003.606</v>
          </cell>
          <cell r="AT87">
            <v>2546.808</v>
          </cell>
          <cell r="AU87">
            <v>1942.0050000000001</v>
          </cell>
          <cell r="AV87">
            <v>2996.3975489676204</v>
          </cell>
          <cell r="AW87">
            <v>1311.0166569961434</v>
          </cell>
          <cell r="AX87">
            <v>813.930420202086</v>
          </cell>
          <cell r="AY87">
            <v>2425.2563768875862</v>
          </cell>
          <cell r="AZ87">
            <v>1886.6502507633591</v>
          </cell>
          <cell r="BA87">
            <v>2891.977192183841</v>
          </cell>
          <cell r="BB87">
            <v>1208.3575655382115</v>
          </cell>
          <cell r="BC87">
            <v>756.15502130974346</v>
          </cell>
          <cell r="BD87">
            <v>2435.0746820369059</v>
          </cell>
          <cell r="BE87">
            <v>1822.8911152671753</v>
          </cell>
          <cell r="BF87">
            <v>2603.1590014984631</v>
          </cell>
          <cell r="BG87">
            <v>993.87734197948066</v>
          </cell>
          <cell r="BH87">
            <v>544.18329868663409</v>
          </cell>
          <cell r="BI87">
            <v>2101.3015311178642</v>
          </cell>
          <cell r="BJ87">
            <v>1560.6302933206105</v>
          </cell>
          <cell r="BK87">
            <v>2416.2950591066829</v>
          </cell>
          <cell r="BL87">
            <v>872.53257969558672</v>
          </cell>
          <cell r="BM87">
            <v>450.90211103204797</v>
          </cell>
          <cell r="BN87">
            <v>1971.262279936675</v>
          </cell>
          <cell r="BO87">
            <v>1427.7480074427478</v>
          </cell>
          <cell r="BP87">
            <v>2398.0866411208772</v>
          </cell>
          <cell r="BQ87">
            <v>860.59865738109875</v>
          </cell>
          <cell r="BR87">
            <v>434.10645310619793</v>
          </cell>
          <cell r="BS87">
            <v>1930.3322369414454</v>
          </cell>
          <cell r="BT87">
            <v>1405.7809971374045</v>
          </cell>
          <cell r="BU87">
            <v>2267.0336200568909</v>
          </cell>
          <cell r="BV87">
            <v>788.12920763077227</v>
          </cell>
          <cell r="BW87">
            <v>381.51426259729851</v>
          </cell>
          <cell r="BX87">
            <v>1830.6311623867932</v>
          </cell>
          <cell r="BY87">
            <v>1316.8270631679388</v>
          </cell>
          <cell r="BZ87">
            <v>2051.1882937763876</v>
          </cell>
          <cell r="CA87">
            <v>663.32009992776784</v>
          </cell>
          <cell r="CB87">
            <v>279.55091971358388</v>
          </cell>
          <cell r="CC87">
            <v>1633.5014239868401</v>
          </cell>
          <cell r="CD87">
            <v>1156.8901843511453</v>
          </cell>
        </row>
        <row r="88">
          <cell r="B88" t="str">
            <v>Total</v>
          </cell>
          <cell r="C88">
            <v>900.62068965517244</v>
          </cell>
          <cell r="D88">
            <v>1052.1724137931035</v>
          </cell>
          <cell r="E88">
            <v>1015.0689655172414</v>
          </cell>
          <cell r="F88">
            <v>926.13793103448279</v>
          </cell>
          <cell r="G88">
            <v>893.65517241379314</v>
          </cell>
          <cell r="L88">
            <v>830.51724137931035</v>
          </cell>
          <cell r="Q88">
            <v>729.58620689655174</v>
          </cell>
          <cell r="V88">
            <v>704.13793103448279</v>
          </cell>
          <cell r="AA88">
            <v>627.68965517241372</v>
          </cell>
          <cell r="AF88">
            <v>593.27586206896558</v>
          </cell>
          <cell r="AK88">
            <v>504.86206896551727</v>
          </cell>
          <cell r="AP88">
            <v>474.13793103448279</v>
          </cell>
          <cell r="AQ88">
            <v>694.00034482758633</v>
          </cell>
          <cell r="AR88">
            <v>401.96620689655174</v>
          </cell>
          <cell r="AS88">
            <v>334.03551724137935</v>
          </cell>
          <cell r="AT88">
            <v>604.10482758620697</v>
          </cell>
          <cell r="AU88">
            <v>507.57844827586212</v>
          </cell>
          <cell r="AV88">
            <v>669.72453416508665</v>
          </cell>
          <cell r="AW88">
            <v>406.06617409553343</v>
          </cell>
          <cell r="AX88">
            <v>342.28620284967326</v>
          </cell>
          <cell r="AY88">
            <v>642.02557530718514</v>
          </cell>
          <cell r="AZ88">
            <v>515.02562160436969</v>
          </cell>
          <cell r="BA88">
            <v>721.20580212655761</v>
          </cell>
          <cell r="BB88">
            <v>414.63767688698454</v>
          </cell>
          <cell r="BC88">
            <v>320.38284171933583</v>
          </cell>
          <cell r="BD88">
            <v>593.56286947507169</v>
          </cell>
          <cell r="BE88">
            <v>512.44729755198739</v>
          </cell>
          <cell r="BF88">
            <v>641.65672768688285</v>
          </cell>
          <cell r="BG88">
            <v>378.30817572963531</v>
          </cell>
          <cell r="BH88">
            <v>314.88852312172162</v>
          </cell>
          <cell r="BI88">
            <v>597.47098701795915</v>
          </cell>
          <cell r="BJ88">
            <v>483.08110338904976</v>
          </cell>
          <cell r="BK88">
            <v>665.00270433121682</v>
          </cell>
          <cell r="BL88">
            <v>412.05924795483401</v>
          </cell>
          <cell r="BM88">
            <v>352.58682791423701</v>
          </cell>
          <cell r="BN88">
            <v>627.94037986815124</v>
          </cell>
          <cell r="BO88">
            <v>514.39729001710975</v>
          </cell>
          <cell r="BP88">
            <v>691.39809143999082</v>
          </cell>
          <cell r="BQ88">
            <v>416.18126078355789</v>
          </cell>
          <cell r="BR88">
            <v>332.51542658658661</v>
          </cell>
          <cell r="BS88">
            <v>580.35269378791668</v>
          </cell>
          <cell r="BT88">
            <v>505.11186814951293</v>
          </cell>
          <cell r="BU88">
            <v>642.62522386403077</v>
          </cell>
          <cell r="BV88">
            <v>391.86227195022002</v>
          </cell>
          <cell r="BW88">
            <v>325.97681441445138</v>
          </cell>
          <cell r="BX88">
            <v>580.04512322747053</v>
          </cell>
          <cell r="BY88">
            <v>485.12735836404318</v>
          </cell>
          <cell r="BZ88">
            <v>604.80783825749415</v>
          </cell>
          <cell r="CA88">
            <v>352.25584203954992</v>
          </cell>
          <cell r="CB88">
            <v>272.82436541374977</v>
          </cell>
          <cell r="CC88">
            <v>492.99973094095651</v>
          </cell>
          <cell r="CD88">
            <v>430.72194416293769</v>
          </cell>
        </row>
        <row r="90">
          <cell r="A90" t="str">
            <v>Realise price</v>
          </cell>
        </row>
        <row r="91">
          <cell r="B91" t="str">
            <v>Oil and NGL ($/bbl)</v>
          </cell>
          <cell r="G91">
            <v>49.61</v>
          </cell>
          <cell r="L91">
            <v>59.28</v>
          </cell>
          <cell r="Q91">
            <v>68.45</v>
          </cell>
          <cell r="V91">
            <v>89.28</v>
          </cell>
          <cell r="AA91">
            <v>55.53</v>
          </cell>
          <cell r="AF91">
            <v>73.489999999999995</v>
          </cell>
          <cell r="AK91">
            <v>106.71</v>
          </cell>
          <cell r="AP91">
            <v>108.06</v>
          </cell>
          <cell r="AQ91">
            <v>108.96</v>
          </cell>
          <cell r="AR91">
            <v>98.69</v>
          </cell>
          <cell r="AS91">
            <v>105.48</v>
          </cell>
          <cell r="AT91">
            <v>106.06</v>
          </cell>
          <cell r="AU91">
            <v>105.06</v>
          </cell>
          <cell r="AV91">
            <v>103.28983859732796</v>
          </cell>
          <cell r="AW91">
            <v>103.28983859732796</v>
          </cell>
          <cell r="AX91">
            <v>103.28983859732796</v>
          </cell>
          <cell r="AY91">
            <v>103.28983859732796</v>
          </cell>
          <cell r="AZ91">
            <v>103.28983859732796</v>
          </cell>
          <cell r="BA91">
            <v>97.487701067765244</v>
          </cell>
          <cell r="BB91">
            <v>97.487701067765244</v>
          </cell>
          <cell r="BC91">
            <v>97.487701067765244</v>
          </cell>
          <cell r="BD91">
            <v>97.487701067765244</v>
          </cell>
          <cell r="BE91">
            <v>97.487701067765244</v>
          </cell>
          <cell r="BF91">
            <v>91.773771710104668</v>
          </cell>
          <cell r="BG91">
            <v>91.773771710104668</v>
          </cell>
          <cell r="BH91">
            <v>91.773771710104668</v>
          </cell>
          <cell r="BI91">
            <v>91.773771710104668</v>
          </cell>
          <cell r="BJ91">
            <v>91.773771710104668</v>
          </cell>
          <cell r="BK91">
            <v>92.362764632177658</v>
          </cell>
          <cell r="BL91">
            <v>92.955404743508183</v>
          </cell>
          <cell r="BM91">
            <v>93.551714628390528</v>
          </cell>
          <cell r="BN91">
            <v>94.151717010966465</v>
          </cell>
          <cell r="BO91">
            <v>93.255400253760712</v>
          </cell>
          <cell r="BP91">
            <v>94.755434756091276</v>
          </cell>
          <cell r="BQ91">
            <v>95.362890870205064</v>
          </cell>
          <cell r="BR91">
            <v>95.974108502209447</v>
          </cell>
          <cell r="BS91">
            <v>96.589110944349784</v>
          </cell>
          <cell r="BT91">
            <v>95.670386268213889</v>
          </cell>
          <cell r="BU91">
            <v>97.207921633102714</v>
          </cell>
          <cell r="BV91">
            <v>97.83056415006935</v>
          </cell>
          <cell r="BW91">
            <v>98.457062222873844</v>
          </cell>
          <cell r="BX91">
            <v>99.087439726067686</v>
          </cell>
          <cell r="BY91">
            <v>98.145746933028391</v>
          </cell>
          <cell r="BZ91">
            <v>99.721720682039447</v>
          </cell>
          <cell r="CA91">
            <v>100.35992926193023</v>
          </cell>
          <cell r="CB91">
            <v>101.00208978655485</v>
          </cell>
          <cell r="CC91">
            <v>101.64822672732852</v>
          </cell>
          <cell r="CD91">
            <v>100.68299161446326</v>
          </cell>
        </row>
        <row r="92">
          <cell r="B92" t="str">
            <v>Natural gas ($/mmcf)</v>
          </cell>
          <cell r="G92">
            <v>4.99</v>
          </cell>
          <cell r="L92">
            <v>6.94</v>
          </cell>
          <cell r="Q92">
            <v>7.24</v>
          </cell>
          <cell r="V92">
            <v>9.4600000000000009</v>
          </cell>
          <cell r="AA92">
            <v>7.53</v>
          </cell>
          <cell r="AF92">
            <v>6.85</v>
          </cell>
          <cell r="AK92">
            <v>8.98</v>
          </cell>
          <cell r="AP92">
            <v>9.56</v>
          </cell>
          <cell r="AQ92">
            <v>10.15</v>
          </cell>
          <cell r="AR92">
            <v>9.52</v>
          </cell>
          <cell r="AS92">
            <v>9.15</v>
          </cell>
          <cell r="AT92">
            <v>9.4600000000000009</v>
          </cell>
          <cell r="AU92">
            <v>9.65</v>
          </cell>
          <cell r="AV92">
            <v>9.5217939791784509</v>
          </cell>
          <cell r="AW92">
            <v>9.4799885304206502</v>
          </cell>
          <cell r="AX92">
            <v>9.4676598458003873</v>
          </cell>
          <cell r="AY92">
            <v>9.4676598458003873</v>
          </cell>
          <cell r="AZ92">
            <v>9.4842755502999694</v>
          </cell>
          <cell r="BA92">
            <v>9.4676598458003873</v>
          </cell>
          <cell r="BB92">
            <v>9.3017829981823059</v>
          </cell>
          <cell r="BC92">
            <v>9.1359061505642245</v>
          </cell>
          <cell r="BD92">
            <v>9.1359061505642245</v>
          </cell>
          <cell r="BE92">
            <v>9.260313786277786</v>
          </cell>
          <cell r="BF92">
            <v>9.1359061505642245</v>
          </cell>
          <cell r="BG92">
            <v>8.9725510793457417</v>
          </cell>
          <cell r="BH92">
            <v>8.8091960081272589</v>
          </cell>
          <cell r="BI92">
            <v>8.8091960081272589</v>
          </cell>
          <cell r="BJ92">
            <v>8.931712311541121</v>
          </cell>
          <cell r="BK92">
            <v>8.8091960081272589</v>
          </cell>
          <cell r="BL92">
            <v>8.8260346798555709</v>
          </cell>
          <cell r="BM92">
            <v>8.8598162925153368</v>
          </cell>
          <cell r="BN92">
            <v>8.8938070892419674</v>
          </cell>
          <cell r="BO92">
            <v>8.8472135174350335</v>
          </cell>
          <cell r="BP92">
            <v>8.9280083653547315</v>
          </cell>
          <cell r="BQ92">
            <v>8.9624214241938382</v>
          </cell>
          <cell r="BR92">
            <v>8.9970475771700968</v>
          </cell>
          <cell r="BS92">
            <v>9.0318881438148928</v>
          </cell>
          <cell r="BT92">
            <v>8.9798413776333899</v>
          </cell>
          <cell r="BU92">
            <v>9.06694445183048</v>
          </cell>
          <cell r="BV92">
            <v>9.1022178371405644</v>
          </cell>
          <cell r="BW92">
            <v>9.1377096439412284</v>
          </cell>
          <cell r="BX92">
            <v>9.1734212247521434</v>
          </cell>
          <cell r="BY92">
            <v>9.120073289416105</v>
          </cell>
          <cell r="BZ92">
            <v>9.2093539404681195</v>
          </cell>
          <cell r="CA92">
            <v>9.2455091604109558</v>
          </cell>
          <cell r="CB92">
            <v>9.281888262381635</v>
          </cell>
          <cell r="CC92">
            <v>9.3184926327128252</v>
          </cell>
          <cell r="CD92">
            <v>9.2638109989933834</v>
          </cell>
        </row>
        <row r="94">
          <cell r="A94" t="str">
            <v>Production x price</v>
          </cell>
          <cell r="G94">
            <v>13468.821199999998</v>
          </cell>
          <cell r="L94">
            <v>15605.100499999999</v>
          </cell>
          <cell r="Q94">
            <v>15209.466050000001</v>
          </cell>
          <cell r="V94">
            <v>18748.984199999999</v>
          </cell>
          <cell r="AA94">
            <v>11356.16835</v>
          </cell>
          <cell r="AF94">
            <v>12053.632249999999</v>
          </cell>
          <cell r="AK94">
            <v>14263.3678</v>
          </cell>
          <cell r="AP94">
            <v>13724.576700000001</v>
          </cell>
          <cell r="AQ94">
            <v>4533.5610269999997</v>
          </cell>
          <cell r="AR94">
            <v>2712.0653632799995</v>
          </cell>
          <cell r="AS94">
            <v>2407.2052907999996</v>
          </cell>
          <cell r="AT94">
            <v>3826.5287385600004</v>
          </cell>
          <cell r="AU94">
            <v>13479.360419639999</v>
          </cell>
          <cell r="AV94">
            <v>3991.0675660633924</v>
          </cell>
          <cell r="AW94">
            <v>2823.1449222744886</v>
          </cell>
          <cell r="AX94">
            <v>2628.0487729440965</v>
          </cell>
          <cell r="AY94">
            <v>4239.895169801106</v>
          </cell>
          <cell r="AZ94">
            <v>13682.156431083084</v>
          </cell>
          <cell r="BA94">
            <v>4417.1955542740588</v>
          </cell>
          <cell r="BB94">
            <v>2852.9963945986024</v>
          </cell>
          <cell r="BC94">
            <v>2339.7370807110101</v>
          </cell>
          <cell r="BD94">
            <v>3604.7818904250717</v>
          </cell>
          <cell r="BE94">
            <v>13214.710920008743</v>
          </cell>
          <cell r="BF94">
            <v>3733.157039745915</v>
          </cell>
          <cell r="BG94">
            <v>2539.8280630714967</v>
          </cell>
          <cell r="BH94">
            <v>2307.5143361524606</v>
          </cell>
          <cell r="BI94">
            <v>3688.6401092344081</v>
          </cell>
          <cell r="BJ94">
            <v>12269.139548204281</v>
          </cell>
          <cell r="BK94">
            <v>3980.5683743529707</v>
          </cell>
          <cell r="BL94">
            <v>2913.8415793075346</v>
          </cell>
          <cell r="BM94">
            <v>2733.0567690700318</v>
          </cell>
          <cell r="BN94">
            <v>4108.1756407418652</v>
          </cell>
          <cell r="BO94">
            <v>13735.642363472401</v>
          </cell>
          <cell r="BP94">
            <v>4297.1379965795286</v>
          </cell>
          <cell r="BQ94">
            <v>3025.8808665755973</v>
          </cell>
          <cell r="BR94">
            <v>2634.4453604640685</v>
          </cell>
          <cell r="BS94">
            <v>3803.6391128288838</v>
          </cell>
          <cell r="BT94">
            <v>13761.103336448077</v>
          </cell>
          <cell r="BU94">
            <v>4052.5089716939551</v>
          </cell>
          <cell r="BV94">
            <v>2931.6731647230354</v>
          </cell>
          <cell r="BW94">
            <v>2677.6182135546169</v>
          </cell>
          <cell r="BX94">
            <v>3955.42578236086</v>
          </cell>
          <cell r="BY94">
            <v>13617.226132332467</v>
          </cell>
          <cell r="BZ94">
            <v>3954.2126631779911</v>
          </cell>
          <cell r="CA94">
            <v>2730.6721714922792</v>
          </cell>
          <cell r="CB94">
            <v>2325.9852941719982</v>
          </cell>
          <cell r="CC94">
            <v>3376.9794332201168</v>
          </cell>
          <cell r="CD94">
            <v>12387.849562062385</v>
          </cell>
        </row>
        <row r="95">
          <cell r="A95" t="str">
            <v>Difference with actual</v>
          </cell>
          <cell r="G95">
            <v>-1.4910079881378047E-2</v>
          </cell>
          <cell r="L95">
            <v>0.10374169009677336</v>
          </cell>
          <cell r="Q95">
            <v>1.2790320801564281E-2</v>
          </cell>
          <cell r="V95">
            <v>6.5711069296223501E-2</v>
          </cell>
          <cell r="AA95">
            <v>-1.2342926388547282E-2</v>
          </cell>
          <cell r="AF95">
            <v>5.1301361877868823E-2</v>
          </cell>
          <cell r="AK95">
            <v>8.0880772071235452E-2</v>
          </cell>
          <cell r="AP95">
            <v>9.1472642649882197E-2</v>
          </cell>
          <cell r="AQ95">
            <v>0.06</v>
          </cell>
          <cell r="AR95">
            <v>0.06</v>
          </cell>
          <cell r="AS95">
            <v>0.06</v>
          </cell>
          <cell r="AT95">
            <v>0.06</v>
          </cell>
          <cell r="AU95">
            <v>0.06</v>
          </cell>
          <cell r="AV95">
            <v>0.06</v>
          </cell>
          <cell r="AW95">
            <v>0.06</v>
          </cell>
          <cell r="AX95">
            <v>0.06</v>
          </cell>
          <cell r="AY95">
            <v>0.06</v>
          </cell>
          <cell r="AZ95">
            <v>0.06</v>
          </cell>
          <cell r="BA95">
            <v>0.06</v>
          </cell>
          <cell r="BB95">
            <v>0.06</v>
          </cell>
          <cell r="BC95">
            <v>0.06</v>
          </cell>
          <cell r="BD95">
            <v>0.06</v>
          </cell>
          <cell r="BE95">
            <v>0.06</v>
          </cell>
          <cell r="BF95">
            <v>0.06</v>
          </cell>
          <cell r="BG95">
            <v>0.06</v>
          </cell>
          <cell r="BH95">
            <v>0.06</v>
          </cell>
          <cell r="BI95">
            <v>0.06</v>
          </cell>
          <cell r="BJ95">
            <v>0.06</v>
          </cell>
          <cell r="BK95">
            <v>0.06</v>
          </cell>
          <cell r="BL95">
            <v>0.06</v>
          </cell>
          <cell r="BM95">
            <v>0.06</v>
          </cell>
          <cell r="BN95">
            <v>0.06</v>
          </cell>
          <cell r="BO95">
            <v>0.06</v>
          </cell>
          <cell r="BP95">
            <v>0.06</v>
          </cell>
          <cell r="BQ95">
            <v>0.06</v>
          </cell>
          <cell r="BR95">
            <v>0.06</v>
          </cell>
          <cell r="BS95">
            <v>0.06</v>
          </cell>
          <cell r="BT95">
            <v>0.06</v>
          </cell>
          <cell r="BU95">
            <v>0.06</v>
          </cell>
          <cell r="BV95">
            <v>0.06</v>
          </cell>
          <cell r="BW95">
            <v>0.06</v>
          </cell>
          <cell r="BX95">
            <v>0.06</v>
          </cell>
          <cell r="BY95">
            <v>0.06</v>
          </cell>
          <cell r="BZ95">
            <v>0.06</v>
          </cell>
          <cell r="CA95">
            <v>0.06</v>
          </cell>
          <cell r="CB95">
            <v>0.06</v>
          </cell>
          <cell r="CC95">
            <v>0.06</v>
          </cell>
          <cell r="CD95">
            <v>0.06</v>
          </cell>
        </row>
        <row r="97">
          <cell r="A97" t="str">
            <v>Per barrel of oil equivalent</v>
          </cell>
        </row>
        <row r="98">
          <cell r="B98" t="str">
            <v>Production cost excluding taxes</v>
          </cell>
          <cell r="C98">
            <v>3.8786036397508883</v>
          </cell>
          <cell r="D98">
            <v>4.7546767625207131</v>
          </cell>
          <cell r="E98">
            <v>5.0904159847289385</v>
          </cell>
          <cell r="F98">
            <v>5.3218499730189315</v>
          </cell>
          <cell r="G98">
            <v>6.033401907532661</v>
          </cell>
          <cell r="L98">
            <v>7.5575942509548089</v>
          </cell>
          <cell r="Q98">
            <v>9.1363479211205441</v>
          </cell>
          <cell r="V98">
            <v>9.2720003220050167</v>
          </cell>
          <cell r="AA98">
            <v>11.911479291009536</v>
          </cell>
          <cell r="AF98">
            <v>10.094867293276483</v>
          </cell>
          <cell r="AK98">
            <v>12.17204828250185</v>
          </cell>
          <cell r="AP98">
            <v>14.538281444582813</v>
          </cell>
          <cell r="AQ98">
            <v>14.901738480697382</v>
          </cell>
          <cell r="AR98">
            <v>14.901738480697382</v>
          </cell>
          <cell r="AS98">
            <v>14.901738480697382</v>
          </cell>
          <cell r="AT98">
            <v>14.901738480697382</v>
          </cell>
          <cell r="AU98">
            <v>14.901738480697382</v>
          </cell>
          <cell r="AV98">
            <v>15.646825404732253</v>
          </cell>
          <cell r="AW98">
            <v>15.646825404732253</v>
          </cell>
          <cell r="AX98">
            <v>15.646825404732253</v>
          </cell>
          <cell r="AY98">
            <v>15.646825404732253</v>
          </cell>
          <cell r="AZ98">
            <v>15.646825404732253</v>
          </cell>
          <cell r="BA98">
            <v>16.037996039850558</v>
          </cell>
          <cell r="BB98">
            <v>16.037996039850558</v>
          </cell>
          <cell r="BC98">
            <v>16.037996039850558</v>
          </cell>
          <cell r="BD98">
            <v>16.037996039850558</v>
          </cell>
          <cell r="BE98">
            <v>16.037996039850558</v>
          </cell>
          <cell r="BF98">
            <v>16.438945940846821</v>
          </cell>
          <cell r="BG98">
            <v>16.438945940846821</v>
          </cell>
          <cell r="BH98">
            <v>16.438945940846821</v>
          </cell>
          <cell r="BI98">
            <v>16.438945940846821</v>
          </cell>
          <cell r="BJ98">
            <v>16.438945940846821</v>
          </cell>
          <cell r="BK98">
            <v>16.849919589367989</v>
          </cell>
          <cell r="BL98">
            <v>16.849919589367989</v>
          </cell>
          <cell r="BM98">
            <v>16.849919589367989</v>
          </cell>
          <cell r="BN98">
            <v>16.849919589367989</v>
          </cell>
          <cell r="BO98">
            <v>16.849919589367989</v>
          </cell>
          <cell r="BP98">
            <v>17.271167579102187</v>
          </cell>
          <cell r="BQ98">
            <v>17.271167579102187</v>
          </cell>
          <cell r="BR98">
            <v>17.271167579102187</v>
          </cell>
          <cell r="BS98">
            <v>17.271167579102187</v>
          </cell>
          <cell r="BT98">
            <v>17.271167579102187</v>
          </cell>
          <cell r="BU98">
            <v>17.702946768579739</v>
          </cell>
          <cell r="BV98">
            <v>17.702946768579739</v>
          </cell>
          <cell r="BW98">
            <v>17.702946768579739</v>
          </cell>
          <cell r="BX98">
            <v>17.702946768579739</v>
          </cell>
          <cell r="BY98">
            <v>17.702946768579739</v>
          </cell>
          <cell r="BZ98">
            <v>18.145520437794232</v>
          </cell>
          <cell r="CA98">
            <v>18.145520437794232</v>
          </cell>
          <cell r="CB98">
            <v>18.145520437794232</v>
          </cell>
          <cell r="CC98">
            <v>18.145520437794232</v>
          </cell>
          <cell r="CD98">
            <v>18.145520437794232</v>
          </cell>
        </row>
        <row r="99">
          <cell r="B99" t="str">
            <v>Taxes other than income tax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0.84921358149722914</v>
          </cell>
          <cell r="L99">
            <v>1.1380925432472322</v>
          </cell>
          <cell r="Q99">
            <v>1.5058263528028517</v>
          </cell>
          <cell r="V99">
            <v>1.9493378771819192</v>
          </cell>
          <cell r="AA99">
            <v>1.4054585312220853</v>
          </cell>
          <cell r="AF99">
            <v>1.3992428132949564</v>
          </cell>
          <cell r="AK99">
            <v>2.1164060767613559</v>
          </cell>
          <cell r="AP99">
            <v>2.022415940224159</v>
          </cell>
          <cell r="AQ99">
            <v>1.5387679477670932</v>
          </cell>
          <cell r="AR99">
            <v>1.5718282036046944</v>
          </cell>
          <cell r="AS99">
            <v>1.6606133157964822</v>
          </cell>
          <cell r="AT99">
            <v>1.4596230285714287</v>
          </cell>
          <cell r="AU99">
            <v>1.5424429457864788</v>
          </cell>
          <cell r="AV99">
            <v>1.4037385370028612</v>
          </cell>
          <cell r="AW99">
            <v>1.6196859973455913</v>
          </cell>
          <cell r="AX99">
            <v>1.7692616372982746</v>
          </cell>
          <cell r="AY99">
            <v>1.5217763268531936</v>
          </cell>
          <cell r="AZ99">
            <v>1.5430099017788967</v>
          </cell>
          <cell r="BA99">
            <v>1.4427157265187525</v>
          </cell>
          <cell r="BB99">
            <v>1.602975663247409</v>
          </cell>
          <cell r="BC99">
            <v>1.6828516866314023</v>
          </cell>
          <cell r="BD99">
            <v>1.3994593900499204</v>
          </cell>
          <cell r="BE99">
            <v>1.4977918268877264</v>
          </cell>
          <cell r="BF99">
            <v>1.3704615607219151</v>
          </cell>
          <cell r="BG99">
            <v>1.5640587385112161</v>
          </cell>
          <cell r="BH99">
            <v>1.6886343114264526</v>
          </cell>
          <cell r="BI99">
            <v>1.4226481287995942</v>
          </cell>
          <cell r="BJ99">
            <v>1.4751529530447396</v>
          </cell>
          <cell r="BK99">
            <v>1.4099867395134342</v>
          </cell>
          <cell r="BL99">
            <v>1.6474063636151095</v>
          </cell>
          <cell r="BM99">
            <v>1.7862021283196292</v>
          </cell>
          <cell r="BN99">
            <v>1.5075739529467151</v>
          </cell>
          <cell r="BO99">
            <v>1.5509339366104551</v>
          </cell>
          <cell r="BP99">
            <v>1.4640114582541222</v>
          </cell>
          <cell r="BQ99">
            <v>1.6938064108668325</v>
          </cell>
          <cell r="BR99">
            <v>1.8256832477363116</v>
          </cell>
          <cell r="BS99">
            <v>1.5102725660940231</v>
          </cell>
          <cell r="BT99">
            <v>1.5823723287901454</v>
          </cell>
          <cell r="BU99">
            <v>1.4854552338941791</v>
          </cell>
          <cell r="BV99">
            <v>1.7429164471882601</v>
          </cell>
          <cell r="BW99">
            <v>1.892822874712369</v>
          </cell>
          <cell r="BX99">
            <v>1.5713737497034581</v>
          </cell>
          <cell r="BY99">
            <v>1.6303313472324177</v>
          </cell>
          <cell r="BZ99">
            <v>1.5400540498007729</v>
          </cell>
          <cell r="CA99">
            <v>1.805950442482019</v>
          </cell>
          <cell r="CB99">
            <v>1.9645896172092214</v>
          </cell>
          <cell r="CC99">
            <v>1.5784461384651567</v>
          </cell>
          <cell r="CD99">
            <v>1.6704824626801318</v>
          </cell>
        </row>
        <row r="100">
          <cell r="B100" t="str">
            <v>Exploration expense</v>
          </cell>
          <cell r="C100">
            <v>0.29812012289849965</v>
          </cell>
          <cell r="D100">
            <v>0.46088597314685992</v>
          </cell>
          <cell r="E100">
            <v>0.61808338308744792</v>
          </cell>
          <cell r="F100">
            <v>0.42894288276139247</v>
          </cell>
          <cell r="G100">
            <v>0.65300538938234587</v>
          </cell>
          <cell r="L100">
            <v>0.7059472587098774</v>
          </cell>
          <cell r="Q100">
            <v>0.66842167281523102</v>
          </cell>
          <cell r="V100">
            <v>1.6108301021024243</v>
          </cell>
          <cell r="AA100">
            <v>1.1915844069056809</v>
          </cell>
          <cell r="AF100">
            <v>1.5470176318607602</v>
          </cell>
          <cell r="AK100">
            <v>1.5628844874545398</v>
          </cell>
          <cell r="AP100">
            <v>2.0050809464508093</v>
          </cell>
          <cell r="AQ100">
            <v>1.7636878844838098</v>
          </cell>
          <cell r="AR100">
            <v>5.7071114305295954</v>
          </cell>
          <cell r="AS100">
            <v>9.0500660026411808</v>
          </cell>
          <cell r="AT100">
            <v>5.40181226924485</v>
          </cell>
          <cell r="AU100">
            <v>4.8430869823031601</v>
          </cell>
          <cell r="AV100">
            <v>2.6134078177609283</v>
          </cell>
          <cell r="AW100">
            <v>4.2629250618703809</v>
          </cell>
          <cell r="AX100">
            <v>5.0022878987814776</v>
          </cell>
          <cell r="AY100">
            <v>2.6668939623091377</v>
          </cell>
          <cell r="AZ100">
            <v>3.3518470749281746</v>
          </cell>
          <cell r="BA100">
            <v>2.0715538647378993</v>
          </cell>
          <cell r="BB100">
            <v>3.5635905356995385</v>
          </cell>
          <cell r="BC100">
            <v>4.5618486796449877</v>
          </cell>
          <cell r="BD100">
            <v>2.4623137979820044</v>
          </cell>
          <cell r="BE100">
            <v>2.8755165496448276</v>
          </cell>
          <cell r="BF100">
            <v>1.8468958510265057</v>
          </cell>
          <cell r="BG100">
            <v>3.0981364968913416</v>
          </cell>
          <cell r="BH100">
            <v>3.6816543102704964</v>
          </cell>
          <cell r="BI100">
            <v>1.9403631533508252</v>
          </cell>
          <cell r="BJ100">
            <v>2.4195507984195923</v>
          </cell>
          <cell r="BK100">
            <v>1.7730392947976128</v>
          </cell>
          <cell r="BL100">
            <v>2.8299790707448613</v>
          </cell>
          <cell r="BM100">
            <v>3.2713753018030305</v>
          </cell>
          <cell r="BN100">
            <v>1.8368683995475796</v>
          </cell>
          <cell r="BO100">
            <v>2.2607510254856926</v>
          </cell>
          <cell r="BP100">
            <v>1.6805973576460285</v>
          </cell>
          <cell r="BQ100">
            <v>2.7612800065574117</v>
          </cell>
          <cell r="BR100">
            <v>3.4184933251761547</v>
          </cell>
          <cell r="BS100">
            <v>1.9586395970443151</v>
          </cell>
          <cell r="BT100">
            <v>2.2688924826623094</v>
          </cell>
          <cell r="BU100">
            <v>1.8159560554591314</v>
          </cell>
          <cell r="BV100">
            <v>2.9453083452923914</v>
          </cell>
          <cell r="BW100">
            <v>3.5021204081599722</v>
          </cell>
          <cell r="BX100">
            <v>1.968140078474778</v>
          </cell>
          <cell r="BY100">
            <v>2.3725587329610414</v>
          </cell>
          <cell r="BZ100">
            <v>1.929504038884216</v>
          </cell>
          <cell r="CA100">
            <v>3.2764686402294947</v>
          </cell>
          <cell r="CB100">
            <v>4.1844138540064986</v>
          </cell>
          <cell r="CC100">
            <v>2.3156403192531347</v>
          </cell>
          <cell r="CD100">
            <v>2.6722417241168528</v>
          </cell>
        </row>
        <row r="101">
          <cell r="B101" t="str">
            <v>DD&amp;A</v>
          </cell>
          <cell r="C101">
            <v>4.4170450862104236</v>
          </cell>
          <cell r="D101">
            <v>6.4289687440655205</v>
          </cell>
          <cell r="E101">
            <v>10.04857831980161</v>
          </cell>
          <cell r="F101">
            <v>10.35675194860438</v>
          </cell>
          <cell r="G101">
            <v>11.91964767097916</v>
          </cell>
          <cell r="L101">
            <v>11.539268742837155</v>
          </cell>
          <cell r="Q101">
            <v>12.433394149950729</v>
          </cell>
          <cell r="V101">
            <v>12.06955308386889</v>
          </cell>
          <cell r="AA101">
            <v>11.91584406905681</v>
          </cell>
          <cell r="AF101">
            <v>12.422320685687897</v>
          </cell>
          <cell r="AK101">
            <v>7.9935029514601981</v>
          </cell>
          <cell r="AP101">
            <v>8.846625155666251</v>
          </cell>
          <cell r="AQ101">
            <v>13.657751357661597</v>
          </cell>
          <cell r="AR101">
            <v>13.657751357661597</v>
          </cell>
          <cell r="AS101">
            <v>13.657751357661597</v>
          </cell>
          <cell r="AT101">
            <v>13.657751357661597</v>
          </cell>
          <cell r="AU101">
            <v>13.657751357661597</v>
          </cell>
          <cell r="AV101">
            <v>10.483143732233785</v>
          </cell>
          <cell r="AW101">
            <v>10.483143732233785</v>
          </cell>
          <cell r="AX101">
            <v>10.483143732233785</v>
          </cell>
          <cell r="AY101">
            <v>10.483143732233785</v>
          </cell>
          <cell r="AZ101">
            <v>10.483143732233785</v>
          </cell>
          <cell r="BA101">
            <v>11.301403020517549</v>
          </cell>
          <cell r="BB101">
            <v>11.301403020517549</v>
          </cell>
          <cell r="BC101">
            <v>11.301403020517549</v>
          </cell>
          <cell r="BD101">
            <v>11.301403020517549</v>
          </cell>
          <cell r="BE101">
            <v>11.301403020517549</v>
          </cell>
          <cell r="BF101">
            <v>12.119662308801317</v>
          </cell>
          <cell r="BG101">
            <v>12.119662308801317</v>
          </cell>
          <cell r="BH101">
            <v>12.119662308801317</v>
          </cell>
          <cell r="BI101">
            <v>12.119662308801317</v>
          </cell>
          <cell r="BJ101">
            <v>12.119662308801317</v>
          </cell>
          <cell r="BK101">
            <v>12.937921597085081</v>
          </cell>
          <cell r="BL101">
            <v>12.937921597085081</v>
          </cell>
          <cell r="BM101">
            <v>12.937921597085081</v>
          </cell>
          <cell r="BN101">
            <v>12.937921597085081</v>
          </cell>
          <cell r="BO101">
            <v>12.937921597085081</v>
          </cell>
          <cell r="BP101">
            <v>13.756180885368847</v>
          </cell>
          <cell r="BQ101">
            <v>13.756180885368847</v>
          </cell>
          <cell r="BR101">
            <v>13.756180885368847</v>
          </cell>
          <cell r="BS101">
            <v>13.756180885368847</v>
          </cell>
          <cell r="BT101">
            <v>13.756180885368847</v>
          </cell>
          <cell r="BU101">
            <v>14.574440173652611</v>
          </cell>
          <cell r="BV101">
            <v>14.574440173652611</v>
          </cell>
          <cell r="BW101">
            <v>14.574440173652611</v>
          </cell>
          <cell r="BX101">
            <v>14.574440173652611</v>
          </cell>
          <cell r="BY101">
            <v>14.574440173652611</v>
          </cell>
          <cell r="BZ101">
            <v>15.392699461936383</v>
          </cell>
          <cell r="CA101">
            <v>15.392699461936383</v>
          </cell>
          <cell r="CB101">
            <v>15.392699461936383</v>
          </cell>
          <cell r="CC101">
            <v>15.392699461936383</v>
          </cell>
          <cell r="CD101">
            <v>15.392699461936383</v>
          </cell>
        </row>
        <row r="102">
          <cell r="B102" t="str">
            <v>Other income/(cost)</v>
          </cell>
          <cell r="C102">
            <v>0.83351952728764189</v>
          </cell>
          <cell r="D102">
            <v>1.1144587373268702</v>
          </cell>
          <cell r="E102">
            <v>1.3819156862042505</v>
          </cell>
          <cell r="F102">
            <v>3.5528303599753959</v>
          </cell>
          <cell r="G102">
            <v>1.2661559897413561</v>
          </cell>
          <cell r="L102">
            <v>2.5763776123944591</v>
          </cell>
          <cell r="Q102">
            <v>-0.40180403927657143</v>
          </cell>
          <cell r="V102">
            <v>1.7119933452296296</v>
          </cell>
          <cell r="AA102">
            <v>4.6441238422990647</v>
          </cell>
          <cell r="AF102">
            <v>5.2829497637274923</v>
          </cell>
          <cell r="AK102">
            <v>9.0625593543370879</v>
          </cell>
          <cell r="AP102">
            <v>7.6909589041095883</v>
          </cell>
          <cell r="AQ102">
            <v>4.8030715808382611</v>
          </cell>
          <cell r="AR102">
            <v>8.2014439028495794</v>
          </cell>
          <cell r="AS102">
            <v>9.7620444440973486</v>
          </cell>
          <cell r="AT102">
            <v>5.3978538430932481</v>
          </cell>
          <cell r="AU102">
            <v>6.4771686899714593</v>
          </cell>
          <cell r="AV102">
            <v>4.9771707071905906</v>
          </cell>
          <cell r="AW102">
            <v>8.1186355993486323</v>
          </cell>
          <cell r="AX102">
            <v>9.5267338796285461</v>
          </cell>
          <cell r="AY102">
            <v>5.0790337497960074</v>
          </cell>
          <cell r="AZ102">
            <v>6.383510052636221</v>
          </cell>
          <cell r="BA102">
            <v>4.6218892353675187</v>
          </cell>
          <cell r="BB102">
            <v>7.9508049568825374</v>
          </cell>
          <cell r="BC102">
            <v>10.17804058331564</v>
          </cell>
          <cell r="BD102">
            <v>5.4937222877522673</v>
          </cell>
          <cell r="BE102">
            <v>6.4156280042499017</v>
          </cell>
          <cell r="BF102">
            <v>5.1948856600470981</v>
          </cell>
          <cell r="BG102">
            <v>8.7143326742675118</v>
          </cell>
          <cell r="BH102">
            <v>10.355631678442872</v>
          </cell>
          <cell r="BI102">
            <v>5.4577873002549229</v>
          </cell>
          <cell r="BJ102">
            <v>6.8056299652627557</v>
          </cell>
          <cell r="BK102">
            <v>5.0125109441255828</v>
          </cell>
          <cell r="BL102">
            <v>8.0005565050797003</v>
          </cell>
          <cell r="BM102">
            <v>9.2484157292755214</v>
          </cell>
          <cell r="BN102">
            <v>5.1929604621095979</v>
          </cell>
          <cell r="BO102">
            <v>6.3913074518090065</v>
          </cell>
          <cell r="BP102">
            <v>4.8211491680443066</v>
          </cell>
          <cell r="BQ102">
            <v>7.9213160402668947</v>
          </cell>
          <cell r="BR102">
            <v>9.8066715240601479</v>
          </cell>
          <cell r="BS102">
            <v>5.6187721709947622</v>
          </cell>
          <cell r="BT102">
            <v>6.5087982290361923</v>
          </cell>
          <cell r="BU102">
            <v>5.187056482611105</v>
          </cell>
          <cell r="BV102">
            <v>8.4129132419313155</v>
          </cell>
          <cell r="BW102">
            <v>10.003378832555486</v>
          </cell>
          <cell r="BX102">
            <v>5.6217515407652323</v>
          </cell>
          <cell r="BY102">
            <v>6.7769239895343505</v>
          </cell>
          <cell r="BZ102">
            <v>5.5113924167004296</v>
          </cell>
          <cell r="CA102">
            <v>9.3588321420462215</v>
          </cell>
          <cell r="CB102">
            <v>11.952266654307593</v>
          </cell>
          <cell r="CC102">
            <v>6.6143434987146579</v>
          </cell>
          <cell r="CD102">
            <v>7.6329318193108362</v>
          </cell>
        </row>
        <row r="103">
          <cell r="B103" t="str">
            <v>Earnings before tax</v>
          </cell>
          <cell r="F103">
            <v>11.569624927446938</v>
          </cell>
          <cell r="G103">
            <v>19.954986288683987</v>
          </cell>
          <cell r="L103">
            <v>33.301577461103797</v>
          </cell>
          <cell r="Q103">
            <v>34.502574886664846</v>
          </cell>
          <cell r="V103">
            <v>51.130237612869465</v>
          </cell>
          <cell r="AA103">
            <v>17.886860437727037</v>
          </cell>
          <cell r="AF103">
            <v>27.772429964210783</v>
          </cell>
          <cell r="AK103">
            <v>50.755759066535802</v>
          </cell>
          <cell r="AP103">
            <v>51.456039850560394</v>
          </cell>
          <cell r="AQ103">
            <v>40.273380136906525</v>
          </cell>
          <cell r="AR103">
            <v>34.551536804891882</v>
          </cell>
          <cell r="AS103">
            <v>33.998452188930109</v>
          </cell>
          <cell r="AT103">
            <v>32.162372449302929</v>
          </cell>
          <cell r="AU103">
            <v>35.687359226532109</v>
          </cell>
          <cell r="AV103">
            <v>35.062640651222637</v>
          </cell>
          <cell r="AW103">
            <v>40.853084071748917</v>
          </cell>
          <cell r="AX103">
            <v>46.034829312239381</v>
          </cell>
          <cell r="AY103">
            <v>40.691143166735301</v>
          </cell>
          <cell r="AZ103">
            <v>39.770020010903465</v>
          </cell>
          <cell r="BA103">
            <v>36.660228438945339</v>
          </cell>
          <cell r="BB103">
            <v>39.692012946172852</v>
          </cell>
          <cell r="BC103">
            <v>40.380444321609971</v>
          </cell>
          <cell r="BD103">
            <v>33.278074966343709</v>
          </cell>
          <cell r="BE103">
            <v>36.807986310456968</v>
          </cell>
          <cell r="BF103">
            <v>31.552226714652093</v>
          </cell>
          <cell r="BG103">
            <v>36.267800766242587</v>
          </cell>
          <cell r="BH103">
            <v>40.14718702153467</v>
          </cell>
          <cell r="BI103">
            <v>33.752999607926228</v>
          </cell>
          <cell r="BJ103">
            <v>34.533103774240736</v>
          </cell>
          <cell r="BK103">
            <v>32.51595881078201</v>
          </cell>
          <cell r="BL103">
            <v>40.104535054862723</v>
          </cell>
          <cell r="BM103">
            <v>45.216272070130195</v>
          </cell>
          <cell r="BN103">
            <v>37.053453646278797</v>
          </cell>
          <cell r="BO103">
            <v>37.587414936590463</v>
          </cell>
          <cell r="BP103">
            <v>34.207466464290626</v>
          </cell>
          <cell r="BQ103">
            <v>41.286569621179467</v>
          </cell>
          <cell r="BR103">
            <v>45.205965825371926</v>
          </cell>
          <cell r="BS103">
            <v>35.398595506097031</v>
          </cell>
          <cell r="BT103">
            <v>37.778939669855887</v>
          </cell>
          <cell r="BU103">
            <v>33.506906980512184</v>
          </cell>
          <cell r="BV103">
            <v>41.767297382768689</v>
          </cell>
          <cell r="BW103">
            <v>46.965434677958257</v>
          </cell>
          <cell r="BX103">
            <v>37.130035173997101</v>
          </cell>
          <cell r="BY103">
            <v>38.499784408953587</v>
          </cell>
          <cell r="BZ103">
            <v>34.483532084922608</v>
          </cell>
          <cell r="CA103">
            <v>42.318050999612595</v>
          </cell>
          <cell r="CB103">
            <v>46.589990835207132</v>
          </cell>
          <cell r="CC103">
            <v>34.875657067094259</v>
          </cell>
          <cell r="CD103">
            <v>38.067783305248142</v>
          </cell>
        </row>
        <row r="105">
          <cell r="B105" t="str">
            <v>Suggested DD&amp;A/boe for convergence</v>
          </cell>
          <cell r="C105">
            <v>4.4170450862104236</v>
          </cell>
          <cell r="D105">
            <v>6.4289687440655205</v>
          </cell>
          <cell r="E105">
            <v>10.04857831980161</v>
          </cell>
          <cell r="F105">
            <v>10.35675194860438</v>
          </cell>
          <cell r="G105">
            <v>11.91964767097916</v>
          </cell>
          <cell r="L105">
            <v>11.539268742837155</v>
          </cell>
          <cell r="Q105">
            <v>12.433394149950729</v>
          </cell>
          <cell r="V105">
            <v>12.06955308386889</v>
          </cell>
          <cell r="AA105">
            <v>11.91584406905681</v>
          </cell>
          <cell r="AF105">
            <v>12.422320685687897</v>
          </cell>
          <cell r="AK105">
            <v>7.9935029514601981</v>
          </cell>
          <cell r="AP105">
            <v>8.846625155666251</v>
          </cell>
          <cell r="AU105">
            <v>9.664884443950017</v>
          </cell>
          <cell r="AZ105">
            <v>10.483143732233785</v>
          </cell>
          <cell r="BE105">
            <v>11.301403020517549</v>
          </cell>
          <cell r="BJ105">
            <v>12.119662308801317</v>
          </cell>
          <cell r="BO105">
            <v>12.937921597085081</v>
          </cell>
          <cell r="BT105">
            <v>13.756180885368847</v>
          </cell>
          <cell r="BY105">
            <v>14.574440173652611</v>
          </cell>
          <cell r="CD105">
            <v>15.392699461936383</v>
          </cell>
        </row>
        <row r="107">
          <cell r="A107" t="str">
            <v>As percent of revenue</v>
          </cell>
        </row>
        <row r="108">
          <cell r="B108" t="str">
            <v>Production cost excluding taxes</v>
          </cell>
          <cell r="C108">
            <v>0.14665286404416839</v>
          </cell>
          <cell r="D108">
            <v>0.18180007964954201</v>
          </cell>
          <cell r="E108">
            <v>0.16751043609556798</v>
          </cell>
          <cell r="F108">
            <v>0.17040825992232642</v>
          </cell>
          <cell r="G108">
            <v>0.14832680132649986</v>
          </cell>
          <cell r="L108">
            <v>0.13301207617278216</v>
          </cell>
          <cell r="Q108">
            <v>0.15794598805505064</v>
          </cell>
          <cell r="V108">
            <v>0.11926330013512837</v>
          </cell>
          <cell r="AA108">
            <v>0.24331312410841655</v>
          </cell>
          <cell r="AF108">
            <v>0.17250631313131312</v>
          </cell>
          <cell r="AK108">
            <v>0.14548874618927157</v>
          </cell>
          <cell r="AP108">
            <v>0.16795727636849131</v>
          </cell>
          <cell r="AQ108">
            <v>0.19368402496713424</v>
          </cell>
          <cell r="AR108">
            <v>0.1896102697040685</v>
          </cell>
          <cell r="AS108">
            <v>0.1794727085341965</v>
          </cell>
          <cell r="AT108">
            <v>0.20418612462263092</v>
          </cell>
          <cell r="AU108">
            <v>0.19330780084750371</v>
          </cell>
          <cell r="AV108">
            <v>0.22293076655343488</v>
          </cell>
          <cell r="AW108">
            <v>0.19320813330948</v>
          </cell>
          <cell r="AX108">
            <v>0.1768740707974148</v>
          </cell>
          <cell r="AY108">
            <v>0.20563896452624617</v>
          </cell>
          <cell r="AZ108">
            <v>0.20259289268240993</v>
          </cell>
          <cell r="BA108">
            <v>0.22233064691891813</v>
          </cell>
          <cell r="BB108">
            <v>0.2001028014032325</v>
          </cell>
          <cell r="BC108">
            <v>0.19060498518385935</v>
          </cell>
          <cell r="BD108">
            <v>0.22920273576896666</v>
          </cell>
          <cell r="BE108">
            <v>0.21378915936502807</v>
          </cell>
          <cell r="BF108">
            <v>0.23990378733698034</v>
          </cell>
          <cell r="BG108">
            <v>0.21020880528431554</v>
          </cell>
          <cell r="BH108">
            <v>0.19470107683599333</v>
          </cell>
          <cell r="BI108">
            <v>0.23110346976265619</v>
          </cell>
          <cell r="BJ108">
            <v>0.22260939967362964</v>
          </cell>
          <cell r="BK108">
            <v>0.23900819939884899</v>
          </cell>
          <cell r="BL108">
            <v>0.20456300232314398</v>
          </cell>
          <cell r="BM108">
            <v>0.18866755696030396</v>
          </cell>
          <cell r="BN108">
            <v>0.22353688927077855</v>
          </cell>
          <cell r="BO108">
            <v>0.21705723908388413</v>
          </cell>
          <cell r="BP108">
            <v>0.23594306563281375</v>
          </cell>
          <cell r="BQ108">
            <v>0.20393319411588942</v>
          </cell>
          <cell r="BR108">
            <v>0.18920223538795061</v>
          </cell>
          <cell r="BS108">
            <v>0.22871590157755609</v>
          </cell>
          <cell r="BT108">
            <v>0.2179587704079288</v>
          </cell>
          <cell r="BU108">
            <v>0.23835045802317145</v>
          </cell>
          <cell r="BV108">
            <v>0.20314165715905447</v>
          </cell>
          <cell r="BW108">
            <v>0.1870533899931853</v>
          </cell>
          <cell r="BX108">
            <v>0.22531809217152254</v>
          </cell>
          <cell r="BY108">
            <v>0.2168979820658537</v>
          </cell>
          <cell r="BZ108">
            <v>0.23564783898515257</v>
          </cell>
          <cell r="CA108">
            <v>0.20095258442259165</v>
          </cell>
          <cell r="CB108">
            <v>0.18472581020325937</v>
          </cell>
          <cell r="CC108">
            <v>0.22991624478790904</v>
          </cell>
          <cell r="CD108">
            <v>0.21687616027113907</v>
          </cell>
        </row>
        <row r="109">
          <cell r="B109" t="str">
            <v>Taxes other than income tax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2.0877298763943321E-2</v>
          </cell>
          <cell r="L109">
            <v>2.0030190431955412E-2</v>
          </cell>
          <cell r="Q109">
            <v>2.6032199428719812E-2</v>
          </cell>
          <cell r="V109">
            <v>2.5073820129122668E-2</v>
          </cell>
          <cell r="AA109">
            <v>2.8708987161198289E-2</v>
          </cell>
          <cell r="AF109">
            <v>2.3910984848484848E-2</v>
          </cell>
          <cell r="AK109">
            <v>2.5296750340533178E-2</v>
          </cell>
          <cell r="AP109">
            <v>2.336448598130841E-2</v>
          </cell>
          <cell r="AQ109">
            <v>0.02</v>
          </cell>
          <cell r="AR109">
            <v>0.02</v>
          </cell>
          <cell r="AS109">
            <v>0.02</v>
          </cell>
          <cell r="AT109">
            <v>0.02</v>
          </cell>
          <cell r="AU109">
            <v>0.02</v>
          </cell>
          <cell r="AV109">
            <v>0.02</v>
          </cell>
          <cell r="AW109">
            <v>0.02</v>
          </cell>
          <cell r="AX109">
            <v>0.02</v>
          </cell>
          <cell r="AY109">
            <v>0.02</v>
          </cell>
          <cell r="AZ109">
            <v>0.02</v>
          </cell>
          <cell r="BA109">
            <v>0.02</v>
          </cell>
          <cell r="BB109">
            <v>0.02</v>
          </cell>
          <cell r="BC109">
            <v>0.02</v>
          </cell>
          <cell r="BD109">
            <v>0.02</v>
          </cell>
          <cell r="BE109">
            <v>0.02</v>
          </cell>
          <cell r="BF109">
            <v>0.02</v>
          </cell>
          <cell r="BG109">
            <v>0.02</v>
          </cell>
          <cell r="BH109">
            <v>0.02</v>
          </cell>
          <cell r="BI109">
            <v>0.02</v>
          </cell>
          <cell r="BJ109">
            <v>0.02</v>
          </cell>
          <cell r="BK109">
            <v>0.02</v>
          </cell>
          <cell r="BL109">
            <v>0.02</v>
          </cell>
          <cell r="BM109">
            <v>0.02</v>
          </cell>
          <cell r="BN109">
            <v>0.02</v>
          </cell>
          <cell r="BO109">
            <v>0.02</v>
          </cell>
          <cell r="BP109">
            <v>0.02</v>
          </cell>
          <cell r="BQ109">
            <v>0.02</v>
          </cell>
          <cell r="BR109">
            <v>0.02</v>
          </cell>
          <cell r="BS109">
            <v>0.02</v>
          </cell>
          <cell r="BT109">
            <v>0.02</v>
          </cell>
          <cell r="BU109">
            <v>0.02</v>
          </cell>
          <cell r="BV109">
            <v>0.02</v>
          </cell>
          <cell r="BW109">
            <v>0.02</v>
          </cell>
          <cell r="BX109">
            <v>0.02</v>
          </cell>
          <cell r="BY109">
            <v>0.02</v>
          </cell>
          <cell r="BZ109">
            <v>0.02</v>
          </cell>
          <cell r="CA109">
            <v>0.02</v>
          </cell>
          <cell r="CB109">
            <v>0.02</v>
          </cell>
          <cell r="CC109">
            <v>0.02</v>
          </cell>
          <cell r="CD109">
            <v>0.02</v>
          </cell>
        </row>
        <row r="110">
          <cell r="B110" t="str">
            <v>Exploration expense</v>
          </cell>
          <cell r="C110">
            <v>1.1272141706924315E-2</v>
          </cell>
          <cell r="D110">
            <v>1.7622461170848269E-2</v>
          </cell>
          <cell r="E110">
            <v>2.0339284128252953E-2</v>
          </cell>
          <cell r="F110">
            <v>1.3734962584067444E-2</v>
          </cell>
          <cell r="G110">
            <v>1.6053662948447393E-2</v>
          </cell>
          <cell r="L110">
            <v>1.2424523920111473E-2</v>
          </cell>
          <cell r="Q110">
            <v>1.1555440145416774E-2</v>
          </cell>
          <cell r="V110">
            <v>2.0719683699514539E-2</v>
          </cell>
          <cell r="AA110">
            <v>2.4340228245363766E-2</v>
          </cell>
          <cell r="AF110">
            <v>2.6436237373737372E-2</v>
          </cell>
          <cell r="AK110">
            <v>1.8680677174547577E-2</v>
          </cell>
          <cell r="AP110">
            <v>2.3164218958611482E-2</v>
          </cell>
          <cell r="AQ110">
            <v>2.2923376939883597E-2</v>
          </cell>
          <cell r="AR110">
            <v>7.261749620526467E-2</v>
          </cell>
          <cell r="AS110">
            <v>0.1089966690806702</v>
          </cell>
          <cell r="AT110">
            <v>7.4016539387320376E-2</v>
          </cell>
          <cell r="AU110">
            <v>6.2797615892803221E-2</v>
          </cell>
          <cell r="AV110">
            <v>3.7234965755671943E-2</v>
          </cell>
          <cell r="AW110">
            <v>5.2638907403739235E-2</v>
          </cell>
          <cell r="AX110">
            <v>5.6546615755713209E-2</v>
          </cell>
          <cell r="AY110">
            <v>3.5049749628105684E-2</v>
          </cell>
          <cell r="AZ110">
            <v>4.344556792621896E-2</v>
          </cell>
          <cell r="BA110">
            <v>2.871742265867611E-2</v>
          </cell>
          <cell r="BB110">
            <v>4.4462191378254523E-2</v>
          </cell>
          <cell r="BC110">
            <v>5.421569489319087E-2</v>
          </cell>
          <cell r="BD110">
            <v>3.518949982384513E-2</v>
          </cell>
          <cell r="BE110">
            <v>3.8396745102019771E-2</v>
          </cell>
          <cell r="BF110">
            <v>2.6952902641846015E-2</v>
          </cell>
          <cell r="BG110">
            <v>3.961662590549983E-2</v>
          </cell>
          <cell r="BH110">
            <v>4.3605110773338077E-2</v>
          </cell>
          <cell r="BI110">
            <v>2.7278187966100514E-2</v>
          </cell>
          <cell r="BJ110">
            <v>3.2804066770508102E-2</v>
          </cell>
          <cell r="BK110">
            <v>2.5149730066390028E-2</v>
          </cell>
          <cell r="BL110">
            <v>3.4356782069661126E-2</v>
          </cell>
          <cell r="BM110">
            <v>3.6629396527262895E-2</v>
          </cell>
          <cell r="BN110">
            <v>2.4368534571152855E-2</v>
          </cell>
          <cell r="BO110">
            <v>2.915341488273231E-2</v>
          </cell>
          <cell r="BP110">
            <v>2.2958800604609902E-2</v>
          </cell>
          <cell r="BQ110">
            <v>3.2604434471874291E-2</v>
          </cell>
          <cell r="BR110">
            <v>3.7448920336151291E-2</v>
          </cell>
          <cell r="BS110">
            <v>2.5937564397529794E-2</v>
          </cell>
          <cell r="BT110">
            <v>2.8677100090559154E-2</v>
          </cell>
          <cell r="BU110">
            <v>2.444982540064209E-2</v>
          </cell>
          <cell r="BV110">
            <v>3.3797470326748902E-2</v>
          </cell>
          <cell r="BW110">
            <v>3.7004206309501103E-2</v>
          </cell>
          <cell r="BX110">
            <v>2.5049929449899436E-2</v>
          </cell>
          <cell r="BY110">
            <v>2.9105233570937573E-2</v>
          </cell>
          <cell r="BZ110">
            <v>2.5057614557538729E-2</v>
          </cell>
          <cell r="CA110">
            <v>3.6285255266766459E-2</v>
          </cell>
          <cell r="CB110">
            <v>4.2598350488593416E-2</v>
          </cell>
          <cell r="CC110">
            <v>2.9340758139581608E-2</v>
          </cell>
          <cell r="CD110">
            <v>3.1993651939685654E-2</v>
          </cell>
        </row>
        <row r="111">
          <cell r="B111" t="str">
            <v>DD&amp;A</v>
          </cell>
          <cell r="C111">
            <v>0.16701173222912352</v>
          </cell>
          <cell r="D111">
            <v>0.24581839904420549</v>
          </cell>
          <cell r="E111">
            <v>0.33066879829469759</v>
          </cell>
          <cell r="F111">
            <v>0.33162830349531119</v>
          </cell>
          <cell r="G111">
            <v>0.29303587579137774</v>
          </cell>
          <cell r="L111">
            <v>0.20308871342313051</v>
          </cell>
          <cell r="Q111">
            <v>0.21494417034536484</v>
          </cell>
          <cell r="V111">
            <v>0.15524748511085532</v>
          </cell>
          <cell r="AA111">
            <v>0.24340228245363765</v>
          </cell>
          <cell r="AF111">
            <v>0.21227904040404041</v>
          </cell>
          <cell r="AK111">
            <v>9.5543880132321457E-2</v>
          </cell>
          <cell r="AP111">
            <v>0.10220293724966623</v>
          </cell>
          <cell r="AQ111">
            <v>0.17751541260630449</v>
          </cell>
          <cell r="AR111">
            <v>0.17378173169739664</v>
          </cell>
          <cell r="AS111">
            <v>0.16449044732741908</v>
          </cell>
          <cell r="AT111">
            <v>0.18714080403388531</v>
          </cell>
          <cell r="AU111">
            <v>0.17717059542357608</v>
          </cell>
          <cell r="AV111">
            <v>0.14936034675825699</v>
          </cell>
          <cell r="AW111">
            <v>0.12944661804095359</v>
          </cell>
          <cell r="AX111">
            <v>0.118503035517595</v>
          </cell>
          <cell r="AY111">
            <v>0.13777509279450234</v>
          </cell>
          <cell r="AZ111">
            <v>0.13573426929633844</v>
          </cell>
          <cell r="BA111">
            <v>0.15666846645926061</v>
          </cell>
          <cell r="BB111">
            <v>0.14100529758040689</v>
          </cell>
          <cell r="BC111">
            <v>0.13431252570022725</v>
          </cell>
          <cell r="BD111">
            <v>0.16151098203877731</v>
          </cell>
          <cell r="BE111">
            <v>0.15064958523486133</v>
          </cell>
          <cell r="BF111">
            <v>0.1768697883422147</v>
          </cell>
          <cell r="BG111">
            <v>0.15497707356358861</v>
          </cell>
          <cell r="BH111">
            <v>0.14354395415030252</v>
          </cell>
          <cell r="BI111">
            <v>0.1703817277576245</v>
          </cell>
          <cell r="BJ111">
            <v>0.16411944905212078</v>
          </cell>
          <cell r="BK111">
            <v>0.18351834431506453</v>
          </cell>
          <cell r="BL111">
            <v>0.15707019085071136</v>
          </cell>
          <cell r="BM111">
            <v>0.14486514590883889</v>
          </cell>
          <cell r="BN111">
            <v>0.17163896433467196</v>
          </cell>
          <cell r="BO111">
            <v>0.16666367613522703</v>
          </cell>
          <cell r="BP111">
            <v>0.18792449755514218</v>
          </cell>
          <cell r="BQ111">
            <v>0.16242919848589898</v>
          </cell>
          <cell r="BR111">
            <v>0.15069624922532773</v>
          </cell>
          <cell r="BS111">
            <v>0.18216818863294434</v>
          </cell>
          <cell r="BT111">
            <v>0.17360032305586071</v>
          </cell>
          <cell r="BU111">
            <v>0.19622860172561576</v>
          </cell>
          <cell r="BV111">
            <v>0.16724198336833254</v>
          </cell>
          <cell r="BW111">
            <v>0.15399687280160673</v>
          </cell>
          <cell r="BX111">
            <v>0.18549934637005391</v>
          </cell>
          <cell r="BY111">
            <v>0.17856725802369761</v>
          </cell>
          <cell r="BZ111">
            <v>0.19989817193659715</v>
          </cell>
          <cell r="CA111">
            <v>0.17046646574400273</v>
          </cell>
          <cell r="CB111">
            <v>0.15670142331101528</v>
          </cell>
          <cell r="CC111">
            <v>0.19503610654594625</v>
          </cell>
          <cell r="CD111">
            <v>0.18397430743067714</v>
          </cell>
        </row>
        <row r="112">
          <cell r="B112" t="str">
            <v>Other income/(cost)</v>
          </cell>
          <cell r="C112">
            <v>3.151598803772717E-2</v>
          </cell>
          <cell r="D112">
            <v>4.2612504978096377E-2</v>
          </cell>
          <cell r="E112">
            <v>4.5474731326050268E-2</v>
          </cell>
          <cell r="F112">
            <v>0.11376337974803448</v>
          </cell>
          <cell r="G112">
            <v>3.1127524871872175E-2</v>
          </cell>
          <cell r="L112">
            <v>4.5343706456107753E-2</v>
          </cell>
          <cell r="Q112">
            <v>-6.9462477278628924E-3</v>
          </cell>
          <cell r="V112">
            <v>2.2020919873880187E-2</v>
          </cell>
          <cell r="AA112">
            <v>9.4864479315263914E-2</v>
          </cell>
          <cell r="AF112">
            <v>9.0277777777777776E-2</v>
          </cell>
          <cell r="AK112">
            <v>0.1083219822274113</v>
          </cell>
          <cell r="AP112">
            <v>8.8851802403204269E-2</v>
          </cell>
          <cell r="AQ112">
            <v>6.2427497112972748E-2</v>
          </cell>
          <cell r="AR112">
            <v>0.10435547452375646</v>
          </cell>
          <cell r="AS112">
            <v>0.1175715544520389</v>
          </cell>
          <cell r="AT112">
            <v>7.3962300367051204E-2</v>
          </cell>
          <cell r="AU112">
            <v>8.3985844762235987E-2</v>
          </cell>
          <cell r="AV112">
            <v>7.0913073567352616E-2</v>
          </cell>
          <cell r="AW112">
            <v>0.10024950036801934</v>
          </cell>
          <cell r="AX112">
            <v>0.10769163450778493</v>
          </cell>
          <cell r="AY112">
            <v>6.6751383369180031E-2</v>
          </cell>
          <cell r="AZ112">
            <v>8.2741012164300895E-2</v>
          </cell>
          <cell r="BA112">
            <v>6.4072071169835459E-2</v>
          </cell>
          <cell r="BB112">
            <v>9.9200569780021453E-2</v>
          </cell>
          <cell r="BC112">
            <v>0.12096182526565044</v>
          </cell>
          <cell r="BD112">
            <v>7.8512064398757575E-2</v>
          </cell>
          <cell r="BE112">
            <v>8.5667819640610363E-2</v>
          </cell>
          <cell r="BF112">
            <v>7.5812205302724436E-2</v>
          </cell>
          <cell r="BG112">
            <v>0.11143229419327873</v>
          </cell>
          <cell r="BH112">
            <v>0.12265096839936983</v>
          </cell>
          <cell r="BI112">
            <v>7.6727156768695987E-2</v>
          </cell>
          <cell r="BJ112">
            <v>9.227016020563597E-2</v>
          </cell>
          <cell r="BK112">
            <v>7.1100114684132812E-2</v>
          </cell>
          <cell r="BL112">
            <v>9.7129119830799734E-2</v>
          </cell>
          <cell r="BM112">
            <v>0.10355396606738988</v>
          </cell>
          <cell r="BN112">
            <v>6.889161824478858E-2</v>
          </cell>
          <cell r="BO112">
            <v>8.2418822632472938E-2</v>
          </cell>
          <cell r="BP112">
            <v>6.5862178070568822E-2</v>
          </cell>
          <cell r="BQ112">
            <v>9.3532720025696847E-2</v>
          </cell>
          <cell r="BR112">
            <v>0.1074301529163897</v>
          </cell>
          <cell r="BS112">
            <v>7.4407392375886686E-2</v>
          </cell>
          <cell r="BT112">
            <v>8.2266330251271599E-2</v>
          </cell>
          <cell r="BU112">
            <v>6.9837937411456469E-2</v>
          </cell>
          <cell r="BV112">
            <v>9.6538342448983738E-2</v>
          </cell>
          <cell r="BW112">
            <v>0.10569799177934797</v>
          </cell>
          <cell r="BX112">
            <v>7.1552061269015615E-2</v>
          </cell>
          <cell r="BY112">
            <v>8.3135541753994666E-2</v>
          </cell>
          <cell r="BZ112">
            <v>7.1574012839528633E-2</v>
          </cell>
          <cell r="CA112">
            <v>0.10364439601325777</v>
          </cell>
          <cell r="CB112">
            <v>0.12167698077613043</v>
          </cell>
          <cell r="CC112">
            <v>8.3808288892851149E-2</v>
          </cell>
          <cell r="CD112">
            <v>9.1385955732387836E-2</v>
          </cell>
        </row>
        <row r="114">
          <cell r="A114" t="str">
            <v>Effective tax rate</v>
          </cell>
          <cell r="C114">
            <v>0.4386058981233244</v>
          </cell>
          <cell r="D114">
            <v>0.45489891135303268</v>
          </cell>
          <cell r="E114">
            <v>0.34345080464453043</v>
          </cell>
          <cell r="F114">
            <v>0.68678087445666069</v>
          </cell>
          <cell r="G114">
            <v>0.57873713320018438</v>
          </cell>
          <cell r="L114">
            <v>0.63209509658246654</v>
          </cell>
          <cell r="Q114">
            <v>0.53994340444057465</v>
          </cell>
          <cell r="V114">
            <v>0.63853588007000994</v>
          </cell>
          <cell r="AA114">
            <v>0.70424597364568087</v>
          </cell>
          <cell r="AF114">
            <v>0.48470236115729964</v>
          </cell>
          <cell r="AK114">
            <v>0.64663744253180799</v>
          </cell>
          <cell r="AP114">
            <v>0.71049971925884337</v>
          </cell>
          <cell r="AQ114">
            <v>0.65</v>
          </cell>
          <cell r="AR114">
            <v>0.65</v>
          </cell>
          <cell r="AS114">
            <v>0.65</v>
          </cell>
          <cell r="AT114">
            <v>0.65</v>
          </cell>
          <cell r="AU114">
            <v>0.65</v>
          </cell>
          <cell r="AV114">
            <v>0.65</v>
          </cell>
          <cell r="AW114">
            <v>0.65</v>
          </cell>
          <cell r="AX114">
            <v>0.65</v>
          </cell>
          <cell r="AY114">
            <v>0.65</v>
          </cell>
          <cell r="AZ114">
            <v>0.65</v>
          </cell>
          <cell r="BA114">
            <v>0.65</v>
          </cell>
          <cell r="BB114">
            <v>0.65</v>
          </cell>
          <cell r="BC114">
            <v>0.65</v>
          </cell>
          <cell r="BD114">
            <v>0.65</v>
          </cell>
          <cell r="BE114">
            <v>0.65</v>
          </cell>
          <cell r="BF114">
            <v>0.65</v>
          </cell>
          <cell r="BG114">
            <v>0.65</v>
          </cell>
          <cell r="BH114">
            <v>0.65</v>
          </cell>
          <cell r="BI114">
            <v>0.65</v>
          </cell>
          <cell r="BJ114">
            <v>0.65</v>
          </cell>
          <cell r="BK114">
            <v>0.65</v>
          </cell>
          <cell r="BL114">
            <v>0.65</v>
          </cell>
          <cell r="BM114">
            <v>0.65</v>
          </cell>
          <cell r="BN114">
            <v>0.65</v>
          </cell>
          <cell r="BO114">
            <v>0.65</v>
          </cell>
          <cell r="BP114">
            <v>0.65</v>
          </cell>
          <cell r="BQ114">
            <v>0.65</v>
          </cell>
          <cell r="BR114">
            <v>0.65</v>
          </cell>
          <cell r="BS114">
            <v>0.65</v>
          </cell>
          <cell r="BT114">
            <v>0.65</v>
          </cell>
          <cell r="BU114">
            <v>0.65</v>
          </cell>
          <cell r="BV114">
            <v>0.65</v>
          </cell>
          <cell r="BW114">
            <v>0.65</v>
          </cell>
          <cell r="BX114">
            <v>0.65</v>
          </cell>
          <cell r="BY114">
            <v>0.65</v>
          </cell>
          <cell r="BZ114">
            <v>0.65</v>
          </cell>
          <cell r="CA114">
            <v>0.65</v>
          </cell>
          <cell r="CB114">
            <v>0.65</v>
          </cell>
          <cell r="CC114">
            <v>0.65</v>
          </cell>
          <cell r="CD114">
            <v>0.65</v>
          </cell>
        </row>
        <row r="118">
          <cell r="A118" t="str">
            <v>Asia</v>
          </cell>
        </row>
        <row r="119">
          <cell r="C119">
            <v>2001</v>
          </cell>
          <cell r="D119">
            <v>2002</v>
          </cell>
          <cell r="E119">
            <v>2003</v>
          </cell>
          <cell r="F119">
            <v>2004</v>
          </cell>
          <cell r="G119">
            <v>2005</v>
          </cell>
          <cell r="H119" t="str">
            <v>1Q06</v>
          </cell>
          <cell r="I119" t="str">
            <v>2Q06</v>
          </cell>
          <cell r="J119" t="str">
            <v>3Q06</v>
          </cell>
          <cell r="K119" t="str">
            <v>4Q06</v>
          </cell>
          <cell r="L119">
            <v>2006</v>
          </cell>
          <cell r="M119" t="str">
            <v>1Q07</v>
          </cell>
          <cell r="N119" t="str">
            <v>2Q07</v>
          </cell>
          <cell r="O119" t="str">
            <v>3Q07</v>
          </cell>
          <cell r="P119" t="str">
            <v>4Q07</v>
          </cell>
          <cell r="Q119">
            <v>2007</v>
          </cell>
          <cell r="R119" t="str">
            <v>1Q08</v>
          </cell>
          <cell r="S119" t="str">
            <v>2Q08</v>
          </cell>
          <cell r="T119" t="str">
            <v>3Q08</v>
          </cell>
          <cell r="U119" t="str">
            <v>4Q08</v>
          </cell>
          <cell r="V119">
            <v>2008</v>
          </cell>
          <cell r="W119" t="str">
            <v>1Q09</v>
          </cell>
          <cell r="X119" t="str">
            <v>2Q09</v>
          </cell>
          <cell r="Y119" t="str">
            <v>3Q09</v>
          </cell>
          <cell r="Z119" t="str">
            <v>4Q09</v>
          </cell>
          <cell r="AA119">
            <v>2009</v>
          </cell>
          <cell r="AB119" t="str">
            <v>1Q10</v>
          </cell>
          <cell r="AC119" t="str">
            <v>2Q10</v>
          </cell>
          <cell r="AD119" t="str">
            <v>3Q10</v>
          </cell>
          <cell r="AE119" t="str">
            <v>4Q10</v>
          </cell>
          <cell r="AF119">
            <v>2010</v>
          </cell>
          <cell r="AG119" t="str">
            <v>1Q11</v>
          </cell>
          <cell r="AH119" t="str">
            <v>2Q11</v>
          </cell>
          <cell r="AI119" t="str">
            <v>3Q11</v>
          </cell>
          <cell r="AJ119" t="str">
            <v>4Q11</v>
          </cell>
          <cell r="AK119">
            <v>2011</v>
          </cell>
          <cell r="AL119" t="str">
            <v>1Q12</v>
          </cell>
          <cell r="AM119" t="str">
            <v>2Q12</v>
          </cell>
          <cell r="AN119" t="str">
            <v>3Q12</v>
          </cell>
          <cell r="AO119" t="str">
            <v>4Q12</v>
          </cell>
          <cell r="AP119">
            <v>2012</v>
          </cell>
          <cell r="AQ119" t="str">
            <v>1Q13</v>
          </cell>
          <cell r="AR119" t="str">
            <v>2Q13</v>
          </cell>
          <cell r="AS119" t="str">
            <v>3Q13</v>
          </cell>
          <cell r="AT119" t="str">
            <v>4Q13</v>
          </cell>
          <cell r="AU119">
            <v>2013</v>
          </cell>
          <cell r="AV119" t="str">
            <v>1Q14</v>
          </cell>
          <cell r="AW119" t="str">
            <v>2Q14</v>
          </cell>
          <cell r="AX119" t="str">
            <v>3Q14</v>
          </cell>
          <cell r="AY119" t="str">
            <v>4Q14</v>
          </cell>
          <cell r="AZ119">
            <v>2014</v>
          </cell>
          <cell r="BA119" t="str">
            <v>1Q15</v>
          </cell>
          <cell r="BB119" t="str">
            <v>2Q15</v>
          </cell>
          <cell r="BC119" t="str">
            <v>3Q15</v>
          </cell>
          <cell r="BD119" t="str">
            <v>4Q15</v>
          </cell>
          <cell r="BE119">
            <v>2015</v>
          </cell>
          <cell r="BF119" t="str">
            <v>1Q16</v>
          </cell>
          <cell r="BG119" t="str">
            <v>2Q16</v>
          </cell>
          <cell r="BH119" t="str">
            <v>3Q16</v>
          </cell>
          <cell r="BI119" t="str">
            <v>4Q16</v>
          </cell>
          <cell r="BJ119">
            <v>2016</v>
          </cell>
          <cell r="BK119" t="str">
            <v>1Q17</v>
          </cell>
          <cell r="BL119" t="str">
            <v>2Q17</v>
          </cell>
          <cell r="BM119" t="str">
            <v>3Q17</v>
          </cell>
          <cell r="BN119" t="str">
            <v>4Q17</v>
          </cell>
          <cell r="BO119">
            <v>2017</v>
          </cell>
          <cell r="BP119" t="str">
            <v>1Q18</v>
          </cell>
          <cell r="BQ119" t="str">
            <v>2Q18</v>
          </cell>
          <cell r="BR119" t="str">
            <v>3Q18</v>
          </cell>
          <cell r="BS119" t="str">
            <v>4Q18</v>
          </cell>
          <cell r="BT119">
            <v>2018</v>
          </cell>
          <cell r="BU119" t="str">
            <v>1Q19</v>
          </cell>
          <cell r="BV119" t="str">
            <v>2Q19</v>
          </cell>
          <cell r="BW119" t="str">
            <v>3Q19</v>
          </cell>
          <cell r="BX119" t="str">
            <v>4Q19</v>
          </cell>
          <cell r="BY119">
            <v>2019</v>
          </cell>
          <cell r="BZ119" t="str">
            <v>1Q20</v>
          </cell>
          <cell r="CA119" t="str">
            <v>2Q20</v>
          </cell>
          <cell r="CB119" t="str">
            <v>3Q20</v>
          </cell>
          <cell r="CC119" t="str">
            <v>4Q20</v>
          </cell>
          <cell r="CD119">
            <v>2020</v>
          </cell>
        </row>
        <row r="120">
          <cell r="A120" t="str">
            <v>Third parties</v>
          </cell>
          <cell r="G120">
            <v>2925</v>
          </cell>
          <cell r="L120">
            <v>3800</v>
          </cell>
          <cell r="Q120">
            <v>2961</v>
          </cell>
          <cell r="V120">
            <v>3764</v>
          </cell>
          <cell r="AA120">
            <v>2449</v>
          </cell>
          <cell r="AF120">
            <v>2755</v>
          </cell>
          <cell r="AK120">
            <v>4227</v>
          </cell>
          <cell r="AP120">
            <v>3981</v>
          </cell>
        </row>
        <row r="121">
          <cell r="A121" t="str">
            <v>Sales between businesses</v>
          </cell>
          <cell r="G121">
            <v>6861</v>
          </cell>
          <cell r="L121">
            <v>8305</v>
          </cell>
          <cell r="Q121">
            <v>9097</v>
          </cell>
          <cell r="V121">
            <v>13001</v>
          </cell>
          <cell r="AA121">
            <v>8170</v>
          </cell>
          <cell r="AF121">
            <v>10672</v>
          </cell>
          <cell r="AK121">
            <v>14495</v>
          </cell>
          <cell r="AP121">
            <v>16450</v>
          </cell>
        </row>
        <row r="122">
          <cell r="A122" t="str">
            <v>Revenue</v>
          </cell>
          <cell r="G122">
            <v>9786</v>
          </cell>
          <cell r="L122">
            <v>12105</v>
          </cell>
          <cell r="Q122">
            <v>12058</v>
          </cell>
          <cell r="V122">
            <v>16765</v>
          </cell>
          <cell r="AA122">
            <v>10619</v>
          </cell>
          <cell r="AF122">
            <v>13427</v>
          </cell>
          <cell r="AK122">
            <v>18722</v>
          </cell>
          <cell r="AP122">
            <v>20431</v>
          </cell>
          <cell r="AQ122">
            <v>6083.1700275736266</v>
          </cell>
          <cell r="AR122">
            <v>4650.4377681070446</v>
          </cell>
          <cell r="AS122">
            <v>4832.4436550751661</v>
          </cell>
          <cell r="AT122">
            <v>4440.1279260214842</v>
          </cell>
          <cell r="AU122">
            <v>20006.17937677732</v>
          </cell>
          <cell r="AV122">
            <v>4853.4384248471315</v>
          </cell>
          <cell r="AW122">
            <v>5185.894936620577</v>
          </cell>
          <cell r="AX122">
            <v>5524.472974067955</v>
          </cell>
          <cell r="AY122">
            <v>5806.0631550689532</v>
          </cell>
          <cell r="AZ122">
            <v>21369.869490604615</v>
          </cell>
          <cell r="BA122">
            <v>5330.0279327265753</v>
          </cell>
          <cell r="BB122">
            <v>5485.03728680323</v>
          </cell>
          <cell r="BC122">
            <v>5642.1518457478123</v>
          </cell>
          <cell r="BD122">
            <v>5738.9912696725805</v>
          </cell>
          <cell r="BE122">
            <v>22196.208334950199</v>
          </cell>
          <cell r="BF122">
            <v>5607.8280580079027</v>
          </cell>
          <cell r="BG122">
            <v>5665.1376879512982</v>
          </cell>
          <cell r="BH122">
            <v>5722.337437219946</v>
          </cell>
          <cell r="BI122">
            <v>5717.282926181434</v>
          </cell>
          <cell r="BJ122">
            <v>22712.586109360582</v>
          </cell>
          <cell r="BK122">
            <v>5699.3156460386581</v>
          </cell>
          <cell r="BL122">
            <v>5773.8377782726275</v>
          </cell>
          <cell r="BM122">
            <v>5848.5085406172657</v>
          </cell>
          <cell r="BN122">
            <v>5859.6314764977851</v>
          </cell>
          <cell r="BO122">
            <v>23181.293441426336</v>
          </cell>
          <cell r="BP122">
            <v>5701.349430322648</v>
          </cell>
          <cell r="BQ122">
            <v>5732.9912540903961</v>
          </cell>
          <cell r="BR122">
            <v>5763.2881655454257</v>
          </cell>
          <cell r="BS122">
            <v>5729.9303778567801</v>
          </cell>
          <cell r="BT122">
            <v>22927.559227815251</v>
          </cell>
          <cell r="BU122">
            <v>5628.3562859680414</v>
          </cell>
          <cell r="BV122">
            <v>5671.9987635072503</v>
          </cell>
          <cell r="BW122">
            <v>5714.7460880296148</v>
          </cell>
          <cell r="BX122">
            <v>5694.6787159551905</v>
          </cell>
          <cell r="BY122">
            <v>22709.779853460095</v>
          </cell>
          <cell r="BZ122">
            <v>5674.540234250233</v>
          </cell>
          <cell r="CA122">
            <v>5777.4889381497878</v>
          </cell>
          <cell r="CB122">
            <v>5881.5872835641003</v>
          </cell>
          <cell r="CC122">
            <v>5922.4713242863954</v>
          </cell>
          <cell r="CD122">
            <v>23256.087780250517</v>
          </cell>
        </row>
        <row r="124">
          <cell r="A124" t="str">
            <v>Production cost excluding taxes</v>
          </cell>
          <cell r="G124">
            <v>-1038</v>
          </cell>
          <cell r="L124">
            <v>-1256</v>
          </cell>
          <cell r="Q124">
            <v>-1313</v>
          </cell>
          <cell r="V124">
            <v>-1331</v>
          </cell>
          <cell r="AA124">
            <v>-1113</v>
          </cell>
          <cell r="AF124">
            <v>-1106</v>
          </cell>
          <cell r="AK124">
            <v>-1301</v>
          </cell>
          <cell r="AP124">
            <v>-1582</v>
          </cell>
          <cell r="AQ124">
            <v>-473.98624045694197</v>
          </cell>
          <cell r="AR124">
            <v>-454.02292287900582</v>
          </cell>
          <cell r="AS124">
            <v>-466.94310769952739</v>
          </cell>
          <cell r="AT124">
            <v>-481.94462082491219</v>
          </cell>
          <cell r="AU124">
            <v>-1876.8968918603873</v>
          </cell>
          <cell r="AV124">
            <v>-532.49194169048474</v>
          </cell>
          <cell r="AW124">
            <v>-545.19903882575113</v>
          </cell>
          <cell r="AX124">
            <v>-558.05537815893763</v>
          </cell>
          <cell r="AY124">
            <v>-564.92051926326974</v>
          </cell>
          <cell r="AZ124">
            <v>-2200.6668779384431</v>
          </cell>
          <cell r="BA124">
            <v>-572.88772367358604</v>
          </cell>
          <cell r="BB124">
            <v>-596.92376715445175</v>
          </cell>
          <cell r="BC124">
            <v>-621.34817600518409</v>
          </cell>
          <cell r="BD124">
            <v>-639.21298301905438</v>
          </cell>
          <cell r="BE124">
            <v>-2430.372649852276</v>
          </cell>
          <cell r="BF124">
            <v>-658.99226618287253</v>
          </cell>
          <cell r="BG124">
            <v>-653.78456053702041</v>
          </cell>
          <cell r="BH124">
            <v>-648.30147374970068</v>
          </cell>
          <cell r="BI124">
            <v>-635.63394124219406</v>
          </cell>
          <cell r="BJ124">
            <v>-2596.7122417117876</v>
          </cell>
          <cell r="BK124">
            <v>-651.4545553275384</v>
          </cell>
          <cell r="BL124">
            <v>-663.69785862836784</v>
          </cell>
          <cell r="BM124">
            <v>-676.05116015673025</v>
          </cell>
          <cell r="BN124">
            <v>-681.11107862324218</v>
          </cell>
          <cell r="BO124">
            <v>-2672.3146527358786</v>
          </cell>
          <cell r="BP124">
            <v>-663.3423226009578</v>
          </cell>
          <cell r="BQ124">
            <v>-650.89152004871312</v>
          </cell>
          <cell r="BR124">
            <v>-638.0050851271634</v>
          </cell>
          <cell r="BS124">
            <v>-617.96599613914452</v>
          </cell>
          <cell r="BT124">
            <v>-2570.2049239159787</v>
          </cell>
          <cell r="BU124">
            <v>-620.95339910422013</v>
          </cell>
          <cell r="BV124">
            <v>-625.17656455166718</v>
          </cell>
          <cell r="BW124">
            <v>-629.3409098504369</v>
          </cell>
          <cell r="BX124">
            <v>-626.63518301127613</v>
          </cell>
          <cell r="BY124">
            <v>-2502.1060565176003</v>
          </cell>
          <cell r="BZ124">
            <v>-621.88401042650389</v>
          </cell>
          <cell r="CA124">
            <v>-616.0167717217164</v>
          </cell>
          <cell r="CB124">
            <v>-609.86871848851456</v>
          </cell>
          <cell r="CC124">
            <v>-596.95125018144745</v>
          </cell>
          <cell r="CD124">
            <v>-2444.7207508181823</v>
          </cell>
        </row>
        <row r="125">
          <cell r="A125" t="str">
            <v>Taxes other than income tax</v>
          </cell>
          <cell r="G125">
            <v>-183</v>
          </cell>
          <cell r="L125">
            <v>-272</v>
          </cell>
          <cell r="Q125">
            <v>-342</v>
          </cell>
          <cell r="V125">
            <v>-639</v>
          </cell>
          <cell r="AA125">
            <v>-185</v>
          </cell>
          <cell r="AF125">
            <v>-333</v>
          </cell>
          <cell r="AK125">
            <v>-588</v>
          </cell>
          <cell r="AP125">
            <v>-410</v>
          </cell>
          <cell r="AQ125">
            <v>-121.66340055147253</v>
          </cell>
          <cell r="AR125">
            <v>-93.008755362140889</v>
          </cell>
          <cell r="AS125">
            <v>-96.648873101503327</v>
          </cell>
          <cell r="AT125">
            <v>-88.802558520429685</v>
          </cell>
          <cell r="AU125">
            <v>-400.12358753554645</v>
          </cell>
          <cell r="AV125">
            <v>-97.068768496942639</v>
          </cell>
          <cell r="AW125">
            <v>-103.71789873241154</v>
          </cell>
          <cell r="AX125">
            <v>-110.48945948135911</v>
          </cell>
          <cell r="AY125">
            <v>-116.12126310137907</v>
          </cell>
          <cell r="AZ125">
            <v>-427.39738981209234</v>
          </cell>
          <cell r="BA125">
            <v>-106.60055865453151</v>
          </cell>
          <cell r="BB125">
            <v>-109.7007457360646</v>
          </cell>
          <cell r="BC125">
            <v>-112.84303691495624</v>
          </cell>
          <cell r="BD125">
            <v>-114.77982539345162</v>
          </cell>
          <cell r="BE125">
            <v>-443.92416669900399</v>
          </cell>
          <cell r="BF125">
            <v>-112.15656116015805</v>
          </cell>
          <cell r="BG125">
            <v>-113.30275375902596</v>
          </cell>
          <cell r="BH125">
            <v>-114.44674874439892</v>
          </cell>
          <cell r="BI125">
            <v>-114.34565852362869</v>
          </cell>
          <cell r="BJ125">
            <v>-454.25172218721161</v>
          </cell>
          <cell r="BK125">
            <v>-113.98631292077316</v>
          </cell>
          <cell r="BL125">
            <v>-115.47675556545255</v>
          </cell>
          <cell r="BM125">
            <v>-116.97017081234532</v>
          </cell>
          <cell r="BN125">
            <v>-117.19262952995571</v>
          </cell>
          <cell r="BO125">
            <v>-463.62586882852673</v>
          </cell>
          <cell r="BP125">
            <v>-114.02698860645296</v>
          </cell>
          <cell r="BQ125">
            <v>-114.65982508180792</v>
          </cell>
          <cell r="BR125">
            <v>-115.26576331090851</v>
          </cell>
          <cell r="BS125">
            <v>-114.59860755713561</v>
          </cell>
          <cell r="BT125">
            <v>-458.55118455630503</v>
          </cell>
          <cell r="BU125">
            <v>-112.56712571936083</v>
          </cell>
          <cell r="BV125">
            <v>-113.43997527014501</v>
          </cell>
          <cell r="BW125">
            <v>-114.2949217605923</v>
          </cell>
          <cell r="BX125">
            <v>-113.89357431910381</v>
          </cell>
          <cell r="BY125">
            <v>-454.19559706920188</v>
          </cell>
          <cell r="BZ125">
            <v>-113.49080468500466</v>
          </cell>
          <cell r="CA125">
            <v>-115.54977876299576</v>
          </cell>
          <cell r="CB125">
            <v>-117.631745671282</v>
          </cell>
          <cell r="CC125">
            <v>-118.44942648572791</v>
          </cell>
          <cell r="CD125">
            <v>-465.12175560501032</v>
          </cell>
        </row>
        <row r="126">
          <cell r="A126" t="str">
            <v>Exploration expense</v>
          </cell>
          <cell r="G126">
            <v>-75</v>
          </cell>
          <cell r="L126">
            <v>-90</v>
          </cell>
          <cell r="Q126">
            <v>-141</v>
          </cell>
          <cell r="V126">
            <v>-131</v>
          </cell>
          <cell r="AA126">
            <v>-208</v>
          </cell>
          <cell r="AF126">
            <v>-275</v>
          </cell>
          <cell r="AK126">
            <v>-326</v>
          </cell>
          <cell r="AP126">
            <v>-461</v>
          </cell>
          <cell r="AQ126">
            <v>-64.8</v>
          </cell>
          <cell r="AR126">
            <v>-122.80000000000001</v>
          </cell>
          <cell r="AS126">
            <v>-163.60000000000002</v>
          </cell>
          <cell r="AT126">
            <v>-176.60000000000002</v>
          </cell>
          <cell r="AU126">
            <v>-527.80000000000007</v>
          </cell>
          <cell r="AV126">
            <v>-92.661000000000001</v>
          </cell>
          <cell r="AW126">
            <v>-92.661000000000001</v>
          </cell>
          <cell r="AX126">
            <v>-92.661000000000001</v>
          </cell>
          <cell r="AY126">
            <v>-92.661000000000016</v>
          </cell>
          <cell r="AZ126">
            <v>-370.64400000000001</v>
          </cell>
          <cell r="BA126">
            <v>-79.095000000000013</v>
          </cell>
          <cell r="BB126">
            <v>-79.095000000000027</v>
          </cell>
          <cell r="BC126">
            <v>-79.095000000000013</v>
          </cell>
          <cell r="BD126">
            <v>-79.094999999999985</v>
          </cell>
          <cell r="BE126">
            <v>-316.38000000000005</v>
          </cell>
          <cell r="BF126">
            <v>-62.739166666666669</v>
          </cell>
          <cell r="BG126">
            <v>-62.739166666666669</v>
          </cell>
          <cell r="BH126">
            <v>-62.739166666666669</v>
          </cell>
          <cell r="BI126">
            <v>-62.739166666666669</v>
          </cell>
          <cell r="BJ126">
            <v>-250.95666666666668</v>
          </cell>
          <cell r="BK126">
            <v>-62.421666666666674</v>
          </cell>
          <cell r="BL126">
            <v>-62.421666666666674</v>
          </cell>
          <cell r="BM126">
            <v>-62.421666666666674</v>
          </cell>
          <cell r="BN126">
            <v>-62.421666666666674</v>
          </cell>
          <cell r="BO126">
            <v>-249.6866666666667</v>
          </cell>
          <cell r="BP126">
            <v>-61.515625</v>
          </cell>
          <cell r="BQ126">
            <v>-61.515625</v>
          </cell>
          <cell r="BR126">
            <v>-61.515625</v>
          </cell>
          <cell r="BS126">
            <v>-61.515625</v>
          </cell>
          <cell r="BT126">
            <v>-246.0625</v>
          </cell>
          <cell r="BU126">
            <v>-61.78125</v>
          </cell>
          <cell r="BV126">
            <v>-61.78125</v>
          </cell>
          <cell r="BW126">
            <v>-61.78125</v>
          </cell>
          <cell r="BX126">
            <v>-61.78125</v>
          </cell>
          <cell r="BY126">
            <v>-247.125</v>
          </cell>
          <cell r="BZ126">
            <v>-61.78125</v>
          </cell>
          <cell r="CA126">
            <v>-61.78125</v>
          </cell>
          <cell r="CB126">
            <v>-61.78125</v>
          </cell>
          <cell r="CC126">
            <v>-61.78125</v>
          </cell>
          <cell r="CD126">
            <v>-247.125</v>
          </cell>
        </row>
        <row r="127">
          <cell r="A127" t="str">
            <v>DD&amp;A</v>
          </cell>
          <cell r="G127">
            <v>-817</v>
          </cell>
          <cell r="L127">
            <v>-880</v>
          </cell>
          <cell r="Q127">
            <v>-893</v>
          </cell>
          <cell r="V127">
            <v>-1299</v>
          </cell>
          <cell r="AA127">
            <v>-937</v>
          </cell>
          <cell r="AF127">
            <v>-748</v>
          </cell>
          <cell r="AK127">
            <v>-1008</v>
          </cell>
          <cell r="AP127">
            <v>-1222</v>
          </cell>
          <cell r="AQ127">
            <v>-390.23447640732036</v>
          </cell>
          <cell r="AR127">
            <v>-373.79860946133323</v>
          </cell>
          <cell r="AS127">
            <v>-384.43584136422862</v>
          </cell>
          <cell r="AT127">
            <v>-396.7866379066736</v>
          </cell>
          <cell r="AU127">
            <v>-1545.255565139556</v>
          </cell>
          <cell r="AV127">
            <v>-452.87517677191801</v>
          </cell>
          <cell r="AW127">
            <v>-463.68234287310321</v>
          </cell>
          <cell r="AX127">
            <v>-474.61643687962032</v>
          </cell>
          <cell r="AY127">
            <v>-480.45512052489448</v>
          </cell>
          <cell r="AZ127">
            <v>-1871.6290770495361</v>
          </cell>
          <cell r="BA127">
            <v>-512.45053332627481</v>
          </cell>
          <cell r="BB127">
            <v>-533.95087762033609</v>
          </cell>
          <cell r="BC127">
            <v>-555.79861640844842</v>
          </cell>
          <cell r="BD127">
            <v>-571.77876313479885</v>
          </cell>
          <cell r="BE127">
            <v>-2173.9787904898581</v>
          </cell>
          <cell r="BF127">
            <v>-616.732794638987</v>
          </cell>
          <cell r="BG127">
            <v>-611.85904570225478</v>
          </cell>
          <cell r="BH127">
            <v>-606.72757510521842</v>
          </cell>
          <cell r="BI127">
            <v>-594.87237873123422</v>
          </cell>
          <cell r="BJ127">
            <v>-2430.1917941776946</v>
          </cell>
          <cell r="BK127">
            <v>-634.96674462671774</v>
          </cell>
          <cell r="BL127">
            <v>-646.90017939485222</v>
          </cell>
          <cell r="BM127">
            <v>-658.94082842049727</v>
          </cell>
          <cell r="BN127">
            <v>-663.87268426597882</v>
          </cell>
          <cell r="BO127">
            <v>-2604.6804367080463</v>
          </cell>
          <cell r="BP127">
            <v>-670.67799864519316</v>
          </cell>
          <cell r="BQ127">
            <v>-658.08950692266319</v>
          </cell>
          <cell r="BR127">
            <v>-645.0605653213363</v>
          </cell>
          <cell r="BS127">
            <v>-624.7998708966835</v>
          </cell>
          <cell r="BT127">
            <v>-2598.6279417858764</v>
          </cell>
          <cell r="BU127">
            <v>-648.94142774178874</v>
          </cell>
          <cell r="BV127">
            <v>-653.35494253856677</v>
          </cell>
          <cell r="BW127">
            <v>-657.70698600542255</v>
          </cell>
          <cell r="BX127">
            <v>-654.87930482899742</v>
          </cell>
          <cell r="BY127">
            <v>-2614.8826611147751</v>
          </cell>
          <cell r="BZ127">
            <v>-669.66087276646726</v>
          </cell>
          <cell r="CA127">
            <v>-663.34287756816252</v>
          </cell>
          <cell r="CB127">
            <v>-656.72249398387169</v>
          </cell>
          <cell r="CC127">
            <v>-642.81262822850181</v>
          </cell>
          <cell r="CD127">
            <v>-2632.5388725470029</v>
          </cell>
        </row>
        <row r="128">
          <cell r="A128" t="str">
            <v>Other income/(cost)</v>
          </cell>
          <cell r="G128">
            <v>-480</v>
          </cell>
          <cell r="L128">
            <v>-1128</v>
          </cell>
          <cell r="Q128">
            <v>-1529</v>
          </cell>
          <cell r="V128">
            <v>-2107</v>
          </cell>
          <cell r="AA128">
            <v>-2458</v>
          </cell>
          <cell r="AF128">
            <v>-2748</v>
          </cell>
          <cell r="AK128">
            <v>-3242</v>
          </cell>
          <cell r="AP128">
            <v>-3157</v>
          </cell>
          <cell r="AQ128">
            <v>-750</v>
          </cell>
          <cell r="AR128">
            <v>-750</v>
          </cell>
          <cell r="AS128">
            <v>-750</v>
          </cell>
          <cell r="AT128">
            <v>-750</v>
          </cell>
          <cell r="AU128">
            <v>-3000</v>
          </cell>
          <cell r="AV128">
            <v>-750</v>
          </cell>
          <cell r="AW128">
            <v>-750</v>
          </cell>
          <cell r="AX128">
            <v>-750</v>
          </cell>
          <cell r="AY128">
            <v>-750</v>
          </cell>
          <cell r="AZ128">
            <v>-3000</v>
          </cell>
          <cell r="BA128">
            <v>-750</v>
          </cell>
          <cell r="BB128">
            <v>-750</v>
          </cell>
          <cell r="BC128">
            <v>-750</v>
          </cell>
          <cell r="BD128">
            <v>-750</v>
          </cell>
          <cell r="BE128">
            <v>-3000</v>
          </cell>
          <cell r="BF128">
            <v>-750</v>
          </cell>
          <cell r="BG128">
            <v>-750</v>
          </cell>
          <cell r="BH128">
            <v>-750</v>
          </cell>
          <cell r="BI128">
            <v>-750</v>
          </cell>
          <cell r="BJ128">
            <v>-3000</v>
          </cell>
          <cell r="BK128">
            <v>-750</v>
          </cell>
          <cell r="BL128">
            <v>-750</v>
          </cell>
          <cell r="BM128">
            <v>-750</v>
          </cell>
          <cell r="BN128">
            <v>-750</v>
          </cell>
          <cell r="BO128">
            <v>-3000</v>
          </cell>
          <cell r="BP128">
            <v>-750</v>
          </cell>
          <cell r="BQ128">
            <v>-750</v>
          </cell>
          <cell r="BR128">
            <v>-750</v>
          </cell>
          <cell r="BS128">
            <v>-750</v>
          </cell>
          <cell r="BT128">
            <v>-3000</v>
          </cell>
          <cell r="BU128">
            <v>-750</v>
          </cell>
          <cell r="BV128">
            <v>-750</v>
          </cell>
          <cell r="BW128">
            <v>-750</v>
          </cell>
          <cell r="BX128">
            <v>-750</v>
          </cell>
          <cell r="BY128">
            <v>-3000</v>
          </cell>
          <cell r="BZ128">
            <v>-750</v>
          </cell>
          <cell r="CA128">
            <v>-750</v>
          </cell>
          <cell r="CB128">
            <v>-750</v>
          </cell>
          <cell r="CC128">
            <v>-750</v>
          </cell>
          <cell r="CD128">
            <v>-3000</v>
          </cell>
        </row>
        <row r="129">
          <cell r="A129" t="str">
            <v>Earnings before tax</v>
          </cell>
          <cell r="G129">
            <v>7193</v>
          </cell>
          <cell r="L129">
            <v>8479</v>
          </cell>
          <cell r="Q129">
            <v>7840</v>
          </cell>
          <cell r="V129">
            <v>11258</v>
          </cell>
          <cell r="AA129">
            <v>5718</v>
          </cell>
          <cell r="AF129">
            <v>8217</v>
          </cell>
          <cell r="AK129">
            <v>12257</v>
          </cell>
          <cell r="AP129">
            <v>13599</v>
          </cell>
          <cell r="AQ129">
            <v>4282.4859101578913</v>
          </cell>
          <cell r="AR129">
            <v>2856.8074804045646</v>
          </cell>
          <cell r="AS129">
            <v>2970.8158329099069</v>
          </cell>
          <cell r="AT129">
            <v>2545.9941087694688</v>
          </cell>
          <cell r="AU129">
            <v>12656.103332241833</v>
          </cell>
          <cell r="AV129">
            <v>2928.3415378877858</v>
          </cell>
          <cell r="AW129">
            <v>3230.6346561893115</v>
          </cell>
          <cell r="AX129">
            <v>3538.6506995480377</v>
          </cell>
          <cell r="AY129">
            <v>3801.9052521794101</v>
          </cell>
          <cell r="AZ129">
            <v>13499.532145804544</v>
          </cell>
          <cell r="BA129">
            <v>3308.9941170721822</v>
          </cell>
          <cell r="BB129">
            <v>3415.3668962923784</v>
          </cell>
          <cell r="BC129">
            <v>3523.0670164192234</v>
          </cell>
          <cell r="BD129">
            <v>3584.1246981252752</v>
          </cell>
          <cell r="BE129">
            <v>13831.552727909057</v>
          </cell>
          <cell r="BF129">
            <v>3407.207269359219</v>
          </cell>
          <cell r="BG129">
            <v>3473.4521612863309</v>
          </cell>
          <cell r="BH129">
            <v>3540.1224729539617</v>
          </cell>
          <cell r="BI129">
            <v>3559.691781017711</v>
          </cell>
          <cell r="BJ129">
            <v>13980.473684617224</v>
          </cell>
          <cell r="BK129">
            <v>3486.4863664969616</v>
          </cell>
          <cell r="BL129">
            <v>3535.3413180172884</v>
          </cell>
          <cell r="BM129">
            <v>3584.124714561025</v>
          </cell>
          <cell r="BN129">
            <v>3585.0334174119416</v>
          </cell>
          <cell r="BO129">
            <v>14190.985816487217</v>
          </cell>
          <cell r="BP129">
            <v>3441.7864954700435</v>
          </cell>
          <cell r="BQ129">
            <v>3497.834777037212</v>
          </cell>
          <cell r="BR129">
            <v>3553.4411267860178</v>
          </cell>
          <cell r="BS129">
            <v>3561.0502782638168</v>
          </cell>
          <cell r="BT129">
            <v>14054.112677557092</v>
          </cell>
          <cell r="BU129">
            <v>3434.1130834026717</v>
          </cell>
          <cell r="BV129">
            <v>3468.2460311468712</v>
          </cell>
          <cell r="BW129">
            <v>3501.6220204131632</v>
          </cell>
          <cell r="BX129">
            <v>3487.4894037958129</v>
          </cell>
          <cell r="BY129">
            <v>13891.470538758516</v>
          </cell>
          <cell r="BZ129">
            <v>3457.7232963722572</v>
          </cell>
          <cell r="CA129">
            <v>3570.7982600969135</v>
          </cell>
          <cell r="CB129">
            <v>3685.5830754204317</v>
          </cell>
          <cell r="CC129">
            <v>3752.4767693907188</v>
          </cell>
          <cell r="CD129">
            <v>14466.58140128032</v>
          </cell>
        </row>
        <row r="131">
          <cell r="A131" t="str">
            <v>Taxation</v>
          </cell>
          <cell r="G131">
            <v>-5190</v>
          </cell>
          <cell r="L131">
            <v>-6331</v>
          </cell>
          <cell r="Q131">
            <v>-6499</v>
          </cell>
          <cell r="V131">
            <v>-9098</v>
          </cell>
          <cell r="AA131">
            <v>-4744</v>
          </cell>
          <cell r="AF131">
            <v>-6752</v>
          </cell>
          <cell r="AK131">
            <v>-9748</v>
          </cell>
          <cell r="AP131">
            <v>-10742</v>
          </cell>
          <cell r="AQ131">
            <v>-3425.9887281263132</v>
          </cell>
          <cell r="AR131">
            <v>-2285.4459843236518</v>
          </cell>
          <cell r="AS131">
            <v>-2376.6526663279255</v>
          </cell>
          <cell r="AT131">
            <v>-2036.795287015575</v>
          </cell>
          <cell r="AU131">
            <v>-10124.882665793466</v>
          </cell>
          <cell r="AV131">
            <v>-2342.6732303102285</v>
          </cell>
          <cell r="AW131">
            <v>-2584.5077249514493</v>
          </cell>
          <cell r="AX131">
            <v>-2830.9205596384304</v>
          </cell>
          <cell r="AY131">
            <v>-3041.5242017435285</v>
          </cell>
          <cell r="AZ131">
            <v>-10799.625716643637</v>
          </cell>
          <cell r="BA131">
            <v>-2647.1952936577459</v>
          </cell>
          <cell r="BB131">
            <v>-2732.2935170339028</v>
          </cell>
          <cell r="BC131">
            <v>-2818.4536131353789</v>
          </cell>
          <cell r="BD131">
            <v>-2867.2997585002204</v>
          </cell>
          <cell r="BE131">
            <v>-11065.242182327249</v>
          </cell>
          <cell r="BF131">
            <v>-2725.7658154873752</v>
          </cell>
          <cell r="BG131">
            <v>-2778.761729029065</v>
          </cell>
          <cell r="BH131">
            <v>-2832.0979783631697</v>
          </cell>
          <cell r="BI131">
            <v>-2847.7534248141692</v>
          </cell>
          <cell r="BJ131">
            <v>-11184.37894769378</v>
          </cell>
          <cell r="BK131">
            <v>-2789.1890931975695</v>
          </cell>
          <cell r="BL131">
            <v>-2828.2730544138308</v>
          </cell>
          <cell r="BM131">
            <v>-2867.2997716488203</v>
          </cell>
          <cell r="BN131">
            <v>-2868.0267339295533</v>
          </cell>
          <cell r="BO131">
            <v>-11352.788653189775</v>
          </cell>
          <cell r="BP131">
            <v>-2753.4291963760352</v>
          </cell>
          <cell r="BQ131">
            <v>-2798.26782162977</v>
          </cell>
          <cell r="BR131">
            <v>-2842.7529014288143</v>
          </cell>
          <cell r="BS131">
            <v>-2848.8402226110538</v>
          </cell>
          <cell r="BT131">
            <v>-11243.290142045673</v>
          </cell>
          <cell r="BU131">
            <v>-2747.2904667221374</v>
          </cell>
          <cell r="BV131">
            <v>-2774.5968249174971</v>
          </cell>
          <cell r="BW131">
            <v>-2801.2976163305307</v>
          </cell>
          <cell r="BX131">
            <v>-2789.9915230366505</v>
          </cell>
          <cell r="BY131">
            <v>-11113.176431006814</v>
          </cell>
          <cell r="BZ131">
            <v>-2766.1786370978061</v>
          </cell>
          <cell r="CA131">
            <v>-2856.638608077531</v>
          </cell>
          <cell r="CB131">
            <v>-2948.4664603363453</v>
          </cell>
          <cell r="CC131">
            <v>-3001.981415512575</v>
          </cell>
          <cell r="CD131">
            <v>-11573.265121024258</v>
          </cell>
        </row>
        <row r="132">
          <cell r="A132" t="str">
            <v>Earnings after tax</v>
          </cell>
          <cell r="G132">
            <v>2003</v>
          </cell>
          <cell r="L132">
            <v>2148</v>
          </cell>
          <cell r="Q132">
            <v>1341</v>
          </cell>
          <cell r="V132">
            <v>2160</v>
          </cell>
          <cell r="AA132">
            <v>974</v>
          </cell>
          <cell r="AF132">
            <v>1465</v>
          </cell>
          <cell r="AK132">
            <v>2509</v>
          </cell>
          <cell r="AP132">
            <v>2857</v>
          </cell>
          <cell r="AQ132">
            <v>856.49718203157818</v>
          </cell>
          <cell r="AR132">
            <v>571.36149608091273</v>
          </cell>
          <cell r="AS132">
            <v>594.16316658198139</v>
          </cell>
          <cell r="AT132">
            <v>509.19882175389375</v>
          </cell>
          <cell r="AU132">
            <v>2531.2206664483674</v>
          </cell>
          <cell r="AV132">
            <v>585.66830757755724</v>
          </cell>
          <cell r="AW132">
            <v>646.12693123786221</v>
          </cell>
          <cell r="AX132">
            <v>707.73013990960726</v>
          </cell>
          <cell r="AY132">
            <v>760.38105043588166</v>
          </cell>
          <cell r="AZ132">
            <v>2699.9064291609066</v>
          </cell>
          <cell r="BA132">
            <v>661.79882341443636</v>
          </cell>
          <cell r="BB132">
            <v>683.0733792584756</v>
          </cell>
          <cell r="BC132">
            <v>704.61340328384449</v>
          </cell>
          <cell r="BD132">
            <v>716.82493962505487</v>
          </cell>
          <cell r="BE132">
            <v>2766.3105455818077</v>
          </cell>
          <cell r="BF132">
            <v>681.44145387184381</v>
          </cell>
          <cell r="BG132">
            <v>694.69043225726591</v>
          </cell>
          <cell r="BH132">
            <v>708.02449459079207</v>
          </cell>
          <cell r="BI132">
            <v>711.93835620354184</v>
          </cell>
          <cell r="BJ132">
            <v>2796.0947369234436</v>
          </cell>
          <cell r="BK132">
            <v>697.29727329939215</v>
          </cell>
          <cell r="BL132">
            <v>707.06826360345758</v>
          </cell>
          <cell r="BM132">
            <v>716.82494291220473</v>
          </cell>
          <cell r="BN132">
            <v>717.00668348238833</v>
          </cell>
          <cell r="BO132">
            <v>2838.1971632974419</v>
          </cell>
          <cell r="BP132">
            <v>688.35729909400834</v>
          </cell>
          <cell r="BQ132">
            <v>699.56695540744204</v>
          </cell>
          <cell r="BR132">
            <v>710.68822535720346</v>
          </cell>
          <cell r="BS132">
            <v>712.210055652763</v>
          </cell>
          <cell r="BT132">
            <v>2810.8225355114191</v>
          </cell>
          <cell r="BU132">
            <v>686.82261668053434</v>
          </cell>
          <cell r="BV132">
            <v>693.64920622937416</v>
          </cell>
          <cell r="BW132">
            <v>700.32440408263255</v>
          </cell>
          <cell r="BX132">
            <v>697.4978807591624</v>
          </cell>
          <cell r="BY132">
            <v>2778.2941077517025</v>
          </cell>
          <cell r="BZ132">
            <v>691.54465927445108</v>
          </cell>
          <cell r="CA132">
            <v>714.15965201938252</v>
          </cell>
          <cell r="CB132">
            <v>737.11661508408633</v>
          </cell>
          <cell r="CC132">
            <v>750.49535387814376</v>
          </cell>
          <cell r="CD132">
            <v>2893.3162802560619</v>
          </cell>
        </row>
        <row r="134">
          <cell r="A134" t="str">
            <v>Production</v>
          </cell>
        </row>
        <row r="135">
          <cell r="B135" t="str">
            <v>Oil and NGL (kbbl/d)</v>
          </cell>
          <cell r="C135">
            <v>497</v>
          </cell>
          <cell r="D135">
            <v>514.4</v>
          </cell>
          <cell r="E135">
            <v>446.6</v>
          </cell>
          <cell r="F135">
            <v>395</v>
          </cell>
          <cell r="G135">
            <v>358</v>
          </cell>
          <cell r="L135">
            <v>344</v>
          </cell>
          <cell r="Q135">
            <v>291</v>
          </cell>
          <cell r="V135">
            <v>282</v>
          </cell>
          <cell r="AA135">
            <v>278</v>
          </cell>
          <cell r="AF135">
            <v>271</v>
          </cell>
          <cell r="AK135">
            <v>282</v>
          </cell>
          <cell r="AP135">
            <v>307</v>
          </cell>
          <cell r="AQ135">
            <v>370.36949577599995</v>
          </cell>
          <cell r="AR135">
            <v>341.65649859199999</v>
          </cell>
          <cell r="AS135">
            <v>345.94350140800003</v>
          </cell>
          <cell r="AT135">
            <v>387.23050422399996</v>
          </cell>
          <cell r="AU135">
            <v>361.3</v>
          </cell>
          <cell r="AV135">
            <v>388.21925208959982</v>
          </cell>
          <cell r="AW135">
            <v>416.14641736319999</v>
          </cell>
          <cell r="AX135">
            <v>444.07358263680004</v>
          </cell>
          <cell r="AY135">
            <v>472.00074791039998</v>
          </cell>
          <cell r="AZ135">
            <v>430.10999999999996</v>
          </cell>
          <cell r="BA135">
            <v>445.50341847935988</v>
          </cell>
          <cell r="BB135">
            <v>450.98113949311994</v>
          </cell>
          <cell r="BC135">
            <v>456.45886050688</v>
          </cell>
          <cell r="BD135">
            <v>461.93658152064006</v>
          </cell>
          <cell r="BE135">
            <v>453.72</v>
          </cell>
          <cell r="BF135">
            <v>490.35594891238406</v>
          </cell>
          <cell r="BG135">
            <v>487.78531630412795</v>
          </cell>
          <cell r="BH135">
            <v>485.21468369587205</v>
          </cell>
          <cell r="BI135">
            <v>482.64405108761594</v>
          </cell>
          <cell r="BJ135">
            <v>486.5</v>
          </cell>
          <cell r="BK135">
            <v>492.18043065256961</v>
          </cell>
          <cell r="BL135">
            <v>490.10681021752328</v>
          </cell>
          <cell r="BM135">
            <v>488.03318978247682</v>
          </cell>
          <cell r="BN135">
            <v>485.95956934743037</v>
          </cell>
          <cell r="BO135">
            <v>489.07000000000005</v>
          </cell>
          <cell r="BP135">
            <v>477.7157416084583</v>
          </cell>
          <cell r="BQ135">
            <v>469.4919138694861</v>
          </cell>
          <cell r="BR135">
            <v>461.26808613051389</v>
          </cell>
          <cell r="BS135">
            <v>453.0442583915418</v>
          </cell>
          <cell r="BT135">
            <v>465.38</v>
          </cell>
          <cell r="BU135">
            <v>453.64255503492507</v>
          </cell>
          <cell r="BV135">
            <v>449.46085167830836</v>
          </cell>
          <cell r="BW135">
            <v>445.27914832169165</v>
          </cell>
          <cell r="BX135">
            <v>441.09744496507494</v>
          </cell>
          <cell r="BY135">
            <v>447.37</v>
          </cell>
          <cell r="BZ135">
            <v>442.13646697904494</v>
          </cell>
          <cell r="CA135">
            <v>435.88548899301497</v>
          </cell>
          <cell r="CB135">
            <v>429.63451100698501</v>
          </cell>
          <cell r="CC135">
            <v>423.38353302095493</v>
          </cell>
          <cell r="CD135">
            <v>432.76</v>
          </cell>
        </row>
        <row r="136">
          <cell r="B136" t="str">
            <v>Natural gas - other Asia (mmcf/d)</v>
          </cell>
          <cell r="C136">
            <v>1303.19</v>
          </cell>
          <cell r="D136">
            <v>1630.72</v>
          </cell>
          <cell r="E136">
            <v>1424.4099999999999</v>
          </cell>
          <cell r="F136">
            <v>1413.8600000000001</v>
          </cell>
          <cell r="G136">
            <v>1084</v>
          </cell>
          <cell r="L136">
            <v>1224</v>
          </cell>
          <cell r="Q136">
            <v>1210</v>
          </cell>
          <cell r="V136">
            <v>1361</v>
          </cell>
          <cell r="AA136">
            <v>1404</v>
          </cell>
          <cell r="AF136">
            <v>1324</v>
          </cell>
          <cell r="AK136">
            <v>1252</v>
          </cell>
          <cell r="AP136">
            <v>1349</v>
          </cell>
          <cell r="AQ136">
            <v>1308.8740022080001</v>
          </cell>
          <cell r="AR136">
            <v>1001.5380007359997</v>
          </cell>
          <cell r="AS136">
            <v>775.20199926400039</v>
          </cell>
          <cell r="AT136">
            <v>391.86599779200014</v>
          </cell>
          <cell r="AU136">
            <v>869.36999999999966</v>
          </cell>
          <cell r="AV136">
            <v>803.27959867520008</v>
          </cell>
          <cell r="AW136">
            <v>814.69319955840001</v>
          </cell>
          <cell r="AX136">
            <v>826.10680044159983</v>
          </cell>
          <cell r="AY136">
            <v>837.52040132479965</v>
          </cell>
          <cell r="AZ136">
            <v>820.39999999999964</v>
          </cell>
          <cell r="BA136">
            <v>968.89624079488021</v>
          </cell>
          <cell r="BB136">
            <v>1000.2720802649603</v>
          </cell>
          <cell r="BC136">
            <v>1031.6479197350404</v>
          </cell>
          <cell r="BD136">
            <v>1063.0237592051205</v>
          </cell>
          <cell r="BE136">
            <v>1015.9600000000005</v>
          </cell>
          <cell r="BF136">
            <v>1124.4342555230724</v>
          </cell>
          <cell r="BG136">
            <v>1135.8447518410248</v>
          </cell>
          <cell r="BH136">
            <v>1147.2552481589764</v>
          </cell>
          <cell r="BI136">
            <v>1158.6657444769287</v>
          </cell>
          <cell r="BJ136">
            <v>1141.5500000000002</v>
          </cell>
          <cell r="BK136">
            <v>1153.1194466861571</v>
          </cell>
          <cell r="BL136">
            <v>1147.5731488953854</v>
          </cell>
          <cell r="BM136">
            <v>1142.0268511046138</v>
          </cell>
          <cell r="BN136">
            <v>1136.4805533138431</v>
          </cell>
          <cell r="BO136">
            <v>1144.8000000000002</v>
          </cell>
          <cell r="BP136">
            <v>1138.1443319883056</v>
          </cell>
          <cell r="BQ136">
            <v>1139.8081106627685</v>
          </cell>
          <cell r="BR136">
            <v>1141.4718893372315</v>
          </cell>
          <cell r="BS136">
            <v>1143.1356680116944</v>
          </cell>
          <cell r="BT136">
            <v>1140.6399999999999</v>
          </cell>
          <cell r="BU136">
            <v>1131.2454008070167</v>
          </cell>
          <cell r="BV136">
            <v>1119.3551336023386</v>
          </cell>
          <cell r="BW136">
            <v>1107.4648663976609</v>
          </cell>
          <cell r="BX136">
            <v>1095.5745991929832</v>
          </cell>
          <cell r="BY136">
            <v>1113.4099999999999</v>
          </cell>
          <cell r="BZ136">
            <v>1134.07275951579</v>
          </cell>
          <cell r="CA136">
            <v>1172.5709198385966</v>
          </cell>
          <cell r="CB136">
            <v>1211.0690801614037</v>
          </cell>
          <cell r="CC136">
            <v>1249.5672404842101</v>
          </cell>
          <cell r="CD136">
            <v>1191.8200000000002</v>
          </cell>
        </row>
        <row r="137">
          <cell r="B137" t="str">
            <v>Natural gas - Pearl GTL (mmcf/d)</v>
          </cell>
          <cell r="F137">
            <v>0</v>
          </cell>
          <cell r="G137">
            <v>0</v>
          </cell>
          <cell r="L137">
            <v>0</v>
          </cell>
          <cell r="Q137">
            <v>0</v>
          </cell>
          <cell r="V137">
            <v>0</v>
          </cell>
          <cell r="AA137">
            <v>0</v>
          </cell>
          <cell r="AF137">
            <v>0</v>
          </cell>
          <cell r="AG137">
            <v>40</v>
          </cell>
          <cell r="AH137">
            <v>80</v>
          </cell>
          <cell r="AI137">
            <v>120</v>
          </cell>
          <cell r="AJ137">
            <v>160</v>
          </cell>
          <cell r="AK137">
            <v>100</v>
          </cell>
          <cell r="AL137">
            <v>176</v>
          </cell>
          <cell r="AM137">
            <v>192</v>
          </cell>
          <cell r="AN137">
            <v>208</v>
          </cell>
          <cell r="AO137">
            <v>224</v>
          </cell>
          <cell r="AP137">
            <v>200</v>
          </cell>
          <cell r="AQ137">
            <v>490.08000000000004</v>
          </cell>
          <cell r="AR137">
            <v>756.16000000000008</v>
          </cell>
          <cell r="AS137">
            <v>1022.2400000000001</v>
          </cell>
          <cell r="AT137">
            <v>1288.3200000000002</v>
          </cell>
          <cell r="AU137">
            <v>889.2</v>
          </cell>
          <cell r="AV137">
            <v>1168.192</v>
          </cell>
          <cell r="AW137">
            <v>1048.0639999999999</v>
          </cell>
          <cell r="AX137">
            <v>927.93599999999981</v>
          </cell>
          <cell r="AY137">
            <v>807.80799999999977</v>
          </cell>
          <cell r="AZ137">
            <v>988</v>
          </cell>
          <cell r="BA137">
            <v>879.88479999999981</v>
          </cell>
          <cell r="BB137">
            <v>951.96159999999986</v>
          </cell>
          <cell r="BC137">
            <v>1024.0383999999999</v>
          </cell>
          <cell r="BD137">
            <v>1096.1152</v>
          </cell>
          <cell r="BE137">
            <v>988</v>
          </cell>
          <cell r="BF137">
            <v>1006.06912</v>
          </cell>
          <cell r="BG137">
            <v>916.02304000000004</v>
          </cell>
          <cell r="BH137">
            <v>825.97696000000008</v>
          </cell>
          <cell r="BI137">
            <v>735.93088000000012</v>
          </cell>
          <cell r="BJ137">
            <v>871</v>
          </cell>
          <cell r="BK137">
            <v>789.95852800000011</v>
          </cell>
          <cell r="BL137">
            <v>843.98617600000011</v>
          </cell>
          <cell r="BM137">
            <v>898.01382400000011</v>
          </cell>
          <cell r="BN137">
            <v>952.04147200000011</v>
          </cell>
          <cell r="BO137">
            <v>871</v>
          </cell>
          <cell r="BP137">
            <v>857.22488320000002</v>
          </cell>
          <cell r="BQ137">
            <v>762.40829439999993</v>
          </cell>
          <cell r="BR137">
            <v>667.59170559999984</v>
          </cell>
          <cell r="BS137">
            <v>572.77511679999975</v>
          </cell>
          <cell r="BT137">
            <v>715</v>
          </cell>
          <cell r="BU137">
            <v>590.3650700799999</v>
          </cell>
          <cell r="BV137">
            <v>607.95502336000004</v>
          </cell>
          <cell r="BW137">
            <v>625.54497664000019</v>
          </cell>
          <cell r="BX137">
            <v>643.13492992000033</v>
          </cell>
          <cell r="BY137">
            <v>616.75</v>
          </cell>
          <cell r="BZ137">
            <v>554.47295795200023</v>
          </cell>
          <cell r="CA137">
            <v>465.81098598400013</v>
          </cell>
          <cell r="CB137">
            <v>377.14901401600002</v>
          </cell>
          <cell r="CC137">
            <v>288.48704204799992</v>
          </cell>
          <cell r="CD137">
            <v>421.48</v>
          </cell>
        </row>
        <row r="138">
          <cell r="B138" t="str">
            <v>Total</v>
          </cell>
          <cell r="C138">
            <v>721.68793103448274</v>
          </cell>
          <cell r="D138">
            <v>795.55862068965519</v>
          </cell>
          <cell r="E138">
            <v>692.18793103448274</v>
          </cell>
          <cell r="F138">
            <v>638.76896551724144</v>
          </cell>
          <cell r="G138">
            <v>544.89655172413791</v>
          </cell>
          <cell r="L138">
            <v>555.0344827586207</v>
          </cell>
          <cell r="Q138">
            <v>499.62068965517244</v>
          </cell>
          <cell r="V138">
            <v>516.65517241379314</v>
          </cell>
          <cell r="AA138">
            <v>520.06896551724139</v>
          </cell>
          <cell r="AF138">
            <v>499.27586206896552</v>
          </cell>
          <cell r="AK138">
            <v>515.10344827586209</v>
          </cell>
          <cell r="AP138">
            <v>574.06896551724139</v>
          </cell>
          <cell r="AQ138">
            <v>680.53397891531029</v>
          </cell>
          <cell r="AR138">
            <v>644.70787802924133</v>
          </cell>
          <cell r="AS138">
            <v>655.84729438455179</v>
          </cell>
          <cell r="AT138">
            <v>676.91774522262074</v>
          </cell>
          <cell r="AU138">
            <v>664.50172413793098</v>
          </cell>
          <cell r="AV138">
            <v>728.12814841291015</v>
          </cell>
          <cell r="AW138">
            <v>737.31145176982068</v>
          </cell>
          <cell r="AX138">
            <v>746.49475512673098</v>
          </cell>
          <cell r="AY138">
            <v>755.67805848364128</v>
          </cell>
          <cell r="AZ138">
            <v>741.90310344827571</v>
          </cell>
          <cell r="BA138">
            <v>764.25877034054611</v>
          </cell>
          <cell r="BB138">
            <v>787.57315333190627</v>
          </cell>
          <cell r="BC138">
            <v>810.8875363232662</v>
          </cell>
          <cell r="BD138">
            <v>834.20191931462637</v>
          </cell>
          <cell r="BE138">
            <v>799.23034482758635</v>
          </cell>
          <cell r="BF138">
            <v>857.68411710601731</v>
          </cell>
          <cell r="BG138">
            <v>841.55562524223569</v>
          </cell>
          <cell r="BH138">
            <v>825.42713337845419</v>
          </cell>
          <cell r="BI138">
            <v>809.29864151467268</v>
          </cell>
          <cell r="BJ138">
            <v>833.49137931034488</v>
          </cell>
          <cell r="BK138">
            <v>827.19387456397601</v>
          </cell>
          <cell r="BL138">
            <v>833.47910761327944</v>
          </cell>
          <cell r="BM138">
            <v>839.76434066258275</v>
          </cell>
          <cell r="BN138">
            <v>846.04957371188607</v>
          </cell>
          <cell r="BO138">
            <v>836.6217241379311</v>
          </cell>
          <cell r="BP138">
            <v>821.74491664092477</v>
          </cell>
          <cell r="BQ138">
            <v>797.46025956996345</v>
          </cell>
          <cell r="BR138">
            <v>773.17560249900203</v>
          </cell>
          <cell r="BS138">
            <v>748.89094542804082</v>
          </cell>
          <cell r="BT138">
            <v>785.31793103448274</v>
          </cell>
          <cell r="BU138">
            <v>750.47194656716931</v>
          </cell>
          <cell r="BV138">
            <v>747.27294770629783</v>
          </cell>
          <cell r="BW138">
            <v>744.07394884542634</v>
          </cell>
          <cell r="BX138">
            <v>740.87494998455486</v>
          </cell>
          <cell r="BY138">
            <v>745.67344827586203</v>
          </cell>
          <cell r="BZ138">
            <v>733.26503895625024</v>
          </cell>
          <cell r="CA138">
            <v>718.36512792794542</v>
          </cell>
          <cell r="CB138">
            <v>703.46521689964084</v>
          </cell>
          <cell r="CC138">
            <v>688.56530587133602</v>
          </cell>
          <cell r="CD138">
            <v>710.91517241379313</v>
          </cell>
        </row>
        <row r="140">
          <cell r="A140" t="str">
            <v>Realised price</v>
          </cell>
        </row>
        <row r="141">
          <cell r="B141" t="str">
            <v>Oil and NGL ($/bbl)</v>
          </cell>
          <cell r="L141">
            <v>59.94</v>
          </cell>
          <cell r="Q141">
            <v>69.41</v>
          </cell>
          <cell r="V141">
            <v>85.9</v>
          </cell>
          <cell r="AA141">
            <v>53.09</v>
          </cell>
          <cell r="AF141">
            <v>70.48</v>
          </cell>
          <cell r="AK141">
            <v>97.63</v>
          </cell>
          <cell r="AP141">
            <v>100.79</v>
          </cell>
          <cell r="AQ141">
            <v>108.71</v>
          </cell>
          <cell r="AR141">
            <v>93</v>
          </cell>
          <cell r="AS141">
            <v>100.98</v>
          </cell>
          <cell r="AT141">
            <v>95.54</v>
          </cell>
          <cell r="AU141">
            <v>99.14</v>
          </cell>
          <cell r="AV141">
            <v>98.445843205849201</v>
          </cell>
          <cell r="AW141">
            <v>98.445843205849201</v>
          </cell>
          <cell r="AX141">
            <v>98.445843205849201</v>
          </cell>
          <cell r="AY141">
            <v>98.445843205849201</v>
          </cell>
          <cell r="AZ141">
            <v>98.445843205849201</v>
          </cell>
          <cell r="BA141">
            <v>92.96273782056339</v>
          </cell>
          <cell r="BB141">
            <v>92.96273782056339</v>
          </cell>
          <cell r="BC141">
            <v>92.96273782056339</v>
          </cell>
          <cell r="BD141">
            <v>92.96273782056339</v>
          </cell>
          <cell r="BE141">
            <v>92.96273782056339</v>
          </cell>
          <cell r="BF141">
            <v>87.562990456337673</v>
          </cell>
          <cell r="BG141">
            <v>87.562990456337673</v>
          </cell>
          <cell r="BH141">
            <v>87.562990456337673</v>
          </cell>
          <cell r="BI141">
            <v>87.562990456337673</v>
          </cell>
          <cell r="BJ141">
            <v>87.562990456337673</v>
          </cell>
          <cell r="BK141">
            <v>88.119597438929659</v>
          </cell>
          <cell r="BL141">
            <v>88.679651069064434</v>
          </cell>
          <cell r="BM141">
            <v>89.243172689232566</v>
          </cell>
          <cell r="BN141">
            <v>89.810183774082603</v>
          </cell>
          <cell r="BO141">
            <v>88.963151242827308</v>
          </cell>
          <cell r="BP141">
            <v>90.380705931239376</v>
          </cell>
          <cell r="BQ141">
            <v>90.954760902127518</v>
          </cell>
          <cell r="BR141">
            <v>91.532370562799855</v>
          </cell>
          <cell r="BS141">
            <v>92.113556924771132</v>
          </cell>
          <cell r="BT141">
            <v>91.245348580234463</v>
          </cell>
          <cell r="BU141">
            <v>92.698342135856834</v>
          </cell>
          <cell r="BV141">
            <v>93.286748481017185</v>
          </cell>
          <cell r="BW141">
            <v>93.878798383206316</v>
          </cell>
          <cell r="BX141">
            <v>94.474514404226881</v>
          </cell>
          <cell r="BY141">
            <v>93.5846008510768</v>
          </cell>
          <cell r="BZ141">
            <v>95.073919245589721</v>
          </cell>
          <cell r="CA141">
            <v>95.677035749379073</v>
          </cell>
          <cell r="CB141">
            <v>96.283886899122933</v>
          </cell>
          <cell r="CC141">
            <v>96.894495820669007</v>
          </cell>
          <cell r="CD141">
            <v>95.982334428690194</v>
          </cell>
        </row>
        <row r="142">
          <cell r="B142" t="str">
            <v>Natural gas - other Asia ($/mmcf)</v>
          </cell>
          <cell r="L142">
            <v>10.334482758620689</v>
          </cell>
          <cell r="Q142">
            <v>11.967241379310344</v>
          </cell>
          <cell r="V142">
            <v>14.810344827586208</v>
          </cell>
          <cell r="AA142">
            <v>9.1534482758620701</v>
          </cell>
          <cell r="AF142">
            <v>12.151724137931035</v>
          </cell>
          <cell r="AK142">
            <v>16.832758620689656</v>
          </cell>
          <cell r="AP142">
            <v>17.377586206896552</v>
          </cell>
          <cell r="AQ142">
            <v>18.743103448275861</v>
          </cell>
          <cell r="AR142">
            <v>16.03448275862069</v>
          </cell>
          <cell r="AS142">
            <v>17.410344827586208</v>
          </cell>
          <cell r="AT142">
            <v>16.472413793103449</v>
          </cell>
          <cell r="AU142">
            <v>17.093103448275862</v>
          </cell>
          <cell r="AV142">
            <v>16.973421242387793</v>
          </cell>
          <cell r="AW142">
            <v>16.973421242387793</v>
          </cell>
          <cell r="AX142">
            <v>16.973421242387793</v>
          </cell>
          <cell r="AY142">
            <v>16.973421242387793</v>
          </cell>
          <cell r="AZ142">
            <v>16.973421242387793</v>
          </cell>
          <cell r="BA142">
            <v>16.028058244924722</v>
          </cell>
          <cell r="BB142">
            <v>16.028058244924722</v>
          </cell>
          <cell r="BC142">
            <v>16.028058244924722</v>
          </cell>
          <cell r="BD142">
            <v>16.028058244924722</v>
          </cell>
          <cell r="BE142">
            <v>16.028058244924722</v>
          </cell>
          <cell r="BF142">
            <v>15.097067320058219</v>
          </cell>
          <cell r="BG142">
            <v>15.097067320058219</v>
          </cell>
          <cell r="BH142">
            <v>15.097067320058219</v>
          </cell>
          <cell r="BI142">
            <v>15.097067320058219</v>
          </cell>
          <cell r="BJ142">
            <v>15.097067320058219</v>
          </cell>
          <cell r="BK142">
            <v>15.193034041194769</v>
          </cell>
          <cell r="BL142">
            <v>15.289595011907661</v>
          </cell>
          <cell r="BM142">
            <v>15.386753911936649</v>
          </cell>
          <cell r="BN142">
            <v>15.484514443807345</v>
          </cell>
          <cell r="BO142">
            <v>15.338474352211605</v>
          </cell>
          <cell r="BP142">
            <v>15.582880332972307</v>
          </cell>
          <cell r="BQ142">
            <v>15.68185532795302</v>
          </cell>
          <cell r="BR142">
            <v>15.781443200482734</v>
          </cell>
          <cell r="BS142">
            <v>15.881647745650195</v>
          </cell>
          <cell r="BT142">
            <v>15.731956651764563</v>
          </cell>
          <cell r="BU142">
            <v>15.982472782044281</v>
          </cell>
          <cell r="BV142">
            <v>16.083922151899515</v>
          </cell>
          <cell r="BW142">
            <v>16.185999721242467</v>
          </cell>
          <cell r="BX142">
            <v>16.288709380039119</v>
          </cell>
          <cell r="BY142">
            <v>16.135276008806347</v>
          </cell>
          <cell r="BZ142">
            <v>16.392055042343056</v>
          </cell>
          <cell r="CA142">
            <v>16.496040646444669</v>
          </cell>
          <cell r="CB142">
            <v>16.600670155021195</v>
          </cell>
          <cell r="CC142">
            <v>16.705947555287761</v>
          </cell>
          <cell r="CD142">
            <v>16.548678349774171</v>
          </cell>
        </row>
        <row r="143">
          <cell r="B143" t="str">
            <v>Natural gas - Pearl GTL ($/mmcf)</v>
          </cell>
          <cell r="L143">
            <v>0</v>
          </cell>
          <cell r="Q143">
            <v>0</v>
          </cell>
          <cell r="V143">
            <v>0</v>
          </cell>
          <cell r="AA143">
            <v>0</v>
          </cell>
          <cell r="AF143">
            <v>0</v>
          </cell>
          <cell r="AK143">
            <v>3</v>
          </cell>
          <cell r="AP143">
            <v>3</v>
          </cell>
          <cell r="AQ143">
            <v>3</v>
          </cell>
          <cell r="AR143">
            <v>3</v>
          </cell>
          <cell r="AS143">
            <v>3</v>
          </cell>
          <cell r="AT143">
            <v>3</v>
          </cell>
          <cell r="AU143">
            <v>3</v>
          </cell>
          <cell r="AV143">
            <v>3.0749999999999997</v>
          </cell>
          <cell r="AW143">
            <v>3.0749999999999997</v>
          </cell>
          <cell r="AX143">
            <v>3.0749999999999997</v>
          </cell>
          <cell r="AY143">
            <v>3.0749999999999997</v>
          </cell>
          <cell r="AZ143">
            <v>3.0749999999999997</v>
          </cell>
          <cell r="BA143">
            <v>3.1518749999999995</v>
          </cell>
          <cell r="BB143">
            <v>3.1518749999999995</v>
          </cell>
          <cell r="BC143">
            <v>3.1518749999999995</v>
          </cell>
          <cell r="BD143">
            <v>3.1518749999999995</v>
          </cell>
          <cell r="BE143">
            <v>3.1518749999999995</v>
          </cell>
          <cell r="BF143">
            <v>3.2306718749999992</v>
          </cell>
          <cell r="BG143">
            <v>3.2306718749999992</v>
          </cell>
          <cell r="BH143">
            <v>3.2306718749999992</v>
          </cell>
          <cell r="BI143">
            <v>3.2306718749999992</v>
          </cell>
          <cell r="BJ143">
            <v>3.2306718749999992</v>
          </cell>
          <cell r="BK143">
            <v>3.3114386718749991</v>
          </cell>
          <cell r="BL143">
            <v>3.3114386718749991</v>
          </cell>
          <cell r="BM143">
            <v>3.3114386718749991</v>
          </cell>
          <cell r="BN143">
            <v>3.3114386718749991</v>
          </cell>
          <cell r="BO143">
            <v>3.3114386718749991</v>
          </cell>
          <cell r="BP143">
            <v>3.394224638671874</v>
          </cell>
          <cell r="BQ143">
            <v>3.394224638671874</v>
          </cell>
          <cell r="BR143">
            <v>3.394224638671874</v>
          </cell>
          <cell r="BS143">
            <v>3.394224638671874</v>
          </cell>
          <cell r="BT143">
            <v>3.394224638671874</v>
          </cell>
          <cell r="BU143">
            <v>3.4790802546386703</v>
          </cell>
          <cell r="BV143">
            <v>3.4790802546386703</v>
          </cell>
          <cell r="BW143">
            <v>3.4790802546386703</v>
          </cell>
          <cell r="BX143">
            <v>3.4790802546386703</v>
          </cell>
          <cell r="BY143">
            <v>3.4790802546386703</v>
          </cell>
          <cell r="BZ143">
            <v>3.5660572610046368</v>
          </cell>
          <cell r="CA143">
            <v>3.5660572610046368</v>
          </cell>
          <cell r="CB143">
            <v>3.5660572610046368</v>
          </cell>
          <cell r="CC143">
            <v>3.5660572610046368</v>
          </cell>
          <cell r="CD143">
            <v>3.5660572610046368</v>
          </cell>
        </row>
        <row r="145">
          <cell r="A145" t="str">
            <v>Production x price</v>
          </cell>
          <cell r="L145">
            <v>12143.099917241378</v>
          </cell>
          <cell r="Q145">
            <v>12657.715305172413</v>
          </cell>
          <cell r="V145">
            <v>16198.947948275862</v>
          </cell>
          <cell r="AA145">
            <v>10077.818403448278</v>
          </cell>
          <cell r="AF145">
            <v>12843.971406896551</v>
          </cell>
          <cell r="AK145">
            <v>17850.78993448276</v>
          </cell>
          <cell r="AP145">
            <v>20069.48623448276</v>
          </cell>
          <cell r="AQ145">
            <v>5963.8921838957122</v>
          </cell>
          <cell r="AR145">
            <v>4559.2527138304358</v>
          </cell>
          <cell r="AS145">
            <v>4737.6898579168292</v>
          </cell>
          <cell r="AT145">
            <v>4353.0665941387097</v>
          </cell>
          <cell r="AU145">
            <v>19613.901349781685</v>
          </cell>
          <cell r="AV145">
            <v>4666.7677161991651</v>
          </cell>
          <cell r="AW145">
            <v>4986.437439058247</v>
          </cell>
          <cell r="AX145">
            <v>5311.9932442961108</v>
          </cell>
          <cell r="AY145">
            <v>5582.753033720147</v>
          </cell>
          <cell r="AZ145">
            <v>20547.951433273669</v>
          </cell>
          <cell r="BA145">
            <v>5125.0268583909374</v>
          </cell>
          <cell r="BB145">
            <v>5274.0743142338752</v>
          </cell>
          <cell r="BC145">
            <v>5425.1460055267426</v>
          </cell>
          <cell r="BD145">
            <v>5518.2608362236351</v>
          </cell>
          <cell r="BE145">
            <v>21342.508014375191</v>
          </cell>
          <cell r="BF145">
            <v>5392.1423634691373</v>
          </cell>
          <cell r="BG145">
            <v>5447.2477768762483</v>
          </cell>
          <cell r="BH145">
            <v>5502.2475357884096</v>
          </cell>
          <cell r="BI145">
            <v>5497.3874290206095</v>
          </cell>
          <cell r="BJ145">
            <v>21839.025105154404</v>
          </cell>
          <cell r="BK145">
            <v>5480.1111981140939</v>
          </cell>
          <cell r="BL145">
            <v>5551.7670944929105</v>
          </cell>
          <cell r="BM145">
            <v>5623.565904439678</v>
          </cell>
          <cell r="BN145">
            <v>5634.261035094024</v>
          </cell>
          <cell r="BO145">
            <v>22289.705232140706</v>
          </cell>
          <cell r="BP145">
            <v>5482.066759925623</v>
          </cell>
          <cell r="BQ145">
            <v>5512.4915904715344</v>
          </cell>
          <cell r="BR145">
            <v>5541.6232361013708</v>
          </cell>
          <cell r="BS145">
            <v>5509.5484402469037</v>
          </cell>
          <cell r="BT145">
            <v>22045.730026745434</v>
          </cell>
          <cell r="BU145">
            <v>5411.8810442000395</v>
          </cell>
          <cell r="BV145">
            <v>5453.844964910817</v>
          </cell>
          <cell r="BW145">
            <v>5494.9481615669374</v>
          </cell>
          <cell r="BX145">
            <v>5475.6526114953749</v>
          </cell>
          <cell r="BY145">
            <v>21836.326782173168</v>
          </cell>
          <cell r="BZ145">
            <v>5456.2886867790703</v>
          </cell>
          <cell r="CA145">
            <v>5555.2778251440268</v>
          </cell>
          <cell r="CB145">
            <v>5655.3723880424041</v>
          </cell>
          <cell r="CC145">
            <v>5694.683965659995</v>
          </cell>
          <cell r="CD145">
            <v>22361.622865625497</v>
          </cell>
        </row>
        <row r="146">
          <cell r="A146" t="str">
            <v>Difference with actual</v>
          </cell>
          <cell r="L146">
            <v>-3.1375775132411743E-3</v>
          </cell>
          <cell r="Q146">
            <v>-4.7379427543874919E-2</v>
          </cell>
          <cell r="V146">
            <v>3.4943753972886071E-2</v>
          </cell>
          <cell r="AA146">
            <v>5.3700272706496577E-2</v>
          </cell>
          <cell r="AF146">
            <v>4.539317121107822E-2</v>
          </cell>
          <cell r="AK146">
            <v>4.8805126759925876E-2</v>
          </cell>
          <cell r="AP146">
            <v>1.8013105133508622E-2</v>
          </cell>
          <cell r="AQ146">
            <v>0.02</v>
          </cell>
          <cell r="AR146">
            <v>0.02</v>
          </cell>
          <cell r="AS146">
            <v>0.02</v>
          </cell>
          <cell r="AT146">
            <v>0.02</v>
          </cell>
          <cell r="AU146">
            <v>0.02</v>
          </cell>
          <cell r="AV146">
            <v>0.04</v>
          </cell>
          <cell r="AW146">
            <v>0.04</v>
          </cell>
          <cell r="AX146">
            <v>0.04</v>
          </cell>
          <cell r="AY146">
            <v>0.04</v>
          </cell>
          <cell r="AZ146">
            <v>0.04</v>
          </cell>
          <cell r="BA146">
            <v>0.04</v>
          </cell>
          <cell r="BB146">
            <v>0.04</v>
          </cell>
          <cell r="BC146">
            <v>0.04</v>
          </cell>
          <cell r="BD146">
            <v>0.04</v>
          </cell>
          <cell r="BE146">
            <v>0.04</v>
          </cell>
          <cell r="BF146">
            <v>0.04</v>
          </cell>
          <cell r="BG146">
            <v>0.04</v>
          </cell>
          <cell r="BH146">
            <v>0.04</v>
          </cell>
          <cell r="BI146">
            <v>0.04</v>
          </cell>
          <cell r="BJ146">
            <v>0.04</v>
          </cell>
          <cell r="BK146">
            <v>0.04</v>
          </cell>
          <cell r="BL146">
            <v>0.04</v>
          </cell>
          <cell r="BM146">
            <v>0.04</v>
          </cell>
          <cell r="BN146">
            <v>0.04</v>
          </cell>
          <cell r="BO146">
            <v>0.04</v>
          </cell>
          <cell r="BP146">
            <v>0.04</v>
          </cell>
          <cell r="BQ146">
            <v>0.04</v>
          </cell>
          <cell r="BR146">
            <v>0.04</v>
          </cell>
          <cell r="BS146">
            <v>0.04</v>
          </cell>
          <cell r="BT146">
            <v>0.04</v>
          </cell>
          <cell r="BU146">
            <v>0.04</v>
          </cell>
          <cell r="BV146">
            <v>0.04</v>
          </cell>
          <cell r="BW146">
            <v>0.04</v>
          </cell>
          <cell r="BX146">
            <v>0.04</v>
          </cell>
          <cell r="BY146">
            <v>0.04</v>
          </cell>
          <cell r="BZ146">
            <v>0.04</v>
          </cell>
          <cell r="CA146">
            <v>0.04</v>
          </cell>
          <cell r="CB146">
            <v>0.04</v>
          </cell>
          <cell r="CC146">
            <v>0.04</v>
          </cell>
          <cell r="CD146">
            <v>0.04</v>
          </cell>
        </row>
        <row r="148">
          <cell r="A148" t="str">
            <v>Per barrel of oil equivalent</v>
          </cell>
        </row>
        <row r="149">
          <cell r="B149" t="str">
            <v>Production cost excluding taxes</v>
          </cell>
          <cell r="G149">
            <v>5.2190376456595571</v>
          </cell>
          <cell r="L149">
            <v>6.1997875759143763</v>
          </cell>
          <cell r="Q149">
            <v>7.199982603713539</v>
          </cell>
          <cell r="V149">
            <v>7.0580447795172425</v>
          </cell>
          <cell r="AA149">
            <v>5.8632898147660368</v>
          </cell>
          <cell r="AF149">
            <v>6.0690636509938347</v>
          </cell>
          <cell r="AK149">
            <v>6.9197431575626744</v>
          </cell>
          <cell r="AP149">
            <v>7.5500450915984807</v>
          </cell>
          <cell r="AQ149">
            <v>7.7387962188884423</v>
          </cell>
          <cell r="AR149">
            <v>7.7387962188884423</v>
          </cell>
          <cell r="AS149">
            <v>7.7387962188884423</v>
          </cell>
          <cell r="AT149">
            <v>7.7387962188884423</v>
          </cell>
          <cell r="AU149">
            <v>7.7387962188884423</v>
          </cell>
          <cell r="AV149">
            <v>8.1257360298328649</v>
          </cell>
          <cell r="AW149">
            <v>8.1257360298328649</v>
          </cell>
          <cell r="AX149">
            <v>8.1257360298328649</v>
          </cell>
          <cell r="AY149">
            <v>8.1257360298328649</v>
          </cell>
          <cell r="AZ149">
            <v>8.1257360298328649</v>
          </cell>
          <cell r="BA149">
            <v>8.3288794305786862</v>
          </cell>
          <cell r="BB149">
            <v>8.3288794305786862</v>
          </cell>
          <cell r="BC149">
            <v>8.3288794305786862</v>
          </cell>
          <cell r="BD149">
            <v>8.3288794305786862</v>
          </cell>
          <cell r="BE149">
            <v>8.3288794305786862</v>
          </cell>
          <cell r="BF149">
            <v>8.5371014163431518</v>
          </cell>
          <cell r="BG149">
            <v>8.5371014163431518</v>
          </cell>
          <cell r="BH149">
            <v>8.5371014163431518</v>
          </cell>
          <cell r="BI149">
            <v>8.5371014163431518</v>
          </cell>
          <cell r="BJ149">
            <v>8.5371014163431518</v>
          </cell>
          <cell r="BK149">
            <v>8.7505289517517291</v>
          </cell>
          <cell r="BL149">
            <v>8.7505289517517291</v>
          </cell>
          <cell r="BM149">
            <v>8.7505289517517291</v>
          </cell>
          <cell r="BN149">
            <v>8.7505289517517291</v>
          </cell>
          <cell r="BO149">
            <v>8.7505289517517291</v>
          </cell>
          <cell r="BP149">
            <v>8.9692921755455224</v>
          </cell>
          <cell r="BQ149">
            <v>8.9692921755455224</v>
          </cell>
          <cell r="BR149">
            <v>8.9692921755455224</v>
          </cell>
          <cell r="BS149">
            <v>8.9692921755455224</v>
          </cell>
          <cell r="BT149">
            <v>8.9692921755455224</v>
          </cell>
          <cell r="BU149">
            <v>9.19352447993416</v>
          </cell>
          <cell r="BV149">
            <v>9.19352447993416</v>
          </cell>
          <cell r="BW149">
            <v>9.19352447993416</v>
          </cell>
          <cell r="BX149">
            <v>9.19352447993416</v>
          </cell>
          <cell r="BY149">
            <v>9.19352447993416</v>
          </cell>
          <cell r="BZ149">
            <v>9.4233625919325128</v>
          </cell>
          <cell r="CA149">
            <v>9.4233625919325128</v>
          </cell>
          <cell r="CB149">
            <v>9.4233625919325128</v>
          </cell>
          <cell r="CC149">
            <v>9.4233625919325128</v>
          </cell>
          <cell r="CD149">
            <v>9.4233625919325128</v>
          </cell>
        </row>
        <row r="150">
          <cell r="B150" t="str">
            <v>Taxes other than income tax</v>
          </cell>
          <cell r="G150">
            <v>0.92011935371454623</v>
          </cell>
          <cell r="L150">
            <v>1.3426291565674446</v>
          </cell>
          <cell r="Q150">
            <v>1.8753953164280506</v>
          </cell>
          <cell r="V150">
            <v>3.3884978317892696</v>
          </cell>
          <cell r="AA150">
            <v>0.97458096651546888</v>
          </cell>
          <cell r="AF150">
            <v>1.8273039744854855</v>
          </cell>
          <cell r="AK150">
            <v>3.1274473302435455</v>
          </cell>
          <cell r="AP150">
            <v>1.9567120654585191</v>
          </cell>
          <cell r="AQ150">
            <v>1.9864042113483598</v>
          </cell>
          <cell r="AR150">
            <v>1.5853292158816212</v>
          </cell>
          <cell r="AS150">
            <v>1.6017924269246042</v>
          </cell>
          <cell r="AT150">
            <v>1.4259416422767497</v>
          </cell>
          <cell r="AU150">
            <v>1.649700771459786</v>
          </cell>
          <cell r="AV150">
            <v>1.4812528186681599</v>
          </cell>
          <cell r="AW150">
            <v>1.5458285995582461</v>
          </cell>
          <cell r="AX150">
            <v>1.6088155709319889</v>
          </cell>
          <cell r="AY150">
            <v>1.6702716563440059</v>
          </cell>
          <cell r="AZ150">
            <v>1.578308201525779</v>
          </cell>
          <cell r="BA150">
            <v>1.5498031526536979</v>
          </cell>
          <cell r="BB150">
            <v>1.5306548925599046</v>
          </cell>
          <cell r="BC150">
            <v>1.5126077219500345</v>
          </cell>
          <cell r="BD150">
            <v>1.4955693206507277</v>
          </cell>
          <cell r="BE150">
            <v>1.521752272754699</v>
          </cell>
          <cell r="BF150">
            <v>1.4529638453554405</v>
          </cell>
          <cell r="BG150">
            <v>1.4795043474217806</v>
          </cell>
          <cell r="BH150">
            <v>1.5070820295233487</v>
          </cell>
          <cell r="BI150">
            <v>1.5357589014630815</v>
          </cell>
          <cell r="BJ150">
            <v>1.4931471364419986</v>
          </cell>
          <cell r="BK150">
            <v>1.5310976385991564</v>
          </cell>
          <cell r="BL150">
            <v>1.5225040727390105</v>
          </cell>
          <cell r="BM150">
            <v>1.5140139186322541</v>
          </cell>
          <cell r="BN150">
            <v>1.5056244565962313</v>
          </cell>
          <cell r="BO150">
            <v>1.518258279885125</v>
          </cell>
          <cell r="BP150">
            <v>1.5418002769651715</v>
          </cell>
          <cell r="BQ150">
            <v>1.5800136278910357</v>
          </cell>
          <cell r="BR150">
            <v>1.6204452489069934</v>
          </cell>
          <cell r="BS150">
            <v>1.6633089854659058</v>
          </cell>
          <cell r="BT150">
            <v>1.5997401378163492</v>
          </cell>
          <cell r="BU150">
            <v>1.6666123857759503</v>
          </cell>
          <cell r="BV150">
            <v>1.6681898343344144</v>
          </cell>
          <cell r="BW150">
            <v>1.669640642601609</v>
          </cell>
          <cell r="BX150">
            <v>1.6709616567939169</v>
          </cell>
          <cell r="BY150">
            <v>1.668788799838526</v>
          </cell>
          <cell r="BZ150">
            <v>1.719717801818905</v>
          </cell>
          <cell r="CA150">
            <v>1.7675938589431532</v>
          </cell>
          <cell r="CB150">
            <v>1.8175823061227458</v>
          </cell>
          <cell r="CC150">
            <v>1.8698208509358079</v>
          </cell>
          <cell r="CD150">
            <v>1.7924869649540065</v>
          </cell>
        </row>
        <row r="151">
          <cell r="B151" t="str">
            <v>Exploration expense</v>
          </cell>
          <cell r="G151">
            <v>0.37709809578465009</v>
          </cell>
          <cell r="L151">
            <v>0.44425229445246328</v>
          </cell>
          <cell r="Q151">
            <v>0.77318929712384543</v>
          </cell>
          <cell r="V151">
            <v>0.69466856958434164</v>
          </cell>
          <cell r="AA151">
            <v>1.0957450866768514</v>
          </cell>
          <cell r="AF151">
            <v>1.5090348137642897</v>
          </cell>
          <cell r="AK151">
            <v>1.7339248803731222</v>
          </cell>
          <cell r="AP151">
            <v>2.2001079565277495</v>
          </cell>
          <cell r="AQ151">
            <v>1.0579927267520042</v>
          </cell>
          <cell r="AR151">
            <v>2.0931193730338502</v>
          </cell>
          <cell r="AS151">
            <v>2.7113946871335965</v>
          </cell>
          <cell r="AT151">
            <v>2.8357436792560509</v>
          </cell>
          <cell r="AU151">
            <v>2.1761078184352787</v>
          </cell>
          <cell r="AV151">
            <v>1.4139910246716838</v>
          </cell>
          <cell r="AW151">
            <v>1.3810347646283851</v>
          </cell>
          <cell r="AX151">
            <v>1.3492188333429187</v>
          </cell>
          <cell r="AY151">
            <v>1.3328225840376162</v>
          </cell>
          <cell r="AZ151">
            <v>1.3687272758111957</v>
          </cell>
          <cell r="BA151">
            <v>1.1499159282682934</v>
          </cell>
          <cell r="BB151">
            <v>1.1036128142493049</v>
          </cell>
          <cell r="BC151">
            <v>1.0602311940417204</v>
          </cell>
          <cell r="BD151">
            <v>1.0305997156850357</v>
          </cell>
          <cell r="BE151">
            <v>1.0845365496413104</v>
          </cell>
          <cell r="BF151">
            <v>0.81277225256776442</v>
          </cell>
          <cell r="BG151">
            <v>0.81924637096085162</v>
          </cell>
          <cell r="BH151">
            <v>0.82617524453905555</v>
          </cell>
          <cell r="BI151">
            <v>0.84264006979153216</v>
          </cell>
          <cell r="BJ151">
            <v>0.82490656590164879</v>
          </cell>
          <cell r="BK151">
            <v>0.83846616301367738</v>
          </cell>
          <cell r="BL151">
            <v>0.82299889065803855</v>
          </cell>
          <cell r="BM151">
            <v>0.80796045266253336</v>
          </cell>
          <cell r="BN151">
            <v>0.8019581805766024</v>
          </cell>
          <cell r="BO151">
            <v>0.817661124046965</v>
          </cell>
          <cell r="BP151">
            <v>0.83177508081028295</v>
          </cell>
          <cell r="BQ151">
            <v>0.84768597683527835</v>
          </cell>
          <cell r="BR151">
            <v>0.86480754910647861</v>
          </cell>
          <cell r="BS151">
            <v>0.8928510912145029</v>
          </cell>
          <cell r="BT151">
            <v>0.8584342837153901</v>
          </cell>
          <cell r="BU151">
            <v>0.91470219036614375</v>
          </cell>
          <cell r="BV151">
            <v>0.90852323404549418</v>
          </cell>
          <cell r="BW151">
            <v>0.90251154086092178</v>
          </cell>
          <cell r="BX151">
            <v>0.90640846488460181</v>
          </cell>
          <cell r="BY151">
            <v>0.9079776088125795</v>
          </cell>
          <cell r="BZ151">
            <v>0.93616672944131796</v>
          </cell>
          <cell r="CA151">
            <v>0.94508322964270164</v>
          </cell>
          <cell r="CB151">
            <v>0.95461056204966621</v>
          </cell>
          <cell r="CC151">
            <v>0.9752674442944389</v>
          </cell>
          <cell r="CD151">
            <v>0.9523707198732615</v>
          </cell>
        </row>
        <row r="152">
          <cell r="B152" t="str">
            <v>DD&amp;A</v>
          </cell>
          <cell r="G152">
            <v>4.1078552567474551</v>
          </cell>
          <cell r="L152">
            <v>4.3438002124240853</v>
          </cell>
          <cell r="Q152">
            <v>4.8968655484510215</v>
          </cell>
          <cell r="V152">
            <v>6.8883547472523654</v>
          </cell>
          <cell r="AA152">
            <v>4.93612089527024</v>
          </cell>
          <cell r="AF152">
            <v>4.1045746934388685</v>
          </cell>
          <cell r="AK152">
            <v>5.3613382804175069</v>
          </cell>
          <cell r="AP152">
            <v>5.8319564487568547</v>
          </cell>
          <cell r="AQ152">
            <v>6.3713771260311951</v>
          </cell>
          <cell r="AR152">
            <v>6.3713771260311951</v>
          </cell>
          <cell r="AS152">
            <v>6.3713771260311951</v>
          </cell>
          <cell r="AT152">
            <v>6.3713771260311951</v>
          </cell>
          <cell r="AU152">
            <v>6.3713771260311951</v>
          </cell>
          <cell r="AV152">
            <v>6.9107978033055364</v>
          </cell>
          <cell r="AW152">
            <v>6.9107978033055364</v>
          </cell>
          <cell r="AX152">
            <v>6.9107978033055364</v>
          </cell>
          <cell r="AY152">
            <v>6.9107978033055364</v>
          </cell>
          <cell r="AZ152">
            <v>6.9107978033055364</v>
          </cell>
          <cell r="BA152">
            <v>7.450218480579875</v>
          </cell>
          <cell r="BB152">
            <v>7.450218480579875</v>
          </cell>
          <cell r="BC152">
            <v>7.450218480579875</v>
          </cell>
          <cell r="BD152">
            <v>7.450218480579875</v>
          </cell>
          <cell r="BE152">
            <v>7.450218480579875</v>
          </cell>
          <cell r="BF152">
            <v>7.9896391578542154</v>
          </cell>
          <cell r="BG152">
            <v>7.9896391578542154</v>
          </cell>
          <cell r="BH152">
            <v>7.9896391578542154</v>
          </cell>
          <cell r="BI152">
            <v>7.9896391578542154</v>
          </cell>
          <cell r="BJ152">
            <v>7.9896391578542154</v>
          </cell>
          <cell r="BK152">
            <v>8.5290598351285549</v>
          </cell>
          <cell r="BL152">
            <v>8.5290598351285549</v>
          </cell>
          <cell r="BM152">
            <v>8.5290598351285549</v>
          </cell>
          <cell r="BN152">
            <v>8.5290598351285549</v>
          </cell>
          <cell r="BO152">
            <v>8.5290598351285549</v>
          </cell>
          <cell r="BP152">
            <v>9.0684805124028962</v>
          </cell>
          <cell r="BQ152">
            <v>9.0684805124028962</v>
          </cell>
          <cell r="BR152">
            <v>9.0684805124028962</v>
          </cell>
          <cell r="BS152">
            <v>9.0684805124028962</v>
          </cell>
          <cell r="BT152">
            <v>9.0684805124028962</v>
          </cell>
          <cell r="BU152">
            <v>9.6079011896772357</v>
          </cell>
          <cell r="BV152">
            <v>9.6079011896772357</v>
          </cell>
          <cell r="BW152">
            <v>9.6079011896772357</v>
          </cell>
          <cell r="BX152">
            <v>9.6079011896772357</v>
          </cell>
          <cell r="BY152">
            <v>9.6079011896772357</v>
          </cell>
          <cell r="BZ152">
            <v>10.147321866951579</v>
          </cell>
          <cell r="CA152">
            <v>10.147321866951579</v>
          </cell>
          <cell r="CB152">
            <v>10.147321866951579</v>
          </cell>
          <cell r="CC152">
            <v>10.147321866951579</v>
          </cell>
          <cell r="CD152">
            <v>10.147321866951579</v>
          </cell>
        </row>
        <row r="153">
          <cell r="B153" t="str">
            <v>Other income/(cost)</v>
          </cell>
          <cell r="G153">
            <v>2.4134278130217606</v>
          </cell>
          <cell r="L153">
            <v>5.5679620904708731</v>
          </cell>
          <cell r="Q153">
            <v>8.384442803562834</v>
          </cell>
          <cell r="V153">
            <v>11.173028061940519</v>
          </cell>
          <cell r="AA153">
            <v>12.948756841594717</v>
          </cell>
          <cell r="AF153">
            <v>15.079373338997339</v>
          </cell>
          <cell r="AK153">
            <v>17.243510620152339</v>
          </cell>
          <cell r="AP153">
            <v>15.066682904030596</v>
          </cell>
          <cell r="AQ153">
            <v>12.245286189259307</v>
          </cell>
          <cell r="AR153">
            <v>12.783709525858205</v>
          </cell>
          <cell r="AS153">
            <v>12.429987868888736</v>
          </cell>
          <cell r="AT153">
            <v>12.043079045538153</v>
          </cell>
          <cell r="AU153">
            <v>12.368934170719657</v>
          </cell>
          <cell r="AV153">
            <v>11.444871828533719</v>
          </cell>
          <cell r="AW153">
            <v>11.17812319607266</v>
          </cell>
          <cell r="AX153">
            <v>10.920604407541349</v>
          </cell>
          <cell r="AY153">
            <v>10.787892835477839</v>
          </cell>
          <cell r="AZ153">
            <v>11.078506133739078</v>
          </cell>
          <cell r="BA153">
            <v>10.903811191620456</v>
          </cell>
          <cell r="BB153">
            <v>10.464752647916788</v>
          </cell>
          <cell r="BC153">
            <v>10.053396491956383</v>
          </cell>
          <cell r="BD153">
            <v>9.7724228682442256</v>
          </cell>
          <cell r="BE153">
            <v>10.283866391440455</v>
          </cell>
          <cell r="BF153">
            <v>9.7160868053048723</v>
          </cell>
          <cell r="BG153">
            <v>9.7934800678040883</v>
          </cell>
          <cell r="BH153">
            <v>9.8763095897718056</v>
          </cell>
          <cell r="BI153">
            <v>10.073134310204669</v>
          </cell>
          <cell r="BJ153">
            <v>9.8611434817629053</v>
          </cell>
          <cell r="BK153">
            <v>10.074220312288864</v>
          </cell>
          <cell r="BL153">
            <v>9.8883801243189424</v>
          </cell>
          <cell r="BM153">
            <v>9.7076924064331287</v>
          </cell>
          <cell r="BN153">
            <v>9.6355747539441712</v>
          </cell>
          <cell r="BO153">
            <v>9.8242465442323503</v>
          </cell>
          <cell r="BP153">
            <v>10.141022067283105</v>
          </cell>
          <cell r="BQ153">
            <v>10.335008099591914</v>
          </cell>
          <cell r="BR153">
            <v>10.54375472621564</v>
          </cell>
          <cell r="BS153">
            <v>10.88566227541177</v>
          </cell>
          <cell r="BT153">
            <v>10.466051719161474</v>
          </cell>
          <cell r="BU153">
            <v>11.104123707024508</v>
          </cell>
          <cell r="BV153">
            <v>11.029113615119808</v>
          </cell>
          <cell r="BW153">
            <v>10.95613403169556</v>
          </cell>
          <cell r="BX153">
            <v>11.00344115186163</v>
          </cell>
          <cell r="BY153">
            <v>11.022489940061662</v>
          </cell>
          <cell r="BZ153">
            <v>11.364694742838457</v>
          </cell>
          <cell r="CA153">
            <v>11.472937537392433</v>
          </cell>
          <cell r="CB153">
            <v>11.588595593926145</v>
          </cell>
          <cell r="CC153">
            <v>11.839361994469668</v>
          </cell>
          <cell r="CD153">
            <v>11.561404793605602</v>
          </cell>
        </row>
        <row r="154">
          <cell r="B154" t="str">
            <v>Earnings before tax</v>
          </cell>
          <cell r="G154">
            <v>36.166221373053176</v>
          </cell>
          <cell r="L154">
            <v>41.853502274027072</v>
          </cell>
          <cell r="Q154">
            <v>42.991518364900344</v>
          </cell>
          <cell r="V154">
            <v>59.699074476187164</v>
          </cell>
          <cell r="AA154">
            <v>30.122453873164599</v>
          </cell>
          <cell r="AF154">
            <v>45.089960235276976</v>
          </cell>
          <cell r="AK154">
            <v>65.19238422924343</v>
          </cell>
          <cell r="AP154">
            <v>64.900798483342442</v>
          </cell>
          <cell r="AQ154">
            <v>69.920354095138663</v>
          </cell>
          <cell r="AR154">
            <v>48.694129334387746</v>
          </cell>
          <cell r="AS154">
            <v>49.236273018363633</v>
          </cell>
          <cell r="AT154">
            <v>40.882144401846901</v>
          </cell>
          <cell r="AU154">
            <v>52.180836324774972</v>
          </cell>
          <cell r="AV154">
            <v>44.685991428396029</v>
          </cell>
          <cell r="AW154">
            <v>48.149909584514617</v>
          </cell>
          <cell r="AX154">
            <v>51.525605901644774</v>
          </cell>
          <cell r="AY154">
            <v>54.68606190820244</v>
          </cell>
          <cell r="AZ154">
            <v>49.851549893301161</v>
          </cell>
          <cell r="BA154">
            <v>48.107529448983875</v>
          </cell>
          <cell r="BB154">
            <v>47.654626362110683</v>
          </cell>
          <cell r="BC154">
            <v>47.225052778395018</v>
          </cell>
          <cell r="BD154">
            <v>46.700776216797827</v>
          </cell>
          <cell r="BE154">
            <v>47.413946746660159</v>
          </cell>
          <cell r="BF154">
            <v>44.139628790346599</v>
          </cell>
          <cell r="BG154">
            <v>45.35624601070495</v>
          </cell>
          <cell r="BH154">
            <v>46.617794038135855</v>
          </cell>
          <cell r="BI154">
            <v>47.809671217497424</v>
          </cell>
          <cell r="BJ154">
            <v>45.954485649006983</v>
          </cell>
          <cell r="BK154">
            <v>46.831509029175841</v>
          </cell>
          <cell r="BL154">
            <v>46.611731762354253</v>
          </cell>
          <cell r="BM154">
            <v>46.391440367004492</v>
          </cell>
          <cell r="BN154">
            <v>46.058476651814267</v>
          </cell>
          <cell r="BO154">
            <v>46.471914455624947</v>
          </cell>
          <cell r="BP154">
            <v>46.537643735251592</v>
          </cell>
          <cell r="BQ154">
            <v>48.200201002285148</v>
          </cell>
          <cell r="BR154">
            <v>49.955482233172141</v>
          </cell>
          <cell r="BS154">
            <v>51.685854233254688</v>
          </cell>
          <cell r="BT154">
            <v>49.03035671674516</v>
          </cell>
          <cell r="BU154">
            <v>50.84375533601952</v>
          </cell>
          <cell r="BV154">
            <v>51.002239363609597</v>
          </cell>
          <cell r="BW154">
            <v>51.152320245310968</v>
          </cell>
          <cell r="BX154">
            <v>51.165845896544305</v>
          </cell>
          <cell r="BY154">
            <v>51.039531422042906</v>
          </cell>
          <cell r="BZ154">
            <v>52.394626357962473</v>
          </cell>
          <cell r="CA154">
            <v>54.623393862295288</v>
          </cell>
          <cell r="CB154">
            <v>56.947642385154651</v>
          </cell>
          <cell r="CC154">
            <v>59.235907798206405</v>
          </cell>
          <cell r="CD154">
            <v>55.751334519949317</v>
          </cell>
        </row>
        <row r="156">
          <cell r="B156" t="str">
            <v>Suggested DD&amp;A/boe for convergence</v>
          </cell>
          <cell r="G156">
            <v>4.1078552567474551</v>
          </cell>
          <cell r="L156">
            <v>4.3438002124240853</v>
          </cell>
          <cell r="Q156">
            <v>4.8968655484510215</v>
          </cell>
          <cell r="V156">
            <v>6.8883547472523654</v>
          </cell>
          <cell r="AA156">
            <v>4.93612089527024</v>
          </cell>
          <cell r="AF156">
            <v>4.1045746934388685</v>
          </cell>
          <cell r="AK156">
            <v>5.3613382804175069</v>
          </cell>
          <cell r="AP156">
            <v>5.8319564487568547</v>
          </cell>
          <cell r="AU156">
            <v>6.3713771260311951</v>
          </cell>
          <cell r="AZ156">
            <v>6.9107978033055364</v>
          </cell>
          <cell r="BE156">
            <v>7.450218480579875</v>
          </cell>
          <cell r="BJ156">
            <v>7.9896391578542154</v>
          </cell>
          <cell r="BO156">
            <v>8.5290598351285549</v>
          </cell>
          <cell r="BT156">
            <v>9.0684805124028962</v>
          </cell>
          <cell r="BY156">
            <v>9.6079011896772357</v>
          </cell>
          <cell r="CD156">
            <v>10.147321866951579</v>
          </cell>
        </row>
        <row r="158">
          <cell r="A158" t="str">
            <v>As percent of revenue</v>
          </cell>
        </row>
        <row r="159">
          <cell r="B159" t="str">
            <v>Production cost excluding taxes</v>
          </cell>
          <cell r="G159">
            <v>0.10606989576946659</v>
          </cell>
          <cell r="L159">
            <v>0.10375877736472532</v>
          </cell>
          <cell r="Q159">
            <v>0.10889036324431912</v>
          </cell>
          <cell r="V159">
            <v>7.9391589621234715E-2</v>
          </cell>
          <cell r="AA159">
            <v>0.10481212920237311</v>
          </cell>
          <cell r="AF159">
            <v>8.2371341327176578E-2</v>
          </cell>
          <cell r="AK159">
            <v>6.9490439055656453E-2</v>
          </cell>
          <cell r="AP159">
            <v>7.7431354314522055E-2</v>
          </cell>
          <cell r="AQ159">
            <v>7.791763805852378E-2</v>
          </cell>
          <cell r="AR159">
            <v>9.763014699233688E-2</v>
          </cell>
          <cell r="AS159">
            <v>9.6626705043757893E-2</v>
          </cell>
          <cell r="AT159">
            <v>0.10854295841353204</v>
          </cell>
          <cell r="AU159">
            <v>9.3815858416177303E-2</v>
          </cell>
          <cell r="AV159">
            <v>0.10971437053046709</v>
          </cell>
          <cell r="AW159">
            <v>0.10513113849950723</v>
          </cell>
          <cell r="AX159">
            <v>0.10101513407314447</v>
          </cell>
          <cell r="AY159">
            <v>9.7298376572095821E-2</v>
          </cell>
          <cell r="AZ159">
            <v>0.10297989320458784</v>
          </cell>
          <cell r="BA159">
            <v>0.107483062172345</v>
          </cell>
          <cell r="BB159">
            <v>0.10882765894602492</v>
          </cell>
          <cell r="BC159">
            <v>0.11012609957909249</v>
          </cell>
          <cell r="BD159">
            <v>0.11138072058010337</v>
          </cell>
          <cell r="BE159">
            <v>0.1094949467574336</v>
          </cell>
          <cell r="BF159">
            <v>0.11751292289388945</v>
          </cell>
          <cell r="BG159">
            <v>0.11540488449689396</v>
          </cell>
          <cell r="BH159">
            <v>0.11329312206108937</v>
          </cell>
          <cell r="BI159">
            <v>0.11117762570947895</v>
          </cell>
          <cell r="BJ159">
            <v>0.11432921945606184</v>
          </cell>
          <cell r="BK159">
            <v>0.11430399644215804</v>
          </cell>
          <cell r="BL159">
            <v>0.11494916970579105</v>
          </cell>
          <cell r="BM159">
            <v>0.11559377155075133</v>
          </cell>
          <cell r="BN159">
            <v>0.11623786945562867</v>
          </cell>
          <cell r="BO159">
            <v>0.11527892779098749</v>
          </cell>
          <cell r="BP159">
            <v>0.1163483015219115</v>
          </cell>
          <cell r="BQ159">
            <v>0.11353436473225258</v>
          </cell>
          <cell r="BR159">
            <v>0.11070157639198731</v>
          </cell>
          <cell r="BS159">
            <v>0.10784877919760837</v>
          </cell>
          <cell r="BT159">
            <v>0.11210111370240658</v>
          </cell>
          <cell r="BU159">
            <v>0.11032588691165632</v>
          </cell>
          <cell r="BV159">
            <v>0.11022156220730425</v>
          </cell>
          <cell r="BW159">
            <v>0.11012578689518419</v>
          </cell>
          <cell r="BX159">
            <v>0.11003872461770096</v>
          </cell>
          <cell r="BY159">
            <v>0.11017746859119711</v>
          </cell>
          <cell r="BZ159">
            <v>0.10959196423931468</v>
          </cell>
          <cell r="CA159">
            <v>0.10662361768519331</v>
          </cell>
          <cell r="CB159">
            <v>0.1036911787729092</v>
          </cell>
          <cell r="CC159">
            <v>0.10079428290914937</v>
          </cell>
          <cell r="CD159">
            <v>0.10512175452374593</v>
          </cell>
        </row>
        <row r="160">
          <cell r="B160" t="str">
            <v>Taxes other than income tax</v>
          </cell>
          <cell r="G160">
            <v>1.8700183936235439E-2</v>
          </cell>
          <cell r="L160">
            <v>2.2470053696819495E-2</v>
          </cell>
          <cell r="Q160">
            <v>2.8362912589152429E-2</v>
          </cell>
          <cell r="V160">
            <v>3.8115120787354607E-2</v>
          </cell>
          <cell r="AA160">
            <v>1.7421602787456445E-2</v>
          </cell>
          <cell r="AF160">
            <v>2.4800774558724956E-2</v>
          </cell>
          <cell r="AK160">
            <v>3.1406900972118366E-2</v>
          </cell>
          <cell r="AP160">
            <v>2.0067544417796485E-2</v>
          </cell>
          <cell r="AQ160">
            <v>0.02</v>
          </cell>
          <cell r="AR160">
            <v>0.02</v>
          </cell>
          <cell r="AS160">
            <v>0.02</v>
          </cell>
          <cell r="AT160">
            <v>0.02</v>
          </cell>
          <cell r="AU160">
            <v>0.02</v>
          </cell>
          <cell r="AV160">
            <v>0.02</v>
          </cell>
          <cell r="AW160">
            <v>0.02</v>
          </cell>
          <cell r="AX160">
            <v>0.02</v>
          </cell>
          <cell r="AY160">
            <v>0.02</v>
          </cell>
          <cell r="AZ160">
            <v>0.02</v>
          </cell>
          <cell r="BA160">
            <v>0.02</v>
          </cell>
          <cell r="BB160">
            <v>0.02</v>
          </cell>
          <cell r="BC160">
            <v>0.02</v>
          </cell>
          <cell r="BD160">
            <v>0.02</v>
          </cell>
          <cell r="BE160">
            <v>0.02</v>
          </cell>
          <cell r="BF160">
            <v>0.02</v>
          </cell>
          <cell r="BG160">
            <v>0.02</v>
          </cell>
          <cell r="BH160">
            <v>0.02</v>
          </cell>
          <cell r="BI160">
            <v>0.02</v>
          </cell>
          <cell r="BJ160">
            <v>0.02</v>
          </cell>
          <cell r="BK160">
            <v>0.02</v>
          </cell>
          <cell r="BL160">
            <v>0.02</v>
          </cell>
          <cell r="BM160">
            <v>0.02</v>
          </cell>
          <cell r="BN160">
            <v>0.02</v>
          </cell>
          <cell r="BO160">
            <v>0.02</v>
          </cell>
          <cell r="BP160">
            <v>0.02</v>
          </cell>
          <cell r="BQ160">
            <v>0.02</v>
          </cell>
          <cell r="BR160">
            <v>0.02</v>
          </cell>
          <cell r="BS160">
            <v>0.02</v>
          </cell>
          <cell r="BT160">
            <v>0.02</v>
          </cell>
          <cell r="BU160">
            <v>0.02</v>
          </cell>
          <cell r="BV160">
            <v>0.02</v>
          </cell>
          <cell r="BW160">
            <v>0.02</v>
          </cell>
          <cell r="BX160">
            <v>0.02</v>
          </cell>
          <cell r="BY160">
            <v>0.02</v>
          </cell>
          <cell r="BZ160">
            <v>0.02</v>
          </cell>
          <cell r="CA160">
            <v>0.02</v>
          </cell>
          <cell r="CB160">
            <v>0.02</v>
          </cell>
          <cell r="CC160">
            <v>0.02</v>
          </cell>
          <cell r="CD160">
            <v>0.02</v>
          </cell>
        </row>
        <row r="161">
          <cell r="B161" t="str">
            <v>Exploration expense</v>
          </cell>
          <cell r="G161">
            <v>7.6640098099325571E-3</v>
          </cell>
          <cell r="L161">
            <v>7.4349442379182153E-3</v>
          </cell>
          <cell r="Q161">
            <v>1.1693481506054072E-2</v>
          </cell>
          <cell r="V161">
            <v>7.8138980017894415E-3</v>
          </cell>
          <cell r="AA161">
            <v>1.9587531782653735E-2</v>
          </cell>
          <cell r="AF161">
            <v>2.048112013107917E-2</v>
          </cell>
          <cell r="AK161">
            <v>1.7412669586582628E-2</v>
          </cell>
          <cell r="AP161">
            <v>2.2563751162449221E-2</v>
          </cell>
          <cell r="AQ161">
            <v>1.0652340754290335E-2</v>
          </cell>
          <cell r="AR161">
            <v>2.6406116181613933E-2</v>
          </cell>
          <cell r="AS161">
            <v>3.3854507507435246E-2</v>
          </cell>
          <cell r="AT161">
            <v>3.9773628810339259E-2</v>
          </cell>
          <cell r="AU161">
            <v>2.6381848830799613E-2</v>
          </cell>
          <cell r="AV161">
            <v>1.9091825606692134E-2</v>
          </cell>
          <cell r="AW161">
            <v>1.7867889946182203E-2</v>
          </cell>
          <cell r="AX161">
            <v>1.6772821667325293E-2</v>
          </cell>
          <cell r="AY161">
            <v>1.5959351031017085E-2</v>
          </cell>
          <cell r="AZ161">
            <v>1.7344233204744455E-2</v>
          </cell>
          <cell r="BA161">
            <v>1.4839509473178121E-2</v>
          </cell>
          <cell r="BB161">
            <v>1.442013898251873E-2</v>
          </cell>
          <cell r="BC161">
            <v>1.4018587617348454E-2</v>
          </cell>
          <cell r="BD161">
            <v>1.3782038738754257E-2</v>
          </cell>
          <cell r="BE161">
            <v>1.425378583700836E-2</v>
          </cell>
          <cell r="BF161">
            <v>1.118778357996836E-2</v>
          </cell>
          <cell r="BG161">
            <v>1.1074605794683737E-2</v>
          </cell>
          <cell r="BH161">
            <v>1.0963905459085776E-2</v>
          </cell>
          <cell r="BI161">
            <v>1.0973598381735164E-2</v>
          </cell>
          <cell r="BJ161">
            <v>1.1049233471623007E-2</v>
          </cell>
          <cell r="BK161">
            <v>1.0952484568924203E-2</v>
          </cell>
          <cell r="BL161">
            <v>1.0811122352893937E-2</v>
          </cell>
          <cell r="BM161">
            <v>1.0673091478477783E-2</v>
          </cell>
          <cell r="BN161">
            <v>1.0652831482155799E-2</v>
          </cell>
          <cell r="BO161">
            <v>1.0771041197401949E-2</v>
          </cell>
          <cell r="BP161">
            <v>1.0789660544717522E-2</v>
          </cell>
          <cell r="BQ161">
            <v>1.0730109688569576E-2</v>
          </cell>
          <cell r="BR161">
            <v>1.0673702794831236E-2</v>
          </cell>
          <cell r="BS161">
            <v>1.0735841614712477E-2</v>
          </cell>
          <cell r="BT161">
            <v>1.0732171599909421E-2</v>
          </cell>
          <cell r="BU161">
            <v>1.0976783782154264E-2</v>
          </cell>
          <cell r="BV161">
            <v>1.0892324306819469E-2</v>
          </cell>
          <cell r="BW161">
            <v>1.081084776966907E-2</v>
          </cell>
          <cell r="BX161">
            <v>1.0848943914413123E-2</v>
          </cell>
          <cell r="BY161">
            <v>1.0881875632200269E-2</v>
          </cell>
          <cell r="BZ161">
            <v>1.0887445933875389E-2</v>
          </cell>
          <cell r="CA161">
            <v>1.0693443234836402E-2</v>
          </cell>
          <cell r="CB161">
            <v>1.0504179742880914E-2</v>
          </cell>
          <cell r="CC161">
            <v>1.0431667224229927E-2</v>
          </cell>
          <cell r="CD161">
            <v>1.0626249880681261E-2</v>
          </cell>
        </row>
        <row r="162">
          <cell r="B162" t="str">
            <v>DD&amp;A</v>
          </cell>
          <cell r="G162">
            <v>8.3486613529531989E-2</v>
          </cell>
          <cell r="L162">
            <v>7.2697232548533663E-2</v>
          </cell>
          <cell r="Q162">
            <v>7.4058716205009117E-2</v>
          </cell>
          <cell r="V162">
            <v>7.7482851178049511E-2</v>
          </cell>
          <cell r="AA162">
            <v>8.8238063847819945E-2</v>
          </cell>
          <cell r="AF162">
            <v>5.5708646756535342E-2</v>
          </cell>
          <cell r="AK162">
            <v>5.3840401666488624E-2</v>
          </cell>
          <cell r="AP162">
            <v>5.9811071411090988E-2</v>
          </cell>
          <cell r="AQ162">
            <v>6.4149855196957539E-2</v>
          </cell>
          <cell r="AR162">
            <v>8.0379230537147378E-2</v>
          </cell>
          <cell r="AS162">
            <v>7.9553093383816997E-2</v>
          </cell>
          <cell r="AT162">
            <v>8.9363785124589604E-2</v>
          </cell>
          <cell r="AU162">
            <v>7.7238913839453555E-2</v>
          </cell>
          <cell r="AV162">
            <v>9.3310172527053786E-2</v>
          </cell>
          <cell r="AW162">
            <v>8.9412213039407412E-2</v>
          </cell>
          <cell r="AX162">
            <v>8.5911622539830382E-2</v>
          </cell>
          <cell r="AY162">
            <v>8.2750584637618974E-2</v>
          </cell>
          <cell r="AZ162">
            <v>8.7582616163023763E-2</v>
          </cell>
          <cell r="BA162">
            <v>9.6144061493525945E-2</v>
          </cell>
          <cell r="BB162">
            <v>9.7346809091890682E-2</v>
          </cell>
          <cell r="BC162">
            <v>9.8508269823919054E-2</v>
          </cell>
          <cell r="BD162">
            <v>9.9630533706565438E-2</v>
          </cell>
          <cell r="BE162">
            <v>9.7943700909794859E-2</v>
          </cell>
          <cell r="BF162">
            <v>0.10997712273975678</v>
          </cell>
          <cell r="BG162">
            <v>0.10800426739910771</v>
          </cell>
          <cell r="BH162">
            <v>0.10602792683263743</v>
          </cell>
          <cell r="BI162">
            <v>0.10404809179673546</v>
          </cell>
          <cell r="BJ162">
            <v>0.10699758197839633</v>
          </cell>
          <cell r="BK162">
            <v>0.11141105074046127</v>
          </cell>
          <cell r="BL162">
            <v>0.1120398951680258</v>
          </cell>
          <cell r="BM162">
            <v>0.11266818263908204</v>
          </cell>
          <cell r="BN162">
            <v>0.11329597892438889</v>
          </cell>
          <cell r="BO162">
            <v>0.11236130733125223</v>
          </cell>
          <cell r="BP162">
            <v>0.11763495762567888</v>
          </cell>
          <cell r="BQ162">
            <v>0.11478990247074371</v>
          </cell>
          <cell r="BR162">
            <v>0.11192578729234669</v>
          </cell>
          <cell r="BS162">
            <v>0.10904144198875647</v>
          </cell>
          <cell r="BT162">
            <v>0.11334080160758121</v>
          </cell>
          <cell r="BU162">
            <v>0.11529856938155346</v>
          </cell>
          <cell r="BV162">
            <v>0.11518954248406221</v>
          </cell>
          <cell r="BW162">
            <v>0.11508945032275145</v>
          </cell>
          <cell r="BX162">
            <v>0.11499846391582637</v>
          </cell>
          <cell r="BY162">
            <v>0.11514346145087653</v>
          </cell>
          <cell r="BZ162">
            <v>0.118011476722739</v>
          </cell>
          <cell r="CA162">
            <v>0.11481508396978338</v>
          </cell>
          <cell r="CB162">
            <v>0.11165735749923508</v>
          </cell>
          <cell r="CC162">
            <v>0.1085379047075344</v>
          </cell>
          <cell r="CD162">
            <v>0.11319783866582245</v>
          </cell>
        </row>
        <row r="163">
          <cell r="B163" t="str">
            <v>Other income/(cost)</v>
          </cell>
          <cell r="G163">
            <v>4.9049662783568364E-2</v>
          </cell>
          <cell r="L163">
            <v>9.3184634448574971E-2</v>
          </cell>
          <cell r="Q163">
            <v>0.12680378172167855</v>
          </cell>
          <cell r="V163">
            <v>0.12567849686847599</v>
          </cell>
          <cell r="AA163">
            <v>0.23147189000847537</v>
          </cell>
          <cell r="AF163">
            <v>0.20466224770983837</v>
          </cell>
          <cell r="AK163">
            <v>0.17316526012178185</v>
          </cell>
          <cell r="AP163">
            <v>0.15452009201703293</v>
          </cell>
          <cell r="AQ163">
            <v>0.12329098095243443</v>
          </cell>
          <cell r="AR163">
            <v>0.16127513954568767</v>
          </cell>
          <cell r="AS163">
            <v>0.15520098184948919</v>
          </cell>
          <cell r="AT163">
            <v>0.16891405213903987</v>
          </cell>
          <cell r="AU163">
            <v>0.14995366898900878</v>
          </cell>
          <cell r="AV163">
            <v>0.15452962093026301</v>
          </cell>
          <cell r="AW163">
            <v>0.14462306104657463</v>
          </cell>
          <cell r="AX163">
            <v>0.13575955634510711</v>
          </cell>
          <cell r="AY163">
            <v>0.12917530863322016</v>
          </cell>
          <cell r="AZ163">
            <v>0.14038457283601882</v>
          </cell>
          <cell r="BA163">
            <v>0.14071220816592186</v>
          </cell>
          <cell r="BB163">
            <v>0.13673562471570952</v>
          </cell>
          <cell r="BC163">
            <v>0.13292800699173576</v>
          </cell>
          <cell r="BD163">
            <v>0.13068498709230286</v>
          </cell>
          <cell r="BE163">
            <v>0.135158219580963</v>
          </cell>
          <cell r="BF163">
            <v>0.13374161836667053</v>
          </cell>
          <cell r="BG163">
            <v>0.13238866225530785</v>
          </cell>
          <cell r="BH163">
            <v>0.13106532220937475</v>
          </cell>
          <cell r="BI163">
            <v>0.131181193878912</v>
          </cell>
          <cell r="BJ163">
            <v>0.13208535503421182</v>
          </cell>
          <cell r="BK163">
            <v>0.13159474690988412</v>
          </cell>
          <cell r="BL163">
            <v>0.12989627156175129</v>
          </cell>
          <cell r="BM163">
            <v>0.1282378224792407</v>
          </cell>
          <cell r="BN163">
            <v>0.12799439743064933</v>
          </cell>
          <cell r="BO163">
            <v>0.12941469411878559</v>
          </cell>
          <cell r="BP163">
            <v>0.13154780445680495</v>
          </cell>
          <cell r="BQ163">
            <v>0.1308217589665582</v>
          </cell>
          <cell r="BR163">
            <v>0.13013404474267193</v>
          </cell>
          <cell r="BS163">
            <v>0.13089164274986001</v>
          </cell>
          <cell r="BT163">
            <v>0.13084689783989134</v>
          </cell>
          <cell r="BU163">
            <v>0.13325382436606087</v>
          </cell>
          <cell r="BV163">
            <v>0.13222851965789947</v>
          </cell>
          <cell r="BW163">
            <v>0.13123942664241661</v>
          </cell>
          <cell r="BX163">
            <v>0.131701898809264</v>
          </cell>
          <cell r="BY163">
            <v>0.13210167687041297</v>
          </cell>
          <cell r="BZ163">
            <v>0.13216929813505784</v>
          </cell>
          <cell r="CA163">
            <v>0.12981418191000185</v>
          </cell>
          <cell r="CB163">
            <v>0.12751659778914615</v>
          </cell>
          <cell r="CC163">
            <v>0.1266363244216076</v>
          </cell>
          <cell r="CD163">
            <v>0.12899848110083473</v>
          </cell>
        </row>
        <row r="165">
          <cell r="A165" t="str">
            <v>Effective tax rate</v>
          </cell>
          <cell r="G165">
            <v>0.72153482552481585</v>
          </cell>
          <cell r="L165">
            <v>0.74666823917914849</v>
          </cell>
          <cell r="Q165">
            <v>0.82895408163265305</v>
          </cell>
          <cell r="V165">
            <v>0.80813643631195597</v>
          </cell>
          <cell r="AA165">
            <v>0.82966072053165441</v>
          </cell>
          <cell r="AF165">
            <v>0.82171108677132776</v>
          </cell>
          <cell r="AK165">
            <v>0.79530064452965654</v>
          </cell>
          <cell r="AP165">
            <v>0.78991102286932857</v>
          </cell>
          <cell r="AQ165">
            <v>0.8</v>
          </cell>
          <cell r="AR165">
            <v>0.8</v>
          </cell>
          <cell r="AS165">
            <v>0.8</v>
          </cell>
          <cell r="AT165">
            <v>0.8</v>
          </cell>
          <cell r="AU165">
            <v>0.8</v>
          </cell>
          <cell r="AV165">
            <v>0.8</v>
          </cell>
          <cell r="AW165">
            <v>0.8</v>
          </cell>
          <cell r="AX165">
            <v>0.8</v>
          </cell>
          <cell r="AY165">
            <v>0.8</v>
          </cell>
          <cell r="AZ165">
            <v>0.8</v>
          </cell>
          <cell r="BA165">
            <v>0.8</v>
          </cell>
          <cell r="BB165">
            <v>0.8</v>
          </cell>
          <cell r="BC165">
            <v>0.8</v>
          </cell>
          <cell r="BD165">
            <v>0.8</v>
          </cell>
          <cell r="BE165">
            <v>0.8</v>
          </cell>
          <cell r="BF165">
            <v>0.8</v>
          </cell>
          <cell r="BG165">
            <v>0.8</v>
          </cell>
          <cell r="BH165">
            <v>0.8</v>
          </cell>
          <cell r="BI165">
            <v>0.8</v>
          </cell>
          <cell r="BJ165">
            <v>0.8</v>
          </cell>
          <cell r="BK165">
            <v>0.8</v>
          </cell>
          <cell r="BL165">
            <v>0.8</v>
          </cell>
          <cell r="BM165">
            <v>0.8</v>
          </cell>
          <cell r="BN165">
            <v>0.8</v>
          </cell>
          <cell r="BO165">
            <v>0.8</v>
          </cell>
          <cell r="BP165">
            <v>0.8</v>
          </cell>
          <cell r="BQ165">
            <v>0.8</v>
          </cell>
          <cell r="BR165">
            <v>0.8</v>
          </cell>
          <cell r="BS165">
            <v>0.8</v>
          </cell>
          <cell r="BT165">
            <v>0.8</v>
          </cell>
          <cell r="BU165">
            <v>0.8</v>
          </cell>
          <cell r="BV165">
            <v>0.8</v>
          </cell>
          <cell r="BW165">
            <v>0.8</v>
          </cell>
          <cell r="BX165">
            <v>0.8</v>
          </cell>
          <cell r="BY165">
            <v>0.8</v>
          </cell>
          <cell r="BZ165">
            <v>0.8</v>
          </cell>
          <cell r="CA165">
            <v>0.8</v>
          </cell>
          <cell r="CB165">
            <v>0.8</v>
          </cell>
          <cell r="CC165">
            <v>0.8</v>
          </cell>
          <cell r="CD165">
            <v>0.8</v>
          </cell>
        </row>
        <row r="169">
          <cell r="A169" t="str">
            <v>Oceania</v>
          </cell>
        </row>
        <row r="170">
          <cell r="C170">
            <v>2001</v>
          </cell>
          <cell r="D170">
            <v>2002</v>
          </cell>
          <cell r="E170">
            <v>2003</v>
          </cell>
          <cell r="F170">
            <v>2004</v>
          </cell>
          <cell r="G170">
            <v>2005</v>
          </cell>
          <cell r="H170" t="str">
            <v>1Q06</v>
          </cell>
          <cell r="I170" t="str">
            <v>2Q06</v>
          </cell>
          <cell r="J170" t="str">
            <v>3Q06</v>
          </cell>
          <cell r="K170" t="str">
            <v>4Q06</v>
          </cell>
          <cell r="L170">
            <v>2006</v>
          </cell>
          <cell r="M170" t="str">
            <v>1Q07</v>
          </cell>
          <cell r="N170" t="str">
            <v>2Q07</v>
          </cell>
          <cell r="O170" t="str">
            <v>3Q07</v>
          </cell>
          <cell r="P170" t="str">
            <v>4Q07</v>
          </cell>
          <cell r="Q170">
            <v>2007</v>
          </cell>
          <cell r="R170" t="str">
            <v>1Q08</v>
          </cell>
          <cell r="S170" t="str">
            <v>2Q08</v>
          </cell>
          <cell r="T170" t="str">
            <v>3Q08</v>
          </cell>
          <cell r="U170" t="str">
            <v>4Q08</v>
          </cell>
          <cell r="V170">
            <v>2008</v>
          </cell>
          <cell r="W170" t="str">
            <v>1Q09</v>
          </cell>
          <cell r="X170" t="str">
            <v>2Q09</v>
          </cell>
          <cell r="Y170" t="str">
            <v>3Q09</v>
          </cell>
          <cell r="Z170" t="str">
            <v>4Q09</v>
          </cell>
          <cell r="AA170">
            <v>2009</v>
          </cell>
          <cell r="AB170" t="str">
            <v>1Q10</v>
          </cell>
          <cell r="AC170" t="str">
            <v>2Q10</v>
          </cell>
          <cell r="AD170" t="str">
            <v>3Q10</v>
          </cell>
          <cell r="AE170" t="str">
            <v>4Q10</v>
          </cell>
          <cell r="AF170">
            <v>2010</v>
          </cell>
          <cell r="AG170" t="str">
            <v>1Q11</v>
          </cell>
          <cell r="AH170" t="str">
            <v>2Q11</v>
          </cell>
          <cell r="AI170" t="str">
            <v>3Q11</v>
          </cell>
          <cell r="AJ170" t="str">
            <v>4Q11</v>
          </cell>
          <cell r="AK170">
            <v>2011</v>
          </cell>
          <cell r="AL170" t="str">
            <v>1Q12</v>
          </cell>
          <cell r="AM170" t="str">
            <v>2Q12</v>
          </cell>
          <cell r="AN170" t="str">
            <v>3Q12</v>
          </cell>
          <cell r="AO170" t="str">
            <v>4Q12</v>
          </cell>
          <cell r="AP170">
            <v>2012</v>
          </cell>
          <cell r="AQ170" t="str">
            <v>1Q13</v>
          </cell>
          <cell r="AR170" t="str">
            <v>2Q13</v>
          </cell>
          <cell r="AS170" t="str">
            <v>3Q13</v>
          </cell>
          <cell r="AT170" t="str">
            <v>4Q13</v>
          </cell>
          <cell r="AU170">
            <v>2013</v>
          </cell>
          <cell r="AV170" t="str">
            <v>1Q14</v>
          </cell>
          <cell r="AW170" t="str">
            <v>2Q14</v>
          </cell>
          <cell r="AX170" t="str">
            <v>3Q14</v>
          </cell>
          <cell r="AY170" t="str">
            <v>4Q14</v>
          </cell>
          <cell r="AZ170">
            <v>2014</v>
          </cell>
          <cell r="BA170" t="str">
            <v>1Q15</v>
          </cell>
          <cell r="BB170" t="str">
            <v>2Q15</v>
          </cell>
          <cell r="BC170" t="str">
            <v>3Q15</v>
          </cell>
          <cell r="BD170" t="str">
            <v>4Q15</v>
          </cell>
          <cell r="BE170">
            <v>2015</v>
          </cell>
          <cell r="BF170" t="str">
            <v>1Q16</v>
          </cell>
          <cell r="BG170" t="str">
            <v>2Q16</v>
          </cell>
          <cell r="BH170" t="str">
            <v>3Q16</v>
          </cell>
          <cell r="BI170" t="str">
            <v>4Q16</v>
          </cell>
          <cell r="BJ170">
            <v>2016</v>
          </cell>
          <cell r="BK170" t="str">
            <v>1Q17</v>
          </cell>
          <cell r="BL170" t="str">
            <v>2Q17</v>
          </cell>
          <cell r="BM170" t="str">
            <v>3Q17</v>
          </cell>
          <cell r="BN170" t="str">
            <v>4Q17</v>
          </cell>
          <cell r="BO170">
            <v>2017</v>
          </cell>
          <cell r="BP170" t="str">
            <v>1Q18</v>
          </cell>
          <cell r="BQ170" t="str">
            <v>2Q18</v>
          </cell>
          <cell r="BR170" t="str">
            <v>3Q18</v>
          </cell>
          <cell r="BS170" t="str">
            <v>4Q18</v>
          </cell>
          <cell r="BT170">
            <v>2018</v>
          </cell>
          <cell r="BU170" t="str">
            <v>1Q19</v>
          </cell>
          <cell r="BV170" t="str">
            <v>2Q19</v>
          </cell>
          <cell r="BW170" t="str">
            <v>3Q19</v>
          </cell>
          <cell r="BX170" t="str">
            <v>4Q19</v>
          </cell>
          <cell r="BY170">
            <v>2019</v>
          </cell>
          <cell r="BZ170" t="str">
            <v>1Q20</v>
          </cell>
          <cell r="CA170" t="str">
            <v>2Q20</v>
          </cell>
          <cell r="CB170" t="str">
            <v>3Q20</v>
          </cell>
          <cell r="CC170" t="str">
            <v>4Q20</v>
          </cell>
          <cell r="CD170">
            <v>2020</v>
          </cell>
        </row>
        <row r="171">
          <cell r="A171" t="str">
            <v>Third parties</v>
          </cell>
          <cell r="G171">
            <v>79</v>
          </cell>
          <cell r="L171">
            <v>258</v>
          </cell>
          <cell r="Q171">
            <v>226</v>
          </cell>
          <cell r="V171">
            <v>170</v>
          </cell>
          <cell r="AA171">
            <v>1001</v>
          </cell>
          <cell r="AF171">
            <v>1674</v>
          </cell>
          <cell r="AK171">
            <v>1823</v>
          </cell>
          <cell r="AP171">
            <v>1941</v>
          </cell>
        </row>
        <row r="172">
          <cell r="A172" t="str">
            <v>Sales between businesses</v>
          </cell>
          <cell r="G172">
            <v>940</v>
          </cell>
          <cell r="L172">
            <v>1065</v>
          </cell>
          <cell r="Q172">
            <v>1352</v>
          </cell>
          <cell r="V172">
            <v>1440</v>
          </cell>
          <cell r="AA172">
            <v>877</v>
          </cell>
          <cell r="AF172">
            <v>980</v>
          </cell>
          <cell r="AK172">
            <v>1160</v>
          </cell>
          <cell r="AP172">
            <v>1129</v>
          </cell>
        </row>
        <row r="173">
          <cell r="A173" t="str">
            <v>Revenue</v>
          </cell>
          <cell r="G173">
            <v>1019</v>
          </cell>
          <cell r="L173">
            <v>1323</v>
          </cell>
          <cell r="Q173">
            <v>1578</v>
          </cell>
          <cell r="V173">
            <v>1610</v>
          </cell>
          <cell r="AA173">
            <v>1878</v>
          </cell>
          <cell r="AF173">
            <v>2654</v>
          </cell>
          <cell r="AK173">
            <v>2983</v>
          </cell>
          <cell r="AP173">
            <v>3070</v>
          </cell>
          <cell r="AQ173">
            <v>845.1343375375958</v>
          </cell>
          <cell r="AR173">
            <v>793.46393030502281</v>
          </cell>
          <cell r="AS173">
            <v>751.91770415919154</v>
          </cell>
          <cell r="AT173">
            <v>700.16165522149629</v>
          </cell>
          <cell r="AU173">
            <v>3090.6776272233064</v>
          </cell>
          <cell r="AV173">
            <v>717.6548541600398</v>
          </cell>
          <cell r="AW173">
            <v>748.52995663883257</v>
          </cell>
          <cell r="AX173">
            <v>781.00834316105227</v>
          </cell>
          <cell r="AY173">
            <v>805.26112576416403</v>
          </cell>
          <cell r="AZ173">
            <v>3052.4542797240883</v>
          </cell>
          <cell r="BA173">
            <v>778.98436147397513</v>
          </cell>
          <cell r="BB173">
            <v>773.39484890586573</v>
          </cell>
          <cell r="BC173">
            <v>784.06652693364526</v>
          </cell>
          <cell r="BD173">
            <v>786.23936046795382</v>
          </cell>
          <cell r="BE173">
            <v>3122.6850977814402</v>
          </cell>
          <cell r="BF173">
            <v>846.79407482290583</v>
          </cell>
          <cell r="BG173">
            <v>922.30571713699339</v>
          </cell>
          <cell r="BH173">
            <v>1020.2032697237084</v>
          </cell>
          <cell r="BI173">
            <v>1107.9655946495775</v>
          </cell>
          <cell r="BJ173">
            <v>3897.2686563331849</v>
          </cell>
          <cell r="BK173">
            <v>1190.2288439962053</v>
          </cell>
          <cell r="BL173">
            <v>1315.09321911898</v>
          </cell>
          <cell r="BM173">
            <v>1443.7799755645638</v>
          </cell>
          <cell r="BN173">
            <v>1559.3964894554038</v>
          </cell>
          <cell r="BO173">
            <v>5508.4985281351537</v>
          </cell>
          <cell r="BP173">
            <v>1626.6694374749991</v>
          </cell>
          <cell r="BQ173">
            <v>1748.2655807669864</v>
          </cell>
          <cell r="BR173">
            <v>1873.3867356914529</v>
          </cell>
          <cell r="BS173">
            <v>1980.557392083196</v>
          </cell>
          <cell r="BT173">
            <v>7228.879146016634</v>
          </cell>
          <cell r="BU173">
            <v>1876.7265960483212</v>
          </cell>
          <cell r="BV173">
            <v>1835.2722076901844</v>
          </cell>
          <cell r="BW173">
            <v>1791.5743200535337</v>
          </cell>
          <cell r="BX173">
            <v>1726.826139962162</v>
          </cell>
          <cell r="BY173">
            <v>7230.3992637542015</v>
          </cell>
          <cell r="BZ173">
            <v>1756.8755595187622</v>
          </cell>
          <cell r="CA173">
            <v>1845.5272577242106</v>
          </cell>
          <cell r="CB173">
            <v>1936.5049738780879</v>
          </cell>
          <cell r="CC173">
            <v>2008.0161065334539</v>
          </cell>
          <cell r="CD173">
            <v>7546.9238976545139</v>
          </cell>
        </row>
        <row r="175">
          <cell r="A175" t="str">
            <v>Production cost excluding taxes</v>
          </cell>
          <cell r="G175">
            <v>-135</v>
          </cell>
          <cell r="L175">
            <v>-123</v>
          </cell>
          <cell r="Q175">
            <v>-131</v>
          </cell>
          <cell r="V175">
            <v>-157</v>
          </cell>
          <cell r="AA175">
            <v>-177</v>
          </cell>
          <cell r="AF175">
            <v>-287</v>
          </cell>
          <cell r="AK175">
            <v>-386</v>
          </cell>
          <cell r="AP175">
            <v>-395</v>
          </cell>
          <cell r="AQ175">
            <v>-109.63232425833182</v>
          </cell>
          <cell r="AR175">
            <v>-108.25886970543968</v>
          </cell>
          <cell r="AS175">
            <v>-106.82845709784212</v>
          </cell>
          <cell r="AT175">
            <v>-104.2083865813936</v>
          </cell>
          <cell r="AU175">
            <v>-428.9280376430072</v>
          </cell>
          <cell r="AV175">
            <v>-109.73092995773875</v>
          </cell>
          <cell r="AW175">
            <v>-113.67085396203906</v>
          </cell>
          <cell r="AX175">
            <v>-117.6705733828056</v>
          </cell>
          <cell r="AY175">
            <v>-120.42116254025302</v>
          </cell>
          <cell r="AZ175">
            <v>-461.49351984283646</v>
          </cell>
          <cell r="BA175">
            <v>-126.36268270652049</v>
          </cell>
          <cell r="BB175">
            <v>-130.29718407036992</v>
          </cell>
          <cell r="BC175">
            <v>-134.28730019369186</v>
          </cell>
          <cell r="BD175">
            <v>-136.84557912942734</v>
          </cell>
          <cell r="BE175">
            <v>-527.79274610000959</v>
          </cell>
          <cell r="BF175">
            <v>-156.48733831832939</v>
          </cell>
          <cell r="BG175">
            <v>-174.48523955100333</v>
          </cell>
          <cell r="BH175">
            <v>-192.84048480629554</v>
          </cell>
          <cell r="BI175">
            <v>-209.27830984674159</v>
          </cell>
          <cell r="BJ175">
            <v>-733.09137252236997</v>
          </cell>
          <cell r="BK175">
            <v>-226.98371515841512</v>
          </cell>
          <cell r="BL175">
            <v>-246.83287862639708</v>
          </cell>
          <cell r="BM175">
            <v>-267.06285796665264</v>
          </cell>
          <cell r="BN175">
            <v>-284.5803880912336</v>
          </cell>
          <cell r="BO175">
            <v>-1025.4598398426983</v>
          </cell>
          <cell r="BP175">
            <v>-299.7167132243066</v>
          </cell>
          <cell r="BQ175">
            <v>-317.56949677523033</v>
          </cell>
          <cell r="BR175">
            <v>-335.74145830084484</v>
          </cell>
          <cell r="BS175">
            <v>-350.4236451366217</v>
          </cell>
          <cell r="BT175">
            <v>-1303.4513134370034</v>
          </cell>
          <cell r="BU175">
            <v>-342.41524241055379</v>
          </cell>
          <cell r="BV175">
            <v>-337.1596526463353</v>
          </cell>
          <cell r="BW175">
            <v>-331.70493752895692</v>
          </cell>
          <cell r="BX175">
            <v>-322.5451712835968</v>
          </cell>
          <cell r="BY175">
            <v>-1333.8250038694428</v>
          </cell>
          <cell r="BZ175">
            <v>-332.40535933440907</v>
          </cell>
          <cell r="CA175">
            <v>-345.18227778531059</v>
          </cell>
          <cell r="CB175">
            <v>-358.15883416081442</v>
          </cell>
          <cell r="CC175">
            <v>-367.34217869252365</v>
          </cell>
          <cell r="CD175">
            <v>-1403.0886499730577</v>
          </cell>
        </row>
        <row r="176">
          <cell r="A176" t="str">
            <v>Taxes other than income tax</v>
          </cell>
          <cell r="G176">
            <v>-118</v>
          </cell>
          <cell r="L176">
            <v>-140</v>
          </cell>
          <cell r="Q176">
            <v>-165</v>
          </cell>
          <cell r="V176">
            <v>-258</v>
          </cell>
          <cell r="AA176">
            <v>-172</v>
          </cell>
          <cell r="AF176">
            <v>-284</v>
          </cell>
          <cell r="AK176">
            <v>-300</v>
          </cell>
          <cell r="AP176">
            <v>-322</v>
          </cell>
          <cell r="AQ176">
            <v>-84.513433753759585</v>
          </cell>
          <cell r="AR176">
            <v>-79.346393030502284</v>
          </cell>
          <cell r="AS176">
            <v>-75.191770415919152</v>
          </cell>
          <cell r="AT176">
            <v>-70.016165522149635</v>
          </cell>
          <cell r="AU176">
            <v>-309.06776272233071</v>
          </cell>
          <cell r="AV176">
            <v>-71.765485416003983</v>
          </cell>
          <cell r="AW176">
            <v>-74.852995663883263</v>
          </cell>
          <cell r="AX176">
            <v>-78.100834316105235</v>
          </cell>
          <cell r="AY176">
            <v>-80.526112576416409</v>
          </cell>
          <cell r="AZ176">
            <v>-305.24542797240895</v>
          </cell>
          <cell r="BA176">
            <v>-77.898436147397518</v>
          </cell>
          <cell r="BB176">
            <v>-77.339484890586576</v>
          </cell>
          <cell r="BC176">
            <v>-78.406652693364535</v>
          </cell>
          <cell r="BD176">
            <v>-78.623936046795393</v>
          </cell>
          <cell r="BE176">
            <v>-312.26850977814405</v>
          </cell>
          <cell r="BF176">
            <v>-84.679407482290586</v>
          </cell>
          <cell r="BG176">
            <v>-92.230571713699348</v>
          </cell>
          <cell r="BH176">
            <v>-102.02032697237085</v>
          </cell>
          <cell r="BI176">
            <v>-110.79655946495775</v>
          </cell>
          <cell r="BJ176">
            <v>-389.72686563331854</v>
          </cell>
          <cell r="BK176">
            <v>-119.02288439962054</v>
          </cell>
          <cell r="BL176">
            <v>-131.50932191189801</v>
          </cell>
          <cell r="BM176">
            <v>-144.37799755645639</v>
          </cell>
          <cell r="BN176">
            <v>-155.9396489455404</v>
          </cell>
          <cell r="BO176">
            <v>-550.84985281351533</v>
          </cell>
          <cell r="BP176">
            <v>-162.66694374749991</v>
          </cell>
          <cell r="BQ176">
            <v>-174.82655807669866</v>
          </cell>
          <cell r="BR176">
            <v>-187.3386735691453</v>
          </cell>
          <cell r="BS176">
            <v>-198.05573920831961</v>
          </cell>
          <cell r="BT176">
            <v>-722.8879146016634</v>
          </cell>
          <cell r="BU176">
            <v>-187.67265960483212</v>
          </cell>
          <cell r="BV176">
            <v>-183.52722076901844</v>
          </cell>
          <cell r="BW176">
            <v>-179.15743200535337</v>
          </cell>
          <cell r="BX176">
            <v>-172.68261399621622</v>
          </cell>
          <cell r="BY176">
            <v>-723.03992637542012</v>
          </cell>
          <cell r="BZ176">
            <v>-175.68755595187622</v>
          </cell>
          <cell r="CA176">
            <v>-184.55272577242107</v>
          </cell>
          <cell r="CB176">
            <v>-193.6504973878088</v>
          </cell>
          <cell r="CC176">
            <v>-200.80161065334539</v>
          </cell>
          <cell r="CD176">
            <v>-754.69238976545148</v>
          </cell>
        </row>
        <row r="177">
          <cell r="A177" t="str">
            <v>Exploration expense</v>
          </cell>
          <cell r="G177">
            <v>-17</v>
          </cell>
          <cell r="L177">
            <v>-104</v>
          </cell>
          <cell r="Q177">
            <v>-183</v>
          </cell>
          <cell r="V177">
            <v>-143</v>
          </cell>
          <cell r="AA177">
            <v>-196</v>
          </cell>
          <cell r="AF177">
            <v>-110</v>
          </cell>
          <cell r="AK177">
            <v>-178</v>
          </cell>
          <cell r="AP177">
            <v>-175</v>
          </cell>
          <cell r="AQ177">
            <v>-45.360000000000007</v>
          </cell>
          <cell r="AR177">
            <v>-85.960000000000008</v>
          </cell>
          <cell r="AS177">
            <v>-114.52000000000001</v>
          </cell>
          <cell r="AT177">
            <v>-123.62000000000002</v>
          </cell>
          <cell r="AU177">
            <v>-369.46000000000004</v>
          </cell>
          <cell r="AV177">
            <v>-64.862700000000004</v>
          </cell>
          <cell r="AW177">
            <v>-64.862700000000004</v>
          </cell>
          <cell r="AX177">
            <v>-64.862700000000004</v>
          </cell>
          <cell r="AY177">
            <v>-64.862700000000018</v>
          </cell>
          <cell r="AZ177">
            <v>-259.45080000000002</v>
          </cell>
          <cell r="BA177">
            <v>-55.366500000000009</v>
          </cell>
          <cell r="BB177">
            <v>-55.366500000000016</v>
          </cell>
          <cell r="BC177">
            <v>-55.366500000000009</v>
          </cell>
          <cell r="BD177">
            <v>-55.366499999999995</v>
          </cell>
          <cell r="BE177">
            <v>-221.46600000000004</v>
          </cell>
          <cell r="BF177">
            <v>-43.917416666666668</v>
          </cell>
          <cell r="BG177">
            <v>-43.917416666666668</v>
          </cell>
          <cell r="BH177">
            <v>-43.917416666666668</v>
          </cell>
          <cell r="BI177">
            <v>-43.917416666666668</v>
          </cell>
          <cell r="BJ177">
            <v>-175.66966666666667</v>
          </cell>
          <cell r="BK177">
            <v>-43.695166666666672</v>
          </cell>
          <cell r="BL177">
            <v>-43.695166666666672</v>
          </cell>
          <cell r="BM177">
            <v>-43.695166666666672</v>
          </cell>
          <cell r="BN177">
            <v>-43.695166666666672</v>
          </cell>
          <cell r="BO177">
            <v>-174.78066666666669</v>
          </cell>
          <cell r="BP177">
            <v>-43.060937500000001</v>
          </cell>
          <cell r="BQ177">
            <v>-43.060937500000001</v>
          </cell>
          <cell r="BR177">
            <v>-43.060937500000001</v>
          </cell>
          <cell r="BS177">
            <v>-43.060937500000001</v>
          </cell>
          <cell r="BT177">
            <v>-172.24375000000001</v>
          </cell>
          <cell r="BU177">
            <v>-43.246875000000003</v>
          </cell>
          <cell r="BV177">
            <v>-43.246875000000003</v>
          </cell>
          <cell r="BW177">
            <v>-43.246875000000003</v>
          </cell>
          <cell r="BX177">
            <v>-43.246875000000003</v>
          </cell>
          <cell r="BY177">
            <v>-172.98750000000001</v>
          </cell>
          <cell r="BZ177">
            <v>-43.246875000000003</v>
          </cell>
          <cell r="CA177">
            <v>-43.246875000000003</v>
          </cell>
          <cell r="CB177">
            <v>-43.246875000000003</v>
          </cell>
          <cell r="CC177">
            <v>-43.246875000000003</v>
          </cell>
          <cell r="CD177">
            <v>-172.98750000000001</v>
          </cell>
        </row>
        <row r="178">
          <cell r="A178" t="str">
            <v>DD&amp;A</v>
          </cell>
          <cell r="G178">
            <v>-252</v>
          </cell>
          <cell r="L178">
            <v>-225</v>
          </cell>
          <cell r="Q178">
            <v>-350</v>
          </cell>
          <cell r="V178">
            <v>-220</v>
          </cell>
          <cell r="AA178">
            <v>-307</v>
          </cell>
          <cell r="AF178">
            <v>-436</v>
          </cell>
          <cell r="AK178">
            <v>-351</v>
          </cell>
          <cell r="AP178">
            <v>-304</v>
          </cell>
          <cell r="AQ178">
            <v>-89.931178350405304</v>
          </cell>
          <cell r="AR178">
            <v>-88.804536302196311</v>
          </cell>
          <cell r="AS178">
            <v>-87.631171674576038</v>
          </cell>
          <cell r="AT178">
            <v>-85.481933021656886</v>
          </cell>
          <cell r="AU178">
            <v>-351.84881934883458</v>
          </cell>
          <cell r="AV178">
            <v>-92.983587407139623</v>
          </cell>
          <cell r="AW178">
            <v>-96.322192740863088</v>
          </cell>
          <cell r="AX178">
            <v>-99.711467401235652</v>
          </cell>
          <cell r="AY178">
            <v>-102.04225642709321</v>
          </cell>
          <cell r="AZ178">
            <v>-391.0595039763316</v>
          </cell>
          <cell r="BA178">
            <v>-112.61935411141346</v>
          </cell>
          <cell r="BB178">
            <v>-116.12593527015878</v>
          </cell>
          <cell r="BC178">
            <v>-119.68208247290305</v>
          </cell>
          <cell r="BD178">
            <v>-121.96212049685434</v>
          </cell>
          <cell r="BE178">
            <v>-470.38949235132964</v>
          </cell>
          <cell r="BF178">
            <v>-145.91760395860135</v>
          </cell>
          <cell r="BG178">
            <v>-162.69986028922565</v>
          </cell>
          <cell r="BH178">
            <v>-179.8153243038054</v>
          </cell>
          <cell r="BI178">
            <v>-195.14287776575625</v>
          </cell>
          <cell r="BJ178">
            <v>-683.5756663173886</v>
          </cell>
          <cell r="BK178">
            <v>-220.43132767230728</v>
          </cell>
          <cell r="BL178">
            <v>-239.70750109020332</v>
          </cell>
          <cell r="BM178">
            <v>-259.3534972870832</v>
          </cell>
          <cell r="BN178">
            <v>-276.36534512033444</v>
          </cell>
          <cell r="BO178">
            <v>-995.85767116992815</v>
          </cell>
          <cell r="BP178">
            <v>-301.9250001812573</v>
          </cell>
          <cell r="BQ178">
            <v>-319.9093215054225</v>
          </cell>
          <cell r="BR178">
            <v>-338.21517248013544</v>
          </cell>
          <cell r="BS178">
            <v>-353.00553640533849</v>
          </cell>
          <cell r="BT178">
            <v>-1313.0550305721538</v>
          </cell>
          <cell r="BU178">
            <v>-356.54252946105493</v>
          </cell>
          <cell r="BV178">
            <v>-351.07010581790024</v>
          </cell>
          <cell r="BW178">
            <v>-345.390341354881</v>
          </cell>
          <cell r="BX178">
            <v>-335.85266364111573</v>
          </cell>
          <cell r="BY178">
            <v>-1388.8556402749518</v>
          </cell>
          <cell r="BZ178">
            <v>-356.63610862223919</v>
          </cell>
          <cell r="CA178">
            <v>-370.34440287368358</v>
          </cell>
          <cell r="CB178">
            <v>-384.26688769265132</v>
          </cell>
          <cell r="CC178">
            <v>-394.11965379872134</v>
          </cell>
          <cell r="CD178">
            <v>-1505.3670529872954</v>
          </cell>
        </row>
        <row r="179">
          <cell r="A179" t="str">
            <v>Other income/(cost)</v>
          </cell>
          <cell r="G179">
            <v>-28</v>
          </cell>
          <cell r="L179">
            <v>-249</v>
          </cell>
          <cell r="Q179">
            <v>90</v>
          </cell>
          <cell r="V179">
            <v>8</v>
          </cell>
          <cell r="AA179">
            <v>-463</v>
          </cell>
          <cell r="AF179">
            <v>2479</v>
          </cell>
          <cell r="AK179">
            <v>-331</v>
          </cell>
          <cell r="AP179">
            <v>1769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  <cell r="BF179">
            <v>0</v>
          </cell>
          <cell r="BG179">
            <v>0</v>
          </cell>
          <cell r="BH179">
            <v>0</v>
          </cell>
          <cell r="BI179">
            <v>0</v>
          </cell>
          <cell r="BJ179">
            <v>0</v>
          </cell>
          <cell r="BK179">
            <v>0</v>
          </cell>
          <cell r="BL179">
            <v>0</v>
          </cell>
          <cell r="BM179">
            <v>0</v>
          </cell>
          <cell r="BN179">
            <v>0</v>
          </cell>
          <cell r="BO179">
            <v>0</v>
          </cell>
          <cell r="BP179">
            <v>0</v>
          </cell>
          <cell r="BQ179">
            <v>0</v>
          </cell>
          <cell r="BR179">
            <v>0</v>
          </cell>
          <cell r="BS179">
            <v>0</v>
          </cell>
          <cell r="BT179">
            <v>0</v>
          </cell>
          <cell r="BU179">
            <v>0</v>
          </cell>
          <cell r="BV179">
            <v>0</v>
          </cell>
          <cell r="BW179">
            <v>0</v>
          </cell>
          <cell r="BX179">
            <v>0</v>
          </cell>
          <cell r="BY179">
            <v>0</v>
          </cell>
          <cell r="BZ179">
            <v>0</v>
          </cell>
          <cell r="CA179">
            <v>0</v>
          </cell>
          <cell r="CB179">
            <v>0</v>
          </cell>
          <cell r="CC179">
            <v>0</v>
          </cell>
          <cell r="CD179">
            <v>0</v>
          </cell>
        </row>
        <row r="180">
          <cell r="A180" t="str">
            <v>Earnings before tax</v>
          </cell>
          <cell r="G180">
            <v>469</v>
          </cell>
          <cell r="L180">
            <v>482</v>
          </cell>
          <cell r="Q180">
            <v>839</v>
          </cell>
          <cell r="V180">
            <v>840</v>
          </cell>
          <cell r="AA180">
            <v>563</v>
          </cell>
          <cell r="AF180">
            <v>4016</v>
          </cell>
          <cell r="AK180">
            <v>1437</v>
          </cell>
          <cell r="AP180">
            <v>3643</v>
          </cell>
          <cell r="AQ180">
            <v>515.69740117509912</v>
          </cell>
          <cell r="AR180">
            <v>431.09413126688446</v>
          </cell>
          <cell r="AS180">
            <v>367.74630497085428</v>
          </cell>
          <cell r="AT180">
            <v>316.83517009629611</v>
          </cell>
          <cell r="AU180">
            <v>1631.3730075091339</v>
          </cell>
          <cell r="AV180">
            <v>378.31215137915734</v>
          </cell>
          <cell r="AW180">
            <v>398.8212142720472</v>
          </cell>
          <cell r="AX180">
            <v>420.66276806090576</v>
          </cell>
          <cell r="AY180">
            <v>437.40889422040141</v>
          </cell>
          <cell r="AZ180">
            <v>1635.2050279325113</v>
          </cell>
          <cell r="BA180">
            <v>406.73738850864368</v>
          </cell>
          <cell r="BB180">
            <v>394.26574467475041</v>
          </cell>
          <cell r="BC180">
            <v>396.32399157368582</v>
          </cell>
          <cell r="BD180">
            <v>393.44122479487669</v>
          </cell>
          <cell r="BE180">
            <v>1590.768349551957</v>
          </cell>
          <cell r="BF180">
            <v>415.79230839701779</v>
          </cell>
          <cell r="BG180">
            <v>448.97262891639843</v>
          </cell>
          <cell r="BH180">
            <v>501.60971697457001</v>
          </cell>
          <cell r="BI180">
            <v>548.83043090545516</v>
          </cell>
          <cell r="BJ180">
            <v>1915.2050851934412</v>
          </cell>
          <cell r="BK180">
            <v>580.0957500991957</v>
          </cell>
          <cell r="BL180">
            <v>653.34835082381483</v>
          </cell>
          <cell r="BM180">
            <v>729.2904560877048</v>
          </cell>
          <cell r="BN180">
            <v>798.81594063162879</v>
          </cell>
          <cell r="BO180">
            <v>2761.5504976423463</v>
          </cell>
          <cell r="BP180">
            <v>819.29984282193527</v>
          </cell>
          <cell r="BQ180">
            <v>892.89926690963512</v>
          </cell>
          <cell r="BR180">
            <v>969.03049384132737</v>
          </cell>
          <cell r="BS180">
            <v>1036.0115338329163</v>
          </cell>
          <cell r="BT180">
            <v>3717.2411374058138</v>
          </cell>
          <cell r="BU180">
            <v>946.84928957188026</v>
          </cell>
          <cell r="BV180">
            <v>920.26835345693053</v>
          </cell>
          <cell r="BW180">
            <v>892.07473416434254</v>
          </cell>
          <cell r="BX180">
            <v>852.49881604123334</v>
          </cell>
          <cell r="BY180">
            <v>3611.6911932343874</v>
          </cell>
          <cell r="BZ180">
            <v>848.89966061023779</v>
          </cell>
          <cell r="CA180">
            <v>902.2009762927953</v>
          </cell>
          <cell r="CB180">
            <v>957.18187963681316</v>
          </cell>
          <cell r="CC180">
            <v>1002.5057883888635</v>
          </cell>
          <cell r="CD180">
            <v>3710.7883049287093</v>
          </cell>
        </row>
        <row r="182">
          <cell r="A182" t="str">
            <v>Taxation</v>
          </cell>
          <cell r="G182">
            <v>-69</v>
          </cell>
          <cell r="L182">
            <v>-188</v>
          </cell>
          <cell r="Q182">
            <v>-139</v>
          </cell>
          <cell r="V182">
            <v>-205</v>
          </cell>
          <cell r="AA182">
            <v>-69</v>
          </cell>
          <cell r="AF182">
            <v>-524</v>
          </cell>
          <cell r="AK182">
            <v>15</v>
          </cell>
          <cell r="AP182">
            <v>-1104</v>
          </cell>
          <cell r="AQ182">
            <v>-61.883688141011895</v>
          </cell>
          <cell r="AR182">
            <v>-51.731295752026135</v>
          </cell>
          <cell r="AS182">
            <v>-44.129556596502511</v>
          </cell>
          <cell r="AT182">
            <v>-38.020220411555535</v>
          </cell>
          <cell r="AU182">
            <v>-195.76476090109608</v>
          </cell>
          <cell r="AV182">
            <v>-45.397458165498882</v>
          </cell>
          <cell r="AW182">
            <v>-47.858545712645665</v>
          </cell>
          <cell r="AX182">
            <v>-50.47953216730869</v>
          </cell>
          <cell r="AY182">
            <v>-52.48906730644817</v>
          </cell>
          <cell r="AZ182">
            <v>-196.22460335190141</v>
          </cell>
          <cell r="BA182">
            <v>-48.80848662103724</v>
          </cell>
          <cell r="BB182">
            <v>-47.311889360970049</v>
          </cell>
          <cell r="BC182">
            <v>-47.558878988842295</v>
          </cell>
          <cell r="BD182">
            <v>-47.212946975385201</v>
          </cell>
          <cell r="BE182">
            <v>-190.89220194623476</v>
          </cell>
          <cell r="BF182">
            <v>-49.895077007642136</v>
          </cell>
          <cell r="BG182">
            <v>-53.876715469967813</v>
          </cell>
          <cell r="BH182">
            <v>-60.193166036948398</v>
          </cell>
          <cell r="BI182">
            <v>-65.85965170865461</v>
          </cell>
          <cell r="BJ182">
            <v>-229.82461022321297</v>
          </cell>
          <cell r="BK182">
            <v>-69.611490011903484</v>
          </cell>
          <cell r="BL182">
            <v>-78.401802098857772</v>
          </cell>
          <cell r="BM182">
            <v>-87.514854730524576</v>
          </cell>
          <cell r="BN182">
            <v>-95.857912875795449</v>
          </cell>
          <cell r="BO182">
            <v>-331.38605971708125</v>
          </cell>
          <cell r="BP182">
            <v>-98.315981138632225</v>
          </cell>
          <cell r="BQ182">
            <v>-107.14791202915622</v>
          </cell>
          <cell r="BR182">
            <v>-116.28365926095928</v>
          </cell>
          <cell r="BS182">
            <v>-124.32138405994995</v>
          </cell>
          <cell r="BT182">
            <v>-446.06893648869766</v>
          </cell>
          <cell r="BU182">
            <v>-113.62191474862563</v>
          </cell>
          <cell r="BV182">
            <v>-110.43220241483166</v>
          </cell>
          <cell r="BW182">
            <v>-107.04896809972111</v>
          </cell>
          <cell r="BX182">
            <v>-102.299857924948</v>
          </cell>
          <cell r="BY182">
            <v>-433.40294318812641</v>
          </cell>
          <cell r="BZ182">
            <v>-101.86795927322854</v>
          </cell>
          <cell r="CA182">
            <v>-108.26411715513544</v>
          </cell>
          <cell r="CB182">
            <v>-114.86182555641757</v>
          </cell>
          <cell r="CC182">
            <v>-120.30069460666361</v>
          </cell>
          <cell r="CD182">
            <v>-445.29459659144516</v>
          </cell>
        </row>
        <row r="183">
          <cell r="A183" t="str">
            <v>Earnings after tax</v>
          </cell>
          <cell r="G183">
            <v>400</v>
          </cell>
          <cell r="L183">
            <v>294</v>
          </cell>
          <cell r="Q183">
            <v>700</v>
          </cell>
          <cell r="V183">
            <v>635</v>
          </cell>
          <cell r="AA183">
            <v>494</v>
          </cell>
          <cell r="AF183">
            <v>3492</v>
          </cell>
          <cell r="AK183">
            <v>1452</v>
          </cell>
          <cell r="AP183">
            <v>2539</v>
          </cell>
          <cell r="AQ183">
            <v>453.81371303408724</v>
          </cell>
          <cell r="AR183">
            <v>379.36283551485832</v>
          </cell>
          <cell r="AS183">
            <v>323.6167483743518</v>
          </cell>
          <cell r="AT183">
            <v>278.81494968474055</v>
          </cell>
          <cell r="AU183">
            <v>1435.6082466080379</v>
          </cell>
          <cell r="AV183">
            <v>332.91469321365844</v>
          </cell>
          <cell r="AW183">
            <v>350.96266855940155</v>
          </cell>
          <cell r="AX183">
            <v>370.18323589359704</v>
          </cell>
          <cell r="AY183">
            <v>384.91982691395322</v>
          </cell>
          <cell r="AZ183">
            <v>1438.9804245806099</v>
          </cell>
          <cell r="BA183">
            <v>357.92890188760646</v>
          </cell>
          <cell r="BB183">
            <v>346.95385531378037</v>
          </cell>
          <cell r="BC183">
            <v>348.76511258484351</v>
          </cell>
          <cell r="BD183">
            <v>346.2282778194915</v>
          </cell>
          <cell r="BE183">
            <v>1399.8761476057223</v>
          </cell>
          <cell r="BF183">
            <v>365.89723138937563</v>
          </cell>
          <cell r="BG183">
            <v>395.09591344643064</v>
          </cell>
          <cell r="BH183">
            <v>441.41655093762159</v>
          </cell>
          <cell r="BI183">
            <v>482.97077919680055</v>
          </cell>
          <cell r="BJ183">
            <v>1685.3804749702281</v>
          </cell>
          <cell r="BK183">
            <v>510.48426008729223</v>
          </cell>
          <cell r="BL183">
            <v>574.9465487249571</v>
          </cell>
          <cell r="BM183">
            <v>641.77560135718022</v>
          </cell>
          <cell r="BN183">
            <v>702.95802775583331</v>
          </cell>
          <cell r="BO183">
            <v>2430.1644379252648</v>
          </cell>
          <cell r="BP183">
            <v>720.98386168330308</v>
          </cell>
          <cell r="BQ183">
            <v>785.75135488047886</v>
          </cell>
          <cell r="BR183">
            <v>852.74683458036804</v>
          </cell>
          <cell r="BS183">
            <v>911.69014977296627</v>
          </cell>
          <cell r="BT183">
            <v>3271.1722009171162</v>
          </cell>
          <cell r="BU183">
            <v>833.22737482325465</v>
          </cell>
          <cell r="BV183">
            <v>809.83615104209889</v>
          </cell>
          <cell r="BW183">
            <v>785.02576606462139</v>
          </cell>
          <cell r="BX183">
            <v>750.19895811628533</v>
          </cell>
          <cell r="BY183">
            <v>3178.2882500462611</v>
          </cell>
          <cell r="BZ183">
            <v>747.03170133700928</v>
          </cell>
          <cell r="CA183">
            <v>793.93685913765989</v>
          </cell>
          <cell r="CB183">
            <v>842.32005408039561</v>
          </cell>
          <cell r="CC183">
            <v>882.20509378219992</v>
          </cell>
          <cell r="CD183">
            <v>3265.4937083372643</v>
          </cell>
        </row>
        <row r="185">
          <cell r="A185" t="str">
            <v>Production</v>
          </cell>
        </row>
        <row r="186">
          <cell r="B186" t="str">
            <v>Oil and NGL (kbbl/d)</v>
          </cell>
          <cell r="C186">
            <v>89.4</v>
          </cell>
          <cell r="D186">
            <v>84.199999999999989</v>
          </cell>
          <cell r="E186">
            <v>62.8</v>
          </cell>
          <cell r="F186">
            <v>51</v>
          </cell>
          <cell r="G186">
            <v>46</v>
          </cell>
          <cell r="L186">
            <v>41</v>
          </cell>
          <cell r="Q186">
            <v>38</v>
          </cell>
          <cell r="V186">
            <v>29</v>
          </cell>
          <cell r="AA186">
            <v>30</v>
          </cell>
          <cell r="AF186">
            <v>30</v>
          </cell>
          <cell r="AK186">
            <v>30</v>
          </cell>
          <cell r="AP186">
            <v>27</v>
          </cell>
          <cell r="AQ186">
            <v>28.190618056320005</v>
          </cell>
          <cell r="AR186">
            <v>24.27579668544</v>
          </cell>
          <cell r="AS186">
            <v>20.360975314559994</v>
          </cell>
          <cell r="AT186">
            <v>16.446153943679992</v>
          </cell>
          <cell r="AU186">
            <v>22.318385999999997</v>
          </cell>
          <cell r="AV186">
            <v>18.028235966207994</v>
          </cell>
          <cell r="AW186">
            <v>19.610317988736</v>
          </cell>
          <cell r="AX186">
            <v>21.192400011263999</v>
          </cell>
          <cell r="AY186">
            <v>22.774482033791998</v>
          </cell>
          <cell r="AZ186">
            <v>20.401358999999999</v>
          </cell>
          <cell r="BA186">
            <v>20.6339208202752</v>
          </cell>
          <cell r="BB186">
            <v>18.493359606758403</v>
          </cell>
          <cell r="BC186">
            <v>16.352798393241606</v>
          </cell>
          <cell r="BD186">
            <v>14.212237179724806</v>
          </cell>
          <cell r="BE186">
            <v>17.423079000000005</v>
          </cell>
          <cell r="BF186">
            <v>16.059305810124958</v>
          </cell>
          <cell r="BG186">
            <v>17.906374440525113</v>
          </cell>
          <cell r="BH186">
            <v>19.753443070925265</v>
          </cell>
          <cell r="BI186">
            <v>21.600511701325416</v>
          </cell>
          <cell r="BJ186">
            <v>18.829908755725185</v>
          </cell>
          <cell r="BK186">
            <v>26.153769604001354</v>
          </cell>
          <cell r="BL186">
            <v>30.707027506677292</v>
          </cell>
          <cell r="BM186">
            <v>35.260285409353237</v>
          </cell>
          <cell r="BN186">
            <v>39.813543312029175</v>
          </cell>
          <cell r="BO186">
            <v>32.983656458015261</v>
          </cell>
          <cell r="BP186">
            <v>44.712314738362537</v>
          </cell>
          <cell r="BQ186">
            <v>49.611086164695905</v>
          </cell>
          <cell r="BR186">
            <v>54.50985759102926</v>
          </cell>
          <cell r="BS186">
            <v>59.408629017362628</v>
          </cell>
          <cell r="BT186">
            <v>52.060471877862582</v>
          </cell>
          <cell r="BU186">
            <v>53.340212161562619</v>
          </cell>
          <cell r="BV186">
            <v>47.271795305762602</v>
          </cell>
          <cell r="BW186">
            <v>41.203378449962585</v>
          </cell>
          <cell r="BX186">
            <v>35.134961594162576</v>
          </cell>
          <cell r="BY186">
            <v>44.237586877862597</v>
          </cell>
          <cell r="BZ186">
            <v>37.990092611459374</v>
          </cell>
          <cell r="CA186">
            <v>40.845223628756173</v>
          </cell>
          <cell r="CB186">
            <v>43.700354646052979</v>
          </cell>
          <cell r="CC186">
            <v>46.555485663349785</v>
          </cell>
          <cell r="CD186">
            <v>42.272789137404573</v>
          </cell>
        </row>
        <row r="187">
          <cell r="B187" t="str">
            <v>Natural gas (mmcf/d)</v>
          </cell>
          <cell r="C187">
            <v>697.4</v>
          </cell>
          <cell r="D187">
            <v>684.8</v>
          </cell>
          <cell r="E187">
            <v>529.79999999999995</v>
          </cell>
          <cell r="F187">
            <v>519.59999999999991</v>
          </cell>
          <cell r="G187">
            <v>565</v>
          </cell>
          <cell r="L187">
            <v>570</v>
          </cell>
          <cell r="Q187">
            <v>569</v>
          </cell>
          <cell r="V187">
            <v>561</v>
          </cell>
          <cell r="AA187">
            <v>601</v>
          </cell>
          <cell r="AF187">
            <v>606</v>
          </cell>
          <cell r="AK187">
            <v>548</v>
          </cell>
          <cell r="AP187">
            <v>534</v>
          </cell>
          <cell r="AQ187">
            <v>594.88789319103989</v>
          </cell>
          <cell r="AR187">
            <v>599.86324906367997</v>
          </cell>
          <cell r="AS187">
            <v>604.83860493632005</v>
          </cell>
          <cell r="AT187">
            <v>609.81396080896013</v>
          </cell>
          <cell r="AU187">
            <v>602.35092700000018</v>
          </cell>
          <cell r="AV187">
            <v>618.36536808537608</v>
          </cell>
          <cell r="AW187">
            <v>626.91677536179202</v>
          </cell>
          <cell r="AX187">
            <v>635.46818263820796</v>
          </cell>
          <cell r="AY187">
            <v>644.01958991462391</v>
          </cell>
          <cell r="AZ187">
            <v>631.19247899999993</v>
          </cell>
          <cell r="BA187">
            <v>692.52074554877436</v>
          </cell>
          <cell r="BB187">
            <v>721.02190118292481</v>
          </cell>
          <cell r="BC187">
            <v>749.52305681707526</v>
          </cell>
          <cell r="BD187">
            <v>778.02421245122571</v>
          </cell>
          <cell r="BE187">
            <v>735.27247899999998</v>
          </cell>
          <cell r="BF187">
            <v>888.1477633455446</v>
          </cell>
          <cell r="BG187">
            <v>978.27131423986339</v>
          </cell>
          <cell r="BH187">
            <v>1068.3948651341821</v>
          </cell>
          <cell r="BI187">
            <v>1158.5184160285007</v>
          </cell>
          <cell r="BJ187">
            <v>1023.3330896870227</v>
          </cell>
          <cell r="BK187">
            <v>1236.9484617911464</v>
          </cell>
          <cell r="BL187">
            <v>1315.3785075537919</v>
          </cell>
          <cell r="BM187">
            <v>1393.8085533164374</v>
          </cell>
          <cell r="BN187">
            <v>1472.2385990790831</v>
          </cell>
          <cell r="BO187">
            <v>1354.5935304351146</v>
          </cell>
          <cell r="BP187">
            <v>1529.5525293558467</v>
          </cell>
          <cell r="BQ187">
            <v>1586.8664596326105</v>
          </cell>
          <cell r="BR187">
            <v>1644.1803899093741</v>
          </cell>
          <cell r="BS187">
            <v>1701.4943201861379</v>
          </cell>
          <cell r="BT187">
            <v>1615.5234247709923</v>
          </cell>
          <cell r="BU187">
            <v>1684.5132597300035</v>
          </cell>
          <cell r="BV187">
            <v>1667.5321992738691</v>
          </cell>
          <cell r="BW187">
            <v>1650.5511388177347</v>
          </cell>
          <cell r="BX187">
            <v>1633.5700783616003</v>
          </cell>
          <cell r="BY187">
            <v>1659.0416690458019</v>
          </cell>
          <cell r="BZ187">
            <v>1668.0466014352808</v>
          </cell>
          <cell r="CA187">
            <v>1702.523124508961</v>
          </cell>
          <cell r="CB187">
            <v>1736.9996475826415</v>
          </cell>
          <cell r="CC187">
            <v>1771.4761706563218</v>
          </cell>
          <cell r="CD187">
            <v>1719.7613860458011</v>
          </cell>
        </row>
        <row r="188">
          <cell r="B188" t="str">
            <v>Total</v>
          </cell>
          <cell r="C188">
            <v>209.64137931034483</v>
          </cell>
          <cell r="D188">
            <v>202.26896551724138</v>
          </cell>
          <cell r="E188">
            <v>154.14482758620687</v>
          </cell>
          <cell r="F188">
            <v>140.58620689655172</v>
          </cell>
          <cell r="G188">
            <v>143.41379310344828</v>
          </cell>
          <cell r="L188">
            <v>139.27586206896552</v>
          </cell>
          <cell r="Q188">
            <v>136.10344827586209</v>
          </cell>
          <cell r="V188">
            <v>125.72413793103449</v>
          </cell>
          <cell r="AA188">
            <v>133.62068965517241</v>
          </cell>
          <cell r="AF188">
            <v>134.48275862068965</v>
          </cell>
          <cell r="AK188">
            <v>124.48275862068965</v>
          </cell>
          <cell r="AP188">
            <v>119.06896551724138</v>
          </cell>
          <cell r="AQ188">
            <v>130.75749619270618</v>
          </cell>
          <cell r="AR188">
            <v>127.70049479986758</v>
          </cell>
          <cell r="AS188">
            <v>124.64349340702897</v>
          </cell>
          <cell r="AT188">
            <v>121.58649201419036</v>
          </cell>
          <cell r="AU188">
            <v>126.1719941034483</v>
          </cell>
          <cell r="AV188">
            <v>124.64295460161767</v>
          </cell>
          <cell r="AW188">
            <v>127.69941718904498</v>
          </cell>
          <cell r="AX188">
            <v>130.75587977647228</v>
          </cell>
          <cell r="AY188">
            <v>133.81234236389957</v>
          </cell>
          <cell r="AZ188">
            <v>129.22764848275861</v>
          </cell>
          <cell r="BA188">
            <v>140.03404936316733</v>
          </cell>
          <cell r="BB188">
            <v>142.80748050036613</v>
          </cell>
          <cell r="BC188">
            <v>145.58091163756492</v>
          </cell>
          <cell r="BD188">
            <v>148.35434277476372</v>
          </cell>
          <cell r="BE188">
            <v>144.19419606896554</v>
          </cell>
          <cell r="BF188">
            <v>169.18823052487403</v>
          </cell>
          <cell r="BG188">
            <v>186.57384241291538</v>
          </cell>
          <cell r="BH188">
            <v>203.95945430095668</v>
          </cell>
          <cell r="BI188">
            <v>221.34506618899795</v>
          </cell>
          <cell r="BJ188">
            <v>195.266648356936</v>
          </cell>
          <cell r="BK188">
            <v>239.42074577488867</v>
          </cell>
          <cell r="BL188">
            <v>257.49642536077931</v>
          </cell>
          <cell r="BM188">
            <v>275.57210494667004</v>
          </cell>
          <cell r="BN188">
            <v>293.64778453256076</v>
          </cell>
          <cell r="BO188">
            <v>266.53426515372468</v>
          </cell>
          <cell r="BP188">
            <v>308.42826807557748</v>
          </cell>
          <cell r="BQ188">
            <v>323.20875161859425</v>
          </cell>
          <cell r="BR188">
            <v>337.98923516161096</v>
          </cell>
          <cell r="BS188">
            <v>352.76971870462779</v>
          </cell>
          <cell r="BT188">
            <v>330.59899339010263</v>
          </cell>
          <cell r="BU188">
            <v>343.77353280466673</v>
          </cell>
          <cell r="BV188">
            <v>334.77734690470555</v>
          </cell>
          <cell r="BW188">
            <v>325.78116100474443</v>
          </cell>
          <cell r="BX188">
            <v>316.78497510478331</v>
          </cell>
          <cell r="BY188">
            <v>330.27925395472499</v>
          </cell>
          <cell r="BZ188">
            <v>325.58433423823192</v>
          </cell>
          <cell r="CA188">
            <v>334.38369337168052</v>
          </cell>
          <cell r="CB188">
            <v>343.18305250512913</v>
          </cell>
          <cell r="CC188">
            <v>351.98241163857767</v>
          </cell>
          <cell r="CD188">
            <v>338.7833729384048</v>
          </cell>
        </row>
        <row r="190">
          <cell r="A190" t="str">
            <v>Realise price</v>
          </cell>
        </row>
        <row r="191">
          <cell r="B191" t="str">
            <v>Oil and NGL ($/bbl)</v>
          </cell>
          <cell r="L191">
            <v>59.94</v>
          </cell>
          <cell r="Q191">
            <v>69.41</v>
          </cell>
          <cell r="V191">
            <v>85.9</v>
          </cell>
          <cell r="AA191">
            <v>53.09</v>
          </cell>
          <cell r="AF191">
            <v>70.48</v>
          </cell>
          <cell r="AK191">
            <v>97.63</v>
          </cell>
          <cell r="AP191">
            <v>100.79</v>
          </cell>
          <cell r="AQ191">
            <v>108.71</v>
          </cell>
          <cell r="AR191">
            <v>93</v>
          </cell>
          <cell r="AS191">
            <v>100.98</v>
          </cell>
          <cell r="AT191">
            <v>95.54</v>
          </cell>
          <cell r="AU191">
            <v>99.14</v>
          </cell>
          <cell r="AV191">
            <v>98.445843205849201</v>
          </cell>
          <cell r="AW191">
            <v>98.445843205849201</v>
          </cell>
          <cell r="AX191">
            <v>98.445843205849201</v>
          </cell>
          <cell r="AY191">
            <v>98.445843205849201</v>
          </cell>
          <cell r="AZ191">
            <v>98.445843205849201</v>
          </cell>
          <cell r="BA191">
            <v>92.96273782056339</v>
          </cell>
          <cell r="BB191">
            <v>92.96273782056339</v>
          </cell>
          <cell r="BC191">
            <v>92.96273782056339</v>
          </cell>
          <cell r="BD191">
            <v>92.96273782056339</v>
          </cell>
          <cell r="BE191">
            <v>92.96273782056339</v>
          </cell>
          <cell r="BF191">
            <v>87.562990456337673</v>
          </cell>
          <cell r="BG191">
            <v>87.562990456337673</v>
          </cell>
          <cell r="BH191">
            <v>87.562990456337673</v>
          </cell>
          <cell r="BI191">
            <v>87.562990456337673</v>
          </cell>
          <cell r="BJ191">
            <v>87.562990456337673</v>
          </cell>
          <cell r="BK191">
            <v>88.119597438929659</v>
          </cell>
          <cell r="BL191">
            <v>88.679651069064434</v>
          </cell>
          <cell r="BM191">
            <v>89.243172689232566</v>
          </cell>
          <cell r="BN191">
            <v>89.810183774082603</v>
          </cell>
          <cell r="BO191">
            <v>88.963151242827308</v>
          </cell>
          <cell r="BP191">
            <v>90.380705931239376</v>
          </cell>
          <cell r="BQ191">
            <v>90.954760902127518</v>
          </cell>
          <cell r="BR191">
            <v>91.532370562799855</v>
          </cell>
          <cell r="BS191">
            <v>92.113556924771132</v>
          </cell>
          <cell r="BT191">
            <v>91.245348580234463</v>
          </cell>
          <cell r="BU191">
            <v>92.698342135856834</v>
          </cell>
          <cell r="BV191">
            <v>93.286748481017185</v>
          </cell>
          <cell r="BW191">
            <v>93.878798383206316</v>
          </cell>
          <cell r="BX191">
            <v>94.474514404226881</v>
          </cell>
          <cell r="BY191">
            <v>93.5846008510768</v>
          </cell>
          <cell r="BZ191">
            <v>95.073919245589721</v>
          </cell>
          <cell r="CA191">
            <v>95.677035749379073</v>
          </cell>
          <cell r="CB191">
            <v>96.283886899122933</v>
          </cell>
          <cell r="CC191">
            <v>96.894495820669007</v>
          </cell>
          <cell r="CD191">
            <v>95.982334428690194</v>
          </cell>
        </row>
        <row r="192">
          <cell r="B192" t="str">
            <v>Natural gas ($/mmcf)</v>
          </cell>
          <cell r="L192">
            <v>2.29</v>
          </cell>
          <cell r="Q192">
            <v>3.02</v>
          </cell>
          <cell r="V192">
            <v>4.17</v>
          </cell>
          <cell r="AA192">
            <v>4.1399999999999997</v>
          </cell>
          <cell r="AF192">
            <v>5.8</v>
          </cell>
          <cell r="AK192">
            <v>7.14</v>
          </cell>
          <cell r="AP192">
            <v>8.3699999999999992</v>
          </cell>
          <cell r="AQ192">
            <v>8.34</v>
          </cell>
          <cell r="AR192">
            <v>8.66</v>
          </cell>
          <cell r="AS192">
            <v>8.15</v>
          </cell>
          <cell r="AT192">
            <v>8.09</v>
          </cell>
          <cell r="AU192">
            <v>8.3000000000000007</v>
          </cell>
          <cell r="AV192">
            <v>8.1513796146255544</v>
          </cell>
          <cell r="AW192">
            <v>8.1348539560347177</v>
          </cell>
          <cell r="AX192">
            <v>8.1348539560347177</v>
          </cell>
          <cell r="AY192">
            <v>8.1348539560347177</v>
          </cell>
          <cell r="AZ192">
            <v>8.1389853706824269</v>
          </cell>
          <cell r="BA192">
            <v>7.9125087313579971</v>
          </cell>
          <cell r="BB192">
            <v>7.6901635066812766</v>
          </cell>
          <cell r="BC192">
            <v>7.6901635066812766</v>
          </cell>
          <cell r="BD192">
            <v>7.6901635066812766</v>
          </cell>
          <cell r="BE192">
            <v>7.7457498128504563</v>
          </cell>
          <cell r="BF192">
            <v>7.4711985303526829</v>
          </cell>
          <cell r="BG192">
            <v>7.2522335540240883</v>
          </cell>
          <cell r="BH192">
            <v>7.2522335540240883</v>
          </cell>
          <cell r="BI192">
            <v>7.2522335540240883</v>
          </cell>
          <cell r="BJ192">
            <v>7.3069747981062365</v>
          </cell>
          <cell r="BK192">
            <v>7.2748045053198931</v>
          </cell>
          <cell r="BL192">
            <v>7.3200861728017292</v>
          </cell>
          <cell r="BM192">
            <v>7.3656482355226478</v>
          </cell>
          <cell r="BN192">
            <v>7.4114924297590381</v>
          </cell>
          <cell r="BO192">
            <v>7.3430078358508268</v>
          </cell>
          <cell r="BP192">
            <v>7.4576205025387408</v>
          </cell>
          <cell r="BQ192">
            <v>7.5040342117076229</v>
          </cell>
          <cell r="BR192">
            <v>7.5507353259965644</v>
          </cell>
          <cell r="BS192">
            <v>7.5977256250888647</v>
          </cell>
          <cell r="BT192">
            <v>7.5275289163329475</v>
          </cell>
          <cell r="BU192">
            <v>7.6450068996880596</v>
          </cell>
          <cell r="BV192">
            <v>7.6925809515861641</v>
          </cell>
          <cell r="BW192">
            <v>7.7404495937323281</v>
          </cell>
          <cell r="BX192">
            <v>7.7886146503019367</v>
          </cell>
          <cell r="BY192">
            <v>7.7166630238271221</v>
          </cell>
          <cell r="BZ192">
            <v>7.8370779567661115</v>
          </cell>
          <cell r="CA192">
            <v>7.8858413599616668</v>
          </cell>
          <cell r="CB192">
            <v>7.9349067181614865</v>
          </cell>
          <cell r="CC192">
            <v>7.9842759011453337</v>
          </cell>
          <cell r="CD192">
            <v>7.9105254840086499</v>
          </cell>
        </row>
        <row r="194">
          <cell r="A194" t="str">
            <v>Production x price</v>
          </cell>
          <cell r="L194">
            <v>1373.4366</v>
          </cell>
          <cell r="Q194">
            <v>1589.9253999999999</v>
          </cell>
          <cell r="V194">
            <v>1763.1215500000001</v>
          </cell>
          <cell r="AA194">
            <v>1489.5066000000002</v>
          </cell>
          <cell r="AF194">
            <v>2054.6579999999999</v>
          </cell>
          <cell r="AK194">
            <v>2497.1913</v>
          </cell>
          <cell r="AP194">
            <v>2624.6821500000001</v>
          </cell>
          <cell r="AQ194">
            <v>722.33704063042376</v>
          </cell>
          <cell r="AR194">
            <v>678.17429940600243</v>
          </cell>
          <cell r="AS194">
            <v>642.6647044095655</v>
          </cell>
          <cell r="AT194">
            <v>598.42876514657803</v>
          </cell>
          <cell r="AU194">
            <v>2641.6048095925698</v>
          </cell>
          <cell r="AV194">
            <v>613.38021723080328</v>
          </cell>
          <cell r="AW194">
            <v>639.76919370840392</v>
          </cell>
          <cell r="AX194">
            <v>667.5284984282498</v>
          </cell>
          <cell r="AY194">
            <v>688.25737244800348</v>
          </cell>
          <cell r="AZ194">
            <v>2608.9352818154603</v>
          </cell>
          <cell r="BA194">
            <v>665.79859955040615</v>
          </cell>
          <cell r="BB194">
            <v>661.02123838108184</v>
          </cell>
          <cell r="BC194">
            <v>670.14233071251738</v>
          </cell>
          <cell r="BD194">
            <v>671.99945339141357</v>
          </cell>
          <cell r="BE194">
            <v>2668.9616220354192</v>
          </cell>
          <cell r="BF194">
            <v>723.75561950675717</v>
          </cell>
          <cell r="BG194">
            <v>788.29548473247303</v>
          </cell>
          <cell r="BH194">
            <v>871.96860660146024</v>
          </cell>
          <cell r="BI194">
            <v>946.97914072613469</v>
          </cell>
          <cell r="BJ194">
            <v>3330.9988515668251</v>
          </cell>
          <cell r="BK194">
            <v>1017.2896102531671</v>
          </cell>
          <cell r="BL194">
            <v>1124.0112983922907</v>
          </cell>
          <cell r="BM194">
            <v>1233.9999791150119</v>
          </cell>
          <cell r="BN194">
            <v>1332.8175123550461</v>
          </cell>
          <cell r="BO194">
            <v>4708.1184001155161</v>
          </cell>
          <cell r="BP194">
            <v>1390.3157585256404</v>
          </cell>
          <cell r="BQ194">
            <v>1494.2440861256296</v>
          </cell>
          <cell r="BR194">
            <v>1601.1852441807291</v>
          </cell>
          <cell r="BS194">
            <v>1692.7840957976034</v>
          </cell>
          <cell r="BT194">
            <v>6178.5291846296022</v>
          </cell>
          <cell r="BU194">
            <v>1604.039825682326</v>
          </cell>
          <cell r="BV194">
            <v>1568.6087245215251</v>
          </cell>
          <cell r="BW194">
            <v>1531.260102609858</v>
          </cell>
          <cell r="BX194">
            <v>1475.9197777454376</v>
          </cell>
          <cell r="BY194">
            <v>6179.8284305591469</v>
          </cell>
          <cell r="BZ194">
            <v>1501.6030423237285</v>
          </cell>
          <cell r="CA194">
            <v>1577.3737245506074</v>
          </cell>
          <cell r="CB194">
            <v>1655.1324563060582</v>
          </cell>
          <cell r="CC194">
            <v>1716.2530825072256</v>
          </cell>
          <cell r="CD194">
            <v>6450.3623056876195</v>
          </cell>
        </row>
        <row r="195">
          <cell r="A195" t="str">
            <v>Difference with actual</v>
          </cell>
          <cell r="L195">
            <v>-3.6722918262117044E-2</v>
          </cell>
          <cell r="Q195">
            <v>-7.5006034874339766E-3</v>
          </cell>
          <cell r="V195">
            <v>-8.6846848420632172E-2</v>
          </cell>
          <cell r="AA195">
            <v>0.26082019374737908</v>
          </cell>
          <cell r="AF195">
            <v>0.29169915382511347</v>
          </cell>
          <cell r="AK195">
            <v>0.19454204409570064</v>
          </cell>
          <cell r="AP195">
            <v>0.16966543929900224</v>
          </cell>
          <cell r="AQ195">
            <v>0.17</v>
          </cell>
          <cell r="AR195">
            <v>0.17</v>
          </cell>
          <cell r="AS195">
            <v>0.17</v>
          </cell>
          <cell r="AT195">
            <v>0.17</v>
          </cell>
          <cell r="AU195">
            <v>0.17</v>
          </cell>
          <cell r="AV195">
            <v>0.17</v>
          </cell>
          <cell r="AW195">
            <v>0.17</v>
          </cell>
          <cell r="AX195">
            <v>0.17</v>
          </cell>
          <cell r="AY195">
            <v>0.17</v>
          </cell>
          <cell r="AZ195">
            <v>0.17</v>
          </cell>
          <cell r="BA195">
            <v>0.17</v>
          </cell>
          <cell r="BB195">
            <v>0.17</v>
          </cell>
          <cell r="BC195">
            <v>0.17</v>
          </cell>
          <cell r="BD195">
            <v>0.17</v>
          </cell>
          <cell r="BE195">
            <v>0.17</v>
          </cell>
          <cell r="BF195">
            <v>0.17</v>
          </cell>
          <cell r="BG195">
            <v>0.17</v>
          </cell>
          <cell r="BH195">
            <v>0.17</v>
          </cell>
          <cell r="BI195">
            <v>0.17</v>
          </cell>
          <cell r="BJ195">
            <v>0.17</v>
          </cell>
          <cell r="BK195">
            <v>0.17</v>
          </cell>
          <cell r="BL195">
            <v>0.17</v>
          </cell>
          <cell r="BM195">
            <v>0.17</v>
          </cell>
          <cell r="BN195">
            <v>0.17</v>
          </cell>
          <cell r="BO195">
            <v>0.17</v>
          </cell>
          <cell r="BP195">
            <v>0.17</v>
          </cell>
          <cell r="BQ195">
            <v>0.17</v>
          </cell>
          <cell r="BR195">
            <v>0.17</v>
          </cell>
          <cell r="BS195">
            <v>0.17</v>
          </cell>
          <cell r="BT195">
            <v>0.17</v>
          </cell>
          <cell r="BU195">
            <v>0.17</v>
          </cell>
          <cell r="BV195">
            <v>0.17</v>
          </cell>
          <cell r="BW195">
            <v>0.17</v>
          </cell>
          <cell r="BX195">
            <v>0.17</v>
          </cell>
          <cell r="BY195">
            <v>0.17</v>
          </cell>
          <cell r="BZ195">
            <v>0.17</v>
          </cell>
          <cell r="CA195">
            <v>0.17</v>
          </cell>
          <cell r="CB195">
            <v>0.17</v>
          </cell>
          <cell r="CC195">
            <v>0.17</v>
          </cell>
          <cell r="CD195">
            <v>0.17</v>
          </cell>
        </row>
        <row r="197">
          <cell r="A197" t="str">
            <v>Per barrel of oil equivalent</v>
          </cell>
        </row>
        <row r="198">
          <cell r="B198" t="str">
            <v>Production cost excluding taxes</v>
          </cell>
          <cell r="G198">
            <v>2.5789919204761418</v>
          </cell>
          <cell r="L198">
            <v>2.4195599751735646</v>
          </cell>
          <cell r="Q198">
            <v>2.636994977978766</v>
          </cell>
          <cell r="V198">
            <v>3.4212760841304788</v>
          </cell>
          <cell r="AA198">
            <v>3.6291648254529387</v>
          </cell>
          <cell r="AF198">
            <v>5.846856340007025</v>
          </cell>
          <cell r="AK198">
            <v>8.4954274655636937</v>
          </cell>
          <cell r="AP198">
            <v>9.0887812464047553</v>
          </cell>
          <cell r="AQ198">
            <v>9.3160007775648737</v>
          </cell>
          <cell r="AR198">
            <v>9.3160007775648737</v>
          </cell>
          <cell r="AS198">
            <v>9.3160007775648737</v>
          </cell>
          <cell r="AT198">
            <v>9.3160007775648737</v>
          </cell>
          <cell r="AU198">
            <v>9.3160007775648737</v>
          </cell>
          <cell r="AV198">
            <v>9.7818008164431181</v>
          </cell>
          <cell r="AW198">
            <v>9.7818008164431181</v>
          </cell>
          <cell r="AX198">
            <v>9.7818008164431181</v>
          </cell>
          <cell r="AY198">
            <v>9.7818008164431181</v>
          </cell>
          <cell r="AZ198">
            <v>9.7818008164431181</v>
          </cell>
          <cell r="BA198">
            <v>10.026345836854196</v>
          </cell>
          <cell r="BB198">
            <v>10.026345836854196</v>
          </cell>
          <cell r="BC198">
            <v>10.026345836854196</v>
          </cell>
          <cell r="BD198">
            <v>10.026345836854196</v>
          </cell>
          <cell r="BE198">
            <v>10.026345836854196</v>
          </cell>
          <cell r="BF198">
            <v>10.277004482775549</v>
          </cell>
          <cell r="BG198">
            <v>10.277004482775549</v>
          </cell>
          <cell r="BH198">
            <v>10.277004482775549</v>
          </cell>
          <cell r="BI198">
            <v>10.277004482775549</v>
          </cell>
          <cell r="BJ198">
            <v>10.277004482775549</v>
          </cell>
          <cell r="BK198">
            <v>10.533929594844937</v>
          </cell>
          <cell r="BL198">
            <v>10.533929594844937</v>
          </cell>
          <cell r="BM198">
            <v>10.533929594844937</v>
          </cell>
          <cell r="BN198">
            <v>10.533929594844937</v>
          </cell>
          <cell r="BO198">
            <v>10.533929594844937</v>
          </cell>
          <cell r="BP198">
            <v>10.797277834716059</v>
          </cell>
          <cell r="BQ198">
            <v>10.797277834716059</v>
          </cell>
          <cell r="BR198">
            <v>10.797277834716059</v>
          </cell>
          <cell r="BS198">
            <v>10.797277834716059</v>
          </cell>
          <cell r="BT198">
            <v>10.797277834716059</v>
          </cell>
          <cell r="BU198">
            <v>11.06720978058396</v>
          </cell>
          <cell r="BV198">
            <v>11.06720978058396</v>
          </cell>
          <cell r="BW198">
            <v>11.06720978058396</v>
          </cell>
          <cell r="BX198">
            <v>11.06720978058396</v>
          </cell>
          <cell r="BY198">
            <v>11.06720978058396</v>
          </cell>
          <cell r="BZ198">
            <v>11.343890025098558</v>
          </cell>
          <cell r="CA198">
            <v>11.343890025098558</v>
          </cell>
          <cell r="CB198">
            <v>11.343890025098558</v>
          </cell>
          <cell r="CC198">
            <v>11.343890025098558</v>
          </cell>
          <cell r="CD198">
            <v>11.343890025098558</v>
          </cell>
        </row>
        <row r="199">
          <cell r="B199" t="str">
            <v>Taxes other than income tax</v>
          </cell>
          <cell r="G199">
            <v>2.2542299749347015</v>
          </cell>
          <cell r="L199">
            <v>2.7539707034495859</v>
          </cell>
          <cell r="Q199">
            <v>3.3214058882938655</v>
          </cell>
          <cell r="V199">
            <v>5.622224393029704</v>
          </cell>
          <cell r="AA199">
            <v>3.5266460450729125</v>
          </cell>
          <cell r="AF199">
            <v>5.7857393747804702</v>
          </cell>
          <cell r="AK199">
            <v>6.6026638333396575</v>
          </cell>
          <cell r="AP199">
            <v>7.4090824337780532</v>
          </cell>
          <cell r="AQ199">
            <v>7.181524426222011</v>
          </cell>
          <cell r="AR199">
            <v>6.8279953520703085</v>
          </cell>
          <cell r="AS199">
            <v>6.5571160596246374</v>
          </cell>
          <cell r="AT199">
            <v>6.25929134731388</v>
          </cell>
          <cell r="AU199">
            <v>6.7111643893457966</v>
          </cell>
          <cell r="AV199">
            <v>6.3974276359916722</v>
          </cell>
          <cell r="AW199">
            <v>6.4413793736669502</v>
          </cell>
          <cell r="AX199">
            <v>6.4924201770720709</v>
          </cell>
          <cell r="AY199">
            <v>6.5411292926330962</v>
          </cell>
          <cell r="AZ199">
            <v>6.4714389960566452</v>
          </cell>
          <cell r="BA199">
            <v>6.1809123091971907</v>
          </cell>
          <cell r="BB199">
            <v>5.9512600206186423</v>
          </cell>
          <cell r="BC199">
            <v>5.8541069384811184</v>
          </cell>
          <cell r="BD199">
            <v>5.7605863402741004</v>
          </cell>
          <cell r="BE199">
            <v>5.9331803019765941</v>
          </cell>
          <cell r="BF199">
            <v>5.5611569577852871</v>
          </cell>
          <cell r="BG199">
            <v>5.4322875756695463</v>
          </cell>
          <cell r="BH199">
            <v>5.4369462858509356</v>
          </cell>
          <cell r="BI199">
            <v>5.4408731565700146</v>
          </cell>
          <cell r="BJ199">
            <v>5.468137269400879</v>
          </cell>
          <cell r="BK199">
            <v>5.523650379790201</v>
          </cell>
          <cell r="BL199">
            <v>5.6123395950930774</v>
          </cell>
          <cell r="BM199">
            <v>5.6947928771671874</v>
          </cell>
          <cell r="BN199">
            <v>5.7722083171470651</v>
          </cell>
          <cell r="BO199">
            <v>5.6622276241694998</v>
          </cell>
          <cell r="BP199">
            <v>5.8600675526941117</v>
          </cell>
          <cell r="BQ199">
            <v>5.94405615025829</v>
          </cell>
          <cell r="BR199">
            <v>6.0247182994622444</v>
          </cell>
          <cell r="BS199">
            <v>6.1025072727571184</v>
          </cell>
          <cell r="BT199">
            <v>5.9906862214432781</v>
          </cell>
          <cell r="BU199">
            <v>6.0657717200464951</v>
          </cell>
          <cell r="BV199">
            <v>6.0242506384025649</v>
          </cell>
          <cell r="BW199">
            <v>5.9775199565151542</v>
          </cell>
          <cell r="BX199">
            <v>5.9251071933592439</v>
          </cell>
          <cell r="BY199">
            <v>5.9977466989485366</v>
          </cell>
          <cell r="BZ199">
            <v>5.9956323131704972</v>
          </cell>
          <cell r="CA199">
            <v>6.0650443540343577</v>
          </cell>
          <cell r="CB199">
            <v>6.1334517988926418</v>
          </cell>
          <cell r="CC199">
            <v>6.2009524640535645</v>
          </cell>
          <cell r="CD199">
            <v>6.103163697159868</v>
          </cell>
        </row>
        <row r="200">
          <cell r="B200" t="str">
            <v>Exploration expense</v>
          </cell>
          <cell r="G200">
            <v>0.32476194554144006</v>
          </cell>
          <cell r="L200">
            <v>2.045806808276835</v>
          </cell>
          <cell r="Q200">
            <v>3.6837410761077418</v>
          </cell>
          <cell r="V200">
            <v>3.1161941403226656</v>
          </cell>
          <cell r="AA200">
            <v>4.01873619089704</v>
          </cell>
          <cell r="AF200">
            <v>2.2409553916403233</v>
          </cell>
          <cell r="AK200">
            <v>3.9175805411148636</v>
          </cell>
          <cell r="AP200">
            <v>4.0266752357489421</v>
          </cell>
          <cell r="AQ200">
            <v>3.8544635273317041</v>
          </cell>
          <cell r="AR200">
            <v>7.3971160886712886</v>
          </cell>
          <cell r="AS200">
            <v>9.9867435890195928</v>
          </cell>
          <cell r="AT200">
            <v>11.051356362983896</v>
          </cell>
          <cell r="AU200">
            <v>8.0225345194455304</v>
          </cell>
          <cell r="AV200">
            <v>5.7820890797249538</v>
          </cell>
          <cell r="AW200">
            <v>5.5816771819853734</v>
          </cell>
          <cell r="AX200">
            <v>5.391951390876935</v>
          </cell>
          <cell r="AY200">
            <v>5.2687916179568557</v>
          </cell>
          <cell r="AZ200">
            <v>5.500557488546101</v>
          </cell>
          <cell r="BA200">
            <v>4.3930982224037791</v>
          </cell>
          <cell r="BB200">
            <v>4.2604426238128132</v>
          </cell>
          <cell r="BC200">
            <v>4.1338509000887997</v>
          </cell>
          <cell r="BD200">
            <v>4.0565700427279188</v>
          </cell>
          <cell r="BE200">
            <v>4.2079097559055771</v>
          </cell>
          <cell r="BF200">
            <v>2.8841917359290243</v>
          </cell>
          <cell r="BG200">
            <v>2.5866915110795095</v>
          </cell>
          <cell r="BH200">
            <v>2.3404809856634436</v>
          </cell>
          <cell r="BI200">
            <v>2.1566472334652325</v>
          </cell>
          <cell r="BJ200">
            <v>2.4647668305910777</v>
          </cell>
          <cell r="BK200">
            <v>2.0278186432028611</v>
          </cell>
          <cell r="BL200">
            <v>1.8647508057399369</v>
          </cell>
          <cell r="BM200">
            <v>1.7234961566956495</v>
          </cell>
          <cell r="BN200">
            <v>1.6174052343836161</v>
          </cell>
          <cell r="BO200">
            <v>1.7965837948690471</v>
          </cell>
          <cell r="BP200">
            <v>1.5512678656090959</v>
          </cell>
          <cell r="BQ200">
            <v>1.464060341853046</v>
          </cell>
          <cell r="BR200">
            <v>1.3848182716661348</v>
          </cell>
          <cell r="BS200">
            <v>1.3267966145080601</v>
          </cell>
          <cell r="BT200">
            <v>1.4274111366536135</v>
          </cell>
          <cell r="BU200">
            <v>1.3977830969505349</v>
          </cell>
          <cell r="BV200">
            <v>1.41957151225845</v>
          </cell>
          <cell r="BW200">
            <v>1.4429156271992774</v>
          </cell>
          <cell r="BX200">
            <v>1.4838921199005175</v>
          </cell>
          <cell r="BY200">
            <v>1.434962536972884</v>
          </cell>
          <cell r="BZ200">
            <v>1.4758720945760659</v>
          </cell>
          <cell r="CA200">
            <v>1.4212427042222313</v>
          </cell>
          <cell r="CB200">
            <v>1.3697492484826126</v>
          </cell>
          <cell r="CC200">
            <v>1.3355063000805603</v>
          </cell>
          <cell r="CD200">
            <v>1.3989421973508471</v>
          </cell>
        </row>
        <row r="201">
          <cell r="B201" t="str">
            <v>DD&amp;A</v>
          </cell>
          <cell r="G201">
            <v>4.8141182515554641</v>
          </cell>
          <cell r="L201">
            <v>4.426024344829691</v>
          </cell>
          <cell r="Q201">
            <v>7.0454064297142605</v>
          </cell>
          <cell r="V201">
            <v>4.7941448312656387</v>
          </cell>
          <cell r="AA201">
            <v>6.2946531153336283</v>
          </cell>
          <cell r="AF201">
            <v>8.8823322795925534</v>
          </cell>
          <cell r="AK201">
            <v>7.7251166850073991</v>
          </cell>
          <cell r="AP201">
            <v>6.9949101238153046</v>
          </cell>
          <cell r="AQ201">
            <v>7.6418969779894113</v>
          </cell>
          <cell r="AR201">
            <v>7.6418969779894113</v>
          </cell>
          <cell r="AS201">
            <v>7.6418969779894113</v>
          </cell>
          <cell r="AT201">
            <v>7.6418969779894113</v>
          </cell>
          <cell r="AU201">
            <v>7.6418969779894113</v>
          </cell>
          <cell r="AV201">
            <v>8.2888838321635188</v>
          </cell>
          <cell r="AW201">
            <v>8.2888838321635188</v>
          </cell>
          <cell r="AX201">
            <v>8.2888838321635188</v>
          </cell>
          <cell r="AY201">
            <v>8.2888838321635188</v>
          </cell>
          <cell r="AZ201">
            <v>8.2888838321635188</v>
          </cell>
          <cell r="BA201">
            <v>8.9358706863376245</v>
          </cell>
          <cell r="BB201">
            <v>8.9358706863376245</v>
          </cell>
          <cell r="BC201">
            <v>8.9358706863376245</v>
          </cell>
          <cell r="BD201">
            <v>8.9358706863376245</v>
          </cell>
          <cell r="BE201">
            <v>8.9358706863376245</v>
          </cell>
          <cell r="BF201">
            <v>9.5828575405117302</v>
          </cell>
          <cell r="BG201">
            <v>9.5828575405117302</v>
          </cell>
          <cell r="BH201">
            <v>9.5828575405117302</v>
          </cell>
          <cell r="BI201">
            <v>9.5828575405117302</v>
          </cell>
          <cell r="BJ201">
            <v>9.5828575405117302</v>
          </cell>
          <cell r="BK201">
            <v>10.229844394685836</v>
          </cell>
          <cell r="BL201">
            <v>10.229844394685836</v>
          </cell>
          <cell r="BM201">
            <v>10.229844394685836</v>
          </cell>
          <cell r="BN201">
            <v>10.229844394685836</v>
          </cell>
          <cell r="BO201">
            <v>10.229844394685836</v>
          </cell>
          <cell r="BP201">
            <v>10.876831248859942</v>
          </cell>
          <cell r="BQ201">
            <v>10.876831248859942</v>
          </cell>
          <cell r="BR201">
            <v>10.876831248859942</v>
          </cell>
          <cell r="BS201">
            <v>10.876831248859942</v>
          </cell>
          <cell r="BT201">
            <v>10.876831248859942</v>
          </cell>
          <cell r="BU201">
            <v>11.523818103034049</v>
          </cell>
          <cell r="BV201">
            <v>11.523818103034049</v>
          </cell>
          <cell r="BW201">
            <v>11.523818103034049</v>
          </cell>
          <cell r="BX201">
            <v>11.523818103034049</v>
          </cell>
          <cell r="BY201">
            <v>11.523818103034049</v>
          </cell>
          <cell r="BZ201">
            <v>12.170804957208158</v>
          </cell>
          <cell r="CA201">
            <v>12.170804957208158</v>
          </cell>
          <cell r="CB201">
            <v>12.170804957208158</v>
          </cell>
          <cell r="CC201">
            <v>12.170804957208158</v>
          </cell>
          <cell r="CD201">
            <v>12.170804957208158</v>
          </cell>
        </row>
        <row r="202">
          <cell r="B202" t="str">
            <v>Other income/(cost)</v>
          </cell>
          <cell r="G202">
            <v>0.53490202795060715</v>
          </cell>
          <cell r="L202">
            <v>4.8981336082781919</v>
          </cell>
          <cell r="Q202">
            <v>-1.8116759390693813</v>
          </cell>
          <cell r="V202">
            <v>-0.17433253931875051</v>
          </cell>
          <cell r="AA202">
            <v>9.4932390631904564</v>
          </cell>
          <cell r="AF202">
            <v>-50.502985598876009</v>
          </cell>
          <cell r="AK202">
            <v>7.2849390961180891</v>
          </cell>
          <cell r="AP202">
            <v>-40.703934240227873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  <cell r="BF202">
            <v>0</v>
          </cell>
          <cell r="BG202">
            <v>0</v>
          </cell>
          <cell r="BH202">
            <v>0</v>
          </cell>
          <cell r="BI202">
            <v>0</v>
          </cell>
          <cell r="BJ202">
            <v>0</v>
          </cell>
          <cell r="BK202">
            <v>0</v>
          </cell>
          <cell r="BL202">
            <v>0</v>
          </cell>
          <cell r="BM202">
            <v>0</v>
          </cell>
          <cell r="BN202">
            <v>0</v>
          </cell>
          <cell r="BO202">
            <v>0</v>
          </cell>
          <cell r="BP202">
            <v>0</v>
          </cell>
          <cell r="BQ202">
            <v>0</v>
          </cell>
          <cell r="BR202">
            <v>0</v>
          </cell>
          <cell r="BS202">
            <v>0</v>
          </cell>
          <cell r="BT202">
            <v>0</v>
          </cell>
          <cell r="BU202">
            <v>0</v>
          </cell>
          <cell r="BV202">
            <v>0</v>
          </cell>
          <cell r="BW202">
            <v>0</v>
          </cell>
          <cell r="BX202">
            <v>0</v>
          </cell>
          <cell r="BY202">
            <v>0</v>
          </cell>
          <cell r="BZ202">
            <v>0</v>
          </cell>
          <cell r="CA202">
            <v>0</v>
          </cell>
          <cell r="CB202">
            <v>0</v>
          </cell>
          <cell r="CC202">
            <v>0</v>
          </cell>
          <cell r="CD202">
            <v>0</v>
          </cell>
        </row>
        <row r="203">
          <cell r="B203" t="str">
            <v>Earnings before tax</v>
          </cell>
          <cell r="G203">
            <v>8.9596089681726703</v>
          </cell>
          <cell r="L203">
            <v>9.4815277075907165</v>
          </cell>
          <cell r="Q203">
            <v>16.888845698657899</v>
          </cell>
          <cell r="V203">
            <v>18.304916628468803</v>
          </cell>
          <cell r="AA203">
            <v>11.543614670790987</v>
          </cell>
          <cell r="AF203">
            <v>81.815244116613982</v>
          </cell>
          <cell r="AK203">
            <v>31.62675976169696</v>
          </cell>
          <cell r="AP203">
            <v>83.823873621905122</v>
          </cell>
          <cell r="AQ203">
            <v>43.821358553112105</v>
          </cell>
          <cell r="AR203">
            <v>37.096944324407197</v>
          </cell>
          <cell r="AS203">
            <v>32.069403192047872</v>
          </cell>
          <cell r="AT203">
            <v>28.324368007286736</v>
          </cell>
          <cell r="AU203">
            <v>35.423987080695333</v>
          </cell>
          <cell r="AV203">
            <v>33.724074995593448</v>
          </cell>
          <cell r="AW203">
            <v>34.320052532410536</v>
          </cell>
          <cell r="AX203">
            <v>34.96914555416506</v>
          </cell>
          <cell r="AY203">
            <v>35.530687367134384</v>
          </cell>
          <cell r="AZ203">
            <v>34.667610435976343</v>
          </cell>
          <cell r="BA203">
            <v>32.272896037179116</v>
          </cell>
          <cell r="BB203">
            <v>30.338681038563141</v>
          </cell>
          <cell r="BC203">
            <v>29.590895023049441</v>
          </cell>
          <cell r="BD203">
            <v>28.826490496547152</v>
          </cell>
          <cell r="BE203">
            <v>30.224999130636274</v>
          </cell>
          <cell r="BF203">
            <v>27.306358860851272</v>
          </cell>
          <cell r="BG203">
            <v>26.44403464665913</v>
          </cell>
          <cell r="BH203">
            <v>26.7321735637077</v>
          </cell>
          <cell r="BI203">
            <v>26.951349152377613</v>
          </cell>
          <cell r="BJ203">
            <v>26.871650964769973</v>
          </cell>
          <cell r="BK203">
            <v>26.921260785378177</v>
          </cell>
          <cell r="BL203">
            <v>27.882531560566978</v>
          </cell>
          <cell r="BM203">
            <v>28.765865748278255</v>
          </cell>
          <cell r="BN203">
            <v>29.568695630409191</v>
          </cell>
          <cell r="BO203">
            <v>28.386188057280119</v>
          </cell>
          <cell r="BP203">
            <v>29.515231025061897</v>
          </cell>
          <cell r="BQ203">
            <v>30.35833592689557</v>
          </cell>
          <cell r="BR203">
            <v>31.163537339918062</v>
          </cell>
          <cell r="BS203">
            <v>31.921659756730005</v>
          </cell>
          <cell r="BT203">
            <v>30.805363893668151</v>
          </cell>
          <cell r="BU203">
            <v>30.603134499849908</v>
          </cell>
          <cell r="BV203">
            <v>30.207656349746628</v>
          </cell>
          <cell r="BW203">
            <v>29.763736097819109</v>
          </cell>
          <cell r="BX203">
            <v>29.251044736714665</v>
          </cell>
          <cell r="BY203">
            <v>29.959630362923559</v>
          </cell>
          <cell r="BZ203">
            <v>28.970123741651694</v>
          </cell>
          <cell r="CA203">
            <v>29.649461499780262</v>
          </cell>
          <cell r="CB203">
            <v>30.316621959244436</v>
          </cell>
          <cell r="CC203">
            <v>30.958370894094799</v>
          </cell>
          <cell r="CD203">
            <v>30.00897952280248</v>
          </cell>
        </row>
        <row r="205">
          <cell r="B205" t="str">
            <v>Suggested DD&amp;A/boe for convergence</v>
          </cell>
          <cell r="G205">
            <v>4.8141182515554641</v>
          </cell>
          <cell r="L205">
            <v>4.426024344829691</v>
          </cell>
          <cell r="Q205">
            <v>7.0454064297142605</v>
          </cell>
          <cell r="V205">
            <v>4.7941448312656387</v>
          </cell>
          <cell r="AA205">
            <v>6.2946531153336283</v>
          </cell>
          <cell r="AF205">
            <v>8.8823322795925534</v>
          </cell>
          <cell r="AK205">
            <v>7.7251166850073991</v>
          </cell>
          <cell r="AP205">
            <v>6.9949101238153046</v>
          </cell>
          <cell r="AU205">
            <v>7.6418969779894113</v>
          </cell>
          <cell r="AZ205">
            <v>8.2888838321635188</v>
          </cell>
          <cell r="BE205">
            <v>8.9358706863376245</v>
          </cell>
          <cell r="BJ205">
            <v>9.5828575405117302</v>
          </cell>
          <cell r="BO205">
            <v>10.229844394685836</v>
          </cell>
          <cell r="BT205">
            <v>10.876831248859942</v>
          </cell>
          <cell r="BY205">
            <v>11.523818103034049</v>
          </cell>
          <cell r="CD205">
            <v>12.170804957208158</v>
          </cell>
        </row>
        <row r="207">
          <cell r="A207" t="str">
            <v>As percent of revenue</v>
          </cell>
        </row>
        <row r="208">
          <cell r="B208" t="str">
            <v>Production cost excluding taxes</v>
          </cell>
          <cell r="G208">
            <v>0.1324828263002944</v>
          </cell>
          <cell r="L208">
            <v>9.297052154195011E-2</v>
          </cell>
          <cell r="Q208">
            <v>8.3016476552598223E-2</v>
          </cell>
          <cell r="V208">
            <v>9.7515527950310557E-2</v>
          </cell>
          <cell r="AA208">
            <v>9.4249201277955275E-2</v>
          </cell>
          <cell r="AF208">
            <v>0.1081386586284853</v>
          </cell>
          <cell r="AK208">
            <v>0.1293999329534026</v>
          </cell>
          <cell r="AP208">
            <v>0.12866449511400652</v>
          </cell>
          <cell r="AQ208">
            <v>0.12972177249093825</v>
          </cell>
          <cell r="AR208">
            <v>0.13643829992854606</v>
          </cell>
          <cell r="AS208">
            <v>0.14207466655848955</v>
          </cell>
          <cell r="AT208">
            <v>0.14883475238075877</v>
          </cell>
          <cell r="AU208">
            <v>0.13878122838335621</v>
          </cell>
          <cell r="AV208">
            <v>0.15290209398244847</v>
          </cell>
          <cell r="AW208">
            <v>0.15185879062537708</v>
          </cell>
          <cell r="AX208">
            <v>0.1506649377221066</v>
          </cell>
          <cell r="AY208">
            <v>0.1495429975288794</v>
          </cell>
          <cell r="AZ208">
            <v>0.15118769277178196</v>
          </cell>
          <cell r="BA208">
            <v>0.16221465918445413</v>
          </cell>
          <cell r="BB208">
            <v>0.16847433656262836</v>
          </cell>
          <cell r="BC208">
            <v>0.17127028840124997</v>
          </cell>
          <cell r="BD208">
            <v>0.17405078657977591</v>
          </cell>
          <cell r="BE208">
            <v>0.16901888265166029</v>
          </cell>
          <cell r="BF208">
            <v>0.18479975589231226</v>
          </cell>
          <cell r="BG208">
            <v>0.18918373410135375</v>
          </cell>
          <cell r="BH208">
            <v>0.18902162983512161</v>
          </cell>
          <cell r="BI208">
            <v>0.18888520623506475</v>
          </cell>
          <cell r="BJ208">
            <v>0.18810388432705896</v>
          </cell>
          <cell r="BK208">
            <v>0.19070594390597612</v>
          </cell>
          <cell r="BL208">
            <v>0.18769230579088361</v>
          </cell>
          <cell r="BM208">
            <v>0.184974762419892</v>
          </cell>
          <cell r="BN208">
            <v>0.18249392634622327</v>
          </cell>
          <cell r="BO208">
            <v>0.18615959223826051</v>
          </cell>
          <cell r="BP208">
            <v>0.18425176395367854</v>
          </cell>
          <cell r="BQ208">
            <v>0.18164831491786765</v>
          </cell>
          <cell r="BR208">
            <v>0.17921631017469822</v>
          </cell>
          <cell r="BS208">
            <v>0.17693183067421137</v>
          </cell>
          <cell r="BT208">
            <v>0.1803116758640585</v>
          </cell>
          <cell r="BU208">
            <v>0.18245345013575831</v>
          </cell>
          <cell r="BV208">
            <v>0.18371097825900923</v>
          </cell>
          <cell r="BW208">
            <v>0.18514718246187259</v>
          </cell>
          <cell r="BX208">
            <v>0.18678497146832881</v>
          </cell>
          <cell r="BY208">
            <v>0.18447459887255077</v>
          </cell>
          <cell r="BZ208">
            <v>0.18920256334231236</v>
          </cell>
          <cell r="CA208">
            <v>0.18703721461744646</v>
          </cell>
          <cell r="CB208">
            <v>0.18495115633168635</v>
          </cell>
          <cell r="CC208">
            <v>0.18293786464028228</v>
          </cell>
          <cell r="CD208">
            <v>0.18591530390403427</v>
          </cell>
        </row>
        <row r="209">
          <cell r="B209" t="str">
            <v>Taxes other than income tax</v>
          </cell>
          <cell r="G209">
            <v>0.11579980372914622</v>
          </cell>
          <cell r="L209">
            <v>0.10582010582010581</v>
          </cell>
          <cell r="Q209">
            <v>0.10456273764258556</v>
          </cell>
          <cell r="V209">
            <v>0.16024844720496895</v>
          </cell>
          <cell r="AA209">
            <v>9.1586794462193824E-2</v>
          </cell>
          <cell r="AF209">
            <v>0.10700828937452901</v>
          </cell>
          <cell r="AK209">
            <v>0.10056989607777406</v>
          </cell>
          <cell r="AP209">
            <v>0.10488599348534201</v>
          </cell>
          <cell r="AQ209">
            <v>0.1</v>
          </cell>
          <cell r="AR209">
            <v>0.1</v>
          </cell>
          <cell r="AS209">
            <v>0.1</v>
          </cell>
          <cell r="AT209">
            <v>0.1</v>
          </cell>
          <cell r="AU209">
            <v>0.1</v>
          </cell>
          <cell r="AV209">
            <v>0.1</v>
          </cell>
          <cell r="AW209">
            <v>0.1</v>
          </cell>
          <cell r="AX209">
            <v>0.1</v>
          </cell>
          <cell r="AY209">
            <v>0.1</v>
          </cell>
          <cell r="AZ209">
            <v>0.1</v>
          </cell>
          <cell r="BA209">
            <v>0.1</v>
          </cell>
          <cell r="BB209">
            <v>0.1</v>
          </cell>
          <cell r="BC209">
            <v>0.1</v>
          </cell>
          <cell r="BD209">
            <v>0.1</v>
          </cell>
          <cell r="BE209">
            <v>0.1</v>
          </cell>
          <cell r="BF209">
            <v>0.1</v>
          </cell>
          <cell r="BG209">
            <v>0.1</v>
          </cell>
          <cell r="BH209">
            <v>0.1</v>
          </cell>
          <cell r="BI209">
            <v>0.1</v>
          </cell>
          <cell r="BJ209">
            <v>0.1</v>
          </cell>
          <cell r="BK209">
            <v>0.1</v>
          </cell>
          <cell r="BL209">
            <v>0.1</v>
          </cell>
          <cell r="BM209">
            <v>0.1</v>
          </cell>
          <cell r="BN209">
            <v>0.1</v>
          </cell>
          <cell r="BO209">
            <v>0.1</v>
          </cell>
          <cell r="BP209">
            <v>0.1</v>
          </cell>
          <cell r="BQ209">
            <v>0.1</v>
          </cell>
          <cell r="BR209">
            <v>0.1</v>
          </cell>
          <cell r="BS209">
            <v>0.1</v>
          </cell>
          <cell r="BT209">
            <v>0.1</v>
          </cell>
          <cell r="BU209">
            <v>0.1</v>
          </cell>
          <cell r="BV209">
            <v>0.1</v>
          </cell>
          <cell r="BW209">
            <v>0.1</v>
          </cell>
          <cell r="BX209">
            <v>0.1</v>
          </cell>
          <cell r="BY209">
            <v>0.1</v>
          </cell>
          <cell r="BZ209">
            <v>0.1</v>
          </cell>
          <cell r="CA209">
            <v>0.1</v>
          </cell>
          <cell r="CB209">
            <v>0.1</v>
          </cell>
          <cell r="CC209">
            <v>0.1</v>
          </cell>
          <cell r="CD209">
            <v>0.1</v>
          </cell>
        </row>
        <row r="210">
          <cell r="B210" t="str">
            <v>Exploration expense</v>
          </cell>
          <cell r="G210">
            <v>1.6683022571148183E-2</v>
          </cell>
          <cell r="L210">
            <v>7.8609221466364329E-2</v>
          </cell>
          <cell r="Q210">
            <v>0.11596958174904944</v>
          </cell>
          <cell r="V210">
            <v>8.8819875776397522E-2</v>
          </cell>
          <cell r="AA210">
            <v>0.10436634717784878</v>
          </cell>
          <cell r="AF210">
            <v>4.1446872645064053E-2</v>
          </cell>
          <cell r="AK210">
            <v>5.9671471672812608E-2</v>
          </cell>
          <cell r="AP210">
            <v>5.7003257328990226E-2</v>
          </cell>
          <cell r="AQ210">
            <v>5.3671940643379865E-2</v>
          </cell>
          <cell r="AR210">
            <v>0.10833510726436592</v>
          </cell>
          <cell r="AS210">
            <v>0.1523039015660077</v>
          </cell>
          <cell r="AT210">
            <v>0.1765592261131364</v>
          </cell>
          <cell r="AU210">
            <v>0.11954012827016396</v>
          </cell>
          <cell r="AV210">
            <v>9.0381469064146222E-2</v>
          </cell>
          <cell r="AW210">
            <v>8.6653445763556006E-2</v>
          </cell>
          <cell r="AX210">
            <v>8.3049945071617018E-2</v>
          </cell>
          <cell r="AY210">
            <v>8.0548654249821924E-2</v>
          </cell>
          <cell r="AZ210">
            <v>8.4997440165902105E-2</v>
          </cell>
          <cell r="BA210">
            <v>7.1075239424879949E-2</v>
          </cell>
          <cell r="BB210">
            <v>7.1588917457011653E-2</v>
          </cell>
          <cell r="BC210">
            <v>7.0614543661912527E-2</v>
          </cell>
          <cell r="BD210">
            <v>7.0419394886370196E-2</v>
          </cell>
          <cell r="BE210">
            <v>7.092165654402488E-2</v>
          </cell>
          <cell r="BF210">
            <v>5.1863160091018976E-2</v>
          </cell>
          <cell r="BG210">
            <v>4.761698409828187E-2</v>
          </cell>
          <cell r="BH210">
            <v>4.3047712127564919E-2</v>
          </cell>
          <cell r="BI210">
            <v>3.9637888467607768E-2</v>
          </cell>
          <cell r="BJ210">
            <v>4.5075072353864522E-2</v>
          </cell>
          <cell r="BK210">
            <v>3.6711567600697451E-2</v>
          </cell>
          <cell r="BL210">
            <v>3.3225908271308224E-2</v>
          </cell>
          <cell r="BM210">
            <v>3.0264422146165641E-2</v>
          </cell>
          <cell r="BN210">
            <v>2.8020562417661057E-2</v>
          </cell>
          <cell r="BO210">
            <v>3.1729275368588855E-2</v>
          </cell>
          <cell r="BP210">
            <v>2.6471842716146082E-2</v>
          </cell>
          <cell r="BQ210">
            <v>2.4630661367312751E-2</v>
          </cell>
          <cell r="BR210">
            <v>2.2985610327867799E-2</v>
          </cell>
          <cell r="BS210">
            <v>2.1741827665346023E-2</v>
          </cell>
          <cell r="BT210">
            <v>2.3827172445525301E-2</v>
          </cell>
          <cell r="BU210">
            <v>2.3043780106842212E-2</v>
          </cell>
          <cell r="BV210">
            <v>2.3564283717034628E-2</v>
          </cell>
          <cell r="BW210">
            <v>2.4139034878948116E-2</v>
          </cell>
          <cell r="BX210">
            <v>2.5044139649720396E-2</v>
          </cell>
          <cell r="BY210">
            <v>2.3925027331088304E-2</v>
          </cell>
          <cell r="BZ210">
            <v>2.4615787251230276E-2</v>
          </cell>
          <cell r="CA210">
            <v>2.3433343950351272E-2</v>
          </cell>
          <cell r="CB210">
            <v>2.2332436829941547E-2</v>
          </cell>
          <cell r="CC210">
            <v>2.1537115593489638E-2</v>
          </cell>
          <cell r="CD210">
            <v>2.2921590617040976E-2</v>
          </cell>
        </row>
        <row r="211">
          <cell r="B211" t="str">
            <v>DD&amp;A</v>
          </cell>
          <cell r="G211">
            <v>0.24730127576054955</v>
          </cell>
          <cell r="L211">
            <v>0.17006802721088435</v>
          </cell>
          <cell r="Q211">
            <v>0.2217997465145754</v>
          </cell>
          <cell r="V211">
            <v>0.13664596273291926</v>
          </cell>
          <cell r="AA211">
            <v>0.16347177848775293</v>
          </cell>
          <cell r="AF211">
            <v>0.16428033157498115</v>
          </cell>
          <cell r="AK211">
            <v>0.11766677841099564</v>
          </cell>
          <cell r="AP211">
            <v>9.902280130293159E-2</v>
          </cell>
          <cell r="AQ211">
            <v>0.1064105129279577</v>
          </cell>
          <cell r="AR211">
            <v>0.1119200670760902</v>
          </cell>
          <cell r="AS211">
            <v>0.1165435674540565</v>
          </cell>
          <cell r="AT211">
            <v>0.1220888524588149</v>
          </cell>
          <cell r="AU211">
            <v>0.11384196664501009</v>
          </cell>
          <cell r="AV211">
            <v>0.12956588653743562</v>
          </cell>
          <cell r="AW211">
            <v>0.12868181411654411</v>
          </cell>
          <cell r="AX211">
            <v>0.12767016930659611</v>
          </cell>
          <cell r="AY211">
            <v>0.1267194617525573</v>
          </cell>
          <cell r="AZ211">
            <v>0.12811314048958647</v>
          </cell>
          <cell r="BA211">
            <v>0.14457203466616181</v>
          </cell>
          <cell r="BB211">
            <v>0.15015090342849324</v>
          </cell>
          <cell r="BC211">
            <v>0.15264276481864353</v>
          </cell>
          <cell r="BD211">
            <v>0.15512085330383987</v>
          </cell>
          <cell r="BE211">
            <v>0.15063622415386205</v>
          </cell>
          <cell r="BF211">
            <v>0.17231769599842536</v>
          </cell>
          <cell r="BG211">
            <v>0.17640556408375735</v>
          </cell>
          <cell r="BH211">
            <v>0.1762544089399978</v>
          </cell>
          <cell r="BI211">
            <v>0.17612719989511513</v>
          </cell>
          <cell r="BJ211">
            <v>0.17539865136229613</v>
          </cell>
          <cell r="BK211">
            <v>0.18520079460703276</v>
          </cell>
          <cell r="BL211">
            <v>0.18227415182840842</v>
          </cell>
          <cell r="BM211">
            <v>0.17963505636353472</v>
          </cell>
          <cell r="BN211">
            <v>0.17722583511577031</v>
          </cell>
          <cell r="BO211">
            <v>0.18078568344595086</v>
          </cell>
          <cell r="BP211">
            <v>0.18560931509841422</v>
          </cell>
          <cell r="BQ211">
            <v>0.18298668407409485</v>
          </cell>
          <cell r="BR211">
            <v>0.18053676052921488</v>
          </cell>
          <cell r="BS211">
            <v>0.17823544918031339</v>
          </cell>
          <cell r="BT211">
            <v>0.1816401967787348</v>
          </cell>
          <cell r="BU211">
            <v>0.1899810714100813</v>
          </cell>
          <cell r="BV211">
            <v>0.19129048233109028</v>
          </cell>
          <cell r="BW211">
            <v>0.19278594110712663</v>
          </cell>
          <cell r="BX211">
            <v>0.19449130162488443</v>
          </cell>
          <cell r="BY211">
            <v>0.19208560822322054</v>
          </cell>
          <cell r="BZ211">
            <v>0.2029945187011013</v>
          </cell>
          <cell r="CA211">
            <v>0.20067132648605215</v>
          </cell>
          <cell r="CB211">
            <v>0.19843320460112732</v>
          </cell>
          <cell r="CC211">
            <v>0.19627315364472414</v>
          </cell>
          <cell r="CD211">
            <v>0.19946763388658842</v>
          </cell>
        </row>
        <row r="212">
          <cell r="B212" t="str">
            <v>Other income/(cost)</v>
          </cell>
          <cell r="G212">
            <v>2.747791952894995E-2</v>
          </cell>
          <cell r="L212">
            <v>0.18820861678004536</v>
          </cell>
          <cell r="Q212">
            <v>-5.7034220532319393E-2</v>
          </cell>
          <cell r="V212">
            <v>-4.9689440993788822E-3</v>
          </cell>
          <cell r="AA212">
            <v>0.24653887113951012</v>
          </cell>
          <cell r="AF212">
            <v>-0.93406179351921625</v>
          </cell>
          <cell r="AK212">
            <v>0.11096211867247738</v>
          </cell>
          <cell r="AP212">
            <v>-0.57622149837133552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0</v>
          </cell>
          <cell r="BF212">
            <v>0</v>
          </cell>
          <cell r="BG212">
            <v>0</v>
          </cell>
          <cell r="BH212">
            <v>0</v>
          </cell>
          <cell r="BI212">
            <v>0</v>
          </cell>
          <cell r="BJ212">
            <v>0</v>
          </cell>
          <cell r="BK212">
            <v>0</v>
          </cell>
          <cell r="BL212">
            <v>0</v>
          </cell>
          <cell r="BM212">
            <v>0</v>
          </cell>
          <cell r="BN212">
            <v>0</v>
          </cell>
          <cell r="BO212">
            <v>0</v>
          </cell>
          <cell r="BP212">
            <v>0</v>
          </cell>
          <cell r="BQ212">
            <v>0</v>
          </cell>
          <cell r="BR212">
            <v>0</v>
          </cell>
          <cell r="BS212">
            <v>0</v>
          </cell>
          <cell r="BT212">
            <v>0</v>
          </cell>
          <cell r="BU212">
            <v>0</v>
          </cell>
          <cell r="BV212">
            <v>0</v>
          </cell>
          <cell r="BW212">
            <v>0</v>
          </cell>
          <cell r="BX212">
            <v>0</v>
          </cell>
          <cell r="BY212">
            <v>0</v>
          </cell>
          <cell r="BZ212">
            <v>0</v>
          </cell>
          <cell r="CA212">
            <v>0</v>
          </cell>
          <cell r="CB212">
            <v>0</v>
          </cell>
          <cell r="CC212">
            <v>0</v>
          </cell>
          <cell r="CD212">
            <v>0</v>
          </cell>
        </row>
        <row r="214">
          <cell r="A214" t="str">
            <v>Effective tax rate</v>
          </cell>
          <cell r="G214">
            <v>0.14712153518123666</v>
          </cell>
          <cell r="L214">
            <v>0.39004149377593361</v>
          </cell>
          <cell r="Q214">
            <v>0.16567342073897498</v>
          </cell>
          <cell r="V214">
            <v>0.24404761904761904</v>
          </cell>
          <cell r="AA214">
            <v>0.12255772646536411</v>
          </cell>
          <cell r="AF214">
            <v>0.13047808764940239</v>
          </cell>
          <cell r="AK214">
            <v>-1.0438413361169102E-2</v>
          </cell>
          <cell r="AP214">
            <v>0.30304693933571231</v>
          </cell>
          <cell r="AQ214">
            <v>0.12</v>
          </cell>
          <cell r="AR214">
            <v>0.12</v>
          </cell>
          <cell r="AS214">
            <v>0.12</v>
          </cell>
          <cell r="AT214">
            <v>0.12</v>
          </cell>
          <cell r="AU214">
            <v>0.12</v>
          </cell>
          <cell r="AV214">
            <v>0.12</v>
          </cell>
          <cell r="AW214">
            <v>0.12</v>
          </cell>
          <cell r="AX214">
            <v>0.12</v>
          </cell>
          <cell r="AY214">
            <v>0.12</v>
          </cell>
          <cell r="AZ214">
            <v>0.12</v>
          </cell>
          <cell r="BA214">
            <v>0.12</v>
          </cell>
          <cell r="BB214">
            <v>0.12</v>
          </cell>
          <cell r="BC214">
            <v>0.12</v>
          </cell>
          <cell r="BD214">
            <v>0.12</v>
          </cell>
          <cell r="BE214">
            <v>0.12</v>
          </cell>
          <cell r="BF214">
            <v>0.12</v>
          </cell>
          <cell r="BG214">
            <v>0.12</v>
          </cell>
          <cell r="BH214">
            <v>0.12</v>
          </cell>
          <cell r="BI214">
            <v>0.12</v>
          </cell>
          <cell r="BJ214">
            <v>0.12</v>
          </cell>
          <cell r="BK214">
            <v>0.12</v>
          </cell>
          <cell r="BL214">
            <v>0.12</v>
          </cell>
          <cell r="BM214">
            <v>0.12</v>
          </cell>
          <cell r="BN214">
            <v>0.12</v>
          </cell>
          <cell r="BO214">
            <v>0.12</v>
          </cell>
          <cell r="BP214">
            <v>0.12</v>
          </cell>
          <cell r="BQ214">
            <v>0.12</v>
          </cell>
          <cell r="BR214">
            <v>0.12</v>
          </cell>
          <cell r="BS214">
            <v>0.12</v>
          </cell>
          <cell r="BT214">
            <v>0.12</v>
          </cell>
          <cell r="BU214">
            <v>0.12</v>
          </cell>
          <cell r="BV214">
            <v>0.12</v>
          </cell>
          <cell r="BW214">
            <v>0.12</v>
          </cell>
          <cell r="BX214">
            <v>0.12</v>
          </cell>
          <cell r="BY214">
            <v>0.12</v>
          </cell>
          <cell r="BZ214">
            <v>0.12</v>
          </cell>
          <cell r="CA214">
            <v>0.12</v>
          </cell>
          <cell r="CB214">
            <v>0.12</v>
          </cell>
          <cell r="CC214">
            <v>0.12</v>
          </cell>
          <cell r="CD214">
            <v>0.12</v>
          </cell>
        </row>
        <row r="218">
          <cell r="A218" t="str">
            <v>Africa</v>
          </cell>
        </row>
        <row r="219">
          <cell r="C219">
            <v>2001</v>
          </cell>
          <cell r="D219">
            <v>2002</v>
          </cell>
          <cell r="E219">
            <v>2003</v>
          </cell>
          <cell r="F219">
            <v>2004</v>
          </cell>
          <cell r="G219">
            <v>2005</v>
          </cell>
          <cell r="H219" t="str">
            <v>1Q06</v>
          </cell>
          <cell r="I219" t="str">
            <v>2Q06</v>
          </cell>
          <cell r="J219" t="str">
            <v>3Q06</v>
          </cell>
          <cell r="K219" t="str">
            <v>4Q06</v>
          </cell>
          <cell r="L219">
            <v>2006</v>
          </cell>
          <cell r="M219" t="str">
            <v>1Q07</v>
          </cell>
          <cell r="N219" t="str">
            <v>2Q07</v>
          </cell>
          <cell r="O219" t="str">
            <v>3Q07</v>
          </cell>
          <cell r="P219" t="str">
            <v>4Q07</v>
          </cell>
          <cell r="Q219">
            <v>2007</v>
          </cell>
          <cell r="R219" t="str">
            <v>1Q08</v>
          </cell>
          <cell r="S219" t="str">
            <v>2Q08</v>
          </cell>
          <cell r="T219" t="str">
            <v>3Q08</v>
          </cell>
          <cell r="U219" t="str">
            <v>4Q08</v>
          </cell>
          <cell r="V219">
            <v>2008</v>
          </cell>
          <cell r="W219" t="str">
            <v>1Q09</v>
          </cell>
          <cell r="X219" t="str">
            <v>2Q09</v>
          </cell>
          <cell r="Y219" t="str">
            <v>3Q09</v>
          </cell>
          <cell r="Z219" t="str">
            <v>4Q09</v>
          </cell>
          <cell r="AA219">
            <v>2009</v>
          </cell>
          <cell r="AB219" t="str">
            <v>1Q10</v>
          </cell>
          <cell r="AC219" t="str">
            <v>2Q10</v>
          </cell>
          <cell r="AD219" t="str">
            <v>3Q10</v>
          </cell>
          <cell r="AE219" t="str">
            <v>4Q10</v>
          </cell>
          <cell r="AF219">
            <v>2010</v>
          </cell>
          <cell r="AG219" t="str">
            <v>1Q11</v>
          </cell>
          <cell r="AH219" t="str">
            <v>2Q11</v>
          </cell>
          <cell r="AI219" t="str">
            <v>3Q11</v>
          </cell>
          <cell r="AJ219" t="str">
            <v>4Q11</v>
          </cell>
          <cell r="AK219">
            <v>2011</v>
          </cell>
          <cell r="AL219" t="str">
            <v>1Q12</v>
          </cell>
          <cell r="AM219" t="str">
            <v>2Q12</v>
          </cell>
          <cell r="AN219" t="str">
            <v>3Q12</v>
          </cell>
          <cell r="AO219" t="str">
            <v>4Q12</v>
          </cell>
          <cell r="AP219">
            <v>2012</v>
          </cell>
          <cell r="AQ219" t="str">
            <v>1Q13</v>
          </cell>
          <cell r="AR219" t="str">
            <v>2Q13</v>
          </cell>
          <cell r="AS219" t="str">
            <v>3Q13</v>
          </cell>
          <cell r="AT219" t="str">
            <v>4Q13</v>
          </cell>
          <cell r="AU219">
            <v>2013</v>
          </cell>
          <cell r="AV219" t="str">
            <v>1Q14</v>
          </cell>
          <cell r="AW219" t="str">
            <v>2Q14</v>
          </cell>
          <cell r="AX219" t="str">
            <v>3Q14</v>
          </cell>
          <cell r="AY219" t="str">
            <v>4Q14</v>
          </cell>
          <cell r="AZ219">
            <v>2014</v>
          </cell>
          <cell r="BA219" t="str">
            <v>1Q15</v>
          </cell>
          <cell r="BB219" t="str">
            <v>2Q15</v>
          </cell>
          <cell r="BC219" t="str">
            <v>3Q15</v>
          </cell>
          <cell r="BD219" t="str">
            <v>4Q15</v>
          </cell>
          <cell r="BE219">
            <v>2015</v>
          </cell>
          <cell r="BF219" t="str">
            <v>1Q16</v>
          </cell>
          <cell r="BG219" t="str">
            <v>2Q16</v>
          </cell>
          <cell r="BH219" t="str">
            <v>3Q16</v>
          </cell>
          <cell r="BI219" t="str">
            <v>4Q16</v>
          </cell>
          <cell r="BJ219">
            <v>2016</v>
          </cell>
          <cell r="BK219" t="str">
            <v>1Q17</v>
          </cell>
          <cell r="BL219" t="str">
            <v>2Q17</v>
          </cell>
          <cell r="BM219" t="str">
            <v>3Q17</v>
          </cell>
          <cell r="BN219" t="str">
            <v>4Q17</v>
          </cell>
          <cell r="BO219">
            <v>2017</v>
          </cell>
          <cell r="BP219" t="str">
            <v>1Q18</v>
          </cell>
          <cell r="BQ219" t="str">
            <v>2Q18</v>
          </cell>
          <cell r="BR219" t="str">
            <v>3Q18</v>
          </cell>
          <cell r="BS219" t="str">
            <v>4Q18</v>
          </cell>
          <cell r="BT219">
            <v>2018</v>
          </cell>
          <cell r="BU219" t="str">
            <v>1Q19</v>
          </cell>
          <cell r="BV219" t="str">
            <v>2Q19</v>
          </cell>
          <cell r="BW219" t="str">
            <v>3Q19</v>
          </cell>
          <cell r="BX219" t="str">
            <v>4Q19</v>
          </cell>
          <cell r="BY219">
            <v>2019</v>
          </cell>
          <cell r="BZ219" t="str">
            <v>1Q20</v>
          </cell>
          <cell r="CA219" t="str">
            <v>2Q20</v>
          </cell>
          <cell r="CB219" t="str">
            <v>3Q20</v>
          </cell>
          <cell r="CC219" t="str">
            <v>4Q20</v>
          </cell>
          <cell r="CD219">
            <v>2020</v>
          </cell>
        </row>
        <row r="220">
          <cell r="A220" t="str">
            <v>Third parties</v>
          </cell>
          <cell r="G220">
            <v>225</v>
          </cell>
          <cell r="L220">
            <v>887</v>
          </cell>
          <cell r="Q220">
            <v>1108</v>
          </cell>
          <cell r="V220">
            <v>3104</v>
          </cell>
          <cell r="AA220">
            <v>1613</v>
          </cell>
          <cell r="AF220">
            <v>2215</v>
          </cell>
          <cell r="AK220">
            <v>3143</v>
          </cell>
          <cell r="AP220">
            <v>2807</v>
          </cell>
        </row>
        <row r="221">
          <cell r="A221" t="str">
            <v>Sales between businesses</v>
          </cell>
          <cell r="G221">
            <v>7503</v>
          </cell>
          <cell r="L221">
            <v>7393</v>
          </cell>
          <cell r="Q221">
            <v>8955</v>
          </cell>
          <cell r="V221">
            <v>8429</v>
          </cell>
          <cell r="AA221">
            <v>5524</v>
          </cell>
          <cell r="AF221">
            <v>8225</v>
          </cell>
          <cell r="AK221">
            <v>10986</v>
          </cell>
          <cell r="AP221">
            <v>10364</v>
          </cell>
        </row>
        <row r="222">
          <cell r="A222" t="str">
            <v>Revenue</v>
          </cell>
          <cell r="G222">
            <v>7728</v>
          </cell>
          <cell r="L222">
            <v>8280</v>
          </cell>
          <cell r="Q222">
            <v>10063</v>
          </cell>
          <cell r="V222">
            <v>11533</v>
          </cell>
          <cell r="AA222">
            <v>7137</v>
          </cell>
          <cell r="AF222">
            <v>10440</v>
          </cell>
          <cell r="AK222">
            <v>14129</v>
          </cell>
          <cell r="AP222">
            <v>13171</v>
          </cell>
          <cell r="AQ222">
            <v>2607.652323599375</v>
          </cell>
          <cell r="AR222">
            <v>1937.7171920330875</v>
          </cell>
          <cell r="AS222">
            <v>1894.158610831211</v>
          </cell>
          <cell r="AT222">
            <v>2005.5411556498866</v>
          </cell>
          <cell r="AU222">
            <v>8445.0692821135617</v>
          </cell>
          <cell r="AV222">
            <v>1856.4426905194953</v>
          </cell>
          <cell r="AW222">
            <v>2149.5487162937629</v>
          </cell>
          <cell r="AX222">
            <v>2250.0460286388825</v>
          </cell>
          <cell r="AY222">
            <v>2476.1936841614834</v>
          </cell>
          <cell r="AZ222">
            <v>8732.2311196136234</v>
          </cell>
          <cell r="BA222">
            <v>2456.8060489022828</v>
          </cell>
          <cell r="BB222">
            <v>2460.4912556481981</v>
          </cell>
          <cell r="BC222">
            <v>2463.5359471111638</v>
          </cell>
          <cell r="BD222">
            <v>2439.4198008590761</v>
          </cell>
          <cell r="BE222">
            <v>9820.2530525207221</v>
          </cell>
          <cell r="BF222">
            <v>2480.1786835060525</v>
          </cell>
          <cell r="BG222">
            <v>2534.2618708252239</v>
          </cell>
          <cell r="BH222">
            <v>2588.9813544411045</v>
          </cell>
          <cell r="BI222">
            <v>2615.9055082899363</v>
          </cell>
          <cell r="BJ222">
            <v>10219.327417062317</v>
          </cell>
          <cell r="BK222">
            <v>2649.2835090859903</v>
          </cell>
          <cell r="BL222">
            <v>2680.9341483864969</v>
          </cell>
          <cell r="BM222">
            <v>2712.5474909481959</v>
          </cell>
          <cell r="BN222">
            <v>2714.6127540559564</v>
          </cell>
          <cell r="BO222">
            <v>10757.377902476639</v>
          </cell>
          <cell r="BP222">
            <v>2756.3219555342216</v>
          </cell>
          <cell r="BQ222">
            <v>2889.8966195303678</v>
          </cell>
          <cell r="BR222">
            <v>3026.8632459788114</v>
          </cell>
          <cell r="BS222">
            <v>3133.2121770158178</v>
          </cell>
          <cell r="BT222">
            <v>11806.29399805922</v>
          </cell>
          <cell r="BU222">
            <v>3154.8230111964667</v>
          </cell>
          <cell r="BV222">
            <v>3281.5498294292715</v>
          </cell>
          <cell r="BW222">
            <v>3411.262443856062</v>
          </cell>
          <cell r="BX222">
            <v>3505.8935223454782</v>
          </cell>
          <cell r="BY222">
            <v>13353.528806827278</v>
          </cell>
          <cell r="BZ222">
            <v>3631.9262695884008</v>
          </cell>
          <cell r="CA222">
            <v>3879.0941537346598</v>
          </cell>
          <cell r="CB222">
            <v>4133.1723756321871</v>
          </cell>
          <cell r="CC222">
            <v>4347.0097522223568</v>
          </cell>
          <cell r="CD222">
            <v>15991.202551177606</v>
          </cell>
        </row>
        <row r="224">
          <cell r="A224" t="str">
            <v>Production cost excluding taxes</v>
          </cell>
          <cell r="G224">
            <v>-718</v>
          </cell>
          <cell r="L224">
            <v>-928</v>
          </cell>
          <cell r="Q224">
            <v>-1312</v>
          </cell>
          <cell r="V224">
            <v>-1207</v>
          </cell>
          <cell r="AA224">
            <v>-1285</v>
          </cell>
          <cell r="AF224">
            <v>-1244</v>
          </cell>
          <cell r="AK224">
            <v>-1453</v>
          </cell>
          <cell r="AP224">
            <v>-1540</v>
          </cell>
          <cell r="AQ224">
            <v>-334.21387152002819</v>
          </cell>
          <cell r="AR224">
            <v>-268.69654133995704</v>
          </cell>
          <cell r="AS224">
            <v>-229.724226543128</v>
          </cell>
          <cell r="AT224">
            <v>-265.16855754813292</v>
          </cell>
          <cell r="AU224">
            <v>-1097.803196951246</v>
          </cell>
          <cell r="AV224">
            <v>-237.71704121306249</v>
          </cell>
          <cell r="AW224">
            <v>-275.44918272569021</v>
          </cell>
          <cell r="AX224">
            <v>-295.0448720504321</v>
          </cell>
          <cell r="AY224">
            <v>-325.79440687714737</v>
          </cell>
          <cell r="AZ224">
            <v>-1134.0055028663321</v>
          </cell>
          <cell r="BA224">
            <v>-340.37310234942186</v>
          </cell>
          <cell r="BB224">
            <v>-335.36046428856969</v>
          </cell>
          <cell r="BC224">
            <v>-330.15453916353533</v>
          </cell>
          <cell r="BD224">
            <v>-321.26333421115402</v>
          </cell>
          <cell r="BE224">
            <v>-1327.151440012681</v>
          </cell>
          <cell r="BF224">
            <v>-355.15843569751615</v>
          </cell>
          <cell r="BG224">
            <v>-364.37531947305922</v>
          </cell>
          <cell r="BH224">
            <v>-373.70804234606288</v>
          </cell>
          <cell r="BI224">
            <v>-379.03664082925286</v>
          </cell>
          <cell r="BJ224">
            <v>-1472.2784383458911</v>
          </cell>
          <cell r="BK224">
            <v>-393.85201303390346</v>
          </cell>
          <cell r="BL224">
            <v>-402.09660771210565</v>
          </cell>
          <cell r="BM224">
            <v>-410.42622351558379</v>
          </cell>
          <cell r="BN224">
            <v>-414.33719527826929</v>
          </cell>
          <cell r="BO224">
            <v>-1620.7120395398622</v>
          </cell>
          <cell r="BP224">
            <v>-428.01320087292873</v>
          </cell>
          <cell r="BQ224">
            <v>-445.45843784469412</v>
          </cell>
          <cell r="BR224">
            <v>-463.18256568986266</v>
          </cell>
          <cell r="BS224">
            <v>-476.01154586640831</v>
          </cell>
          <cell r="BT224">
            <v>-1812.665750273894</v>
          </cell>
          <cell r="BU224">
            <v>-490.83407585088389</v>
          </cell>
          <cell r="BV224">
            <v>-509.96713060207344</v>
          </cell>
          <cell r="BW224">
            <v>-529.4008302499069</v>
          </cell>
          <cell r="BX224">
            <v>-543.23049549551968</v>
          </cell>
          <cell r="BY224">
            <v>-2073.4325321983838</v>
          </cell>
          <cell r="BZ224">
            <v>-564.63557925118096</v>
          </cell>
          <cell r="CA224">
            <v>-591.0596542174834</v>
          </cell>
          <cell r="CB224">
            <v>-617.9265939378065</v>
          </cell>
          <cell r="CC224">
            <v>-638.29837262277294</v>
          </cell>
          <cell r="CD224">
            <v>-2411.9202000292439</v>
          </cell>
        </row>
        <row r="225">
          <cell r="A225" t="str">
            <v>Taxes other than income tax</v>
          </cell>
          <cell r="G225">
            <v>-1310</v>
          </cell>
          <cell r="L225">
            <v>-744</v>
          </cell>
          <cell r="Q225">
            <v>-829</v>
          </cell>
          <cell r="V225">
            <v>-882</v>
          </cell>
          <cell r="AA225">
            <v>-465</v>
          </cell>
          <cell r="AF225">
            <v>-1019</v>
          </cell>
          <cell r="AK225">
            <v>-1499</v>
          </cell>
          <cell r="AP225">
            <v>-1248</v>
          </cell>
          <cell r="AQ225">
            <v>-260.7652323599375</v>
          </cell>
          <cell r="AR225">
            <v>-193.77171920330875</v>
          </cell>
          <cell r="AS225">
            <v>-189.41586108312111</v>
          </cell>
          <cell r="AT225">
            <v>-200.55411556498868</v>
          </cell>
          <cell r="AU225">
            <v>-844.50692821135613</v>
          </cell>
          <cell r="AV225">
            <v>-185.64426905194955</v>
          </cell>
          <cell r="AW225">
            <v>-214.9548716293763</v>
          </cell>
          <cell r="AX225">
            <v>-225.00460286388827</v>
          </cell>
          <cell r="AY225">
            <v>-247.61936841614835</v>
          </cell>
          <cell r="AZ225">
            <v>-873.22311196136252</v>
          </cell>
          <cell r="BA225">
            <v>-245.6806048902283</v>
          </cell>
          <cell r="BB225">
            <v>-246.04912556481983</v>
          </cell>
          <cell r="BC225">
            <v>-246.35359471111639</v>
          </cell>
          <cell r="BD225">
            <v>-243.94198008590763</v>
          </cell>
          <cell r="BE225">
            <v>-982.02530525207214</v>
          </cell>
          <cell r="BF225">
            <v>-248.01786835060526</v>
          </cell>
          <cell r="BG225">
            <v>-253.4261870825224</v>
          </cell>
          <cell r="BH225">
            <v>-258.89813544411044</v>
          </cell>
          <cell r="BI225">
            <v>-261.59055082899363</v>
          </cell>
          <cell r="BJ225">
            <v>-1021.9327417062318</v>
          </cell>
          <cell r="BK225">
            <v>-264.92835090859904</v>
          </cell>
          <cell r="BL225">
            <v>-268.09341483864972</v>
          </cell>
          <cell r="BM225">
            <v>-271.2547490948196</v>
          </cell>
          <cell r="BN225">
            <v>-271.46127540559564</v>
          </cell>
          <cell r="BO225">
            <v>-1075.737790247664</v>
          </cell>
          <cell r="BP225">
            <v>-275.63219555342215</v>
          </cell>
          <cell r="BQ225">
            <v>-288.98966195303677</v>
          </cell>
          <cell r="BR225">
            <v>-302.68632459788114</v>
          </cell>
          <cell r="BS225">
            <v>-313.32121770158182</v>
          </cell>
          <cell r="BT225">
            <v>-1180.6293998059218</v>
          </cell>
          <cell r="BU225">
            <v>-315.48230111964671</v>
          </cell>
          <cell r="BV225">
            <v>-328.15498294292718</v>
          </cell>
          <cell r="BW225">
            <v>-341.12624438560624</v>
          </cell>
          <cell r="BX225">
            <v>-350.58935223454785</v>
          </cell>
          <cell r="BY225">
            <v>-1335.352880682728</v>
          </cell>
          <cell r="BZ225">
            <v>-363.19262695884009</v>
          </cell>
          <cell r="CA225">
            <v>-387.909415373466</v>
          </cell>
          <cell r="CB225">
            <v>-413.31723756321873</v>
          </cell>
          <cell r="CC225">
            <v>-434.70097522223568</v>
          </cell>
          <cell r="CD225">
            <v>-1599.1202551177605</v>
          </cell>
        </row>
        <row r="226">
          <cell r="A226" t="str">
            <v>Exploration expense</v>
          </cell>
          <cell r="G226">
            <v>-229</v>
          </cell>
          <cell r="L226">
            <v>-340</v>
          </cell>
          <cell r="Q226">
            <v>-345</v>
          </cell>
          <cell r="V226">
            <v>-300</v>
          </cell>
          <cell r="AA226">
            <v>-532</v>
          </cell>
          <cell r="AF226">
            <v>-294</v>
          </cell>
          <cell r="AK226">
            <v>-493</v>
          </cell>
          <cell r="AP226">
            <v>-699</v>
          </cell>
          <cell r="AQ226">
            <v>-116.64</v>
          </cell>
          <cell r="AR226">
            <v>-221.04</v>
          </cell>
          <cell r="AS226">
            <v>-294.47999999999996</v>
          </cell>
          <cell r="AT226">
            <v>-317.88</v>
          </cell>
          <cell r="AU226">
            <v>-950.04</v>
          </cell>
          <cell r="AV226">
            <v>-166.78979999999999</v>
          </cell>
          <cell r="AW226">
            <v>-166.78979999999999</v>
          </cell>
          <cell r="AX226">
            <v>-166.78979999999999</v>
          </cell>
          <cell r="AY226">
            <v>-166.78980000000001</v>
          </cell>
          <cell r="AZ226">
            <v>-667.15919999999994</v>
          </cell>
          <cell r="BA226">
            <v>-142.37100000000001</v>
          </cell>
          <cell r="BB226">
            <v>-142.37100000000001</v>
          </cell>
          <cell r="BC226">
            <v>-142.37100000000001</v>
          </cell>
          <cell r="BD226">
            <v>-142.37099999999995</v>
          </cell>
          <cell r="BE226">
            <v>-569.48400000000004</v>
          </cell>
          <cell r="BF226">
            <v>-112.93049999999999</v>
          </cell>
          <cell r="BG226">
            <v>-112.93049999999999</v>
          </cell>
          <cell r="BH226">
            <v>-112.93049999999999</v>
          </cell>
          <cell r="BI226">
            <v>-112.93049999999999</v>
          </cell>
          <cell r="BJ226">
            <v>-451.72199999999998</v>
          </cell>
          <cell r="BK226">
            <v>-112.35899999999999</v>
          </cell>
          <cell r="BL226">
            <v>-112.35899999999999</v>
          </cell>
          <cell r="BM226">
            <v>-112.35899999999999</v>
          </cell>
          <cell r="BN226">
            <v>-112.35899999999999</v>
          </cell>
          <cell r="BO226">
            <v>-449.43599999999998</v>
          </cell>
          <cell r="BP226">
            <v>-110.72812499999999</v>
          </cell>
          <cell r="BQ226">
            <v>-110.72812499999999</v>
          </cell>
          <cell r="BR226">
            <v>-110.72812499999999</v>
          </cell>
          <cell r="BS226">
            <v>-110.72812499999999</v>
          </cell>
          <cell r="BT226">
            <v>-442.91249999999997</v>
          </cell>
          <cell r="BU226">
            <v>-111.20625</v>
          </cell>
          <cell r="BV226">
            <v>-111.20625</v>
          </cell>
          <cell r="BW226">
            <v>-111.20625</v>
          </cell>
          <cell r="BX226">
            <v>-111.20625</v>
          </cell>
          <cell r="BY226">
            <v>-444.82499999999999</v>
          </cell>
          <cell r="BZ226">
            <v>-111.20625</v>
          </cell>
          <cell r="CA226">
            <v>-111.20625</v>
          </cell>
          <cell r="CB226">
            <v>-111.20625</v>
          </cell>
          <cell r="CC226">
            <v>-111.20625</v>
          </cell>
          <cell r="CD226">
            <v>-444.82499999999999</v>
          </cell>
        </row>
        <row r="227">
          <cell r="A227" t="str">
            <v>DD&amp;A</v>
          </cell>
          <cell r="G227">
            <v>-975</v>
          </cell>
          <cell r="L227">
            <v>-1705</v>
          </cell>
          <cell r="Q227">
            <v>-2168</v>
          </cell>
          <cell r="V227">
            <v>-1595</v>
          </cell>
          <cell r="AA227">
            <v>-1233</v>
          </cell>
          <cell r="AF227">
            <v>-1192</v>
          </cell>
          <cell r="AK227">
            <v>-1181</v>
          </cell>
          <cell r="AP227">
            <v>-1261</v>
          </cell>
          <cell r="AQ227">
            <v>-291.68494328385913</v>
          </cell>
          <cell r="AR227">
            <v>-234.50473514118568</v>
          </cell>
          <cell r="AS227">
            <v>-200.49167224989108</v>
          </cell>
          <cell r="AT227">
            <v>-231.42568953621318</v>
          </cell>
          <cell r="AU227">
            <v>-958.10704021114907</v>
          </cell>
          <cell r="AV227">
            <v>-214.31641292863731</v>
          </cell>
          <cell r="AW227">
            <v>-248.33424008918226</v>
          </cell>
          <cell r="AX227">
            <v>-266.00094931419972</v>
          </cell>
          <cell r="AY227">
            <v>-293.72353062202944</v>
          </cell>
          <cell r="AZ227">
            <v>-1022.3751329540487</v>
          </cell>
          <cell r="BA227">
            <v>-322.75078378388838</v>
          </cell>
          <cell r="BB227">
            <v>-317.99766771273607</v>
          </cell>
          <cell r="BC227">
            <v>-313.06127173189213</v>
          </cell>
          <cell r="BD227">
            <v>-304.63039588607302</v>
          </cell>
          <cell r="BE227">
            <v>-1258.4401191145896</v>
          </cell>
          <cell r="BF227">
            <v>-352.34531253983624</v>
          </cell>
          <cell r="BG227">
            <v>-361.48919163187884</v>
          </cell>
          <cell r="BH227">
            <v>-370.74799228820564</v>
          </cell>
          <cell r="BI227">
            <v>-376.0343842452811</v>
          </cell>
          <cell r="BJ227">
            <v>-1460.6168807052018</v>
          </cell>
          <cell r="BK227">
            <v>-406.93923440971787</v>
          </cell>
          <cell r="BL227">
            <v>-415.45778689983098</v>
          </cell>
          <cell r="BM227">
            <v>-424.06418566337533</v>
          </cell>
          <cell r="BN227">
            <v>-428.10511424120716</v>
          </cell>
          <cell r="BO227">
            <v>-1674.5663212141312</v>
          </cell>
          <cell r="BP227">
            <v>-458.73635075301371</v>
          </cell>
          <cell r="BQ227">
            <v>-477.43382160234194</v>
          </cell>
          <cell r="BR227">
            <v>-496.43020234805255</v>
          </cell>
          <cell r="BS227">
            <v>-510.18005758164969</v>
          </cell>
          <cell r="BT227">
            <v>-1942.7804322850577</v>
          </cell>
          <cell r="BU227">
            <v>-543.76448111291813</v>
          </cell>
          <cell r="BV227">
            <v>-564.96079999287792</v>
          </cell>
          <cell r="BW227">
            <v>-586.49018461595927</v>
          </cell>
          <cell r="BX227">
            <v>-601.8112087995587</v>
          </cell>
          <cell r="BY227">
            <v>-2297.0266745213139</v>
          </cell>
          <cell r="BZ227">
            <v>-644.53041119498039</v>
          </cell>
          <cell r="CA227">
            <v>-674.69344117276626</v>
          </cell>
          <cell r="CB227">
            <v>-705.36200040251913</v>
          </cell>
          <cell r="CC227">
            <v>-728.6163459930109</v>
          </cell>
          <cell r="CD227">
            <v>-2753.2021987632766</v>
          </cell>
        </row>
        <row r="228">
          <cell r="A228" t="str">
            <v>Other income/(cost)</v>
          </cell>
          <cell r="G228">
            <v>84</v>
          </cell>
          <cell r="L228">
            <v>-199</v>
          </cell>
          <cell r="Q228">
            <v>-1670</v>
          </cell>
          <cell r="V228">
            <v>-20</v>
          </cell>
          <cell r="AA228">
            <v>-444</v>
          </cell>
          <cell r="AF228">
            <v>497</v>
          </cell>
          <cell r="AK228">
            <v>1071</v>
          </cell>
          <cell r="AP228">
            <v>322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  <cell r="BC228">
            <v>0</v>
          </cell>
          <cell r="BD228">
            <v>0</v>
          </cell>
          <cell r="BE228">
            <v>0</v>
          </cell>
          <cell r="BF228">
            <v>0</v>
          </cell>
          <cell r="BG228">
            <v>0</v>
          </cell>
          <cell r="BH228">
            <v>0</v>
          </cell>
          <cell r="BI228">
            <v>0</v>
          </cell>
          <cell r="BJ228">
            <v>0</v>
          </cell>
          <cell r="BK228">
            <v>0</v>
          </cell>
          <cell r="BL228">
            <v>0</v>
          </cell>
          <cell r="BM228">
            <v>0</v>
          </cell>
          <cell r="BN228">
            <v>0</v>
          </cell>
          <cell r="BO228">
            <v>0</v>
          </cell>
          <cell r="BP228">
            <v>0</v>
          </cell>
          <cell r="BQ228">
            <v>0</v>
          </cell>
          <cell r="BR228">
            <v>0</v>
          </cell>
          <cell r="BS228">
            <v>0</v>
          </cell>
          <cell r="BT228">
            <v>0</v>
          </cell>
          <cell r="BU228">
            <v>0</v>
          </cell>
          <cell r="BV228">
            <v>0</v>
          </cell>
          <cell r="BW228">
            <v>0</v>
          </cell>
          <cell r="BX228">
            <v>0</v>
          </cell>
          <cell r="BY228">
            <v>0</v>
          </cell>
          <cell r="BZ228">
            <v>0</v>
          </cell>
          <cell r="CA228">
            <v>0</v>
          </cell>
          <cell r="CB228">
            <v>0</v>
          </cell>
          <cell r="CC228">
            <v>0</v>
          </cell>
          <cell r="CD228">
            <v>0</v>
          </cell>
        </row>
        <row r="229">
          <cell r="A229" t="str">
            <v>Earnings before tax</v>
          </cell>
          <cell r="G229">
            <v>4580</v>
          </cell>
          <cell r="L229">
            <v>4364</v>
          </cell>
          <cell r="Q229">
            <v>3739</v>
          </cell>
          <cell r="V229">
            <v>7529</v>
          </cell>
          <cell r="AA229">
            <v>3178</v>
          </cell>
          <cell r="AF229">
            <v>7188</v>
          </cell>
          <cell r="AK229">
            <v>10574</v>
          </cell>
          <cell r="AP229">
            <v>8745</v>
          </cell>
          <cell r="AQ229">
            <v>1604.3482764355501</v>
          </cell>
          <cell r="AR229">
            <v>1019.7041963486361</v>
          </cell>
          <cell r="AS229">
            <v>980.04685095507079</v>
          </cell>
          <cell r="AT229">
            <v>990.51279300055194</v>
          </cell>
          <cell r="AU229">
            <v>4594.6121167398105</v>
          </cell>
          <cell r="AV229">
            <v>1051.9751673258461</v>
          </cell>
          <cell r="AW229">
            <v>1244.0206218495141</v>
          </cell>
          <cell r="AX229">
            <v>1297.2058044103624</v>
          </cell>
          <cell r="AY229">
            <v>1442.2665782461581</v>
          </cell>
          <cell r="AZ229">
            <v>5035.4681718318807</v>
          </cell>
          <cell r="BA229">
            <v>1405.630557878744</v>
          </cell>
          <cell r="BB229">
            <v>1418.7129980820723</v>
          </cell>
          <cell r="BC229">
            <v>1431.5955415046196</v>
          </cell>
          <cell r="BD229">
            <v>1427.2130906759414</v>
          </cell>
          <cell r="BE229">
            <v>5683.1521881413782</v>
          </cell>
          <cell r="BF229">
            <v>1411.7265669180947</v>
          </cell>
          <cell r="BG229">
            <v>1442.0406726377635</v>
          </cell>
          <cell r="BH229">
            <v>1472.6966843627256</v>
          </cell>
          <cell r="BI229">
            <v>1486.3134323864087</v>
          </cell>
          <cell r="BJ229">
            <v>5812.7773563049923</v>
          </cell>
          <cell r="BK229">
            <v>1471.2049107337702</v>
          </cell>
          <cell r="BL229">
            <v>1482.9273389359105</v>
          </cell>
          <cell r="BM229">
            <v>1494.4433326744172</v>
          </cell>
          <cell r="BN229">
            <v>1488.3501691308848</v>
          </cell>
          <cell r="BO229">
            <v>5936.9257514749825</v>
          </cell>
          <cell r="BP229">
            <v>1483.2120833548568</v>
          </cell>
          <cell r="BQ229">
            <v>1567.286573130295</v>
          </cell>
          <cell r="BR229">
            <v>1653.836028343015</v>
          </cell>
          <cell r="BS229">
            <v>1722.9712308661783</v>
          </cell>
          <cell r="BT229">
            <v>6427.3059156943464</v>
          </cell>
          <cell r="BU229">
            <v>1693.5359031130179</v>
          </cell>
          <cell r="BV229">
            <v>1767.2606658913928</v>
          </cell>
          <cell r="BW229">
            <v>1843.0389346045895</v>
          </cell>
          <cell r="BX229">
            <v>1899.0562158158518</v>
          </cell>
          <cell r="BY229">
            <v>7202.8917194248515</v>
          </cell>
          <cell r="BZ229">
            <v>1948.3614021833992</v>
          </cell>
          <cell r="CA229">
            <v>2114.2253929709441</v>
          </cell>
          <cell r="CB229">
            <v>2285.3602937286423</v>
          </cell>
          <cell r="CC229">
            <v>2434.1878083843371</v>
          </cell>
          <cell r="CD229">
            <v>8782.134897267324</v>
          </cell>
        </row>
        <row r="231">
          <cell r="A231" t="str">
            <v>Taxation</v>
          </cell>
          <cell r="G231">
            <v>-3728</v>
          </cell>
          <cell r="L231">
            <v>-2248</v>
          </cell>
          <cell r="Q231">
            <v>-2332</v>
          </cell>
          <cell r="V231">
            <v>-4505</v>
          </cell>
          <cell r="AA231">
            <v>-2370</v>
          </cell>
          <cell r="AF231">
            <v>-4564</v>
          </cell>
          <cell r="AK231">
            <v>-6511</v>
          </cell>
          <cell r="AP231">
            <v>-5358</v>
          </cell>
          <cell r="AQ231">
            <v>-994.6959313900411</v>
          </cell>
          <cell r="AR231">
            <v>-632.2166017361543</v>
          </cell>
          <cell r="AS231">
            <v>-607.62904759214393</v>
          </cell>
          <cell r="AT231">
            <v>-614.11793166034215</v>
          </cell>
          <cell r="AU231">
            <v>-2848.659512378681</v>
          </cell>
          <cell r="AV231">
            <v>-652.22460374202456</v>
          </cell>
          <cell r="AW231">
            <v>-771.29278554669872</v>
          </cell>
          <cell r="AX231">
            <v>-804.26759873442461</v>
          </cell>
          <cell r="AY231">
            <v>-894.20527851261807</v>
          </cell>
          <cell r="AZ231">
            <v>-3121.9902665357658</v>
          </cell>
          <cell r="BA231">
            <v>-871.49094588482126</v>
          </cell>
          <cell r="BB231">
            <v>-879.60205881088484</v>
          </cell>
          <cell r="BC231">
            <v>-887.58923573286415</v>
          </cell>
          <cell r="BD231">
            <v>-884.87211621908364</v>
          </cell>
          <cell r="BE231">
            <v>-3523.554356647654</v>
          </cell>
          <cell r="BF231">
            <v>-875.27047148921872</v>
          </cell>
          <cell r="BG231">
            <v>-894.0652170354133</v>
          </cell>
          <cell r="BH231">
            <v>-913.07194430488983</v>
          </cell>
          <cell r="BI231">
            <v>-921.51432807957337</v>
          </cell>
          <cell r="BJ231">
            <v>-3603.9219609090951</v>
          </cell>
          <cell r="BK231">
            <v>-912.14704465493753</v>
          </cell>
          <cell r="BL231">
            <v>-919.41495014026452</v>
          </cell>
          <cell r="BM231">
            <v>-926.55486625813865</v>
          </cell>
          <cell r="BN231">
            <v>-922.77710486114859</v>
          </cell>
          <cell r="BO231">
            <v>-3680.8939659144889</v>
          </cell>
          <cell r="BP231">
            <v>-919.59149168001113</v>
          </cell>
          <cell r="BQ231">
            <v>-971.71767534078288</v>
          </cell>
          <cell r="BR231">
            <v>-1025.3783375726694</v>
          </cell>
          <cell r="BS231">
            <v>-1068.2421631370305</v>
          </cell>
          <cell r="BT231">
            <v>-3984.9296677304937</v>
          </cell>
          <cell r="BU231">
            <v>-1049.992259930071</v>
          </cell>
          <cell r="BV231">
            <v>-1095.7016128526636</v>
          </cell>
          <cell r="BW231">
            <v>-1142.6841394548455</v>
          </cell>
          <cell r="BX231">
            <v>-1177.4148538058282</v>
          </cell>
          <cell r="BY231">
            <v>-4465.7928660434081</v>
          </cell>
          <cell r="BZ231">
            <v>-1207.9840693537074</v>
          </cell>
          <cell r="CA231">
            <v>-1310.8197436419853</v>
          </cell>
          <cell r="CB231">
            <v>-1416.9233821117582</v>
          </cell>
          <cell r="CC231">
            <v>-1509.196441198289</v>
          </cell>
          <cell r="CD231">
            <v>-5444.9236363057398</v>
          </cell>
        </row>
        <row r="232">
          <cell r="A232" t="str">
            <v>Earnings after tax</v>
          </cell>
          <cell r="G232">
            <v>852</v>
          </cell>
          <cell r="L232">
            <v>2116</v>
          </cell>
          <cell r="Q232">
            <v>1407</v>
          </cell>
          <cell r="V232">
            <v>3024</v>
          </cell>
          <cell r="AA232">
            <v>808</v>
          </cell>
          <cell r="AF232">
            <v>2624</v>
          </cell>
          <cell r="AK232">
            <v>4063</v>
          </cell>
          <cell r="AP232">
            <v>3387</v>
          </cell>
          <cell r="AQ232">
            <v>609.65234504550904</v>
          </cell>
          <cell r="AR232">
            <v>387.48759461248176</v>
          </cell>
          <cell r="AS232">
            <v>372.41780336292686</v>
          </cell>
          <cell r="AT232">
            <v>376.39486134020979</v>
          </cell>
          <cell r="AU232">
            <v>1745.9526043611295</v>
          </cell>
          <cell r="AV232">
            <v>399.75056358382153</v>
          </cell>
          <cell r="AW232">
            <v>472.72783630281538</v>
          </cell>
          <cell r="AX232">
            <v>492.93820567593775</v>
          </cell>
          <cell r="AY232">
            <v>548.06129973354007</v>
          </cell>
          <cell r="AZ232">
            <v>1913.4779052961148</v>
          </cell>
          <cell r="BA232">
            <v>534.1396119939227</v>
          </cell>
          <cell r="BB232">
            <v>539.11093927118748</v>
          </cell>
          <cell r="BC232">
            <v>544.00630577175548</v>
          </cell>
          <cell r="BD232">
            <v>542.34097445685779</v>
          </cell>
          <cell r="BE232">
            <v>2159.5978314937242</v>
          </cell>
          <cell r="BF232">
            <v>536.45609542887598</v>
          </cell>
          <cell r="BG232">
            <v>547.97545560235017</v>
          </cell>
          <cell r="BH232">
            <v>559.62474005783577</v>
          </cell>
          <cell r="BI232">
            <v>564.79910430683537</v>
          </cell>
          <cell r="BJ232">
            <v>2208.8553953958972</v>
          </cell>
          <cell r="BK232">
            <v>559.05786607883272</v>
          </cell>
          <cell r="BL232">
            <v>563.51238879564596</v>
          </cell>
          <cell r="BM232">
            <v>567.88846641627856</v>
          </cell>
          <cell r="BN232">
            <v>565.57306426973616</v>
          </cell>
          <cell r="BO232">
            <v>2256.0317855604935</v>
          </cell>
          <cell r="BP232">
            <v>563.62059167484563</v>
          </cell>
          <cell r="BQ232">
            <v>595.56889778951211</v>
          </cell>
          <cell r="BR232">
            <v>628.45769077034561</v>
          </cell>
          <cell r="BS232">
            <v>654.7290677291478</v>
          </cell>
          <cell r="BT232">
            <v>2442.3762479638526</v>
          </cell>
          <cell r="BU232">
            <v>643.54364318294688</v>
          </cell>
          <cell r="BV232">
            <v>671.55905303872919</v>
          </cell>
          <cell r="BW232">
            <v>700.35479514974395</v>
          </cell>
          <cell r="BX232">
            <v>721.64136201002361</v>
          </cell>
          <cell r="BY232">
            <v>2737.0988533814434</v>
          </cell>
          <cell r="BZ232">
            <v>740.3773328296918</v>
          </cell>
          <cell r="CA232">
            <v>803.40564932895882</v>
          </cell>
          <cell r="CB232">
            <v>868.43691161688412</v>
          </cell>
          <cell r="CC232">
            <v>924.99136718604814</v>
          </cell>
          <cell r="CD232">
            <v>3337.2112609615842</v>
          </cell>
        </row>
        <row r="234">
          <cell r="A234" t="str">
            <v>Production</v>
          </cell>
        </row>
        <row r="235">
          <cell r="B235" t="str">
            <v>Oil and NGL (kbbl/d)</v>
          </cell>
          <cell r="C235">
            <v>339</v>
          </cell>
          <cell r="D235">
            <v>289</v>
          </cell>
          <cell r="E235">
            <v>376</v>
          </cell>
          <cell r="F235">
            <v>409</v>
          </cell>
          <cell r="G235">
            <v>387</v>
          </cell>
          <cell r="L235">
            <v>350</v>
          </cell>
          <cell r="Q235">
            <v>342</v>
          </cell>
          <cell r="V235">
            <v>318</v>
          </cell>
          <cell r="AA235">
            <v>284</v>
          </cell>
          <cell r="AF235">
            <v>356</v>
          </cell>
          <cell r="AK235">
            <v>326</v>
          </cell>
          <cell r="AP235">
            <v>290</v>
          </cell>
          <cell r="AQ235">
            <v>250.93229120000001</v>
          </cell>
          <cell r="AR235">
            <v>199.9154304000001</v>
          </cell>
          <cell r="AS235">
            <v>184.89856960000009</v>
          </cell>
          <cell r="AT235">
            <v>192.88170880000013</v>
          </cell>
          <cell r="AU235">
            <v>207.1570000000001</v>
          </cell>
          <cell r="AV235">
            <v>178.69982528000008</v>
          </cell>
          <cell r="AW235">
            <v>204.5179417600001</v>
          </cell>
          <cell r="AX235">
            <v>210.33605824000006</v>
          </cell>
          <cell r="AY235">
            <v>231.15417472000001</v>
          </cell>
          <cell r="AZ235">
            <v>206.17700000000005</v>
          </cell>
          <cell r="BA235">
            <v>244.88410483199999</v>
          </cell>
          <cell r="BB235">
            <v>243.61403494399997</v>
          </cell>
          <cell r="BC235">
            <v>242.343965056</v>
          </cell>
          <cell r="BD235">
            <v>241.07389516799998</v>
          </cell>
          <cell r="BE235">
            <v>242.97899999999998</v>
          </cell>
          <cell r="BF235">
            <v>263.41273710079997</v>
          </cell>
          <cell r="BG235">
            <v>265.75157903360002</v>
          </cell>
          <cell r="BH235">
            <v>268.09042096640002</v>
          </cell>
          <cell r="BI235">
            <v>270.42926289920007</v>
          </cell>
          <cell r="BJ235">
            <v>266.92099999999999</v>
          </cell>
          <cell r="BK235">
            <v>277.72915773952002</v>
          </cell>
          <cell r="BL235">
            <v>275.02905257983997</v>
          </cell>
          <cell r="BM235">
            <v>272.32894742015998</v>
          </cell>
          <cell r="BN235">
            <v>269.62884226047993</v>
          </cell>
          <cell r="BO235">
            <v>273.67899999999997</v>
          </cell>
          <cell r="BP235">
            <v>278.38010535628797</v>
          </cell>
          <cell r="BQ235">
            <v>287.13136845209601</v>
          </cell>
          <cell r="BR235">
            <v>295.882631547904</v>
          </cell>
          <cell r="BS235">
            <v>304.63389464371204</v>
          </cell>
          <cell r="BT235">
            <v>291.50700000000001</v>
          </cell>
          <cell r="BU235">
            <v>311.20833678622722</v>
          </cell>
          <cell r="BV235">
            <v>317.78277892874235</v>
          </cell>
          <cell r="BW235">
            <v>324.35722107125753</v>
          </cell>
          <cell r="BX235">
            <v>330.93166321377271</v>
          </cell>
          <cell r="BY235">
            <v>321.06999999999994</v>
          </cell>
          <cell r="BZ235">
            <v>350.23299792826361</v>
          </cell>
          <cell r="CA235">
            <v>369.53433264275452</v>
          </cell>
          <cell r="CB235">
            <v>388.83566735724548</v>
          </cell>
          <cell r="CC235">
            <v>408.13700207173639</v>
          </cell>
          <cell r="CD235">
            <v>379.185</v>
          </cell>
        </row>
        <row r="236">
          <cell r="B236" t="str">
            <v>Natural gas (mmcf/d)</v>
          </cell>
          <cell r="C236">
            <v>467</v>
          </cell>
          <cell r="D236">
            <v>476</v>
          </cell>
          <cell r="E236">
            <v>580</v>
          </cell>
          <cell r="F236">
            <v>586</v>
          </cell>
          <cell r="G236">
            <v>615</v>
          </cell>
          <cell r="L236">
            <v>656</v>
          </cell>
          <cell r="Q236">
            <v>751</v>
          </cell>
          <cell r="V236">
            <v>697</v>
          </cell>
          <cell r="AA236">
            <v>455</v>
          </cell>
          <cell r="AF236">
            <v>724</v>
          </cell>
          <cell r="AK236">
            <v>840</v>
          </cell>
          <cell r="AP236">
            <v>881</v>
          </cell>
          <cell r="AQ236">
            <v>745.38393856000027</v>
          </cell>
          <cell r="AR236">
            <v>590.40797952000014</v>
          </cell>
          <cell r="AS236">
            <v>407.43202047999989</v>
          </cell>
          <cell r="AT236">
            <v>589.45606143999976</v>
          </cell>
          <cell r="AU236">
            <v>583.17000000000007</v>
          </cell>
          <cell r="AV236">
            <v>454.36163686399982</v>
          </cell>
          <cell r="AW236">
            <v>522.267212288</v>
          </cell>
          <cell r="AX236">
            <v>590.17278771200006</v>
          </cell>
          <cell r="AY236">
            <v>658.07836313600012</v>
          </cell>
          <cell r="AZ236">
            <v>556.22</v>
          </cell>
          <cell r="BA236">
            <v>662.22701788160009</v>
          </cell>
          <cell r="BB236">
            <v>616.37567262720006</v>
          </cell>
          <cell r="BC236">
            <v>570.52432737280003</v>
          </cell>
          <cell r="BD236">
            <v>524.6729821184</v>
          </cell>
          <cell r="BE236">
            <v>593.45000000000005</v>
          </cell>
          <cell r="BF236">
            <v>592.22378927104</v>
          </cell>
          <cell r="BG236">
            <v>609.77459642368001</v>
          </cell>
          <cell r="BH236">
            <v>627.32540357632001</v>
          </cell>
          <cell r="BI236">
            <v>644.87621072896002</v>
          </cell>
          <cell r="BJ236">
            <v>618.55000000000007</v>
          </cell>
          <cell r="BK236">
            <v>682.81772643737611</v>
          </cell>
          <cell r="BL236">
            <v>720.75924214579209</v>
          </cell>
          <cell r="BM236">
            <v>758.70075785420818</v>
          </cell>
          <cell r="BN236">
            <v>796.64227356262415</v>
          </cell>
          <cell r="BO236">
            <v>739.73000000000013</v>
          </cell>
          <cell r="BP236">
            <v>817.18936413757456</v>
          </cell>
          <cell r="BQ236">
            <v>837.73645471252485</v>
          </cell>
          <cell r="BR236">
            <v>858.28354528747514</v>
          </cell>
          <cell r="BS236">
            <v>878.83063586242542</v>
          </cell>
          <cell r="BT236">
            <v>848.01</v>
          </cell>
          <cell r="BU236">
            <v>915.69038151745531</v>
          </cell>
          <cell r="BV236">
            <v>952.55012717248508</v>
          </cell>
          <cell r="BW236">
            <v>989.40987282751496</v>
          </cell>
          <cell r="BX236">
            <v>1026.2696184825447</v>
          </cell>
          <cell r="BY236">
            <v>970.98</v>
          </cell>
          <cell r="BZ236">
            <v>1022.093771089527</v>
          </cell>
          <cell r="CA236">
            <v>1017.9179236965091</v>
          </cell>
          <cell r="CB236">
            <v>1013.7420763034912</v>
          </cell>
          <cell r="CC236">
            <v>1009.5662289104733</v>
          </cell>
          <cell r="CD236">
            <v>1015.8300000000002</v>
          </cell>
        </row>
        <row r="237">
          <cell r="B237" t="str">
            <v>Total</v>
          </cell>
          <cell r="C237">
            <v>419.51724137931035</v>
          </cell>
          <cell r="D237">
            <v>371.06896551724139</v>
          </cell>
          <cell r="E237">
            <v>476</v>
          </cell>
          <cell r="F237">
            <v>510.0344827586207</v>
          </cell>
          <cell r="G237">
            <v>493.0344827586207</v>
          </cell>
          <cell r="L237">
            <v>463.10344827586209</v>
          </cell>
          <cell r="Q237">
            <v>471.48275862068965</v>
          </cell>
          <cell r="V237">
            <v>438.17241379310349</v>
          </cell>
          <cell r="AA237">
            <v>362.44827586206895</v>
          </cell>
          <cell r="AF237">
            <v>480.82758620689657</v>
          </cell>
          <cell r="AK237">
            <v>470.82758620689657</v>
          </cell>
          <cell r="AP237">
            <v>441.89655172413791</v>
          </cell>
          <cell r="AQ237">
            <v>379.44676336551731</v>
          </cell>
          <cell r="AR237">
            <v>301.70990962758634</v>
          </cell>
          <cell r="AS237">
            <v>255.14546968275869</v>
          </cell>
          <cell r="AT237">
            <v>294.51206422068975</v>
          </cell>
          <cell r="AU237">
            <v>307.70355172413804</v>
          </cell>
          <cell r="AV237">
            <v>257.03803853241385</v>
          </cell>
          <cell r="AW237">
            <v>294.56401284413801</v>
          </cell>
          <cell r="AX237">
            <v>312.0899871558621</v>
          </cell>
          <cell r="AY237">
            <v>344.61596146758626</v>
          </cell>
          <cell r="AZ237">
            <v>302.07700000000006</v>
          </cell>
          <cell r="BA237">
            <v>359.06117688055173</v>
          </cell>
          <cell r="BB237">
            <v>349.88570263834481</v>
          </cell>
          <cell r="BC237">
            <v>340.71022839613795</v>
          </cell>
          <cell r="BD237">
            <v>331.53475415393103</v>
          </cell>
          <cell r="BE237">
            <v>345.29796551724138</v>
          </cell>
          <cell r="BF237">
            <v>365.52028697511719</v>
          </cell>
          <cell r="BG237">
            <v>370.88513014113107</v>
          </cell>
          <cell r="BH237">
            <v>376.24997330714484</v>
          </cell>
          <cell r="BI237">
            <v>381.61481647315873</v>
          </cell>
          <cell r="BJ237">
            <v>373.56755172413796</v>
          </cell>
          <cell r="BK237">
            <v>395.4563519528607</v>
          </cell>
          <cell r="BL237">
            <v>399.29788743256273</v>
          </cell>
          <cell r="BM237">
            <v>403.13942291226488</v>
          </cell>
          <cell r="BN237">
            <v>406.98095839196685</v>
          </cell>
          <cell r="BO237">
            <v>401.21865517241378</v>
          </cell>
          <cell r="BP237">
            <v>419.27482331104221</v>
          </cell>
          <cell r="BQ237">
            <v>431.56868823011757</v>
          </cell>
          <cell r="BR237">
            <v>443.86255314919282</v>
          </cell>
          <cell r="BS237">
            <v>456.15641806826818</v>
          </cell>
          <cell r="BT237">
            <v>437.71562068965517</v>
          </cell>
          <cell r="BU237">
            <v>469.0859887719954</v>
          </cell>
          <cell r="BV237">
            <v>482.01555947572251</v>
          </cell>
          <cell r="BW237">
            <v>494.94513017944973</v>
          </cell>
          <cell r="BX237">
            <v>507.87470088317696</v>
          </cell>
          <cell r="BY237">
            <v>488.48034482758612</v>
          </cell>
          <cell r="BZ237">
            <v>526.45606190921649</v>
          </cell>
          <cell r="CA237">
            <v>545.03742293525613</v>
          </cell>
          <cell r="CB237">
            <v>563.61878396129566</v>
          </cell>
          <cell r="CC237">
            <v>582.20014498733531</v>
          </cell>
          <cell r="CD237">
            <v>554.3281034482759</v>
          </cell>
        </row>
        <row r="239">
          <cell r="A239" t="str">
            <v>Realise price</v>
          </cell>
        </row>
        <row r="240">
          <cell r="B240" t="str">
            <v>Oil and NGL ($/bbl)</v>
          </cell>
          <cell r="L240">
            <v>63.33</v>
          </cell>
          <cell r="Q240">
            <v>70.17</v>
          </cell>
          <cell r="V240">
            <v>97.89</v>
          </cell>
          <cell r="AA240">
            <v>59.63</v>
          </cell>
          <cell r="AF240">
            <v>78.28</v>
          </cell>
          <cell r="AK240">
            <v>107.93</v>
          </cell>
          <cell r="AP240">
            <v>109.98</v>
          </cell>
          <cell r="AQ240">
            <v>104.26</v>
          </cell>
          <cell r="AR240">
            <v>96.5</v>
          </cell>
          <cell r="AS240">
            <v>100.66</v>
          </cell>
          <cell r="AT240">
            <v>101.14</v>
          </cell>
          <cell r="AU240">
            <v>100.7</v>
          </cell>
          <cell r="AV240">
            <v>104.8868280001425</v>
          </cell>
          <cell r="AW240">
            <v>104.8868280001425</v>
          </cell>
          <cell r="AX240">
            <v>104.8868280001425</v>
          </cell>
          <cell r="AY240">
            <v>104.8868280001425</v>
          </cell>
          <cell r="AZ240">
            <v>104.8868280001425</v>
          </cell>
          <cell r="BA240">
            <v>99.395723516631364</v>
          </cell>
          <cell r="BB240">
            <v>99.395723516631364</v>
          </cell>
          <cell r="BC240">
            <v>99.395723516631364</v>
          </cell>
          <cell r="BD240">
            <v>99.395723516631364</v>
          </cell>
          <cell r="BE240">
            <v>99.395723516631364</v>
          </cell>
          <cell r="BF240">
            <v>93.988098662092526</v>
          </cell>
          <cell r="BG240">
            <v>93.988098662092526</v>
          </cell>
          <cell r="BH240">
            <v>93.988098662092526</v>
          </cell>
          <cell r="BI240">
            <v>93.988098662092526</v>
          </cell>
          <cell r="BJ240">
            <v>93.988098662092526</v>
          </cell>
          <cell r="BK240">
            <v>94.545517657880296</v>
          </cell>
          <cell r="BL240">
            <v>95.106388329396566</v>
          </cell>
          <cell r="BM240">
            <v>95.670732050267688</v>
          </cell>
          <cell r="BN240">
            <v>96.238570326470764</v>
          </cell>
          <cell r="BO240">
            <v>95.390302091003832</v>
          </cell>
          <cell r="BP240">
            <v>96.809924797153215</v>
          </cell>
          <cell r="BQ240">
            <v>97.38481723545739</v>
          </cell>
          <cell r="BR240">
            <v>97.963269549350287</v>
          </cell>
          <cell r="BS240">
            <v>98.545303782458447</v>
          </cell>
          <cell r="BT240">
            <v>97.675828841104831</v>
          </cell>
          <cell r="BU240">
            <v>99.130942114907953</v>
          </cell>
          <cell r="BV240">
            <v>99.720206864169725</v>
          </cell>
          <cell r="BW240">
            <v>100.31312048590995</v>
          </cell>
          <cell r="BX240">
            <v>100.9097055748458</v>
          </cell>
          <cell r="BY240">
            <v>100.01849375995836</v>
          </cell>
          <cell r="BZ240">
            <v>101.50998486560655</v>
          </cell>
          <cell r="CA240">
            <v>102.11398123359987</v>
          </cell>
          <cell r="CB240">
            <v>102.7217176958836</v>
          </cell>
          <cell r="CC240">
            <v>103.33321741204284</v>
          </cell>
          <cell r="CD240">
            <v>102.41972530178322</v>
          </cell>
        </row>
        <row r="241">
          <cell r="B241" t="str">
            <v>Natural gas ($/mmcf)</v>
          </cell>
          <cell r="L241">
            <v>1.66</v>
          </cell>
          <cell r="Q241">
            <v>1.44</v>
          </cell>
          <cell r="V241">
            <v>1.96</v>
          </cell>
          <cell r="AA241">
            <v>2.0499999999999998</v>
          </cell>
          <cell r="AF241">
            <v>2.16</v>
          </cell>
          <cell r="AK241">
            <v>2.36</v>
          </cell>
          <cell r="AP241">
            <v>2.74</v>
          </cell>
          <cell r="AQ241">
            <v>2.64</v>
          </cell>
          <cell r="AR241">
            <v>2.34</v>
          </cell>
          <cell r="AS241">
            <v>3.38</v>
          </cell>
          <cell r="AT241">
            <v>2.81</v>
          </cell>
          <cell r="AU241">
            <v>2.8</v>
          </cell>
          <cell r="AV241">
            <v>2.8239458377207027</v>
          </cell>
          <cell r="AW241">
            <v>2.8379608876797442</v>
          </cell>
          <cell r="AX241">
            <v>2.8520454933727275</v>
          </cell>
          <cell r="AY241">
            <v>2.8662000000000005</v>
          </cell>
          <cell r="AZ241">
            <v>2.8450380546932941</v>
          </cell>
          <cell r="BA241">
            <v>2.8804247544751171</v>
          </cell>
          <cell r="BB241">
            <v>2.8947201054333394</v>
          </cell>
          <cell r="BC241">
            <v>2.9090864032401824</v>
          </cell>
          <cell r="BD241">
            <v>2.9235240000000009</v>
          </cell>
          <cell r="BE241">
            <v>2.90193881578716</v>
          </cell>
          <cell r="BF241">
            <v>2.93803324956462</v>
          </cell>
          <cell r="BG241">
            <v>2.9526145075420067</v>
          </cell>
          <cell r="BH241">
            <v>2.9672681313049867</v>
          </cell>
          <cell r="BI241">
            <v>2.9819944800000018</v>
          </cell>
          <cell r="BJ241">
            <v>2.9599775921029039</v>
          </cell>
          <cell r="BK241">
            <v>2.9967939145559135</v>
          </cell>
          <cell r="BL241">
            <v>3.0116667976928482</v>
          </cell>
          <cell r="BM241">
            <v>3.0266134939310878</v>
          </cell>
          <cell r="BN241">
            <v>3.0416343696000032</v>
          </cell>
          <cell r="BO241">
            <v>3.0191771439449635</v>
          </cell>
          <cell r="BP241">
            <v>3.0567297928470332</v>
          </cell>
          <cell r="BQ241">
            <v>3.0719001336467064</v>
          </cell>
          <cell r="BR241">
            <v>3.0871457638097106</v>
          </cell>
          <cell r="BS241">
            <v>3.1024670569920043</v>
          </cell>
          <cell r="BT241">
            <v>3.0795606868238639</v>
          </cell>
          <cell r="BU241">
            <v>3.1178643887039748</v>
          </cell>
          <cell r="BV241">
            <v>3.1333381363196415</v>
          </cell>
          <cell r="BW241">
            <v>3.1488886790859061</v>
          </cell>
          <cell r="BX241">
            <v>3.1645163981318456</v>
          </cell>
          <cell r="BY241">
            <v>3.1411519005603417</v>
          </cell>
          <cell r="BZ241">
            <v>3.1802216764780553</v>
          </cell>
          <cell r="CA241">
            <v>3.1960048990460352</v>
          </cell>
          <cell r="CB241">
            <v>3.2118664526676248</v>
          </cell>
          <cell r="CC241">
            <v>3.2278067260944829</v>
          </cell>
          <cell r="CD241">
            <v>3.2039749385715495</v>
          </cell>
        </row>
        <row r="243">
          <cell r="A243" t="str">
            <v>Production x price</v>
          </cell>
          <cell r="L243">
            <v>8487.8778999999995</v>
          </cell>
          <cell r="Q243">
            <v>9154.046699999999</v>
          </cell>
          <cell r="V243">
            <v>11860.7261</v>
          </cell>
          <cell r="AA243">
            <v>6521.6995500000012</v>
          </cell>
          <cell r="AF243">
            <v>10742.504800000001</v>
          </cell>
          <cell r="AK243">
            <v>13566.166700000002</v>
          </cell>
          <cell r="AP243">
            <v>12522.471099999999</v>
          </cell>
          <cell r="AQ243">
            <v>2531.7012850479368</v>
          </cell>
          <cell r="AR243">
            <v>1881.2788272165897</v>
          </cell>
          <cell r="AS243">
            <v>1838.9889425545737</v>
          </cell>
          <cell r="AT243">
            <v>1947.1273355824142</v>
          </cell>
          <cell r="AU243">
            <v>8199.0963904015152</v>
          </cell>
          <cell r="AV243">
            <v>1802.3715441936847</v>
          </cell>
          <cell r="AW243">
            <v>2086.9405012560806</v>
          </cell>
          <cell r="AX243">
            <v>2184.5107074163907</v>
          </cell>
          <cell r="AY243">
            <v>2404.0715380208576</v>
          </cell>
          <cell r="AZ243">
            <v>8477.8942908870122</v>
          </cell>
          <cell r="BA243">
            <v>2362.3135085598874</v>
          </cell>
          <cell r="BB243">
            <v>2365.856976584806</v>
          </cell>
          <cell r="BC243">
            <v>2368.7845645299649</v>
          </cell>
          <cell r="BD243">
            <v>2345.5959623644962</v>
          </cell>
          <cell r="BE243">
            <v>9442.5510120391555</v>
          </cell>
          <cell r="BF243">
            <v>2384.7871956788968</v>
          </cell>
          <cell r="BG243">
            <v>2436.790260408869</v>
          </cell>
          <cell r="BH243">
            <v>2489.4051485010618</v>
          </cell>
          <cell r="BI243">
            <v>2515.2937579710924</v>
          </cell>
          <cell r="BJ243">
            <v>9826.27636255992</v>
          </cell>
          <cell r="BK243">
            <v>2547.3879895057598</v>
          </cell>
          <cell r="BL243">
            <v>2577.8212965254775</v>
          </cell>
          <cell r="BM243">
            <v>2608.2187412963422</v>
          </cell>
          <cell r="BN243">
            <v>2610.2045712076501</v>
          </cell>
          <cell r="BO243">
            <v>10343.632598535229</v>
          </cell>
          <cell r="BP243">
            <v>2650.3095726290589</v>
          </cell>
          <cell r="BQ243">
            <v>2778.7467495484307</v>
          </cell>
          <cell r="BR243">
            <v>2910.4454288257803</v>
          </cell>
          <cell r="BS243">
            <v>3012.7040163613633</v>
          </cell>
          <cell r="BT243">
            <v>11352.205767364634</v>
          </cell>
          <cell r="BU243">
            <v>3033.483664611987</v>
          </cell>
          <cell r="BV243">
            <v>3155.3363744512226</v>
          </cell>
          <cell r="BW243">
            <v>3280.0600421692902</v>
          </cell>
          <cell r="BX243">
            <v>3371.051463793729</v>
          </cell>
          <cell r="BY243">
            <v>12839.931545026229</v>
          </cell>
          <cell r="BZ243">
            <v>3492.2367976811547</v>
          </cell>
          <cell r="CA243">
            <v>3729.8982247448653</v>
          </cell>
          <cell r="CB243">
            <v>3974.2042073386415</v>
          </cell>
          <cell r="CC243">
            <v>4179.8170694445735</v>
          </cell>
          <cell r="CD243">
            <v>15376.156299209237</v>
          </cell>
        </row>
        <row r="244">
          <cell r="A244" t="str">
            <v>Difference with actual</v>
          </cell>
          <cell r="L244">
            <v>-2.4491151080295315E-2</v>
          </cell>
          <cell r="Q244">
            <v>9.9295243927475463E-2</v>
          </cell>
          <cell r="V244">
            <v>-2.7631200420351942E-2</v>
          </cell>
          <cell r="AA244">
            <v>9.4346641589767577E-2</v>
          </cell>
          <cell r="AF244">
            <v>-2.8159615064821786E-2</v>
          </cell>
          <cell r="AK244">
            <v>4.1488012969794763E-2</v>
          </cell>
          <cell r="AP244">
            <v>5.1789211156574533E-2</v>
          </cell>
          <cell r="AQ244">
            <v>0.03</v>
          </cell>
          <cell r="AR244">
            <v>0.03</v>
          </cell>
          <cell r="AS244">
            <v>0.03</v>
          </cell>
          <cell r="AT244">
            <v>0.03</v>
          </cell>
          <cell r="AU244">
            <v>0.03</v>
          </cell>
          <cell r="AV244">
            <v>0.03</v>
          </cell>
          <cell r="AW244">
            <v>0.03</v>
          </cell>
          <cell r="AX244">
            <v>0.03</v>
          </cell>
          <cell r="AY244">
            <v>0.03</v>
          </cell>
          <cell r="AZ244">
            <v>0.03</v>
          </cell>
          <cell r="BA244">
            <v>0.04</v>
          </cell>
          <cell r="BB244">
            <v>0.04</v>
          </cell>
          <cell r="BC244">
            <v>0.04</v>
          </cell>
          <cell r="BD244">
            <v>0.04</v>
          </cell>
          <cell r="BE244">
            <v>0.04</v>
          </cell>
          <cell r="BF244">
            <v>0.04</v>
          </cell>
          <cell r="BG244">
            <v>0.04</v>
          </cell>
          <cell r="BH244">
            <v>0.04</v>
          </cell>
          <cell r="BI244">
            <v>0.04</v>
          </cell>
          <cell r="BJ244">
            <v>0.04</v>
          </cell>
          <cell r="BK244">
            <v>0.04</v>
          </cell>
          <cell r="BL244">
            <v>0.04</v>
          </cell>
          <cell r="BM244">
            <v>0.04</v>
          </cell>
          <cell r="BN244">
            <v>0.04</v>
          </cell>
          <cell r="BO244">
            <v>0.04</v>
          </cell>
          <cell r="BP244">
            <v>0.04</v>
          </cell>
          <cell r="BQ244">
            <v>0.04</v>
          </cell>
          <cell r="BR244">
            <v>0.04</v>
          </cell>
          <cell r="BS244">
            <v>0.04</v>
          </cell>
          <cell r="BT244">
            <v>0.04</v>
          </cell>
          <cell r="BU244">
            <v>0.04</v>
          </cell>
          <cell r="BV244">
            <v>0.04</v>
          </cell>
          <cell r="BW244">
            <v>0.04</v>
          </cell>
          <cell r="BX244">
            <v>0.04</v>
          </cell>
          <cell r="BY244">
            <v>0.04</v>
          </cell>
          <cell r="BZ244">
            <v>0.04</v>
          </cell>
          <cell r="CA244">
            <v>0.04</v>
          </cell>
          <cell r="CB244">
            <v>0.04</v>
          </cell>
          <cell r="CC244">
            <v>0.04</v>
          </cell>
          <cell r="CD244">
            <v>0.04</v>
          </cell>
        </row>
        <row r="246">
          <cell r="A246" t="str">
            <v>Per barrel of oil equivalent</v>
          </cell>
        </row>
        <row r="247">
          <cell r="B247" t="str">
            <v>Production cost excluding taxes</v>
          </cell>
          <cell r="G247">
            <v>3.9898290210145304</v>
          </cell>
          <cell r="L247">
            <v>5.4900600781321716</v>
          </cell>
          <cell r="Q247">
            <v>7.6238642500117724</v>
          </cell>
          <cell r="V247">
            <v>7.5469135230177296</v>
          </cell>
          <cell r="AA247">
            <v>9.713242356670051</v>
          </cell>
          <cell r="AF247">
            <v>7.0882355252713394</v>
          </cell>
          <cell r="AK247">
            <v>8.4549462147677126</v>
          </cell>
          <cell r="AP247">
            <v>9.54788641307543</v>
          </cell>
          <cell r="AQ247">
            <v>9.7865835734023143</v>
          </cell>
          <cell r="AR247">
            <v>9.7865835734023143</v>
          </cell>
          <cell r="AS247">
            <v>9.7865835734023143</v>
          </cell>
          <cell r="AT247">
            <v>9.7865835734023143</v>
          </cell>
          <cell r="AU247">
            <v>9.7865835734023143</v>
          </cell>
          <cell r="AV247">
            <v>10.275912752072431</v>
          </cell>
          <cell r="AW247">
            <v>10.275912752072431</v>
          </cell>
          <cell r="AX247">
            <v>10.275912752072431</v>
          </cell>
          <cell r="AY247">
            <v>10.275912752072431</v>
          </cell>
          <cell r="AZ247">
            <v>10.275912752072431</v>
          </cell>
          <cell r="BA247">
            <v>10.532810570874242</v>
          </cell>
          <cell r="BB247">
            <v>10.532810570874242</v>
          </cell>
          <cell r="BC247">
            <v>10.532810570874242</v>
          </cell>
          <cell r="BD247">
            <v>10.532810570874242</v>
          </cell>
          <cell r="BE247">
            <v>10.532810570874242</v>
          </cell>
          <cell r="BF247">
            <v>10.796130835146096</v>
          </cell>
          <cell r="BG247">
            <v>10.796130835146096</v>
          </cell>
          <cell r="BH247">
            <v>10.796130835146096</v>
          </cell>
          <cell r="BI247">
            <v>10.796130835146096</v>
          </cell>
          <cell r="BJ247">
            <v>10.796130835146096</v>
          </cell>
          <cell r="BK247">
            <v>11.066034106024748</v>
          </cell>
          <cell r="BL247">
            <v>11.066034106024748</v>
          </cell>
          <cell r="BM247">
            <v>11.066034106024748</v>
          </cell>
          <cell r="BN247">
            <v>11.066034106024748</v>
          </cell>
          <cell r="BO247">
            <v>11.066034106024748</v>
          </cell>
          <cell r="BP247">
            <v>11.342684958675365</v>
          </cell>
          <cell r="BQ247">
            <v>11.342684958675365</v>
          </cell>
          <cell r="BR247">
            <v>11.342684958675365</v>
          </cell>
          <cell r="BS247">
            <v>11.342684958675365</v>
          </cell>
          <cell r="BT247">
            <v>11.342684958675365</v>
          </cell>
          <cell r="BU247">
            <v>11.626252082642248</v>
          </cell>
          <cell r="BV247">
            <v>11.626252082642248</v>
          </cell>
          <cell r="BW247">
            <v>11.626252082642248</v>
          </cell>
          <cell r="BX247">
            <v>11.626252082642248</v>
          </cell>
          <cell r="BY247">
            <v>11.626252082642248</v>
          </cell>
          <cell r="BZ247">
            <v>11.916908384708304</v>
          </cell>
          <cell r="CA247">
            <v>11.916908384708304</v>
          </cell>
          <cell r="CB247">
            <v>11.916908384708304</v>
          </cell>
          <cell r="CC247">
            <v>11.916908384708304</v>
          </cell>
          <cell r="CD247">
            <v>11.916908384708304</v>
          </cell>
        </row>
        <row r="248">
          <cell r="B248" t="str">
            <v>Taxes other than income tax</v>
          </cell>
          <cell r="G248">
            <v>7.2794930606253967</v>
          </cell>
          <cell r="L248">
            <v>4.4015136833301032</v>
          </cell>
          <cell r="Q248">
            <v>4.8172130055333531</v>
          </cell>
          <cell r="V248">
            <v>5.5148117044752585</v>
          </cell>
          <cell r="AA248">
            <v>3.5149087127249605</v>
          </cell>
          <cell r="AF248">
            <v>5.8061993571153501</v>
          </cell>
          <cell r="AK248">
            <v>8.7226182903900913</v>
          </cell>
          <cell r="AP248">
            <v>7.737507950336453</v>
          </cell>
          <cell r="AQ248">
            <v>7.6358312954561782</v>
          </cell>
          <cell r="AR248">
            <v>7.0576387574179202</v>
          </cell>
          <cell r="AS248">
            <v>8.0693890344643791</v>
          </cell>
          <cell r="AT248">
            <v>7.4018565063479471</v>
          </cell>
          <cell r="AU248">
            <v>7.5193074586680524</v>
          </cell>
          <cell r="AV248">
            <v>8.0249371351979804</v>
          </cell>
          <cell r="AW248">
            <v>8.0191107653280689</v>
          </cell>
          <cell r="AX248">
            <v>7.836528904148552</v>
          </cell>
          <cell r="AY248">
            <v>7.810186337935269</v>
          </cell>
          <cell r="AZ248">
            <v>7.9198088155184809</v>
          </cell>
          <cell r="BA248">
            <v>7.6025609966973047</v>
          </cell>
          <cell r="BB248">
            <v>7.7277708814044868</v>
          </cell>
          <cell r="BC248">
            <v>7.8593368824192842</v>
          </cell>
          <cell r="BD248">
            <v>7.9977837272898293</v>
          </cell>
          <cell r="BE248">
            <v>7.7917640908530075</v>
          </cell>
          <cell r="BF248">
            <v>7.5392644156358433</v>
          </cell>
          <cell r="BG248">
            <v>7.5088023984495358</v>
          </cell>
          <cell r="BH248">
            <v>7.4793631030334122</v>
          </cell>
          <cell r="BI248">
            <v>7.4509044978054542</v>
          </cell>
          <cell r="BJ248">
            <v>7.4948044009173929</v>
          </cell>
          <cell r="BK248">
            <v>7.4436744507767267</v>
          </cell>
          <cell r="BL248">
            <v>7.3781544417536304</v>
          </cell>
          <cell r="BM248">
            <v>7.3136513529586518</v>
          </cell>
          <cell r="BN248">
            <v>7.2501329022266745</v>
          </cell>
          <cell r="BO248">
            <v>7.3456874066083531</v>
          </cell>
          <cell r="BP248">
            <v>7.3044690029517492</v>
          </cell>
          <cell r="BQ248">
            <v>7.3585286827369778</v>
          </cell>
          <cell r="BR248">
            <v>7.4123593492764677</v>
          </cell>
          <cell r="BS248">
            <v>7.4660034911316586</v>
          </cell>
          <cell r="BT248">
            <v>7.389731922891678</v>
          </cell>
          <cell r="BU248">
            <v>7.4727427065258762</v>
          </cell>
          <cell r="BV248">
            <v>7.4812910968700113</v>
          </cell>
          <cell r="BW248">
            <v>7.4915252916394177</v>
          </cell>
          <cell r="BX248">
            <v>7.5033346256657749</v>
          </cell>
          <cell r="BY248">
            <v>7.4895562978233681</v>
          </cell>
          <cell r="BZ248">
            <v>7.6653569497161369</v>
          </cell>
          <cell r="CA248">
            <v>7.8210057674997637</v>
          </cell>
          <cell r="CB248">
            <v>7.9709527024456506</v>
          </cell>
          <cell r="CC248">
            <v>8.1157839635104789</v>
          </cell>
          <cell r="CD248">
            <v>7.9035346695047703</v>
          </cell>
        </row>
        <row r="249">
          <cell r="B249" t="str">
            <v>Exploration expense</v>
          </cell>
          <cell r="G249">
            <v>1.2725220693765007</v>
          </cell>
          <cell r="L249">
            <v>2.0114444251777353</v>
          </cell>
          <cell r="Q249">
            <v>2.0047508889131569</v>
          </cell>
          <cell r="V249">
            <v>1.8757862940392036</v>
          </cell>
          <cell r="AA249">
            <v>4.0213579250960834</v>
          </cell>
          <cell r="AF249">
            <v>1.6751939263904934</v>
          </cell>
          <cell r="AK249">
            <v>2.8687463756920044</v>
          </cell>
          <cell r="AP249">
            <v>4.333748443337484</v>
          </cell>
          <cell r="AQ249">
            <v>3.4154988924008185</v>
          </cell>
          <cell r="AR249">
            <v>8.0508160703412859</v>
          </cell>
          <cell r="AS249">
            <v>12.545272973873571</v>
          </cell>
          <cell r="AT249">
            <v>11.732006294707215</v>
          </cell>
          <cell r="AU249">
            <v>8.458951157645382</v>
          </cell>
          <cell r="AV249">
            <v>7.2099056255687186</v>
          </cell>
          <cell r="AW249">
            <v>6.2222636341689146</v>
          </cell>
          <cell r="AX249">
            <v>5.8090060024586698</v>
          </cell>
          <cell r="AY249">
            <v>5.2607331389268008</v>
          </cell>
          <cell r="AZ249">
            <v>6.0508857829544578</v>
          </cell>
          <cell r="BA249">
            <v>4.4056559212087913</v>
          </cell>
          <cell r="BB249">
            <v>4.4715073285907518</v>
          </cell>
          <cell r="BC249">
            <v>4.5420147110052502</v>
          </cell>
          <cell r="BD249">
            <v>4.6677183920413663</v>
          </cell>
          <cell r="BE249">
            <v>4.5185037063544353</v>
          </cell>
          <cell r="BF249">
            <v>3.4328691950790482</v>
          </cell>
          <cell r="BG249">
            <v>3.346034673922559</v>
          </cell>
          <cell r="BH249">
            <v>3.2624731478201512</v>
          </cell>
          <cell r="BI249">
            <v>3.2166084276472175</v>
          </cell>
          <cell r="BJ249">
            <v>3.3129069022082795</v>
          </cell>
          <cell r="BK249">
            <v>3.1569434329939638</v>
          </cell>
          <cell r="BL249">
            <v>3.0922134190424844</v>
          </cell>
          <cell r="BM249">
            <v>3.0294568301911253</v>
          </cell>
          <cell r="BN249">
            <v>3.0008614729454526</v>
          </cell>
          <cell r="BO249">
            <v>3.0689787002057041</v>
          </cell>
          <cell r="BP249">
            <v>2.9343820129339915</v>
          </cell>
          <cell r="BQ249">
            <v>2.8194644690459425</v>
          </cell>
          <cell r="BR249">
            <v>2.7115749403676519</v>
          </cell>
          <cell r="BS249">
            <v>2.6384953240027218</v>
          </cell>
          <cell r="BT249">
            <v>2.7722540543508352</v>
          </cell>
          <cell r="BU249">
            <v>2.6341119316624688</v>
          </cell>
          <cell r="BV249">
            <v>2.535284762645206</v>
          </cell>
          <cell r="BW249">
            <v>2.442217355524372</v>
          </cell>
          <cell r="BX249">
            <v>2.3800429217177439</v>
          </cell>
          <cell r="BY249">
            <v>2.4948775176760445</v>
          </cell>
          <cell r="BZ249">
            <v>2.3470619666130363</v>
          </cell>
          <cell r="CA249">
            <v>2.2421335707839418</v>
          </cell>
          <cell r="CB249">
            <v>2.1446474485128744</v>
          </cell>
          <cell r="CC249">
            <v>2.076199391847998</v>
          </cell>
          <cell r="CD249">
            <v>2.1985149635313457</v>
          </cell>
        </row>
        <row r="250">
          <cell r="B250" t="str">
            <v>DD&amp;A</v>
          </cell>
          <cell r="G250">
            <v>5.4179433084807336</v>
          </cell>
          <cell r="L250">
            <v>10.08680219096482</v>
          </cell>
          <cell r="Q250">
            <v>12.597970803373112</v>
          </cell>
          <cell r="V250">
            <v>9.9729304633084332</v>
          </cell>
          <cell r="AA250">
            <v>9.3201772963223135</v>
          </cell>
          <cell r="AF250">
            <v>6.791942721964177</v>
          </cell>
          <cell r="AK250">
            <v>6.8721895936962625</v>
          </cell>
          <cell r="AP250">
            <v>7.8181069914857906</v>
          </cell>
          <cell r="AQ250">
            <v>8.5412345740399225</v>
          </cell>
          <cell r="AR250">
            <v>8.5412345740399225</v>
          </cell>
          <cell r="AS250">
            <v>8.5412345740399225</v>
          </cell>
          <cell r="AT250">
            <v>8.5412345740399225</v>
          </cell>
          <cell r="AU250">
            <v>8.5412345740399225</v>
          </cell>
          <cell r="AV250">
            <v>9.2643621565940535</v>
          </cell>
          <cell r="AW250">
            <v>9.2643621565940535</v>
          </cell>
          <cell r="AX250">
            <v>9.2643621565940535</v>
          </cell>
          <cell r="AY250">
            <v>9.2643621565940535</v>
          </cell>
          <cell r="AZ250">
            <v>9.2643621565940535</v>
          </cell>
          <cell r="BA250">
            <v>9.9874897391481845</v>
          </cell>
          <cell r="BB250">
            <v>9.9874897391481845</v>
          </cell>
          <cell r="BC250">
            <v>9.9874897391481845</v>
          </cell>
          <cell r="BD250">
            <v>9.9874897391481845</v>
          </cell>
          <cell r="BE250">
            <v>9.9874897391481845</v>
          </cell>
          <cell r="BF250">
            <v>10.710617321702316</v>
          </cell>
          <cell r="BG250">
            <v>10.710617321702316</v>
          </cell>
          <cell r="BH250">
            <v>10.710617321702316</v>
          </cell>
          <cell r="BI250">
            <v>10.710617321702316</v>
          </cell>
          <cell r="BJ250">
            <v>10.710617321702316</v>
          </cell>
          <cell r="BK250">
            <v>11.433744904256447</v>
          </cell>
          <cell r="BL250">
            <v>11.433744904256447</v>
          </cell>
          <cell r="BM250">
            <v>11.433744904256447</v>
          </cell>
          <cell r="BN250">
            <v>11.433744904256447</v>
          </cell>
          <cell r="BO250">
            <v>11.433744904256447</v>
          </cell>
          <cell r="BP250">
            <v>12.156872486810576</v>
          </cell>
          <cell r="BQ250">
            <v>12.156872486810576</v>
          </cell>
          <cell r="BR250">
            <v>12.156872486810576</v>
          </cell>
          <cell r="BS250">
            <v>12.156872486810576</v>
          </cell>
          <cell r="BT250">
            <v>12.156872486810576</v>
          </cell>
          <cell r="BU250">
            <v>12.880000069364707</v>
          </cell>
          <cell r="BV250">
            <v>12.880000069364707</v>
          </cell>
          <cell r="BW250">
            <v>12.880000069364707</v>
          </cell>
          <cell r="BX250">
            <v>12.880000069364707</v>
          </cell>
          <cell r="BY250">
            <v>12.880000069364707</v>
          </cell>
          <cell r="BZ250">
            <v>13.603127651918841</v>
          </cell>
          <cell r="CA250">
            <v>13.603127651918841</v>
          </cell>
          <cell r="CB250">
            <v>13.603127651918841</v>
          </cell>
          <cell r="CC250">
            <v>13.603127651918841</v>
          </cell>
          <cell r="CD250">
            <v>13.603127651918841</v>
          </cell>
        </row>
        <row r="251">
          <cell r="B251" t="str">
            <v>Other income/(cost)</v>
          </cell>
          <cell r="G251">
            <v>-0.46677665426910941</v>
          </cell>
          <cell r="L251">
            <v>1.1772865900304981</v>
          </cell>
          <cell r="Q251">
            <v>9.7041564767680342</v>
          </cell>
          <cell r="V251">
            <v>0.12505241960261357</v>
          </cell>
          <cell r="AA251">
            <v>3.3561708998922204</v>
          </cell>
          <cell r="AF251">
            <v>-2.8318754469934531</v>
          </cell>
          <cell r="AK251">
            <v>-6.2321041954688372</v>
          </cell>
          <cell r="AP251">
            <v>-1.9963762500066808</v>
          </cell>
          <cell r="AQ251">
            <v>0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  <cell r="AX251">
            <v>0</v>
          </cell>
          <cell r="AY251">
            <v>0</v>
          </cell>
          <cell r="AZ251">
            <v>0</v>
          </cell>
          <cell r="BA251">
            <v>0</v>
          </cell>
          <cell r="BB251">
            <v>0</v>
          </cell>
          <cell r="BC251">
            <v>0</v>
          </cell>
          <cell r="BD251">
            <v>0</v>
          </cell>
          <cell r="BE251">
            <v>0</v>
          </cell>
          <cell r="BF251">
            <v>0</v>
          </cell>
          <cell r="BG251">
            <v>0</v>
          </cell>
          <cell r="BH251">
            <v>0</v>
          </cell>
          <cell r="BI251">
            <v>0</v>
          </cell>
          <cell r="BJ251">
            <v>0</v>
          </cell>
          <cell r="BK251">
            <v>0</v>
          </cell>
          <cell r="BL251">
            <v>0</v>
          </cell>
          <cell r="BM251">
            <v>0</v>
          </cell>
          <cell r="BN251">
            <v>0</v>
          </cell>
          <cell r="BO251">
            <v>0</v>
          </cell>
          <cell r="BP251">
            <v>0</v>
          </cell>
          <cell r="BQ251">
            <v>0</v>
          </cell>
          <cell r="BR251">
            <v>0</v>
          </cell>
          <cell r="BS251">
            <v>0</v>
          </cell>
          <cell r="BT251">
            <v>0</v>
          </cell>
          <cell r="BU251">
            <v>0</v>
          </cell>
          <cell r="BV251">
            <v>0</v>
          </cell>
          <cell r="BW251">
            <v>0</v>
          </cell>
          <cell r="BX251">
            <v>0</v>
          </cell>
          <cell r="BY251">
            <v>0</v>
          </cell>
          <cell r="BZ251">
            <v>0</v>
          </cell>
          <cell r="CA251">
            <v>0</v>
          </cell>
          <cell r="CB251">
            <v>0</v>
          </cell>
          <cell r="CC251">
            <v>0</v>
          </cell>
          <cell r="CD251">
            <v>0</v>
          </cell>
        </row>
        <row r="252">
          <cell r="B252" t="str">
            <v>Earnings before tax</v>
          </cell>
          <cell r="G252">
            <v>25.450441387530013</v>
          </cell>
          <cell r="L252">
            <v>25.817480798457758</v>
          </cell>
          <cell r="Q252">
            <v>21.726850938105198</v>
          </cell>
          <cell r="V252">
            <v>47.075983359403878</v>
          </cell>
          <cell r="AA252">
            <v>24.022322342021344</v>
          </cell>
          <cell r="AF252">
            <v>40.956782118690022</v>
          </cell>
          <cell r="AK252">
            <v>61.529663644152649</v>
          </cell>
          <cell r="AP252">
            <v>54.218354988535481</v>
          </cell>
          <cell r="AQ252">
            <v>46.979164619262548</v>
          </cell>
          <cell r="AR252">
            <v>37.14011459897776</v>
          </cell>
          <cell r="AS252">
            <v>41.751410188863595</v>
          </cell>
          <cell r="AT252">
            <v>36.556884114982068</v>
          </cell>
          <cell r="AU252">
            <v>40.909434848877645</v>
          </cell>
          <cell r="AV252">
            <v>45.47425368254661</v>
          </cell>
          <cell r="AW252">
            <v>46.409458345117216</v>
          </cell>
          <cell r="AX252">
            <v>45.179479226211811</v>
          </cell>
          <cell r="AY252">
            <v>45.490668993824123</v>
          </cell>
          <cell r="AZ252">
            <v>45.66982329173787</v>
          </cell>
          <cell r="BA252">
            <v>43.497092739044504</v>
          </cell>
          <cell r="BB252">
            <v>44.55813029402718</v>
          </cell>
          <cell r="BC252">
            <v>45.671716920745865</v>
          </cell>
          <cell r="BD252">
            <v>46.792034843544663</v>
          </cell>
          <cell r="BE252">
            <v>45.092301497308334</v>
          </cell>
          <cell r="BF252">
            <v>42.913762388795121</v>
          </cell>
          <cell r="BG252">
            <v>42.726438755274849</v>
          </cell>
          <cell r="BH252">
            <v>42.545046622632157</v>
          </cell>
          <cell r="BI252">
            <v>42.334783895753453</v>
          </cell>
          <cell r="BJ252">
            <v>42.630622871373994</v>
          </cell>
          <cell r="BK252">
            <v>41.33634761371539</v>
          </cell>
          <cell r="BL252">
            <v>40.811397546458984</v>
          </cell>
          <cell r="BM252">
            <v>40.293626336155548</v>
          </cell>
          <cell r="BN252">
            <v>39.750555636813431</v>
          </cell>
          <cell r="BO252">
            <v>40.540363201833998</v>
          </cell>
          <cell r="BP252">
            <v>39.306281568145806</v>
          </cell>
          <cell r="BQ252">
            <v>39.907736230100909</v>
          </cell>
          <cell r="BR252">
            <v>40.500101757634617</v>
          </cell>
          <cell r="BS252">
            <v>41.055978650696261</v>
          </cell>
          <cell r="BT252">
            <v>40.229446862160728</v>
          </cell>
          <cell r="BU252">
            <v>40.114320275063456</v>
          </cell>
          <cell r="BV252">
            <v>40.29008295717793</v>
          </cell>
          <cell r="BW252">
            <v>40.475258117223419</v>
          </cell>
          <cell r="BX252">
            <v>40.643716557267268</v>
          </cell>
          <cell r="BY252">
            <v>40.398657029276698</v>
          </cell>
          <cell r="BZ252">
            <v>41.121114544205035</v>
          </cell>
          <cell r="CA252">
            <v>42.626882300086784</v>
          </cell>
          <cell r="CB252">
            <v>44.073890836870817</v>
          </cell>
          <cell r="CC252">
            <v>45.445820243119172</v>
          </cell>
          <cell r="CD252">
            <v>43.405058131609131</v>
          </cell>
        </row>
        <row r="254">
          <cell r="B254" t="str">
            <v>Suggested DD&amp;A/boe for convergence</v>
          </cell>
          <cell r="G254">
            <v>5.4179433084807336</v>
          </cell>
          <cell r="L254">
            <v>10.08680219096482</v>
          </cell>
          <cell r="Q254">
            <v>12.597970803373112</v>
          </cell>
          <cell r="V254">
            <v>9.9729304633084332</v>
          </cell>
          <cell r="AA254">
            <v>9.3201772963223135</v>
          </cell>
          <cell r="AF254">
            <v>6.791942721964177</v>
          </cell>
          <cell r="AK254">
            <v>6.8721895936962625</v>
          </cell>
          <cell r="AP254">
            <v>7.8181069914857906</v>
          </cell>
          <cell r="AU254">
            <v>8.5412345740399225</v>
          </cell>
          <cell r="AZ254">
            <v>9.2643621565940535</v>
          </cell>
          <cell r="BE254">
            <v>9.9874897391481845</v>
          </cell>
          <cell r="BJ254">
            <v>10.710617321702316</v>
          </cell>
          <cell r="BO254">
            <v>11.433744904256447</v>
          </cell>
          <cell r="BT254">
            <v>12.156872486810576</v>
          </cell>
          <cell r="BY254">
            <v>12.880000069364707</v>
          </cell>
          <cell r="CD254">
            <v>13.603127651918841</v>
          </cell>
        </row>
        <row r="256">
          <cell r="A256" t="str">
            <v>As percent of revenue</v>
          </cell>
        </row>
        <row r="257">
          <cell r="B257" t="str">
            <v>Production cost excluding taxes</v>
          </cell>
          <cell r="G257">
            <v>9.2908902691511391E-2</v>
          </cell>
          <cell r="L257">
            <v>0.11207729468599034</v>
          </cell>
          <cell r="Q257">
            <v>0.13037861472721851</v>
          </cell>
          <cell r="V257">
            <v>0.10465620393652995</v>
          </cell>
          <cell r="AA257">
            <v>0.18004763906403251</v>
          </cell>
          <cell r="AF257">
            <v>0.11915708812260536</v>
          </cell>
          <cell r="AK257">
            <v>0.10283813433364003</v>
          </cell>
          <cell r="AP257">
            <v>0.11692354415002658</v>
          </cell>
          <cell r="AQ257">
            <v>0.12816657669252035</v>
          </cell>
          <cell r="AR257">
            <v>0.13866654145646293</v>
          </cell>
          <cell r="AS257">
            <v>0.1212803538360066</v>
          </cell>
          <cell r="AT257">
            <v>0.13221795862982738</v>
          </cell>
          <cell r="AU257">
            <v>0.12999339144278718</v>
          </cell>
          <cell r="AV257">
            <v>0.1280497601283567</v>
          </cell>
          <cell r="AW257">
            <v>0.12814279603795992</v>
          </cell>
          <cell r="AX257">
            <v>0.13112837172887223</v>
          </cell>
          <cell r="AY257">
            <v>0.13157064770863089</v>
          </cell>
          <cell r="AZ257">
            <v>0.12986434822129497</v>
          </cell>
          <cell r="BA257">
            <v>0.13854292751416125</v>
          </cell>
          <cell r="BB257">
            <v>0.13629817359388316</v>
          </cell>
          <cell r="BC257">
            <v>0.13401653000058195</v>
          </cell>
          <cell r="BD257">
            <v>0.13169661658809878</v>
          </cell>
          <cell r="BE257">
            <v>0.13514432193496476</v>
          </cell>
          <cell r="BF257">
            <v>0.14319872921230575</v>
          </cell>
          <cell r="BG257">
            <v>0.14377966368345699</v>
          </cell>
          <cell r="BH257">
            <v>0.14434559047905426</v>
          </cell>
          <cell r="BI257">
            <v>0.14489691604993632</v>
          </cell>
          <cell r="BJ257">
            <v>0.14406803679543104</v>
          </cell>
          <cell r="BK257">
            <v>0.14866359590551462</v>
          </cell>
          <cell r="BL257">
            <v>0.14998376888671619</v>
          </cell>
          <cell r="BM257">
            <v>0.15130655772301907</v>
          </cell>
          <cell r="BN257">
            <v>0.15263215523436996</v>
          </cell>
          <cell r="BO257">
            <v>0.15066050985963136</v>
          </cell>
          <cell r="BP257">
            <v>0.15528418224639964</v>
          </cell>
          <cell r="BQ257">
            <v>0.15414338175082706</v>
          </cell>
          <cell r="BR257">
            <v>0.15302394857289994</v>
          </cell>
          <cell r="BS257">
            <v>0.15192445291712692</v>
          </cell>
          <cell r="BT257">
            <v>0.15353384818062885</v>
          </cell>
          <cell r="BU257">
            <v>0.155582127462908</v>
          </cell>
          <cell r="BV257">
            <v>0.15540435376864814</v>
          </cell>
          <cell r="BW257">
            <v>0.15519205542317546</v>
          </cell>
          <cell r="BX257">
            <v>0.15494780204622216</v>
          </cell>
          <cell r="BY257">
            <v>0.15527225516136955</v>
          </cell>
          <cell r="BZ257">
            <v>0.15546449386351943</v>
          </cell>
          <cell r="CA257">
            <v>0.15237053569541004</v>
          </cell>
          <cell r="CB257">
            <v>0.14950419140050791</v>
          </cell>
          <cell r="CC257">
            <v>0.1468361952251086</v>
          </cell>
          <cell r="CD257">
            <v>0.15082794382162509</v>
          </cell>
        </row>
        <row r="258">
          <cell r="B258" t="str">
            <v>Taxes other than income tax</v>
          </cell>
          <cell r="G258">
            <v>0.16951345755693581</v>
          </cell>
          <cell r="L258">
            <v>8.9855072463768115E-2</v>
          </cell>
          <cell r="Q258">
            <v>8.2380999701878163E-2</v>
          </cell>
          <cell r="V258">
            <v>7.6476198734067455E-2</v>
          </cell>
          <cell r="AA258">
            <v>6.5153425809163515E-2</v>
          </cell>
          <cell r="AF258">
            <v>9.7605363984674329E-2</v>
          </cell>
          <cell r="AK258">
            <v>0.10609384952933683</v>
          </cell>
          <cell r="AP258">
            <v>9.4753625389112445E-2</v>
          </cell>
          <cell r="AQ258">
            <v>0.1</v>
          </cell>
          <cell r="AR258">
            <v>0.1</v>
          </cell>
          <cell r="AS258">
            <v>0.1</v>
          </cell>
          <cell r="AT258">
            <v>0.1</v>
          </cell>
          <cell r="AU258">
            <v>0.1</v>
          </cell>
          <cell r="AV258">
            <v>0.1</v>
          </cell>
          <cell r="AW258">
            <v>0.1</v>
          </cell>
          <cell r="AX258">
            <v>0.1</v>
          </cell>
          <cell r="AY258">
            <v>0.1</v>
          </cell>
          <cell r="AZ258">
            <v>0.1</v>
          </cell>
          <cell r="BA258">
            <v>0.1</v>
          </cell>
          <cell r="BB258">
            <v>0.1</v>
          </cell>
          <cell r="BC258">
            <v>0.1</v>
          </cell>
          <cell r="BD258">
            <v>0.1</v>
          </cell>
          <cell r="BE258">
            <v>0.1</v>
          </cell>
          <cell r="BF258">
            <v>0.1</v>
          </cell>
          <cell r="BG258">
            <v>0.1</v>
          </cell>
          <cell r="BH258">
            <v>0.1</v>
          </cell>
          <cell r="BI258">
            <v>0.1</v>
          </cell>
          <cell r="BJ258">
            <v>0.1</v>
          </cell>
          <cell r="BK258">
            <v>0.1</v>
          </cell>
          <cell r="BL258">
            <v>0.1</v>
          </cell>
          <cell r="BM258">
            <v>0.1</v>
          </cell>
          <cell r="BN258">
            <v>0.1</v>
          </cell>
          <cell r="BO258">
            <v>0.1</v>
          </cell>
          <cell r="BP258">
            <v>0.1</v>
          </cell>
          <cell r="BQ258">
            <v>0.1</v>
          </cell>
          <cell r="BR258">
            <v>0.1</v>
          </cell>
          <cell r="BS258">
            <v>0.1</v>
          </cell>
          <cell r="BT258">
            <v>0.1</v>
          </cell>
          <cell r="BU258">
            <v>0.1</v>
          </cell>
          <cell r="BV258">
            <v>0.1</v>
          </cell>
          <cell r="BW258">
            <v>0.1</v>
          </cell>
          <cell r="BX258">
            <v>0.1</v>
          </cell>
          <cell r="BY258">
            <v>0.1</v>
          </cell>
          <cell r="BZ258">
            <v>0.1</v>
          </cell>
          <cell r="CA258">
            <v>0.1</v>
          </cell>
          <cell r="CB258">
            <v>0.1</v>
          </cell>
          <cell r="CC258">
            <v>0.1</v>
          </cell>
          <cell r="CD258">
            <v>0.1</v>
          </cell>
        </row>
        <row r="259">
          <cell r="B259" t="str">
            <v>Exploration expense</v>
          </cell>
          <cell r="G259">
            <v>2.9632505175983436E-2</v>
          </cell>
          <cell r="L259">
            <v>4.1062801932367152E-2</v>
          </cell>
          <cell r="Q259">
            <v>3.4284010732385968E-2</v>
          </cell>
          <cell r="V259">
            <v>2.6012312494580768E-2</v>
          </cell>
          <cell r="AA259">
            <v>7.4541123721451594E-2</v>
          </cell>
          <cell r="AF259">
            <v>2.8160919540229885E-2</v>
          </cell>
          <cell r="AK259">
            <v>3.4892773727793897E-2</v>
          </cell>
          <cell r="AP259">
            <v>5.3071141143421152E-2</v>
          </cell>
          <cell r="AQ259">
            <v>4.4729889389165327E-2</v>
          </cell>
          <cell r="AR259">
            <v>0.11407237387829587</v>
          </cell>
          <cell r="AS259">
            <v>0.15546744518442079</v>
          </cell>
          <cell r="AT259">
            <v>0.15850086102919808</v>
          </cell>
          <cell r="AU259">
            <v>0.11249641278990571</v>
          </cell>
          <cell r="AV259">
            <v>8.9843764556678335E-2</v>
          </cell>
          <cell r="AW259">
            <v>7.759293787375883E-2</v>
          </cell>
          <cell r="AX259">
            <v>7.4127283565348187E-2</v>
          </cell>
          <cell r="AY259">
            <v>6.7357331967543663E-2</v>
          </cell>
          <cell r="AZ259">
            <v>7.6401917317726678E-2</v>
          </cell>
          <cell r="BA259">
            <v>5.7949629383081465E-2</v>
          </cell>
          <cell r="BB259">
            <v>5.786283518511974E-2</v>
          </cell>
          <cell r="BC259">
            <v>5.7791322333635799E-2</v>
          </cell>
          <cell r="BD259">
            <v>5.8362648343619247E-2</v>
          </cell>
          <cell r="BE259">
            <v>5.7990766322851675E-2</v>
          </cell>
          <cell r="BF259">
            <v>4.5533211276680342E-2</v>
          </cell>
          <cell r="BG259">
            <v>4.4561495913295959E-2</v>
          </cell>
          <cell r="BH259">
            <v>4.3619665242579098E-2</v>
          </cell>
          <cell r="BI259">
            <v>4.3170710731759064E-2</v>
          </cell>
          <cell r="BJ259">
            <v>4.4202713306337488E-2</v>
          </cell>
          <cell r="BK259">
            <v>4.2411089494443777E-2</v>
          </cell>
          <cell r="BL259">
            <v>4.1910391595266355E-2</v>
          </cell>
          <cell r="BM259">
            <v>4.1421947587993703E-2</v>
          </cell>
          <cell r="BN259">
            <v>4.1390433988097268E-2</v>
          </cell>
          <cell r="BO259">
            <v>4.1779326158703382E-2</v>
          </cell>
          <cell r="BP259">
            <v>4.0172420633836664E-2</v>
          </cell>
          <cell r="BQ259">
            <v>3.8315600721382979E-2</v>
          </cell>
          <cell r="BR259">
            <v>3.6581806312889202E-2</v>
          </cell>
          <cell r="BS259">
            <v>3.534012979148491E-2</v>
          </cell>
          <cell r="BT259">
            <v>3.751494754177799E-2</v>
          </cell>
          <cell r="BU259">
            <v>3.5249600248676079E-2</v>
          </cell>
          <cell r="BV259">
            <v>3.3888331971281091E-2</v>
          </cell>
          <cell r="BW259">
            <v>3.2599734506001066E-2</v>
          </cell>
          <cell r="BX259">
            <v>3.1719802467247177E-2</v>
          </cell>
          <cell r="BY259">
            <v>3.3311419508270629E-2</v>
          </cell>
          <cell r="BZ259">
            <v>3.0619082477300066E-2</v>
          </cell>
          <cell r="CA259">
            <v>2.8668097651853696E-2</v>
          </cell>
          <cell r="CB259">
            <v>2.6905785651630487E-2</v>
          </cell>
          <cell r="CC259">
            <v>2.5582240744490423E-2</v>
          </cell>
          <cell r="CD259">
            <v>2.7816857336175928E-2</v>
          </cell>
        </row>
        <row r="260">
          <cell r="B260" t="str">
            <v>DD&amp;A</v>
          </cell>
          <cell r="G260">
            <v>0.12616459627329193</v>
          </cell>
          <cell r="L260">
            <v>0.20591787439613526</v>
          </cell>
          <cell r="Q260">
            <v>0.21544271092119646</v>
          </cell>
          <cell r="V260">
            <v>0.13829879476285442</v>
          </cell>
          <cell r="AA260">
            <v>0.17276166456494324</v>
          </cell>
          <cell r="AF260">
            <v>0.11417624521072797</v>
          </cell>
          <cell r="AK260">
            <v>8.3586948828650295E-2</v>
          </cell>
          <cell r="AP260">
            <v>9.5740642320249036E-2</v>
          </cell>
          <cell r="AQ260">
            <v>0.11185729809303825</v>
          </cell>
          <cell r="AR260">
            <v>0.12102113564629063</v>
          </cell>
          <cell r="AS260">
            <v>0.10584735148547544</v>
          </cell>
          <cell r="AT260">
            <v>0.11539313909577724</v>
          </cell>
          <cell r="AU260">
            <v>0.11345164950160859</v>
          </cell>
          <cell r="AV260">
            <v>0.11544466954089724</v>
          </cell>
          <cell r="AW260">
            <v>0.11552854708841326</v>
          </cell>
          <cell r="AX260">
            <v>0.11822022568805463</v>
          </cell>
          <cell r="AY260">
            <v>0.11861896446177772</v>
          </cell>
          <cell r="AZ260">
            <v>0.11708063139300944</v>
          </cell>
          <cell r="BA260">
            <v>0.13137007047344887</v>
          </cell>
          <cell r="BB260">
            <v>0.1292415353977602</v>
          </cell>
          <cell r="BC260">
            <v>0.12707802055780826</v>
          </cell>
          <cell r="BD260">
            <v>0.12487821726247902</v>
          </cell>
          <cell r="BE260">
            <v>0.12814742271754043</v>
          </cell>
          <cell r="BF260">
            <v>0.14206448708032224</v>
          </cell>
          <cell r="BG260">
            <v>0.14264082011152551</v>
          </cell>
          <cell r="BH260">
            <v>0.1432022643393045</v>
          </cell>
          <cell r="BI260">
            <v>0.14374922299510023</v>
          </cell>
          <cell r="BJ260">
            <v>0.14292690909056671</v>
          </cell>
          <cell r="BK260">
            <v>0.15360350563240133</v>
          </cell>
          <cell r="BL260">
            <v>0.15496754634942136</v>
          </cell>
          <cell r="BM260">
            <v>0.15633428984321296</v>
          </cell>
          <cell r="BN260">
            <v>0.15770393534089416</v>
          </cell>
          <cell r="BO260">
            <v>0.15566677459835271</v>
          </cell>
          <cell r="BP260">
            <v>0.16643061229910019</v>
          </cell>
          <cell r="BQ260">
            <v>0.16520792417824581</v>
          </cell>
          <cell r="BR260">
            <v>0.16400813713918533</v>
          </cell>
          <cell r="BS260">
            <v>0.16282971875449662</v>
          </cell>
          <cell r="BT260">
            <v>0.16455463777239682</v>
          </cell>
          <cell r="BU260">
            <v>0.17235974226861475</v>
          </cell>
          <cell r="BV260">
            <v>0.17216279787259428</v>
          </cell>
          <cell r="BW260">
            <v>0.17192760576726421</v>
          </cell>
          <cell r="BX260">
            <v>0.17165701267417297</v>
          </cell>
          <cell r="BY260">
            <v>0.17201645405871366</v>
          </cell>
          <cell r="BZ260">
            <v>0.17746241618170949</v>
          </cell>
          <cell r="CA260">
            <v>0.17393066897414552</v>
          </cell>
          <cell r="CB260">
            <v>0.17065874255840366</v>
          </cell>
          <cell r="CC260">
            <v>0.16761323013377519</v>
          </cell>
          <cell r="CD260">
            <v>0.17216980336231988</v>
          </cell>
        </row>
        <row r="261">
          <cell r="B261" t="str">
            <v>Other income/(cost)</v>
          </cell>
          <cell r="G261">
            <v>-1.0869565217391304E-2</v>
          </cell>
          <cell r="L261">
            <v>2.4033816425120771E-2</v>
          </cell>
          <cell r="Q261">
            <v>0.16595448673357846</v>
          </cell>
          <cell r="V261">
            <v>1.7341541663053845E-3</v>
          </cell>
          <cell r="AA261">
            <v>6.2211013030685165E-2</v>
          </cell>
          <cell r="AF261">
            <v>-4.7605363984674333E-2</v>
          </cell>
          <cell r="AK261">
            <v>-7.5801542925897095E-2</v>
          </cell>
          <cell r="AP261">
            <v>-2.4447650140460103E-2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  <cell r="BC261">
            <v>0</v>
          </cell>
          <cell r="BD261">
            <v>0</v>
          </cell>
          <cell r="BE261">
            <v>0</v>
          </cell>
          <cell r="BF261">
            <v>0</v>
          </cell>
          <cell r="BG261">
            <v>0</v>
          </cell>
          <cell r="BH261">
            <v>0</v>
          </cell>
          <cell r="BI261">
            <v>0</v>
          </cell>
          <cell r="BJ261">
            <v>0</v>
          </cell>
          <cell r="BK261">
            <v>0</v>
          </cell>
          <cell r="BL261">
            <v>0</v>
          </cell>
          <cell r="BM261">
            <v>0</v>
          </cell>
          <cell r="BN261">
            <v>0</v>
          </cell>
          <cell r="BO261">
            <v>0</v>
          </cell>
          <cell r="BP261">
            <v>0</v>
          </cell>
          <cell r="BQ261">
            <v>0</v>
          </cell>
          <cell r="BR261">
            <v>0</v>
          </cell>
          <cell r="BS261">
            <v>0</v>
          </cell>
          <cell r="BT261">
            <v>0</v>
          </cell>
          <cell r="BU261">
            <v>0</v>
          </cell>
          <cell r="BV261">
            <v>0</v>
          </cell>
          <cell r="BW261">
            <v>0</v>
          </cell>
          <cell r="BX261">
            <v>0</v>
          </cell>
          <cell r="BY261">
            <v>0</v>
          </cell>
          <cell r="BZ261">
            <v>0</v>
          </cell>
          <cell r="CA261">
            <v>0</v>
          </cell>
          <cell r="CB261">
            <v>0</v>
          </cell>
          <cell r="CC261">
            <v>0</v>
          </cell>
          <cell r="CD261">
            <v>0</v>
          </cell>
        </row>
        <row r="263">
          <cell r="A263" t="str">
            <v>Effective tax rate</v>
          </cell>
          <cell r="G263">
            <v>0.81397379912663759</v>
          </cell>
          <cell r="L263">
            <v>0.51512373968835934</v>
          </cell>
          <cell r="Q263">
            <v>0.62369617544798073</v>
          </cell>
          <cell r="V263">
            <v>0.59835303493159786</v>
          </cell>
          <cell r="AA263">
            <v>0.74575204531151673</v>
          </cell>
          <cell r="AF263">
            <v>0.63494713411240955</v>
          </cell>
          <cell r="AK263">
            <v>0.61575562700964626</v>
          </cell>
          <cell r="AP263">
            <v>0.6126929674099485</v>
          </cell>
          <cell r="AQ263">
            <v>0.62</v>
          </cell>
          <cell r="AR263">
            <v>0.62</v>
          </cell>
          <cell r="AS263">
            <v>0.62</v>
          </cell>
          <cell r="AT263">
            <v>0.62</v>
          </cell>
          <cell r="AU263">
            <v>0.62</v>
          </cell>
          <cell r="AV263">
            <v>0.62</v>
          </cell>
          <cell r="AW263">
            <v>0.62</v>
          </cell>
          <cell r="AX263">
            <v>0.62</v>
          </cell>
          <cell r="AY263">
            <v>0.62</v>
          </cell>
          <cell r="AZ263">
            <v>0.62</v>
          </cell>
          <cell r="BA263">
            <v>0.62</v>
          </cell>
          <cell r="BB263">
            <v>0.62</v>
          </cell>
          <cell r="BC263">
            <v>0.62</v>
          </cell>
          <cell r="BD263">
            <v>0.62</v>
          </cell>
          <cell r="BE263">
            <v>0.62</v>
          </cell>
          <cell r="BF263">
            <v>0.62</v>
          </cell>
          <cell r="BG263">
            <v>0.62</v>
          </cell>
          <cell r="BH263">
            <v>0.62</v>
          </cell>
          <cell r="BI263">
            <v>0.62</v>
          </cell>
          <cell r="BJ263">
            <v>0.62</v>
          </cell>
          <cell r="BK263">
            <v>0.62</v>
          </cell>
          <cell r="BL263">
            <v>0.62</v>
          </cell>
          <cell r="BM263">
            <v>0.62</v>
          </cell>
          <cell r="BN263">
            <v>0.62</v>
          </cell>
          <cell r="BO263">
            <v>0.62</v>
          </cell>
          <cell r="BP263">
            <v>0.62</v>
          </cell>
          <cell r="BQ263">
            <v>0.62</v>
          </cell>
          <cell r="BR263">
            <v>0.62</v>
          </cell>
          <cell r="BS263">
            <v>0.62</v>
          </cell>
          <cell r="BT263">
            <v>0.62</v>
          </cell>
          <cell r="BU263">
            <v>0.62</v>
          </cell>
          <cell r="BV263">
            <v>0.62</v>
          </cell>
          <cell r="BW263">
            <v>0.62</v>
          </cell>
          <cell r="BX263">
            <v>0.62</v>
          </cell>
          <cell r="BY263">
            <v>0.62</v>
          </cell>
          <cell r="BZ263">
            <v>0.62</v>
          </cell>
          <cell r="CA263">
            <v>0.62</v>
          </cell>
          <cell r="CB263">
            <v>0.62</v>
          </cell>
          <cell r="CC263">
            <v>0.62</v>
          </cell>
          <cell r="CD263">
            <v>0.62</v>
          </cell>
        </row>
        <row r="267">
          <cell r="A267" t="str">
            <v>USA</v>
          </cell>
        </row>
        <row r="268">
          <cell r="C268">
            <v>2001</v>
          </cell>
          <cell r="D268">
            <v>2002</v>
          </cell>
          <cell r="E268">
            <v>2003</v>
          </cell>
          <cell r="F268">
            <v>2004</v>
          </cell>
          <cell r="G268">
            <v>2005</v>
          </cell>
          <cell r="H268" t="str">
            <v>1Q06</v>
          </cell>
          <cell r="I268" t="str">
            <v>2Q06</v>
          </cell>
          <cell r="J268" t="str">
            <v>3Q06</v>
          </cell>
          <cell r="K268" t="str">
            <v>4Q06</v>
          </cell>
          <cell r="L268">
            <v>2006</v>
          </cell>
          <cell r="M268" t="str">
            <v>1Q07</v>
          </cell>
          <cell r="N268" t="str">
            <v>2Q07</v>
          </cell>
          <cell r="O268" t="str">
            <v>3Q07</v>
          </cell>
          <cell r="P268" t="str">
            <v>4Q07</v>
          </cell>
          <cell r="Q268">
            <v>2007</v>
          </cell>
          <cell r="R268" t="str">
            <v>1Q08</v>
          </cell>
          <cell r="S268" t="str">
            <v>2Q08</v>
          </cell>
          <cell r="T268" t="str">
            <v>3Q08</v>
          </cell>
          <cell r="U268" t="str">
            <v>4Q08</v>
          </cell>
          <cell r="V268">
            <v>2008</v>
          </cell>
          <cell r="W268" t="str">
            <v>1Q09</v>
          </cell>
          <cell r="X268" t="str">
            <v>2Q09</v>
          </cell>
          <cell r="Y268" t="str">
            <v>3Q09</v>
          </cell>
          <cell r="Z268" t="str">
            <v>4Q09</v>
          </cell>
          <cell r="AA268">
            <v>2009</v>
          </cell>
          <cell r="AB268" t="str">
            <v>1Q10</v>
          </cell>
          <cell r="AC268" t="str">
            <v>2Q10</v>
          </cell>
          <cell r="AD268" t="str">
            <v>3Q10</v>
          </cell>
          <cell r="AE268" t="str">
            <v>4Q10</v>
          </cell>
          <cell r="AF268">
            <v>2010</v>
          </cell>
          <cell r="AG268" t="str">
            <v>1Q11</v>
          </cell>
          <cell r="AH268" t="str">
            <v>2Q11</v>
          </cell>
          <cell r="AI268" t="str">
            <v>3Q11</v>
          </cell>
          <cell r="AJ268" t="str">
            <v>4Q11</v>
          </cell>
          <cell r="AK268">
            <v>2011</v>
          </cell>
          <cell r="AL268" t="str">
            <v>1Q12</v>
          </cell>
          <cell r="AM268" t="str">
            <v>2Q12</v>
          </cell>
          <cell r="AN268" t="str">
            <v>3Q12</v>
          </cell>
          <cell r="AO268" t="str">
            <v>4Q12</v>
          </cell>
          <cell r="AP268">
            <v>2012</v>
          </cell>
          <cell r="AQ268" t="str">
            <v>1Q13</v>
          </cell>
          <cell r="AR268" t="str">
            <v>2Q13</v>
          </cell>
          <cell r="AS268" t="str">
            <v>3Q13</v>
          </cell>
          <cell r="AT268" t="str">
            <v>4Q13</v>
          </cell>
          <cell r="AU268">
            <v>2013</v>
          </cell>
          <cell r="AV268" t="str">
            <v>1Q14</v>
          </cell>
          <cell r="AW268" t="str">
            <v>2Q14</v>
          </cell>
          <cell r="AX268" t="str">
            <v>3Q14</v>
          </cell>
          <cell r="AY268" t="str">
            <v>4Q14</v>
          </cell>
          <cell r="AZ268">
            <v>2014</v>
          </cell>
          <cell r="BA268" t="str">
            <v>1Q15</v>
          </cell>
          <cell r="BB268" t="str">
            <v>2Q15</v>
          </cell>
          <cell r="BC268" t="str">
            <v>3Q15</v>
          </cell>
          <cell r="BD268" t="str">
            <v>4Q15</v>
          </cell>
          <cell r="BE268">
            <v>2015</v>
          </cell>
          <cell r="BF268" t="str">
            <v>1Q16</v>
          </cell>
          <cell r="BG268" t="str">
            <v>2Q16</v>
          </cell>
          <cell r="BH268" t="str">
            <v>3Q16</v>
          </cell>
          <cell r="BI268" t="str">
            <v>4Q16</v>
          </cell>
          <cell r="BJ268">
            <v>2016</v>
          </cell>
          <cell r="BK268" t="str">
            <v>1Q17</v>
          </cell>
          <cell r="BL268" t="str">
            <v>2Q17</v>
          </cell>
          <cell r="BM268" t="str">
            <v>3Q17</v>
          </cell>
          <cell r="BN268" t="str">
            <v>4Q17</v>
          </cell>
          <cell r="BO268">
            <v>2017</v>
          </cell>
          <cell r="BP268" t="str">
            <v>1Q18</v>
          </cell>
          <cell r="BQ268" t="str">
            <v>2Q18</v>
          </cell>
          <cell r="BR268" t="str">
            <v>3Q18</v>
          </cell>
          <cell r="BS268" t="str">
            <v>4Q18</v>
          </cell>
          <cell r="BT268">
            <v>2018</v>
          </cell>
          <cell r="BU268" t="str">
            <v>1Q19</v>
          </cell>
          <cell r="BV268" t="str">
            <v>2Q19</v>
          </cell>
          <cell r="BW268" t="str">
            <v>3Q19</v>
          </cell>
          <cell r="BX268" t="str">
            <v>4Q19</v>
          </cell>
          <cell r="BY268">
            <v>2019</v>
          </cell>
          <cell r="BZ268" t="str">
            <v>1Q20</v>
          </cell>
          <cell r="CA268" t="str">
            <v>2Q20</v>
          </cell>
          <cell r="CB268" t="str">
            <v>3Q20</v>
          </cell>
          <cell r="CC268" t="str">
            <v>4Q20</v>
          </cell>
          <cell r="CD268">
            <v>2020</v>
          </cell>
        </row>
        <row r="269">
          <cell r="A269" t="str">
            <v>Third parties</v>
          </cell>
          <cell r="C269">
            <v>2771</v>
          </cell>
          <cell r="D269">
            <v>1997</v>
          </cell>
          <cell r="E269">
            <v>1903</v>
          </cell>
          <cell r="F269">
            <v>2063</v>
          </cell>
          <cell r="G269">
            <v>2850</v>
          </cell>
          <cell r="L269">
            <v>2339</v>
          </cell>
          <cell r="Q269">
            <v>3099</v>
          </cell>
          <cell r="V269">
            <v>5219</v>
          </cell>
          <cell r="AA269">
            <v>3055</v>
          </cell>
          <cell r="AF269">
            <v>3547</v>
          </cell>
          <cell r="AK269">
            <v>3369</v>
          </cell>
          <cell r="AP269">
            <v>3573</v>
          </cell>
        </row>
        <row r="270">
          <cell r="A270" t="str">
            <v>Sales between businesses</v>
          </cell>
          <cell r="C270">
            <v>2306</v>
          </cell>
          <cell r="D270">
            <v>2863</v>
          </cell>
          <cell r="E270">
            <v>4480</v>
          </cell>
          <cell r="F270">
            <v>4754</v>
          </cell>
          <cell r="G270">
            <v>5050</v>
          </cell>
          <cell r="L270">
            <v>6266</v>
          </cell>
          <cell r="Q270">
            <v>5765</v>
          </cell>
          <cell r="V270">
            <v>5235</v>
          </cell>
          <cell r="AA270">
            <v>2774</v>
          </cell>
          <cell r="AF270">
            <v>3153</v>
          </cell>
          <cell r="AK270">
            <v>4016</v>
          </cell>
          <cell r="AP270">
            <v>3906</v>
          </cell>
        </row>
        <row r="271">
          <cell r="A271" t="str">
            <v>Revenue</v>
          </cell>
          <cell r="C271">
            <v>5077</v>
          </cell>
          <cell r="D271">
            <v>4860</v>
          </cell>
          <cell r="E271">
            <v>6383</v>
          </cell>
          <cell r="F271">
            <v>6817</v>
          </cell>
          <cell r="G271">
            <v>7900</v>
          </cell>
          <cell r="L271">
            <v>8605</v>
          </cell>
          <cell r="Q271">
            <v>8864</v>
          </cell>
          <cell r="V271">
            <v>10454</v>
          </cell>
          <cell r="AA271">
            <v>5829</v>
          </cell>
          <cell r="AF271">
            <v>6700</v>
          </cell>
          <cell r="AK271">
            <v>7385</v>
          </cell>
          <cell r="AP271">
            <v>7479</v>
          </cell>
          <cell r="AQ271">
            <v>2180.261306255155</v>
          </cell>
          <cell r="AR271">
            <v>2001.2815624448194</v>
          </cell>
          <cell r="AS271">
            <v>1902.7422697029201</v>
          </cell>
          <cell r="AT271">
            <v>1784.0366121973964</v>
          </cell>
          <cell r="AU271">
            <v>7868.3217506002911</v>
          </cell>
          <cell r="AV271">
            <v>2057.7274734213133</v>
          </cell>
          <cell r="AW271">
            <v>2116.2485900180322</v>
          </cell>
          <cell r="AX271">
            <v>2166.1295749857613</v>
          </cell>
          <cell r="AY271">
            <v>2192.7550809423028</v>
          </cell>
          <cell r="AZ271">
            <v>8532.8607193674088</v>
          </cell>
          <cell r="BA271">
            <v>2027.9871337970148</v>
          </cell>
          <cell r="BB271">
            <v>2051.9290947164427</v>
          </cell>
          <cell r="BC271">
            <v>2067.2939399961165</v>
          </cell>
          <cell r="BD271">
            <v>2060.1101139052803</v>
          </cell>
          <cell r="BE271">
            <v>8207.3202824148539</v>
          </cell>
          <cell r="BF271">
            <v>1968.8745146943709</v>
          </cell>
          <cell r="BG271">
            <v>2049.4604327058455</v>
          </cell>
          <cell r="BH271">
            <v>2123.2716798597812</v>
          </cell>
          <cell r="BI271">
            <v>2174.5613837971691</v>
          </cell>
          <cell r="BJ271">
            <v>8316.168011057167</v>
          </cell>
          <cell r="BK271">
            <v>2104.9297742121453</v>
          </cell>
          <cell r="BL271">
            <v>2121.4644461001258</v>
          </cell>
          <cell r="BM271">
            <v>2129.405027948475</v>
          </cell>
          <cell r="BN271">
            <v>2113.7083724273989</v>
          </cell>
          <cell r="BO271">
            <v>8469.5076206881458</v>
          </cell>
          <cell r="BP271">
            <v>2132.7150749944926</v>
          </cell>
          <cell r="BQ271">
            <v>2239.5426827660294</v>
          </cell>
          <cell r="BR271">
            <v>2340.7844887458846</v>
          </cell>
          <cell r="BS271">
            <v>2418.3666082190821</v>
          </cell>
          <cell r="BT271">
            <v>9131.4088547254887</v>
          </cell>
          <cell r="BU271">
            <v>2407.5477779538583</v>
          </cell>
          <cell r="BV271">
            <v>2494.0935117154763</v>
          </cell>
          <cell r="BW271">
            <v>2573.9476429104798</v>
          </cell>
          <cell r="BX271">
            <v>2626.987154883936</v>
          </cell>
          <cell r="BY271">
            <v>10102.576087463749</v>
          </cell>
          <cell r="BZ271">
            <v>2608.183817925305</v>
          </cell>
          <cell r="CA271">
            <v>2693.9003800838159</v>
          </cell>
          <cell r="CB271">
            <v>2772.5577799681182</v>
          </cell>
          <cell r="CC271">
            <v>2822.1485484198497</v>
          </cell>
          <cell r="CD271">
            <v>10896.79052639709</v>
          </cell>
          <cell r="CF271">
            <v>16810.936025333005</v>
          </cell>
          <cell r="CG271">
            <v>-5914.1454989359154</v>
          </cell>
        </row>
        <row r="273">
          <cell r="A273" t="str">
            <v>Production cost excluding taxes</v>
          </cell>
          <cell r="C273">
            <v>-496</v>
          </cell>
          <cell r="D273">
            <v>-589</v>
          </cell>
          <cell r="E273">
            <v>-603</v>
          </cell>
          <cell r="F273">
            <v>-767</v>
          </cell>
          <cell r="G273">
            <v>-962</v>
          </cell>
          <cell r="L273">
            <v>-1199</v>
          </cell>
          <cell r="Q273">
            <v>-1242</v>
          </cell>
          <cell r="V273">
            <v>-1294</v>
          </cell>
          <cell r="AA273">
            <v>-1666</v>
          </cell>
          <cell r="AF273">
            <v>-1700</v>
          </cell>
          <cell r="AK273">
            <v>-2005</v>
          </cell>
          <cell r="AP273">
            <v>-2486</v>
          </cell>
          <cell r="AQ273">
            <v>-703.41704602758625</v>
          </cell>
          <cell r="AR273">
            <v>-632.77385782896567</v>
          </cell>
          <cell r="AS273">
            <v>-597.07940092137937</v>
          </cell>
          <cell r="AT273">
            <v>-604.42862651586222</v>
          </cell>
          <cell r="AU273">
            <v>-2537.6989312937935</v>
          </cell>
          <cell r="AV273">
            <v>-659.1828676728851</v>
          </cell>
          <cell r="AW273">
            <v>-675.3636047030119</v>
          </cell>
          <cell r="AX273">
            <v>-689.80698970994945</v>
          </cell>
          <cell r="AY273">
            <v>-696.82879664322729</v>
          </cell>
          <cell r="AZ273">
            <v>-2721.1822587290735</v>
          </cell>
          <cell r="BA273">
            <v>-710.74069457241717</v>
          </cell>
          <cell r="BB273">
            <v>-719.8475695306297</v>
          </cell>
          <cell r="BC273">
            <v>-727.00073253564733</v>
          </cell>
          <cell r="BD273">
            <v>-726.24348268867993</v>
          </cell>
          <cell r="BE273">
            <v>-2883.8324793273741</v>
          </cell>
          <cell r="BF273">
            <v>-748.13976678253073</v>
          </cell>
          <cell r="BG273">
            <v>-771.95800979925048</v>
          </cell>
          <cell r="BH273">
            <v>-794.08722727072563</v>
          </cell>
          <cell r="BI273">
            <v>-807.73338968946155</v>
          </cell>
          <cell r="BJ273">
            <v>-3121.9183935419683</v>
          </cell>
          <cell r="BK273">
            <v>-798.14020824545082</v>
          </cell>
          <cell r="BL273">
            <v>-799.20522062650616</v>
          </cell>
          <cell r="BM273">
            <v>-798.01818115181982</v>
          </cell>
          <cell r="BN273">
            <v>-788.04866672519358</v>
          </cell>
          <cell r="BO273">
            <v>-3183.4122767489703</v>
          </cell>
          <cell r="BP273">
            <v>-805.29533503380549</v>
          </cell>
          <cell r="BQ273">
            <v>-833.73490146878021</v>
          </cell>
          <cell r="BR273">
            <v>-860.47029349775232</v>
          </cell>
          <cell r="BS273">
            <v>-878.04376353256202</v>
          </cell>
          <cell r="BT273">
            <v>-3377.5442935329002</v>
          </cell>
          <cell r="BU273">
            <v>-889.29119536754263</v>
          </cell>
          <cell r="BV273">
            <v>-912.45635466782778</v>
          </cell>
          <cell r="BW273">
            <v>-933.72759255396045</v>
          </cell>
          <cell r="BX273">
            <v>-944.97183753165507</v>
          </cell>
          <cell r="BY273">
            <v>-3680.4469801209862</v>
          </cell>
          <cell r="BZ273">
            <v>-954.37672760795499</v>
          </cell>
          <cell r="CA273">
            <v>-976.32626055705919</v>
          </cell>
          <cell r="CB273">
            <v>-996.28461410979764</v>
          </cell>
          <cell r="CC273">
            <v>-1005.514107656415</v>
          </cell>
          <cell r="CD273">
            <v>-3932.5017099312267</v>
          </cell>
          <cell r="CF273">
            <v>-6366.966492685001</v>
          </cell>
          <cell r="CG273">
            <v>2434.4647827537742</v>
          </cell>
        </row>
        <row r="274">
          <cell r="A274" t="str">
            <v>Taxes other than income tax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-78</v>
          </cell>
          <cell r="L274">
            <v>-71</v>
          </cell>
          <cell r="Q274">
            <v>-74</v>
          </cell>
          <cell r="V274">
            <v>-101</v>
          </cell>
          <cell r="AA274">
            <v>-56</v>
          </cell>
          <cell r="AF274">
            <v>-100</v>
          </cell>
          <cell r="AK274">
            <v>-59</v>
          </cell>
          <cell r="AP274">
            <v>-39</v>
          </cell>
          <cell r="AQ274">
            <v>-21.802613062551551</v>
          </cell>
          <cell r="AR274">
            <v>-20.012815624448194</v>
          </cell>
          <cell r="AS274">
            <v>-19.027422697029202</v>
          </cell>
          <cell r="AT274">
            <v>-17.840366121973965</v>
          </cell>
          <cell r="AU274">
            <v>-78.683217506002904</v>
          </cell>
          <cell r="AV274">
            <v>-20.577274734213134</v>
          </cell>
          <cell r="AW274">
            <v>-21.162485900180322</v>
          </cell>
          <cell r="AX274">
            <v>-21.661295749857615</v>
          </cell>
          <cell r="AY274">
            <v>-21.927550809423028</v>
          </cell>
          <cell r="AZ274">
            <v>-85.328607193674102</v>
          </cell>
          <cell r="BA274">
            <v>-20.27987133797015</v>
          </cell>
          <cell r="BB274">
            <v>-20.519290947164428</v>
          </cell>
          <cell r="BC274">
            <v>-20.672939399961166</v>
          </cell>
          <cell r="BD274">
            <v>-20.601101139052805</v>
          </cell>
          <cell r="BE274">
            <v>-82.073202824148552</v>
          </cell>
          <cell r="BF274">
            <v>-19.68874514694371</v>
          </cell>
          <cell r="BG274">
            <v>-20.494604327058454</v>
          </cell>
          <cell r="BH274">
            <v>-21.232716798597814</v>
          </cell>
          <cell r="BI274">
            <v>-21.745613837971693</v>
          </cell>
          <cell r="BJ274">
            <v>-83.161680110571666</v>
          </cell>
          <cell r="BK274">
            <v>-21.049297742121453</v>
          </cell>
          <cell r="BL274">
            <v>-21.214644461001257</v>
          </cell>
          <cell r="BM274">
            <v>-21.29405027948475</v>
          </cell>
          <cell r="BN274">
            <v>-21.137083724273989</v>
          </cell>
          <cell r="BO274">
            <v>-84.695076206881453</v>
          </cell>
          <cell r="BP274">
            <v>-21.327150749944927</v>
          </cell>
          <cell r="BQ274">
            <v>-22.395426827660295</v>
          </cell>
          <cell r="BR274">
            <v>-23.407844887458847</v>
          </cell>
          <cell r="BS274">
            <v>-24.183666082190822</v>
          </cell>
          <cell r="BT274">
            <v>-91.314088547254897</v>
          </cell>
          <cell r="BU274">
            <v>-24.075477779538584</v>
          </cell>
          <cell r="BV274">
            <v>-24.940935117154766</v>
          </cell>
          <cell r="BW274">
            <v>-25.739476429104798</v>
          </cell>
          <cell r="BX274">
            <v>-26.269871548839362</v>
          </cell>
          <cell r="BY274">
            <v>-101.02576087463751</v>
          </cell>
          <cell r="BZ274">
            <v>-26.081838179253051</v>
          </cell>
          <cell r="CA274">
            <v>-26.939003800838158</v>
          </cell>
          <cell r="CB274">
            <v>-27.725577799681183</v>
          </cell>
          <cell r="CC274">
            <v>-28.221485484198496</v>
          </cell>
          <cell r="CD274">
            <v>-108.96790526397089</v>
          </cell>
          <cell r="CF274">
            <v>-168.10936025333001</v>
          </cell>
          <cell r="CG274">
            <v>59.141454989359119</v>
          </cell>
        </row>
        <row r="275">
          <cell r="A275" t="str">
            <v>Exploration expense</v>
          </cell>
          <cell r="C275">
            <v>-289</v>
          </cell>
          <cell r="D275">
            <v>-249</v>
          </cell>
          <cell r="E275">
            <v>-275</v>
          </cell>
          <cell r="F275">
            <v>-352</v>
          </cell>
          <cell r="G275">
            <v>-378</v>
          </cell>
          <cell r="L275">
            <v>-471</v>
          </cell>
          <cell r="Q275">
            <v>-675</v>
          </cell>
          <cell r="V275">
            <v>-680</v>
          </cell>
          <cell r="AA275">
            <v>-610</v>
          </cell>
          <cell r="AF275">
            <v>-730</v>
          </cell>
          <cell r="AK275">
            <v>-745</v>
          </cell>
          <cell r="AP275">
            <v>-801</v>
          </cell>
          <cell r="AQ275">
            <v>-213.84</v>
          </cell>
          <cell r="AR275">
            <v>-405.24</v>
          </cell>
          <cell r="AS275">
            <v>-539.88</v>
          </cell>
          <cell r="AT275">
            <v>-582.78</v>
          </cell>
          <cell r="AU275">
            <v>-1741.74</v>
          </cell>
          <cell r="AV275">
            <v>-305.78130000000004</v>
          </cell>
          <cell r="AW275">
            <v>-305.78130000000004</v>
          </cell>
          <cell r="AX275">
            <v>-305.78130000000004</v>
          </cell>
          <cell r="AY275">
            <v>-305.78130000000004</v>
          </cell>
          <cell r="AZ275">
            <v>-1223.1252000000002</v>
          </cell>
          <cell r="BA275">
            <v>-261.01350000000002</v>
          </cell>
          <cell r="BB275">
            <v>-261.01350000000008</v>
          </cell>
          <cell r="BC275">
            <v>-261.01350000000002</v>
          </cell>
          <cell r="BD275">
            <v>-261.01349999999996</v>
          </cell>
          <cell r="BE275">
            <v>-1044.0540000000001</v>
          </cell>
          <cell r="BF275">
            <v>-207.03925000000001</v>
          </cell>
          <cell r="BG275">
            <v>-207.03925000000001</v>
          </cell>
          <cell r="BH275">
            <v>-207.03925000000001</v>
          </cell>
          <cell r="BI275">
            <v>-207.03925000000001</v>
          </cell>
          <cell r="BJ275">
            <v>-828.15700000000004</v>
          </cell>
          <cell r="BK275">
            <v>-205.99150000000003</v>
          </cell>
          <cell r="BL275">
            <v>-205.99150000000003</v>
          </cell>
          <cell r="BM275">
            <v>-205.99150000000003</v>
          </cell>
          <cell r="BN275">
            <v>-205.99150000000003</v>
          </cell>
          <cell r="BO275">
            <v>-823.96600000000012</v>
          </cell>
          <cell r="BP275">
            <v>-203.00156250000001</v>
          </cell>
          <cell r="BQ275">
            <v>-203.00156250000001</v>
          </cell>
          <cell r="BR275">
            <v>-203.00156250000001</v>
          </cell>
          <cell r="BS275">
            <v>-203.00156250000001</v>
          </cell>
          <cell r="BT275">
            <v>-812.00625000000002</v>
          </cell>
          <cell r="BU275">
            <v>-203.87812500000001</v>
          </cell>
          <cell r="BV275">
            <v>-203.87812500000001</v>
          </cell>
          <cell r="BW275">
            <v>-203.87812500000001</v>
          </cell>
          <cell r="BX275">
            <v>-203.87812500000001</v>
          </cell>
          <cell r="BY275">
            <v>-815.51250000000005</v>
          </cell>
          <cell r="BZ275">
            <v>-203.87812500000001</v>
          </cell>
          <cell r="CA275">
            <v>-203.87812500000001</v>
          </cell>
          <cell r="CB275">
            <v>-203.87812500000001</v>
          </cell>
          <cell r="CC275">
            <v>-203.87812500000001</v>
          </cell>
          <cell r="CD275">
            <v>-815.51250000000005</v>
          </cell>
          <cell r="CF275">
            <v>-881.30625000000009</v>
          </cell>
          <cell r="CG275">
            <v>65.793750000000045</v>
          </cell>
        </row>
        <row r="276">
          <cell r="A276" t="str">
            <v>DD&amp;A</v>
          </cell>
          <cell r="C276">
            <v>-1116</v>
          </cell>
          <cell r="D276">
            <v>-1461</v>
          </cell>
          <cell r="E276">
            <v>-1667</v>
          </cell>
          <cell r="F276">
            <v>-1625</v>
          </cell>
          <cell r="G276">
            <v>-1629</v>
          </cell>
          <cell r="L276">
            <v>-1823</v>
          </cell>
          <cell r="Q276">
            <v>-2183</v>
          </cell>
          <cell r="V276">
            <v>-2166</v>
          </cell>
          <cell r="AA276">
            <v>-2440</v>
          </cell>
          <cell r="AF276">
            <v>-1858</v>
          </cell>
          <cell r="AK276">
            <v>-2427</v>
          </cell>
          <cell r="AP276">
            <v>-3837</v>
          </cell>
          <cell r="AQ276">
            <v>-806.9028090872871</v>
          </cell>
          <cell r="AR276">
            <v>-725.86669072442135</v>
          </cell>
          <cell r="AS276">
            <v>-684.92091366338752</v>
          </cell>
          <cell r="AT276">
            <v>-693.35134737308147</v>
          </cell>
          <cell r="AU276">
            <v>-2911.0417608481775</v>
          </cell>
          <cell r="AV276">
            <v>-781.12371961581903</v>
          </cell>
          <cell r="AW276">
            <v>-800.29769714912209</v>
          </cell>
          <cell r="AX276">
            <v>-817.41293356339895</v>
          </cell>
          <cell r="AY276">
            <v>-825.7336897892236</v>
          </cell>
          <cell r="AZ276">
            <v>-3224.5680401175637</v>
          </cell>
          <cell r="BA276">
            <v>-806.88035133899962</v>
          </cell>
          <cell r="BB276">
            <v>-817.21908460979319</v>
          </cell>
          <cell r="BC276">
            <v>-825.33983346060438</v>
          </cell>
          <cell r="BD276">
            <v>-824.48015281020923</v>
          </cell>
          <cell r="BE276">
            <v>-3273.9194222196065</v>
          </cell>
          <cell r="BF276">
            <v>-813.42715263870048</v>
          </cell>
          <cell r="BG276">
            <v>-839.3239254853961</v>
          </cell>
          <cell r="BH276">
            <v>-863.38427778475057</v>
          </cell>
          <cell r="BI276">
            <v>-878.22129024360595</v>
          </cell>
          <cell r="BJ276">
            <v>-3394.3566461524533</v>
          </cell>
          <cell r="BK276">
            <v>-830.80958478363527</v>
          </cell>
          <cell r="BL276">
            <v>-831.9181901200825</v>
          </cell>
          <cell r="BM276">
            <v>-830.68256289206215</v>
          </cell>
          <cell r="BN276">
            <v>-820.30497753085388</v>
          </cell>
          <cell r="BO276">
            <v>-3313.7153153266336</v>
          </cell>
          <cell r="BP276">
            <v>-802.24397125959877</v>
          </cell>
          <cell r="BQ276">
            <v>-830.57577665461883</v>
          </cell>
          <cell r="BR276">
            <v>-857.20986497155218</v>
          </cell>
          <cell r="BS276">
            <v>-874.71674695162153</v>
          </cell>
          <cell r="BT276">
            <v>-3364.7463598373915</v>
          </cell>
          <cell r="BU276">
            <v>-847.5408894007694</v>
          </cell>
          <cell r="BV276">
            <v>-869.61849437285025</v>
          </cell>
          <cell r="BW276">
            <v>-889.89109346140515</v>
          </cell>
          <cell r="BX276">
            <v>-900.60744535904985</v>
          </cell>
          <cell r="BY276">
            <v>-3507.6579225940745</v>
          </cell>
          <cell r="BZ276">
            <v>-869.82477672404752</v>
          </cell>
          <cell r="CA276">
            <v>-889.82971507214017</v>
          </cell>
          <cell r="CB276">
            <v>-908.0198803607492</v>
          </cell>
          <cell r="CC276">
            <v>-916.43169713208215</v>
          </cell>
          <cell r="CD276">
            <v>-3584.1060692890192</v>
          </cell>
          <cell r="CF276">
            <v>-6155.1913685434156</v>
          </cell>
          <cell r="CG276">
            <v>2571.0852992543964</v>
          </cell>
        </row>
        <row r="277">
          <cell r="A277" t="str">
            <v>Other income/(cost)</v>
          </cell>
          <cell r="C277">
            <v>-261</v>
          </cell>
          <cell r="D277">
            <v>-221</v>
          </cell>
          <cell r="E277">
            <v>30</v>
          </cell>
          <cell r="F277">
            <v>-319</v>
          </cell>
          <cell r="G277">
            <v>-346</v>
          </cell>
          <cell r="L277">
            <v>-649</v>
          </cell>
          <cell r="Q277">
            <v>-398</v>
          </cell>
          <cell r="V277">
            <v>-76</v>
          </cell>
          <cell r="AA277">
            <v>-653</v>
          </cell>
          <cell r="AF277">
            <v>-528</v>
          </cell>
          <cell r="AK277">
            <v>797</v>
          </cell>
          <cell r="AP277">
            <v>-563</v>
          </cell>
          <cell r="AQ277">
            <v>-100</v>
          </cell>
          <cell r="AR277">
            <v>-100</v>
          </cell>
          <cell r="AS277">
            <v>-100</v>
          </cell>
          <cell r="AT277">
            <v>-100</v>
          </cell>
          <cell r="AU277">
            <v>-400</v>
          </cell>
          <cell r="AV277">
            <v>-100</v>
          </cell>
          <cell r="AW277">
            <v>-100</v>
          </cell>
          <cell r="AX277">
            <v>-100</v>
          </cell>
          <cell r="AY277">
            <v>-100</v>
          </cell>
          <cell r="AZ277">
            <v>-400</v>
          </cell>
          <cell r="BA277">
            <v>-100</v>
          </cell>
          <cell r="BB277">
            <v>-100</v>
          </cell>
          <cell r="BC277">
            <v>-100</v>
          </cell>
          <cell r="BD277">
            <v>-100</v>
          </cell>
          <cell r="BE277">
            <v>-400</v>
          </cell>
          <cell r="BF277">
            <v>-100</v>
          </cell>
          <cell r="BG277">
            <v>-100</v>
          </cell>
          <cell r="BH277">
            <v>-100</v>
          </cell>
          <cell r="BI277">
            <v>-100</v>
          </cell>
          <cell r="BJ277">
            <v>-400</v>
          </cell>
          <cell r="BK277">
            <v>-100</v>
          </cell>
          <cell r="BL277">
            <v>-100</v>
          </cell>
          <cell r="BM277">
            <v>-100</v>
          </cell>
          <cell r="BN277">
            <v>-100</v>
          </cell>
          <cell r="BO277">
            <v>-400</v>
          </cell>
          <cell r="BP277">
            <v>-100</v>
          </cell>
          <cell r="BQ277">
            <v>-100</v>
          </cell>
          <cell r="BR277">
            <v>-100</v>
          </cell>
          <cell r="BS277">
            <v>-100</v>
          </cell>
          <cell r="BT277">
            <v>-400</v>
          </cell>
          <cell r="BU277">
            <v>-100</v>
          </cell>
          <cell r="BV277">
            <v>-100</v>
          </cell>
          <cell r="BW277">
            <v>-100</v>
          </cell>
          <cell r="BX277">
            <v>-100</v>
          </cell>
          <cell r="BY277">
            <v>-400</v>
          </cell>
          <cell r="BZ277">
            <v>-100</v>
          </cell>
          <cell r="CA277">
            <v>-100</v>
          </cell>
          <cell r="CB277">
            <v>-100</v>
          </cell>
          <cell r="CC277">
            <v>-100</v>
          </cell>
          <cell r="CD277">
            <v>-400</v>
          </cell>
          <cell r="CF277">
            <v>-400</v>
          </cell>
          <cell r="CG277">
            <v>0</v>
          </cell>
        </row>
        <row r="278">
          <cell r="A278" t="str">
            <v>Earnings before tax</v>
          </cell>
          <cell r="C278">
            <v>2915</v>
          </cell>
          <cell r="D278">
            <v>2340</v>
          </cell>
          <cell r="E278">
            <v>3868</v>
          </cell>
          <cell r="F278">
            <v>3754</v>
          </cell>
          <cell r="G278">
            <v>4507</v>
          </cell>
          <cell r="L278">
            <v>4392</v>
          </cell>
          <cell r="Q278">
            <v>4292</v>
          </cell>
          <cell r="V278">
            <v>6137</v>
          </cell>
          <cell r="AA278">
            <v>404</v>
          </cell>
          <cell r="AF278">
            <v>1784</v>
          </cell>
          <cell r="AK278">
            <v>2946</v>
          </cell>
          <cell r="AP278">
            <v>-247</v>
          </cell>
          <cell r="AQ278">
            <v>334.29883807773012</v>
          </cell>
          <cell r="AR278">
            <v>117.3881982669842</v>
          </cell>
          <cell r="AS278">
            <v>-38.165467578875905</v>
          </cell>
          <cell r="AT278">
            <v>-214.36372781352145</v>
          </cell>
          <cell r="AU278">
            <v>199.15784095231811</v>
          </cell>
          <cell r="AV278">
            <v>191.06231139839588</v>
          </cell>
          <cell r="AW278">
            <v>213.64350226571787</v>
          </cell>
          <cell r="AX278">
            <v>231.46705596255526</v>
          </cell>
          <cell r="AY278">
            <v>242.48374370042882</v>
          </cell>
          <cell r="AZ278">
            <v>878.65661332709669</v>
          </cell>
          <cell r="BA278">
            <v>129.07271654762781</v>
          </cell>
          <cell r="BB278">
            <v>133.32964962885546</v>
          </cell>
          <cell r="BC278">
            <v>133.26693459990349</v>
          </cell>
          <cell r="BD278">
            <v>127.77187726733825</v>
          </cell>
          <cell r="BE278">
            <v>523.4411780437249</v>
          </cell>
          <cell r="BF278">
            <v>80.579600126195942</v>
          </cell>
          <cell r="BG278">
            <v>110.64464309414052</v>
          </cell>
          <cell r="BH278">
            <v>137.52820800570726</v>
          </cell>
          <cell r="BI278">
            <v>159.82184002612996</v>
          </cell>
          <cell r="BJ278">
            <v>488.57429125217368</v>
          </cell>
          <cell r="BK278">
            <v>148.93918344093754</v>
          </cell>
          <cell r="BL278">
            <v>163.13489089253585</v>
          </cell>
          <cell r="BM278">
            <v>173.41873362510819</v>
          </cell>
          <cell r="BN278">
            <v>178.22614444707756</v>
          </cell>
          <cell r="BO278">
            <v>663.71895240566027</v>
          </cell>
          <cell r="BP278">
            <v>200.84705545114343</v>
          </cell>
          <cell r="BQ278">
            <v>249.83501531497006</v>
          </cell>
          <cell r="BR278">
            <v>296.69492288912124</v>
          </cell>
          <cell r="BS278">
            <v>338.42086915270772</v>
          </cell>
          <cell r="BT278">
            <v>1085.7978628079418</v>
          </cell>
          <cell r="BU278">
            <v>342.7620904060077</v>
          </cell>
          <cell r="BV278">
            <v>383.19960255764352</v>
          </cell>
          <cell r="BW278">
            <v>420.71135546600942</v>
          </cell>
          <cell r="BX278">
            <v>451.2598754443917</v>
          </cell>
          <cell r="BY278">
            <v>1597.9329238740506</v>
          </cell>
          <cell r="BZ278">
            <v>454.02235041404947</v>
          </cell>
          <cell r="CA278">
            <v>496.92727565377834</v>
          </cell>
          <cell r="CB278">
            <v>536.64958269789042</v>
          </cell>
          <cell r="CC278">
            <v>568.10313314715415</v>
          </cell>
          <cell r="CD278">
            <v>2055.7023419128732</v>
          </cell>
          <cell r="CF278">
            <v>2839.3625538512588</v>
          </cell>
          <cell r="CG278">
            <v>-783.6602119383856</v>
          </cell>
        </row>
        <row r="280">
          <cell r="A280" t="str">
            <v>Taxation</v>
          </cell>
          <cell r="C280">
            <v>-1028</v>
          </cell>
          <cell r="D280">
            <v>-791</v>
          </cell>
          <cell r="E280">
            <v>-1497</v>
          </cell>
          <cell r="F280">
            <v>-1302</v>
          </cell>
          <cell r="G280">
            <v>-1533</v>
          </cell>
          <cell r="L280">
            <v>-1538</v>
          </cell>
          <cell r="Q280">
            <v>-1488</v>
          </cell>
          <cell r="V280">
            <v>-2044</v>
          </cell>
          <cell r="AA280">
            <v>458</v>
          </cell>
          <cell r="AF280">
            <v>-542</v>
          </cell>
          <cell r="AK280">
            <v>-714</v>
          </cell>
          <cell r="AP280">
            <v>127</v>
          </cell>
          <cell r="AQ280">
            <v>-110.31861656565094</v>
          </cell>
          <cell r="AR280">
            <v>-38.738105428104788</v>
          </cell>
          <cell r="AS280">
            <v>12.594604301029049</v>
          </cell>
          <cell r="AT280">
            <v>70.740030178462078</v>
          </cell>
          <cell r="AU280">
            <v>-65.722087514264601</v>
          </cell>
          <cell r="AV280">
            <v>-63.050562761470644</v>
          </cell>
          <cell r="AW280">
            <v>-70.502355747686906</v>
          </cell>
          <cell r="AX280">
            <v>-76.384128467643237</v>
          </cell>
          <cell r="AY280">
            <v>-80.019635421141516</v>
          </cell>
          <cell r="AZ280">
            <v>-289.9566823979423</v>
          </cell>
          <cell r="BA280">
            <v>-42.593996460717179</v>
          </cell>
          <cell r="BB280">
            <v>-43.998784377522306</v>
          </cell>
          <cell r="BC280">
            <v>-43.978088417968152</v>
          </cell>
          <cell r="BD280">
            <v>-42.164719498221629</v>
          </cell>
          <cell r="BE280">
            <v>-172.73558875442927</v>
          </cell>
          <cell r="BF280">
            <v>-26.591268041644661</v>
          </cell>
          <cell r="BG280">
            <v>-36.512732221066372</v>
          </cell>
          <cell r="BH280">
            <v>-45.384308641883393</v>
          </cell>
          <cell r="BI280">
            <v>-52.741207208622889</v>
          </cell>
          <cell r="BJ280">
            <v>-161.2295161132173</v>
          </cell>
          <cell r="BK280">
            <v>-49.149930535509391</v>
          </cell>
          <cell r="BL280">
            <v>-53.834513994536835</v>
          </cell>
          <cell r="BM280">
            <v>-57.228182096285707</v>
          </cell>
          <cell r="BN280">
            <v>-58.814627667535596</v>
          </cell>
          <cell r="BO280">
            <v>-219.02725429386754</v>
          </cell>
          <cell r="BP280">
            <v>-66.279528298877338</v>
          </cell>
          <cell r="BQ280">
            <v>-82.445555053940126</v>
          </cell>
          <cell r="BR280">
            <v>-97.909324553410016</v>
          </cell>
          <cell r="BS280">
            <v>-111.67888682039356</v>
          </cell>
          <cell r="BT280">
            <v>-358.31329472662105</v>
          </cell>
          <cell r="BU280">
            <v>-113.11148983398255</v>
          </cell>
          <cell r="BV280">
            <v>-126.45586884402236</v>
          </cell>
          <cell r="BW280">
            <v>-138.8347473037831</v>
          </cell>
          <cell r="BX280">
            <v>-148.91575889664927</v>
          </cell>
          <cell r="BY280">
            <v>-527.31786487843726</v>
          </cell>
          <cell r="BZ280">
            <v>-149.82737563663633</v>
          </cell>
          <cell r="CA280">
            <v>-163.98600096574685</v>
          </cell>
          <cell r="CB280">
            <v>-177.09436229030385</v>
          </cell>
          <cell r="CC280">
            <v>-187.47403393856089</v>
          </cell>
          <cell r="CD280">
            <v>-678.38177283124787</v>
          </cell>
          <cell r="CF280">
            <v>-936.989642770915</v>
          </cell>
          <cell r="CG280">
            <v>258.60786993966713</v>
          </cell>
        </row>
        <row r="281">
          <cell r="A281" t="str">
            <v>Earnings after tax</v>
          </cell>
          <cell r="C281">
            <v>1887</v>
          </cell>
          <cell r="D281">
            <v>1549</v>
          </cell>
          <cell r="E281">
            <v>2371</v>
          </cell>
          <cell r="F281">
            <v>2452</v>
          </cell>
          <cell r="G281">
            <v>2974</v>
          </cell>
          <cell r="L281">
            <v>2854</v>
          </cell>
          <cell r="Q281">
            <v>2804</v>
          </cell>
          <cell r="V281">
            <v>4093</v>
          </cell>
          <cell r="AA281">
            <v>862</v>
          </cell>
          <cell r="AF281">
            <v>1242</v>
          </cell>
          <cell r="AK281">
            <v>2232</v>
          </cell>
          <cell r="AP281">
            <v>-120</v>
          </cell>
          <cell r="AQ281">
            <v>223.9802215120792</v>
          </cell>
          <cell r="AR281">
            <v>78.650092838879416</v>
          </cell>
          <cell r="AS281">
            <v>-25.570863277846854</v>
          </cell>
          <cell r="AT281">
            <v>-143.62369763505939</v>
          </cell>
          <cell r="AU281">
            <v>133.4357534380535</v>
          </cell>
          <cell r="AV281">
            <v>128.01174863692523</v>
          </cell>
          <cell r="AW281">
            <v>143.14114651803095</v>
          </cell>
          <cell r="AX281">
            <v>155.08292749491204</v>
          </cell>
          <cell r="AY281">
            <v>162.4641082792873</v>
          </cell>
          <cell r="AZ281">
            <v>588.69993092915433</v>
          </cell>
          <cell r="BA281">
            <v>86.478720086910627</v>
          </cell>
          <cell r="BB281">
            <v>89.330865251333165</v>
          </cell>
          <cell r="BC281">
            <v>89.288846181935341</v>
          </cell>
          <cell r="BD281">
            <v>85.607157769116625</v>
          </cell>
          <cell r="BE281">
            <v>350.70558928929563</v>
          </cell>
          <cell r="BF281">
            <v>53.988332084551281</v>
          </cell>
          <cell r="BG281">
            <v>74.131910873074148</v>
          </cell>
          <cell r="BH281">
            <v>92.143899363823863</v>
          </cell>
          <cell r="BI281">
            <v>107.08063281750708</v>
          </cell>
          <cell r="BJ281">
            <v>327.34477513895638</v>
          </cell>
          <cell r="BK281">
            <v>99.789252905428157</v>
          </cell>
          <cell r="BL281">
            <v>109.30037689799902</v>
          </cell>
          <cell r="BM281">
            <v>116.19055152882248</v>
          </cell>
          <cell r="BN281">
            <v>119.41151677954196</v>
          </cell>
          <cell r="BO281">
            <v>444.69169811179273</v>
          </cell>
          <cell r="BP281">
            <v>134.56752715226611</v>
          </cell>
          <cell r="BQ281">
            <v>167.38946026102994</v>
          </cell>
          <cell r="BR281">
            <v>198.78559833571123</v>
          </cell>
          <cell r="BS281">
            <v>226.74198233231417</v>
          </cell>
          <cell r="BT281">
            <v>727.48456808132073</v>
          </cell>
          <cell r="BU281">
            <v>229.65060057202516</v>
          </cell>
          <cell r="BV281">
            <v>256.74373371362117</v>
          </cell>
          <cell r="BW281">
            <v>281.87660816222632</v>
          </cell>
          <cell r="BX281">
            <v>302.34411654774243</v>
          </cell>
          <cell r="BY281">
            <v>1070.6150589956133</v>
          </cell>
          <cell r="BZ281">
            <v>304.19497477741311</v>
          </cell>
          <cell r="CA281">
            <v>332.94127468803151</v>
          </cell>
          <cell r="CB281">
            <v>359.5552204075866</v>
          </cell>
          <cell r="CC281">
            <v>380.62909920859329</v>
          </cell>
          <cell r="CD281">
            <v>1377.3205690816253</v>
          </cell>
          <cell r="CF281">
            <v>1902.3729110803438</v>
          </cell>
          <cell r="CG281">
            <v>-525.05234199871848</v>
          </cell>
        </row>
        <row r="283">
          <cell r="A283" t="str">
            <v>Production</v>
          </cell>
        </row>
        <row r="284">
          <cell r="B284" t="str">
            <v>Oil and NGL (kbbl/d)</v>
          </cell>
          <cell r="C284">
            <v>287.7</v>
          </cell>
          <cell r="D284">
            <v>309.39999999999998</v>
          </cell>
          <cell r="E284">
            <v>289.79999999999995</v>
          </cell>
          <cell r="F284">
            <v>262.5</v>
          </cell>
          <cell r="G284">
            <v>236</v>
          </cell>
          <cell r="L284">
            <v>230</v>
          </cell>
          <cell r="Q284">
            <v>238</v>
          </cell>
          <cell r="V284">
            <v>190</v>
          </cell>
          <cell r="AA284">
            <v>195</v>
          </cell>
          <cell r="AF284">
            <v>163</v>
          </cell>
          <cell r="AK284">
            <v>141</v>
          </cell>
          <cell r="AP284">
            <v>155</v>
          </cell>
          <cell r="AQ284">
            <v>176</v>
          </cell>
          <cell r="AR284">
            <v>160</v>
          </cell>
          <cell r="AS284">
            <v>156</v>
          </cell>
          <cell r="AT284">
            <v>154</v>
          </cell>
          <cell r="AU284">
            <v>161.5</v>
          </cell>
          <cell r="AV284">
            <v>175.88017718310402</v>
          </cell>
          <cell r="AW284">
            <v>179.40056039436803</v>
          </cell>
          <cell r="AX284">
            <v>181.92094360563203</v>
          </cell>
          <cell r="AY284">
            <v>184.44132681689604</v>
          </cell>
          <cell r="AZ284">
            <v>180.410752</v>
          </cell>
          <cell r="BA284">
            <v>187.41519769013763</v>
          </cell>
          <cell r="BB284">
            <v>187.38906856337923</v>
          </cell>
          <cell r="BC284">
            <v>186.36293943662082</v>
          </cell>
          <cell r="BD284">
            <v>185.33681030986241</v>
          </cell>
          <cell r="BE284">
            <v>186.62600400000002</v>
          </cell>
          <cell r="BF284">
            <v>190.52778618591748</v>
          </cell>
          <cell r="BG284">
            <v>197.71876206197254</v>
          </cell>
          <cell r="BH284">
            <v>203.9097379380276</v>
          </cell>
          <cell r="BI284">
            <v>210.10071381408267</v>
          </cell>
          <cell r="BJ284">
            <v>200.56425000000007</v>
          </cell>
          <cell r="BK284">
            <v>205.98663468844961</v>
          </cell>
          <cell r="BL284">
            <v>203.87255556281656</v>
          </cell>
          <cell r="BM284">
            <v>200.7584764371835</v>
          </cell>
          <cell r="BN284">
            <v>197.64439731155045</v>
          </cell>
          <cell r="BO284">
            <v>202.065516</v>
          </cell>
          <cell r="BP284">
            <v>203.39875478693028</v>
          </cell>
          <cell r="BQ284">
            <v>211.15311226231012</v>
          </cell>
          <cell r="BR284">
            <v>217.90746973768995</v>
          </cell>
          <cell r="BS284">
            <v>224.66182721306978</v>
          </cell>
          <cell r="BT284">
            <v>214.28029100000003</v>
          </cell>
          <cell r="BU284">
            <v>227.20859712784187</v>
          </cell>
          <cell r="BV284">
            <v>231.75536704261395</v>
          </cell>
          <cell r="BW284">
            <v>235.30213695738604</v>
          </cell>
          <cell r="BX284">
            <v>238.84890687215812</v>
          </cell>
          <cell r="BY284">
            <v>233.278752</v>
          </cell>
          <cell r="BZ284">
            <v>240.93250812329489</v>
          </cell>
          <cell r="CA284">
            <v>245.01610937443166</v>
          </cell>
          <cell r="CB284">
            <v>248.09971062556843</v>
          </cell>
          <cell r="CC284">
            <v>251.1833118767052</v>
          </cell>
          <cell r="CD284">
            <v>246.30791000000005</v>
          </cell>
          <cell r="CF284">
            <v>307.5640719999999</v>
          </cell>
          <cell r="CG284">
            <v>-61.256161999999847</v>
          </cell>
        </row>
        <row r="285">
          <cell r="B285" t="str">
            <v>Natural gas (mmcf/d)</v>
          </cell>
          <cell r="C285">
            <v>1594</v>
          </cell>
          <cell r="D285">
            <v>1675</v>
          </cell>
          <cell r="E285">
            <v>1523</v>
          </cell>
          <cell r="F285">
            <v>1328</v>
          </cell>
          <cell r="G285">
            <v>1146</v>
          </cell>
          <cell r="L285">
            <v>1161</v>
          </cell>
          <cell r="Q285">
            <v>1124</v>
          </cell>
          <cell r="V285">
            <v>1048</v>
          </cell>
          <cell r="AA285">
            <v>1055</v>
          </cell>
          <cell r="AF285">
            <v>1149</v>
          </cell>
          <cell r="AK285">
            <v>961</v>
          </cell>
          <cell r="AP285">
            <v>1062</v>
          </cell>
          <cell r="AQ285">
            <v>1245.7660372</v>
          </cell>
          <cell r="AR285">
            <v>1088.5320744000001</v>
          </cell>
          <cell r="AS285">
            <v>977.29811159999997</v>
          </cell>
          <cell r="AT285">
            <v>1012.0641488</v>
          </cell>
          <cell r="AU285">
            <v>1080.4150930000001</v>
          </cell>
          <cell r="AV285">
            <v>1002.7841958844161</v>
          </cell>
          <cell r="AW285">
            <v>1009.2459319614721</v>
          </cell>
          <cell r="AX285">
            <v>1015.707668038528</v>
          </cell>
          <cell r="AY285">
            <v>1022.169404115584</v>
          </cell>
          <cell r="AZ285">
            <v>1012.4768000000003</v>
          </cell>
          <cell r="BA285">
            <v>1040.9030824693505</v>
          </cell>
          <cell r="BB285">
            <v>1044.6367608231167</v>
          </cell>
          <cell r="BC285">
            <v>1048.3704391768831</v>
          </cell>
          <cell r="BD285">
            <v>1052.1041175306493</v>
          </cell>
          <cell r="BE285">
            <v>1046.5036</v>
          </cell>
          <cell r="BF285">
            <v>1080.1891905183895</v>
          </cell>
          <cell r="BG285">
            <v>1083.2742635061295</v>
          </cell>
          <cell r="BH285">
            <v>1086.3593364938697</v>
          </cell>
          <cell r="BI285">
            <v>1089.4444094816097</v>
          </cell>
          <cell r="BJ285">
            <v>1084.8167999999998</v>
          </cell>
          <cell r="BK285">
            <v>1079.7138456889659</v>
          </cell>
          <cell r="BL285">
            <v>1069.9832818963221</v>
          </cell>
          <cell r="BM285">
            <v>1060.2527181036783</v>
          </cell>
          <cell r="BN285">
            <v>1050.5221543110345</v>
          </cell>
          <cell r="BO285">
            <v>1065.1179999999999</v>
          </cell>
          <cell r="BP285">
            <v>1059.1419325866207</v>
          </cell>
          <cell r="BQ285">
            <v>1067.7617108622067</v>
          </cell>
          <cell r="BR285">
            <v>1076.3814891377929</v>
          </cell>
          <cell r="BS285">
            <v>1085.0012674133791</v>
          </cell>
          <cell r="BT285">
            <v>1072.0716</v>
          </cell>
          <cell r="BU285">
            <v>1094.2654004480273</v>
          </cell>
          <cell r="BV285">
            <v>1103.5295334826756</v>
          </cell>
          <cell r="BW285">
            <v>1112.793666517324</v>
          </cell>
          <cell r="BX285">
            <v>1122.0577995519723</v>
          </cell>
          <cell r="BY285">
            <v>1108.1615999999999</v>
          </cell>
          <cell r="BZ285">
            <v>1128.0650797311832</v>
          </cell>
          <cell r="CA285">
            <v>1134.0723599103942</v>
          </cell>
          <cell r="CB285">
            <v>1140.0796400896052</v>
          </cell>
          <cell r="CC285">
            <v>1146.0869202688161</v>
          </cell>
          <cell r="CD285">
            <v>1137.076</v>
          </cell>
          <cell r="CF285">
            <v>2471.3719999999998</v>
          </cell>
          <cell r="CG285">
            <v>-1334.2959999999998</v>
          </cell>
        </row>
        <row r="286">
          <cell r="B286" t="str">
            <v>Total</v>
          </cell>
          <cell r="C286">
            <v>562.52758620689656</v>
          </cell>
          <cell r="D286">
            <v>598.19310344827591</v>
          </cell>
          <cell r="E286">
            <v>552.3862068965517</v>
          </cell>
          <cell r="F286">
            <v>491.4655172413793</v>
          </cell>
          <cell r="G286">
            <v>433.58620689655174</v>
          </cell>
          <cell r="L286">
            <v>430.17241379310349</v>
          </cell>
          <cell r="Q286">
            <v>431.79310344827587</v>
          </cell>
          <cell r="V286">
            <v>370.68965517241384</v>
          </cell>
          <cell r="AA286">
            <v>376.89655172413791</v>
          </cell>
          <cell r="AF286">
            <v>361.10344827586209</v>
          </cell>
          <cell r="AK286">
            <v>306.68965517241384</v>
          </cell>
          <cell r="AP286">
            <v>338.10344827586209</v>
          </cell>
          <cell r="AQ286">
            <v>390.78724779310346</v>
          </cell>
          <cell r="AR286">
            <v>347.67794386206901</v>
          </cell>
          <cell r="AS286">
            <v>324.49967441379312</v>
          </cell>
          <cell r="AT286">
            <v>328.49381875862071</v>
          </cell>
          <cell r="AU286">
            <v>347.77846431034482</v>
          </cell>
          <cell r="AV286">
            <v>348.77400405972753</v>
          </cell>
          <cell r="AW286">
            <v>353.4084796980701</v>
          </cell>
          <cell r="AX286">
            <v>357.04295533641277</v>
          </cell>
          <cell r="AY286">
            <v>360.67743097475534</v>
          </cell>
          <cell r="AZ286">
            <v>354.97571751724143</v>
          </cell>
          <cell r="BA286">
            <v>366.88124639174976</v>
          </cell>
          <cell r="BB286">
            <v>367.49885491219243</v>
          </cell>
          <cell r="BC286">
            <v>367.11646343263516</v>
          </cell>
          <cell r="BD286">
            <v>366.73407195307783</v>
          </cell>
          <cell r="BE286">
            <v>367.05765917241382</v>
          </cell>
          <cell r="BF286">
            <v>376.76730179253639</v>
          </cell>
          <cell r="BG286">
            <v>384.49018680440867</v>
          </cell>
          <cell r="BH286">
            <v>391.213071816281</v>
          </cell>
          <cell r="BI286">
            <v>397.93595682815328</v>
          </cell>
          <cell r="BJ286">
            <v>387.60162931034489</v>
          </cell>
          <cell r="BK286">
            <v>392.14419428999543</v>
          </cell>
          <cell r="BL286">
            <v>388.35243175183757</v>
          </cell>
          <cell r="BM286">
            <v>383.56066921367977</v>
          </cell>
          <cell r="BN286">
            <v>378.76890667552192</v>
          </cell>
          <cell r="BO286">
            <v>385.70655048275864</v>
          </cell>
          <cell r="BP286">
            <v>386.00943281910628</v>
          </cell>
          <cell r="BQ286">
            <v>395.24995896269058</v>
          </cell>
          <cell r="BR286">
            <v>403.49048510627495</v>
          </cell>
          <cell r="BS286">
            <v>411.73101124985931</v>
          </cell>
          <cell r="BT286">
            <v>399.12022203448282</v>
          </cell>
          <cell r="BU286">
            <v>415.87504548095001</v>
          </cell>
          <cell r="BV286">
            <v>422.01907971204082</v>
          </cell>
          <cell r="BW286">
            <v>427.16311394313158</v>
          </cell>
          <cell r="BX286">
            <v>432.30714817422233</v>
          </cell>
          <cell r="BY286">
            <v>424.34109682758617</v>
          </cell>
          <cell r="BZ286">
            <v>435.42648738729201</v>
          </cell>
          <cell r="CA286">
            <v>440.54582660036169</v>
          </cell>
          <cell r="CB286">
            <v>444.66516581343137</v>
          </cell>
          <cell r="CC286">
            <v>448.78450502650111</v>
          </cell>
          <cell r="CD286">
            <v>442.35549620689665</v>
          </cell>
          <cell r="CF286">
            <v>733.66269268965505</v>
          </cell>
          <cell r="CG286">
            <v>-291.3071964827584</v>
          </cell>
        </row>
        <row r="287">
          <cell r="CD287">
            <v>0.55680987828124096</v>
          </cell>
          <cell r="CF287">
            <v>0.41921727118554991</v>
          </cell>
        </row>
        <row r="288">
          <cell r="A288" t="str">
            <v>Realise price</v>
          </cell>
        </row>
        <row r="289">
          <cell r="B289" t="str">
            <v>Oil and NGL ($/bbl)</v>
          </cell>
          <cell r="F289">
            <v>36.15</v>
          </cell>
          <cell r="G289">
            <v>48.94</v>
          </cell>
          <cell r="L289">
            <v>56.69</v>
          </cell>
          <cell r="Q289">
            <v>62.35</v>
          </cell>
          <cell r="V289">
            <v>88.01</v>
          </cell>
          <cell r="AA289">
            <v>54.61</v>
          </cell>
          <cell r="AF289">
            <v>71.94</v>
          </cell>
          <cell r="AK289">
            <v>97.27</v>
          </cell>
          <cell r="AP289">
            <v>95.14</v>
          </cell>
          <cell r="AQ289">
            <v>97.98</v>
          </cell>
          <cell r="AR289">
            <v>94.49</v>
          </cell>
          <cell r="AS289">
            <v>97.26</v>
          </cell>
          <cell r="AT289">
            <v>87.85</v>
          </cell>
          <cell r="AU289">
            <v>94.35</v>
          </cell>
          <cell r="AV289">
            <v>91.457807300312552</v>
          </cell>
          <cell r="AW289">
            <v>91.457807300312552</v>
          </cell>
          <cell r="AX289">
            <v>91.457807300312552</v>
          </cell>
          <cell r="AY289">
            <v>91.457807300312552</v>
          </cell>
          <cell r="AZ289">
            <v>91.457807300312552</v>
          </cell>
          <cell r="BA289">
            <v>83.541126064920093</v>
          </cell>
          <cell r="BB289">
            <v>83.541126064920093</v>
          </cell>
          <cell r="BC289">
            <v>83.541126064920093</v>
          </cell>
          <cell r="BD289">
            <v>83.541126064920093</v>
          </cell>
          <cell r="BE289">
            <v>83.541126064920093</v>
          </cell>
          <cell r="BF289">
            <v>78.270480370991706</v>
          </cell>
          <cell r="BG289">
            <v>78.270480370991706</v>
          </cell>
          <cell r="BH289">
            <v>78.270480370991706</v>
          </cell>
          <cell r="BI289">
            <v>78.270480370991706</v>
          </cell>
          <cell r="BJ289">
            <v>78.270480370991706</v>
          </cell>
          <cell r="BK289">
            <v>78.82657206755492</v>
          </cell>
          <cell r="BL289">
            <v>79.386107220882892</v>
          </cell>
          <cell r="BM289">
            <v>79.949107153708127</v>
          </cell>
          <cell r="BN289">
            <v>80.515593320798729</v>
          </cell>
          <cell r="BO289">
            <v>79.669344940736167</v>
          </cell>
          <cell r="BP289">
            <v>81.085587309776017</v>
          </cell>
          <cell r="BQ289">
            <v>81.659110841937192</v>
          </cell>
          <cell r="BR289">
            <v>82.236185773083065</v>
          </cell>
          <cell r="BS289">
            <v>82.816834094350938</v>
          </cell>
          <cell r="BT289">
            <v>81.949429504786806</v>
          </cell>
          <cell r="BU289">
            <v>83.401077933052662</v>
          </cell>
          <cell r="BV289">
            <v>83.988939553517852</v>
          </cell>
          <cell r="BW289">
            <v>84.580441357942362</v>
          </cell>
          <cell r="BX289">
            <v>85.175605887241929</v>
          </cell>
          <cell r="BY289">
            <v>84.286516182938698</v>
          </cell>
          <cell r="BZ289">
            <v>85.774455821911204</v>
          </cell>
          <cell r="CA289">
            <v>86.377013982888045</v>
          </cell>
          <cell r="CB289">
            <v>86.983303332423162</v>
          </cell>
          <cell r="CC289">
            <v>87.593346974955224</v>
          </cell>
          <cell r="CD289">
            <v>86.682030028044409</v>
          </cell>
          <cell r="CF289">
            <v>96.239698109226524</v>
          </cell>
          <cell r="CG289">
            <v>-9.5576680811821149</v>
          </cell>
        </row>
        <row r="290">
          <cell r="B290" t="str">
            <v>Natural gas ($/mmcf)</v>
          </cell>
          <cell r="F290">
            <v>6.33</v>
          </cell>
          <cell r="G290">
            <v>8.43</v>
          </cell>
          <cell r="L290">
            <v>7.14</v>
          </cell>
          <cell r="Q290">
            <v>6.73</v>
          </cell>
          <cell r="V290">
            <v>8.83</v>
          </cell>
          <cell r="AA290">
            <v>4.1100000000000003</v>
          </cell>
          <cell r="AF290">
            <v>4.63</v>
          </cell>
          <cell r="AK290">
            <v>4.24</v>
          </cell>
          <cell r="AP290">
            <v>2.91</v>
          </cell>
          <cell r="AQ290">
            <v>3.52</v>
          </cell>
          <cell r="AR290">
            <v>4.1500000000000004</v>
          </cell>
          <cell r="AS290">
            <v>3.37</v>
          </cell>
          <cell r="AT290">
            <v>3.74</v>
          </cell>
          <cell r="AU290">
            <v>3.7</v>
          </cell>
          <cell r="AV290">
            <v>4.316330168525198</v>
          </cell>
          <cell r="AW290">
            <v>4.316330168525198</v>
          </cell>
          <cell r="AX290">
            <v>4.316330168525198</v>
          </cell>
          <cell r="AY290">
            <v>4.316330168525198</v>
          </cell>
          <cell r="AZ290">
            <v>4.316330168525198</v>
          </cell>
          <cell r="BA290">
            <v>4.2867039175692545</v>
          </cell>
          <cell r="BB290">
            <v>4.2867039175692545</v>
          </cell>
          <cell r="BC290">
            <v>4.2867039175692545</v>
          </cell>
          <cell r="BD290">
            <v>4.2867039175692545</v>
          </cell>
          <cell r="BE290">
            <v>4.2867039175692545</v>
          </cell>
          <cell r="BF290">
            <v>4.2768285005839406</v>
          </cell>
          <cell r="BG290">
            <v>4.2768285005839406</v>
          </cell>
          <cell r="BH290">
            <v>4.2768285005839406</v>
          </cell>
          <cell r="BI290">
            <v>4.2768285005839406</v>
          </cell>
          <cell r="BJ290">
            <v>4.2768285005839406</v>
          </cell>
          <cell r="BK290">
            <v>4.3020838695895538</v>
          </cell>
          <cell r="BL290">
            <v>4.3274956260610953</v>
          </cell>
          <cell r="BM290">
            <v>4.3530647383882748</v>
          </cell>
          <cell r="BN290">
            <v>4.378792180957312</v>
          </cell>
          <cell r="BO290">
            <v>4.3403591037490585</v>
          </cell>
          <cell r="BP290">
            <v>4.4046789341880661</v>
          </cell>
          <cell r="BQ290">
            <v>4.4307259845713949</v>
          </cell>
          <cell r="BR290">
            <v>4.4569343247067543</v>
          </cell>
          <cell r="BS290">
            <v>4.4833049533400171</v>
          </cell>
          <cell r="BT290">
            <v>4.4439110492015583</v>
          </cell>
          <cell r="BU290">
            <v>4.509838875401539</v>
          </cell>
          <cell r="BV290">
            <v>4.536537102044452</v>
          </cell>
          <cell r="BW290">
            <v>4.5634006506831959</v>
          </cell>
          <cell r="BX290">
            <v>4.5904305450322909</v>
          </cell>
          <cell r="BY290">
            <v>4.5500517932903692</v>
          </cell>
          <cell r="BZ290">
            <v>4.6176278151453509</v>
          </cell>
          <cell r="CA290">
            <v>4.6449934974543368</v>
          </cell>
          <cell r="CB290">
            <v>4.6725286348090487</v>
          </cell>
          <cell r="CC290">
            <v>4.7002342765168708</v>
          </cell>
          <cell r="CD290">
            <v>4.6588460559814013</v>
          </cell>
          <cell r="CF290">
            <v>4.6583797644106859</v>
          </cell>
          <cell r="CG290">
            <v>4.6629157071542693E-4</v>
          </cell>
        </row>
        <row r="292">
          <cell r="A292" t="str">
            <v>Production x price</v>
          </cell>
          <cell r="F292">
            <v>6531.8994749999993</v>
          </cell>
          <cell r="G292">
            <v>7741.8762999999999</v>
          </cell>
          <cell r="L292">
            <v>7784.8075999999992</v>
          </cell>
          <cell r="Q292">
            <v>8177.3942999999999</v>
          </cell>
          <cell r="V292">
            <v>9481.1451000000015</v>
          </cell>
          <cell r="AA292">
            <v>5469.5249999999996</v>
          </cell>
          <cell r="AF292">
            <v>6221.8228499999996</v>
          </cell>
          <cell r="AK292">
            <v>6493.2441499999995</v>
          </cell>
          <cell r="AP292">
            <v>6510.5488000000005</v>
          </cell>
          <cell r="AQ292">
            <v>1946.6618805849598</v>
          </cell>
          <cell r="AR292">
            <v>1786.85853789716</v>
          </cell>
          <cell r="AS292">
            <v>1698.8770265204641</v>
          </cell>
          <cell r="AT292">
            <v>1592.8898323191038</v>
          </cell>
          <cell r="AU292">
            <v>7025.2872773216877</v>
          </cell>
          <cell r="AV292">
            <v>1837.2566726976008</v>
          </cell>
          <cell r="AW292">
            <v>1889.5076696589572</v>
          </cell>
          <cell r="AX292">
            <v>1934.0442633801438</v>
          </cell>
          <cell r="AY292">
            <v>1957.8170365556275</v>
          </cell>
          <cell r="AZ292">
            <v>7618.6256422923288</v>
          </cell>
          <cell r="BA292">
            <v>1810.7027980330488</v>
          </cell>
          <cell r="BB292">
            <v>1832.0795488539663</v>
          </cell>
          <cell r="BC292">
            <v>1845.7981607108181</v>
          </cell>
          <cell r="BD292">
            <v>1839.3840302725716</v>
          </cell>
          <cell r="BE292">
            <v>7327.9645378704045</v>
          </cell>
          <cell r="BF292">
            <v>1757.9236738342595</v>
          </cell>
          <cell r="BG292">
            <v>1829.8753863445047</v>
          </cell>
          <cell r="BH292">
            <v>1895.7782855890903</v>
          </cell>
          <cell r="BI292">
            <v>1941.5726641046151</v>
          </cell>
          <cell r="BJ292">
            <v>7425.1500098724691</v>
          </cell>
          <cell r="BK292">
            <v>1879.4015841179867</v>
          </cell>
          <cell r="BL292">
            <v>1894.1646840179692</v>
          </cell>
          <cell r="BM292">
            <v>1901.2544892397095</v>
          </cell>
          <cell r="BN292">
            <v>1887.239618238749</v>
          </cell>
          <cell r="BO292">
            <v>7562.0603756144146</v>
          </cell>
          <cell r="BP292">
            <v>1904.2098883879396</v>
          </cell>
          <cell r="BQ292">
            <v>1999.5916810410974</v>
          </cell>
          <cell r="BR292">
            <v>2089.9861506659681</v>
          </cell>
          <cell r="BS292">
            <v>2159.2559001956088</v>
          </cell>
          <cell r="BT292">
            <v>8153.0436202906139</v>
          </cell>
          <cell r="BU292">
            <v>2149.5962303159445</v>
          </cell>
          <cell r="BV292">
            <v>2226.8692068888181</v>
          </cell>
          <cell r="BW292">
            <v>2298.1675383129282</v>
          </cell>
          <cell r="BX292">
            <v>2345.5242454320855</v>
          </cell>
          <cell r="BY292">
            <v>9020.1572209497754</v>
          </cell>
          <cell r="BZ292">
            <v>2328.7355517190222</v>
          </cell>
          <cell r="CA292">
            <v>2405.2681965034067</v>
          </cell>
          <cell r="CB292">
            <v>2475.4980178286769</v>
          </cell>
          <cell r="CC292">
            <v>2519.7754896605798</v>
          </cell>
          <cell r="CD292">
            <v>9729.2772557116859</v>
          </cell>
          <cell r="CF292">
            <v>15009.764308333039</v>
          </cell>
          <cell r="CG292">
            <v>-5280.4870526213526</v>
          </cell>
        </row>
        <row r="293">
          <cell r="A293" t="str">
            <v>Difference with actual</v>
          </cell>
          <cell r="F293">
            <v>4.3647414674886864E-2</v>
          </cell>
          <cell r="G293">
            <v>2.0424467386543022E-2</v>
          </cell>
          <cell r="L293">
            <v>0.10535808232434674</v>
          </cell>
          <cell r="Q293">
            <v>8.3963873430928926E-2</v>
          </cell>
          <cell r="V293">
            <v>0.10260943058449756</v>
          </cell>
          <cell r="AA293">
            <v>6.5723257504079591E-2</v>
          </cell>
          <cell r="AF293">
            <v>7.6854832020812003E-2</v>
          </cell>
          <cell r="AK293">
            <v>0.13733594939595806</v>
          </cell>
          <cell r="AP293">
            <v>0.14875108531557268</v>
          </cell>
          <cell r="AQ293">
            <v>0.12</v>
          </cell>
          <cell r="AR293">
            <v>0.12</v>
          </cell>
          <cell r="AS293">
            <v>0.12</v>
          </cell>
          <cell r="AT293">
            <v>0.12</v>
          </cell>
          <cell r="AU293">
            <v>0.12</v>
          </cell>
          <cell r="AV293">
            <v>0.12</v>
          </cell>
          <cell r="AW293">
            <v>0.12</v>
          </cell>
          <cell r="AX293">
            <v>0.12</v>
          </cell>
          <cell r="AY293">
            <v>0.12</v>
          </cell>
          <cell r="AZ293">
            <v>0.12</v>
          </cell>
          <cell r="BA293">
            <v>0.12</v>
          </cell>
          <cell r="BB293">
            <v>0.12</v>
          </cell>
          <cell r="BC293">
            <v>0.12</v>
          </cell>
          <cell r="BD293">
            <v>0.12</v>
          </cell>
          <cell r="BE293">
            <v>0.12</v>
          </cell>
          <cell r="BF293">
            <v>0.12</v>
          </cell>
          <cell r="BG293">
            <v>0.12</v>
          </cell>
          <cell r="BH293">
            <v>0.12</v>
          </cell>
          <cell r="BI293">
            <v>0.12</v>
          </cell>
          <cell r="BJ293">
            <v>0.12</v>
          </cell>
          <cell r="BK293">
            <v>0.12</v>
          </cell>
          <cell r="BL293">
            <v>0.12</v>
          </cell>
          <cell r="BM293">
            <v>0.12</v>
          </cell>
          <cell r="BN293">
            <v>0.12</v>
          </cell>
          <cell r="BO293">
            <v>0.12</v>
          </cell>
          <cell r="BP293">
            <v>0.12</v>
          </cell>
          <cell r="BQ293">
            <v>0.12</v>
          </cell>
          <cell r="BR293">
            <v>0.12</v>
          </cell>
          <cell r="BS293">
            <v>0.12</v>
          </cell>
          <cell r="BT293">
            <v>0.12</v>
          </cell>
          <cell r="BU293">
            <v>0.12</v>
          </cell>
          <cell r="BV293">
            <v>0.12</v>
          </cell>
          <cell r="BW293">
            <v>0.12</v>
          </cell>
          <cell r="BX293">
            <v>0.12</v>
          </cell>
          <cell r="BY293">
            <v>0.12</v>
          </cell>
          <cell r="BZ293">
            <v>0.12</v>
          </cell>
          <cell r="CA293">
            <v>0.12</v>
          </cell>
          <cell r="CB293">
            <v>0.12</v>
          </cell>
          <cell r="CC293">
            <v>0.12</v>
          </cell>
          <cell r="CD293">
            <v>0.12</v>
          </cell>
          <cell r="CF293">
            <v>0.12</v>
          </cell>
          <cell r="CG293">
            <v>0</v>
          </cell>
        </row>
        <row r="295">
          <cell r="A295" t="str">
            <v>Per barrel of oil equivalent</v>
          </cell>
        </row>
        <row r="296">
          <cell r="B296" t="str">
            <v>Production cost excluding taxes</v>
          </cell>
          <cell r="C296">
            <v>2.4157110565049495</v>
          </cell>
          <cell r="D296">
            <v>2.6976215888060944</v>
          </cell>
          <cell r="E296">
            <v>2.9907604025853911</v>
          </cell>
          <cell r="F296">
            <v>4.2757218752778288</v>
          </cell>
          <cell r="G296">
            <v>6.0786445611840909</v>
          </cell>
          <cell r="L296">
            <v>7.6363137233370839</v>
          </cell>
          <cell r="Q296">
            <v>7.8804865081292537</v>
          </cell>
          <cell r="V296">
            <v>9.5638101306148453</v>
          </cell>
          <cell r="AA296">
            <v>12.110441288899471</v>
          </cell>
          <cell r="AF296">
            <v>12.898060843266324</v>
          </cell>
          <cell r="AK296">
            <v>17.91110522408519</v>
          </cell>
          <cell r="AP296">
            <v>20.144600532297609</v>
          </cell>
          <cell r="AQ296">
            <v>20</v>
          </cell>
          <cell r="AR296">
            <v>20</v>
          </cell>
          <cell r="AS296">
            <v>20</v>
          </cell>
          <cell r="AT296">
            <v>20</v>
          </cell>
          <cell r="AU296">
            <v>20</v>
          </cell>
          <cell r="AV296">
            <v>21</v>
          </cell>
          <cell r="AW296">
            <v>21</v>
          </cell>
          <cell r="AX296">
            <v>21</v>
          </cell>
          <cell r="AY296">
            <v>21</v>
          </cell>
          <cell r="AZ296">
            <v>21</v>
          </cell>
          <cell r="BA296">
            <v>21.524999999999999</v>
          </cell>
          <cell r="BB296">
            <v>21.524999999999999</v>
          </cell>
          <cell r="BC296">
            <v>21.524999999999999</v>
          </cell>
          <cell r="BD296">
            <v>21.524999999999999</v>
          </cell>
          <cell r="BE296">
            <v>21.524999999999999</v>
          </cell>
          <cell r="BF296">
            <v>22.063124999999996</v>
          </cell>
          <cell r="BG296">
            <v>22.063124999999996</v>
          </cell>
          <cell r="BH296">
            <v>22.063124999999996</v>
          </cell>
          <cell r="BI296">
            <v>22.063124999999996</v>
          </cell>
          <cell r="BJ296">
            <v>22.063124999999996</v>
          </cell>
          <cell r="BK296">
            <v>22.614703124999995</v>
          </cell>
          <cell r="BL296">
            <v>22.614703124999995</v>
          </cell>
          <cell r="BM296">
            <v>22.614703124999995</v>
          </cell>
          <cell r="BN296">
            <v>22.614703124999995</v>
          </cell>
          <cell r="BO296">
            <v>22.614703124999995</v>
          </cell>
          <cell r="BP296">
            <v>23.180070703124994</v>
          </cell>
          <cell r="BQ296">
            <v>23.180070703124994</v>
          </cell>
          <cell r="BR296">
            <v>23.180070703124994</v>
          </cell>
          <cell r="BS296">
            <v>23.180070703124994</v>
          </cell>
          <cell r="BT296">
            <v>23.180070703124994</v>
          </cell>
          <cell r="BU296">
            <v>23.759572470703116</v>
          </cell>
          <cell r="BV296">
            <v>23.759572470703116</v>
          </cell>
          <cell r="BW296">
            <v>23.759572470703116</v>
          </cell>
          <cell r="BX296">
            <v>23.759572470703116</v>
          </cell>
          <cell r="BY296">
            <v>23.759572470703116</v>
          </cell>
          <cell r="BZ296">
            <v>24.353561782470692</v>
          </cell>
          <cell r="CA296">
            <v>24.353561782470692</v>
          </cell>
          <cell r="CB296">
            <v>24.353561782470692</v>
          </cell>
          <cell r="CC296">
            <v>24.353561782470692</v>
          </cell>
          <cell r="CD296">
            <v>24.353561782470692</v>
          </cell>
          <cell r="CF296">
            <v>23.773715073364247</v>
          </cell>
          <cell r="CG296">
            <v>0.57984670910644454</v>
          </cell>
        </row>
        <row r="297">
          <cell r="B297" t="str">
            <v>Taxes other than income tax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0.49286307252843981</v>
          </cell>
          <cell r="L297">
            <v>0.45219205534356377</v>
          </cell>
          <cell r="Q297">
            <v>0.4695297919497301</v>
          </cell>
          <cell r="V297">
            <v>0.7464797706275883</v>
          </cell>
          <cell r="AA297">
            <v>0.40707365676973017</v>
          </cell>
          <cell r="AF297">
            <v>0.75870946136860729</v>
          </cell>
          <cell r="AK297">
            <v>0.52705995422495078</v>
          </cell>
          <cell r="AP297">
            <v>0.3160255111663744</v>
          </cell>
          <cell r="AQ297">
            <v>0.61990573545744043</v>
          </cell>
          <cell r="AR297">
            <v>0.63254242813101547</v>
          </cell>
          <cell r="AS297">
            <v>0.63734982877209134</v>
          </cell>
          <cell r="AT297">
            <v>0.59032168032186272</v>
          </cell>
          <cell r="AU297">
            <v>0.61984993621740969</v>
          </cell>
          <cell r="AV297">
            <v>0.65554308312653797</v>
          </cell>
          <cell r="AW297">
            <v>0.65803398466995422</v>
          </cell>
          <cell r="AX297">
            <v>0.6594412894225401</v>
          </cell>
          <cell r="AY297">
            <v>0.66082023190790462</v>
          </cell>
          <cell r="AZ297">
            <v>0.65857182470153419</v>
          </cell>
          <cell r="BA297">
            <v>0.61418212560970797</v>
          </cell>
          <cell r="BB297">
            <v>0.61357120081089711</v>
          </cell>
          <cell r="BC297">
            <v>0.61208331803482052</v>
          </cell>
          <cell r="BD297">
            <v>0.61059233244534494</v>
          </cell>
          <cell r="BE297">
            <v>0.61259609848804186</v>
          </cell>
          <cell r="BF297">
            <v>0.5806338127678119</v>
          </cell>
          <cell r="BG297">
            <v>0.58575079389489138</v>
          </cell>
          <cell r="BH297">
            <v>0.58993529769665043</v>
          </cell>
          <cell r="BI297">
            <v>0.59397841222504399</v>
          </cell>
          <cell r="BJ297">
            <v>0.58782059272148002</v>
          </cell>
          <cell r="BK297">
            <v>0.59641603631804319</v>
          </cell>
          <cell r="BL297">
            <v>0.60029999054795624</v>
          </cell>
          <cell r="BM297">
            <v>0.60344317557315919</v>
          </cell>
          <cell r="BN297">
            <v>0.60657278355553068</v>
          </cell>
          <cell r="BO297">
            <v>0.60160063236146666</v>
          </cell>
          <cell r="BP297">
            <v>0.61389261898453151</v>
          </cell>
          <cell r="BQ297">
            <v>0.62265304760216644</v>
          </cell>
          <cell r="BR297">
            <v>0.63058016482296642</v>
          </cell>
          <cell r="BS297">
            <v>0.63844094443609156</v>
          </cell>
          <cell r="BT297">
            <v>0.62681761346424059</v>
          </cell>
          <cell r="BU297">
            <v>0.64323481672764493</v>
          </cell>
          <cell r="BV297">
            <v>0.64944032925154971</v>
          </cell>
          <cell r="BW297">
            <v>0.65496506738385574</v>
          </cell>
          <cell r="BX297">
            <v>0.66050742685736619</v>
          </cell>
          <cell r="BY297">
            <v>0.65226514371365674</v>
          </cell>
          <cell r="BZ297">
            <v>0.66555023726413387</v>
          </cell>
          <cell r="CA297">
            <v>0.67196870546900855</v>
          </cell>
          <cell r="CB297">
            <v>0.67773461753452291</v>
          </cell>
          <cell r="CC297">
            <v>0.68352466176175886</v>
          </cell>
          <cell r="CD297">
            <v>0.67489204669682024</v>
          </cell>
          <cell r="CF297">
            <v>0.62777294569341946</v>
          </cell>
        </row>
        <row r="298">
          <cell r="B298" t="str">
            <v>Exploration expense</v>
          </cell>
          <cell r="C298">
            <v>1.4075413212296983</v>
          </cell>
          <cell r="D298">
            <v>1.1404206716684506</v>
          </cell>
          <cell r="E298">
            <v>1.3639454572321434</v>
          </cell>
          <cell r="F298">
            <v>1.9622608866985605</v>
          </cell>
          <cell r="G298">
            <v>2.3884902745609007</v>
          </cell>
          <cell r="L298">
            <v>2.9997529305185711</v>
          </cell>
          <cell r="Q298">
            <v>4.2828731022441593</v>
          </cell>
          <cell r="V298">
            <v>5.0258043963045553</v>
          </cell>
          <cell r="AA298">
            <v>4.4341951898131322</v>
          </cell>
          <cell r="AF298">
            <v>5.5385790679908329</v>
          </cell>
          <cell r="AK298">
            <v>6.6552485745353946</v>
          </cell>
          <cell r="AP298">
            <v>6.4906778062632284</v>
          </cell>
          <cell r="AQ298">
            <v>6.0800346311656988</v>
          </cell>
          <cell r="AR298">
            <v>12.808367317523839</v>
          </cell>
          <cell r="AS298">
            <v>18.084026987596207</v>
          </cell>
          <cell r="AT298">
            <v>19.283666406051864</v>
          </cell>
          <cell r="AU298">
            <v>13.72106355240169</v>
          </cell>
          <cell r="AV298">
            <v>9.7414657068826909</v>
          </cell>
          <cell r="AW298">
            <v>9.508074251089953</v>
          </cell>
          <cell r="AX298">
            <v>9.3089913494499079</v>
          </cell>
          <cell r="AY298">
            <v>9.2151864718181677</v>
          </cell>
          <cell r="AZ298">
            <v>9.4401610584609017</v>
          </cell>
          <cell r="BA298">
            <v>7.904873929978061</v>
          </cell>
          <cell r="BB298">
            <v>7.804868454530415</v>
          </cell>
          <cell r="BC298">
            <v>7.7280741766302352</v>
          </cell>
          <cell r="BD298">
            <v>7.7361321945362116</v>
          </cell>
          <cell r="BE298">
            <v>7.7928408421103832</v>
          </cell>
          <cell r="BF298">
            <v>6.1057212241252987</v>
          </cell>
          <cell r="BG298">
            <v>5.917333319521032</v>
          </cell>
          <cell r="BH298">
            <v>5.7524320953457648</v>
          </cell>
          <cell r="BI298">
            <v>5.655248267516118</v>
          </cell>
          <cell r="BJ298">
            <v>5.8537506452392938</v>
          </cell>
          <cell r="BK298">
            <v>5.8366143825958394</v>
          </cell>
          <cell r="BL298">
            <v>5.8288365723157254</v>
          </cell>
          <cell r="BM298">
            <v>5.8375068749056327</v>
          </cell>
          <cell r="BN298">
            <v>5.9113565132112775</v>
          </cell>
          <cell r="BO298">
            <v>5.8527424360953928</v>
          </cell>
          <cell r="BP298">
            <v>5.8433103569354614</v>
          </cell>
          <cell r="BQ298">
            <v>5.6439889505705807</v>
          </cell>
          <cell r="BR298">
            <v>5.4686264094800379</v>
          </cell>
          <cell r="BS298">
            <v>5.3591754386629065</v>
          </cell>
          <cell r="BT298">
            <v>5.5739462315242978</v>
          </cell>
          <cell r="BU298">
            <v>5.4470988933231563</v>
          </cell>
          <cell r="BV298">
            <v>5.3088096338503856</v>
          </cell>
          <cell r="BW298">
            <v>5.1878697007110555</v>
          </cell>
          <cell r="BX298">
            <v>5.1261391014378246</v>
          </cell>
          <cell r="BY298">
            <v>5.2652944497280636</v>
          </cell>
          <cell r="BZ298">
            <v>5.2025142374609556</v>
          </cell>
          <cell r="CA298">
            <v>5.085552559498737</v>
          </cell>
          <cell r="CB298">
            <v>4.9836747882714834</v>
          </cell>
          <cell r="CC298">
            <v>4.9379302343696017</v>
          </cell>
          <cell r="CD298">
            <v>5.0508716203964594</v>
          </cell>
          <cell r="CF298">
            <v>3.2910732619932266</v>
          </cell>
        </row>
        <row r="299">
          <cell r="B299" t="str">
            <v>DD&amp;A</v>
          </cell>
          <cell r="C299">
            <v>5.4353498771361357</v>
          </cell>
          <cell r="D299">
            <v>6.6913839409944034</v>
          </cell>
          <cell r="E299">
            <v>8.2679893716581212</v>
          </cell>
          <cell r="F299">
            <v>9.0587327866055709</v>
          </cell>
          <cell r="G299">
            <v>10.293255707036263</v>
          </cell>
          <cell r="L299">
            <v>11.610508688610095</v>
          </cell>
          <cell r="Q299">
            <v>13.851128862517038</v>
          </cell>
          <cell r="V299">
            <v>16.008665179993628</v>
          </cell>
          <cell r="AA299">
            <v>17.736780759252529</v>
          </cell>
          <cell r="AF299">
            <v>14.096821792228722</v>
          </cell>
          <cell r="AK299">
            <v>21.680923879728059</v>
          </cell>
          <cell r="AP299">
            <v>31.09204836783022</v>
          </cell>
          <cell r="AQ299">
            <v>22.942372910753782</v>
          </cell>
          <cell r="AR299">
            <v>22.942372910753782</v>
          </cell>
          <cell r="AS299">
            <v>22.942372910753782</v>
          </cell>
          <cell r="AT299">
            <v>22.942372910753782</v>
          </cell>
          <cell r="AU299">
            <v>22.942372910753782</v>
          </cell>
          <cell r="AV299">
            <v>24.884745821507565</v>
          </cell>
          <cell r="AW299">
            <v>24.884745821507565</v>
          </cell>
          <cell r="AX299">
            <v>24.884745821507565</v>
          </cell>
          <cell r="AY299">
            <v>24.884745821507565</v>
          </cell>
          <cell r="AZ299">
            <v>24.884745821507565</v>
          </cell>
          <cell r="BA299">
            <v>24.436619002125159</v>
          </cell>
          <cell r="BB299">
            <v>24.436619002125159</v>
          </cell>
          <cell r="BC299">
            <v>24.436619002125159</v>
          </cell>
          <cell r="BD299">
            <v>24.436619002125159</v>
          </cell>
          <cell r="BE299">
            <v>24.436619002125159</v>
          </cell>
          <cell r="BF299">
            <v>23.988492182742753</v>
          </cell>
          <cell r="BG299">
            <v>23.988492182742753</v>
          </cell>
          <cell r="BH299">
            <v>23.988492182742753</v>
          </cell>
          <cell r="BI299">
            <v>23.988492182742753</v>
          </cell>
          <cell r="BJ299">
            <v>23.988492182742753</v>
          </cell>
          <cell r="BK299">
            <v>23.540365363360348</v>
          </cell>
          <cell r="BL299">
            <v>23.540365363360348</v>
          </cell>
          <cell r="BM299">
            <v>23.540365363360348</v>
          </cell>
          <cell r="BN299">
            <v>23.540365363360348</v>
          </cell>
          <cell r="BO299">
            <v>23.540365363360348</v>
          </cell>
          <cell r="BP299">
            <v>23.092238543977942</v>
          </cell>
          <cell r="BQ299">
            <v>23.092238543977942</v>
          </cell>
          <cell r="BR299">
            <v>23.092238543977942</v>
          </cell>
          <cell r="BS299">
            <v>23.092238543977942</v>
          </cell>
          <cell r="BT299">
            <v>23.092238543977942</v>
          </cell>
          <cell r="BU299">
            <v>22.644111724595536</v>
          </cell>
          <cell r="BV299">
            <v>22.644111724595536</v>
          </cell>
          <cell r="BW299">
            <v>22.644111724595536</v>
          </cell>
          <cell r="BX299">
            <v>22.644111724595536</v>
          </cell>
          <cell r="BY299">
            <v>22.644111724595536</v>
          </cell>
          <cell r="BZ299">
            <v>22.195984905213123</v>
          </cell>
          <cell r="CA299">
            <v>22.195984905213123</v>
          </cell>
          <cell r="CB299">
            <v>22.195984905213123</v>
          </cell>
          <cell r="CC299">
            <v>22.195984905213123</v>
          </cell>
          <cell r="CD299">
            <v>22.195984905213123</v>
          </cell>
          <cell r="CF299">
            <v>22.982964648220225</v>
          </cell>
          <cell r="CG299">
            <v>-0.78697974300710172</v>
          </cell>
        </row>
        <row r="300">
          <cell r="B300" t="str">
            <v>Other income/(cost)</v>
          </cell>
          <cell r="C300">
            <v>1.2711705357818384</v>
          </cell>
          <cell r="D300">
            <v>1.0121805961394683</v>
          </cell>
          <cell r="E300">
            <v>-0.14879404987987019</v>
          </cell>
          <cell r="F300">
            <v>1.7782989285705704</v>
          </cell>
          <cell r="G300">
            <v>2.1862900396774383</v>
          </cell>
          <cell r="L300">
            <v>4.1334175199714487</v>
          </cell>
          <cell r="Q300">
            <v>2.5253088810269269</v>
          </cell>
          <cell r="V300">
            <v>0.56170755017521501</v>
          </cell>
          <cell r="AA300">
            <v>4.7467696048327461</v>
          </cell>
          <cell r="AF300">
            <v>4.0059859560262465</v>
          </cell>
          <cell r="AK300">
            <v>-7.1197759918184023</v>
          </cell>
          <cell r="AP300">
            <v>4.562111866324841</v>
          </cell>
          <cell r="AQ300">
            <v>2.8432634825877749</v>
          </cell>
          <cell r="AR300">
            <v>3.160686831883289</v>
          </cell>
          <cell r="AS300">
            <v>3.3496382506475899</v>
          </cell>
          <cell r="AT300">
            <v>3.308910121495567</v>
          </cell>
          <cell r="AU300">
            <v>3.1511163669437892</v>
          </cell>
          <cell r="AV300">
            <v>3.1857624082580229</v>
          </cell>
          <cell r="AW300">
            <v>3.109436139845684</v>
          </cell>
          <cell r="AX300">
            <v>3.0443298362097049</v>
          </cell>
          <cell r="AY300">
            <v>3.013652722327417</v>
          </cell>
          <cell r="AZ300">
            <v>3.0872264126226492</v>
          </cell>
          <cell r="BA300">
            <v>3.0285306813548187</v>
          </cell>
          <cell r="BB300">
            <v>2.9902163890106879</v>
          </cell>
          <cell r="BC300">
            <v>2.9607948158352859</v>
          </cell>
          <cell r="BD300">
            <v>2.9638820193347137</v>
          </cell>
          <cell r="BE300">
            <v>2.9856083467370009</v>
          </cell>
          <cell r="BF300">
            <v>2.9490645972323115</v>
          </cell>
          <cell r="BG300">
            <v>2.8580732008645859</v>
          </cell>
          <cell r="BH300">
            <v>2.7784258759369371</v>
          </cell>
          <cell r="BI300">
            <v>2.7314860672631487</v>
          </cell>
          <cell r="BJ300">
            <v>2.8273627562113433</v>
          </cell>
          <cell r="BK300">
            <v>2.8334248658783681</v>
          </cell>
          <cell r="BL300">
            <v>2.8296490740228237</v>
          </cell>
          <cell r="BM300">
            <v>2.8338581324499468</v>
          </cell>
          <cell r="BN300">
            <v>2.8697089507146054</v>
          </cell>
          <cell r="BO300">
            <v>2.8412543411234892</v>
          </cell>
          <cell r="BP300">
            <v>2.8784558527402768</v>
          </cell>
          <cell r="BQ300">
            <v>2.780268723582155</v>
          </cell>
          <cell r="BR300">
            <v>2.6938839002680277</v>
          </cell>
          <cell r="BS300">
            <v>2.639967580871653</v>
          </cell>
          <cell r="BT300">
            <v>2.7457651866715547</v>
          </cell>
          <cell r="BU300">
            <v>2.6717426861381801</v>
          </cell>
          <cell r="BV300">
            <v>2.6039133103908942</v>
          </cell>
          <cell r="BW300">
            <v>2.5445935902692138</v>
          </cell>
          <cell r="BX300">
            <v>2.5143154035960573</v>
          </cell>
          <cell r="BY300">
            <v>2.5825695864762652</v>
          </cell>
          <cell r="BZ300">
            <v>2.5517765760603086</v>
          </cell>
          <cell r="CA300">
            <v>2.4944081467782464</v>
          </cell>
          <cell r="CB300">
            <v>2.4444382094800425</v>
          </cell>
          <cell r="CC300">
            <v>2.4220010039672486</v>
          </cell>
          <cell r="CD300">
            <v>2.477397523837567</v>
          </cell>
          <cell r="CF300">
            <v>1.4937251435551382</v>
          </cell>
        </row>
        <row r="301">
          <cell r="B301" t="str">
            <v>Earnings before tax</v>
          </cell>
          <cell r="F301">
            <v>20.927066388256808</v>
          </cell>
          <cell r="G301">
            <v>28.478639331867669</v>
          </cell>
          <cell r="L301">
            <v>27.972218409421579</v>
          </cell>
          <cell r="Q301">
            <v>27.232727933084345</v>
          </cell>
          <cell r="V301">
            <v>45.357884676648609</v>
          </cell>
          <cell r="AA301">
            <v>2.9367456666959102</v>
          </cell>
          <cell r="AF301">
            <v>13.535376790815953</v>
          </cell>
          <cell r="AK301">
            <v>26.317264832994997</v>
          </cell>
          <cell r="AP301">
            <v>-2.0014949040537044</v>
          </cell>
          <cell r="AQ301">
            <v>9.5049967857793369</v>
          </cell>
          <cell r="AR301">
            <v>3.7102733248096169</v>
          </cell>
          <cell r="AS301">
            <v>-1.2784051005605319</v>
          </cell>
          <cell r="AT301">
            <v>-7.0931030864368196</v>
          </cell>
          <cell r="AU301">
            <v>1.5689238305750941</v>
          </cell>
          <cell r="AV301">
            <v>6.0867912928789805</v>
          </cell>
          <cell r="AW301">
            <v>6.6431082698822639</v>
          </cell>
          <cell r="AX301">
            <v>7.0466206456642846</v>
          </cell>
          <cell r="AY301">
            <v>7.3076179432294088</v>
          </cell>
          <cell r="AZ301">
            <v>6.7815297607224467</v>
          </cell>
          <cell r="BA301">
            <v>3.9090068219030463</v>
          </cell>
          <cell r="BB301">
            <v>3.9868450346125641</v>
          </cell>
          <cell r="BC301">
            <v>3.9457604908565438</v>
          </cell>
          <cell r="BD301">
            <v>3.7870076960930565</v>
          </cell>
          <cell r="BE301">
            <v>3.9069758754829844</v>
          </cell>
          <cell r="BF301">
            <v>2.3763444599130077</v>
          </cell>
          <cell r="BG301">
            <v>3.1623048924658987</v>
          </cell>
          <cell r="BH301">
            <v>3.8211193179429439</v>
          </cell>
          <cell r="BI301">
            <v>4.3655112927573381</v>
          </cell>
          <cell r="BJ301">
            <v>3.4534418868218735</v>
          </cell>
          <cell r="BK301">
            <v>4.2200798586517214</v>
          </cell>
          <cell r="BL301">
            <v>4.616144929548784</v>
          </cell>
          <cell r="BM301">
            <v>4.9144408860268394</v>
          </cell>
          <cell r="BN301">
            <v>5.1145716197113265</v>
          </cell>
          <cell r="BO301">
            <v>4.7144858870212918</v>
          </cell>
          <cell r="BP301">
            <v>5.781293822689948</v>
          </cell>
          <cell r="BQ301">
            <v>6.9460847913587997</v>
          </cell>
          <cell r="BR301">
            <v>7.9926167606226759</v>
          </cell>
          <cell r="BS301">
            <v>8.9342012325355604</v>
          </cell>
          <cell r="BT301">
            <v>7.4533649286510588</v>
          </cell>
          <cell r="BU301">
            <v>9.1577210812768488</v>
          </cell>
          <cell r="BV301">
            <v>9.9781854563634838</v>
          </cell>
          <cell r="BW301">
            <v>10.705394184722802</v>
          </cell>
          <cell r="BX301">
            <v>11.346096558546723</v>
          </cell>
          <cell r="BY301">
            <v>10.316932426065542</v>
          </cell>
          <cell r="BZ301">
            <v>11.585635987944167</v>
          </cell>
          <cell r="CA301">
            <v>12.395394447471041</v>
          </cell>
          <cell r="CB301">
            <v>13.118067450482434</v>
          </cell>
          <cell r="CC301">
            <v>13.759463588393468</v>
          </cell>
          <cell r="CD301">
            <v>12.731979729005099</v>
          </cell>
          <cell r="CF301">
            <v>10.603068095891389</v>
          </cell>
        </row>
        <row r="303">
          <cell r="B303" t="str">
            <v>Suggested DD&amp;A/boe for convergence</v>
          </cell>
          <cell r="C303">
            <v>5.4353498771361357</v>
          </cell>
          <cell r="D303">
            <v>6.6913839409944034</v>
          </cell>
          <cell r="E303">
            <v>8.2679893716581212</v>
          </cell>
          <cell r="F303">
            <v>9.0587327866055709</v>
          </cell>
          <cell r="G303">
            <v>10.293255707036263</v>
          </cell>
          <cell r="L303">
            <v>11.610508688610095</v>
          </cell>
          <cell r="Q303">
            <v>13.851128862517038</v>
          </cell>
          <cell r="V303">
            <v>16.008665179993628</v>
          </cell>
          <cell r="AA303">
            <v>17.736780759252529</v>
          </cell>
          <cell r="AF303">
            <v>14.096821792228722</v>
          </cell>
          <cell r="AK303">
            <v>21.680923879728059</v>
          </cell>
          <cell r="AP303">
            <v>31.09204836783022</v>
          </cell>
          <cell r="AU303">
            <v>22.942372910753782</v>
          </cell>
          <cell r="AZ303">
            <v>24.884745821507565</v>
          </cell>
          <cell r="BE303">
            <v>24.436619002125159</v>
          </cell>
          <cell r="BJ303">
            <v>23.988492182742753</v>
          </cell>
          <cell r="BO303">
            <v>23.540365363360348</v>
          </cell>
          <cell r="BT303">
            <v>23.092238543977942</v>
          </cell>
          <cell r="BY303">
            <v>22.644111724595536</v>
          </cell>
          <cell r="CD303">
            <v>22.195984905213123</v>
          </cell>
          <cell r="CF303">
            <v>22.982964648220225</v>
          </cell>
          <cell r="CG303">
            <v>-0.78697974300710172</v>
          </cell>
        </row>
        <row r="305">
          <cell r="A305" t="str">
            <v>As percent of revenue</v>
          </cell>
        </row>
        <row r="306">
          <cell r="B306" t="str">
            <v>Production cost excluding taxes</v>
          </cell>
          <cell r="C306">
            <v>9.7695489462280877E-2</v>
          </cell>
          <cell r="D306">
            <v>0.12119341563786008</v>
          </cell>
          <cell r="E306">
            <v>9.4469685101049666E-2</v>
          </cell>
          <cell r="F306">
            <v>0.11251283555816341</v>
          </cell>
          <cell r="G306">
            <v>0.12177215189873418</v>
          </cell>
          <cell r="L306">
            <v>0.13933759442184776</v>
          </cell>
          <cell r="Q306">
            <v>0.14011732851985559</v>
          </cell>
          <cell r="V306">
            <v>0.12378037114979912</v>
          </cell>
          <cell r="AA306">
            <v>0.28581231772173615</v>
          </cell>
          <cell r="AF306">
            <v>0.2537313432835821</v>
          </cell>
          <cell r="AK306">
            <v>0.27149627623561273</v>
          </cell>
          <cell r="AP306">
            <v>0.33239737932878727</v>
          </cell>
          <cell r="AQ306">
            <v>0.32262969764655619</v>
          </cell>
          <cell r="AR306">
            <v>0.31618432393688378</v>
          </cell>
          <cell r="AS306">
            <v>0.3137994096355482</v>
          </cell>
          <cell r="AT306">
            <v>0.33879833092180101</v>
          </cell>
          <cell r="AU306">
            <v>0.32252099135373907</v>
          </cell>
          <cell r="AV306">
            <v>0.32034507785274607</v>
          </cell>
          <cell r="AW306">
            <v>0.31913245347856661</v>
          </cell>
          <cell r="AX306">
            <v>0.3184513972182314</v>
          </cell>
          <cell r="AY306">
            <v>0.31778688039513098</v>
          </cell>
          <cell r="AZ306">
            <v>0.31890620838948963</v>
          </cell>
          <cell r="BA306">
            <v>0.35046607679492142</v>
          </cell>
          <cell r="BB306">
            <v>0.35081503127188018</v>
          </cell>
          <cell r="BC306">
            <v>0.35166781001496722</v>
          </cell>
          <cell r="BD306">
            <v>0.35252653622090374</v>
          </cell>
          <cell r="BE306">
            <v>0.35137321075507721</v>
          </cell>
          <cell r="BF306">
            <v>0.37998346832107011</v>
          </cell>
          <cell r="BG306">
            <v>0.3766640221397472</v>
          </cell>
          <cell r="BH306">
            <v>0.37399228502080639</v>
          </cell>
          <cell r="BI306">
            <v>0.37144658031175742</v>
          </cell>
          <cell r="BJ306">
            <v>0.37540347782669486</v>
          </cell>
          <cell r="BK306">
            <v>0.37917664428695108</v>
          </cell>
          <cell r="BL306">
            <v>0.37672336300317449</v>
          </cell>
          <cell r="BM306">
            <v>0.37476110494613213</v>
          </cell>
          <cell r="BN306">
            <v>0.37282752767837712</v>
          </cell>
          <cell r="BO306">
            <v>0.37586745526658122</v>
          </cell>
          <cell r="BP306">
            <v>0.37759161759377774</v>
          </cell>
          <cell r="BQ306">
            <v>0.37227908531711718</v>
          </cell>
          <cell r="BR306">
            <v>0.36759910945871144</v>
          </cell>
          <cell r="BS306">
            <v>0.36307305953879565</v>
          </cell>
          <cell r="BT306">
            <v>0.36988205733280977</v>
          </cell>
          <cell r="BU306">
            <v>0.36937634364346406</v>
          </cell>
          <cell r="BV306">
            <v>0.36584689001505244</v>
          </cell>
          <cell r="BW306">
            <v>0.36276091128961435</v>
          </cell>
          <cell r="BX306">
            <v>0.35971696160554895</v>
          </cell>
          <cell r="BY306">
            <v>0.36430777142951093</v>
          </cell>
          <cell r="BZ306">
            <v>0.36591620615418108</v>
          </cell>
          <cell r="CA306">
            <v>0.36242107086628145</v>
          </cell>
          <cell r="CB306">
            <v>0.35933772825511828</v>
          </cell>
          <cell r="CC306">
            <v>0.35629382734633613</v>
          </cell>
          <cell r="CD306">
            <v>0.36088623530064934</v>
          </cell>
          <cell r="CF306">
            <v>0.37873955876641191</v>
          </cell>
        </row>
        <row r="307">
          <cell r="B307" t="str">
            <v>Taxes other than income tax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9.8734177215189876E-3</v>
          </cell>
          <cell r="L307">
            <v>8.2510168506682163E-3</v>
          </cell>
          <cell r="Q307">
            <v>8.3483754512635386E-3</v>
          </cell>
          <cell r="V307">
            <v>9.6613736368854029E-3</v>
          </cell>
          <cell r="AA307">
            <v>9.6071367301423915E-3</v>
          </cell>
          <cell r="AF307">
            <v>1.4925373134328358E-2</v>
          </cell>
          <cell r="AK307">
            <v>7.9891672308733917E-3</v>
          </cell>
          <cell r="AP307">
            <v>5.2146008824709182E-3</v>
          </cell>
          <cell r="AQ307">
            <v>0.01</v>
          </cell>
          <cell r="AR307">
            <v>0.01</v>
          </cell>
          <cell r="AS307">
            <v>0.01</v>
          </cell>
          <cell r="AT307">
            <v>0.01</v>
          </cell>
          <cell r="AU307">
            <v>0.01</v>
          </cell>
          <cell r="AV307">
            <v>0.01</v>
          </cell>
          <cell r="AW307">
            <v>0.01</v>
          </cell>
          <cell r="AX307">
            <v>0.01</v>
          </cell>
          <cell r="AY307">
            <v>0.01</v>
          </cell>
          <cell r="AZ307">
            <v>0.01</v>
          </cell>
          <cell r="BA307">
            <v>0.01</v>
          </cell>
          <cell r="BB307">
            <v>0.01</v>
          </cell>
          <cell r="BC307">
            <v>0.01</v>
          </cell>
          <cell r="BD307">
            <v>0.01</v>
          </cell>
          <cell r="BE307">
            <v>0.01</v>
          </cell>
          <cell r="BF307">
            <v>0.01</v>
          </cell>
          <cell r="BG307">
            <v>0.01</v>
          </cell>
          <cell r="BH307">
            <v>0.01</v>
          </cell>
          <cell r="BI307">
            <v>0.01</v>
          </cell>
          <cell r="BJ307">
            <v>0.01</v>
          </cell>
          <cell r="BK307">
            <v>0.01</v>
          </cell>
          <cell r="BL307">
            <v>0.01</v>
          </cell>
          <cell r="BM307">
            <v>0.01</v>
          </cell>
          <cell r="BN307">
            <v>0.01</v>
          </cell>
          <cell r="BO307">
            <v>0.01</v>
          </cell>
          <cell r="BP307">
            <v>0.01</v>
          </cell>
          <cell r="BQ307">
            <v>0.01</v>
          </cell>
          <cell r="BR307">
            <v>0.01</v>
          </cell>
          <cell r="BS307">
            <v>0.01</v>
          </cell>
          <cell r="BT307">
            <v>0.01</v>
          </cell>
          <cell r="BU307">
            <v>0.01</v>
          </cell>
          <cell r="BV307">
            <v>0.01</v>
          </cell>
          <cell r="BW307">
            <v>0.01</v>
          </cell>
          <cell r="BX307">
            <v>0.01</v>
          </cell>
          <cell r="BY307">
            <v>0.01</v>
          </cell>
          <cell r="BZ307">
            <v>0.01</v>
          </cell>
          <cell r="CA307">
            <v>0.01</v>
          </cell>
          <cell r="CB307">
            <v>0.01</v>
          </cell>
          <cell r="CC307">
            <v>0.01</v>
          </cell>
          <cell r="CD307">
            <v>0.01</v>
          </cell>
          <cell r="CF307">
            <v>0.01</v>
          </cell>
          <cell r="CG307">
            <v>0</v>
          </cell>
        </row>
        <row r="308">
          <cell r="B308" t="str">
            <v>Exploration expense</v>
          </cell>
          <cell r="C308">
            <v>5.6923379948788655E-2</v>
          </cell>
          <cell r="D308">
            <v>5.1234567901234568E-2</v>
          </cell>
          <cell r="E308">
            <v>4.3083189722700928E-2</v>
          </cell>
          <cell r="F308">
            <v>5.1635616840252307E-2</v>
          </cell>
          <cell r="G308">
            <v>4.7848101265822784E-2</v>
          </cell>
          <cell r="L308">
            <v>5.47356188262638E-2</v>
          </cell>
          <cell r="Q308">
            <v>7.615072202166065E-2</v>
          </cell>
          <cell r="V308">
            <v>6.5046872010713602E-2</v>
          </cell>
          <cell r="AA308">
            <v>0.10464916795333676</v>
          </cell>
          <cell r="AF308">
            <v>0.10895522388059702</v>
          </cell>
          <cell r="AK308">
            <v>0.1008801624915369</v>
          </cell>
          <cell r="AP308">
            <v>0.10709987966305656</v>
          </cell>
          <cell r="AQ308">
            <v>9.807998673667899E-2</v>
          </cell>
          <cell r="AR308">
            <v>0.20249024805132762</v>
          </cell>
          <cell r="AS308">
            <v>0.28373784962705056</v>
          </cell>
          <cell r="AT308">
            <v>0.32666369962115877</v>
          </cell>
          <cell r="AU308">
            <v>0.2213610545180259</v>
          </cell>
          <cell r="AV308">
            <v>0.14860145667958055</v>
          </cell>
          <cell r="AW308">
            <v>0.14449214588603437</v>
          </cell>
          <cell r="AX308">
            <v>0.14116482390117868</v>
          </cell>
          <cell r="AY308">
            <v>0.13945073148278614</v>
          </cell>
          <cell r="AZ308">
            <v>0.14334292334384635</v>
          </cell>
          <cell r="BA308">
            <v>0.12870569820199135</v>
          </cell>
          <cell r="BB308">
            <v>0.12720395683851332</v>
          </cell>
          <cell r="BC308">
            <v>0.126258532930489</v>
          </cell>
          <cell r="BD308">
            <v>0.12669881004817049</v>
          </cell>
          <cell r="BE308">
            <v>0.12721009587465573</v>
          </cell>
          <cell r="BF308">
            <v>0.10515614299174307</v>
          </cell>
          <cell r="BG308">
            <v>0.10102134527508387</v>
          </cell>
          <cell r="BH308">
            <v>9.750954244991987E-2</v>
          </cell>
          <cell r="BI308">
            <v>9.5209659999789392E-2</v>
          </cell>
          <cell r="BJ308">
            <v>9.9583966906258203E-2</v>
          </cell>
          <cell r="BK308">
            <v>9.7861459571543491E-2</v>
          </cell>
          <cell r="BL308">
            <v>9.7098728370712442E-2</v>
          </cell>
          <cell r="BM308">
            <v>9.6736645821888415E-2</v>
          </cell>
          <cell r="BN308">
            <v>9.745502392245238E-2</v>
          </cell>
          <cell r="BO308">
            <v>9.7286174935049305E-2</v>
          </cell>
          <cell r="BP308">
            <v>9.5184567727840633E-2</v>
          </cell>
          <cell r="BQ308">
            <v>9.0644203418027952E-2</v>
          </cell>
          <cell r="BR308">
            <v>8.6723730217796155E-2</v>
          </cell>
          <cell r="BS308">
            <v>8.3941600008070369E-2</v>
          </cell>
          <cell r="BT308">
            <v>8.8924531024562339E-2</v>
          </cell>
          <cell r="BU308">
            <v>8.4682898867856835E-2</v>
          </cell>
          <cell r="BV308">
            <v>8.1744378886487487E-2</v>
          </cell>
          <cell r="BW308">
            <v>7.9208341926281664E-2</v>
          </cell>
          <cell r="BX308">
            <v>7.7609106165959785E-2</v>
          </cell>
          <cell r="BY308">
            <v>8.0723222764138999E-2</v>
          </cell>
          <cell r="BZ308">
            <v>7.8168618177447344E-2</v>
          </cell>
          <cell r="CA308">
            <v>7.568138989373345E-2</v>
          </cell>
          <cell r="CB308">
            <v>7.3534310618530885E-2</v>
          </cell>
          <cell r="CC308">
            <v>7.2242166385661555E-2</v>
          </cell>
          <cell r="CD308">
            <v>7.4839696883632831E-2</v>
          </cell>
          <cell r="CF308">
            <v>5.2424579373327458E-2</v>
          </cell>
        </row>
        <row r="309">
          <cell r="B309" t="str">
            <v>DD&amp;A</v>
          </cell>
          <cell r="C309">
            <v>0.21981485129013198</v>
          </cell>
          <cell r="D309">
            <v>0.30061728395061726</v>
          </cell>
          <cell r="E309">
            <v>0.26116246279179067</v>
          </cell>
          <cell r="F309">
            <v>0.23837465160627841</v>
          </cell>
          <cell r="G309">
            <v>0.20620253164556962</v>
          </cell>
          <cell r="L309">
            <v>0.21185357350377687</v>
          </cell>
          <cell r="Q309">
            <v>0.24627707581227437</v>
          </cell>
          <cell r="V309">
            <v>0.20719341878706715</v>
          </cell>
          <cell r="AA309">
            <v>0.41859667181334703</v>
          </cell>
          <cell r="AF309">
            <v>0.27731343283582088</v>
          </cell>
          <cell r="AK309">
            <v>0.32863913337846989</v>
          </cell>
          <cell r="AP309">
            <v>0.51303650220617725</v>
          </cell>
          <cell r="AQ309">
            <v>0.3700945417745517</v>
          </cell>
          <cell r="AR309">
            <v>0.36270093341472803</v>
          </cell>
          <cell r="AS309">
            <v>0.3599651537516565</v>
          </cell>
          <cell r="AT309">
            <v>0.38864188247744602</v>
          </cell>
          <cell r="AU309">
            <v>0.36996984275917388</v>
          </cell>
          <cell r="AV309">
            <v>0.379605039882697</v>
          </cell>
          <cell r="AW309">
            <v>0.37816809467658186</v>
          </cell>
          <cell r="AX309">
            <v>0.37736105125141095</v>
          </cell>
          <cell r="AY309">
            <v>0.37657360685917429</v>
          </cell>
          <cell r="AZ309">
            <v>0.37789999698443688</v>
          </cell>
          <cell r="BA309">
            <v>0.39787251994457762</v>
          </cell>
          <cell r="BB309">
            <v>0.39826867639533381</v>
          </cell>
          <cell r="BC309">
            <v>0.3992368078349588</v>
          </cell>
          <cell r="BD309">
            <v>0.400211691232014</v>
          </cell>
          <cell r="BE309">
            <v>0.39890235906040644</v>
          </cell>
          <cell r="BF309">
            <v>0.41314321789825648</v>
          </cell>
          <cell r="BG309">
            <v>0.4095340959460535</v>
          </cell>
          <cell r="BH309">
            <v>0.40662920622657561</v>
          </cell>
          <cell r="BI309">
            <v>0.40386134729849571</v>
          </cell>
          <cell r="BJ309">
            <v>0.40816354860066811</v>
          </cell>
          <cell r="BK309">
            <v>0.3946970559122806</v>
          </cell>
          <cell r="BL309">
            <v>0.39214335722165522</v>
          </cell>
          <cell r="BM309">
            <v>0.39010078025990369</v>
          </cell>
          <cell r="BN309">
            <v>0.38808805804596846</v>
          </cell>
          <cell r="BO309">
            <v>0.39125241557518015</v>
          </cell>
          <cell r="BP309">
            <v>0.3761608761834585</v>
          </cell>
          <cell r="BQ309">
            <v>0.37086847374964327</v>
          </cell>
          <cell r="BR309">
            <v>0.36620623089946103</v>
          </cell>
          <cell r="BS309">
            <v>0.36169733074332133</v>
          </cell>
          <cell r="BT309">
            <v>0.36848052840128181</v>
          </cell>
          <cell r="BU309">
            <v>0.35203491999692849</v>
          </cell>
          <cell r="BV309">
            <v>0.3486711666134415</v>
          </cell>
          <cell r="BW309">
            <v>0.34573006794153932</v>
          </cell>
          <cell r="BX309">
            <v>0.34282902513805402</v>
          </cell>
          <cell r="BY309">
            <v>0.34720430633001764</v>
          </cell>
          <cell r="BZ309">
            <v>0.33349826448043629</v>
          </cell>
          <cell r="CA309">
            <v>0.33031277683863525</v>
          </cell>
          <cell r="CB309">
            <v>0.32750259955671351</v>
          </cell>
          <cell r="CC309">
            <v>0.32472836968316277</v>
          </cell>
          <cell r="CD309">
            <v>0.32891391833280165</v>
          </cell>
          <cell r="CF309">
            <v>0.36614209698186562</v>
          </cell>
        </row>
        <row r="310">
          <cell r="B310" t="str">
            <v>Other income/(cost)</v>
          </cell>
          <cell r="C310">
            <v>5.14083119952728E-2</v>
          </cell>
          <cell r="D310">
            <v>4.5473251028806581E-2</v>
          </cell>
          <cell r="E310">
            <v>-4.6999843333855552E-3</v>
          </cell>
          <cell r="F310">
            <v>4.6794777761478654E-2</v>
          </cell>
          <cell r="G310">
            <v>4.379746835443038E-2</v>
          </cell>
          <cell r="L310">
            <v>7.5421266705403833E-2</v>
          </cell>
          <cell r="Q310">
            <v>4.490072202166065E-2</v>
          </cell>
          <cell r="V310">
            <v>7.2699445188444617E-3</v>
          </cell>
          <cell r="AA310">
            <v>0.11202607651398182</v>
          </cell>
          <cell r="AF310">
            <v>7.8805970149253737E-2</v>
          </cell>
          <cell r="AK310">
            <v>-0.10792146242383209</v>
          </cell>
          <cell r="AP310">
            <v>7.5277443508490444E-2</v>
          </cell>
          <cell r="AQ310">
            <v>4.5866061885839408E-2</v>
          </cell>
          <cell r="AR310">
            <v>4.996798145576143E-2</v>
          </cell>
          <cell r="AS310">
            <v>5.25557252772932E-2</v>
          </cell>
          <cell r="AT310">
            <v>5.605266131664758E-2</v>
          </cell>
          <cell r="AU310">
            <v>5.0836761977798267E-2</v>
          </cell>
          <cell r="AV310">
            <v>4.8597300318750862E-2</v>
          </cell>
          <cell r="AW310">
            <v>4.7253427821136985E-2</v>
          </cell>
          <cell r="AX310">
            <v>4.616528999686334E-2</v>
          </cell>
          <cell r="AY310">
            <v>4.5604728439177317E-2</v>
          </cell>
          <cell r="AZ310">
            <v>4.6877596289847133E-2</v>
          </cell>
          <cell r="BA310">
            <v>4.9309977530660798E-2</v>
          </cell>
          <cell r="BB310">
            <v>4.8734627457397137E-2</v>
          </cell>
          <cell r="BC310">
            <v>4.8372414810149277E-2</v>
          </cell>
          <cell r="BD310">
            <v>4.8541094636166522E-2</v>
          </cell>
          <cell r="BE310">
            <v>4.8736979456869362E-2</v>
          </cell>
          <cell r="BF310">
            <v>5.0790438523972178E-2</v>
          </cell>
          <cell r="BG310">
            <v>4.8793330383047596E-2</v>
          </cell>
          <cell r="BH310">
            <v>4.7097128901848258E-2</v>
          </cell>
          <cell r="BI310">
            <v>4.5986285209103778E-2</v>
          </cell>
          <cell r="BJ310">
            <v>4.8099076337582466E-2</v>
          </cell>
          <cell r="BK310">
            <v>4.7507523160685503E-2</v>
          </cell>
          <cell r="BL310">
            <v>4.7137250017943666E-2</v>
          </cell>
          <cell r="BM310">
            <v>4.6961474537487419E-2</v>
          </cell>
          <cell r="BN310">
            <v>4.731021616059515E-2</v>
          </cell>
          <cell r="BO310">
            <v>4.7228247250517275E-2</v>
          </cell>
          <cell r="BP310">
            <v>4.6888588716079774E-2</v>
          </cell>
          <cell r="BQ310">
            <v>4.4651973266475693E-2</v>
          </cell>
          <cell r="BR310">
            <v>4.2720720545092433E-2</v>
          </cell>
          <cell r="BS310">
            <v>4.1350223601392413E-2</v>
          </cell>
          <cell r="BT310">
            <v>4.3804850528952131E-2</v>
          </cell>
          <cell r="BU310">
            <v>4.1536039664803091E-2</v>
          </cell>
          <cell r="BV310">
            <v>4.009472761557302E-2</v>
          </cell>
          <cell r="BW310">
            <v>3.8850829105026179E-2</v>
          </cell>
          <cell r="BX310">
            <v>3.8066421380891044E-2</v>
          </cell>
          <cell r="BY310">
            <v>3.9593861658350549E-2</v>
          </cell>
          <cell r="BZ310">
            <v>3.8340855929221117E-2</v>
          </cell>
          <cell r="CA310">
            <v>3.7120897542947999E-2</v>
          </cell>
          <cell r="CB310">
            <v>3.6067778540993981E-2</v>
          </cell>
          <cell r="CC310">
            <v>3.5433995866727512E-2</v>
          </cell>
          <cell r="CD310">
            <v>3.6708056287859635E-2</v>
          </cell>
          <cell r="CF310">
            <v>2.3794034989915232E-2</v>
          </cell>
        </row>
        <row r="312">
          <cell r="A312" t="str">
            <v>Effective tax rate</v>
          </cell>
          <cell r="C312">
            <v>0.35265866209262436</v>
          </cell>
          <cell r="D312">
            <v>0.33803418803418805</v>
          </cell>
          <cell r="E312">
            <v>0.38702171664943125</v>
          </cell>
          <cell r="F312">
            <v>0.34683004794885458</v>
          </cell>
          <cell r="G312">
            <v>0.34013756378966054</v>
          </cell>
          <cell r="L312">
            <v>0.35018214936247721</v>
          </cell>
          <cell r="Q312">
            <v>0.34669151910531221</v>
          </cell>
          <cell r="V312">
            <v>0.33306175655857911</v>
          </cell>
          <cell r="AA312">
            <v>-1.1336633663366336</v>
          </cell>
          <cell r="AF312">
            <v>0.3038116591928251</v>
          </cell>
          <cell r="AK312">
            <v>0.24236252545824846</v>
          </cell>
          <cell r="AP312">
            <v>0.51417004048582993</v>
          </cell>
          <cell r="AQ312">
            <v>0.33</v>
          </cell>
          <cell r="AR312">
            <v>0.33</v>
          </cell>
          <cell r="AS312">
            <v>0.33</v>
          </cell>
          <cell r="AT312">
            <v>0.33</v>
          </cell>
          <cell r="AU312">
            <v>0.33</v>
          </cell>
          <cell r="AV312">
            <v>0.33</v>
          </cell>
          <cell r="AW312">
            <v>0.33</v>
          </cell>
          <cell r="AX312">
            <v>0.33</v>
          </cell>
          <cell r="AY312">
            <v>0.33</v>
          </cell>
          <cell r="AZ312">
            <v>0.33</v>
          </cell>
          <cell r="BA312">
            <v>0.33</v>
          </cell>
          <cell r="BB312">
            <v>0.33</v>
          </cell>
          <cell r="BC312">
            <v>0.33</v>
          </cell>
          <cell r="BD312">
            <v>0.33</v>
          </cell>
          <cell r="BE312">
            <v>0.33</v>
          </cell>
          <cell r="BF312">
            <v>0.33</v>
          </cell>
          <cell r="BG312">
            <v>0.33</v>
          </cell>
          <cell r="BH312">
            <v>0.33</v>
          </cell>
          <cell r="BI312">
            <v>0.33</v>
          </cell>
          <cell r="BJ312">
            <v>0.33</v>
          </cell>
          <cell r="BK312">
            <v>0.33</v>
          </cell>
          <cell r="BL312">
            <v>0.33</v>
          </cell>
          <cell r="BM312">
            <v>0.33</v>
          </cell>
          <cell r="BN312">
            <v>0.33</v>
          </cell>
          <cell r="BO312">
            <v>0.33</v>
          </cell>
          <cell r="BP312">
            <v>0.33</v>
          </cell>
          <cell r="BQ312">
            <v>0.33</v>
          </cell>
          <cell r="BR312">
            <v>0.33</v>
          </cell>
          <cell r="BS312">
            <v>0.33</v>
          </cell>
          <cell r="BT312">
            <v>0.33</v>
          </cell>
          <cell r="BU312">
            <v>0.33</v>
          </cell>
          <cell r="BV312">
            <v>0.33</v>
          </cell>
          <cell r="BW312">
            <v>0.33</v>
          </cell>
          <cell r="BX312">
            <v>0.33</v>
          </cell>
          <cell r="BY312">
            <v>0.33</v>
          </cell>
          <cell r="BZ312">
            <v>0.33</v>
          </cell>
          <cell r="CA312">
            <v>0.33</v>
          </cell>
          <cell r="CB312">
            <v>0.33</v>
          </cell>
          <cell r="CC312">
            <v>0.33</v>
          </cell>
          <cell r="CD312">
            <v>0.33</v>
          </cell>
          <cell r="CF312">
            <v>0.33</v>
          </cell>
          <cell r="CG312">
            <v>0</v>
          </cell>
        </row>
        <row r="316">
          <cell r="A316" t="str">
            <v>Canada</v>
          </cell>
        </row>
        <row r="317">
          <cell r="C317">
            <v>2001</v>
          </cell>
          <cell r="D317">
            <v>2002</v>
          </cell>
          <cell r="E317">
            <v>2003</v>
          </cell>
          <cell r="F317">
            <v>2004</v>
          </cell>
          <cell r="G317">
            <v>2005</v>
          </cell>
          <cell r="H317" t="str">
            <v>1Q06</v>
          </cell>
          <cell r="I317" t="str">
            <v>2Q06</v>
          </cell>
          <cell r="J317" t="str">
            <v>3Q06</v>
          </cell>
          <cell r="K317" t="str">
            <v>4Q06</v>
          </cell>
          <cell r="L317">
            <v>2006</v>
          </cell>
          <cell r="M317" t="str">
            <v>1Q07</v>
          </cell>
          <cell r="N317" t="str">
            <v>2Q07</v>
          </cell>
          <cell r="O317" t="str">
            <v>3Q07</v>
          </cell>
          <cell r="P317" t="str">
            <v>4Q07</v>
          </cell>
          <cell r="Q317">
            <v>2007</v>
          </cell>
          <cell r="R317" t="str">
            <v>1Q08</v>
          </cell>
          <cell r="S317" t="str">
            <v>2Q08</v>
          </cell>
          <cell r="T317" t="str">
            <v>3Q08</v>
          </cell>
          <cell r="U317" t="str">
            <v>4Q08</v>
          </cell>
          <cell r="V317">
            <v>2008</v>
          </cell>
          <cell r="W317" t="str">
            <v>1Q09</v>
          </cell>
          <cell r="X317" t="str">
            <v>2Q09</v>
          </cell>
          <cell r="Y317" t="str">
            <v>3Q09</v>
          </cell>
          <cell r="Z317" t="str">
            <v>4Q09</v>
          </cell>
          <cell r="AA317">
            <v>2009</v>
          </cell>
          <cell r="AB317" t="str">
            <v>1Q10</v>
          </cell>
          <cell r="AC317" t="str">
            <v>2Q10</v>
          </cell>
          <cell r="AD317" t="str">
            <v>3Q10</v>
          </cell>
          <cell r="AE317" t="str">
            <v>4Q10</v>
          </cell>
          <cell r="AF317">
            <v>2010</v>
          </cell>
          <cell r="AG317" t="str">
            <v>1Q11</v>
          </cell>
          <cell r="AH317" t="str">
            <v>2Q11</v>
          </cell>
          <cell r="AI317" t="str">
            <v>3Q11</v>
          </cell>
          <cell r="AJ317" t="str">
            <v>4Q11</v>
          </cell>
          <cell r="AK317">
            <v>2011</v>
          </cell>
          <cell r="AL317" t="str">
            <v>1Q12</v>
          </cell>
          <cell r="AM317" t="str">
            <v>2Q12</v>
          </cell>
          <cell r="AN317" t="str">
            <v>3Q12</v>
          </cell>
          <cell r="AO317" t="str">
            <v>4Q12</v>
          </cell>
          <cell r="AP317">
            <v>2012</v>
          </cell>
          <cell r="AQ317" t="str">
            <v>1Q13</v>
          </cell>
          <cell r="AR317" t="str">
            <v>2Q13</v>
          </cell>
          <cell r="AS317" t="str">
            <v>3Q13</v>
          </cell>
          <cell r="AT317" t="str">
            <v>4Q13</v>
          </cell>
          <cell r="AU317">
            <v>2013</v>
          </cell>
          <cell r="AV317" t="str">
            <v>1Q14</v>
          </cell>
          <cell r="AW317" t="str">
            <v>2Q14</v>
          </cell>
          <cell r="AX317" t="str">
            <v>3Q14</v>
          </cell>
          <cell r="AY317" t="str">
            <v>4Q14</v>
          </cell>
          <cell r="AZ317">
            <v>2014</v>
          </cell>
          <cell r="BA317" t="str">
            <v>1Q15</v>
          </cell>
          <cell r="BB317" t="str">
            <v>2Q15</v>
          </cell>
          <cell r="BC317" t="str">
            <v>3Q15</v>
          </cell>
          <cell r="BD317" t="str">
            <v>4Q15</v>
          </cell>
          <cell r="BE317">
            <v>2015</v>
          </cell>
          <cell r="BF317" t="str">
            <v>1Q16</v>
          </cell>
          <cell r="BG317" t="str">
            <v>2Q16</v>
          </cell>
          <cell r="BH317" t="str">
            <v>3Q16</v>
          </cell>
          <cell r="BI317" t="str">
            <v>4Q16</v>
          </cell>
          <cell r="BJ317">
            <v>2016</v>
          </cell>
          <cell r="BK317" t="str">
            <v>1Q17</v>
          </cell>
          <cell r="BL317" t="str">
            <v>2Q17</v>
          </cell>
          <cell r="BM317" t="str">
            <v>3Q17</v>
          </cell>
          <cell r="BN317" t="str">
            <v>4Q17</v>
          </cell>
          <cell r="BO317">
            <v>2017</v>
          </cell>
          <cell r="BP317" t="str">
            <v>1Q18</v>
          </cell>
          <cell r="BQ317" t="str">
            <v>2Q18</v>
          </cell>
          <cell r="BR317" t="str">
            <v>3Q18</v>
          </cell>
          <cell r="BS317" t="str">
            <v>4Q18</v>
          </cell>
          <cell r="BT317">
            <v>2018</v>
          </cell>
          <cell r="BU317" t="str">
            <v>1Q19</v>
          </cell>
          <cell r="BV317" t="str">
            <v>2Q19</v>
          </cell>
          <cell r="BW317" t="str">
            <v>3Q19</v>
          </cell>
          <cell r="BX317" t="str">
            <v>4Q19</v>
          </cell>
          <cell r="BY317">
            <v>2019</v>
          </cell>
          <cell r="BZ317" t="str">
            <v>1Q20</v>
          </cell>
          <cell r="CA317" t="str">
            <v>2Q20</v>
          </cell>
          <cell r="CB317" t="str">
            <v>3Q20</v>
          </cell>
          <cell r="CC317" t="str">
            <v>4Q20</v>
          </cell>
          <cell r="CD317">
            <v>2020</v>
          </cell>
        </row>
        <row r="318">
          <cell r="A318" t="str">
            <v>Third parties</v>
          </cell>
          <cell r="G318">
            <v>1089</v>
          </cell>
          <cell r="L318">
            <v>1094</v>
          </cell>
          <cell r="Q318">
            <v>1322</v>
          </cell>
          <cell r="V318">
            <v>1131</v>
          </cell>
          <cell r="AA318">
            <v>348</v>
          </cell>
          <cell r="AF318">
            <v>487</v>
          </cell>
          <cell r="AK318">
            <v>342</v>
          </cell>
          <cell r="AP318">
            <v>207</v>
          </cell>
        </row>
        <row r="319">
          <cell r="A319" t="str">
            <v>Sales between businesses</v>
          </cell>
          <cell r="G319">
            <v>971</v>
          </cell>
          <cell r="L319">
            <v>879</v>
          </cell>
          <cell r="Q319">
            <v>1021</v>
          </cell>
          <cell r="V319">
            <v>1573</v>
          </cell>
          <cell r="AA319">
            <v>3334</v>
          </cell>
          <cell r="AF319">
            <v>4101</v>
          </cell>
          <cell r="AK319">
            <v>6710</v>
          </cell>
          <cell r="AP319">
            <v>6443</v>
          </cell>
        </row>
        <row r="320">
          <cell r="A320" t="str">
            <v>Revenue</v>
          </cell>
          <cell r="G320">
            <v>2060</v>
          </cell>
          <cell r="L320">
            <v>1973</v>
          </cell>
          <cell r="Q320">
            <v>2343</v>
          </cell>
          <cell r="V320">
            <v>2704</v>
          </cell>
          <cell r="AA320">
            <v>3682</v>
          </cell>
          <cell r="AF320">
            <v>4588</v>
          </cell>
          <cell r="AK320">
            <v>7052</v>
          </cell>
          <cell r="AP320">
            <v>6650</v>
          </cell>
          <cell r="AQ320">
            <v>1561.2642386079433</v>
          </cell>
          <cell r="AR320">
            <v>1550.636507792666</v>
          </cell>
          <cell r="AS320">
            <v>1837.9196428914649</v>
          </cell>
          <cell r="AT320">
            <v>1512.4075749313226</v>
          </cell>
          <cell r="AU320">
            <v>6462.2279642233962</v>
          </cell>
          <cell r="AV320">
            <v>1652.830450159104</v>
          </cell>
          <cell r="AW320">
            <v>1701.713329680985</v>
          </cell>
          <cell r="AX320">
            <v>1751.2669366037965</v>
          </cell>
          <cell r="AY320">
            <v>1782.120397046597</v>
          </cell>
          <cell r="AZ320">
            <v>6887.9311134904829</v>
          </cell>
          <cell r="BA320">
            <v>1819.432014674856</v>
          </cell>
          <cell r="BB320">
            <v>1856.6955262875292</v>
          </cell>
          <cell r="BC320">
            <v>1894.3337104351144</v>
          </cell>
          <cell r="BD320">
            <v>1911.5686470410792</v>
          </cell>
          <cell r="BE320">
            <v>7482.0298984385781</v>
          </cell>
          <cell r="BF320">
            <v>1815.8742134288832</v>
          </cell>
          <cell r="BG320">
            <v>1870.7840923043368</v>
          </cell>
          <cell r="BH320">
            <v>1926.4573447781693</v>
          </cell>
          <cell r="BI320">
            <v>1961.5725303036029</v>
          </cell>
          <cell r="BJ320">
            <v>7574.6881808149919</v>
          </cell>
          <cell r="BK320">
            <v>1981.9293642057221</v>
          </cell>
          <cell r="BL320">
            <v>2068.3742022430783</v>
          </cell>
          <cell r="BM320">
            <v>2156.9731382555128</v>
          </cell>
          <cell r="BN320">
            <v>2223.5874972549941</v>
          </cell>
          <cell r="BO320">
            <v>8430.8642019593062</v>
          </cell>
          <cell r="BP320">
            <v>2170.5718126674633</v>
          </cell>
          <cell r="BQ320">
            <v>2189.8104626334766</v>
          </cell>
          <cell r="BR320">
            <v>2208.7885348873169</v>
          </cell>
          <cell r="BS320">
            <v>2203.5477114471873</v>
          </cell>
          <cell r="BT320">
            <v>8772.7185216354428</v>
          </cell>
          <cell r="BU320">
            <v>2235.3919035608128</v>
          </cell>
          <cell r="BV320">
            <v>2341.7941101890815</v>
          </cell>
          <cell r="BW320">
            <v>2450.9386837802826</v>
          </cell>
          <cell r="BX320">
            <v>2535.307540931954</v>
          </cell>
          <cell r="BY320">
            <v>9563.4322384621319</v>
          </cell>
          <cell r="BZ320">
            <v>2512.6582991852333</v>
          </cell>
          <cell r="CA320">
            <v>2573.7148199313451</v>
          </cell>
          <cell r="CB320">
            <v>2635.8169065408051</v>
          </cell>
          <cell r="CC320">
            <v>2669.956304448332</v>
          </cell>
          <cell r="CD320">
            <v>10392.146330105716</v>
          </cell>
        </row>
        <row r="322">
          <cell r="A322" t="str">
            <v>Production cost excluding taxes</v>
          </cell>
          <cell r="G322">
            <v>-362</v>
          </cell>
          <cell r="L322">
            <v>-556</v>
          </cell>
          <cell r="Q322">
            <v>-655</v>
          </cell>
          <cell r="V322">
            <v>-750</v>
          </cell>
          <cell r="AA322">
            <v>-1963</v>
          </cell>
          <cell r="AF322">
            <v>-2257</v>
          </cell>
          <cell r="AK322">
            <v>-2979</v>
          </cell>
          <cell r="AP322">
            <v>-2986</v>
          </cell>
          <cell r="AQ322">
            <v>-725.53442164414241</v>
          </cell>
          <cell r="AR322">
            <v>-683.61385525688763</v>
          </cell>
          <cell r="AS322">
            <v>-723.75244863857438</v>
          </cell>
          <cell r="AT322">
            <v>-720.95878245030372</v>
          </cell>
          <cell r="AU322">
            <v>-2853.8595079899083</v>
          </cell>
          <cell r="AV322">
            <v>-765.7249442865558</v>
          </cell>
          <cell r="AW322">
            <v>-781.41385970583622</v>
          </cell>
          <cell r="AX322">
            <v>-797.1027751251163</v>
          </cell>
          <cell r="AY322">
            <v>-812.79169054439637</v>
          </cell>
          <cell r="AZ322">
            <v>-3157.0332696619043</v>
          </cell>
          <cell r="BA322">
            <v>-902.01063497517941</v>
          </cell>
          <cell r="BB322">
            <v>-910.00208321040566</v>
          </cell>
          <cell r="BC322">
            <v>-917.9935314456319</v>
          </cell>
          <cell r="BD322">
            <v>-925.9849796808578</v>
          </cell>
          <cell r="BE322">
            <v>-3655.9912293120751</v>
          </cell>
          <cell r="BF322">
            <v>-969.14207780308902</v>
          </cell>
          <cell r="BG322">
            <v>-989.14955143329905</v>
          </cell>
          <cell r="BH322">
            <v>-1009.1570250635091</v>
          </cell>
          <cell r="BI322">
            <v>-1029.1644986937188</v>
          </cell>
          <cell r="BJ322">
            <v>-3996.6131529936156</v>
          </cell>
          <cell r="BK322">
            <v>-1083.5464442305661</v>
          </cell>
          <cell r="BL322">
            <v>-1112.1992773000698</v>
          </cell>
          <cell r="BM322">
            <v>-1140.8521103695741</v>
          </cell>
          <cell r="BN322">
            <v>-1169.5049434390783</v>
          </cell>
          <cell r="BO322">
            <v>-4506.1027753392882</v>
          </cell>
          <cell r="BP322">
            <v>-1190.688756574792</v>
          </cell>
          <cell r="BQ322">
            <v>-1182.6349461245295</v>
          </cell>
          <cell r="BR322">
            <v>-1174.5811356742668</v>
          </cell>
          <cell r="BS322">
            <v>-1166.527325224004</v>
          </cell>
          <cell r="BT322">
            <v>-4714.4321635975921</v>
          </cell>
          <cell r="BU322">
            <v>-1227.7779158283556</v>
          </cell>
          <cell r="BV322">
            <v>-1259.8653233021073</v>
          </cell>
          <cell r="BW322">
            <v>-1291.9527307758592</v>
          </cell>
          <cell r="BX322">
            <v>-1324.0401382496109</v>
          </cell>
          <cell r="BY322">
            <v>-5103.6361081559335</v>
          </cell>
          <cell r="BZ322">
            <v>-1365.0351851499754</v>
          </cell>
          <cell r="CA322">
            <v>-1372.9292285940999</v>
          </cell>
          <cell r="CB322">
            <v>-1380.8232720382243</v>
          </cell>
          <cell r="CC322">
            <v>-1388.7173154823488</v>
          </cell>
          <cell r="CD322">
            <v>-5507.5050012646479</v>
          </cell>
        </row>
        <row r="323">
          <cell r="A323" t="str">
            <v>Taxes other than income tax</v>
          </cell>
          <cell r="G323">
            <v>0</v>
          </cell>
          <cell r="Q323">
            <v>0</v>
          </cell>
          <cell r="V323">
            <v>0</v>
          </cell>
          <cell r="AA323">
            <v>0</v>
          </cell>
          <cell r="AF323">
            <v>0</v>
          </cell>
          <cell r="AK323">
            <v>0</v>
          </cell>
          <cell r="AP323">
            <v>0</v>
          </cell>
          <cell r="AQ323">
            <v>0</v>
          </cell>
          <cell r="AR323">
            <v>0</v>
          </cell>
          <cell r="AS323">
            <v>0</v>
          </cell>
          <cell r="AT323">
            <v>0</v>
          </cell>
          <cell r="AU323">
            <v>0</v>
          </cell>
          <cell r="AV323">
            <v>0</v>
          </cell>
          <cell r="AW323">
            <v>0</v>
          </cell>
          <cell r="AX323">
            <v>0</v>
          </cell>
          <cell r="AY323">
            <v>0</v>
          </cell>
          <cell r="AZ323">
            <v>0</v>
          </cell>
          <cell r="BA323">
            <v>0</v>
          </cell>
          <cell r="BB323">
            <v>0</v>
          </cell>
          <cell r="BC323">
            <v>0</v>
          </cell>
          <cell r="BD323">
            <v>0</v>
          </cell>
          <cell r="BE323">
            <v>0</v>
          </cell>
          <cell r="BF323">
            <v>0</v>
          </cell>
          <cell r="BG323">
            <v>0</v>
          </cell>
          <cell r="BH323">
            <v>0</v>
          </cell>
          <cell r="BI323">
            <v>0</v>
          </cell>
          <cell r="BJ323">
            <v>0</v>
          </cell>
          <cell r="BK323">
            <v>0</v>
          </cell>
          <cell r="BL323">
            <v>0</v>
          </cell>
          <cell r="BM323">
            <v>0</v>
          </cell>
          <cell r="BN323">
            <v>0</v>
          </cell>
          <cell r="BO323">
            <v>0</v>
          </cell>
          <cell r="BP323">
            <v>0</v>
          </cell>
          <cell r="BQ323">
            <v>0</v>
          </cell>
          <cell r="BR323">
            <v>0</v>
          </cell>
          <cell r="BS323">
            <v>0</v>
          </cell>
          <cell r="BT323">
            <v>0</v>
          </cell>
          <cell r="BU323">
            <v>0</v>
          </cell>
          <cell r="BV323">
            <v>0</v>
          </cell>
          <cell r="BW323">
            <v>0</v>
          </cell>
          <cell r="BX323">
            <v>0</v>
          </cell>
          <cell r="BY323">
            <v>0</v>
          </cell>
          <cell r="BZ323">
            <v>0</v>
          </cell>
          <cell r="CA323">
            <v>0</v>
          </cell>
          <cell r="CB323">
            <v>0</v>
          </cell>
          <cell r="CC323">
            <v>0</v>
          </cell>
          <cell r="CD323">
            <v>0</v>
          </cell>
        </row>
        <row r="324">
          <cell r="A324" t="str">
            <v>Exploration expense</v>
          </cell>
          <cell r="G324">
            <v>-139</v>
          </cell>
          <cell r="L324">
            <v>-122</v>
          </cell>
          <cell r="Q324">
            <v>-246</v>
          </cell>
          <cell r="V324">
            <v>-180</v>
          </cell>
          <cell r="AA324">
            <v>-177</v>
          </cell>
          <cell r="AF324">
            <v>-167</v>
          </cell>
          <cell r="AK324">
            <v>-110</v>
          </cell>
          <cell r="AP324">
            <v>-423</v>
          </cell>
          <cell r="AQ324">
            <v>-51.84</v>
          </cell>
          <cell r="AR324">
            <v>-98.240000000000009</v>
          </cell>
          <cell r="AS324">
            <v>-130.88</v>
          </cell>
          <cell r="AT324">
            <v>-141.28</v>
          </cell>
          <cell r="AU324">
            <v>-422.24</v>
          </cell>
          <cell r="AV324">
            <v>-74.128799999999998</v>
          </cell>
          <cell r="AW324">
            <v>-74.128799999999998</v>
          </cell>
          <cell r="AX324">
            <v>-74.128799999999998</v>
          </cell>
          <cell r="AY324">
            <v>-74.128800000000012</v>
          </cell>
          <cell r="AZ324">
            <v>-296.51519999999999</v>
          </cell>
          <cell r="BA324">
            <v>-63.276000000000003</v>
          </cell>
          <cell r="BB324">
            <v>-63.276000000000018</v>
          </cell>
          <cell r="BC324">
            <v>-63.276000000000003</v>
          </cell>
          <cell r="BD324">
            <v>-63.275999999999989</v>
          </cell>
          <cell r="BE324">
            <v>-253.10400000000001</v>
          </cell>
          <cell r="BF324">
            <v>-50.191333333333333</v>
          </cell>
          <cell r="BG324">
            <v>-50.191333333333333</v>
          </cell>
          <cell r="BH324">
            <v>-50.191333333333333</v>
          </cell>
          <cell r="BI324">
            <v>-50.191333333333333</v>
          </cell>
          <cell r="BJ324">
            <v>-200.76533333333333</v>
          </cell>
          <cell r="BK324">
            <v>-49.937333333333335</v>
          </cell>
          <cell r="BL324">
            <v>-49.937333333333335</v>
          </cell>
          <cell r="BM324">
            <v>-49.937333333333335</v>
          </cell>
          <cell r="BN324">
            <v>-49.937333333333335</v>
          </cell>
          <cell r="BO324">
            <v>-199.74933333333334</v>
          </cell>
          <cell r="BP324">
            <v>-49.212499999999999</v>
          </cell>
          <cell r="BQ324">
            <v>-49.212499999999999</v>
          </cell>
          <cell r="BR324">
            <v>-49.212499999999999</v>
          </cell>
          <cell r="BS324">
            <v>-49.212499999999999</v>
          </cell>
          <cell r="BT324">
            <v>-196.85</v>
          </cell>
          <cell r="BU324">
            <v>-49.425000000000004</v>
          </cell>
          <cell r="BV324">
            <v>-49.425000000000004</v>
          </cell>
          <cell r="BW324">
            <v>-49.425000000000004</v>
          </cell>
          <cell r="BX324">
            <v>-49.425000000000004</v>
          </cell>
          <cell r="BY324">
            <v>-197.70000000000002</v>
          </cell>
          <cell r="BZ324">
            <v>-49.425000000000004</v>
          </cell>
          <cell r="CA324">
            <v>-49.425000000000004</v>
          </cell>
          <cell r="CB324">
            <v>-49.425000000000004</v>
          </cell>
          <cell r="CC324">
            <v>-49.425000000000004</v>
          </cell>
          <cell r="CD324">
            <v>-197.70000000000002</v>
          </cell>
        </row>
        <row r="325">
          <cell r="A325" t="str">
            <v>DD&amp;A</v>
          </cell>
          <cell r="G325">
            <v>-291</v>
          </cell>
          <cell r="L325">
            <v>-351</v>
          </cell>
          <cell r="Q325">
            <v>-514</v>
          </cell>
          <cell r="V325">
            <v>-880</v>
          </cell>
          <cell r="AA325">
            <v>-1999</v>
          </cell>
          <cell r="AF325">
            <v>-3178</v>
          </cell>
          <cell r="AK325">
            <v>-1575</v>
          </cell>
          <cell r="AP325">
            <v>-2037</v>
          </cell>
          <cell r="AQ325">
            <v>-482.87573452995866</v>
          </cell>
          <cell r="AR325">
            <v>-460.03100106696115</v>
          </cell>
          <cell r="AS325">
            <v>-492.39396818273315</v>
          </cell>
          <cell r="AT325">
            <v>-490.4933398908247</v>
          </cell>
          <cell r="AU325">
            <v>-1925.7940436704775</v>
          </cell>
          <cell r="AV325">
            <v>-489.56827784242552</v>
          </cell>
          <cell r="AW325">
            <v>-505.15012791163355</v>
          </cell>
          <cell r="AX325">
            <v>-520.95488353111887</v>
          </cell>
          <cell r="AY325">
            <v>-531.20853884388305</v>
          </cell>
          <cell r="AZ325">
            <v>-2046.881828129061</v>
          </cell>
          <cell r="BA325">
            <v>-567.47735553967698</v>
          </cell>
          <cell r="BB325">
            <v>-578.86614104098874</v>
          </cell>
          <cell r="BC325">
            <v>-590.36665141155038</v>
          </cell>
          <cell r="BD325">
            <v>-595.50599539704626</v>
          </cell>
          <cell r="BE325">
            <v>-2332.2161433892625</v>
          </cell>
          <cell r="BF325">
            <v>-599.91418875616239</v>
          </cell>
          <cell r="BG325">
            <v>-619.10245327167729</v>
          </cell>
          <cell r="BH325">
            <v>-638.56593869504093</v>
          </cell>
          <cell r="BI325">
            <v>-651.22610045607814</v>
          </cell>
          <cell r="BJ325">
            <v>-2508.808681178959</v>
          </cell>
          <cell r="BK325">
            <v>-659.90733324446376</v>
          </cell>
          <cell r="BL325">
            <v>-684.88383303734383</v>
          </cell>
          <cell r="BM325">
            <v>-710.24811735967842</v>
          </cell>
          <cell r="BN325">
            <v>-728.08620571456947</v>
          </cell>
          <cell r="BO325">
            <v>-2783.1254893560554</v>
          </cell>
          <cell r="BP325">
            <v>-713.40618194823026</v>
          </cell>
          <cell r="BQ325">
            <v>-716.45382647832798</v>
          </cell>
          <cell r="BR325">
            <v>-719.39423824304356</v>
          </cell>
          <cell r="BS325">
            <v>-714.46153103546976</v>
          </cell>
          <cell r="BT325">
            <v>-2863.7157777050716</v>
          </cell>
          <cell r="BU325">
            <v>-723.65502884819296</v>
          </cell>
          <cell r="BV325">
            <v>-750.81816712589921</v>
          </cell>
          <cell r="BW325">
            <v>-778.40158071890346</v>
          </cell>
          <cell r="BX325">
            <v>-797.73424522261212</v>
          </cell>
          <cell r="BY325">
            <v>-3050.6090219156076</v>
          </cell>
          <cell r="BZ325">
            <v>-791.40577825973605</v>
          </cell>
          <cell r="CA325">
            <v>-804.82675399057291</v>
          </cell>
          <cell r="CB325">
            <v>-818.34943473667613</v>
          </cell>
          <cell r="CC325">
            <v>-823.02786543892694</v>
          </cell>
          <cell r="CD325">
            <v>-3237.6098324259119</v>
          </cell>
        </row>
        <row r="326">
          <cell r="A326" t="str">
            <v>Other income/(cost)</v>
          </cell>
          <cell r="G326">
            <v>-574</v>
          </cell>
          <cell r="L326">
            <v>-388</v>
          </cell>
          <cell r="Q326">
            <v>-708</v>
          </cell>
          <cell r="V326">
            <v>-330</v>
          </cell>
          <cell r="AA326">
            <v>-1075</v>
          </cell>
          <cell r="AF326">
            <v>-1324</v>
          </cell>
          <cell r="AK326">
            <v>-2080</v>
          </cell>
          <cell r="AP326">
            <v>-2175</v>
          </cell>
          <cell r="AQ326">
            <v>-300</v>
          </cell>
          <cell r="AR326">
            <v>-300</v>
          </cell>
          <cell r="AS326">
            <v>-300</v>
          </cell>
          <cell r="AT326">
            <v>-300</v>
          </cell>
          <cell r="AU326">
            <v>-1200</v>
          </cell>
          <cell r="AV326">
            <v>-300</v>
          </cell>
          <cell r="AW326">
            <v>-300</v>
          </cell>
          <cell r="AX326">
            <v>-300</v>
          </cell>
          <cell r="AY326">
            <v>-300</v>
          </cell>
          <cell r="AZ326">
            <v>-1200</v>
          </cell>
          <cell r="BA326">
            <v>-300</v>
          </cell>
          <cell r="BB326">
            <v>-300</v>
          </cell>
          <cell r="BC326">
            <v>-300</v>
          </cell>
          <cell r="BD326">
            <v>-300</v>
          </cell>
          <cell r="BE326">
            <v>-1200</v>
          </cell>
          <cell r="BF326">
            <v>-300</v>
          </cell>
          <cell r="BG326">
            <v>-300</v>
          </cell>
          <cell r="BH326">
            <v>-300</v>
          </cell>
          <cell r="BI326">
            <v>-300</v>
          </cell>
          <cell r="BJ326">
            <v>-1200</v>
          </cell>
          <cell r="BK326">
            <v>-300</v>
          </cell>
          <cell r="BL326">
            <v>-300</v>
          </cell>
          <cell r="BM326">
            <v>-300</v>
          </cell>
          <cell r="BN326">
            <v>-300</v>
          </cell>
          <cell r="BO326">
            <v>-1200</v>
          </cell>
          <cell r="BP326">
            <v>-300</v>
          </cell>
          <cell r="BQ326">
            <v>-300</v>
          </cell>
          <cell r="BR326">
            <v>-300</v>
          </cell>
          <cell r="BS326">
            <v>-300</v>
          </cell>
          <cell r="BT326">
            <v>-1200</v>
          </cell>
          <cell r="BU326">
            <v>-300</v>
          </cell>
          <cell r="BV326">
            <v>-300</v>
          </cell>
          <cell r="BW326">
            <v>-300</v>
          </cell>
          <cell r="BX326">
            <v>-300</v>
          </cell>
          <cell r="BY326">
            <v>-1200</v>
          </cell>
          <cell r="BZ326">
            <v>-300</v>
          </cell>
          <cell r="CA326">
            <v>-300</v>
          </cell>
          <cell r="CB326">
            <v>-300</v>
          </cell>
          <cell r="CC326">
            <v>-300</v>
          </cell>
          <cell r="CD326">
            <v>-1200</v>
          </cell>
        </row>
        <row r="327">
          <cell r="A327" t="str">
            <v>Earnings before tax</v>
          </cell>
          <cell r="G327">
            <v>694</v>
          </cell>
          <cell r="L327">
            <v>556</v>
          </cell>
          <cell r="Q327">
            <v>220</v>
          </cell>
          <cell r="V327">
            <v>564</v>
          </cell>
          <cell r="AA327">
            <v>-1532</v>
          </cell>
          <cell r="AF327">
            <v>-2338</v>
          </cell>
          <cell r="AK327">
            <v>308</v>
          </cell>
          <cell r="AP327">
            <v>-971</v>
          </cell>
          <cell r="AQ327">
            <v>1.0140824338421908</v>
          </cell>
          <cell r="AR327">
            <v>8.7516514688171583</v>
          </cell>
          <cell r="AS327">
            <v>190.89322607015743</v>
          </cell>
          <cell r="AT327">
            <v>-140.32454740980575</v>
          </cell>
          <cell r="AU327">
            <v>60.334412563010119</v>
          </cell>
          <cell r="AV327">
            <v>23.408428030122707</v>
          </cell>
          <cell r="AW327">
            <v>41.020542063515279</v>
          </cell>
          <cell r="AX327">
            <v>59.080477947561349</v>
          </cell>
          <cell r="AY327">
            <v>63.991367658317472</v>
          </cell>
          <cell r="AZ327">
            <v>187.50081569951772</v>
          </cell>
          <cell r="BA327">
            <v>-13.331975840000382</v>
          </cell>
          <cell r="BB327">
            <v>4.5513020361347571</v>
          </cell>
          <cell r="BC327">
            <v>22.697527577932192</v>
          </cell>
          <cell r="BD327">
            <v>26.801671963175181</v>
          </cell>
          <cell r="BE327">
            <v>40.718525737240725</v>
          </cell>
          <cell r="BF327">
            <v>-103.37338646370154</v>
          </cell>
          <cell r="BG327">
            <v>-87.659245733972853</v>
          </cell>
          <cell r="BH327">
            <v>-71.456952313714055</v>
          </cell>
          <cell r="BI327">
            <v>-69.009402179527342</v>
          </cell>
          <cell r="BJ327">
            <v>-331.4989866909159</v>
          </cell>
          <cell r="BK327">
            <v>-111.46174660264103</v>
          </cell>
          <cell r="BL327">
            <v>-78.646241427668542</v>
          </cell>
          <cell r="BM327">
            <v>-44.064422807073015</v>
          </cell>
          <cell r="BN327">
            <v>-23.940985231986929</v>
          </cell>
          <cell r="BO327">
            <v>-258.11339606937054</v>
          </cell>
          <cell r="BP327">
            <v>-82.735625855558965</v>
          </cell>
          <cell r="BQ327">
            <v>-58.490809969380848</v>
          </cell>
          <cell r="BR327">
            <v>-34.399339029993371</v>
          </cell>
          <cell r="BS327">
            <v>-26.653644812286416</v>
          </cell>
          <cell r="BT327">
            <v>-202.27941966722074</v>
          </cell>
          <cell r="BU327">
            <v>-65.46604111573572</v>
          </cell>
          <cell r="BV327">
            <v>-18.314380238924969</v>
          </cell>
          <cell r="BW327">
            <v>31.159372285520021</v>
          </cell>
          <cell r="BX327">
            <v>64.108157459731046</v>
          </cell>
          <cell r="BY327">
            <v>11.487108390590947</v>
          </cell>
          <cell r="BZ327">
            <v>6.7923357755219058</v>
          </cell>
          <cell r="CA327">
            <v>46.533837346672385</v>
          </cell>
          <cell r="CB327">
            <v>87.219199765904705</v>
          </cell>
          <cell r="CC327">
            <v>108.78612352705636</v>
          </cell>
          <cell r="CD327">
            <v>249.33149641515593</v>
          </cell>
        </row>
        <row r="329">
          <cell r="A329" t="str">
            <v>Taxation</v>
          </cell>
          <cell r="G329">
            <v>-277</v>
          </cell>
          <cell r="L329">
            <v>-158</v>
          </cell>
          <cell r="Q329">
            <v>66</v>
          </cell>
          <cell r="V329">
            <v>-11</v>
          </cell>
          <cell r="AA329">
            <v>572</v>
          </cell>
          <cell r="AF329">
            <v>614</v>
          </cell>
          <cell r="AK329">
            <v>-165</v>
          </cell>
          <cell r="AP329">
            <v>428</v>
          </cell>
          <cell r="AQ329">
            <v>-0.35492885184476675</v>
          </cell>
          <cell r="AR329">
            <v>-3.0630780140860052</v>
          </cell>
          <cell r="AS329">
            <v>-66.812629124555102</v>
          </cell>
          <cell r="AT329">
            <v>49.113591593432005</v>
          </cell>
          <cell r="AU329">
            <v>-21.117044397053874</v>
          </cell>
          <cell r="AV329">
            <v>-8.192949810542947</v>
          </cell>
          <cell r="AW329">
            <v>-14.357189722230347</v>
          </cell>
          <cell r="AX329">
            <v>-20.67816728164647</v>
          </cell>
          <cell r="AY329">
            <v>-22.396978680411113</v>
          </cell>
          <cell r="AZ329">
            <v>-65.625285494830877</v>
          </cell>
          <cell r="BA329">
            <v>4.6661915440001334</v>
          </cell>
          <cell r="BB329">
            <v>-1.592955712647165</v>
          </cell>
          <cell r="BC329">
            <v>-7.9441346522762668</v>
          </cell>
          <cell r="BD329">
            <v>-9.3805851871113131</v>
          </cell>
          <cell r="BE329">
            <v>-14.251484008034613</v>
          </cell>
          <cell r="BF329">
            <v>36.180685262295533</v>
          </cell>
          <cell r="BG329">
            <v>30.680736006890495</v>
          </cell>
          <cell r="BH329">
            <v>25.009933309799919</v>
          </cell>
          <cell r="BI329">
            <v>24.153290762834569</v>
          </cell>
          <cell r="BJ329">
            <v>116.02464534182052</v>
          </cell>
          <cell r="BK329">
            <v>39.011611310924359</v>
          </cell>
          <cell r="BL329">
            <v>27.526184499683989</v>
          </cell>
          <cell r="BM329">
            <v>15.422547982475555</v>
          </cell>
          <cell r="BN329">
            <v>8.3793448311954251</v>
          </cell>
          <cell r="BO329">
            <v>90.339688624279319</v>
          </cell>
          <cell r="BP329">
            <v>28.957469049445635</v>
          </cell>
          <cell r="BQ329">
            <v>20.471783489283297</v>
          </cell>
          <cell r="BR329">
            <v>12.039768660497678</v>
          </cell>
          <cell r="BS329">
            <v>9.3287756843002452</v>
          </cell>
          <cell r="BT329">
            <v>70.797796883526857</v>
          </cell>
          <cell r="BU329">
            <v>22.913114390507502</v>
          </cell>
          <cell r="BV329">
            <v>6.4100330836237385</v>
          </cell>
          <cell r="BW329">
            <v>-10.905780299932006</v>
          </cell>
          <cell r="BX329">
            <v>-22.437855110905865</v>
          </cell>
          <cell r="BY329">
            <v>-4.0204879367066297</v>
          </cell>
          <cell r="BZ329">
            <v>-2.3773175214326669</v>
          </cell>
          <cell r="CA329">
            <v>-16.286843071335333</v>
          </cell>
          <cell r="CB329">
            <v>-30.526719918066643</v>
          </cell>
          <cell r="CC329">
            <v>-38.075143234469721</v>
          </cell>
          <cell r="CD329">
            <v>-87.266023745304366</v>
          </cell>
        </row>
        <row r="330">
          <cell r="A330" t="str">
            <v>Earnings after tax</v>
          </cell>
          <cell r="G330">
            <v>417</v>
          </cell>
          <cell r="L330">
            <v>398</v>
          </cell>
          <cell r="Q330">
            <v>286</v>
          </cell>
          <cell r="V330">
            <v>553</v>
          </cell>
          <cell r="AA330">
            <v>-960</v>
          </cell>
          <cell r="AF330">
            <v>-1724</v>
          </cell>
          <cell r="AK330">
            <v>143</v>
          </cell>
          <cell r="AP330">
            <v>-543</v>
          </cell>
          <cell r="AQ330">
            <v>0.65915358199742402</v>
          </cell>
          <cell r="AR330">
            <v>5.6885734547311531</v>
          </cell>
          <cell r="AS330">
            <v>124.08059694560232</v>
          </cell>
          <cell r="AT330">
            <v>-91.21095581637374</v>
          </cell>
          <cell r="AU330">
            <v>39.217368165956245</v>
          </cell>
          <cell r="AV330">
            <v>15.21547821957976</v>
          </cell>
          <cell r="AW330">
            <v>26.663352341284934</v>
          </cell>
          <cell r="AX330">
            <v>38.402310665914882</v>
          </cell>
          <cell r="AY330">
            <v>41.594388977906362</v>
          </cell>
          <cell r="AZ330">
            <v>121.87553020468684</v>
          </cell>
          <cell r="BA330">
            <v>-8.6657842960002487</v>
          </cell>
          <cell r="BB330">
            <v>2.958346323487592</v>
          </cell>
          <cell r="BC330">
            <v>14.753392925655925</v>
          </cell>
          <cell r="BD330">
            <v>17.421086776063866</v>
          </cell>
          <cell r="BE330">
            <v>26.467041729206112</v>
          </cell>
          <cell r="BF330">
            <v>-67.19270120140601</v>
          </cell>
          <cell r="BG330">
            <v>-56.978509727082354</v>
          </cell>
          <cell r="BH330">
            <v>-46.447019003914136</v>
          </cell>
          <cell r="BI330">
            <v>-44.856111416692769</v>
          </cell>
          <cell r="BJ330">
            <v>-215.47434134909537</v>
          </cell>
          <cell r="BK330">
            <v>-72.450135291716663</v>
          </cell>
          <cell r="BL330">
            <v>-51.12005692798455</v>
          </cell>
          <cell r="BM330">
            <v>-28.641874824597458</v>
          </cell>
          <cell r="BN330">
            <v>-15.561640400791504</v>
          </cell>
          <cell r="BO330">
            <v>-167.77370744509122</v>
          </cell>
          <cell r="BP330">
            <v>-53.77815680611333</v>
          </cell>
          <cell r="BQ330">
            <v>-38.019026480097551</v>
          </cell>
          <cell r="BR330">
            <v>-22.359570369495692</v>
          </cell>
          <cell r="BS330">
            <v>-17.324869127986169</v>
          </cell>
          <cell r="BT330">
            <v>-131.48162278369387</v>
          </cell>
          <cell r="BU330">
            <v>-42.552926725228218</v>
          </cell>
          <cell r="BV330">
            <v>-11.904347155301231</v>
          </cell>
          <cell r="BW330">
            <v>20.253591985588017</v>
          </cell>
          <cell r="BX330">
            <v>41.670302348825182</v>
          </cell>
          <cell r="BY330">
            <v>7.4666204538843175</v>
          </cell>
          <cell r="BZ330">
            <v>4.4150182540892384</v>
          </cell>
          <cell r="CA330">
            <v>30.246994275337052</v>
          </cell>
          <cell r="CB330">
            <v>56.692479847838058</v>
          </cell>
          <cell r="CC330">
            <v>70.71098029258664</v>
          </cell>
          <cell r="CD330">
            <v>162.06547266985154</v>
          </cell>
        </row>
        <row r="332">
          <cell r="A332" t="str">
            <v>Production</v>
          </cell>
        </row>
        <row r="333">
          <cell r="B333" t="str">
            <v>Oil and NGL (/bbl)</v>
          </cell>
          <cell r="C333">
            <v>47</v>
          </cell>
          <cell r="D333">
            <v>43</v>
          </cell>
          <cell r="E333">
            <v>44</v>
          </cell>
          <cell r="F333">
            <v>40</v>
          </cell>
          <cell r="G333">
            <v>39</v>
          </cell>
          <cell r="L333">
            <v>38</v>
          </cell>
          <cell r="Q333">
            <v>47</v>
          </cell>
          <cell r="V333">
            <v>46</v>
          </cell>
          <cell r="AA333">
            <v>20</v>
          </cell>
          <cell r="AF333">
            <v>20</v>
          </cell>
          <cell r="AK333">
            <v>18</v>
          </cell>
          <cell r="AP333">
            <v>15</v>
          </cell>
          <cell r="AQ333">
            <v>13.946008191999999</v>
          </cell>
          <cell r="AR333">
            <v>14.155336064</v>
          </cell>
          <cell r="AS333">
            <v>14.364663936000001</v>
          </cell>
          <cell r="AT333">
            <v>14.573991808000002</v>
          </cell>
          <cell r="AU333">
            <v>14.26</v>
          </cell>
          <cell r="AV333">
            <v>14.396395084800002</v>
          </cell>
          <cell r="AW333">
            <v>14.218798361600001</v>
          </cell>
          <cell r="AX333">
            <v>14.0412016384</v>
          </cell>
          <cell r="AY333">
            <v>13.8636049152</v>
          </cell>
          <cell r="AZ333">
            <v>14.13</v>
          </cell>
          <cell r="BA333">
            <v>14.002162949120001</v>
          </cell>
          <cell r="BB333">
            <v>14.140720983040001</v>
          </cell>
          <cell r="BC333">
            <v>14.279279016960002</v>
          </cell>
          <cell r="BD333">
            <v>14.417837050880003</v>
          </cell>
          <cell r="BE333">
            <v>14.210000000000003</v>
          </cell>
          <cell r="BF333">
            <v>14.390702230528001</v>
          </cell>
          <cell r="BG333">
            <v>14.363567410176</v>
          </cell>
          <cell r="BH333">
            <v>14.336432589823998</v>
          </cell>
          <cell r="BI333">
            <v>14.309297769471996</v>
          </cell>
          <cell r="BJ333">
            <v>14.35</v>
          </cell>
          <cell r="BK333">
            <v>14.489578661683197</v>
          </cell>
          <cell r="BL333">
            <v>14.669859553894398</v>
          </cell>
          <cell r="BM333">
            <v>14.850140446105598</v>
          </cell>
          <cell r="BN333">
            <v>15.030421338316799</v>
          </cell>
          <cell r="BO333">
            <v>14.759999999999998</v>
          </cell>
          <cell r="BP333">
            <v>15.07025280299008</v>
          </cell>
          <cell r="BQ333">
            <v>15.11008426766336</v>
          </cell>
          <cell r="BR333">
            <v>15.149915732336641</v>
          </cell>
          <cell r="BS333">
            <v>15.189747197009922</v>
          </cell>
          <cell r="BT333">
            <v>15.13</v>
          </cell>
          <cell r="BU333">
            <v>15.285848318205954</v>
          </cell>
          <cell r="BV333">
            <v>15.381949439401986</v>
          </cell>
          <cell r="BW333">
            <v>15.478050560598017</v>
          </cell>
          <cell r="BX333">
            <v>15.574151681794049</v>
          </cell>
          <cell r="BY333">
            <v>15.430000000000001</v>
          </cell>
          <cell r="BZ333">
            <v>15.44449100907643</v>
          </cell>
          <cell r="CA333">
            <v>15.31483033635881</v>
          </cell>
          <cell r="CB333">
            <v>15.18516966364119</v>
          </cell>
          <cell r="CC333">
            <v>15.05550899092357</v>
          </cell>
          <cell r="CD333">
            <v>15.25</v>
          </cell>
        </row>
        <row r="334">
          <cell r="B334" t="str">
            <v>Natural gas (/mmcf)</v>
          </cell>
          <cell r="C334">
            <v>507</v>
          </cell>
          <cell r="D334">
            <v>473</v>
          </cell>
          <cell r="E334">
            <v>466</v>
          </cell>
          <cell r="F334">
            <v>449</v>
          </cell>
          <cell r="G334">
            <v>413</v>
          </cell>
          <cell r="L334">
            <v>425</v>
          </cell>
          <cell r="Q334">
            <v>402</v>
          </cell>
          <cell r="V334">
            <v>406</v>
          </cell>
          <cell r="AA334">
            <v>530</v>
          </cell>
          <cell r="AF334">
            <v>563</v>
          </cell>
          <cell r="AK334">
            <v>570</v>
          </cell>
          <cell r="AP334">
            <v>616</v>
          </cell>
          <cell r="AQ334">
            <v>640.67058943999973</v>
          </cell>
          <cell r="AR334">
            <v>646.33019647999981</v>
          </cell>
          <cell r="AS334">
            <v>651.9898035199999</v>
          </cell>
          <cell r="AT334">
            <v>656.64941055999998</v>
          </cell>
          <cell r="AU334">
            <v>648.91</v>
          </cell>
          <cell r="AV334">
            <v>674.46164633600006</v>
          </cell>
          <cell r="AW334">
            <v>691.27388211200014</v>
          </cell>
          <cell r="AX334">
            <v>708.08611788800022</v>
          </cell>
          <cell r="AY334">
            <v>724.8983536640003</v>
          </cell>
          <cell r="AZ334">
            <v>699.68000000000006</v>
          </cell>
          <cell r="BA334">
            <v>730.65901219840021</v>
          </cell>
          <cell r="BB334">
            <v>736.41967073280011</v>
          </cell>
          <cell r="BC334">
            <v>742.18032926720002</v>
          </cell>
          <cell r="BD334">
            <v>747.94098780159993</v>
          </cell>
          <cell r="BE334">
            <v>739.30000000000007</v>
          </cell>
          <cell r="BF334">
            <v>766.98859268095998</v>
          </cell>
          <cell r="BG334">
            <v>786.03619756032003</v>
          </cell>
          <cell r="BH334">
            <v>805.08380243968008</v>
          </cell>
          <cell r="BI334">
            <v>824.13140731904014</v>
          </cell>
          <cell r="BJ334">
            <v>795.56</v>
          </cell>
          <cell r="BK334">
            <v>848.13484439142405</v>
          </cell>
          <cell r="BL334">
            <v>872.13828146380797</v>
          </cell>
          <cell r="BM334">
            <v>896.14171853619189</v>
          </cell>
          <cell r="BN334">
            <v>920.14515560857581</v>
          </cell>
          <cell r="BO334">
            <v>884.14</v>
          </cell>
          <cell r="BP334">
            <v>917.81509336514546</v>
          </cell>
          <cell r="BQ334">
            <v>915.48503112171511</v>
          </cell>
          <cell r="BR334">
            <v>913.15496887828476</v>
          </cell>
          <cell r="BS334">
            <v>910.82490663485441</v>
          </cell>
          <cell r="BT334">
            <v>914.32</v>
          </cell>
          <cell r="BU334">
            <v>927.30294398091269</v>
          </cell>
          <cell r="BV334">
            <v>943.78098132697096</v>
          </cell>
          <cell r="BW334">
            <v>960.25901867302923</v>
          </cell>
          <cell r="BX334">
            <v>976.7370560190875</v>
          </cell>
          <cell r="BY334">
            <v>952.02</v>
          </cell>
          <cell r="BZ334">
            <v>980.13423361145249</v>
          </cell>
          <cell r="CA334">
            <v>983.53141120381747</v>
          </cell>
          <cell r="CB334">
            <v>986.92858879618245</v>
          </cell>
          <cell r="CC334">
            <v>990.32576638854744</v>
          </cell>
          <cell r="CD334">
            <v>985.23</v>
          </cell>
        </row>
        <row r="335">
          <cell r="B335" t="str">
            <v>Synthetic crude and bitumen</v>
          </cell>
          <cell r="C335">
            <v>0</v>
          </cell>
          <cell r="D335">
            <v>0</v>
          </cell>
          <cell r="E335">
            <v>46</v>
          </cell>
          <cell r="F335">
            <v>80</v>
          </cell>
          <cell r="G335">
            <v>95</v>
          </cell>
          <cell r="L335">
            <v>82</v>
          </cell>
          <cell r="Q335">
            <v>81</v>
          </cell>
          <cell r="V335">
            <v>78</v>
          </cell>
          <cell r="AA335">
            <v>99</v>
          </cell>
          <cell r="AF335">
            <v>90</v>
          </cell>
          <cell r="AK335">
            <v>130</v>
          </cell>
          <cell r="AP335">
            <v>145.5</v>
          </cell>
          <cell r="AQ335">
            <v>132</v>
          </cell>
          <cell r="AR335">
            <v>116</v>
          </cell>
          <cell r="AS335">
            <v>129</v>
          </cell>
          <cell r="AT335">
            <v>127</v>
          </cell>
          <cell r="AU335">
            <v>126</v>
          </cell>
          <cell r="AV335">
            <v>127.04085590336001</v>
          </cell>
          <cell r="AW335">
            <v>129.60028530112001</v>
          </cell>
          <cell r="AX335">
            <v>132.15971469888001</v>
          </cell>
          <cell r="AY335">
            <v>134.71914409664001</v>
          </cell>
          <cell r="AZ335">
            <v>130.88000000000002</v>
          </cell>
          <cell r="BA335">
            <v>156.21148645798399</v>
          </cell>
          <cell r="BB335">
            <v>157.70382881932798</v>
          </cell>
          <cell r="BC335">
            <v>159.19617118067197</v>
          </cell>
          <cell r="BD335">
            <v>160.68851354201595</v>
          </cell>
          <cell r="BE335">
            <v>158.44999999999996</v>
          </cell>
          <cell r="BF335">
            <v>163.84110812520956</v>
          </cell>
          <cell r="BG335">
            <v>166.99370270840316</v>
          </cell>
          <cell r="BH335">
            <v>170.14629729159677</v>
          </cell>
          <cell r="BI335">
            <v>173.29889187479037</v>
          </cell>
          <cell r="BJ335">
            <v>168.56999999999996</v>
          </cell>
          <cell r="BK335">
            <v>177.9353351248742</v>
          </cell>
          <cell r="BL335">
            <v>182.57177837495803</v>
          </cell>
          <cell r="BM335">
            <v>187.20822162504186</v>
          </cell>
          <cell r="BN335">
            <v>191.84466487512569</v>
          </cell>
          <cell r="BO335">
            <v>184.88999999999996</v>
          </cell>
          <cell r="BP335">
            <v>189.7507989250754</v>
          </cell>
          <cell r="BQ335">
            <v>187.65693297502511</v>
          </cell>
          <cell r="BR335">
            <v>185.56306702497483</v>
          </cell>
          <cell r="BS335">
            <v>183.46920107492454</v>
          </cell>
          <cell r="BT335">
            <v>186.60999999999996</v>
          </cell>
          <cell r="BU335">
            <v>190.07752064495472</v>
          </cell>
          <cell r="BV335">
            <v>196.68584021498489</v>
          </cell>
          <cell r="BW335">
            <v>203.29415978501507</v>
          </cell>
          <cell r="BX335">
            <v>209.90247935504524</v>
          </cell>
          <cell r="BY335">
            <v>199.98999999999998</v>
          </cell>
          <cell r="BZ335">
            <v>211.73748761302716</v>
          </cell>
          <cell r="CA335">
            <v>213.57249587100907</v>
          </cell>
          <cell r="CB335">
            <v>215.40750412899098</v>
          </cell>
          <cell r="CC335">
            <v>217.24251238697289</v>
          </cell>
          <cell r="CD335">
            <v>214.49000000000004</v>
          </cell>
        </row>
        <row r="336">
          <cell r="B336" t="str">
            <v>Total</v>
          </cell>
          <cell r="C336">
            <v>134.41379310344828</v>
          </cell>
          <cell r="D336">
            <v>124.55172413793103</v>
          </cell>
          <cell r="E336">
            <v>170.34482758620692</v>
          </cell>
          <cell r="F336">
            <v>197.41379310344828</v>
          </cell>
          <cell r="G336">
            <v>205.20689655172413</v>
          </cell>
          <cell r="L336">
            <v>193.27586206896552</v>
          </cell>
          <cell r="Q336">
            <v>197.31034482758622</v>
          </cell>
          <cell r="V336">
            <v>194</v>
          </cell>
          <cell r="AA336">
            <v>210.37931034482759</v>
          </cell>
          <cell r="AF336">
            <v>207.06896551724139</v>
          </cell>
          <cell r="AK336">
            <v>246.27586206896552</v>
          </cell>
          <cell r="AP336">
            <v>266.70689655172413</v>
          </cell>
          <cell r="AQ336">
            <v>256.40645464717238</v>
          </cell>
          <cell r="AR336">
            <v>241.59157683641376</v>
          </cell>
          <cell r="AS336">
            <v>255.77669902565515</v>
          </cell>
          <cell r="AT336">
            <v>254.7894074217931</v>
          </cell>
          <cell r="AU336">
            <v>252.14103448275864</v>
          </cell>
          <cell r="AV336">
            <v>257.72374173574622</v>
          </cell>
          <cell r="AW336">
            <v>263.00423575099592</v>
          </cell>
          <cell r="AX336">
            <v>268.28472976624556</v>
          </cell>
          <cell r="AY336">
            <v>273.56522378149521</v>
          </cell>
          <cell r="AZ336">
            <v>265.64448275862071</v>
          </cell>
          <cell r="BA336">
            <v>296.18934116544887</v>
          </cell>
          <cell r="BB336">
            <v>298.81345854940253</v>
          </cell>
          <cell r="BC336">
            <v>301.43757593335613</v>
          </cell>
          <cell r="BD336">
            <v>304.06169331730973</v>
          </cell>
          <cell r="BE336">
            <v>300.12551724137927</v>
          </cell>
          <cell r="BF336">
            <v>310.47122288693754</v>
          </cell>
          <cell r="BG336">
            <v>316.88075245656535</v>
          </cell>
          <cell r="BH336">
            <v>323.29028202619321</v>
          </cell>
          <cell r="BI336">
            <v>329.69981159582096</v>
          </cell>
          <cell r="BJ336">
            <v>320.08551724137925</v>
          </cell>
          <cell r="BK336">
            <v>338.65505937128569</v>
          </cell>
          <cell r="BL336">
            <v>347.6103071467503</v>
          </cell>
          <cell r="BM336">
            <v>356.56555492221503</v>
          </cell>
          <cell r="BN336">
            <v>365.52080269767976</v>
          </cell>
          <cell r="BO336">
            <v>352.08793103448272</v>
          </cell>
          <cell r="BP336">
            <v>363.06503334274572</v>
          </cell>
          <cell r="BQ336">
            <v>360.6092639878118</v>
          </cell>
          <cell r="BR336">
            <v>358.15349463287782</v>
          </cell>
          <cell r="BS336">
            <v>355.69772527794385</v>
          </cell>
          <cell r="BT336">
            <v>359.38137931034476</v>
          </cell>
          <cell r="BU336">
            <v>365.24318689090421</v>
          </cell>
          <cell r="BV336">
            <v>374.78864850386464</v>
          </cell>
          <cell r="BW336">
            <v>384.33411011682506</v>
          </cell>
          <cell r="BX336">
            <v>393.87957172978543</v>
          </cell>
          <cell r="BY336">
            <v>379.56137931034482</v>
          </cell>
          <cell r="BZ336">
            <v>396.1706395895954</v>
          </cell>
          <cell r="CA336">
            <v>398.46170744940537</v>
          </cell>
          <cell r="CB336">
            <v>400.75277530921534</v>
          </cell>
          <cell r="CC336">
            <v>403.04384316902531</v>
          </cell>
          <cell r="CD336">
            <v>399.60724137931038</v>
          </cell>
        </row>
        <row r="338">
          <cell r="A338" t="str">
            <v>Realise price</v>
          </cell>
        </row>
        <row r="339">
          <cell r="B339" t="str">
            <v>Oil and NGL (/bbl)</v>
          </cell>
          <cell r="L339">
            <v>56.69</v>
          </cell>
          <cell r="Q339">
            <v>62.35</v>
          </cell>
          <cell r="V339">
            <v>88.01</v>
          </cell>
          <cell r="AA339">
            <v>54.61</v>
          </cell>
          <cell r="AF339">
            <v>71.94</v>
          </cell>
          <cell r="AK339">
            <v>97.27</v>
          </cell>
          <cell r="AP339">
            <v>95.14</v>
          </cell>
          <cell r="AQ339">
            <v>97.98</v>
          </cell>
          <cell r="AR339">
            <v>94.49</v>
          </cell>
          <cell r="AS339">
            <v>97.26</v>
          </cell>
          <cell r="AT339">
            <v>87.85</v>
          </cell>
          <cell r="AU339">
            <v>94.35</v>
          </cell>
          <cell r="AV339">
            <v>91.457807300312552</v>
          </cell>
          <cell r="AW339">
            <v>91.457807300312552</v>
          </cell>
          <cell r="AX339">
            <v>91.457807300312552</v>
          </cell>
          <cell r="AY339">
            <v>91.457807300312552</v>
          </cell>
          <cell r="AZ339">
            <v>91.457807300312552</v>
          </cell>
          <cell r="BA339">
            <v>83.541126064920093</v>
          </cell>
          <cell r="BB339">
            <v>83.541126064920093</v>
          </cell>
          <cell r="BC339">
            <v>83.541126064920093</v>
          </cell>
          <cell r="BD339">
            <v>83.541126064920093</v>
          </cell>
          <cell r="BE339">
            <v>83.541126064920093</v>
          </cell>
          <cell r="BF339">
            <v>78.270480370991706</v>
          </cell>
          <cell r="BG339">
            <v>78.270480370991706</v>
          </cell>
          <cell r="BH339">
            <v>78.270480370991706</v>
          </cell>
          <cell r="BI339">
            <v>78.270480370991706</v>
          </cell>
          <cell r="BJ339">
            <v>78.270480370991706</v>
          </cell>
          <cell r="BK339">
            <v>78.82657206755492</v>
          </cell>
          <cell r="BL339">
            <v>79.386107220882892</v>
          </cell>
          <cell r="BM339">
            <v>79.949107153708127</v>
          </cell>
          <cell r="BN339">
            <v>80.515593320798729</v>
          </cell>
          <cell r="BO339">
            <v>79.669344940736167</v>
          </cell>
          <cell r="BP339">
            <v>81.085587309776017</v>
          </cell>
          <cell r="BQ339">
            <v>81.659110841937192</v>
          </cell>
          <cell r="BR339">
            <v>82.236185773083065</v>
          </cell>
          <cell r="BS339">
            <v>82.816834094350938</v>
          </cell>
          <cell r="BT339">
            <v>81.949429504786806</v>
          </cell>
          <cell r="BU339">
            <v>83.401077933052662</v>
          </cell>
          <cell r="BV339">
            <v>83.988939553517852</v>
          </cell>
          <cell r="BW339">
            <v>84.580441357942362</v>
          </cell>
          <cell r="BX339">
            <v>85.175605887241929</v>
          </cell>
          <cell r="BY339">
            <v>84.286516182938698</v>
          </cell>
          <cell r="BZ339">
            <v>85.774455821911204</v>
          </cell>
          <cell r="CA339">
            <v>86.377013982888045</v>
          </cell>
          <cell r="CB339">
            <v>86.983303332423162</v>
          </cell>
          <cell r="CC339">
            <v>87.593346974955224</v>
          </cell>
          <cell r="CD339">
            <v>86.682030028044409</v>
          </cell>
        </row>
        <row r="340">
          <cell r="B340" t="str">
            <v>Natural gas (/mmcf)</v>
          </cell>
          <cell r="L340">
            <v>7.14</v>
          </cell>
          <cell r="Q340">
            <v>6.73</v>
          </cell>
          <cell r="V340">
            <v>8.83</v>
          </cell>
          <cell r="AA340">
            <v>4.1100000000000003</v>
          </cell>
          <cell r="AF340">
            <v>4.63</v>
          </cell>
          <cell r="AK340">
            <v>4.24</v>
          </cell>
          <cell r="AP340">
            <v>2.91</v>
          </cell>
          <cell r="AQ340">
            <v>3.52</v>
          </cell>
          <cell r="AR340">
            <v>4.1500000000000004</v>
          </cell>
          <cell r="AS340">
            <v>3.37</v>
          </cell>
          <cell r="AT340">
            <v>3.74</v>
          </cell>
          <cell r="AU340">
            <v>3.7</v>
          </cell>
          <cell r="AV340">
            <v>4.316330168525198</v>
          </cell>
          <cell r="AW340">
            <v>4.316330168525198</v>
          </cell>
          <cell r="AX340">
            <v>4.316330168525198</v>
          </cell>
          <cell r="AY340">
            <v>4.316330168525198</v>
          </cell>
          <cell r="AZ340">
            <v>4.316330168525198</v>
          </cell>
          <cell r="BA340">
            <v>4.2867039175692545</v>
          </cell>
          <cell r="BB340">
            <v>4.2867039175692545</v>
          </cell>
          <cell r="BC340">
            <v>4.2867039175692545</v>
          </cell>
          <cell r="BD340">
            <v>4.2867039175692545</v>
          </cell>
          <cell r="BE340">
            <v>4.2867039175692545</v>
          </cell>
          <cell r="BF340">
            <v>4.2768285005839406</v>
          </cell>
          <cell r="BG340">
            <v>4.2768285005839406</v>
          </cell>
          <cell r="BH340">
            <v>4.2768285005839406</v>
          </cell>
          <cell r="BI340">
            <v>4.2768285005839406</v>
          </cell>
          <cell r="BJ340">
            <v>4.2768285005839406</v>
          </cell>
          <cell r="BK340">
            <v>4.3020838695895538</v>
          </cell>
          <cell r="BL340">
            <v>4.3274956260610953</v>
          </cell>
          <cell r="BM340">
            <v>4.3530647383882748</v>
          </cell>
          <cell r="BN340">
            <v>4.378792180957312</v>
          </cell>
          <cell r="BO340">
            <v>4.3403591037490585</v>
          </cell>
          <cell r="BP340">
            <v>4.4046789341880661</v>
          </cell>
          <cell r="BQ340">
            <v>4.4307259845713949</v>
          </cell>
          <cell r="BR340">
            <v>4.4569343247067543</v>
          </cell>
          <cell r="BS340">
            <v>4.4833049533400171</v>
          </cell>
          <cell r="BT340">
            <v>4.4439110492015583</v>
          </cell>
          <cell r="BU340">
            <v>4.509838875401539</v>
          </cell>
          <cell r="BV340">
            <v>4.536537102044452</v>
          </cell>
          <cell r="BW340">
            <v>4.5634006506831959</v>
          </cell>
          <cell r="BX340">
            <v>4.5904305450322909</v>
          </cell>
          <cell r="BY340">
            <v>4.5500517932903692</v>
          </cell>
          <cell r="BZ340">
            <v>4.6176278151453509</v>
          </cell>
          <cell r="CA340">
            <v>4.6449934974543368</v>
          </cell>
          <cell r="CB340">
            <v>4.6725286348090487</v>
          </cell>
          <cell r="CC340">
            <v>4.7002342765168708</v>
          </cell>
          <cell r="CD340">
            <v>4.6588460559814013</v>
          </cell>
        </row>
        <row r="341">
          <cell r="B341" t="str">
            <v>Synthetic crude/bitumen</v>
          </cell>
          <cell r="L341">
            <v>53.927949392047324</v>
          </cell>
          <cell r="Q341">
            <v>61.97</v>
          </cell>
          <cell r="V341">
            <v>88.98</v>
          </cell>
          <cell r="AA341">
            <v>56.23</v>
          </cell>
          <cell r="AF341">
            <v>71.56</v>
          </cell>
          <cell r="AK341">
            <v>91.32</v>
          </cell>
          <cell r="AP341">
            <v>81.459999999999994</v>
          </cell>
          <cell r="AQ341">
            <v>82.08</v>
          </cell>
          <cell r="AR341">
            <v>87.76</v>
          </cell>
          <cell r="AS341">
            <v>101.19</v>
          </cell>
          <cell r="AT341">
            <v>78.45</v>
          </cell>
          <cell r="AU341">
            <v>87.24</v>
          </cell>
          <cell r="AV341">
            <v>87.185525410572552</v>
          </cell>
          <cell r="AW341">
            <v>87.185525410572552</v>
          </cell>
          <cell r="AX341">
            <v>87.185525410572552</v>
          </cell>
          <cell r="AY341">
            <v>87.185525410572552</v>
          </cell>
          <cell r="AZ341">
            <v>87.185525410572552</v>
          </cell>
          <cell r="BA341">
            <v>80.30598583243669</v>
          </cell>
          <cell r="BB341">
            <v>80.30598583243669</v>
          </cell>
          <cell r="BC341">
            <v>80.30598583243669</v>
          </cell>
          <cell r="BD341">
            <v>80.30598583243669</v>
          </cell>
          <cell r="BE341">
            <v>80.30598583243669</v>
          </cell>
          <cell r="BF341">
            <v>75.725832283799548</v>
          </cell>
          <cell r="BG341">
            <v>75.725832283799548</v>
          </cell>
          <cell r="BH341">
            <v>75.725832283799548</v>
          </cell>
          <cell r="BI341">
            <v>75.725832283799548</v>
          </cell>
          <cell r="BJ341">
            <v>75.725832283799548</v>
          </cell>
          <cell r="BK341">
            <v>76.209072005322795</v>
          </cell>
          <cell r="BL341">
            <v>76.695304066236048</v>
          </cell>
          <cell r="BM341">
            <v>77.184546995841885</v>
          </cell>
          <cell r="BN341">
            <v>77.676819438180928</v>
          </cell>
          <cell r="BO341">
            <v>76.941435626395418</v>
          </cell>
          <cell r="BP341">
            <v>78.172140152742244</v>
          </cell>
          <cell r="BQ341">
            <v>78.670528015178334</v>
          </cell>
          <cell r="BR341">
            <v>79.17200201802433</v>
          </cell>
          <cell r="BS341">
            <v>79.676581271421838</v>
          </cell>
          <cell r="BT341">
            <v>78.922812864341694</v>
          </cell>
          <cell r="BU341">
            <v>80.184285003847208</v>
          </cell>
          <cell r="BV341">
            <v>80.695132562844179</v>
          </cell>
          <cell r="BW341">
            <v>81.209143415761318</v>
          </cell>
          <cell r="BX341">
            <v>81.726337150493777</v>
          </cell>
          <cell r="BY341">
            <v>80.953724533236624</v>
          </cell>
          <cell r="BZ341">
            <v>82.246733476229764</v>
          </cell>
          <cell r="CA341">
            <v>82.770352224201687</v>
          </cell>
          <cell r="CB341">
            <v>83.297213348441758</v>
          </cell>
          <cell r="CC341">
            <v>83.827336926542529</v>
          </cell>
          <cell r="CD341">
            <v>83.035408993853935</v>
          </cell>
        </row>
        <row r="343">
          <cell r="A343" t="str">
            <v>Production x price</v>
          </cell>
          <cell r="L343">
            <v>3507.9463253039762</v>
          </cell>
          <cell r="Q343">
            <v>3889.2501999999995</v>
          </cell>
          <cell r="V343">
            <v>5319.4661999999998</v>
          </cell>
          <cell r="AA343">
            <v>3225.6035500000003</v>
          </cell>
          <cell r="AF343">
            <v>3827.3498499999996</v>
          </cell>
          <cell r="AK343">
            <v>5854.3298999999997</v>
          </cell>
          <cell r="AP343">
            <v>5501.3128499999993</v>
          </cell>
          <cell r="AQ343">
            <v>1301.0535321732862</v>
          </cell>
          <cell r="AR343">
            <v>1292.1970898272216</v>
          </cell>
          <cell r="AS343">
            <v>1531.5997024095541</v>
          </cell>
          <cell r="AT343">
            <v>1260.3396457761023</v>
          </cell>
          <cell r="AU343">
            <v>5385.1899701861639</v>
          </cell>
          <cell r="AV343">
            <v>1377.35870846592</v>
          </cell>
          <cell r="AW343">
            <v>1418.0944414008209</v>
          </cell>
          <cell r="AX343">
            <v>1459.389113836497</v>
          </cell>
          <cell r="AY343">
            <v>1485.1003308721642</v>
          </cell>
          <cell r="AZ343">
            <v>5739.9425945754028</v>
          </cell>
          <cell r="BA343">
            <v>1516.19334556238</v>
          </cell>
          <cell r="BB343">
            <v>1547.2462719062744</v>
          </cell>
          <cell r="BC343">
            <v>1578.6114253625954</v>
          </cell>
          <cell r="BD343">
            <v>1592.9738725342327</v>
          </cell>
          <cell r="BE343">
            <v>6235.0249153654822</v>
          </cell>
          <cell r="BF343">
            <v>1513.2285111907361</v>
          </cell>
          <cell r="BG343">
            <v>1558.9867435869473</v>
          </cell>
          <cell r="BH343">
            <v>1605.3811206484745</v>
          </cell>
          <cell r="BI343">
            <v>1634.6437752530026</v>
          </cell>
          <cell r="BJ343">
            <v>6312.2401506791603</v>
          </cell>
          <cell r="BK343">
            <v>1651.6078035047685</v>
          </cell>
          <cell r="BL343">
            <v>1723.6451685358986</v>
          </cell>
          <cell r="BM343">
            <v>1797.4776152129273</v>
          </cell>
          <cell r="BN343">
            <v>1852.9895810458283</v>
          </cell>
          <cell r="BO343">
            <v>7025.7201682994228</v>
          </cell>
          <cell r="BP343">
            <v>1808.8098438895529</v>
          </cell>
          <cell r="BQ343">
            <v>1824.8420521945638</v>
          </cell>
          <cell r="BR343">
            <v>1840.6571124060977</v>
          </cell>
          <cell r="BS343">
            <v>1836.2897595393229</v>
          </cell>
          <cell r="BT343">
            <v>7310.5987680295366</v>
          </cell>
          <cell r="BU343">
            <v>1862.8265863006773</v>
          </cell>
          <cell r="BV343">
            <v>1951.4950918242348</v>
          </cell>
          <cell r="BW343">
            <v>2042.4489031502358</v>
          </cell>
          <cell r="BX343">
            <v>2112.7562841099616</v>
          </cell>
          <cell r="BY343">
            <v>7969.5268653851099</v>
          </cell>
          <cell r="BZ343">
            <v>2093.8819159876944</v>
          </cell>
          <cell r="CA343">
            <v>2144.7623499427878</v>
          </cell>
          <cell r="CB343">
            <v>2196.5140887840043</v>
          </cell>
          <cell r="CC343">
            <v>2224.9635870402767</v>
          </cell>
          <cell r="CD343">
            <v>8660.1219417547636</v>
          </cell>
        </row>
        <row r="344">
          <cell r="A344" t="str">
            <v>Difference with actual</v>
          </cell>
          <cell r="L344">
            <v>-0.43756266001902622</v>
          </cell>
          <cell r="Q344">
            <v>-0.39757025660113088</v>
          </cell>
          <cell r="V344">
            <v>-0.49167831915164717</v>
          </cell>
          <cell r="AA344">
            <v>0.1414917992634277</v>
          </cell>
          <cell r="AF344">
            <v>0.1987406899842199</v>
          </cell>
          <cell r="AK344">
            <v>0.20457851205139632</v>
          </cell>
          <cell r="AP344">
            <v>0.20880236796567586</v>
          </cell>
          <cell r="AQ344">
            <v>0.2</v>
          </cell>
          <cell r="AR344">
            <v>0.2</v>
          </cell>
          <cell r="AS344">
            <v>0.2</v>
          </cell>
          <cell r="AT344">
            <v>0.2</v>
          </cell>
          <cell r="AU344">
            <v>0.2</v>
          </cell>
          <cell r="AV344">
            <v>0.2</v>
          </cell>
          <cell r="AW344">
            <v>0.2</v>
          </cell>
          <cell r="AX344">
            <v>0.2</v>
          </cell>
          <cell r="AY344">
            <v>0.2</v>
          </cell>
          <cell r="AZ344">
            <v>0.2</v>
          </cell>
          <cell r="BA344">
            <v>0.2</v>
          </cell>
          <cell r="BB344">
            <v>0.2</v>
          </cell>
          <cell r="BC344">
            <v>0.2</v>
          </cell>
          <cell r="BD344">
            <v>0.2</v>
          </cell>
          <cell r="BE344">
            <v>0.2</v>
          </cell>
          <cell r="BF344">
            <v>0.2</v>
          </cell>
          <cell r="BG344">
            <v>0.2</v>
          </cell>
          <cell r="BH344">
            <v>0.2</v>
          </cell>
          <cell r="BI344">
            <v>0.2</v>
          </cell>
          <cell r="BJ344">
            <v>0.2</v>
          </cell>
          <cell r="BK344">
            <v>0.2</v>
          </cell>
          <cell r="BL344">
            <v>0.2</v>
          </cell>
          <cell r="BM344">
            <v>0.2</v>
          </cell>
          <cell r="BN344">
            <v>0.2</v>
          </cell>
          <cell r="BO344">
            <v>0.2</v>
          </cell>
          <cell r="BP344">
            <v>0.2</v>
          </cell>
          <cell r="BQ344">
            <v>0.2</v>
          </cell>
          <cell r="BR344">
            <v>0.2</v>
          </cell>
          <cell r="BS344">
            <v>0.2</v>
          </cell>
          <cell r="BT344">
            <v>0.2</v>
          </cell>
          <cell r="BU344">
            <v>0.2</v>
          </cell>
          <cell r="BV344">
            <v>0.2</v>
          </cell>
          <cell r="BW344">
            <v>0.2</v>
          </cell>
          <cell r="BX344">
            <v>0.2</v>
          </cell>
          <cell r="BY344">
            <v>0.2</v>
          </cell>
          <cell r="BZ344">
            <v>0.2</v>
          </cell>
          <cell r="CA344">
            <v>0.2</v>
          </cell>
          <cell r="CB344">
            <v>0.2</v>
          </cell>
          <cell r="CC344">
            <v>0.2</v>
          </cell>
          <cell r="CD344">
            <v>0.2</v>
          </cell>
        </row>
        <row r="346">
          <cell r="A346" t="str">
            <v>Per barrel of oil equivalent</v>
          </cell>
        </row>
        <row r="347">
          <cell r="B347" t="str">
            <v>Production cost excluding taxes</v>
          </cell>
          <cell r="G347">
            <v>4.8330774383492594</v>
          </cell>
          <cell r="L347">
            <v>7.8814170322486028</v>
          </cell>
          <cell r="Q347">
            <v>9.0949136473979291</v>
          </cell>
          <cell r="V347">
            <v>10.591724332721366</v>
          </cell>
          <cell r="AA347">
            <v>25.563740954211411</v>
          </cell>
          <cell r="AF347">
            <v>29.862329337424288</v>
          </cell>
          <cell r="AK347">
            <v>33.140250802699065</v>
          </cell>
          <cell r="AP347">
            <v>30.673454730937795</v>
          </cell>
          <cell r="AQ347">
            <v>31.440291099211237</v>
          </cell>
          <cell r="AR347">
            <v>31.440291099211237</v>
          </cell>
          <cell r="AS347">
            <v>31.440291099211237</v>
          </cell>
          <cell r="AT347">
            <v>31.440291099211237</v>
          </cell>
          <cell r="AU347">
            <v>31.440291099211237</v>
          </cell>
          <cell r="AV347">
            <v>33.012305654171797</v>
          </cell>
          <cell r="AW347">
            <v>33.012305654171797</v>
          </cell>
          <cell r="AX347">
            <v>33.012305654171797</v>
          </cell>
          <cell r="AY347">
            <v>33.012305654171797</v>
          </cell>
          <cell r="AZ347">
            <v>33.012305654171797</v>
          </cell>
          <cell r="BA347">
            <v>33.83761329552609</v>
          </cell>
          <cell r="BB347">
            <v>33.83761329552609</v>
          </cell>
          <cell r="BC347">
            <v>33.83761329552609</v>
          </cell>
          <cell r="BD347">
            <v>33.83761329552609</v>
          </cell>
          <cell r="BE347">
            <v>33.83761329552609</v>
          </cell>
          <cell r="BF347">
            <v>34.683553627914236</v>
          </cell>
          <cell r="BG347">
            <v>34.683553627914236</v>
          </cell>
          <cell r="BH347">
            <v>34.683553627914236</v>
          </cell>
          <cell r="BI347">
            <v>34.683553627914236</v>
          </cell>
          <cell r="BJ347">
            <v>34.683553627914236</v>
          </cell>
          <cell r="BK347">
            <v>35.550642468612089</v>
          </cell>
          <cell r="BL347">
            <v>35.550642468612089</v>
          </cell>
          <cell r="BM347">
            <v>35.550642468612089</v>
          </cell>
          <cell r="BN347">
            <v>35.550642468612089</v>
          </cell>
          <cell r="BO347">
            <v>35.550642468612089</v>
          </cell>
          <cell r="BP347">
            <v>36.439408530327391</v>
          </cell>
          <cell r="BQ347">
            <v>36.439408530327391</v>
          </cell>
          <cell r="BR347">
            <v>36.439408530327391</v>
          </cell>
          <cell r="BS347">
            <v>36.439408530327391</v>
          </cell>
          <cell r="BT347">
            <v>36.439408530327391</v>
          </cell>
          <cell r="BU347">
            <v>37.35039374358557</v>
          </cell>
          <cell r="BV347">
            <v>37.35039374358557</v>
          </cell>
          <cell r="BW347">
            <v>37.35039374358557</v>
          </cell>
          <cell r="BX347">
            <v>37.35039374358557</v>
          </cell>
          <cell r="BY347">
            <v>37.35039374358557</v>
          </cell>
          <cell r="BZ347">
            <v>38.284153587175204</v>
          </cell>
          <cell r="CA347">
            <v>38.284153587175204</v>
          </cell>
          <cell r="CB347">
            <v>38.284153587175204</v>
          </cell>
          <cell r="CC347">
            <v>38.284153587175204</v>
          </cell>
          <cell r="CD347">
            <v>38.284153587175204</v>
          </cell>
        </row>
        <row r="348">
          <cell r="B348" t="str">
            <v>Taxes other than income tax</v>
          </cell>
          <cell r="G348">
            <v>0</v>
          </cell>
          <cell r="L348">
            <v>0</v>
          </cell>
          <cell r="Q348">
            <v>0</v>
          </cell>
          <cell r="V348">
            <v>0</v>
          </cell>
          <cell r="AA348">
            <v>0</v>
          </cell>
          <cell r="AF348">
            <v>0</v>
          </cell>
          <cell r="AK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  <cell r="BC348">
            <v>0</v>
          </cell>
          <cell r="BD348">
            <v>0</v>
          </cell>
          <cell r="BE348">
            <v>0</v>
          </cell>
          <cell r="BF348">
            <v>0</v>
          </cell>
          <cell r="BG348">
            <v>0</v>
          </cell>
          <cell r="BH348">
            <v>0</v>
          </cell>
          <cell r="BI348">
            <v>0</v>
          </cell>
          <cell r="BJ348">
            <v>0</v>
          </cell>
          <cell r="BK348">
            <v>0</v>
          </cell>
          <cell r="BL348">
            <v>0</v>
          </cell>
          <cell r="BM348">
            <v>0</v>
          </cell>
          <cell r="BN348">
            <v>0</v>
          </cell>
          <cell r="BO348">
            <v>0</v>
          </cell>
          <cell r="BP348">
            <v>0</v>
          </cell>
          <cell r="BQ348">
            <v>0</v>
          </cell>
          <cell r="BR348">
            <v>0</v>
          </cell>
          <cell r="BS348">
            <v>0</v>
          </cell>
          <cell r="BT348">
            <v>0</v>
          </cell>
          <cell r="BU348">
            <v>0</v>
          </cell>
          <cell r="BV348">
            <v>0</v>
          </cell>
          <cell r="BW348">
            <v>0</v>
          </cell>
          <cell r="BX348">
            <v>0</v>
          </cell>
          <cell r="BY348">
            <v>0</v>
          </cell>
          <cell r="BZ348">
            <v>0</v>
          </cell>
          <cell r="CA348">
            <v>0</v>
          </cell>
          <cell r="CB348">
            <v>0</v>
          </cell>
          <cell r="CC348">
            <v>0</v>
          </cell>
          <cell r="CD348">
            <v>0</v>
          </cell>
        </row>
        <row r="349">
          <cell r="B349" t="str">
            <v>Exploration expense</v>
          </cell>
          <cell r="G349">
            <v>1.8557949279849364</v>
          </cell>
          <cell r="L349">
            <v>1.7293756797380029</v>
          </cell>
          <cell r="Q349">
            <v>3.4157996294044133</v>
          </cell>
          <cell r="V349">
            <v>2.5420138398531282</v>
          </cell>
          <cell r="AA349">
            <v>2.3050342072824352</v>
          </cell>
          <cell r="AF349">
            <v>2.2095742132697636</v>
          </cell>
          <cell r="AK349">
            <v>1.2237084888542789</v>
          </cell>
          <cell r="AP349">
            <v>4.3452348798347913</v>
          </cell>
          <cell r="AQ349">
            <v>2.246433307588156</v>
          </cell>
          <cell r="AR349">
            <v>4.468535094215766</v>
          </cell>
          <cell r="AS349">
            <v>5.5619167073130535</v>
          </cell>
          <cell r="AT349">
            <v>6.0271429234529998</v>
          </cell>
          <cell r="AU349">
            <v>4.5879954454114147</v>
          </cell>
          <cell r="AV349">
            <v>3.1958768244869575</v>
          </cell>
          <cell r="AW349">
            <v>3.0972968761363879</v>
          </cell>
          <cell r="AX349">
            <v>3.0033309267694754</v>
          </cell>
          <cell r="AY349">
            <v>2.9453591174678397</v>
          </cell>
          <cell r="AZ349">
            <v>3.0581113619328164</v>
          </cell>
          <cell r="BA349">
            <v>2.3737068454260801</v>
          </cell>
          <cell r="BB349">
            <v>2.3270058273687142</v>
          </cell>
          <cell r="BC349">
            <v>2.2816750916538417</v>
          </cell>
          <cell r="BD349">
            <v>2.2619837480741207</v>
          </cell>
          <cell r="BE349">
            <v>2.3104853689619897</v>
          </cell>
          <cell r="BF349">
            <v>1.7962421003010931</v>
          </cell>
          <cell r="BG349">
            <v>1.7405699439845739</v>
          </cell>
          <cell r="BH349">
            <v>1.687517384052674</v>
          </cell>
          <cell r="BI349">
            <v>1.654711200391259</v>
          </cell>
          <cell r="BJ349">
            <v>1.7184220450612537</v>
          </cell>
          <cell r="BK349">
            <v>1.6384201089136463</v>
          </cell>
          <cell r="BL349">
            <v>1.5786698307833389</v>
          </cell>
          <cell r="BM349">
            <v>1.5222925881544751</v>
          </cell>
          <cell r="BN349">
            <v>1.4849964692658544</v>
          </cell>
          <cell r="BO349">
            <v>1.5543232222719592</v>
          </cell>
          <cell r="BP349">
            <v>1.5060815703487276</v>
          </cell>
          <cell r="BQ349">
            <v>1.4996750147688431</v>
          </cell>
          <cell r="BR349">
            <v>1.4935453270089776</v>
          </cell>
          <cell r="BS349">
            <v>1.5038568994021027</v>
          </cell>
          <cell r="BT349">
            <v>1.5006761605960217</v>
          </cell>
          <cell r="BU349">
            <v>1.5035644370026244</v>
          </cell>
          <cell r="BV349">
            <v>1.4491684054466971</v>
          </cell>
          <cell r="BW349">
            <v>1.3978157200417765</v>
          </cell>
          <cell r="BX349">
            <v>1.363940400641346</v>
          </cell>
          <cell r="BY349">
            <v>1.4270256805383994</v>
          </cell>
          <cell r="BZ349">
            <v>1.3861871925581473</v>
          </cell>
          <cell r="CA349">
            <v>1.3630716778495766</v>
          </cell>
          <cell r="CB349">
            <v>1.340547823917245</v>
          </cell>
          <cell r="CC349">
            <v>1.332927595780856</v>
          </cell>
          <cell r="CD349">
            <v>1.3554404913856548</v>
          </cell>
        </row>
        <row r="350">
          <cell r="B350" t="str">
            <v>DD&amp;A</v>
          </cell>
          <cell r="G350">
            <v>3.8851534103857301</v>
          </cell>
          <cell r="L350">
            <v>4.9754988818691723</v>
          </cell>
          <cell r="Q350">
            <v>7.1370772744466198</v>
          </cell>
          <cell r="V350">
            <v>12.427623217059738</v>
          </cell>
          <cell r="AA350">
            <v>26.032561470946824</v>
          </cell>
          <cell r="AF350">
            <v>42.048064968690468</v>
          </cell>
          <cell r="AK350">
            <v>17.521280635868084</v>
          </cell>
          <cell r="AP350">
            <v>20.924925414239883</v>
          </cell>
          <cell r="AQ350">
            <v>20.924925414239883</v>
          </cell>
          <cell r="AR350">
            <v>20.924925414239883</v>
          </cell>
          <cell r="AS350">
            <v>20.924925414239883</v>
          </cell>
          <cell r="AT350">
            <v>20.924925414239883</v>
          </cell>
          <cell r="AU350">
            <v>20.924925414239883</v>
          </cell>
          <cell r="AV350">
            <v>21.106505341521775</v>
          </cell>
          <cell r="AW350">
            <v>21.106505341521775</v>
          </cell>
          <cell r="AX350">
            <v>21.106505341521775</v>
          </cell>
          <cell r="AY350">
            <v>21.106505341521775</v>
          </cell>
          <cell r="AZ350">
            <v>21.106505341521775</v>
          </cell>
          <cell r="BA350">
            <v>21.288085268803666</v>
          </cell>
          <cell r="BB350">
            <v>21.288085268803666</v>
          </cell>
          <cell r="BC350">
            <v>21.288085268803666</v>
          </cell>
          <cell r="BD350">
            <v>21.288085268803666</v>
          </cell>
          <cell r="BE350">
            <v>21.288085268803666</v>
          </cell>
          <cell r="BF350">
            <v>21.469665196085558</v>
          </cell>
          <cell r="BG350">
            <v>21.469665196085558</v>
          </cell>
          <cell r="BH350">
            <v>21.469665196085558</v>
          </cell>
          <cell r="BI350">
            <v>21.469665196085558</v>
          </cell>
          <cell r="BJ350">
            <v>21.469665196085558</v>
          </cell>
          <cell r="BK350">
            <v>21.651245123367449</v>
          </cell>
          <cell r="BL350">
            <v>21.651245123367449</v>
          </cell>
          <cell r="BM350">
            <v>21.651245123367449</v>
          </cell>
          <cell r="BN350">
            <v>21.651245123367449</v>
          </cell>
          <cell r="BO350">
            <v>21.651245123367449</v>
          </cell>
          <cell r="BP350">
            <v>21.83282505064934</v>
          </cell>
          <cell r="BQ350">
            <v>21.83282505064934</v>
          </cell>
          <cell r="BR350">
            <v>21.83282505064934</v>
          </cell>
          <cell r="BS350">
            <v>21.83282505064934</v>
          </cell>
          <cell r="BT350">
            <v>21.83282505064934</v>
          </cell>
          <cell r="BU350">
            <v>22.014404977931232</v>
          </cell>
          <cell r="BV350">
            <v>22.014404977931232</v>
          </cell>
          <cell r="BW350">
            <v>22.014404977931232</v>
          </cell>
          <cell r="BX350">
            <v>22.014404977931232</v>
          </cell>
          <cell r="BY350">
            <v>22.014404977931232</v>
          </cell>
          <cell r="BZ350">
            <v>22.195984905213123</v>
          </cell>
          <cell r="CA350">
            <v>22.195984905213123</v>
          </cell>
          <cell r="CB350">
            <v>22.195984905213123</v>
          </cell>
          <cell r="CC350">
            <v>22.195984905213123</v>
          </cell>
          <cell r="CD350">
            <v>22.195984905213123</v>
          </cell>
        </row>
        <row r="351">
          <cell r="B351" t="str">
            <v>Other income/(cost)</v>
          </cell>
          <cell r="G351">
            <v>7.6634984795924712</v>
          </cell>
          <cell r="L351">
            <v>5.4999816699864352</v>
          </cell>
          <cell r="Q351">
            <v>9.8308379577980674</v>
          </cell>
          <cell r="V351">
            <v>4.6603587063974015</v>
          </cell>
          <cell r="AA351">
            <v>13.999501541404619</v>
          </cell>
          <cell r="AF351">
            <v>17.517821906402197</v>
          </cell>
          <cell r="AK351">
            <v>23.139215061971818</v>
          </cell>
          <cell r="AP351">
            <v>22.34251977220017</v>
          </cell>
          <cell r="AQ351">
            <v>13.000192752246273</v>
          </cell>
          <cell r="AR351">
            <v>13.645770849600261</v>
          </cell>
          <cell r="AS351">
            <v>12.748892208083101</v>
          </cell>
          <cell r="AT351">
            <v>12.798293297252973</v>
          </cell>
          <cell r="AU351">
            <v>13.039016991506484</v>
          </cell>
          <cell r="AV351">
            <v>12.933745687857989</v>
          </cell>
          <cell r="AW351">
            <v>12.534791644285573</v>
          </cell>
          <cell r="AX351">
            <v>12.154510501058192</v>
          </cell>
          <cell r="AY351">
            <v>11.919898005098581</v>
          </cell>
          <cell r="AZ351">
            <v>12.376207473746302</v>
          </cell>
          <cell r="BA351">
            <v>11.254062419050257</v>
          </cell>
          <cell r="BB351">
            <v>11.032646630801791</v>
          </cell>
          <cell r="BC351">
            <v>10.817727534865549</v>
          </cell>
          <cell r="BD351">
            <v>10.724368234753086</v>
          </cell>
          <cell r="BE351">
            <v>10.954320922444481</v>
          </cell>
          <cell r="BF351">
            <v>10.736368099877692</v>
          </cell>
          <cell r="BG351">
            <v>10.403608521963395</v>
          </cell>
          <cell r="BH351">
            <v>10.08650660570488</v>
          </cell>
          <cell r="BI351">
            <v>9.8904198623409947</v>
          </cell>
          <cell r="BJ351">
            <v>10.271227705680452</v>
          </cell>
          <cell r="BK351">
            <v>9.8428570342981985</v>
          </cell>
          <cell r="BL351">
            <v>9.483905479567758</v>
          </cell>
          <cell r="BM351">
            <v>9.1452175349039297</v>
          </cell>
          <cell r="BN351">
            <v>8.9211600027986329</v>
          </cell>
          <cell r="BO351">
            <v>9.3376425122471041</v>
          </cell>
          <cell r="BP351">
            <v>9.1810916150290733</v>
          </cell>
          <cell r="BQ351">
            <v>9.1420371741052158</v>
          </cell>
          <cell r="BR351">
            <v>9.1046705227877727</v>
          </cell>
          <cell r="BS351">
            <v>9.1675299938152044</v>
          </cell>
          <cell r="BT351">
            <v>9.1481401712736901</v>
          </cell>
          <cell r="BU351">
            <v>9.1263395265713143</v>
          </cell>
          <cell r="BV351">
            <v>8.7961663456552159</v>
          </cell>
          <cell r="BW351">
            <v>8.4844656755191288</v>
          </cell>
          <cell r="BX351">
            <v>8.2788491692949666</v>
          </cell>
          <cell r="BY351">
            <v>8.6617643735259442</v>
          </cell>
          <cell r="BZ351">
            <v>8.4138828076367034</v>
          </cell>
          <cell r="CA351">
            <v>8.2735761933206469</v>
          </cell>
          <cell r="CB351">
            <v>8.1368608432002727</v>
          </cell>
          <cell r="CC351">
            <v>8.09060756164404</v>
          </cell>
          <cell r="CD351">
            <v>8.2272563968780243</v>
          </cell>
        </row>
        <row r="352">
          <cell r="B352" t="str">
            <v>Earnings before tax</v>
          </cell>
          <cell r="F352">
            <v>0</v>
          </cell>
          <cell r="G352">
            <v>9.2656235972773082</v>
          </cell>
          <cell r="L352">
            <v>7.8814170322486028</v>
          </cell>
          <cell r="Q352">
            <v>3.0547801563779307</v>
          </cell>
          <cell r="V352">
            <v>7.9649766982064678</v>
          </cell>
          <cell r="AA352">
            <v>-19.950917545518024</v>
          </cell>
          <cell r="AF352">
            <v>-30.934038985776688</v>
          </cell>
          <cell r="AK352">
            <v>3.4263837687919807</v>
          </cell>
          <cell r="AP352">
            <v>-9.9745226201408563</v>
          </cell>
          <cell r="AQ352">
            <v>4.3944223688718365E-2</v>
          </cell>
          <cell r="AR352">
            <v>0.39807676833015504</v>
          </cell>
          <cell r="AS352">
            <v>8.1122572080722524</v>
          </cell>
          <cell r="AT352">
            <v>-5.9863823818499133</v>
          </cell>
          <cell r="AU352">
            <v>0.65558452548470936</v>
          </cell>
          <cell r="AV352">
            <v>1.0091955169804454</v>
          </cell>
          <cell r="AW352">
            <v>1.7139464930060537</v>
          </cell>
          <cell r="AX352">
            <v>2.3936476320705711</v>
          </cell>
          <cell r="AY352">
            <v>2.5425685856463609</v>
          </cell>
          <cell r="AZ352">
            <v>1.9337908304949161</v>
          </cell>
          <cell r="BA352">
            <v>-0.50012962757544754</v>
          </cell>
          <cell r="BB352">
            <v>0.16737635691574487</v>
          </cell>
          <cell r="BC352">
            <v>0.81845223017722413</v>
          </cell>
          <cell r="BD352">
            <v>0.95810333146716098</v>
          </cell>
          <cell r="BE352">
            <v>0.37170316534545839</v>
          </cell>
          <cell r="BF352">
            <v>-3.6995157626840456</v>
          </cell>
          <cell r="BG352">
            <v>-3.039908253156145</v>
          </cell>
          <cell r="BH352">
            <v>-2.4025034051193845</v>
          </cell>
          <cell r="BI352">
            <v>-2.2751065400155839</v>
          </cell>
          <cell r="BJ352">
            <v>-2.837417980420609</v>
          </cell>
          <cell r="BK352">
            <v>-3.6570067886765618</v>
          </cell>
          <cell r="BL352">
            <v>-2.4862450667442486</v>
          </cell>
          <cell r="BM352">
            <v>-1.343262440402216</v>
          </cell>
          <cell r="BN352">
            <v>-0.71193786626398181</v>
          </cell>
          <cell r="BO352">
            <v>-2.0084755167648574</v>
          </cell>
          <cell r="BP352">
            <v>-2.5320112026888499</v>
          </cell>
          <cell r="BQ352">
            <v>-1.7824171969453455</v>
          </cell>
          <cell r="BR352">
            <v>-1.0439821602325452</v>
          </cell>
          <cell r="BS352">
            <v>-0.81449362753710919</v>
          </cell>
          <cell r="BT352">
            <v>-1.5420670707330262</v>
          </cell>
          <cell r="BU352">
            <v>-1.9915510622756061</v>
          </cell>
          <cell r="BV352">
            <v>-0.53698778366388256</v>
          </cell>
          <cell r="BW352">
            <v>0.88123541542405537</v>
          </cell>
          <cell r="BX352">
            <v>1.7691392204350844</v>
          </cell>
          <cell r="BY352">
            <v>8.2915521843709677E-2</v>
          </cell>
          <cell r="BZ352">
            <v>0.19049972401786494</v>
          </cell>
          <cell r="CA352">
            <v>1.2833374961842796</v>
          </cell>
          <cell r="CB352">
            <v>2.3656349711681743</v>
          </cell>
          <cell r="CC352">
            <v>2.933819445366483</v>
          </cell>
          <cell r="CD352">
            <v>1.7094284573539682</v>
          </cell>
        </row>
        <row r="354">
          <cell r="B354" t="str">
            <v>Suggested DD&amp;A/boe for convergence</v>
          </cell>
          <cell r="G354">
            <v>3.8851534103857301</v>
          </cell>
          <cell r="L354">
            <v>4.9754988818691723</v>
          </cell>
          <cell r="Q354">
            <v>7.1370772744466198</v>
          </cell>
          <cell r="V354">
            <v>12.427623217059738</v>
          </cell>
          <cell r="AA354">
            <v>26.032561470946824</v>
          </cell>
          <cell r="AF354">
            <v>42.048064968690468</v>
          </cell>
          <cell r="AK354">
            <v>17.521280635868084</v>
          </cell>
          <cell r="AP354">
            <v>20.924925414239883</v>
          </cell>
          <cell r="AU354">
            <v>20.924925414239883</v>
          </cell>
          <cell r="AZ354">
            <v>21.106505341521775</v>
          </cell>
          <cell r="BE354">
            <v>21.288085268803666</v>
          </cell>
          <cell r="BJ354">
            <v>21.469665196085558</v>
          </cell>
          <cell r="BO354">
            <v>21.651245123367449</v>
          </cell>
          <cell r="BT354">
            <v>21.83282505064934</v>
          </cell>
          <cell r="BY354">
            <v>22.014404977931232</v>
          </cell>
          <cell r="CD354">
            <v>22.195984905213123</v>
          </cell>
        </row>
        <row r="356">
          <cell r="A356" t="str">
            <v>As percent of revenue</v>
          </cell>
        </row>
        <row r="357">
          <cell r="B357" t="str">
            <v>Production cost excluding taxes</v>
          </cell>
          <cell r="G357">
            <v>0.17572815533980582</v>
          </cell>
          <cell r="L357">
            <v>0.28180435884439942</v>
          </cell>
          <cell r="Q357">
            <v>0.27955612462654716</v>
          </cell>
          <cell r="V357">
            <v>0.27736686390532544</v>
          </cell>
          <cell r="AA357">
            <v>0.5331341662140141</v>
          </cell>
          <cell r="AF357">
            <v>0.49193548387096775</v>
          </cell>
          <cell r="AK357">
            <v>0.42243335224049916</v>
          </cell>
          <cell r="AP357">
            <v>0.44902255639097743</v>
          </cell>
          <cell r="AQ357">
            <v>0.46470956273938901</v>
          </cell>
          <cell r="AR357">
            <v>0.44086015763295378</v>
          </cell>
          <cell r="AS357">
            <v>0.39378895124051638</v>
          </cell>
          <cell r="AT357">
            <v>0.47669609330212587</v>
          </cell>
          <cell r="AU357">
            <v>0.44162160849007953</v>
          </cell>
          <cell r="AV357">
            <v>0.46328100030638109</v>
          </cell>
          <cell r="AW357">
            <v>0.4591924186503995</v>
          </cell>
          <cell r="AX357">
            <v>0.45515778232581994</v>
          </cell>
          <cell r="AY357">
            <v>0.4560812456281787</v>
          </cell>
          <cell r="AZ357">
            <v>0.45834274728425195</v>
          </cell>
          <cell r="BA357">
            <v>0.4957649572503397</v>
          </cell>
          <cell r="BB357">
            <v>0.49011917696056434</v>
          </cell>
          <cell r="BC357">
            <v>0.48459969137896808</v>
          </cell>
          <cell r="BD357">
            <v>0.48441105220792974</v>
          </cell>
          <cell r="BE357">
            <v>0.48863627637668788</v>
          </cell>
          <cell r="BF357">
            <v>0.53370551254928345</v>
          </cell>
          <cell r="BG357">
            <v>0.52873528030426797</v>
          </cell>
          <cell r="BH357">
            <v>0.5238408355102786</v>
          </cell>
          <cell r="BI357">
            <v>0.52466298482189166</v>
          </cell>
          <cell r="BJ357">
            <v>0.5276274161510901</v>
          </cell>
          <cell r="BK357">
            <v>0.54671294739346477</v>
          </cell>
          <cell r="BL357">
            <v>0.53771666466054791</v>
          </cell>
          <cell r="BM357">
            <v>0.52891345290106717</v>
          </cell>
          <cell r="BN357">
            <v>0.52595409215190558</v>
          </cell>
          <cell r="BO357">
            <v>0.53447697263254268</v>
          </cell>
          <cell r="BP357">
            <v>0.54855994610541292</v>
          </cell>
          <cell r="BQ357">
            <v>0.54006269780183946</v>
          </cell>
          <cell r="BR357">
            <v>0.53177618279071204</v>
          </cell>
          <cell r="BS357">
            <v>0.52938600746606179</v>
          </cell>
          <cell r="BT357">
            <v>0.53739694850242503</v>
          </cell>
          <cell r="BU357">
            <v>0.54924504015273423</v>
          </cell>
          <cell r="BV357">
            <v>0.53799149883436292</v>
          </cell>
          <cell r="BW357">
            <v>0.52712568426362061</v>
          </cell>
          <cell r="BX357">
            <v>0.52224044494535238</v>
          </cell>
          <cell r="BY357">
            <v>0.53366155381225711</v>
          </cell>
          <cell r="BZ357">
            <v>0.54326335801115821</v>
          </cell>
          <cell r="CA357">
            <v>0.53344264017204646</v>
          </cell>
          <cell r="CB357">
            <v>0.52386919160116852</v>
          </cell>
          <cell r="CC357">
            <v>0.52012735682926703</v>
          </cell>
          <cell r="CD357">
            <v>0.52996799951801887</v>
          </cell>
        </row>
        <row r="358">
          <cell r="B358" t="str">
            <v>Taxes other than income tax</v>
          </cell>
          <cell r="G358">
            <v>0</v>
          </cell>
          <cell r="L358">
            <v>0</v>
          </cell>
          <cell r="Q358">
            <v>0</v>
          </cell>
          <cell r="V358">
            <v>0</v>
          </cell>
          <cell r="AA358">
            <v>0</v>
          </cell>
          <cell r="AF358">
            <v>0</v>
          </cell>
          <cell r="AK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  <cell r="BC358">
            <v>0</v>
          </cell>
          <cell r="BD358">
            <v>0</v>
          </cell>
          <cell r="BE358">
            <v>0</v>
          </cell>
          <cell r="BF358">
            <v>0</v>
          </cell>
          <cell r="BG358">
            <v>0</v>
          </cell>
          <cell r="BH358">
            <v>0</v>
          </cell>
          <cell r="BI358">
            <v>0</v>
          </cell>
          <cell r="BJ358">
            <v>0</v>
          </cell>
          <cell r="BK358">
            <v>0</v>
          </cell>
          <cell r="BL358">
            <v>0</v>
          </cell>
          <cell r="BM358">
            <v>0</v>
          </cell>
          <cell r="BN358">
            <v>0</v>
          </cell>
          <cell r="BO358">
            <v>0</v>
          </cell>
          <cell r="BP358">
            <v>0</v>
          </cell>
          <cell r="BQ358">
            <v>0</v>
          </cell>
          <cell r="BR358">
            <v>0</v>
          </cell>
          <cell r="BS358">
            <v>0</v>
          </cell>
          <cell r="BT358">
            <v>0</v>
          </cell>
          <cell r="BU358">
            <v>0</v>
          </cell>
          <cell r="BV358">
            <v>0</v>
          </cell>
          <cell r="BW358">
            <v>0</v>
          </cell>
          <cell r="BX358">
            <v>0</v>
          </cell>
          <cell r="BY358">
            <v>0</v>
          </cell>
          <cell r="BZ358">
            <v>0</v>
          </cell>
          <cell r="CA358">
            <v>0</v>
          </cell>
          <cell r="CB358">
            <v>0</v>
          </cell>
          <cell r="CC358">
            <v>0</v>
          </cell>
          <cell r="CD358">
            <v>0</v>
          </cell>
        </row>
        <row r="359">
          <cell r="B359" t="str">
            <v>Exploration expense</v>
          </cell>
          <cell r="G359">
            <v>6.7475728155339809E-2</v>
          </cell>
          <cell r="L359">
            <v>6.183476938672073E-2</v>
          </cell>
          <cell r="Q359">
            <v>0.10499359795134443</v>
          </cell>
          <cell r="V359">
            <v>6.6568047337278113E-2</v>
          </cell>
          <cell r="AA359">
            <v>4.8071700162954915E-2</v>
          </cell>
          <cell r="AF359">
            <v>3.6399302528334787E-2</v>
          </cell>
          <cell r="AK359">
            <v>1.559841179807147E-2</v>
          </cell>
          <cell r="AP359">
            <v>6.3609022556390976E-2</v>
          </cell>
          <cell r="AQ359">
            <v>3.3203860511287736E-2</v>
          </cell>
          <cell r="AR359">
            <v>6.3354628571105187E-2</v>
          </cell>
          <cell r="AS359">
            <v>7.1210947935730226E-2</v>
          </cell>
          <cell r="AT359">
            <v>9.3413972755601565E-2</v>
          </cell>
          <cell r="AU359">
            <v>6.5339694349631799E-2</v>
          </cell>
          <cell r="AV359">
            <v>4.484960934309036E-2</v>
          </cell>
          <cell r="AW359">
            <v>4.3561273633495427E-2</v>
          </cell>
          <cell r="AX359">
            <v>4.2328669862149497E-2</v>
          </cell>
          <cell r="AY359">
            <v>4.1595842863843151E-2</v>
          </cell>
          <cell r="AZ359">
            <v>4.304851414951795E-2</v>
          </cell>
          <cell r="BA359">
            <v>3.4777886444582448E-2</v>
          </cell>
          <cell r="BB359">
            <v>3.4079901149177999E-2</v>
          </cell>
          <cell r="BC359">
            <v>3.3402773572279394E-2</v>
          </cell>
          <cell r="BD359">
            <v>3.3101610082350449E-2</v>
          </cell>
          <cell r="BE359">
            <v>3.3828252952159438E-2</v>
          </cell>
          <cell r="BF359">
            <v>2.7640313939233666E-2</v>
          </cell>
          <cell r="BG359">
            <v>2.6829035771578642E-2</v>
          </cell>
          <cell r="BH359">
            <v>2.6053695644692742E-2</v>
          </cell>
          <cell r="BI359">
            <v>2.5587294151985782E-2</v>
          </cell>
          <cell r="BJ359">
            <v>2.6504765416195938E-2</v>
          </cell>
          <cell r="BK359">
            <v>2.519632345895749E-2</v>
          </cell>
          <cell r="BL359">
            <v>2.4143277980927278E-2</v>
          </cell>
          <cell r="BM359">
            <v>2.3151578685732251E-2</v>
          </cell>
          <cell r="BN359">
            <v>2.2458002392521402E-2</v>
          </cell>
          <cell r="BO359">
            <v>2.3692628483674569E-2</v>
          </cell>
          <cell r="BP359">
            <v>2.2672597014664848E-2</v>
          </cell>
          <cell r="BQ359">
            <v>2.2473406187317604E-2</v>
          </cell>
          <cell r="BR359">
            <v>2.2280313041606138E-2</v>
          </cell>
          <cell r="BS359">
            <v>2.233330358328367E-2</v>
          </cell>
          <cell r="BT359">
            <v>2.2438882487170294E-2</v>
          </cell>
          <cell r="BU359">
            <v>2.2110216969681986E-2</v>
          </cell>
          <cell r="BV359">
            <v>2.1105612908049087E-2</v>
          </cell>
          <cell r="BW359">
            <v>2.0165743160807187E-2</v>
          </cell>
          <cell r="BX359">
            <v>1.9494676366493928E-2</v>
          </cell>
          <cell r="BY359">
            <v>2.0672494463325815E-2</v>
          </cell>
          <cell r="BZ359">
            <v>1.9670402464205657E-2</v>
          </cell>
          <cell r="CA359">
            <v>1.9203759335433456E-2</v>
          </cell>
          <cell r="CB359">
            <v>1.8751302443410008E-2</v>
          </cell>
          <cell r="CC359">
            <v>1.8511538903335061E-2</v>
          </cell>
          <cell r="CD359">
            <v>1.9023981545301133E-2</v>
          </cell>
        </row>
        <row r="360">
          <cell r="B360" t="str">
            <v>DD&amp;A</v>
          </cell>
          <cell r="G360">
            <v>0.14126213592233008</v>
          </cell>
          <cell r="L360">
            <v>0.17790167257982767</v>
          </cell>
          <cell r="Q360">
            <v>0.2193768672641912</v>
          </cell>
          <cell r="V360">
            <v>0.32544378698224852</v>
          </cell>
          <cell r="AA360">
            <v>0.54291146116241173</v>
          </cell>
          <cell r="AF360">
            <v>0.6926765475152572</v>
          </cell>
          <cell r="AK360">
            <v>0.22334089619965966</v>
          </cell>
          <cell r="AP360">
            <v>0.30631578947368421</v>
          </cell>
          <cell r="AQ360">
            <v>0.30928507973800834</v>
          </cell>
          <cell r="AR360">
            <v>0.29667236567376848</v>
          </cell>
          <cell r="AS360">
            <v>0.2679083223726178</v>
          </cell>
          <cell r="AT360">
            <v>0.32431293523050336</v>
          </cell>
          <cell r="AU360">
            <v>0.29800775434295773</v>
          </cell>
          <cell r="AV360">
            <v>0.29619993859339833</v>
          </cell>
          <cell r="AW360">
            <v>0.29684795852561868</v>
          </cell>
          <cell r="AX360">
            <v>0.2974731450942586</v>
          </cell>
          <cell r="AY360">
            <v>0.29807668422639888</v>
          </cell>
          <cell r="AZ360">
            <v>0.29716932332846702</v>
          </cell>
          <cell r="BA360">
            <v>0.31189808190831947</v>
          </cell>
          <cell r="BB360">
            <v>0.31177224959357452</v>
          </cell>
          <cell r="BC360">
            <v>0.31164870696195734</v>
          </cell>
          <cell r="BD360">
            <v>0.311527392081279</v>
          </cell>
          <cell r="BE360">
            <v>0.31170901146438507</v>
          </cell>
          <cell r="BF360">
            <v>0.33037210634945635</v>
          </cell>
          <cell r="BG360">
            <v>0.33093207057854462</v>
          </cell>
          <cell r="BH360">
            <v>0.33147162091386534</v>
          </cell>
          <cell r="BI360">
            <v>0.33199185367633816</v>
          </cell>
          <cell r="BJ360">
            <v>0.33120949949243006</v>
          </cell>
          <cell r="BK360">
            <v>0.33296208490706136</v>
          </cell>
          <cell r="BL360">
            <v>0.33112182132933765</v>
          </cell>
          <cell r="BM360">
            <v>0.32928000111030736</v>
          </cell>
          <cell r="BN360">
            <v>0.32743762348609518</v>
          </cell>
          <cell r="BO360">
            <v>0.33011153099930918</v>
          </cell>
          <cell r="BP360">
            <v>0.32867200144440728</v>
          </cell>
          <cell r="BQ360">
            <v>0.32717618200468235</v>
          </cell>
          <cell r="BR360">
            <v>0.32569629318532478</v>
          </cell>
          <cell r="BS360">
            <v>0.32423238549540856</v>
          </cell>
          <cell r="BT360">
            <v>0.32643424847640123</v>
          </cell>
          <cell r="BU360">
            <v>0.32372624580748655</v>
          </cell>
          <cell r="BV360">
            <v>0.32061664339282009</v>
          </cell>
          <cell r="BW360">
            <v>0.31759324942324185</v>
          </cell>
          <cell r="BX360">
            <v>0.31464989250549574</v>
          </cell>
          <cell r="BY360">
            <v>0.31898683922772975</v>
          </cell>
          <cell r="BZ360">
            <v>0.31496753001248162</v>
          </cell>
          <cell r="CA360">
            <v>0.31271015256151885</v>
          </cell>
          <cell r="CB360">
            <v>0.31047279221327329</v>
          </cell>
          <cell r="CC360">
            <v>0.30825518158020249</v>
          </cell>
          <cell r="CD360">
            <v>0.31154390340392529</v>
          </cell>
        </row>
        <row r="361">
          <cell r="B361" t="str">
            <v>Other income/(cost)</v>
          </cell>
          <cell r="G361">
            <v>0.27864077669902915</v>
          </cell>
          <cell r="L361">
            <v>0.1966548403446528</v>
          </cell>
          <cell r="Q361">
            <v>0.30217669654289375</v>
          </cell>
          <cell r="V361">
            <v>0.12204142011834319</v>
          </cell>
          <cell r="AA361">
            <v>0.29196089082020643</v>
          </cell>
          <cell r="AF361">
            <v>0.28857890148212728</v>
          </cell>
          <cell r="AK361">
            <v>0.2949517867271696</v>
          </cell>
          <cell r="AP361">
            <v>0.32706766917293234</v>
          </cell>
          <cell r="AQ361">
            <v>0.19215197055143365</v>
          </cell>
          <cell r="AR361">
            <v>0.19346893904042706</v>
          </cell>
          <cell r="AS361">
            <v>0.16322802858128871</v>
          </cell>
          <cell r="AT361">
            <v>0.19835922867129438</v>
          </cell>
          <cell r="AU361">
            <v>0.18569447048966975</v>
          </cell>
          <cell r="AV361">
            <v>0.18150682060045636</v>
          </cell>
          <cell r="AW361">
            <v>0.17629291301152356</v>
          </cell>
          <cell r="AX361">
            <v>0.17130455313784723</v>
          </cell>
          <cell r="AY361">
            <v>0.16833879489689491</v>
          </cell>
          <cell r="AZ361">
            <v>0.17421777021691146</v>
          </cell>
          <cell r="BA361">
            <v>0.16488662262745327</v>
          </cell>
          <cell r="BB361">
            <v>0.16157738075658065</v>
          </cell>
          <cell r="BC361">
            <v>0.15836702812573197</v>
          </cell>
          <cell r="BD361">
            <v>0.15693917164019747</v>
          </cell>
          <cell r="BE361">
            <v>0.16038428291370868</v>
          </cell>
          <cell r="BF361">
            <v>0.16520968125513236</v>
          </cell>
          <cell r="BG361">
            <v>0.16036056818853706</v>
          </cell>
          <cell r="BH361">
            <v>0.15572626137462953</v>
          </cell>
          <cell r="BI361">
            <v>0.15293852017471279</v>
          </cell>
          <cell r="BJ361">
            <v>0.15842236292172848</v>
          </cell>
          <cell r="BK361">
            <v>0.15136765488119602</v>
          </cell>
          <cell r="BL361">
            <v>0.14504145317354117</v>
          </cell>
          <cell r="BM361">
            <v>0.13908379046510977</v>
          </cell>
          <cell r="BN361">
            <v>0.1349171104669136</v>
          </cell>
          <cell r="BO361">
            <v>0.14233416305307395</v>
          </cell>
          <cell r="BP361">
            <v>0.13821242782625257</v>
          </cell>
          <cell r="BQ361">
            <v>0.13699815811420435</v>
          </cell>
          <cell r="BR361">
            <v>0.1358210599437509</v>
          </cell>
          <cell r="BS361">
            <v>0.13614409093187912</v>
          </cell>
          <cell r="BT361">
            <v>0.13678770121719255</v>
          </cell>
          <cell r="BU361">
            <v>0.13420465535467063</v>
          </cell>
          <cell r="BV361">
            <v>0.12810690687738444</v>
          </cell>
          <cell r="BW361">
            <v>0.12240208291840476</v>
          </cell>
          <cell r="BX361">
            <v>0.11832883985732277</v>
          </cell>
          <cell r="BY361">
            <v>0.12547796335857853</v>
          </cell>
          <cell r="BZ361">
            <v>0.11939546260519365</v>
          </cell>
          <cell r="CA361">
            <v>0.11656303086757787</v>
          </cell>
          <cell r="CB361">
            <v>0.11381670678852811</v>
          </cell>
          <cell r="CC361">
            <v>0.11236138939808836</v>
          </cell>
          <cell r="CD361">
            <v>0.11547181514598562</v>
          </cell>
        </row>
        <row r="363">
          <cell r="A363" t="str">
            <v>Effective tax rate</v>
          </cell>
          <cell r="G363">
            <v>0.39913544668587897</v>
          </cell>
          <cell r="L363">
            <v>0.28417266187050361</v>
          </cell>
          <cell r="Q363">
            <v>-0.3</v>
          </cell>
          <cell r="V363">
            <v>1.9503546099290781E-2</v>
          </cell>
          <cell r="AA363">
            <v>0.37336814621409919</v>
          </cell>
          <cell r="AF363">
            <v>0.26261762189905902</v>
          </cell>
          <cell r="AK363">
            <v>0.5357142857142857</v>
          </cell>
          <cell r="AP363">
            <v>0.44078269824922761</v>
          </cell>
          <cell r="AQ363">
            <v>0.35</v>
          </cell>
          <cell r="AR363">
            <v>0.35</v>
          </cell>
          <cell r="AS363">
            <v>0.35</v>
          </cell>
          <cell r="AT363">
            <v>0.35</v>
          </cell>
          <cell r="AU363">
            <v>0.35</v>
          </cell>
          <cell r="AV363">
            <v>0.35</v>
          </cell>
          <cell r="AW363">
            <v>0.35</v>
          </cell>
          <cell r="AX363">
            <v>0.35</v>
          </cell>
          <cell r="AY363">
            <v>0.35</v>
          </cell>
          <cell r="AZ363">
            <v>0.35</v>
          </cell>
          <cell r="BA363">
            <v>0.35</v>
          </cell>
          <cell r="BB363">
            <v>0.35</v>
          </cell>
          <cell r="BC363">
            <v>0.35</v>
          </cell>
          <cell r="BD363">
            <v>0.35</v>
          </cell>
          <cell r="BE363">
            <v>0.35</v>
          </cell>
          <cell r="BF363">
            <v>0.35</v>
          </cell>
          <cell r="BG363">
            <v>0.35</v>
          </cell>
          <cell r="BH363">
            <v>0.35</v>
          </cell>
          <cell r="BI363">
            <v>0.35</v>
          </cell>
          <cell r="BJ363">
            <v>0.35</v>
          </cell>
          <cell r="BK363">
            <v>0.35</v>
          </cell>
          <cell r="BL363">
            <v>0.35</v>
          </cell>
          <cell r="BM363">
            <v>0.35</v>
          </cell>
          <cell r="BN363">
            <v>0.35</v>
          </cell>
          <cell r="BO363">
            <v>0.35</v>
          </cell>
          <cell r="BP363">
            <v>0.35</v>
          </cell>
          <cell r="BQ363">
            <v>0.35</v>
          </cell>
          <cell r="BR363">
            <v>0.35</v>
          </cell>
          <cell r="BS363">
            <v>0.35</v>
          </cell>
          <cell r="BT363">
            <v>0.35</v>
          </cell>
          <cell r="BU363">
            <v>0.35</v>
          </cell>
          <cell r="BV363">
            <v>0.35</v>
          </cell>
          <cell r="BW363">
            <v>0.35</v>
          </cell>
          <cell r="BX363">
            <v>0.35</v>
          </cell>
          <cell r="BY363">
            <v>0.35</v>
          </cell>
          <cell r="BZ363">
            <v>0.35</v>
          </cell>
          <cell r="CA363">
            <v>0.35</v>
          </cell>
          <cell r="CB363">
            <v>0.35</v>
          </cell>
          <cell r="CC363">
            <v>0.35</v>
          </cell>
          <cell r="CD363">
            <v>0.35</v>
          </cell>
        </row>
        <row r="367">
          <cell r="A367" t="str">
            <v>South America</v>
          </cell>
        </row>
        <row r="368">
          <cell r="C368">
            <v>2001</v>
          </cell>
          <cell r="D368">
            <v>2002</v>
          </cell>
          <cell r="E368">
            <v>2003</v>
          </cell>
          <cell r="F368">
            <v>2004</v>
          </cell>
          <cell r="G368">
            <v>2005</v>
          </cell>
          <cell r="H368" t="str">
            <v>1Q06</v>
          </cell>
          <cell r="I368" t="str">
            <v>2Q06</v>
          </cell>
          <cell r="J368" t="str">
            <v>3Q06</v>
          </cell>
          <cell r="K368" t="str">
            <v>4Q06</v>
          </cell>
          <cell r="L368">
            <v>2006</v>
          </cell>
          <cell r="M368" t="str">
            <v>1Q07</v>
          </cell>
          <cell r="N368" t="str">
            <v>2Q07</v>
          </cell>
          <cell r="O368" t="str">
            <v>3Q07</v>
          </cell>
          <cell r="P368" t="str">
            <v>4Q07</v>
          </cell>
          <cell r="Q368">
            <v>2007</v>
          </cell>
          <cell r="R368" t="str">
            <v>1Q08</v>
          </cell>
          <cell r="S368" t="str">
            <v>2Q08</v>
          </cell>
          <cell r="T368" t="str">
            <v>3Q08</v>
          </cell>
          <cell r="U368" t="str">
            <v>4Q08</v>
          </cell>
          <cell r="V368">
            <v>2008</v>
          </cell>
          <cell r="W368" t="str">
            <v>1Q09</v>
          </cell>
          <cell r="X368" t="str">
            <v>2Q09</v>
          </cell>
          <cell r="Y368" t="str">
            <v>3Q09</v>
          </cell>
          <cell r="Z368" t="str">
            <v>4Q09</v>
          </cell>
          <cell r="AA368">
            <v>2009</v>
          </cell>
          <cell r="AB368" t="str">
            <v>1Q10</v>
          </cell>
          <cell r="AC368" t="str">
            <v>2Q10</v>
          </cell>
          <cell r="AD368" t="str">
            <v>3Q10</v>
          </cell>
          <cell r="AE368" t="str">
            <v>4Q10</v>
          </cell>
          <cell r="AF368">
            <v>2010</v>
          </cell>
          <cell r="AG368" t="str">
            <v>1Q11</v>
          </cell>
          <cell r="AH368" t="str">
            <v>2Q11</v>
          </cell>
          <cell r="AI368" t="str">
            <v>3Q11</v>
          </cell>
          <cell r="AJ368" t="str">
            <v>4Q11</v>
          </cell>
          <cell r="AK368">
            <v>2011</v>
          </cell>
          <cell r="AL368" t="str">
            <v>1Q12</v>
          </cell>
          <cell r="AM368" t="str">
            <v>2Q12</v>
          </cell>
          <cell r="AN368" t="str">
            <v>3Q12</v>
          </cell>
          <cell r="AO368" t="str">
            <v>4Q12</v>
          </cell>
          <cell r="AP368">
            <v>2012</v>
          </cell>
          <cell r="AQ368" t="str">
            <v>1Q13</v>
          </cell>
          <cell r="AR368" t="str">
            <v>2Q13</v>
          </cell>
          <cell r="AS368" t="str">
            <v>3Q13</v>
          </cell>
          <cell r="AT368" t="str">
            <v>4Q13</v>
          </cell>
          <cell r="AU368">
            <v>2013</v>
          </cell>
          <cell r="AV368" t="str">
            <v>1Q14</v>
          </cell>
          <cell r="AW368" t="str">
            <v>2Q14</v>
          </cell>
          <cell r="AX368" t="str">
            <v>3Q14</v>
          </cell>
          <cell r="AY368" t="str">
            <v>4Q14</v>
          </cell>
          <cell r="AZ368">
            <v>2014</v>
          </cell>
          <cell r="BA368" t="str">
            <v>1Q15</v>
          </cell>
          <cell r="BB368" t="str">
            <v>2Q15</v>
          </cell>
          <cell r="BC368" t="str">
            <v>3Q15</v>
          </cell>
          <cell r="BD368" t="str">
            <v>4Q15</v>
          </cell>
          <cell r="BE368">
            <v>2015</v>
          </cell>
          <cell r="BF368" t="str">
            <v>1Q16</v>
          </cell>
          <cell r="BG368" t="str">
            <v>2Q16</v>
          </cell>
          <cell r="BH368" t="str">
            <v>3Q16</v>
          </cell>
          <cell r="BI368" t="str">
            <v>4Q16</v>
          </cell>
          <cell r="BJ368">
            <v>2016</v>
          </cell>
          <cell r="BK368" t="str">
            <v>1Q17</v>
          </cell>
          <cell r="BL368" t="str">
            <v>2Q17</v>
          </cell>
          <cell r="BM368" t="str">
            <v>3Q17</v>
          </cell>
          <cell r="BN368" t="str">
            <v>4Q17</v>
          </cell>
          <cell r="BO368">
            <v>2017</v>
          </cell>
          <cell r="BP368" t="str">
            <v>1Q18</v>
          </cell>
          <cell r="BQ368" t="str">
            <v>2Q18</v>
          </cell>
          <cell r="BR368" t="str">
            <v>3Q18</v>
          </cell>
          <cell r="BS368" t="str">
            <v>4Q18</v>
          </cell>
          <cell r="BT368">
            <v>2018</v>
          </cell>
          <cell r="BU368" t="str">
            <v>1Q19</v>
          </cell>
          <cell r="BV368" t="str">
            <v>2Q19</v>
          </cell>
          <cell r="BW368" t="str">
            <v>3Q19</v>
          </cell>
          <cell r="BX368" t="str">
            <v>4Q19</v>
          </cell>
          <cell r="BY368">
            <v>2019</v>
          </cell>
          <cell r="BZ368" t="str">
            <v>1Q20</v>
          </cell>
          <cell r="CA368" t="str">
            <v>2Q20</v>
          </cell>
          <cell r="CB368" t="str">
            <v>3Q20</v>
          </cell>
          <cell r="CC368" t="str">
            <v>4Q20</v>
          </cell>
          <cell r="CD368">
            <v>2020</v>
          </cell>
        </row>
        <row r="369">
          <cell r="A369" t="str">
            <v>Third parties</v>
          </cell>
          <cell r="G369">
            <v>369</v>
          </cell>
          <cell r="L369">
            <v>473</v>
          </cell>
          <cell r="Q369">
            <v>192</v>
          </cell>
          <cell r="V369">
            <v>479</v>
          </cell>
          <cell r="AA369">
            <v>119</v>
          </cell>
          <cell r="AF369">
            <v>121</v>
          </cell>
          <cell r="AK369">
            <v>96</v>
          </cell>
          <cell r="AP369">
            <v>23</v>
          </cell>
        </row>
        <row r="370">
          <cell r="A370" t="str">
            <v>Sales between businesses</v>
          </cell>
          <cell r="G370">
            <v>385</v>
          </cell>
          <cell r="L370">
            <v>509</v>
          </cell>
          <cell r="Q370">
            <v>501</v>
          </cell>
          <cell r="V370">
            <v>371</v>
          </cell>
          <cell r="AA370">
            <v>486</v>
          </cell>
          <cell r="AF370">
            <v>1356</v>
          </cell>
          <cell r="AK370">
            <v>1570</v>
          </cell>
          <cell r="AP370">
            <v>1431</v>
          </cell>
        </row>
        <row r="371">
          <cell r="A371" t="str">
            <v>Revenue</v>
          </cell>
          <cell r="G371">
            <v>754</v>
          </cell>
          <cell r="L371">
            <v>982</v>
          </cell>
          <cell r="Q371">
            <v>693</v>
          </cell>
          <cell r="V371">
            <v>850</v>
          </cell>
          <cell r="AA371">
            <v>605</v>
          </cell>
          <cell r="AF371">
            <v>1477</v>
          </cell>
          <cell r="AK371">
            <v>1666</v>
          </cell>
          <cell r="AP371">
            <v>1454</v>
          </cell>
          <cell r="AQ371">
            <v>471.28334618915824</v>
          </cell>
          <cell r="AR371">
            <v>401.31485451098837</v>
          </cell>
          <cell r="AS371">
            <v>431.38352281060213</v>
          </cell>
          <cell r="AT371">
            <v>459.49002329896553</v>
          </cell>
          <cell r="AU371">
            <v>1763.4717468097144</v>
          </cell>
          <cell r="AV371">
            <v>450.73396614120043</v>
          </cell>
          <cell r="AW371">
            <v>559.80680280544959</v>
          </cell>
          <cell r="AX371">
            <v>671.16677532650965</v>
          </cell>
          <cell r="AY371">
            <v>776.3750247398176</v>
          </cell>
          <cell r="AZ371">
            <v>2458.0825690129773</v>
          </cell>
          <cell r="BA371">
            <v>615.04676901879986</v>
          </cell>
          <cell r="BB371">
            <v>569.99567082985811</v>
          </cell>
          <cell r="BC371">
            <v>523.80424404359655</v>
          </cell>
          <cell r="BD371">
            <v>471.34912856689726</v>
          </cell>
          <cell r="BE371">
            <v>2180.1958124591515</v>
          </cell>
          <cell r="BF371">
            <v>451.43008081496265</v>
          </cell>
          <cell r="BG371">
            <v>475.09238729160631</v>
          </cell>
          <cell r="BH371">
            <v>499.16450512406993</v>
          </cell>
          <cell r="BI371">
            <v>518.01582749179056</v>
          </cell>
          <cell r="BJ371">
            <v>1943.7028007224294</v>
          </cell>
          <cell r="BK371">
            <v>477.01819902299138</v>
          </cell>
          <cell r="BL371">
            <v>451.80042751536263</v>
          </cell>
          <cell r="BM371">
            <v>425.45151269019243</v>
          </cell>
          <cell r="BN371">
            <v>393.6729969369419</v>
          </cell>
          <cell r="BO371">
            <v>1747.9431361654883</v>
          </cell>
          <cell r="BP371">
            <v>385.8208210574731</v>
          </cell>
          <cell r="BQ371">
            <v>390.80948363263371</v>
          </cell>
          <cell r="BR371">
            <v>395.80125981223921</v>
          </cell>
          <cell r="BS371">
            <v>396.48594898953769</v>
          </cell>
          <cell r="BT371">
            <v>1568.9175134918837</v>
          </cell>
          <cell r="BU371">
            <v>375.17871657568867</v>
          </cell>
          <cell r="BV371">
            <v>366.31814510297232</v>
          </cell>
          <cell r="BW371">
            <v>356.96680854351342</v>
          </cell>
          <cell r="BX371">
            <v>343.38363920115455</v>
          </cell>
          <cell r="BY371">
            <v>1441.8473094233291</v>
          </cell>
          <cell r="BZ371">
            <v>368.83747990514712</v>
          </cell>
          <cell r="CA371">
            <v>406.66906787012925</v>
          </cell>
          <cell r="CB371">
            <v>445.70007991883301</v>
          </cell>
          <cell r="CC371">
            <v>480.72443574439166</v>
          </cell>
          <cell r="CD371">
            <v>1701.9310634385008</v>
          </cell>
        </row>
        <row r="373">
          <cell r="A373" t="str">
            <v>Production cost excluding taxes</v>
          </cell>
          <cell r="G373">
            <v>-147</v>
          </cell>
          <cell r="L373">
            <v>-151</v>
          </cell>
          <cell r="Q373">
            <v>-158</v>
          </cell>
          <cell r="V373">
            <v>-161</v>
          </cell>
          <cell r="AA373">
            <v>-184</v>
          </cell>
          <cell r="AF373">
            <v>-209</v>
          </cell>
          <cell r="AK373">
            <v>-250</v>
          </cell>
          <cell r="AP373">
            <v>-255</v>
          </cell>
          <cell r="AQ373">
            <v>-90.530142310118165</v>
          </cell>
          <cell r="AR373">
            <v>-76.023196290838683</v>
          </cell>
          <cell r="AS373">
            <v>-79.152504750578899</v>
          </cell>
          <cell r="AT373">
            <v>-92.275386871114463</v>
          </cell>
          <cell r="AU373">
            <v>-337.9812302226502</v>
          </cell>
          <cell r="AV373">
            <v>-93.91313524174717</v>
          </cell>
          <cell r="AW373">
            <v>-117.90059542833613</v>
          </cell>
          <cell r="AX373">
            <v>-142.3923189315432</v>
          </cell>
          <cell r="AY373">
            <v>-165.58843149597743</v>
          </cell>
          <cell r="AZ373">
            <v>-519.79448109760392</v>
          </cell>
          <cell r="BA373">
            <v>-150.21174490442706</v>
          </cell>
          <cell r="BB373">
            <v>-138.43373039866768</v>
          </cell>
          <cell r="BC373">
            <v>-126.36017668645586</v>
          </cell>
          <cell r="BD373">
            <v>-112.76537318964331</v>
          </cell>
          <cell r="BE373">
            <v>-527.77102517919388</v>
          </cell>
          <cell r="BF373">
            <v>-118.20133786996598</v>
          </cell>
          <cell r="BG373">
            <v>-124.70121796026001</v>
          </cell>
          <cell r="BH373">
            <v>-131.31508776246034</v>
          </cell>
          <cell r="BI373">
            <v>-136.55861451015235</v>
          </cell>
          <cell r="BJ373">
            <v>-510.77625810283871</v>
          </cell>
          <cell r="BK373">
            <v>-127.71047183197857</v>
          </cell>
          <cell r="BL373">
            <v>-119.80781536178114</v>
          </cell>
          <cell r="BM373">
            <v>-111.70028720558868</v>
          </cell>
          <cell r="BN373">
            <v>-102.27618964981619</v>
          </cell>
          <cell r="BO373">
            <v>-461.49476404916459</v>
          </cell>
          <cell r="BP373">
            <v>-102.13380942126845</v>
          </cell>
          <cell r="BQ373">
            <v>-102.84365481726145</v>
          </cell>
          <cell r="BR373">
            <v>-103.54416010976681</v>
          </cell>
          <cell r="BS373">
            <v>-103.11451534933519</v>
          </cell>
          <cell r="BT373">
            <v>-411.6361396976319</v>
          </cell>
          <cell r="BU373">
            <v>-99.08641924435922</v>
          </cell>
          <cell r="BV373">
            <v>-95.831210881487848</v>
          </cell>
          <cell r="BW373">
            <v>-92.480262549897816</v>
          </cell>
          <cell r="BX373">
            <v>-88.076223988840894</v>
          </cell>
          <cell r="BY373">
            <v>-375.47411666458572</v>
          </cell>
          <cell r="BZ373">
            <v>-95.772701804195407</v>
          </cell>
          <cell r="CA373">
            <v>-104.37684029941134</v>
          </cell>
          <cell r="CB373">
            <v>-113.14669302240878</v>
          </cell>
          <cell r="CC373">
            <v>-120.7695475003577</v>
          </cell>
          <cell r="CD373">
            <v>-434.06578262637322</v>
          </cell>
        </row>
        <row r="374">
          <cell r="A374" t="str">
            <v>Taxes other than income tax</v>
          </cell>
          <cell r="G374">
            <v>-53</v>
          </cell>
          <cell r="L374">
            <v>-67</v>
          </cell>
          <cell r="Q374">
            <v>-67</v>
          </cell>
          <cell r="V374">
            <v>-90</v>
          </cell>
          <cell r="AA374">
            <v>-68</v>
          </cell>
          <cell r="AF374">
            <v>-154</v>
          </cell>
          <cell r="AK374">
            <v>-180</v>
          </cell>
          <cell r="AP374">
            <v>-145</v>
          </cell>
          <cell r="AQ374">
            <v>-51.841168080807407</v>
          </cell>
          <cell r="AR374">
            <v>-44.144633996208718</v>
          </cell>
          <cell r="AS374">
            <v>-47.452187509166237</v>
          </cell>
          <cell r="AT374">
            <v>-50.54390256288621</v>
          </cell>
          <cell r="AU374">
            <v>-193.98189214906859</v>
          </cell>
          <cell r="AV374">
            <v>-49.580736275532047</v>
          </cell>
          <cell r="AW374">
            <v>-61.578748308599458</v>
          </cell>
          <cell r="AX374">
            <v>-73.828345285916058</v>
          </cell>
          <cell r="AY374">
            <v>-85.401252721379933</v>
          </cell>
          <cell r="AZ374">
            <v>-270.3890825914275</v>
          </cell>
          <cell r="BA374">
            <v>-67.655144592067984</v>
          </cell>
          <cell r="BB374">
            <v>-62.699523791284392</v>
          </cell>
          <cell r="BC374">
            <v>-57.61846684479562</v>
          </cell>
          <cell r="BD374">
            <v>-51.848404142358696</v>
          </cell>
          <cell r="BE374">
            <v>-239.82153937050668</v>
          </cell>
          <cell r="BF374">
            <v>-49.65730888964589</v>
          </cell>
          <cell r="BG374">
            <v>-52.260162602076697</v>
          </cell>
          <cell r="BH374">
            <v>-54.908095563647692</v>
          </cell>
          <cell r="BI374">
            <v>-56.981741024096962</v>
          </cell>
          <cell r="BJ374">
            <v>-213.80730807946725</v>
          </cell>
          <cell r="BK374">
            <v>-52.47200189252905</v>
          </cell>
          <cell r="BL374">
            <v>-49.698047026689892</v>
          </cell>
          <cell r="BM374">
            <v>-46.799666395921165</v>
          </cell>
          <cell r="BN374">
            <v>-43.304029663063609</v>
          </cell>
          <cell r="BO374">
            <v>-192.27374497820369</v>
          </cell>
          <cell r="BP374">
            <v>-42.440290316322042</v>
          </cell>
          <cell r="BQ374">
            <v>-42.989043199589709</v>
          </cell>
          <cell r="BR374">
            <v>-43.538138579346317</v>
          </cell>
          <cell r="BS374">
            <v>-43.613454388849149</v>
          </cell>
          <cell r="BT374">
            <v>-172.58092648410724</v>
          </cell>
          <cell r="BU374">
            <v>-41.269658823325756</v>
          </cell>
          <cell r="BV374">
            <v>-40.294995961326954</v>
          </cell>
          <cell r="BW374">
            <v>-39.266348939786475</v>
          </cell>
          <cell r="BX374">
            <v>-37.772200312126998</v>
          </cell>
          <cell r="BY374">
            <v>-158.60320403656618</v>
          </cell>
          <cell r="BZ374">
            <v>-40.572122789566187</v>
          </cell>
          <cell r="CA374">
            <v>-44.733597465714219</v>
          </cell>
          <cell r="CB374">
            <v>-49.02700879107163</v>
          </cell>
          <cell r="CC374">
            <v>-52.879687931883083</v>
          </cell>
          <cell r="CD374">
            <v>-187.21241697823513</v>
          </cell>
        </row>
        <row r="375">
          <cell r="A375" t="str">
            <v>Exploration expense</v>
          </cell>
          <cell r="G375">
            <v>-107</v>
          </cell>
          <cell r="L375">
            <v>-57</v>
          </cell>
          <cell r="Q375">
            <v>-54</v>
          </cell>
          <cell r="V375">
            <v>-147</v>
          </cell>
          <cell r="AA375">
            <v>-182</v>
          </cell>
          <cell r="AF375">
            <v>-125</v>
          </cell>
          <cell r="AK375">
            <v>-126</v>
          </cell>
          <cell r="AP375">
            <v>-198</v>
          </cell>
          <cell r="AQ375">
            <v>-45.360000000000007</v>
          </cell>
          <cell r="AR375">
            <v>-85.960000000000008</v>
          </cell>
          <cell r="AS375">
            <v>-114.52000000000001</v>
          </cell>
          <cell r="AT375">
            <v>-123.62000000000002</v>
          </cell>
          <cell r="AU375">
            <v>-369.46000000000004</v>
          </cell>
          <cell r="AV375">
            <v>-64.862700000000004</v>
          </cell>
          <cell r="AW375">
            <v>-64.862700000000004</v>
          </cell>
          <cell r="AX375">
            <v>-64.862700000000004</v>
          </cell>
          <cell r="AY375">
            <v>-64.862700000000018</v>
          </cell>
          <cell r="AZ375">
            <v>-259.45080000000002</v>
          </cell>
          <cell r="BA375">
            <v>-55.366500000000009</v>
          </cell>
          <cell r="BB375">
            <v>-55.366500000000016</v>
          </cell>
          <cell r="BC375">
            <v>-55.366500000000009</v>
          </cell>
          <cell r="BD375">
            <v>-55.366499999999995</v>
          </cell>
          <cell r="BE375">
            <v>-221.46600000000004</v>
          </cell>
          <cell r="BF375">
            <v>-43.917416666666668</v>
          </cell>
          <cell r="BG375">
            <v>-43.917416666666668</v>
          </cell>
          <cell r="BH375">
            <v>-43.917416666666668</v>
          </cell>
          <cell r="BI375">
            <v>-43.917416666666668</v>
          </cell>
          <cell r="BJ375">
            <v>-175.66966666666667</v>
          </cell>
          <cell r="BK375">
            <v>-43.695166666666672</v>
          </cell>
          <cell r="BL375">
            <v>-43.695166666666672</v>
          </cell>
          <cell r="BM375">
            <v>-43.695166666666672</v>
          </cell>
          <cell r="BN375">
            <v>-43.695166666666672</v>
          </cell>
          <cell r="BO375">
            <v>-174.78066666666669</v>
          </cell>
          <cell r="BP375">
            <v>-43.060937500000001</v>
          </cell>
          <cell r="BQ375">
            <v>-43.060937500000001</v>
          </cell>
          <cell r="BR375">
            <v>-43.060937500000001</v>
          </cell>
          <cell r="BS375">
            <v>-43.060937500000001</v>
          </cell>
          <cell r="BT375">
            <v>-172.24375000000001</v>
          </cell>
          <cell r="BU375">
            <v>-43.246875000000003</v>
          </cell>
          <cell r="BV375">
            <v>-43.246875000000003</v>
          </cell>
          <cell r="BW375">
            <v>-43.246875000000003</v>
          </cell>
          <cell r="BX375">
            <v>-43.246875000000003</v>
          </cell>
          <cell r="BY375">
            <v>-172.98750000000001</v>
          </cell>
          <cell r="BZ375">
            <v>-43.246875000000003</v>
          </cell>
          <cell r="CA375">
            <v>-43.246875000000003</v>
          </cell>
          <cell r="CB375">
            <v>-43.246875000000003</v>
          </cell>
          <cell r="CC375">
            <v>-43.246875000000003</v>
          </cell>
          <cell r="CD375">
            <v>-172.98750000000001</v>
          </cell>
        </row>
        <row r="376">
          <cell r="A376" t="str">
            <v>DD&amp;A</v>
          </cell>
          <cell r="G376">
            <v>-529</v>
          </cell>
          <cell r="L376">
            <v>-683</v>
          </cell>
          <cell r="Q376">
            <v>-13</v>
          </cell>
          <cell r="V376">
            <v>-74</v>
          </cell>
          <cell r="AA376">
            <v>-124</v>
          </cell>
          <cell r="AF376">
            <v>-636</v>
          </cell>
          <cell r="AK376">
            <v>-352</v>
          </cell>
          <cell r="AP376">
            <v>-315</v>
          </cell>
          <cell r="AQ376">
            <v>-119.19519566957476</v>
          </cell>
          <cell r="AR376">
            <v>-100.09483610742356</v>
          </cell>
          <cell r="AS376">
            <v>-104.21499459443282</v>
          </cell>
          <cell r="AT376">
            <v>-121.49304654698319</v>
          </cell>
          <cell r="AU376">
            <v>-444.99807291841432</v>
          </cell>
          <cell r="AV376">
            <v>-127.73133837763164</v>
          </cell>
          <cell r="AW376">
            <v>-160.35670421198563</v>
          </cell>
          <cell r="AX376">
            <v>-193.66791902966415</v>
          </cell>
          <cell r="AY376">
            <v>-225.2169722625957</v>
          </cell>
          <cell r="AZ376">
            <v>-706.97293388187711</v>
          </cell>
          <cell r="BA376">
            <v>-196.80528538499377</v>
          </cell>
          <cell r="BB376">
            <v>-181.37389879435537</v>
          </cell>
          <cell r="BC376">
            <v>-165.55530095132565</v>
          </cell>
          <cell r="BD376">
            <v>-147.74358334132506</v>
          </cell>
          <cell r="BE376">
            <v>-691.4780684719999</v>
          </cell>
          <cell r="BF376">
            <v>-149.15783890973424</v>
          </cell>
          <cell r="BG376">
            <v>-157.3600139858508</v>
          </cell>
          <cell r="BH376">
            <v>-165.70603226537162</v>
          </cell>
          <cell r="BI376">
            <v>-172.32281962197104</v>
          </cell>
          <cell r="BJ376">
            <v>-644.54670478292769</v>
          </cell>
          <cell r="BK376">
            <v>-155.19161610352094</v>
          </cell>
          <cell r="BL376">
            <v>-145.58844095642399</v>
          </cell>
          <cell r="BM376">
            <v>-135.736309184335</v>
          </cell>
          <cell r="BN376">
            <v>-124.28430443470292</v>
          </cell>
          <cell r="BO376">
            <v>-560.8006706789829</v>
          </cell>
          <cell r="BP376">
            <v>-119.49635117184378</v>
          </cell>
          <cell r="BQ376">
            <v>-120.32686885445979</v>
          </cell>
          <cell r="BR376">
            <v>-121.14645863482025</v>
          </cell>
          <cell r="BS376">
            <v>-120.64377513106575</v>
          </cell>
          <cell r="BT376">
            <v>-481.61345379218955</v>
          </cell>
          <cell r="BU376">
            <v>-111.60044548225906</v>
          </cell>
          <cell r="BV376">
            <v>-107.93412363710164</v>
          </cell>
          <cell r="BW376">
            <v>-104.1599704338132</v>
          </cell>
          <cell r="BX376">
            <v>-99.199727959787367</v>
          </cell>
          <cell r="BY376">
            <v>-422.89426751296128</v>
          </cell>
          <cell r="BZ376">
            <v>-103.82010098898365</v>
          </cell>
          <cell r="CA376">
            <v>-113.14721101792291</v>
          </cell>
          <cell r="CB376">
            <v>-122.65395958205524</v>
          </cell>
          <cell r="CC376">
            <v>-130.91733220093562</v>
          </cell>
          <cell r="CD376">
            <v>-470.53860378989742</v>
          </cell>
        </row>
        <row r="377">
          <cell r="A377" t="str">
            <v>Other income/(cost)</v>
          </cell>
          <cell r="G377">
            <v>118</v>
          </cell>
          <cell r="L377">
            <v>-106</v>
          </cell>
          <cell r="Q377">
            <v>-44</v>
          </cell>
          <cell r="V377">
            <v>-41</v>
          </cell>
          <cell r="AA377">
            <v>-72</v>
          </cell>
          <cell r="AF377">
            <v>72</v>
          </cell>
          <cell r="AK377">
            <v>504</v>
          </cell>
          <cell r="AP377">
            <v>-63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  <cell r="BC377">
            <v>0</v>
          </cell>
          <cell r="BD377">
            <v>0</v>
          </cell>
          <cell r="BE377">
            <v>0</v>
          </cell>
          <cell r="BF377">
            <v>0</v>
          </cell>
          <cell r="BG377">
            <v>0</v>
          </cell>
          <cell r="BH377">
            <v>0</v>
          </cell>
          <cell r="BI377">
            <v>0</v>
          </cell>
          <cell r="BJ377">
            <v>0</v>
          </cell>
          <cell r="BK377">
            <v>0</v>
          </cell>
          <cell r="BL377">
            <v>0</v>
          </cell>
          <cell r="BM377">
            <v>0</v>
          </cell>
          <cell r="BN377">
            <v>0</v>
          </cell>
          <cell r="BO377">
            <v>0</v>
          </cell>
          <cell r="BP377">
            <v>0</v>
          </cell>
          <cell r="BQ377">
            <v>0</v>
          </cell>
          <cell r="BR377">
            <v>0</v>
          </cell>
          <cell r="BS377">
            <v>0</v>
          </cell>
          <cell r="BT377">
            <v>0</v>
          </cell>
          <cell r="BU377">
            <v>0</v>
          </cell>
          <cell r="BV377">
            <v>0</v>
          </cell>
          <cell r="BW377">
            <v>0</v>
          </cell>
          <cell r="BX377">
            <v>0</v>
          </cell>
          <cell r="BY377">
            <v>0</v>
          </cell>
          <cell r="BZ377">
            <v>0</v>
          </cell>
          <cell r="CA377">
            <v>0</v>
          </cell>
          <cell r="CB377">
            <v>0</v>
          </cell>
          <cell r="CC377">
            <v>0</v>
          </cell>
          <cell r="CD377">
            <v>0</v>
          </cell>
        </row>
        <row r="378">
          <cell r="A378" t="str">
            <v>Earnings before tax</v>
          </cell>
          <cell r="G378">
            <v>36</v>
          </cell>
          <cell r="L378">
            <v>-82</v>
          </cell>
          <cell r="Q378">
            <v>357</v>
          </cell>
          <cell r="V378">
            <v>337</v>
          </cell>
          <cell r="AA378">
            <v>-25</v>
          </cell>
          <cell r="AF378">
            <v>425</v>
          </cell>
          <cell r="AK378">
            <v>1262</v>
          </cell>
          <cell r="AP378">
            <v>478</v>
          </cell>
          <cell r="AQ378">
            <v>164.35684012865792</v>
          </cell>
          <cell r="AR378">
            <v>95.092188116517377</v>
          </cell>
          <cell r="AS378">
            <v>86.043835956424203</v>
          </cell>
          <cell r="AT378">
            <v>71.55768731798166</v>
          </cell>
          <cell r="AU378">
            <v>417.05055151958106</v>
          </cell>
          <cell r="AV378">
            <v>114.64605624628955</v>
          </cell>
          <cell r="AW378">
            <v>155.10805485652833</v>
          </cell>
          <cell r="AX378">
            <v>196.41549207938627</v>
          </cell>
          <cell r="AY378">
            <v>235.30566825986446</v>
          </cell>
          <cell r="AZ378">
            <v>701.47527144206867</v>
          </cell>
          <cell r="BA378">
            <v>145.00809413731102</v>
          </cell>
          <cell r="BB378">
            <v>132.12201784555069</v>
          </cell>
          <cell r="BC378">
            <v>118.90379956101941</v>
          </cell>
          <cell r="BD378">
            <v>103.62526789357022</v>
          </cell>
          <cell r="BE378">
            <v>499.65917943745103</v>
          </cell>
          <cell r="BF378">
            <v>90.496178478949872</v>
          </cell>
          <cell r="BG378">
            <v>96.85357607675212</v>
          </cell>
          <cell r="BH378">
            <v>103.31787286592362</v>
          </cell>
          <cell r="BI378">
            <v>108.23523566890358</v>
          </cell>
          <cell r="BJ378">
            <v>398.90286309052908</v>
          </cell>
          <cell r="BK378">
            <v>97.948942528296186</v>
          </cell>
          <cell r="BL378">
            <v>93.010957503800938</v>
          </cell>
          <cell r="BM378">
            <v>87.520083237680922</v>
          </cell>
          <cell r="BN378">
            <v>80.113306522692554</v>
          </cell>
          <cell r="BO378">
            <v>358.5932897924705</v>
          </cell>
          <cell r="BP378">
            <v>78.689432648038846</v>
          </cell>
          <cell r="BQ378">
            <v>81.588979261322791</v>
          </cell>
          <cell r="BR378">
            <v>84.511564988305821</v>
          </cell>
          <cell r="BS378">
            <v>86.053266620287587</v>
          </cell>
          <cell r="BT378">
            <v>330.84324351795493</v>
          </cell>
          <cell r="BU378">
            <v>79.975318025744656</v>
          </cell>
          <cell r="BV378">
            <v>79.010939623055918</v>
          </cell>
          <cell r="BW378">
            <v>77.813351620015922</v>
          </cell>
          <cell r="BX378">
            <v>75.088611940399289</v>
          </cell>
          <cell r="BY378">
            <v>311.88822120921577</v>
          </cell>
          <cell r="BZ378">
            <v>85.425679322401834</v>
          </cell>
          <cell r="CA378">
            <v>101.16454408708076</v>
          </cell>
          <cell r="CB378">
            <v>117.62554352329737</v>
          </cell>
          <cell r="CC378">
            <v>132.91099311121525</v>
          </cell>
          <cell r="CD378">
            <v>437.12676004399515</v>
          </cell>
        </row>
        <row r="380">
          <cell r="A380" t="str">
            <v>Taxation</v>
          </cell>
          <cell r="G380">
            <v>41</v>
          </cell>
          <cell r="L380">
            <v>27</v>
          </cell>
          <cell r="Q380">
            <v>-19</v>
          </cell>
          <cell r="V380">
            <v>-287</v>
          </cell>
          <cell r="AA380">
            <v>126</v>
          </cell>
          <cell r="AF380">
            <v>-132</v>
          </cell>
          <cell r="AK380">
            <v>-471</v>
          </cell>
          <cell r="AP380">
            <v>-137</v>
          </cell>
          <cell r="AQ380">
            <v>-54.237757242457114</v>
          </cell>
          <cell r="AR380">
            <v>-31.380422078450735</v>
          </cell>
          <cell r="AS380">
            <v>-28.394465865619988</v>
          </cell>
          <cell r="AT380">
            <v>-23.61403681493395</v>
          </cell>
          <cell r="AU380">
            <v>-137.62668200146177</v>
          </cell>
          <cell r="AV380">
            <v>-37.833198561275552</v>
          </cell>
          <cell r="AW380">
            <v>-51.185658102654351</v>
          </cell>
          <cell r="AX380">
            <v>-64.817112386197465</v>
          </cell>
          <cell r="AY380">
            <v>-77.65087052575528</v>
          </cell>
          <cell r="AZ380">
            <v>-231.48683957588264</v>
          </cell>
          <cell r="BA380">
            <v>-47.852671065312641</v>
          </cell>
          <cell r="BB380">
            <v>-43.600265889031732</v>
          </cell>
          <cell r="BC380">
            <v>-39.238253855136406</v>
          </cell>
          <cell r="BD380">
            <v>-34.196338404878176</v>
          </cell>
          <cell r="BE380">
            <v>-164.88752921435895</v>
          </cell>
          <cell r="BF380">
            <v>-29.863738898053459</v>
          </cell>
          <cell r="BG380">
            <v>-31.961680105328202</v>
          </cell>
          <cell r="BH380">
            <v>-34.094898045754796</v>
          </cell>
          <cell r="BI380">
            <v>-35.717627770738183</v>
          </cell>
          <cell r="BJ380">
            <v>-131.63794481987463</v>
          </cell>
          <cell r="BK380">
            <v>-32.323151034337741</v>
          </cell>
          <cell r="BL380">
            <v>-30.693615976254311</v>
          </cell>
          <cell r="BM380">
            <v>-28.881627468434704</v>
          </cell>
          <cell r="BN380">
            <v>-26.437391152488544</v>
          </cell>
          <cell r="BO380">
            <v>-118.33578563151529</v>
          </cell>
          <cell r="BP380">
            <v>-25.967512773852821</v>
          </cell>
          <cell r="BQ380">
            <v>-26.924363156236524</v>
          </cell>
          <cell r="BR380">
            <v>-27.888816446140922</v>
          </cell>
          <cell r="BS380">
            <v>-28.397577984694905</v>
          </cell>
          <cell r="BT380">
            <v>-109.17827036092517</v>
          </cell>
          <cell r="BU380">
            <v>-26.391854948495737</v>
          </cell>
          <cell r="BV380">
            <v>-26.073610075608453</v>
          </cell>
          <cell r="BW380">
            <v>-25.678406034605256</v>
          </cell>
          <cell r="BX380">
            <v>-24.779241940331765</v>
          </cell>
          <cell r="BY380">
            <v>-102.92311299904122</v>
          </cell>
          <cell r="BZ380">
            <v>-28.190474176392605</v>
          </cell>
          <cell r="CA380">
            <v>-33.384299548736649</v>
          </cell>
          <cell r="CB380">
            <v>-38.816429362688133</v>
          </cell>
          <cell r="CC380">
            <v>-43.860627726701033</v>
          </cell>
          <cell r="CD380">
            <v>-144.25183081451843</v>
          </cell>
        </row>
        <row r="381">
          <cell r="A381" t="str">
            <v>Earnings after tax</v>
          </cell>
          <cell r="G381">
            <v>77</v>
          </cell>
          <cell r="L381">
            <v>-55</v>
          </cell>
          <cell r="Q381">
            <v>338</v>
          </cell>
          <cell r="V381">
            <v>50</v>
          </cell>
          <cell r="AA381">
            <v>101</v>
          </cell>
          <cell r="AF381">
            <v>293</v>
          </cell>
          <cell r="AK381">
            <v>791</v>
          </cell>
          <cell r="AP381">
            <v>341</v>
          </cell>
          <cell r="AQ381">
            <v>110.1190828862008</v>
          </cell>
          <cell r="AR381">
            <v>63.711766038066642</v>
          </cell>
          <cell r="AS381">
            <v>57.649370090804211</v>
          </cell>
          <cell r="AT381">
            <v>47.943650503047706</v>
          </cell>
          <cell r="AU381">
            <v>279.42386951811932</v>
          </cell>
          <cell r="AV381">
            <v>76.812857685013995</v>
          </cell>
          <cell r="AW381">
            <v>103.92239675387398</v>
          </cell>
          <cell r="AX381">
            <v>131.5983796931888</v>
          </cell>
          <cell r="AY381">
            <v>157.6547977341092</v>
          </cell>
          <cell r="AZ381">
            <v>469.98843186618603</v>
          </cell>
          <cell r="BA381">
            <v>97.155423071998371</v>
          </cell>
          <cell r="BB381">
            <v>88.521751956518955</v>
          </cell>
          <cell r="BC381">
            <v>79.665545705883005</v>
          </cell>
          <cell r="BD381">
            <v>69.428929488692049</v>
          </cell>
          <cell r="BE381">
            <v>334.77165022309208</v>
          </cell>
          <cell r="BF381">
            <v>60.632439580896417</v>
          </cell>
          <cell r="BG381">
            <v>64.891895971423921</v>
          </cell>
          <cell r="BH381">
            <v>69.222974820168815</v>
          </cell>
          <cell r="BI381">
            <v>72.517607898165409</v>
          </cell>
          <cell r="BJ381">
            <v>267.26491827065445</v>
          </cell>
          <cell r="BK381">
            <v>65.625791493958445</v>
          </cell>
          <cell r="BL381">
            <v>62.317341527546631</v>
          </cell>
          <cell r="BM381">
            <v>58.638455769246221</v>
          </cell>
          <cell r="BN381">
            <v>53.675915370204009</v>
          </cell>
          <cell r="BO381">
            <v>240.25750416095519</v>
          </cell>
          <cell r="BP381">
            <v>52.721919874186028</v>
          </cell>
          <cell r="BQ381">
            <v>54.664616105086267</v>
          </cell>
          <cell r="BR381">
            <v>56.622748542164899</v>
          </cell>
          <cell r="BS381">
            <v>57.655688635592682</v>
          </cell>
          <cell r="BT381">
            <v>221.66497315702975</v>
          </cell>
          <cell r="BU381">
            <v>53.583463077248922</v>
          </cell>
          <cell r="BV381">
            <v>52.937329547447462</v>
          </cell>
          <cell r="BW381">
            <v>52.134945585410662</v>
          </cell>
          <cell r="BX381">
            <v>50.309370000067524</v>
          </cell>
          <cell r="BY381">
            <v>208.96510821017455</v>
          </cell>
          <cell r="BZ381">
            <v>57.235205146009228</v>
          </cell>
          <cell r="CA381">
            <v>67.780244538344107</v>
          </cell>
          <cell r="CB381">
            <v>78.809114160609226</v>
          </cell>
          <cell r="CC381">
            <v>89.050365384514208</v>
          </cell>
          <cell r="CD381">
            <v>292.87492922947672</v>
          </cell>
        </row>
        <row r="383">
          <cell r="A383" t="str">
            <v>Production</v>
          </cell>
        </row>
        <row r="384">
          <cell r="B384" t="str">
            <v>Oil and NGL (kbbl/d)</v>
          </cell>
          <cell r="C384">
            <v>41.6</v>
          </cell>
          <cell r="D384">
            <v>43.4</v>
          </cell>
          <cell r="E384">
            <v>52.4</v>
          </cell>
          <cell r="F384">
            <v>62.8</v>
          </cell>
          <cell r="G384">
            <v>41</v>
          </cell>
          <cell r="L384">
            <v>48</v>
          </cell>
          <cell r="Q384">
            <v>23</v>
          </cell>
          <cell r="V384">
            <v>24</v>
          </cell>
          <cell r="AA384">
            <v>25</v>
          </cell>
          <cell r="AF384">
            <v>54</v>
          </cell>
          <cell r="AK384">
            <v>46</v>
          </cell>
          <cell r="AP384">
            <v>35</v>
          </cell>
          <cell r="AQ384">
            <v>53.143954336000007</v>
          </cell>
          <cell r="AR384">
            <v>46.921318112000002</v>
          </cell>
          <cell r="AS384">
            <v>48.698681888000003</v>
          </cell>
          <cell r="AT384">
            <v>57.476045664000004</v>
          </cell>
          <cell r="AU384">
            <v>51.56</v>
          </cell>
          <cell r="AV384">
            <v>54.6616273984</v>
          </cell>
          <cell r="AW384">
            <v>66.847209132800003</v>
          </cell>
          <cell r="AX384">
            <v>79.032790867199992</v>
          </cell>
          <cell r="AY384">
            <v>91.218372601600009</v>
          </cell>
          <cell r="AZ384">
            <v>72.94</v>
          </cell>
          <cell r="BA384">
            <v>79.763023560959994</v>
          </cell>
          <cell r="BB384">
            <v>73.307674520319992</v>
          </cell>
          <cell r="BC384">
            <v>66.85232547967999</v>
          </cell>
          <cell r="BD384">
            <v>60.396976439040003</v>
          </cell>
          <cell r="BE384">
            <v>70.08</v>
          </cell>
          <cell r="BF384">
            <v>62.882185863423985</v>
          </cell>
          <cell r="BG384">
            <v>65.367395287807994</v>
          </cell>
          <cell r="BH384">
            <v>67.85260471219199</v>
          </cell>
          <cell r="BI384">
            <v>70.337814136576</v>
          </cell>
          <cell r="BJ384">
            <v>66.61</v>
          </cell>
          <cell r="BK384">
            <v>65.822688481945605</v>
          </cell>
          <cell r="BL384">
            <v>61.307562827315209</v>
          </cell>
          <cell r="BM384">
            <v>56.792437172684814</v>
          </cell>
          <cell r="BN384">
            <v>52.277311518054418</v>
          </cell>
          <cell r="BO384">
            <v>59.050000000000011</v>
          </cell>
          <cell r="BP384">
            <v>51.978386910832647</v>
          </cell>
          <cell r="BQ384">
            <v>51.679462303610883</v>
          </cell>
          <cell r="BR384">
            <v>51.380537696389112</v>
          </cell>
          <cell r="BS384">
            <v>51.081613089167348</v>
          </cell>
          <cell r="BT384">
            <v>51.529999999999994</v>
          </cell>
          <cell r="BU384">
            <v>49.124967853500408</v>
          </cell>
          <cell r="BV384">
            <v>47.168322617833482</v>
          </cell>
          <cell r="BW384">
            <v>45.211677382166542</v>
          </cell>
          <cell r="BX384">
            <v>43.255032146499602</v>
          </cell>
          <cell r="BY384">
            <v>46.190000000000012</v>
          </cell>
          <cell r="BZ384">
            <v>47.29301928789976</v>
          </cell>
          <cell r="CA384">
            <v>51.331006429299926</v>
          </cell>
          <cell r="CB384">
            <v>55.368993570700098</v>
          </cell>
          <cell r="CC384">
            <v>59.40698071210025</v>
          </cell>
          <cell r="CD384">
            <v>53.350000000000009</v>
          </cell>
        </row>
        <row r="385">
          <cell r="B385" t="str">
            <v>Natural gas (mmcf/d)</v>
          </cell>
          <cell r="C385">
            <v>47</v>
          </cell>
          <cell r="D385">
            <v>64</v>
          </cell>
          <cell r="E385">
            <v>74</v>
          </cell>
          <cell r="F385">
            <v>90</v>
          </cell>
          <cell r="G385">
            <v>86</v>
          </cell>
          <cell r="L385">
            <v>90</v>
          </cell>
          <cell r="Q385">
            <v>93</v>
          </cell>
          <cell r="V385">
            <v>98</v>
          </cell>
          <cell r="AA385">
            <v>81</v>
          </cell>
          <cell r="AF385">
            <v>61</v>
          </cell>
          <cell r="AK385">
            <v>51</v>
          </cell>
          <cell r="AP385">
            <v>44</v>
          </cell>
          <cell r="AQ385">
            <v>38.722713183999993</v>
          </cell>
          <cell r="AR385">
            <v>16.014237727999998</v>
          </cell>
          <cell r="AS385">
            <v>14.305762272000003</v>
          </cell>
          <cell r="AT385">
            <v>12.597286816</v>
          </cell>
          <cell r="AU385">
            <v>20.409999999999997</v>
          </cell>
          <cell r="AV385">
            <v>25.746372089600001</v>
          </cell>
          <cell r="AW385">
            <v>37.895457363199995</v>
          </cell>
          <cell r="AX385">
            <v>50.044542636799989</v>
          </cell>
          <cell r="AY385">
            <v>62.193627910399982</v>
          </cell>
          <cell r="AZ385">
            <v>43.969999999999992</v>
          </cell>
          <cell r="BA385">
            <v>72.276176746239997</v>
          </cell>
          <cell r="BB385">
            <v>62.358725582079998</v>
          </cell>
          <cell r="BC385">
            <v>52.441274417919999</v>
          </cell>
          <cell r="BD385">
            <v>42.523823253760007</v>
          </cell>
          <cell r="BE385">
            <v>57.4</v>
          </cell>
          <cell r="BF385">
            <v>45.930293952256001</v>
          </cell>
          <cell r="BG385">
            <v>49.336764650752002</v>
          </cell>
          <cell r="BH385">
            <v>52.743235349247996</v>
          </cell>
          <cell r="BI385">
            <v>56.14970604774399</v>
          </cell>
          <cell r="BJ385">
            <v>51.04</v>
          </cell>
          <cell r="BK385">
            <v>51.0898236286464</v>
          </cell>
          <cell r="BL385">
            <v>46.029941209548802</v>
          </cell>
          <cell r="BM385">
            <v>40.970058790451205</v>
          </cell>
          <cell r="BN385">
            <v>35.910176371353614</v>
          </cell>
          <cell r="BO385">
            <v>43.5</v>
          </cell>
          <cell r="BP385">
            <v>36.254105822812171</v>
          </cell>
          <cell r="BQ385">
            <v>36.598035274270728</v>
          </cell>
          <cell r="BR385">
            <v>36.941964725729285</v>
          </cell>
          <cell r="BS385">
            <v>37.285894177187842</v>
          </cell>
          <cell r="BT385">
            <v>36.77000000000001</v>
          </cell>
          <cell r="BU385">
            <v>34.735536506312705</v>
          </cell>
          <cell r="BV385">
            <v>32.185178835437569</v>
          </cell>
          <cell r="BW385">
            <v>29.634821164562428</v>
          </cell>
          <cell r="BX385">
            <v>27.084463493687291</v>
          </cell>
          <cell r="BY385">
            <v>30.91</v>
          </cell>
          <cell r="BZ385">
            <v>27.134678096212376</v>
          </cell>
          <cell r="CA385">
            <v>27.184892698737457</v>
          </cell>
          <cell r="CB385">
            <v>27.235107301262541</v>
          </cell>
          <cell r="CC385">
            <v>27.285321903787626</v>
          </cell>
          <cell r="CD385">
            <v>27.21</v>
          </cell>
        </row>
        <row r="386">
          <cell r="B386" t="str">
            <v>Total</v>
          </cell>
          <cell r="C386">
            <v>49.703448275862073</v>
          </cell>
          <cell r="D386">
            <v>54.434482758620689</v>
          </cell>
          <cell r="E386">
            <v>65.158620689655166</v>
          </cell>
          <cell r="F386">
            <v>78.317241379310346</v>
          </cell>
          <cell r="G386">
            <v>55.827586206896555</v>
          </cell>
          <cell r="L386">
            <v>63.517241379310349</v>
          </cell>
          <cell r="Q386">
            <v>39.03448275862069</v>
          </cell>
          <cell r="V386">
            <v>40.896551724137936</v>
          </cell>
          <cell r="AA386">
            <v>38.96551724137931</v>
          </cell>
          <cell r="AF386">
            <v>64.517241379310349</v>
          </cell>
          <cell r="AK386">
            <v>54.793103448275865</v>
          </cell>
          <cell r="AP386">
            <v>42.586206896551722</v>
          </cell>
          <cell r="AQ386">
            <v>59.82028419531035</v>
          </cell>
          <cell r="AR386">
            <v>49.682393582344829</v>
          </cell>
          <cell r="AS386">
            <v>51.165192624551729</v>
          </cell>
          <cell r="AT386">
            <v>59.647991666758628</v>
          </cell>
          <cell r="AU386">
            <v>55.078965517241379</v>
          </cell>
          <cell r="AV386">
            <v>59.100657069020691</v>
          </cell>
          <cell r="AW386">
            <v>73.38090867817931</v>
          </cell>
          <cell r="AX386">
            <v>87.661160287337921</v>
          </cell>
          <cell r="AY386">
            <v>101.94141189649656</v>
          </cell>
          <cell r="AZ386">
            <v>80.521034482758623</v>
          </cell>
          <cell r="BA386">
            <v>92.224433344794477</v>
          </cell>
          <cell r="BB386">
            <v>84.059178931023439</v>
          </cell>
          <cell r="BC386">
            <v>75.893924517252401</v>
          </cell>
          <cell r="BD386">
            <v>67.728670103481377</v>
          </cell>
          <cell r="BE386">
            <v>79.976551724137934</v>
          </cell>
          <cell r="BF386">
            <v>70.801202062088805</v>
          </cell>
          <cell r="BG386">
            <v>73.873734020696276</v>
          </cell>
          <cell r="BH386">
            <v>76.946265979303718</v>
          </cell>
          <cell r="BI386">
            <v>80.018797937911174</v>
          </cell>
          <cell r="BJ386">
            <v>75.41</v>
          </cell>
          <cell r="BK386">
            <v>74.631278762746703</v>
          </cell>
          <cell r="BL386">
            <v>69.243759587582247</v>
          </cell>
          <cell r="BM386">
            <v>63.856240412417783</v>
          </cell>
          <cell r="BN386">
            <v>58.46872123725332</v>
          </cell>
          <cell r="BO386">
            <v>66.550000000000011</v>
          </cell>
          <cell r="BP386">
            <v>58.229094811317502</v>
          </cell>
          <cell r="BQ386">
            <v>57.989468385381699</v>
          </cell>
          <cell r="BR386">
            <v>57.749841959445888</v>
          </cell>
          <cell r="BS386">
            <v>57.510215533510078</v>
          </cell>
          <cell r="BT386">
            <v>57.869655172413786</v>
          </cell>
          <cell r="BU386">
            <v>55.113853458037084</v>
          </cell>
          <cell r="BV386">
            <v>52.717491382564099</v>
          </cell>
          <cell r="BW386">
            <v>50.321129307091098</v>
          </cell>
          <cell r="BX386">
            <v>47.924767231618098</v>
          </cell>
          <cell r="BY386">
            <v>51.519310344827602</v>
          </cell>
          <cell r="BZ386">
            <v>51.971412063108794</v>
          </cell>
          <cell r="CA386">
            <v>56.018056894599489</v>
          </cell>
          <cell r="CB386">
            <v>60.064701726090192</v>
          </cell>
          <cell r="CC386">
            <v>64.111346557580873</v>
          </cell>
          <cell r="CD386">
            <v>58.041379310344837</v>
          </cell>
        </row>
        <row r="388">
          <cell r="A388" t="str">
            <v>Realise price</v>
          </cell>
        </row>
        <row r="389">
          <cell r="B389" t="str">
            <v>Oil and NGL ($/bbl)</v>
          </cell>
          <cell r="L389">
            <v>56.69</v>
          </cell>
          <cell r="Q389">
            <v>62.35</v>
          </cell>
          <cell r="V389">
            <v>88.01</v>
          </cell>
          <cell r="AA389">
            <v>54.61</v>
          </cell>
          <cell r="AF389">
            <v>71.94</v>
          </cell>
          <cell r="AK389">
            <v>97.27</v>
          </cell>
          <cell r="AP389">
            <v>95.14</v>
          </cell>
          <cell r="AQ389">
            <v>97.98</v>
          </cell>
          <cell r="AR389">
            <v>94.49</v>
          </cell>
          <cell r="AS389">
            <v>97.26</v>
          </cell>
          <cell r="AT389">
            <v>87.85</v>
          </cell>
          <cell r="AU389">
            <v>94.35</v>
          </cell>
          <cell r="AV389">
            <v>91.457807300312552</v>
          </cell>
          <cell r="AW389">
            <v>91.457807300312552</v>
          </cell>
          <cell r="AX389">
            <v>91.457807300312552</v>
          </cell>
          <cell r="AY389">
            <v>91.457807300312552</v>
          </cell>
          <cell r="AZ389">
            <v>91.457807300312552</v>
          </cell>
          <cell r="BA389">
            <v>83.541126064920093</v>
          </cell>
          <cell r="BB389">
            <v>83.541126064920093</v>
          </cell>
          <cell r="BC389">
            <v>83.541126064920093</v>
          </cell>
          <cell r="BD389">
            <v>83.541126064920093</v>
          </cell>
          <cell r="BE389">
            <v>83.541126064920093</v>
          </cell>
          <cell r="BF389">
            <v>78.270480370991706</v>
          </cell>
          <cell r="BG389">
            <v>78.270480370991706</v>
          </cell>
          <cell r="BH389">
            <v>78.270480370991706</v>
          </cell>
          <cell r="BI389">
            <v>78.270480370991706</v>
          </cell>
          <cell r="BJ389">
            <v>78.270480370991706</v>
          </cell>
          <cell r="BK389">
            <v>78.82657206755492</v>
          </cell>
          <cell r="BL389">
            <v>79.386107220882892</v>
          </cell>
          <cell r="BM389">
            <v>79.949107153708127</v>
          </cell>
          <cell r="BN389">
            <v>80.515593320798729</v>
          </cell>
          <cell r="BO389">
            <v>79.669344940736167</v>
          </cell>
          <cell r="BP389">
            <v>81.085587309776017</v>
          </cell>
          <cell r="BQ389">
            <v>81.659110841937192</v>
          </cell>
          <cell r="BR389">
            <v>82.236185773083065</v>
          </cell>
          <cell r="BS389">
            <v>82.816834094350938</v>
          </cell>
          <cell r="BT389">
            <v>81.949429504786806</v>
          </cell>
          <cell r="BU389">
            <v>83.401077933052662</v>
          </cell>
          <cell r="BV389">
            <v>83.988939553517852</v>
          </cell>
          <cell r="BW389">
            <v>84.580441357942362</v>
          </cell>
          <cell r="BX389">
            <v>85.175605887241929</v>
          </cell>
          <cell r="BY389">
            <v>84.286516182938698</v>
          </cell>
          <cell r="BZ389">
            <v>85.774455821911204</v>
          </cell>
          <cell r="CA389">
            <v>86.377013982888045</v>
          </cell>
          <cell r="CB389">
            <v>86.983303332423162</v>
          </cell>
          <cell r="CC389">
            <v>87.593346974955224</v>
          </cell>
          <cell r="CD389">
            <v>86.682030028044409</v>
          </cell>
        </row>
        <row r="390">
          <cell r="B390" t="str">
            <v>Natural gas ($/mmcf)</v>
          </cell>
          <cell r="L390">
            <v>7.14</v>
          </cell>
          <cell r="Q390">
            <v>6.73</v>
          </cell>
          <cell r="V390">
            <v>8.83</v>
          </cell>
          <cell r="AA390">
            <v>4.1100000000000003</v>
          </cell>
          <cell r="AF390">
            <v>4.63</v>
          </cell>
          <cell r="AK390">
            <v>4.24</v>
          </cell>
          <cell r="AP390">
            <v>2.91</v>
          </cell>
          <cell r="AQ390">
            <v>3.52</v>
          </cell>
          <cell r="AR390">
            <v>4.1500000000000004</v>
          </cell>
          <cell r="AS390">
            <v>3.37</v>
          </cell>
          <cell r="AT390">
            <v>3.74</v>
          </cell>
          <cell r="AU390">
            <v>3.7</v>
          </cell>
          <cell r="AV390">
            <v>4.316330168525198</v>
          </cell>
          <cell r="AW390">
            <v>4.316330168525198</v>
          </cell>
          <cell r="AX390">
            <v>4.316330168525198</v>
          </cell>
          <cell r="AY390">
            <v>4.316330168525198</v>
          </cell>
          <cell r="AZ390">
            <v>4.316330168525198</v>
          </cell>
          <cell r="BA390">
            <v>4.2867039175692545</v>
          </cell>
          <cell r="BB390">
            <v>4.2867039175692545</v>
          </cell>
          <cell r="BC390">
            <v>4.2867039175692545</v>
          </cell>
          <cell r="BD390">
            <v>4.2867039175692545</v>
          </cell>
          <cell r="BE390">
            <v>4.2867039175692545</v>
          </cell>
          <cell r="BF390">
            <v>4.2768285005839406</v>
          </cell>
          <cell r="BG390">
            <v>4.2768285005839406</v>
          </cell>
          <cell r="BH390">
            <v>4.2768285005839406</v>
          </cell>
          <cell r="BI390">
            <v>4.2768285005839406</v>
          </cell>
          <cell r="BJ390">
            <v>4.2768285005839406</v>
          </cell>
          <cell r="BK390">
            <v>4.3020838695895538</v>
          </cell>
          <cell r="BL390">
            <v>4.3274956260610953</v>
          </cell>
          <cell r="BM390">
            <v>4.3530647383882748</v>
          </cell>
          <cell r="BN390">
            <v>4.378792180957312</v>
          </cell>
          <cell r="BO390">
            <v>4.3403591037490585</v>
          </cell>
          <cell r="BP390">
            <v>4.4046789341880661</v>
          </cell>
          <cell r="BQ390">
            <v>4.4307259845713949</v>
          </cell>
          <cell r="BR390">
            <v>4.4569343247067543</v>
          </cell>
          <cell r="BS390">
            <v>4.4833049533400171</v>
          </cell>
          <cell r="BT390">
            <v>4.4439110492015583</v>
          </cell>
          <cell r="BU390">
            <v>4.509838875401539</v>
          </cell>
          <cell r="BV390">
            <v>4.536537102044452</v>
          </cell>
          <cell r="BW390">
            <v>4.5634006506831959</v>
          </cell>
          <cell r="BX390">
            <v>4.5904305450322909</v>
          </cell>
          <cell r="BY390">
            <v>4.5500517932903692</v>
          </cell>
          <cell r="BZ390">
            <v>4.6176278151453509</v>
          </cell>
          <cell r="CA390">
            <v>4.6449934974543368</v>
          </cell>
          <cell r="CB390">
            <v>4.6725286348090487</v>
          </cell>
          <cell r="CC390">
            <v>4.7002342765168708</v>
          </cell>
          <cell r="CD390">
            <v>4.6588460559814013</v>
          </cell>
        </row>
        <row r="392">
          <cell r="A392" t="str">
            <v>Production x price</v>
          </cell>
          <cell r="L392">
            <v>1227.7577999999999</v>
          </cell>
          <cell r="Q392">
            <v>751.87810000000002</v>
          </cell>
          <cell r="V392">
            <v>1086.8167000000001</v>
          </cell>
          <cell r="AA392">
            <v>619.82839999999999</v>
          </cell>
          <cell r="AF392">
            <v>1521.0243499999999</v>
          </cell>
          <cell r="AK392">
            <v>1712.0908999999999</v>
          </cell>
          <cell r="AP392">
            <v>1262.1481000000001</v>
          </cell>
          <cell r="AQ392">
            <v>480.9013736624064</v>
          </cell>
          <cell r="AR392">
            <v>409.50495358264118</v>
          </cell>
          <cell r="AS392">
            <v>440.18726817408384</v>
          </cell>
          <cell r="AT392">
            <v>468.86737071323012</v>
          </cell>
          <cell r="AU392">
            <v>1799.4609661323616</v>
          </cell>
          <cell r="AV392">
            <v>459.93261851142904</v>
          </cell>
          <cell r="AW392">
            <v>571.23143143413222</v>
          </cell>
          <cell r="AX392">
            <v>684.86405645562206</v>
          </cell>
          <cell r="AY392">
            <v>792.21941299981393</v>
          </cell>
          <cell r="AZ392">
            <v>2508.2475194009971</v>
          </cell>
          <cell r="BA392">
            <v>627.59874389673462</v>
          </cell>
          <cell r="BB392">
            <v>581.62823554067154</v>
          </cell>
          <cell r="BC392">
            <v>534.49412657509856</v>
          </cell>
          <cell r="BD392">
            <v>480.96849853765031</v>
          </cell>
          <cell r="BE392">
            <v>2224.6896045501549</v>
          </cell>
          <cell r="BF392">
            <v>460.64293960710478</v>
          </cell>
          <cell r="BG392">
            <v>484.78815029755748</v>
          </cell>
          <cell r="BH392">
            <v>509.35153584088772</v>
          </cell>
          <cell r="BI392">
            <v>528.58757907325571</v>
          </cell>
          <cell r="BJ392">
            <v>1983.3702048188056</v>
          </cell>
          <cell r="BK392">
            <v>486.75326430917488</v>
          </cell>
          <cell r="BL392">
            <v>461.02084440343128</v>
          </cell>
          <cell r="BM392">
            <v>434.13419662264533</v>
          </cell>
          <cell r="BN392">
            <v>401.70713973157336</v>
          </cell>
          <cell r="BO392">
            <v>1783.6154450668248</v>
          </cell>
          <cell r="BP392">
            <v>393.69471536476846</v>
          </cell>
          <cell r="BQ392">
            <v>398.78518738023848</v>
          </cell>
          <cell r="BR392">
            <v>403.87883654310122</v>
          </cell>
          <cell r="BS392">
            <v>404.57749896891602</v>
          </cell>
          <cell r="BT392">
            <v>1600.9362382570241</v>
          </cell>
          <cell r="BU392">
            <v>382.83542507723337</v>
          </cell>
          <cell r="BV392">
            <v>373.79402561527786</v>
          </cell>
          <cell r="BW392">
            <v>364.25184545256474</v>
          </cell>
          <cell r="BX392">
            <v>350.3914685726067</v>
          </cell>
          <cell r="BY392">
            <v>1471.2727647176828</v>
          </cell>
          <cell r="BZ392">
            <v>376.36477541341543</v>
          </cell>
          <cell r="CA392">
            <v>414.96843660217269</v>
          </cell>
          <cell r="CB392">
            <v>454.79599991717657</v>
          </cell>
          <cell r="CC392">
            <v>490.53513851468534</v>
          </cell>
          <cell r="CD392">
            <v>1736.6643504474498</v>
          </cell>
        </row>
        <row r="393">
          <cell r="A393" t="str">
            <v>Difference with actual</v>
          </cell>
          <cell r="L393">
            <v>-0.20016798101384481</v>
          </cell>
          <cell r="Q393">
            <v>-7.8308039561200138E-2</v>
          </cell>
          <cell r="V393">
            <v>-0.21789939370640887</v>
          </cell>
          <cell r="AA393">
            <v>-2.3923395572064798E-2</v>
          </cell>
          <cell r="AF393">
            <v>-2.8943882456582526E-2</v>
          </cell>
          <cell r="AK393">
            <v>-2.6920825290292605E-2</v>
          </cell>
          <cell r="AP393">
            <v>0.15200426954649759</v>
          </cell>
          <cell r="AQ393">
            <v>-0.02</v>
          </cell>
          <cell r="AR393">
            <v>-0.02</v>
          </cell>
          <cell r="AS393">
            <v>-0.02</v>
          </cell>
          <cell r="AT393">
            <v>-0.02</v>
          </cell>
          <cell r="AU393">
            <v>-0.02</v>
          </cell>
          <cell r="AV393">
            <v>-0.02</v>
          </cell>
          <cell r="AW393">
            <v>-0.02</v>
          </cell>
          <cell r="AX393">
            <v>-0.02</v>
          </cell>
          <cell r="AY393">
            <v>-0.02</v>
          </cell>
          <cell r="AZ393">
            <v>-0.02</v>
          </cell>
          <cell r="BA393">
            <v>-0.02</v>
          </cell>
          <cell r="BB393">
            <v>-0.02</v>
          </cell>
          <cell r="BC393">
            <v>-0.02</v>
          </cell>
          <cell r="BD393">
            <v>-0.02</v>
          </cell>
          <cell r="BE393">
            <v>-0.02</v>
          </cell>
          <cell r="BF393">
            <v>-0.02</v>
          </cell>
          <cell r="BG393">
            <v>-0.02</v>
          </cell>
          <cell r="BH393">
            <v>-0.02</v>
          </cell>
          <cell r="BI393">
            <v>-0.02</v>
          </cell>
          <cell r="BJ393">
            <v>-0.02</v>
          </cell>
          <cell r="BK393">
            <v>-0.02</v>
          </cell>
          <cell r="BL393">
            <v>-0.02</v>
          </cell>
          <cell r="BM393">
            <v>-0.02</v>
          </cell>
          <cell r="BN393">
            <v>-0.02</v>
          </cell>
          <cell r="BO393">
            <v>-0.02</v>
          </cell>
          <cell r="BP393">
            <v>-0.02</v>
          </cell>
          <cell r="BQ393">
            <v>-0.02</v>
          </cell>
          <cell r="BR393">
            <v>-0.02</v>
          </cell>
          <cell r="BS393">
            <v>-0.02</v>
          </cell>
          <cell r="BT393">
            <v>-0.02</v>
          </cell>
          <cell r="BU393">
            <v>-0.02</v>
          </cell>
          <cell r="BV393">
            <v>-0.02</v>
          </cell>
          <cell r="BW393">
            <v>-0.02</v>
          </cell>
          <cell r="BX393">
            <v>-0.02</v>
          </cell>
          <cell r="BY393">
            <v>-0.02</v>
          </cell>
          <cell r="BZ393">
            <v>-0.02</v>
          </cell>
          <cell r="CA393">
            <v>-0.02</v>
          </cell>
          <cell r="CB393">
            <v>-0.02</v>
          </cell>
          <cell r="CC393">
            <v>-0.02</v>
          </cell>
          <cell r="CD393">
            <v>-0.02</v>
          </cell>
        </row>
        <row r="395">
          <cell r="A395" t="str">
            <v>Per barrel of oil equivalent</v>
          </cell>
        </row>
        <row r="396">
          <cell r="B396" t="str">
            <v>Production cost excluding taxes</v>
          </cell>
          <cell r="G396">
            <v>7.2139913865315135</v>
          </cell>
          <cell r="L396">
            <v>6.5131706156203046</v>
          </cell>
          <cell r="Q396">
            <v>11.089597754005517</v>
          </cell>
          <cell r="V396">
            <v>10.785649934163413</v>
          </cell>
          <cell r="AA396">
            <v>12.937325736452904</v>
          </cell>
          <cell r="AF396">
            <v>8.8751894452457467</v>
          </cell>
          <cell r="AK396">
            <v>12.500323284222866</v>
          </cell>
          <cell r="AP396">
            <v>16.405080139759303</v>
          </cell>
          <cell r="AQ396">
            <v>16.815207143253282</v>
          </cell>
          <cell r="AR396">
            <v>16.815207143253282</v>
          </cell>
          <cell r="AS396">
            <v>16.815207143253282</v>
          </cell>
          <cell r="AT396">
            <v>16.815207143253282</v>
          </cell>
          <cell r="AU396">
            <v>16.815207143253282</v>
          </cell>
          <cell r="AV396">
            <v>17.655967500415947</v>
          </cell>
          <cell r="AW396">
            <v>17.655967500415947</v>
          </cell>
          <cell r="AX396">
            <v>17.655967500415947</v>
          </cell>
          <cell r="AY396">
            <v>17.655967500415947</v>
          </cell>
          <cell r="AZ396">
            <v>17.655967500415947</v>
          </cell>
          <cell r="BA396">
            <v>18.097366687926346</v>
          </cell>
          <cell r="BB396">
            <v>18.097366687926346</v>
          </cell>
          <cell r="BC396">
            <v>18.097366687926346</v>
          </cell>
          <cell r="BD396">
            <v>18.097366687926346</v>
          </cell>
          <cell r="BE396">
            <v>18.097366687926346</v>
          </cell>
          <cell r="BF396">
            <v>18.549800855124502</v>
          </cell>
          <cell r="BG396">
            <v>18.549800855124502</v>
          </cell>
          <cell r="BH396">
            <v>18.549800855124502</v>
          </cell>
          <cell r="BI396">
            <v>18.549800855124502</v>
          </cell>
          <cell r="BJ396">
            <v>18.549800855124502</v>
          </cell>
          <cell r="BK396">
            <v>19.013545876502612</v>
          </cell>
          <cell r="BL396">
            <v>19.013545876502612</v>
          </cell>
          <cell r="BM396">
            <v>19.013545876502612</v>
          </cell>
          <cell r="BN396">
            <v>19.013545876502612</v>
          </cell>
          <cell r="BO396">
            <v>19.013545876502612</v>
          </cell>
          <cell r="BP396">
            <v>19.488884523415177</v>
          </cell>
          <cell r="BQ396">
            <v>19.488884523415177</v>
          </cell>
          <cell r="BR396">
            <v>19.488884523415177</v>
          </cell>
          <cell r="BS396">
            <v>19.488884523415177</v>
          </cell>
          <cell r="BT396">
            <v>19.488884523415177</v>
          </cell>
          <cell r="BU396">
            <v>19.976106636500553</v>
          </cell>
          <cell r="BV396">
            <v>19.976106636500553</v>
          </cell>
          <cell r="BW396">
            <v>19.976106636500553</v>
          </cell>
          <cell r="BX396">
            <v>19.976106636500553</v>
          </cell>
          <cell r="BY396">
            <v>19.976106636500553</v>
          </cell>
          <cell r="BZ396">
            <v>20.475509302413066</v>
          </cell>
          <cell r="CA396">
            <v>20.475509302413066</v>
          </cell>
          <cell r="CB396">
            <v>20.475509302413066</v>
          </cell>
          <cell r="CC396">
            <v>20.475509302413066</v>
          </cell>
          <cell r="CD396">
            <v>20.475509302413066</v>
          </cell>
        </row>
        <row r="397">
          <cell r="B397" t="str">
            <v>Taxes other than income tax</v>
          </cell>
          <cell r="G397">
            <v>2.6009628808583005</v>
          </cell>
          <cell r="L397">
            <v>2.8899498758050357</v>
          </cell>
          <cell r="Q397">
            <v>4.7025509463187953</v>
          </cell>
          <cell r="V397">
            <v>6.0292453048118455</v>
          </cell>
          <cell r="AA397">
            <v>4.7811855982543339</v>
          </cell>
          <cell r="AF397">
            <v>6.5396132754442347</v>
          </cell>
          <cell r="AK397">
            <v>9.0002327646404634</v>
          </cell>
          <cell r="AP397">
            <v>9.3283789030003881</v>
          </cell>
          <cell r="AQ397">
            <v>9.6290578760037846</v>
          </cell>
          <cell r="AR397">
            <v>9.7641404351056309</v>
          </cell>
          <cell r="AS397">
            <v>10.080772110516069</v>
          </cell>
          <cell r="AT397">
            <v>9.2105405378624692</v>
          </cell>
          <cell r="AU397">
            <v>9.649005455598278</v>
          </cell>
          <cell r="AV397">
            <v>9.3213357862463155</v>
          </cell>
          <cell r="AW397">
            <v>9.2216021038993095</v>
          </cell>
          <cell r="AX397">
            <v>9.1543622209306044</v>
          </cell>
          <cell r="AY397">
            <v>9.1059606575240881</v>
          </cell>
          <cell r="AZ397">
            <v>9.1999812453778365</v>
          </cell>
          <cell r="BA397">
            <v>8.1510268107620298</v>
          </cell>
          <cell r="BB397">
            <v>8.1966748273089678</v>
          </cell>
          <cell r="BC397">
            <v>8.2521451760375797</v>
          </cell>
          <cell r="BD397">
            <v>8.3209903484294294</v>
          </cell>
          <cell r="BE397">
            <v>8.2154744006742337</v>
          </cell>
          <cell r="BF397">
            <v>7.792916793527997</v>
          </cell>
          <cell r="BG397">
            <v>7.7739065005273869</v>
          </cell>
          <cell r="BH397">
            <v>7.7564144029075006</v>
          </cell>
          <cell r="BI397">
            <v>7.7402656153683731</v>
          </cell>
          <cell r="BJ397">
            <v>7.7678483860636653</v>
          </cell>
          <cell r="BK397">
            <v>7.8120360915127032</v>
          </cell>
          <cell r="BL397">
            <v>7.887098969805507</v>
          </cell>
          <cell r="BM397">
            <v>7.9662069479383062</v>
          </cell>
          <cell r="BN397">
            <v>8.0503894157105957</v>
          </cell>
          <cell r="BO397">
            <v>7.9155129001041002</v>
          </cell>
          <cell r="BP397">
            <v>8.0983361122215864</v>
          </cell>
          <cell r="BQ397">
            <v>8.1464286754255948</v>
          </cell>
          <cell r="BR397">
            <v>8.1946654860865689</v>
          </cell>
          <cell r="BS397">
            <v>8.2430448649438937</v>
          </cell>
          <cell r="BT397">
            <v>8.1705075779721437</v>
          </cell>
          <cell r="BU397">
            <v>8.3200817205197684</v>
          </cell>
          <cell r="BV397">
            <v>8.3995300574493701</v>
          </cell>
          <cell r="BW397">
            <v>8.4816884383735101</v>
          </cell>
          <cell r="BX397">
            <v>8.5669147376925192</v>
          </cell>
          <cell r="BY397">
            <v>8.4343001336624877</v>
          </cell>
          <cell r="BZ397">
            <v>8.6740257082317846</v>
          </cell>
          <cell r="CA397">
            <v>8.7753489031876626</v>
          </cell>
          <cell r="CB397">
            <v>8.8721371147123183</v>
          </cell>
          <cell r="CC397">
            <v>8.9653274734242512</v>
          </cell>
          <cell r="CD397">
            <v>8.836983847415258</v>
          </cell>
        </row>
        <row r="398">
          <cell r="B398" t="str">
            <v>Exploration expense</v>
          </cell>
          <cell r="G398">
            <v>5.2510005330535501</v>
          </cell>
          <cell r="L398">
            <v>2.4586140734460753</v>
          </cell>
          <cell r="Q398">
            <v>3.7901156880778353</v>
          </cell>
          <cell r="V398">
            <v>9.8477673311926814</v>
          </cell>
          <cell r="AA398">
            <v>12.796702630621894</v>
          </cell>
          <cell r="AF398">
            <v>5.3081276586398003</v>
          </cell>
          <cell r="AK398">
            <v>6.3001629352483244</v>
          </cell>
          <cell r="AP398">
            <v>12.738062226166049</v>
          </cell>
          <cell r="AQ398">
            <v>8.4252358005265293</v>
          </cell>
          <cell r="AR398">
            <v>19.013081224634554</v>
          </cell>
          <cell r="AS398">
            <v>24.328699743785208</v>
          </cell>
          <cell r="AT398">
            <v>22.52708959055774</v>
          </cell>
          <cell r="AU398">
            <v>18.377599662167526</v>
          </cell>
          <cell r="AV398">
            <v>12.194393470532845</v>
          </cell>
          <cell r="AW398">
            <v>9.7133837113259389</v>
          </cell>
          <cell r="AX398">
            <v>8.0426650242265154</v>
          </cell>
          <cell r="AY398">
            <v>6.9160249471718078</v>
          </cell>
          <cell r="AZ398">
            <v>8.8278064751048948</v>
          </cell>
          <cell r="BA398">
            <v>6.6705027184431804</v>
          </cell>
          <cell r="BB398">
            <v>7.2380325939458876</v>
          </cell>
          <cell r="BC398">
            <v>7.9296173763143685</v>
          </cell>
          <cell r="BD398">
            <v>8.8855986938648233</v>
          </cell>
          <cell r="BE398">
            <v>7.5866757356135803</v>
          </cell>
          <cell r="BF398">
            <v>6.89213293113826</v>
          </cell>
          <cell r="BG398">
            <v>6.5328899473765318</v>
          </cell>
          <cell r="BH398">
            <v>6.2038517212268349</v>
          </cell>
          <cell r="BI398">
            <v>5.9656385366858515</v>
          </cell>
          <cell r="BJ398">
            <v>6.3822670466896652</v>
          </cell>
          <cell r="BK398">
            <v>6.5053401187894062</v>
          </cell>
          <cell r="BL398">
            <v>6.9344395729889987</v>
          </cell>
          <cell r="BM398">
            <v>7.4377611444183227</v>
          </cell>
          <cell r="BN398">
            <v>8.1231033229011924</v>
          </cell>
          <cell r="BO398">
            <v>7.1953590015403668</v>
          </cell>
          <cell r="BP398">
            <v>8.2167662516731728</v>
          </cell>
          <cell r="BQ398">
            <v>8.1600526536970541</v>
          </cell>
          <cell r="BR398">
            <v>8.1048476081881873</v>
          </cell>
          <cell r="BS398">
            <v>8.1386178809490843</v>
          </cell>
          <cell r="BT398">
            <v>8.1545446145402263</v>
          </cell>
          <cell r="BU398">
            <v>8.7186941791176906</v>
          </cell>
          <cell r="BV398">
            <v>9.0148520377539558</v>
          </cell>
          <cell r="BW398">
            <v>9.3414979896849815</v>
          </cell>
          <cell r="BX398">
            <v>9.8085970034871739</v>
          </cell>
          <cell r="BY398">
            <v>9.1992371984840755</v>
          </cell>
          <cell r="BZ398">
            <v>9.2458683391137768</v>
          </cell>
          <cell r="CA398">
            <v>8.4836999167888116</v>
          </cell>
          <cell r="CB398">
            <v>7.8261393922261675</v>
          </cell>
          <cell r="CC398">
            <v>7.3321612086041172</v>
          </cell>
          <cell r="CD398">
            <v>8.1655253854367391</v>
          </cell>
        </row>
        <row r="399">
          <cell r="B399" t="str">
            <v>DD&amp;A</v>
          </cell>
          <cell r="G399">
            <v>25.960554037246059</v>
          </cell>
          <cell r="L399">
            <v>29.460235301117006</v>
          </cell>
          <cell r="Q399">
            <v>0.91243525824096028</v>
          </cell>
          <cell r="V399">
            <v>4.9573794728452949</v>
          </cell>
          <cell r="AA399">
            <v>8.7186325615226092</v>
          </cell>
          <cell r="AF399">
            <v>27.007753527159306</v>
          </cell>
          <cell r="AK399">
            <v>17.600455184185797</v>
          </cell>
          <cell r="AP399">
            <v>20.265098996173258</v>
          </cell>
          <cell r="AQ399">
            <v>22.139498011597574</v>
          </cell>
          <cell r="AR399">
            <v>22.139498011597574</v>
          </cell>
          <cell r="AS399">
            <v>22.139498011597574</v>
          </cell>
          <cell r="AT399">
            <v>22.139498011597574</v>
          </cell>
          <cell r="AU399">
            <v>22.139498011597574</v>
          </cell>
          <cell r="AV399">
            <v>24.013897027021887</v>
          </cell>
          <cell r="AW399">
            <v>24.013897027021887</v>
          </cell>
          <cell r="AX399">
            <v>24.013897027021887</v>
          </cell>
          <cell r="AY399">
            <v>24.013897027021887</v>
          </cell>
          <cell r="AZ399">
            <v>24.013897027021887</v>
          </cell>
          <cell r="BA399">
            <v>23.710911673387095</v>
          </cell>
          <cell r="BB399">
            <v>23.710911673387095</v>
          </cell>
          <cell r="BC399">
            <v>23.710911673387095</v>
          </cell>
          <cell r="BD399">
            <v>23.710911673387095</v>
          </cell>
          <cell r="BE399">
            <v>23.710911673387095</v>
          </cell>
          <cell r="BF399">
            <v>23.407926319752299</v>
          </cell>
          <cell r="BG399">
            <v>23.407926319752299</v>
          </cell>
          <cell r="BH399">
            <v>23.407926319752299</v>
          </cell>
          <cell r="BI399">
            <v>23.407926319752299</v>
          </cell>
          <cell r="BJ399">
            <v>23.407926319752299</v>
          </cell>
          <cell r="BK399">
            <v>23.104940966117503</v>
          </cell>
          <cell r="BL399">
            <v>23.104940966117503</v>
          </cell>
          <cell r="BM399">
            <v>23.104940966117503</v>
          </cell>
          <cell r="BN399">
            <v>23.104940966117503</v>
          </cell>
          <cell r="BO399">
            <v>23.104940966117503</v>
          </cell>
          <cell r="BP399">
            <v>22.801955612482708</v>
          </cell>
          <cell r="BQ399">
            <v>22.801955612482708</v>
          </cell>
          <cell r="BR399">
            <v>22.801955612482708</v>
          </cell>
          <cell r="BS399">
            <v>22.801955612482708</v>
          </cell>
          <cell r="BT399">
            <v>22.801955612482708</v>
          </cell>
          <cell r="BU399">
            <v>22.498970258847912</v>
          </cell>
          <cell r="BV399">
            <v>22.498970258847912</v>
          </cell>
          <cell r="BW399">
            <v>22.498970258847912</v>
          </cell>
          <cell r="BX399">
            <v>22.498970258847912</v>
          </cell>
          <cell r="BY399">
            <v>22.498970258847912</v>
          </cell>
          <cell r="BZ399">
            <v>22.195984905213123</v>
          </cell>
          <cell r="CA399">
            <v>22.195984905213123</v>
          </cell>
          <cell r="CB399">
            <v>22.195984905213123</v>
          </cell>
          <cell r="CC399">
            <v>22.195984905213123</v>
          </cell>
          <cell r="CD399">
            <v>22.195984905213123</v>
          </cell>
        </row>
        <row r="400">
          <cell r="B400" t="str">
            <v>Other income/(cost)</v>
          </cell>
          <cell r="G400">
            <v>-5.7908230177599904</v>
          </cell>
          <cell r="L400">
            <v>4.5721595050049819</v>
          </cell>
          <cell r="Q400">
            <v>3.0882424125078658</v>
          </cell>
          <cell r="V400">
            <v>2.7466561944142853</v>
          </cell>
          <cell r="AA400">
            <v>5.0624318099163537</v>
          </cell>
          <cell r="AF400">
            <v>-3.0574815313765251</v>
          </cell>
          <cell r="AK400">
            <v>-25.200651740993298</v>
          </cell>
          <cell r="AP400">
            <v>4.0530197992346517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  <cell r="BC400">
            <v>0</v>
          </cell>
          <cell r="BD400">
            <v>0</v>
          </cell>
          <cell r="BE400">
            <v>0</v>
          </cell>
          <cell r="BF400">
            <v>0</v>
          </cell>
          <cell r="BG400">
            <v>0</v>
          </cell>
          <cell r="BH400">
            <v>0</v>
          </cell>
          <cell r="BI400">
            <v>0</v>
          </cell>
          <cell r="BJ400">
            <v>0</v>
          </cell>
          <cell r="BK400">
            <v>0</v>
          </cell>
          <cell r="BL400">
            <v>0</v>
          </cell>
          <cell r="BM400">
            <v>0</v>
          </cell>
          <cell r="BN400">
            <v>0</v>
          </cell>
          <cell r="BO400">
            <v>0</v>
          </cell>
          <cell r="BP400">
            <v>0</v>
          </cell>
          <cell r="BQ400">
            <v>0</v>
          </cell>
          <cell r="BR400">
            <v>0</v>
          </cell>
          <cell r="BS400">
            <v>0</v>
          </cell>
          <cell r="BT400">
            <v>0</v>
          </cell>
          <cell r="BU400">
            <v>0</v>
          </cell>
          <cell r="BV400">
            <v>0</v>
          </cell>
          <cell r="BW400">
            <v>0</v>
          </cell>
          <cell r="BX400">
            <v>0</v>
          </cell>
          <cell r="BY400">
            <v>0</v>
          </cell>
          <cell r="BZ400">
            <v>0</v>
          </cell>
          <cell r="CA400">
            <v>0</v>
          </cell>
          <cell r="CB400">
            <v>0</v>
          </cell>
          <cell r="CC400">
            <v>0</v>
          </cell>
          <cell r="CD400">
            <v>0</v>
          </cell>
        </row>
        <row r="401">
          <cell r="B401" t="str">
            <v>Earnings before tax</v>
          </cell>
          <cell r="G401">
            <v>1.7666917681301664</v>
          </cell>
          <cell r="L401">
            <v>-3.5369535793434768</v>
          </cell>
          <cell r="Q401">
            <v>25.056875937847909</v>
          </cell>
          <cell r="V401">
            <v>22.576174085795465</v>
          </cell>
          <cell r="AA401">
            <v>-1.7577888228876228</v>
          </cell>
          <cell r="AF401">
            <v>18.047634039375321</v>
          </cell>
          <cell r="AK401">
            <v>63.101631938757031</v>
          </cell>
          <cell r="AP401">
            <v>30.751483556097831</v>
          </cell>
          <cell r="AQ401">
            <v>30.527890950471424</v>
          </cell>
          <cell r="AR401">
            <v>21.032986231823795</v>
          </cell>
          <cell r="AS401">
            <v>18.279205813721216</v>
          </cell>
          <cell r="AT401">
            <v>13.039851424569569</v>
          </cell>
          <cell r="AU401">
            <v>20.744838615040958</v>
          </cell>
          <cell r="AV401">
            <v>21.55382245438587</v>
          </cell>
          <cell r="AW401">
            <v>23.227896056421525</v>
          </cell>
          <cell r="AX401">
            <v>24.354582963137826</v>
          </cell>
          <cell r="AY401">
            <v>25.089610390812528</v>
          </cell>
          <cell r="AZ401">
            <v>23.867677198768543</v>
          </cell>
          <cell r="BA401">
            <v>17.470435843681607</v>
          </cell>
          <cell r="BB401">
            <v>17.272239920240505</v>
          </cell>
          <cell r="BC401">
            <v>17.029460686676241</v>
          </cell>
          <cell r="BD401">
            <v>16.630499400296209</v>
          </cell>
          <cell r="BE401">
            <v>17.116632678220139</v>
          </cell>
          <cell r="BF401">
            <v>14.201921223438747</v>
          </cell>
          <cell r="BG401">
            <v>14.40735365474097</v>
          </cell>
          <cell r="BH401">
            <v>14.594864909238867</v>
          </cell>
          <cell r="BI401">
            <v>14.702419721872365</v>
          </cell>
          <cell r="BJ401">
            <v>14.492568046842708</v>
          </cell>
          <cell r="BK401">
            <v>14.58264686992054</v>
          </cell>
          <cell r="BL401">
            <v>14.760874340089984</v>
          </cell>
          <cell r="BM401">
            <v>14.89760822809877</v>
          </cell>
          <cell r="BN401">
            <v>14.893378743409889</v>
          </cell>
          <cell r="BO401">
            <v>14.762544993154615</v>
          </cell>
          <cell r="BP401">
            <v>15.015294884039966</v>
          </cell>
          <cell r="BQ401">
            <v>15.461121038848516</v>
          </cell>
          <cell r="BR401">
            <v>15.9066057342507</v>
          </cell>
          <cell r="BS401">
            <v>16.264268617699081</v>
          </cell>
          <cell r="BT401">
            <v>15.663128500664671</v>
          </cell>
          <cell r="BU401">
            <v>16.12325375519378</v>
          </cell>
          <cell r="BV401">
            <v>16.46990516807886</v>
          </cell>
          <cell r="BW401">
            <v>16.807995207261321</v>
          </cell>
          <cell r="BX401">
            <v>17.030454433403843</v>
          </cell>
          <cell r="BY401">
            <v>16.585786408363887</v>
          </cell>
          <cell r="BZ401">
            <v>18.263390910771736</v>
          </cell>
          <cell r="CA401">
            <v>19.845356092285169</v>
          </cell>
          <cell r="CB401">
            <v>21.2860212373655</v>
          </cell>
          <cell r="CC401">
            <v>22.533994141474995</v>
          </cell>
          <cell r="CD401">
            <v>20.633685415379475</v>
          </cell>
        </row>
        <row r="403">
          <cell r="B403" t="str">
            <v>Suggested DD&amp;A/boe for convergence</v>
          </cell>
          <cell r="G403">
            <v>25.960554037246059</v>
          </cell>
          <cell r="L403">
            <v>29.460235301117006</v>
          </cell>
          <cell r="Q403">
            <v>0.91243525824096028</v>
          </cell>
          <cell r="V403">
            <v>4.9573794728452949</v>
          </cell>
          <cell r="AA403">
            <v>8.7186325615226092</v>
          </cell>
          <cell r="AF403">
            <v>27.007753527159306</v>
          </cell>
          <cell r="AK403">
            <v>17.600455184185797</v>
          </cell>
          <cell r="AP403">
            <v>20.265098996173258</v>
          </cell>
          <cell r="AU403">
            <v>22.139498011597574</v>
          </cell>
          <cell r="AZ403">
            <v>24.013897027021887</v>
          </cell>
          <cell r="BE403">
            <v>23.710911673387095</v>
          </cell>
          <cell r="BJ403">
            <v>23.407926319752299</v>
          </cell>
          <cell r="BO403">
            <v>23.104940966117503</v>
          </cell>
          <cell r="BT403">
            <v>22.801955612482708</v>
          </cell>
          <cell r="BY403">
            <v>22.498970258847912</v>
          </cell>
          <cell r="CD403">
            <v>22.195984905213123</v>
          </cell>
        </row>
        <row r="405">
          <cell r="A405" t="str">
            <v>As percent of revenue</v>
          </cell>
        </row>
        <row r="406">
          <cell r="B406" t="str">
            <v>Production cost excluding taxes</v>
          </cell>
          <cell r="G406">
            <v>0.19496021220159152</v>
          </cell>
          <cell r="L406">
            <v>0.15376782077393075</v>
          </cell>
          <cell r="Q406">
            <v>0.227994227994228</v>
          </cell>
          <cell r="V406">
            <v>0.18941176470588236</v>
          </cell>
          <cell r="AA406">
            <v>0.30413223140495865</v>
          </cell>
          <cell r="AF406">
            <v>0.14150304671631686</v>
          </cell>
          <cell r="AK406">
            <v>0.15006002400960383</v>
          </cell>
          <cell r="AP406">
            <v>0.17537826685006877</v>
          </cell>
          <cell r="AQ406">
            <v>0.19209281007307699</v>
          </cell>
          <cell r="AR406">
            <v>0.18943529110945753</v>
          </cell>
          <cell r="AS406">
            <v>0.18348522965104211</v>
          </cell>
          <cell r="AT406">
            <v>0.20082130664907999</v>
          </cell>
          <cell r="AU406">
            <v>0.19165673101034361</v>
          </cell>
          <cell r="AV406">
            <v>0.20835601995064026</v>
          </cell>
          <cell r="AW406">
            <v>0.21060943675118268</v>
          </cell>
          <cell r="AX406">
            <v>0.21215638819766083</v>
          </cell>
          <cell r="AY406">
            <v>0.21328407820881434</v>
          </cell>
          <cell r="AZ406">
            <v>0.21146339331730549</v>
          </cell>
          <cell r="BA406">
            <v>0.24422816681740117</v>
          </cell>
          <cell r="BB406">
            <v>0.24286803827320594</v>
          </cell>
          <cell r="BC406">
            <v>0.24123549612923492</v>
          </cell>
          <cell r="BD406">
            <v>0.23923959196126707</v>
          </cell>
          <cell r="BE406">
            <v>0.24207505681973338</v>
          </cell>
          <cell r="BF406">
            <v>0.26183753119991066</v>
          </cell>
          <cell r="BG406">
            <v>0.26247782809392778</v>
          </cell>
          <cell r="BH406">
            <v>0.26306976240191854</v>
          </cell>
          <cell r="BI406">
            <v>0.26361861407085385</v>
          </cell>
          <cell r="BJ406">
            <v>0.26278516340718089</v>
          </cell>
          <cell r="BK406">
            <v>0.26772662362473754</v>
          </cell>
          <cell r="BL406">
            <v>0.26517862327101782</v>
          </cell>
          <cell r="BM406">
            <v>0.26254528159811058</v>
          </cell>
          <cell r="BN406">
            <v>0.25979986040596703</v>
          </cell>
          <cell r="BO406">
            <v>0.26402161174508143</v>
          </cell>
          <cell r="BP406">
            <v>0.26471824185469317</v>
          </cell>
          <cell r="BQ406">
            <v>0.26315547376515536</v>
          </cell>
          <cell r="BR406">
            <v>0.26160644399890554</v>
          </cell>
          <cell r="BS406">
            <v>0.26007104567545758</v>
          </cell>
          <cell r="BT406">
            <v>0.26236952303596128</v>
          </cell>
          <cell r="BU406">
            <v>0.26410458500614198</v>
          </cell>
          <cell r="BV406">
            <v>0.26160650833867272</v>
          </cell>
          <cell r="BW406">
            <v>0.25907244129288476</v>
          </cell>
          <cell r="BX406">
            <v>0.25649510906734185</v>
          </cell>
          <cell r="BY406">
            <v>0.26041184403552248</v>
          </cell>
          <cell r="BZ406">
            <v>0.25966098084398853</v>
          </cell>
          <cell r="CA406">
            <v>0.25666284590089439</v>
          </cell>
          <cell r="CB406">
            <v>0.25386285109711909</v>
          </cell>
          <cell r="CC406">
            <v>0.25122406626438409</v>
          </cell>
          <cell r="CD406">
            <v>0.25504310483023168</v>
          </cell>
        </row>
        <row r="407">
          <cell r="B407" t="str">
            <v>Taxes other than income tax</v>
          </cell>
          <cell r="G407">
            <v>7.0291777188328908E-2</v>
          </cell>
          <cell r="L407">
            <v>6.8228105906313646E-2</v>
          </cell>
          <cell r="Q407">
            <v>9.6681096681096687E-2</v>
          </cell>
          <cell r="V407">
            <v>0.10588235294117647</v>
          </cell>
          <cell r="AA407">
            <v>0.11239669421487604</v>
          </cell>
          <cell r="AF407">
            <v>0.10426540284360189</v>
          </cell>
          <cell r="AK407">
            <v>0.10804321728691477</v>
          </cell>
          <cell r="AP407">
            <v>9.9724896836313623E-2</v>
          </cell>
          <cell r="AQ407">
            <v>0.11</v>
          </cell>
          <cell r="AR407">
            <v>0.11</v>
          </cell>
          <cell r="AS407">
            <v>0.11</v>
          </cell>
          <cell r="AT407">
            <v>0.11</v>
          </cell>
          <cell r="AU407">
            <v>0.11</v>
          </cell>
          <cell r="AV407">
            <v>0.11</v>
          </cell>
          <cell r="AW407">
            <v>0.11</v>
          </cell>
          <cell r="AX407">
            <v>0.11</v>
          </cell>
          <cell r="AY407">
            <v>0.11</v>
          </cell>
          <cell r="AZ407">
            <v>0.11</v>
          </cell>
          <cell r="BA407">
            <v>0.11</v>
          </cell>
          <cell r="BB407">
            <v>0.11</v>
          </cell>
          <cell r="BC407">
            <v>0.11</v>
          </cell>
          <cell r="BD407">
            <v>0.11</v>
          </cell>
          <cell r="BE407">
            <v>0.11</v>
          </cell>
          <cell r="BF407">
            <v>0.11</v>
          </cell>
          <cell r="BG407">
            <v>0.11</v>
          </cell>
          <cell r="BH407">
            <v>0.11</v>
          </cell>
          <cell r="BI407">
            <v>0.11</v>
          </cell>
          <cell r="BJ407">
            <v>0.11</v>
          </cell>
          <cell r="BK407">
            <v>0.11</v>
          </cell>
          <cell r="BL407">
            <v>0.11</v>
          </cell>
          <cell r="BM407">
            <v>0.11</v>
          </cell>
          <cell r="BN407">
            <v>0.11</v>
          </cell>
          <cell r="BO407">
            <v>0.11</v>
          </cell>
          <cell r="BP407">
            <v>0.11</v>
          </cell>
          <cell r="BQ407">
            <v>0.11</v>
          </cell>
          <cell r="BR407">
            <v>0.11</v>
          </cell>
          <cell r="BS407">
            <v>0.11</v>
          </cell>
          <cell r="BT407">
            <v>0.11</v>
          </cell>
          <cell r="BU407">
            <v>0.11</v>
          </cell>
          <cell r="BV407">
            <v>0.11</v>
          </cell>
          <cell r="BW407">
            <v>0.11</v>
          </cell>
          <cell r="BX407">
            <v>0.11</v>
          </cell>
          <cell r="BY407">
            <v>0.11</v>
          </cell>
          <cell r="BZ407">
            <v>0.11</v>
          </cell>
          <cell r="CA407">
            <v>0.11</v>
          </cell>
          <cell r="CB407">
            <v>0.11</v>
          </cell>
          <cell r="CC407">
            <v>0.11</v>
          </cell>
          <cell r="CD407">
            <v>0.11</v>
          </cell>
        </row>
        <row r="408">
          <cell r="B408" t="str">
            <v>Exploration expense</v>
          </cell>
          <cell r="G408">
            <v>0.14190981432360741</v>
          </cell>
          <cell r="L408">
            <v>5.8044806517311608E-2</v>
          </cell>
          <cell r="Q408">
            <v>7.792207792207792E-2</v>
          </cell>
          <cell r="V408">
            <v>0.17294117647058824</v>
          </cell>
          <cell r="AA408">
            <v>0.30082644628099175</v>
          </cell>
          <cell r="AF408">
            <v>8.4631008801624913E-2</v>
          </cell>
          <cell r="AK408">
            <v>7.5630252100840331E-2</v>
          </cell>
          <cell r="AP408">
            <v>0.13617606602475929</v>
          </cell>
          <cell r="AQ408">
            <v>9.6247831303153952E-2</v>
          </cell>
          <cell r="AR408">
            <v>0.21419590885750864</v>
          </cell>
          <cell r="AS408">
            <v>0.26547142842606841</v>
          </cell>
          <cell r="AT408">
            <v>0.2690373974008291</v>
          </cell>
          <cell r="AU408">
            <v>0.20950718414876099</v>
          </cell>
          <cell r="AV408">
            <v>0.14390461973677973</v>
          </cell>
          <cell r="AW408">
            <v>0.11586622326656831</v>
          </cell>
          <cell r="AX408">
            <v>9.6641702754796763E-2</v>
          </cell>
          <cell r="AY408">
            <v>8.3545577759584821E-2</v>
          </cell>
          <cell r="AZ408">
            <v>0.1055500751970998</v>
          </cell>
          <cell r="BA408">
            <v>9.0019983501949993E-2</v>
          </cell>
          <cell r="BB408">
            <v>9.7134948269680346E-2</v>
          </cell>
          <cell r="BC408">
            <v>0.10570074723447988</v>
          </cell>
          <cell r="BD408">
            <v>0.11746388535465804</v>
          </cell>
          <cell r="BE408">
            <v>0.1015807840444375</v>
          </cell>
          <cell r="BF408">
            <v>9.728509138642899E-2</v>
          </cell>
          <cell r="BG408">
            <v>9.2439739809408172E-2</v>
          </cell>
          <cell r="BH408">
            <v>8.7981850103205486E-2</v>
          </cell>
          <cell r="BI408">
            <v>8.4780067202411227E-2</v>
          </cell>
          <cell r="BJ408">
            <v>9.037887201756066E-2</v>
          </cell>
          <cell r="BK408">
            <v>9.1600628144086066E-2</v>
          </cell>
          <cell r="BL408">
            <v>9.6713424790154504E-2</v>
          </cell>
          <cell r="BM408">
            <v>0.10270304691215154</v>
          </cell>
          <cell r="BN408">
            <v>0.11099355812221409</v>
          </cell>
          <cell r="BO408">
            <v>9.9992192566451518E-2</v>
          </cell>
          <cell r="BP408">
            <v>0.11160864097996802</v>
          </cell>
          <cell r="BQ408">
            <v>0.11018396252757744</v>
          </cell>
          <cell r="BR408">
            <v>0.10879434168660128</v>
          </cell>
          <cell r="BS408">
            <v>0.10860646539869254</v>
          </cell>
          <cell r="BT408">
            <v>0.10978508973148196</v>
          </cell>
          <cell r="BU408">
            <v>0.11527006487660225</v>
          </cell>
          <cell r="BV408">
            <v>0.11805823865984927</v>
          </cell>
          <cell r="BW408">
            <v>0.12115096968386155</v>
          </cell>
          <cell r="BX408">
            <v>0.12594331838467682</v>
          </cell>
          <cell r="BY408">
            <v>0.11997629628978318</v>
          </cell>
          <cell r="BZ408">
            <v>0.11725184493485227</v>
          </cell>
          <cell r="CA408">
            <v>0.10634414667065605</v>
          </cell>
          <cell r="CB408">
            <v>9.7031337772871262E-2</v>
          </cell>
          <cell r="CC408">
            <v>8.9961882077063821E-2</v>
          </cell>
          <cell r="CD408">
            <v>0.10164189591234341</v>
          </cell>
        </row>
        <row r="409">
          <cell r="B409" t="str">
            <v>DD&amp;A</v>
          </cell>
          <cell r="G409">
            <v>0.70159151193633951</v>
          </cell>
          <cell r="L409">
            <v>0.6955193482688391</v>
          </cell>
          <cell r="Q409">
            <v>1.875901875901876E-2</v>
          </cell>
          <cell r="V409">
            <v>8.7058823529411758E-2</v>
          </cell>
          <cell r="AA409">
            <v>0.20495867768595041</v>
          </cell>
          <cell r="AF409">
            <v>0.43060257278266756</v>
          </cell>
          <cell r="AK409">
            <v>0.21128451380552221</v>
          </cell>
          <cell r="AP409">
            <v>0.21664374140302614</v>
          </cell>
          <cell r="AQ409">
            <v>0.25291620557653566</v>
          </cell>
          <cell r="AR409">
            <v>0.24941722187032295</v>
          </cell>
          <cell r="AS409">
            <v>0.24158315995807786</v>
          </cell>
          <cell r="AT409">
            <v>0.26440845369113525</v>
          </cell>
          <cell r="AU409">
            <v>0.25234204841867047</v>
          </cell>
          <cell r="AV409">
            <v>0.28338520717921117</v>
          </cell>
          <cell r="AW409">
            <v>0.28645008136443567</v>
          </cell>
          <cell r="AX409">
            <v>0.28855409139620841</v>
          </cell>
          <cell r="AY409">
            <v>0.29008786357865063</v>
          </cell>
          <cell r="AZ409">
            <v>0.28761154844597275</v>
          </cell>
          <cell r="BA409">
            <v>0.31998426021969412</v>
          </cell>
          <cell r="BB409">
            <v>0.31820223920348845</v>
          </cell>
          <cell r="BC409">
            <v>0.31606330577486957</v>
          </cell>
          <cell r="BD409">
            <v>0.31344830060581352</v>
          </cell>
          <cell r="BE409">
            <v>0.31716328621512546</v>
          </cell>
          <cell r="BF409">
            <v>0.33041182953617299</v>
          </cell>
          <cell r="BG409">
            <v>0.33121981786095217</v>
          </cell>
          <cell r="BH409">
            <v>0.33196677761409443</v>
          </cell>
          <cell r="BI409">
            <v>0.33265937154150371</v>
          </cell>
          <cell r="BJ409">
            <v>0.3316076431763974</v>
          </cell>
          <cell r="BK409">
            <v>0.32533688740047628</v>
          </cell>
          <cell r="BL409">
            <v>0.32224060025147616</v>
          </cell>
          <cell r="BM409">
            <v>0.31904060776762638</v>
          </cell>
          <cell r="BN409">
            <v>0.31570441813821087</v>
          </cell>
          <cell r="BO409">
            <v>0.32083461931675133</v>
          </cell>
          <cell r="BP409">
            <v>0.30971980942947408</v>
          </cell>
          <cell r="BQ409">
            <v>0.30789137391447924</v>
          </cell>
          <cell r="BR409">
            <v>0.30607901221004169</v>
          </cell>
          <cell r="BS409">
            <v>0.30428259926620815</v>
          </cell>
          <cell r="BT409">
            <v>0.30697181314540856</v>
          </cell>
          <cell r="BU409">
            <v>0.29745942547288595</v>
          </cell>
          <cell r="BV409">
            <v>0.29464585655936115</v>
          </cell>
          <cell r="BW409">
            <v>0.29179175189649698</v>
          </cell>
          <cell r="BX409">
            <v>0.2888889179186433</v>
          </cell>
          <cell r="BY409">
            <v>0.29330031325029765</v>
          </cell>
          <cell r="BZ409">
            <v>0.28147926023050251</v>
          </cell>
          <cell r="CA409">
            <v>0.27822920393359435</v>
          </cell>
          <cell r="CB409">
            <v>0.27519393670378495</v>
          </cell>
          <cell r="CC409">
            <v>0.27233342527764975</v>
          </cell>
          <cell r="CD409">
            <v>0.27647336246348519</v>
          </cell>
        </row>
        <row r="410">
          <cell r="B410" t="str">
            <v>Other income/(cost)</v>
          </cell>
          <cell r="G410">
            <v>-0.15649867374005305</v>
          </cell>
          <cell r="L410">
            <v>0.1079429735234216</v>
          </cell>
          <cell r="Q410">
            <v>6.3492063492063489E-2</v>
          </cell>
          <cell r="V410">
            <v>4.8235294117647057E-2</v>
          </cell>
          <cell r="AA410">
            <v>0.11900826446280992</v>
          </cell>
          <cell r="AF410">
            <v>-4.8747461069735952E-2</v>
          </cell>
          <cell r="AK410">
            <v>-0.30252100840336132</v>
          </cell>
          <cell r="AP410">
            <v>4.3328748280605227E-2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  <cell r="BC410">
            <v>0</v>
          </cell>
          <cell r="BD410">
            <v>0</v>
          </cell>
          <cell r="BE410">
            <v>0</v>
          </cell>
          <cell r="BF410">
            <v>0</v>
          </cell>
          <cell r="BG410">
            <v>0</v>
          </cell>
          <cell r="BH410">
            <v>0</v>
          </cell>
          <cell r="BI410">
            <v>0</v>
          </cell>
          <cell r="BJ410">
            <v>0</v>
          </cell>
          <cell r="BK410">
            <v>0</v>
          </cell>
          <cell r="BL410">
            <v>0</v>
          </cell>
          <cell r="BM410">
            <v>0</v>
          </cell>
          <cell r="BN410">
            <v>0</v>
          </cell>
          <cell r="BO410">
            <v>0</v>
          </cell>
          <cell r="BP410">
            <v>0</v>
          </cell>
          <cell r="BQ410">
            <v>0</v>
          </cell>
          <cell r="BR410">
            <v>0</v>
          </cell>
          <cell r="BS410">
            <v>0</v>
          </cell>
          <cell r="BT410">
            <v>0</v>
          </cell>
          <cell r="BU410">
            <v>0</v>
          </cell>
          <cell r="BV410">
            <v>0</v>
          </cell>
          <cell r="BW410">
            <v>0</v>
          </cell>
          <cell r="BX410">
            <v>0</v>
          </cell>
          <cell r="BY410">
            <v>0</v>
          </cell>
          <cell r="BZ410">
            <v>0</v>
          </cell>
          <cell r="CA410">
            <v>0</v>
          </cell>
          <cell r="CB410">
            <v>0</v>
          </cell>
          <cell r="CC410">
            <v>0</v>
          </cell>
          <cell r="CD410">
            <v>0</v>
          </cell>
        </row>
        <row r="412">
          <cell r="A412" t="str">
            <v>Effective tax rate</v>
          </cell>
          <cell r="G412">
            <v>-1.1388888888888888</v>
          </cell>
          <cell r="L412">
            <v>0.32926829268292684</v>
          </cell>
          <cell r="Q412">
            <v>5.3221288515406161E-2</v>
          </cell>
          <cell r="V412">
            <v>0.85163204747774479</v>
          </cell>
          <cell r="AA412">
            <v>5.04</v>
          </cell>
          <cell r="AF412">
            <v>0.31058823529411766</v>
          </cell>
          <cell r="AK412">
            <v>0.37321711568938193</v>
          </cell>
          <cell r="AP412">
            <v>0.28661087866108786</v>
          </cell>
          <cell r="AQ412">
            <v>0.33</v>
          </cell>
          <cell r="AR412">
            <v>0.33</v>
          </cell>
          <cell r="AS412">
            <v>0.33</v>
          </cell>
          <cell r="AT412">
            <v>0.33</v>
          </cell>
          <cell r="AU412">
            <v>0.33</v>
          </cell>
          <cell r="AV412">
            <v>0.33</v>
          </cell>
          <cell r="AW412">
            <v>0.33</v>
          </cell>
          <cell r="AX412">
            <v>0.33</v>
          </cell>
          <cell r="AY412">
            <v>0.33</v>
          </cell>
          <cell r="AZ412">
            <v>0.33</v>
          </cell>
          <cell r="BA412">
            <v>0.33</v>
          </cell>
          <cell r="BB412">
            <v>0.33</v>
          </cell>
          <cell r="BC412">
            <v>0.33</v>
          </cell>
          <cell r="BD412">
            <v>0.33</v>
          </cell>
          <cell r="BE412">
            <v>0.33</v>
          </cell>
          <cell r="BF412">
            <v>0.33</v>
          </cell>
          <cell r="BG412">
            <v>0.33</v>
          </cell>
          <cell r="BH412">
            <v>0.33</v>
          </cell>
          <cell r="BI412">
            <v>0.33</v>
          </cell>
          <cell r="BJ412">
            <v>0.33</v>
          </cell>
          <cell r="BK412">
            <v>0.33</v>
          </cell>
          <cell r="BL412">
            <v>0.33</v>
          </cell>
          <cell r="BM412">
            <v>0.33</v>
          </cell>
          <cell r="BN412">
            <v>0.33</v>
          </cell>
          <cell r="BO412">
            <v>0.33</v>
          </cell>
          <cell r="BP412">
            <v>0.33</v>
          </cell>
          <cell r="BQ412">
            <v>0.33</v>
          </cell>
          <cell r="BR412">
            <v>0.33</v>
          </cell>
          <cell r="BS412">
            <v>0.33</v>
          </cell>
          <cell r="BT412">
            <v>0.33</v>
          </cell>
          <cell r="BU412">
            <v>0.33</v>
          </cell>
          <cell r="BV412">
            <v>0.33</v>
          </cell>
          <cell r="BW412">
            <v>0.33</v>
          </cell>
          <cell r="BX412">
            <v>0.33</v>
          </cell>
          <cell r="BY412">
            <v>0.33</v>
          </cell>
          <cell r="BZ412">
            <v>0.33</v>
          </cell>
          <cell r="CA412">
            <v>0.33</v>
          </cell>
          <cell r="CB412">
            <v>0.33</v>
          </cell>
          <cell r="CC412">
            <v>0.33</v>
          </cell>
          <cell r="CD412">
            <v>0.33</v>
          </cell>
        </row>
        <row r="416">
          <cell r="A416" t="str">
            <v>Shell share of equity-accounted investments</v>
          </cell>
        </row>
        <row r="418">
          <cell r="A418" t="str">
            <v>Total equity accounted subsidiaries</v>
          </cell>
        </row>
        <row r="419">
          <cell r="C419">
            <v>2001</v>
          </cell>
          <cell r="D419">
            <v>2002</v>
          </cell>
          <cell r="E419">
            <v>2003</v>
          </cell>
          <cell r="F419">
            <v>2004</v>
          </cell>
          <cell r="G419">
            <v>2005</v>
          </cell>
          <cell r="H419" t="str">
            <v>1Q06</v>
          </cell>
          <cell r="I419" t="str">
            <v>2Q06</v>
          </cell>
          <cell r="J419" t="str">
            <v>3Q06</v>
          </cell>
          <cell r="K419" t="str">
            <v>4Q06</v>
          </cell>
          <cell r="L419">
            <v>2006</v>
          </cell>
          <cell r="M419" t="str">
            <v>1Q07</v>
          </cell>
          <cell r="N419" t="str">
            <v>2Q07</v>
          </cell>
          <cell r="O419" t="str">
            <v>3Q07</v>
          </cell>
          <cell r="P419" t="str">
            <v>4Q07</v>
          </cell>
          <cell r="Q419">
            <v>2007</v>
          </cell>
          <cell r="R419" t="str">
            <v>1Q08</v>
          </cell>
          <cell r="S419" t="str">
            <v>2Q08</v>
          </cell>
          <cell r="T419" t="str">
            <v>3Q08</v>
          </cell>
          <cell r="U419" t="str">
            <v>4Q08</v>
          </cell>
          <cell r="V419">
            <v>2008</v>
          </cell>
          <cell r="W419" t="str">
            <v>1Q09</v>
          </cell>
          <cell r="X419" t="str">
            <v>2Q09</v>
          </cell>
          <cell r="Y419" t="str">
            <v>3Q09</v>
          </cell>
          <cell r="Z419" t="str">
            <v>4Q09</v>
          </cell>
          <cell r="AA419">
            <v>2009</v>
          </cell>
          <cell r="AB419" t="str">
            <v>1Q10</v>
          </cell>
          <cell r="AC419" t="str">
            <v>2Q10</v>
          </cell>
          <cell r="AD419" t="str">
            <v>3Q10</v>
          </cell>
          <cell r="AE419" t="str">
            <v>4Q10</v>
          </cell>
          <cell r="AF419">
            <v>2010</v>
          </cell>
          <cell r="AG419" t="str">
            <v>1Q11</v>
          </cell>
          <cell r="AH419" t="str">
            <v>2Q11</v>
          </cell>
          <cell r="AI419" t="str">
            <v>3Q11</v>
          </cell>
          <cell r="AJ419" t="str">
            <v>4Q11</v>
          </cell>
          <cell r="AK419">
            <v>2011</v>
          </cell>
          <cell r="AL419" t="str">
            <v>1Q12</v>
          </cell>
          <cell r="AM419" t="str">
            <v>2Q12</v>
          </cell>
          <cell r="AN419" t="str">
            <v>3Q12</v>
          </cell>
          <cell r="AO419" t="str">
            <v>4Q12</v>
          </cell>
          <cell r="AP419">
            <v>2012</v>
          </cell>
          <cell r="AQ419" t="str">
            <v>1Q13</v>
          </cell>
          <cell r="AR419" t="str">
            <v>2Q13</v>
          </cell>
          <cell r="AS419" t="str">
            <v>3Q13</v>
          </cell>
          <cell r="AT419" t="str">
            <v>4Q13</v>
          </cell>
          <cell r="AU419">
            <v>2013</v>
          </cell>
          <cell r="AV419" t="str">
            <v>1Q14</v>
          </cell>
          <cell r="AW419" t="str">
            <v>2Q14</v>
          </cell>
          <cell r="AX419" t="str">
            <v>3Q14</v>
          </cell>
          <cell r="AY419" t="str">
            <v>4Q14</v>
          </cell>
          <cell r="AZ419">
            <v>2014</v>
          </cell>
          <cell r="BA419" t="str">
            <v>1Q15</v>
          </cell>
          <cell r="BB419" t="str">
            <v>2Q15</v>
          </cell>
          <cell r="BC419" t="str">
            <v>3Q15</v>
          </cell>
          <cell r="BD419" t="str">
            <v>4Q15</v>
          </cell>
          <cell r="BE419">
            <v>2015</v>
          </cell>
          <cell r="BF419" t="str">
            <v>1Q16</v>
          </cell>
          <cell r="BG419" t="str">
            <v>2Q16</v>
          </cell>
          <cell r="BH419" t="str">
            <v>3Q16</v>
          </cell>
          <cell r="BI419" t="str">
            <v>4Q16</v>
          </cell>
          <cell r="BJ419">
            <v>2016</v>
          </cell>
          <cell r="BK419" t="str">
            <v>1Q17</v>
          </cell>
          <cell r="BL419" t="str">
            <v>2Q17</v>
          </cell>
          <cell r="BM419" t="str">
            <v>3Q17</v>
          </cell>
          <cell r="BN419" t="str">
            <v>4Q17</v>
          </cell>
          <cell r="BO419">
            <v>2017</v>
          </cell>
          <cell r="BP419" t="str">
            <v>1Q18</v>
          </cell>
          <cell r="BQ419" t="str">
            <v>2Q18</v>
          </cell>
          <cell r="BR419" t="str">
            <v>3Q18</v>
          </cell>
          <cell r="BS419" t="str">
            <v>4Q18</v>
          </cell>
          <cell r="BT419">
            <v>2018</v>
          </cell>
          <cell r="BU419" t="str">
            <v>1Q19</v>
          </cell>
          <cell r="BV419" t="str">
            <v>2Q19</v>
          </cell>
          <cell r="BW419" t="str">
            <v>3Q19</v>
          </cell>
          <cell r="BX419" t="str">
            <v>4Q19</v>
          </cell>
          <cell r="BY419">
            <v>2019</v>
          </cell>
          <cell r="BZ419" t="str">
            <v>1Q20</v>
          </cell>
          <cell r="CA419" t="str">
            <v>2Q20</v>
          </cell>
          <cell r="CB419" t="str">
            <v>3Q20</v>
          </cell>
          <cell r="CC419" t="str">
            <v>4Q20</v>
          </cell>
          <cell r="CD419">
            <v>2020</v>
          </cell>
        </row>
        <row r="420">
          <cell r="A420" t="str">
            <v>Third parties</v>
          </cell>
          <cell r="AA420">
            <v>12785</v>
          </cell>
          <cell r="AF420">
            <v>15612</v>
          </cell>
          <cell r="AK420">
            <v>21105</v>
          </cell>
          <cell r="AP420">
            <v>23537</v>
          </cell>
        </row>
        <row r="421">
          <cell r="A421" t="str">
            <v>Sales between businesses</v>
          </cell>
          <cell r="AA421">
            <v>0</v>
          </cell>
          <cell r="AF421">
            <v>0</v>
          </cell>
          <cell r="AK421">
            <v>0</v>
          </cell>
          <cell r="AP421">
            <v>0</v>
          </cell>
        </row>
        <row r="422">
          <cell r="A422" t="str">
            <v>Revenue</v>
          </cell>
          <cell r="AA422">
            <v>12785</v>
          </cell>
          <cell r="AF422">
            <v>15612</v>
          </cell>
          <cell r="AK422">
            <v>21105</v>
          </cell>
          <cell r="AP422">
            <v>23537</v>
          </cell>
          <cell r="AQ422">
            <v>5502.0898588974915</v>
          </cell>
          <cell r="AR422">
            <v>5002.7479108859261</v>
          </cell>
          <cell r="AS422">
            <v>5045.1088436439213</v>
          </cell>
          <cell r="AT422">
            <v>4769.9902074313222</v>
          </cell>
          <cell r="AU422">
            <v>20319.93682085866</v>
          </cell>
          <cell r="AV422">
            <v>3906.564582530204</v>
          </cell>
          <cell r="AW422">
            <v>3949.9647264675496</v>
          </cell>
          <cell r="AX422">
            <v>4007.0659231235577</v>
          </cell>
          <cell r="AY422">
            <v>4022.1888192485908</v>
          </cell>
          <cell r="AZ422">
            <v>15885.784051369901</v>
          </cell>
          <cell r="BA422">
            <v>3653.6769953336361</v>
          </cell>
          <cell r="BB422">
            <v>3635.8163700346272</v>
          </cell>
          <cell r="BC422">
            <v>3648.2573507852462</v>
          </cell>
          <cell r="BD422">
            <v>3640.378038878207</v>
          </cell>
          <cell r="BE422">
            <v>14578.128755031714</v>
          </cell>
          <cell r="BF422">
            <v>3382.9389804319762</v>
          </cell>
          <cell r="BG422">
            <v>3373.0924607284201</v>
          </cell>
          <cell r="BH422">
            <v>3392.6746880127407</v>
          </cell>
          <cell r="BI422">
            <v>3394.1900672381867</v>
          </cell>
          <cell r="BJ422">
            <v>13542.896196411324</v>
          </cell>
          <cell r="BK422">
            <v>3328.5321093669527</v>
          </cell>
          <cell r="BL422">
            <v>3372.320313541079</v>
          </cell>
          <cell r="BM422">
            <v>3425.7937365188668</v>
          </cell>
          <cell r="BN422">
            <v>3442.3183020944375</v>
          </cell>
          <cell r="BO422">
            <v>13568.964461521338</v>
          </cell>
          <cell r="BP422">
            <v>3394.9909060789473</v>
          </cell>
          <cell r="BQ422">
            <v>3445.3294648354399</v>
          </cell>
          <cell r="BR422">
            <v>3503.7509770115753</v>
          </cell>
          <cell r="BS422">
            <v>3524.4344786862894</v>
          </cell>
          <cell r="BT422">
            <v>13868.505826612254</v>
          </cell>
          <cell r="BU422">
            <v>3446.0760264187529</v>
          </cell>
          <cell r="BV422">
            <v>3495.1364291446025</v>
          </cell>
          <cell r="BW422">
            <v>3552.4560405877687</v>
          </cell>
          <cell r="BX422">
            <v>3571.4876879562412</v>
          </cell>
          <cell r="BY422">
            <v>14065.156184107365</v>
          </cell>
          <cell r="BZ422">
            <v>3477.54667820854</v>
          </cell>
          <cell r="CA422">
            <v>3527.6119026491524</v>
          </cell>
          <cell r="CB422">
            <v>3586.1729500900456</v>
          </cell>
          <cell r="CC422">
            <v>3606.0864453472554</v>
          </cell>
          <cell r="CD422">
            <v>14197.417976294993</v>
          </cell>
        </row>
        <row r="424">
          <cell r="A424" t="str">
            <v>Production cost excluding taxes</v>
          </cell>
          <cell r="AA424">
            <v>-1821</v>
          </cell>
          <cell r="AF424">
            <v>-1879</v>
          </cell>
          <cell r="AK424">
            <v>-2030</v>
          </cell>
          <cell r="AP424">
            <v>-2229</v>
          </cell>
          <cell r="AQ424">
            <v>-550.98948513795563</v>
          </cell>
          <cell r="AR424">
            <v>-546.61259066831337</v>
          </cell>
          <cell r="AS424">
            <v>-543.72955511338284</v>
          </cell>
          <cell r="AT424">
            <v>-534.83978779286656</v>
          </cell>
          <cell r="AU424">
            <v>-2176.1714187125185</v>
          </cell>
          <cell r="AV424">
            <v>-487.57725597244365</v>
          </cell>
          <cell r="AW424">
            <v>-492.94432955874652</v>
          </cell>
          <cell r="AX424">
            <v>-500.12113079391463</v>
          </cell>
          <cell r="AY424">
            <v>-501.88096137459092</v>
          </cell>
          <cell r="AZ424">
            <v>-1982.5236776996956</v>
          </cell>
          <cell r="BA424">
            <v>-493.98027790135603</v>
          </cell>
          <cell r="BB424">
            <v>-496.6580945535859</v>
          </cell>
          <cell r="BC424">
            <v>-501.13024159897583</v>
          </cell>
          <cell r="BD424">
            <v>-500.14460738553515</v>
          </cell>
          <cell r="BE424">
            <v>-1991.9132214394529</v>
          </cell>
          <cell r="BF424">
            <v>-498.47550933628008</v>
          </cell>
          <cell r="BG424">
            <v>-502.52787302567685</v>
          </cell>
          <cell r="BH424">
            <v>-508.45008188122279</v>
          </cell>
          <cell r="BI424">
            <v>-508.85000641780528</v>
          </cell>
          <cell r="BJ424">
            <v>-2018.3034706609849</v>
          </cell>
          <cell r="BK424">
            <v>-510.93752834894167</v>
          </cell>
          <cell r="BL424">
            <v>-514.27120384631041</v>
          </cell>
          <cell r="BM424">
            <v>-519.50344868858804</v>
          </cell>
          <cell r="BN424">
            <v>-519.08436162046678</v>
          </cell>
          <cell r="BO424">
            <v>-2063.7965425043071</v>
          </cell>
          <cell r="BP424">
            <v>-522.64132971610513</v>
          </cell>
          <cell r="BQ424">
            <v>-526.65431237997473</v>
          </cell>
          <cell r="BR424">
            <v>-532.62668796595528</v>
          </cell>
          <cell r="BS424">
            <v>-532.81165352578216</v>
          </cell>
          <cell r="BT424">
            <v>-2114.733983587817</v>
          </cell>
          <cell r="BU424">
            <v>-533.62803396839934</v>
          </cell>
          <cell r="BV424">
            <v>-537.3665028934372</v>
          </cell>
          <cell r="BW424">
            <v>-543.10561913177128</v>
          </cell>
          <cell r="BX424">
            <v>-542.93960896468309</v>
          </cell>
          <cell r="BY424">
            <v>-2157.039764958291</v>
          </cell>
          <cell r="BZ424">
            <v>-542.55422537863637</v>
          </cell>
          <cell r="CA424">
            <v>-546.45614242527802</v>
          </cell>
          <cell r="CB424">
            <v>-552.41133915493526</v>
          </cell>
          <cell r="CC424">
            <v>-552.36152333046857</v>
          </cell>
          <cell r="CD424">
            <v>-2193.7832302893185</v>
          </cell>
        </row>
        <row r="425">
          <cell r="A425" t="str">
            <v>Taxes other than income tax</v>
          </cell>
          <cell r="AA425">
            <v>-3731</v>
          </cell>
          <cell r="AF425">
            <v>-5070</v>
          </cell>
          <cell r="AK425">
            <v>-7638</v>
          </cell>
          <cell r="AP425">
            <v>-8821</v>
          </cell>
          <cell r="AQ425">
            <v>-1829.4780919149493</v>
          </cell>
          <cell r="AR425">
            <v>-1638.1834752883187</v>
          </cell>
          <cell r="AS425">
            <v>-1621.372986225678</v>
          </cell>
          <cell r="AT425">
            <v>-1540.3759636062262</v>
          </cell>
          <cell r="AU425">
            <v>-6629.4105170351731</v>
          </cell>
          <cell r="AV425">
            <v>-1230.8275789316465</v>
          </cell>
          <cell r="AW425">
            <v>-1248.789788698936</v>
          </cell>
          <cell r="AX425">
            <v>-1269.1942140374133</v>
          </cell>
          <cell r="AY425">
            <v>-1276.5896272921045</v>
          </cell>
          <cell r="AZ425">
            <v>-5025.4012089600992</v>
          </cell>
          <cell r="BA425">
            <v>-1169.0925301589284</v>
          </cell>
          <cell r="BB425">
            <v>-1161.2557981452851</v>
          </cell>
          <cell r="BC425">
            <v>-1160.3308323857432</v>
          </cell>
          <cell r="BD425">
            <v>-1156.4616805926694</v>
          </cell>
          <cell r="BE425">
            <v>-4647.1408412826258</v>
          </cell>
          <cell r="BF425">
            <v>-1082.3028276203552</v>
          </cell>
          <cell r="BG425">
            <v>-1078.5645417424712</v>
          </cell>
          <cell r="BH425">
            <v>-1081.6086104127985</v>
          </cell>
          <cell r="BI425">
            <v>-1082.3003725110705</v>
          </cell>
          <cell r="BJ425">
            <v>-4324.7763522866944</v>
          </cell>
          <cell r="BK425">
            <v>-1057.1436923512135</v>
          </cell>
          <cell r="BL425">
            <v>-1071.7958291453604</v>
          </cell>
          <cell r="BM425">
            <v>-1087.669128993575</v>
          </cell>
          <cell r="BN425">
            <v>-1091.7939711557713</v>
          </cell>
          <cell r="BO425">
            <v>-4308.4026216459197</v>
          </cell>
          <cell r="BP425">
            <v>-1074.0182732974183</v>
          </cell>
          <cell r="BQ425">
            <v>-1091.6663619468143</v>
          </cell>
          <cell r="BR425">
            <v>-1109.6277324839975</v>
          </cell>
          <cell r="BS425">
            <v>-1115.6269905660592</v>
          </cell>
          <cell r="BT425">
            <v>-4390.9393582942885</v>
          </cell>
          <cell r="BU425">
            <v>-1086.7687117504463</v>
          </cell>
          <cell r="BV425">
            <v>-1103.723549294813</v>
          </cell>
          <cell r="BW425">
            <v>-1120.9767017158067</v>
          </cell>
          <cell r="BX425">
            <v>-1126.1342289531117</v>
          </cell>
          <cell r="BY425">
            <v>-4437.6031917141772</v>
          </cell>
          <cell r="BZ425">
            <v>-1091.9937545572864</v>
          </cell>
          <cell r="CA425">
            <v>-1109.4251527442455</v>
          </cell>
          <cell r="CB425">
            <v>-1127.1674278584674</v>
          </cell>
          <cell r="CC425">
            <v>-1132.7502776549395</v>
          </cell>
          <cell r="CD425">
            <v>-4461.3366128149391</v>
          </cell>
        </row>
        <row r="426">
          <cell r="A426" t="str">
            <v>Exploration expense</v>
          </cell>
          <cell r="AA426">
            <v>-232</v>
          </cell>
          <cell r="AF426">
            <v>-142</v>
          </cell>
          <cell r="AK426">
            <v>-170</v>
          </cell>
          <cell r="AP426">
            <v>-573</v>
          </cell>
          <cell r="AQ426">
            <v>-39</v>
          </cell>
          <cell r="AR426">
            <v>-39</v>
          </cell>
          <cell r="AS426">
            <v>-39</v>
          </cell>
          <cell r="AT426">
            <v>-39</v>
          </cell>
          <cell r="AU426">
            <v>-156</v>
          </cell>
          <cell r="AV426">
            <v>-39</v>
          </cell>
          <cell r="AW426">
            <v>-39</v>
          </cell>
          <cell r="AX426">
            <v>-39</v>
          </cell>
          <cell r="AY426">
            <v>-39</v>
          </cell>
          <cell r="AZ426">
            <v>-156</v>
          </cell>
          <cell r="BA426">
            <v>-39</v>
          </cell>
          <cell r="BB426">
            <v>-39</v>
          </cell>
          <cell r="BC426">
            <v>-39</v>
          </cell>
          <cell r="BD426">
            <v>-39</v>
          </cell>
          <cell r="BE426">
            <v>-156</v>
          </cell>
          <cell r="BF426">
            <v>-39</v>
          </cell>
          <cell r="BG426">
            <v>-39</v>
          </cell>
          <cell r="BH426">
            <v>-39</v>
          </cell>
          <cell r="BI426">
            <v>-39</v>
          </cell>
          <cell r="BJ426">
            <v>-156</v>
          </cell>
          <cell r="BK426">
            <v>-39</v>
          </cell>
          <cell r="BL426">
            <v>-39</v>
          </cell>
          <cell r="BM426">
            <v>-39</v>
          </cell>
          <cell r="BN426">
            <v>-39</v>
          </cell>
          <cell r="BO426">
            <v>-156</v>
          </cell>
          <cell r="BP426">
            <v>-39</v>
          </cell>
          <cell r="BQ426">
            <v>-39</v>
          </cell>
          <cell r="BR426">
            <v>-39</v>
          </cell>
          <cell r="BS426">
            <v>-39</v>
          </cell>
          <cell r="BT426">
            <v>-156</v>
          </cell>
          <cell r="BU426">
            <v>-39</v>
          </cell>
          <cell r="BV426">
            <v>-39</v>
          </cell>
          <cell r="BW426">
            <v>-39</v>
          </cell>
          <cell r="BX426">
            <v>-39</v>
          </cell>
          <cell r="BY426">
            <v>-156</v>
          </cell>
          <cell r="BZ426">
            <v>-39</v>
          </cell>
          <cell r="CA426">
            <v>-39</v>
          </cell>
          <cell r="CB426">
            <v>-39</v>
          </cell>
          <cell r="CC426">
            <v>-39</v>
          </cell>
          <cell r="CD426">
            <v>-156</v>
          </cell>
        </row>
        <row r="427">
          <cell r="A427" t="str">
            <v>DD&amp;A</v>
          </cell>
          <cell r="AA427">
            <v>-2148</v>
          </cell>
          <cell r="AF427">
            <v>-2027</v>
          </cell>
          <cell r="AK427">
            <v>-1979</v>
          </cell>
          <cell r="AP427">
            <v>-2164</v>
          </cell>
          <cell r="AQ427">
            <v>-566.48310134375527</v>
          </cell>
          <cell r="AR427">
            <v>-569.25424800469568</v>
          </cell>
          <cell r="AS427">
            <v>-573.03950249817569</v>
          </cell>
          <cell r="AT427">
            <v>-570.56921580479059</v>
          </cell>
          <cell r="AU427">
            <v>-2279.3460676514169</v>
          </cell>
          <cell r="AV427">
            <v>-506.97099217601584</v>
          </cell>
          <cell r="AW427">
            <v>-510.73480694285149</v>
          </cell>
          <cell r="AX427">
            <v>-515.64149237943809</v>
          </cell>
          <cell r="AY427">
            <v>-514.93570741005931</v>
          </cell>
          <cell r="AZ427">
            <v>-2048.2829989083648</v>
          </cell>
          <cell r="BA427">
            <v>-528.7093349884226</v>
          </cell>
          <cell r="BB427">
            <v>-533.84692139835613</v>
          </cell>
          <cell r="BC427">
            <v>-540.24467583695366</v>
          </cell>
          <cell r="BD427">
            <v>-540.77598058985484</v>
          </cell>
          <cell r="BE427">
            <v>-2143.5769128135876</v>
          </cell>
          <cell r="BF427">
            <v>-559.40394686378863</v>
          </cell>
          <cell r="BG427">
            <v>-563.80646835148821</v>
          </cell>
          <cell r="BH427">
            <v>-569.53792004729121</v>
          </cell>
          <cell r="BI427">
            <v>-569.07369626670436</v>
          </cell>
          <cell r="BJ427">
            <v>-2261.822031529272</v>
          </cell>
          <cell r="BK427">
            <v>-594.54900063303751</v>
          </cell>
          <cell r="BL427">
            <v>-599.92015953969974</v>
          </cell>
          <cell r="BM427">
            <v>-606.72536804240701</v>
          </cell>
          <cell r="BN427">
            <v>-606.93804731940327</v>
          </cell>
          <cell r="BO427">
            <v>-2408.1325755345479</v>
          </cell>
          <cell r="BP427">
            <v>-632.73908546524524</v>
          </cell>
          <cell r="BQ427">
            <v>-638.13774345725631</v>
          </cell>
          <cell r="BR427">
            <v>-645.05414247694421</v>
          </cell>
          <cell r="BS427">
            <v>-644.95803882127768</v>
          </cell>
          <cell r="BT427">
            <v>-2560.8890102207233</v>
          </cell>
          <cell r="BU427">
            <v>-665.578832167271</v>
          </cell>
          <cell r="BV427">
            <v>-671.45320549992061</v>
          </cell>
          <cell r="BW427">
            <v>-678.94016875246621</v>
          </cell>
          <cell r="BX427">
            <v>-679.04852535116652</v>
          </cell>
          <cell r="BY427">
            <v>-2695.0207317708246</v>
          </cell>
          <cell r="BZ427">
            <v>-695.64693953021003</v>
          </cell>
          <cell r="CA427">
            <v>-701.43562418121712</v>
          </cell>
          <cell r="CB427">
            <v>-708.92008592940249</v>
          </cell>
          <cell r="CC427">
            <v>-708.69646389537695</v>
          </cell>
          <cell r="CD427">
            <v>-2814.6991135362064</v>
          </cell>
        </row>
        <row r="428">
          <cell r="A428" t="str">
            <v>Other income/(cost)</v>
          </cell>
          <cell r="AA428">
            <v>592</v>
          </cell>
          <cell r="AF428">
            <v>345</v>
          </cell>
          <cell r="AK428">
            <v>173</v>
          </cell>
          <cell r="AP428">
            <v>77</v>
          </cell>
          <cell r="AQ428">
            <v>60</v>
          </cell>
          <cell r="AR428">
            <v>60</v>
          </cell>
          <cell r="AS428">
            <v>60</v>
          </cell>
          <cell r="AT428">
            <v>60</v>
          </cell>
          <cell r="AU428">
            <v>240</v>
          </cell>
          <cell r="AV428">
            <v>60</v>
          </cell>
          <cell r="AW428">
            <v>60</v>
          </cell>
          <cell r="AX428">
            <v>60</v>
          </cell>
          <cell r="AY428">
            <v>60</v>
          </cell>
          <cell r="AZ428">
            <v>240</v>
          </cell>
          <cell r="BA428">
            <v>60</v>
          </cell>
          <cell r="BB428">
            <v>60</v>
          </cell>
          <cell r="BC428">
            <v>60</v>
          </cell>
          <cell r="BD428">
            <v>60</v>
          </cell>
          <cell r="BE428">
            <v>240</v>
          </cell>
          <cell r="BF428">
            <v>60</v>
          </cell>
          <cell r="BG428">
            <v>60</v>
          </cell>
          <cell r="BH428">
            <v>60</v>
          </cell>
          <cell r="BI428">
            <v>60</v>
          </cell>
          <cell r="BJ428">
            <v>240</v>
          </cell>
          <cell r="BK428">
            <v>60</v>
          </cell>
          <cell r="BL428">
            <v>60</v>
          </cell>
          <cell r="BM428">
            <v>60</v>
          </cell>
          <cell r="BN428">
            <v>60</v>
          </cell>
          <cell r="BO428">
            <v>240</v>
          </cell>
          <cell r="BP428">
            <v>60</v>
          </cell>
          <cell r="BQ428">
            <v>60</v>
          </cell>
          <cell r="BR428">
            <v>60</v>
          </cell>
          <cell r="BS428">
            <v>60</v>
          </cell>
          <cell r="BT428">
            <v>240</v>
          </cell>
          <cell r="BU428">
            <v>60</v>
          </cell>
          <cell r="BV428">
            <v>60</v>
          </cell>
          <cell r="BW428">
            <v>60</v>
          </cell>
          <cell r="BX428">
            <v>60</v>
          </cell>
          <cell r="BY428">
            <v>240</v>
          </cell>
          <cell r="BZ428">
            <v>60</v>
          </cell>
          <cell r="CA428">
            <v>60</v>
          </cell>
          <cell r="CB428">
            <v>60</v>
          </cell>
          <cell r="CC428">
            <v>60</v>
          </cell>
          <cell r="CD428">
            <v>240</v>
          </cell>
        </row>
        <row r="429">
          <cell r="A429" t="str">
            <v>Earnings before tax</v>
          </cell>
          <cell r="AA429">
            <v>5445</v>
          </cell>
          <cell r="AF429">
            <v>6839</v>
          </cell>
          <cell r="AK429">
            <v>9461</v>
          </cell>
          <cell r="AP429">
            <v>9827</v>
          </cell>
          <cell r="AQ429">
            <v>2576.1391805008302</v>
          </cell>
          <cell r="AR429">
            <v>2269.6975969245977</v>
          </cell>
          <cell r="AS429">
            <v>2327.9667998066852</v>
          </cell>
          <cell r="AT429">
            <v>2145.2052402274389</v>
          </cell>
          <cell r="AU429">
            <v>9319.008817459553</v>
          </cell>
          <cell r="AV429">
            <v>1702.1887554500979</v>
          </cell>
          <cell r="AW429">
            <v>1718.4958012670161</v>
          </cell>
          <cell r="AX429">
            <v>1743.1090859127919</v>
          </cell>
          <cell r="AY429">
            <v>1749.7825231718359</v>
          </cell>
          <cell r="AZ429">
            <v>6913.5761658017436</v>
          </cell>
          <cell r="BA429">
            <v>1482.8948522849294</v>
          </cell>
          <cell r="BB429">
            <v>1465.0555559374002</v>
          </cell>
          <cell r="BC429">
            <v>1467.551600963573</v>
          </cell>
          <cell r="BD429">
            <v>1463.9957703101472</v>
          </cell>
          <cell r="BE429">
            <v>5879.4977794960469</v>
          </cell>
          <cell r="BF429">
            <v>1263.7566966115523</v>
          </cell>
          <cell r="BG429">
            <v>1249.1935776087842</v>
          </cell>
          <cell r="BH429">
            <v>1254.078075671428</v>
          </cell>
          <cell r="BI429">
            <v>1254.9659920426066</v>
          </cell>
          <cell r="BJ429">
            <v>5021.9943419343717</v>
          </cell>
          <cell r="BK429">
            <v>1186.9018880337603</v>
          </cell>
          <cell r="BL429">
            <v>1207.3331210097085</v>
          </cell>
          <cell r="BM429">
            <v>1232.895790794297</v>
          </cell>
          <cell r="BN429">
            <v>1245.5019219987962</v>
          </cell>
          <cell r="BO429">
            <v>4872.6327218365623</v>
          </cell>
          <cell r="BP429">
            <v>1186.5922176001791</v>
          </cell>
          <cell r="BQ429">
            <v>1209.871047051395</v>
          </cell>
          <cell r="BR429">
            <v>1237.4424140846784</v>
          </cell>
          <cell r="BS429">
            <v>1252.0377957731703</v>
          </cell>
          <cell r="BT429">
            <v>4885.9434745094222</v>
          </cell>
          <cell r="BU429">
            <v>1181.1004485326371</v>
          </cell>
          <cell r="BV429">
            <v>1203.5931714564313</v>
          </cell>
          <cell r="BW429">
            <v>1230.4335509877246</v>
          </cell>
          <cell r="BX429">
            <v>1244.3653246872796</v>
          </cell>
          <cell r="BY429">
            <v>4859.4924956640725</v>
          </cell>
          <cell r="BZ429">
            <v>1168.3517587424069</v>
          </cell>
          <cell r="CA429">
            <v>1191.294983298412</v>
          </cell>
          <cell r="CB429">
            <v>1218.67409714724</v>
          </cell>
          <cell r="CC429">
            <v>1233.2781804664705</v>
          </cell>
          <cell r="CD429">
            <v>4811.5990196545299</v>
          </cell>
        </row>
        <row r="431">
          <cell r="A431" t="str">
            <v>Taxation</v>
          </cell>
          <cell r="AA431">
            <v>-2537</v>
          </cell>
          <cell r="AF431">
            <v>-3024</v>
          </cell>
          <cell r="AK431">
            <v>-3907</v>
          </cell>
          <cell r="AP431">
            <v>-3760</v>
          </cell>
          <cell r="AQ431">
            <v>-1141.7831192491531</v>
          </cell>
          <cell r="AR431">
            <v>-1004.5860078297549</v>
          </cell>
          <cell r="AS431">
            <v>-1038.497636513132</v>
          </cell>
          <cell r="AT431">
            <v>-960.12643399181206</v>
          </cell>
          <cell r="AU431">
            <v>-4144.9931975838517</v>
          </cell>
          <cell r="AV431">
            <v>-738.69418481664366</v>
          </cell>
          <cell r="AW431">
            <v>-745.40067266809626</v>
          </cell>
          <cell r="AX431">
            <v>-755.2124134695506</v>
          </cell>
          <cell r="AY431">
            <v>-757.18214884321276</v>
          </cell>
          <cell r="AZ431">
            <v>-2996.4894197975036</v>
          </cell>
          <cell r="BA431">
            <v>-637.55851901968686</v>
          </cell>
          <cell r="BB431">
            <v>-630.57087242065347</v>
          </cell>
          <cell r="BC431">
            <v>-632.5028288906301</v>
          </cell>
          <cell r="BD431">
            <v>-631.40478235539751</v>
          </cell>
          <cell r="BE431">
            <v>-2532.0370026863675</v>
          </cell>
          <cell r="BF431">
            <v>-541.53920587394612</v>
          </cell>
          <cell r="BG431">
            <v>-535.23755207665329</v>
          </cell>
          <cell r="BH431">
            <v>-537.57359881188404</v>
          </cell>
          <cell r="BI431">
            <v>-537.80370333789131</v>
          </cell>
          <cell r="BJ431">
            <v>-2152.1540601003749</v>
          </cell>
          <cell r="BK431">
            <v>-507.79135052692681</v>
          </cell>
          <cell r="BL431">
            <v>-517.08505041901105</v>
          </cell>
          <cell r="BM431">
            <v>-528.24946677291109</v>
          </cell>
          <cell r="BN431">
            <v>-533.84177099294084</v>
          </cell>
          <cell r="BO431">
            <v>-2086.9676387117897</v>
          </cell>
          <cell r="BP431">
            <v>-507.81066457443944</v>
          </cell>
          <cell r="BQ431">
            <v>-518.15152997574194</v>
          </cell>
          <cell r="BR431">
            <v>-530.02524438045384</v>
          </cell>
          <cell r="BS431">
            <v>-536.31183420334548</v>
          </cell>
          <cell r="BT431">
            <v>-2092.2992731339805</v>
          </cell>
          <cell r="BU431">
            <v>-504.44054281636556</v>
          </cell>
          <cell r="BV431">
            <v>-514.51118386502651</v>
          </cell>
          <cell r="BW431">
            <v>-526.13841657326475</v>
          </cell>
          <cell r="BX431">
            <v>-532.22199195228313</v>
          </cell>
          <cell r="BY431">
            <v>-2077.3121352069402</v>
          </cell>
          <cell r="BZ431">
            <v>-497.70720180874389</v>
          </cell>
          <cell r="CA431">
            <v>-507.9009403319979</v>
          </cell>
          <cell r="CB431">
            <v>-519.67883949683448</v>
          </cell>
          <cell r="CC431">
            <v>-525.98203591389995</v>
          </cell>
          <cell r="CD431">
            <v>-2051.2690175514763</v>
          </cell>
        </row>
        <row r="432">
          <cell r="A432" t="str">
            <v>Earnings after tax</v>
          </cell>
          <cell r="AA432">
            <v>2908</v>
          </cell>
          <cell r="AF432">
            <v>3815</v>
          </cell>
          <cell r="AK432">
            <v>5554</v>
          </cell>
          <cell r="AP432">
            <v>6067</v>
          </cell>
          <cell r="AQ432">
            <v>1434.3560612516771</v>
          </cell>
          <cell r="AR432">
            <v>1265.1115890948429</v>
          </cell>
          <cell r="AS432">
            <v>1289.469163293553</v>
          </cell>
          <cell r="AT432">
            <v>1185.0788062356266</v>
          </cell>
          <cell r="AU432">
            <v>5174.0156198756995</v>
          </cell>
          <cell r="AV432">
            <v>963.49457063345471</v>
          </cell>
          <cell r="AW432">
            <v>973.0951285989197</v>
          </cell>
          <cell r="AX432">
            <v>987.8966724432413</v>
          </cell>
          <cell r="AY432">
            <v>992.60037432862305</v>
          </cell>
          <cell r="AZ432">
            <v>3917.0867460042386</v>
          </cell>
          <cell r="BA432">
            <v>845.3363332652425</v>
          </cell>
          <cell r="BB432">
            <v>834.4846835167466</v>
          </cell>
          <cell r="BC432">
            <v>835.04877207294294</v>
          </cell>
          <cell r="BD432">
            <v>832.59098795474938</v>
          </cell>
          <cell r="BE432">
            <v>3347.4607768096794</v>
          </cell>
          <cell r="BF432">
            <v>722.21749073760645</v>
          </cell>
          <cell r="BG432">
            <v>713.95602553213098</v>
          </cell>
          <cell r="BH432">
            <v>716.50447685954407</v>
          </cell>
          <cell r="BI432">
            <v>717.16228870471537</v>
          </cell>
          <cell r="BJ432">
            <v>2869.8402818339982</v>
          </cell>
          <cell r="BK432">
            <v>679.11053750683334</v>
          </cell>
          <cell r="BL432">
            <v>690.24807059069769</v>
          </cell>
          <cell r="BM432">
            <v>704.64632402138591</v>
          </cell>
          <cell r="BN432">
            <v>711.66015100585525</v>
          </cell>
          <cell r="BO432">
            <v>2785.6650831247725</v>
          </cell>
          <cell r="BP432">
            <v>678.78155302573953</v>
          </cell>
          <cell r="BQ432">
            <v>691.7195170756529</v>
          </cell>
          <cell r="BR432">
            <v>707.41716970422442</v>
          </cell>
          <cell r="BS432">
            <v>715.72596156982468</v>
          </cell>
          <cell r="BT432">
            <v>2793.6442013754422</v>
          </cell>
          <cell r="BU432">
            <v>676.6599057162714</v>
          </cell>
          <cell r="BV432">
            <v>689.08198759140487</v>
          </cell>
          <cell r="BW432">
            <v>704.29513441445988</v>
          </cell>
          <cell r="BX432">
            <v>712.14333273499642</v>
          </cell>
          <cell r="BY432">
            <v>2782.1803604571323</v>
          </cell>
          <cell r="BZ432">
            <v>670.64455693366313</v>
          </cell>
          <cell r="CA432">
            <v>683.39404296641396</v>
          </cell>
          <cell r="CB432">
            <v>698.99525765040528</v>
          </cell>
          <cell r="CC432">
            <v>707.29614455257069</v>
          </cell>
          <cell r="CD432">
            <v>2760.3300021030536</v>
          </cell>
        </row>
        <row r="434">
          <cell r="A434" t="str">
            <v>Production</v>
          </cell>
        </row>
        <row r="435">
          <cell r="B435" t="str">
            <v>Oil and NGL (kbbl/d)</v>
          </cell>
          <cell r="C435">
            <v>369.29999999999995</v>
          </cell>
          <cell r="D435">
            <v>384</v>
          </cell>
          <cell r="E435">
            <v>395</v>
          </cell>
          <cell r="F435">
            <v>377.7</v>
          </cell>
          <cell r="G435">
            <v>357</v>
          </cell>
          <cell r="L435">
            <v>407</v>
          </cell>
          <cell r="Q435">
            <v>422</v>
          </cell>
          <cell r="V435">
            <v>434</v>
          </cell>
          <cell r="AA435">
            <v>437</v>
          </cell>
          <cell r="AF435">
            <v>445</v>
          </cell>
          <cell r="AK435">
            <v>459</v>
          </cell>
          <cell r="AP435">
            <v>444</v>
          </cell>
          <cell r="AQ435">
            <v>425.33</v>
          </cell>
          <cell r="AR435">
            <v>424.33</v>
          </cell>
          <cell r="AS435">
            <v>424.33</v>
          </cell>
          <cell r="AT435">
            <v>424.33</v>
          </cell>
          <cell r="AU435">
            <v>424.58</v>
          </cell>
          <cell r="AV435">
            <v>282.57</v>
          </cell>
          <cell r="AW435">
            <v>281.57</v>
          </cell>
          <cell r="AX435">
            <v>281.57</v>
          </cell>
          <cell r="AY435">
            <v>281.57</v>
          </cell>
          <cell r="AZ435">
            <v>281.82</v>
          </cell>
          <cell r="BA435">
            <v>260.99</v>
          </cell>
          <cell r="BB435">
            <v>259.99</v>
          </cell>
          <cell r="BC435">
            <v>259.99</v>
          </cell>
          <cell r="BD435">
            <v>259.99</v>
          </cell>
          <cell r="BE435">
            <v>260.24</v>
          </cell>
          <cell r="BF435">
            <v>250</v>
          </cell>
          <cell r="BG435">
            <v>249</v>
          </cell>
          <cell r="BH435">
            <v>249</v>
          </cell>
          <cell r="BI435">
            <v>249</v>
          </cell>
          <cell r="BJ435">
            <v>249.25</v>
          </cell>
          <cell r="BK435">
            <v>248.39</v>
          </cell>
          <cell r="BL435">
            <v>247.39</v>
          </cell>
          <cell r="BM435">
            <v>247.39</v>
          </cell>
          <cell r="BN435">
            <v>247.39</v>
          </cell>
          <cell r="BO435">
            <v>247.64</v>
          </cell>
          <cell r="BP435">
            <v>248.41</v>
          </cell>
          <cell r="BQ435">
            <v>247.41</v>
          </cell>
          <cell r="BR435">
            <v>247.41</v>
          </cell>
          <cell r="BS435">
            <v>247.41</v>
          </cell>
          <cell r="BT435">
            <v>247.66</v>
          </cell>
          <cell r="BU435">
            <v>243.63</v>
          </cell>
          <cell r="BV435">
            <v>242.63</v>
          </cell>
          <cell r="BW435">
            <v>242.63</v>
          </cell>
          <cell r="BX435">
            <v>242.63</v>
          </cell>
          <cell r="BY435">
            <v>242.88</v>
          </cell>
          <cell r="BZ435">
            <v>236.34</v>
          </cell>
          <cell r="CA435">
            <v>235.34</v>
          </cell>
          <cell r="CB435">
            <v>235.34</v>
          </cell>
          <cell r="CC435">
            <v>235.34</v>
          </cell>
          <cell r="CD435">
            <v>235.59</v>
          </cell>
        </row>
        <row r="436">
          <cell r="B436" t="str">
            <v>Natural gas (mmcf/d)</v>
          </cell>
          <cell r="C436">
            <v>2177.41</v>
          </cell>
          <cell r="D436">
            <v>2164.48</v>
          </cell>
          <cell r="E436">
            <v>2209.79</v>
          </cell>
          <cell r="F436">
            <v>2367.54</v>
          </cell>
          <cell r="G436">
            <v>2268</v>
          </cell>
          <cell r="L436">
            <v>2267</v>
          </cell>
          <cell r="Q436">
            <v>2252</v>
          </cell>
          <cell r="V436">
            <v>2460</v>
          </cell>
          <cell r="AA436">
            <v>2526</v>
          </cell>
          <cell r="AF436">
            <v>3061</v>
          </cell>
          <cell r="AK436">
            <v>3093</v>
          </cell>
          <cell r="AP436">
            <v>3260</v>
          </cell>
          <cell r="AQ436">
            <v>3144.8319627999999</v>
          </cell>
          <cell r="AR436">
            <v>3035.6639255999999</v>
          </cell>
          <cell r="AS436">
            <v>2926.4958884000002</v>
          </cell>
          <cell r="AT436">
            <v>2817.3278511999997</v>
          </cell>
          <cell r="AU436">
            <v>2981.0799069999998</v>
          </cell>
          <cell r="AV436">
            <v>2820.6200751199999</v>
          </cell>
          <cell r="AW436">
            <v>2823.9122990400001</v>
          </cell>
          <cell r="AX436">
            <v>2827.2045229599998</v>
          </cell>
          <cell r="AY436">
            <v>2830.49674688</v>
          </cell>
          <cell r="AZ436">
            <v>2825.558411</v>
          </cell>
          <cell r="BA436">
            <v>2829.8412153280001</v>
          </cell>
          <cell r="BB436">
            <v>2829.1856837760001</v>
          </cell>
          <cell r="BC436">
            <v>2828.5301522240002</v>
          </cell>
          <cell r="BD436">
            <v>2827.8746206719998</v>
          </cell>
          <cell r="BE436">
            <v>2828.8579180000002</v>
          </cell>
          <cell r="BF436">
            <v>2824.4707640031997</v>
          </cell>
          <cell r="BG436">
            <v>2821.0669073344002</v>
          </cell>
          <cell r="BH436">
            <v>2817.6630506656002</v>
          </cell>
          <cell r="BI436">
            <v>2814.2591939967997</v>
          </cell>
          <cell r="BJ436">
            <v>2819.3649789999999</v>
          </cell>
          <cell r="BK436">
            <v>2813.8002307980796</v>
          </cell>
          <cell r="BL436">
            <v>2813.3412675993595</v>
          </cell>
          <cell r="BM436">
            <v>2812.8823044006394</v>
          </cell>
          <cell r="BN436">
            <v>2812.4233412019198</v>
          </cell>
          <cell r="BO436">
            <v>2813.1117859999999</v>
          </cell>
          <cell r="BP436">
            <v>2811.6369967211513</v>
          </cell>
          <cell r="BQ436">
            <v>2810.8506522403836</v>
          </cell>
          <cell r="BR436">
            <v>2810.064307759616</v>
          </cell>
          <cell r="BS436">
            <v>2809.2779632788474</v>
          </cell>
          <cell r="BT436">
            <v>2810.45748</v>
          </cell>
          <cell r="BU436">
            <v>2808.976551167309</v>
          </cell>
          <cell r="BV436">
            <v>2808.6751390557697</v>
          </cell>
          <cell r="BW436">
            <v>2808.3737269442304</v>
          </cell>
          <cell r="BX436">
            <v>2808.0723148326911</v>
          </cell>
          <cell r="BY436">
            <v>2808.524433</v>
          </cell>
          <cell r="BZ436">
            <v>2806.4275928996149</v>
          </cell>
          <cell r="CA436">
            <v>2804.7828709665382</v>
          </cell>
          <cell r="CB436">
            <v>2803.138149033462</v>
          </cell>
          <cell r="CC436">
            <v>2801.4934271003854</v>
          </cell>
          <cell r="CD436">
            <v>2803.9605099999999</v>
          </cell>
        </row>
        <row r="437">
          <cell r="B437" t="str">
            <v>Total</v>
          </cell>
          <cell r="C437">
            <v>744.7155172413793</v>
          </cell>
          <cell r="D437">
            <v>757.18620689655177</v>
          </cell>
          <cell r="E437">
            <v>775.99827586206902</v>
          </cell>
          <cell r="F437">
            <v>785.89655172413791</v>
          </cell>
          <cell r="G437">
            <v>748.0344827586207</v>
          </cell>
          <cell r="L437">
            <v>797.86206896551721</v>
          </cell>
          <cell r="Q437">
            <v>810.27586206896558</v>
          </cell>
          <cell r="V437">
            <v>858.13793103448279</v>
          </cell>
          <cell r="AA437">
            <v>872.51724137931035</v>
          </cell>
          <cell r="AF437">
            <v>972.75862068965523</v>
          </cell>
          <cell r="AK437">
            <v>992.27586206896558</v>
          </cell>
          <cell r="AP437">
            <v>1006.0689655172414</v>
          </cell>
          <cell r="AQ437">
            <v>967.54240737931036</v>
          </cell>
          <cell r="AR437">
            <v>947.72033199999987</v>
          </cell>
          <cell r="AS437">
            <v>928.89825662068972</v>
          </cell>
          <cell r="AT437">
            <v>910.07618124137935</v>
          </cell>
          <cell r="AU437">
            <v>938.55929431034474</v>
          </cell>
          <cell r="AV437">
            <v>768.88380605517239</v>
          </cell>
          <cell r="AW437">
            <v>768.45143086896553</v>
          </cell>
          <cell r="AX437">
            <v>769.01905568275856</v>
          </cell>
          <cell r="AY437">
            <v>769.58668049655171</v>
          </cell>
          <cell r="AZ437">
            <v>768.9852432758621</v>
          </cell>
          <cell r="BA437">
            <v>748.89365781517245</v>
          </cell>
          <cell r="BB437">
            <v>747.78063513379311</v>
          </cell>
          <cell r="BC437">
            <v>747.66761245241378</v>
          </cell>
          <cell r="BD437">
            <v>747.55458977103444</v>
          </cell>
          <cell r="BE437">
            <v>747.97412379310344</v>
          </cell>
          <cell r="BF437">
            <v>736.9777179315862</v>
          </cell>
          <cell r="BG437">
            <v>735.39084609213796</v>
          </cell>
          <cell r="BH437">
            <v>734.80397425268973</v>
          </cell>
          <cell r="BI437">
            <v>734.21710241324126</v>
          </cell>
          <cell r="BJ437">
            <v>735.34741017241379</v>
          </cell>
          <cell r="BK437">
            <v>733.5279708272551</v>
          </cell>
          <cell r="BL437">
            <v>732.44883924126884</v>
          </cell>
          <cell r="BM437">
            <v>732.36970765528258</v>
          </cell>
          <cell r="BN437">
            <v>732.29057606929655</v>
          </cell>
          <cell r="BO437">
            <v>732.65927344827583</v>
          </cell>
          <cell r="BP437">
            <v>733.17499943468124</v>
          </cell>
          <cell r="BQ437">
            <v>732.03942280006618</v>
          </cell>
          <cell r="BR437">
            <v>731.903846165451</v>
          </cell>
          <cell r="BS437">
            <v>731.76826953083582</v>
          </cell>
          <cell r="BT437">
            <v>732.22163448275865</v>
          </cell>
          <cell r="BU437">
            <v>727.93630192539808</v>
          </cell>
          <cell r="BV437">
            <v>726.88433431996032</v>
          </cell>
          <cell r="BW437">
            <v>726.83236671452255</v>
          </cell>
          <cell r="BX437">
            <v>726.78039910908467</v>
          </cell>
          <cell r="BY437">
            <v>727.10835051724143</v>
          </cell>
          <cell r="BZ437">
            <v>720.20682636200263</v>
          </cell>
          <cell r="CA437">
            <v>718.92325361492044</v>
          </cell>
          <cell r="CB437">
            <v>718.63968086783825</v>
          </cell>
          <cell r="CC437">
            <v>718.35610812075606</v>
          </cell>
          <cell r="CD437">
            <v>719.03146724137935</v>
          </cell>
        </row>
        <row r="439">
          <cell r="A439" t="str">
            <v>Realise price</v>
          </cell>
        </row>
        <row r="440">
          <cell r="B440" t="str">
            <v>Oil and NGL ($/bbl)</v>
          </cell>
          <cell r="AA440">
            <v>57.16</v>
          </cell>
          <cell r="AF440">
            <v>75.489999999999995</v>
          </cell>
          <cell r="AK440">
            <v>105.05</v>
          </cell>
          <cell r="AP440">
            <v>106.03</v>
          </cell>
          <cell r="AQ440">
            <v>103.63</v>
          </cell>
          <cell r="AR440">
            <v>96.08</v>
          </cell>
          <cell r="AS440">
            <v>100.38</v>
          </cell>
          <cell r="AT440">
            <v>97.87</v>
          </cell>
          <cell r="AU440">
            <v>99.57</v>
          </cell>
          <cell r="AV440">
            <v>102.10487757118889</v>
          </cell>
          <cell r="AW440">
            <v>102.10487757118889</v>
          </cell>
          <cell r="AX440">
            <v>102.10487757118889</v>
          </cell>
          <cell r="AY440">
            <v>102.10487757118889</v>
          </cell>
          <cell r="AZ440">
            <v>102.10487757118889</v>
          </cell>
          <cell r="BA440">
            <v>96.598187231534112</v>
          </cell>
          <cell r="BB440">
            <v>96.598187231534112</v>
          </cell>
          <cell r="BC440">
            <v>96.598187231534112</v>
          </cell>
          <cell r="BD440">
            <v>96.598187231534112</v>
          </cell>
          <cell r="BE440">
            <v>96.598187231534112</v>
          </cell>
          <cell r="BF440">
            <v>91.175213467988954</v>
          </cell>
          <cell r="BG440">
            <v>91.175213467988954</v>
          </cell>
          <cell r="BH440">
            <v>91.175213467988954</v>
          </cell>
          <cell r="BI440">
            <v>91.175213467988954</v>
          </cell>
          <cell r="BJ440">
            <v>91.175213467988954</v>
          </cell>
          <cell r="BK440">
            <v>91.734214632228642</v>
          </cell>
          <cell r="BL440">
            <v>92.296677269373632</v>
          </cell>
          <cell r="BM440">
            <v>92.862622813716797</v>
          </cell>
          <cell r="BN440">
            <v>93.432072832277413</v>
          </cell>
          <cell r="BO440">
            <v>92.581396886899114</v>
          </cell>
          <cell r="BP440">
            <v>94.005049025623094</v>
          </cell>
          <cell r="BQ440">
            <v>94.581573228696698</v>
          </cell>
          <cell r="BR440">
            <v>95.161667411648438</v>
          </cell>
          <cell r="BS440">
            <v>95.745353680673077</v>
          </cell>
          <cell r="BT440">
            <v>94.873410836660327</v>
          </cell>
          <cell r="BU440">
            <v>96.332654278852402</v>
          </cell>
          <cell r="BV440">
            <v>96.923591587002846</v>
          </cell>
          <cell r="BW440">
            <v>97.518188124528365</v>
          </cell>
          <cell r="BX440">
            <v>98.116466550278616</v>
          </cell>
          <cell r="BY440">
            <v>97.222725135165561</v>
          </cell>
          <cell r="BZ440">
            <v>98.718449663412429</v>
          </cell>
          <cell r="CA440">
            <v>99.324160404266635</v>
          </cell>
          <cell r="CB440">
            <v>99.933621855230285</v>
          </cell>
          <cell r="CC440">
            <v>100.54685724162429</v>
          </cell>
          <cell r="CD440">
            <v>99.630772291133411</v>
          </cell>
        </row>
        <row r="441">
          <cell r="B441" t="str">
            <v>Natural gas ($/mmcf)</v>
          </cell>
          <cell r="AA441">
            <v>5.51</v>
          </cell>
          <cell r="AF441">
            <v>5.64</v>
          </cell>
          <cell r="AK441">
            <v>6.65</v>
          </cell>
          <cell r="AP441">
            <v>6.71</v>
          </cell>
          <cell r="AQ441">
            <v>7.55</v>
          </cell>
          <cell r="AR441">
            <v>6.98</v>
          </cell>
          <cell r="AS441">
            <v>6.49</v>
          </cell>
          <cell r="AT441">
            <v>7.13</v>
          </cell>
          <cell r="AU441">
            <v>7.08</v>
          </cell>
          <cell r="AV441">
            <v>7.0299962941423164</v>
          </cell>
          <cell r="AW441">
            <v>7.0086267221082661</v>
          </cell>
          <cell r="AX441">
            <v>7.0033821272800854</v>
          </cell>
          <cell r="AY441">
            <v>7.0033821272800854</v>
          </cell>
          <cell r="AZ441">
            <v>7.0113468177026874</v>
          </cell>
          <cell r="BA441">
            <v>6.9501312972301861</v>
          </cell>
          <cell r="BB441">
            <v>6.8313246661374922</v>
          </cell>
          <cell r="BC441">
            <v>6.7607610266310498</v>
          </cell>
          <cell r="BD441">
            <v>6.7607610266310498</v>
          </cell>
          <cell r="BE441">
            <v>6.8257445041574449</v>
          </cell>
          <cell r="BF441">
            <v>6.7115821794154904</v>
          </cell>
          <cell r="BG441">
            <v>6.5945817302144079</v>
          </cell>
          <cell r="BH441">
            <v>6.5250908487410015</v>
          </cell>
          <cell r="BI441">
            <v>6.5250908487410015</v>
          </cell>
          <cell r="BJ441">
            <v>6.5890864017779753</v>
          </cell>
          <cell r="BK441">
            <v>6.5342571555717432</v>
          </cell>
          <cell r="BL441">
            <v>6.555540650929947</v>
          </cell>
          <cell r="BM441">
            <v>6.5841190721782059</v>
          </cell>
          <cell r="BN441">
            <v>6.6128744580504311</v>
          </cell>
          <cell r="BO441">
            <v>6.571697834182582</v>
          </cell>
          <cell r="BP441">
            <v>6.6418079043551668</v>
          </cell>
          <cell r="BQ441">
            <v>6.67092051368647</v>
          </cell>
          <cell r="BR441">
            <v>6.7002133954659344</v>
          </cell>
          <cell r="BS441">
            <v>6.7296876659849643</v>
          </cell>
          <cell r="BT441">
            <v>6.6856573698731339</v>
          </cell>
          <cell r="BU441">
            <v>6.7593444484473189</v>
          </cell>
          <cell r="BV441">
            <v>6.7891848730119042</v>
          </cell>
          <cell r="BW441">
            <v>6.8192100768358559</v>
          </cell>
          <cell r="BX441">
            <v>6.8494212041178626</v>
          </cell>
          <cell r="BY441">
            <v>6.8042901506032356</v>
          </cell>
          <cell r="BZ441">
            <v>6.8798194061417739</v>
          </cell>
          <cell r="CA441">
            <v>6.9104058413204754</v>
          </cell>
          <cell r="CB441">
            <v>6.9411816752400259</v>
          </cell>
          <cell r="CC441">
            <v>6.9721480807040814</v>
          </cell>
          <cell r="CD441">
            <v>6.9258887508515894</v>
          </cell>
        </row>
        <row r="443">
          <cell r="A443" t="str">
            <v>Production x price</v>
          </cell>
          <cell r="AA443">
            <v>14197.4707</v>
          </cell>
          <cell r="AF443">
            <v>18562.837849999996</v>
          </cell>
          <cell r="AK443">
            <v>25107.035999999996</v>
          </cell>
          <cell r="AP443">
            <v>25167.450800000002</v>
          </cell>
          <cell r="AQ443">
            <v>6103.8386297225998</v>
          </cell>
          <cell r="AR443">
            <v>5638.2290146626074</v>
          </cell>
          <cell r="AS443">
            <v>5666.0227418458726</v>
          </cell>
          <cell r="AT443">
            <v>5668.7386704731516</v>
          </cell>
          <cell r="AU443">
            <v>23076.829056704231</v>
          </cell>
          <cell r="AV443">
            <v>4381.2651537511083</v>
          </cell>
          <cell r="AW443">
            <v>4417.2689995672044</v>
          </cell>
          <cell r="AX443">
            <v>4466.5690883664493</v>
          </cell>
          <cell r="AY443">
            <v>4468.6903049652001</v>
          </cell>
          <cell r="AZ443">
            <v>17733.793546649962</v>
          </cell>
          <cell r="BA443">
            <v>4039.103599416102</v>
          </cell>
          <cell r="BB443">
            <v>4044.1900266939638</v>
          </cell>
          <cell r="BC443">
            <v>4069.8572785002693</v>
          </cell>
          <cell r="BD443">
            <v>4069.4495444207682</v>
          </cell>
          <cell r="BE443">
            <v>16222.600449031102</v>
          </cell>
          <cell r="BF443">
            <v>3757.5423911665052</v>
          </cell>
          <cell r="BG443">
            <v>3758.8809840717731</v>
          </cell>
          <cell r="BH443">
            <v>3780.1084697041974</v>
          </cell>
          <cell r="BI443">
            <v>3778.0651060961954</v>
          </cell>
          <cell r="BJ443">
            <v>15074.596951038671</v>
          </cell>
          <cell r="BK443">
            <v>3705.4760278446938</v>
          </cell>
          <cell r="BL443">
            <v>3756.1385711264625</v>
          </cell>
          <cell r="BM443">
            <v>3817.4145383195651</v>
          </cell>
          <cell r="BN443">
            <v>3837.5373938137245</v>
          </cell>
          <cell r="BO443">
            <v>15116.566531104447</v>
          </cell>
          <cell r="BP443">
            <v>3782.3532351709496</v>
          </cell>
          <cell r="BQ443">
            <v>3835.7763361600605</v>
          </cell>
          <cell r="BR443">
            <v>3898.2220359184621</v>
          </cell>
          <cell r="BS443">
            <v>3918.6407516821437</v>
          </cell>
          <cell r="BT443">
            <v>15434.992358931615</v>
          </cell>
          <cell r="BU443">
            <v>3821.0728157017425</v>
          </cell>
          <cell r="BV443">
            <v>3875.251907257325</v>
          </cell>
          <cell r="BW443">
            <v>3938.67901307172</v>
          </cell>
          <cell r="BX443">
            <v>3959.6494868205032</v>
          </cell>
          <cell r="BY443">
            <v>15594.65322285129</v>
          </cell>
          <cell r="BZ443">
            <v>3837.4950068112075</v>
          </cell>
          <cell r="CA443">
            <v>3890.8993618679629</v>
          </cell>
          <cell r="CB443">
            <v>3953.7432142995426</v>
          </cell>
          <cell r="CC443">
            <v>3973.9514451778364</v>
          </cell>
          <cell r="CD443">
            <v>15656.089028156548</v>
          </cell>
        </row>
        <row r="444">
          <cell r="A444" t="str">
            <v>Difference with actual</v>
          </cell>
          <cell r="AA444">
            <v>-9.9487488289023207E-2</v>
          </cell>
          <cell r="AF444">
            <v>-0.15896480235644561</v>
          </cell>
          <cell r="AK444">
            <v>-0.15939898281899934</v>
          </cell>
          <cell r="AP444">
            <v>-6.4784105985021045E-2</v>
          </cell>
          <cell r="AQ444">
            <v>-9.8585301370009537E-2</v>
          </cell>
          <cell r="AR444">
            <v>-0.11270934581125891</v>
          </cell>
          <cell r="AS444">
            <v>-0.10958549347432911</v>
          </cell>
          <cell r="AT444">
            <v>-0.15854469843938201</v>
          </cell>
          <cell r="AU444">
            <v>-0.11946581694873915</v>
          </cell>
          <cell r="AV444">
            <v>-0.10834782980767088</v>
          </cell>
          <cell r="AW444">
            <v>-0.10579031368599934</v>
          </cell>
          <cell r="AX444">
            <v>-0.10287609038438605</v>
          </cell>
          <cell r="AY444">
            <v>-9.9917751118375309E-2</v>
          </cell>
          <cell r="AZ444">
            <v>-0.10420835736125744</v>
          </cell>
          <cell r="BA444">
            <v>-9.5423797532250387E-2</v>
          </cell>
          <cell r="BB444">
            <v>-0.10097786057624325</v>
          </cell>
          <cell r="BC444">
            <v>-0.10359083841642269</v>
          </cell>
          <cell r="BD444">
            <v>-0.10543723441191699</v>
          </cell>
          <cell r="BE444">
            <v>-0.10136917932276424</v>
          </cell>
          <cell r="BF444">
            <v>-9.969372843674984E-2</v>
          </cell>
          <cell r="BG444">
            <v>-0.1026338756076951</v>
          </cell>
          <cell r="BH444">
            <v>-0.10249276834158527</v>
          </cell>
          <cell r="BI444">
            <v>-0.10160625295699566</v>
          </cell>
          <cell r="BJ444">
            <v>-0.10160807347633993</v>
          </cell>
          <cell r="BK444">
            <v>-0.10172617921292892</v>
          </cell>
          <cell r="BL444">
            <v>-0.10218426458911944</v>
          </cell>
          <cell r="BM444">
            <v>-0.10258796834076356</v>
          </cell>
          <cell r="BN444">
            <v>-0.10298768485133125</v>
          </cell>
          <cell r="BO444">
            <v>-0.10237788233185763</v>
          </cell>
          <cell r="BP444">
            <v>-0.10241304949787289</v>
          </cell>
          <cell r="BQ444">
            <v>-0.1017908337469674</v>
          </cell>
          <cell r="BR444">
            <v>-0.10119255785642933</v>
          </cell>
          <cell r="BS444">
            <v>-0.10059770669884305</v>
          </cell>
          <cell r="BT444">
            <v>-0.10148929755788949</v>
          </cell>
          <cell r="BU444">
            <v>-9.8139137192579495E-2</v>
          </cell>
          <cell r="BV444">
            <v>-9.808794039965929E-2</v>
          </cell>
          <cell r="BW444">
            <v>-9.8059011968772092E-2</v>
          </cell>
          <cell r="BX444">
            <v>-9.8029333191293588E-2</v>
          </cell>
          <cell r="BY444">
            <v>-9.8078297534869741E-2</v>
          </cell>
          <cell r="BZ444">
            <v>-9.3797732104873521E-2</v>
          </cell>
          <cell r="CA444">
            <v>-9.3368505692833281E-2</v>
          </cell>
          <cell r="CB444">
            <v>-9.2967662361101766E-2</v>
          </cell>
          <cell r="CC444">
            <v>-9.2569072598248314E-2</v>
          </cell>
          <cell r="CD444">
            <v>-9.3169568034406347E-2</v>
          </cell>
        </row>
        <row r="446">
          <cell r="A446" t="str">
            <v>Per barrel of oil equivalent</v>
          </cell>
        </row>
        <row r="447">
          <cell r="B447" t="str">
            <v>Production cost excluding taxes</v>
          </cell>
          <cell r="AA447">
            <v>5.7179856847339012</v>
          </cell>
          <cell r="AF447">
            <v>5.2921095696173026</v>
          </cell>
          <cell r="AK447">
            <v>5.6049371432053343</v>
          </cell>
          <cell r="AP447">
            <v>6.0700106298665446</v>
          </cell>
          <cell r="AQ447">
            <v>6.3274801638969924</v>
          </cell>
          <cell r="AR447">
            <v>6.338084731082736</v>
          </cell>
          <cell r="AS447">
            <v>6.3624878373966327</v>
          </cell>
          <cell r="AT447">
            <v>6.3879003473538685</v>
          </cell>
          <cell r="AU447">
            <v>6.3524100310632807</v>
          </cell>
          <cell r="AV447">
            <v>7.0459606818299187</v>
          </cell>
          <cell r="AW447">
            <v>7.049203680141769</v>
          </cell>
          <cell r="AX447">
            <v>7.068874571558708</v>
          </cell>
          <cell r="AY447">
            <v>7.088516445617727</v>
          </cell>
          <cell r="AZ447">
            <v>7.0632977254372324</v>
          </cell>
          <cell r="BA447">
            <v>7.3290375705306339</v>
          </cell>
          <cell r="BB447">
            <v>7.2986394704566093</v>
          </cell>
          <cell r="BC447">
            <v>7.28541366878295</v>
          </cell>
          <cell r="BD447">
            <v>7.2721838678948139</v>
          </cell>
          <cell r="BE447">
            <v>7.2961033323178563</v>
          </cell>
          <cell r="BF447">
            <v>7.5153110272422952</v>
          </cell>
          <cell r="BG447">
            <v>7.5093188177536669</v>
          </cell>
          <cell r="BH447">
            <v>7.5212322176354505</v>
          </cell>
          <cell r="BI447">
            <v>7.5331646626712647</v>
          </cell>
          <cell r="BJ447">
            <v>7.519709015442948</v>
          </cell>
          <cell r="BK447">
            <v>7.7394235449796085</v>
          </cell>
          <cell r="BL447">
            <v>7.7156677813198975</v>
          </cell>
          <cell r="BM447">
            <v>7.7102815110400131</v>
          </cell>
          <cell r="BN447">
            <v>7.7048940766754761</v>
          </cell>
          <cell r="BO447">
            <v>7.7174169599188227</v>
          </cell>
          <cell r="BP447">
            <v>7.9205181439794305</v>
          </cell>
          <cell r="BQ447">
            <v>7.9058720690432276</v>
          </cell>
          <cell r="BR447">
            <v>7.9100834784523704</v>
          </cell>
          <cell r="BS447">
            <v>7.9142964483793392</v>
          </cell>
          <cell r="BT447">
            <v>7.9126202545896733</v>
          </cell>
          <cell r="BU447">
            <v>8.145218698042493</v>
          </cell>
          <cell r="BV447">
            <v>8.1238872907433777</v>
          </cell>
          <cell r="BW447">
            <v>8.1219855050884284</v>
          </cell>
          <cell r="BX447">
            <v>8.1200834474634451</v>
          </cell>
          <cell r="BY447">
            <v>8.1276717314319509</v>
          </cell>
          <cell r="BZ447">
            <v>8.3703459358142229</v>
          </cell>
          <cell r="CA447">
            <v>8.3527866485459672</v>
          </cell>
          <cell r="CB447">
            <v>8.3553291553841849</v>
          </cell>
          <cell r="CC447">
            <v>8.3578736695433982</v>
          </cell>
          <cell r="CD447">
            <v>8.3589735475006677</v>
          </cell>
        </row>
        <row r="448">
          <cell r="B448" t="str">
            <v>Taxes other than income tax</v>
          </cell>
          <cell r="AA448">
            <v>11.715433602274677</v>
          </cell>
          <cell r="AF448">
            <v>14.279401552932264</v>
          </cell>
          <cell r="AK448">
            <v>21.088921132907558</v>
          </cell>
          <cell r="AP448">
            <v>24.021338611957287</v>
          </cell>
          <cell r="AQ448">
            <v>21.009450541470109</v>
          </cell>
          <cell r="AR448">
            <v>18.99507228463634</v>
          </cell>
          <cell r="AS448">
            <v>18.97260468505003</v>
          </cell>
          <cell r="AT448">
            <v>18.39759938874727</v>
          </cell>
          <cell r="AU448">
            <v>19.351753959421849</v>
          </cell>
          <cell r="AV448">
            <v>17.786643287878107</v>
          </cell>
          <cell r="AW448">
            <v>17.857946722097164</v>
          </cell>
          <cell r="AX448">
            <v>17.93920343204918</v>
          </cell>
          <cell r="AY448">
            <v>18.030424072235437</v>
          </cell>
          <cell r="AZ448">
            <v>17.904404032058252</v>
          </cell>
          <cell r="BA448">
            <v>17.345476044840257</v>
          </cell>
          <cell r="BB448">
            <v>17.065235614971566</v>
          </cell>
          <cell r="BC448">
            <v>16.86884846462371</v>
          </cell>
          <cell r="BD448">
            <v>16.815140767801395</v>
          </cell>
          <cell r="BE448">
            <v>17.021835797309706</v>
          </cell>
          <cell r="BF448">
            <v>16.317436309079618</v>
          </cell>
          <cell r="BG448">
            <v>16.117086124404413</v>
          </cell>
          <cell r="BH448">
            <v>15.999662144629266</v>
          </cell>
          <cell r="BI448">
            <v>16.022691987355458</v>
          </cell>
          <cell r="BJ448">
            <v>16.113067335416229</v>
          </cell>
          <cell r="BK448">
            <v>16.013078564512941</v>
          </cell>
          <cell r="BL448">
            <v>16.080271431182975</v>
          </cell>
          <cell r="BM448">
            <v>16.142790190475161</v>
          </cell>
          <cell r="BN448">
            <v>16.205760610948097</v>
          </cell>
          <cell r="BO448">
            <v>16.110958022103357</v>
          </cell>
          <cell r="BP448">
            <v>16.276518401708646</v>
          </cell>
          <cell r="BQ448">
            <v>16.387551372412378</v>
          </cell>
          <cell r="BR448">
            <v>16.479174236412398</v>
          </cell>
          <cell r="BS448">
            <v>16.571339366784041</v>
          </cell>
          <cell r="BT448">
            <v>16.4294119131564</v>
          </cell>
          <cell r="BU448">
            <v>16.588275480147452</v>
          </cell>
          <cell r="BV448">
            <v>16.686052566228561</v>
          </cell>
          <cell r="BW448">
            <v>16.763878336284751</v>
          </cell>
          <cell r="BX448">
            <v>16.842211843009942</v>
          </cell>
          <cell r="BY448">
            <v>16.72077752229335</v>
          </cell>
          <cell r="BZ448">
            <v>16.846916046067545</v>
          </cell>
          <cell r="CA448">
            <v>16.957978662798798</v>
          </cell>
          <cell r="CB448">
            <v>17.048627002103991</v>
          </cell>
          <cell r="CC448">
            <v>17.139832012006412</v>
          </cell>
          <cell r="CD448">
            <v>16.999033549954785</v>
          </cell>
        </row>
        <row r="449">
          <cell r="B449" t="str">
            <v>Exploration expense</v>
          </cell>
          <cell r="AA449">
            <v>0.72848582035050258</v>
          </cell>
          <cell r="AF449">
            <v>0.39993590148252095</v>
          </cell>
          <cell r="AK449">
            <v>0.46937897258369793</v>
          </cell>
          <cell r="AP449">
            <v>1.560393042132584</v>
          </cell>
          <cell r="AQ449">
            <v>0.44787011920961883</v>
          </cell>
          <cell r="AR449">
            <v>0.45221297264669069</v>
          </cell>
          <cell r="AS449">
            <v>0.45636111431670318</v>
          </cell>
          <cell r="AT449">
            <v>0.46579951460769692</v>
          </cell>
          <cell r="AU449">
            <v>0.45537587541341745</v>
          </cell>
          <cell r="AV449">
            <v>0.56358754069303274</v>
          </cell>
          <cell r="AW449">
            <v>0.55770789324551018</v>
          </cell>
          <cell r="AX449">
            <v>0.5512386726254761</v>
          </cell>
          <cell r="AY449">
            <v>0.55083209496913887</v>
          </cell>
          <cell r="AZ449">
            <v>0.55579383871304033</v>
          </cell>
          <cell r="BA449">
            <v>0.57863133011106405</v>
          </cell>
          <cell r="BB449">
            <v>0.57312453470361457</v>
          </cell>
          <cell r="BC449">
            <v>0.56698061600901739</v>
          </cell>
          <cell r="BD449">
            <v>0.56706633773474591</v>
          </cell>
          <cell r="BE449">
            <v>0.57140647875165618</v>
          </cell>
          <cell r="BF449">
            <v>0.58798702157445648</v>
          </cell>
          <cell r="BG449">
            <v>0.58278047768591934</v>
          </cell>
          <cell r="BH449">
            <v>0.57690630199624171</v>
          </cell>
          <cell r="BI449">
            <v>0.57736743271837976</v>
          </cell>
          <cell r="BJ449">
            <v>0.58121814853983444</v>
          </cell>
          <cell r="BK449">
            <v>0.59075229652746641</v>
          </cell>
          <cell r="BL449">
            <v>0.58512131579780824</v>
          </cell>
          <cell r="BM449">
            <v>0.57882383589490505</v>
          </cell>
          <cell r="BN449">
            <v>0.5788863838091316</v>
          </cell>
          <cell r="BO449">
            <v>0.58335064574071205</v>
          </cell>
          <cell r="BP449">
            <v>0.59103670156164279</v>
          </cell>
          <cell r="BQ449">
            <v>0.58544856359256425</v>
          </cell>
          <cell r="BR449">
            <v>0.57919226097690568</v>
          </cell>
          <cell r="BS449">
            <v>0.57929956945256378</v>
          </cell>
          <cell r="BT449">
            <v>0.58369930653016833</v>
          </cell>
          <cell r="BU449">
            <v>0.59529018155457114</v>
          </cell>
          <cell r="BV449">
            <v>0.58960058476481036</v>
          </cell>
          <cell r="BW449">
            <v>0.58323358024693039</v>
          </cell>
          <cell r="BX449">
            <v>0.58327528370042692</v>
          </cell>
          <cell r="BY449">
            <v>0.58780408720369659</v>
          </cell>
          <cell r="BZ449">
            <v>0.601679014238507</v>
          </cell>
          <cell r="CA449">
            <v>0.59612959577599911</v>
          </cell>
          <cell r="CB449">
            <v>0.58988260009012894</v>
          </cell>
          <cell r="CC449">
            <v>0.59011545762063855</v>
          </cell>
          <cell r="CD449">
            <v>0.59440689280778725</v>
          </cell>
        </row>
        <row r="450">
          <cell r="B450" t="str">
            <v>DD&amp;A</v>
          </cell>
          <cell r="AA450">
            <v>6.7447738884175843</v>
          </cell>
          <cell r="AF450">
            <v>5.7089441711624644</v>
          </cell>
          <cell r="AK450">
            <v>5.4641234514302246</v>
          </cell>
          <cell r="AP450">
            <v>5.893002693149934</v>
          </cell>
          <cell r="AQ450">
            <v>6.5054065161298018</v>
          </cell>
          <cell r="AR450">
            <v>6.6006193764605108</v>
          </cell>
          <cell r="AS450">
            <v>6.7054601514758128</v>
          </cell>
          <cell r="AT450">
            <v>6.8146375326145057</v>
          </cell>
          <cell r="AU450">
            <v>6.6535846854288128</v>
          </cell>
          <cell r="AV450">
            <v>7.3262188380304485</v>
          </cell>
          <cell r="AW450">
            <v>7.303611107365386</v>
          </cell>
          <cell r="AX450">
            <v>7.2882444053810511</v>
          </cell>
          <cell r="AY450">
            <v>7.272900371464063</v>
          </cell>
          <cell r="AZ450">
            <v>7.2975837867560145</v>
          </cell>
          <cell r="BA450">
            <v>7.8443021986278749</v>
          </cell>
          <cell r="BB450">
            <v>7.8451479084458962</v>
          </cell>
          <cell r="BC450">
            <v>7.8540579256827669</v>
          </cell>
          <cell r="BD450">
            <v>7.8629706371283339</v>
          </cell>
          <cell r="BE450">
            <v>7.8516265107958843</v>
          </cell>
          <cell r="BF450">
            <v>8.433904117267554</v>
          </cell>
          <cell r="BG450">
            <v>8.4250103320074743</v>
          </cell>
          <cell r="BH450">
            <v>8.4248721872080505</v>
          </cell>
          <cell r="BI450">
            <v>8.4247338215657983</v>
          </cell>
          <cell r="BJ450">
            <v>8.427000086487503</v>
          </cell>
          <cell r="BK450">
            <v>9.0059278851814621</v>
          </cell>
          <cell r="BL450">
            <v>9.00066854162821</v>
          </cell>
          <cell r="BM450">
            <v>9.0047975606424107</v>
          </cell>
          <cell r="BN450">
            <v>9.0089274720232027</v>
          </cell>
          <cell r="BO450">
            <v>9.0050364933802722</v>
          </cell>
          <cell r="BP450">
            <v>9.5890262057053572</v>
          </cell>
          <cell r="BQ450">
            <v>9.5794057764423339</v>
          </cell>
          <cell r="BR450">
            <v>9.5797530059933429</v>
          </cell>
          <cell r="BS450">
            <v>9.5801003642086187</v>
          </cell>
          <cell r="BT450">
            <v>9.5819816626061876</v>
          </cell>
          <cell r="BU450">
            <v>10.15929599589062</v>
          </cell>
          <cell r="BV450">
            <v>10.151005194998964</v>
          </cell>
          <cell r="BW450">
            <v>10.153351420383487</v>
          </cell>
          <cell r="BX450">
            <v>10.155697981296363</v>
          </cell>
          <cell r="BY450">
            <v>10.154770520728128</v>
          </cell>
          <cell r="BZ450">
            <v>10.732209354732591</v>
          </cell>
          <cell r="CA450">
            <v>10.721706028359861</v>
          </cell>
          <cell r="CB450">
            <v>10.722554449850092</v>
          </cell>
          <cell r="CC450">
            <v>10.723403541173045</v>
          </cell>
          <cell r="CD450">
            <v>10.724849706832627</v>
          </cell>
        </row>
        <row r="451">
          <cell r="B451" t="str">
            <v>Other income/(cost)</v>
          </cell>
          <cell r="AA451">
            <v>-1.8588948519288686</v>
          </cell>
          <cell r="AF451">
            <v>-0.97167525360189955</v>
          </cell>
          <cell r="AK451">
            <v>-0.47766213092341026</v>
          </cell>
          <cell r="AP451">
            <v>-0.20968632503352352</v>
          </cell>
          <cell r="AQ451">
            <v>-0.68903095263018277</v>
          </cell>
          <cell r="AR451">
            <v>-0.69571226561029342</v>
          </cell>
          <cell r="AS451">
            <v>-0.70209402202569715</v>
          </cell>
          <cell r="AT451">
            <v>-0.71661463785799517</v>
          </cell>
          <cell r="AU451">
            <v>-0.70057826986679606</v>
          </cell>
          <cell r="AV451">
            <v>-0.86705775491235804</v>
          </cell>
          <cell r="AW451">
            <v>-0.85801214345463106</v>
          </cell>
          <cell r="AX451">
            <v>-0.84805949634688627</v>
          </cell>
          <cell r="AY451">
            <v>-0.84743399226021354</v>
          </cell>
          <cell r="AZ451">
            <v>-0.85506744417390823</v>
          </cell>
          <cell r="BA451">
            <v>-0.890202046324714</v>
          </cell>
          <cell r="BB451">
            <v>-0.88173005339017629</v>
          </cell>
          <cell r="BC451">
            <v>-0.8722778707831037</v>
          </cell>
          <cell r="BD451">
            <v>-0.87240975036114754</v>
          </cell>
          <cell r="BE451">
            <v>-0.87908689038716326</v>
          </cell>
          <cell r="BF451">
            <v>-0.90459541780685615</v>
          </cell>
          <cell r="BG451">
            <v>-0.89658535028602981</v>
          </cell>
          <cell r="BH451">
            <v>-0.88754815691729505</v>
          </cell>
          <cell r="BI451">
            <v>-0.88825758879750738</v>
          </cell>
          <cell r="BJ451">
            <v>-0.89418176698436069</v>
          </cell>
          <cell r="BK451">
            <v>-0.90884968696533297</v>
          </cell>
          <cell r="BL451">
            <v>-0.90018663968893575</v>
          </cell>
          <cell r="BM451">
            <v>-0.89049820906908461</v>
          </cell>
          <cell r="BN451">
            <v>-0.89059443662943316</v>
          </cell>
          <cell r="BO451">
            <v>-0.89746253190878778</v>
          </cell>
          <cell r="BP451">
            <v>-0.90928723317175819</v>
          </cell>
          <cell r="BQ451">
            <v>-0.90069009783471432</v>
          </cell>
          <cell r="BR451">
            <v>-0.89106501688754713</v>
          </cell>
          <cell r="BS451">
            <v>-0.89123010685009818</v>
          </cell>
          <cell r="BT451">
            <v>-0.89799893312333579</v>
          </cell>
          <cell r="BU451">
            <v>-0.91583104854549402</v>
          </cell>
          <cell r="BV451">
            <v>-0.90707782271509296</v>
          </cell>
          <cell r="BW451">
            <v>-0.89728243114912376</v>
          </cell>
          <cell r="BX451">
            <v>-0.89734659030834907</v>
          </cell>
          <cell r="BY451">
            <v>-0.9043139803133794</v>
          </cell>
          <cell r="BZ451">
            <v>-0.92566002190539542</v>
          </cell>
          <cell r="CA451">
            <v>-0.91712245503999856</v>
          </cell>
          <cell r="CB451">
            <v>-0.90751169244635221</v>
          </cell>
          <cell r="CC451">
            <v>-0.90786993480098244</v>
          </cell>
          <cell r="CD451">
            <v>-0.91447214278121114</v>
          </cell>
        </row>
        <row r="452">
          <cell r="B452" t="str">
            <v>Earnings before tax</v>
          </cell>
          <cell r="AA452">
            <v>17.097436602622786</v>
          </cell>
          <cell r="AF452">
            <v>19.261701621401134</v>
          </cell>
          <cell r="AK452">
            <v>26.122320350672741</v>
          </cell>
          <cell r="AP452">
            <v>26.760876832525138</v>
          </cell>
          <cell r="AQ452">
            <v>29.583993894140423</v>
          </cell>
          <cell r="AR452">
            <v>26.317607623444175</v>
          </cell>
          <cell r="AS452">
            <v>27.240859560309445</v>
          </cell>
          <cell r="AT452">
            <v>25.62142460594433</v>
          </cell>
          <cell r="AU452">
            <v>27.202896142538464</v>
          </cell>
          <cell r="AV452">
            <v>24.59826601229371</v>
          </cell>
          <cell r="AW452">
            <v>24.574837766048265</v>
          </cell>
          <cell r="AX452">
            <v>24.63767022461473</v>
          </cell>
          <cell r="AY452">
            <v>24.713753153310975</v>
          </cell>
          <cell r="AZ452">
            <v>24.631557925807272</v>
          </cell>
          <cell r="BA452">
            <v>22.001267199807142</v>
          </cell>
          <cell r="BB452">
            <v>21.529725225937636</v>
          </cell>
          <cell r="BC452">
            <v>21.335213095880675</v>
          </cell>
          <cell r="BD452">
            <v>21.286736408434191</v>
          </cell>
          <cell r="BE452">
            <v>21.535789250064212</v>
          </cell>
          <cell r="BF452">
            <v>19.053141949625658</v>
          </cell>
          <cell r="BG452">
            <v>18.666811022590508</v>
          </cell>
          <cell r="BH452">
            <v>18.550911411542732</v>
          </cell>
          <cell r="BI452">
            <v>18.578884435243957</v>
          </cell>
          <cell r="BJ452">
            <v>18.710732393568076</v>
          </cell>
          <cell r="BK452">
            <v>17.978590156634095</v>
          </cell>
          <cell r="BL452">
            <v>18.113752419781413</v>
          </cell>
          <cell r="BM452">
            <v>18.298191561185572</v>
          </cell>
          <cell r="BN452">
            <v>18.487284709056571</v>
          </cell>
          <cell r="BO452">
            <v>18.220855415004372</v>
          </cell>
          <cell r="BP452">
            <v>17.982552574080128</v>
          </cell>
          <cell r="BQ452">
            <v>18.161981195601822</v>
          </cell>
          <cell r="BR452">
            <v>18.377360760062182</v>
          </cell>
          <cell r="BS452">
            <v>18.597562975121399</v>
          </cell>
          <cell r="BT452">
            <v>18.281550114209942</v>
          </cell>
          <cell r="BU452">
            <v>18.028141036953304</v>
          </cell>
          <cell r="BV452">
            <v>18.195877889990886</v>
          </cell>
          <cell r="BW452">
            <v>18.400773466628582</v>
          </cell>
          <cell r="BX452">
            <v>18.610449686767865</v>
          </cell>
          <cell r="BY452">
            <v>18.310445837737394</v>
          </cell>
          <cell r="BZ452">
            <v>18.024941909845062</v>
          </cell>
          <cell r="CA452">
            <v>18.209389662657898</v>
          </cell>
          <cell r="CB452">
            <v>18.432683207377035</v>
          </cell>
          <cell r="CC452">
            <v>18.66093635485948</v>
          </cell>
          <cell r="CD452">
            <v>18.333638607114388</v>
          </cell>
        </row>
        <row r="454">
          <cell r="B454" t="str">
            <v>Suggested DD&amp;A/boe for convergence</v>
          </cell>
          <cell r="L454">
            <v>0</v>
          </cell>
          <cell r="Q454">
            <v>0</v>
          </cell>
          <cell r="V454">
            <v>0</v>
          </cell>
          <cell r="AA454">
            <v>6.7447738884175843</v>
          </cell>
          <cell r="AF454">
            <v>5.7089441711624644</v>
          </cell>
          <cell r="AK454">
            <v>4.7607870734511506</v>
          </cell>
          <cell r="AP454">
            <v>5.7940302821864016</v>
          </cell>
          <cell r="AU454">
            <v>6.3299430185771621</v>
          </cell>
          <cell r="AZ454">
            <v>6.8658557549679227</v>
          </cell>
          <cell r="BE454">
            <v>7.4017684913586814</v>
          </cell>
          <cell r="BJ454">
            <v>7.937681227749442</v>
          </cell>
          <cell r="BO454">
            <v>8.4735939641402016</v>
          </cell>
          <cell r="BT454">
            <v>9.0095067005309613</v>
          </cell>
          <cell r="BY454">
            <v>9.5454194369217209</v>
          </cell>
          <cell r="CD454">
            <v>10.081332173312482</v>
          </cell>
        </row>
        <row r="456">
          <cell r="A456" t="str">
            <v>As percent of revenue</v>
          </cell>
        </row>
        <row r="457">
          <cell r="B457" t="str">
            <v>Production cost excluding taxes</v>
          </cell>
          <cell r="AA457">
            <v>0.14243253813062182</v>
          </cell>
          <cell r="AF457">
            <v>0.12035613630540609</v>
          </cell>
          <cell r="AK457">
            <v>9.6185737976782759E-2</v>
          </cell>
          <cell r="AP457">
            <v>9.4701958618345586E-2</v>
          </cell>
          <cell r="AQ457">
            <v>0.10014185505293853</v>
          </cell>
          <cell r="AR457">
            <v>0.1092624694278299</v>
          </cell>
          <cell r="AS457">
            <v>0.1077736025058013</v>
          </cell>
          <cell r="AT457">
            <v>0.11212597186460097</v>
          </cell>
          <cell r="AU457">
            <v>0.10709538311549534</v>
          </cell>
          <cell r="AV457">
            <v>0.12480972621132237</v>
          </cell>
          <cell r="AW457">
            <v>0.12479714723923276</v>
          </cell>
          <cell r="AX457">
            <v>0.1248098085703726</v>
          </cell>
          <cell r="AY457">
            <v>0.12477807082869628</v>
          </cell>
          <cell r="AZ457">
            <v>0.12479860429229074</v>
          </cell>
          <cell r="BA457">
            <v>0.13520086163397926</v>
          </cell>
          <cell r="BB457">
            <v>0.13660153429279373</v>
          </cell>
          <cell r="BC457">
            <v>0.1373615382399252</v>
          </cell>
          <cell r="BD457">
            <v>0.13738809597358634</v>
          </cell>
          <cell r="BE457">
            <v>0.13663709896593787</v>
          </cell>
          <cell r="BF457">
            <v>0.14734983758785636</v>
          </cell>
          <cell r="BG457">
            <v>0.14898135134936558</v>
          </cell>
          <cell r="BH457">
            <v>0.14986703077595909</v>
          </cell>
          <cell r="BI457">
            <v>0.1499179469439231</v>
          </cell>
          <cell r="BJ457">
            <v>0.14903041723053351</v>
          </cell>
          <cell r="BK457">
            <v>0.153502358265102</v>
          </cell>
          <cell r="BL457">
            <v>0.15249773332068325</v>
          </cell>
          <cell r="BM457">
            <v>0.15164469569510142</v>
          </cell>
          <cell r="BN457">
            <v>0.15079499223085677</v>
          </cell>
          <cell r="BO457">
            <v>0.15209683453418937</v>
          </cell>
          <cell r="BP457">
            <v>0.15394483937505771</v>
          </cell>
          <cell r="BQ457">
            <v>0.15286036292181696</v>
          </cell>
          <cell r="BR457">
            <v>0.15201613683751122</v>
          </cell>
          <cell r="BS457">
            <v>0.15117649561877636</v>
          </cell>
          <cell r="BT457">
            <v>0.1524846302858277</v>
          </cell>
          <cell r="BU457">
            <v>0.15485091735569129</v>
          </cell>
          <cell r="BV457">
            <v>0.15374693199743047</v>
          </cell>
          <cell r="BW457">
            <v>0.15288172828224841</v>
          </cell>
          <cell r="BX457">
            <v>0.15202057417013706</v>
          </cell>
          <cell r="BY457">
            <v>0.15336052701608774</v>
          </cell>
          <cell r="BZ457">
            <v>0.1560163746409102</v>
          </cell>
          <cell r="CA457">
            <v>0.15490823750053187</v>
          </cell>
          <cell r="CB457">
            <v>0.15403923537515521</v>
          </cell>
          <cell r="CC457">
            <v>0.15317478704459558</v>
          </cell>
          <cell r="CD457">
            <v>0.15451987353983754</v>
          </cell>
        </row>
        <row r="458">
          <cell r="B458" t="str">
            <v>Taxes other than income tax</v>
          </cell>
          <cell r="AA458">
            <v>0.29182635901447007</v>
          </cell>
          <cell r="AF458">
            <v>0.32475019215987699</v>
          </cell>
          <cell r="AK458">
            <v>0.3619047619047619</v>
          </cell>
          <cell r="AP458">
            <v>0.37477163614734249</v>
          </cell>
          <cell r="AQ458">
            <v>0.33250603658471328</v>
          </cell>
          <cell r="AR458">
            <v>0.32745673067468561</v>
          </cell>
          <cell r="AS458">
            <v>0.32137522429637255</v>
          </cell>
          <cell r="AT458">
            <v>0.3229306343661722</v>
          </cell>
          <cell r="AU458">
            <v>0.32625153195506018</v>
          </cell>
          <cell r="AV458">
            <v>0.31506648691686651</v>
          </cell>
          <cell r="AW458">
            <v>0.31615213683584659</v>
          </cell>
          <cell r="AX458">
            <v>0.31673904008249026</v>
          </cell>
          <cell r="AY458">
            <v>0.31738679725398666</v>
          </cell>
          <cell r="AZ458">
            <v>0.31634580910261945</v>
          </cell>
          <cell r="BA458">
            <v>0.31997697980748091</v>
          </cell>
          <cell r="BB458">
            <v>0.31939341263657534</v>
          </cell>
          <cell r="BC458">
            <v>0.31805070772652455</v>
          </cell>
          <cell r="BD458">
            <v>0.31767626005925376</v>
          </cell>
          <cell r="BE458">
            <v>0.31877485234026637</v>
          </cell>
          <cell r="BF458">
            <v>0.31992975158013437</v>
          </cell>
          <cell r="BG458">
            <v>0.31975540377258288</v>
          </cell>
          <cell r="BH458">
            <v>0.31880705044737156</v>
          </cell>
          <cell r="BI458">
            <v>0.31886852270230281</v>
          </cell>
          <cell r="BJ458">
            <v>0.31933910513415137</v>
          </cell>
          <cell r="BK458">
            <v>0.31760056914465812</v>
          </cell>
          <cell r="BL458">
            <v>0.31782147883216033</v>
          </cell>
          <cell r="BM458">
            <v>0.31749405032738898</v>
          </cell>
          <cell r="BN458">
            <v>0.31716822075735479</v>
          </cell>
          <cell r="BO458">
            <v>0.31751889643926934</v>
          </cell>
          <cell r="BP458">
            <v>0.316353799762562</v>
          </cell>
          <cell r="BQ458">
            <v>0.3168539824968396</v>
          </cell>
          <cell r="BR458">
            <v>0.31669708828177706</v>
          </cell>
          <cell r="BS458">
            <v>0.31654070952736285</v>
          </cell>
          <cell r="BT458">
            <v>0.31661228781174983</v>
          </cell>
          <cell r="BU458">
            <v>0.31536411368145095</v>
          </cell>
          <cell r="BV458">
            <v>0.31578840244726514</v>
          </cell>
          <cell r="BW458">
            <v>0.31554977427119307</v>
          </cell>
          <cell r="BX458">
            <v>0.31531236485867159</v>
          </cell>
          <cell r="BY458">
            <v>0.31550330004357546</v>
          </cell>
          <cell r="BZ458">
            <v>0.31401268066366472</v>
          </cell>
          <cell r="CA458">
            <v>0.31449750804817661</v>
          </cell>
          <cell r="CB458">
            <v>0.31430927720041085</v>
          </cell>
          <cell r="CC458">
            <v>0.31412177573182359</v>
          </cell>
          <cell r="CD458">
            <v>0.31423577303027211</v>
          </cell>
        </row>
        <row r="459">
          <cell r="B459" t="str">
            <v>Exploration expense</v>
          </cell>
          <cell r="AA459">
            <v>1.8146265154477904E-2</v>
          </cell>
          <cell r="AF459">
            <v>9.0955675121701263E-3</v>
          </cell>
          <cell r="AK459">
            <v>8.0549632788438751E-3</v>
          </cell>
          <cell r="AP459">
            <v>2.4344648850745634E-2</v>
          </cell>
          <cell r="AQ459">
            <v>7.0882157507719838E-3</v>
          </cell>
          <cell r="AR459">
            <v>7.795715613640339E-3</v>
          </cell>
          <cell r="AS459">
            <v>7.7302593875916347E-3</v>
          </cell>
          <cell r="AT459">
            <v>8.1761174140862255E-3</v>
          </cell>
          <cell r="AU459">
            <v>7.6771892243220029E-3</v>
          </cell>
          <cell r="AV459">
            <v>9.9831960219995842E-3</v>
          </cell>
          <cell r="AW459">
            <v>9.8735058920077171E-3</v>
          </cell>
          <cell r="AX459">
            <v>9.7328071831668337E-3</v>
          </cell>
          <cell r="AY459">
            <v>9.6962131199215609E-3</v>
          </cell>
          <cell r="AZ459">
            <v>9.8201007577304582E-3</v>
          </cell>
          <cell r="BA459">
            <v>1.0674178382437638E-2</v>
          </cell>
          <cell r="BB459">
            <v>1.0726614336583937E-2</v>
          </cell>
          <cell r="BC459">
            <v>1.0690035337448354E-2</v>
          </cell>
          <cell r="BD459">
            <v>1.0713173078040534E-2</v>
          </cell>
          <cell r="BE459">
            <v>1.0700961873872586E-2</v>
          </cell>
          <cell r="BF459">
            <v>1.1528437321982081E-2</v>
          </cell>
          <cell r="BG459">
            <v>1.1562090412303119E-2</v>
          </cell>
          <cell r="BH459">
            <v>1.1495355018209615E-2</v>
          </cell>
          <cell r="BI459">
            <v>1.1490222771093621E-2</v>
          </cell>
          <cell r="BJ459">
            <v>1.1518954124549651E-2</v>
          </cell>
          <cell r="BK459">
            <v>1.1716876604629582E-2</v>
          </cell>
          <cell r="BL459">
            <v>1.1564737739591631E-2</v>
          </cell>
          <cell r="BM459">
            <v>1.1384223044213396E-2</v>
          </cell>
          <cell r="BN459">
            <v>1.1329574018843904E-2</v>
          </cell>
          <cell r="BO459">
            <v>1.1496824274422886E-2</v>
          </cell>
          <cell r="BP459">
            <v>1.1487512361275553E-2</v>
          </cell>
          <cell r="BQ459">
            <v>1.1319672152707395E-2</v>
          </cell>
          <cell r="BR459">
            <v>1.1130928041371233E-2</v>
          </cell>
          <cell r="BS459">
            <v>1.1065605059719255E-2</v>
          </cell>
          <cell r="BT459">
            <v>1.1248508090947466E-2</v>
          </cell>
          <cell r="BU459">
            <v>1.1317219846867326E-2</v>
          </cell>
          <cell r="BV459">
            <v>1.1158362710764008E-2</v>
          </cell>
          <cell r="BW459">
            <v>1.0978320225335509E-2</v>
          </cell>
          <cell r="BX459">
            <v>1.0919819248296913E-2</v>
          </cell>
          <cell r="BY459">
            <v>1.1091238373610739E-2</v>
          </cell>
          <cell r="BZ459">
            <v>1.1214802735614428E-2</v>
          </cell>
          <cell r="CA459">
            <v>1.1055637943253318E-2</v>
          </cell>
          <cell r="CB459">
            <v>1.0875102941987432E-2</v>
          </cell>
          <cell r="CC459">
            <v>1.0815048555011669E-2</v>
          </cell>
          <cell r="CD459">
            <v>1.0987913454437177E-2</v>
          </cell>
        </row>
        <row r="460">
          <cell r="B460" t="str">
            <v>DD&amp;A</v>
          </cell>
          <cell r="AA460">
            <v>0.16800938599921783</v>
          </cell>
          <cell r="AF460">
            <v>0.12983602357161159</v>
          </cell>
          <cell r="AK460">
            <v>9.3769248993129592E-2</v>
          </cell>
          <cell r="AP460">
            <v>9.1940349237370947E-2</v>
          </cell>
          <cell r="AQ460">
            <v>0.1029578061920761</v>
          </cell>
          <cell r="AR460">
            <v>0.1137883135718281</v>
          </cell>
          <cell r="AS460">
            <v>0.11358317932429135</v>
          </cell>
          <cell r="AT460">
            <v>0.11961643336623257</v>
          </cell>
          <cell r="AU460">
            <v>0.11217289146842428</v>
          </cell>
          <cell r="AV460">
            <v>0.12977412288104573</v>
          </cell>
          <cell r="AW460">
            <v>0.12930110578470944</v>
          </cell>
          <cell r="AX460">
            <v>0.12868305694793489</v>
          </cell>
          <cell r="AY460">
            <v>0.12802375287450019</v>
          </cell>
          <cell r="AZ460">
            <v>0.12893811172837466</v>
          </cell>
          <cell r="BA460">
            <v>0.14470609625965128</v>
          </cell>
          <cell r="BB460">
            <v>0.14683000104135396</v>
          </cell>
          <cell r="BC460">
            <v>0.14808294039911193</v>
          </cell>
          <cell r="BD460">
            <v>0.1485494019616975</v>
          </cell>
          <cell r="BE460">
            <v>0.14704060780597245</v>
          </cell>
          <cell r="BF460">
            <v>0.16536034202791233</v>
          </cell>
          <cell r="BG460">
            <v>0.16714824005439036</v>
          </cell>
          <cell r="BH460">
            <v>0.16787283557118707</v>
          </cell>
          <cell r="BI460">
            <v>0.16766111649420773</v>
          </cell>
          <cell r="BJ460">
            <v>0.16701169371206012</v>
          </cell>
          <cell r="BK460">
            <v>0.17862198143136246</v>
          </cell>
          <cell r="BL460">
            <v>0.17789536691719482</v>
          </cell>
          <cell r="BM460">
            <v>0.17710504913787753</v>
          </cell>
          <cell r="BN460">
            <v>0.17631665466558366</v>
          </cell>
          <cell r="BO460">
            <v>0.17747357083611601</v>
          </cell>
          <cell r="BP460">
            <v>0.18637430937805624</v>
          </cell>
          <cell r="BQ460">
            <v>0.18521820626165741</v>
          </cell>
          <cell r="BR460">
            <v>0.1841038780179306</v>
          </cell>
          <cell r="BS460">
            <v>0.18299617788941894</v>
          </cell>
          <cell r="BT460">
            <v>0.18465500481721955</v>
          </cell>
          <cell r="BU460">
            <v>0.19314107612969786</v>
          </cell>
          <cell r="BV460">
            <v>0.19211072846854554</v>
          </cell>
          <cell r="BW460">
            <v>0.1911185278566129</v>
          </cell>
          <cell r="BX460">
            <v>0.19013043993993081</v>
          </cell>
          <cell r="BY460">
            <v>0.19160972665316067</v>
          </cell>
          <cell r="BZ460">
            <v>0.20003956924269753</v>
          </cell>
          <cell r="CA460">
            <v>0.19884149490890868</v>
          </cell>
          <cell r="CB460">
            <v>0.19768151056730326</v>
          </cell>
          <cell r="CC460">
            <v>0.19652786327675836</v>
          </cell>
          <cell r="CD460">
            <v>0.19825429653728768</v>
          </cell>
        </row>
        <row r="461">
          <cell r="B461" t="str">
            <v>Other income/(cost)</v>
          </cell>
          <cell r="AA461">
            <v>-4.63042628079781E-2</v>
          </cell>
          <cell r="AF461">
            <v>-2.209838585703305E-2</v>
          </cell>
          <cell r="AK461">
            <v>-8.1971096896470037E-3</v>
          </cell>
          <cell r="AP461">
            <v>-3.2714449590007222E-3</v>
          </cell>
          <cell r="AQ461">
            <v>-1.0904947308879975E-2</v>
          </cell>
          <cell r="AR461">
            <v>-1.1993408636369753E-2</v>
          </cell>
          <cell r="AS461">
            <v>-1.1892706750140977E-2</v>
          </cell>
          <cell r="AT461">
            <v>-1.257864217551727E-2</v>
          </cell>
          <cell r="AU461">
            <v>-1.1811060345110773E-2</v>
          </cell>
          <cell r="AV461">
            <v>-1.5358763110768591E-2</v>
          </cell>
          <cell r="AW461">
            <v>-1.5190009064627256E-2</v>
          </cell>
          <cell r="AX461">
            <v>-1.4973549512564358E-2</v>
          </cell>
          <cell r="AY461">
            <v>-1.4917250953725479E-2</v>
          </cell>
          <cell r="AZ461">
            <v>-1.5107847319585321E-2</v>
          </cell>
          <cell r="BA461">
            <v>-1.6421812896057902E-2</v>
          </cell>
          <cell r="BB461">
            <v>-1.6502483594744519E-2</v>
          </cell>
          <cell r="BC461">
            <v>-1.6446208211459007E-2</v>
          </cell>
          <cell r="BD461">
            <v>-1.6481804735446973E-2</v>
          </cell>
          <cell r="BE461">
            <v>-1.6463018267496285E-2</v>
          </cell>
          <cell r="BF461">
            <v>-1.7736057418433968E-2</v>
          </cell>
          <cell r="BG461">
            <v>-1.7787831403543258E-2</v>
          </cell>
          <cell r="BH461">
            <v>-1.7685161566476332E-2</v>
          </cell>
          <cell r="BI461">
            <v>-1.7677265801682492E-2</v>
          </cell>
          <cell r="BJ461">
            <v>-1.772146788392254E-2</v>
          </cell>
          <cell r="BK461">
            <v>-1.8025964007122433E-2</v>
          </cell>
          <cell r="BL461">
            <v>-1.7791904214756356E-2</v>
          </cell>
          <cell r="BM461">
            <v>-1.751418929878984E-2</v>
          </cell>
          <cell r="BN461">
            <v>-1.7430113875144468E-2</v>
          </cell>
          <cell r="BO461">
            <v>-1.7687421960650596E-2</v>
          </cell>
          <cell r="BP461">
            <v>-1.7673095940423929E-2</v>
          </cell>
          <cell r="BQ461">
            <v>-1.7414880234934454E-2</v>
          </cell>
          <cell r="BR461">
            <v>-1.7124504679032666E-2</v>
          </cell>
          <cell r="BS461">
            <v>-1.7024007784183469E-2</v>
          </cell>
          <cell r="BT461">
            <v>-1.7305397062996098E-2</v>
          </cell>
          <cell r="BU461">
            <v>-1.7411107456718963E-2</v>
          </cell>
          <cell r="BV461">
            <v>-1.7166711862713856E-2</v>
          </cell>
          <cell r="BW461">
            <v>-1.688972342359309E-2</v>
          </cell>
          <cell r="BX461">
            <v>-1.6799721920456787E-2</v>
          </cell>
          <cell r="BY461">
            <v>-1.706344365170883E-2</v>
          </cell>
          <cell r="BZ461">
            <v>-1.7253542670176043E-2</v>
          </cell>
          <cell r="CA461">
            <v>-1.7008673758851258E-2</v>
          </cell>
          <cell r="CB461">
            <v>-1.6730927603057586E-2</v>
          </cell>
          <cell r="CC461">
            <v>-1.6638536238479492E-2</v>
          </cell>
          <cell r="CD461">
            <v>-1.6904482237595657E-2</v>
          </cell>
        </row>
        <row r="463">
          <cell r="A463" t="str">
            <v>Effective tax rate</v>
          </cell>
          <cell r="AA463">
            <v>0.46593204775022956</v>
          </cell>
          <cell r="AF463">
            <v>0.4421699078812692</v>
          </cell>
          <cell r="AK463">
            <v>0.41295846105062889</v>
          </cell>
          <cell r="AP463">
            <v>0.38261931413452732</v>
          </cell>
          <cell r="AQ463">
            <v>0.44321484176455778</v>
          </cell>
          <cell r="AR463">
            <v>0.44260786511425665</v>
          </cell>
          <cell r="AS463">
            <v>0.4460964119416862</v>
          </cell>
          <cell r="AT463">
            <v>0.44756856639508186</v>
          </cell>
          <cell r="AU463">
            <v>0.44478906274002378</v>
          </cell>
          <cell r="AV463">
            <v>0.43396725683416698</v>
          </cell>
          <cell r="AW463">
            <v>0.43375181488283282</v>
          </cell>
          <cell r="AX463">
            <v>0.43325596749676631</v>
          </cell>
          <cell r="AY463">
            <v>0.43272928996379872</v>
          </cell>
          <cell r="AZ463">
            <v>0.43342104692789063</v>
          </cell>
          <cell r="BA463">
            <v>0.42994182496304451</v>
          </cell>
          <cell r="BB463">
            <v>0.43040748172664989</v>
          </cell>
          <cell r="BC463">
            <v>0.43099188367573443</v>
          </cell>
          <cell r="BD463">
            <v>0.43128866569172841</v>
          </cell>
          <cell r="BE463">
            <v>0.43065532085350966</v>
          </cell>
          <cell r="BF463">
            <v>0.42851539962237045</v>
          </cell>
          <cell r="BG463">
            <v>0.42846646162015106</v>
          </cell>
          <cell r="BH463">
            <v>0.42866039143860279</v>
          </cell>
          <cell r="BI463">
            <v>0.42854045985943551</v>
          </cell>
          <cell r="BJ463">
            <v>0.42854569590602293</v>
          </cell>
          <cell r="BK463">
            <v>0.42782925500956248</v>
          </cell>
          <cell r="BL463">
            <v>0.4282869751693435</v>
          </cell>
          <cell r="BM463">
            <v>0.42846238158748573</v>
          </cell>
          <cell r="BN463">
            <v>0.42861577454350713</v>
          </cell>
          <cell r="BO463">
            <v>0.42830390834899268</v>
          </cell>
          <cell r="BP463">
            <v>0.42795718448369741</v>
          </cell>
          <cell r="BQ463">
            <v>0.42827004682733849</v>
          </cell>
          <cell r="BR463">
            <v>0.4283231594033467</v>
          </cell>
          <cell r="BS463">
            <v>0.42835115362644233</v>
          </cell>
          <cell r="BT463">
            <v>0.42822830105378157</v>
          </cell>
          <cell r="BU463">
            <v>0.42709368491313926</v>
          </cell>
          <cell r="BV463">
            <v>0.42747931449497362</v>
          </cell>
          <cell r="BW463">
            <v>0.42760408812886291</v>
          </cell>
          <cell r="BX463">
            <v>0.42770557921648567</v>
          </cell>
          <cell r="BY463">
            <v>0.42747511948221778</v>
          </cell>
          <cell r="BZ463">
            <v>0.42599088680661301</v>
          </cell>
          <cell r="CA463">
            <v>0.42634355676185354</v>
          </cell>
          <cell r="CB463">
            <v>0.4264297080846603</v>
          </cell>
          <cell r="CC463">
            <v>0.42649099306610166</v>
          </cell>
          <cell r="CD463">
            <v>0.42631753169214759</v>
          </cell>
        </row>
        <row r="468">
          <cell r="A468" t="str">
            <v>Europe</v>
          </cell>
        </row>
        <row r="469">
          <cell r="C469">
            <v>2001</v>
          </cell>
          <cell r="D469">
            <v>2002</v>
          </cell>
          <cell r="E469">
            <v>2003</v>
          </cell>
          <cell r="F469">
            <v>2004</v>
          </cell>
          <cell r="G469">
            <v>2005</v>
          </cell>
          <cell r="H469" t="str">
            <v>1Q06</v>
          </cell>
          <cell r="I469" t="str">
            <v>2Q06</v>
          </cell>
          <cell r="J469" t="str">
            <v>3Q06</v>
          </cell>
          <cell r="K469" t="str">
            <v>4Q06</v>
          </cell>
          <cell r="L469">
            <v>2006</v>
          </cell>
          <cell r="M469" t="str">
            <v>1Q07</v>
          </cell>
          <cell r="N469" t="str">
            <v>2Q07</v>
          </cell>
          <cell r="O469" t="str">
            <v>3Q07</v>
          </cell>
          <cell r="P469" t="str">
            <v>4Q07</v>
          </cell>
          <cell r="Q469">
            <v>2007</v>
          </cell>
          <cell r="R469" t="str">
            <v>1Q08</v>
          </cell>
          <cell r="S469" t="str">
            <v>2Q08</v>
          </cell>
          <cell r="T469" t="str">
            <v>3Q08</v>
          </cell>
          <cell r="U469" t="str">
            <v>4Q08</v>
          </cell>
          <cell r="V469">
            <v>2008</v>
          </cell>
          <cell r="W469" t="str">
            <v>1Q09</v>
          </cell>
          <cell r="X469" t="str">
            <v>2Q09</v>
          </cell>
          <cell r="Y469" t="str">
            <v>3Q09</v>
          </cell>
          <cell r="Z469" t="str">
            <v>4Q09</v>
          </cell>
          <cell r="AA469">
            <v>2009</v>
          </cell>
          <cell r="AB469" t="str">
            <v>1Q10</v>
          </cell>
          <cell r="AC469" t="str">
            <v>2Q10</v>
          </cell>
          <cell r="AD469" t="str">
            <v>3Q10</v>
          </cell>
          <cell r="AE469" t="str">
            <v>4Q10</v>
          </cell>
          <cell r="AF469">
            <v>2010</v>
          </cell>
          <cell r="AG469" t="str">
            <v>1Q11</v>
          </cell>
          <cell r="AH469" t="str">
            <v>2Q11</v>
          </cell>
          <cell r="AI469" t="str">
            <v>3Q11</v>
          </cell>
          <cell r="AJ469" t="str">
            <v>4Q11</v>
          </cell>
          <cell r="AK469">
            <v>2011</v>
          </cell>
          <cell r="AL469" t="str">
            <v>1Q12</v>
          </cell>
          <cell r="AM469" t="str">
            <v>2Q12</v>
          </cell>
          <cell r="AN469" t="str">
            <v>3Q12</v>
          </cell>
          <cell r="AO469" t="str">
            <v>4Q12</v>
          </cell>
          <cell r="AP469">
            <v>2012</v>
          </cell>
          <cell r="AQ469" t="str">
            <v>1Q13</v>
          </cell>
          <cell r="AR469" t="str">
            <v>2Q13</v>
          </cell>
          <cell r="AS469" t="str">
            <v>3Q13</v>
          </cell>
          <cell r="AT469" t="str">
            <v>4Q13</v>
          </cell>
          <cell r="AU469">
            <v>2013</v>
          </cell>
          <cell r="AV469" t="str">
            <v>1Q14</v>
          </cell>
          <cell r="AW469" t="str">
            <v>2Q14</v>
          </cell>
          <cell r="AX469" t="str">
            <v>3Q14</v>
          </cell>
          <cell r="AY469" t="str">
            <v>4Q14</v>
          </cell>
          <cell r="AZ469">
            <v>2014</v>
          </cell>
          <cell r="BA469" t="str">
            <v>1Q15</v>
          </cell>
          <cell r="BB469" t="str">
            <v>2Q15</v>
          </cell>
          <cell r="BC469" t="str">
            <v>3Q15</v>
          </cell>
          <cell r="BD469" t="str">
            <v>4Q15</v>
          </cell>
          <cell r="BE469">
            <v>2015</v>
          </cell>
          <cell r="BF469" t="str">
            <v>1Q16</v>
          </cell>
          <cell r="BG469" t="str">
            <v>2Q16</v>
          </cell>
          <cell r="BH469" t="str">
            <v>3Q16</v>
          </cell>
          <cell r="BI469" t="str">
            <v>4Q16</v>
          </cell>
          <cell r="BJ469">
            <v>2016</v>
          </cell>
          <cell r="BK469" t="str">
            <v>1Q17</v>
          </cell>
          <cell r="BL469" t="str">
            <v>2Q17</v>
          </cell>
          <cell r="BM469" t="str">
            <v>3Q17</v>
          </cell>
          <cell r="BN469" t="str">
            <v>4Q17</v>
          </cell>
          <cell r="BO469">
            <v>2017</v>
          </cell>
          <cell r="BP469" t="str">
            <v>1Q18</v>
          </cell>
          <cell r="BQ469" t="str">
            <v>2Q18</v>
          </cell>
          <cell r="BR469" t="str">
            <v>3Q18</v>
          </cell>
          <cell r="BS469" t="str">
            <v>4Q18</v>
          </cell>
          <cell r="BT469">
            <v>2018</v>
          </cell>
          <cell r="BU469" t="str">
            <v>1Q19</v>
          </cell>
          <cell r="BV469" t="str">
            <v>2Q19</v>
          </cell>
          <cell r="BW469" t="str">
            <v>3Q19</v>
          </cell>
          <cell r="BX469" t="str">
            <v>4Q19</v>
          </cell>
          <cell r="BY469">
            <v>2019</v>
          </cell>
          <cell r="BZ469" t="str">
            <v>1Q20</v>
          </cell>
          <cell r="CA469" t="str">
            <v>2Q20</v>
          </cell>
          <cell r="CB469" t="str">
            <v>3Q20</v>
          </cell>
          <cell r="CC469" t="str">
            <v>4Q20</v>
          </cell>
          <cell r="CD469">
            <v>2020</v>
          </cell>
        </row>
        <row r="470">
          <cell r="A470" t="str">
            <v>Third parties</v>
          </cell>
          <cell r="AA470">
            <v>4965</v>
          </cell>
          <cell r="AF470">
            <v>5027</v>
          </cell>
          <cell r="AK470">
            <v>5688</v>
          </cell>
          <cell r="AP470">
            <v>6448</v>
          </cell>
        </row>
        <row r="471">
          <cell r="A471" t="str">
            <v>Sales between businesses</v>
          </cell>
          <cell r="AA471">
            <v>0</v>
          </cell>
          <cell r="AF471">
            <v>0</v>
          </cell>
          <cell r="AK471">
            <v>0</v>
          </cell>
          <cell r="AP471">
            <v>0</v>
          </cell>
        </row>
        <row r="472">
          <cell r="A472" t="str">
            <v>Revenue</v>
          </cell>
          <cell r="AA472">
            <v>4965</v>
          </cell>
          <cell r="AF472">
            <v>5027</v>
          </cell>
          <cell r="AK472">
            <v>5688</v>
          </cell>
          <cell r="AP472">
            <v>6448</v>
          </cell>
          <cell r="AQ472">
            <v>1560.689973</v>
          </cell>
          <cell r="AR472">
            <v>1345.7665967200001</v>
          </cell>
          <cell r="AS472">
            <v>1183.5988692000001</v>
          </cell>
          <cell r="AT472">
            <v>1088.9871014399998</v>
          </cell>
          <cell r="AU472">
            <v>5179.0425403600002</v>
          </cell>
          <cell r="AV472">
            <v>1098.01601291613</v>
          </cell>
          <cell r="AW472">
            <v>1133.0323864690663</v>
          </cell>
          <cell r="AX472">
            <v>1171.8055368679552</v>
          </cell>
          <cell r="AY472">
            <v>1199.5556871754131</v>
          </cell>
          <cell r="AZ472">
            <v>4602.4096234285644</v>
          </cell>
          <cell r="BA472">
            <v>1155.4995525746267</v>
          </cell>
          <cell r="BB472">
            <v>1133.3794839172567</v>
          </cell>
          <cell r="BC472">
            <v>1111.0415548691747</v>
          </cell>
          <cell r="BD472">
            <v>1095.882639604285</v>
          </cell>
          <cell r="BE472">
            <v>4495.8032309653427</v>
          </cell>
          <cell r="BF472">
            <v>1075.1491565322083</v>
          </cell>
          <cell r="BG472">
            <v>1074.0259034075939</v>
          </cell>
          <cell r="BH472">
            <v>1072.4084575982326</v>
          </cell>
          <cell r="BI472">
            <v>1077.9886313928632</v>
          </cell>
          <cell r="BJ472">
            <v>4299.572148930898</v>
          </cell>
          <cell r="BK472">
            <v>1049.3683042953701</v>
          </cell>
          <cell r="BL472">
            <v>1057.7234767913892</v>
          </cell>
          <cell r="BM472">
            <v>1067.9463867643649</v>
          </cell>
          <cell r="BN472">
            <v>1066.5289917868565</v>
          </cell>
          <cell r="BO472">
            <v>4241.5671596379807</v>
          </cell>
          <cell r="BP472">
            <v>1049.2636915283194</v>
          </cell>
          <cell r="BQ472">
            <v>1066.9478939849307</v>
          </cell>
          <cell r="BR472">
            <v>1084.8050859987015</v>
          </cell>
          <cell r="BS472">
            <v>1090.9784274003171</v>
          </cell>
          <cell r="BT472">
            <v>4291.995098912269</v>
          </cell>
          <cell r="BU472">
            <v>1069.1819613130654</v>
          </cell>
          <cell r="BV472">
            <v>1083.0118346544971</v>
          </cell>
          <cell r="BW472">
            <v>1096.8929312700352</v>
          </cell>
          <cell r="BX472">
            <v>1098.8811574626045</v>
          </cell>
          <cell r="BY472">
            <v>4347.9678847002024</v>
          </cell>
          <cell r="BZ472">
            <v>1079.5928887582588</v>
          </cell>
          <cell r="CA472">
            <v>1096.2692051882593</v>
          </cell>
          <cell r="CB472">
            <v>1113.0781807098422</v>
          </cell>
          <cell r="CC472">
            <v>1117.8702167784966</v>
          </cell>
          <cell r="CD472">
            <v>4406.8104914348569</v>
          </cell>
        </row>
        <row r="474">
          <cell r="A474" t="str">
            <v>Production cost excluding taxes</v>
          </cell>
          <cell r="AA474">
            <v>-334</v>
          </cell>
          <cell r="AF474">
            <v>-355</v>
          </cell>
          <cell r="AK474">
            <v>-353</v>
          </cell>
          <cell r="AP474">
            <v>-411</v>
          </cell>
          <cell r="AQ474">
            <v>-95.514551758110557</v>
          </cell>
          <cell r="AR474">
            <v>-87.788779153575462</v>
          </cell>
          <cell r="AS474">
            <v>-79.869884672076694</v>
          </cell>
          <cell r="AT474">
            <v>-70.986278331747428</v>
          </cell>
          <cell r="AU474">
            <v>-334.15949391551015</v>
          </cell>
          <cell r="AV474">
            <v>-74.8128491190147</v>
          </cell>
          <cell r="AW474">
            <v>-77.56278322885511</v>
          </cell>
          <cell r="AX474">
            <v>-80.354886134975516</v>
          </cell>
          <cell r="AY474">
            <v>-82.294650763855756</v>
          </cell>
          <cell r="AZ474">
            <v>-315.02516924670107</v>
          </cell>
          <cell r="BA474">
            <v>-81.417191165329285</v>
          </cell>
          <cell r="BB474">
            <v>-81.208505962849699</v>
          </cell>
          <cell r="BC474">
            <v>-80.975352174438854</v>
          </cell>
          <cell r="BD474">
            <v>-79.849797221601094</v>
          </cell>
          <cell r="BE474">
            <v>-323.45084652421895</v>
          </cell>
          <cell r="BF474">
            <v>-80.497644364295226</v>
          </cell>
          <cell r="BG474">
            <v>-81.827714010836161</v>
          </cell>
          <cell r="BH474">
            <v>-83.167358412889769</v>
          </cell>
          <cell r="BI474">
            <v>-83.60779716647265</v>
          </cell>
          <cell r="BJ474">
            <v>-329.10051395449381</v>
          </cell>
          <cell r="BK474">
            <v>-83.394006091303211</v>
          </cell>
          <cell r="BL474">
            <v>-83.874720136417224</v>
          </cell>
          <cell r="BM474">
            <v>-84.345634488727555</v>
          </cell>
          <cell r="BN474">
            <v>-83.894848619758591</v>
          </cell>
          <cell r="BO474">
            <v>-335.5092093362066</v>
          </cell>
          <cell r="BP474">
            <v>-84.270034728111185</v>
          </cell>
          <cell r="BQ474">
            <v>-85.355215101059841</v>
          </cell>
          <cell r="BR474">
            <v>-86.443666829035905</v>
          </cell>
          <cell r="BS474">
            <v>-86.594149160297036</v>
          </cell>
          <cell r="BT474">
            <v>-342.66306581850398</v>
          </cell>
          <cell r="BU474">
            <v>-86.636897847592678</v>
          </cell>
          <cell r="BV474">
            <v>-87.404828973030007</v>
          </cell>
          <cell r="BW474">
            <v>-88.168480954008658</v>
          </cell>
          <cell r="BX474">
            <v>-87.971640308910054</v>
          </cell>
          <cell r="BY474">
            <v>-350.18184808354135</v>
          </cell>
          <cell r="BZ474">
            <v>-88.233935591772706</v>
          </cell>
          <cell r="CA474">
            <v>-89.237812809833301</v>
          </cell>
          <cell r="CB474">
            <v>-90.242206514837406</v>
          </cell>
          <cell r="CC474">
            <v>-90.26596491423895</v>
          </cell>
          <cell r="CD474">
            <v>-357.97991983068238</v>
          </cell>
        </row>
        <row r="475">
          <cell r="A475" t="str">
            <v>Taxes other than income tax</v>
          </cell>
          <cell r="AA475">
            <v>-2201</v>
          </cell>
          <cell r="AF475">
            <v>-2471</v>
          </cell>
          <cell r="AK475">
            <v>-2990</v>
          </cell>
          <cell r="AP475">
            <v>-3574</v>
          </cell>
          <cell r="AQ475">
            <v>-780.3449865</v>
          </cell>
          <cell r="AR475">
            <v>-672.88329836000003</v>
          </cell>
          <cell r="AS475">
            <v>-591.79943460000004</v>
          </cell>
          <cell r="AT475">
            <v>-544.49355071999992</v>
          </cell>
          <cell r="AU475">
            <v>-2589.5212701800001</v>
          </cell>
          <cell r="AV475">
            <v>-549.00800645806498</v>
          </cell>
          <cell r="AW475">
            <v>-566.51619323453315</v>
          </cell>
          <cell r="AX475">
            <v>-585.9027684339776</v>
          </cell>
          <cell r="AY475">
            <v>-599.77784358770657</v>
          </cell>
          <cell r="AZ475">
            <v>-2301.2048117142822</v>
          </cell>
          <cell r="BA475">
            <v>-577.74977628731335</v>
          </cell>
          <cell r="BB475">
            <v>-566.68974195862836</v>
          </cell>
          <cell r="BC475">
            <v>-555.52077743458733</v>
          </cell>
          <cell r="BD475">
            <v>-547.94131980214252</v>
          </cell>
          <cell r="BE475">
            <v>-2247.9016154826713</v>
          </cell>
          <cell r="BF475">
            <v>-537.57457826610414</v>
          </cell>
          <cell r="BG475">
            <v>-537.01295170379694</v>
          </cell>
          <cell r="BH475">
            <v>-536.20422879911632</v>
          </cell>
          <cell r="BI475">
            <v>-538.99431569643161</v>
          </cell>
          <cell r="BJ475">
            <v>-2149.786074465449</v>
          </cell>
          <cell r="BK475">
            <v>-524.68415214768504</v>
          </cell>
          <cell r="BL475">
            <v>-528.8617383956946</v>
          </cell>
          <cell r="BM475">
            <v>-533.97319338218244</v>
          </cell>
          <cell r="BN475">
            <v>-533.26449589342826</v>
          </cell>
          <cell r="BO475">
            <v>-2120.7835798189903</v>
          </cell>
          <cell r="BP475">
            <v>-524.63184576415972</v>
          </cell>
          <cell r="BQ475">
            <v>-533.47394699246536</v>
          </cell>
          <cell r="BR475">
            <v>-542.40254299935077</v>
          </cell>
          <cell r="BS475">
            <v>-545.48921370015853</v>
          </cell>
          <cell r="BT475">
            <v>-2145.9975494561345</v>
          </cell>
          <cell r="BU475">
            <v>-534.59098065653268</v>
          </cell>
          <cell r="BV475">
            <v>-541.50591732724854</v>
          </cell>
          <cell r="BW475">
            <v>-548.4464656350176</v>
          </cell>
          <cell r="BX475">
            <v>-549.44057873130225</v>
          </cell>
          <cell r="BY475">
            <v>-2173.9839423501012</v>
          </cell>
          <cell r="BZ475">
            <v>-539.79644437912941</v>
          </cell>
          <cell r="CA475">
            <v>-548.13460259412966</v>
          </cell>
          <cell r="CB475">
            <v>-556.53909035492109</v>
          </cell>
          <cell r="CC475">
            <v>-558.93510838924828</v>
          </cell>
          <cell r="CD475">
            <v>-2203.4052457174284</v>
          </cell>
        </row>
        <row r="476">
          <cell r="A476" t="str">
            <v>Exploration expense</v>
          </cell>
          <cell r="AA476">
            <v>-13</v>
          </cell>
          <cell r="AF476">
            <v>-19</v>
          </cell>
          <cell r="AK476">
            <v>-13</v>
          </cell>
          <cell r="AP476">
            <v>-17</v>
          </cell>
          <cell r="AQ476">
            <v>-4</v>
          </cell>
          <cell r="AR476">
            <v>-4</v>
          </cell>
          <cell r="AS476">
            <v>-4</v>
          </cell>
          <cell r="AT476">
            <v>-4</v>
          </cell>
          <cell r="AU476">
            <v>-16</v>
          </cell>
          <cell r="AV476">
            <v>-4</v>
          </cell>
          <cell r="AW476">
            <v>-4</v>
          </cell>
          <cell r="AX476">
            <v>-4</v>
          </cell>
          <cell r="AY476">
            <v>-4</v>
          </cell>
          <cell r="AZ476">
            <v>-16</v>
          </cell>
          <cell r="BA476">
            <v>-4</v>
          </cell>
          <cell r="BB476">
            <v>-4</v>
          </cell>
          <cell r="BC476">
            <v>-4</v>
          </cell>
          <cell r="BD476">
            <v>-4</v>
          </cell>
          <cell r="BE476">
            <v>-16</v>
          </cell>
          <cell r="BF476">
            <v>-4</v>
          </cell>
          <cell r="BG476">
            <v>-4</v>
          </cell>
          <cell r="BH476">
            <v>-4</v>
          </cell>
          <cell r="BI476">
            <v>-4</v>
          </cell>
          <cell r="BJ476">
            <v>-16</v>
          </cell>
          <cell r="BK476">
            <v>-4</v>
          </cell>
          <cell r="BL476">
            <v>-4</v>
          </cell>
          <cell r="BM476">
            <v>-4</v>
          </cell>
          <cell r="BN476">
            <v>-4</v>
          </cell>
          <cell r="BO476">
            <v>-16</v>
          </cell>
          <cell r="BP476">
            <v>-4</v>
          </cell>
          <cell r="BQ476">
            <v>-4</v>
          </cell>
          <cell r="BR476">
            <v>-4</v>
          </cell>
          <cell r="BS476">
            <v>-4</v>
          </cell>
          <cell r="BT476">
            <v>-16</v>
          </cell>
          <cell r="BU476">
            <v>-4</v>
          </cell>
          <cell r="BV476">
            <v>-4</v>
          </cell>
          <cell r="BW476">
            <v>-4</v>
          </cell>
          <cell r="BX476">
            <v>-4</v>
          </cell>
          <cell r="BY476">
            <v>-16</v>
          </cell>
          <cell r="BZ476">
            <v>-4</v>
          </cell>
          <cell r="CA476">
            <v>-4</v>
          </cell>
          <cell r="CB476">
            <v>-4</v>
          </cell>
          <cell r="CC476">
            <v>-4</v>
          </cell>
          <cell r="CD476">
            <v>-16</v>
          </cell>
        </row>
        <row r="477">
          <cell r="A477" t="str">
            <v>DD&amp;A</v>
          </cell>
          <cell r="AA477">
            <v>-300</v>
          </cell>
          <cell r="AF477">
            <v>-247</v>
          </cell>
          <cell r="AK477">
            <v>-237</v>
          </cell>
          <cell r="AP477">
            <v>-209</v>
          </cell>
          <cell r="AQ477">
            <v>-51.768929033591988</v>
          </cell>
          <cell r="AR477">
            <v>-47.581556886291054</v>
          </cell>
          <cell r="AS477">
            <v>-43.289512596794594</v>
          </cell>
          <cell r="AT477">
            <v>-38.474594055800416</v>
          </cell>
          <cell r="AU477">
            <v>-181.11459257247805</v>
          </cell>
          <cell r="AV477">
            <v>-41.887207540383585</v>
          </cell>
          <cell r="AW477">
            <v>-43.426877024137923</v>
          </cell>
          <cell r="AX477">
            <v>-44.990156531334883</v>
          </cell>
          <cell r="AY477">
            <v>-46.076217609695149</v>
          </cell>
          <cell r="AZ477">
            <v>-176.38045870555152</v>
          </cell>
          <cell r="BA477">
            <v>-47.944443988409169</v>
          </cell>
          <cell r="BB477">
            <v>-47.82155475754422</v>
          </cell>
          <cell r="BC477">
            <v>-47.684256619532434</v>
          </cell>
          <cell r="BD477">
            <v>-47.0214468907784</v>
          </cell>
          <cell r="BE477">
            <v>-190.47170225626422</v>
          </cell>
          <cell r="BF477">
            <v>-49.595198616712601</v>
          </cell>
          <cell r="BG477">
            <v>-50.414664438541273</v>
          </cell>
          <cell r="BH477">
            <v>-51.240029338598966</v>
          </cell>
          <cell r="BI477">
            <v>-51.511386937134212</v>
          </cell>
          <cell r="BJ477">
            <v>-202.76127933098704</v>
          </cell>
          <cell r="BK477">
            <v>-53.510798254619488</v>
          </cell>
          <cell r="BL477">
            <v>-53.819254383446001</v>
          </cell>
          <cell r="BM477">
            <v>-54.121422417849985</v>
          </cell>
          <cell r="BN477">
            <v>-53.832170074413909</v>
          </cell>
          <cell r="BO477">
            <v>-215.28364513032938</v>
          </cell>
          <cell r="BP477">
            <v>-56.090493751928072</v>
          </cell>
          <cell r="BQ477">
            <v>-56.812794426479542</v>
          </cell>
          <cell r="BR477">
            <v>-57.537272528859532</v>
          </cell>
          <cell r="BS477">
            <v>-57.637434208970497</v>
          </cell>
          <cell r="BT477">
            <v>-228.07799491623763</v>
          </cell>
          <cell r="BU477">
            <v>-59.60588246238887</v>
          </cell>
          <cell r="BV477">
            <v>-60.134216388686056</v>
          </cell>
          <cell r="BW477">
            <v>-60.659606278574046</v>
          </cell>
          <cell r="BX477">
            <v>-60.524180603751198</v>
          </cell>
          <cell r="BY477">
            <v>-240.92388573340017</v>
          </cell>
          <cell r="BZ477">
            <v>-62.549079439501497</v>
          </cell>
          <cell r="CA477">
            <v>-63.260728482909144</v>
          </cell>
          <cell r="CB477">
            <v>-63.972743664159836</v>
          </cell>
          <cell r="CC477">
            <v>-63.989586004938978</v>
          </cell>
          <cell r="CD477">
            <v>-253.77213759150948</v>
          </cell>
        </row>
        <row r="478">
          <cell r="A478" t="str">
            <v>Other income/(cost)</v>
          </cell>
          <cell r="AA478">
            <v>332</v>
          </cell>
          <cell r="AF478">
            <v>337</v>
          </cell>
          <cell r="AK478">
            <v>349</v>
          </cell>
          <cell r="AP478">
            <v>390</v>
          </cell>
          <cell r="AQ478">
            <v>75</v>
          </cell>
          <cell r="AR478">
            <v>75</v>
          </cell>
          <cell r="AS478">
            <v>75</v>
          </cell>
          <cell r="AT478">
            <v>75</v>
          </cell>
          <cell r="AU478">
            <v>300</v>
          </cell>
          <cell r="AV478">
            <v>75</v>
          </cell>
          <cell r="AW478">
            <v>75</v>
          </cell>
          <cell r="AX478">
            <v>75</v>
          </cell>
          <cell r="AY478">
            <v>75</v>
          </cell>
          <cell r="AZ478">
            <v>300</v>
          </cell>
          <cell r="BA478">
            <v>75</v>
          </cell>
          <cell r="BB478">
            <v>75</v>
          </cell>
          <cell r="BC478">
            <v>75</v>
          </cell>
          <cell r="BD478">
            <v>75</v>
          </cell>
          <cell r="BE478">
            <v>300</v>
          </cell>
          <cell r="BF478">
            <v>75</v>
          </cell>
          <cell r="BG478">
            <v>75</v>
          </cell>
          <cell r="BH478">
            <v>75</v>
          </cell>
          <cell r="BI478">
            <v>75</v>
          </cell>
          <cell r="BJ478">
            <v>300</v>
          </cell>
          <cell r="BK478">
            <v>75</v>
          </cell>
          <cell r="BL478">
            <v>75</v>
          </cell>
          <cell r="BM478">
            <v>75</v>
          </cell>
          <cell r="BN478">
            <v>75</v>
          </cell>
          <cell r="BO478">
            <v>300</v>
          </cell>
          <cell r="BP478">
            <v>75</v>
          </cell>
          <cell r="BQ478">
            <v>75</v>
          </cell>
          <cell r="BR478">
            <v>75</v>
          </cell>
          <cell r="BS478">
            <v>75</v>
          </cell>
          <cell r="BT478">
            <v>300</v>
          </cell>
          <cell r="BU478">
            <v>75</v>
          </cell>
          <cell r="BV478">
            <v>75</v>
          </cell>
          <cell r="BW478">
            <v>75</v>
          </cell>
          <cell r="BX478">
            <v>75</v>
          </cell>
          <cell r="BY478">
            <v>300</v>
          </cell>
          <cell r="BZ478">
            <v>75</v>
          </cell>
          <cell r="CA478">
            <v>75</v>
          </cell>
          <cell r="CB478">
            <v>75</v>
          </cell>
          <cell r="CC478">
            <v>75</v>
          </cell>
          <cell r="CD478">
            <v>300</v>
          </cell>
        </row>
        <row r="479">
          <cell r="A479" t="str">
            <v>Earnings before tax</v>
          </cell>
          <cell r="AA479">
            <v>2449</v>
          </cell>
          <cell r="AF479">
            <v>2272</v>
          </cell>
          <cell r="AK479">
            <v>2444</v>
          </cell>
          <cell r="AP479">
            <v>2627</v>
          </cell>
          <cell r="AQ479">
            <v>704.06150570829732</v>
          </cell>
          <cell r="AR479">
            <v>608.51296232013351</v>
          </cell>
          <cell r="AS479">
            <v>539.64003733112872</v>
          </cell>
          <cell r="AT479">
            <v>506.03267833245212</v>
          </cell>
          <cell r="AU479">
            <v>2358.2471836920117</v>
          </cell>
          <cell r="AV479">
            <v>503.3079497986667</v>
          </cell>
          <cell r="AW479">
            <v>516.52653298154019</v>
          </cell>
          <cell r="AX479">
            <v>531.55772576766731</v>
          </cell>
          <cell r="AY479">
            <v>542.40697521415564</v>
          </cell>
          <cell r="AZ479">
            <v>2093.7991837620298</v>
          </cell>
          <cell r="BA479">
            <v>519.38814113357489</v>
          </cell>
          <cell r="BB479">
            <v>508.65968123823455</v>
          </cell>
          <cell r="BC479">
            <v>497.86116864061592</v>
          </cell>
          <cell r="BD479">
            <v>492.07007568976303</v>
          </cell>
          <cell r="BE479">
            <v>2017.9790667021882</v>
          </cell>
          <cell r="BF479">
            <v>478.48173528509636</v>
          </cell>
          <cell r="BG479">
            <v>475.7705732544195</v>
          </cell>
          <cell r="BH479">
            <v>472.79684104762754</v>
          </cell>
          <cell r="BI479">
            <v>474.87513159282474</v>
          </cell>
          <cell r="BJ479">
            <v>1901.9242811799684</v>
          </cell>
          <cell r="BK479">
            <v>458.7793478017623</v>
          </cell>
          <cell r="BL479">
            <v>462.16776387583144</v>
          </cell>
          <cell r="BM479">
            <v>466.50613647560488</v>
          </cell>
          <cell r="BN479">
            <v>466.53747719925576</v>
          </cell>
          <cell r="BO479">
            <v>1853.9907253524545</v>
          </cell>
          <cell r="BP479">
            <v>455.27131728412041</v>
          </cell>
          <cell r="BQ479">
            <v>462.30593746492605</v>
          </cell>
          <cell r="BR479">
            <v>469.42160364145531</v>
          </cell>
          <cell r="BS479">
            <v>472.25763033089095</v>
          </cell>
          <cell r="BT479">
            <v>1859.2564887213928</v>
          </cell>
          <cell r="BU479">
            <v>459.34820034655115</v>
          </cell>
          <cell r="BV479">
            <v>464.96687196553245</v>
          </cell>
          <cell r="BW479">
            <v>470.61837840243493</v>
          </cell>
          <cell r="BX479">
            <v>471.94475781864099</v>
          </cell>
          <cell r="BY479">
            <v>1866.8782085331598</v>
          </cell>
          <cell r="BZ479">
            <v>460.01342934785521</v>
          </cell>
          <cell r="CA479">
            <v>466.63606130138726</v>
          </cell>
          <cell r="CB479">
            <v>473.32414017592379</v>
          </cell>
          <cell r="CC479">
            <v>475.67955747007028</v>
          </cell>
          <cell r="CD479">
            <v>1875.6531882952368</v>
          </cell>
        </row>
        <row r="481">
          <cell r="A481" t="str">
            <v>Taxation</v>
          </cell>
          <cell r="AA481">
            <v>-940</v>
          </cell>
          <cell r="AF481">
            <v>-878</v>
          </cell>
          <cell r="AK481">
            <v>-940</v>
          </cell>
          <cell r="AP481">
            <v>-969</v>
          </cell>
          <cell r="AQ481">
            <v>-274.58398722623599</v>
          </cell>
          <cell r="AR481">
            <v>-237.32005530485208</v>
          </cell>
          <cell r="AS481">
            <v>-210.45961455914022</v>
          </cell>
          <cell r="AT481">
            <v>-197.35274454965634</v>
          </cell>
          <cell r="AU481">
            <v>-919.71640163988468</v>
          </cell>
          <cell r="AV481">
            <v>-196.29010042148002</v>
          </cell>
          <cell r="AW481">
            <v>-201.44534786280067</v>
          </cell>
          <cell r="AX481">
            <v>-207.30751304939025</v>
          </cell>
          <cell r="AY481">
            <v>-211.5387203335207</v>
          </cell>
          <cell r="AZ481">
            <v>-816.58168166719167</v>
          </cell>
          <cell r="BA481">
            <v>-202.56137504209423</v>
          </cell>
          <cell r="BB481">
            <v>-198.37727568291149</v>
          </cell>
          <cell r="BC481">
            <v>-194.16585576984022</v>
          </cell>
          <cell r="BD481">
            <v>-191.90732951900759</v>
          </cell>
          <cell r="BE481">
            <v>-787.01183601385355</v>
          </cell>
          <cell r="BF481">
            <v>-186.60787676118758</v>
          </cell>
          <cell r="BG481">
            <v>-185.5505235692236</v>
          </cell>
          <cell r="BH481">
            <v>-184.39076800857475</v>
          </cell>
          <cell r="BI481">
            <v>-185.20130132120167</v>
          </cell>
          <cell r="BJ481">
            <v>-741.7504696601876</v>
          </cell>
          <cell r="BK481">
            <v>-178.9239456426873</v>
          </cell>
          <cell r="BL481">
            <v>-180.24542791157427</v>
          </cell>
          <cell r="BM481">
            <v>-181.93739322548592</v>
          </cell>
          <cell r="BN481">
            <v>-181.94961610770974</v>
          </cell>
          <cell r="BO481">
            <v>-723.05638288745729</v>
          </cell>
          <cell r="BP481">
            <v>-177.55581374080697</v>
          </cell>
          <cell r="BQ481">
            <v>-180.29931561132116</v>
          </cell>
          <cell r="BR481">
            <v>-183.07442542016759</v>
          </cell>
          <cell r="BS481">
            <v>-184.18047582904748</v>
          </cell>
          <cell r="BT481">
            <v>-725.11003060134317</v>
          </cell>
          <cell r="BU481">
            <v>-179.14579813515496</v>
          </cell>
          <cell r="BV481">
            <v>-181.33708006655766</v>
          </cell>
          <cell r="BW481">
            <v>-183.54116757694962</v>
          </cell>
          <cell r="BX481">
            <v>-184.05845554927001</v>
          </cell>
          <cell r="BY481">
            <v>-728.08250132793228</v>
          </cell>
          <cell r="BZ481">
            <v>-179.40523744566354</v>
          </cell>
          <cell r="CA481">
            <v>-181.98806390754103</v>
          </cell>
          <cell r="CB481">
            <v>-184.59641466861029</v>
          </cell>
          <cell r="CC481">
            <v>-185.5150274133274</v>
          </cell>
          <cell r="CD481">
            <v>-731.50474343514236</v>
          </cell>
        </row>
        <row r="482">
          <cell r="A482" t="str">
            <v>Earnings after tax</v>
          </cell>
          <cell r="G482">
            <v>2854</v>
          </cell>
          <cell r="L482">
            <v>1411</v>
          </cell>
          <cell r="Q482">
            <v>1667</v>
          </cell>
          <cell r="V482">
            <v>2519</v>
          </cell>
          <cell r="AA482">
            <v>1509</v>
          </cell>
          <cell r="AF482">
            <v>1394</v>
          </cell>
          <cell r="AK482">
            <v>1504</v>
          </cell>
          <cell r="AP482">
            <v>1658</v>
          </cell>
          <cell r="AQ482">
            <v>429.47751848206133</v>
          </cell>
          <cell r="AR482">
            <v>371.19290701528143</v>
          </cell>
          <cell r="AS482">
            <v>329.1804227719885</v>
          </cell>
          <cell r="AT482">
            <v>308.67993378279579</v>
          </cell>
          <cell r="AU482">
            <v>1438.5307820521271</v>
          </cell>
          <cell r="AV482">
            <v>307.01784937718668</v>
          </cell>
          <cell r="AW482">
            <v>315.08118511873954</v>
          </cell>
          <cell r="AX482">
            <v>324.25021271827706</v>
          </cell>
          <cell r="AY482">
            <v>330.86825488063494</v>
          </cell>
          <cell r="AZ482">
            <v>1277.217502094838</v>
          </cell>
          <cell r="BA482">
            <v>316.82676609148064</v>
          </cell>
          <cell r="BB482">
            <v>310.28240555532307</v>
          </cell>
          <cell r="BC482">
            <v>303.69531287077569</v>
          </cell>
          <cell r="BD482">
            <v>300.16274617075544</v>
          </cell>
          <cell r="BE482">
            <v>1230.9672306883347</v>
          </cell>
          <cell r="BF482">
            <v>291.87385852390878</v>
          </cell>
          <cell r="BG482">
            <v>290.22004968519593</v>
          </cell>
          <cell r="BH482">
            <v>288.40607303905279</v>
          </cell>
          <cell r="BI482">
            <v>289.67383027162305</v>
          </cell>
          <cell r="BJ482">
            <v>1160.1738115197809</v>
          </cell>
          <cell r="BK482">
            <v>279.85540215907497</v>
          </cell>
          <cell r="BL482">
            <v>281.92233596425717</v>
          </cell>
          <cell r="BM482">
            <v>284.56874325011893</v>
          </cell>
          <cell r="BN482">
            <v>284.58786109154602</v>
          </cell>
          <cell r="BO482">
            <v>1130.9343424649974</v>
          </cell>
          <cell r="BP482">
            <v>277.71550354331345</v>
          </cell>
          <cell r="BQ482">
            <v>282.00662185360488</v>
          </cell>
          <cell r="BR482">
            <v>286.34717822128772</v>
          </cell>
          <cell r="BS482">
            <v>288.07715450184344</v>
          </cell>
          <cell r="BT482">
            <v>1134.1464581200496</v>
          </cell>
          <cell r="BU482">
            <v>280.20240221139619</v>
          </cell>
          <cell r="BV482">
            <v>283.62979189897476</v>
          </cell>
          <cell r="BW482">
            <v>287.07721082548528</v>
          </cell>
          <cell r="BX482">
            <v>287.88630226937096</v>
          </cell>
          <cell r="BY482">
            <v>1138.7957072052275</v>
          </cell>
          <cell r="BZ482">
            <v>280.60819190219166</v>
          </cell>
          <cell r="CA482">
            <v>284.64799739384625</v>
          </cell>
          <cell r="CB482">
            <v>288.72772550731349</v>
          </cell>
          <cell r="CC482">
            <v>290.16453005674288</v>
          </cell>
          <cell r="CD482">
            <v>1144.1484448600945</v>
          </cell>
        </row>
        <row r="484">
          <cell r="A484" t="str">
            <v>Production</v>
          </cell>
        </row>
        <row r="485">
          <cell r="B485" t="str">
            <v>Oil and NGL (kbbl/d)</v>
          </cell>
          <cell r="C485">
            <v>10</v>
          </cell>
          <cell r="D485">
            <v>9</v>
          </cell>
          <cell r="E485">
            <v>8</v>
          </cell>
          <cell r="F485">
            <v>8</v>
          </cell>
          <cell r="G485">
            <v>7</v>
          </cell>
          <cell r="L485">
            <v>6</v>
          </cell>
          <cell r="Q485">
            <v>6</v>
          </cell>
          <cell r="V485">
            <v>5</v>
          </cell>
          <cell r="AA485">
            <v>5</v>
          </cell>
          <cell r="AF485">
            <v>5</v>
          </cell>
          <cell r="AK485">
            <v>5</v>
          </cell>
          <cell r="AP485">
            <v>4</v>
          </cell>
          <cell r="AQ485">
            <v>5</v>
          </cell>
          <cell r="AR485">
            <v>5</v>
          </cell>
          <cell r="AS485">
            <v>5</v>
          </cell>
          <cell r="AT485">
            <v>5</v>
          </cell>
          <cell r="AU485">
            <v>5</v>
          </cell>
          <cell r="AV485">
            <v>5</v>
          </cell>
          <cell r="AW485">
            <v>5</v>
          </cell>
          <cell r="AX485">
            <v>5</v>
          </cell>
          <cell r="AY485">
            <v>5</v>
          </cell>
          <cell r="AZ485">
            <v>5</v>
          </cell>
          <cell r="BA485">
            <v>5</v>
          </cell>
          <cell r="BB485">
            <v>5</v>
          </cell>
          <cell r="BC485">
            <v>5</v>
          </cell>
          <cell r="BD485">
            <v>5</v>
          </cell>
          <cell r="BE485">
            <v>5</v>
          </cell>
          <cell r="BF485">
            <v>5</v>
          </cell>
          <cell r="BG485">
            <v>5</v>
          </cell>
          <cell r="BH485">
            <v>5</v>
          </cell>
          <cell r="BI485">
            <v>5</v>
          </cell>
          <cell r="BJ485">
            <v>5</v>
          </cell>
          <cell r="BK485">
            <v>5</v>
          </cell>
          <cell r="BL485">
            <v>5</v>
          </cell>
          <cell r="BM485">
            <v>5</v>
          </cell>
          <cell r="BN485">
            <v>5</v>
          </cell>
          <cell r="BO485">
            <v>5</v>
          </cell>
          <cell r="BP485">
            <v>5</v>
          </cell>
          <cell r="BQ485">
            <v>5</v>
          </cell>
          <cell r="BR485">
            <v>5</v>
          </cell>
          <cell r="BS485">
            <v>5</v>
          </cell>
          <cell r="BT485">
            <v>5</v>
          </cell>
          <cell r="BU485">
            <v>5</v>
          </cell>
          <cell r="BV485">
            <v>5</v>
          </cell>
          <cell r="BW485">
            <v>5</v>
          </cell>
          <cell r="BX485">
            <v>5</v>
          </cell>
          <cell r="BY485">
            <v>5</v>
          </cell>
          <cell r="BZ485">
            <v>5</v>
          </cell>
          <cell r="CA485">
            <v>5</v>
          </cell>
          <cell r="CB485">
            <v>5</v>
          </cell>
          <cell r="CC485">
            <v>5</v>
          </cell>
          <cell r="CD485">
            <v>5</v>
          </cell>
        </row>
        <row r="486">
          <cell r="B486" t="str">
            <v>Natural gas (mmcf/d)</v>
          </cell>
          <cell r="C486">
            <v>1575</v>
          </cell>
          <cell r="D486">
            <v>1549</v>
          </cell>
          <cell r="E486">
            <v>1545</v>
          </cell>
          <cell r="F486">
            <v>1685</v>
          </cell>
          <cell r="G486">
            <v>1573</v>
          </cell>
          <cell r="L486">
            <v>1548</v>
          </cell>
          <cell r="Q486">
            <v>1537</v>
          </cell>
          <cell r="V486">
            <v>1741</v>
          </cell>
          <cell r="AA486">
            <v>1639</v>
          </cell>
          <cell r="AF486">
            <v>1997</v>
          </cell>
          <cell r="AK486">
            <v>1767</v>
          </cell>
          <cell r="AP486">
            <v>1808</v>
          </cell>
          <cell r="AQ486">
            <v>1654.798</v>
          </cell>
          <cell r="AR486">
            <v>1501.596</v>
          </cell>
          <cell r="AS486">
            <v>1348.394</v>
          </cell>
          <cell r="AT486">
            <v>1195.192</v>
          </cell>
          <cell r="AU486">
            <v>1424.9949999999999</v>
          </cell>
          <cell r="AV486">
            <v>1227.0512000000001</v>
          </cell>
          <cell r="AW486">
            <v>1258.9104000000002</v>
          </cell>
          <cell r="AX486">
            <v>1290.7696000000003</v>
          </cell>
          <cell r="AY486">
            <v>1322.6288000000004</v>
          </cell>
          <cell r="AZ486">
            <v>1274.8400000000001</v>
          </cell>
          <cell r="BA486">
            <v>1304.5932800000003</v>
          </cell>
          <cell r="BB486">
            <v>1286.5577600000001</v>
          </cell>
          <cell r="BC486">
            <v>1268.52224</v>
          </cell>
          <cell r="BD486">
            <v>1250.4867199999999</v>
          </cell>
          <cell r="BE486">
            <v>1277.54</v>
          </cell>
          <cell r="BF486">
            <v>1257.372032</v>
          </cell>
          <cell r="BG486">
            <v>1264.2573440000001</v>
          </cell>
          <cell r="BH486">
            <v>1271.1426560000002</v>
          </cell>
          <cell r="BI486">
            <v>1278.0279680000003</v>
          </cell>
          <cell r="BJ486">
            <v>1267.7</v>
          </cell>
          <cell r="BK486">
            <v>1271.1527808000001</v>
          </cell>
          <cell r="BL486">
            <v>1264.2775935999998</v>
          </cell>
          <cell r="BM486">
            <v>1257.4024063999996</v>
          </cell>
          <cell r="BN486">
            <v>1250.5272191999993</v>
          </cell>
          <cell r="BO486">
            <v>1260.8399999999999</v>
          </cell>
          <cell r="BP486">
            <v>1252.7663315199995</v>
          </cell>
          <cell r="BQ486">
            <v>1255.0054438399998</v>
          </cell>
          <cell r="BR486">
            <v>1257.24455616</v>
          </cell>
          <cell r="BS486">
            <v>1259.4836684800002</v>
          </cell>
          <cell r="BT486">
            <v>1256.125</v>
          </cell>
          <cell r="BU486">
            <v>1256.6262010880002</v>
          </cell>
          <cell r="BV486">
            <v>1253.7687336960003</v>
          </cell>
          <cell r="BW486">
            <v>1250.9112663040003</v>
          </cell>
          <cell r="BX486">
            <v>1248.0537989120003</v>
          </cell>
          <cell r="BY486">
            <v>1252.3400000000001</v>
          </cell>
          <cell r="BZ486">
            <v>1248.3902793472002</v>
          </cell>
          <cell r="CA486">
            <v>1248.7267597824002</v>
          </cell>
          <cell r="CB486">
            <v>1249.0632402176002</v>
          </cell>
          <cell r="CC486">
            <v>1249.3997206528002</v>
          </cell>
          <cell r="CD486">
            <v>1248.895</v>
          </cell>
        </row>
        <row r="487">
          <cell r="B487" t="str">
            <v>Total</v>
          </cell>
          <cell r="C487">
            <v>281.55172413793105</v>
          </cell>
          <cell r="D487">
            <v>276.06896551724139</v>
          </cell>
          <cell r="E487">
            <v>274.37931034482762</v>
          </cell>
          <cell r="F487">
            <v>298.51724137931035</v>
          </cell>
          <cell r="G487">
            <v>278.20689655172413</v>
          </cell>
          <cell r="L487">
            <v>272.89655172413796</v>
          </cell>
          <cell r="Q487">
            <v>271</v>
          </cell>
          <cell r="V487">
            <v>305.17241379310343</v>
          </cell>
          <cell r="AA487">
            <v>287.58620689655174</v>
          </cell>
          <cell r="AF487">
            <v>349.31034482758622</v>
          </cell>
          <cell r="AK487">
            <v>309.65517241379314</v>
          </cell>
          <cell r="AP487">
            <v>315.72413793103448</v>
          </cell>
          <cell r="AQ487">
            <v>290.31</v>
          </cell>
          <cell r="AR487">
            <v>263.89586206896553</v>
          </cell>
          <cell r="AS487">
            <v>237.48172413793105</v>
          </cell>
          <cell r="AT487">
            <v>211.06758620689655</v>
          </cell>
          <cell r="AU487">
            <v>250.68879310344826</v>
          </cell>
          <cell r="AV487">
            <v>216.56055172413795</v>
          </cell>
          <cell r="AW487">
            <v>222.05351724137935</v>
          </cell>
          <cell r="AX487">
            <v>227.54648275862075</v>
          </cell>
          <cell r="AY487">
            <v>233.03944827586216</v>
          </cell>
          <cell r="AZ487">
            <v>224.80000000000004</v>
          </cell>
          <cell r="BA487">
            <v>229.92987586206903</v>
          </cell>
          <cell r="BB487">
            <v>226.82030344827589</v>
          </cell>
          <cell r="BC487">
            <v>223.71073103448276</v>
          </cell>
          <cell r="BD487">
            <v>220.60115862068963</v>
          </cell>
          <cell r="BE487">
            <v>225.26551724137931</v>
          </cell>
          <cell r="BF487">
            <v>221.78828137931035</v>
          </cell>
          <cell r="BG487">
            <v>222.97540413793106</v>
          </cell>
          <cell r="BH487">
            <v>224.16252689655178</v>
          </cell>
          <cell r="BI487">
            <v>225.34964965517247</v>
          </cell>
          <cell r="BJ487">
            <v>223.56896551724139</v>
          </cell>
          <cell r="BK487">
            <v>224.16427255172417</v>
          </cell>
          <cell r="BL487">
            <v>222.97889544827584</v>
          </cell>
          <cell r="BM487">
            <v>221.7935183448275</v>
          </cell>
          <cell r="BN487">
            <v>220.6081412413792</v>
          </cell>
          <cell r="BO487">
            <v>222.38620689655173</v>
          </cell>
          <cell r="BP487">
            <v>220.99419508965511</v>
          </cell>
          <cell r="BQ487">
            <v>221.38024893793101</v>
          </cell>
          <cell r="BR487">
            <v>221.76630278620689</v>
          </cell>
          <cell r="BS487">
            <v>222.1523566344828</v>
          </cell>
          <cell r="BT487">
            <v>221.57327586206898</v>
          </cell>
          <cell r="BU487">
            <v>221.65968984275867</v>
          </cell>
          <cell r="BV487">
            <v>221.16702305103453</v>
          </cell>
          <cell r="BW487">
            <v>220.6743562593104</v>
          </cell>
          <cell r="BX487">
            <v>220.18168946758627</v>
          </cell>
          <cell r="BY487">
            <v>220.92068965517245</v>
          </cell>
          <cell r="BZ487">
            <v>220.23970333572419</v>
          </cell>
          <cell r="CA487">
            <v>220.29771720386211</v>
          </cell>
          <cell r="CB487">
            <v>220.35573107200005</v>
          </cell>
          <cell r="CC487">
            <v>220.41374494013797</v>
          </cell>
          <cell r="CD487">
            <v>220.32672413793105</v>
          </cell>
        </row>
        <row r="489">
          <cell r="A489" t="str">
            <v>Realise price</v>
          </cell>
        </row>
        <row r="490">
          <cell r="B490" t="str">
            <v>Oil and NGL ($/bbl)</v>
          </cell>
          <cell r="AA490">
            <v>55.53</v>
          </cell>
          <cell r="AF490">
            <v>73.489999999999995</v>
          </cell>
          <cell r="AK490">
            <v>106.71</v>
          </cell>
          <cell r="AP490">
            <v>108.06</v>
          </cell>
          <cell r="AQ490">
            <v>108.96</v>
          </cell>
          <cell r="AR490">
            <v>98.69</v>
          </cell>
          <cell r="AS490">
            <v>105.48</v>
          </cell>
          <cell r="AT490">
            <v>106.06</v>
          </cell>
          <cell r="AU490">
            <v>105.06</v>
          </cell>
          <cell r="AV490">
            <v>103.28983859732796</v>
          </cell>
          <cell r="AW490">
            <v>103.28983859732796</v>
          </cell>
          <cell r="AX490">
            <v>103.28983859732796</v>
          </cell>
          <cell r="AY490">
            <v>103.28983859732796</v>
          </cell>
          <cell r="AZ490">
            <v>103.28983859732796</v>
          </cell>
          <cell r="BA490">
            <v>97.487701067765244</v>
          </cell>
          <cell r="BB490">
            <v>97.487701067765244</v>
          </cell>
          <cell r="BC490">
            <v>97.487701067765244</v>
          </cell>
          <cell r="BD490">
            <v>97.487701067765244</v>
          </cell>
          <cell r="BE490">
            <v>97.487701067765244</v>
          </cell>
          <cell r="BF490">
            <v>91.773771710104668</v>
          </cell>
          <cell r="BG490">
            <v>91.773771710104668</v>
          </cell>
          <cell r="BH490">
            <v>91.773771710104668</v>
          </cell>
          <cell r="BI490">
            <v>91.773771710104668</v>
          </cell>
          <cell r="BJ490">
            <v>91.773771710104668</v>
          </cell>
          <cell r="BK490">
            <v>92.362764632177658</v>
          </cell>
          <cell r="BL490">
            <v>92.955404743508183</v>
          </cell>
          <cell r="BM490">
            <v>93.551714628390528</v>
          </cell>
          <cell r="BN490">
            <v>94.151717010966465</v>
          </cell>
          <cell r="BO490">
            <v>93.255400253760712</v>
          </cell>
          <cell r="BP490">
            <v>94.755434756091276</v>
          </cell>
          <cell r="BQ490">
            <v>95.362890870205064</v>
          </cell>
          <cell r="BR490">
            <v>95.974108502209447</v>
          </cell>
          <cell r="BS490">
            <v>96.589110944349784</v>
          </cell>
          <cell r="BT490">
            <v>95.670386268213889</v>
          </cell>
          <cell r="BU490">
            <v>97.207921633102714</v>
          </cell>
          <cell r="BV490">
            <v>97.83056415006935</v>
          </cell>
          <cell r="BW490">
            <v>98.457062222873844</v>
          </cell>
          <cell r="BX490">
            <v>99.087439726067686</v>
          </cell>
          <cell r="BY490">
            <v>98.145746933028391</v>
          </cell>
          <cell r="BZ490">
            <v>99.721720682039447</v>
          </cell>
          <cell r="CA490">
            <v>100.35992926193023</v>
          </cell>
          <cell r="CB490">
            <v>101.00208978655485</v>
          </cell>
          <cell r="CC490">
            <v>101.64822672732852</v>
          </cell>
          <cell r="CD490">
            <v>100.68299161446326</v>
          </cell>
        </row>
        <row r="491">
          <cell r="B491" t="str">
            <v>Natural gas ($/mmcf)</v>
          </cell>
          <cell r="AA491">
            <v>7.53</v>
          </cell>
          <cell r="AF491">
            <v>6.85</v>
          </cell>
          <cell r="AK491">
            <v>8.98</v>
          </cell>
          <cell r="AP491">
            <v>9.56</v>
          </cell>
          <cell r="AQ491">
            <v>10.15</v>
          </cell>
          <cell r="AR491">
            <v>9.52</v>
          </cell>
          <cell r="AS491">
            <v>9.15</v>
          </cell>
          <cell r="AT491">
            <v>9.4600000000000009</v>
          </cell>
          <cell r="AU491">
            <v>9.65</v>
          </cell>
          <cell r="AV491">
            <v>9.5217939791784509</v>
          </cell>
          <cell r="AW491">
            <v>9.4799885304206502</v>
          </cell>
          <cell r="AX491">
            <v>9.4676598458003873</v>
          </cell>
          <cell r="AY491">
            <v>9.4676598458003873</v>
          </cell>
          <cell r="AZ491">
            <v>9.4842755502999694</v>
          </cell>
          <cell r="BA491">
            <v>9.4676598458003873</v>
          </cell>
          <cell r="BB491">
            <v>9.3017829981823059</v>
          </cell>
          <cell r="BC491">
            <v>9.1359061505642245</v>
          </cell>
          <cell r="BD491">
            <v>9.1359061505642245</v>
          </cell>
          <cell r="BE491">
            <v>9.260313786277786</v>
          </cell>
          <cell r="BF491">
            <v>9.1359061505642245</v>
          </cell>
          <cell r="BG491">
            <v>8.9725510793457417</v>
          </cell>
          <cell r="BH491">
            <v>8.8091960081272589</v>
          </cell>
          <cell r="BI491">
            <v>8.8091960081272589</v>
          </cell>
          <cell r="BJ491">
            <v>8.931712311541121</v>
          </cell>
          <cell r="BK491">
            <v>8.8091960081272589</v>
          </cell>
          <cell r="BL491">
            <v>8.8260346798555709</v>
          </cell>
          <cell r="BM491">
            <v>8.8598162925153368</v>
          </cell>
          <cell r="BN491">
            <v>8.8938070892419674</v>
          </cell>
          <cell r="BO491">
            <v>8.8472135174350335</v>
          </cell>
          <cell r="BP491">
            <v>8.9280083653547315</v>
          </cell>
          <cell r="BQ491">
            <v>8.9624214241938382</v>
          </cell>
          <cell r="BR491">
            <v>8.9970475771700968</v>
          </cell>
          <cell r="BS491">
            <v>9.0318881438148928</v>
          </cell>
          <cell r="BT491">
            <v>8.9798413776333899</v>
          </cell>
          <cell r="BU491">
            <v>9.06694445183048</v>
          </cell>
          <cell r="BV491">
            <v>9.1022178371405644</v>
          </cell>
          <cell r="BW491">
            <v>9.1377096439412284</v>
          </cell>
          <cell r="BX491">
            <v>9.1734212247521434</v>
          </cell>
          <cell r="BY491">
            <v>9.120073289416105</v>
          </cell>
          <cell r="BZ491">
            <v>9.2093539404681195</v>
          </cell>
          <cell r="CA491">
            <v>9.2455091604109558</v>
          </cell>
          <cell r="CB491">
            <v>9.281888262381635</v>
          </cell>
          <cell r="CC491">
            <v>9.3184926327128252</v>
          </cell>
          <cell r="CD491">
            <v>9.2638109989933834</v>
          </cell>
        </row>
        <row r="493">
          <cell r="A493" t="str">
            <v>Production x price</v>
          </cell>
          <cell r="AA493">
            <v>4606.0518000000002</v>
          </cell>
          <cell r="AF493">
            <v>5127.1184999999996</v>
          </cell>
          <cell r="AK493">
            <v>5986.4416499999998</v>
          </cell>
          <cell r="AP493">
            <v>6466.6028000000006</v>
          </cell>
          <cell r="AQ493">
            <v>1560.689973</v>
          </cell>
          <cell r="AR493">
            <v>1345.7665967200001</v>
          </cell>
          <cell r="AS493">
            <v>1183.5988692000001</v>
          </cell>
          <cell r="AT493">
            <v>1088.9871014399998</v>
          </cell>
          <cell r="AU493">
            <v>5179.0425403600002</v>
          </cell>
          <cell r="AV493">
            <v>1098.01601291613</v>
          </cell>
          <cell r="AW493">
            <v>1133.0323864690663</v>
          </cell>
          <cell r="AX493">
            <v>1171.8055368679552</v>
          </cell>
          <cell r="AY493">
            <v>1199.5556871754131</v>
          </cell>
          <cell r="AZ493">
            <v>4602.4096234285644</v>
          </cell>
          <cell r="BA493">
            <v>1155.4995525746267</v>
          </cell>
          <cell r="BB493">
            <v>1133.3794839172567</v>
          </cell>
          <cell r="BC493">
            <v>1111.0415548691747</v>
          </cell>
          <cell r="BD493">
            <v>1095.882639604285</v>
          </cell>
          <cell r="BE493">
            <v>4495.8032309653427</v>
          </cell>
          <cell r="BF493">
            <v>1075.1491565322083</v>
          </cell>
          <cell r="BG493">
            <v>1074.0259034075939</v>
          </cell>
          <cell r="BH493">
            <v>1072.4084575982326</v>
          </cell>
          <cell r="BI493">
            <v>1077.9886313928632</v>
          </cell>
          <cell r="BJ493">
            <v>4299.572148930898</v>
          </cell>
          <cell r="BK493">
            <v>1049.3683042953701</v>
          </cell>
          <cell r="BL493">
            <v>1057.7234767913892</v>
          </cell>
          <cell r="BM493">
            <v>1067.9463867643649</v>
          </cell>
          <cell r="BN493">
            <v>1066.5289917868565</v>
          </cell>
          <cell r="BO493">
            <v>4241.5671596379807</v>
          </cell>
          <cell r="BP493">
            <v>1049.2636915283194</v>
          </cell>
          <cell r="BQ493">
            <v>1066.9478939849307</v>
          </cell>
          <cell r="BR493">
            <v>1084.8050859987015</v>
          </cell>
          <cell r="BS493">
            <v>1090.9784274003171</v>
          </cell>
          <cell r="BT493">
            <v>4291.995098912269</v>
          </cell>
          <cell r="BU493">
            <v>1069.1819613130654</v>
          </cell>
          <cell r="BV493">
            <v>1083.0118346544971</v>
          </cell>
          <cell r="BW493">
            <v>1096.8929312700352</v>
          </cell>
          <cell r="BX493">
            <v>1098.8811574626045</v>
          </cell>
          <cell r="BY493">
            <v>4347.9678847002024</v>
          </cell>
          <cell r="BZ493">
            <v>1079.5928887582588</v>
          </cell>
          <cell r="CA493">
            <v>1096.2692051882593</v>
          </cell>
          <cell r="CB493">
            <v>1113.0781807098422</v>
          </cell>
          <cell r="CC493">
            <v>1117.8702167784966</v>
          </cell>
          <cell r="CD493">
            <v>4406.8104914348569</v>
          </cell>
        </row>
        <row r="494">
          <cell r="A494" t="str">
            <v>Difference with actual</v>
          </cell>
          <cell r="AA494">
            <v>7.7929692410319884E-2</v>
          </cell>
          <cell r="AF494">
            <v>-1.9527245176798491E-2</v>
          </cell>
          <cell r="AK494">
            <v>-4.9852928909780658E-2</v>
          </cell>
          <cell r="AP494">
            <v>-2.8767500610986652E-3</v>
          </cell>
          <cell r="AQ494">
            <v>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  <cell r="BC494">
            <v>0</v>
          </cell>
          <cell r="BD494">
            <v>0</v>
          </cell>
          <cell r="BE494">
            <v>0</v>
          </cell>
          <cell r="BF494">
            <v>0</v>
          </cell>
          <cell r="BG494">
            <v>0</v>
          </cell>
          <cell r="BH494">
            <v>0</v>
          </cell>
          <cell r="BI494">
            <v>0</v>
          </cell>
          <cell r="BJ494">
            <v>0</v>
          </cell>
          <cell r="BK494">
            <v>0</v>
          </cell>
          <cell r="BL494">
            <v>0</v>
          </cell>
          <cell r="BM494">
            <v>0</v>
          </cell>
          <cell r="BN494">
            <v>0</v>
          </cell>
          <cell r="BO494">
            <v>0</v>
          </cell>
          <cell r="BP494">
            <v>0</v>
          </cell>
          <cell r="BQ494">
            <v>0</v>
          </cell>
          <cell r="BR494">
            <v>0</v>
          </cell>
          <cell r="BS494">
            <v>0</v>
          </cell>
          <cell r="BT494">
            <v>0</v>
          </cell>
          <cell r="BU494">
            <v>0</v>
          </cell>
          <cell r="BV494">
            <v>0</v>
          </cell>
          <cell r="BW494">
            <v>0</v>
          </cell>
          <cell r="BX494">
            <v>0</v>
          </cell>
          <cell r="BY494">
            <v>0</v>
          </cell>
          <cell r="BZ494">
            <v>0</v>
          </cell>
          <cell r="CA494">
            <v>0</v>
          </cell>
          <cell r="CB494">
            <v>0</v>
          </cell>
          <cell r="CC494">
            <v>0</v>
          </cell>
          <cell r="CD494">
            <v>0</v>
          </cell>
        </row>
        <row r="496">
          <cell r="A496" t="str">
            <v>Per barrel of oil equivalent</v>
          </cell>
        </row>
        <row r="497">
          <cell r="B497" t="str">
            <v>Production cost excluding taxes</v>
          </cell>
          <cell r="AA497">
            <v>3.1818928418908703</v>
          </cell>
          <cell r="AF497">
            <v>2.7843513773005717</v>
          </cell>
          <cell r="AK497">
            <v>3.1232266528358297</v>
          </cell>
          <cell r="AP497">
            <v>3.566491319413275</v>
          </cell>
          <cell r="AQ497">
            <v>3.6556536023986066</v>
          </cell>
          <cell r="AR497">
            <v>3.6556536023986066</v>
          </cell>
          <cell r="AS497">
            <v>3.6556536023986066</v>
          </cell>
          <cell r="AT497">
            <v>3.6556536023986066</v>
          </cell>
          <cell r="AU497">
            <v>3.6556536023986066</v>
          </cell>
          <cell r="AV497">
            <v>3.8384362825185372</v>
          </cell>
          <cell r="AW497">
            <v>3.8384362825185372</v>
          </cell>
          <cell r="AX497">
            <v>3.8384362825185372</v>
          </cell>
          <cell r="AY497">
            <v>3.8384362825185372</v>
          </cell>
          <cell r="AZ497">
            <v>3.8384362825185372</v>
          </cell>
          <cell r="BA497">
            <v>3.9343971895815004</v>
          </cell>
          <cell r="BB497">
            <v>3.9343971895815004</v>
          </cell>
          <cell r="BC497">
            <v>3.9343971895815004</v>
          </cell>
          <cell r="BD497">
            <v>3.9343971895815004</v>
          </cell>
          <cell r="BE497">
            <v>3.9343971895815004</v>
          </cell>
          <cell r="BF497">
            <v>4.0327571193210376</v>
          </cell>
          <cell r="BG497">
            <v>4.0327571193210376</v>
          </cell>
          <cell r="BH497">
            <v>4.0327571193210376</v>
          </cell>
          <cell r="BI497">
            <v>4.0327571193210376</v>
          </cell>
          <cell r="BJ497">
            <v>4.0327571193210376</v>
          </cell>
          <cell r="BK497">
            <v>4.1335760473040635</v>
          </cell>
          <cell r="BL497">
            <v>4.1335760473040635</v>
          </cell>
          <cell r="BM497">
            <v>4.1335760473040635</v>
          </cell>
          <cell r="BN497">
            <v>4.1335760473040635</v>
          </cell>
          <cell r="BO497">
            <v>4.1335760473040635</v>
          </cell>
          <cell r="BP497">
            <v>4.2369154484866645</v>
          </cell>
          <cell r="BQ497">
            <v>4.2369154484866645</v>
          </cell>
          <cell r="BR497">
            <v>4.2369154484866645</v>
          </cell>
          <cell r="BS497">
            <v>4.2369154484866645</v>
          </cell>
          <cell r="BT497">
            <v>4.2369154484866645</v>
          </cell>
          <cell r="BU497">
            <v>4.3428383346988308</v>
          </cell>
          <cell r="BV497">
            <v>4.3428383346988308</v>
          </cell>
          <cell r="BW497">
            <v>4.3428383346988308</v>
          </cell>
          <cell r="BX497">
            <v>4.3428383346988308</v>
          </cell>
          <cell r="BY497">
            <v>4.3428383346988308</v>
          </cell>
          <cell r="BZ497">
            <v>4.451409293066301</v>
          </cell>
          <cell r="CA497">
            <v>4.451409293066301</v>
          </cell>
          <cell r="CB497">
            <v>4.451409293066301</v>
          </cell>
          <cell r="CC497">
            <v>4.451409293066301</v>
          </cell>
          <cell r="CD497">
            <v>4.451409293066301</v>
          </cell>
        </row>
        <row r="498">
          <cell r="B498" t="str">
            <v>Taxes other than income tax</v>
          </cell>
          <cell r="AA498">
            <v>20.968102230544329</v>
          </cell>
          <cell r="AF498">
            <v>19.380654234675248</v>
          </cell>
          <cell r="AK498">
            <v>26.454526039600939</v>
          </cell>
          <cell r="AP498">
            <v>31.013722568328578</v>
          </cell>
          <cell r="AQ498">
            <v>29.866349247356272</v>
          </cell>
          <cell r="AR498">
            <v>28.019848064414123</v>
          </cell>
          <cell r="AS498">
            <v>27.086726666444022</v>
          </cell>
          <cell r="AT498">
            <v>28.040346063362605</v>
          </cell>
          <cell r="AU498">
            <v>28.300342965404674</v>
          </cell>
          <cell r="AV498">
            <v>28.168052362628185</v>
          </cell>
          <cell r="AW498">
            <v>28.035821050020523</v>
          </cell>
          <cell r="AX498">
            <v>27.987724861029346</v>
          </cell>
          <cell r="AY498">
            <v>27.975196624674457</v>
          </cell>
          <cell r="AZ498">
            <v>28.045688242995684</v>
          </cell>
          <cell r="BA498">
            <v>27.919129407084267</v>
          </cell>
          <cell r="BB498">
            <v>27.455036903974765</v>
          </cell>
          <cell r="BC498">
            <v>26.991415619711283</v>
          </cell>
          <cell r="BD498">
            <v>26.998425339794505</v>
          </cell>
          <cell r="BE498">
            <v>27.339446526860325</v>
          </cell>
          <cell r="BF498">
            <v>26.931318609246318</v>
          </cell>
          <cell r="BG498">
            <v>26.465884209649349</v>
          </cell>
          <cell r="BH498">
            <v>26.000361949268598</v>
          </cell>
          <cell r="BI498">
            <v>25.997971930421798</v>
          </cell>
          <cell r="BJ498">
            <v>26.344554790610943</v>
          </cell>
          <cell r="BK498">
            <v>26.006927180632093</v>
          </cell>
          <cell r="BL498">
            <v>26.063755689586639</v>
          </cell>
          <cell r="BM498">
            <v>26.168737901450438</v>
          </cell>
          <cell r="BN498">
            <v>26.274430234606864</v>
          </cell>
          <cell r="BO498">
            <v>26.127366679758403</v>
          </cell>
          <cell r="BP498">
            <v>26.377356782371685</v>
          </cell>
          <cell r="BQ498">
            <v>26.480912791343513</v>
          </cell>
          <cell r="BR498">
            <v>26.585102159970837</v>
          </cell>
          <cell r="BS498">
            <v>26.689928810672054</v>
          </cell>
          <cell r="BT498">
            <v>26.534993076672791</v>
          </cell>
          <cell r="BU498">
            <v>26.79738381519094</v>
          </cell>
          <cell r="BV498">
            <v>26.905523228707107</v>
          </cell>
          <cell r="BW498">
            <v>27.014351497472958</v>
          </cell>
          <cell r="BX498">
            <v>27.123873097904891</v>
          </cell>
          <cell r="BY498">
            <v>26.960446299968474</v>
          </cell>
          <cell r="BZ498">
            <v>27.232774926764751</v>
          </cell>
          <cell r="CA498">
            <v>27.342349470602969</v>
          </cell>
          <cell r="CB498">
            <v>27.452600888623397</v>
          </cell>
          <cell r="CC498">
            <v>27.563533365746409</v>
          </cell>
          <cell r="CD498">
            <v>27.398976334874952</v>
          </cell>
        </row>
        <row r="499">
          <cell r="B499" t="str">
            <v>Exploration expense</v>
          </cell>
          <cell r="AA499">
            <v>0.12384612857659077</v>
          </cell>
          <cell r="AF499">
            <v>0.14902162301045313</v>
          </cell>
          <cell r="AK499">
            <v>0.11501967843304756</v>
          </cell>
          <cell r="AP499">
            <v>0.14751910566916224</v>
          </cell>
          <cell r="AQ499">
            <v>0.1530930537854171</v>
          </cell>
          <cell r="AR499">
            <v>0.16656587038320689</v>
          </cell>
          <cell r="AS499">
            <v>0.18308044977942275</v>
          </cell>
          <cell r="AT499">
            <v>0.20599212627061625</v>
          </cell>
          <cell r="AU499">
            <v>0.17486069439197918</v>
          </cell>
          <cell r="AV499">
            <v>0.2052287182065331</v>
          </cell>
          <cell r="AW499">
            <v>0.19795247786263309</v>
          </cell>
          <cell r="AX499">
            <v>0.1910741943468604</v>
          </cell>
          <cell r="AY499">
            <v>0.18657039051215699</v>
          </cell>
          <cell r="AZ499">
            <v>0.19499829376492953</v>
          </cell>
          <cell r="BA499">
            <v>0.19329564841371855</v>
          </cell>
          <cell r="BB499">
            <v>0.19379236905953481</v>
          </cell>
          <cell r="BC499">
            <v>0.1943503589144478</v>
          </cell>
          <cell r="BD499">
            <v>0.19708990261616649</v>
          </cell>
          <cell r="BE499">
            <v>0.19459532455375705</v>
          </cell>
          <cell r="BF499">
            <v>0.20039131088460868</v>
          </cell>
          <cell r="BG499">
            <v>0.19713404770354423</v>
          </cell>
          <cell r="BH499">
            <v>0.19395864898342216</v>
          </cell>
          <cell r="BI499">
            <v>0.19293689134238801</v>
          </cell>
          <cell r="BJ499">
            <v>0.19607200998107943</v>
          </cell>
          <cell r="BK499">
            <v>0.19826729718576913</v>
          </cell>
          <cell r="BL499">
            <v>0.1971309610610229</v>
          </cell>
          <cell r="BM499">
            <v>0.19603034928175206</v>
          </cell>
          <cell r="BN499">
            <v>0.19708366438749564</v>
          </cell>
          <cell r="BO499">
            <v>0.1971148168319061</v>
          </cell>
          <cell r="BP499">
            <v>0.20111136596331763</v>
          </cell>
          <cell r="BQ499">
            <v>0.1985544969206717</v>
          </cell>
          <cell r="BR499">
            <v>0.19605440647797742</v>
          </cell>
          <cell r="BS499">
            <v>0.19571370535178226</v>
          </cell>
          <cell r="BT499">
            <v>0.19783801213303434</v>
          </cell>
          <cell r="BU499">
            <v>0.20050756398681474</v>
          </cell>
          <cell r="BV499">
            <v>0.19874592219790857</v>
          </cell>
          <cell r="BW499">
            <v>0.19702452793597236</v>
          </cell>
          <cell r="BX499">
            <v>0.19746537949953286</v>
          </cell>
          <cell r="BY499">
            <v>0.19842241352214535</v>
          </cell>
          <cell r="BZ499">
            <v>0.20180032832997052</v>
          </cell>
          <cell r="CA499">
            <v>0.19953018358046495</v>
          </cell>
          <cell r="CB499">
            <v>0.19730941717762235</v>
          </cell>
          <cell r="CC499">
            <v>0.19725748447027863</v>
          </cell>
          <cell r="CD499">
            <v>0.19895732853048623</v>
          </cell>
        </row>
        <row r="500">
          <cell r="B500" t="str">
            <v>DD&amp;A</v>
          </cell>
          <cell r="AA500">
            <v>2.85798758253671</v>
          </cell>
          <cell r="AF500">
            <v>1.9372810991358909</v>
          </cell>
          <cell r="AK500">
            <v>2.0968972145101747</v>
          </cell>
          <cell r="AP500">
            <v>1.8136172402855828</v>
          </cell>
          <cell r="AQ500">
            <v>1.9813658592382852</v>
          </cell>
          <cell r="AR500">
            <v>1.9813658592382852</v>
          </cell>
          <cell r="AS500">
            <v>1.9813658592382852</v>
          </cell>
          <cell r="AT500">
            <v>1.9813658592382852</v>
          </cell>
          <cell r="AU500">
            <v>1.9813658592382852</v>
          </cell>
          <cell r="AV500">
            <v>2.1491144781909877</v>
          </cell>
          <cell r="AW500">
            <v>2.1491144781909877</v>
          </cell>
          <cell r="AX500">
            <v>2.1491144781909877</v>
          </cell>
          <cell r="AY500">
            <v>2.1491144781909877</v>
          </cell>
          <cell r="AZ500">
            <v>2.1491144781909877</v>
          </cell>
          <cell r="BA500">
            <v>2.3168630971436901</v>
          </cell>
          <cell r="BB500">
            <v>2.3168630971436901</v>
          </cell>
          <cell r="BC500">
            <v>2.3168630971436901</v>
          </cell>
          <cell r="BD500">
            <v>2.3168630971436901</v>
          </cell>
          <cell r="BE500">
            <v>2.3168630971436901</v>
          </cell>
          <cell r="BF500">
            <v>2.4846117160963925</v>
          </cell>
          <cell r="BG500">
            <v>2.4846117160963925</v>
          </cell>
          <cell r="BH500">
            <v>2.4846117160963925</v>
          </cell>
          <cell r="BI500">
            <v>2.4846117160963925</v>
          </cell>
          <cell r="BJ500">
            <v>2.4846117160963925</v>
          </cell>
          <cell r="BK500">
            <v>2.6523603350490945</v>
          </cell>
          <cell r="BL500">
            <v>2.6523603350490945</v>
          </cell>
          <cell r="BM500">
            <v>2.6523603350490945</v>
          </cell>
          <cell r="BN500">
            <v>2.6523603350490945</v>
          </cell>
          <cell r="BO500">
            <v>2.6523603350490945</v>
          </cell>
          <cell r="BP500">
            <v>2.820108954001797</v>
          </cell>
          <cell r="BQ500">
            <v>2.820108954001797</v>
          </cell>
          <cell r="BR500">
            <v>2.820108954001797</v>
          </cell>
          <cell r="BS500">
            <v>2.820108954001797</v>
          </cell>
          <cell r="BT500">
            <v>2.820108954001797</v>
          </cell>
          <cell r="BU500">
            <v>2.9878575729544989</v>
          </cell>
          <cell r="BV500">
            <v>2.9878575729544989</v>
          </cell>
          <cell r="BW500">
            <v>2.9878575729544989</v>
          </cell>
          <cell r="BX500">
            <v>2.9878575729544989</v>
          </cell>
          <cell r="BY500">
            <v>2.9878575729544989</v>
          </cell>
          <cell r="BZ500">
            <v>3.1556061919072023</v>
          </cell>
          <cell r="CA500">
            <v>3.1556061919072023</v>
          </cell>
          <cell r="CB500">
            <v>3.1556061919072023</v>
          </cell>
          <cell r="CC500">
            <v>3.1556061919072023</v>
          </cell>
          <cell r="CD500">
            <v>3.1556061919072023</v>
          </cell>
        </row>
        <row r="501">
          <cell r="B501" t="str">
            <v>Other income/(cost)</v>
          </cell>
          <cell r="AA501">
            <v>-3.1628395913406258</v>
          </cell>
          <cell r="AF501">
            <v>-2.6431729976064582</v>
          </cell>
          <cell r="AK501">
            <v>-3.087835982548738</v>
          </cell>
          <cell r="AP501">
            <v>-3.3842618359396042</v>
          </cell>
          <cell r="AQ501">
            <v>-2.8704947584765708</v>
          </cell>
          <cell r="AR501">
            <v>-3.1231100696851293</v>
          </cell>
          <cell r="AS501">
            <v>-3.4327584333641767</v>
          </cell>
          <cell r="AT501">
            <v>-3.8623523675740548</v>
          </cell>
          <cell r="AU501">
            <v>-3.2786380198496099</v>
          </cell>
          <cell r="AV501">
            <v>-3.848038466372496</v>
          </cell>
          <cell r="AW501">
            <v>-3.7116089599243702</v>
          </cell>
          <cell r="AX501">
            <v>-3.5826411440036323</v>
          </cell>
          <cell r="AY501">
            <v>-3.4981948221029437</v>
          </cell>
          <cell r="AZ501">
            <v>-3.6562180080924285</v>
          </cell>
          <cell r="BA501">
            <v>-3.6242934077572229</v>
          </cell>
          <cell r="BB501">
            <v>-3.6336069198662777</v>
          </cell>
          <cell r="BC501">
            <v>-3.6440692296458961</v>
          </cell>
          <cell r="BD501">
            <v>-3.6954356740531216</v>
          </cell>
          <cell r="BE501">
            <v>-3.6486623353829448</v>
          </cell>
          <cell r="BF501">
            <v>-3.7573370790864127</v>
          </cell>
          <cell r="BG501">
            <v>-3.6962633944414542</v>
          </cell>
          <cell r="BH501">
            <v>-3.6367246684391654</v>
          </cell>
          <cell r="BI501">
            <v>-3.6175667126697753</v>
          </cell>
          <cell r="BJ501">
            <v>-3.6763501871452395</v>
          </cell>
          <cell r="BK501">
            <v>-3.7175118222331713</v>
          </cell>
          <cell r="BL501">
            <v>-3.6962055198941792</v>
          </cell>
          <cell r="BM501">
            <v>-3.6755690490328514</v>
          </cell>
          <cell r="BN501">
            <v>-3.6953187072655433</v>
          </cell>
          <cell r="BO501">
            <v>-3.6959028155982394</v>
          </cell>
          <cell r="BP501">
            <v>-3.7708381118122056</v>
          </cell>
          <cell r="BQ501">
            <v>-3.7228968172625945</v>
          </cell>
          <cell r="BR501">
            <v>-3.6760201214620762</v>
          </cell>
          <cell r="BS501">
            <v>-3.6696319753459172</v>
          </cell>
          <cell r="BT501">
            <v>-3.7094627274943939</v>
          </cell>
          <cell r="BU501">
            <v>-3.7595168247527764</v>
          </cell>
          <cell r="BV501">
            <v>-3.7264860412107854</v>
          </cell>
          <cell r="BW501">
            <v>-3.6942098987994818</v>
          </cell>
          <cell r="BX501">
            <v>-3.7024758656162411</v>
          </cell>
          <cell r="BY501">
            <v>-3.7204202535402251</v>
          </cell>
          <cell r="BZ501">
            <v>-3.7837561561869473</v>
          </cell>
          <cell r="CA501">
            <v>-3.7411909421337177</v>
          </cell>
          <cell r="CB501">
            <v>-3.6995515720804191</v>
          </cell>
          <cell r="CC501">
            <v>-3.698577833817724</v>
          </cell>
          <cell r="CD501">
            <v>-3.7304499099466168</v>
          </cell>
        </row>
        <row r="502">
          <cell r="B502" t="str">
            <v>Earnings before tax</v>
          </cell>
          <cell r="AA502">
            <v>23.330705298774678</v>
          </cell>
          <cell r="AF502">
            <v>17.81984881472366</v>
          </cell>
          <cell r="AK502">
            <v>21.62369954541294</v>
          </cell>
          <cell r="AP502">
            <v>22.796040623111129</v>
          </cell>
          <cell r="AQ502">
            <v>26.946731490410532</v>
          </cell>
          <cell r="AR502">
            <v>25.339372802079151</v>
          </cell>
          <cell r="AS502">
            <v>24.699385188391883</v>
          </cell>
          <cell r="AT502">
            <v>26.059686843029155</v>
          </cell>
          <cell r="AU502">
            <v>25.772796255519651</v>
          </cell>
          <cell r="AV502">
            <v>25.823311350084619</v>
          </cell>
          <cell r="AW502">
            <v>25.561926771372736</v>
          </cell>
          <cell r="AX502">
            <v>25.391741049976595</v>
          </cell>
          <cell r="AY502">
            <v>25.299270295555718</v>
          </cell>
          <cell r="AZ502">
            <v>25.517954269999869</v>
          </cell>
          <cell r="BA502">
            <v>25.09886687970258</v>
          </cell>
          <cell r="BB502">
            <v>24.643591168056322</v>
          </cell>
          <cell r="BC502">
            <v>24.189874203717533</v>
          </cell>
          <cell r="BD502">
            <v>24.245510824506265</v>
          </cell>
          <cell r="BE502">
            <v>24.543080714225006</v>
          </cell>
          <cell r="BF502">
            <v>23.970895542030693</v>
          </cell>
          <cell r="BG502">
            <v>23.447644720969826</v>
          </cell>
          <cell r="BH502">
            <v>22.925759133306908</v>
          </cell>
          <cell r="BI502">
            <v>22.905232916331759</v>
          </cell>
          <cell r="BJ502">
            <v>23.307132290173506</v>
          </cell>
          <cell r="BK502">
            <v>22.740235323326335</v>
          </cell>
          <cell r="BL502">
            <v>22.776893866066636</v>
          </cell>
          <cell r="BM502">
            <v>22.862340218848381</v>
          </cell>
          <cell r="BN502">
            <v>22.986728895131758</v>
          </cell>
          <cell r="BO502">
            <v>22.840565139743862</v>
          </cell>
          <cell r="BP502">
            <v>22.890059125732112</v>
          </cell>
          <cell r="BQ502">
            <v>22.948230709196974</v>
          </cell>
          <cell r="BR502">
            <v>23.008043472466468</v>
          </cell>
          <cell r="BS502">
            <v>23.106822678177725</v>
          </cell>
          <cell r="BT502">
            <v>22.989475485880359</v>
          </cell>
          <cell r="BU502">
            <v>23.025697168303573</v>
          </cell>
          <cell r="BV502">
            <v>23.102567440066654</v>
          </cell>
          <cell r="BW502">
            <v>23.180840960683138</v>
          </cell>
          <cell r="BX502">
            <v>23.298187676368265</v>
          </cell>
          <cell r="BY502">
            <v>23.151904993065532</v>
          </cell>
          <cell r="BZ502">
            <v>23.207715269648222</v>
          </cell>
          <cell r="CA502">
            <v>23.276994744182723</v>
          </cell>
          <cell r="CB502">
            <v>23.347827558552687</v>
          </cell>
          <cell r="CC502">
            <v>23.457838230120348</v>
          </cell>
          <cell r="CD502">
            <v>23.323434224556838</v>
          </cell>
        </row>
        <row r="504">
          <cell r="B504" t="str">
            <v>Suggested DD&amp;A/boe for convergence</v>
          </cell>
          <cell r="AA504">
            <v>2.85798758253671</v>
          </cell>
          <cell r="AF504">
            <v>1.9372810991358909</v>
          </cell>
          <cell r="AK504">
            <v>2.0968972145101747</v>
          </cell>
          <cell r="AP504">
            <v>1.8136172402855828</v>
          </cell>
          <cell r="AU504">
            <v>1.9813658592382852</v>
          </cell>
          <cell r="AZ504">
            <v>2.1491144781909877</v>
          </cell>
          <cell r="BE504">
            <v>2.3168630971436901</v>
          </cell>
          <cell r="BJ504">
            <v>2.4846117160963925</v>
          </cell>
          <cell r="BO504">
            <v>2.6523603350490945</v>
          </cell>
          <cell r="BT504">
            <v>2.820108954001797</v>
          </cell>
          <cell r="BY504">
            <v>2.9878575729544989</v>
          </cell>
          <cell r="CD504">
            <v>3.1556061919072023</v>
          </cell>
        </row>
        <row r="506">
          <cell r="A506" t="str">
            <v>As percent of revenue</v>
          </cell>
        </row>
        <row r="507">
          <cell r="B507" t="str">
            <v>Production cost excluding taxes</v>
          </cell>
          <cell r="AA507">
            <v>6.7270896273917427E-2</v>
          </cell>
          <cell r="AF507">
            <v>7.0618659240103437E-2</v>
          </cell>
          <cell r="AK507">
            <v>6.2060478199718709E-2</v>
          </cell>
          <cell r="AP507">
            <v>6.3740694789081884E-2</v>
          </cell>
          <cell r="AQ507">
            <v>6.1200208504261694E-2</v>
          </cell>
          <cell r="AR507">
            <v>6.5233287382478244E-2</v>
          </cell>
          <cell r="AS507">
            <v>6.7480534791369909E-2</v>
          </cell>
          <cell r="AT507">
            <v>6.5185600672294619E-2</v>
          </cell>
          <cell r="AU507">
            <v>6.4521480816468135E-2</v>
          </cell>
          <cell r="AV507">
            <v>6.8134570205698033E-2</v>
          </cell>
          <cell r="AW507">
            <v>6.8455927787349879E-2</v>
          </cell>
          <cell r="AX507">
            <v>6.8573567547522432E-2</v>
          </cell>
          <cell r="AY507">
            <v>6.8604277103328559E-2</v>
          </cell>
          <cell r="AZ507">
            <v>6.8447877312585476E-2</v>
          </cell>
          <cell r="BA507">
            <v>7.0460599473119265E-2</v>
          </cell>
          <cell r="BB507">
            <v>7.1651646350763126E-2</v>
          </cell>
          <cell r="BC507">
            <v>7.2882379438970413E-2</v>
          </cell>
          <cell r="BD507">
            <v>7.286345666579247E-2</v>
          </cell>
          <cell r="BE507">
            <v>7.1945062963702552E-2</v>
          </cell>
          <cell r="BF507">
            <v>7.4871141250701198E-2</v>
          </cell>
          <cell r="BG507">
            <v>7.6187840303682572E-2</v>
          </cell>
          <cell r="BH507">
            <v>7.7551941915071698E-2</v>
          </cell>
          <cell r="BI507">
            <v>7.7559071340523755E-2</v>
          </cell>
          <cell r="BJ507">
            <v>7.6542619254877639E-2</v>
          </cell>
          <cell r="BK507">
            <v>7.9470673690016425E-2</v>
          </cell>
          <cell r="BL507">
            <v>7.9297398589328577E-2</v>
          </cell>
          <cell r="BM507">
            <v>7.8979277924499255E-2</v>
          </cell>
          <cell r="BN507">
            <v>7.8661573446026672E-2</v>
          </cell>
          <cell r="BO507">
            <v>7.9100293997193816E-2</v>
          </cell>
          <cell r="BP507">
            <v>8.0313495462104964E-2</v>
          </cell>
          <cell r="BQ507">
            <v>7.9999422260695119E-2</v>
          </cell>
          <cell r="BR507">
            <v>7.9685897443459608E-2</v>
          </cell>
          <cell r="BS507">
            <v>7.9372925243482106E-2</v>
          </cell>
          <cell r="BT507">
            <v>7.9837711349052085E-2</v>
          </cell>
          <cell r="BU507">
            <v>8.1031013412528635E-2</v>
          </cell>
          <cell r="BV507">
            <v>8.0705331351170265E-2</v>
          </cell>
          <cell r="BW507">
            <v>8.0380207074470758E-2</v>
          </cell>
          <cell r="BX507">
            <v>8.0055645427611927E-2</v>
          </cell>
          <cell r="BY507">
            <v>8.0539198395594133E-2</v>
          </cell>
          <cell r="BZ507">
            <v>8.1728896615147997E-2</v>
          </cell>
          <cell r="CA507">
            <v>8.140136782781264E-2</v>
          </cell>
          <cell r="CB507">
            <v>8.1074454677826258E-2</v>
          </cell>
          <cell r="CC507">
            <v>8.0748161601772908E-2</v>
          </cell>
          <cell r="CD507">
            <v>8.1233336565404282E-2</v>
          </cell>
        </row>
        <row r="508">
          <cell r="B508" t="str">
            <v>Taxes other than income tax</v>
          </cell>
          <cell r="AA508">
            <v>0.44330312185297077</v>
          </cell>
          <cell r="AF508">
            <v>0.49154565347125523</v>
          </cell>
          <cell r="AK508">
            <v>0.5256680731364276</v>
          </cell>
          <cell r="AP508">
            <v>0.55428039702233256</v>
          </cell>
          <cell r="AQ508">
            <v>0.5</v>
          </cell>
          <cell r="AR508">
            <v>0.5</v>
          </cell>
          <cell r="AS508">
            <v>0.5</v>
          </cell>
          <cell r="AT508">
            <v>0.5</v>
          </cell>
          <cell r="AU508">
            <v>0.5</v>
          </cell>
          <cell r="AV508">
            <v>0.5</v>
          </cell>
          <cell r="AW508">
            <v>0.5</v>
          </cell>
          <cell r="AX508">
            <v>0.5</v>
          </cell>
          <cell r="AY508">
            <v>0.5</v>
          </cell>
          <cell r="AZ508">
            <v>0.5</v>
          </cell>
          <cell r="BA508">
            <v>0.5</v>
          </cell>
          <cell r="BB508">
            <v>0.5</v>
          </cell>
          <cell r="BC508">
            <v>0.5</v>
          </cell>
          <cell r="BD508">
            <v>0.5</v>
          </cell>
          <cell r="BE508">
            <v>0.5</v>
          </cell>
          <cell r="BF508">
            <v>0.5</v>
          </cell>
          <cell r="BG508">
            <v>0.5</v>
          </cell>
          <cell r="BH508">
            <v>0.5</v>
          </cell>
          <cell r="BI508">
            <v>0.5</v>
          </cell>
          <cell r="BJ508">
            <v>0.5</v>
          </cell>
          <cell r="BK508">
            <v>0.5</v>
          </cell>
          <cell r="BL508">
            <v>0.5</v>
          </cell>
          <cell r="BM508">
            <v>0.5</v>
          </cell>
          <cell r="BN508">
            <v>0.5</v>
          </cell>
          <cell r="BO508">
            <v>0.5</v>
          </cell>
          <cell r="BP508">
            <v>0.5</v>
          </cell>
          <cell r="BQ508">
            <v>0.5</v>
          </cell>
          <cell r="BR508">
            <v>0.5</v>
          </cell>
          <cell r="BS508">
            <v>0.5</v>
          </cell>
          <cell r="BT508">
            <v>0.5</v>
          </cell>
          <cell r="BU508">
            <v>0.5</v>
          </cell>
          <cell r="BV508">
            <v>0.5</v>
          </cell>
          <cell r="BW508">
            <v>0.5</v>
          </cell>
          <cell r="BX508">
            <v>0.5</v>
          </cell>
          <cell r="BY508">
            <v>0.5</v>
          </cell>
          <cell r="BZ508">
            <v>0.5</v>
          </cell>
          <cell r="CA508">
            <v>0.5</v>
          </cell>
          <cell r="CB508">
            <v>0.5</v>
          </cell>
          <cell r="CC508">
            <v>0.5</v>
          </cell>
          <cell r="CD508">
            <v>0.5</v>
          </cell>
        </row>
        <row r="509">
          <cell r="B509" t="str">
            <v>Exploration expense</v>
          </cell>
          <cell r="AA509">
            <v>2.6183282980866062E-3</v>
          </cell>
          <cell r="AF509">
            <v>3.7795902128506067E-3</v>
          </cell>
          <cell r="AK509">
            <v>2.2855133614627285E-3</v>
          </cell>
          <cell r="AP509">
            <v>2.6364764267990076E-3</v>
          </cell>
          <cell r="AQ509">
            <v>2.5629689875632973E-3</v>
          </cell>
          <cell r="AR509">
            <v>2.9722836112510819E-3</v>
          </cell>
          <cell r="AS509">
            <v>3.379523336908575E-3</v>
          </cell>
          <cell r="AT509">
            <v>3.6731380883305979E-3</v>
          </cell>
          <cell r="AU509">
            <v>3.0893741218213327E-3</v>
          </cell>
          <cell r="AV509">
            <v>3.6429341220413814E-3</v>
          </cell>
          <cell r="AW509">
            <v>3.5303492184062179E-3</v>
          </cell>
          <cell r="AX509">
            <v>3.4135356713634814E-3</v>
          </cell>
          <cell r="AY509">
            <v>3.3345679927697038E-3</v>
          </cell>
          <cell r="AZ509">
            <v>3.4764398020011096E-3</v>
          </cell>
          <cell r="BA509">
            <v>3.4617062300780635E-3</v>
          </cell>
          <cell r="BB509">
            <v>3.5292680490165138E-3</v>
          </cell>
          <cell r="BC509">
            <v>3.6002253763325717E-3</v>
          </cell>
          <cell r="BD509">
            <v>3.6500258836515286E-3</v>
          </cell>
          <cell r="BE509">
            <v>3.5588746166198351E-3</v>
          </cell>
          <cell r="BF509">
            <v>3.7204140241356102E-3</v>
          </cell>
          <cell r="BG509">
            <v>3.7243049607175033E-3</v>
          </cell>
          <cell r="BH509">
            <v>3.729922094197583E-3</v>
          </cell>
          <cell r="BI509">
            <v>3.7106142713505446E-3</v>
          </cell>
          <cell r="BJ509">
            <v>3.7213005028833971E-3</v>
          </cell>
          <cell r="BK509">
            <v>3.8118170556770536E-3</v>
          </cell>
          <cell r="BL509">
            <v>3.7817067388293442E-3</v>
          </cell>
          <cell r="BM509">
            <v>3.7455063752021224E-3</v>
          </cell>
          <cell r="BN509">
            <v>3.7504840757290837E-3</v>
          </cell>
          <cell r="BO509">
            <v>3.7721906544951667E-3</v>
          </cell>
          <cell r="BP509">
            <v>3.8121970981133874E-3</v>
          </cell>
          <cell r="BQ509">
            <v>3.7490115708091881E-3</v>
          </cell>
          <cell r="BR509">
            <v>3.6872983466126447E-3</v>
          </cell>
          <cell r="BS509">
            <v>3.6664336338268072E-3</v>
          </cell>
          <cell r="BT509">
            <v>3.7278700537321024E-3</v>
          </cell>
          <cell r="BU509">
            <v>3.7411779703873686E-3</v>
          </cell>
          <cell r="BV509">
            <v>3.6934037764010971E-3</v>
          </cell>
          <cell r="BW509">
            <v>3.6466640325310586E-3</v>
          </cell>
          <cell r="BX509">
            <v>3.6400660552195537E-3</v>
          </cell>
          <cell r="BY509">
            <v>3.679879986303813E-3</v>
          </cell>
          <cell r="BZ509">
            <v>3.7051003592667008E-3</v>
          </cell>
          <cell r="CA509">
            <v>3.6487388143983221E-3</v>
          </cell>
          <cell r="CB509">
            <v>3.5936379576222439E-3</v>
          </cell>
          <cell r="CC509">
            <v>3.5782329110863064E-3</v>
          </cell>
          <cell r="CD509">
            <v>3.630743829601441E-3</v>
          </cell>
        </row>
        <row r="510">
          <cell r="B510" t="str">
            <v>DD&amp;A</v>
          </cell>
          <cell r="AA510">
            <v>6.0422960725075532E-2</v>
          </cell>
          <cell r="AF510">
            <v>4.9134672767057887E-2</v>
          </cell>
          <cell r="AK510">
            <v>4.1666666666666664E-2</v>
          </cell>
          <cell r="AP510">
            <v>3.2413151364764269E-2</v>
          </cell>
          <cell r="AQ510">
            <v>3.317053990811536E-2</v>
          </cell>
          <cell r="AR510">
            <v>3.5356470432733489E-2</v>
          </cell>
          <cell r="AS510">
            <v>3.6574479516066259E-2</v>
          </cell>
          <cell r="AT510">
            <v>3.5330624214854632E-2</v>
          </cell>
          <cell r="AU510">
            <v>3.4970670961101742E-2</v>
          </cell>
          <cell r="AV510">
            <v>3.8148084406473104E-2</v>
          </cell>
          <cell r="AW510">
            <v>3.8328010339997068E-2</v>
          </cell>
          <cell r="AX510">
            <v>3.8393876044984579E-2</v>
          </cell>
          <cell r="AY510">
            <v>3.8411070117295304E-2</v>
          </cell>
          <cell r="AZ510">
            <v>3.8323502933699523E-2</v>
          </cell>
          <cell r="BA510">
            <v>4.1492395113076196E-2</v>
          </cell>
          <cell r="BB510">
            <v>4.2193771315023616E-2</v>
          </cell>
          <cell r="BC510">
            <v>4.2918517683298768E-2</v>
          </cell>
          <cell r="BD510">
            <v>4.2907374559521712E-2</v>
          </cell>
          <cell r="BE510">
            <v>4.2366556646511858E-2</v>
          </cell>
          <cell r="BF510">
            <v>4.6128668115852145E-2</v>
          </cell>
          <cell r="BG510">
            <v>4.6939896215341892E-2</v>
          </cell>
          <cell r="BH510">
            <v>4.7780329384343165E-2</v>
          </cell>
          <cell r="BI510">
            <v>4.7784721876497557E-2</v>
          </cell>
          <cell r="BJ510">
            <v>4.7158478171230193E-2</v>
          </cell>
          <cell r="BK510">
            <v>5.0993343362463119E-2</v>
          </cell>
          <cell r="BL510">
            <v>5.0882159245162116E-2</v>
          </cell>
          <cell r="BM510">
            <v>5.0678033175266042E-2</v>
          </cell>
          <cell r="BN510">
            <v>5.0474174156507269E-2</v>
          </cell>
          <cell r="BO510">
            <v>5.0755684639142651E-2</v>
          </cell>
          <cell r="BP510">
            <v>5.3457004378211825E-2</v>
          </cell>
          <cell r="BQ510">
            <v>5.3247955918718885E-2</v>
          </cell>
          <cell r="BR510">
            <v>5.3039272466066226E-2</v>
          </cell>
          <cell r="BS510">
            <v>5.2830956837812304E-2</v>
          </cell>
          <cell r="BT510">
            <v>5.3140320447719061E-2</v>
          </cell>
          <cell r="BU510">
            <v>5.5749053593447014E-2</v>
          </cell>
          <cell r="BV510">
            <v>5.5524985475223457E-2</v>
          </cell>
          <cell r="BW510">
            <v>5.5301301110892792E-2</v>
          </cell>
          <cell r="BX510">
            <v>5.5078003833923111E-2</v>
          </cell>
          <cell r="BY510">
            <v>5.5410686583305377E-2</v>
          </cell>
          <cell r="BZ510">
            <v>5.7937654175774601E-2</v>
          </cell>
          <cell r="CA510">
            <v>5.7705468860676012E-2</v>
          </cell>
          <cell r="CB510">
            <v>5.7473719971190669E-2</v>
          </cell>
          <cell r="CC510">
            <v>5.7242410652415088E-2</v>
          </cell>
          <cell r="CD510">
            <v>5.7586351417821306E-2</v>
          </cell>
        </row>
        <row r="511">
          <cell r="B511" t="str">
            <v>Other income/(cost)</v>
          </cell>
          <cell r="AA511">
            <v>-6.6868076535750248E-2</v>
          </cell>
          <cell r="AF511">
            <v>-6.7037994827929187E-2</v>
          </cell>
          <cell r="AK511">
            <v>-6.1357243319268638E-2</v>
          </cell>
          <cell r="AP511">
            <v>-6.0483870967741937E-2</v>
          </cell>
          <cell r="AQ511">
            <v>-4.8055668516811825E-2</v>
          </cell>
          <cell r="AR511">
            <v>-5.573031771095778E-2</v>
          </cell>
          <cell r="AS511">
            <v>-6.336606256703578E-2</v>
          </cell>
          <cell r="AT511">
            <v>-6.887133915619871E-2</v>
          </cell>
          <cell r="AU511">
            <v>-5.7925764784149993E-2</v>
          </cell>
          <cell r="AV511">
            <v>-6.83050147882759E-2</v>
          </cell>
          <cell r="AW511">
            <v>-6.619404784511658E-2</v>
          </cell>
          <cell r="AX511">
            <v>-6.4003793838065273E-2</v>
          </cell>
          <cell r="AY511">
            <v>-6.2523149864431943E-2</v>
          </cell>
          <cell r="AZ511">
            <v>-6.5183246287520813E-2</v>
          </cell>
          <cell r="BA511">
            <v>-6.4906991813963685E-2</v>
          </cell>
          <cell r="BB511">
            <v>-6.6173775919059638E-2</v>
          </cell>
          <cell r="BC511">
            <v>-6.7504225806235718E-2</v>
          </cell>
          <cell r="BD511">
            <v>-6.8437985318466163E-2</v>
          </cell>
          <cell r="BE511">
            <v>-6.672889906162191E-2</v>
          </cell>
          <cell r="BF511">
            <v>-6.9757762952542685E-2</v>
          </cell>
          <cell r="BG511">
            <v>-6.9830718013453183E-2</v>
          </cell>
          <cell r="BH511">
            <v>-6.9936039266204689E-2</v>
          </cell>
          <cell r="BI511">
            <v>-6.9574017587822709E-2</v>
          </cell>
          <cell r="BJ511">
            <v>-6.9774384429063696E-2</v>
          </cell>
          <cell r="BK511">
            <v>-7.1471569793944756E-2</v>
          </cell>
          <cell r="BL511">
            <v>-7.0907001353050197E-2</v>
          </cell>
          <cell r="BM511">
            <v>-7.0228244535039785E-2</v>
          </cell>
          <cell r="BN511">
            <v>-7.0321576419920317E-2</v>
          </cell>
          <cell r="BO511">
            <v>-7.0728574771784375E-2</v>
          </cell>
          <cell r="BP511">
            <v>-7.1478695589626023E-2</v>
          </cell>
          <cell r="BQ511">
            <v>-7.0293966952672274E-2</v>
          </cell>
          <cell r="BR511">
            <v>-6.9136843998987091E-2</v>
          </cell>
          <cell r="BS511">
            <v>-6.8745630634252639E-2</v>
          </cell>
          <cell r="BT511">
            <v>-6.9897563507476917E-2</v>
          </cell>
          <cell r="BU511">
            <v>-7.0147086944763168E-2</v>
          </cell>
          <cell r="BV511">
            <v>-6.9251320807520569E-2</v>
          </cell>
          <cell r="BW511">
            <v>-6.8374950609957352E-2</v>
          </cell>
          <cell r="BX511">
            <v>-6.8251238535366632E-2</v>
          </cell>
          <cell r="BY511">
            <v>-6.8997749743196501E-2</v>
          </cell>
          <cell r="BZ511">
            <v>-6.9470631736250635E-2</v>
          </cell>
          <cell r="CA511">
            <v>-6.8413852769968531E-2</v>
          </cell>
          <cell r="CB511">
            <v>-6.7380711705417068E-2</v>
          </cell>
          <cell r="CC511">
            <v>-6.709186708286824E-2</v>
          </cell>
          <cell r="CD511">
            <v>-6.8076446805027016E-2</v>
          </cell>
        </row>
        <row r="513">
          <cell r="A513" t="str">
            <v>Effective tax rate</v>
          </cell>
          <cell r="AA513">
            <v>0.38383013474887712</v>
          </cell>
          <cell r="AF513">
            <v>0.386443661971831</v>
          </cell>
          <cell r="AK513">
            <v>0.38461538461538464</v>
          </cell>
          <cell r="AP513">
            <v>0.36886181956604491</v>
          </cell>
          <cell r="AQ513">
            <v>0.39</v>
          </cell>
          <cell r="AR513">
            <v>0.39</v>
          </cell>
          <cell r="AS513">
            <v>0.39</v>
          </cell>
          <cell r="AT513">
            <v>0.39</v>
          </cell>
          <cell r="AU513">
            <v>0.39</v>
          </cell>
          <cell r="AV513">
            <v>0.39</v>
          </cell>
          <cell r="AW513">
            <v>0.39</v>
          </cell>
          <cell r="AX513">
            <v>0.39</v>
          </cell>
          <cell r="AY513">
            <v>0.39</v>
          </cell>
          <cell r="AZ513">
            <v>0.39</v>
          </cell>
          <cell r="BA513">
            <v>0.39</v>
          </cell>
          <cell r="BB513">
            <v>0.39</v>
          </cell>
          <cell r="BC513">
            <v>0.39</v>
          </cell>
          <cell r="BD513">
            <v>0.39</v>
          </cell>
          <cell r="BE513">
            <v>0.39</v>
          </cell>
          <cell r="BF513">
            <v>0.39</v>
          </cell>
          <cell r="BG513">
            <v>0.39</v>
          </cell>
          <cell r="BH513">
            <v>0.39</v>
          </cell>
          <cell r="BI513">
            <v>0.39</v>
          </cell>
          <cell r="BJ513">
            <v>0.39</v>
          </cell>
          <cell r="BK513">
            <v>0.39</v>
          </cell>
          <cell r="BL513">
            <v>0.39</v>
          </cell>
          <cell r="BM513">
            <v>0.39</v>
          </cell>
          <cell r="BN513">
            <v>0.39</v>
          </cell>
          <cell r="BO513">
            <v>0.39</v>
          </cell>
          <cell r="BP513">
            <v>0.39</v>
          </cell>
          <cell r="BQ513">
            <v>0.39</v>
          </cell>
          <cell r="BR513">
            <v>0.39</v>
          </cell>
          <cell r="BS513">
            <v>0.39</v>
          </cell>
          <cell r="BT513">
            <v>0.39</v>
          </cell>
          <cell r="BU513">
            <v>0.39</v>
          </cell>
          <cell r="BV513">
            <v>0.39</v>
          </cell>
          <cell r="BW513">
            <v>0.39</v>
          </cell>
          <cell r="BX513">
            <v>0.39</v>
          </cell>
          <cell r="BY513">
            <v>0.39</v>
          </cell>
          <cell r="BZ513">
            <v>0.39</v>
          </cell>
          <cell r="CA513">
            <v>0.39</v>
          </cell>
          <cell r="CB513">
            <v>0.39</v>
          </cell>
          <cell r="CC513">
            <v>0.39</v>
          </cell>
          <cell r="CD513">
            <v>0.39</v>
          </cell>
        </row>
        <row r="517">
          <cell r="A517" t="str">
            <v>Asia</v>
          </cell>
        </row>
        <row r="518">
          <cell r="C518">
            <v>2001</v>
          </cell>
          <cell r="D518">
            <v>2002</v>
          </cell>
          <cell r="E518">
            <v>2003</v>
          </cell>
          <cell r="F518">
            <v>2004</v>
          </cell>
          <cell r="G518">
            <v>2005</v>
          </cell>
          <cell r="H518" t="str">
            <v>1Q06</v>
          </cell>
          <cell r="I518" t="str">
            <v>2Q06</v>
          </cell>
          <cell r="J518" t="str">
            <v>3Q06</v>
          </cell>
          <cell r="K518" t="str">
            <v>4Q06</v>
          </cell>
          <cell r="L518">
            <v>2006</v>
          </cell>
          <cell r="M518" t="str">
            <v>1Q07</v>
          </cell>
          <cell r="N518" t="str">
            <v>2Q07</v>
          </cell>
          <cell r="O518" t="str">
            <v>3Q07</v>
          </cell>
          <cell r="P518" t="str">
            <v>4Q07</v>
          </cell>
          <cell r="Q518">
            <v>2007</v>
          </cell>
          <cell r="R518" t="str">
            <v>1Q08</v>
          </cell>
          <cell r="S518" t="str">
            <v>2Q08</v>
          </cell>
          <cell r="T518" t="str">
            <v>3Q08</v>
          </cell>
          <cell r="U518" t="str">
            <v>4Q08</v>
          </cell>
          <cell r="V518">
            <v>2008</v>
          </cell>
          <cell r="W518" t="str">
            <v>1Q09</v>
          </cell>
          <cell r="X518" t="str">
            <v>2Q09</v>
          </cell>
          <cell r="Y518" t="str">
            <v>3Q09</v>
          </cell>
          <cell r="Z518" t="str">
            <v>4Q09</v>
          </cell>
          <cell r="AA518">
            <v>2009</v>
          </cell>
          <cell r="AB518" t="str">
            <v>1Q10</v>
          </cell>
          <cell r="AC518" t="str">
            <v>2Q10</v>
          </cell>
          <cell r="AD518" t="str">
            <v>3Q10</v>
          </cell>
          <cell r="AE518" t="str">
            <v>4Q10</v>
          </cell>
          <cell r="AF518">
            <v>2010</v>
          </cell>
          <cell r="AG518" t="str">
            <v>1Q11</v>
          </cell>
          <cell r="AH518" t="str">
            <v>2Q11</v>
          </cell>
          <cell r="AI518" t="str">
            <v>3Q11</v>
          </cell>
          <cell r="AJ518" t="str">
            <v>4Q11</v>
          </cell>
          <cell r="AK518">
            <v>2011</v>
          </cell>
          <cell r="AL518" t="str">
            <v>1Q12</v>
          </cell>
          <cell r="AM518" t="str">
            <v>2Q12</v>
          </cell>
          <cell r="AN518" t="str">
            <v>3Q12</v>
          </cell>
          <cell r="AO518" t="str">
            <v>4Q12</v>
          </cell>
          <cell r="AP518">
            <v>2012</v>
          </cell>
          <cell r="AQ518" t="str">
            <v>1Q13</v>
          </cell>
          <cell r="AR518" t="str">
            <v>2Q13</v>
          </cell>
          <cell r="AS518" t="str">
            <v>3Q13</v>
          </cell>
          <cell r="AT518" t="str">
            <v>4Q13</v>
          </cell>
          <cell r="AU518">
            <v>2013</v>
          </cell>
          <cell r="AV518" t="str">
            <v>1Q14</v>
          </cell>
          <cell r="AW518" t="str">
            <v>2Q14</v>
          </cell>
          <cell r="AX518" t="str">
            <v>3Q14</v>
          </cell>
          <cell r="AY518" t="str">
            <v>4Q14</v>
          </cell>
          <cell r="AZ518">
            <v>2014</v>
          </cell>
          <cell r="BA518" t="str">
            <v>1Q15</v>
          </cell>
          <cell r="BB518" t="str">
            <v>2Q15</v>
          </cell>
          <cell r="BC518" t="str">
            <v>3Q15</v>
          </cell>
          <cell r="BD518" t="str">
            <v>4Q15</v>
          </cell>
          <cell r="BE518">
            <v>2015</v>
          </cell>
          <cell r="BF518" t="str">
            <v>1Q16</v>
          </cell>
          <cell r="BG518" t="str">
            <v>2Q16</v>
          </cell>
          <cell r="BH518" t="str">
            <v>3Q16</v>
          </cell>
          <cell r="BI518" t="str">
            <v>4Q16</v>
          </cell>
          <cell r="BJ518">
            <v>2016</v>
          </cell>
          <cell r="BK518" t="str">
            <v>1Q17</v>
          </cell>
          <cell r="BL518" t="str">
            <v>2Q17</v>
          </cell>
          <cell r="BM518" t="str">
            <v>3Q17</v>
          </cell>
          <cell r="BN518" t="str">
            <v>4Q17</v>
          </cell>
          <cell r="BO518">
            <v>2017</v>
          </cell>
          <cell r="BP518" t="str">
            <v>1Q18</v>
          </cell>
          <cell r="BQ518" t="str">
            <v>2Q18</v>
          </cell>
          <cell r="BR518" t="str">
            <v>3Q18</v>
          </cell>
          <cell r="BS518" t="str">
            <v>4Q18</v>
          </cell>
          <cell r="BT518">
            <v>2018</v>
          </cell>
          <cell r="BU518" t="str">
            <v>1Q19</v>
          </cell>
          <cell r="BV518" t="str">
            <v>2Q19</v>
          </cell>
          <cell r="BW518" t="str">
            <v>3Q19</v>
          </cell>
          <cell r="BX518" t="str">
            <v>4Q19</v>
          </cell>
          <cell r="BY518">
            <v>2019</v>
          </cell>
          <cell r="BZ518" t="str">
            <v>1Q20</v>
          </cell>
          <cell r="CA518" t="str">
            <v>2Q20</v>
          </cell>
          <cell r="CB518" t="str">
            <v>3Q20</v>
          </cell>
          <cell r="CC518" t="str">
            <v>4Q20</v>
          </cell>
          <cell r="CD518">
            <v>2020</v>
          </cell>
        </row>
        <row r="519">
          <cell r="A519" t="str">
            <v>Third parties</v>
          </cell>
          <cell r="AA519">
            <v>4962</v>
          </cell>
          <cell r="AF519">
            <v>6895</v>
          </cell>
          <cell r="AK519">
            <v>11021</v>
          </cell>
          <cell r="AP519">
            <v>12592</v>
          </cell>
        </row>
        <row r="520">
          <cell r="A520" t="str">
            <v>Sales between businesses</v>
          </cell>
          <cell r="AA520">
            <v>0</v>
          </cell>
          <cell r="AF520">
            <v>0</v>
          </cell>
          <cell r="AK520">
            <v>0</v>
          </cell>
          <cell r="AP520">
            <v>0</v>
          </cell>
        </row>
        <row r="521">
          <cell r="A521" t="str">
            <v>Revenue</v>
          </cell>
          <cell r="AA521">
            <v>4962</v>
          </cell>
          <cell r="AF521">
            <v>6895</v>
          </cell>
          <cell r="AK521">
            <v>11021</v>
          </cell>
          <cell r="AP521">
            <v>12592</v>
          </cell>
          <cell r="AQ521">
            <v>2878.5307508999995</v>
          </cell>
          <cell r="AR521">
            <v>2646.3649030000001</v>
          </cell>
          <cell r="AS521">
            <v>2830.1071629599992</v>
          </cell>
          <cell r="AT521">
            <v>2743.2582760799996</v>
          </cell>
          <cell r="AU521">
            <v>11098.261092939998</v>
          </cell>
          <cell r="AV521">
            <v>1843.1250905943134</v>
          </cell>
          <cell r="AW521">
            <v>1842.0678021296219</v>
          </cell>
          <cell r="AX521">
            <v>1842.0359716321814</v>
          </cell>
          <cell r="AY521">
            <v>1821.7616378146354</v>
          </cell>
          <cell r="AZ521">
            <v>7348.9905021707527</v>
          </cell>
          <cell r="BA521">
            <v>1586.9700266641566</v>
          </cell>
          <cell r="BB521">
            <v>1597.4419879285604</v>
          </cell>
          <cell r="BC521">
            <v>1626.5949692168401</v>
          </cell>
          <cell r="BD521">
            <v>1638.1936429454652</v>
          </cell>
          <cell r="BE521">
            <v>6449.2006267550214</v>
          </cell>
          <cell r="BF521">
            <v>1462.1368812771818</v>
          </cell>
          <cell r="BG521">
            <v>1452.7569308534655</v>
          </cell>
          <cell r="BH521">
            <v>1462.1583926789419</v>
          </cell>
          <cell r="BI521">
            <v>1455.595492626908</v>
          </cell>
          <cell r="BJ521">
            <v>5832.6476974364978</v>
          </cell>
          <cell r="BK521">
            <v>1426.0963183979065</v>
          </cell>
          <cell r="BL521">
            <v>1455.0961707138335</v>
          </cell>
          <cell r="BM521">
            <v>1484.4932301559363</v>
          </cell>
          <cell r="BN521">
            <v>1498.0091506181516</v>
          </cell>
          <cell r="BO521">
            <v>5863.6948698858278</v>
          </cell>
          <cell r="BP521">
            <v>1472.7464451973185</v>
          </cell>
          <cell r="BQ521">
            <v>1496.4118502611491</v>
          </cell>
          <cell r="BR521">
            <v>1520.2703245661485</v>
          </cell>
          <cell r="BS521">
            <v>1527.7174291318076</v>
          </cell>
          <cell r="BT521">
            <v>6017.1460491564239</v>
          </cell>
          <cell r="BU521">
            <v>1477.6371352746123</v>
          </cell>
          <cell r="BV521">
            <v>1505.1245568955615</v>
          </cell>
          <cell r="BW521">
            <v>1532.9350975837247</v>
          </cell>
          <cell r="BX521">
            <v>1544.2862065852787</v>
          </cell>
          <cell r="BY521">
            <v>6059.9829963391767</v>
          </cell>
          <cell r="BZ521">
            <v>1475.3477450373186</v>
          </cell>
          <cell r="CA521">
            <v>1499.8945285219725</v>
          </cell>
          <cell r="CB521">
            <v>1524.6638151898774</v>
          </cell>
          <cell r="CC521">
            <v>1532.9942584230505</v>
          </cell>
          <cell r="CD521">
            <v>6032.900347172219</v>
          </cell>
        </row>
        <row r="523">
          <cell r="A523" t="str">
            <v>Production cost excluding taxes</v>
          </cell>
          <cell r="AA523">
            <v>-843</v>
          </cell>
          <cell r="AF523">
            <v>-815</v>
          </cell>
          <cell r="AK523">
            <v>-932</v>
          </cell>
          <cell r="AP523">
            <v>-952</v>
          </cell>
          <cell r="AQ523">
            <v>-235.75054649838387</v>
          </cell>
          <cell r="AR523">
            <v>-243.00176364236489</v>
          </cell>
          <cell r="AS523">
            <v>-250.35477785507845</v>
          </cell>
          <cell r="AT523">
            <v>-255.03744301677699</v>
          </cell>
          <cell r="AU523">
            <v>-984.14453101260415</v>
          </cell>
          <cell r="AV523">
            <v>-193.62700873787901</v>
          </cell>
          <cell r="AW523">
            <v>-192.69297999687032</v>
          </cell>
          <cell r="AX523">
            <v>-191.69113938884612</v>
          </cell>
          <cell r="AY523">
            <v>-188.57179350613103</v>
          </cell>
          <cell r="AZ523">
            <v>-766.58292162972646</v>
          </cell>
          <cell r="BA523">
            <v>-180.86103445971216</v>
          </cell>
          <cell r="BB523">
            <v>-184.78449113977345</v>
          </cell>
          <cell r="BC523">
            <v>-188.75001132819762</v>
          </cell>
          <cell r="BD523">
            <v>-190.68493271288798</v>
          </cell>
          <cell r="BE523">
            <v>-745.08046964057121</v>
          </cell>
          <cell r="BF523">
            <v>-184.75842236128784</v>
          </cell>
          <cell r="BG523">
            <v>-185.63425159809475</v>
          </cell>
          <cell r="BH523">
            <v>-186.48421177725839</v>
          </cell>
          <cell r="BI523">
            <v>-185.29423512567382</v>
          </cell>
          <cell r="BJ523">
            <v>-742.17112086231487</v>
          </cell>
          <cell r="BK523">
            <v>-185.74622630747817</v>
          </cell>
          <cell r="BL523">
            <v>-188.55971139175793</v>
          </cell>
          <cell r="BM523">
            <v>-191.38967203923127</v>
          </cell>
          <cell r="BN523">
            <v>-192.14754794613592</v>
          </cell>
          <cell r="BO523">
            <v>-757.84315768460328</v>
          </cell>
          <cell r="BP523">
            <v>-192.30215615808524</v>
          </cell>
          <cell r="BQ523">
            <v>-194.05702278591096</v>
          </cell>
          <cell r="BR523">
            <v>-195.80349767755746</v>
          </cell>
          <cell r="BS523">
            <v>-195.4174778133148</v>
          </cell>
          <cell r="BT523">
            <v>-777.5801544348684</v>
          </cell>
          <cell r="BU523">
            <v>-193.77878271849218</v>
          </cell>
          <cell r="BV523">
            <v>-196.23886520605092</v>
          </cell>
          <cell r="BW523">
            <v>-198.70569461452831</v>
          </cell>
          <cell r="BX523">
            <v>-199.01605297678532</v>
          </cell>
          <cell r="BY523">
            <v>-787.7393955158567</v>
          </cell>
          <cell r="BZ523">
            <v>-195.46716651188135</v>
          </cell>
          <cell r="CA523">
            <v>-197.41324459157946</v>
          </cell>
          <cell r="CB523">
            <v>-199.35436048828882</v>
          </cell>
          <cell r="CC523">
            <v>-199.12610007080499</v>
          </cell>
          <cell r="CD523">
            <v>-791.3608716625547</v>
          </cell>
        </row>
        <row r="524">
          <cell r="A524" t="str">
            <v>Taxes other than income tax</v>
          </cell>
          <cell r="AA524">
            <v>-1446</v>
          </cell>
          <cell r="AF524">
            <v>-2416</v>
          </cell>
          <cell r="AK524">
            <v>-4358</v>
          </cell>
          <cell r="AP524">
            <v>-4861</v>
          </cell>
          <cell r="AQ524">
            <v>-1007.4857628149997</v>
          </cell>
          <cell r="AR524">
            <v>-926.22771605000003</v>
          </cell>
          <cell r="AS524">
            <v>-990.53750703599962</v>
          </cell>
          <cell r="AT524">
            <v>-960.14039662799985</v>
          </cell>
          <cell r="AU524">
            <v>-3884.3913825289992</v>
          </cell>
          <cell r="AV524">
            <v>-645.0937817080096</v>
          </cell>
          <cell r="AW524">
            <v>-644.72373074536767</v>
          </cell>
          <cell r="AX524">
            <v>-644.71259007126343</v>
          </cell>
          <cell r="AY524">
            <v>-637.61657323512236</v>
          </cell>
          <cell r="AZ524">
            <v>-2572.1466757597632</v>
          </cell>
          <cell r="BA524">
            <v>-555.4395093324548</v>
          </cell>
          <cell r="BB524">
            <v>-559.10469577499612</v>
          </cell>
          <cell r="BC524">
            <v>-569.308239225894</v>
          </cell>
          <cell r="BD524">
            <v>-573.36777503091275</v>
          </cell>
          <cell r="BE524">
            <v>-2257.2202193642579</v>
          </cell>
          <cell r="BF524">
            <v>-511.74790844701363</v>
          </cell>
          <cell r="BG524">
            <v>-508.4649257987129</v>
          </cell>
          <cell r="BH524">
            <v>-511.75543743762967</v>
          </cell>
          <cell r="BI524">
            <v>-509.45842241941779</v>
          </cell>
          <cell r="BJ524">
            <v>-2041.426694102774</v>
          </cell>
          <cell r="BK524">
            <v>-499.13371143926724</v>
          </cell>
          <cell r="BL524">
            <v>-509.28365974984172</v>
          </cell>
          <cell r="BM524">
            <v>-519.5726305545777</v>
          </cell>
          <cell r="BN524">
            <v>-524.30320271635298</v>
          </cell>
          <cell r="BO524">
            <v>-2052.2932044600398</v>
          </cell>
          <cell r="BP524">
            <v>-515.46125581906142</v>
          </cell>
          <cell r="BQ524">
            <v>-523.74414759140211</v>
          </cell>
          <cell r="BR524">
            <v>-532.09461359815191</v>
          </cell>
          <cell r="BS524">
            <v>-534.70110019613264</v>
          </cell>
          <cell r="BT524">
            <v>-2106.001117204748</v>
          </cell>
          <cell r="BU524">
            <v>-517.17299734611424</v>
          </cell>
          <cell r="BV524">
            <v>-526.79359491344644</v>
          </cell>
          <cell r="BW524">
            <v>-536.52728415430363</v>
          </cell>
          <cell r="BX524">
            <v>-540.50017230484752</v>
          </cell>
          <cell r="BY524">
            <v>-2120.9940487187118</v>
          </cell>
          <cell r="BZ524">
            <v>-516.37171076306151</v>
          </cell>
          <cell r="CA524">
            <v>-524.96308498269036</v>
          </cell>
          <cell r="CB524">
            <v>-533.6323353164571</v>
          </cell>
          <cell r="CC524">
            <v>-536.54799044806759</v>
          </cell>
          <cell r="CD524">
            <v>-2111.5151215102765</v>
          </cell>
        </row>
        <row r="525">
          <cell r="A525" t="str">
            <v>Exploration expense</v>
          </cell>
          <cell r="AA525">
            <v>-126</v>
          </cell>
          <cell r="AF525">
            <v>-8</v>
          </cell>
          <cell r="AK525">
            <v>-60</v>
          </cell>
          <cell r="AP525">
            <v>-391</v>
          </cell>
          <cell r="AQ525">
            <v>-10</v>
          </cell>
          <cell r="AR525">
            <v>-10</v>
          </cell>
          <cell r="AS525">
            <v>-10</v>
          </cell>
          <cell r="AT525">
            <v>-10</v>
          </cell>
          <cell r="AU525">
            <v>-40</v>
          </cell>
          <cell r="AV525">
            <v>-10</v>
          </cell>
          <cell r="AW525">
            <v>-10</v>
          </cell>
          <cell r="AX525">
            <v>-10</v>
          </cell>
          <cell r="AY525">
            <v>-10</v>
          </cell>
          <cell r="AZ525">
            <v>-40</v>
          </cell>
          <cell r="BA525">
            <v>-10</v>
          </cell>
          <cell r="BB525">
            <v>-10</v>
          </cell>
          <cell r="BC525">
            <v>-10</v>
          </cell>
          <cell r="BD525">
            <v>-10</v>
          </cell>
          <cell r="BE525">
            <v>-40</v>
          </cell>
          <cell r="BF525">
            <v>-10</v>
          </cell>
          <cell r="BG525">
            <v>-10</v>
          </cell>
          <cell r="BH525">
            <v>-10</v>
          </cell>
          <cell r="BI525">
            <v>-10</v>
          </cell>
          <cell r="BJ525">
            <v>-40</v>
          </cell>
          <cell r="BK525">
            <v>-10</v>
          </cell>
          <cell r="BL525">
            <v>-10</v>
          </cell>
          <cell r="BM525">
            <v>-10</v>
          </cell>
          <cell r="BN525">
            <v>-10</v>
          </cell>
          <cell r="BO525">
            <v>-40</v>
          </cell>
          <cell r="BP525">
            <v>-10</v>
          </cell>
          <cell r="BQ525">
            <v>-10</v>
          </cell>
          <cell r="BR525">
            <v>-10</v>
          </cell>
          <cell r="BS525">
            <v>-10</v>
          </cell>
          <cell r="BT525">
            <v>-40</v>
          </cell>
          <cell r="BU525">
            <v>-10</v>
          </cell>
          <cell r="BV525">
            <v>-10</v>
          </cell>
          <cell r="BW525">
            <v>-10</v>
          </cell>
          <cell r="BX525">
            <v>-10</v>
          </cell>
          <cell r="BY525">
            <v>-40</v>
          </cell>
          <cell r="BZ525">
            <v>-10</v>
          </cell>
          <cell r="CA525">
            <v>-10</v>
          </cell>
          <cell r="CB525">
            <v>-10</v>
          </cell>
          <cell r="CC525">
            <v>-10</v>
          </cell>
          <cell r="CD525">
            <v>-40</v>
          </cell>
        </row>
        <row r="526">
          <cell r="A526" t="str">
            <v>DD&amp;A</v>
          </cell>
          <cell r="AA526">
            <v>-964</v>
          </cell>
          <cell r="AF526">
            <v>-1177</v>
          </cell>
          <cell r="AK526">
            <v>-1250</v>
          </cell>
          <cell r="AP526">
            <v>-1310</v>
          </cell>
          <cell r="AQ526">
            <v>-345.76595548954697</v>
          </cell>
          <cell r="AR526">
            <v>-356.40102743949876</v>
          </cell>
          <cell r="AS526">
            <v>-367.18540110373777</v>
          </cell>
          <cell r="AT526">
            <v>-374.05327996094934</v>
          </cell>
          <cell r="AU526">
            <v>-1443.4056639937328</v>
          </cell>
          <cell r="AV526">
            <v>-293.36009221683747</v>
          </cell>
          <cell r="AW526">
            <v>-291.94496547712509</v>
          </cell>
          <cell r="AX526">
            <v>-290.42709844466776</v>
          </cell>
          <cell r="AY526">
            <v>-285.70104497839588</v>
          </cell>
          <cell r="AZ526">
            <v>-1161.4332011170263</v>
          </cell>
          <cell r="BA526">
            <v>-288.20204928938205</v>
          </cell>
          <cell r="BB526">
            <v>-294.45407731117058</v>
          </cell>
          <cell r="BC526">
            <v>-300.77313353141375</v>
          </cell>
          <cell r="BD526">
            <v>-303.85643066032532</v>
          </cell>
          <cell r="BE526">
            <v>-1187.2856907922917</v>
          </cell>
          <cell r="BF526">
            <v>-308.02827975000929</v>
          </cell>
          <cell r="BG526">
            <v>-309.48845769329591</v>
          </cell>
          <cell r="BH526">
            <v>-310.90550687837629</v>
          </cell>
          <cell r="BI526">
            <v>-308.92158400089301</v>
          </cell>
          <cell r="BJ526">
            <v>-1237.3438283225744</v>
          </cell>
          <cell r="BK526">
            <v>-322.51986913158731</v>
          </cell>
          <cell r="BL526">
            <v>-327.40505500709207</v>
          </cell>
          <cell r="BM526">
            <v>-332.31884817433388</v>
          </cell>
          <cell r="BN526">
            <v>-333.63478359424511</v>
          </cell>
          <cell r="BO526">
            <v>-1315.8785559072585</v>
          </cell>
          <cell r="BP526">
            <v>-346.36191080460389</v>
          </cell>
          <cell r="BQ526">
            <v>-349.5226603799818</v>
          </cell>
          <cell r="BR526">
            <v>-352.66829531579435</v>
          </cell>
          <cell r="BS526">
            <v>-351.97302189578284</v>
          </cell>
          <cell r="BT526">
            <v>-1400.5258883961628</v>
          </cell>
          <cell r="BU526">
            <v>-360.76328692458162</v>
          </cell>
          <cell r="BV526">
            <v>-365.34329012135368</v>
          </cell>
          <cell r="BW526">
            <v>-369.93585424627832</v>
          </cell>
          <cell r="BX526">
            <v>-370.51365694129805</v>
          </cell>
          <cell r="BY526">
            <v>-1466.5560882335117</v>
          </cell>
          <cell r="BZ526">
            <v>-374.96348066946274</v>
          </cell>
          <cell r="CA526">
            <v>-378.69663045333613</v>
          </cell>
          <cell r="CB526">
            <v>-382.42026131166097</v>
          </cell>
          <cell r="CC526">
            <v>-381.98239073643276</v>
          </cell>
          <cell r="CD526">
            <v>-1518.0627631708926</v>
          </cell>
        </row>
        <row r="527">
          <cell r="A527" t="str">
            <v>Other income/(cost)</v>
          </cell>
          <cell r="AA527">
            <v>-76</v>
          </cell>
          <cell r="AF527">
            <v>-56</v>
          </cell>
          <cell r="AK527">
            <v>-30</v>
          </cell>
          <cell r="AP527">
            <v>-128</v>
          </cell>
          <cell r="AQ527">
            <v>-15</v>
          </cell>
          <cell r="AR527">
            <v>-15</v>
          </cell>
          <cell r="AS527">
            <v>-15</v>
          </cell>
          <cell r="AT527">
            <v>-15</v>
          </cell>
          <cell r="AU527">
            <v>-60</v>
          </cell>
          <cell r="AV527">
            <v>-15</v>
          </cell>
          <cell r="AW527">
            <v>-15</v>
          </cell>
          <cell r="AX527">
            <v>-15</v>
          </cell>
          <cell r="AY527">
            <v>-15</v>
          </cell>
          <cell r="AZ527">
            <v>-60</v>
          </cell>
          <cell r="BA527">
            <v>-15</v>
          </cell>
          <cell r="BB527">
            <v>-15</v>
          </cell>
          <cell r="BC527">
            <v>-15</v>
          </cell>
          <cell r="BD527">
            <v>-15</v>
          </cell>
          <cell r="BE527">
            <v>-60</v>
          </cell>
          <cell r="BF527">
            <v>-15</v>
          </cell>
          <cell r="BG527">
            <v>-15</v>
          </cell>
          <cell r="BH527">
            <v>-15</v>
          </cell>
          <cell r="BI527">
            <v>-15</v>
          </cell>
          <cell r="BJ527">
            <v>-60</v>
          </cell>
          <cell r="BK527">
            <v>-15</v>
          </cell>
          <cell r="BL527">
            <v>-15</v>
          </cell>
          <cell r="BM527">
            <v>-15</v>
          </cell>
          <cell r="BN527">
            <v>-15</v>
          </cell>
          <cell r="BO527">
            <v>-60</v>
          </cell>
          <cell r="BP527">
            <v>-15</v>
          </cell>
          <cell r="BQ527">
            <v>-15</v>
          </cell>
          <cell r="BR527">
            <v>-15</v>
          </cell>
          <cell r="BS527">
            <v>-15</v>
          </cell>
          <cell r="BT527">
            <v>-60</v>
          </cell>
          <cell r="BU527">
            <v>-15</v>
          </cell>
          <cell r="BV527">
            <v>-15</v>
          </cell>
          <cell r="BW527">
            <v>-15</v>
          </cell>
          <cell r="BX527">
            <v>-15</v>
          </cell>
          <cell r="BY527">
            <v>-60</v>
          </cell>
          <cell r="BZ527">
            <v>-15</v>
          </cell>
          <cell r="CA527">
            <v>-15</v>
          </cell>
          <cell r="CB527">
            <v>-15</v>
          </cell>
          <cell r="CC527">
            <v>-15</v>
          </cell>
          <cell r="CD527">
            <v>-60</v>
          </cell>
        </row>
        <row r="528">
          <cell r="A528" t="str">
            <v>Earnings before tax</v>
          </cell>
          <cell r="AA528">
            <v>1507</v>
          </cell>
          <cell r="AF528">
            <v>2423</v>
          </cell>
          <cell r="AK528">
            <v>4391</v>
          </cell>
          <cell r="AP528">
            <v>4950</v>
          </cell>
          <cell r="AQ528">
            <v>1264.5284860970689</v>
          </cell>
          <cell r="AR528">
            <v>1095.7343958681363</v>
          </cell>
          <cell r="AS528">
            <v>1197.0294769651834</v>
          </cell>
          <cell r="AT528">
            <v>1129.0271564742732</v>
          </cell>
          <cell r="AU528">
            <v>4686.3195154046625</v>
          </cell>
          <cell r="AV528">
            <v>686.04420793158738</v>
          </cell>
          <cell r="AW528">
            <v>687.70612591025883</v>
          </cell>
          <cell r="AX528">
            <v>690.20514372740411</v>
          </cell>
          <cell r="AY528">
            <v>684.87222609498599</v>
          </cell>
          <cell r="AZ528">
            <v>2748.8277036642371</v>
          </cell>
          <cell r="BA528">
            <v>537.46743358260778</v>
          </cell>
          <cell r="BB528">
            <v>534.09872370262019</v>
          </cell>
          <cell r="BC528">
            <v>542.76358513133482</v>
          </cell>
          <cell r="BD528">
            <v>545.28450454133917</v>
          </cell>
          <cell r="BE528">
            <v>2159.6142469579008</v>
          </cell>
          <cell r="BF528">
            <v>432.60227071887113</v>
          </cell>
          <cell r="BG528">
            <v>424.1692957633619</v>
          </cell>
          <cell r="BH528">
            <v>428.01323658567753</v>
          </cell>
          <cell r="BI528">
            <v>426.92125108092347</v>
          </cell>
          <cell r="BJ528">
            <v>1711.7060541488347</v>
          </cell>
          <cell r="BK528">
            <v>393.6965115195739</v>
          </cell>
          <cell r="BL528">
            <v>404.84774456514185</v>
          </cell>
          <cell r="BM528">
            <v>416.21207938779344</v>
          </cell>
          <cell r="BN528">
            <v>422.92361636141749</v>
          </cell>
          <cell r="BO528">
            <v>1637.6799518339262</v>
          </cell>
          <cell r="BP528">
            <v>393.62112241556804</v>
          </cell>
          <cell r="BQ528">
            <v>404.08801950385424</v>
          </cell>
          <cell r="BR528">
            <v>414.7039179746447</v>
          </cell>
          <cell r="BS528">
            <v>420.62582922657725</v>
          </cell>
          <cell r="BT528">
            <v>1633.0388891206444</v>
          </cell>
          <cell r="BU528">
            <v>380.92206828542419</v>
          </cell>
          <cell r="BV528">
            <v>391.74880665471051</v>
          </cell>
          <cell r="BW528">
            <v>402.76626456861442</v>
          </cell>
          <cell r="BX528">
            <v>409.2563243623477</v>
          </cell>
          <cell r="BY528">
            <v>1584.6934638710964</v>
          </cell>
          <cell r="BZ528">
            <v>363.54538709291313</v>
          </cell>
          <cell r="CA528">
            <v>373.82156849436643</v>
          </cell>
          <cell r="CB528">
            <v>384.25685807347043</v>
          </cell>
          <cell r="CC528">
            <v>390.33777716774512</v>
          </cell>
          <cell r="CD528">
            <v>1511.961590828495</v>
          </cell>
        </row>
        <row r="530">
          <cell r="A530" t="str">
            <v>Taxation</v>
          </cell>
          <cell r="AA530">
            <v>-955</v>
          </cell>
          <cell r="AF530">
            <v>-1338</v>
          </cell>
          <cell r="AK530">
            <v>-1983</v>
          </cell>
          <cell r="AP530">
            <v>-1971</v>
          </cell>
          <cell r="AQ530">
            <v>-632.26424304853447</v>
          </cell>
          <cell r="AR530">
            <v>-547.86719793406814</v>
          </cell>
          <cell r="AS530">
            <v>-598.51473848259172</v>
          </cell>
          <cell r="AT530">
            <v>-564.51357823713658</v>
          </cell>
          <cell r="AU530">
            <v>-2343.1597577023313</v>
          </cell>
          <cell r="AV530">
            <v>-343.02210396579369</v>
          </cell>
          <cell r="AW530">
            <v>-343.85306295512942</v>
          </cell>
          <cell r="AX530">
            <v>-345.10257186370205</v>
          </cell>
          <cell r="AY530">
            <v>-342.436113047493</v>
          </cell>
          <cell r="AZ530">
            <v>-1374.4138518321183</v>
          </cell>
          <cell r="BA530">
            <v>-268.73371679130389</v>
          </cell>
          <cell r="BB530">
            <v>-267.0493618513101</v>
          </cell>
          <cell r="BC530">
            <v>-271.38179256566741</v>
          </cell>
          <cell r="BD530">
            <v>-272.64225227066959</v>
          </cell>
          <cell r="BE530">
            <v>-1079.8071234789509</v>
          </cell>
          <cell r="BF530">
            <v>-216.30113535943556</v>
          </cell>
          <cell r="BG530">
            <v>-212.08464788168095</v>
          </cell>
          <cell r="BH530">
            <v>-214.00661829283877</v>
          </cell>
          <cell r="BI530">
            <v>-213.46062554046173</v>
          </cell>
          <cell r="BJ530">
            <v>-855.85302707441701</v>
          </cell>
          <cell r="BK530">
            <v>-196.84825575978695</v>
          </cell>
          <cell r="BL530">
            <v>-202.42387228257093</v>
          </cell>
          <cell r="BM530">
            <v>-208.10603969389672</v>
          </cell>
          <cell r="BN530">
            <v>-211.46180818070874</v>
          </cell>
          <cell r="BO530">
            <v>-818.83997591696334</v>
          </cell>
          <cell r="BP530">
            <v>-196.81056120778402</v>
          </cell>
          <cell r="BQ530">
            <v>-202.04400975192712</v>
          </cell>
          <cell r="BR530">
            <v>-207.35195898732235</v>
          </cell>
          <cell r="BS530">
            <v>-210.31291461328863</v>
          </cell>
          <cell r="BT530">
            <v>-816.51944456032209</v>
          </cell>
          <cell r="BU530">
            <v>-190.46103414271209</v>
          </cell>
          <cell r="BV530">
            <v>-195.87440332735525</v>
          </cell>
          <cell r="BW530">
            <v>-201.38313228430721</v>
          </cell>
          <cell r="BX530">
            <v>-204.62816218117385</v>
          </cell>
          <cell r="BY530">
            <v>-792.34673193554841</v>
          </cell>
          <cell r="BZ530">
            <v>-181.77269354645657</v>
          </cell>
          <cell r="CA530">
            <v>-186.91078424718322</v>
          </cell>
          <cell r="CB530">
            <v>-192.12842903673521</v>
          </cell>
          <cell r="CC530">
            <v>-195.16888858387256</v>
          </cell>
          <cell r="CD530">
            <v>-755.9807954142475</v>
          </cell>
        </row>
        <row r="531">
          <cell r="A531" t="str">
            <v>Earnings after tax</v>
          </cell>
          <cell r="G531">
            <v>348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509</v>
          </cell>
          <cell r="Q531">
            <v>597</v>
          </cell>
          <cell r="V531">
            <v>467</v>
          </cell>
          <cell r="AA531">
            <v>552</v>
          </cell>
          <cell r="AF531">
            <v>1085</v>
          </cell>
          <cell r="AK531">
            <v>2408</v>
          </cell>
          <cell r="AP531">
            <v>2979</v>
          </cell>
          <cell r="AQ531">
            <v>632.26424304853447</v>
          </cell>
          <cell r="AR531">
            <v>547.86719793406814</v>
          </cell>
          <cell r="AS531">
            <v>598.51473848259172</v>
          </cell>
          <cell r="AT531">
            <v>564.51357823713658</v>
          </cell>
          <cell r="AU531">
            <v>2343.1597577023313</v>
          </cell>
          <cell r="AV531">
            <v>343.02210396579369</v>
          </cell>
          <cell r="AW531">
            <v>343.85306295512942</v>
          </cell>
          <cell r="AX531">
            <v>345.10257186370205</v>
          </cell>
          <cell r="AY531">
            <v>342.436113047493</v>
          </cell>
          <cell r="AZ531">
            <v>1374.4138518321188</v>
          </cell>
          <cell r="BA531">
            <v>268.73371679130389</v>
          </cell>
          <cell r="BB531">
            <v>267.0493618513101</v>
          </cell>
          <cell r="BC531">
            <v>271.38179256566741</v>
          </cell>
          <cell r="BD531">
            <v>272.64225227066959</v>
          </cell>
          <cell r="BE531">
            <v>1079.80712347895</v>
          </cell>
          <cell r="BF531">
            <v>216.30113535943556</v>
          </cell>
          <cell r="BG531">
            <v>212.08464788168095</v>
          </cell>
          <cell r="BH531">
            <v>214.00661829283877</v>
          </cell>
          <cell r="BI531">
            <v>213.46062554046173</v>
          </cell>
          <cell r="BJ531">
            <v>855.8530270744177</v>
          </cell>
          <cell r="BK531">
            <v>196.84825575978695</v>
          </cell>
          <cell r="BL531">
            <v>202.42387228257093</v>
          </cell>
          <cell r="BM531">
            <v>208.10603969389672</v>
          </cell>
          <cell r="BN531">
            <v>211.46180818070874</v>
          </cell>
          <cell r="BO531">
            <v>818.83997591696289</v>
          </cell>
          <cell r="BP531">
            <v>196.81056120778402</v>
          </cell>
          <cell r="BQ531">
            <v>202.04400975192712</v>
          </cell>
          <cell r="BR531">
            <v>207.35195898732235</v>
          </cell>
          <cell r="BS531">
            <v>210.31291461328863</v>
          </cell>
          <cell r="BT531">
            <v>816.51944456032231</v>
          </cell>
          <cell r="BU531">
            <v>190.46103414271209</v>
          </cell>
          <cell r="BV531">
            <v>195.87440332735525</v>
          </cell>
          <cell r="BW531">
            <v>201.38313228430721</v>
          </cell>
          <cell r="BX531">
            <v>204.62816218117385</v>
          </cell>
          <cell r="BY531">
            <v>792.34673193554795</v>
          </cell>
          <cell r="BZ531">
            <v>181.77269354645657</v>
          </cell>
          <cell r="CA531">
            <v>186.91078424718322</v>
          </cell>
          <cell r="CB531">
            <v>192.12842903673521</v>
          </cell>
          <cell r="CC531">
            <v>195.16888858387256</v>
          </cell>
          <cell r="CD531">
            <v>755.9807954142475</v>
          </cell>
        </row>
        <row r="533">
          <cell r="A533" t="str">
            <v>Production</v>
          </cell>
        </row>
        <row r="534">
          <cell r="B534" t="str">
            <v>Oil and NGL (kbbl/d)</v>
          </cell>
          <cell r="C534">
            <v>191</v>
          </cell>
          <cell r="D534">
            <v>201</v>
          </cell>
          <cell r="E534">
            <v>229</v>
          </cell>
          <cell r="F534">
            <v>231</v>
          </cell>
          <cell r="G534">
            <v>231</v>
          </cell>
          <cell r="L534">
            <v>271</v>
          </cell>
          <cell r="Q534">
            <v>288</v>
          </cell>
          <cell r="V534">
            <v>297</v>
          </cell>
          <cell r="AA534">
            <v>310</v>
          </cell>
          <cell r="AF534">
            <v>330</v>
          </cell>
          <cell r="AK534">
            <v>357</v>
          </cell>
          <cell r="AP534">
            <v>345</v>
          </cell>
          <cell r="AQ534">
            <v>323.33</v>
          </cell>
          <cell r="AR534">
            <v>323.33</v>
          </cell>
          <cell r="AS534">
            <v>323.33</v>
          </cell>
          <cell r="AT534">
            <v>323.33</v>
          </cell>
          <cell r="AU534">
            <v>323.33</v>
          </cell>
          <cell r="AV534">
            <v>180.57</v>
          </cell>
          <cell r="AW534">
            <v>180.57</v>
          </cell>
          <cell r="AX534">
            <v>180.57</v>
          </cell>
          <cell r="AY534">
            <v>180.57</v>
          </cell>
          <cell r="AZ534">
            <v>180.57</v>
          </cell>
          <cell r="BA534">
            <v>158.99</v>
          </cell>
          <cell r="BB534">
            <v>158.99</v>
          </cell>
          <cell r="BC534">
            <v>158.99</v>
          </cell>
          <cell r="BD534">
            <v>158.99</v>
          </cell>
          <cell r="BE534">
            <v>158.99</v>
          </cell>
          <cell r="BF534">
            <v>148</v>
          </cell>
          <cell r="BG534">
            <v>148</v>
          </cell>
          <cell r="BH534">
            <v>148</v>
          </cell>
          <cell r="BI534">
            <v>148</v>
          </cell>
          <cell r="BJ534">
            <v>148</v>
          </cell>
          <cell r="BK534">
            <v>146.38999999999999</v>
          </cell>
          <cell r="BL534">
            <v>146.38999999999999</v>
          </cell>
          <cell r="BM534">
            <v>146.38999999999999</v>
          </cell>
          <cell r="BN534">
            <v>146.38999999999999</v>
          </cell>
          <cell r="BO534">
            <v>146.38999999999999</v>
          </cell>
          <cell r="BP534">
            <v>146.41</v>
          </cell>
          <cell r="BQ534">
            <v>146.41</v>
          </cell>
          <cell r="BR534">
            <v>146.41</v>
          </cell>
          <cell r="BS534">
            <v>146.41</v>
          </cell>
          <cell r="BT534">
            <v>146.41</v>
          </cell>
          <cell r="BU534">
            <v>141.63</v>
          </cell>
          <cell r="BV534">
            <v>141.63</v>
          </cell>
          <cell r="BW534">
            <v>141.63</v>
          </cell>
          <cell r="BX534">
            <v>141.63</v>
          </cell>
          <cell r="BY534">
            <v>141.63</v>
          </cell>
          <cell r="BZ534">
            <v>134.34</v>
          </cell>
          <cell r="CA534">
            <v>134.34</v>
          </cell>
          <cell r="CB534">
            <v>134.34</v>
          </cell>
          <cell r="CC534">
            <v>134.34</v>
          </cell>
          <cell r="CD534">
            <v>134.34</v>
          </cell>
        </row>
        <row r="535">
          <cell r="B535" t="str">
            <v>Natural gas (mmcf/d)</v>
          </cell>
          <cell r="C535">
            <v>446.81</v>
          </cell>
          <cell r="D535">
            <v>462.28</v>
          </cell>
          <cell r="E535">
            <v>499.59000000000003</v>
          </cell>
          <cell r="F535">
            <v>504.14</v>
          </cell>
          <cell r="G535">
            <v>497</v>
          </cell>
          <cell r="L535">
            <v>517</v>
          </cell>
          <cell r="Q535">
            <v>506</v>
          </cell>
          <cell r="V535">
            <v>499</v>
          </cell>
          <cell r="AA535">
            <v>665</v>
          </cell>
          <cell r="AF535">
            <v>856</v>
          </cell>
          <cell r="AK535">
            <v>1152</v>
          </cell>
          <cell r="AP535">
            <v>1203</v>
          </cell>
          <cell r="AQ535">
            <v>1264</v>
          </cell>
          <cell r="AR535">
            <v>1325</v>
          </cell>
          <cell r="AS535">
            <v>1386</v>
          </cell>
          <cell r="AT535">
            <v>1447</v>
          </cell>
          <cell r="AU535">
            <v>1355.5</v>
          </cell>
          <cell r="AV535">
            <v>1408.3</v>
          </cell>
          <cell r="AW535">
            <v>1369.6</v>
          </cell>
          <cell r="AX535">
            <v>1330.8999999999999</v>
          </cell>
          <cell r="AY535">
            <v>1292.1999999999998</v>
          </cell>
          <cell r="AZ535">
            <v>1350.25</v>
          </cell>
          <cell r="BA535">
            <v>1315.62</v>
          </cell>
          <cell r="BB535">
            <v>1339.04</v>
          </cell>
          <cell r="BC535">
            <v>1362.46</v>
          </cell>
          <cell r="BD535">
            <v>1385.88</v>
          </cell>
          <cell r="BE535">
            <v>1350.75</v>
          </cell>
          <cell r="BF535">
            <v>1371.828</v>
          </cell>
          <cell r="BG535">
            <v>1357.7759999999998</v>
          </cell>
          <cell r="BH535">
            <v>1343.7239999999997</v>
          </cell>
          <cell r="BI535">
            <v>1329.6719999999996</v>
          </cell>
          <cell r="BJ535">
            <v>1350.75</v>
          </cell>
          <cell r="BK535">
            <v>1338.4031999999997</v>
          </cell>
          <cell r="BL535">
            <v>1347.1343999999999</v>
          </cell>
          <cell r="BM535">
            <v>1355.8656000000001</v>
          </cell>
          <cell r="BN535">
            <v>1364.5968000000003</v>
          </cell>
          <cell r="BO535">
            <v>1351.5</v>
          </cell>
          <cell r="BP535">
            <v>1360.2580800000001</v>
          </cell>
          <cell r="BQ535">
            <v>1355.9193599999999</v>
          </cell>
          <cell r="BR535">
            <v>1351.5806399999997</v>
          </cell>
          <cell r="BS535">
            <v>1347.2419199999995</v>
          </cell>
          <cell r="BT535">
            <v>1353.75</v>
          </cell>
          <cell r="BU535">
            <v>1350.6451519999996</v>
          </cell>
          <cell r="BV535">
            <v>1354.0483839999997</v>
          </cell>
          <cell r="BW535">
            <v>1357.4516159999998</v>
          </cell>
          <cell r="BX535">
            <v>1360.8548479999999</v>
          </cell>
          <cell r="BY535">
            <v>1355.75</v>
          </cell>
          <cell r="BZ535">
            <v>1358.4129088</v>
          </cell>
          <cell r="CA535">
            <v>1355.9709696</v>
          </cell>
          <cell r="CB535">
            <v>1353.5290304</v>
          </cell>
          <cell r="CC535">
            <v>1351.0870912</v>
          </cell>
          <cell r="CD535">
            <v>1354.75</v>
          </cell>
        </row>
        <row r="536">
          <cell r="B536" t="str">
            <v>Total</v>
          </cell>
          <cell r="C536">
            <v>268.03620689655173</v>
          </cell>
          <cell r="D536">
            <v>280.70344827586206</v>
          </cell>
          <cell r="E536">
            <v>315.1362068965517</v>
          </cell>
          <cell r="F536">
            <v>317.9206896551724</v>
          </cell>
          <cell r="G536">
            <v>316.68965517241378</v>
          </cell>
          <cell r="L536">
            <v>360.13793103448279</v>
          </cell>
          <cell r="Q536">
            <v>375.24137931034483</v>
          </cell>
          <cell r="V536">
            <v>383.0344827586207</v>
          </cell>
          <cell r="AA536">
            <v>424.65517241379314</v>
          </cell>
          <cell r="AF536">
            <v>477.58620689655174</v>
          </cell>
          <cell r="AK536">
            <v>555.62068965517244</v>
          </cell>
          <cell r="AP536">
            <v>552.41379310344826</v>
          </cell>
          <cell r="AQ536">
            <v>541.26103448275865</v>
          </cell>
          <cell r="AR536">
            <v>551.77827586206899</v>
          </cell>
          <cell r="AS536">
            <v>562.29551724137934</v>
          </cell>
          <cell r="AT536">
            <v>572.81275862068969</v>
          </cell>
          <cell r="AU536">
            <v>557.03689655172411</v>
          </cell>
          <cell r="AV536">
            <v>423.38034482758621</v>
          </cell>
          <cell r="AW536">
            <v>416.70793103448273</v>
          </cell>
          <cell r="AX536">
            <v>410.0355172413793</v>
          </cell>
          <cell r="AY536">
            <v>403.36310344827587</v>
          </cell>
          <cell r="AZ536">
            <v>413.37172413793104</v>
          </cell>
          <cell r="BA536">
            <v>385.82103448275859</v>
          </cell>
          <cell r="BB536">
            <v>389.85896551724136</v>
          </cell>
          <cell r="BC536">
            <v>393.89689655172413</v>
          </cell>
          <cell r="BD536">
            <v>397.93482758620689</v>
          </cell>
          <cell r="BE536">
            <v>391.8779310344828</v>
          </cell>
          <cell r="BF536">
            <v>384.52206896551724</v>
          </cell>
          <cell r="BG536">
            <v>382.09931034482759</v>
          </cell>
          <cell r="BH536">
            <v>379.67655172413788</v>
          </cell>
          <cell r="BI536">
            <v>377.25379310344817</v>
          </cell>
          <cell r="BJ536">
            <v>380.88793103448279</v>
          </cell>
          <cell r="BK536">
            <v>377.14917241379305</v>
          </cell>
          <cell r="BL536">
            <v>378.65455172413795</v>
          </cell>
          <cell r="BM536">
            <v>380.15993103448272</v>
          </cell>
          <cell r="BN536">
            <v>381.66531034482762</v>
          </cell>
          <cell r="BO536">
            <v>379.40724137931034</v>
          </cell>
          <cell r="BP536">
            <v>380.93725517241381</v>
          </cell>
          <cell r="BQ536">
            <v>380.18919999999997</v>
          </cell>
          <cell r="BR536">
            <v>379.44114482758619</v>
          </cell>
          <cell r="BS536">
            <v>378.69308965517234</v>
          </cell>
          <cell r="BT536">
            <v>379.81517241379311</v>
          </cell>
          <cell r="BU536">
            <v>374.4998537931034</v>
          </cell>
          <cell r="BV536">
            <v>375.08661793103443</v>
          </cell>
          <cell r="BW536">
            <v>375.67338206896545</v>
          </cell>
          <cell r="BX536">
            <v>376.26014620689654</v>
          </cell>
          <cell r="BY536">
            <v>375.38</v>
          </cell>
          <cell r="BZ536">
            <v>368.54912220689653</v>
          </cell>
          <cell r="CA536">
            <v>368.12809820689654</v>
          </cell>
          <cell r="CB536">
            <v>367.70707420689655</v>
          </cell>
          <cell r="CC536">
            <v>367.28605020689656</v>
          </cell>
          <cell r="CD536">
            <v>367.91758620689654</v>
          </cell>
        </row>
        <row r="538">
          <cell r="A538" t="str">
            <v>Realise price</v>
          </cell>
        </row>
        <row r="539">
          <cell r="B539" t="str">
            <v>Oil and NGL ($/bbl)</v>
          </cell>
          <cell r="AA539">
            <v>53.09</v>
          </cell>
          <cell r="AF539">
            <v>70.48</v>
          </cell>
          <cell r="AK539">
            <v>97.63</v>
          </cell>
          <cell r="AP539">
            <v>100.79</v>
          </cell>
          <cell r="AQ539">
            <v>108.71</v>
          </cell>
          <cell r="AR539">
            <v>93</v>
          </cell>
          <cell r="AS539">
            <v>100.98</v>
          </cell>
          <cell r="AT539">
            <v>95.54</v>
          </cell>
          <cell r="AU539">
            <v>99.14</v>
          </cell>
          <cell r="AV539">
            <v>98.445843205849201</v>
          </cell>
          <cell r="AW539">
            <v>98.445843205849201</v>
          </cell>
          <cell r="AX539">
            <v>98.445843205849201</v>
          </cell>
          <cell r="AY539">
            <v>98.445843205849201</v>
          </cell>
          <cell r="AZ539">
            <v>98.445843205849201</v>
          </cell>
          <cell r="BA539">
            <v>92.96273782056339</v>
          </cell>
          <cell r="BB539">
            <v>92.96273782056339</v>
          </cell>
          <cell r="BC539">
            <v>92.96273782056339</v>
          </cell>
          <cell r="BD539">
            <v>92.96273782056339</v>
          </cell>
          <cell r="BE539">
            <v>92.96273782056339</v>
          </cell>
          <cell r="BF539">
            <v>87.562990456337673</v>
          </cell>
          <cell r="BG539">
            <v>87.562990456337673</v>
          </cell>
          <cell r="BH539">
            <v>87.562990456337673</v>
          </cell>
          <cell r="BI539">
            <v>87.562990456337673</v>
          </cell>
          <cell r="BJ539">
            <v>87.562990456337673</v>
          </cell>
          <cell r="BK539">
            <v>88.119597438929659</v>
          </cell>
          <cell r="BL539">
            <v>88.679651069064434</v>
          </cell>
          <cell r="BM539">
            <v>89.243172689232566</v>
          </cell>
          <cell r="BN539">
            <v>89.810183774082603</v>
          </cell>
          <cell r="BO539">
            <v>88.963151242827308</v>
          </cell>
          <cell r="BP539">
            <v>90.380705931239376</v>
          </cell>
          <cell r="BQ539">
            <v>90.954760902127518</v>
          </cell>
          <cell r="BR539">
            <v>91.532370562799855</v>
          </cell>
          <cell r="BS539">
            <v>92.113556924771132</v>
          </cell>
          <cell r="BT539">
            <v>91.245348580234463</v>
          </cell>
          <cell r="BU539">
            <v>92.698342135856834</v>
          </cell>
          <cell r="BV539">
            <v>93.286748481017185</v>
          </cell>
          <cell r="BW539">
            <v>93.878798383206316</v>
          </cell>
          <cell r="BX539">
            <v>94.474514404226881</v>
          </cell>
          <cell r="BY539">
            <v>93.5846008510768</v>
          </cell>
          <cell r="BZ539">
            <v>95.073919245589721</v>
          </cell>
          <cell r="CA539">
            <v>95.677035749379073</v>
          </cell>
          <cell r="CB539">
            <v>96.283886899122933</v>
          </cell>
          <cell r="CC539">
            <v>96.894495820669007</v>
          </cell>
          <cell r="CD539">
            <v>95.982334428690194</v>
          </cell>
        </row>
        <row r="540">
          <cell r="B540" t="str">
            <v>Natural gas ($/mmcf)</v>
          </cell>
          <cell r="AA540">
            <v>4.1399999999999997</v>
          </cell>
          <cell r="AF540">
            <v>5.8</v>
          </cell>
          <cell r="AK540">
            <v>7.14</v>
          </cell>
          <cell r="AP540">
            <v>8.3699999999999992</v>
          </cell>
          <cell r="AQ540">
            <v>8.34</v>
          </cell>
          <cell r="AR540">
            <v>8.66</v>
          </cell>
          <cell r="AS540">
            <v>8.15</v>
          </cell>
          <cell r="AT540">
            <v>8.09</v>
          </cell>
          <cell r="AU540">
            <v>8.3000000000000007</v>
          </cell>
          <cell r="AV540">
            <v>8.1513796146255544</v>
          </cell>
          <cell r="AW540">
            <v>8.1348539560347177</v>
          </cell>
          <cell r="AX540">
            <v>8.1348539560347177</v>
          </cell>
          <cell r="AY540">
            <v>8.1348539560347177</v>
          </cell>
          <cell r="AZ540">
            <v>8.1389853706824269</v>
          </cell>
          <cell r="BA540">
            <v>7.9125087313579971</v>
          </cell>
          <cell r="BB540">
            <v>7.6901635066812766</v>
          </cell>
          <cell r="BC540">
            <v>7.6901635066812766</v>
          </cell>
          <cell r="BD540">
            <v>7.6901635066812766</v>
          </cell>
          <cell r="BE540">
            <v>7.7457498128504563</v>
          </cell>
          <cell r="BF540">
            <v>7.4711985303526829</v>
          </cell>
          <cell r="BG540">
            <v>7.2522335540240883</v>
          </cell>
          <cell r="BH540">
            <v>7.2522335540240883</v>
          </cell>
          <cell r="BI540">
            <v>7.2522335540240883</v>
          </cell>
          <cell r="BJ540">
            <v>7.3069747981062365</v>
          </cell>
          <cell r="BK540">
            <v>7.2748045053198931</v>
          </cell>
          <cell r="BL540">
            <v>7.3200861728017292</v>
          </cell>
          <cell r="BM540">
            <v>7.3656482355226478</v>
          </cell>
          <cell r="BN540">
            <v>7.4114924297590381</v>
          </cell>
          <cell r="BO540">
            <v>7.3430078358508268</v>
          </cell>
          <cell r="BP540">
            <v>7.4576205025387408</v>
          </cell>
          <cell r="BQ540">
            <v>7.5040342117076229</v>
          </cell>
          <cell r="BR540">
            <v>7.5507353259965644</v>
          </cell>
          <cell r="BS540">
            <v>7.5977256250888647</v>
          </cell>
          <cell r="BT540">
            <v>7.5275289163329475</v>
          </cell>
          <cell r="BU540">
            <v>7.6450068996880596</v>
          </cell>
          <cell r="BV540">
            <v>7.6925809515861641</v>
          </cell>
          <cell r="BW540">
            <v>7.7404495937323281</v>
          </cell>
          <cell r="BX540">
            <v>7.7886146503019367</v>
          </cell>
          <cell r="BY540">
            <v>7.7166630238271221</v>
          </cell>
          <cell r="BZ540">
            <v>7.8370779567661115</v>
          </cell>
          <cell r="CA540">
            <v>7.8858413599616668</v>
          </cell>
          <cell r="CB540">
            <v>7.9349067181614865</v>
          </cell>
          <cell r="CC540">
            <v>7.9842759011453337</v>
          </cell>
          <cell r="CD540">
            <v>7.9105254840086499</v>
          </cell>
        </row>
        <row r="542">
          <cell r="A542" t="str">
            <v>Production x price</v>
          </cell>
          <cell r="AA542">
            <v>7012.0150000000003</v>
          </cell>
          <cell r="AF542">
            <v>10301.468000000001</v>
          </cell>
          <cell r="AK542">
            <v>15723.904349999997</v>
          </cell>
          <cell r="AP542">
            <v>16367.205900000001</v>
          </cell>
          <cell r="AQ542">
            <v>4112.1867869999996</v>
          </cell>
          <cell r="AR542">
            <v>3780.5212900000001</v>
          </cell>
          <cell r="AS542">
            <v>4043.0102327999994</v>
          </cell>
          <cell r="AT542">
            <v>3918.9403943999996</v>
          </cell>
          <cell r="AU542">
            <v>15854.658704199999</v>
          </cell>
          <cell r="AV542">
            <v>2633.0358437061623</v>
          </cell>
          <cell r="AW542">
            <v>2631.5254316137457</v>
          </cell>
          <cell r="AX542">
            <v>2631.479959474545</v>
          </cell>
          <cell r="AY542">
            <v>2602.5166254494793</v>
          </cell>
          <cell r="AZ542">
            <v>10498.557860243933</v>
          </cell>
          <cell r="BA542">
            <v>2267.1000380916526</v>
          </cell>
          <cell r="BB542">
            <v>2282.0599827550864</v>
          </cell>
          <cell r="BC542">
            <v>2323.7070988812002</v>
          </cell>
          <cell r="BD542">
            <v>2340.276632779236</v>
          </cell>
          <cell r="BE542">
            <v>9213.1437525071742</v>
          </cell>
          <cell r="BF542">
            <v>2088.7669732531172</v>
          </cell>
          <cell r="BG542">
            <v>2075.3670440763794</v>
          </cell>
          <cell r="BH542">
            <v>2088.7977038270601</v>
          </cell>
          <cell r="BI542">
            <v>2079.4221323241545</v>
          </cell>
          <cell r="BJ542">
            <v>8332.3538534807121</v>
          </cell>
          <cell r="BK542">
            <v>2037.2804548541524</v>
          </cell>
          <cell r="BL542">
            <v>2078.7088153054765</v>
          </cell>
          <cell r="BM542">
            <v>2120.7046145084805</v>
          </cell>
          <cell r="BN542">
            <v>2140.0130723116454</v>
          </cell>
          <cell r="BO542">
            <v>8376.706956979755</v>
          </cell>
          <cell r="BP542">
            <v>2103.9234931390265</v>
          </cell>
          <cell r="BQ542">
            <v>2137.7312146587847</v>
          </cell>
          <cell r="BR542">
            <v>2171.8147493802121</v>
          </cell>
          <cell r="BS542">
            <v>2182.4534701882967</v>
          </cell>
          <cell r="BT542">
            <v>8595.9229273663204</v>
          </cell>
          <cell r="BU542">
            <v>2110.9101932494464</v>
          </cell>
          <cell r="BV542">
            <v>2150.1779384222309</v>
          </cell>
          <cell r="BW542">
            <v>2189.9072822624639</v>
          </cell>
          <cell r="BX542">
            <v>2206.123152264684</v>
          </cell>
          <cell r="BY542">
            <v>8657.1185661988238</v>
          </cell>
          <cell r="BZ542">
            <v>2107.6396357675981</v>
          </cell>
          <cell r="CA542">
            <v>2142.7064693171037</v>
          </cell>
          <cell r="CB542">
            <v>2178.0911645569677</v>
          </cell>
          <cell r="CC542">
            <v>2189.9917977472151</v>
          </cell>
          <cell r="CD542">
            <v>8618.4290673888845</v>
          </cell>
        </row>
        <row r="543">
          <cell r="A543" t="str">
            <v>Difference with actual</v>
          </cell>
          <cell r="AA543">
            <v>-0.29235747499114029</v>
          </cell>
          <cell r="AF543">
            <v>-0.33067791891408105</v>
          </cell>
          <cell r="AK543">
            <v>-0.29909265824298903</v>
          </cell>
          <cell r="AP543">
            <v>-0.23065671215146144</v>
          </cell>
          <cell r="AQ543">
            <v>-0.3</v>
          </cell>
          <cell r="AR543">
            <v>-0.3</v>
          </cell>
          <cell r="AS543">
            <v>-0.3</v>
          </cell>
          <cell r="AT543">
            <v>-0.3</v>
          </cell>
          <cell r="AU543">
            <v>-0.3</v>
          </cell>
          <cell r="AV543">
            <v>-0.3</v>
          </cell>
          <cell r="AW543">
            <v>-0.3</v>
          </cell>
          <cell r="AX543">
            <v>-0.3</v>
          </cell>
          <cell r="AY543">
            <v>-0.3</v>
          </cell>
          <cell r="AZ543">
            <v>-0.3</v>
          </cell>
          <cell r="BA543">
            <v>-0.3</v>
          </cell>
          <cell r="BB543">
            <v>-0.3</v>
          </cell>
          <cell r="BC543">
            <v>-0.3</v>
          </cell>
          <cell r="BD543">
            <v>-0.3</v>
          </cell>
          <cell r="BE543">
            <v>-0.3</v>
          </cell>
          <cell r="BF543">
            <v>-0.3</v>
          </cell>
          <cell r="BG543">
            <v>-0.3</v>
          </cell>
          <cell r="BH543">
            <v>-0.3</v>
          </cell>
          <cell r="BI543">
            <v>-0.3</v>
          </cell>
          <cell r="BJ543">
            <v>-0.3</v>
          </cell>
          <cell r="BK543">
            <v>-0.3</v>
          </cell>
          <cell r="BL543">
            <v>-0.3</v>
          </cell>
          <cell r="BM543">
            <v>-0.3</v>
          </cell>
          <cell r="BN543">
            <v>-0.3</v>
          </cell>
          <cell r="BO543">
            <v>-0.3</v>
          </cell>
          <cell r="BP543">
            <v>-0.3</v>
          </cell>
          <cell r="BQ543">
            <v>-0.3</v>
          </cell>
          <cell r="BR543">
            <v>-0.3</v>
          </cell>
          <cell r="BS543">
            <v>-0.3</v>
          </cell>
          <cell r="BT543">
            <v>-0.3</v>
          </cell>
          <cell r="BU543">
            <v>-0.3</v>
          </cell>
          <cell r="BV543">
            <v>-0.3</v>
          </cell>
          <cell r="BW543">
            <v>-0.3</v>
          </cell>
          <cell r="BX543">
            <v>-0.3</v>
          </cell>
          <cell r="BY543">
            <v>-0.3</v>
          </cell>
          <cell r="BZ543">
            <v>-0.3</v>
          </cell>
          <cell r="CA543">
            <v>-0.3</v>
          </cell>
          <cell r="CB543">
            <v>-0.3</v>
          </cell>
          <cell r="CC543">
            <v>-0.3</v>
          </cell>
          <cell r="CD543">
            <v>-0.3</v>
          </cell>
        </row>
        <row r="545">
          <cell r="A545" t="str">
            <v>Per barrel of oil equivalent</v>
          </cell>
        </row>
        <row r="546">
          <cell r="B546" t="str">
            <v>Production cost excluding taxes</v>
          </cell>
          <cell r="AA546">
            <v>5.4387399262509799</v>
          </cell>
          <cell r="AF546">
            <v>4.6753375203995846</v>
          </cell>
          <cell r="AK546">
            <v>4.5956255860791382</v>
          </cell>
          <cell r="AP546">
            <v>4.7214953910351793</v>
          </cell>
          <cell r="AQ546">
            <v>4.8395327758110582</v>
          </cell>
          <cell r="AR546">
            <v>4.8395327758110582</v>
          </cell>
          <cell r="AS546">
            <v>4.8395327758110582</v>
          </cell>
          <cell r="AT546">
            <v>4.8395327758110582</v>
          </cell>
          <cell r="AU546">
            <v>4.8395327758110582</v>
          </cell>
          <cell r="AV546">
            <v>5.0815094146016113</v>
          </cell>
          <cell r="AW546">
            <v>5.0815094146016113</v>
          </cell>
          <cell r="AX546">
            <v>5.0815094146016113</v>
          </cell>
          <cell r="AY546">
            <v>5.0815094146016113</v>
          </cell>
          <cell r="AZ546">
            <v>5.0815094146016113</v>
          </cell>
          <cell r="BA546">
            <v>5.2085471499666509</v>
          </cell>
          <cell r="BB546">
            <v>5.2085471499666509</v>
          </cell>
          <cell r="BC546">
            <v>5.2085471499666509</v>
          </cell>
          <cell r="BD546">
            <v>5.2085471499666509</v>
          </cell>
          <cell r="BE546">
            <v>5.2085471499666509</v>
          </cell>
          <cell r="BF546">
            <v>5.3387608287158166</v>
          </cell>
          <cell r="BG546">
            <v>5.3387608287158166</v>
          </cell>
          <cell r="BH546">
            <v>5.3387608287158166</v>
          </cell>
          <cell r="BI546">
            <v>5.3387608287158166</v>
          </cell>
          <cell r="BJ546">
            <v>5.3387608287158166</v>
          </cell>
          <cell r="BK546">
            <v>5.4722298494337114</v>
          </cell>
          <cell r="BL546">
            <v>5.4722298494337114</v>
          </cell>
          <cell r="BM546">
            <v>5.4722298494337114</v>
          </cell>
          <cell r="BN546">
            <v>5.4722298494337114</v>
          </cell>
          <cell r="BO546">
            <v>5.4722298494337114</v>
          </cell>
          <cell r="BP546">
            <v>5.6090355956695541</v>
          </cell>
          <cell r="BQ546">
            <v>5.6090355956695541</v>
          </cell>
          <cell r="BR546">
            <v>5.6090355956695541</v>
          </cell>
          <cell r="BS546">
            <v>5.6090355956695541</v>
          </cell>
          <cell r="BT546">
            <v>5.6090355956695541</v>
          </cell>
          <cell r="BU546">
            <v>5.7492614855612922</v>
          </cell>
          <cell r="BV546">
            <v>5.7492614855612922</v>
          </cell>
          <cell r="BW546">
            <v>5.7492614855612922</v>
          </cell>
          <cell r="BX546">
            <v>5.7492614855612922</v>
          </cell>
          <cell r="BY546">
            <v>5.7492614855612922</v>
          </cell>
          <cell r="BZ546">
            <v>5.892993022700324</v>
          </cell>
          <cell r="CA546">
            <v>5.892993022700324</v>
          </cell>
          <cell r="CB546">
            <v>5.892993022700324</v>
          </cell>
          <cell r="CC546">
            <v>5.892993022700324</v>
          </cell>
          <cell r="CD546">
            <v>5.892993022700324</v>
          </cell>
        </row>
        <row r="547">
          <cell r="B547" t="str">
            <v>Taxes other than income tax</v>
          </cell>
          <cell r="AA547">
            <v>9.3290841439607561</v>
          </cell>
          <cell r="AF547">
            <v>13.85965085801889</v>
          </cell>
          <cell r="AK547">
            <v>21.488987450786354</v>
          </cell>
          <cell r="AP547">
            <v>24.108391907376056</v>
          </cell>
          <cell r="AQ547">
            <v>20.681862429275942</v>
          </cell>
          <cell r="AR547">
            <v>18.446406818205961</v>
          </cell>
          <cell r="AS547">
            <v>19.147782087649325</v>
          </cell>
          <cell r="AT547">
            <v>18.219406781598604</v>
          </cell>
          <cell r="AU547">
            <v>19.104960976896692</v>
          </cell>
          <cell r="AV547">
            <v>16.929715262439661</v>
          </cell>
          <cell r="AW547">
            <v>17.002019002731032</v>
          </cell>
          <cell r="AX547">
            <v>17.090581790083203</v>
          </cell>
          <cell r="AY547">
            <v>17.182074580496302</v>
          </cell>
          <cell r="AZ547">
            <v>17.047554978653977</v>
          </cell>
          <cell r="BA547">
            <v>15.995888124574849</v>
          </cell>
          <cell r="BB547">
            <v>15.759564840910043</v>
          </cell>
          <cell r="BC547">
            <v>15.710032471026279</v>
          </cell>
          <cell r="BD547">
            <v>15.661505332550771</v>
          </cell>
          <cell r="BE547">
            <v>15.780845244932774</v>
          </cell>
          <cell r="BF547">
            <v>14.787416199363568</v>
          </cell>
          <cell r="BG547">
            <v>14.62323146327121</v>
          </cell>
          <cell r="BH547">
            <v>14.650783877284388</v>
          </cell>
          <cell r="BI547">
            <v>14.678690179580689</v>
          </cell>
          <cell r="BJ547">
            <v>14.68397759851984</v>
          </cell>
          <cell r="BK547">
            <v>14.704871527646349</v>
          </cell>
          <cell r="BL547">
            <v>14.780024980637211</v>
          </cell>
          <cell r="BM547">
            <v>14.855665029232858</v>
          </cell>
          <cell r="BN547">
            <v>14.931794169251686</v>
          </cell>
          <cell r="BO547">
            <v>14.819751693901944</v>
          </cell>
          <cell r="BP547">
            <v>15.034883590701146</v>
          </cell>
          <cell r="BQ547">
            <v>15.138331634123514</v>
          </cell>
          <cell r="BR547">
            <v>15.242514374543537</v>
          </cell>
          <cell r="BS547">
            <v>15.347437381772579</v>
          </cell>
          <cell r="BT547">
            <v>15.191246936937851</v>
          </cell>
          <cell r="BU547">
            <v>15.344109160463628</v>
          </cell>
          <cell r="BV547">
            <v>15.433610069524939</v>
          </cell>
          <cell r="BW547">
            <v>15.523639907376893</v>
          </cell>
          <cell r="BX547">
            <v>15.614201855033176</v>
          </cell>
          <cell r="BY547">
            <v>15.480160368771237</v>
          </cell>
          <cell r="BZ547">
            <v>15.567703481605371</v>
          </cell>
          <cell r="CA547">
            <v>15.670700329040576</v>
          </cell>
          <cell r="CB547">
            <v>15.774380961643917</v>
          </cell>
          <cell r="CC547">
            <v>15.878750012831301</v>
          </cell>
          <cell r="CD547">
            <v>15.723556449925836</v>
          </cell>
        </row>
        <row r="548">
          <cell r="B548" t="str">
            <v>Exploration expense</v>
          </cell>
          <cell r="AA548">
            <v>0.81290774698413226</v>
          </cell>
          <cell r="AF548">
            <v>4.5892883635824139E-2</v>
          </cell>
          <cell r="AK548">
            <v>0.29585572442569558</v>
          </cell>
          <cell r="AP548">
            <v>1.9391856070323057</v>
          </cell>
          <cell r="AQ548">
            <v>0.20528193243633622</v>
          </cell>
          <cell r="AR548">
            <v>0.19915628196565627</v>
          </cell>
          <cell r="AS548">
            <v>0.19330698687973485</v>
          </cell>
          <cell r="AT548">
            <v>0.18975773590596665</v>
          </cell>
          <cell r="AU548">
            <v>0.19673569520132217</v>
          </cell>
          <cell r="AV548">
            <v>0.26243804765277673</v>
          </cell>
          <cell r="AW548">
            <v>0.2637101473382239</v>
          </cell>
          <cell r="AX548">
            <v>0.26508838284349451</v>
          </cell>
          <cell r="AY548">
            <v>0.26947346260650568</v>
          </cell>
          <cell r="AZ548">
            <v>0.26511015315436404</v>
          </cell>
          <cell r="BA548">
            <v>0.28798614170963871</v>
          </cell>
          <cell r="BB548">
            <v>0.28187144482957915</v>
          </cell>
          <cell r="BC548">
            <v>0.27594950131738294</v>
          </cell>
          <cell r="BD548">
            <v>0.27314938185541371</v>
          </cell>
          <cell r="BE548">
            <v>0.27965096377485793</v>
          </cell>
          <cell r="BF548">
            <v>0.28895899631985805</v>
          </cell>
          <cell r="BG548">
            <v>0.28759567713152628</v>
          </cell>
          <cell r="BH548">
            <v>0.28628486979329765</v>
          </cell>
          <cell r="BI548">
            <v>0.28812341760631999</v>
          </cell>
          <cell r="BJ548">
            <v>0.28771990962866456</v>
          </cell>
          <cell r="BK548">
            <v>0.29460786139338102</v>
          </cell>
          <cell r="BL548">
            <v>0.29021203994444089</v>
          </cell>
          <cell r="BM548">
            <v>0.28592085409457241</v>
          </cell>
          <cell r="BN548">
            <v>0.28479311382978062</v>
          </cell>
          <cell r="BO548">
            <v>0.28884277668893876</v>
          </cell>
          <cell r="BP548">
            <v>0.29167824780178497</v>
          </cell>
          <cell r="BQ548">
            <v>0.28904058792335474</v>
          </cell>
          <cell r="BR548">
            <v>0.28646248214147446</v>
          </cell>
          <cell r="BS548">
            <v>0.28702834866326282</v>
          </cell>
          <cell r="BT548">
            <v>0.28853255229229657</v>
          </cell>
          <cell r="BU548">
            <v>0.29669200130715051</v>
          </cell>
          <cell r="BV548">
            <v>0.29297262188733936</v>
          </cell>
          <cell r="BW548">
            <v>0.28933551686650744</v>
          </cell>
          <cell r="BX548">
            <v>0.28888430855534697</v>
          </cell>
          <cell r="BY548">
            <v>0.29194160875883213</v>
          </cell>
          <cell r="BZ548">
            <v>0.3014825010185086</v>
          </cell>
          <cell r="CA548">
            <v>0.29851051964077219</v>
          </cell>
          <cell r="CB548">
            <v>0.29560391898458177</v>
          </cell>
          <cell r="CC548">
            <v>0.29594277297676702</v>
          </cell>
          <cell r="CD548">
            <v>0.2978630139040529</v>
          </cell>
        </row>
        <row r="549">
          <cell r="B549" t="str">
            <v>DD&amp;A</v>
          </cell>
          <cell r="AA549">
            <v>6.2193894293071708</v>
          </cell>
          <cell r="AF549">
            <v>6.7519905049206264</v>
          </cell>
          <cell r="AK549">
            <v>6.1636609255353241</v>
          </cell>
          <cell r="AP549">
            <v>6.4970157166555511</v>
          </cell>
          <cell r="AQ549">
            <v>7.0979503513590423</v>
          </cell>
          <cell r="AR549">
            <v>7.0979503513590423</v>
          </cell>
          <cell r="AS549">
            <v>7.0979503513590423</v>
          </cell>
          <cell r="AT549">
            <v>7.0979503513590423</v>
          </cell>
          <cell r="AU549">
            <v>7.0979503513590423</v>
          </cell>
          <cell r="AV549">
            <v>7.6988849860625352</v>
          </cell>
          <cell r="AW549">
            <v>7.6988849860625352</v>
          </cell>
          <cell r="AX549">
            <v>7.6988849860625352</v>
          </cell>
          <cell r="AY549">
            <v>7.6988849860625352</v>
          </cell>
          <cell r="AZ549">
            <v>7.6988849860625352</v>
          </cell>
          <cell r="BA549">
            <v>8.2998196207660246</v>
          </cell>
          <cell r="BB549">
            <v>8.2998196207660246</v>
          </cell>
          <cell r="BC549">
            <v>8.2998196207660246</v>
          </cell>
          <cell r="BD549">
            <v>8.2998196207660246</v>
          </cell>
          <cell r="BE549">
            <v>8.2998196207660246</v>
          </cell>
          <cell r="BF549">
            <v>8.9007542554695149</v>
          </cell>
          <cell r="BG549">
            <v>8.9007542554695149</v>
          </cell>
          <cell r="BH549">
            <v>8.9007542554695149</v>
          </cell>
          <cell r="BI549">
            <v>8.9007542554695149</v>
          </cell>
          <cell r="BJ549">
            <v>8.9007542554695149</v>
          </cell>
          <cell r="BK549">
            <v>9.501688890173007</v>
          </cell>
          <cell r="BL549">
            <v>9.501688890173007</v>
          </cell>
          <cell r="BM549">
            <v>9.501688890173007</v>
          </cell>
          <cell r="BN549">
            <v>9.501688890173007</v>
          </cell>
          <cell r="BO549">
            <v>9.501688890173007</v>
          </cell>
          <cell r="BP549">
            <v>10.102623524876499</v>
          </cell>
          <cell r="BQ549">
            <v>10.102623524876499</v>
          </cell>
          <cell r="BR549">
            <v>10.102623524876499</v>
          </cell>
          <cell r="BS549">
            <v>10.102623524876499</v>
          </cell>
          <cell r="BT549">
            <v>10.102623524876499</v>
          </cell>
          <cell r="BU549">
            <v>10.703558159579989</v>
          </cell>
          <cell r="BV549">
            <v>10.703558159579989</v>
          </cell>
          <cell r="BW549">
            <v>10.703558159579989</v>
          </cell>
          <cell r="BX549">
            <v>10.703558159579989</v>
          </cell>
          <cell r="BY549">
            <v>10.703558159579989</v>
          </cell>
          <cell r="BZ549">
            <v>11.304492794283483</v>
          </cell>
          <cell r="CA549">
            <v>11.304492794283483</v>
          </cell>
          <cell r="CB549">
            <v>11.304492794283483</v>
          </cell>
          <cell r="CC549">
            <v>11.304492794283483</v>
          </cell>
          <cell r="CD549">
            <v>11.304492794283483</v>
          </cell>
        </row>
        <row r="550">
          <cell r="B550" t="str">
            <v>Other income/(cost)</v>
          </cell>
          <cell r="AA550">
            <v>0.49032530770471466</v>
          </cell>
          <cell r="AF550">
            <v>0.321250185450769</v>
          </cell>
          <cell r="AK550">
            <v>0.14792786221284779</v>
          </cell>
          <cell r="AP550">
            <v>0.63482290971901567</v>
          </cell>
          <cell r="AQ550">
            <v>0.30792289865450434</v>
          </cell>
          <cell r="AR550">
            <v>0.2987344229484844</v>
          </cell>
          <cell r="AS550">
            <v>0.28996048031960231</v>
          </cell>
          <cell r="AT550">
            <v>0.28463660385894995</v>
          </cell>
          <cell r="AU550">
            <v>0.29510354280198325</v>
          </cell>
          <cell r="AV550">
            <v>0.39365707147916512</v>
          </cell>
          <cell r="AW550">
            <v>0.39556522100733588</v>
          </cell>
          <cell r="AX550">
            <v>0.39763257426524179</v>
          </cell>
          <cell r="AY550">
            <v>0.40421019390975849</v>
          </cell>
          <cell r="AZ550">
            <v>0.397665229731546</v>
          </cell>
          <cell r="BA550">
            <v>0.43197921256445804</v>
          </cell>
          <cell r="BB550">
            <v>0.42280716724436868</v>
          </cell>
          <cell r="BC550">
            <v>0.41392425197607441</v>
          </cell>
          <cell r="BD550">
            <v>0.40972407278312056</v>
          </cell>
          <cell r="BE550">
            <v>0.41947644566228687</v>
          </cell>
          <cell r="BF550">
            <v>0.43343849447978711</v>
          </cell>
          <cell r="BG550">
            <v>0.43139351569728945</v>
          </cell>
          <cell r="BH550">
            <v>0.42942730468994644</v>
          </cell>
          <cell r="BI550">
            <v>0.43218512640948004</v>
          </cell>
          <cell r="BJ550">
            <v>0.43157986444299679</v>
          </cell>
          <cell r="BK550">
            <v>0.44191179209007153</v>
          </cell>
          <cell r="BL550">
            <v>0.43531805991666139</v>
          </cell>
          <cell r="BM550">
            <v>0.42888128114185858</v>
          </cell>
          <cell r="BN550">
            <v>0.4271896707446709</v>
          </cell>
          <cell r="BO550">
            <v>0.43326416503340814</v>
          </cell>
          <cell r="BP550">
            <v>0.4375173717026774</v>
          </cell>
          <cell r="BQ550">
            <v>0.43356088188503206</v>
          </cell>
          <cell r="BR550">
            <v>0.42969372321221172</v>
          </cell>
          <cell r="BS550">
            <v>0.43054252299489421</v>
          </cell>
          <cell r="BT550">
            <v>0.43279882843844492</v>
          </cell>
          <cell r="BU550">
            <v>0.44503800196072574</v>
          </cell>
          <cell r="BV550">
            <v>0.43945893283100906</v>
          </cell>
          <cell r="BW550">
            <v>0.43400327529976113</v>
          </cell>
          <cell r="BX550">
            <v>0.4333264628330204</v>
          </cell>
          <cell r="BY550">
            <v>0.43791241313824819</v>
          </cell>
          <cell r="BZ550">
            <v>0.45222375152776284</v>
          </cell>
          <cell r="CA550">
            <v>0.44776577946115831</v>
          </cell>
          <cell r="CB550">
            <v>0.44340587847687268</v>
          </cell>
          <cell r="CC550">
            <v>0.4439141594651505</v>
          </cell>
          <cell r="CD550">
            <v>0.44679452085607935</v>
          </cell>
        </row>
        <row r="551">
          <cell r="B551" t="str">
            <v>Earnings before tax</v>
          </cell>
          <cell r="AA551">
            <v>9.7226347198816452</v>
          </cell>
          <cell r="AF551">
            <v>13.899807131200236</v>
          </cell>
          <cell r="AK551">
            <v>21.651708099220485</v>
          </cell>
          <cell r="AP551">
            <v>24.549792211790059</v>
          </cell>
          <cell r="AQ551">
            <v>25.958485124680102</v>
          </cell>
          <cell r="AR551">
            <v>21.822238830298257</v>
          </cell>
          <cell r="AS551">
            <v>23.13941613983646</v>
          </cell>
          <cell r="AT551">
            <v>21.424163698890961</v>
          </cell>
          <cell r="AU551">
            <v>23.049158194966484</v>
          </cell>
          <cell r="AV551">
            <v>18.004410253306141</v>
          </cell>
          <cell r="AW551">
            <v>18.135508378919351</v>
          </cell>
          <cell r="AX551">
            <v>18.296536538095925</v>
          </cell>
          <cell r="AY551">
            <v>18.455489020884151</v>
          </cell>
          <cell r="AZ551">
            <v>18.218553337834617</v>
          </cell>
          <cell r="BA551">
            <v>15.47831724920367</v>
          </cell>
          <cell r="BB551">
            <v>15.054717893169176</v>
          </cell>
          <cell r="BC551">
            <v>14.977534065022677</v>
          </cell>
          <cell r="BD551">
            <v>14.89441253508023</v>
          </cell>
          <cell r="BE551">
            <v>15.098455138592275</v>
          </cell>
          <cell r="BF551">
            <v>12.500431795261653</v>
          </cell>
          <cell r="BG551">
            <v>12.198925583346671</v>
          </cell>
          <cell r="BH551">
            <v>12.253371370573859</v>
          </cell>
          <cell r="BI551">
            <v>12.300600991020152</v>
          </cell>
          <cell r="BJ551">
            <v>12.312297780263517</v>
          </cell>
          <cell r="BK551">
            <v>11.598608729681628</v>
          </cell>
          <cell r="BL551">
            <v>11.749168981715576</v>
          </cell>
          <cell r="BM551">
            <v>11.900371322303588</v>
          </cell>
          <cell r="BN551">
            <v>12.044573361571963</v>
          </cell>
          <cell r="BO551">
            <v>11.825800615387967</v>
          </cell>
          <cell r="BP551">
            <v>11.481071928394478</v>
          </cell>
          <cell r="BQ551">
            <v>11.679783873017804</v>
          </cell>
          <cell r="BR551">
            <v>11.879711369681115</v>
          </cell>
          <cell r="BS551">
            <v>12.073153716802006</v>
          </cell>
          <cell r="BT551">
            <v>11.779621966763907</v>
          </cell>
          <cell r="BU551">
            <v>11.301653078166154</v>
          </cell>
          <cell r="BV551">
            <v>11.477167500686692</v>
          </cell>
          <cell r="BW551">
            <v>11.653458533535252</v>
          </cell>
          <cell r="BX551">
            <v>11.822773028531961</v>
          </cell>
          <cell r="BY551">
            <v>11.565948980803352</v>
          </cell>
          <cell r="BZ551">
            <v>10.960257253451328</v>
          </cell>
          <cell r="CA551">
            <v>11.158967066418183</v>
          </cell>
          <cell r="CB551">
            <v>11.358783314322009</v>
          </cell>
          <cell r="CC551">
            <v>11.551764417260985</v>
          </cell>
          <cell r="CD551">
            <v>11.258935908783549</v>
          </cell>
        </row>
        <row r="553">
          <cell r="B553" t="str">
            <v>Suggested DD&amp;A/boe for convergence</v>
          </cell>
          <cell r="AA553">
            <v>6.2193894293071708</v>
          </cell>
          <cell r="AF553">
            <v>6.7519905049206264</v>
          </cell>
          <cell r="AK553">
            <v>6.1636609255353241</v>
          </cell>
          <cell r="AP553">
            <v>6.4970157166555511</v>
          </cell>
          <cell r="AU553">
            <v>7.0979503513590423</v>
          </cell>
          <cell r="AZ553">
            <v>7.6988849860625352</v>
          </cell>
          <cell r="BE553">
            <v>8.2998196207660246</v>
          </cell>
          <cell r="BJ553">
            <v>8.9007542554695149</v>
          </cell>
          <cell r="BO553">
            <v>9.501688890173007</v>
          </cell>
          <cell r="BT553">
            <v>10.102623524876499</v>
          </cell>
          <cell r="BY553">
            <v>10.703558159579989</v>
          </cell>
          <cell r="CD553">
            <v>11.304492794283483</v>
          </cell>
        </row>
        <row r="555">
          <cell r="A555" t="str">
            <v>As percent of revenue</v>
          </cell>
        </row>
        <row r="556">
          <cell r="B556" t="str">
            <v>Production cost excluding taxes</v>
          </cell>
          <cell r="AA556">
            <v>0.16989117291414751</v>
          </cell>
          <cell r="AF556">
            <v>0.11820159535895576</v>
          </cell>
          <cell r="AK556">
            <v>8.4565828872153165E-2</v>
          </cell>
          <cell r="AP556">
            <v>7.5603557814485384E-2</v>
          </cell>
          <cell r="AQ556">
            <v>8.1899610217703686E-2</v>
          </cell>
          <cell r="AR556">
            <v>9.1824737913841992E-2</v>
          </cell>
          <cell r="AS556">
            <v>8.8461236073206953E-2</v>
          </cell>
          <cell r="AT556">
            <v>9.2968804738726513E-2</v>
          </cell>
          <cell r="AU556">
            <v>8.8675561222708463E-2</v>
          </cell>
          <cell r="AV556">
            <v>0.10505364488063272</v>
          </cell>
          <cell r="AW556">
            <v>0.10460688785401775</v>
          </cell>
          <cell r="AX556">
            <v>0.10406481867940584</v>
          </cell>
          <cell r="AY556">
            <v>0.10351068415972334</v>
          </cell>
          <cell r="AZ556">
            <v>0.10431132295017831</v>
          </cell>
          <cell r="BA556">
            <v>0.1139662573463254</v>
          </cell>
          <cell r="BB556">
            <v>0.11567524363084242</v>
          </cell>
          <cell r="BC556">
            <v>0.11603995764174499</v>
          </cell>
          <cell r="BD556">
            <v>0.11639950718526614</v>
          </cell>
          <cell r="BE556">
            <v>0.11553067004142276</v>
          </cell>
          <cell r="BF556">
            <v>0.12636191913844666</v>
          </cell>
          <cell r="BG556">
            <v>0.12778066836620655</v>
          </cell>
          <cell r="BH556">
            <v>0.12754036273428979</v>
          </cell>
          <cell r="BI556">
            <v>0.12729789015166154</v>
          </cell>
          <cell r="BJ556">
            <v>0.12724429099129472</v>
          </cell>
          <cell r="BK556">
            <v>0.13024802316027831</v>
          </cell>
          <cell r="BL556">
            <v>0.12958573817100713</v>
          </cell>
          <cell r="BM556">
            <v>0.12892593118739049</v>
          </cell>
          <cell r="BN556">
            <v>0.12826860761621281</v>
          </cell>
          <cell r="BO556">
            <v>0.12924327996271731</v>
          </cell>
          <cell r="BP556">
            <v>0.13057383827690761</v>
          </cell>
          <cell r="BQ556">
            <v>0.12968155976046616</v>
          </cell>
          <cell r="BR556">
            <v>0.12879518498358866</v>
          </cell>
          <cell r="BS556">
            <v>0.1279146745902934</v>
          </cell>
          <cell r="BT556">
            <v>0.12922740250652243</v>
          </cell>
          <cell r="BU556">
            <v>0.13114098048333039</v>
          </cell>
          <cell r="BV556">
            <v>0.13038048200529603</v>
          </cell>
          <cell r="BW556">
            <v>0.12962433629951875</v>
          </cell>
          <cell r="BX556">
            <v>0.12887251866145269</v>
          </cell>
          <cell r="BY556">
            <v>0.12999036399800601</v>
          </cell>
          <cell r="BZ556">
            <v>0.1324888773981466</v>
          </cell>
          <cell r="CA556">
            <v>0.1316180843636483</v>
          </cell>
          <cell r="CB556">
            <v>0.13075299518632688</v>
          </cell>
          <cell r="CC556">
            <v>0.12989357199265741</v>
          </cell>
          <cell r="CD556">
            <v>0.13117419916168294</v>
          </cell>
        </row>
        <row r="557">
          <cell r="B557" t="str">
            <v>Taxes other than income tax</v>
          </cell>
          <cell r="AA557">
            <v>0.2914147521160822</v>
          </cell>
          <cell r="AF557">
            <v>0.35039883973894126</v>
          </cell>
          <cell r="AK557">
            <v>0.39542691225841575</v>
          </cell>
          <cell r="AP557">
            <v>0.3860387547649301</v>
          </cell>
          <cell r="AQ557">
            <v>0.35</v>
          </cell>
          <cell r="AR557">
            <v>0.35</v>
          </cell>
          <cell r="AS557">
            <v>0.35</v>
          </cell>
          <cell r="AT557">
            <v>0.35</v>
          </cell>
          <cell r="AU557">
            <v>0.35</v>
          </cell>
          <cell r="AV557">
            <v>0.35</v>
          </cell>
          <cell r="AW557">
            <v>0.35</v>
          </cell>
          <cell r="AX557">
            <v>0.35</v>
          </cell>
          <cell r="AY557">
            <v>0.35</v>
          </cell>
          <cell r="AZ557">
            <v>0.35</v>
          </cell>
          <cell r="BA557">
            <v>0.35</v>
          </cell>
          <cell r="BB557">
            <v>0.35</v>
          </cell>
          <cell r="BC557">
            <v>0.35</v>
          </cell>
          <cell r="BD557">
            <v>0.35</v>
          </cell>
          <cell r="BE557">
            <v>0.35</v>
          </cell>
          <cell r="BF557">
            <v>0.35</v>
          </cell>
          <cell r="BG557">
            <v>0.35</v>
          </cell>
          <cell r="BH557">
            <v>0.35</v>
          </cell>
          <cell r="BI557">
            <v>0.35</v>
          </cell>
          <cell r="BJ557">
            <v>0.35</v>
          </cell>
          <cell r="BK557">
            <v>0.35</v>
          </cell>
          <cell r="BL557">
            <v>0.35</v>
          </cell>
          <cell r="BM557">
            <v>0.35</v>
          </cell>
          <cell r="BN557">
            <v>0.35</v>
          </cell>
          <cell r="BO557">
            <v>0.35</v>
          </cell>
          <cell r="BP557">
            <v>0.35</v>
          </cell>
          <cell r="BQ557">
            <v>0.35</v>
          </cell>
          <cell r="BR557">
            <v>0.35</v>
          </cell>
          <cell r="BS557">
            <v>0.35</v>
          </cell>
          <cell r="BT557">
            <v>0.35</v>
          </cell>
          <cell r="BU557">
            <v>0.35</v>
          </cell>
          <cell r="BV557">
            <v>0.35</v>
          </cell>
          <cell r="BW557">
            <v>0.35</v>
          </cell>
          <cell r="BX557">
            <v>0.35</v>
          </cell>
          <cell r="BY557">
            <v>0.35</v>
          </cell>
          <cell r="BZ557">
            <v>0.35</v>
          </cell>
          <cell r="CA557">
            <v>0.35</v>
          </cell>
          <cell r="CB557">
            <v>0.35</v>
          </cell>
          <cell r="CC557">
            <v>0.35</v>
          </cell>
          <cell r="CD557">
            <v>0.35</v>
          </cell>
        </row>
        <row r="558">
          <cell r="B558" t="str">
            <v>Exploration expense</v>
          </cell>
          <cell r="AA558">
            <v>2.539298669891173E-2</v>
          </cell>
          <cell r="AF558">
            <v>1.160261058738216E-3</v>
          </cell>
          <cell r="AK558">
            <v>5.4441520733145817E-3</v>
          </cell>
          <cell r="AP558">
            <v>3.1051461245235071E-2</v>
          </cell>
          <cell r="AQ558">
            <v>3.4739945011438237E-3</v>
          </cell>
          <cell r="AR558">
            <v>3.7787683734256355E-3</v>
          </cell>
          <cell r="AS558">
            <v>3.5334351048180927E-3</v>
          </cell>
          <cell r="AT558">
            <v>3.6453002209801324E-3</v>
          </cell>
          <cell r="AU558">
            <v>3.6041682264481446E-3</v>
          </cell>
          <cell r="AV558">
            <v>5.425567722468317E-3</v>
          </cell>
          <cell r="AW558">
            <v>5.4286818261732603E-3</v>
          </cell>
          <cell r="AX558">
            <v>5.4287756341366419E-3</v>
          </cell>
          <cell r="AY558">
            <v>5.4891923248509538E-3</v>
          </cell>
          <cell r="AZ558">
            <v>5.4429244381503494E-3</v>
          </cell>
          <cell r="BA558">
            <v>6.3013162391102016E-3</v>
          </cell>
          <cell r="BB558">
            <v>6.2600082353959086E-3</v>
          </cell>
          <cell r="BC558">
            <v>6.1478119564175948E-3</v>
          </cell>
          <cell r="BD558">
            <v>6.1042844617685381E-3</v>
          </cell>
          <cell r="BE558">
            <v>6.2023190647933673E-3</v>
          </cell>
          <cell r="BF558">
            <v>6.8393049433682048E-3</v>
          </cell>
          <cell r="BG558">
            <v>6.8834639764032658E-3</v>
          </cell>
          <cell r="BH558">
            <v>6.8392043229175527E-3</v>
          </cell>
          <cell r="BI558">
            <v>6.8700405096425764E-3</v>
          </cell>
          <cell r="BJ558">
            <v>6.8579489238790071E-3</v>
          </cell>
          <cell r="BK558">
            <v>7.0121490890840514E-3</v>
          </cell>
          <cell r="BL558">
            <v>6.8723979907762741E-3</v>
          </cell>
          <cell r="BM558">
            <v>6.7363055599449018E-3</v>
          </cell>
          <cell r="BN558">
            <v>6.6755266453970008E-3</v>
          </cell>
          <cell r="BO558">
            <v>6.8216373613552029E-3</v>
          </cell>
          <cell r="BP558">
            <v>6.7900350617788796E-3</v>
          </cell>
          <cell r="BQ558">
            <v>6.682652237921553E-3</v>
          </cell>
          <cell r="BR558">
            <v>6.5777775428549389E-3</v>
          </cell>
          <cell r="BS558">
            <v>6.5457131072222813E-3</v>
          </cell>
          <cell r="BT558">
            <v>6.6476697878403357E-3</v>
          </cell>
          <cell r="BU558">
            <v>6.767561373003491E-3</v>
          </cell>
          <cell r="BV558">
            <v>6.6439684039344832E-3</v>
          </cell>
          <cell r="BW558">
            <v>6.5234333898169673E-3</v>
          </cell>
          <cell r="BX558">
            <v>6.4754835971189383E-3</v>
          </cell>
          <cell r="BY558">
            <v>6.6006785867491575E-3</v>
          </cell>
          <cell r="BZ558">
            <v>6.7780630252341299E-3</v>
          </cell>
          <cell r="CA558">
            <v>6.667135461754241E-3</v>
          </cell>
          <cell r="CB558">
            <v>6.5588229355037376E-3</v>
          </cell>
          <cell r="CC558">
            <v>6.5231816394972853E-3</v>
          </cell>
          <cell r="CD558">
            <v>6.6303100827364179E-3</v>
          </cell>
        </row>
        <row r="559">
          <cell r="B559" t="str">
            <v>DD&amp;A</v>
          </cell>
          <cell r="AA559">
            <v>0.19427650141072147</v>
          </cell>
          <cell r="AF559">
            <v>0.17070340826686003</v>
          </cell>
          <cell r="AK559">
            <v>0.11341983486072044</v>
          </cell>
          <cell r="AP559">
            <v>0.10403430749682338</v>
          </cell>
          <cell r="AQ559">
            <v>0.12011890280534263</v>
          </cell>
          <cell r="AR559">
            <v>0.13467569307447799</v>
          </cell>
          <cell r="AS559">
            <v>0.12974257862366592</v>
          </cell>
          <cell r="AT559">
            <v>0.13635365040999919</v>
          </cell>
          <cell r="AU559">
            <v>0.13005692080103745</v>
          </cell>
          <cell r="AV559">
            <v>0.15916450473920024</v>
          </cell>
          <cell r="AW559">
            <v>0.15848763283284489</v>
          </cell>
          <cell r="AX559">
            <v>0.15766635555294162</v>
          </cell>
          <cell r="AY559">
            <v>0.15682679832973079</v>
          </cell>
          <cell r="AZ559">
            <v>0.15803982884097631</v>
          </cell>
          <cell r="BA559">
            <v>0.1816052253332022</v>
          </cell>
          <cell r="BB559">
            <v>0.18432849489138314</v>
          </cell>
          <cell r="BC559">
            <v>0.18490966664936115</v>
          </cell>
          <cell r="BD559">
            <v>0.18548260882882731</v>
          </cell>
          <cell r="BE559">
            <v>0.18409811688393482</v>
          </cell>
          <cell r="BF559">
            <v>0.2106699336391443</v>
          </cell>
          <cell r="BG559">
            <v>0.21303526496444086</v>
          </cell>
          <cell r="BH559">
            <v>0.21263462866614641</v>
          </cell>
          <cell r="BI559">
            <v>0.2122303796389087</v>
          </cell>
          <cell r="BJ559">
            <v>0.21214101939782826</v>
          </cell>
          <cell r="BK559">
            <v>0.22615574065425675</v>
          </cell>
          <cell r="BL559">
            <v>0.2250057842200735</v>
          </cell>
          <cell r="BM559">
            <v>0.22386013046312508</v>
          </cell>
          <cell r="BN559">
            <v>0.22271878877146453</v>
          </cell>
          <cell r="BO559">
            <v>0.22441115799957714</v>
          </cell>
          <cell r="BP559">
            <v>0.23518095184279894</v>
          </cell>
          <cell r="BQ559">
            <v>0.23357383885925803</v>
          </cell>
          <cell r="BR559">
            <v>0.23197735930051655</v>
          </cell>
          <cell r="BS559">
            <v>0.23039144228118608</v>
          </cell>
          <cell r="BT559">
            <v>0.23275584088448545</v>
          </cell>
          <cell r="BU559">
            <v>0.24414876853885739</v>
          </cell>
          <cell r="BV559">
            <v>0.2427329276155743</v>
          </cell>
          <cell r="BW559">
            <v>0.24132519036806349</v>
          </cell>
          <cell r="BX559">
            <v>0.23992551080319288</v>
          </cell>
          <cell r="BY559">
            <v>0.24200663419673871</v>
          </cell>
          <cell r="BZ559">
            <v>0.25415261041387777</v>
          </cell>
          <cell r="CA559">
            <v>0.2524821734142278</v>
          </cell>
          <cell r="CB559">
            <v>0.25082267808922548</v>
          </cell>
          <cell r="CC559">
            <v>0.24917405178631763</v>
          </cell>
          <cell r="CD559">
            <v>0.25163067112196691</v>
          </cell>
        </row>
        <row r="560">
          <cell r="B560" t="str">
            <v>Other income/(cost)</v>
          </cell>
          <cell r="AA560">
            <v>1.5316404675534058E-2</v>
          </cell>
          <cell r="AF560">
            <v>8.1218274111675131E-3</v>
          </cell>
          <cell r="AK560">
            <v>2.7220760366572908E-3</v>
          </cell>
          <cell r="AP560">
            <v>1.0165184243964422E-2</v>
          </cell>
          <cell r="AQ560">
            <v>5.2109917517157356E-3</v>
          </cell>
          <cell r="AR560">
            <v>5.6681525601384531E-3</v>
          </cell>
          <cell r="AS560">
            <v>5.3001526572271388E-3</v>
          </cell>
          <cell r="AT560">
            <v>5.4679503314701986E-3</v>
          </cell>
          <cell r="AU560">
            <v>5.4062523396722168E-3</v>
          </cell>
          <cell r="AV560">
            <v>8.1383515837024755E-3</v>
          </cell>
          <cell r="AW560">
            <v>8.1430227392598909E-3</v>
          </cell>
          <cell r="AX560">
            <v>8.1431634512049624E-3</v>
          </cell>
          <cell r="AY560">
            <v>8.2337884872764316E-3</v>
          </cell>
          <cell r="AZ560">
            <v>8.1643866572255249E-3</v>
          </cell>
          <cell r="BA560">
            <v>9.4519743586653025E-3</v>
          </cell>
          <cell r="BB560">
            <v>9.3900123530938628E-3</v>
          </cell>
          <cell r="BC560">
            <v>9.2217179346263927E-3</v>
          </cell>
          <cell r="BD560">
            <v>9.1564266926528071E-3</v>
          </cell>
          <cell r="BE560">
            <v>9.3034785971900496E-3</v>
          </cell>
          <cell r="BF560">
            <v>1.0258957415052308E-2</v>
          </cell>
          <cell r="BG560">
            <v>1.0325195964604898E-2</v>
          </cell>
          <cell r="BH560">
            <v>1.0258806484376329E-2</v>
          </cell>
          <cell r="BI560">
            <v>1.0305060764463865E-2</v>
          </cell>
          <cell r="BJ560">
            <v>1.0286923385818511E-2</v>
          </cell>
          <cell r="BK560">
            <v>1.0518223633626077E-2</v>
          </cell>
          <cell r="BL560">
            <v>1.0308596986164412E-2</v>
          </cell>
          <cell r="BM560">
            <v>1.0104458339917351E-2</v>
          </cell>
          <cell r="BN560">
            <v>1.0013289968095501E-2</v>
          </cell>
          <cell r="BO560">
            <v>1.0232456042032805E-2</v>
          </cell>
          <cell r="BP560">
            <v>1.0185052592668319E-2</v>
          </cell>
          <cell r="BQ560">
            <v>1.002397835688233E-2</v>
          </cell>
          <cell r="BR560">
            <v>9.866666314282407E-3</v>
          </cell>
          <cell r="BS560">
            <v>9.8185696608334219E-3</v>
          </cell>
          <cell r="BT560">
            <v>9.971504681760503E-3</v>
          </cell>
          <cell r="BU560">
            <v>1.0151342059505237E-2</v>
          </cell>
          <cell r="BV560">
            <v>9.9659526059017248E-3</v>
          </cell>
          <cell r="BW560">
            <v>9.78515008472545E-3</v>
          </cell>
          <cell r="BX560">
            <v>9.7132253956784074E-3</v>
          </cell>
          <cell r="BY560">
            <v>9.9010178801237358E-3</v>
          </cell>
          <cell r="BZ560">
            <v>1.0167094537851196E-2</v>
          </cell>
          <cell r="CA560">
            <v>1.000070319263136E-2</v>
          </cell>
          <cell r="CB560">
            <v>9.8382344032556072E-3</v>
          </cell>
          <cell r="CC560">
            <v>9.7847724592459284E-3</v>
          </cell>
          <cell r="CD560">
            <v>9.9454651241046264E-3</v>
          </cell>
        </row>
        <row r="562">
          <cell r="A562" t="str">
            <v>Effective tax rate</v>
          </cell>
          <cell r="AA562">
            <v>0.63370935633709358</v>
          </cell>
          <cell r="AF562">
            <v>0.5522080066033842</v>
          </cell>
          <cell r="AK562">
            <v>0.45160555682076975</v>
          </cell>
          <cell r="AP562">
            <v>0.39818181818181819</v>
          </cell>
          <cell r="AQ562">
            <v>0.5</v>
          </cell>
          <cell r="AR562">
            <v>0.5</v>
          </cell>
          <cell r="AS562">
            <v>0.5</v>
          </cell>
          <cell r="AT562">
            <v>0.5</v>
          </cell>
          <cell r="AU562">
            <v>0.5</v>
          </cell>
          <cell r="AV562">
            <v>0.5</v>
          </cell>
          <cell r="AW562">
            <v>0.5</v>
          </cell>
          <cell r="AX562">
            <v>0.5</v>
          </cell>
          <cell r="AY562">
            <v>0.5</v>
          </cell>
          <cell r="AZ562">
            <v>0.5</v>
          </cell>
          <cell r="BA562">
            <v>0.5</v>
          </cell>
          <cell r="BB562">
            <v>0.5</v>
          </cell>
          <cell r="BC562">
            <v>0.5</v>
          </cell>
          <cell r="BD562">
            <v>0.5</v>
          </cell>
          <cell r="BE562">
            <v>0.5</v>
          </cell>
          <cell r="BF562">
            <v>0.5</v>
          </cell>
          <cell r="BG562">
            <v>0.5</v>
          </cell>
          <cell r="BH562">
            <v>0.5</v>
          </cell>
          <cell r="BI562">
            <v>0.5</v>
          </cell>
          <cell r="BJ562">
            <v>0.5</v>
          </cell>
          <cell r="BK562">
            <v>0.5</v>
          </cell>
          <cell r="BL562">
            <v>0.5</v>
          </cell>
          <cell r="BM562">
            <v>0.5</v>
          </cell>
          <cell r="BN562">
            <v>0.5</v>
          </cell>
          <cell r="BO562">
            <v>0.5</v>
          </cell>
          <cell r="BP562">
            <v>0.5</v>
          </cell>
          <cell r="BQ562">
            <v>0.5</v>
          </cell>
          <cell r="BR562">
            <v>0.5</v>
          </cell>
          <cell r="BS562">
            <v>0.5</v>
          </cell>
          <cell r="BT562">
            <v>0.5</v>
          </cell>
          <cell r="BU562">
            <v>0.5</v>
          </cell>
          <cell r="BV562">
            <v>0.5</v>
          </cell>
          <cell r="BW562">
            <v>0.5</v>
          </cell>
          <cell r="BX562">
            <v>0.5</v>
          </cell>
          <cell r="BY562">
            <v>0.5</v>
          </cell>
          <cell r="BZ562">
            <v>0.5</v>
          </cell>
          <cell r="CA562">
            <v>0.5</v>
          </cell>
          <cell r="CB562">
            <v>0.5</v>
          </cell>
          <cell r="CC562">
            <v>0.5</v>
          </cell>
          <cell r="CD562">
            <v>0.5</v>
          </cell>
        </row>
        <row r="566">
          <cell r="A566" t="str">
            <v>Oceania</v>
          </cell>
        </row>
        <row r="567">
          <cell r="C567">
            <v>2001</v>
          </cell>
          <cell r="D567">
            <v>2002</v>
          </cell>
          <cell r="E567">
            <v>2003</v>
          </cell>
          <cell r="F567">
            <v>2004</v>
          </cell>
          <cell r="G567">
            <v>2005</v>
          </cell>
          <cell r="H567" t="str">
            <v>1Q06</v>
          </cell>
          <cell r="I567" t="str">
            <v>2Q06</v>
          </cell>
          <cell r="J567" t="str">
            <v>3Q06</v>
          </cell>
          <cell r="K567" t="str">
            <v>4Q06</v>
          </cell>
          <cell r="L567">
            <v>2006</v>
          </cell>
          <cell r="M567" t="str">
            <v>1Q07</v>
          </cell>
          <cell r="N567" t="str">
            <v>2Q07</v>
          </cell>
          <cell r="O567" t="str">
            <v>3Q07</v>
          </cell>
          <cell r="P567" t="str">
            <v>4Q07</v>
          </cell>
          <cell r="Q567">
            <v>2007</v>
          </cell>
          <cell r="R567" t="str">
            <v>1Q08</v>
          </cell>
          <cell r="S567" t="str">
            <v>2Q08</v>
          </cell>
          <cell r="T567" t="str">
            <v>3Q08</v>
          </cell>
          <cell r="U567" t="str">
            <v>4Q08</v>
          </cell>
          <cell r="V567">
            <v>2008</v>
          </cell>
          <cell r="W567" t="str">
            <v>1Q09</v>
          </cell>
          <cell r="X567" t="str">
            <v>2Q09</v>
          </cell>
          <cell r="Y567" t="str">
            <v>3Q09</v>
          </cell>
          <cell r="Z567" t="str">
            <v>4Q09</v>
          </cell>
          <cell r="AA567">
            <v>2009</v>
          </cell>
          <cell r="AB567" t="str">
            <v>1Q10</v>
          </cell>
          <cell r="AC567" t="str">
            <v>2Q10</v>
          </cell>
          <cell r="AD567" t="str">
            <v>3Q10</v>
          </cell>
          <cell r="AE567" t="str">
            <v>4Q10</v>
          </cell>
          <cell r="AF567">
            <v>2010</v>
          </cell>
          <cell r="AG567" t="str">
            <v>1Q11</v>
          </cell>
          <cell r="AH567" t="str">
            <v>2Q11</v>
          </cell>
          <cell r="AI567" t="str">
            <v>3Q11</v>
          </cell>
          <cell r="AJ567" t="str">
            <v>4Q11</v>
          </cell>
          <cell r="AK567">
            <v>2011</v>
          </cell>
          <cell r="AL567" t="str">
            <v>1Q12</v>
          </cell>
          <cell r="AM567" t="str">
            <v>2Q12</v>
          </cell>
          <cell r="AN567" t="str">
            <v>3Q12</v>
          </cell>
          <cell r="AO567" t="str">
            <v>4Q12</v>
          </cell>
          <cell r="AP567">
            <v>2012</v>
          </cell>
          <cell r="AQ567" t="str">
            <v>1Q13</v>
          </cell>
          <cell r="AR567" t="str">
            <v>2Q13</v>
          </cell>
          <cell r="AS567" t="str">
            <v>3Q13</v>
          </cell>
          <cell r="AT567" t="str">
            <v>4Q13</v>
          </cell>
          <cell r="AU567">
            <v>2013</v>
          </cell>
          <cell r="AV567" t="str">
            <v>1Q14</v>
          </cell>
          <cell r="AW567" t="str">
            <v>2Q14</v>
          </cell>
          <cell r="AX567" t="str">
            <v>3Q14</v>
          </cell>
          <cell r="AY567" t="str">
            <v>4Q14</v>
          </cell>
          <cell r="AZ567">
            <v>2014</v>
          </cell>
          <cell r="BA567" t="str">
            <v>1Q15</v>
          </cell>
          <cell r="BB567" t="str">
            <v>2Q15</v>
          </cell>
          <cell r="BC567" t="str">
            <v>3Q15</v>
          </cell>
          <cell r="BD567" t="str">
            <v>4Q15</v>
          </cell>
          <cell r="BE567">
            <v>2015</v>
          </cell>
          <cell r="BF567" t="str">
            <v>1Q16</v>
          </cell>
          <cell r="BG567" t="str">
            <v>2Q16</v>
          </cell>
          <cell r="BH567" t="str">
            <v>3Q16</v>
          </cell>
          <cell r="BI567" t="str">
            <v>4Q16</v>
          </cell>
          <cell r="BJ567">
            <v>2016</v>
          </cell>
          <cell r="BK567" t="str">
            <v>1Q17</v>
          </cell>
          <cell r="BL567" t="str">
            <v>2Q17</v>
          </cell>
          <cell r="BM567" t="str">
            <v>3Q17</v>
          </cell>
          <cell r="BN567" t="str">
            <v>4Q17</v>
          </cell>
          <cell r="BO567">
            <v>2017</v>
          </cell>
          <cell r="BP567" t="str">
            <v>1Q18</v>
          </cell>
          <cell r="BQ567" t="str">
            <v>2Q18</v>
          </cell>
          <cell r="BR567" t="str">
            <v>3Q18</v>
          </cell>
          <cell r="BS567" t="str">
            <v>4Q18</v>
          </cell>
          <cell r="BT567">
            <v>2018</v>
          </cell>
          <cell r="BU567" t="str">
            <v>1Q19</v>
          </cell>
          <cell r="BV567" t="str">
            <v>2Q19</v>
          </cell>
          <cell r="BW567" t="str">
            <v>3Q19</v>
          </cell>
          <cell r="BX567" t="str">
            <v>4Q19</v>
          </cell>
          <cell r="BY567">
            <v>2019</v>
          </cell>
          <cell r="BZ567" t="str">
            <v>1Q20</v>
          </cell>
          <cell r="CA567" t="str">
            <v>2Q20</v>
          </cell>
          <cell r="CB567" t="str">
            <v>3Q20</v>
          </cell>
          <cell r="CC567" t="str">
            <v>4Q20</v>
          </cell>
          <cell r="CD567">
            <v>2020</v>
          </cell>
        </row>
        <row r="568">
          <cell r="A568" t="str">
            <v>Third parties</v>
          </cell>
          <cell r="AA568">
            <v>1053</v>
          </cell>
          <cell r="AF568">
            <v>1471</v>
          </cell>
          <cell r="AK568">
            <v>1271</v>
          </cell>
          <cell r="AP568">
            <v>1441</v>
          </cell>
        </row>
        <row r="569">
          <cell r="A569" t="str">
            <v>Sales between businesses</v>
          </cell>
          <cell r="AA569">
            <v>0</v>
          </cell>
          <cell r="AF569">
            <v>0</v>
          </cell>
          <cell r="AK569">
            <v>0</v>
          </cell>
          <cell r="AP569">
            <v>0</v>
          </cell>
        </row>
        <row r="570">
          <cell r="A570" t="str">
            <v>Revenue</v>
          </cell>
          <cell r="AA570">
            <v>1053</v>
          </cell>
          <cell r="AF570">
            <v>1471</v>
          </cell>
          <cell r="AK570">
            <v>1271</v>
          </cell>
          <cell r="AP570">
            <v>1441</v>
          </cell>
          <cell r="AQ570">
            <v>316.24397999999997</v>
          </cell>
          <cell r="AR570">
            <v>291.33431600000006</v>
          </cell>
          <cell r="AS570">
            <v>282.86412000000007</v>
          </cell>
          <cell r="AT570">
            <v>261.49877600000008</v>
          </cell>
          <cell r="AU570">
            <v>1151.9411920000002</v>
          </cell>
          <cell r="AV570">
            <v>268.27021931206008</v>
          </cell>
          <cell r="AW570">
            <v>278.61311595222037</v>
          </cell>
          <cell r="AX570">
            <v>289.39835428511952</v>
          </cell>
          <cell r="AY570">
            <v>297.12191002513714</v>
          </cell>
          <cell r="AZ570">
            <v>1133.4035995745371</v>
          </cell>
          <cell r="BA570">
            <v>274.5390775209213</v>
          </cell>
          <cell r="BB570">
            <v>269.02170885238655</v>
          </cell>
          <cell r="BC570">
            <v>267.59718206337794</v>
          </cell>
          <cell r="BD570">
            <v>263.21637275950781</v>
          </cell>
          <cell r="BE570">
            <v>1074.3743411961934</v>
          </cell>
          <cell r="BF570">
            <v>248.94441609710867</v>
          </cell>
          <cell r="BG570">
            <v>250.2882034925934</v>
          </cell>
          <cell r="BH570">
            <v>255.51742513638507</v>
          </cell>
          <cell r="BI570">
            <v>257.99622696157684</v>
          </cell>
          <cell r="BJ570">
            <v>1012.7462716876639</v>
          </cell>
          <cell r="BK570">
            <v>252.09715328786444</v>
          </cell>
          <cell r="BL570">
            <v>255.01573150153737</v>
          </cell>
          <cell r="BM570">
            <v>257.92823581019826</v>
          </cell>
          <cell r="BN570">
            <v>258.02960168710683</v>
          </cell>
          <cell r="BO570">
            <v>1023.070722286707</v>
          </cell>
          <cell r="BP570">
            <v>254.90458364068633</v>
          </cell>
          <cell r="BQ570">
            <v>260.2700134626262</v>
          </cell>
          <cell r="BR570">
            <v>265.71275064058545</v>
          </cell>
          <cell r="BS570">
            <v>268.31718090745824</v>
          </cell>
          <cell r="BT570">
            <v>1049.2045286513562</v>
          </cell>
          <cell r="BU570">
            <v>263.5811096739111</v>
          </cell>
          <cell r="BV570">
            <v>267.62226409296869</v>
          </cell>
          <cell r="BW570">
            <v>271.69128157856636</v>
          </cell>
          <cell r="BX570">
            <v>272.82280737106527</v>
          </cell>
          <cell r="BY570">
            <v>1075.7174627165114</v>
          </cell>
          <cell r="BZ570">
            <v>268.90777520814709</v>
          </cell>
          <cell r="CA570">
            <v>273.94870518199269</v>
          </cell>
          <cell r="CB570">
            <v>279.04979410460402</v>
          </cell>
          <cell r="CC570">
            <v>281.1556008879536</v>
          </cell>
          <cell r="CD570">
            <v>1103.0618753826973</v>
          </cell>
        </row>
        <row r="572">
          <cell r="A572" t="str">
            <v>Production cost excluding taxes</v>
          </cell>
          <cell r="AA572">
            <v>-148</v>
          </cell>
          <cell r="AF572">
            <v>-196</v>
          </cell>
          <cell r="AK572">
            <v>-247</v>
          </cell>
          <cell r="AP572">
            <v>-372</v>
          </cell>
          <cell r="AQ572">
            <v>-84.655149407339053</v>
          </cell>
          <cell r="AR572">
            <v>-80.88908983367638</v>
          </cell>
          <cell r="AS572">
            <v>-77.019586911775136</v>
          </cell>
          <cell r="AT572">
            <v>-72.261192892800537</v>
          </cell>
          <cell r="AU572">
            <v>-314.82501904559109</v>
          </cell>
          <cell r="AV572">
            <v>-77.157431187451223</v>
          </cell>
          <cell r="AW572">
            <v>-80.979939555681753</v>
          </cell>
          <cell r="AX572">
            <v>-84.867617233302596</v>
          </cell>
          <cell r="AY572">
            <v>-87.8654054652566</v>
          </cell>
          <cell r="AZ572">
            <v>-330.87039344169216</v>
          </cell>
          <cell r="BA572">
            <v>-86.300609516644187</v>
          </cell>
          <cell r="BB572">
            <v>-85.435904977926029</v>
          </cell>
          <cell r="BC572">
            <v>-84.531121313932843</v>
          </cell>
          <cell r="BD572">
            <v>-82.687481551281124</v>
          </cell>
          <cell r="BE572">
            <v>-338.95511735978414</v>
          </cell>
          <cell r="BF572">
            <v>-84.021365586613655</v>
          </cell>
          <cell r="BG572">
            <v>-86.076450438362528</v>
          </cell>
          <cell r="BH572">
            <v>-88.156183952155573</v>
          </cell>
          <cell r="BI572">
            <v>-89.290022406186367</v>
          </cell>
          <cell r="BJ572">
            <v>-347.54402238331812</v>
          </cell>
          <cell r="BK572">
            <v>-88.850506614566143</v>
          </cell>
          <cell r="BL572">
            <v>-89.148003280188732</v>
          </cell>
          <cell r="BM572">
            <v>-89.430341018654175</v>
          </cell>
          <cell r="BN572">
            <v>-88.733030369425222</v>
          </cell>
          <cell r="BO572">
            <v>-356.16188128283432</v>
          </cell>
          <cell r="BP572">
            <v>-89.393676043633675</v>
          </cell>
          <cell r="BQ572">
            <v>-90.811123789960149</v>
          </cell>
          <cell r="BR572">
            <v>-92.237894276488262</v>
          </cell>
          <cell r="BS572">
            <v>-92.666740325764067</v>
          </cell>
          <cell r="BT572">
            <v>-365.10943443584614</v>
          </cell>
          <cell r="BU572">
            <v>-92.66054528504695</v>
          </cell>
          <cell r="BV572">
            <v>-93.429233321632637</v>
          </cell>
          <cell r="BW572">
            <v>-94.19218787299431</v>
          </cell>
          <cell r="BX572">
            <v>-93.92844755268969</v>
          </cell>
          <cell r="BY572">
            <v>-374.21041403236359</v>
          </cell>
          <cell r="BZ572">
            <v>-94.34236210287483</v>
          </cell>
          <cell r="CA572">
            <v>-95.551047820965493</v>
          </cell>
          <cell r="CB572">
            <v>-96.76325963246893</v>
          </cell>
          <cell r="CC572">
            <v>-96.925459929456281</v>
          </cell>
          <cell r="CD572">
            <v>-383.58212948576551</v>
          </cell>
        </row>
        <row r="573">
          <cell r="A573" t="str">
            <v>Taxes other than income tax</v>
          </cell>
          <cell r="AA573">
            <v>-72</v>
          </cell>
          <cell r="AF573">
            <v>-139</v>
          </cell>
          <cell r="AK573">
            <v>-74</v>
          </cell>
          <cell r="AP573">
            <v>-111</v>
          </cell>
          <cell r="AQ573">
            <v>-25.299518399999997</v>
          </cell>
          <cell r="AR573">
            <v>-23.306745280000005</v>
          </cell>
          <cell r="AS573">
            <v>-22.629129600000006</v>
          </cell>
          <cell r="AT573">
            <v>-20.919902080000007</v>
          </cell>
          <cell r="AU573">
            <v>-92.155295360000025</v>
          </cell>
          <cell r="AV573">
            <v>-21.461617544964806</v>
          </cell>
          <cell r="AW573">
            <v>-22.289049276177629</v>
          </cell>
          <cell r="AX573">
            <v>-23.151868342809561</v>
          </cell>
          <cell r="AY573">
            <v>-23.76975280201097</v>
          </cell>
          <cell r="AZ573">
            <v>-90.672287965962965</v>
          </cell>
          <cell r="BA573">
            <v>-21.963126201673703</v>
          </cell>
          <cell r="BB573">
            <v>-21.521736708190925</v>
          </cell>
          <cell r="BC573">
            <v>-21.407774565070238</v>
          </cell>
          <cell r="BD573">
            <v>-21.057309820760626</v>
          </cell>
          <cell r="BE573">
            <v>-85.949947295695495</v>
          </cell>
          <cell r="BF573">
            <v>-19.915553287768695</v>
          </cell>
          <cell r="BG573">
            <v>-20.023056279407474</v>
          </cell>
          <cell r="BH573">
            <v>-20.441394010910805</v>
          </cell>
          <cell r="BI573">
            <v>-20.639698156926148</v>
          </cell>
          <cell r="BJ573">
            <v>-81.019701735013129</v>
          </cell>
          <cell r="BK573">
            <v>-20.167772263029157</v>
          </cell>
          <cell r="BL573">
            <v>-20.40125852012299</v>
          </cell>
          <cell r="BM573">
            <v>-20.634258864815862</v>
          </cell>
          <cell r="BN573">
            <v>-20.642368134968546</v>
          </cell>
          <cell r="BO573">
            <v>-81.845657782936556</v>
          </cell>
          <cell r="BP573">
            <v>-20.392366691254907</v>
          </cell>
          <cell r="BQ573">
            <v>-20.821601077010097</v>
          </cell>
          <cell r="BR573">
            <v>-21.257020051246837</v>
          </cell>
          <cell r="BS573">
            <v>-21.465374472596661</v>
          </cell>
          <cell r="BT573">
            <v>-83.936362292108512</v>
          </cell>
          <cell r="BU573">
            <v>-21.086488773912887</v>
          </cell>
          <cell r="BV573">
            <v>-21.409781127437494</v>
          </cell>
          <cell r="BW573">
            <v>-21.735302526285309</v>
          </cell>
          <cell r="BX573">
            <v>-21.825824589685222</v>
          </cell>
          <cell r="BY573">
            <v>-86.057397017320909</v>
          </cell>
          <cell r="BZ573">
            <v>-21.512622016651768</v>
          </cell>
          <cell r="CA573">
            <v>-21.915896414559416</v>
          </cell>
          <cell r="CB573">
            <v>-22.323983528368323</v>
          </cell>
          <cell r="CC573">
            <v>-22.492448071036289</v>
          </cell>
          <cell r="CD573">
            <v>-88.244950030615811</v>
          </cell>
        </row>
        <row r="574">
          <cell r="A574" t="str">
            <v>Exploration expense</v>
          </cell>
          <cell r="AA574">
            <v>-92</v>
          </cell>
          <cell r="AF574">
            <v>-111</v>
          </cell>
          <cell r="AK574">
            <v>-89</v>
          </cell>
          <cell r="AP574">
            <v>-155</v>
          </cell>
          <cell r="AQ574">
            <v>-25</v>
          </cell>
          <cell r="AR574">
            <v>-25</v>
          </cell>
          <cell r="AS574">
            <v>-25</v>
          </cell>
          <cell r="AT574">
            <v>-25</v>
          </cell>
          <cell r="AU574">
            <v>-100</v>
          </cell>
          <cell r="AV574">
            <v>-25</v>
          </cell>
          <cell r="AW574">
            <v>-25</v>
          </cell>
          <cell r="AX574">
            <v>-25</v>
          </cell>
          <cell r="AY574">
            <v>-25</v>
          </cell>
          <cell r="AZ574">
            <v>-100</v>
          </cell>
          <cell r="BA574">
            <v>-25</v>
          </cell>
          <cell r="BB574">
            <v>-25</v>
          </cell>
          <cell r="BC574">
            <v>-25</v>
          </cell>
          <cell r="BD574">
            <v>-25</v>
          </cell>
          <cell r="BE574">
            <v>-100</v>
          </cell>
          <cell r="BF574">
            <v>-25</v>
          </cell>
          <cell r="BG574">
            <v>-25</v>
          </cell>
          <cell r="BH574">
            <v>-25</v>
          </cell>
          <cell r="BI574">
            <v>-25</v>
          </cell>
          <cell r="BJ574">
            <v>-100</v>
          </cell>
          <cell r="BK574">
            <v>-25</v>
          </cell>
          <cell r="BL574">
            <v>-25</v>
          </cell>
          <cell r="BM574">
            <v>-25</v>
          </cell>
          <cell r="BN574">
            <v>-25</v>
          </cell>
          <cell r="BO574">
            <v>-100</v>
          </cell>
          <cell r="BP574">
            <v>-25</v>
          </cell>
          <cell r="BQ574">
            <v>-25</v>
          </cell>
          <cell r="BR574">
            <v>-25</v>
          </cell>
          <cell r="BS574">
            <v>-25</v>
          </cell>
          <cell r="BT574">
            <v>-100</v>
          </cell>
          <cell r="BU574">
            <v>-25</v>
          </cell>
          <cell r="BV574">
            <v>-25</v>
          </cell>
          <cell r="BW574">
            <v>-25</v>
          </cell>
          <cell r="BX574">
            <v>-25</v>
          </cell>
          <cell r="BY574">
            <v>-100</v>
          </cell>
          <cell r="BZ574">
            <v>-25</v>
          </cell>
          <cell r="CA574">
            <v>-25</v>
          </cell>
          <cell r="CB574">
            <v>-25</v>
          </cell>
          <cell r="CC574">
            <v>-25</v>
          </cell>
          <cell r="CD574">
            <v>-100</v>
          </cell>
        </row>
        <row r="575">
          <cell r="A575" t="str">
            <v>DD&amp;A</v>
          </cell>
          <cell r="AA575">
            <v>-294</v>
          </cell>
          <cell r="AF575">
            <v>-303</v>
          </cell>
          <cell r="AK575">
            <v>-246</v>
          </cell>
          <cell r="AP575">
            <v>-335</v>
          </cell>
          <cell r="AQ575">
            <v>-81.255061279555079</v>
          </cell>
          <cell r="AR575">
            <v>-77.640261665086669</v>
          </cell>
          <cell r="AS575">
            <v>-73.926173399438355</v>
          </cell>
          <cell r="AT575">
            <v>-69.358895445162702</v>
          </cell>
          <cell r="AU575">
            <v>-302.18039178924283</v>
          </cell>
          <cell r="AV575">
            <v>-76.50333668372393</v>
          </cell>
          <cell r="AW575">
            <v>-80.293440114728952</v>
          </cell>
          <cell r="AX575">
            <v>-84.148160388739271</v>
          </cell>
          <cell r="AY575">
            <v>-87.120535166983345</v>
          </cell>
          <cell r="AZ575">
            <v>-328.06547235417548</v>
          </cell>
          <cell r="BA575">
            <v>-89.998119908010793</v>
          </cell>
          <cell r="BB575">
            <v>-89.096367496336939</v>
          </cell>
          <cell r="BC575">
            <v>-88.152818787481479</v>
          </cell>
          <cell r="BD575">
            <v>-86.230189117127821</v>
          </cell>
          <cell r="BE575">
            <v>-353.47749530895703</v>
          </cell>
          <cell r="BF575">
            <v>-91.673455323242536</v>
          </cell>
          <cell r="BG575">
            <v>-93.915703208967088</v>
          </cell>
          <cell r="BH575">
            <v>-96.184844587827641</v>
          </cell>
          <cell r="BI575">
            <v>-97.421945272084159</v>
          </cell>
          <cell r="BJ575">
            <v>-379.19594839212141</v>
          </cell>
          <cell r="BK575">
            <v>-100.96338529409793</v>
          </cell>
          <cell r="BL575">
            <v>-101.30143930886295</v>
          </cell>
          <cell r="BM575">
            <v>-101.62226779885019</v>
          </cell>
          <cell r="BN575">
            <v>-100.82989365906967</v>
          </cell>
          <cell r="BO575">
            <v>-404.71698606088074</v>
          </cell>
          <cell r="BP575">
            <v>-105.37080300946478</v>
          </cell>
          <cell r="BQ575">
            <v>-107.04158794487201</v>
          </cell>
          <cell r="BR575">
            <v>-108.72336185248365</v>
          </cell>
          <cell r="BS575">
            <v>-109.22885457388793</v>
          </cell>
          <cell r="BT575">
            <v>-430.36460738070838</v>
          </cell>
          <cell r="BU575">
            <v>-112.89598139139341</v>
          </cell>
          <cell r="BV575">
            <v>-113.83253739812962</v>
          </cell>
          <cell r="BW575">
            <v>-114.76210782714054</v>
          </cell>
          <cell r="BX575">
            <v>-114.44077125177638</v>
          </cell>
          <cell r="BY575">
            <v>-455.93139786843994</v>
          </cell>
          <cell r="BZ575">
            <v>-118.43755138542382</v>
          </cell>
          <cell r="CA575">
            <v>-119.95493735768822</v>
          </cell>
          <cell r="CB575">
            <v>-121.47674999322942</v>
          </cell>
          <cell r="CC575">
            <v>-121.68037650396084</v>
          </cell>
          <cell r="CD575">
            <v>-481.54961524030227</v>
          </cell>
        </row>
        <row r="576">
          <cell r="A576" t="str">
            <v>Other income/(cost)</v>
          </cell>
          <cell r="AA576">
            <v>30</v>
          </cell>
          <cell r="AF576">
            <v>3</v>
          </cell>
          <cell r="AK576">
            <v>-141</v>
          </cell>
          <cell r="AP576">
            <v>80</v>
          </cell>
          <cell r="AQ576">
            <v>0</v>
          </cell>
          <cell r="AR576">
            <v>0</v>
          </cell>
          <cell r="AS576">
            <v>0</v>
          </cell>
          <cell r="AT576">
            <v>0</v>
          </cell>
          <cell r="AU576">
            <v>0</v>
          </cell>
          <cell r="AV576">
            <v>0</v>
          </cell>
          <cell r="AW576">
            <v>0</v>
          </cell>
          <cell r="AX576">
            <v>0</v>
          </cell>
          <cell r="AY576">
            <v>0</v>
          </cell>
          <cell r="AZ576">
            <v>0</v>
          </cell>
          <cell r="BA576">
            <v>0</v>
          </cell>
          <cell r="BB576">
            <v>0</v>
          </cell>
          <cell r="BC576">
            <v>0</v>
          </cell>
          <cell r="BD576">
            <v>0</v>
          </cell>
          <cell r="BE576">
            <v>0</v>
          </cell>
          <cell r="BF576">
            <v>0</v>
          </cell>
          <cell r="BG576">
            <v>0</v>
          </cell>
          <cell r="BH576">
            <v>0</v>
          </cell>
          <cell r="BI576">
            <v>0</v>
          </cell>
          <cell r="BJ576">
            <v>0</v>
          </cell>
          <cell r="BK576">
            <v>0</v>
          </cell>
          <cell r="BL576">
            <v>0</v>
          </cell>
          <cell r="BM576">
            <v>0</v>
          </cell>
          <cell r="BN576">
            <v>0</v>
          </cell>
          <cell r="BO576">
            <v>0</v>
          </cell>
          <cell r="BP576">
            <v>0</v>
          </cell>
          <cell r="BQ576">
            <v>0</v>
          </cell>
          <cell r="BR576">
            <v>0</v>
          </cell>
          <cell r="BS576">
            <v>0</v>
          </cell>
          <cell r="BT576">
            <v>0</v>
          </cell>
          <cell r="BU576">
            <v>0</v>
          </cell>
          <cell r="BV576">
            <v>0</v>
          </cell>
          <cell r="BW576">
            <v>0</v>
          </cell>
          <cell r="BX576">
            <v>0</v>
          </cell>
          <cell r="BY576">
            <v>0</v>
          </cell>
          <cell r="BZ576">
            <v>0</v>
          </cell>
          <cell r="CA576">
            <v>0</v>
          </cell>
          <cell r="CB576">
            <v>0</v>
          </cell>
          <cell r="CC576">
            <v>0</v>
          </cell>
          <cell r="CD576">
            <v>0</v>
          </cell>
        </row>
        <row r="577">
          <cell r="A577" t="str">
            <v>Earnings before tax</v>
          </cell>
          <cell r="AA577">
            <v>477</v>
          </cell>
          <cell r="AF577">
            <v>725</v>
          </cell>
          <cell r="AK577">
            <v>474</v>
          </cell>
          <cell r="AP577">
            <v>548</v>
          </cell>
          <cell r="AQ577">
            <v>100.03425091310585</v>
          </cell>
          <cell r="AR577">
            <v>84.498219221236994</v>
          </cell>
          <cell r="AS577">
            <v>84.289230088786567</v>
          </cell>
          <cell r="AT577">
            <v>73.958785582036839</v>
          </cell>
          <cell r="AU577">
            <v>342.78048580516628</v>
          </cell>
          <cell r="AV577">
            <v>68.14783389592013</v>
          </cell>
          <cell r="AW577">
            <v>70.050687005632028</v>
          </cell>
          <cell r="AX577">
            <v>72.230708320268079</v>
          </cell>
          <cell r="AY577">
            <v>73.366216590886225</v>
          </cell>
          <cell r="AZ577">
            <v>283.79544581270653</v>
          </cell>
          <cell r="BA577">
            <v>51.277221894592614</v>
          </cell>
          <cell r="BB577">
            <v>47.967699669932642</v>
          </cell>
          <cell r="BC577">
            <v>48.505467396893394</v>
          </cell>
          <cell r="BD577">
            <v>48.241392270338253</v>
          </cell>
          <cell r="BE577">
            <v>195.9917812317567</v>
          </cell>
          <cell r="BF577">
            <v>28.334041899483793</v>
          </cell>
          <cell r="BG577">
            <v>25.272993565856311</v>
          </cell>
          <cell r="BH577">
            <v>25.735002585491046</v>
          </cell>
          <cell r="BI577">
            <v>25.64456112638014</v>
          </cell>
          <cell r="BJ577">
            <v>104.98659917721125</v>
          </cell>
          <cell r="BK577">
            <v>17.115489116171219</v>
          </cell>
          <cell r="BL577">
            <v>19.165030392362709</v>
          </cell>
          <cell r="BM577">
            <v>21.241368127878005</v>
          </cell>
          <cell r="BN577">
            <v>22.824309523643407</v>
          </cell>
          <cell r="BO577">
            <v>80.346197160055397</v>
          </cell>
          <cell r="BP577">
            <v>14.747737896332993</v>
          </cell>
          <cell r="BQ577">
            <v>16.59570065078394</v>
          </cell>
          <cell r="BR577">
            <v>18.494474460366732</v>
          </cell>
          <cell r="BS577">
            <v>19.956211535209576</v>
          </cell>
          <cell r="BT577">
            <v>69.794124542693169</v>
          </cell>
          <cell r="BU577">
            <v>11.93809422355784</v>
          </cell>
          <cell r="BV577">
            <v>13.950712245768941</v>
          </cell>
          <cell r="BW577">
            <v>16.001683352146188</v>
          </cell>
          <cell r="BX577">
            <v>17.627763976913954</v>
          </cell>
          <cell r="BY577">
            <v>59.518253798386922</v>
          </cell>
          <cell r="BZ577">
            <v>9.6152397031966785</v>
          </cell>
          <cell r="CA577">
            <v>11.52682358877955</v>
          </cell>
          <cell r="CB577">
            <v>13.485800950537339</v>
          </cell>
          <cell r="CC577">
            <v>15.057316383500194</v>
          </cell>
          <cell r="CD577">
            <v>49.685180626013675</v>
          </cell>
        </row>
        <row r="579">
          <cell r="A579" t="str">
            <v>Taxation</v>
          </cell>
          <cell r="AA579">
            <v>-194</v>
          </cell>
          <cell r="AF579">
            <v>-207</v>
          </cell>
          <cell r="AK579">
            <v>-174</v>
          </cell>
          <cell r="AP579">
            <v>-136</v>
          </cell>
          <cell r="AQ579">
            <v>-35.011987819587048</v>
          </cell>
          <cell r="AR579">
            <v>-29.574376727432945</v>
          </cell>
          <cell r="AS579">
            <v>-29.501230531075297</v>
          </cell>
          <cell r="AT579">
            <v>-25.885574953712894</v>
          </cell>
          <cell r="AU579">
            <v>-119.97317003180818</v>
          </cell>
          <cell r="AV579">
            <v>-23.851741863572045</v>
          </cell>
          <cell r="AW579">
            <v>-24.517740451971207</v>
          </cell>
          <cell r="AX579">
            <v>-25.280747912093826</v>
          </cell>
          <cell r="AY579">
            <v>-25.678175806810177</v>
          </cell>
          <cell r="AZ579">
            <v>-99.328406034447255</v>
          </cell>
          <cell r="BA579">
            <v>-17.947027663107413</v>
          </cell>
          <cell r="BB579">
            <v>-16.788694884476424</v>
          </cell>
          <cell r="BC579">
            <v>-16.976913588912687</v>
          </cell>
          <cell r="BD579">
            <v>-16.884487294618388</v>
          </cell>
          <cell r="BE579">
            <v>-68.597123431114909</v>
          </cell>
          <cell r="BF579">
            <v>-9.9169146648193269</v>
          </cell>
          <cell r="BG579">
            <v>-8.8455477480497073</v>
          </cell>
          <cell r="BH579">
            <v>-9.0072509049218645</v>
          </cell>
          <cell r="BI579">
            <v>-8.9755963942330474</v>
          </cell>
          <cell r="BJ579">
            <v>-36.745309712023946</v>
          </cell>
          <cell r="BK579">
            <v>-5.9904211906599265</v>
          </cell>
          <cell r="BL579">
            <v>-6.707760637326948</v>
          </cell>
          <cell r="BM579">
            <v>-7.4344788447573009</v>
          </cell>
          <cell r="BN579">
            <v>-7.9885083332751918</v>
          </cell>
          <cell r="BO579">
            <v>-28.121169006019368</v>
          </cell>
          <cell r="BP579">
            <v>-5.1617082637165472</v>
          </cell>
          <cell r="BQ579">
            <v>-5.8084952277743787</v>
          </cell>
          <cell r="BR579">
            <v>-6.4730660611283559</v>
          </cell>
          <cell r="BS579">
            <v>-6.9846740373233516</v>
          </cell>
          <cell r="BT579">
            <v>-24.427943589942632</v>
          </cell>
          <cell r="BU579">
            <v>-4.1783329782452441</v>
          </cell>
          <cell r="BV579">
            <v>-4.8827492860191288</v>
          </cell>
          <cell r="BW579">
            <v>-5.6005891732511657</v>
          </cell>
          <cell r="BX579">
            <v>-6.1697173919198836</v>
          </cell>
          <cell r="BY579">
            <v>-20.831388829435422</v>
          </cell>
          <cell r="BZ579">
            <v>-3.3653338961188375</v>
          </cell>
          <cell r="CA579">
            <v>-4.0343882560728419</v>
          </cell>
          <cell r="CB579">
            <v>-4.7200303326880686</v>
          </cell>
          <cell r="CC579">
            <v>-5.2700607342250674</v>
          </cell>
          <cell r="CD579">
            <v>-17.389813219104816</v>
          </cell>
        </row>
        <row r="580">
          <cell r="A580" t="str">
            <v>Earnings after tax</v>
          </cell>
          <cell r="G580">
            <v>181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230</v>
          </cell>
          <cell r="Q580">
            <v>238</v>
          </cell>
          <cell r="V580">
            <v>535</v>
          </cell>
          <cell r="AA580">
            <v>283</v>
          </cell>
          <cell r="AF580">
            <v>518</v>
          </cell>
          <cell r="AK580">
            <v>300</v>
          </cell>
          <cell r="AP580">
            <v>412</v>
          </cell>
          <cell r="AQ580">
            <v>65.022263093518802</v>
          </cell>
          <cell r="AR580">
            <v>54.923842493804045</v>
          </cell>
          <cell r="AS580">
            <v>54.787999557711274</v>
          </cell>
          <cell r="AT580">
            <v>48.073210628323949</v>
          </cell>
          <cell r="AU580">
            <v>222.80731577335808</v>
          </cell>
          <cell r="AV580">
            <v>44.296092032348085</v>
          </cell>
          <cell r="AW580">
            <v>45.532946553660821</v>
          </cell>
          <cell r="AX580">
            <v>46.949960408174249</v>
          </cell>
          <cell r="AY580">
            <v>47.688040784076051</v>
          </cell>
          <cell r="AZ580">
            <v>184.46703977825928</v>
          </cell>
          <cell r="BA580">
            <v>33.330194231485201</v>
          </cell>
          <cell r="BB580">
            <v>31.179004785456218</v>
          </cell>
          <cell r="BC580">
            <v>31.528553807980707</v>
          </cell>
          <cell r="BD580">
            <v>31.356904975719864</v>
          </cell>
          <cell r="BE580">
            <v>127.3946578006418</v>
          </cell>
          <cell r="BF580">
            <v>18.417127234664466</v>
          </cell>
          <cell r="BG580">
            <v>16.427445817806603</v>
          </cell>
          <cell r="BH580">
            <v>16.727751680569181</v>
          </cell>
          <cell r="BI580">
            <v>16.668964732147092</v>
          </cell>
          <cell r="BJ580">
            <v>68.241289465187293</v>
          </cell>
          <cell r="BK580">
            <v>11.125067925511292</v>
          </cell>
          <cell r="BL580">
            <v>12.45726975503576</v>
          </cell>
          <cell r="BM580">
            <v>13.806889283120704</v>
          </cell>
          <cell r="BN580">
            <v>14.835801190368215</v>
          </cell>
          <cell r="BO580">
            <v>52.225028154036025</v>
          </cell>
          <cell r="BP580">
            <v>9.5860296326164445</v>
          </cell>
          <cell r="BQ580">
            <v>10.78720542300956</v>
          </cell>
          <cell r="BR580">
            <v>12.021408399238375</v>
          </cell>
          <cell r="BS580">
            <v>12.971537497886224</v>
          </cell>
          <cell r="BT580">
            <v>45.36618095275054</v>
          </cell>
          <cell r="BU580">
            <v>7.7597612453125961</v>
          </cell>
          <cell r="BV580">
            <v>9.0679629597498117</v>
          </cell>
          <cell r="BW580">
            <v>10.401094178895022</v>
          </cell>
          <cell r="BX580">
            <v>11.45804658499407</v>
          </cell>
          <cell r="BY580">
            <v>38.686864968951497</v>
          </cell>
          <cell r="BZ580">
            <v>6.249905807077841</v>
          </cell>
          <cell r="CA580">
            <v>7.4924353327067079</v>
          </cell>
          <cell r="CB580">
            <v>8.7657706178492703</v>
          </cell>
          <cell r="CC580">
            <v>9.7872556492751261</v>
          </cell>
          <cell r="CD580">
            <v>32.295367406908859</v>
          </cell>
        </row>
        <row r="582">
          <cell r="A582" t="str">
            <v>Production</v>
          </cell>
        </row>
        <row r="583">
          <cell r="B583" t="str">
            <v>Oil and NGL (kbbl/d)</v>
          </cell>
          <cell r="C583">
            <v>39.6</v>
          </cell>
          <cell r="D583">
            <v>36.800000000000004</v>
          </cell>
          <cell r="E583">
            <v>29.200000000000003</v>
          </cell>
          <cell r="F583">
            <v>24</v>
          </cell>
          <cell r="G583">
            <v>22</v>
          </cell>
          <cell r="L583">
            <v>30</v>
          </cell>
          <cell r="Q583">
            <v>33</v>
          </cell>
          <cell r="V583">
            <v>39</v>
          </cell>
          <cell r="AA583">
            <v>35</v>
          </cell>
          <cell r="AF583">
            <v>29</v>
          </cell>
          <cell r="AK583">
            <v>18</v>
          </cell>
          <cell r="AP583">
            <v>18</v>
          </cell>
          <cell r="AQ583">
            <v>15</v>
          </cell>
          <cell r="AR583">
            <v>15</v>
          </cell>
          <cell r="AS583">
            <v>15</v>
          </cell>
          <cell r="AT583">
            <v>15</v>
          </cell>
          <cell r="AU583">
            <v>15</v>
          </cell>
          <cell r="AV583">
            <v>15</v>
          </cell>
          <cell r="AW583">
            <v>15</v>
          </cell>
          <cell r="AX583">
            <v>15</v>
          </cell>
          <cell r="AY583">
            <v>15</v>
          </cell>
          <cell r="AZ583">
            <v>15</v>
          </cell>
          <cell r="BA583">
            <v>15</v>
          </cell>
          <cell r="BB583">
            <v>15</v>
          </cell>
          <cell r="BC583">
            <v>15</v>
          </cell>
          <cell r="BD583">
            <v>15</v>
          </cell>
          <cell r="BE583">
            <v>15</v>
          </cell>
          <cell r="BF583">
            <v>15</v>
          </cell>
          <cell r="BG583">
            <v>15</v>
          </cell>
          <cell r="BH583">
            <v>15</v>
          </cell>
          <cell r="BI583">
            <v>15</v>
          </cell>
          <cell r="BJ583">
            <v>15</v>
          </cell>
          <cell r="BK583">
            <v>15</v>
          </cell>
          <cell r="BL583">
            <v>15</v>
          </cell>
          <cell r="BM583">
            <v>15</v>
          </cell>
          <cell r="BN583">
            <v>15</v>
          </cell>
          <cell r="BO583">
            <v>15</v>
          </cell>
          <cell r="BP583">
            <v>15</v>
          </cell>
          <cell r="BQ583">
            <v>15</v>
          </cell>
          <cell r="BR583">
            <v>15</v>
          </cell>
          <cell r="BS583">
            <v>15</v>
          </cell>
          <cell r="BT583">
            <v>15</v>
          </cell>
          <cell r="BU583">
            <v>15</v>
          </cell>
          <cell r="BV583">
            <v>15</v>
          </cell>
          <cell r="BW583">
            <v>15</v>
          </cell>
          <cell r="BX583">
            <v>15</v>
          </cell>
          <cell r="BY583">
            <v>15</v>
          </cell>
          <cell r="BZ583">
            <v>15</v>
          </cell>
          <cell r="CA583">
            <v>15</v>
          </cell>
          <cell r="CB583">
            <v>15</v>
          </cell>
          <cell r="CC583">
            <v>15</v>
          </cell>
          <cell r="CD583">
            <v>15</v>
          </cell>
        </row>
        <row r="584">
          <cell r="B584" t="str">
            <v>Natural gas (mmcf/d)</v>
          </cell>
          <cell r="C584">
            <v>151.6</v>
          </cell>
          <cell r="D584">
            <v>149.20000000000002</v>
          </cell>
          <cell r="E584">
            <v>161.20000000000002</v>
          </cell>
          <cell r="F584">
            <v>174.4</v>
          </cell>
          <cell r="G584">
            <v>194</v>
          </cell>
          <cell r="L584">
            <v>200</v>
          </cell>
          <cell r="Q584">
            <v>203</v>
          </cell>
          <cell r="V584">
            <v>215</v>
          </cell>
          <cell r="AA584">
            <v>216</v>
          </cell>
          <cell r="AF584">
            <v>204</v>
          </cell>
          <cell r="AK584">
            <v>167</v>
          </cell>
          <cell r="AP584">
            <v>243</v>
          </cell>
          <cell r="AQ584">
            <v>225.8</v>
          </cell>
          <cell r="AR584">
            <v>208.60000000000002</v>
          </cell>
          <cell r="AS584">
            <v>191.40000000000003</v>
          </cell>
          <cell r="AT584">
            <v>174.20000000000005</v>
          </cell>
          <cell r="AU584">
            <v>200</v>
          </cell>
          <cell r="AV584">
            <v>184.52000000000004</v>
          </cell>
          <cell r="AW584">
            <v>194.84000000000003</v>
          </cell>
          <cell r="AX584">
            <v>205.16000000000003</v>
          </cell>
          <cell r="AY584">
            <v>215.48000000000002</v>
          </cell>
          <cell r="AZ584">
            <v>200</v>
          </cell>
          <cell r="BA584">
            <v>209.28800000000001</v>
          </cell>
          <cell r="BB584">
            <v>203.096</v>
          </cell>
          <cell r="BC584">
            <v>196.904</v>
          </cell>
          <cell r="BD584">
            <v>190.71199999999999</v>
          </cell>
          <cell r="BE584">
            <v>200</v>
          </cell>
          <cell r="BF584">
            <v>194.4272</v>
          </cell>
          <cell r="BG584">
            <v>198.14240000000001</v>
          </cell>
          <cell r="BH584">
            <v>201.85760000000002</v>
          </cell>
          <cell r="BI584">
            <v>205.57280000000003</v>
          </cell>
          <cell r="BJ584">
            <v>200</v>
          </cell>
          <cell r="BK584">
            <v>203.34368000000001</v>
          </cell>
          <cell r="BL584">
            <v>201.11455999999998</v>
          </cell>
          <cell r="BM584">
            <v>198.88543999999996</v>
          </cell>
          <cell r="BN584">
            <v>196.65631999999994</v>
          </cell>
          <cell r="BO584">
            <v>200</v>
          </cell>
          <cell r="BP584">
            <v>197.99379199999996</v>
          </cell>
          <cell r="BQ584">
            <v>199.33126399999998</v>
          </cell>
          <cell r="BR584">
            <v>200.668736</v>
          </cell>
          <cell r="BS584">
            <v>202.00620800000002</v>
          </cell>
          <cell r="BT584">
            <v>200</v>
          </cell>
          <cell r="BU584">
            <v>201.2037248</v>
          </cell>
          <cell r="BV584">
            <v>200.40124159999999</v>
          </cell>
          <cell r="BW584">
            <v>199.59875839999998</v>
          </cell>
          <cell r="BX584">
            <v>198.79627519999997</v>
          </cell>
          <cell r="BY584">
            <v>200</v>
          </cell>
          <cell r="BZ584">
            <v>199.27776511999997</v>
          </cell>
          <cell r="CA584">
            <v>199.75925503999997</v>
          </cell>
          <cell r="CB584">
            <v>200.24074495999997</v>
          </cell>
          <cell r="CC584">
            <v>200.72223487999997</v>
          </cell>
          <cell r="CD584">
            <v>200</v>
          </cell>
        </row>
        <row r="585">
          <cell r="B585" t="str">
            <v>Total</v>
          </cell>
          <cell r="C585">
            <v>65.737931034482756</v>
          </cell>
          <cell r="D585">
            <v>62.524137931034488</v>
          </cell>
          <cell r="E585">
            <v>56.993103448275868</v>
          </cell>
          <cell r="F585">
            <v>54.068965517241381</v>
          </cell>
          <cell r="G585">
            <v>55.448275862068968</v>
          </cell>
          <cell r="L585">
            <v>64.482758620689651</v>
          </cell>
          <cell r="Q585">
            <v>68</v>
          </cell>
          <cell r="V585">
            <v>76.068965517241381</v>
          </cell>
          <cell r="AA585">
            <v>72.241379310344826</v>
          </cell>
          <cell r="AF585">
            <v>64.172413793103459</v>
          </cell>
          <cell r="AK585">
            <v>46.793103448275858</v>
          </cell>
          <cell r="AP585">
            <v>59.896551724137929</v>
          </cell>
          <cell r="AQ585">
            <v>53.931034482758626</v>
          </cell>
          <cell r="AR585">
            <v>50.965517241379317</v>
          </cell>
          <cell r="AS585">
            <v>48.000000000000007</v>
          </cell>
          <cell r="AT585">
            <v>45.034482758620697</v>
          </cell>
          <cell r="AU585">
            <v>49.482758620689658</v>
          </cell>
          <cell r="AV585">
            <v>46.813793103448283</v>
          </cell>
          <cell r="AW585">
            <v>48.593103448275869</v>
          </cell>
          <cell r="AX585">
            <v>50.372413793103455</v>
          </cell>
          <cell r="AY585">
            <v>52.151724137931041</v>
          </cell>
          <cell r="AZ585">
            <v>49.482758620689658</v>
          </cell>
          <cell r="BA585">
            <v>51.084137931034483</v>
          </cell>
          <cell r="BB585">
            <v>50.016551724137933</v>
          </cell>
          <cell r="BC585">
            <v>48.948965517241376</v>
          </cell>
          <cell r="BD585">
            <v>47.881379310344826</v>
          </cell>
          <cell r="BE585">
            <v>49.482758620689658</v>
          </cell>
          <cell r="BF585">
            <v>48.521931034482762</v>
          </cell>
          <cell r="BG585">
            <v>49.162482758620691</v>
          </cell>
          <cell r="BH585">
            <v>49.803034482758626</v>
          </cell>
          <cell r="BI585">
            <v>50.443586206896555</v>
          </cell>
          <cell r="BJ585">
            <v>49.482758620689658</v>
          </cell>
          <cell r="BK585">
            <v>50.059255172413792</v>
          </cell>
          <cell r="BL585">
            <v>49.674924137931029</v>
          </cell>
          <cell r="BM585">
            <v>49.290593103448273</v>
          </cell>
          <cell r="BN585">
            <v>48.906262068965511</v>
          </cell>
          <cell r="BO585">
            <v>49.482758620689658</v>
          </cell>
          <cell r="BP585">
            <v>49.136860689655165</v>
          </cell>
          <cell r="BQ585">
            <v>49.367459310344827</v>
          </cell>
          <cell r="BR585">
            <v>49.598057931034482</v>
          </cell>
          <cell r="BS585">
            <v>49.828656551724144</v>
          </cell>
          <cell r="BT585">
            <v>49.482758620689658</v>
          </cell>
          <cell r="BU585">
            <v>49.690297379310344</v>
          </cell>
          <cell r="BV585">
            <v>49.551938206896551</v>
          </cell>
          <cell r="BW585">
            <v>49.413579034482758</v>
          </cell>
          <cell r="BX585">
            <v>49.275219862068958</v>
          </cell>
          <cell r="BY585">
            <v>49.482758620689658</v>
          </cell>
          <cell r="BZ585">
            <v>49.358235365517238</v>
          </cell>
          <cell r="CA585">
            <v>49.441250868965511</v>
          </cell>
          <cell r="CB585">
            <v>49.524266372413791</v>
          </cell>
          <cell r="CC585">
            <v>49.607281875862064</v>
          </cell>
          <cell r="CD585">
            <v>49.482758620689658</v>
          </cell>
        </row>
        <row r="587">
          <cell r="A587" t="str">
            <v>Realise price</v>
          </cell>
        </row>
        <row r="588">
          <cell r="B588" t="str">
            <v>Oil and NGL ($/bbl)</v>
          </cell>
          <cell r="AA588">
            <v>53.09</v>
          </cell>
          <cell r="AF588">
            <v>70.48</v>
          </cell>
          <cell r="AK588">
            <v>97.63</v>
          </cell>
          <cell r="AP588">
            <v>100.79</v>
          </cell>
          <cell r="AQ588">
            <v>108.71</v>
          </cell>
          <cell r="AR588">
            <v>93</v>
          </cell>
          <cell r="AS588">
            <v>100.98</v>
          </cell>
          <cell r="AT588">
            <v>95.54</v>
          </cell>
          <cell r="AU588">
            <v>99.14</v>
          </cell>
          <cell r="AV588">
            <v>98.445843205849201</v>
          </cell>
          <cell r="AW588">
            <v>98.445843205849201</v>
          </cell>
          <cell r="AX588">
            <v>98.445843205849201</v>
          </cell>
          <cell r="AY588">
            <v>98.445843205849201</v>
          </cell>
          <cell r="AZ588">
            <v>98.445843205849201</v>
          </cell>
          <cell r="BA588">
            <v>92.96273782056339</v>
          </cell>
          <cell r="BB588">
            <v>92.96273782056339</v>
          </cell>
          <cell r="BC588">
            <v>92.96273782056339</v>
          </cell>
          <cell r="BD588">
            <v>92.96273782056339</v>
          </cell>
          <cell r="BE588">
            <v>92.96273782056339</v>
          </cell>
          <cell r="BF588">
            <v>87.562990456337673</v>
          </cell>
          <cell r="BG588">
            <v>87.562990456337673</v>
          </cell>
          <cell r="BH588">
            <v>87.562990456337673</v>
          </cell>
          <cell r="BI588">
            <v>87.562990456337673</v>
          </cell>
          <cell r="BJ588">
            <v>87.562990456337673</v>
          </cell>
          <cell r="BK588">
            <v>88.119597438929659</v>
          </cell>
          <cell r="BL588">
            <v>88.679651069064434</v>
          </cell>
          <cell r="BM588">
            <v>89.243172689232566</v>
          </cell>
          <cell r="BN588">
            <v>89.810183774082603</v>
          </cell>
          <cell r="BO588">
            <v>88.963151242827308</v>
          </cell>
          <cell r="BP588">
            <v>90.380705931239376</v>
          </cell>
          <cell r="BQ588">
            <v>90.954760902127518</v>
          </cell>
          <cell r="BR588">
            <v>91.532370562799855</v>
          </cell>
          <cell r="BS588">
            <v>92.113556924771132</v>
          </cell>
          <cell r="BT588">
            <v>91.245348580234463</v>
          </cell>
          <cell r="BU588">
            <v>92.698342135856834</v>
          </cell>
          <cell r="BV588">
            <v>93.286748481017185</v>
          </cell>
          <cell r="BW588">
            <v>93.878798383206316</v>
          </cell>
          <cell r="BX588">
            <v>94.474514404226881</v>
          </cell>
          <cell r="BY588">
            <v>93.5846008510768</v>
          </cell>
          <cell r="BZ588">
            <v>95.073919245589721</v>
          </cell>
          <cell r="CA588">
            <v>95.677035749379073</v>
          </cell>
          <cell r="CB588">
            <v>96.283886899122933</v>
          </cell>
          <cell r="CC588">
            <v>96.894495820669007</v>
          </cell>
          <cell r="CD588">
            <v>95.982334428690194</v>
          </cell>
        </row>
        <row r="589">
          <cell r="B589" t="str">
            <v>Natural gas ($/mmcf)</v>
          </cell>
          <cell r="AA589">
            <v>4.1399999999999997</v>
          </cell>
          <cell r="AF589">
            <v>5.8</v>
          </cell>
          <cell r="AK589">
            <v>7.14</v>
          </cell>
          <cell r="AP589">
            <v>8.3699999999999992</v>
          </cell>
          <cell r="AQ589">
            <v>8.34</v>
          </cell>
          <cell r="AR589">
            <v>8.66</v>
          </cell>
          <cell r="AS589">
            <v>8.15</v>
          </cell>
          <cell r="AT589">
            <v>8.09</v>
          </cell>
          <cell r="AU589">
            <v>8.3000000000000007</v>
          </cell>
          <cell r="AV589">
            <v>8.1513796146255544</v>
          </cell>
          <cell r="AW589">
            <v>8.1348539560347177</v>
          </cell>
          <cell r="AX589">
            <v>8.1348539560347177</v>
          </cell>
          <cell r="AY589">
            <v>8.1348539560347177</v>
          </cell>
          <cell r="AZ589">
            <v>8.1389853706824269</v>
          </cell>
          <cell r="BA589">
            <v>7.9125087313579971</v>
          </cell>
          <cell r="BB589">
            <v>7.6901635066812766</v>
          </cell>
          <cell r="BC589">
            <v>7.6901635066812766</v>
          </cell>
          <cell r="BD589">
            <v>7.6901635066812766</v>
          </cell>
          <cell r="BE589">
            <v>7.7457498128504563</v>
          </cell>
          <cell r="BF589">
            <v>7.4711985303526829</v>
          </cell>
          <cell r="BG589">
            <v>7.2522335540240883</v>
          </cell>
          <cell r="BH589">
            <v>7.2522335540240883</v>
          </cell>
          <cell r="BI589">
            <v>7.2522335540240883</v>
          </cell>
          <cell r="BJ589">
            <v>7.3069747981062365</v>
          </cell>
          <cell r="BK589">
            <v>7.2748045053198931</v>
          </cell>
          <cell r="BL589">
            <v>7.3200861728017292</v>
          </cell>
          <cell r="BM589">
            <v>7.3656482355226478</v>
          </cell>
          <cell r="BN589">
            <v>7.4114924297590381</v>
          </cell>
          <cell r="BO589">
            <v>7.3430078358508268</v>
          </cell>
          <cell r="BP589">
            <v>7.4576205025387408</v>
          </cell>
          <cell r="BQ589">
            <v>7.5040342117076229</v>
          </cell>
          <cell r="BR589">
            <v>7.5507353259965644</v>
          </cell>
          <cell r="BS589">
            <v>7.5977256250888647</v>
          </cell>
          <cell r="BT589">
            <v>7.5275289163329475</v>
          </cell>
          <cell r="BU589">
            <v>7.6450068996880596</v>
          </cell>
          <cell r="BV589">
            <v>7.6925809515861641</v>
          </cell>
          <cell r="BW589">
            <v>7.7404495937323281</v>
          </cell>
          <cell r="BX589">
            <v>7.7886146503019367</v>
          </cell>
          <cell r="BY589">
            <v>7.7166630238271221</v>
          </cell>
          <cell r="BZ589">
            <v>7.8370779567661115</v>
          </cell>
          <cell r="CA589">
            <v>7.8858413599616668</v>
          </cell>
          <cell r="CB589">
            <v>7.9349067181614865</v>
          </cell>
          <cell r="CC589">
            <v>7.9842759011453337</v>
          </cell>
          <cell r="CD589">
            <v>7.9105254840086499</v>
          </cell>
        </row>
        <row r="591">
          <cell r="A591" t="str">
            <v>Production x price</v>
          </cell>
          <cell r="AA591">
            <v>1004.62235</v>
          </cell>
          <cell r="AF591">
            <v>1177.8987999999999</v>
          </cell>
          <cell r="AK591">
            <v>1076.6477999999997</v>
          </cell>
          <cell r="AP591">
            <v>1404.56745</v>
          </cell>
          <cell r="AQ591">
            <v>316.24397999999997</v>
          </cell>
          <cell r="AR591">
            <v>291.33431600000006</v>
          </cell>
          <cell r="AS591">
            <v>282.86412000000007</v>
          </cell>
          <cell r="AT591">
            <v>261.49877600000008</v>
          </cell>
          <cell r="AU591">
            <v>1151.9411920000002</v>
          </cell>
          <cell r="AV591">
            <v>268.27021931206008</v>
          </cell>
          <cell r="AW591">
            <v>278.61311595222037</v>
          </cell>
          <cell r="AX591">
            <v>289.39835428511952</v>
          </cell>
          <cell r="AY591">
            <v>297.12191002513714</v>
          </cell>
          <cell r="AZ591">
            <v>1133.4035995745371</v>
          </cell>
          <cell r="BA591">
            <v>274.5390775209213</v>
          </cell>
          <cell r="BB591">
            <v>269.02170885238655</v>
          </cell>
          <cell r="BC591">
            <v>267.59718206337794</v>
          </cell>
          <cell r="BD591">
            <v>263.21637275950781</v>
          </cell>
          <cell r="BE591">
            <v>1074.3743411961934</v>
          </cell>
          <cell r="BF591">
            <v>248.94441609710867</v>
          </cell>
          <cell r="BG591">
            <v>250.2882034925934</v>
          </cell>
          <cell r="BH591">
            <v>255.51742513638507</v>
          </cell>
          <cell r="BI591">
            <v>257.99622696157684</v>
          </cell>
          <cell r="BJ591">
            <v>1012.7462716876639</v>
          </cell>
          <cell r="BK591">
            <v>252.09715328786444</v>
          </cell>
          <cell r="BL591">
            <v>255.01573150153737</v>
          </cell>
          <cell r="BM591">
            <v>257.92823581019826</v>
          </cell>
          <cell r="BN591">
            <v>258.02960168710683</v>
          </cell>
          <cell r="BO591">
            <v>1023.070722286707</v>
          </cell>
          <cell r="BP591">
            <v>254.90458364068633</v>
          </cell>
          <cell r="BQ591">
            <v>260.2700134626262</v>
          </cell>
          <cell r="BR591">
            <v>265.71275064058545</v>
          </cell>
          <cell r="BS591">
            <v>268.31718090745824</v>
          </cell>
          <cell r="BT591">
            <v>1049.2045286513562</v>
          </cell>
          <cell r="BU591">
            <v>263.5811096739111</v>
          </cell>
          <cell r="BV591">
            <v>267.62226409296869</v>
          </cell>
          <cell r="BW591">
            <v>271.69128157856636</v>
          </cell>
          <cell r="BX591">
            <v>272.82280737106527</v>
          </cell>
          <cell r="BY591">
            <v>1075.7174627165114</v>
          </cell>
          <cell r="BZ591">
            <v>268.90777520814709</v>
          </cell>
          <cell r="CA591">
            <v>273.94870518199269</v>
          </cell>
          <cell r="CB591">
            <v>279.04979410460402</v>
          </cell>
          <cell r="CC591">
            <v>281.1556008879536</v>
          </cell>
          <cell r="CD591">
            <v>1103.0618753826973</v>
          </cell>
        </row>
        <row r="592">
          <cell r="A592" t="str">
            <v>Difference with actual</v>
          </cell>
          <cell r="AA592">
            <v>4.8155060456299914E-2</v>
          </cell>
          <cell r="AF592">
            <v>0.24883394057282349</v>
          </cell>
          <cell r="AK592">
            <v>0.18051604247925868</v>
          </cell>
          <cell r="AP592">
            <v>2.5938626158537259E-2</v>
          </cell>
          <cell r="AQ592">
            <v>0</v>
          </cell>
          <cell r="AR592">
            <v>0</v>
          </cell>
          <cell r="AS592">
            <v>0</v>
          </cell>
          <cell r="AT592">
            <v>0</v>
          </cell>
          <cell r="AU592">
            <v>0</v>
          </cell>
          <cell r="AV592">
            <v>0</v>
          </cell>
          <cell r="AW592">
            <v>0</v>
          </cell>
          <cell r="AX592">
            <v>0</v>
          </cell>
          <cell r="AY592">
            <v>0</v>
          </cell>
          <cell r="AZ592">
            <v>0</v>
          </cell>
          <cell r="BA592">
            <v>0</v>
          </cell>
          <cell r="BB592">
            <v>0</v>
          </cell>
          <cell r="BC592">
            <v>0</v>
          </cell>
          <cell r="BD592">
            <v>0</v>
          </cell>
          <cell r="BE592">
            <v>0</v>
          </cell>
          <cell r="BF592">
            <v>0</v>
          </cell>
          <cell r="BG592">
            <v>0</v>
          </cell>
          <cell r="BH592">
            <v>0</v>
          </cell>
          <cell r="BI592">
            <v>0</v>
          </cell>
          <cell r="BJ592">
            <v>0</v>
          </cell>
          <cell r="BK592">
            <v>0</v>
          </cell>
          <cell r="BL592">
            <v>0</v>
          </cell>
          <cell r="BM592">
            <v>0</v>
          </cell>
          <cell r="BN592">
            <v>0</v>
          </cell>
          <cell r="BO592">
            <v>0</v>
          </cell>
          <cell r="BP592">
            <v>0</v>
          </cell>
          <cell r="BQ592">
            <v>0</v>
          </cell>
          <cell r="BR592">
            <v>0</v>
          </cell>
          <cell r="BS592">
            <v>0</v>
          </cell>
          <cell r="BT592">
            <v>0</v>
          </cell>
          <cell r="BU592">
            <v>0</v>
          </cell>
          <cell r="BV592">
            <v>0</v>
          </cell>
          <cell r="BW592">
            <v>0</v>
          </cell>
          <cell r="BX592">
            <v>0</v>
          </cell>
          <cell r="BY592">
            <v>0</v>
          </cell>
          <cell r="BZ592">
            <v>0</v>
          </cell>
          <cell r="CA592">
            <v>0</v>
          </cell>
          <cell r="CB592">
            <v>0</v>
          </cell>
          <cell r="CC592">
            <v>0</v>
          </cell>
          <cell r="CD592">
            <v>0</v>
          </cell>
        </row>
        <row r="594">
          <cell r="A594" t="str">
            <v>Per barrel of oil equivalent</v>
          </cell>
        </row>
        <row r="595">
          <cell r="B595" t="str">
            <v>Production cost excluding taxes</v>
          </cell>
          <cell r="AA595">
            <v>5.6128420570830748</v>
          </cell>
          <cell r="AF595">
            <v>8.3678682104922224</v>
          </cell>
          <cell r="AK595">
            <v>14.46179626694663</v>
          </cell>
          <cell r="AP595">
            <v>17.015638677928408</v>
          </cell>
          <cell r="AQ595">
            <v>17.441029644876615</v>
          </cell>
          <cell r="AR595">
            <v>17.441029644876615</v>
          </cell>
          <cell r="AS595">
            <v>17.441029644876615</v>
          </cell>
          <cell r="AT595">
            <v>17.441029644876615</v>
          </cell>
          <cell r="AU595">
            <v>17.441029644876615</v>
          </cell>
          <cell r="AV595">
            <v>18.313081127120448</v>
          </cell>
          <cell r="AW595">
            <v>18.313081127120448</v>
          </cell>
          <cell r="AX595">
            <v>18.313081127120448</v>
          </cell>
          <cell r="AY595">
            <v>18.313081127120448</v>
          </cell>
          <cell r="AZ595">
            <v>18.313081127120448</v>
          </cell>
          <cell r="BA595">
            <v>18.770908155298457</v>
          </cell>
          <cell r="BB595">
            <v>18.770908155298457</v>
          </cell>
          <cell r="BC595">
            <v>18.770908155298457</v>
          </cell>
          <cell r="BD595">
            <v>18.770908155298457</v>
          </cell>
          <cell r="BE595">
            <v>18.770908155298457</v>
          </cell>
          <cell r="BF595">
            <v>19.240180859180917</v>
          </cell>
          <cell r="BG595">
            <v>19.240180859180917</v>
          </cell>
          <cell r="BH595">
            <v>19.240180859180917</v>
          </cell>
          <cell r="BI595">
            <v>19.240180859180917</v>
          </cell>
          <cell r="BJ595">
            <v>19.240180859180917</v>
          </cell>
          <cell r="BK595">
            <v>19.721185380660437</v>
          </cell>
          <cell r="BL595">
            <v>19.721185380660437</v>
          </cell>
          <cell r="BM595">
            <v>19.721185380660437</v>
          </cell>
          <cell r="BN595">
            <v>19.721185380660437</v>
          </cell>
          <cell r="BO595">
            <v>19.721185380660437</v>
          </cell>
          <cell r="BP595">
            <v>20.214215015176947</v>
          </cell>
          <cell r="BQ595">
            <v>20.214215015176947</v>
          </cell>
          <cell r="BR595">
            <v>20.214215015176947</v>
          </cell>
          <cell r="BS595">
            <v>20.214215015176947</v>
          </cell>
          <cell r="BT595">
            <v>20.214215015176947</v>
          </cell>
          <cell r="BU595">
            <v>20.71957039055637</v>
          </cell>
          <cell r="BV595">
            <v>20.71957039055637</v>
          </cell>
          <cell r="BW595">
            <v>20.71957039055637</v>
          </cell>
          <cell r="BX595">
            <v>20.71957039055637</v>
          </cell>
          <cell r="BY595">
            <v>20.71957039055637</v>
          </cell>
          <cell r="BZ595">
            <v>21.237559650320279</v>
          </cell>
          <cell r="CA595">
            <v>21.237559650320279</v>
          </cell>
          <cell r="CB595">
            <v>21.237559650320279</v>
          </cell>
          <cell r="CC595">
            <v>21.237559650320279</v>
          </cell>
          <cell r="CD595">
            <v>21.237559650320279</v>
          </cell>
        </row>
        <row r="596">
          <cell r="B596" t="str">
            <v>Taxes other than income tax</v>
          </cell>
          <cell r="AA596">
            <v>2.7305718115539279</v>
          </cell>
          <cell r="AF596">
            <v>5.9343555166245867</v>
          </cell>
          <cell r="AK596">
            <v>4.3326839018382612</v>
          </cell>
          <cell r="AP596">
            <v>5.0772470248657342</v>
          </cell>
          <cell r="AQ596">
            <v>5.212319079283886</v>
          </cell>
          <cell r="AR596">
            <v>5.0253209201623816</v>
          </cell>
          <cell r="AS596">
            <v>5.1243500000000006</v>
          </cell>
          <cell r="AT596">
            <v>5.0492472894333851</v>
          </cell>
          <cell r="AU596">
            <v>5.1023885550856773</v>
          </cell>
          <cell r="AV596">
            <v>5.0938495122436604</v>
          </cell>
          <cell r="AW596">
            <v>5.0405220092855361</v>
          </cell>
          <cell r="AX596">
            <v>4.9958047253848186</v>
          </cell>
          <cell r="AY596">
            <v>4.9541387663310701</v>
          </cell>
          <cell r="AZ596">
            <v>5.020278461195983</v>
          </cell>
          <cell r="BA596">
            <v>4.777113708047855</v>
          </cell>
          <cell r="BB596">
            <v>4.7284867316187933</v>
          </cell>
          <cell r="BC596">
            <v>4.7537920226788</v>
          </cell>
          <cell r="BD596">
            <v>4.7802257515610345</v>
          </cell>
          <cell r="BE596">
            <v>4.7588152767412906</v>
          </cell>
          <cell r="BF596">
            <v>4.5604929709494408</v>
          </cell>
          <cell r="BG596">
            <v>4.4756402268844138</v>
          </cell>
          <cell r="BH596">
            <v>4.461355972453986</v>
          </cell>
          <cell r="BI596">
            <v>4.4474344917472957</v>
          </cell>
          <cell r="BJ596">
            <v>4.4858409628473694</v>
          </cell>
          <cell r="BK596">
            <v>4.4764221462405871</v>
          </cell>
          <cell r="BL596">
            <v>4.5131353083657304</v>
          </cell>
          <cell r="BM596">
            <v>4.5502682828939243</v>
          </cell>
          <cell r="BN596">
            <v>4.5878289853360448</v>
          </cell>
          <cell r="BO596">
            <v>4.5315719072219176</v>
          </cell>
          <cell r="BP596">
            <v>4.6112398908861714</v>
          </cell>
          <cell r="BQ596">
            <v>4.6348101814532852</v>
          </cell>
          <cell r="BR596">
            <v>4.6585405843047489</v>
          </cell>
          <cell r="BS596">
            <v>4.6824318352516912</v>
          </cell>
          <cell r="BT596">
            <v>4.6473285408260168</v>
          </cell>
          <cell r="BU596">
            <v>4.715091920695504</v>
          </cell>
          <cell r="BV596">
            <v>4.747994298414465</v>
          </cell>
          <cell r="BW596">
            <v>4.7811409929307329</v>
          </cell>
          <cell r="BX596">
            <v>4.814534049061578</v>
          </cell>
          <cell r="BY596">
            <v>4.7647644761630588</v>
          </cell>
          <cell r="BZ596">
            <v>4.8427406642123199</v>
          </cell>
          <cell r="CA596">
            <v>4.8711151579053693</v>
          </cell>
          <cell r="CB596">
            <v>4.8996585441340681</v>
          </cell>
          <cell r="CC596">
            <v>4.9283718430434087</v>
          </cell>
          <cell r="CD596">
            <v>4.8858833485520661</v>
          </cell>
        </row>
        <row r="597">
          <cell r="B597" t="str">
            <v>Exploration expense</v>
          </cell>
          <cell r="AA597">
            <v>3.4890639814300193</v>
          </cell>
          <cell r="AF597">
            <v>4.7389457722685542</v>
          </cell>
          <cell r="AK597">
            <v>5.2109306386973691</v>
          </cell>
          <cell r="AP597">
            <v>7.0898494491368362</v>
          </cell>
          <cell r="AQ597">
            <v>5.1506109690252906</v>
          </cell>
          <cell r="AR597">
            <v>5.3904147273565393</v>
          </cell>
          <cell r="AS597">
            <v>5.6612318840579698</v>
          </cell>
          <cell r="AT597">
            <v>6.0340235701444822</v>
          </cell>
          <cell r="AU597">
            <v>5.5367285571094458</v>
          </cell>
          <cell r="AV597">
            <v>5.9336738034439858</v>
          </cell>
          <cell r="AW597">
            <v>5.6535856990015363</v>
          </cell>
          <cell r="AX597">
            <v>5.3946021239106621</v>
          </cell>
          <cell r="AY597">
            <v>5.2105493140761006</v>
          </cell>
          <cell r="AZ597">
            <v>5.5367285571094458</v>
          </cell>
          <cell r="BA597">
            <v>5.4376522542631189</v>
          </cell>
          <cell r="BB597">
            <v>5.492687225630803</v>
          </cell>
          <cell r="BC597">
            <v>5.5514785157015725</v>
          </cell>
          <cell r="BD597">
            <v>5.675256944322677</v>
          </cell>
          <cell r="BE597">
            <v>5.5367285571094458</v>
          </cell>
          <cell r="BF597">
            <v>5.7247881907332019</v>
          </cell>
          <cell r="BG597">
            <v>5.5881082343649817</v>
          </cell>
          <cell r="BH597">
            <v>5.4562765754535762</v>
          </cell>
          <cell r="BI597">
            <v>5.3869907131549448</v>
          </cell>
          <cell r="BJ597">
            <v>5.5367285571094458</v>
          </cell>
          <cell r="BK597">
            <v>5.5489794408857502</v>
          </cell>
          <cell r="BL597">
            <v>5.5304618878219607</v>
          </cell>
          <cell r="BM597">
            <v>5.5130018392043301</v>
          </cell>
          <cell r="BN597">
            <v>5.556325896499466</v>
          </cell>
          <cell r="BO597">
            <v>5.5367285571094458</v>
          </cell>
          <cell r="BP597">
            <v>5.6531445818690367</v>
          </cell>
          <cell r="BQ597">
            <v>5.5649060851650249</v>
          </cell>
          <cell r="BR597">
            <v>5.478826022031603</v>
          </cell>
          <cell r="BS597">
            <v>5.4534709390108986</v>
          </cell>
          <cell r="BT597">
            <v>5.5367285571094458</v>
          </cell>
          <cell r="BU597">
            <v>5.5901814323501453</v>
          </cell>
          <cell r="BV597">
            <v>5.5441882732861281</v>
          </cell>
          <cell r="BW597">
            <v>5.4992804760236504</v>
          </cell>
          <cell r="BX597">
            <v>5.5147218256039023</v>
          </cell>
          <cell r="BY597">
            <v>5.5367285571094458</v>
          </cell>
          <cell r="BZ597">
            <v>5.6277898859374442</v>
          </cell>
          <cell r="CA597">
            <v>5.5566004074893049</v>
          </cell>
          <cell r="CB597">
            <v>5.4869895172470011</v>
          </cell>
          <cell r="CC597">
            <v>5.4778072927838766</v>
          </cell>
          <cell r="CD597">
            <v>5.5367285571094458</v>
          </cell>
        </row>
        <row r="598">
          <cell r="B598" t="str">
            <v>DD&amp;A</v>
          </cell>
          <cell r="AA598">
            <v>11.14983489717854</v>
          </cell>
          <cell r="AF598">
            <v>12.936041162138487</v>
          </cell>
          <cell r="AK598">
            <v>14.403246484489356</v>
          </cell>
          <cell r="AP598">
            <v>15.323223002973164</v>
          </cell>
          <cell r="AQ598">
            <v>16.740528396611943</v>
          </cell>
          <cell r="AR598">
            <v>16.740528396611943</v>
          </cell>
          <cell r="AS598">
            <v>16.740528396611943</v>
          </cell>
          <cell r="AT598">
            <v>16.740528396611943</v>
          </cell>
          <cell r="AU598">
            <v>16.740528396611943</v>
          </cell>
          <cell r="AV598">
            <v>18.157833790250717</v>
          </cell>
          <cell r="AW598">
            <v>18.157833790250717</v>
          </cell>
          <cell r="AX598">
            <v>18.157833790250717</v>
          </cell>
          <cell r="AY598">
            <v>18.157833790250717</v>
          </cell>
          <cell r="AZ598">
            <v>18.157833790250717</v>
          </cell>
          <cell r="BA598">
            <v>19.575139183889494</v>
          </cell>
          <cell r="BB598">
            <v>19.575139183889494</v>
          </cell>
          <cell r="BC598">
            <v>19.575139183889494</v>
          </cell>
          <cell r="BD598">
            <v>19.575139183889494</v>
          </cell>
          <cell r="BE598">
            <v>19.575139183889494</v>
          </cell>
          <cell r="BF598">
            <v>20.992444577528268</v>
          </cell>
          <cell r="BG598">
            <v>20.992444577528268</v>
          </cell>
          <cell r="BH598">
            <v>20.992444577528268</v>
          </cell>
          <cell r="BI598">
            <v>20.992444577528268</v>
          </cell>
          <cell r="BJ598">
            <v>20.992444577528268</v>
          </cell>
          <cell r="BK598">
            <v>22.409749971167042</v>
          </cell>
          <cell r="BL598">
            <v>22.409749971167042</v>
          </cell>
          <cell r="BM598">
            <v>22.409749971167042</v>
          </cell>
          <cell r="BN598">
            <v>22.409749971167042</v>
          </cell>
          <cell r="BO598">
            <v>22.409749971167042</v>
          </cell>
          <cell r="BP598">
            <v>23.827055364805819</v>
          </cell>
          <cell r="BQ598">
            <v>23.827055364805819</v>
          </cell>
          <cell r="BR598">
            <v>23.827055364805819</v>
          </cell>
          <cell r="BS598">
            <v>23.827055364805819</v>
          </cell>
          <cell r="BT598">
            <v>23.827055364805819</v>
          </cell>
          <cell r="BU598">
            <v>25.244360758444596</v>
          </cell>
          <cell r="BV598">
            <v>25.244360758444596</v>
          </cell>
          <cell r="BW598">
            <v>25.244360758444596</v>
          </cell>
          <cell r="BX598">
            <v>25.244360758444596</v>
          </cell>
          <cell r="BY598">
            <v>25.244360758444596</v>
          </cell>
          <cell r="BZ598">
            <v>26.661666152083377</v>
          </cell>
          <cell r="CA598">
            <v>26.661666152083377</v>
          </cell>
          <cell r="CB598">
            <v>26.661666152083377</v>
          </cell>
          <cell r="CC598">
            <v>26.661666152083377</v>
          </cell>
          <cell r="CD598">
            <v>26.661666152083377</v>
          </cell>
        </row>
        <row r="599">
          <cell r="B599" t="str">
            <v>Other income/(cost)</v>
          </cell>
          <cell r="AA599">
            <v>-1.1377382548141368</v>
          </cell>
          <cell r="AF599">
            <v>-0.1280796154667177</v>
          </cell>
          <cell r="AK599">
            <v>8.255519326475607</v>
          </cell>
          <cell r="AP599">
            <v>-3.6592771350383675</v>
          </cell>
          <cell r="AQ599">
            <v>0</v>
          </cell>
          <cell r="AR599">
            <v>0</v>
          </cell>
          <cell r="AS599">
            <v>0</v>
          </cell>
          <cell r="AT599">
            <v>0</v>
          </cell>
          <cell r="AU599">
            <v>0</v>
          </cell>
          <cell r="AV599">
            <v>0</v>
          </cell>
          <cell r="AW599">
            <v>0</v>
          </cell>
          <cell r="AX599">
            <v>0</v>
          </cell>
          <cell r="AY599">
            <v>0</v>
          </cell>
          <cell r="AZ599">
            <v>0</v>
          </cell>
          <cell r="BA599">
            <v>0</v>
          </cell>
          <cell r="BB599">
            <v>0</v>
          </cell>
          <cell r="BC599">
            <v>0</v>
          </cell>
          <cell r="BD599">
            <v>0</v>
          </cell>
          <cell r="BE599">
            <v>0</v>
          </cell>
          <cell r="BF599">
            <v>0</v>
          </cell>
          <cell r="BG599">
            <v>0</v>
          </cell>
          <cell r="BH599">
            <v>0</v>
          </cell>
          <cell r="BI599">
            <v>0</v>
          </cell>
          <cell r="BJ599">
            <v>0</v>
          </cell>
          <cell r="BK599">
            <v>0</v>
          </cell>
          <cell r="BL599">
            <v>0</v>
          </cell>
          <cell r="BM599">
            <v>0</v>
          </cell>
          <cell r="BN599">
            <v>0</v>
          </cell>
          <cell r="BO599">
            <v>0</v>
          </cell>
          <cell r="BP599">
            <v>0</v>
          </cell>
          <cell r="BQ599">
            <v>0</v>
          </cell>
          <cell r="BR599">
            <v>0</v>
          </cell>
          <cell r="BS599">
            <v>0</v>
          </cell>
          <cell r="BT599">
            <v>0</v>
          </cell>
          <cell r="BU599">
            <v>0</v>
          </cell>
          <cell r="BV599">
            <v>0</v>
          </cell>
          <cell r="BW599">
            <v>0</v>
          </cell>
          <cell r="BX599">
            <v>0</v>
          </cell>
          <cell r="BY599">
            <v>0</v>
          </cell>
          <cell r="BZ599">
            <v>0</v>
          </cell>
          <cell r="CA599">
            <v>0</v>
          </cell>
          <cell r="CB599">
            <v>0</v>
          </cell>
          <cell r="CC599">
            <v>0</v>
          </cell>
          <cell r="CD599">
            <v>0</v>
          </cell>
        </row>
        <row r="600">
          <cell r="B600" t="str">
            <v>Earnings before tax</v>
          </cell>
          <cell r="AA600">
            <v>18.090038251544772</v>
          </cell>
          <cell r="AF600">
            <v>30.952573737790107</v>
          </cell>
          <cell r="AK600">
            <v>27.752596884747785</v>
          </cell>
          <cell r="AP600">
            <v>25.066048375012816</v>
          </cell>
          <cell r="AQ600">
            <v>20.609500401250848</v>
          </cell>
          <cell r="AR600">
            <v>18.219217813022293</v>
          </cell>
          <cell r="AS600">
            <v>19.087235074453478</v>
          </cell>
          <cell r="AT600">
            <v>17.850762216850889</v>
          </cell>
          <cell r="AU600">
            <v>18.978825045773132</v>
          </cell>
          <cell r="AV600">
            <v>16.174680669986937</v>
          </cell>
          <cell r="AW600">
            <v>15.841502490410962</v>
          </cell>
          <cell r="AX600">
            <v>15.586237300643589</v>
          </cell>
          <cell r="AY600">
            <v>15.291131581360034</v>
          </cell>
          <cell r="AZ600">
            <v>15.712983492088187</v>
          </cell>
          <cell r="BA600">
            <v>11.153108049099268</v>
          </cell>
          <cell r="BB600">
            <v>10.538862848797356</v>
          </cell>
          <cell r="BC600">
            <v>10.771082405916671</v>
          </cell>
          <cell r="BD600">
            <v>10.951291859441259</v>
          </cell>
          <cell r="BE600">
            <v>10.851532921046145</v>
          </cell>
          <cell r="BF600">
            <v>6.4882555384761824</v>
          </cell>
          <cell r="BG600">
            <v>5.6491289380965943</v>
          </cell>
          <cell r="BH600">
            <v>5.6166916710580805</v>
          </cell>
          <cell r="BI600">
            <v>5.5258805052297646</v>
          </cell>
          <cell r="BJ600">
            <v>5.8128230177826854</v>
          </cell>
          <cell r="BK600">
            <v>3.7989398890535164</v>
          </cell>
          <cell r="BL600">
            <v>4.2396588065564611</v>
          </cell>
          <cell r="BM600">
            <v>4.6841480622483074</v>
          </cell>
          <cell r="BN600">
            <v>5.0727720830375693</v>
          </cell>
          <cell r="BO600">
            <v>4.4485508427122458</v>
          </cell>
          <cell r="BP600">
            <v>3.3348437833391809</v>
          </cell>
          <cell r="BQ600">
            <v>3.6941406215649883</v>
          </cell>
          <cell r="BR600">
            <v>4.0531203174902455</v>
          </cell>
          <cell r="BS600">
            <v>4.3532247864007791</v>
          </cell>
          <cell r="BT600">
            <v>3.8643112247398252</v>
          </cell>
          <cell r="BU600">
            <v>2.6694445066471828</v>
          </cell>
          <cell r="BV600">
            <v>3.093815009479254</v>
          </cell>
          <cell r="BW600">
            <v>3.5199097936788086</v>
          </cell>
          <cell r="BX600">
            <v>3.888488589603265</v>
          </cell>
          <cell r="BY600">
            <v>3.2953641547481665</v>
          </cell>
          <cell r="BZ600">
            <v>2.1645019501005769</v>
          </cell>
          <cell r="CA600">
            <v>2.5619981060187911</v>
          </cell>
          <cell r="CB600">
            <v>2.9598579378911207</v>
          </cell>
          <cell r="CC600">
            <v>3.2992430998116604</v>
          </cell>
          <cell r="CD600">
            <v>2.7509335843719085</v>
          </cell>
        </row>
        <row r="602">
          <cell r="B602" t="str">
            <v>Suggested DD&amp;A/boe for convergence</v>
          </cell>
          <cell r="AA602">
            <v>11.14983489717854</v>
          </cell>
          <cell r="AF602">
            <v>12.936041162138487</v>
          </cell>
          <cell r="AK602">
            <v>14.403246484489356</v>
          </cell>
          <cell r="AP602">
            <v>15.323223002973164</v>
          </cell>
          <cell r="AU602">
            <v>16.740528396611943</v>
          </cell>
          <cell r="AZ602">
            <v>18.157833790250717</v>
          </cell>
          <cell r="BE602">
            <v>19.575139183889494</v>
          </cell>
          <cell r="BJ602">
            <v>20.992444577528268</v>
          </cell>
          <cell r="BO602">
            <v>22.409749971167042</v>
          </cell>
          <cell r="BT602">
            <v>23.827055364805819</v>
          </cell>
          <cell r="BY602">
            <v>25.244360758444596</v>
          </cell>
          <cell r="CD602">
            <v>26.661666152083377</v>
          </cell>
        </row>
        <row r="604">
          <cell r="A604" t="str">
            <v>As percent of revenue</v>
          </cell>
        </row>
        <row r="605">
          <cell r="B605" t="str">
            <v>Production cost excluding taxes</v>
          </cell>
          <cell r="AA605">
            <v>0.14055080721747387</v>
          </cell>
          <cell r="AF605">
            <v>0.13324269204622705</v>
          </cell>
          <cell r="AK605">
            <v>0.1943351691581432</v>
          </cell>
          <cell r="AP605">
            <v>0.25815405968077726</v>
          </cell>
          <cell r="AQ605">
            <v>0.26768936252111125</v>
          </cell>
          <cell r="AR605">
            <v>0.27765040158769477</v>
          </cell>
          <cell r="AS605">
            <v>0.27228475252278417</v>
          </cell>
          <cell r="AT605">
            <v>0.27633472706121009</v>
          </cell>
          <cell r="AU605">
            <v>0.27329955837328113</v>
          </cell>
          <cell r="AV605">
            <v>0.28761087005971153</v>
          </cell>
          <cell r="AW605">
            <v>0.29065372345776097</v>
          </cell>
          <cell r="AX605">
            <v>0.29325535538356851</v>
          </cell>
          <cell r="AY605">
            <v>0.29572173071256508</v>
          </cell>
          <cell r="AZ605">
            <v>0.29192636547642514</v>
          </cell>
          <cell r="BA605">
            <v>0.31434726996220652</v>
          </cell>
          <cell r="BB605">
            <v>0.31757996535813066</v>
          </cell>
          <cell r="BC605">
            <v>0.3158894300086928</v>
          </cell>
          <cell r="BD605">
            <v>0.31414262222521383</v>
          </cell>
          <cell r="BE605">
            <v>0.31549070408959712</v>
          </cell>
          <cell r="BF605">
            <v>0.33751054514048007</v>
          </cell>
          <cell r="BG605">
            <v>0.34390933826375769</v>
          </cell>
          <cell r="BH605">
            <v>0.34501045830867033</v>
          </cell>
          <cell r="BI605">
            <v>0.3460904194520808</v>
          </cell>
          <cell r="BJ605">
            <v>0.34316988578408952</v>
          </cell>
          <cell r="BK605">
            <v>0.35244549752257465</v>
          </cell>
          <cell r="BL605">
            <v>0.34957844661301335</v>
          </cell>
          <cell r="BM605">
            <v>0.34672567250242159</v>
          </cell>
          <cell r="BN605">
            <v>0.34388701834693031</v>
          </cell>
          <cell r="BO605">
            <v>0.34813026462800384</v>
          </cell>
          <cell r="BP605">
            <v>0.35069465902442565</v>
          </cell>
          <cell r="BQ605">
            <v>0.34891120410611687</v>
          </cell>
          <cell r="BR605">
            <v>0.34713386562789839</v>
          </cell>
          <cell r="BS605">
            <v>0.34536267864905951</v>
          </cell>
          <cell r="BT605">
            <v>0.34798690290172168</v>
          </cell>
          <cell r="BU605">
            <v>0.3515447119851714</v>
          </cell>
          <cell r="BV605">
            <v>0.34910859766576247</v>
          </cell>
          <cell r="BW605">
            <v>0.34668829756230612</v>
          </cell>
          <cell r="BX605">
            <v>0.34428370728162022</v>
          </cell>
          <cell r="BY605">
            <v>0.34787053943269575</v>
          </cell>
          <cell r="BZ605">
            <v>0.35083538224154903</v>
          </cell>
          <cell r="CA605">
            <v>0.34879174828546078</v>
          </cell>
          <cell r="CB605">
            <v>0.34675983167433</v>
          </cell>
          <cell r="CC605">
            <v>0.34473956635878333</v>
          </cell>
          <cell r="CD605">
            <v>0.34774307592915871</v>
          </cell>
        </row>
        <row r="606">
          <cell r="B606" t="str">
            <v>Taxes other than income tax</v>
          </cell>
          <cell r="AA606">
            <v>6.8376068376068383E-2</v>
          </cell>
          <cell r="AF606">
            <v>9.4493541808293682E-2</v>
          </cell>
          <cell r="AK606">
            <v>5.8221872541306056E-2</v>
          </cell>
          <cell r="AP606">
            <v>7.7029840388619014E-2</v>
          </cell>
          <cell r="AQ606">
            <v>0.08</v>
          </cell>
          <cell r="AR606">
            <v>0.08</v>
          </cell>
          <cell r="AS606">
            <v>0.08</v>
          </cell>
          <cell r="AT606">
            <v>0.08</v>
          </cell>
          <cell r="AU606">
            <v>0.08</v>
          </cell>
          <cell r="AV606">
            <v>0.08</v>
          </cell>
          <cell r="AW606">
            <v>0.08</v>
          </cell>
          <cell r="AX606">
            <v>0.08</v>
          </cell>
          <cell r="AY606">
            <v>0.08</v>
          </cell>
          <cell r="AZ606">
            <v>0.08</v>
          </cell>
          <cell r="BA606">
            <v>0.08</v>
          </cell>
          <cell r="BB606">
            <v>0.08</v>
          </cell>
          <cell r="BC606">
            <v>0.08</v>
          </cell>
          <cell r="BD606">
            <v>0.08</v>
          </cell>
          <cell r="BE606">
            <v>0.08</v>
          </cell>
          <cell r="BF606">
            <v>0.08</v>
          </cell>
          <cell r="BG606">
            <v>0.08</v>
          </cell>
          <cell r="BH606">
            <v>0.08</v>
          </cell>
          <cell r="BI606">
            <v>0.08</v>
          </cell>
          <cell r="BJ606">
            <v>0.08</v>
          </cell>
          <cell r="BK606">
            <v>0.08</v>
          </cell>
          <cell r="BL606">
            <v>0.08</v>
          </cell>
          <cell r="BM606">
            <v>0.08</v>
          </cell>
          <cell r="BN606">
            <v>0.08</v>
          </cell>
          <cell r="BO606">
            <v>0.08</v>
          </cell>
          <cell r="BP606">
            <v>0.08</v>
          </cell>
          <cell r="BQ606">
            <v>0.08</v>
          </cell>
          <cell r="BR606">
            <v>0.08</v>
          </cell>
          <cell r="BS606">
            <v>0.08</v>
          </cell>
          <cell r="BT606">
            <v>0.08</v>
          </cell>
          <cell r="BU606">
            <v>0.08</v>
          </cell>
          <cell r="BV606">
            <v>0.08</v>
          </cell>
          <cell r="BW606">
            <v>0.08</v>
          </cell>
          <cell r="BX606">
            <v>0.08</v>
          </cell>
          <cell r="BY606">
            <v>0.08</v>
          </cell>
          <cell r="BZ606">
            <v>0.08</v>
          </cell>
          <cell r="CA606">
            <v>0.08</v>
          </cell>
          <cell r="CB606">
            <v>0.08</v>
          </cell>
          <cell r="CC606">
            <v>0.08</v>
          </cell>
          <cell r="CD606">
            <v>0.08</v>
          </cell>
        </row>
        <row r="607">
          <cell r="B607" t="str">
            <v>Exploration expense</v>
          </cell>
          <cell r="AA607">
            <v>8.7369420702754039E-2</v>
          </cell>
          <cell r="AF607">
            <v>7.5458871515975523E-2</v>
          </cell>
          <cell r="AK607">
            <v>7.0023603461841069E-2</v>
          </cell>
          <cell r="AP607">
            <v>0.10756419153365718</v>
          </cell>
          <cell r="AQ607">
            <v>7.9052888216243677E-2</v>
          </cell>
          <cell r="AR607">
            <v>8.5812067535497583E-2</v>
          </cell>
          <cell r="AS607">
            <v>8.8381658302933555E-2</v>
          </cell>
          <cell r="AT607">
            <v>9.5602741941706038E-2</v>
          </cell>
          <cell r="AU607">
            <v>8.680998708482679E-2</v>
          </cell>
          <cell r="AV607">
            <v>9.318962076412679E-2</v>
          </cell>
          <cell r="AW607">
            <v>8.9730161893337698E-2</v>
          </cell>
          <cell r="AX607">
            <v>8.6386116679052133E-2</v>
          </cell>
          <cell r="AY607">
            <v>8.4140546881530706E-2</v>
          </cell>
          <cell r="AZ607">
            <v>8.8229823901687376E-2</v>
          </cell>
          <cell r="BA607">
            <v>9.1061717791686217E-2</v>
          </cell>
          <cell r="BB607">
            <v>9.2929303388365636E-2</v>
          </cell>
          <cell r="BC607">
            <v>9.3424003224663918E-2</v>
          </cell>
          <cell r="BD607">
            <v>9.4978894123891308E-2</v>
          </cell>
          <cell r="BE607">
            <v>9.307742763910519E-2</v>
          </cell>
          <cell r="BF607">
            <v>0.10042402393250691</v>
          </cell>
          <cell r="BG607">
            <v>9.9884851347937412E-2</v>
          </cell>
          <cell r="BH607">
            <v>9.7840685372655084E-2</v>
          </cell>
          <cell r="BI607">
            <v>9.6900641898624462E-2</v>
          </cell>
          <cell r="BJ607">
            <v>9.8741415096357435E-2</v>
          </cell>
          <cell r="BK607">
            <v>9.9168117029282854E-2</v>
          </cell>
          <cell r="BL607">
            <v>9.80331678081173E-2</v>
          </cell>
          <cell r="BM607">
            <v>9.6926185384359237E-2</v>
          </cell>
          <cell r="BN607">
            <v>9.6888108327646952E-2</v>
          </cell>
          <cell r="BO607">
            <v>9.774495332686868E-2</v>
          </cell>
          <cell r="BP607">
            <v>9.8075913908398038E-2</v>
          </cell>
          <cell r="BQ607">
            <v>9.605409269934935E-2</v>
          </cell>
          <cell r="BR607">
            <v>9.4086565058430632E-2</v>
          </cell>
          <cell r="BS607">
            <v>9.3173310465804363E-2</v>
          </cell>
          <cell r="BT607">
            <v>9.5310301537241404E-2</v>
          </cell>
          <cell r="BU607">
            <v>9.4847464717516011E-2</v>
          </cell>
          <cell r="BV607">
            <v>9.3415247362660783E-2</v>
          </cell>
          <cell r="BW607">
            <v>9.2016202561769067E-2</v>
          </cell>
          <cell r="BX607">
            <v>9.1634567655473148E-2</v>
          </cell>
          <cell r="BY607">
            <v>9.2961212833219065E-2</v>
          </cell>
          <cell r="BZ607">
            <v>9.2968676642573245E-2</v>
          </cell>
          <cell r="CA607">
            <v>9.1257960074648717E-2</v>
          </cell>
          <cell r="CB607">
            <v>8.9589745372213217E-2</v>
          </cell>
          <cell r="CC607">
            <v>8.8918733687126592E-2</v>
          </cell>
          <cell r="CD607">
            <v>9.0656745765332433E-2</v>
          </cell>
        </row>
        <row r="608">
          <cell r="B608" t="str">
            <v>DD&amp;A</v>
          </cell>
          <cell r="AA608">
            <v>0.27920227920227919</v>
          </cell>
          <cell r="AF608">
            <v>0.20598232494901428</v>
          </cell>
          <cell r="AK608">
            <v>0.19354838709677419</v>
          </cell>
          <cell r="AP608">
            <v>0.23247744621790423</v>
          </cell>
          <cell r="AQ608">
            <v>0.25693789105346793</v>
          </cell>
          <cell r="AR608">
            <v>0.26649885509912485</v>
          </cell>
          <cell r="AS608">
            <v>0.26134871188130304</v>
          </cell>
          <cell r="AT608">
            <v>0.26523602330422641</v>
          </cell>
          <cell r="AU608">
            <v>0.2623227590851207</v>
          </cell>
          <cell r="AV608">
            <v>0.28517267730986168</v>
          </cell>
          <cell r="AW608">
            <v>0.28818973521870578</v>
          </cell>
          <cell r="AX608">
            <v>0.29076931206676893</v>
          </cell>
          <cell r="AY608">
            <v>0.29321477894246428</v>
          </cell>
          <cell r="AZ608">
            <v>0.28945158854032793</v>
          </cell>
          <cell r="BA608">
            <v>0.32781533587382461</v>
          </cell>
          <cell r="BB608">
            <v>0.33118653463473657</v>
          </cell>
          <cell r="BC608">
            <v>0.32942356906659537</v>
          </cell>
          <cell r="BD608">
            <v>0.32760192009755229</v>
          </cell>
          <cell r="BE608">
            <v>0.32900775991671594</v>
          </cell>
          <cell r="BF608">
            <v>0.36824869085427647</v>
          </cell>
          <cell r="BG608">
            <v>0.37523024217058742</v>
          </cell>
          <cell r="BH608">
            <v>0.3764316446774148</v>
          </cell>
          <cell r="BI608">
            <v>0.37760996127510471</v>
          </cell>
          <cell r="BJ608">
            <v>0.37442344543043388</v>
          </cell>
          <cell r="BK608">
            <v>0.40049395234070717</v>
          </cell>
          <cell r="BL608">
            <v>0.39723603995878293</v>
          </cell>
          <cell r="BM608">
            <v>0.39399435071401412</v>
          </cell>
          <cell r="BN608">
            <v>0.39076870638020256</v>
          </cell>
          <cell r="BO608">
            <v>0.39559042913111747</v>
          </cell>
          <cell r="BP608">
            <v>0.41337351217660145</v>
          </cell>
          <cell r="BQ608">
            <v>0.41127130444569165</v>
          </cell>
          <cell r="BR608">
            <v>0.40917630633219992</v>
          </cell>
          <cell r="BS608">
            <v>0.40708855916148218</v>
          </cell>
          <cell r="BT608">
            <v>0.41018180500411822</v>
          </cell>
          <cell r="BU608">
            <v>0.42831590447078116</v>
          </cell>
          <cell r="BV608">
            <v>0.42534778555862446</v>
          </cell>
          <cell r="BW608">
            <v>0.42239893440950993</v>
          </cell>
          <cell r="BX608">
            <v>0.4194692238326172</v>
          </cell>
          <cell r="BY608">
            <v>0.42383935714595122</v>
          </cell>
          <cell r="BZ608">
            <v>0.44043929668358478</v>
          </cell>
          <cell r="CA608">
            <v>0.43787371536579595</v>
          </cell>
          <cell r="CB608">
            <v>0.43532284402149712</v>
          </cell>
          <cell r="CC608">
            <v>0.43278659973219963</v>
          </cell>
          <cell r="CD608">
            <v>0.43655721042233736</v>
          </cell>
        </row>
        <row r="609">
          <cell r="B609" t="str">
            <v>Other income/(cost)</v>
          </cell>
          <cell r="AA609">
            <v>-2.8490028490028491E-2</v>
          </cell>
          <cell r="AF609">
            <v>-2.0394289598912306E-3</v>
          </cell>
          <cell r="AK609">
            <v>0.11093627065302911</v>
          </cell>
          <cell r="AP609">
            <v>-5.5517002081887576E-2</v>
          </cell>
          <cell r="AQ609">
            <v>0</v>
          </cell>
          <cell r="AR609">
            <v>0</v>
          </cell>
          <cell r="AS609">
            <v>0</v>
          </cell>
          <cell r="AT609">
            <v>0</v>
          </cell>
          <cell r="AU609">
            <v>0</v>
          </cell>
          <cell r="AV609">
            <v>0</v>
          </cell>
          <cell r="AW609">
            <v>0</v>
          </cell>
          <cell r="AX609">
            <v>0</v>
          </cell>
          <cell r="AY609">
            <v>0</v>
          </cell>
          <cell r="AZ609">
            <v>0</v>
          </cell>
          <cell r="BA609">
            <v>0</v>
          </cell>
          <cell r="BB609">
            <v>0</v>
          </cell>
          <cell r="BC609">
            <v>0</v>
          </cell>
          <cell r="BD609">
            <v>0</v>
          </cell>
          <cell r="BE609">
            <v>0</v>
          </cell>
          <cell r="BF609">
            <v>0</v>
          </cell>
          <cell r="BG609">
            <v>0</v>
          </cell>
          <cell r="BH609">
            <v>0</v>
          </cell>
          <cell r="BI609">
            <v>0</v>
          </cell>
          <cell r="BJ609">
            <v>0</v>
          </cell>
          <cell r="BK609">
            <v>0</v>
          </cell>
          <cell r="BL609">
            <v>0</v>
          </cell>
          <cell r="BM609">
            <v>0</v>
          </cell>
          <cell r="BN609">
            <v>0</v>
          </cell>
          <cell r="BO609">
            <v>0</v>
          </cell>
          <cell r="BP609">
            <v>0</v>
          </cell>
          <cell r="BQ609">
            <v>0</v>
          </cell>
          <cell r="BR609">
            <v>0</v>
          </cell>
          <cell r="BS609">
            <v>0</v>
          </cell>
          <cell r="BT609">
            <v>0</v>
          </cell>
          <cell r="BU609">
            <v>0</v>
          </cell>
          <cell r="BV609">
            <v>0</v>
          </cell>
          <cell r="BW609">
            <v>0</v>
          </cell>
          <cell r="BX609">
            <v>0</v>
          </cell>
          <cell r="BY609">
            <v>0</v>
          </cell>
          <cell r="BZ609">
            <v>0</v>
          </cell>
          <cell r="CA609">
            <v>0</v>
          </cell>
          <cell r="CB609">
            <v>0</v>
          </cell>
          <cell r="CC609">
            <v>0</v>
          </cell>
          <cell r="CD609">
            <v>0</v>
          </cell>
        </row>
        <row r="611">
          <cell r="A611" t="str">
            <v>Effective tax rate</v>
          </cell>
          <cell r="AA611">
            <v>0.40670859538784065</v>
          </cell>
          <cell r="AF611">
            <v>0.28551724137931034</v>
          </cell>
          <cell r="AK611">
            <v>0.36708860759493672</v>
          </cell>
          <cell r="AP611">
            <v>0.24817518248175183</v>
          </cell>
          <cell r="AQ611">
            <v>0.35</v>
          </cell>
          <cell r="AR611">
            <v>0.35</v>
          </cell>
          <cell r="AS611">
            <v>0.35</v>
          </cell>
          <cell r="AT611">
            <v>0.35</v>
          </cell>
          <cell r="AU611">
            <v>0.35</v>
          </cell>
          <cell r="AV611">
            <v>0.35</v>
          </cell>
          <cell r="AW611">
            <v>0.35</v>
          </cell>
          <cell r="AX611">
            <v>0.35</v>
          </cell>
          <cell r="AY611">
            <v>0.35</v>
          </cell>
          <cell r="AZ611">
            <v>0.35</v>
          </cell>
          <cell r="BA611">
            <v>0.35</v>
          </cell>
          <cell r="BB611">
            <v>0.35</v>
          </cell>
          <cell r="BC611">
            <v>0.35</v>
          </cell>
          <cell r="BD611">
            <v>0.35</v>
          </cell>
          <cell r="BE611">
            <v>0.35</v>
          </cell>
          <cell r="BF611">
            <v>0.35</v>
          </cell>
          <cell r="BG611">
            <v>0.35</v>
          </cell>
          <cell r="BH611">
            <v>0.35</v>
          </cell>
          <cell r="BI611">
            <v>0.35</v>
          </cell>
          <cell r="BJ611">
            <v>0.35</v>
          </cell>
          <cell r="BK611">
            <v>0.35</v>
          </cell>
          <cell r="BL611">
            <v>0.35</v>
          </cell>
          <cell r="BM611">
            <v>0.35</v>
          </cell>
          <cell r="BN611">
            <v>0.35</v>
          </cell>
          <cell r="BO611">
            <v>0.35</v>
          </cell>
          <cell r="BP611">
            <v>0.35</v>
          </cell>
          <cell r="BQ611">
            <v>0.35</v>
          </cell>
          <cell r="BR611">
            <v>0.35</v>
          </cell>
          <cell r="BS611">
            <v>0.35</v>
          </cell>
          <cell r="BT611">
            <v>0.35</v>
          </cell>
          <cell r="BU611">
            <v>0.35</v>
          </cell>
          <cell r="BV611">
            <v>0.35</v>
          </cell>
          <cell r="BW611">
            <v>0.35</v>
          </cell>
          <cell r="BX611">
            <v>0.35</v>
          </cell>
          <cell r="BY611">
            <v>0.35</v>
          </cell>
          <cell r="BZ611">
            <v>0.35</v>
          </cell>
          <cell r="CA611">
            <v>0.35</v>
          </cell>
          <cell r="CB611">
            <v>0.35</v>
          </cell>
          <cell r="CC611">
            <v>0.35</v>
          </cell>
          <cell r="CD611">
            <v>0.35</v>
          </cell>
        </row>
        <row r="615">
          <cell r="A615" t="str">
            <v>USA</v>
          </cell>
        </row>
        <row r="616">
          <cell r="C616">
            <v>2001</v>
          </cell>
          <cell r="D616">
            <v>2002</v>
          </cell>
          <cell r="E616">
            <v>2003</v>
          </cell>
          <cell r="F616">
            <v>2004</v>
          </cell>
          <cell r="G616">
            <v>2005</v>
          </cell>
          <cell r="H616" t="str">
            <v>1Q06</v>
          </cell>
          <cell r="I616" t="str">
            <v>2Q06</v>
          </cell>
          <cell r="J616" t="str">
            <v>3Q06</v>
          </cell>
          <cell r="K616" t="str">
            <v>4Q06</v>
          </cell>
          <cell r="L616">
            <v>2006</v>
          </cell>
          <cell r="M616" t="str">
            <v>1Q07</v>
          </cell>
          <cell r="N616" t="str">
            <v>2Q07</v>
          </cell>
          <cell r="O616" t="str">
            <v>3Q07</v>
          </cell>
          <cell r="P616" t="str">
            <v>4Q07</v>
          </cell>
          <cell r="Q616">
            <v>2007</v>
          </cell>
          <cell r="R616" t="str">
            <v>1Q08</v>
          </cell>
          <cell r="S616" t="str">
            <v>2Q08</v>
          </cell>
          <cell r="T616" t="str">
            <v>3Q08</v>
          </cell>
          <cell r="U616" t="str">
            <v>4Q08</v>
          </cell>
          <cell r="V616">
            <v>2008</v>
          </cell>
          <cell r="W616" t="str">
            <v>1Q09</v>
          </cell>
          <cell r="X616" t="str">
            <v>2Q09</v>
          </cell>
          <cell r="Y616" t="str">
            <v>3Q09</v>
          </cell>
          <cell r="Z616" t="str">
            <v>4Q09</v>
          </cell>
          <cell r="AA616">
            <v>2009</v>
          </cell>
          <cell r="AB616" t="str">
            <v>1Q10</v>
          </cell>
          <cell r="AC616" t="str">
            <v>2Q10</v>
          </cell>
          <cell r="AD616" t="str">
            <v>3Q10</v>
          </cell>
          <cell r="AE616" t="str">
            <v>4Q10</v>
          </cell>
          <cell r="AF616">
            <v>2010</v>
          </cell>
          <cell r="AG616" t="str">
            <v>1Q11</v>
          </cell>
          <cell r="AH616" t="str">
            <v>2Q11</v>
          </cell>
          <cell r="AI616" t="str">
            <v>3Q11</v>
          </cell>
          <cell r="AJ616" t="str">
            <v>4Q11</v>
          </cell>
          <cell r="AK616">
            <v>2011</v>
          </cell>
          <cell r="AL616" t="str">
            <v>1Q12</v>
          </cell>
          <cell r="AM616" t="str">
            <v>2Q12</v>
          </cell>
          <cell r="AN616" t="str">
            <v>3Q12</v>
          </cell>
          <cell r="AO616" t="str">
            <v>4Q12</v>
          </cell>
          <cell r="AP616">
            <v>2012</v>
          </cell>
          <cell r="AQ616" t="str">
            <v>1Q13</v>
          </cell>
          <cell r="AR616" t="str">
            <v>2Q13</v>
          </cell>
          <cell r="AS616" t="str">
            <v>3Q13</v>
          </cell>
          <cell r="AT616" t="str">
            <v>4Q13</v>
          </cell>
          <cell r="AU616">
            <v>2013</v>
          </cell>
          <cell r="AV616" t="str">
            <v>1Q14</v>
          </cell>
          <cell r="AW616" t="str">
            <v>2Q14</v>
          </cell>
          <cell r="AX616" t="str">
            <v>3Q14</v>
          </cell>
          <cell r="AY616" t="str">
            <v>4Q14</v>
          </cell>
          <cell r="AZ616">
            <v>2014</v>
          </cell>
          <cell r="BA616" t="str">
            <v>1Q15</v>
          </cell>
          <cell r="BB616" t="str">
            <v>2Q15</v>
          </cell>
          <cell r="BC616" t="str">
            <v>3Q15</v>
          </cell>
          <cell r="BD616" t="str">
            <v>4Q15</v>
          </cell>
          <cell r="BE616">
            <v>2015</v>
          </cell>
          <cell r="BF616" t="str">
            <v>1Q16</v>
          </cell>
          <cell r="BG616" t="str">
            <v>2Q16</v>
          </cell>
          <cell r="BH616" t="str">
            <v>3Q16</v>
          </cell>
          <cell r="BI616" t="str">
            <v>4Q16</v>
          </cell>
          <cell r="BJ616">
            <v>2016</v>
          </cell>
          <cell r="BK616" t="str">
            <v>1Q17</v>
          </cell>
          <cell r="BL616" t="str">
            <v>2Q17</v>
          </cell>
          <cell r="BM616" t="str">
            <v>3Q17</v>
          </cell>
          <cell r="BN616" t="str">
            <v>4Q17</v>
          </cell>
          <cell r="BO616">
            <v>2017</v>
          </cell>
          <cell r="BP616" t="str">
            <v>1Q18</v>
          </cell>
          <cell r="BQ616" t="str">
            <v>2Q18</v>
          </cell>
          <cell r="BR616" t="str">
            <v>3Q18</v>
          </cell>
          <cell r="BS616" t="str">
            <v>4Q18</v>
          </cell>
          <cell r="BT616">
            <v>2018</v>
          </cell>
          <cell r="BU616" t="str">
            <v>1Q19</v>
          </cell>
          <cell r="BV616" t="str">
            <v>2Q19</v>
          </cell>
          <cell r="BW616" t="str">
            <v>3Q19</v>
          </cell>
          <cell r="BX616" t="str">
            <v>4Q19</v>
          </cell>
          <cell r="BY616">
            <v>2019</v>
          </cell>
          <cell r="BZ616" t="str">
            <v>1Q20</v>
          </cell>
          <cell r="CA616" t="str">
            <v>2Q20</v>
          </cell>
          <cell r="CB616" t="str">
            <v>3Q20</v>
          </cell>
          <cell r="CC616" t="str">
            <v>4Q20</v>
          </cell>
          <cell r="CD616">
            <v>2020</v>
          </cell>
        </row>
        <row r="617">
          <cell r="A617" t="str">
            <v>Third parties</v>
          </cell>
          <cell r="AA617">
            <v>1613</v>
          </cell>
          <cell r="AF617">
            <v>2023</v>
          </cell>
          <cell r="AK617">
            <v>2807</v>
          </cell>
          <cell r="AP617">
            <v>2715</v>
          </cell>
        </row>
        <row r="618">
          <cell r="A618" t="str">
            <v>Sales between businesses</v>
          </cell>
          <cell r="AA618">
            <v>0</v>
          </cell>
          <cell r="AF618">
            <v>0</v>
          </cell>
          <cell r="AK618">
            <v>0</v>
          </cell>
          <cell r="AP618">
            <v>0</v>
          </cell>
        </row>
        <row r="619">
          <cell r="A619" t="str">
            <v>Revenue</v>
          </cell>
          <cell r="AA619">
            <v>1613</v>
          </cell>
          <cell r="AF619">
            <v>2023</v>
          </cell>
          <cell r="AK619">
            <v>2807</v>
          </cell>
          <cell r="AP619">
            <v>2715</v>
          </cell>
          <cell r="AQ619">
            <v>699.44778499749123</v>
          </cell>
          <cell r="AR619">
            <v>673.27963866592518</v>
          </cell>
          <cell r="AS619">
            <v>700.66731948392226</v>
          </cell>
          <cell r="AT619">
            <v>633.00628391132284</v>
          </cell>
          <cell r="AU619">
            <v>2706.4010270586614</v>
          </cell>
          <cell r="AV619">
            <v>653.11632549260014</v>
          </cell>
          <cell r="AW619">
            <v>651.72518843248417</v>
          </cell>
          <cell r="AX619">
            <v>658.81052758508747</v>
          </cell>
          <cell r="AY619">
            <v>658.73405148019117</v>
          </cell>
          <cell r="AZ619">
            <v>2622.3860929903626</v>
          </cell>
          <cell r="BA619">
            <v>596.44328637367244</v>
          </cell>
          <cell r="BB619">
            <v>595.30119211171723</v>
          </cell>
          <cell r="BC619">
            <v>601.90470238669946</v>
          </cell>
          <cell r="BD619">
            <v>601.96644131979463</v>
          </cell>
          <cell r="BE619">
            <v>2395.6156221918836</v>
          </cell>
          <cell r="BF619">
            <v>559.02129022684494</v>
          </cell>
          <cell r="BG619">
            <v>557.91543960615058</v>
          </cell>
          <cell r="BH619">
            <v>564.06568216057883</v>
          </cell>
          <cell r="BI619">
            <v>564.08498581823631</v>
          </cell>
          <cell r="BJ619">
            <v>2245.0873978118107</v>
          </cell>
          <cell r="BK619">
            <v>563.01533893528403</v>
          </cell>
          <cell r="BL619">
            <v>565.83580823383204</v>
          </cell>
          <cell r="BM619">
            <v>576.07493324731263</v>
          </cell>
          <cell r="BN619">
            <v>580.12078296982531</v>
          </cell>
          <cell r="BO619">
            <v>2285.0468633862542</v>
          </cell>
          <cell r="BP619">
            <v>579.03347542296603</v>
          </cell>
          <cell r="BQ619">
            <v>581.94396901333698</v>
          </cell>
          <cell r="BR619">
            <v>592.48616516862853</v>
          </cell>
          <cell r="BS619">
            <v>596.65899550546681</v>
          </cell>
          <cell r="BT619">
            <v>2350.1226051103986</v>
          </cell>
          <cell r="BU619">
            <v>595.51820113239967</v>
          </cell>
          <cell r="BV619">
            <v>598.48775827994473</v>
          </cell>
          <cell r="BW619">
            <v>609.30623691906351</v>
          </cell>
          <cell r="BX619">
            <v>613.57408331959232</v>
          </cell>
          <cell r="BY619">
            <v>2416.8862796510002</v>
          </cell>
          <cell r="BZ619">
            <v>612.39786872656509</v>
          </cell>
          <cell r="CA619">
            <v>615.44681449935865</v>
          </cell>
          <cell r="CB619">
            <v>626.56797818550297</v>
          </cell>
          <cell r="CC619">
            <v>630.95292387668212</v>
          </cell>
          <cell r="CD619">
            <v>2485.3655852881088</v>
          </cell>
        </row>
        <row r="621">
          <cell r="A621" t="str">
            <v>Production cost excluding taxes</v>
          </cell>
          <cell r="AA621">
            <v>-454</v>
          </cell>
          <cell r="AF621">
            <v>-449</v>
          </cell>
          <cell r="AK621">
            <v>-457</v>
          </cell>
          <cell r="AP621">
            <v>-453</v>
          </cell>
          <cell r="AQ621">
            <v>-129.97588943604453</v>
          </cell>
          <cell r="AR621">
            <v>-129.78301724464038</v>
          </cell>
          <cell r="AS621">
            <v>-131.2787721244178</v>
          </cell>
          <cell r="AT621">
            <v>-131.34834000150684</v>
          </cell>
          <cell r="AU621">
            <v>-522.38601880660951</v>
          </cell>
          <cell r="AV621">
            <v>-136.63195148811727</v>
          </cell>
          <cell r="AW621">
            <v>-136.30118894358029</v>
          </cell>
          <cell r="AX621">
            <v>-137.74062780925377</v>
          </cell>
          <cell r="AY621">
            <v>-137.68225141181097</v>
          </cell>
          <cell r="AZ621">
            <v>-548.35601965276226</v>
          </cell>
          <cell r="BA621">
            <v>-139.91972693368936</v>
          </cell>
          <cell r="BB621">
            <v>-139.68656869343374</v>
          </cell>
          <cell r="BC621">
            <v>-141.27022504918156</v>
          </cell>
          <cell r="BD621">
            <v>-141.31886416654001</v>
          </cell>
          <cell r="BE621">
            <v>-562.19538484284476</v>
          </cell>
          <cell r="BF621">
            <v>-143.5793183024528</v>
          </cell>
          <cell r="BG621">
            <v>-143.30826760429042</v>
          </cell>
          <cell r="BH621">
            <v>-144.89870771236343</v>
          </cell>
          <cell r="BI621">
            <v>-144.91433169291676</v>
          </cell>
          <cell r="BJ621">
            <v>-576.70062531202336</v>
          </cell>
          <cell r="BK621">
            <v>-147.18756164592287</v>
          </cell>
          <cell r="BL621">
            <v>-146.86554992950113</v>
          </cell>
          <cell r="BM621">
            <v>-148.45059061475558</v>
          </cell>
          <cell r="BN621">
            <v>-148.42172415792757</v>
          </cell>
          <cell r="BO621">
            <v>-590.92542634810718</v>
          </cell>
          <cell r="BP621">
            <v>-150.772254404362</v>
          </cell>
          <cell r="BQ621">
            <v>-150.46215111688727</v>
          </cell>
          <cell r="BR621">
            <v>-152.10723839247362</v>
          </cell>
          <cell r="BS621">
            <v>-152.09889543600625</v>
          </cell>
          <cell r="BT621">
            <v>-605.44053934972919</v>
          </cell>
          <cell r="BU621">
            <v>-154.50101952580656</v>
          </cell>
          <cell r="BV621">
            <v>-154.17555581691329</v>
          </cell>
          <cell r="BW621">
            <v>-155.85400513008011</v>
          </cell>
          <cell r="BX621">
            <v>-155.83821756613804</v>
          </cell>
          <cell r="BY621">
            <v>-620.36879803893794</v>
          </cell>
          <cell r="BZ621">
            <v>-158.30870286586008</v>
          </cell>
          <cell r="CA621">
            <v>-157.98306713769415</v>
          </cell>
          <cell r="CB621">
            <v>-159.71163069517618</v>
          </cell>
          <cell r="CC621">
            <v>-159.70411659180442</v>
          </cell>
          <cell r="CD621">
            <v>-635.70751729053484</v>
          </cell>
        </row>
        <row r="622">
          <cell r="A622" t="str">
            <v>Taxes other than income tax</v>
          </cell>
          <cell r="AA622">
            <v>-3</v>
          </cell>
          <cell r="AF622">
            <v>-35</v>
          </cell>
          <cell r="AK622">
            <v>-127</v>
          </cell>
          <cell r="AP622">
            <v>-157</v>
          </cell>
          <cell r="AQ622">
            <v>-13.988955699949825</v>
          </cell>
          <cell r="AR622">
            <v>-13.465592773318503</v>
          </cell>
          <cell r="AS622">
            <v>-14.013346389678446</v>
          </cell>
          <cell r="AT622">
            <v>-12.660125678226457</v>
          </cell>
          <cell r="AU622">
            <v>-54.128020541173235</v>
          </cell>
          <cell r="AV622">
            <v>-13.062326509852003</v>
          </cell>
          <cell r="AW622">
            <v>-13.034503768649683</v>
          </cell>
          <cell r="AX622">
            <v>-13.17621055170175</v>
          </cell>
          <cell r="AY622">
            <v>-13.174681029603823</v>
          </cell>
          <cell r="AZ622">
            <v>-52.44772185980726</v>
          </cell>
          <cell r="BA622">
            <v>-11.928865727473449</v>
          </cell>
          <cell r="BB622">
            <v>-11.906023842234346</v>
          </cell>
          <cell r="BC622">
            <v>-12.03809404773399</v>
          </cell>
          <cell r="BD622">
            <v>-12.039328826395893</v>
          </cell>
          <cell r="BE622">
            <v>-47.912312443837678</v>
          </cell>
          <cell r="BF622">
            <v>-11.180425804536899</v>
          </cell>
          <cell r="BG622">
            <v>-11.158308792123012</v>
          </cell>
          <cell r="BH622">
            <v>-11.281313643211577</v>
          </cell>
          <cell r="BI622">
            <v>-11.281699716364725</v>
          </cell>
          <cell r="BJ622">
            <v>-44.901747956236214</v>
          </cell>
          <cell r="BK622">
            <v>-11.260306778705681</v>
          </cell>
          <cell r="BL622">
            <v>-11.316716164676642</v>
          </cell>
          <cell r="BM622">
            <v>-11.521498664946252</v>
          </cell>
          <cell r="BN622">
            <v>-11.602415659396506</v>
          </cell>
          <cell r="BO622">
            <v>-45.700937267725081</v>
          </cell>
          <cell r="BP622">
            <v>-11.580669508459321</v>
          </cell>
          <cell r="BQ622">
            <v>-11.63887938026674</v>
          </cell>
          <cell r="BR622">
            <v>-11.849723303372571</v>
          </cell>
          <cell r="BS622">
            <v>-11.933179910109336</v>
          </cell>
          <cell r="BT622">
            <v>-47.002452102207968</v>
          </cell>
          <cell r="BU622">
            <v>-11.910364022647993</v>
          </cell>
          <cell r="BV622">
            <v>-11.969755165598896</v>
          </cell>
          <cell r="BW622">
            <v>-12.18612473838127</v>
          </cell>
          <cell r="BX622">
            <v>-12.271481666391846</v>
          </cell>
          <cell r="BY622">
            <v>-48.337725593020011</v>
          </cell>
          <cell r="BZ622">
            <v>-12.247957374531302</v>
          </cell>
          <cell r="CA622">
            <v>-12.308936289987173</v>
          </cell>
          <cell r="CB622">
            <v>-12.53135956371006</v>
          </cell>
          <cell r="CC622">
            <v>-12.619058477533642</v>
          </cell>
          <cell r="CD622">
            <v>-49.70731170576218</v>
          </cell>
        </row>
        <row r="623">
          <cell r="A623" t="str">
            <v>Exploration expense</v>
          </cell>
          <cell r="AA623">
            <v>-1</v>
          </cell>
          <cell r="AF623">
            <v>-4</v>
          </cell>
          <cell r="AK623">
            <v>-8</v>
          </cell>
          <cell r="AP623">
            <v>-10</v>
          </cell>
          <cell r="AQ623">
            <v>0</v>
          </cell>
          <cell r="AR623">
            <v>0</v>
          </cell>
          <cell r="AS623">
            <v>0</v>
          </cell>
          <cell r="AT623">
            <v>0</v>
          </cell>
          <cell r="AU623">
            <v>0</v>
          </cell>
          <cell r="AV623">
            <v>0</v>
          </cell>
          <cell r="AW623">
            <v>0</v>
          </cell>
          <cell r="AX623">
            <v>0</v>
          </cell>
          <cell r="AY623">
            <v>0</v>
          </cell>
          <cell r="AZ623">
            <v>0</v>
          </cell>
          <cell r="BA623">
            <v>0</v>
          </cell>
          <cell r="BB623">
            <v>0</v>
          </cell>
          <cell r="BC623">
            <v>0</v>
          </cell>
          <cell r="BD623">
            <v>0</v>
          </cell>
          <cell r="BE623">
            <v>0</v>
          </cell>
          <cell r="BF623">
            <v>0</v>
          </cell>
          <cell r="BG623">
            <v>0</v>
          </cell>
          <cell r="BH623">
            <v>0</v>
          </cell>
          <cell r="BI623">
            <v>0</v>
          </cell>
          <cell r="BJ623">
            <v>0</v>
          </cell>
          <cell r="BK623">
            <v>0</v>
          </cell>
          <cell r="BL623">
            <v>0</v>
          </cell>
          <cell r="BM623">
            <v>0</v>
          </cell>
          <cell r="BN623">
            <v>0</v>
          </cell>
          <cell r="BO623">
            <v>0</v>
          </cell>
          <cell r="BP623">
            <v>0</v>
          </cell>
          <cell r="BQ623">
            <v>0</v>
          </cell>
          <cell r="BR623">
            <v>0</v>
          </cell>
          <cell r="BS623">
            <v>0</v>
          </cell>
          <cell r="BT623">
            <v>0</v>
          </cell>
          <cell r="BU623">
            <v>0</v>
          </cell>
          <cell r="BV623">
            <v>0</v>
          </cell>
          <cell r="BW623">
            <v>0</v>
          </cell>
          <cell r="BX623">
            <v>0</v>
          </cell>
          <cell r="BY623">
            <v>0</v>
          </cell>
          <cell r="BZ623">
            <v>0</v>
          </cell>
          <cell r="CA623">
            <v>0</v>
          </cell>
          <cell r="CB623">
            <v>0</v>
          </cell>
          <cell r="CC623">
            <v>0</v>
          </cell>
          <cell r="CD623">
            <v>0</v>
          </cell>
        </row>
        <row r="624">
          <cell r="A624" t="str">
            <v>DD&amp;A</v>
          </cell>
          <cell r="AA624">
            <v>-293</v>
          </cell>
          <cell r="AF624">
            <v>-270</v>
          </cell>
          <cell r="AK624">
            <v>-211</v>
          </cell>
          <cell r="AP624">
            <v>-269</v>
          </cell>
          <cell r="AQ624">
            <v>-82.264421972939047</v>
          </cell>
          <cell r="AR624">
            <v>-82.142349183829012</v>
          </cell>
          <cell r="AS624">
            <v>-83.089043306346539</v>
          </cell>
          <cell r="AT624">
            <v>-83.133074251019806</v>
          </cell>
          <cell r="AU624">
            <v>-330.6288887141344</v>
          </cell>
          <cell r="AV624">
            <v>-89.332008635975157</v>
          </cell>
          <cell r="AW624">
            <v>-89.115751148885067</v>
          </cell>
          <cell r="AX624">
            <v>-90.056877757842884</v>
          </cell>
          <cell r="AY624">
            <v>-90.018710398131617</v>
          </cell>
          <cell r="AZ624">
            <v>-358.5233479408347</v>
          </cell>
          <cell r="BA624">
            <v>-96.216761172551486</v>
          </cell>
          <cell r="BB624">
            <v>-96.056428307345698</v>
          </cell>
          <cell r="BC624">
            <v>-97.145440476677578</v>
          </cell>
          <cell r="BD624">
            <v>-97.178887499774888</v>
          </cell>
          <cell r="BE624">
            <v>-386.59751745634964</v>
          </cell>
          <cell r="BF624">
            <v>-103.2994390127818</v>
          </cell>
          <cell r="BG624">
            <v>-103.10442913674092</v>
          </cell>
          <cell r="BH624">
            <v>-104.24868565564489</v>
          </cell>
          <cell r="BI624">
            <v>-104.2599264697495</v>
          </cell>
          <cell r="BJ624">
            <v>-414.91248027491713</v>
          </cell>
          <cell r="BK624">
            <v>-110.28776026071688</v>
          </cell>
          <cell r="BL624">
            <v>-110.04647661837153</v>
          </cell>
          <cell r="BM624">
            <v>-111.23414889953447</v>
          </cell>
          <cell r="BN624">
            <v>-111.21251923983615</v>
          </cell>
          <cell r="BO624">
            <v>-442.78090501845907</v>
          </cell>
          <cell r="BP624">
            <v>-117.18907667625911</v>
          </cell>
          <cell r="BQ624">
            <v>-116.94804613601148</v>
          </cell>
          <cell r="BR624">
            <v>-118.22670486297318</v>
          </cell>
          <cell r="BS624">
            <v>-118.22022022580288</v>
          </cell>
          <cell r="BT624">
            <v>-470.58404790104669</v>
          </cell>
          <cell r="BU624">
            <v>-124.12726663494442</v>
          </cell>
          <cell r="BV624">
            <v>-123.8657866738556</v>
          </cell>
          <cell r="BW624">
            <v>-125.21426531864471</v>
          </cell>
          <cell r="BX624">
            <v>-125.20158147251236</v>
          </cell>
          <cell r="BY624">
            <v>-498.40890009995712</v>
          </cell>
          <cell r="BZ624">
            <v>-131.05079975088589</v>
          </cell>
          <cell r="CA624">
            <v>-130.78123262140366</v>
          </cell>
          <cell r="CB624">
            <v>-132.21216871352868</v>
          </cell>
          <cell r="CC624">
            <v>-132.2059484032207</v>
          </cell>
          <cell r="CD624">
            <v>-526.2501494890389</v>
          </cell>
        </row>
        <row r="625">
          <cell r="A625" t="str">
            <v>Other income/(cost)</v>
          </cell>
          <cell r="AA625">
            <v>342</v>
          </cell>
          <cell r="AF625">
            <v>18</v>
          </cell>
          <cell r="AK625">
            <v>103</v>
          </cell>
          <cell r="AP625">
            <v>-13</v>
          </cell>
          <cell r="AQ625">
            <v>0</v>
          </cell>
          <cell r="AR625">
            <v>0</v>
          </cell>
          <cell r="AS625">
            <v>0</v>
          </cell>
          <cell r="AT625">
            <v>0</v>
          </cell>
          <cell r="AU625">
            <v>0</v>
          </cell>
          <cell r="AV625">
            <v>0</v>
          </cell>
          <cell r="AW625">
            <v>0</v>
          </cell>
          <cell r="AX625">
            <v>0</v>
          </cell>
          <cell r="AY625">
            <v>0</v>
          </cell>
          <cell r="AZ625">
            <v>0</v>
          </cell>
          <cell r="BA625">
            <v>0</v>
          </cell>
          <cell r="BB625">
            <v>0</v>
          </cell>
          <cell r="BC625">
            <v>0</v>
          </cell>
          <cell r="BD625">
            <v>0</v>
          </cell>
          <cell r="BE625">
            <v>0</v>
          </cell>
          <cell r="BF625">
            <v>0</v>
          </cell>
          <cell r="BG625">
            <v>0</v>
          </cell>
          <cell r="BH625">
            <v>0</v>
          </cell>
          <cell r="BI625">
            <v>0</v>
          </cell>
          <cell r="BJ625">
            <v>0</v>
          </cell>
          <cell r="BK625">
            <v>0</v>
          </cell>
          <cell r="BL625">
            <v>0</v>
          </cell>
          <cell r="BM625">
            <v>0</v>
          </cell>
          <cell r="BN625">
            <v>0</v>
          </cell>
          <cell r="BO625">
            <v>0</v>
          </cell>
          <cell r="BP625">
            <v>0</v>
          </cell>
          <cell r="BQ625">
            <v>0</v>
          </cell>
          <cell r="BR625">
            <v>0</v>
          </cell>
          <cell r="BS625">
            <v>0</v>
          </cell>
          <cell r="BT625">
            <v>0</v>
          </cell>
          <cell r="BU625">
            <v>0</v>
          </cell>
          <cell r="BV625">
            <v>0</v>
          </cell>
          <cell r="BW625">
            <v>0</v>
          </cell>
          <cell r="BX625">
            <v>0</v>
          </cell>
          <cell r="BY625">
            <v>0</v>
          </cell>
          <cell r="BZ625">
            <v>0</v>
          </cell>
          <cell r="CA625">
            <v>0</v>
          </cell>
          <cell r="CB625">
            <v>0</v>
          </cell>
          <cell r="CC625">
            <v>0</v>
          </cell>
          <cell r="CD625">
            <v>0</v>
          </cell>
        </row>
        <row r="626">
          <cell r="A626" t="str">
            <v>Earnings before tax</v>
          </cell>
          <cell r="AA626">
            <v>1204</v>
          </cell>
          <cell r="AF626">
            <v>1283</v>
          </cell>
          <cell r="AK626">
            <v>2107</v>
          </cell>
          <cell r="AP626">
            <v>1813</v>
          </cell>
          <cell r="AQ626">
            <v>473.21851788855787</v>
          </cell>
          <cell r="AR626">
            <v>447.88867946413728</v>
          </cell>
          <cell r="AS626">
            <v>472.28615766347946</v>
          </cell>
          <cell r="AT626">
            <v>405.86474398056976</v>
          </cell>
          <cell r="AU626">
            <v>1799.2580989967441</v>
          </cell>
          <cell r="AV626">
            <v>414.0900388586557</v>
          </cell>
          <cell r="AW626">
            <v>413.27374457136909</v>
          </cell>
          <cell r="AX626">
            <v>417.83681146628913</v>
          </cell>
          <cell r="AY626">
            <v>417.85840864064471</v>
          </cell>
          <cell r="AZ626">
            <v>1663.0590035369582</v>
          </cell>
          <cell r="BA626">
            <v>348.37793253995812</v>
          </cell>
          <cell r="BB626">
            <v>347.65217126870346</v>
          </cell>
          <cell r="BC626">
            <v>351.45094281310628</v>
          </cell>
          <cell r="BD626">
            <v>351.42936082708383</v>
          </cell>
          <cell r="BE626">
            <v>1398.9104074488516</v>
          </cell>
          <cell r="BF626">
            <v>300.96210710707339</v>
          </cell>
          <cell r="BG626">
            <v>300.34443407299619</v>
          </cell>
          <cell r="BH626">
            <v>303.63697514935893</v>
          </cell>
          <cell r="BI626">
            <v>303.62902793920534</v>
          </cell>
          <cell r="BJ626">
            <v>1208.5725442686339</v>
          </cell>
          <cell r="BK626">
            <v>294.2797102499386</v>
          </cell>
          <cell r="BL626">
            <v>297.60706552128278</v>
          </cell>
          <cell r="BM626">
            <v>304.86869506807631</v>
          </cell>
          <cell r="BN626">
            <v>308.88412391266513</v>
          </cell>
          <cell r="BO626">
            <v>1205.6395947519632</v>
          </cell>
          <cell r="BP626">
            <v>299.4914748338856</v>
          </cell>
          <cell r="BQ626">
            <v>302.89489238017143</v>
          </cell>
          <cell r="BR626">
            <v>310.30249860980916</v>
          </cell>
          <cell r="BS626">
            <v>314.40669993354834</v>
          </cell>
          <cell r="BT626">
            <v>1227.0955657574148</v>
          </cell>
          <cell r="BU626">
            <v>304.97955094900072</v>
          </cell>
          <cell r="BV626">
            <v>308.47666062357695</v>
          </cell>
          <cell r="BW626">
            <v>316.05184173195738</v>
          </cell>
          <cell r="BX626">
            <v>320.26280261455008</v>
          </cell>
          <cell r="BY626">
            <v>1249.7708559190851</v>
          </cell>
          <cell r="BZ626">
            <v>310.79040873528777</v>
          </cell>
          <cell r="CA626">
            <v>314.37357845027367</v>
          </cell>
          <cell r="CB626">
            <v>322.11281921308807</v>
          </cell>
          <cell r="CC626">
            <v>326.42380040412331</v>
          </cell>
          <cell r="CD626">
            <v>1273.7006068027731</v>
          </cell>
        </row>
        <row r="628">
          <cell r="A628" t="str">
            <v>Taxation</v>
          </cell>
          <cell r="AA628">
            <v>-437</v>
          </cell>
          <cell r="AF628">
            <v>-465</v>
          </cell>
          <cell r="AK628">
            <v>-765</v>
          </cell>
          <cell r="AP628">
            <v>-658</v>
          </cell>
          <cell r="AQ628">
            <v>-165.62648126099523</v>
          </cell>
          <cell r="AR628">
            <v>-156.76103781244805</v>
          </cell>
          <cell r="AS628">
            <v>-165.30015518221779</v>
          </cell>
          <cell r="AT628">
            <v>-142.0526603931994</v>
          </cell>
          <cell r="AU628">
            <v>-629.74033464886043</v>
          </cell>
          <cell r="AV628">
            <v>-144.93151360052948</v>
          </cell>
          <cell r="AW628">
            <v>-144.64581059997917</v>
          </cell>
          <cell r="AX628">
            <v>-146.24288401320118</v>
          </cell>
          <cell r="AY628">
            <v>-146.25044302422563</v>
          </cell>
          <cell r="AZ628">
            <v>-582.07065123793552</v>
          </cell>
          <cell r="BA628">
            <v>-121.93227638898533</v>
          </cell>
          <cell r="BB628">
            <v>-121.6782599440462</v>
          </cell>
          <cell r="BC628">
            <v>-123.00782998458719</v>
          </cell>
          <cell r="BD628">
            <v>-123.00027628947933</v>
          </cell>
          <cell r="BE628">
            <v>-489.61864260709808</v>
          </cell>
          <cell r="BF628">
            <v>-105.33673748747569</v>
          </cell>
          <cell r="BG628">
            <v>-105.12055192554867</v>
          </cell>
          <cell r="BH628">
            <v>-106.27294130227563</v>
          </cell>
          <cell r="BI628">
            <v>-106.27015977872186</v>
          </cell>
          <cell r="BJ628">
            <v>-423.00039049402181</v>
          </cell>
          <cell r="BK628">
            <v>-102.9978985874785</v>
          </cell>
          <cell r="BL628">
            <v>-104.16247293244896</v>
          </cell>
          <cell r="BM628">
            <v>-106.7040432738267</v>
          </cell>
          <cell r="BN628">
            <v>-108.1094433694328</v>
          </cell>
          <cell r="BO628">
            <v>-421.97385816318695</v>
          </cell>
          <cell r="BP628">
            <v>-104.82201619185996</v>
          </cell>
          <cell r="BQ628">
            <v>-106.01321233306</v>
          </cell>
          <cell r="BR628">
            <v>-108.60587451343321</v>
          </cell>
          <cell r="BS628">
            <v>-110.04234497674192</v>
          </cell>
          <cell r="BT628">
            <v>-429.48344801509506</v>
          </cell>
          <cell r="BU628">
            <v>-106.74284283215025</v>
          </cell>
          <cell r="BV628">
            <v>-107.96683121825193</v>
          </cell>
          <cell r="BW628">
            <v>-110.61814460618508</v>
          </cell>
          <cell r="BX628">
            <v>-112.09198091509252</v>
          </cell>
          <cell r="BY628">
            <v>-437.41979957167973</v>
          </cell>
          <cell r="BZ628">
            <v>-108.77664305735071</v>
          </cell>
          <cell r="CA628">
            <v>-110.03075245759578</v>
          </cell>
          <cell r="CB628">
            <v>-112.73948672458081</v>
          </cell>
          <cell r="CC628">
            <v>-114.24833014144315</v>
          </cell>
          <cell r="CD628">
            <v>-445.7952123809705</v>
          </cell>
        </row>
        <row r="629">
          <cell r="A629" t="str">
            <v>Earnings after tax</v>
          </cell>
          <cell r="G629">
            <v>723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875</v>
          </cell>
          <cell r="Q629">
            <v>929</v>
          </cell>
          <cell r="V629">
            <v>1281</v>
          </cell>
          <cell r="AA629">
            <v>767</v>
          </cell>
          <cell r="AF629">
            <v>818</v>
          </cell>
          <cell r="AK629">
            <v>1342</v>
          </cell>
          <cell r="AP629">
            <v>1155</v>
          </cell>
          <cell r="AQ629">
            <v>307.59203662756261</v>
          </cell>
          <cell r="AR629">
            <v>291.12764165168926</v>
          </cell>
          <cell r="AS629">
            <v>306.98600248126166</v>
          </cell>
          <cell r="AT629">
            <v>263.81208358737035</v>
          </cell>
          <cell r="AU629">
            <v>1169.5177643478837</v>
          </cell>
          <cell r="AV629">
            <v>269.15852525812625</v>
          </cell>
          <cell r="AW629">
            <v>268.62793397138989</v>
          </cell>
          <cell r="AX629">
            <v>271.59392745308799</v>
          </cell>
          <cell r="AY629">
            <v>271.60796561641905</v>
          </cell>
          <cell r="AZ629">
            <v>1080.9883522990226</v>
          </cell>
          <cell r="BA629">
            <v>226.44565615097281</v>
          </cell>
          <cell r="BB629">
            <v>225.97391132465725</v>
          </cell>
          <cell r="BC629">
            <v>228.44311282851908</v>
          </cell>
          <cell r="BD629">
            <v>228.4290845376045</v>
          </cell>
          <cell r="BE629">
            <v>909.29176484175355</v>
          </cell>
          <cell r="BF629">
            <v>195.62536961959771</v>
          </cell>
          <cell r="BG629">
            <v>195.22388214744751</v>
          </cell>
          <cell r="BH629">
            <v>197.36403384708331</v>
          </cell>
          <cell r="BI629">
            <v>197.3588681604835</v>
          </cell>
          <cell r="BJ629">
            <v>785.57215377461216</v>
          </cell>
          <cell r="BK629">
            <v>191.28181166246009</v>
          </cell>
          <cell r="BL629">
            <v>193.44459258883381</v>
          </cell>
          <cell r="BM629">
            <v>198.16465179424961</v>
          </cell>
          <cell r="BN629">
            <v>200.77468054323234</v>
          </cell>
          <cell r="BO629">
            <v>783.66573658877621</v>
          </cell>
          <cell r="BP629">
            <v>194.66945864202563</v>
          </cell>
          <cell r="BQ629">
            <v>196.88168004711144</v>
          </cell>
          <cell r="BR629">
            <v>201.69662409637596</v>
          </cell>
          <cell r="BS629">
            <v>204.36435495680644</v>
          </cell>
          <cell r="BT629">
            <v>797.6121177423197</v>
          </cell>
          <cell r="BU629">
            <v>198.23670811685048</v>
          </cell>
          <cell r="BV629">
            <v>200.50982940532504</v>
          </cell>
          <cell r="BW629">
            <v>205.43369712577231</v>
          </cell>
          <cell r="BX629">
            <v>208.17082169945758</v>
          </cell>
          <cell r="BY629">
            <v>812.35105634740535</v>
          </cell>
          <cell r="BZ629">
            <v>202.01376567793704</v>
          </cell>
          <cell r="CA629">
            <v>204.34282599267789</v>
          </cell>
          <cell r="CB629">
            <v>209.37333248850726</v>
          </cell>
          <cell r="CC629">
            <v>212.17547026268016</v>
          </cell>
          <cell r="CD629">
            <v>827.90539442180261</v>
          </cell>
        </row>
        <row r="631">
          <cell r="A631" t="str">
            <v>Production</v>
          </cell>
        </row>
        <row r="632">
          <cell r="B632" t="str">
            <v>Oil and NGL (kbbl/d)</v>
          </cell>
          <cell r="C632">
            <v>123.3</v>
          </cell>
          <cell r="D632">
            <v>132.6</v>
          </cell>
          <cell r="E632">
            <v>124.19999999999999</v>
          </cell>
          <cell r="F632">
            <v>112.5</v>
          </cell>
          <cell r="G632">
            <v>97</v>
          </cell>
          <cell r="L632">
            <v>92</v>
          </cell>
          <cell r="Q632">
            <v>86</v>
          </cell>
          <cell r="V632">
            <v>82</v>
          </cell>
          <cell r="AA632">
            <v>78</v>
          </cell>
          <cell r="AF632">
            <v>74</v>
          </cell>
          <cell r="AK632">
            <v>70</v>
          </cell>
          <cell r="AP632">
            <v>67</v>
          </cell>
          <cell r="AQ632">
            <v>77</v>
          </cell>
          <cell r="AR632">
            <v>76</v>
          </cell>
          <cell r="AS632">
            <v>76</v>
          </cell>
          <cell r="AT632">
            <v>76</v>
          </cell>
          <cell r="AU632">
            <v>76.25</v>
          </cell>
          <cell r="AV632">
            <v>77</v>
          </cell>
          <cell r="AW632">
            <v>76</v>
          </cell>
          <cell r="AX632">
            <v>76</v>
          </cell>
          <cell r="AY632">
            <v>76</v>
          </cell>
          <cell r="AZ632">
            <v>76.25</v>
          </cell>
          <cell r="BA632">
            <v>77</v>
          </cell>
          <cell r="BB632">
            <v>76</v>
          </cell>
          <cell r="BC632">
            <v>76</v>
          </cell>
          <cell r="BD632">
            <v>76</v>
          </cell>
          <cell r="BE632">
            <v>76.25</v>
          </cell>
          <cell r="BF632">
            <v>77</v>
          </cell>
          <cell r="BG632">
            <v>76</v>
          </cell>
          <cell r="BH632">
            <v>76</v>
          </cell>
          <cell r="BI632">
            <v>76</v>
          </cell>
          <cell r="BJ632">
            <v>76.25</v>
          </cell>
          <cell r="BK632">
            <v>77</v>
          </cell>
          <cell r="BL632">
            <v>76</v>
          </cell>
          <cell r="BM632">
            <v>76</v>
          </cell>
          <cell r="BN632">
            <v>76</v>
          </cell>
          <cell r="BO632">
            <v>76.25</v>
          </cell>
          <cell r="BP632">
            <v>77</v>
          </cell>
          <cell r="BQ632">
            <v>76</v>
          </cell>
          <cell r="BR632">
            <v>76</v>
          </cell>
          <cell r="BS632">
            <v>76</v>
          </cell>
          <cell r="BT632">
            <v>76.25</v>
          </cell>
          <cell r="BU632">
            <v>77</v>
          </cell>
          <cell r="BV632">
            <v>76</v>
          </cell>
          <cell r="BW632">
            <v>76</v>
          </cell>
          <cell r="BX632">
            <v>76</v>
          </cell>
          <cell r="BY632">
            <v>76.25</v>
          </cell>
          <cell r="BZ632">
            <v>77</v>
          </cell>
          <cell r="CA632">
            <v>76</v>
          </cell>
          <cell r="CB632">
            <v>76</v>
          </cell>
          <cell r="CC632">
            <v>76</v>
          </cell>
          <cell r="CD632">
            <v>76.25</v>
          </cell>
        </row>
        <row r="633">
          <cell r="B633" t="str">
            <v>Natural gas (mmcf/d)</v>
          </cell>
          <cell r="C633">
            <v>4</v>
          </cell>
          <cell r="D633">
            <v>4</v>
          </cell>
          <cell r="E633">
            <v>4</v>
          </cell>
          <cell r="F633">
            <v>4</v>
          </cell>
          <cell r="G633">
            <v>4</v>
          </cell>
          <cell r="L633">
            <v>2</v>
          </cell>
          <cell r="Q633">
            <v>6</v>
          </cell>
          <cell r="V633">
            <v>5</v>
          </cell>
          <cell r="AA633">
            <v>6</v>
          </cell>
          <cell r="AF633">
            <v>4</v>
          </cell>
          <cell r="AK633">
            <v>6</v>
          </cell>
          <cell r="AP633">
            <v>5</v>
          </cell>
          <cell r="AQ633">
            <v>0.23396280000000003</v>
          </cell>
          <cell r="AR633">
            <v>0.46792560000000005</v>
          </cell>
          <cell r="AS633">
            <v>0.70188840000000008</v>
          </cell>
          <cell r="AT633">
            <v>0.93585120000000011</v>
          </cell>
          <cell r="AU633">
            <v>0.58490700000000007</v>
          </cell>
          <cell r="AV633">
            <v>0.74887512000000012</v>
          </cell>
          <cell r="AW633">
            <v>0.56189904000000013</v>
          </cell>
          <cell r="AX633">
            <v>0.37492296000000008</v>
          </cell>
          <cell r="AY633">
            <v>0.18794688000000004</v>
          </cell>
          <cell r="AZ633">
            <v>0.46841100000000002</v>
          </cell>
          <cell r="BA633">
            <v>0.33993532800000004</v>
          </cell>
          <cell r="BB633">
            <v>0.49192377600000003</v>
          </cell>
          <cell r="BC633">
            <v>0.64391222400000003</v>
          </cell>
          <cell r="BD633">
            <v>0.79590067200000003</v>
          </cell>
          <cell r="BE633">
            <v>0.56791800000000003</v>
          </cell>
          <cell r="BF633">
            <v>0.8435320032000001</v>
          </cell>
          <cell r="BG633">
            <v>0.89116333440000017</v>
          </cell>
          <cell r="BH633">
            <v>0.93879466560000024</v>
          </cell>
          <cell r="BI633">
            <v>0.98642599680000032</v>
          </cell>
          <cell r="BJ633">
            <v>0.9149790000000001</v>
          </cell>
          <cell r="BK633">
            <v>0.90056999808000027</v>
          </cell>
          <cell r="BL633">
            <v>0.81471399936000022</v>
          </cell>
          <cell r="BM633">
            <v>0.72885800064000017</v>
          </cell>
          <cell r="BN633">
            <v>0.64300200192000012</v>
          </cell>
          <cell r="BO633">
            <v>0.77178600000000008</v>
          </cell>
          <cell r="BP633">
            <v>0.61879320115200009</v>
          </cell>
          <cell r="BQ633">
            <v>0.59458440038400007</v>
          </cell>
          <cell r="BR633">
            <v>0.57037559961600004</v>
          </cell>
          <cell r="BS633">
            <v>0.54616679884800001</v>
          </cell>
          <cell r="BT633">
            <v>0.58248</v>
          </cell>
          <cell r="BU633">
            <v>0.50147327930880004</v>
          </cell>
          <cell r="BV633">
            <v>0.45677975976960006</v>
          </cell>
          <cell r="BW633">
            <v>0.41208624023040008</v>
          </cell>
          <cell r="BX633">
            <v>0.3673927206912001</v>
          </cell>
          <cell r="BY633">
            <v>0.43443300000000001</v>
          </cell>
          <cell r="BZ633">
            <v>0.34663963241472007</v>
          </cell>
          <cell r="CA633">
            <v>0.32588654413824003</v>
          </cell>
          <cell r="CB633">
            <v>0.30513345586175999</v>
          </cell>
          <cell r="CC633">
            <v>0.28438036758527996</v>
          </cell>
          <cell r="CD633">
            <v>0.31550999999999996</v>
          </cell>
        </row>
        <row r="634">
          <cell r="B634" t="str">
            <v>Total</v>
          </cell>
          <cell r="C634">
            <v>123.98965517241379</v>
          </cell>
          <cell r="D634">
            <v>133.28965517241377</v>
          </cell>
          <cell r="E634">
            <v>124.88965517241378</v>
          </cell>
          <cell r="F634">
            <v>113.18965517241379</v>
          </cell>
          <cell r="G634">
            <v>97.689655172413794</v>
          </cell>
          <cell r="L634">
            <v>92.34482758620689</v>
          </cell>
          <cell r="Q634">
            <v>87.034482758620683</v>
          </cell>
          <cell r="V634">
            <v>82.862068965517238</v>
          </cell>
          <cell r="AA634">
            <v>79.034482758620683</v>
          </cell>
          <cell r="AF634">
            <v>74.689655172413794</v>
          </cell>
          <cell r="AK634">
            <v>71.034482758620683</v>
          </cell>
          <cell r="AP634">
            <v>67.862068965517238</v>
          </cell>
          <cell r="AQ634">
            <v>77.040338413793108</v>
          </cell>
          <cell r="AR634">
            <v>76.080676827586203</v>
          </cell>
          <cell r="AS634">
            <v>76.121015241379311</v>
          </cell>
          <cell r="AT634">
            <v>76.16135365517242</v>
          </cell>
          <cell r="AU634">
            <v>76.350846034482757</v>
          </cell>
          <cell r="AV634">
            <v>77.129116400000001</v>
          </cell>
          <cell r="AW634">
            <v>76.096879144827582</v>
          </cell>
          <cell r="AX634">
            <v>76.064641889655178</v>
          </cell>
          <cell r="AY634">
            <v>76.032404634482759</v>
          </cell>
          <cell r="AZ634">
            <v>76.330760517241373</v>
          </cell>
          <cell r="BA634">
            <v>77.058609539310339</v>
          </cell>
          <cell r="BB634">
            <v>76.084814444137933</v>
          </cell>
          <cell r="BC634">
            <v>76.111019348965513</v>
          </cell>
          <cell r="BD634">
            <v>76.137224253793107</v>
          </cell>
          <cell r="BE634">
            <v>76.347916896551723</v>
          </cell>
          <cell r="BF634">
            <v>77.145436552275868</v>
          </cell>
          <cell r="BG634">
            <v>76.153648850758614</v>
          </cell>
          <cell r="BH634">
            <v>76.161861149241375</v>
          </cell>
          <cell r="BI634">
            <v>76.170073447724135</v>
          </cell>
          <cell r="BJ634">
            <v>76.407754999999995</v>
          </cell>
          <cell r="BK634">
            <v>77.155270689324141</v>
          </cell>
          <cell r="BL634">
            <v>76.140467930924132</v>
          </cell>
          <cell r="BM634">
            <v>76.125665172524137</v>
          </cell>
          <cell r="BN634">
            <v>76.110862414124142</v>
          </cell>
          <cell r="BO634">
            <v>76.383066551724141</v>
          </cell>
          <cell r="BP634">
            <v>77.106688482957239</v>
          </cell>
          <cell r="BQ634">
            <v>76.10251455179035</v>
          </cell>
          <cell r="BR634">
            <v>76.098340620623446</v>
          </cell>
          <cell r="BS634">
            <v>76.094166689456557</v>
          </cell>
          <cell r="BT634">
            <v>76.350427586206891</v>
          </cell>
          <cell r="BU634">
            <v>77.086460910225654</v>
          </cell>
          <cell r="BV634">
            <v>76.078755130994764</v>
          </cell>
          <cell r="BW634">
            <v>76.071049351763861</v>
          </cell>
          <cell r="BX634">
            <v>76.063343572532972</v>
          </cell>
          <cell r="BY634">
            <v>76.324902241379306</v>
          </cell>
          <cell r="BZ634">
            <v>77.059765453864614</v>
          </cell>
          <cell r="CA634">
            <v>76.056187335196242</v>
          </cell>
          <cell r="CB634">
            <v>76.052609216527884</v>
          </cell>
          <cell r="CC634">
            <v>76.049031097859526</v>
          </cell>
          <cell r="CD634">
            <v>76.30439827586207</v>
          </cell>
        </row>
        <row r="636">
          <cell r="A636" t="str">
            <v>Realise price</v>
          </cell>
        </row>
        <row r="637">
          <cell r="B637" t="str">
            <v>Oil and NGL ($/bbl)</v>
          </cell>
          <cell r="AA637">
            <v>54.61</v>
          </cell>
          <cell r="AF637">
            <v>71.94</v>
          </cell>
          <cell r="AK637">
            <v>97.27</v>
          </cell>
          <cell r="AP637">
            <v>95.14</v>
          </cell>
          <cell r="AQ637">
            <v>97.98</v>
          </cell>
          <cell r="AR637">
            <v>94.49</v>
          </cell>
          <cell r="AS637">
            <v>97.26</v>
          </cell>
          <cell r="AT637">
            <v>87.85</v>
          </cell>
          <cell r="AU637">
            <v>94.35</v>
          </cell>
          <cell r="AV637">
            <v>91.457807300312552</v>
          </cell>
          <cell r="AW637">
            <v>91.457807300312552</v>
          </cell>
          <cell r="AX637">
            <v>91.457807300312552</v>
          </cell>
          <cell r="AY637">
            <v>91.457807300312552</v>
          </cell>
          <cell r="AZ637">
            <v>91.457807300312552</v>
          </cell>
          <cell r="BA637">
            <v>83.541126064920093</v>
          </cell>
          <cell r="BB637">
            <v>83.541126064920093</v>
          </cell>
          <cell r="BC637">
            <v>83.541126064920093</v>
          </cell>
          <cell r="BD637">
            <v>83.541126064920093</v>
          </cell>
          <cell r="BE637">
            <v>83.541126064920093</v>
          </cell>
          <cell r="BF637">
            <v>78.270480370991706</v>
          </cell>
          <cell r="BG637">
            <v>78.270480370991706</v>
          </cell>
          <cell r="BH637">
            <v>78.270480370991706</v>
          </cell>
          <cell r="BI637">
            <v>78.270480370991706</v>
          </cell>
          <cell r="BJ637">
            <v>78.270480370991706</v>
          </cell>
          <cell r="BK637">
            <v>78.82657206755492</v>
          </cell>
          <cell r="BL637">
            <v>79.386107220882892</v>
          </cell>
          <cell r="BM637">
            <v>79.949107153708127</v>
          </cell>
          <cell r="BN637">
            <v>80.515593320798729</v>
          </cell>
          <cell r="BO637">
            <v>79.669344940736167</v>
          </cell>
          <cell r="BP637">
            <v>81.085587309776017</v>
          </cell>
          <cell r="BQ637">
            <v>81.659110841937192</v>
          </cell>
          <cell r="BR637">
            <v>82.236185773083065</v>
          </cell>
          <cell r="BS637">
            <v>82.816834094350938</v>
          </cell>
          <cell r="BT637">
            <v>81.949429504786806</v>
          </cell>
          <cell r="BU637">
            <v>83.401077933052662</v>
          </cell>
          <cell r="BV637">
            <v>83.988939553517852</v>
          </cell>
          <cell r="BW637">
            <v>84.580441357942362</v>
          </cell>
          <cell r="BX637">
            <v>85.175605887241929</v>
          </cell>
          <cell r="BY637">
            <v>84.286516182938698</v>
          </cell>
          <cell r="BZ637">
            <v>85.774455821911204</v>
          </cell>
          <cell r="CA637">
            <v>86.377013982888045</v>
          </cell>
          <cell r="CB637">
            <v>86.983303332423162</v>
          </cell>
          <cell r="CC637">
            <v>87.593346974955224</v>
          </cell>
          <cell r="CD637">
            <v>86.682030028044409</v>
          </cell>
        </row>
        <row r="638">
          <cell r="B638" t="str">
            <v>Natural gas ($/mmcf)</v>
          </cell>
          <cell r="AA638">
            <v>4.1100000000000003</v>
          </cell>
          <cell r="AF638">
            <v>4.63</v>
          </cell>
          <cell r="AK638">
            <v>4.24</v>
          </cell>
          <cell r="AP638">
            <v>2.91</v>
          </cell>
          <cell r="AQ638">
            <v>3.52</v>
          </cell>
          <cell r="AR638">
            <v>4.1500000000000004</v>
          </cell>
          <cell r="AS638">
            <v>3.37</v>
          </cell>
          <cell r="AT638">
            <v>3.74</v>
          </cell>
          <cell r="AU638">
            <v>3.7</v>
          </cell>
          <cell r="AV638">
            <v>4.316330168525198</v>
          </cell>
          <cell r="AW638">
            <v>4.316330168525198</v>
          </cell>
          <cell r="AX638">
            <v>4.316330168525198</v>
          </cell>
          <cell r="AY638">
            <v>4.316330168525198</v>
          </cell>
          <cell r="AZ638">
            <v>4.316330168525198</v>
          </cell>
          <cell r="BA638">
            <v>4.2867039175692545</v>
          </cell>
          <cell r="BB638">
            <v>4.2867039175692545</v>
          </cell>
          <cell r="BC638">
            <v>4.2867039175692545</v>
          </cell>
          <cell r="BD638">
            <v>4.2867039175692545</v>
          </cell>
          <cell r="BE638">
            <v>4.2867039175692545</v>
          </cell>
          <cell r="BF638">
            <v>4.2768285005839406</v>
          </cell>
          <cell r="BG638">
            <v>4.2768285005839406</v>
          </cell>
          <cell r="BH638">
            <v>4.2768285005839406</v>
          </cell>
          <cell r="BI638">
            <v>4.2768285005839406</v>
          </cell>
          <cell r="BJ638">
            <v>4.2768285005839406</v>
          </cell>
          <cell r="BK638">
            <v>4.3020838695895538</v>
          </cell>
          <cell r="BL638">
            <v>4.3274956260610953</v>
          </cell>
          <cell r="BM638">
            <v>4.3530647383882748</v>
          </cell>
          <cell r="BN638">
            <v>4.378792180957312</v>
          </cell>
          <cell r="BO638">
            <v>4.3403591037490585</v>
          </cell>
          <cell r="BP638">
            <v>4.4046789341880661</v>
          </cell>
          <cell r="BQ638">
            <v>4.4307259845713949</v>
          </cell>
          <cell r="BR638">
            <v>4.4569343247067543</v>
          </cell>
          <cell r="BS638">
            <v>4.4833049533400171</v>
          </cell>
          <cell r="BT638">
            <v>4.4439110492015583</v>
          </cell>
          <cell r="BU638">
            <v>4.509838875401539</v>
          </cell>
          <cell r="BV638">
            <v>4.536537102044452</v>
          </cell>
          <cell r="BW638">
            <v>4.5634006506831959</v>
          </cell>
          <cell r="BX638">
            <v>4.5904305450322909</v>
          </cell>
          <cell r="BY638">
            <v>4.5500517932903692</v>
          </cell>
          <cell r="BZ638">
            <v>4.6176278151453509</v>
          </cell>
          <cell r="CA638">
            <v>4.6449934974543368</v>
          </cell>
          <cell r="CB638">
            <v>4.6725286348090487</v>
          </cell>
          <cell r="CC638">
            <v>4.7002342765168708</v>
          </cell>
          <cell r="CD638">
            <v>4.6588460559814013</v>
          </cell>
        </row>
        <row r="640">
          <cell r="A640" t="str">
            <v>Production x price</v>
          </cell>
          <cell r="AA640">
            <v>1563.7475999999999</v>
          </cell>
          <cell r="AF640">
            <v>1949.8591999999999</v>
          </cell>
          <cell r="AK640">
            <v>2494.5340999999999</v>
          </cell>
          <cell r="AP640">
            <v>2331.9594500000003</v>
          </cell>
          <cell r="AQ640">
            <v>679.07551941504005</v>
          </cell>
          <cell r="AR640">
            <v>653.66955210283993</v>
          </cell>
          <cell r="AS640">
            <v>680.25953347953612</v>
          </cell>
          <cell r="AT640">
            <v>614.56920768089594</v>
          </cell>
          <cell r="AU640">
            <v>2627.5738126783122</v>
          </cell>
          <cell r="AV640">
            <v>634.09351989572826</v>
          </cell>
          <cell r="AW640">
            <v>632.74290139076129</v>
          </cell>
          <cell r="AX640">
            <v>639.62187144183247</v>
          </cell>
          <cell r="AY640">
            <v>639.54762279630211</v>
          </cell>
          <cell r="AZ640">
            <v>2546.005915524624</v>
          </cell>
          <cell r="BA640">
            <v>579.07115181909944</v>
          </cell>
          <cell r="BB640">
            <v>577.96232243856036</v>
          </cell>
          <cell r="BC640">
            <v>584.37349746281495</v>
          </cell>
          <cell r="BD640">
            <v>584.43343817455786</v>
          </cell>
          <cell r="BE640">
            <v>2325.8404098950327</v>
          </cell>
          <cell r="BF640">
            <v>542.73911672509212</v>
          </cell>
          <cell r="BG640">
            <v>541.66547534577728</v>
          </cell>
          <cell r="BH640">
            <v>547.6365846219212</v>
          </cell>
          <cell r="BI640">
            <v>547.65532603712256</v>
          </cell>
          <cell r="BJ640">
            <v>2179.6965027299134</v>
          </cell>
          <cell r="BK640">
            <v>546.61683391775148</v>
          </cell>
          <cell r="BL640">
            <v>549.35515362507965</v>
          </cell>
          <cell r="BM640">
            <v>559.29605169642002</v>
          </cell>
          <cell r="BN640">
            <v>563.22406113575266</v>
          </cell>
          <cell r="BO640">
            <v>2218.4921003750042</v>
          </cell>
          <cell r="BP640">
            <v>562.16842274074372</v>
          </cell>
          <cell r="BQ640">
            <v>564.99414467314273</v>
          </cell>
          <cell r="BR640">
            <v>575.22928657148395</v>
          </cell>
          <cell r="BS640">
            <v>579.28057816064734</v>
          </cell>
          <cell r="BT640">
            <v>2281.6724321460179</v>
          </cell>
          <cell r="BU640">
            <v>578.17301080815503</v>
          </cell>
          <cell r="BV640">
            <v>581.0560759999463</v>
          </cell>
          <cell r="BW640">
            <v>591.55945331947908</v>
          </cell>
          <cell r="BX640">
            <v>595.70299351416725</v>
          </cell>
          <cell r="BY640">
            <v>2346.4915336417475</v>
          </cell>
          <cell r="BZ640">
            <v>594.56103759860684</v>
          </cell>
          <cell r="CA640">
            <v>597.52117912559095</v>
          </cell>
          <cell r="CB640">
            <v>608.31842542281845</v>
          </cell>
          <cell r="CC640">
            <v>612.57565424920597</v>
          </cell>
          <cell r="CD640">
            <v>2412.9762963962221</v>
          </cell>
        </row>
        <row r="641">
          <cell r="A641" t="str">
            <v>Difference with actual</v>
          </cell>
          <cell r="AA641">
            <v>3.1496387268636017E-2</v>
          </cell>
          <cell r="AF641">
            <v>3.7510811037022584E-2</v>
          </cell>
          <cell r="AK641">
            <v>0.12526022394322056</v>
          </cell>
          <cell r="AP641">
            <v>0.16425695138052232</v>
          </cell>
          <cell r="AQ641">
            <v>0.03</v>
          </cell>
          <cell r="AR641">
            <v>0.03</v>
          </cell>
          <cell r="AS641">
            <v>0.03</v>
          </cell>
          <cell r="AT641">
            <v>0.03</v>
          </cell>
          <cell r="AU641">
            <v>0.03</v>
          </cell>
          <cell r="AV641">
            <v>0.03</v>
          </cell>
          <cell r="AW641">
            <v>0.03</v>
          </cell>
          <cell r="AX641">
            <v>0.03</v>
          </cell>
          <cell r="AY641">
            <v>0.03</v>
          </cell>
          <cell r="AZ641">
            <v>0.03</v>
          </cell>
          <cell r="BA641">
            <v>0.03</v>
          </cell>
          <cell r="BB641">
            <v>0.03</v>
          </cell>
          <cell r="BC641">
            <v>0.03</v>
          </cell>
          <cell r="BD641">
            <v>0.03</v>
          </cell>
          <cell r="BE641">
            <v>0.03</v>
          </cell>
          <cell r="BF641">
            <v>0.03</v>
          </cell>
          <cell r="BG641">
            <v>0.03</v>
          </cell>
          <cell r="BH641">
            <v>0.03</v>
          </cell>
          <cell r="BI641">
            <v>0.03</v>
          </cell>
          <cell r="BJ641">
            <v>0.03</v>
          </cell>
          <cell r="BK641">
            <v>0.03</v>
          </cell>
          <cell r="BL641">
            <v>0.03</v>
          </cell>
          <cell r="BM641">
            <v>0.03</v>
          </cell>
          <cell r="BN641">
            <v>0.03</v>
          </cell>
          <cell r="BO641">
            <v>0.03</v>
          </cell>
          <cell r="BP641">
            <v>0.03</v>
          </cell>
          <cell r="BQ641">
            <v>0.03</v>
          </cell>
          <cell r="BR641">
            <v>0.03</v>
          </cell>
          <cell r="BS641">
            <v>0.03</v>
          </cell>
          <cell r="BT641">
            <v>0.03</v>
          </cell>
          <cell r="BU641">
            <v>0.03</v>
          </cell>
          <cell r="BV641">
            <v>0.03</v>
          </cell>
          <cell r="BW641">
            <v>0.03</v>
          </cell>
          <cell r="BX641">
            <v>0.03</v>
          </cell>
          <cell r="BY641">
            <v>0.03</v>
          </cell>
          <cell r="BZ641">
            <v>0.03</v>
          </cell>
          <cell r="CA641">
            <v>0.03</v>
          </cell>
          <cell r="CB641">
            <v>0.03</v>
          </cell>
          <cell r="CC641">
            <v>0.03</v>
          </cell>
          <cell r="CD641">
            <v>0.03</v>
          </cell>
        </row>
        <row r="643">
          <cell r="A643" t="str">
            <v>Per barrel of oil equivalent</v>
          </cell>
        </row>
        <row r="644">
          <cell r="B644" t="str">
            <v>Production cost excluding taxes</v>
          </cell>
          <cell r="AA644">
            <v>15.737885199263669</v>
          </cell>
          <cell r="AF644">
            <v>16.469978117608367</v>
          </cell>
          <cell r="AK644">
            <v>17.626014097619365</v>
          </cell>
          <cell r="AP644">
            <v>18.288506515202137</v>
          </cell>
          <cell r="AQ644">
            <v>18.74571917808219</v>
          </cell>
          <cell r="AR644">
            <v>18.74571917808219</v>
          </cell>
          <cell r="AS644">
            <v>18.74571917808219</v>
          </cell>
          <cell r="AT644">
            <v>18.74571917808219</v>
          </cell>
          <cell r="AU644">
            <v>18.74571917808219</v>
          </cell>
          <cell r="AV644">
            <v>19.683005136986299</v>
          </cell>
          <cell r="AW644">
            <v>19.683005136986299</v>
          </cell>
          <cell r="AX644">
            <v>19.683005136986299</v>
          </cell>
          <cell r="AY644">
            <v>19.683005136986299</v>
          </cell>
          <cell r="AZ644">
            <v>19.683005136986299</v>
          </cell>
          <cell r="BA644">
            <v>20.175080265410955</v>
          </cell>
          <cell r="BB644">
            <v>20.175080265410955</v>
          </cell>
          <cell r="BC644">
            <v>20.175080265410955</v>
          </cell>
          <cell r="BD644">
            <v>20.175080265410955</v>
          </cell>
          <cell r="BE644">
            <v>20.175080265410955</v>
          </cell>
          <cell r="BF644">
            <v>20.679457272046228</v>
          </cell>
          <cell r="BG644">
            <v>20.679457272046228</v>
          </cell>
          <cell r="BH644">
            <v>20.679457272046228</v>
          </cell>
          <cell r="BI644">
            <v>20.679457272046228</v>
          </cell>
          <cell r="BJ644">
            <v>20.679457272046228</v>
          </cell>
          <cell r="BK644">
            <v>21.196443703847383</v>
          </cell>
          <cell r="BL644">
            <v>21.196443703847383</v>
          </cell>
          <cell r="BM644">
            <v>21.196443703847383</v>
          </cell>
          <cell r="BN644">
            <v>21.196443703847383</v>
          </cell>
          <cell r="BO644">
            <v>21.196443703847383</v>
          </cell>
          <cell r="BP644">
            <v>21.726354796443566</v>
          </cell>
          <cell r="BQ644">
            <v>21.726354796443566</v>
          </cell>
          <cell r="BR644">
            <v>21.726354796443566</v>
          </cell>
          <cell r="BS644">
            <v>21.726354796443566</v>
          </cell>
          <cell r="BT644">
            <v>21.726354796443566</v>
          </cell>
          <cell r="BU644">
            <v>22.269513666354655</v>
          </cell>
          <cell r="BV644">
            <v>22.269513666354655</v>
          </cell>
          <cell r="BW644">
            <v>22.269513666354655</v>
          </cell>
          <cell r="BX644">
            <v>22.269513666354655</v>
          </cell>
          <cell r="BY644">
            <v>22.269513666354655</v>
          </cell>
          <cell r="BZ644">
            <v>22.82625150801352</v>
          </cell>
          <cell r="CA644">
            <v>22.82625150801352</v>
          </cell>
          <cell r="CB644">
            <v>22.82625150801352</v>
          </cell>
          <cell r="CC644">
            <v>22.82625150801352</v>
          </cell>
          <cell r="CD644">
            <v>22.82625150801352</v>
          </cell>
        </row>
        <row r="645">
          <cell r="B645" t="str">
            <v>Taxes other than income tax</v>
          </cell>
          <cell r="AA645">
            <v>0.1039948361184824</v>
          </cell>
          <cell r="AF645">
            <v>1.2838513009271555</v>
          </cell>
          <cell r="AK645">
            <v>4.8982577470408302</v>
          </cell>
          <cell r="AP645">
            <v>6.3384007127742512</v>
          </cell>
          <cell r="AQ645">
            <v>2.0175513803652412</v>
          </cell>
          <cell r="AR645">
            <v>1.944955711880445</v>
          </cell>
          <cell r="AS645">
            <v>2.0010109168079566</v>
          </cell>
          <cell r="AT645">
            <v>1.8068226878279381</v>
          </cell>
          <cell r="AU645">
            <v>1.9422960502778206</v>
          </cell>
          <cell r="AV645">
            <v>1.8817402298229595</v>
          </cell>
          <cell r="AW645">
            <v>1.8822888239265263</v>
          </cell>
          <cell r="AX645">
            <v>1.8828679969014561</v>
          </cell>
          <cell r="AY645">
            <v>1.8834476610076896</v>
          </cell>
          <cell r="AZ645">
            <v>1.882496488745836</v>
          </cell>
          <cell r="BA645">
            <v>1.7200278245335829</v>
          </cell>
          <cell r="BB645">
            <v>1.7195997360787476</v>
          </cell>
          <cell r="BC645">
            <v>1.7191840217642957</v>
          </cell>
          <cell r="BD645">
            <v>1.7187685936108947</v>
          </cell>
          <cell r="BE645">
            <v>1.7193214271062898</v>
          </cell>
          <cell r="BF645">
            <v>1.6102955526029556</v>
          </cell>
          <cell r="BG645">
            <v>1.6101497405031595</v>
          </cell>
          <cell r="BH645">
            <v>1.6100312220896396</v>
          </cell>
          <cell r="BI645">
            <v>1.6099127292323137</v>
          </cell>
          <cell r="BJ645">
            <v>1.6100262015463236</v>
          </cell>
          <cell r="BK645">
            <v>1.6215939448542218</v>
          </cell>
          <cell r="BL645">
            <v>1.6332907016800959</v>
          </cell>
          <cell r="BM645">
            <v>1.6450914531505525</v>
          </cell>
          <cell r="BN645">
            <v>1.6569673459078977</v>
          </cell>
          <cell r="BO645">
            <v>1.6392121050029984</v>
          </cell>
          <cell r="BP645">
            <v>1.6687800783713935</v>
          </cell>
          <cell r="BQ645">
            <v>1.6806248014641418</v>
          </cell>
          <cell r="BR645">
            <v>1.6925643739877185</v>
          </cell>
          <cell r="BS645">
            <v>1.7045784575464609</v>
          </cell>
          <cell r="BT645">
            <v>1.6866158507169373</v>
          </cell>
          <cell r="BU645">
            <v>1.7167395735489961</v>
          </cell>
          <cell r="BV645">
            <v>1.7289422102669125</v>
          </cell>
          <cell r="BW645">
            <v>1.7412389959102024</v>
          </cell>
          <cell r="BX645">
            <v>1.75361302858943</v>
          </cell>
          <cell r="BY645">
            <v>1.7351103116197104</v>
          </cell>
          <cell r="BZ645">
            <v>1.766011283203887</v>
          </cell>
          <cell r="CA645">
            <v>1.778461962043554</v>
          </cell>
          <cell r="CB645">
            <v>1.7910027209260462</v>
          </cell>
          <cell r="CC645">
            <v>1.8036216520250596</v>
          </cell>
          <cell r="CD645">
            <v>1.784751845363878</v>
          </cell>
        </row>
        <row r="646">
          <cell r="B646" t="str">
            <v>Exploration expense</v>
          </cell>
          <cell r="AA646">
            <v>3.4664945372827466E-2</v>
          </cell>
          <cell r="AF646">
            <v>0.1467258629631035</v>
          </cell>
          <cell r="AK646">
            <v>0.3085516691049342</v>
          </cell>
          <cell r="AP646">
            <v>0.40371979062256375</v>
          </cell>
          <cell r="AQ646">
            <v>0</v>
          </cell>
          <cell r="AR646">
            <v>0</v>
          </cell>
          <cell r="AS646">
            <v>0</v>
          </cell>
          <cell r="AT646">
            <v>0</v>
          </cell>
          <cell r="AU646">
            <v>0</v>
          </cell>
          <cell r="AV646">
            <v>0</v>
          </cell>
          <cell r="AW646">
            <v>0</v>
          </cell>
          <cell r="AX646">
            <v>0</v>
          </cell>
          <cell r="AY646">
            <v>0</v>
          </cell>
          <cell r="AZ646">
            <v>0</v>
          </cell>
          <cell r="BA646">
            <v>0</v>
          </cell>
          <cell r="BB646">
            <v>0</v>
          </cell>
          <cell r="BC646">
            <v>0</v>
          </cell>
          <cell r="BD646">
            <v>0</v>
          </cell>
          <cell r="BE646">
            <v>0</v>
          </cell>
          <cell r="BF646">
            <v>0</v>
          </cell>
          <cell r="BG646">
            <v>0</v>
          </cell>
          <cell r="BH646">
            <v>0</v>
          </cell>
          <cell r="BI646">
            <v>0</v>
          </cell>
          <cell r="BJ646">
            <v>0</v>
          </cell>
          <cell r="BK646">
            <v>0</v>
          </cell>
          <cell r="BL646">
            <v>0</v>
          </cell>
          <cell r="BM646">
            <v>0</v>
          </cell>
          <cell r="BN646">
            <v>0</v>
          </cell>
          <cell r="BO646">
            <v>0</v>
          </cell>
          <cell r="BP646">
            <v>0</v>
          </cell>
          <cell r="BQ646">
            <v>0</v>
          </cell>
          <cell r="BR646">
            <v>0</v>
          </cell>
          <cell r="BS646">
            <v>0</v>
          </cell>
          <cell r="BT646">
            <v>0</v>
          </cell>
          <cell r="BU646">
            <v>0</v>
          </cell>
          <cell r="BV646">
            <v>0</v>
          </cell>
          <cell r="BW646">
            <v>0</v>
          </cell>
          <cell r="BX646">
            <v>0</v>
          </cell>
          <cell r="BY646">
            <v>0</v>
          </cell>
          <cell r="BZ646">
            <v>0</v>
          </cell>
          <cell r="CA646">
            <v>0</v>
          </cell>
          <cell r="CB646">
            <v>0</v>
          </cell>
          <cell r="CC646">
            <v>0</v>
          </cell>
          <cell r="CD646">
            <v>0</v>
          </cell>
        </row>
        <row r="647">
          <cell r="B647" t="str">
            <v>DD&amp;A</v>
          </cell>
          <cell r="AA647">
            <v>10.156828994238447</v>
          </cell>
          <cell r="AF647">
            <v>9.9039957500094857</v>
          </cell>
          <cell r="AK647">
            <v>8.1380502726426389</v>
          </cell>
          <cell r="AP647">
            <v>10.860062367746965</v>
          </cell>
          <cell r="AQ647">
            <v>11.864552413090218</v>
          </cell>
          <cell r="AR647">
            <v>11.864552413090218</v>
          </cell>
          <cell r="AS647">
            <v>11.864552413090218</v>
          </cell>
          <cell r="AT647">
            <v>11.864552413090218</v>
          </cell>
          <cell r="AU647">
            <v>11.864552413090218</v>
          </cell>
          <cell r="AV647">
            <v>12.869042458433471</v>
          </cell>
          <cell r="AW647">
            <v>12.869042458433471</v>
          </cell>
          <cell r="AX647">
            <v>12.869042458433471</v>
          </cell>
          <cell r="AY647">
            <v>12.869042458433471</v>
          </cell>
          <cell r="AZ647">
            <v>12.869042458433471</v>
          </cell>
          <cell r="BA647">
            <v>13.873532503776721</v>
          </cell>
          <cell r="BB647">
            <v>13.873532503776721</v>
          </cell>
          <cell r="BC647">
            <v>13.873532503776721</v>
          </cell>
          <cell r="BD647">
            <v>13.873532503776721</v>
          </cell>
          <cell r="BE647">
            <v>13.873532503776721</v>
          </cell>
          <cell r="BF647">
            <v>14.87802254911997</v>
          </cell>
          <cell r="BG647">
            <v>14.87802254911997</v>
          </cell>
          <cell r="BH647">
            <v>14.87802254911997</v>
          </cell>
          <cell r="BI647">
            <v>14.87802254911997</v>
          </cell>
          <cell r="BJ647">
            <v>14.87802254911997</v>
          </cell>
          <cell r="BK647">
            <v>15.882512594463224</v>
          </cell>
          <cell r="BL647">
            <v>15.882512594463224</v>
          </cell>
          <cell r="BM647">
            <v>15.882512594463224</v>
          </cell>
          <cell r="BN647">
            <v>15.882512594463224</v>
          </cell>
          <cell r="BO647">
            <v>15.882512594463224</v>
          </cell>
          <cell r="BP647">
            <v>16.887002639806475</v>
          </cell>
          <cell r="BQ647">
            <v>16.887002639806475</v>
          </cell>
          <cell r="BR647">
            <v>16.887002639806475</v>
          </cell>
          <cell r="BS647">
            <v>16.887002639806475</v>
          </cell>
          <cell r="BT647">
            <v>16.887002639806475</v>
          </cell>
          <cell r="BU647">
            <v>17.891492685149725</v>
          </cell>
          <cell r="BV647">
            <v>17.891492685149725</v>
          </cell>
          <cell r="BW647">
            <v>17.891492685149725</v>
          </cell>
          <cell r="BX647">
            <v>17.891492685149725</v>
          </cell>
          <cell r="BY647">
            <v>17.891492685149725</v>
          </cell>
          <cell r="BZ647">
            <v>18.895982730492982</v>
          </cell>
          <cell r="CA647">
            <v>18.895982730492982</v>
          </cell>
          <cell r="CB647">
            <v>18.895982730492982</v>
          </cell>
          <cell r="CC647">
            <v>18.895982730492982</v>
          </cell>
          <cell r="CD647">
            <v>18.895982730492982</v>
          </cell>
        </row>
        <row r="648">
          <cell r="B648" t="str">
            <v>Other income/(cost)</v>
          </cell>
          <cell r="AA648">
            <v>-11.855411317506993</v>
          </cell>
          <cell r="AF648">
            <v>-0.6602663833339657</v>
          </cell>
          <cell r="AK648">
            <v>-3.9726027397260277</v>
          </cell>
          <cell r="AP648">
            <v>0.52483572780933285</v>
          </cell>
          <cell r="AQ648">
            <v>0</v>
          </cell>
          <cell r="AR648">
            <v>0</v>
          </cell>
          <cell r="AS648">
            <v>0</v>
          </cell>
          <cell r="AT648">
            <v>0</v>
          </cell>
          <cell r="AU648">
            <v>0</v>
          </cell>
          <cell r="AV648">
            <v>0</v>
          </cell>
          <cell r="AW648">
            <v>0</v>
          </cell>
          <cell r="AX648">
            <v>0</v>
          </cell>
          <cell r="AY648">
            <v>0</v>
          </cell>
          <cell r="AZ648">
            <v>0</v>
          </cell>
          <cell r="BA648">
            <v>0</v>
          </cell>
          <cell r="BB648">
            <v>0</v>
          </cell>
          <cell r="BC648">
            <v>0</v>
          </cell>
          <cell r="BD648">
            <v>0</v>
          </cell>
          <cell r="BE648">
            <v>0</v>
          </cell>
          <cell r="BF648">
            <v>0</v>
          </cell>
          <cell r="BG648">
            <v>0</v>
          </cell>
          <cell r="BH648">
            <v>0</v>
          </cell>
          <cell r="BI648">
            <v>0</v>
          </cell>
          <cell r="BJ648">
            <v>0</v>
          </cell>
          <cell r="BK648">
            <v>0</v>
          </cell>
          <cell r="BL648">
            <v>0</v>
          </cell>
          <cell r="BM648">
            <v>0</v>
          </cell>
          <cell r="BN648">
            <v>0</v>
          </cell>
          <cell r="BO648">
            <v>0</v>
          </cell>
          <cell r="BP648">
            <v>0</v>
          </cell>
          <cell r="BQ648">
            <v>0</v>
          </cell>
          <cell r="BR648">
            <v>0</v>
          </cell>
          <cell r="BS648">
            <v>0</v>
          </cell>
          <cell r="BT648">
            <v>0</v>
          </cell>
          <cell r="BU648">
            <v>0</v>
          </cell>
          <cell r="BV648">
            <v>0</v>
          </cell>
          <cell r="BW648">
            <v>0</v>
          </cell>
          <cell r="BX648">
            <v>0</v>
          </cell>
          <cell r="BY648">
            <v>0</v>
          </cell>
          <cell r="BZ648">
            <v>0</v>
          </cell>
          <cell r="CA648">
            <v>0</v>
          </cell>
          <cell r="CB648">
            <v>0</v>
          </cell>
          <cell r="CC648">
            <v>0</v>
          </cell>
          <cell r="CD648">
            <v>0</v>
          </cell>
        </row>
        <row r="649">
          <cell r="B649" t="str">
            <v>Earnings before tax</v>
          </cell>
          <cell r="AA649">
            <v>41.736594228884272</v>
          </cell>
          <cell r="AF649">
            <v>47.062320545415446</v>
          </cell>
          <cell r="AK649">
            <v>81.264795850512044</v>
          </cell>
          <cell r="AP649">
            <v>73.194398039870805</v>
          </cell>
          <cell r="AQ649">
            <v>68.249746046724411</v>
          </cell>
          <cell r="AR649">
            <v>64.692558290969401</v>
          </cell>
          <cell r="AS649">
            <v>67.439263332417454</v>
          </cell>
          <cell r="AT649">
            <v>57.924040112396561</v>
          </cell>
          <cell r="AU649">
            <v>64.563452795275779</v>
          </cell>
          <cell r="AV649">
            <v>59.653223665905259</v>
          </cell>
          <cell r="AW649">
            <v>59.680104776980016</v>
          </cell>
          <cell r="AX649">
            <v>59.708484252751582</v>
          </cell>
          <cell r="AY649">
            <v>59.73688779395701</v>
          </cell>
          <cell r="AZ649">
            <v>59.691872663293935</v>
          </cell>
          <cell r="BA649">
            <v>50.232750632957881</v>
          </cell>
          <cell r="BB649">
            <v>50.211774298670946</v>
          </cell>
          <cell r="BC649">
            <v>50.191404297262807</v>
          </cell>
          <cell r="BD649">
            <v>50.171048317746155</v>
          </cell>
          <cell r="BE649">
            <v>50.199552379111829</v>
          </cell>
          <cell r="BF649">
            <v>43.347002256378623</v>
          </cell>
          <cell r="BG649">
            <v>43.339857463488613</v>
          </cell>
          <cell r="BH649">
            <v>43.334050061226137</v>
          </cell>
          <cell r="BI649">
            <v>43.328243911217186</v>
          </cell>
          <cell r="BJ649">
            <v>43.335361123102025</v>
          </cell>
          <cell r="BK649">
            <v>42.379146999546265</v>
          </cell>
          <cell r="BL649">
            <v>42.9522880840141</v>
          </cell>
          <cell r="BM649">
            <v>43.530524906066461</v>
          </cell>
          <cell r="BN649">
            <v>44.112443651176392</v>
          </cell>
          <cell r="BO649">
            <v>43.244168197487483</v>
          </cell>
          <cell r="BP649">
            <v>43.156866403948243</v>
          </cell>
          <cell r="BQ649">
            <v>43.737257835492898</v>
          </cell>
          <cell r="BR649">
            <v>44.322296889148156</v>
          </cell>
          <cell r="BS649">
            <v>44.910986983526541</v>
          </cell>
          <cell r="BT649">
            <v>44.03257147202541</v>
          </cell>
          <cell r="BU649">
            <v>43.959232752396439</v>
          </cell>
          <cell r="BV649">
            <v>44.557161951574336</v>
          </cell>
          <cell r="BW649">
            <v>45.159704448095539</v>
          </cell>
          <cell r="BX649">
            <v>45.766032049377692</v>
          </cell>
          <cell r="BY649">
            <v>44.861239801074269</v>
          </cell>
          <cell r="BZ649">
            <v>44.812318638483958</v>
          </cell>
          <cell r="CA649">
            <v>45.422401901627637</v>
          </cell>
          <cell r="CB649">
            <v>46.036899086869759</v>
          </cell>
          <cell r="CC649">
            <v>46.655226710721429</v>
          </cell>
          <cell r="CD649">
            <v>45.732497502350782</v>
          </cell>
        </row>
        <row r="651">
          <cell r="B651" t="str">
            <v>Suggested DD&amp;A/boe for convergence</v>
          </cell>
          <cell r="AA651">
            <v>10.156828994238447</v>
          </cell>
          <cell r="AF651">
            <v>9.9039957500094857</v>
          </cell>
          <cell r="AK651">
            <v>8.1380502726426389</v>
          </cell>
          <cell r="AP651">
            <v>10.860062367746965</v>
          </cell>
          <cell r="AU651">
            <v>11.864552413090218</v>
          </cell>
          <cell r="AZ651">
            <v>12.869042458433471</v>
          </cell>
          <cell r="BE651">
            <v>13.873532503776721</v>
          </cell>
          <cell r="BJ651">
            <v>14.87802254911997</v>
          </cell>
          <cell r="BO651">
            <v>15.882512594463224</v>
          </cell>
          <cell r="BT651">
            <v>16.887002639806475</v>
          </cell>
          <cell r="BY651">
            <v>17.891492685149725</v>
          </cell>
          <cell r="CD651">
            <v>18.895982730492982</v>
          </cell>
        </row>
        <row r="653">
          <cell r="A653" t="str">
            <v>As percent of revenue</v>
          </cell>
        </row>
        <row r="654">
          <cell r="B654" t="str">
            <v>Production cost excluding taxes</v>
          </cell>
          <cell r="AA654">
            <v>0.2814631122132672</v>
          </cell>
          <cell r="AF654">
            <v>0.22194760257043994</v>
          </cell>
          <cell r="AK654">
            <v>0.16280726754542216</v>
          </cell>
          <cell r="AP654">
            <v>0.16685082872928178</v>
          </cell>
          <cell r="AQ654">
            <v>0.18582643654595421</v>
          </cell>
          <cell r="AR654">
            <v>0.1927624270678969</v>
          </cell>
          <cell r="AS654">
            <v>0.18736248783675455</v>
          </cell>
          <cell r="AT654">
            <v>0.20749926713193148</v>
          </cell>
          <cell r="AU654">
            <v>0.19301870402197671</v>
          </cell>
          <cell r="AV654">
            <v>0.2092000247966016</v>
          </cell>
          <cell r="AW654">
            <v>0.2091390533353622</v>
          </cell>
          <cell r="AX654">
            <v>0.20907472185387038</v>
          </cell>
          <cell r="AY654">
            <v>0.2090103754351785</v>
          </cell>
          <cell r="AZ654">
            <v>0.20910575338944856</v>
          </cell>
          <cell r="BA654">
            <v>0.23459016159673809</v>
          </cell>
          <cell r="BB654">
            <v>0.23464856201265502</v>
          </cell>
          <cell r="BC654">
            <v>0.23470530216662297</v>
          </cell>
          <cell r="BD654">
            <v>0.234762030681814</v>
          </cell>
          <cell r="BE654">
            <v>0.23467679023083868</v>
          </cell>
          <cell r="BF654">
            <v>0.25684051897950044</v>
          </cell>
          <cell r="BG654">
            <v>0.25686377796867582</v>
          </cell>
          <cell r="BH654">
            <v>0.25688268635196548</v>
          </cell>
          <cell r="BI654">
            <v>0.25690159344112051</v>
          </cell>
          <cell r="BJ654">
            <v>0.25687223841446372</v>
          </cell>
          <cell r="BK654">
            <v>0.26142726754881784</v>
          </cell>
          <cell r="BL654">
            <v>0.25955506490110436</v>
          </cell>
          <cell r="BM654">
            <v>0.25769319587982281</v>
          </cell>
          <cell r="BN654">
            <v>0.25584624532516992</v>
          </cell>
          <cell r="BO654">
            <v>0.25860538609365918</v>
          </cell>
          <cell r="BP654">
            <v>0.26038607576915573</v>
          </cell>
          <cell r="BQ654">
            <v>0.2585509243647458</v>
          </cell>
          <cell r="BR654">
            <v>0.25672707201387918</v>
          </cell>
          <cell r="BS654">
            <v>0.25491762729086798</v>
          </cell>
          <cell r="BT654">
            <v>0.25762083136989705</v>
          </cell>
          <cell r="BU654">
            <v>0.25943962624822753</v>
          </cell>
          <cell r="BV654">
            <v>0.25760853698998659</v>
          </cell>
          <cell r="BW654">
            <v>0.25578928244383425</v>
          </cell>
          <cell r="BX654">
            <v>0.25398435462432428</v>
          </cell>
          <cell r="BY654">
            <v>0.25668100450655856</v>
          </cell>
          <cell r="BZ654">
            <v>0.25850629296775807</v>
          </cell>
          <cell r="CA654">
            <v>0.25669653886535598</v>
          </cell>
          <cell r="CB654">
            <v>0.25489912707905993</v>
          </cell>
          <cell r="CC654">
            <v>0.25311574056992264</v>
          </cell>
          <cell r="CD654">
            <v>0.25578028482149529</v>
          </cell>
        </row>
        <row r="655">
          <cell r="B655" t="str">
            <v>Taxes other than income tax</v>
          </cell>
          <cell r="AA655">
            <v>1.8598884066955983E-3</v>
          </cell>
          <cell r="AF655">
            <v>1.7301038062283738E-2</v>
          </cell>
          <cell r="AK655">
            <v>4.5244032775204848E-2</v>
          </cell>
          <cell r="AP655">
            <v>5.7826887661141801E-2</v>
          </cell>
          <cell r="AQ655">
            <v>0.02</v>
          </cell>
          <cell r="AR655">
            <v>0.02</v>
          </cell>
          <cell r="AS655">
            <v>0.02</v>
          </cell>
          <cell r="AT655">
            <v>0.02</v>
          </cell>
          <cell r="AU655">
            <v>0.02</v>
          </cell>
          <cell r="AV655">
            <v>0.02</v>
          </cell>
          <cell r="AW655">
            <v>0.02</v>
          </cell>
          <cell r="AX655">
            <v>0.02</v>
          </cell>
          <cell r="AY655">
            <v>0.02</v>
          </cell>
          <cell r="AZ655">
            <v>0.02</v>
          </cell>
          <cell r="BA655">
            <v>0.02</v>
          </cell>
          <cell r="BB655">
            <v>0.02</v>
          </cell>
          <cell r="BC655">
            <v>0.02</v>
          </cell>
          <cell r="BD655">
            <v>0.02</v>
          </cell>
          <cell r="BE655">
            <v>0.02</v>
          </cell>
          <cell r="BF655">
            <v>0.02</v>
          </cell>
          <cell r="BG655">
            <v>0.02</v>
          </cell>
          <cell r="BH655">
            <v>0.02</v>
          </cell>
          <cell r="BI655">
            <v>0.02</v>
          </cell>
          <cell r="BJ655">
            <v>0.02</v>
          </cell>
          <cell r="BK655">
            <v>0.02</v>
          </cell>
          <cell r="BL655">
            <v>0.02</v>
          </cell>
          <cell r="BM655">
            <v>0.02</v>
          </cell>
          <cell r="BN655">
            <v>0.02</v>
          </cell>
          <cell r="BO655">
            <v>0.02</v>
          </cell>
          <cell r="BP655">
            <v>0.02</v>
          </cell>
          <cell r="BQ655">
            <v>0.02</v>
          </cell>
          <cell r="BR655">
            <v>0.02</v>
          </cell>
          <cell r="BS655">
            <v>0.02</v>
          </cell>
          <cell r="BT655">
            <v>0.02</v>
          </cell>
          <cell r="BU655">
            <v>0.02</v>
          </cell>
          <cell r="BV655">
            <v>0.02</v>
          </cell>
          <cell r="BW655">
            <v>0.02</v>
          </cell>
          <cell r="BX655">
            <v>0.02</v>
          </cell>
          <cell r="BY655">
            <v>0.02</v>
          </cell>
          <cell r="BZ655">
            <v>0.02</v>
          </cell>
          <cell r="CA655">
            <v>0.02</v>
          </cell>
          <cell r="CB655">
            <v>0.02</v>
          </cell>
          <cell r="CC655">
            <v>0.02</v>
          </cell>
          <cell r="CD655">
            <v>0.02</v>
          </cell>
        </row>
        <row r="656">
          <cell r="B656" t="str">
            <v>Exploration expense</v>
          </cell>
          <cell r="AA656">
            <v>6.1996280223186606E-4</v>
          </cell>
          <cell r="AF656">
            <v>1.9772614928324269E-3</v>
          </cell>
          <cell r="AK656">
            <v>2.8500178126113287E-3</v>
          </cell>
          <cell r="AP656">
            <v>3.6832412523020259E-3</v>
          </cell>
          <cell r="AQ656">
            <v>0</v>
          </cell>
          <cell r="AR656">
            <v>0</v>
          </cell>
          <cell r="AS656">
            <v>0</v>
          </cell>
          <cell r="AT656">
            <v>0</v>
          </cell>
          <cell r="AU656">
            <v>0</v>
          </cell>
          <cell r="AV656">
            <v>0</v>
          </cell>
          <cell r="AW656">
            <v>0</v>
          </cell>
          <cell r="AX656">
            <v>0</v>
          </cell>
          <cell r="AY656">
            <v>0</v>
          </cell>
          <cell r="AZ656">
            <v>0</v>
          </cell>
          <cell r="BA656">
            <v>0</v>
          </cell>
          <cell r="BB656">
            <v>0</v>
          </cell>
          <cell r="BC656">
            <v>0</v>
          </cell>
          <cell r="BD656">
            <v>0</v>
          </cell>
          <cell r="BE656">
            <v>0</v>
          </cell>
          <cell r="BF656">
            <v>0</v>
          </cell>
          <cell r="BG656">
            <v>0</v>
          </cell>
          <cell r="BH656">
            <v>0</v>
          </cell>
          <cell r="BI656">
            <v>0</v>
          </cell>
          <cell r="BJ656">
            <v>0</v>
          </cell>
          <cell r="BK656">
            <v>0</v>
          </cell>
          <cell r="BL656">
            <v>0</v>
          </cell>
          <cell r="BM656">
            <v>0</v>
          </cell>
          <cell r="BN656">
            <v>0</v>
          </cell>
          <cell r="BO656">
            <v>0</v>
          </cell>
          <cell r="BP656">
            <v>0</v>
          </cell>
          <cell r="BQ656">
            <v>0</v>
          </cell>
          <cell r="BR656">
            <v>0</v>
          </cell>
          <cell r="BS656">
            <v>0</v>
          </cell>
          <cell r="BT656">
            <v>0</v>
          </cell>
          <cell r="BU656">
            <v>0</v>
          </cell>
          <cell r="BV656">
            <v>0</v>
          </cell>
          <cell r="BW656">
            <v>0</v>
          </cell>
          <cell r="BX656">
            <v>0</v>
          </cell>
          <cell r="BY656">
            <v>0</v>
          </cell>
          <cell r="BZ656">
            <v>0</v>
          </cell>
          <cell r="CA656">
            <v>0</v>
          </cell>
          <cell r="CB656">
            <v>0</v>
          </cell>
          <cell r="CC656">
            <v>0</v>
          </cell>
          <cell r="CD656">
            <v>0</v>
          </cell>
        </row>
        <row r="657">
          <cell r="B657" t="str">
            <v>DD&amp;A</v>
          </cell>
          <cell r="AA657">
            <v>0.18164910105393675</v>
          </cell>
          <cell r="AF657">
            <v>0.13346515076618884</v>
          </cell>
          <cell r="AK657">
            <v>7.5169219807623797E-2</v>
          </cell>
          <cell r="AP657">
            <v>9.9079189686924488E-2</v>
          </cell>
          <cell r="AQ657">
            <v>0.11761338549843876</v>
          </cell>
          <cell r="AR657">
            <v>0.12200331699706612</v>
          </cell>
          <cell r="AS657">
            <v>0.11858558405085301</v>
          </cell>
          <cell r="AT657">
            <v>0.13133056711118815</v>
          </cell>
          <cell r="AU657">
            <v>0.1221655199685852</v>
          </cell>
          <cell r="AV657">
            <v>0.13677809778923877</v>
          </cell>
          <cell r="AW657">
            <v>0.13673823373809507</v>
          </cell>
          <cell r="AX657">
            <v>0.13669617285557378</v>
          </cell>
          <cell r="AY657">
            <v>0.13665410220688823</v>
          </cell>
          <cell r="AZ657">
            <v>0.1367164617365717</v>
          </cell>
          <cell r="BA657">
            <v>0.16131753575019966</v>
          </cell>
          <cell r="BB657">
            <v>0.16135769519728976</v>
          </cell>
          <cell r="BC657">
            <v>0.16139671295384822</v>
          </cell>
          <cell r="BD657">
            <v>0.1614357227069218</v>
          </cell>
          <cell r="BE657">
            <v>0.16137710652539067</v>
          </cell>
          <cell r="BF657">
            <v>0.18478623411795994</v>
          </cell>
          <cell r="BG657">
            <v>0.18480296800806492</v>
          </cell>
          <cell r="BH657">
            <v>0.18481657181542072</v>
          </cell>
          <cell r="BI657">
            <v>0.1848301746916996</v>
          </cell>
          <cell r="BJ657">
            <v>0.1848090549522991</v>
          </cell>
          <cell r="BK657">
            <v>0.1958876652797446</v>
          </cell>
          <cell r="BL657">
            <v>0.19448482230536873</v>
          </cell>
          <cell r="BM657">
            <v>0.19308972232572555</v>
          </cell>
          <cell r="BN657">
            <v>0.19170580076532237</v>
          </cell>
          <cell r="BO657">
            <v>0.19377322719862894</v>
          </cell>
          <cell r="BP657">
            <v>0.20238739494405933</v>
          </cell>
          <cell r="BQ657">
            <v>0.20096100718131382</v>
          </cell>
          <cell r="BR657">
            <v>0.19954340170850143</v>
          </cell>
          <cell r="BS657">
            <v>0.19813699469267401</v>
          </cell>
          <cell r="BT657">
            <v>0.20023808412282418</v>
          </cell>
          <cell r="BU657">
            <v>0.20843572270152597</v>
          </cell>
          <cell r="BV657">
            <v>0.20696461199113941</v>
          </cell>
          <cell r="BW657">
            <v>0.2055030093763465</v>
          </cell>
          <cell r="BX657">
            <v>0.20405291696014907</v>
          </cell>
          <cell r="BY657">
            <v>0.20621942550475633</v>
          </cell>
          <cell r="BZ657">
            <v>0.21399617216728087</v>
          </cell>
          <cell r="CA657">
            <v>0.21249802507758361</v>
          </cell>
          <cell r="CB657">
            <v>0.21101009517978539</v>
          </cell>
          <cell r="CC657">
            <v>0.2095337756594024</v>
          </cell>
          <cell r="CD657">
            <v>0.21173953345299695</v>
          </cell>
        </row>
        <row r="658">
          <cell r="B658" t="str">
            <v>Other income/(cost)</v>
          </cell>
          <cell r="AA658">
            <v>-0.21202727836329821</v>
          </cell>
          <cell r="AF658">
            <v>-8.8976767177459219E-3</v>
          </cell>
          <cell r="AK658">
            <v>-3.6693979337370862E-2</v>
          </cell>
          <cell r="AP658">
            <v>4.7882136279926331E-3</v>
          </cell>
          <cell r="AQ658">
            <v>0</v>
          </cell>
          <cell r="AR658">
            <v>0</v>
          </cell>
          <cell r="AS658">
            <v>0</v>
          </cell>
          <cell r="AT658">
            <v>0</v>
          </cell>
          <cell r="AU658">
            <v>0</v>
          </cell>
          <cell r="AV658">
            <v>0</v>
          </cell>
          <cell r="AW658">
            <v>0</v>
          </cell>
          <cell r="AX658">
            <v>0</v>
          </cell>
          <cell r="AY658">
            <v>0</v>
          </cell>
          <cell r="AZ658">
            <v>0</v>
          </cell>
          <cell r="BA658">
            <v>0</v>
          </cell>
          <cell r="BB658">
            <v>0</v>
          </cell>
          <cell r="BC658">
            <v>0</v>
          </cell>
          <cell r="BD658">
            <v>0</v>
          </cell>
          <cell r="BE658">
            <v>0</v>
          </cell>
          <cell r="BF658">
            <v>0</v>
          </cell>
          <cell r="BG658">
            <v>0</v>
          </cell>
          <cell r="BH658">
            <v>0</v>
          </cell>
          <cell r="BI658">
            <v>0</v>
          </cell>
          <cell r="BJ658">
            <v>0</v>
          </cell>
          <cell r="BK658">
            <v>0</v>
          </cell>
          <cell r="BL658">
            <v>0</v>
          </cell>
          <cell r="BM658">
            <v>0</v>
          </cell>
          <cell r="BN658">
            <v>0</v>
          </cell>
          <cell r="BO658">
            <v>0</v>
          </cell>
          <cell r="BP658">
            <v>0</v>
          </cell>
          <cell r="BQ658">
            <v>0</v>
          </cell>
          <cell r="BR658">
            <v>0</v>
          </cell>
          <cell r="BS658">
            <v>0</v>
          </cell>
          <cell r="BT658">
            <v>0</v>
          </cell>
          <cell r="BU658">
            <v>0</v>
          </cell>
          <cell r="BV658">
            <v>0</v>
          </cell>
          <cell r="BW658">
            <v>0</v>
          </cell>
          <cell r="BX658">
            <v>0</v>
          </cell>
          <cell r="BY658">
            <v>0</v>
          </cell>
          <cell r="BZ658">
            <v>0</v>
          </cell>
          <cell r="CA658">
            <v>0</v>
          </cell>
          <cell r="CB658">
            <v>0</v>
          </cell>
          <cell r="CC658">
            <v>0</v>
          </cell>
          <cell r="CD658">
            <v>0</v>
          </cell>
        </row>
        <row r="660">
          <cell r="A660" t="str">
            <v>Effective tax rate</v>
          </cell>
          <cell r="AA660">
            <v>0.36295681063122925</v>
          </cell>
          <cell r="AF660">
            <v>0.36243180046765394</v>
          </cell>
          <cell r="AK660">
            <v>0.36307546274323682</v>
          </cell>
          <cell r="AP660">
            <v>0.36293436293436293</v>
          </cell>
          <cell r="AQ660">
            <v>0.35</v>
          </cell>
          <cell r="AR660">
            <v>0.35</v>
          </cell>
          <cell r="AS660">
            <v>0.35</v>
          </cell>
          <cell r="AT660">
            <v>0.35</v>
          </cell>
          <cell r="AU660">
            <v>0.35</v>
          </cell>
          <cell r="AV660">
            <v>0.35</v>
          </cell>
          <cell r="AW660">
            <v>0.35</v>
          </cell>
          <cell r="AX660">
            <v>0.35</v>
          </cell>
          <cell r="AY660">
            <v>0.35</v>
          </cell>
          <cell r="AZ660">
            <v>0.35</v>
          </cell>
          <cell r="BA660">
            <v>0.35</v>
          </cell>
          <cell r="BB660">
            <v>0.35</v>
          </cell>
          <cell r="BC660">
            <v>0.35</v>
          </cell>
          <cell r="BD660">
            <v>0.35</v>
          </cell>
          <cell r="BE660">
            <v>0.35</v>
          </cell>
          <cell r="BF660">
            <v>0.35</v>
          </cell>
          <cell r="BG660">
            <v>0.35</v>
          </cell>
          <cell r="BH660">
            <v>0.35</v>
          </cell>
          <cell r="BI660">
            <v>0.35</v>
          </cell>
          <cell r="BJ660">
            <v>0.35</v>
          </cell>
          <cell r="BK660">
            <v>0.35</v>
          </cell>
          <cell r="BL660">
            <v>0.35</v>
          </cell>
          <cell r="BM660">
            <v>0.35</v>
          </cell>
          <cell r="BN660">
            <v>0.35</v>
          </cell>
          <cell r="BO660">
            <v>0.35</v>
          </cell>
          <cell r="BP660">
            <v>0.35</v>
          </cell>
          <cell r="BQ660">
            <v>0.35</v>
          </cell>
          <cell r="BR660">
            <v>0.35</v>
          </cell>
          <cell r="BS660">
            <v>0.35</v>
          </cell>
          <cell r="BT660">
            <v>0.35</v>
          </cell>
          <cell r="BU660">
            <v>0.35</v>
          </cell>
          <cell r="BV660">
            <v>0.35</v>
          </cell>
          <cell r="BW660">
            <v>0.35</v>
          </cell>
          <cell r="BX660">
            <v>0.35</v>
          </cell>
          <cell r="BY660">
            <v>0.35</v>
          </cell>
          <cell r="BZ660">
            <v>0.35</v>
          </cell>
          <cell r="CA660">
            <v>0.35</v>
          </cell>
          <cell r="CB660">
            <v>0.35</v>
          </cell>
          <cell r="CC660">
            <v>0.35</v>
          </cell>
          <cell r="CD660">
            <v>0.35</v>
          </cell>
        </row>
        <row r="664">
          <cell r="A664" t="str">
            <v>Canada</v>
          </cell>
        </row>
        <row r="665">
          <cell r="C665">
            <v>2001</v>
          </cell>
          <cell r="D665">
            <v>2002</v>
          </cell>
          <cell r="E665">
            <v>2003</v>
          </cell>
          <cell r="F665">
            <v>2004</v>
          </cell>
          <cell r="G665">
            <v>2005</v>
          </cell>
          <cell r="H665" t="str">
            <v>1Q06</v>
          </cell>
          <cell r="I665" t="str">
            <v>2Q06</v>
          </cell>
          <cell r="J665" t="str">
            <v>3Q06</v>
          </cell>
          <cell r="K665" t="str">
            <v>4Q06</v>
          </cell>
          <cell r="L665">
            <v>2006</v>
          </cell>
          <cell r="M665" t="str">
            <v>1Q07</v>
          </cell>
          <cell r="N665" t="str">
            <v>2Q07</v>
          </cell>
          <cell r="O665" t="str">
            <v>3Q07</v>
          </cell>
          <cell r="P665" t="str">
            <v>4Q07</v>
          </cell>
          <cell r="Q665">
            <v>2007</v>
          </cell>
          <cell r="R665" t="str">
            <v>1Q08</v>
          </cell>
          <cell r="S665" t="str">
            <v>2Q08</v>
          </cell>
          <cell r="T665" t="str">
            <v>3Q08</v>
          </cell>
          <cell r="U665" t="str">
            <v>4Q08</v>
          </cell>
          <cell r="V665">
            <v>2008</v>
          </cell>
          <cell r="W665" t="str">
            <v>1Q09</v>
          </cell>
          <cell r="X665" t="str">
            <v>2Q09</v>
          </cell>
          <cell r="Y665" t="str">
            <v>3Q09</v>
          </cell>
          <cell r="Z665" t="str">
            <v>4Q09</v>
          </cell>
          <cell r="AA665">
            <v>2009</v>
          </cell>
          <cell r="AB665" t="str">
            <v>1Q10</v>
          </cell>
          <cell r="AC665" t="str">
            <v>2Q10</v>
          </cell>
          <cell r="AD665" t="str">
            <v>3Q10</v>
          </cell>
          <cell r="AE665" t="str">
            <v>4Q10</v>
          </cell>
          <cell r="AF665">
            <v>2010</v>
          </cell>
          <cell r="AG665" t="str">
            <v>1Q11</v>
          </cell>
          <cell r="AH665" t="str">
            <v>2Q11</v>
          </cell>
          <cell r="AI665" t="str">
            <v>3Q11</v>
          </cell>
          <cell r="AJ665" t="str">
            <v>4Q11</v>
          </cell>
          <cell r="AK665">
            <v>2011</v>
          </cell>
          <cell r="AL665" t="str">
            <v>1Q12</v>
          </cell>
          <cell r="AM665" t="str">
            <v>2Q12</v>
          </cell>
          <cell r="AN665" t="str">
            <v>3Q12</v>
          </cell>
          <cell r="AO665" t="str">
            <v>4Q12</v>
          </cell>
          <cell r="AP665">
            <v>2012</v>
          </cell>
          <cell r="AQ665" t="str">
            <v>1Q13</v>
          </cell>
          <cell r="AR665" t="str">
            <v>2Q13</v>
          </cell>
          <cell r="AS665" t="str">
            <v>3Q13</v>
          </cell>
          <cell r="AT665" t="str">
            <v>4Q13</v>
          </cell>
          <cell r="AU665">
            <v>2013</v>
          </cell>
          <cell r="AV665" t="str">
            <v>1Q14</v>
          </cell>
          <cell r="AW665" t="str">
            <v>2Q14</v>
          </cell>
          <cell r="AX665" t="str">
            <v>3Q14</v>
          </cell>
          <cell r="AY665" t="str">
            <v>4Q14</v>
          </cell>
          <cell r="AZ665">
            <v>2014</v>
          </cell>
          <cell r="BA665" t="str">
            <v>1Q15</v>
          </cell>
          <cell r="BB665" t="str">
            <v>2Q15</v>
          </cell>
          <cell r="BC665" t="str">
            <v>3Q15</v>
          </cell>
          <cell r="BD665" t="str">
            <v>4Q15</v>
          </cell>
          <cell r="BE665">
            <v>2015</v>
          </cell>
          <cell r="BF665" t="str">
            <v>1Q16</v>
          </cell>
          <cell r="BG665" t="str">
            <v>2Q16</v>
          </cell>
          <cell r="BH665" t="str">
            <v>3Q16</v>
          </cell>
          <cell r="BI665" t="str">
            <v>4Q16</v>
          </cell>
          <cell r="BJ665">
            <v>2016</v>
          </cell>
          <cell r="BK665" t="str">
            <v>1Q17</v>
          </cell>
          <cell r="BL665" t="str">
            <v>2Q17</v>
          </cell>
          <cell r="BM665" t="str">
            <v>3Q17</v>
          </cell>
          <cell r="BN665" t="str">
            <v>4Q17</v>
          </cell>
          <cell r="BO665">
            <v>2017</v>
          </cell>
          <cell r="BP665" t="str">
            <v>1Q18</v>
          </cell>
          <cell r="BQ665" t="str">
            <v>2Q18</v>
          </cell>
          <cell r="BR665" t="str">
            <v>3Q18</v>
          </cell>
          <cell r="BS665" t="str">
            <v>4Q18</v>
          </cell>
          <cell r="BT665">
            <v>2018</v>
          </cell>
          <cell r="BU665" t="str">
            <v>1Q19</v>
          </cell>
          <cell r="BV665" t="str">
            <v>2Q19</v>
          </cell>
          <cell r="BW665" t="str">
            <v>3Q19</v>
          </cell>
          <cell r="BX665" t="str">
            <v>4Q19</v>
          </cell>
          <cell r="BY665">
            <v>2019</v>
          </cell>
          <cell r="BZ665" t="str">
            <v>1Q20</v>
          </cell>
          <cell r="CA665" t="str">
            <v>2Q20</v>
          </cell>
          <cell r="CB665" t="str">
            <v>3Q20</v>
          </cell>
          <cell r="CC665" t="str">
            <v>4Q20</v>
          </cell>
          <cell r="CD665">
            <v>2020</v>
          </cell>
        </row>
        <row r="666">
          <cell r="A666" t="str">
            <v>Third parties</v>
          </cell>
        </row>
        <row r="667">
          <cell r="A667" t="str">
            <v>Sales between businesses</v>
          </cell>
        </row>
        <row r="668">
          <cell r="A668" t="str">
            <v>Revenue</v>
          </cell>
          <cell r="AA668">
            <v>0</v>
          </cell>
          <cell r="AF668">
            <v>0</v>
          </cell>
          <cell r="AK668">
            <v>0</v>
          </cell>
          <cell r="AP668">
            <v>0</v>
          </cell>
          <cell r="AQ668">
            <v>0</v>
          </cell>
          <cell r="AR668">
            <v>0</v>
          </cell>
          <cell r="AS668">
            <v>0</v>
          </cell>
          <cell r="AT668">
            <v>0</v>
          </cell>
          <cell r="AU668">
            <v>0</v>
          </cell>
          <cell r="AV668">
            <v>0</v>
          </cell>
          <cell r="AW668">
            <v>0</v>
          </cell>
          <cell r="AX668">
            <v>0</v>
          </cell>
          <cell r="AY668">
            <v>0</v>
          </cell>
          <cell r="AZ668">
            <v>0</v>
          </cell>
          <cell r="BA668">
            <v>0</v>
          </cell>
          <cell r="BB668">
            <v>0</v>
          </cell>
          <cell r="BC668">
            <v>0</v>
          </cell>
          <cell r="BD668">
            <v>0</v>
          </cell>
          <cell r="BE668">
            <v>0</v>
          </cell>
          <cell r="BF668">
            <v>0</v>
          </cell>
          <cell r="BG668">
            <v>0</v>
          </cell>
          <cell r="BH668">
            <v>0</v>
          </cell>
          <cell r="BI668">
            <v>0</v>
          </cell>
          <cell r="BJ668">
            <v>0</v>
          </cell>
          <cell r="BK668">
            <v>0</v>
          </cell>
          <cell r="BL668">
            <v>0</v>
          </cell>
          <cell r="BM668">
            <v>0</v>
          </cell>
          <cell r="BN668">
            <v>0</v>
          </cell>
          <cell r="BO668">
            <v>0</v>
          </cell>
          <cell r="BP668">
            <v>0</v>
          </cell>
          <cell r="BQ668">
            <v>0</v>
          </cell>
          <cell r="BR668">
            <v>0</v>
          </cell>
          <cell r="BS668">
            <v>0</v>
          </cell>
          <cell r="BT668">
            <v>0</v>
          </cell>
          <cell r="BU668">
            <v>0</v>
          </cell>
          <cell r="BV668">
            <v>0</v>
          </cell>
          <cell r="BW668">
            <v>0</v>
          </cell>
          <cell r="BX668">
            <v>0</v>
          </cell>
          <cell r="BY668">
            <v>0</v>
          </cell>
          <cell r="BZ668">
            <v>0</v>
          </cell>
          <cell r="CA668">
            <v>0</v>
          </cell>
          <cell r="CB668">
            <v>0</v>
          </cell>
          <cell r="CC668">
            <v>0</v>
          </cell>
          <cell r="CD668">
            <v>0</v>
          </cell>
        </row>
        <row r="670">
          <cell r="A670" t="str">
            <v>Production cost excluding taxes</v>
          </cell>
        </row>
        <row r="671">
          <cell r="A671" t="str">
            <v>Taxes other than income tax</v>
          </cell>
        </row>
        <row r="672">
          <cell r="A672" t="str">
            <v>Exploration expense</v>
          </cell>
        </row>
        <row r="673">
          <cell r="A673" t="str">
            <v>DD&amp;A</v>
          </cell>
        </row>
        <row r="674">
          <cell r="A674" t="str">
            <v>Other income/(cost)</v>
          </cell>
        </row>
        <row r="675">
          <cell r="A675" t="str">
            <v>Earnings before tax</v>
          </cell>
          <cell r="AA675">
            <v>0</v>
          </cell>
          <cell r="AF675">
            <v>0</v>
          </cell>
          <cell r="AK675">
            <v>0</v>
          </cell>
          <cell r="AP675">
            <v>0</v>
          </cell>
          <cell r="AQ675">
            <v>0</v>
          </cell>
          <cell r="AR675">
            <v>0</v>
          </cell>
          <cell r="AS675">
            <v>0</v>
          </cell>
          <cell r="AT675">
            <v>0</v>
          </cell>
          <cell r="AU675">
            <v>0</v>
          </cell>
          <cell r="AV675">
            <v>0</v>
          </cell>
          <cell r="AW675">
            <v>0</v>
          </cell>
          <cell r="AX675">
            <v>0</v>
          </cell>
          <cell r="AY675">
            <v>0</v>
          </cell>
          <cell r="AZ675">
            <v>0</v>
          </cell>
          <cell r="BA675">
            <v>0</v>
          </cell>
          <cell r="BB675">
            <v>0</v>
          </cell>
          <cell r="BC675">
            <v>0</v>
          </cell>
          <cell r="BD675">
            <v>0</v>
          </cell>
          <cell r="BE675">
            <v>0</v>
          </cell>
          <cell r="BF675">
            <v>0</v>
          </cell>
          <cell r="BG675">
            <v>0</v>
          </cell>
          <cell r="BH675">
            <v>0</v>
          </cell>
          <cell r="BI675">
            <v>0</v>
          </cell>
          <cell r="BJ675">
            <v>0</v>
          </cell>
          <cell r="BK675">
            <v>0</v>
          </cell>
          <cell r="BL675">
            <v>0</v>
          </cell>
          <cell r="BM675">
            <v>0</v>
          </cell>
          <cell r="BN675">
            <v>0</v>
          </cell>
          <cell r="BO675">
            <v>0</v>
          </cell>
          <cell r="BP675">
            <v>0</v>
          </cell>
          <cell r="BQ675">
            <v>0</v>
          </cell>
          <cell r="BR675">
            <v>0</v>
          </cell>
          <cell r="BS675">
            <v>0</v>
          </cell>
          <cell r="BT675">
            <v>0</v>
          </cell>
          <cell r="BU675">
            <v>0</v>
          </cell>
          <cell r="BV675">
            <v>0</v>
          </cell>
          <cell r="BW675">
            <v>0</v>
          </cell>
          <cell r="BX675">
            <v>0</v>
          </cell>
          <cell r="BY675">
            <v>0</v>
          </cell>
          <cell r="BZ675">
            <v>0</v>
          </cell>
          <cell r="CA675">
            <v>0</v>
          </cell>
          <cell r="CB675">
            <v>0</v>
          </cell>
          <cell r="CC675">
            <v>0</v>
          </cell>
          <cell r="CD675">
            <v>0</v>
          </cell>
        </row>
        <row r="677">
          <cell r="A677" t="str">
            <v>Taxation</v>
          </cell>
        </row>
        <row r="678">
          <cell r="A678" t="str">
            <v>Earnings after tax</v>
          </cell>
          <cell r="G678">
            <v>6</v>
          </cell>
          <cell r="L678">
            <v>6</v>
          </cell>
          <cell r="Q678">
            <v>7</v>
          </cell>
          <cell r="V678">
            <v>3</v>
          </cell>
          <cell r="AA678">
            <v>0</v>
          </cell>
          <cell r="AF678">
            <v>0</v>
          </cell>
          <cell r="AK678">
            <v>0</v>
          </cell>
          <cell r="AP678">
            <v>0</v>
          </cell>
          <cell r="AQ678">
            <v>0</v>
          </cell>
          <cell r="AR678">
            <v>0</v>
          </cell>
          <cell r="AS678">
            <v>0</v>
          </cell>
          <cell r="AT678">
            <v>0</v>
          </cell>
          <cell r="AU678">
            <v>0</v>
          </cell>
          <cell r="AV678">
            <v>0</v>
          </cell>
          <cell r="AW678">
            <v>0</v>
          </cell>
          <cell r="AX678">
            <v>0</v>
          </cell>
          <cell r="AY678">
            <v>0</v>
          </cell>
          <cell r="AZ678">
            <v>0</v>
          </cell>
          <cell r="BA678">
            <v>0</v>
          </cell>
          <cell r="BB678">
            <v>0</v>
          </cell>
          <cell r="BC678">
            <v>0</v>
          </cell>
          <cell r="BD678">
            <v>0</v>
          </cell>
          <cell r="BE678">
            <v>0</v>
          </cell>
          <cell r="BF678">
            <v>0</v>
          </cell>
          <cell r="BG678">
            <v>0</v>
          </cell>
          <cell r="BH678">
            <v>0</v>
          </cell>
          <cell r="BI678">
            <v>0</v>
          </cell>
          <cell r="BJ678">
            <v>0</v>
          </cell>
          <cell r="BK678">
            <v>0</v>
          </cell>
          <cell r="BL678">
            <v>0</v>
          </cell>
          <cell r="BM678">
            <v>0</v>
          </cell>
          <cell r="BN678">
            <v>0</v>
          </cell>
          <cell r="BO678">
            <v>0</v>
          </cell>
          <cell r="BP678">
            <v>0</v>
          </cell>
          <cell r="BQ678">
            <v>0</v>
          </cell>
          <cell r="BR678">
            <v>0</v>
          </cell>
          <cell r="BS678">
            <v>0</v>
          </cell>
          <cell r="BT678">
            <v>0</v>
          </cell>
          <cell r="BU678">
            <v>0</v>
          </cell>
          <cell r="BV678">
            <v>0</v>
          </cell>
          <cell r="BW678">
            <v>0</v>
          </cell>
          <cell r="BX678">
            <v>0</v>
          </cell>
          <cell r="BY678">
            <v>0</v>
          </cell>
          <cell r="BZ678">
            <v>0</v>
          </cell>
          <cell r="CA678">
            <v>0</v>
          </cell>
          <cell r="CB678">
            <v>0</v>
          </cell>
          <cell r="CC678">
            <v>0</v>
          </cell>
          <cell r="CD678">
            <v>0</v>
          </cell>
        </row>
        <row r="682">
          <cell r="A682" t="str">
            <v>South America</v>
          </cell>
        </row>
        <row r="683">
          <cell r="C683">
            <v>2001</v>
          </cell>
          <cell r="D683">
            <v>2002</v>
          </cell>
          <cell r="E683">
            <v>2003</v>
          </cell>
          <cell r="F683">
            <v>2004</v>
          </cell>
          <cell r="G683">
            <v>2005</v>
          </cell>
          <cell r="H683" t="str">
            <v>1Q06</v>
          </cell>
          <cell r="I683" t="str">
            <v>2Q06</v>
          </cell>
          <cell r="J683" t="str">
            <v>3Q06</v>
          </cell>
          <cell r="K683" t="str">
            <v>4Q06</v>
          </cell>
          <cell r="L683">
            <v>2006</v>
          </cell>
          <cell r="M683" t="str">
            <v>1Q07</v>
          </cell>
          <cell r="N683" t="str">
            <v>2Q07</v>
          </cell>
          <cell r="O683" t="str">
            <v>3Q07</v>
          </cell>
          <cell r="P683" t="str">
            <v>4Q07</v>
          </cell>
          <cell r="Q683">
            <v>2007</v>
          </cell>
          <cell r="R683" t="str">
            <v>1Q08</v>
          </cell>
          <cell r="S683" t="str">
            <v>2Q08</v>
          </cell>
          <cell r="T683" t="str">
            <v>3Q08</v>
          </cell>
          <cell r="U683" t="str">
            <v>4Q08</v>
          </cell>
          <cell r="V683">
            <v>2008</v>
          </cell>
          <cell r="W683" t="str">
            <v>1Q09</v>
          </cell>
          <cell r="X683" t="str">
            <v>2Q09</v>
          </cell>
          <cell r="Y683" t="str">
            <v>3Q09</v>
          </cell>
          <cell r="Z683" t="str">
            <v>4Q09</v>
          </cell>
          <cell r="AA683">
            <v>2009</v>
          </cell>
          <cell r="AB683" t="str">
            <v>1Q10</v>
          </cell>
          <cell r="AC683" t="str">
            <v>2Q10</v>
          </cell>
          <cell r="AD683" t="str">
            <v>3Q10</v>
          </cell>
          <cell r="AE683" t="str">
            <v>4Q10</v>
          </cell>
          <cell r="AF683">
            <v>2010</v>
          </cell>
          <cell r="AG683" t="str">
            <v>1Q11</v>
          </cell>
          <cell r="AH683" t="str">
            <v>2Q11</v>
          </cell>
          <cell r="AI683" t="str">
            <v>3Q11</v>
          </cell>
          <cell r="AJ683" t="str">
            <v>4Q11</v>
          </cell>
          <cell r="AK683">
            <v>2011</v>
          </cell>
          <cell r="AL683" t="str">
            <v>1Q12</v>
          </cell>
          <cell r="AM683" t="str">
            <v>2Q12</v>
          </cell>
          <cell r="AN683" t="str">
            <v>3Q12</v>
          </cell>
          <cell r="AO683" t="str">
            <v>4Q12</v>
          </cell>
          <cell r="AP683">
            <v>2012</v>
          </cell>
          <cell r="AQ683" t="str">
            <v>1Q13</v>
          </cell>
          <cell r="AR683" t="str">
            <v>2Q13</v>
          </cell>
          <cell r="AS683" t="str">
            <v>3Q13</v>
          </cell>
          <cell r="AT683" t="str">
            <v>4Q13</v>
          </cell>
          <cell r="AU683">
            <v>2013</v>
          </cell>
          <cell r="AV683" t="str">
            <v>1Q14</v>
          </cell>
          <cell r="AW683" t="str">
            <v>2Q14</v>
          </cell>
          <cell r="AX683" t="str">
            <v>3Q14</v>
          </cell>
          <cell r="AY683" t="str">
            <v>4Q14</v>
          </cell>
          <cell r="AZ683">
            <v>2014</v>
          </cell>
          <cell r="BA683" t="str">
            <v>1Q15</v>
          </cell>
          <cell r="BB683" t="str">
            <v>2Q15</v>
          </cell>
          <cell r="BC683" t="str">
            <v>3Q15</v>
          </cell>
          <cell r="BD683" t="str">
            <v>4Q15</v>
          </cell>
          <cell r="BE683">
            <v>2015</v>
          </cell>
          <cell r="BF683" t="str">
            <v>1Q16</v>
          </cell>
          <cell r="BG683" t="str">
            <v>2Q16</v>
          </cell>
          <cell r="BH683" t="str">
            <v>3Q16</v>
          </cell>
          <cell r="BI683" t="str">
            <v>4Q16</v>
          </cell>
          <cell r="BJ683">
            <v>2016</v>
          </cell>
          <cell r="BK683" t="str">
            <v>1Q17</v>
          </cell>
          <cell r="BL683" t="str">
            <v>2Q17</v>
          </cell>
          <cell r="BM683" t="str">
            <v>3Q17</v>
          </cell>
          <cell r="BN683" t="str">
            <v>4Q17</v>
          </cell>
          <cell r="BO683">
            <v>2017</v>
          </cell>
          <cell r="BP683" t="str">
            <v>1Q18</v>
          </cell>
          <cell r="BQ683" t="str">
            <v>2Q18</v>
          </cell>
          <cell r="BR683" t="str">
            <v>3Q18</v>
          </cell>
          <cell r="BS683" t="str">
            <v>4Q18</v>
          </cell>
          <cell r="BT683">
            <v>2018</v>
          </cell>
          <cell r="BU683" t="str">
            <v>1Q19</v>
          </cell>
          <cell r="BV683" t="str">
            <v>2Q19</v>
          </cell>
          <cell r="BW683" t="str">
            <v>3Q19</v>
          </cell>
          <cell r="BX683" t="str">
            <v>4Q19</v>
          </cell>
          <cell r="BY683">
            <v>2019</v>
          </cell>
          <cell r="BZ683" t="str">
            <v>1Q20</v>
          </cell>
          <cell r="CA683" t="str">
            <v>2Q20</v>
          </cell>
          <cell r="CB683" t="str">
            <v>3Q20</v>
          </cell>
          <cell r="CC683" t="str">
            <v>4Q20</v>
          </cell>
          <cell r="CD683">
            <v>2020</v>
          </cell>
        </row>
        <row r="684">
          <cell r="A684" t="str">
            <v>Third parties</v>
          </cell>
          <cell r="AA684">
            <v>192</v>
          </cell>
          <cell r="AF684">
            <v>196</v>
          </cell>
          <cell r="AK684">
            <v>318</v>
          </cell>
          <cell r="AP684">
            <v>341</v>
          </cell>
        </row>
        <row r="685">
          <cell r="A685" t="str">
            <v>Sales between businesses</v>
          </cell>
          <cell r="AA685">
            <v>0</v>
          </cell>
          <cell r="AF685">
            <v>0</v>
          </cell>
          <cell r="AK685">
            <v>0</v>
          </cell>
          <cell r="AP685">
            <v>0</v>
          </cell>
        </row>
        <row r="686">
          <cell r="A686" t="str">
            <v>Revenue</v>
          </cell>
          <cell r="AA686">
            <v>192</v>
          </cell>
          <cell r="AF686">
            <v>196</v>
          </cell>
          <cell r="AK686">
            <v>318</v>
          </cell>
          <cell r="AP686">
            <v>341</v>
          </cell>
          <cell r="AQ686">
            <v>47.177370000000003</v>
          </cell>
          <cell r="AR686">
            <v>46.002456500000001</v>
          </cell>
          <cell r="AS686">
            <v>47.871372000000001</v>
          </cell>
          <cell r="AT686">
            <v>43.239770000000007</v>
          </cell>
          <cell r="AU686">
            <v>184.29096850000002</v>
          </cell>
          <cell r="AV686">
            <v>44.036934215100494</v>
          </cell>
          <cell r="AW686">
            <v>44.526233484157167</v>
          </cell>
          <cell r="AX686">
            <v>45.01553275321384</v>
          </cell>
          <cell r="AY686">
            <v>45.01553275321384</v>
          </cell>
          <cell r="AZ686">
            <v>178.59423320568533</v>
          </cell>
          <cell r="BA686">
            <v>40.225052200259029</v>
          </cell>
          <cell r="BB686">
            <v>40.671997224706352</v>
          </cell>
          <cell r="BC686">
            <v>41.118942249153676</v>
          </cell>
          <cell r="BD686">
            <v>41.118942249153676</v>
          </cell>
          <cell r="BE686">
            <v>163.13493392327271</v>
          </cell>
          <cell r="BF686">
            <v>37.687236298632506</v>
          </cell>
          <cell r="BG686">
            <v>38.105983368617323</v>
          </cell>
          <cell r="BH686">
            <v>38.524730438602127</v>
          </cell>
          <cell r="BI686">
            <v>38.524730438602127</v>
          </cell>
          <cell r="BJ686">
            <v>152.84268054445405</v>
          </cell>
          <cell r="BK686">
            <v>37.954994450527693</v>
          </cell>
          <cell r="BL686">
            <v>38.649126300486842</v>
          </cell>
          <cell r="BM686">
            <v>39.350950541055148</v>
          </cell>
          <cell r="BN686">
            <v>39.629775032497143</v>
          </cell>
          <cell r="BO686">
            <v>155.5848463245668</v>
          </cell>
          <cell r="BP686">
            <v>39.042710289657151</v>
          </cell>
          <cell r="BQ686">
            <v>39.755738113397122</v>
          </cell>
          <cell r="BR686">
            <v>40.47665063751149</v>
          </cell>
          <cell r="BS686">
            <v>40.762445741239532</v>
          </cell>
          <cell r="BT686">
            <v>160.03754478180531</v>
          </cell>
          <cell r="BU686">
            <v>40.157619024764863</v>
          </cell>
          <cell r="BV686">
            <v>40.890015221630165</v>
          </cell>
          <cell r="BW686">
            <v>41.630493236379237</v>
          </cell>
          <cell r="BX686">
            <v>41.923433217700477</v>
          </cell>
          <cell r="BY686">
            <v>164.60156070047472</v>
          </cell>
          <cell r="BZ686">
            <v>41.300400478250246</v>
          </cell>
          <cell r="CA686">
            <v>42.052649257569044</v>
          </cell>
          <cell r="CB686">
            <v>42.81318190021868</v>
          </cell>
          <cell r="CC686">
            <v>43.113445381072971</v>
          </cell>
          <cell r="CD686">
            <v>169.27967701711094</v>
          </cell>
        </row>
        <row r="688">
          <cell r="A688" t="str">
            <v>Production cost excluding taxes</v>
          </cell>
          <cell r="AA688">
            <v>-42</v>
          </cell>
          <cell r="AF688">
            <v>-64</v>
          </cell>
          <cell r="AK688">
            <v>-41</v>
          </cell>
          <cell r="AP688">
            <v>-41</v>
          </cell>
          <cell r="AQ688">
            <v>-5.093348038077548</v>
          </cell>
          <cell r="AR688">
            <v>-5.1499407940561879</v>
          </cell>
          <cell r="AS688">
            <v>-5.2065335500348278</v>
          </cell>
          <cell r="AT688">
            <v>-5.2065335500348278</v>
          </cell>
          <cell r="AU688">
            <v>-20.65635593220339</v>
          </cell>
          <cell r="AV688">
            <v>-5.3480154399814266</v>
          </cell>
          <cell r="AW688">
            <v>-5.4074378337589977</v>
          </cell>
          <cell r="AX688">
            <v>-5.4668602275365696</v>
          </cell>
          <cell r="AY688">
            <v>-5.4668602275365696</v>
          </cell>
          <cell r="AZ688">
            <v>-21.689173728813564</v>
          </cell>
          <cell r="BA688">
            <v>-5.4817158259809613</v>
          </cell>
          <cell r="BB688">
            <v>-5.5426237796029714</v>
          </cell>
          <cell r="BC688">
            <v>-5.6035317332249823</v>
          </cell>
          <cell r="BD688">
            <v>-5.6035317332249823</v>
          </cell>
          <cell r="BE688">
            <v>-22.231403072033899</v>
          </cell>
          <cell r="BF688">
            <v>-5.6187587216304848</v>
          </cell>
          <cell r="BG688">
            <v>-5.6811893740930453</v>
          </cell>
          <cell r="BH688">
            <v>-5.7436200265556074</v>
          </cell>
          <cell r="BI688">
            <v>-5.7436200265556074</v>
          </cell>
          <cell r="BJ688">
            <v>-22.787188148834744</v>
          </cell>
          <cell r="BK688">
            <v>-5.7592276896712464</v>
          </cell>
          <cell r="BL688">
            <v>-5.8232191084453717</v>
          </cell>
          <cell r="BM688">
            <v>-5.8872105272194961</v>
          </cell>
          <cell r="BN688">
            <v>-5.8872105272194961</v>
          </cell>
          <cell r="BO688">
            <v>-23.356867852555609</v>
          </cell>
          <cell r="BP688">
            <v>-5.9032083819130268</v>
          </cell>
          <cell r="BQ688">
            <v>-5.9687995861565053</v>
          </cell>
          <cell r="BR688">
            <v>-6.0343907903999829</v>
          </cell>
          <cell r="BS688">
            <v>-6.0343907903999829</v>
          </cell>
          <cell r="BT688">
            <v>-23.940789548869496</v>
          </cell>
          <cell r="BU688">
            <v>-6.0507885914608517</v>
          </cell>
          <cell r="BV688">
            <v>-6.1180195758104166</v>
          </cell>
          <cell r="BW688">
            <v>-6.1852505601599814</v>
          </cell>
          <cell r="BX688">
            <v>-6.1852505601599814</v>
          </cell>
          <cell r="BY688">
            <v>-24.539309287591234</v>
          </cell>
          <cell r="BZ688">
            <v>-6.2020583062473724</v>
          </cell>
          <cell r="CA688">
            <v>-6.2709700652056766</v>
          </cell>
          <cell r="CB688">
            <v>-6.3398818241639798</v>
          </cell>
          <cell r="CC688">
            <v>-6.3398818241639798</v>
          </cell>
          <cell r="CD688">
            <v>-25.15279201978101</v>
          </cell>
        </row>
        <row r="689">
          <cell r="A689" t="str">
            <v>Taxes other than income tax</v>
          </cell>
          <cell r="AA689">
            <v>-9</v>
          </cell>
          <cell r="AF689">
            <v>-9</v>
          </cell>
          <cell r="AK689">
            <v>-89</v>
          </cell>
          <cell r="AP689">
            <v>-118</v>
          </cell>
          <cell r="AQ689">
            <v>-2.3588685000000003</v>
          </cell>
          <cell r="AR689">
            <v>-2.3001228250000003</v>
          </cell>
          <cell r="AS689">
            <v>-2.3935686</v>
          </cell>
          <cell r="AT689">
            <v>-2.1619885000000005</v>
          </cell>
          <cell r="AU689">
            <v>-9.2145484250000003</v>
          </cell>
          <cell r="AV689">
            <v>-2.2018467107550248</v>
          </cell>
          <cell r="AW689">
            <v>-2.2263116742078584</v>
          </cell>
          <cell r="AX689">
            <v>-2.2507766376606919</v>
          </cell>
          <cell r="AY689">
            <v>-2.2507766376606919</v>
          </cell>
          <cell r="AZ689">
            <v>-8.9297116602842674</v>
          </cell>
          <cell r="BA689">
            <v>-2.0112526100129515</v>
          </cell>
          <cell r="BB689">
            <v>-2.0335998612353179</v>
          </cell>
          <cell r="BC689">
            <v>-2.0559471124576838</v>
          </cell>
          <cell r="BD689">
            <v>-2.0559471124576838</v>
          </cell>
          <cell r="BE689">
            <v>-8.156746696163637</v>
          </cell>
          <cell r="BF689">
            <v>-1.8843618149316255</v>
          </cell>
          <cell r="BG689">
            <v>-1.9052991684308662</v>
          </cell>
          <cell r="BH689">
            <v>-1.9262365219301065</v>
          </cell>
          <cell r="BI689">
            <v>-1.9262365219301065</v>
          </cell>
          <cell r="BJ689">
            <v>-7.6421340272227045</v>
          </cell>
          <cell r="BK689">
            <v>-1.8977497225263846</v>
          </cell>
          <cell r="BL689">
            <v>-1.9324563150243421</v>
          </cell>
          <cell r="BM689">
            <v>-1.9675475270527576</v>
          </cell>
          <cell r="BN689">
            <v>-1.9814887516248572</v>
          </cell>
          <cell r="BO689">
            <v>-7.7792423162283413</v>
          </cell>
          <cell r="BP689">
            <v>-1.9521355144828576</v>
          </cell>
          <cell r="BQ689">
            <v>-1.9877869056698563</v>
          </cell>
          <cell r="BR689">
            <v>-2.0238325318755748</v>
          </cell>
          <cell r="BS689">
            <v>-2.0381222870619768</v>
          </cell>
          <cell r="BT689">
            <v>-8.0018772390902662</v>
          </cell>
          <cell r="BU689">
            <v>-2.0078809512382434</v>
          </cell>
          <cell r="BV689">
            <v>-2.0445007610815082</v>
          </cell>
          <cell r="BW689">
            <v>-2.0815246618189618</v>
          </cell>
          <cell r="BX689">
            <v>-2.096171660885024</v>
          </cell>
          <cell r="BY689">
            <v>-8.2300780350237375</v>
          </cell>
          <cell r="BZ689">
            <v>-2.0650200239125125</v>
          </cell>
          <cell r="CA689">
            <v>-2.1026324628784523</v>
          </cell>
          <cell r="CB689">
            <v>-2.1406590950109341</v>
          </cell>
          <cell r="CC689">
            <v>-2.1556722690536487</v>
          </cell>
          <cell r="CD689">
            <v>-8.4639838508555485</v>
          </cell>
        </row>
        <row r="690">
          <cell r="A690" t="str">
            <v>Exploration expense</v>
          </cell>
          <cell r="AA690">
            <v>0</v>
          </cell>
          <cell r="AF690">
            <v>0</v>
          </cell>
          <cell r="AK690">
            <v>0</v>
          </cell>
          <cell r="AP690">
            <v>0</v>
          </cell>
          <cell r="AQ690">
            <v>0</v>
          </cell>
          <cell r="AR690">
            <v>0</v>
          </cell>
          <cell r="AS690">
            <v>0</v>
          </cell>
          <cell r="AT690">
            <v>0</v>
          </cell>
          <cell r="AU690">
            <v>0</v>
          </cell>
          <cell r="AV690">
            <v>0</v>
          </cell>
          <cell r="AW690">
            <v>0</v>
          </cell>
          <cell r="AX690">
            <v>0</v>
          </cell>
          <cell r="AY690">
            <v>0</v>
          </cell>
          <cell r="AZ690">
            <v>0</v>
          </cell>
          <cell r="BA690">
            <v>0</v>
          </cell>
          <cell r="BB690">
            <v>0</v>
          </cell>
          <cell r="BC690">
            <v>0</v>
          </cell>
          <cell r="BD690">
            <v>0</v>
          </cell>
          <cell r="BE690">
            <v>0</v>
          </cell>
          <cell r="BF690">
            <v>0</v>
          </cell>
          <cell r="BG690">
            <v>0</v>
          </cell>
          <cell r="BH690">
            <v>0</v>
          </cell>
          <cell r="BI690">
            <v>0</v>
          </cell>
          <cell r="BJ690">
            <v>0</v>
          </cell>
          <cell r="BK690">
            <v>0</v>
          </cell>
          <cell r="BL690">
            <v>0</v>
          </cell>
          <cell r="BM690">
            <v>0</v>
          </cell>
          <cell r="BN690">
            <v>0</v>
          </cell>
          <cell r="BO690">
            <v>0</v>
          </cell>
          <cell r="BP690">
            <v>0</v>
          </cell>
          <cell r="BQ690">
            <v>0</v>
          </cell>
          <cell r="BR690">
            <v>0</v>
          </cell>
          <cell r="BS690">
            <v>0</v>
          </cell>
          <cell r="BT690">
            <v>0</v>
          </cell>
          <cell r="BU690">
            <v>0</v>
          </cell>
          <cell r="BV690">
            <v>0</v>
          </cell>
          <cell r="BW690">
            <v>0</v>
          </cell>
          <cell r="BX690">
            <v>0</v>
          </cell>
          <cell r="BY690">
            <v>0</v>
          </cell>
          <cell r="BZ690">
            <v>0</v>
          </cell>
          <cell r="CA690">
            <v>0</v>
          </cell>
          <cell r="CB690">
            <v>0</v>
          </cell>
          <cell r="CC690">
            <v>0</v>
          </cell>
          <cell r="CD690">
            <v>0</v>
          </cell>
        </row>
        <row r="691">
          <cell r="A691" t="str">
            <v>DD&amp;A</v>
          </cell>
          <cell r="AA691">
            <v>-297</v>
          </cell>
          <cell r="AF691">
            <v>-30</v>
          </cell>
          <cell r="AK691">
            <v>-35</v>
          </cell>
          <cell r="AP691">
            <v>-41</v>
          </cell>
          <cell r="AQ691">
            <v>-5.4287335681222428</v>
          </cell>
          <cell r="AR691">
            <v>-5.4890528299902677</v>
          </cell>
          <cell r="AS691">
            <v>-5.5493720918582934</v>
          </cell>
          <cell r="AT691">
            <v>-5.5493720918582934</v>
          </cell>
          <cell r="AU691">
            <v>-22.016530581829102</v>
          </cell>
          <cell r="AV691">
            <v>-5.8883470990956575</v>
          </cell>
          <cell r="AW691">
            <v>-5.9537731779744982</v>
          </cell>
          <cell r="AX691">
            <v>-6.019199256853339</v>
          </cell>
          <cell r="AY691">
            <v>-6.019199256853339</v>
          </cell>
          <cell r="AZ691">
            <v>-23.880518790776833</v>
          </cell>
          <cell r="BA691">
            <v>-6.3479606300690739</v>
          </cell>
          <cell r="BB691">
            <v>-6.4184935259587297</v>
          </cell>
          <cell r="BC691">
            <v>-6.4890264218483864</v>
          </cell>
          <cell r="BD691">
            <v>-6.4890264218483864</v>
          </cell>
          <cell r="BE691">
            <v>-25.744506999724578</v>
          </cell>
          <cell r="BF691">
            <v>-6.8075741610424867</v>
          </cell>
          <cell r="BG691">
            <v>-6.8832138739429594</v>
          </cell>
          <cell r="BH691">
            <v>-6.9588535868434311</v>
          </cell>
          <cell r="BI691">
            <v>-6.9588535868434311</v>
          </cell>
          <cell r="BJ691">
            <v>-27.608495208672309</v>
          </cell>
          <cell r="BK691">
            <v>-7.2671876920159013</v>
          </cell>
          <cell r="BL691">
            <v>-7.347934221927189</v>
          </cell>
          <cell r="BM691">
            <v>-7.4286807518384768</v>
          </cell>
          <cell r="BN691">
            <v>-7.4286807518384768</v>
          </cell>
          <cell r="BO691">
            <v>-29.472483417620044</v>
          </cell>
          <cell r="BP691">
            <v>-7.7268012229893177</v>
          </cell>
          <cell r="BQ691">
            <v>-7.8126545699114214</v>
          </cell>
          <cell r="BR691">
            <v>-7.8985079168335242</v>
          </cell>
          <cell r="BS691">
            <v>-7.8985079168335242</v>
          </cell>
          <cell r="BT691">
            <v>-31.336471626567786</v>
          </cell>
          <cell r="BU691">
            <v>-8.1864147539627314</v>
          </cell>
          <cell r="BV691">
            <v>-8.2773749178956511</v>
          </cell>
          <cell r="BW691">
            <v>-8.3683350818285707</v>
          </cell>
          <cell r="BX691">
            <v>-8.3683350818285707</v>
          </cell>
          <cell r="BY691">
            <v>-33.200459835515524</v>
          </cell>
          <cell r="BZ691">
            <v>-8.6460282849361487</v>
          </cell>
          <cell r="CA691">
            <v>-8.7420952658798825</v>
          </cell>
          <cell r="CB691">
            <v>-8.8381622468236181</v>
          </cell>
          <cell r="CC691">
            <v>-8.8381622468236181</v>
          </cell>
          <cell r="CD691">
            <v>-35.064448044463269</v>
          </cell>
        </row>
        <row r="692">
          <cell r="A692" t="str">
            <v>Other income/(cost)</v>
          </cell>
          <cell r="AA692">
            <v>-36</v>
          </cell>
          <cell r="AF692">
            <v>43</v>
          </cell>
          <cell r="AK692">
            <v>-108</v>
          </cell>
          <cell r="AP692">
            <v>-252</v>
          </cell>
          <cell r="AQ692">
            <v>0</v>
          </cell>
          <cell r="AR692">
            <v>0</v>
          </cell>
          <cell r="AS692">
            <v>0</v>
          </cell>
          <cell r="AT692">
            <v>0</v>
          </cell>
          <cell r="AU692">
            <v>0</v>
          </cell>
          <cell r="AV692">
            <v>0</v>
          </cell>
          <cell r="AW692">
            <v>0</v>
          </cell>
          <cell r="AX692">
            <v>0</v>
          </cell>
          <cell r="AY692">
            <v>0</v>
          </cell>
          <cell r="AZ692">
            <v>0</v>
          </cell>
          <cell r="BA692">
            <v>0</v>
          </cell>
          <cell r="BB692">
            <v>0</v>
          </cell>
          <cell r="BC692">
            <v>0</v>
          </cell>
          <cell r="BD692">
            <v>0</v>
          </cell>
          <cell r="BE692">
            <v>0</v>
          </cell>
          <cell r="BF692">
            <v>0</v>
          </cell>
          <cell r="BG692">
            <v>0</v>
          </cell>
          <cell r="BH692">
            <v>0</v>
          </cell>
          <cell r="BI692">
            <v>0</v>
          </cell>
          <cell r="BJ692">
            <v>0</v>
          </cell>
          <cell r="BK692">
            <v>0</v>
          </cell>
          <cell r="BL692">
            <v>0</v>
          </cell>
          <cell r="BM692">
            <v>0</v>
          </cell>
          <cell r="BN692">
            <v>0</v>
          </cell>
          <cell r="BO692">
            <v>0</v>
          </cell>
          <cell r="BP692">
            <v>0</v>
          </cell>
          <cell r="BQ692">
            <v>0</v>
          </cell>
          <cell r="BR692">
            <v>0</v>
          </cell>
          <cell r="BS692">
            <v>0</v>
          </cell>
          <cell r="BT692">
            <v>0</v>
          </cell>
          <cell r="BU692">
            <v>0</v>
          </cell>
          <cell r="BV692">
            <v>0</v>
          </cell>
          <cell r="BW692">
            <v>0</v>
          </cell>
          <cell r="BX692">
            <v>0</v>
          </cell>
          <cell r="BY692">
            <v>0</v>
          </cell>
          <cell r="BZ692">
            <v>0</v>
          </cell>
          <cell r="CA692">
            <v>0</v>
          </cell>
          <cell r="CB692">
            <v>0</v>
          </cell>
          <cell r="CC692">
            <v>0</v>
          </cell>
          <cell r="CD692">
            <v>0</v>
          </cell>
        </row>
        <row r="693">
          <cell r="A693" t="str">
            <v>Earnings before tax</v>
          </cell>
          <cell r="AA693">
            <v>-192</v>
          </cell>
          <cell r="AF693">
            <v>136</v>
          </cell>
          <cell r="AK693">
            <v>45</v>
          </cell>
          <cell r="AP693">
            <v>-111</v>
          </cell>
          <cell r="AQ693">
            <v>34.296419893800213</v>
          </cell>
          <cell r="AR693">
            <v>33.063340050953542</v>
          </cell>
          <cell r="AS693">
            <v>34.721897758106877</v>
          </cell>
          <cell r="AT693">
            <v>30.321875858106885</v>
          </cell>
          <cell r="AU693">
            <v>132.40353356096753</v>
          </cell>
          <cell r="AV693">
            <v>30.598724965268385</v>
          </cell>
          <cell r="AW693">
            <v>30.938710798215816</v>
          </cell>
          <cell r="AX693">
            <v>31.278696631163236</v>
          </cell>
          <cell r="AY693">
            <v>31.278696631163236</v>
          </cell>
          <cell r="AZ693">
            <v>124.09482902581068</v>
          </cell>
          <cell r="BA693">
            <v>26.384123134196038</v>
          </cell>
          <cell r="BB693">
            <v>26.677280057909336</v>
          </cell>
          <cell r="BC693">
            <v>26.970436981622619</v>
          </cell>
          <cell r="BD693">
            <v>26.970436981622619</v>
          </cell>
          <cell r="BE693">
            <v>107.00227715535063</v>
          </cell>
          <cell r="BF693">
            <v>23.37654160102791</v>
          </cell>
          <cell r="BG693">
            <v>23.636280952150454</v>
          </cell>
          <cell r="BH693">
            <v>23.896020303272977</v>
          </cell>
          <cell r="BI693">
            <v>23.896020303272977</v>
          </cell>
          <cell r="BJ693">
            <v>94.804863159724277</v>
          </cell>
          <cell r="BK693">
            <v>23.030829346314157</v>
          </cell>
          <cell r="BL693">
            <v>23.545516655089937</v>
          </cell>
          <cell r="BM693">
            <v>24.067511734944418</v>
          </cell>
          <cell r="BN693">
            <v>24.332395001814312</v>
          </cell>
          <cell r="BO693">
            <v>94.976252738162813</v>
          </cell>
          <cell r="BP693">
            <v>23.460565170271948</v>
          </cell>
          <cell r="BQ693">
            <v>23.986497051659335</v>
          </cell>
          <cell r="BR693">
            <v>24.519919398402408</v>
          </cell>
          <cell r="BS693">
            <v>24.791424746944053</v>
          </cell>
          <cell r="BT693">
            <v>96.758406367277743</v>
          </cell>
          <cell r="BU693">
            <v>23.91253472810304</v>
          </cell>
          <cell r="BV693">
            <v>24.450119966842593</v>
          </cell>
          <cell r="BW693">
            <v>24.995382932571729</v>
          </cell>
          <cell r="BX693">
            <v>25.273675914826903</v>
          </cell>
          <cell r="BY693">
            <v>98.631713542344244</v>
          </cell>
          <cell r="BZ693">
            <v>24.387293863154213</v>
          </cell>
          <cell r="CA693">
            <v>24.936951463605034</v>
          </cell>
          <cell r="CB693">
            <v>25.494478734220149</v>
          </cell>
          <cell r="CC693">
            <v>25.779729041031725</v>
          </cell>
          <cell r="CD693">
            <v>100.59845310201112</v>
          </cell>
        </row>
        <row r="695">
          <cell r="A695" t="str">
            <v>Taxation</v>
          </cell>
          <cell r="AA695">
            <v>-11</v>
          </cell>
          <cell r="AF695">
            <v>-136</v>
          </cell>
          <cell r="AK695">
            <v>-45</v>
          </cell>
          <cell r="AP695">
            <v>-26</v>
          </cell>
          <cell r="AQ695">
            <v>-34.296419893800213</v>
          </cell>
          <cell r="AR695">
            <v>-33.063340050953542</v>
          </cell>
          <cell r="AS695">
            <v>-34.721897758106877</v>
          </cell>
          <cell r="AT695">
            <v>-30.321875858106885</v>
          </cell>
          <cell r="AU695">
            <v>-132.40353356096753</v>
          </cell>
          <cell r="AV695">
            <v>-30.598724965268385</v>
          </cell>
          <cell r="AW695">
            <v>-30.938710798215816</v>
          </cell>
          <cell r="AX695">
            <v>-31.278696631163236</v>
          </cell>
          <cell r="AY695">
            <v>-31.278696631163236</v>
          </cell>
          <cell r="AZ695">
            <v>-124.09482902581067</v>
          </cell>
          <cell r="BA695">
            <v>-26.384123134196038</v>
          </cell>
          <cell r="BB695">
            <v>-26.677280057909336</v>
          </cell>
          <cell r="BC695">
            <v>-26.970436981622619</v>
          </cell>
          <cell r="BD695">
            <v>-26.970436981622619</v>
          </cell>
          <cell r="BE695">
            <v>-107.00227715535061</v>
          </cell>
          <cell r="BF695">
            <v>-23.37654160102791</v>
          </cell>
          <cell r="BG695">
            <v>-23.636280952150454</v>
          </cell>
          <cell r="BH695">
            <v>-23.896020303272977</v>
          </cell>
          <cell r="BI695">
            <v>-23.896020303272977</v>
          </cell>
          <cell r="BJ695">
            <v>-94.80486315972432</v>
          </cell>
          <cell r="BK695">
            <v>-23.030829346314157</v>
          </cell>
          <cell r="BL695">
            <v>-23.545516655089937</v>
          </cell>
          <cell r="BM695">
            <v>-24.067511734944418</v>
          </cell>
          <cell r="BN695">
            <v>-24.332395001814312</v>
          </cell>
          <cell r="BO695">
            <v>-94.976252738162827</v>
          </cell>
          <cell r="BP695">
            <v>-23.460565170271948</v>
          </cell>
          <cell r="BQ695">
            <v>-23.986497051659335</v>
          </cell>
          <cell r="BR695">
            <v>-24.519919398402408</v>
          </cell>
          <cell r="BS695">
            <v>-24.791424746944053</v>
          </cell>
          <cell r="BT695">
            <v>-96.758406367277729</v>
          </cell>
          <cell r="BU695">
            <v>-23.91253472810304</v>
          </cell>
          <cell r="BV695">
            <v>-24.450119966842593</v>
          </cell>
          <cell r="BW695">
            <v>-24.995382932571729</v>
          </cell>
          <cell r="BX695">
            <v>-25.273675914826903</v>
          </cell>
          <cell r="BY695">
            <v>-98.631713542344272</v>
          </cell>
          <cell r="BZ695">
            <v>-24.387293863154213</v>
          </cell>
          <cell r="CA695">
            <v>-24.936951463605034</v>
          </cell>
          <cell r="CB695">
            <v>-25.494478734220149</v>
          </cell>
          <cell r="CC695">
            <v>-25.779729041031725</v>
          </cell>
          <cell r="CD695">
            <v>-100.59845310201112</v>
          </cell>
        </row>
        <row r="696">
          <cell r="A696" t="str">
            <v>Earnings after tax</v>
          </cell>
          <cell r="G696">
            <v>0</v>
          </cell>
          <cell r="L696">
            <v>44</v>
          </cell>
          <cell r="Q696">
            <v>145</v>
          </cell>
          <cell r="V696">
            <v>165</v>
          </cell>
          <cell r="AA696">
            <v>-203</v>
          </cell>
          <cell r="AF696">
            <v>0</v>
          </cell>
          <cell r="AK696">
            <v>0</v>
          </cell>
          <cell r="AP696">
            <v>-137</v>
          </cell>
          <cell r="AQ696">
            <v>0</v>
          </cell>
          <cell r="AR696">
            <v>0</v>
          </cell>
          <cell r="AS696">
            <v>0</v>
          </cell>
          <cell r="AT696">
            <v>0</v>
          </cell>
          <cell r="AU696">
            <v>0</v>
          </cell>
          <cell r="AV696">
            <v>0</v>
          </cell>
          <cell r="AW696">
            <v>0</v>
          </cell>
          <cell r="AX696">
            <v>0</v>
          </cell>
          <cell r="AY696">
            <v>0</v>
          </cell>
          <cell r="AZ696">
            <v>0</v>
          </cell>
          <cell r="BA696">
            <v>0</v>
          </cell>
          <cell r="BB696">
            <v>0</v>
          </cell>
          <cell r="BC696">
            <v>0</v>
          </cell>
          <cell r="BD696">
            <v>0</v>
          </cell>
          <cell r="BE696">
            <v>0</v>
          </cell>
          <cell r="BF696">
            <v>0</v>
          </cell>
          <cell r="BG696">
            <v>0</v>
          </cell>
          <cell r="BH696">
            <v>0</v>
          </cell>
          <cell r="BI696">
            <v>0</v>
          </cell>
          <cell r="BJ696">
            <v>0</v>
          </cell>
          <cell r="BK696">
            <v>0</v>
          </cell>
          <cell r="BL696">
            <v>0</v>
          </cell>
          <cell r="BM696">
            <v>0</v>
          </cell>
          <cell r="BN696">
            <v>0</v>
          </cell>
          <cell r="BO696">
            <v>0</v>
          </cell>
          <cell r="BP696">
            <v>0</v>
          </cell>
          <cell r="BQ696">
            <v>0</v>
          </cell>
          <cell r="BR696">
            <v>0</v>
          </cell>
          <cell r="BS696">
            <v>0</v>
          </cell>
          <cell r="BT696">
            <v>0</v>
          </cell>
          <cell r="BU696">
            <v>0</v>
          </cell>
          <cell r="BV696">
            <v>0</v>
          </cell>
          <cell r="BW696">
            <v>0</v>
          </cell>
          <cell r="BX696">
            <v>0</v>
          </cell>
          <cell r="BY696">
            <v>0</v>
          </cell>
          <cell r="BZ696">
            <v>0</v>
          </cell>
          <cell r="CA696">
            <v>0</v>
          </cell>
          <cell r="CB696">
            <v>0</v>
          </cell>
          <cell r="CC696">
            <v>0</v>
          </cell>
          <cell r="CD696">
            <v>0</v>
          </cell>
        </row>
        <row r="698">
          <cell r="A698" t="str">
            <v>Production</v>
          </cell>
        </row>
        <row r="699">
          <cell r="B699" t="str">
            <v>Oil and NGL (kbbl/d)</v>
          </cell>
          <cell r="C699">
            <v>5.4</v>
          </cell>
          <cell r="D699">
            <v>4.6000000000000005</v>
          </cell>
          <cell r="E699">
            <v>4.6000000000000005</v>
          </cell>
          <cell r="F699">
            <v>2.2000000000000002</v>
          </cell>
          <cell r="G699">
            <v>0</v>
          </cell>
          <cell r="L699">
            <v>8</v>
          </cell>
          <cell r="Q699">
            <v>9</v>
          </cell>
          <cell r="V699">
            <v>11</v>
          </cell>
          <cell r="AA699">
            <v>9</v>
          </cell>
          <cell r="AF699">
            <v>7</v>
          </cell>
          <cell r="AK699">
            <v>9</v>
          </cell>
          <cell r="AP699">
            <v>10</v>
          </cell>
          <cell r="AQ699">
            <v>5</v>
          </cell>
          <cell r="AR699">
            <v>5</v>
          </cell>
          <cell r="AS699">
            <v>5</v>
          </cell>
          <cell r="AT699">
            <v>5</v>
          </cell>
          <cell r="AU699">
            <v>5</v>
          </cell>
          <cell r="AV699">
            <v>5</v>
          </cell>
          <cell r="AW699">
            <v>5</v>
          </cell>
          <cell r="AX699">
            <v>5</v>
          </cell>
          <cell r="AY699">
            <v>5</v>
          </cell>
          <cell r="AZ699">
            <v>5</v>
          </cell>
          <cell r="BA699">
            <v>5</v>
          </cell>
          <cell r="BB699">
            <v>5</v>
          </cell>
          <cell r="BC699">
            <v>5</v>
          </cell>
          <cell r="BD699">
            <v>5</v>
          </cell>
          <cell r="BE699">
            <v>5</v>
          </cell>
          <cell r="BF699">
            <v>5</v>
          </cell>
          <cell r="BG699">
            <v>5</v>
          </cell>
          <cell r="BH699">
            <v>5</v>
          </cell>
          <cell r="BI699">
            <v>5</v>
          </cell>
          <cell r="BJ699">
            <v>5</v>
          </cell>
          <cell r="BK699">
            <v>5</v>
          </cell>
          <cell r="BL699">
            <v>5</v>
          </cell>
          <cell r="BM699">
            <v>5</v>
          </cell>
          <cell r="BN699">
            <v>5</v>
          </cell>
          <cell r="BO699">
            <v>5</v>
          </cell>
          <cell r="BP699">
            <v>5</v>
          </cell>
          <cell r="BQ699">
            <v>5</v>
          </cell>
          <cell r="BR699">
            <v>5</v>
          </cell>
          <cell r="BS699">
            <v>5</v>
          </cell>
          <cell r="BT699">
            <v>5</v>
          </cell>
          <cell r="BU699">
            <v>5</v>
          </cell>
          <cell r="BV699">
            <v>5</v>
          </cell>
          <cell r="BW699">
            <v>5</v>
          </cell>
          <cell r="BX699">
            <v>5</v>
          </cell>
          <cell r="BY699">
            <v>5</v>
          </cell>
          <cell r="BZ699">
            <v>5</v>
          </cell>
          <cell r="CA699">
            <v>5</v>
          </cell>
          <cell r="CB699">
            <v>5</v>
          </cell>
          <cell r="CC699">
            <v>5</v>
          </cell>
          <cell r="CD699">
            <v>5</v>
          </cell>
        </row>
        <row r="700">
          <cell r="B700" t="str">
            <v>Natural gas (mmcf/d)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L700">
            <v>0</v>
          </cell>
          <cell r="Q700">
            <v>0</v>
          </cell>
          <cell r="V700">
            <v>0</v>
          </cell>
          <cell r="AA700">
            <v>0</v>
          </cell>
          <cell r="AF700">
            <v>0</v>
          </cell>
          <cell r="AK700">
            <v>1</v>
          </cell>
          <cell r="AP700">
            <v>1</v>
          </cell>
          <cell r="AQ700">
            <v>0</v>
          </cell>
          <cell r="AR700">
            <v>0</v>
          </cell>
          <cell r="AS700">
            <v>0</v>
          </cell>
          <cell r="AT700">
            <v>0</v>
          </cell>
          <cell r="AU700">
            <v>0</v>
          </cell>
          <cell r="AV700">
            <v>0</v>
          </cell>
          <cell r="AW700">
            <v>0</v>
          </cell>
          <cell r="AX700">
            <v>0</v>
          </cell>
          <cell r="AY700">
            <v>0</v>
          </cell>
          <cell r="AZ700">
            <v>0</v>
          </cell>
          <cell r="BA700">
            <v>0</v>
          </cell>
          <cell r="BB700">
            <v>0</v>
          </cell>
          <cell r="BC700">
            <v>0</v>
          </cell>
          <cell r="BD700">
            <v>0</v>
          </cell>
          <cell r="BE700">
            <v>0</v>
          </cell>
          <cell r="BF700">
            <v>0</v>
          </cell>
          <cell r="BG700">
            <v>0</v>
          </cell>
          <cell r="BH700">
            <v>0</v>
          </cell>
          <cell r="BI700">
            <v>0</v>
          </cell>
          <cell r="BJ700">
            <v>0</v>
          </cell>
          <cell r="BK700">
            <v>0</v>
          </cell>
          <cell r="BL700">
            <v>0</v>
          </cell>
          <cell r="BM700">
            <v>0</v>
          </cell>
          <cell r="BN700">
            <v>0</v>
          </cell>
          <cell r="BO700">
            <v>0</v>
          </cell>
          <cell r="BP700">
            <v>0</v>
          </cell>
          <cell r="BQ700">
            <v>0</v>
          </cell>
          <cell r="BR700">
            <v>0</v>
          </cell>
          <cell r="BS700">
            <v>0</v>
          </cell>
          <cell r="BT700">
            <v>0</v>
          </cell>
          <cell r="BU700">
            <v>0</v>
          </cell>
          <cell r="BV700">
            <v>0</v>
          </cell>
          <cell r="BW700">
            <v>0</v>
          </cell>
          <cell r="BX700">
            <v>0</v>
          </cell>
          <cell r="BY700">
            <v>0</v>
          </cell>
          <cell r="BZ700">
            <v>0</v>
          </cell>
          <cell r="CA700">
            <v>0</v>
          </cell>
          <cell r="CB700">
            <v>0</v>
          </cell>
          <cell r="CC700">
            <v>0</v>
          </cell>
          <cell r="CD700">
            <v>0</v>
          </cell>
        </row>
        <row r="701">
          <cell r="B701" t="str">
            <v>Total</v>
          </cell>
          <cell r="C701">
            <v>5.4</v>
          </cell>
          <cell r="D701">
            <v>4.6000000000000005</v>
          </cell>
          <cell r="E701">
            <v>4.6000000000000005</v>
          </cell>
          <cell r="F701">
            <v>2.2000000000000002</v>
          </cell>
          <cell r="G701">
            <v>0</v>
          </cell>
          <cell r="L701">
            <v>8</v>
          </cell>
          <cell r="Q701">
            <v>9</v>
          </cell>
          <cell r="V701">
            <v>11</v>
          </cell>
          <cell r="AA701">
            <v>9</v>
          </cell>
          <cell r="AF701">
            <v>7</v>
          </cell>
          <cell r="AK701">
            <v>9.1724137931034484</v>
          </cell>
          <cell r="AP701">
            <v>10.172413793103448</v>
          </cell>
          <cell r="AQ701">
            <v>5</v>
          </cell>
          <cell r="AR701">
            <v>5</v>
          </cell>
          <cell r="AS701">
            <v>5</v>
          </cell>
          <cell r="AT701">
            <v>5</v>
          </cell>
          <cell r="AU701">
            <v>5</v>
          </cell>
          <cell r="AV701">
            <v>5</v>
          </cell>
          <cell r="AW701">
            <v>5</v>
          </cell>
          <cell r="AX701">
            <v>5</v>
          </cell>
          <cell r="AY701">
            <v>5</v>
          </cell>
          <cell r="AZ701">
            <v>5</v>
          </cell>
          <cell r="BA701">
            <v>5</v>
          </cell>
          <cell r="BB701">
            <v>5</v>
          </cell>
          <cell r="BC701">
            <v>5</v>
          </cell>
          <cell r="BD701">
            <v>5</v>
          </cell>
          <cell r="BE701">
            <v>5</v>
          </cell>
          <cell r="BF701">
            <v>5</v>
          </cell>
          <cell r="BG701">
            <v>5</v>
          </cell>
          <cell r="BH701">
            <v>5</v>
          </cell>
          <cell r="BI701">
            <v>5</v>
          </cell>
          <cell r="BJ701">
            <v>5</v>
          </cell>
          <cell r="BK701">
            <v>5</v>
          </cell>
          <cell r="BL701">
            <v>5</v>
          </cell>
          <cell r="BM701">
            <v>5</v>
          </cell>
          <cell r="BN701">
            <v>5</v>
          </cell>
          <cell r="BO701">
            <v>5</v>
          </cell>
          <cell r="BP701">
            <v>5</v>
          </cell>
          <cell r="BQ701">
            <v>5</v>
          </cell>
          <cell r="BR701">
            <v>5</v>
          </cell>
          <cell r="BS701">
            <v>5</v>
          </cell>
          <cell r="BT701">
            <v>5</v>
          </cell>
          <cell r="BU701">
            <v>5</v>
          </cell>
          <cell r="BV701">
            <v>5</v>
          </cell>
          <cell r="BW701">
            <v>5</v>
          </cell>
          <cell r="BX701">
            <v>5</v>
          </cell>
          <cell r="BY701">
            <v>5</v>
          </cell>
          <cell r="BZ701">
            <v>5</v>
          </cell>
          <cell r="CA701">
            <v>5</v>
          </cell>
          <cell r="CB701">
            <v>5</v>
          </cell>
          <cell r="CC701">
            <v>5</v>
          </cell>
          <cell r="CD701">
            <v>5</v>
          </cell>
        </row>
        <row r="703">
          <cell r="A703" t="str">
            <v>Realise price</v>
          </cell>
        </row>
        <row r="704">
          <cell r="B704" t="str">
            <v>Oil and NGL ($/bbl)</v>
          </cell>
          <cell r="AA704">
            <v>54.61</v>
          </cell>
          <cell r="AF704">
            <v>71.94</v>
          </cell>
          <cell r="AK704">
            <v>97.27</v>
          </cell>
          <cell r="AP704">
            <v>95.14</v>
          </cell>
          <cell r="AQ704">
            <v>97.98</v>
          </cell>
          <cell r="AR704">
            <v>94.49</v>
          </cell>
          <cell r="AS704">
            <v>97.26</v>
          </cell>
          <cell r="AT704">
            <v>87.85</v>
          </cell>
          <cell r="AU704">
            <v>94.35</v>
          </cell>
          <cell r="AV704">
            <v>91.457807300312552</v>
          </cell>
          <cell r="AW704">
            <v>91.457807300312552</v>
          </cell>
          <cell r="AX704">
            <v>91.457807300312552</v>
          </cell>
          <cell r="AY704">
            <v>91.457807300312552</v>
          </cell>
          <cell r="AZ704">
            <v>91.457807300312552</v>
          </cell>
          <cell r="BA704">
            <v>83.541126064920093</v>
          </cell>
          <cell r="BB704">
            <v>83.541126064920093</v>
          </cell>
          <cell r="BC704">
            <v>83.541126064920093</v>
          </cell>
          <cell r="BD704">
            <v>83.541126064920093</v>
          </cell>
          <cell r="BE704">
            <v>83.541126064920093</v>
          </cell>
          <cell r="BF704">
            <v>78.270480370991706</v>
          </cell>
          <cell r="BG704">
            <v>78.270480370991706</v>
          </cell>
          <cell r="BH704">
            <v>78.270480370991706</v>
          </cell>
          <cell r="BI704">
            <v>78.270480370991706</v>
          </cell>
          <cell r="BJ704">
            <v>78.270480370991706</v>
          </cell>
          <cell r="BK704">
            <v>78.82657206755492</v>
          </cell>
          <cell r="BL704">
            <v>79.386107220882892</v>
          </cell>
          <cell r="BM704">
            <v>79.949107153708127</v>
          </cell>
          <cell r="BN704">
            <v>80.515593320798729</v>
          </cell>
          <cell r="BO704">
            <v>79.669344940736167</v>
          </cell>
          <cell r="BP704">
            <v>81.085587309776017</v>
          </cell>
          <cell r="BQ704">
            <v>81.659110841937192</v>
          </cell>
          <cell r="BR704">
            <v>82.236185773083065</v>
          </cell>
          <cell r="BS704">
            <v>82.816834094350938</v>
          </cell>
          <cell r="BT704">
            <v>81.949429504786806</v>
          </cell>
          <cell r="BU704">
            <v>83.401077933052662</v>
          </cell>
          <cell r="BV704">
            <v>83.988939553517852</v>
          </cell>
          <cell r="BW704">
            <v>84.580441357942362</v>
          </cell>
          <cell r="BX704">
            <v>85.175605887241929</v>
          </cell>
          <cell r="BY704">
            <v>84.286516182938698</v>
          </cell>
          <cell r="BZ704">
            <v>85.774455821911204</v>
          </cell>
          <cell r="CA704">
            <v>86.377013982888045</v>
          </cell>
          <cell r="CB704">
            <v>86.983303332423162</v>
          </cell>
          <cell r="CC704">
            <v>87.593346974955224</v>
          </cell>
          <cell r="CD704">
            <v>86.682030028044409</v>
          </cell>
        </row>
        <row r="705">
          <cell r="B705" t="str">
            <v>Natural gas ($/mmcf)</v>
          </cell>
          <cell r="AA705">
            <v>4.1100000000000003</v>
          </cell>
          <cell r="AF705">
            <v>4.63</v>
          </cell>
          <cell r="AK705">
            <v>4.24</v>
          </cell>
          <cell r="AP705">
            <v>2.91</v>
          </cell>
          <cell r="AQ705">
            <v>3.52</v>
          </cell>
          <cell r="AR705">
            <v>4.1500000000000004</v>
          </cell>
          <cell r="AS705">
            <v>3.37</v>
          </cell>
          <cell r="AT705">
            <v>3.74</v>
          </cell>
          <cell r="AU705">
            <v>3.7</v>
          </cell>
          <cell r="AV705">
            <v>4.316330168525198</v>
          </cell>
          <cell r="AW705">
            <v>4.316330168525198</v>
          </cell>
          <cell r="AX705">
            <v>4.316330168525198</v>
          </cell>
          <cell r="AY705">
            <v>4.316330168525198</v>
          </cell>
          <cell r="AZ705">
            <v>4.316330168525198</v>
          </cell>
          <cell r="BA705">
            <v>4.2867039175692545</v>
          </cell>
          <cell r="BB705">
            <v>4.2867039175692545</v>
          </cell>
          <cell r="BC705">
            <v>4.2867039175692545</v>
          </cell>
          <cell r="BD705">
            <v>4.2867039175692545</v>
          </cell>
          <cell r="BE705">
            <v>4.2867039175692545</v>
          </cell>
          <cell r="BF705">
            <v>4.2768285005839406</v>
          </cell>
          <cell r="BG705">
            <v>4.2768285005839406</v>
          </cell>
          <cell r="BH705">
            <v>4.2768285005839406</v>
          </cell>
          <cell r="BI705">
            <v>4.2768285005839406</v>
          </cell>
          <cell r="BJ705">
            <v>4.2768285005839406</v>
          </cell>
          <cell r="BK705">
            <v>4.3020838695895538</v>
          </cell>
          <cell r="BL705">
            <v>4.3274956260610953</v>
          </cell>
          <cell r="BM705">
            <v>4.3530647383882748</v>
          </cell>
          <cell r="BN705">
            <v>4.378792180957312</v>
          </cell>
          <cell r="BO705">
            <v>4.3403591037490585</v>
          </cell>
          <cell r="BP705">
            <v>4.4046789341880661</v>
          </cell>
          <cell r="BQ705">
            <v>4.4307259845713949</v>
          </cell>
          <cell r="BR705">
            <v>4.4569343247067543</v>
          </cell>
          <cell r="BS705">
            <v>4.4833049533400171</v>
          </cell>
          <cell r="BT705">
            <v>4.4439110492015583</v>
          </cell>
          <cell r="BU705">
            <v>4.509838875401539</v>
          </cell>
          <cell r="BV705">
            <v>4.536537102044452</v>
          </cell>
          <cell r="BW705">
            <v>4.5634006506831959</v>
          </cell>
          <cell r="BX705">
            <v>4.5904305450322909</v>
          </cell>
          <cell r="BY705">
            <v>4.5500517932903692</v>
          </cell>
          <cell r="BZ705">
            <v>4.6176278151453509</v>
          </cell>
          <cell r="CA705">
            <v>4.6449934974543368</v>
          </cell>
          <cell r="CB705">
            <v>4.6725286348090487</v>
          </cell>
          <cell r="CC705">
            <v>4.7002342765168708</v>
          </cell>
          <cell r="CD705">
            <v>4.6588460559814013</v>
          </cell>
        </row>
        <row r="707">
          <cell r="A707" t="str">
            <v>Production x price</v>
          </cell>
          <cell r="AA707">
            <v>179.39385000000001</v>
          </cell>
          <cell r="AF707">
            <v>183.80669999999998</v>
          </cell>
          <cell r="AK707">
            <v>321.07954999999998</v>
          </cell>
          <cell r="AP707">
            <v>348.32314999999994</v>
          </cell>
          <cell r="AQ707">
            <v>44.091000000000001</v>
          </cell>
          <cell r="AR707">
            <v>42.99295</v>
          </cell>
          <cell r="AS707">
            <v>44.739599999999996</v>
          </cell>
          <cell r="AT707">
            <v>40.411000000000001</v>
          </cell>
          <cell r="AU707">
            <v>172.23455000000001</v>
          </cell>
          <cell r="AV707">
            <v>41.156013285140645</v>
          </cell>
          <cell r="AW707">
            <v>41.613302321642209</v>
          </cell>
          <cell r="AX707">
            <v>42.070591358143773</v>
          </cell>
          <cell r="AY707">
            <v>42.070591358143773</v>
          </cell>
          <cell r="AZ707">
            <v>166.91049832307039</v>
          </cell>
          <cell r="BA707">
            <v>37.593506729214042</v>
          </cell>
          <cell r="BB707">
            <v>38.011212359538646</v>
          </cell>
          <cell r="BC707">
            <v>38.428917989863244</v>
          </cell>
          <cell r="BD707">
            <v>38.428917989863244</v>
          </cell>
          <cell r="BE707">
            <v>152.46255506847916</v>
          </cell>
          <cell r="BF707">
            <v>35.221716166946266</v>
          </cell>
          <cell r="BG707">
            <v>35.613068568801232</v>
          </cell>
          <cell r="BH707">
            <v>36.004420970656192</v>
          </cell>
          <cell r="BI707">
            <v>36.004420970656192</v>
          </cell>
          <cell r="BJ707">
            <v>142.84362667705986</v>
          </cell>
          <cell r="BK707">
            <v>35.471957430399712</v>
          </cell>
          <cell r="BL707">
            <v>36.120678785501717</v>
          </cell>
          <cell r="BM707">
            <v>36.776589290705743</v>
          </cell>
          <cell r="BN707">
            <v>37.037172927567418</v>
          </cell>
          <cell r="BO707">
            <v>145.40639843417458</v>
          </cell>
          <cell r="BP707">
            <v>36.488514289399205</v>
          </cell>
          <cell r="BQ707">
            <v>37.154895433081421</v>
          </cell>
          <cell r="BR707">
            <v>37.828645455618215</v>
          </cell>
          <cell r="BS707">
            <v>38.09574368340143</v>
          </cell>
          <cell r="BT707">
            <v>149.56779886150028</v>
          </cell>
          <cell r="BU707">
            <v>37.530485069873698</v>
          </cell>
          <cell r="BV707">
            <v>38.214967496850619</v>
          </cell>
          <cell r="BW707">
            <v>38.907003024653491</v>
          </cell>
          <cell r="BX707">
            <v>39.180778708131285</v>
          </cell>
          <cell r="BY707">
            <v>153.83323429950909</v>
          </cell>
          <cell r="BZ707">
            <v>38.598505119860043</v>
          </cell>
          <cell r="CA707">
            <v>39.30154136221406</v>
          </cell>
          <cell r="CB707">
            <v>40.012319532914653</v>
          </cell>
          <cell r="CC707">
            <v>40.292939608479408</v>
          </cell>
          <cell r="CD707">
            <v>158.20530562346815</v>
          </cell>
        </row>
        <row r="708">
          <cell r="A708" t="str">
            <v>Difference with actual</v>
          </cell>
          <cell r="AA708">
            <v>7.027080359778215E-2</v>
          </cell>
          <cell r="AF708">
            <v>6.6337625342275386E-2</v>
          </cell>
          <cell r="AK708">
            <v>-9.5912368134314363E-3</v>
          </cell>
          <cell r="AP708">
            <v>-2.102401175460189E-2</v>
          </cell>
          <cell r="AQ708">
            <v>7.0000000000000007E-2</v>
          </cell>
          <cell r="AR708">
            <v>7.0000000000000007E-2</v>
          </cell>
          <cell r="AS708">
            <v>7.0000000000000007E-2</v>
          </cell>
          <cell r="AT708">
            <v>7.0000000000000007E-2</v>
          </cell>
          <cell r="AU708">
            <v>7.0000000000000007E-2</v>
          </cell>
          <cell r="AV708">
            <v>7.0000000000000007E-2</v>
          </cell>
          <cell r="AW708">
            <v>7.0000000000000007E-2</v>
          </cell>
          <cell r="AX708">
            <v>7.0000000000000007E-2</v>
          </cell>
          <cell r="AY708">
            <v>7.0000000000000007E-2</v>
          </cell>
          <cell r="AZ708">
            <v>7.0000000000000007E-2</v>
          </cell>
          <cell r="BA708">
            <v>7.0000000000000007E-2</v>
          </cell>
          <cell r="BB708">
            <v>7.0000000000000007E-2</v>
          </cell>
          <cell r="BC708">
            <v>7.0000000000000007E-2</v>
          </cell>
          <cell r="BD708">
            <v>7.0000000000000007E-2</v>
          </cell>
          <cell r="BE708">
            <v>7.0000000000000007E-2</v>
          </cell>
          <cell r="BF708">
            <v>7.0000000000000007E-2</v>
          </cell>
          <cell r="BG708">
            <v>7.0000000000000007E-2</v>
          </cell>
          <cell r="BH708">
            <v>7.0000000000000007E-2</v>
          </cell>
          <cell r="BI708">
            <v>7.0000000000000007E-2</v>
          </cell>
          <cell r="BJ708">
            <v>7.0000000000000007E-2</v>
          </cell>
          <cell r="BK708">
            <v>7.0000000000000007E-2</v>
          </cell>
          <cell r="BL708">
            <v>7.0000000000000007E-2</v>
          </cell>
          <cell r="BM708">
            <v>7.0000000000000007E-2</v>
          </cell>
          <cell r="BN708">
            <v>7.0000000000000007E-2</v>
          </cell>
          <cell r="BO708">
            <v>7.0000000000000007E-2</v>
          </cell>
          <cell r="BP708">
            <v>7.0000000000000007E-2</v>
          </cell>
          <cell r="BQ708">
            <v>7.0000000000000007E-2</v>
          </cell>
          <cell r="BR708">
            <v>7.0000000000000007E-2</v>
          </cell>
          <cell r="BS708">
            <v>7.0000000000000007E-2</v>
          </cell>
          <cell r="BT708">
            <v>7.0000000000000007E-2</v>
          </cell>
          <cell r="BU708">
            <v>7.0000000000000007E-2</v>
          </cell>
          <cell r="BV708">
            <v>7.0000000000000007E-2</v>
          </cell>
          <cell r="BW708">
            <v>7.0000000000000007E-2</v>
          </cell>
          <cell r="BX708">
            <v>7.0000000000000007E-2</v>
          </cell>
          <cell r="BY708">
            <v>7.0000000000000007E-2</v>
          </cell>
          <cell r="BZ708">
            <v>7.0000000000000007E-2</v>
          </cell>
          <cell r="CA708">
            <v>7.0000000000000007E-2</v>
          </cell>
          <cell r="CB708">
            <v>7.0000000000000007E-2</v>
          </cell>
          <cell r="CC708">
            <v>7.0000000000000007E-2</v>
          </cell>
          <cell r="CD708">
            <v>7.0000000000000007E-2</v>
          </cell>
        </row>
        <row r="710">
          <cell r="A710" t="str">
            <v>Per barrel of oil equivalent</v>
          </cell>
        </row>
        <row r="711">
          <cell r="B711" t="str">
            <v>Production cost excluding taxes</v>
          </cell>
          <cell r="AA711">
            <v>12.785388127853881</v>
          </cell>
          <cell r="AF711">
            <v>25.048923679060664</v>
          </cell>
          <cell r="AK711">
            <v>12.246369348027603</v>
          </cell>
          <cell r="AP711">
            <v>11.042488971441839</v>
          </cell>
          <cell r="AQ711">
            <v>11.318551195727885</v>
          </cell>
          <cell r="AR711">
            <v>11.318551195727885</v>
          </cell>
          <cell r="AS711">
            <v>11.318551195727885</v>
          </cell>
          <cell r="AT711">
            <v>11.318551195727885</v>
          </cell>
          <cell r="AU711">
            <v>11.318551195727885</v>
          </cell>
          <cell r="AV711">
            <v>11.88447875551428</v>
          </cell>
          <cell r="AW711">
            <v>11.88447875551428</v>
          </cell>
          <cell r="AX711">
            <v>11.88447875551428</v>
          </cell>
          <cell r="AY711">
            <v>11.88447875551428</v>
          </cell>
          <cell r="AZ711">
            <v>11.88447875551428</v>
          </cell>
          <cell r="BA711">
            <v>12.181590724402136</v>
          </cell>
          <cell r="BB711">
            <v>12.181590724402136</v>
          </cell>
          <cell r="BC711">
            <v>12.181590724402136</v>
          </cell>
          <cell r="BD711">
            <v>12.181590724402136</v>
          </cell>
          <cell r="BE711">
            <v>12.181590724402136</v>
          </cell>
          <cell r="BF711">
            <v>12.486130492512189</v>
          </cell>
          <cell r="BG711">
            <v>12.486130492512189</v>
          </cell>
          <cell r="BH711">
            <v>12.486130492512189</v>
          </cell>
          <cell r="BI711">
            <v>12.486130492512189</v>
          </cell>
          <cell r="BJ711">
            <v>12.486130492512189</v>
          </cell>
          <cell r="BK711">
            <v>12.798283754824991</v>
          </cell>
          <cell r="BL711">
            <v>12.798283754824991</v>
          </cell>
          <cell r="BM711">
            <v>12.798283754824991</v>
          </cell>
          <cell r="BN711">
            <v>12.798283754824991</v>
          </cell>
          <cell r="BO711">
            <v>12.798283754824991</v>
          </cell>
          <cell r="BP711">
            <v>13.118240848695615</v>
          </cell>
          <cell r="BQ711">
            <v>13.118240848695615</v>
          </cell>
          <cell r="BR711">
            <v>13.118240848695615</v>
          </cell>
          <cell r="BS711">
            <v>13.118240848695615</v>
          </cell>
          <cell r="BT711">
            <v>13.118240848695615</v>
          </cell>
          <cell r="BU711">
            <v>13.446196869913004</v>
          </cell>
          <cell r="BV711">
            <v>13.446196869913004</v>
          </cell>
          <cell r="BW711">
            <v>13.446196869913004</v>
          </cell>
          <cell r="BX711">
            <v>13.446196869913004</v>
          </cell>
          <cell r="BY711">
            <v>13.446196869913004</v>
          </cell>
          <cell r="BZ711">
            <v>13.782351791660828</v>
          </cell>
          <cell r="CA711">
            <v>13.782351791660828</v>
          </cell>
          <cell r="CB711">
            <v>13.782351791660828</v>
          </cell>
          <cell r="CC711">
            <v>13.782351791660828</v>
          </cell>
          <cell r="CD711">
            <v>13.782351791660828</v>
          </cell>
        </row>
        <row r="712">
          <cell r="B712" t="str">
            <v>Taxes other than income tax</v>
          </cell>
          <cell r="AA712">
            <v>2.7397260273972601</v>
          </cell>
          <cell r="AF712">
            <v>3.5225048923679059</v>
          </cell>
          <cell r="AK712">
            <v>26.58358224327943</v>
          </cell>
          <cell r="AP712">
            <v>31.780821917808218</v>
          </cell>
          <cell r="AQ712">
            <v>5.24193</v>
          </cell>
          <cell r="AR712">
            <v>5.0552150000000005</v>
          </cell>
          <cell r="AS712">
            <v>5.2034099999999999</v>
          </cell>
          <cell r="AT712">
            <v>4.6999750000000011</v>
          </cell>
          <cell r="AU712">
            <v>5.049067630136987</v>
          </cell>
          <cell r="AV712">
            <v>4.8929926905667225</v>
          </cell>
          <cell r="AW712">
            <v>4.8929926905667216</v>
          </cell>
          <cell r="AX712">
            <v>4.8929926905667216</v>
          </cell>
          <cell r="AY712">
            <v>4.8929926905667216</v>
          </cell>
          <cell r="AZ712">
            <v>4.8929926905667216</v>
          </cell>
          <cell r="BA712">
            <v>4.4694502444732258</v>
          </cell>
          <cell r="BB712">
            <v>4.4694502444732258</v>
          </cell>
          <cell r="BC712">
            <v>4.4694502444732258</v>
          </cell>
          <cell r="BD712">
            <v>4.4694502444732258</v>
          </cell>
          <cell r="BE712">
            <v>4.4694502444732258</v>
          </cell>
          <cell r="BF712">
            <v>4.1874706998480571</v>
          </cell>
          <cell r="BG712">
            <v>4.187470699848058</v>
          </cell>
          <cell r="BH712">
            <v>4.187470699848058</v>
          </cell>
          <cell r="BI712">
            <v>4.187470699848058</v>
          </cell>
          <cell r="BJ712">
            <v>4.1874706998480571</v>
          </cell>
          <cell r="BK712">
            <v>4.2172216056141885</v>
          </cell>
          <cell r="BL712">
            <v>4.2471567363172351</v>
          </cell>
          <cell r="BM712">
            <v>4.2772772327233861</v>
          </cell>
          <cell r="BN712">
            <v>4.3075842426627329</v>
          </cell>
          <cell r="BO712">
            <v>4.2625985294401874</v>
          </cell>
          <cell r="BP712">
            <v>4.3380789210730173</v>
          </cell>
          <cell r="BQ712">
            <v>4.3687624300436401</v>
          </cell>
          <cell r="BR712">
            <v>4.3996359388599453</v>
          </cell>
          <cell r="BS712">
            <v>4.430700624047776</v>
          </cell>
          <cell r="BT712">
            <v>4.3845902679946667</v>
          </cell>
          <cell r="BU712">
            <v>4.461957669418319</v>
          </cell>
          <cell r="BV712">
            <v>4.4934082661132049</v>
          </cell>
          <cell r="BW712">
            <v>4.5250536126499163</v>
          </cell>
          <cell r="BX712">
            <v>4.5568949149674438</v>
          </cell>
          <cell r="BY712">
            <v>4.5096318000130076</v>
          </cell>
          <cell r="BZ712">
            <v>4.5889333864722497</v>
          </cell>
          <cell r="CA712">
            <v>4.6211702480845105</v>
          </cell>
          <cell r="CB712">
            <v>4.6536067282846387</v>
          </cell>
          <cell r="CC712">
            <v>4.6862440631601059</v>
          </cell>
          <cell r="CD712">
            <v>4.6377993703318072</v>
          </cell>
        </row>
        <row r="713">
          <cell r="B713" t="str">
            <v>Exploration expense</v>
          </cell>
          <cell r="AA713">
            <v>0</v>
          </cell>
          <cell r="AF713">
            <v>0</v>
          </cell>
          <cell r="AK713">
            <v>0</v>
          </cell>
          <cell r="AP713">
            <v>0</v>
          </cell>
          <cell r="AQ713">
            <v>0</v>
          </cell>
          <cell r="AR713">
            <v>0</v>
          </cell>
          <cell r="AS713">
            <v>0</v>
          </cell>
          <cell r="AT713">
            <v>0</v>
          </cell>
          <cell r="AU713">
            <v>0</v>
          </cell>
          <cell r="AV713">
            <v>0</v>
          </cell>
          <cell r="AW713">
            <v>0</v>
          </cell>
          <cell r="AX713">
            <v>0</v>
          </cell>
          <cell r="AY713">
            <v>0</v>
          </cell>
          <cell r="AZ713">
            <v>0</v>
          </cell>
          <cell r="BA713">
            <v>0</v>
          </cell>
          <cell r="BB713">
            <v>0</v>
          </cell>
          <cell r="BC713">
            <v>0</v>
          </cell>
          <cell r="BD713">
            <v>0</v>
          </cell>
          <cell r="BE713">
            <v>0</v>
          </cell>
          <cell r="BF713">
            <v>0</v>
          </cell>
          <cell r="BG713">
            <v>0</v>
          </cell>
          <cell r="BH713">
            <v>0</v>
          </cell>
          <cell r="BI713">
            <v>0</v>
          </cell>
          <cell r="BJ713">
            <v>0</v>
          </cell>
          <cell r="BK713">
            <v>0</v>
          </cell>
          <cell r="BL713">
            <v>0</v>
          </cell>
          <cell r="BM713">
            <v>0</v>
          </cell>
          <cell r="BN713">
            <v>0</v>
          </cell>
          <cell r="BO713">
            <v>0</v>
          </cell>
          <cell r="BP713">
            <v>0</v>
          </cell>
          <cell r="BQ713">
            <v>0</v>
          </cell>
          <cell r="BR713">
            <v>0</v>
          </cell>
          <cell r="BS713">
            <v>0</v>
          </cell>
          <cell r="BT713">
            <v>0</v>
          </cell>
          <cell r="BU713">
            <v>0</v>
          </cell>
          <cell r="BV713">
            <v>0</v>
          </cell>
          <cell r="BW713">
            <v>0</v>
          </cell>
          <cell r="BX713">
            <v>0</v>
          </cell>
          <cell r="BY713">
            <v>0</v>
          </cell>
          <cell r="BZ713">
            <v>0</v>
          </cell>
          <cell r="CA713">
            <v>0</v>
          </cell>
          <cell r="CB713">
            <v>0</v>
          </cell>
          <cell r="CC713">
            <v>0</v>
          </cell>
          <cell r="CD713">
            <v>0</v>
          </cell>
        </row>
        <row r="714">
          <cell r="B714" t="str">
            <v>DD&amp;A</v>
          </cell>
          <cell r="AA714">
            <v>90.410958904109592</v>
          </cell>
          <cell r="AF714">
            <v>11.741682974559687</v>
          </cell>
          <cell r="AK714">
            <v>10.454217736121125</v>
          </cell>
          <cell r="AP714">
            <v>11.042488971441839</v>
          </cell>
          <cell r="AQ714">
            <v>12.063852373604984</v>
          </cell>
          <cell r="AR714">
            <v>12.063852373604984</v>
          </cell>
          <cell r="AS714">
            <v>12.063852373604984</v>
          </cell>
          <cell r="AT714">
            <v>12.063852373604984</v>
          </cell>
          <cell r="AU714">
            <v>12.063852373604984</v>
          </cell>
          <cell r="AV714">
            <v>13.085215775768129</v>
          </cell>
          <cell r="AW714">
            <v>13.085215775768129</v>
          </cell>
          <cell r="AX714">
            <v>13.085215775768129</v>
          </cell>
          <cell r="AY714">
            <v>13.085215775768129</v>
          </cell>
          <cell r="AZ714">
            <v>13.085215775768129</v>
          </cell>
          <cell r="BA714">
            <v>14.106579177931273</v>
          </cell>
          <cell r="BB714">
            <v>14.106579177931273</v>
          </cell>
          <cell r="BC714">
            <v>14.106579177931273</v>
          </cell>
          <cell r="BD714">
            <v>14.106579177931273</v>
          </cell>
          <cell r="BE714">
            <v>14.106579177931273</v>
          </cell>
          <cell r="BF714">
            <v>15.127942580094416</v>
          </cell>
          <cell r="BG714">
            <v>15.127942580094416</v>
          </cell>
          <cell r="BH714">
            <v>15.127942580094416</v>
          </cell>
          <cell r="BI714">
            <v>15.127942580094416</v>
          </cell>
          <cell r="BJ714">
            <v>15.127942580094416</v>
          </cell>
          <cell r="BK714">
            <v>16.149305982257559</v>
          </cell>
          <cell r="BL714">
            <v>16.149305982257559</v>
          </cell>
          <cell r="BM714">
            <v>16.149305982257559</v>
          </cell>
          <cell r="BN714">
            <v>16.149305982257559</v>
          </cell>
          <cell r="BO714">
            <v>16.149305982257559</v>
          </cell>
          <cell r="BP714">
            <v>17.170669384420705</v>
          </cell>
          <cell r="BQ714">
            <v>17.170669384420705</v>
          </cell>
          <cell r="BR714">
            <v>17.170669384420705</v>
          </cell>
          <cell r="BS714">
            <v>17.170669384420705</v>
          </cell>
          <cell r="BT714">
            <v>17.170669384420705</v>
          </cell>
          <cell r="BU714">
            <v>18.192032786583848</v>
          </cell>
          <cell r="BV714">
            <v>18.192032786583848</v>
          </cell>
          <cell r="BW714">
            <v>18.192032786583848</v>
          </cell>
          <cell r="BX714">
            <v>18.192032786583848</v>
          </cell>
          <cell r="BY714">
            <v>18.192032786583848</v>
          </cell>
          <cell r="BZ714">
            <v>19.213396188746994</v>
          </cell>
          <cell r="CA714">
            <v>19.213396188746994</v>
          </cell>
          <cell r="CB714">
            <v>19.213396188746994</v>
          </cell>
          <cell r="CC714">
            <v>19.213396188746994</v>
          </cell>
          <cell r="CD714">
            <v>19.213396188746994</v>
          </cell>
        </row>
        <row r="715">
          <cell r="B715" t="str">
            <v>Other income/(cost)</v>
          </cell>
          <cell r="AA715">
            <v>10.95890410958904</v>
          </cell>
          <cell r="AF715">
            <v>-16.829745596868886</v>
          </cell>
          <cell r="AK715">
            <v>32.258729014316614</v>
          </cell>
          <cell r="AP715">
            <v>67.870907824471786</v>
          </cell>
          <cell r="AQ715">
            <v>0</v>
          </cell>
          <cell r="AR715">
            <v>0</v>
          </cell>
          <cell r="AS715">
            <v>0</v>
          </cell>
          <cell r="AT715">
            <v>0</v>
          </cell>
          <cell r="AU715">
            <v>0</v>
          </cell>
          <cell r="AV715">
            <v>0</v>
          </cell>
          <cell r="AW715">
            <v>0</v>
          </cell>
          <cell r="AX715">
            <v>0</v>
          </cell>
          <cell r="AY715">
            <v>0</v>
          </cell>
          <cell r="AZ715">
            <v>0</v>
          </cell>
          <cell r="BA715">
            <v>0</v>
          </cell>
          <cell r="BB715">
            <v>0</v>
          </cell>
          <cell r="BC715">
            <v>0</v>
          </cell>
          <cell r="BD715">
            <v>0</v>
          </cell>
          <cell r="BE715">
            <v>0</v>
          </cell>
          <cell r="BF715">
            <v>0</v>
          </cell>
          <cell r="BG715">
            <v>0</v>
          </cell>
          <cell r="BH715">
            <v>0</v>
          </cell>
          <cell r="BI715">
            <v>0</v>
          </cell>
          <cell r="BJ715">
            <v>0</v>
          </cell>
          <cell r="BK715">
            <v>0</v>
          </cell>
          <cell r="BL715">
            <v>0</v>
          </cell>
          <cell r="BM715">
            <v>0</v>
          </cell>
          <cell r="BN715">
            <v>0</v>
          </cell>
          <cell r="BO715">
            <v>0</v>
          </cell>
          <cell r="BP715">
            <v>0</v>
          </cell>
          <cell r="BQ715">
            <v>0</v>
          </cell>
          <cell r="BR715">
            <v>0</v>
          </cell>
          <cell r="BS715">
            <v>0</v>
          </cell>
          <cell r="BT715">
            <v>0</v>
          </cell>
          <cell r="BU715">
            <v>0</v>
          </cell>
          <cell r="BV715">
            <v>0</v>
          </cell>
          <cell r="BW715">
            <v>0</v>
          </cell>
          <cell r="BX715">
            <v>0</v>
          </cell>
          <cell r="BY715">
            <v>0</v>
          </cell>
          <cell r="BZ715">
            <v>0</v>
          </cell>
          <cell r="CA715">
            <v>0</v>
          </cell>
          <cell r="CB715">
            <v>0</v>
          </cell>
          <cell r="CC715">
            <v>0</v>
          </cell>
          <cell r="CD715">
            <v>0</v>
          </cell>
        </row>
        <row r="716">
          <cell r="B716" t="str">
            <v>Earnings before tax</v>
          </cell>
          <cell r="AA716">
            <v>-58.447488584474883</v>
          </cell>
          <cell r="AF716">
            <v>53.228962818003914</v>
          </cell>
          <cell r="AK716">
            <v>13.441137089298589</v>
          </cell>
          <cell r="AP716">
            <v>-29.895518922684001</v>
          </cell>
          <cell r="AQ716">
            <v>76.214266430667152</v>
          </cell>
          <cell r="AR716">
            <v>72.666681430667126</v>
          </cell>
          <cell r="AS716">
            <v>75.48238643066712</v>
          </cell>
          <cell r="AT716">
            <v>65.917121430667152</v>
          </cell>
          <cell r="AU716">
            <v>72.549881403269879</v>
          </cell>
          <cell r="AV716">
            <v>67.997166589485303</v>
          </cell>
          <cell r="AW716">
            <v>67.997166589485303</v>
          </cell>
          <cell r="AX716">
            <v>67.997166589485289</v>
          </cell>
          <cell r="AY716">
            <v>67.997166589485289</v>
          </cell>
          <cell r="AZ716">
            <v>67.997166589485303</v>
          </cell>
          <cell r="BA716">
            <v>58.631384742657858</v>
          </cell>
          <cell r="BB716">
            <v>58.631384742657879</v>
          </cell>
          <cell r="BC716">
            <v>58.631384742657872</v>
          </cell>
          <cell r="BD716">
            <v>58.631384742657872</v>
          </cell>
          <cell r="BE716">
            <v>58.631384742657879</v>
          </cell>
          <cell r="BF716">
            <v>51.947870224506467</v>
          </cell>
          <cell r="BG716">
            <v>51.947870224506488</v>
          </cell>
          <cell r="BH716">
            <v>51.947870224506474</v>
          </cell>
          <cell r="BI716">
            <v>51.947870224506474</v>
          </cell>
          <cell r="BJ716">
            <v>51.947870224506453</v>
          </cell>
          <cell r="BK716">
            <v>51.179620769587011</v>
          </cell>
          <cell r="BL716">
            <v>51.74838825294492</v>
          </cell>
          <cell r="BM716">
            <v>52.320677684661781</v>
          </cell>
          <cell r="BN716">
            <v>52.896510873509371</v>
          </cell>
          <cell r="BO716">
            <v>52.041782322280994</v>
          </cell>
          <cell r="BP716">
            <v>52.134589267270997</v>
          </cell>
          <cell r="BQ716">
            <v>52.717575937712823</v>
          </cell>
          <cell r="BR716">
            <v>53.304172605222632</v>
          </cell>
          <cell r="BS716">
            <v>53.894401623791417</v>
          </cell>
          <cell r="BT716">
            <v>53.018304858782322</v>
          </cell>
          <cell r="BU716">
            <v>53.138966062451203</v>
          </cell>
          <cell r="BV716">
            <v>53.736527399654051</v>
          </cell>
          <cell r="BW716">
            <v>54.337788983851588</v>
          </cell>
          <cell r="BX716">
            <v>54.942773727884578</v>
          </cell>
          <cell r="BY716">
            <v>54.044774543750265</v>
          </cell>
          <cell r="BZ716">
            <v>54.193986362564921</v>
          </cell>
          <cell r="CA716">
            <v>54.806486733197879</v>
          </cell>
          <cell r="CB716">
            <v>55.422779857000322</v>
          </cell>
          <cell r="CC716">
            <v>56.042889219634183</v>
          </cell>
          <cell r="CD716">
            <v>55.122440055896504</v>
          </cell>
        </row>
        <row r="718">
          <cell r="B718" t="str">
            <v>Suggested DD&amp;A/boe for convergence</v>
          </cell>
          <cell r="AA718">
            <v>90.410958904109592</v>
          </cell>
          <cell r="AF718">
            <v>11.741682974559687</v>
          </cell>
          <cell r="AK718">
            <v>10.454217736121125</v>
          </cell>
          <cell r="AP718">
            <v>11.042488971441839</v>
          </cell>
          <cell r="AU718">
            <v>12.063852373604984</v>
          </cell>
          <cell r="AZ718">
            <v>13.085215775768129</v>
          </cell>
          <cell r="BE718">
            <v>14.106579177931273</v>
          </cell>
          <cell r="BJ718">
            <v>15.127942580094416</v>
          </cell>
          <cell r="BO718">
            <v>16.149305982257559</v>
          </cell>
          <cell r="BT718">
            <v>17.170669384420705</v>
          </cell>
          <cell r="BY718">
            <v>18.192032786583848</v>
          </cell>
          <cell r="CD718">
            <v>19.213396188746994</v>
          </cell>
        </row>
        <row r="720">
          <cell r="A720" t="str">
            <v>As percent of revenue</v>
          </cell>
        </row>
        <row r="721">
          <cell r="B721" t="str">
            <v>Production cost excluding taxes</v>
          </cell>
          <cell r="AA721">
            <v>0.21875</v>
          </cell>
          <cell r="AF721">
            <v>0.32653061224489793</v>
          </cell>
          <cell r="AK721">
            <v>0.12893081761006289</v>
          </cell>
          <cell r="AP721">
            <v>0.12023460410557185</v>
          </cell>
          <cell r="AQ721">
            <v>0.10796167819608316</v>
          </cell>
          <cell r="AR721">
            <v>0.11194925631973997</v>
          </cell>
          <cell r="AS721">
            <v>0.10876090098346936</v>
          </cell>
          <cell r="AT721">
            <v>0.12041075958625189</v>
          </cell>
          <cell r="AU721">
            <v>0.11208555742222054</v>
          </cell>
          <cell r="AV721">
            <v>0.12144386377713742</v>
          </cell>
          <cell r="AW721">
            <v>0.12144386377713741</v>
          </cell>
          <cell r="AX721">
            <v>0.12144386377713742</v>
          </cell>
          <cell r="AY721">
            <v>0.12144386377713742</v>
          </cell>
          <cell r="AZ721">
            <v>0.12144386377713744</v>
          </cell>
          <cell r="BA721">
            <v>0.13627616438358933</v>
          </cell>
          <cell r="BB721">
            <v>0.1362761643835893</v>
          </cell>
          <cell r="BC721">
            <v>0.13627616438358933</v>
          </cell>
          <cell r="BD721">
            <v>0.13627616438358933</v>
          </cell>
          <cell r="BE721">
            <v>0.13627616438358936</v>
          </cell>
          <cell r="BF721">
            <v>0.14908916846827433</v>
          </cell>
          <cell r="BG721">
            <v>0.14908916846827425</v>
          </cell>
          <cell r="BH721">
            <v>0.1490891684682743</v>
          </cell>
          <cell r="BI721">
            <v>0.1490891684682743</v>
          </cell>
          <cell r="BJ721">
            <v>0.14908916846827433</v>
          </cell>
          <cell r="BK721">
            <v>0.15173833570646655</v>
          </cell>
          <cell r="BL721">
            <v>0.15066884211486095</v>
          </cell>
          <cell r="BM721">
            <v>0.14960783529427896</v>
          </cell>
          <cell r="BN721">
            <v>0.14855523460306994</v>
          </cell>
          <cell r="BO721">
            <v>0.15012302550230799</v>
          </cell>
          <cell r="BP721">
            <v>0.15119873436339926</v>
          </cell>
          <cell r="BQ721">
            <v>0.15013680714797506</v>
          </cell>
          <cell r="BR721">
            <v>0.14908325405777642</v>
          </cell>
          <cell r="BS721">
            <v>0.14803799626514966</v>
          </cell>
          <cell r="BT721">
            <v>0.14959483152225495</v>
          </cell>
          <cell r="BU721">
            <v>0.15067597976188235</v>
          </cell>
          <cell r="BV721">
            <v>0.14962135725921868</v>
          </cell>
          <cell r="BW721">
            <v>0.14857500066213331</v>
          </cell>
          <cell r="BX721">
            <v>0.14753683287437702</v>
          </cell>
          <cell r="BY721">
            <v>0.14908308999721689</v>
          </cell>
          <cell r="BZ721">
            <v>0.15016944713438121</v>
          </cell>
          <cell r="CA721">
            <v>0.14912187878572161</v>
          </cell>
          <cell r="CB721">
            <v>0.14808247233153202</v>
          </cell>
          <cell r="CC721">
            <v>0.14705115232908808</v>
          </cell>
          <cell r="CD721">
            <v>0.14858719288103642</v>
          </cell>
        </row>
        <row r="722">
          <cell r="B722" t="str">
            <v>Taxes other than income tax</v>
          </cell>
          <cell r="AA722">
            <v>4.6875E-2</v>
          </cell>
          <cell r="AF722">
            <v>4.5918367346938778E-2</v>
          </cell>
          <cell r="AK722">
            <v>0.27987421383647798</v>
          </cell>
          <cell r="AP722">
            <v>0.3460410557184751</v>
          </cell>
          <cell r="AQ722">
            <v>0.05</v>
          </cell>
          <cell r="AR722">
            <v>0.05</v>
          </cell>
          <cell r="AS722">
            <v>0.05</v>
          </cell>
          <cell r="AT722">
            <v>0.05</v>
          </cell>
          <cell r="AU722">
            <v>0.05</v>
          </cell>
          <cell r="AV722">
            <v>0.05</v>
          </cell>
          <cell r="AW722">
            <v>0.05</v>
          </cell>
          <cell r="AX722">
            <v>0.05</v>
          </cell>
          <cell r="AY722">
            <v>0.05</v>
          </cell>
          <cell r="AZ722">
            <v>0.05</v>
          </cell>
          <cell r="BA722">
            <v>0.05</v>
          </cell>
          <cell r="BB722">
            <v>0.05</v>
          </cell>
          <cell r="BC722">
            <v>0.05</v>
          </cell>
          <cell r="BD722">
            <v>0.05</v>
          </cell>
          <cell r="BE722">
            <v>0.05</v>
          </cell>
          <cell r="BF722">
            <v>0.05</v>
          </cell>
          <cell r="BG722">
            <v>0.05</v>
          </cell>
          <cell r="BH722">
            <v>0.05</v>
          </cell>
          <cell r="BI722">
            <v>0.05</v>
          </cell>
          <cell r="BJ722">
            <v>0.05</v>
          </cell>
          <cell r="BK722">
            <v>0.05</v>
          </cell>
          <cell r="BL722">
            <v>0.05</v>
          </cell>
          <cell r="BM722">
            <v>0.05</v>
          </cell>
          <cell r="BN722">
            <v>0.05</v>
          </cell>
          <cell r="BO722">
            <v>0.05</v>
          </cell>
          <cell r="BP722">
            <v>0.05</v>
          </cell>
          <cell r="BQ722">
            <v>0.05</v>
          </cell>
          <cell r="BR722">
            <v>0.05</v>
          </cell>
          <cell r="BS722">
            <v>0.05</v>
          </cell>
          <cell r="BT722">
            <v>0.05</v>
          </cell>
          <cell r="BU722">
            <v>0.05</v>
          </cell>
          <cell r="BV722">
            <v>0.05</v>
          </cell>
          <cell r="BW722">
            <v>0.05</v>
          </cell>
          <cell r="BX722">
            <v>0.05</v>
          </cell>
          <cell r="BY722">
            <v>0.05</v>
          </cell>
          <cell r="BZ722">
            <v>0.05</v>
          </cell>
          <cell r="CA722">
            <v>0.05</v>
          </cell>
          <cell r="CB722">
            <v>0.05</v>
          </cell>
          <cell r="CC722">
            <v>0.05</v>
          </cell>
          <cell r="CD722">
            <v>0.05</v>
          </cell>
        </row>
        <row r="723">
          <cell r="B723" t="str">
            <v>Exploration expense</v>
          </cell>
          <cell r="AA723">
            <v>0</v>
          </cell>
          <cell r="AF723">
            <v>0</v>
          </cell>
          <cell r="AK723">
            <v>0</v>
          </cell>
          <cell r="AP723">
            <v>0</v>
          </cell>
          <cell r="AQ723">
            <v>0</v>
          </cell>
          <cell r="AR723">
            <v>0</v>
          </cell>
          <cell r="AS723">
            <v>0</v>
          </cell>
          <cell r="AT723">
            <v>0</v>
          </cell>
          <cell r="AU723">
            <v>0</v>
          </cell>
          <cell r="AV723">
            <v>0</v>
          </cell>
          <cell r="AW723">
            <v>0</v>
          </cell>
          <cell r="AX723">
            <v>0</v>
          </cell>
          <cell r="AY723">
            <v>0</v>
          </cell>
          <cell r="AZ723">
            <v>0</v>
          </cell>
          <cell r="BA723">
            <v>0</v>
          </cell>
          <cell r="BB723">
            <v>0</v>
          </cell>
          <cell r="BC723">
            <v>0</v>
          </cell>
          <cell r="BD723">
            <v>0</v>
          </cell>
          <cell r="BE723">
            <v>0</v>
          </cell>
          <cell r="BF723">
            <v>0</v>
          </cell>
          <cell r="BG723">
            <v>0</v>
          </cell>
          <cell r="BH723">
            <v>0</v>
          </cell>
          <cell r="BI723">
            <v>0</v>
          </cell>
          <cell r="BJ723">
            <v>0</v>
          </cell>
          <cell r="BK723">
            <v>0</v>
          </cell>
          <cell r="BL723">
            <v>0</v>
          </cell>
          <cell r="BM723">
            <v>0</v>
          </cell>
          <cell r="BN723">
            <v>0</v>
          </cell>
          <cell r="BO723">
            <v>0</v>
          </cell>
          <cell r="BP723">
            <v>0</v>
          </cell>
          <cell r="BQ723">
            <v>0</v>
          </cell>
          <cell r="BR723">
            <v>0</v>
          </cell>
          <cell r="BS723">
            <v>0</v>
          </cell>
          <cell r="BT723">
            <v>0</v>
          </cell>
          <cell r="BU723">
            <v>0</v>
          </cell>
          <cell r="BV723">
            <v>0</v>
          </cell>
          <cell r="BW723">
            <v>0</v>
          </cell>
          <cell r="BX723">
            <v>0</v>
          </cell>
          <cell r="BY723">
            <v>0</v>
          </cell>
          <cell r="BZ723">
            <v>0</v>
          </cell>
          <cell r="CA723">
            <v>0</v>
          </cell>
          <cell r="CB723">
            <v>0</v>
          </cell>
          <cell r="CC723">
            <v>0</v>
          </cell>
          <cell r="CD723">
            <v>0</v>
          </cell>
        </row>
        <row r="724">
          <cell r="B724" t="str">
            <v>DD&amp;A</v>
          </cell>
          <cell r="AA724">
            <v>1.546875</v>
          </cell>
          <cell r="AF724">
            <v>0.15306122448979592</v>
          </cell>
          <cell r="AK724">
            <v>0.11006289308176101</v>
          </cell>
          <cell r="AP724">
            <v>0.12023460410557185</v>
          </cell>
          <cell r="AQ724">
            <v>0.11507071225297727</v>
          </cell>
          <cell r="AR724">
            <v>0.1193208634410701</v>
          </cell>
          <cell r="AS724">
            <v>0.11592256206607768</v>
          </cell>
          <cell r="AT724">
            <v>0.1283395376954663</v>
          </cell>
          <cell r="AU724">
            <v>0.11946613966505418</v>
          </cell>
          <cell r="AV724">
            <v>0.13371382917652139</v>
          </cell>
          <cell r="AW724">
            <v>0.13371382917652139</v>
          </cell>
          <cell r="AX724">
            <v>0.13371382917652139</v>
          </cell>
          <cell r="AY724">
            <v>0.13371382917652139</v>
          </cell>
          <cell r="AZ724">
            <v>0.13371382917652139</v>
          </cell>
          <cell r="BA724">
            <v>0.1578111222445647</v>
          </cell>
          <cell r="BB724">
            <v>0.15781112224456467</v>
          </cell>
          <cell r="BC724">
            <v>0.1578111222445647</v>
          </cell>
          <cell r="BD724">
            <v>0.1578111222445647</v>
          </cell>
          <cell r="BE724">
            <v>0.15781112224456473</v>
          </cell>
          <cell r="BF724">
            <v>0.18063341411133144</v>
          </cell>
          <cell r="BG724">
            <v>0.18063341411133138</v>
          </cell>
          <cell r="BH724">
            <v>0.18063341411133138</v>
          </cell>
          <cell r="BI724">
            <v>0.18063341411133138</v>
          </cell>
          <cell r="BJ724">
            <v>0.18063341411133144</v>
          </cell>
          <cell r="BK724">
            <v>0.19146854840114105</v>
          </cell>
          <cell r="BL724">
            <v>0.190119025325409</v>
          </cell>
          <cell r="BM724">
            <v>0.18878021114351679</v>
          </cell>
          <cell r="BN724">
            <v>0.18745200409911039</v>
          </cell>
          <cell r="BO724">
            <v>0.18943029551950877</v>
          </cell>
          <cell r="BP724">
            <v>0.19790637395980765</v>
          </cell>
          <cell r="BQ724">
            <v>0.19651640091870581</v>
          </cell>
          <cell r="BR724">
            <v>0.19513738890029675</v>
          </cell>
          <cell r="BS724">
            <v>0.19376923472583912</v>
          </cell>
          <cell r="BT724">
            <v>0.1958070005965902</v>
          </cell>
          <cell r="BU724">
            <v>0.20385707501518552</v>
          </cell>
          <cell r="BV724">
            <v>0.20243022344283823</v>
          </cell>
          <cell r="BW724">
            <v>0.20101455522789277</v>
          </cell>
          <cell r="BX724">
            <v>0.19960996606297451</v>
          </cell>
          <cell r="BY724">
            <v>0.2017019747214327</v>
          </cell>
          <cell r="BZ724">
            <v>0.2093449018609238</v>
          </cell>
          <cell r="CA724">
            <v>0.20788453094441833</v>
          </cell>
          <cell r="CB724">
            <v>0.20643553818125521</v>
          </cell>
          <cell r="CC724">
            <v>0.2049978183999096</v>
          </cell>
          <cell r="CD724">
            <v>0.20713914784300377</v>
          </cell>
        </row>
        <row r="725">
          <cell r="B725" t="str">
            <v>Other income/(cost)</v>
          </cell>
          <cell r="AA725">
            <v>0.1875</v>
          </cell>
          <cell r="AF725">
            <v>-0.21938775510204081</v>
          </cell>
          <cell r="AK725">
            <v>0.33962264150943394</v>
          </cell>
          <cell r="AP725">
            <v>0.73900293255131966</v>
          </cell>
          <cell r="AQ725">
            <v>0</v>
          </cell>
          <cell r="AR725">
            <v>0</v>
          </cell>
          <cell r="AS725">
            <v>0</v>
          </cell>
          <cell r="AT725">
            <v>0</v>
          </cell>
          <cell r="AU725">
            <v>0</v>
          </cell>
          <cell r="AV725">
            <v>0</v>
          </cell>
          <cell r="AW725">
            <v>0</v>
          </cell>
          <cell r="AX725">
            <v>0</v>
          </cell>
          <cell r="AY725">
            <v>0</v>
          </cell>
          <cell r="AZ725">
            <v>0</v>
          </cell>
          <cell r="BA725">
            <v>0</v>
          </cell>
          <cell r="BB725">
            <v>0</v>
          </cell>
          <cell r="BC725">
            <v>0</v>
          </cell>
          <cell r="BD725">
            <v>0</v>
          </cell>
          <cell r="BE725">
            <v>0</v>
          </cell>
          <cell r="BF725">
            <v>0</v>
          </cell>
          <cell r="BG725">
            <v>0</v>
          </cell>
          <cell r="BH725">
            <v>0</v>
          </cell>
          <cell r="BI725">
            <v>0</v>
          </cell>
          <cell r="BJ725">
            <v>0</v>
          </cell>
          <cell r="BK725">
            <v>0</v>
          </cell>
          <cell r="BL725">
            <v>0</v>
          </cell>
          <cell r="BM725">
            <v>0</v>
          </cell>
          <cell r="BN725">
            <v>0</v>
          </cell>
          <cell r="BO725">
            <v>0</v>
          </cell>
          <cell r="BP725">
            <v>0</v>
          </cell>
          <cell r="BQ725">
            <v>0</v>
          </cell>
          <cell r="BR725">
            <v>0</v>
          </cell>
          <cell r="BS725">
            <v>0</v>
          </cell>
          <cell r="BT725">
            <v>0</v>
          </cell>
          <cell r="BU725">
            <v>0</v>
          </cell>
          <cell r="BV725">
            <v>0</v>
          </cell>
          <cell r="BW725">
            <v>0</v>
          </cell>
          <cell r="BX725">
            <v>0</v>
          </cell>
          <cell r="BY725">
            <v>0</v>
          </cell>
          <cell r="BZ725">
            <v>0</v>
          </cell>
          <cell r="CA725">
            <v>0</v>
          </cell>
          <cell r="CB725">
            <v>0</v>
          </cell>
          <cell r="CC725">
            <v>0</v>
          </cell>
          <cell r="CD725">
            <v>0</v>
          </cell>
        </row>
        <row r="727">
          <cell r="A727" t="str">
            <v>Effective tax rate</v>
          </cell>
          <cell r="AA727">
            <v>-5.7291666666666664E-2</v>
          </cell>
          <cell r="AF727">
            <v>1</v>
          </cell>
          <cell r="AK727">
            <v>1</v>
          </cell>
          <cell r="AP727">
            <v>-0.23423423423423423</v>
          </cell>
          <cell r="AQ727">
            <v>1</v>
          </cell>
          <cell r="AR727">
            <v>1</v>
          </cell>
          <cell r="AS727">
            <v>1</v>
          </cell>
          <cell r="AT727">
            <v>1</v>
          </cell>
          <cell r="AU727">
            <v>1</v>
          </cell>
          <cell r="AV727">
            <v>1</v>
          </cell>
          <cell r="AW727">
            <v>1</v>
          </cell>
          <cell r="AX727">
            <v>1</v>
          </cell>
          <cell r="AY727">
            <v>1</v>
          </cell>
          <cell r="AZ727">
            <v>1</v>
          </cell>
          <cell r="BA727">
            <v>1</v>
          </cell>
          <cell r="BB727">
            <v>1</v>
          </cell>
          <cell r="BC727">
            <v>1</v>
          </cell>
          <cell r="BD727">
            <v>1</v>
          </cell>
          <cell r="BE727">
            <v>1</v>
          </cell>
          <cell r="BF727">
            <v>1</v>
          </cell>
          <cell r="BG727">
            <v>1</v>
          </cell>
          <cell r="BH727">
            <v>1</v>
          </cell>
          <cell r="BI727">
            <v>1</v>
          </cell>
          <cell r="BJ727">
            <v>1</v>
          </cell>
          <cell r="BK727">
            <v>1</v>
          </cell>
          <cell r="BL727">
            <v>1</v>
          </cell>
          <cell r="BM727">
            <v>1</v>
          </cell>
          <cell r="BN727">
            <v>1</v>
          </cell>
          <cell r="BO727">
            <v>1</v>
          </cell>
          <cell r="BP727">
            <v>1</v>
          </cell>
          <cell r="BQ727">
            <v>1</v>
          </cell>
          <cell r="BR727">
            <v>1</v>
          </cell>
          <cell r="BS727">
            <v>1</v>
          </cell>
          <cell r="BT727">
            <v>1</v>
          </cell>
          <cell r="BU727">
            <v>1</v>
          </cell>
          <cell r="BV727">
            <v>1</v>
          </cell>
          <cell r="BW727">
            <v>1</v>
          </cell>
          <cell r="BX727">
            <v>1</v>
          </cell>
          <cell r="BY727">
            <v>1</v>
          </cell>
          <cell r="BZ727">
            <v>1</v>
          </cell>
          <cell r="CA727">
            <v>1</v>
          </cell>
          <cell r="CB727">
            <v>1</v>
          </cell>
          <cell r="CC727">
            <v>1</v>
          </cell>
          <cell r="CD727">
            <v>1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Y UPLOAD shadow"/>
      <sheetName val="NY UPLOAD"/>
      <sheetName val="Client Title Page "/>
      <sheetName val="Title Page"/>
      <sheetName val="__FDSCACHE__"/>
      <sheetName val="Drivers"/>
      <sheetName val="Valuations"/>
      <sheetName val="EPS Sensitivity"/>
      <sheetName val="mwarePreview"/>
      <sheetName val="5 yr Sales and Earnings"/>
      <sheetName val="PFE Qtr Income"/>
      <sheetName val="PFE Qtr Margin"/>
      <sheetName val="PFE Qtr Sales"/>
      <sheetName val="Gross Mgn Calc"/>
      <sheetName val="Alliance revenues"/>
      <sheetName val="Product History"/>
      <sheetName val="BalanceSheet"/>
      <sheetName val="Cashflow"/>
      <sheetName val="mwareValPrintout"/>
      <sheetName val="mwareTaxoPres"/>
      <sheetName val="ROIC"/>
      <sheetName val="Implied ROIC "/>
      <sheetName val="RI Valuation"/>
      <sheetName val="Dynamic Convergence"/>
      <sheetName val="Global Feed"/>
      <sheetName val="Summary"/>
      <sheetName val="PFE Q-Preview"/>
      <sheetName val="PFE Qtr Incomesolo"/>
      <sheetName val="PFE Qtr Marginsolo"/>
      <sheetName val="PFE Qrt Salessolo"/>
      <sheetName val="PFE 2 Qtr Salessolo"/>
      <sheetName val="PHAPharmaSales"/>
      <sheetName val="Combined products"/>
      <sheetName val="PFE-PHA mergerold"/>
      <sheetName val="P&amp;L Charts"/>
      <sheetName val="mwareDates"/>
      <sheetName val="TO DO"/>
      <sheetName val="mwareSettings"/>
      <sheetName val="mStartup"/>
      <sheetName val="P&amp;L Charts (2)"/>
      <sheetName val="ADJ ROIC"/>
      <sheetName val="PFEwork"/>
      <sheetName val="xbrlPreview"/>
      <sheetName val="xbrldates"/>
      <sheetName val="xbrlSettings"/>
      <sheetName val="BS CHeck"/>
      <sheetName val="MWare_Cached"/>
      <sheetName val="Lipitor NPV"/>
      <sheetName val="Lipitor NPV-Mar 2010"/>
      <sheetName val="Qtr Income"/>
      <sheetName val="Qtr Margin"/>
      <sheetName val="Qtr Sales"/>
      <sheetName val="Q-Preview"/>
      <sheetName val="setbacks"/>
      <sheetName val="Sheet1"/>
      <sheetName val=""/>
      <sheetName val="Torcetrapib"/>
      <sheetName val="Divestiture calcula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5">
          <cell r="C5" t="str">
            <v>2001A</v>
          </cell>
        </row>
        <row r="6">
          <cell r="C6">
            <v>6449</v>
          </cell>
        </row>
        <row r="7">
          <cell r="C7">
            <v>3582</v>
          </cell>
        </row>
        <row r="8">
          <cell r="C8">
            <v>551</v>
          </cell>
        </row>
        <row r="9">
          <cell r="C9">
            <v>604</v>
          </cell>
        </row>
        <row r="10">
          <cell r="C10">
            <v>284</v>
          </cell>
        </row>
        <row r="11">
          <cell r="C11">
            <v>0</v>
          </cell>
        </row>
        <row r="12">
          <cell r="C12">
            <v>0</v>
          </cell>
        </row>
        <row r="13">
          <cell r="C13">
            <v>2367</v>
          </cell>
        </row>
        <row r="14">
          <cell r="C14">
            <v>1751</v>
          </cell>
        </row>
        <row r="15">
          <cell r="C15">
            <v>323</v>
          </cell>
        </row>
        <row r="16">
          <cell r="C16">
            <v>149</v>
          </cell>
        </row>
        <row r="17">
          <cell r="C17">
            <v>0</v>
          </cell>
        </row>
        <row r="18">
          <cell r="C18">
            <v>0</v>
          </cell>
        </row>
        <row r="19">
          <cell r="C19">
            <v>0</v>
          </cell>
        </row>
        <row r="20">
          <cell r="C20">
            <v>0</v>
          </cell>
        </row>
        <row r="21">
          <cell r="C21">
            <v>0</v>
          </cell>
        </row>
        <row r="22">
          <cell r="C22">
            <v>0</v>
          </cell>
        </row>
        <row r="23">
          <cell r="C23">
            <v>1507</v>
          </cell>
        </row>
        <row r="24">
          <cell r="C24">
            <v>1067</v>
          </cell>
        </row>
        <row r="25">
          <cell r="C25">
            <v>365</v>
          </cell>
        </row>
        <row r="26">
          <cell r="C26">
            <v>0</v>
          </cell>
        </row>
        <row r="27">
          <cell r="C27">
            <v>0</v>
          </cell>
        </row>
        <row r="28">
          <cell r="C28">
            <v>1518</v>
          </cell>
        </row>
        <row r="29">
          <cell r="C29">
            <v>0</v>
          </cell>
        </row>
        <row r="30">
          <cell r="C30">
            <v>0</v>
          </cell>
        </row>
        <row r="31">
          <cell r="C31">
            <v>0</v>
          </cell>
        </row>
        <row r="32">
          <cell r="C32">
            <v>261</v>
          </cell>
        </row>
        <row r="33">
          <cell r="C33">
            <v>0</v>
          </cell>
        </row>
        <row r="34">
          <cell r="C34">
            <v>989</v>
          </cell>
        </row>
        <row r="35">
          <cell r="C35">
            <v>323</v>
          </cell>
        </row>
        <row r="36">
          <cell r="C36">
            <v>3050</v>
          </cell>
        </row>
        <row r="37">
          <cell r="C37">
            <v>3050</v>
          </cell>
        </row>
        <row r="38">
          <cell r="C38">
            <v>3050</v>
          </cell>
        </row>
        <row r="45">
          <cell r="C45">
            <v>1378</v>
          </cell>
        </row>
        <row r="47">
          <cell r="C47">
            <v>1378</v>
          </cell>
        </row>
        <row r="48">
          <cell r="C48">
            <v>1201.5</v>
          </cell>
        </row>
        <row r="49">
          <cell r="C49">
            <v>24116</v>
          </cell>
        </row>
        <row r="50">
          <cell r="C50">
            <v>1201.5</v>
          </cell>
        </row>
        <row r="51">
          <cell r="C51">
            <v>2986</v>
          </cell>
        </row>
        <row r="52">
          <cell r="C52">
            <v>1880.25</v>
          </cell>
        </row>
        <row r="53">
          <cell r="C53">
            <v>5033.5</v>
          </cell>
        </row>
        <row r="54">
          <cell r="C54">
            <v>31803.75</v>
          </cell>
        </row>
        <row r="55">
          <cell r="C55">
            <v>5033.5</v>
          </cell>
        </row>
        <row r="56">
          <cell r="C56">
            <v>26770.25</v>
          </cell>
        </row>
        <row r="57">
          <cell r="C57">
            <v>11023</v>
          </cell>
        </row>
        <row r="58">
          <cell r="C58">
            <v>4847</v>
          </cell>
        </row>
        <row r="59">
          <cell r="C59">
            <v>10900.25</v>
          </cell>
        </row>
        <row r="60">
          <cell r="C60">
            <v>278</v>
          </cell>
        </row>
        <row r="61">
          <cell r="C61">
            <v>11178.25</v>
          </cell>
        </row>
        <row r="62">
          <cell r="C62">
            <v>0.25503421747103816</v>
          </cell>
        </row>
        <row r="63">
          <cell r="C63">
            <v>2850.8362414456324</v>
          </cell>
        </row>
        <row r="64">
          <cell r="C64">
            <v>16</v>
          </cell>
        </row>
        <row r="65">
          <cell r="C65">
            <v>8311.4137585543685</v>
          </cell>
        </row>
        <row r="66">
          <cell r="C66">
            <v>8311.4137585543685</v>
          </cell>
        </row>
        <row r="67">
          <cell r="C67">
            <v>8311.4137585543685</v>
          </cell>
        </row>
        <row r="68">
          <cell r="C68">
            <v>-523</v>
          </cell>
        </row>
        <row r="69">
          <cell r="C69">
            <v>8311.4137585543685</v>
          </cell>
        </row>
        <row r="70">
          <cell r="C70">
            <v>-523</v>
          </cell>
        </row>
        <row r="71">
          <cell r="C71">
            <v>-523</v>
          </cell>
        </row>
        <row r="72">
          <cell r="C72">
            <v>7788</v>
          </cell>
        </row>
        <row r="73">
          <cell r="C73">
            <v>0.24</v>
          </cell>
        </row>
        <row r="74">
          <cell r="C74">
            <v>1.3066206191722007</v>
          </cell>
        </row>
        <row r="75">
          <cell r="C75">
            <v>0.24</v>
          </cell>
        </row>
        <row r="76">
          <cell r="C76" t="str">
            <v>--</v>
          </cell>
        </row>
        <row r="77">
          <cell r="C77">
            <v>1.3066206191722007</v>
          </cell>
        </row>
        <row r="78">
          <cell r="C78" t="str">
            <v>--</v>
          </cell>
        </row>
        <row r="79">
          <cell r="C79">
            <v>6361</v>
          </cell>
        </row>
        <row r="80">
          <cell r="C80">
            <v>6361</v>
          </cell>
        </row>
        <row r="81">
          <cell r="C81" t="str">
            <v>2001A</v>
          </cell>
        </row>
        <row r="82">
          <cell r="C82" t="str">
            <v>2001A</v>
          </cell>
        </row>
        <row r="83">
          <cell r="C83">
            <v>0.84173250009825884</v>
          </cell>
        </row>
        <row r="84">
          <cell r="C84" t="str">
            <v>2001A</v>
          </cell>
        </row>
        <row r="85">
          <cell r="C85">
            <v>0.34273474040011004</v>
          </cell>
        </row>
        <row r="86">
          <cell r="C86">
            <v>0.84173250009825884</v>
          </cell>
        </row>
        <row r="87">
          <cell r="C87">
            <v>0.34273474040011004</v>
          </cell>
        </row>
        <row r="88">
          <cell r="C88">
            <v>0.35147584797390247</v>
          </cell>
        </row>
        <row r="89">
          <cell r="C89">
            <v>0.26133439479792064</v>
          </cell>
        </row>
        <row r="90">
          <cell r="C90" t="str">
            <v>--</v>
          </cell>
        </row>
        <row r="91">
          <cell r="C91" t="str">
            <v>--</v>
          </cell>
        </row>
        <row r="92">
          <cell r="C92" t="str">
            <v>--</v>
          </cell>
        </row>
        <row r="93">
          <cell r="C93" t="str">
            <v>--</v>
          </cell>
        </row>
        <row r="94">
          <cell r="C94" t="str">
            <v>--</v>
          </cell>
        </row>
        <row r="95">
          <cell r="C95" t="str">
            <v>--</v>
          </cell>
        </row>
        <row r="96">
          <cell r="C96" t="str">
            <v>--</v>
          </cell>
        </row>
        <row r="97">
          <cell r="C97" t="str">
            <v>--</v>
          </cell>
        </row>
        <row r="98">
          <cell r="C98" t="str">
            <v>--</v>
          </cell>
        </row>
        <row r="99">
          <cell r="C99" t="str">
            <v>--</v>
          </cell>
        </row>
        <row r="100">
          <cell r="C100" t="str">
            <v>--</v>
          </cell>
        </row>
        <row r="101">
          <cell r="C101" t="str">
            <v>--</v>
          </cell>
        </row>
        <row r="102">
          <cell r="C102" t="str">
            <v>--</v>
          </cell>
        </row>
        <row r="103">
          <cell r="C103">
            <v>10</v>
          </cell>
        </row>
        <row r="104">
          <cell r="C104">
            <v>7</v>
          </cell>
        </row>
        <row r="105">
          <cell r="C105">
            <v>10</v>
          </cell>
        </row>
        <row r="106">
          <cell r="C106">
            <v>7</v>
          </cell>
        </row>
        <row r="107">
          <cell r="C107">
            <v>0.26741582351965498</v>
          </cell>
        </row>
        <row r="108">
          <cell r="C108">
            <v>0.41594791839442691</v>
          </cell>
        </row>
        <row r="109">
          <cell r="C109" t="e">
            <v>#REF!</v>
          </cell>
        </row>
        <row r="110">
          <cell r="C110" t="e">
            <v>#REF!</v>
          </cell>
        </row>
        <row r="111">
          <cell r="C111" t="e">
            <v>#REF!</v>
          </cell>
        </row>
        <row r="112">
          <cell r="C112" t="e">
            <v>#REF!</v>
          </cell>
        </row>
        <row r="113">
          <cell r="C113" t="e">
            <v>#REF!</v>
          </cell>
        </row>
        <row r="114">
          <cell r="C114" t="e">
            <v>#REF!</v>
          </cell>
        </row>
        <row r="115">
          <cell r="C115" t="e">
            <v>#REF!</v>
          </cell>
        </row>
        <row r="116">
          <cell r="C116" t="e">
            <v>#REF!</v>
          </cell>
        </row>
        <row r="117">
          <cell r="C117" t="e">
            <v>#REF!</v>
          </cell>
        </row>
        <row r="120">
          <cell r="C120" t="str">
            <v>2001A</v>
          </cell>
        </row>
        <row r="121">
          <cell r="C121" t="str">
            <v>2001A</v>
          </cell>
        </row>
        <row r="122">
          <cell r="C122">
            <v>0.15826749990174116</v>
          </cell>
        </row>
        <row r="123">
          <cell r="C123" t="str">
            <v>2001A</v>
          </cell>
        </row>
        <row r="124">
          <cell r="C124">
            <v>0.15826749990174116</v>
          </cell>
        </row>
        <row r="125">
          <cell r="C125">
            <v>0.15826749990174116</v>
          </cell>
        </row>
        <row r="126">
          <cell r="C126">
            <v>0</v>
          </cell>
        </row>
        <row r="127">
          <cell r="C127">
            <v>0.34659434815076839</v>
          </cell>
        </row>
        <row r="128">
          <cell r="C128">
            <v>0.34659434815076839</v>
          </cell>
        </row>
        <row r="129">
          <cell r="C129">
            <v>0.15240341154738041</v>
          </cell>
        </row>
        <row r="130">
          <cell r="C130">
            <v>0.15240341154738041</v>
          </cell>
        </row>
        <row r="131">
          <cell r="C131">
            <v>0.15240341154738041</v>
          </cell>
        </row>
        <row r="132">
          <cell r="C132">
            <v>0.15240341154738041</v>
          </cell>
        </row>
        <row r="133">
          <cell r="C133">
            <v>6449</v>
          </cell>
        </row>
        <row r="134">
          <cell r="C134">
            <v>6449</v>
          </cell>
        </row>
        <row r="135">
          <cell r="C135">
            <v>3582</v>
          </cell>
        </row>
        <row r="136">
          <cell r="C136">
            <v>551</v>
          </cell>
        </row>
        <row r="137">
          <cell r="C137">
            <v>604</v>
          </cell>
        </row>
        <row r="138">
          <cell r="C138">
            <v>284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 t="str">
            <v>_2001</v>
          </cell>
        </row>
        <row r="142">
          <cell r="C142" t="str">
            <v>2001-fy</v>
          </cell>
        </row>
        <row r="143">
          <cell r="C143">
            <v>323</v>
          </cell>
        </row>
        <row r="144">
          <cell r="C144">
            <v>149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1507</v>
          </cell>
        </row>
        <row r="152">
          <cell r="C152">
            <v>1067</v>
          </cell>
        </row>
        <row r="153">
          <cell r="C153">
            <v>365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1518</v>
          </cell>
        </row>
        <row r="157">
          <cell r="C157">
            <v>0</v>
          </cell>
        </row>
        <row r="158">
          <cell r="C158">
            <v>2004</v>
          </cell>
        </row>
        <row r="159">
          <cell r="C159">
            <v>0</v>
          </cell>
        </row>
        <row r="160">
          <cell r="C160">
            <v>10862</v>
          </cell>
        </row>
        <row r="161">
          <cell r="C161">
            <v>50</v>
          </cell>
        </row>
        <row r="162">
          <cell r="C162">
            <v>5</v>
          </cell>
        </row>
        <row r="163">
          <cell r="C163">
            <v>323</v>
          </cell>
        </row>
        <row r="164">
          <cell r="C164">
            <v>2723</v>
          </cell>
        </row>
        <row r="165">
          <cell r="C165">
            <v>10</v>
          </cell>
        </row>
        <row r="166">
          <cell r="C166">
            <v>0</v>
          </cell>
        </row>
        <row r="167">
          <cell r="C167">
            <v>4588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721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G-ROCE"/>
      <sheetName val="annual income - pd"/>
      <sheetName val="Rate Case"/>
      <sheetName val="DCF inputs"/>
    </sheetNames>
    <definedNames>
      <definedName name="PrintAll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/Relationships>

</file>

<file path=xl/worksheets/_rels/sheet3.xml.rels><?xml version="1.0" encoding="UTF-8" standalone="yes"?>
<Relationships xmlns="http://schemas.openxmlformats.org/package/2006/relationships">
<Relationship Id="rId1" Target="http://www.bp.com/en/global/corporate/investors/results-and-reporting/trading-conditions-update.html" TargetMode="External" Type="http://schemas.openxmlformats.org/officeDocument/2006/relationships/hyperlink"/>
<Relationship Id="rId2" Target="../printerSettings/printerSettings3.bin" Type="http://schemas.openxmlformats.org/officeDocument/2006/relationships/printerSettings"/>
<Relationship Id="rId3" Target="../drawings/drawing2.xml" Type="http://schemas.openxmlformats.org/officeDocument/2006/relationships/drawing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Relationship Id="rId2" Target="../drawings/drawing3.xml" Type="http://schemas.openxmlformats.org/officeDocument/2006/relationships/drawing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Relationship Id="rId2" Target="../drawings/drawing4.xml" Type="http://schemas.openxmlformats.org/officeDocument/2006/relationships/drawing"/>
</Relationships>

</file>

<file path=xl/worksheets/_rels/sheet8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Relationship Id="rId2" Target="../drawings/drawing5.xml" Type="http://schemas.openxmlformats.org/officeDocument/2006/relationships/drawing"/>
</Relationships>

</file>

<file path=xl/worksheets/_rels/sheet9.xml.rels><?xml version="1.0" encoding="UTF-8" standalone="yes"?>
<Relationships xmlns="http://schemas.openxmlformats.org/package/2006/relationships">
<Relationship Id="rId1" Target="../printerSettings/printerSettings9.bin" Type="http://schemas.openxmlformats.org/officeDocument/2006/relationships/printerSettings"/>
<Relationship Id="rId2" Target="../drawings/drawing6.xml" Type="http://schemas.openxmlformats.org/officeDocument/2006/relationships/drawing"/>
</Relationships>

</file>

<file path=xl/worksheets/_rels/sheet10.xml.rels><?xml version="1.0" encoding="UTF-8" standalone="yes"?>
<Relationships xmlns="http://schemas.openxmlformats.org/package/2006/relationships">
<Relationship Id="rId1" Target="../printerSettings/printerSettings10.bin" Type="http://schemas.openxmlformats.org/officeDocument/2006/relationships/printerSettings"/>
<Relationship Id="rId2" Target="../drawings/drawing7.xml" Type="http://schemas.openxmlformats.org/officeDocument/2006/relationships/drawing"/>
</Relationships>

</file>

<file path=xl/worksheets/_rels/sheet11.xml.rels><?xml version="1.0" encoding="UTF-8" standalone="yes"?>
<Relationships xmlns="http://schemas.openxmlformats.org/package/2006/relationships">
<Relationship Id="rId1" Target="../printerSettings/printerSettings11.bin" Type="http://schemas.openxmlformats.org/officeDocument/2006/relationships/printerSettings"/>
<Relationship Id="rId2" Target="../drawings/drawing8.xml" Type="http://schemas.openxmlformats.org/officeDocument/2006/relationships/drawing"/>
</Relationships>

</file>

<file path=xl/worksheets/_rels/sheet12.xml.rels><?xml version="1.0" encoding="UTF-8" standalone="yes"?>
<Relationships xmlns="http://schemas.openxmlformats.org/package/2006/relationships">
<Relationship Id="rId1" Target="../printerSettings/printerSettings12.bin" Type="http://schemas.openxmlformats.org/officeDocument/2006/relationships/printerSettings"/>
<Relationship Id="rId2" Target="../drawings/drawing9.xml" Type="http://schemas.openxmlformats.org/officeDocument/2006/relationships/drawing"/>
</Relationships>

</file>

<file path=xl/worksheets/_rels/sheet13.xml.rels><?xml version="1.0" encoding="UTF-8" standalone="yes"?>
<Relationships xmlns="http://schemas.openxmlformats.org/package/2006/relationships">
<Relationship Id="rId1" Target="../printerSettings/printerSettings13.bin" Type="http://schemas.openxmlformats.org/officeDocument/2006/relationships/printerSettings"/>
<Relationship Id="rId2" Target="../drawings/drawing10.xml" Type="http://schemas.openxmlformats.org/officeDocument/2006/relationships/drawing"/>
</Relationships>

</file>

<file path=xl/worksheets/_rels/sheet14.xml.rels><?xml version="1.0" encoding="UTF-8" standalone="yes"?>
<Relationships xmlns="http://schemas.openxmlformats.org/package/2006/relationships">
<Relationship Id="rId1" Target="../printerSettings/printerSettings14.bin" Type="http://schemas.openxmlformats.org/officeDocument/2006/relationships/printerSettings"/>
<Relationship Id="rId2" Target="../drawings/drawing11.xml" Type="http://schemas.openxmlformats.org/officeDocument/2006/relationships/drawing"/>
<Relationship Id="rId3" Target="../drawings/vmlDrawing2.vml" Type="http://schemas.openxmlformats.org/officeDocument/2006/relationships/vmlDrawing"/>
<Relationship Id="rId4" Target="../activeX/activeX1.xml" Type="http://schemas.openxmlformats.org/officeDocument/2006/relationships/control"/>
<Relationship Id="rId5" Target="../media/image6.emf" Type="http://schemas.openxmlformats.org/officeDocument/2006/relationships/image"/>
</Relationships>

</file>

<file path=xl/worksheets/_rels/sheet15.xml.rels><?xml version="1.0" encoding="UTF-8" standalone="yes"?>
<Relationships xmlns="http://schemas.openxmlformats.org/package/2006/relationships">
<Relationship Id="rId1" Target="http://www.bp.com/content/dam/bp/pdf/investors/bp-gulf-of-mexico-cash-flow-schedule.pdf" TargetMode="External" Type="http://schemas.openxmlformats.org/officeDocument/2006/relationships/hyperlink"/>
<Relationship Id="rId2" Target="../printerSettings/printerSettings15.bin" Type="http://schemas.openxmlformats.org/officeDocument/2006/relationships/printerSettings"/>
<Relationship Id="rId3" Target="../drawings/drawing12.xml" Type="http://schemas.openxmlformats.org/officeDocument/2006/relationships/drawing"/>
</Relationships>

</file>

<file path=xl/worksheets/_rels/sheet16.xml.rels><?xml version="1.0" encoding="UTF-8" standalone="yes"?>
<Relationships xmlns="http://schemas.openxmlformats.org/package/2006/relationships">
<Relationship Id="rId1" Target="../printerSettings/printerSettings16.bin" Type="http://schemas.openxmlformats.org/officeDocument/2006/relationships/printerSettings"/>
<Relationship Id="rId2" Target="../drawings/drawing13.xml" Type="http://schemas.openxmlformats.org/officeDocument/2006/relationships/drawing"/>
</Relationships>

</file>

<file path=xl/worksheets/_rels/sheet17.xml.rels><?xml version="1.0" encoding="UTF-8" standalone="yes"?>
<Relationships xmlns="http://schemas.openxmlformats.org/package/2006/relationships">
<Relationship Id="rId1" Target="../printerSettings/printerSettings17.bin" Type="http://schemas.openxmlformats.org/officeDocument/2006/relationships/printerSettings"/>
<Relationship Id="rId2" Target="../drawings/drawing14.xml" Type="http://schemas.openxmlformats.org/officeDocument/2006/relationships/drawing"/>
</Relationships>

</file>

<file path=xl/worksheets/_rels/sheet18.xml.rels><?xml version="1.0" encoding="UTF-8" standalone="yes"?>
<Relationships xmlns="http://schemas.openxmlformats.org/package/2006/relationships">
<Relationship Id="rId1" Target="../printerSettings/printerSettings18.bin" Type="http://schemas.openxmlformats.org/officeDocument/2006/relationships/printerSettings"/>
<Relationship Id="rId2" Target="../drawings/drawing15.xml" Type="http://schemas.openxmlformats.org/officeDocument/2006/relationships/drawing"/>
</Relationships>

</file>

<file path=xl/worksheets/_rels/sheet19.xml.rels><?xml version="1.0" encoding="UTF-8" standalone="yes"?>
<Relationships xmlns="http://schemas.openxmlformats.org/package/2006/relationships">
<Relationship Id="rId1" Target="../printerSettings/printerSettings19.bin" Type="http://schemas.openxmlformats.org/officeDocument/2006/relationships/printerSettings"/>
<Relationship Id="rId2" Target="../drawings/drawing16.xml" Type="http://schemas.openxmlformats.org/officeDocument/2006/relationships/drawing"/>
</Relationships>

</file>

<file path=xl/worksheets/_rels/sheet20.xml.rels><?xml version="1.0" encoding="UTF-8" standalone="yes"?>
<Relationships xmlns="http://schemas.openxmlformats.org/package/2006/relationships">
<Relationship Id="rId1" Target="../printerSettings/printerSettings20.bin" Type="http://schemas.openxmlformats.org/officeDocument/2006/relationships/printerSettings"/>
<Relationship Id="rId2" Target="../drawings/drawing17.xml" Type="http://schemas.openxmlformats.org/officeDocument/2006/relationships/drawing"/>
</Relationships>

</file>

<file path=xl/worksheets/_rels/sheet21.xml.rels><?xml version="1.0" encoding="UTF-8" standalone="yes"?>
<Relationships xmlns="http://schemas.openxmlformats.org/package/2006/relationships">
<Relationship Id="rId1" Target="../printerSettings/printerSettings21.bin" Type="http://schemas.openxmlformats.org/officeDocument/2006/relationships/printerSettings"/>
<Relationship Id="rId2" Target="../drawings/drawing18.xml" Type="http://schemas.openxmlformats.org/officeDocument/2006/relationships/drawing"/>
</Relationships>

</file>

<file path=xl/worksheets/_rels/sheet22.xml.rels><?xml version="1.0" encoding="UTF-8" standalone="yes"?>
<Relationships xmlns="http://schemas.openxmlformats.org/package/2006/relationships">
<Relationship Id="rId1" Target="../printerSettings/printerSettings22.bin" Type="http://schemas.openxmlformats.org/officeDocument/2006/relationships/printerSettings"/>
<Relationship Id="rId2" Target="../drawings/drawing19.xml" Type="http://schemas.openxmlformats.org/officeDocument/2006/relationships/drawing"/>
<Relationship Id="rId3" Target="../drawings/vmlDrawing3.vml" Type="http://schemas.openxmlformats.org/officeDocument/2006/relationships/vmlDrawing"/>
<Relationship Id="rId4" Target="../comments2.xml" Type="http://schemas.openxmlformats.org/officeDocument/2006/relationships/comments"/>
</Relationships>

</file>

<file path=xl/worksheets/_rels/sheet23.xml.rels><?xml version="1.0" encoding="UTF-8" standalone="yes"?>
<Relationships xmlns="http://schemas.openxmlformats.org/package/2006/relationships">
<Relationship Id="rId1" Target="../printerSettings/printerSettings23.bin" Type="http://schemas.openxmlformats.org/officeDocument/2006/relationships/printerSettings"/>
<Relationship Id="rId2" Target="../drawings/drawing20.xml" Type="http://schemas.openxmlformats.org/officeDocument/2006/relationships/drawing"/>
</Relationships>

</file>

<file path=xl/worksheets/_rels/sheet24.xml.rels><?xml version="1.0" encoding="UTF-8" standalone="yes"?>
<Relationships xmlns="http://schemas.openxmlformats.org/package/2006/relationships">
<Relationship Id="rId1" Target="../printerSettings/printerSettings24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398"/>
  <sheetViews>
    <sheetView showGridLines="0" tabSelected="1" topLeftCell="A31" workbookViewId="0">
      <selection activeCell="K33" sqref="K33"/>
    </sheetView>
  </sheetViews>
  <sheetFormatPr defaultRowHeight="12.75"/>
  <cols>
    <col min="1" max="1" width="25.7109375" style="757" customWidth="1"/>
    <col min="2" max="5" width="9.140625" style="757"/>
    <col min="6" max="6" width="18.7109375" style="757" customWidth="1"/>
    <col min="7" max="256" width="9.140625" style="757"/>
    <col min="257" max="257" width="100.7109375" style="757" customWidth="1"/>
    <col min="258" max="512" width="9.140625" style="757"/>
    <col min="513" max="513" width="100.7109375" style="757" customWidth="1"/>
    <col min="514" max="768" width="9.140625" style="757"/>
    <col min="769" max="769" width="100.7109375" style="757" customWidth="1"/>
    <col min="770" max="1024" width="9.140625" style="757"/>
    <col min="1025" max="1025" width="100.7109375" style="757" customWidth="1"/>
    <col min="1026" max="1280" width="9.140625" style="757"/>
    <col min="1281" max="1281" width="100.7109375" style="757" customWidth="1"/>
    <col min="1282" max="1536" width="9.140625" style="757"/>
    <col min="1537" max="1537" width="100.7109375" style="757" customWidth="1"/>
    <col min="1538" max="1792" width="9.140625" style="757"/>
    <col min="1793" max="1793" width="100.7109375" style="757" customWidth="1"/>
    <col min="1794" max="2048" width="9.140625" style="757"/>
    <col min="2049" max="2049" width="100.7109375" style="757" customWidth="1"/>
    <col min="2050" max="2304" width="9.140625" style="757"/>
    <col min="2305" max="2305" width="100.7109375" style="757" customWidth="1"/>
    <col min="2306" max="2560" width="9.140625" style="757"/>
    <col min="2561" max="2561" width="100.7109375" style="757" customWidth="1"/>
    <col min="2562" max="2816" width="9.140625" style="757"/>
    <col min="2817" max="2817" width="100.7109375" style="757" customWidth="1"/>
    <col min="2818" max="3072" width="9.140625" style="757"/>
    <col min="3073" max="3073" width="100.7109375" style="757" customWidth="1"/>
    <col min="3074" max="3328" width="9.140625" style="757"/>
    <col min="3329" max="3329" width="100.7109375" style="757" customWidth="1"/>
    <col min="3330" max="3584" width="9.140625" style="757"/>
    <col min="3585" max="3585" width="100.7109375" style="757" customWidth="1"/>
    <col min="3586" max="3840" width="9.140625" style="757"/>
    <col min="3841" max="3841" width="100.7109375" style="757" customWidth="1"/>
    <col min="3842" max="4096" width="9.140625" style="757"/>
    <col min="4097" max="4097" width="100.7109375" style="757" customWidth="1"/>
    <col min="4098" max="4352" width="9.140625" style="757"/>
    <col min="4353" max="4353" width="100.7109375" style="757" customWidth="1"/>
    <col min="4354" max="4608" width="9.140625" style="757"/>
    <col min="4609" max="4609" width="100.7109375" style="757" customWidth="1"/>
    <col min="4610" max="4864" width="9.140625" style="757"/>
    <col min="4865" max="4865" width="100.7109375" style="757" customWidth="1"/>
    <col min="4866" max="5120" width="9.140625" style="757"/>
    <col min="5121" max="5121" width="100.7109375" style="757" customWidth="1"/>
    <col min="5122" max="5376" width="9.140625" style="757"/>
    <col min="5377" max="5377" width="100.7109375" style="757" customWidth="1"/>
    <col min="5378" max="5632" width="9.140625" style="757"/>
    <col min="5633" max="5633" width="100.7109375" style="757" customWidth="1"/>
    <col min="5634" max="5888" width="9.140625" style="757"/>
    <col min="5889" max="5889" width="100.7109375" style="757" customWidth="1"/>
    <col min="5890" max="6144" width="9.140625" style="757"/>
    <col min="6145" max="6145" width="100.7109375" style="757" customWidth="1"/>
    <col min="6146" max="6400" width="9.140625" style="757"/>
    <col min="6401" max="6401" width="100.7109375" style="757" customWidth="1"/>
    <col min="6402" max="6656" width="9.140625" style="757"/>
    <col min="6657" max="6657" width="100.7109375" style="757" customWidth="1"/>
    <col min="6658" max="6912" width="9.140625" style="757"/>
    <col min="6913" max="6913" width="100.7109375" style="757" customWidth="1"/>
    <col min="6914" max="7168" width="9.140625" style="757"/>
    <col min="7169" max="7169" width="100.7109375" style="757" customWidth="1"/>
    <col min="7170" max="7424" width="9.140625" style="757"/>
    <col min="7425" max="7425" width="100.7109375" style="757" customWidth="1"/>
    <col min="7426" max="7680" width="9.140625" style="757"/>
    <col min="7681" max="7681" width="100.7109375" style="757" customWidth="1"/>
    <col min="7682" max="7936" width="9.140625" style="757"/>
    <col min="7937" max="7937" width="100.7109375" style="757" customWidth="1"/>
    <col min="7938" max="8192" width="9.140625" style="757"/>
    <col min="8193" max="8193" width="100.7109375" style="757" customWidth="1"/>
    <col min="8194" max="8448" width="9.140625" style="757"/>
    <col min="8449" max="8449" width="100.7109375" style="757" customWidth="1"/>
    <col min="8450" max="8704" width="9.140625" style="757"/>
    <col min="8705" max="8705" width="100.7109375" style="757" customWidth="1"/>
    <col min="8706" max="8960" width="9.140625" style="757"/>
    <col min="8961" max="8961" width="100.7109375" style="757" customWidth="1"/>
    <col min="8962" max="9216" width="9.140625" style="757"/>
    <col min="9217" max="9217" width="100.7109375" style="757" customWidth="1"/>
    <col min="9218" max="9472" width="9.140625" style="757"/>
    <col min="9473" max="9473" width="100.7109375" style="757" customWidth="1"/>
    <col min="9474" max="9728" width="9.140625" style="757"/>
    <col min="9729" max="9729" width="100.7109375" style="757" customWidth="1"/>
    <col min="9730" max="9984" width="9.140625" style="757"/>
    <col min="9985" max="9985" width="100.7109375" style="757" customWidth="1"/>
    <col min="9986" max="10240" width="9.140625" style="757"/>
    <col min="10241" max="10241" width="100.7109375" style="757" customWidth="1"/>
    <col min="10242" max="10496" width="9.140625" style="757"/>
    <col min="10497" max="10497" width="100.7109375" style="757" customWidth="1"/>
    <col min="10498" max="10752" width="9.140625" style="757"/>
    <col min="10753" max="10753" width="100.7109375" style="757" customWidth="1"/>
    <col min="10754" max="11008" width="9.140625" style="757"/>
    <col min="11009" max="11009" width="100.7109375" style="757" customWidth="1"/>
    <col min="11010" max="11264" width="9.140625" style="757"/>
    <col min="11265" max="11265" width="100.7109375" style="757" customWidth="1"/>
    <col min="11266" max="11520" width="9.140625" style="757"/>
    <col min="11521" max="11521" width="100.7109375" style="757" customWidth="1"/>
    <col min="11522" max="11776" width="9.140625" style="757"/>
    <col min="11777" max="11777" width="100.7109375" style="757" customWidth="1"/>
    <col min="11778" max="12032" width="9.140625" style="757"/>
    <col min="12033" max="12033" width="100.7109375" style="757" customWidth="1"/>
    <col min="12034" max="12288" width="9.140625" style="757"/>
    <col min="12289" max="12289" width="100.7109375" style="757" customWidth="1"/>
    <col min="12290" max="12544" width="9.140625" style="757"/>
    <col min="12545" max="12545" width="100.7109375" style="757" customWidth="1"/>
    <col min="12546" max="12800" width="9.140625" style="757"/>
    <col min="12801" max="12801" width="100.7109375" style="757" customWidth="1"/>
    <col min="12802" max="13056" width="9.140625" style="757"/>
    <col min="13057" max="13057" width="100.7109375" style="757" customWidth="1"/>
    <col min="13058" max="13312" width="9.140625" style="757"/>
    <col min="13313" max="13313" width="100.7109375" style="757" customWidth="1"/>
    <col min="13314" max="13568" width="9.140625" style="757"/>
    <col min="13569" max="13569" width="100.7109375" style="757" customWidth="1"/>
    <col min="13570" max="13824" width="9.140625" style="757"/>
    <col min="13825" max="13825" width="100.7109375" style="757" customWidth="1"/>
    <col min="13826" max="14080" width="9.140625" style="757"/>
    <col min="14081" max="14081" width="100.7109375" style="757" customWidth="1"/>
    <col min="14082" max="14336" width="9.140625" style="757"/>
    <col min="14337" max="14337" width="100.7109375" style="757" customWidth="1"/>
    <col min="14338" max="14592" width="9.140625" style="757"/>
    <col min="14593" max="14593" width="100.7109375" style="757" customWidth="1"/>
    <col min="14594" max="14848" width="9.140625" style="757"/>
    <col min="14849" max="14849" width="100.7109375" style="757" customWidth="1"/>
    <col min="14850" max="15104" width="9.140625" style="757"/>
    <col min="15105" max="15105" width="100.7109375" style="757" customWidth="1"/>
    <col min="15106" max="15360" width="9.140625" style="757"/>
    <col min="15361" max="15361" width="100.7109375" style="757" customWidth="1"/>
    <col min="15362" max="15616" width="9.140625" style="757"/>
    <col min="15617" max="15617" width="100.7109375" style="757" customWidth="1"/>
    <col min="15618" max="15872" width="9.140625" style="757"/>
    <col min="15873" max="15873" width="100.7109375" style="757" customWidth="1"/>
    <col min="15874" max="16128" width="9.140625" style="757"/>
    <col min="16129" max="16129" width="100.7109375" style="757" customWidth="1"/>
    <col min="16130" max="16384" width="9.140625" style="757"/>
  </cols>
  <sheetData>
    <row r="1" spans="1:8" ht="30" customHeight="1">
      <c r="A1" s="755"/>
      <c r="B1" s="756"/>
      <c r="C1" s="756"/>
      <c r="D1" s="756"/>
      <c r="E1" s="756"/>
      <c r="F1" s="756"/>
      <c r="G1" s="756"/>
      <c r="H1" s="756"/>
    </row>
    <row r="2" spans="1:8" ht="14.25">
      <c r="A2" s="758" t="s">
        <v>3745</v>
      </c>
      <c r="B2" s="756"/>
      <c r="C2" s="756"/>
      <c r="D2" s="756"/>
      <c r="E2" s="756"/>
      <c r="F2" s="756"/>
      <c r="G2" s="756"/>
      <c r="H2" s="756"/>
    </row>
    <row r="3" spans="1:8" ht="14.25">
      <c r="A3" s="758" t="s">
        <v>3746</v>
      </c>
      <c r="B3" s="756"/>
      <c r="C3" s="756"/>
      <c r="D3" s="756"/>
      <c r="E3" s="756"/>
      <c r="F3" s="756"/>
      <c r="G3" s="756"/>
      <c r="H3" s="756"/>
    </row>
    <row r="4" spans="1:8" ht="14.25">
      <c r="A4" s="758" t="s">
        <v>3747</v>
      </c>
      <c r="B4" s="756"/>
      <c r="C4" s="756"/>
      <c r="D4" s="756"/>
      <c r="E4" s="756"/>
      <c r="F4" s="756"/>
      <c r="G4" s="756"/>
      <c r="H4" s="756"/>
    </row>
    <row r="5" spans="1:8" ht="14.25">
      <c r="A5" s="758" t="s">
        <v>3748</v>
      </c>
      <c r="B5" s="756"/>
      <c r="C5" s="756"/>
      <c r="D5" s="756"/>
      <c r="E5" s="756"/>
      <c r="F5" s="756"/>
      <c r="G5" s="756"/>
      <c r="H5" s="756"/>
    </row>
    <row r="6" spans="1:8" ht="14.25">
      <c r="A6" s="758"/>
      <c r="B6" s="756"/>
      <c r="C6" s="756"/>
      <c r="D6" s="756"/>
      <c r="E6" s="756"/>
      <c r="F6" s="756"/>
      <c r="G6" s="756"/>
      <c r="H6" s="756"/>
    </row>
    <row r="7" spans="1:8">
      <c r="A7" s="755" t="s">
        <v>3749</v>
      </c>
      <c r="B7" s="756"/>
      <c r="C7" s="756"/>
      <c r="D7" s="756"/>
      <c r="E7" s="756"/>
      <c r="F7" s="756"/>
      <c r="G7" s="756"/>
      <c r="H7" s="756"/>
    </row>
    <row r="8" spans="1:8">
      <c r="A8" s="755" t="s">
        <v>3750</v>
      </c>
      <c r="B8" s="756"/>
      <c r="C8" s="756"/>
      <c r="D8" s="756"/>
      <c r="E8" s="756"/>
      <c r="F8" s="756"/>
      <c r="G8" s="756"/>
      <c r="H8" s="756"/>
    </row>
    <row r="9" spans="1:8">
      <c r="A9" s="755"/>
      <c r="B9" s="756"/>
      <c r="C9" s="756"/>
      <c r="D9" s="756"/>
      <c r="E9" s="756"/>
      <c r="F9" s="756"/>
      <c r="G9" s="756"/>
      <c r="H9" s="756"/>
    </row>
    <row r="10" spans="1:8">
      <c r="A10" s="759" t="s">
        <v>3751</v>
      </c>
      <c r="B10" s="756"/>
      <c r="C10" s="756"/>
      <c r="D10" s="756"/>
      <c r="E10" s="756"/>
      <c r="F10" s="756"/>
      <c r="G10" s="756"/>
      <c r="H10" s="756"/>
    </row>
    <row r="11" spans="1:8">
      <c r="A11" s="759" t="s">
        <v>3752</v>
      </c>
      <c r="B11" s="756"/>
      <c r="C11" s="756"/>
      <c r="D11" s="756"/>
      <c r="E11" s="756"/>
      <c r="F11" s="756"/>
      <c r="G11" s="756"/>
      <c r="H11" s="756"/>
    </row>
    <row r="12" spans="1:8">
      <c r="A12" s="759" t="s">
        <v>3753</v>
      </c>
      <c r="B12" s="756"/>
      <c r="C12" s="756"/>
      <c r="D12" s="756"/>
      <c r="E12" s="756"/>
      <c r="F12" s="756"/>
      <c r="G12" s="756"/>
      <c r="H12" s="756"/>
    </row>
    <row r="13" spans="1:8">
      <c r="A13" s="759" t="s">
        <v>3754</v>
      </c>
      <c r="B13" s="756"/>
      <c r="C13" s="756"/>
      <c r="D13" s="756"/>
      <c r="E13" s="756"/>
      <c r="F13" s="756"/>
      <c r="G13" s="756"/>
      <c r="H13" s="756"/>
    </row>
    <row r="14" spans="1:8">
      <c r="A14" s="759" t="s">
        <v>3755</v>
      </c>
      <c r="B14" s="756"/>
      <c r="C14" s="756"/>
      <c r="D14" s="756"/>
      <c r="E14" s="756"/>
      <c r="F14" s="756"/>
      <c r="G14" s="756"/>
      <c r="H14" s="756"/>
    </row>
    <row r="15" spans="1:8">
      <c r="A15" s="759" t="s">
        <v>3756</v>
      </c>
      <c r="B15" s="756"/>
      <c r="C15" s="756"/>
      <c r="D15" s="756"/>
      <c r="E15" s="756"/>
      <c r="F15" s="756"/>
      <c r="G15" s="756"/>
      <c r="H15" s="756"/>
    </row>
    <row r="16" spans="1:8">
      <c r="A16" s="759"/>
      <c r="B16" s="756"/>
      <c r="C16" s="756"/>
      <c r="D16" s="756"/>
      <c r="E16" s="756"/>
      <c r="F16" s="756"/>
      <c r="G16" s="756"/>
      <c r="H16" s="756"/>
    </row>
    <row r="17" spans="1:8">
      <c r="A17" s="759" t="s">
        <v>3742</v>
      </c>
      <c r="B17" s="756"/>
      <c r="C17" s="756"/>
      <c r="D17" s="756"/>
      <c r="E17" s="756"/>
      <c r="F17" s="756"/>
      <c r="G17" s="756"/>
      <c r="H17" s="756"/>
    </row>
    <row r="18" spans="1:8">
      <c r="A18" s="759"/>
      <c r="B18" s="756"/>
      <c r="C18" s="756"/>
      <c r="D18" s="756"/>
      <c r="E18" s="756"/>
      <c r="F18" s="756"/>
      <c r="G18" s="756"/>
      <c r="H18" s="756"/>
    </row>
    <row r="19" spans="1:8">
      <c r="A19" s="759" t="s">
        <v>3743</v>
      </c>
      <c r="B19" s="756"/>
      <c r="C19" s="756"/>
      <c r="D19" s="756"/>
      <c r="E19" s="756"/>
      <c r="F19" s="756"/>
      <c r="G19" s="756"/>
      <c r="H19" s="756"/>
    </row>
    <row r="20" spans="1:8">
      <c r="A20" s="755"/>
      <c r="B20" s="756"/>
      <c r="C20" s="756"/>
      <c r="D20" s="756"/>
      <c r="E20" s="756"/>
      <c r="F20" s="756"/>
      <c r="G20" s="756"/>
      <c r="H20" s="756"/>
    </row>
    <row r="21" spans="1:8">
      <c r="A21" s="760" t="s">
        <v>3744</v>
      </c>
      <c r="B21" s="756"/>
      <c r="C21" s="756"/>
      <c r="D21" s="756"/>
      <c r="E21" s="756"/>
      <c r="F21" s="756"/>
      <c r="G21" s="756"/>
      <c r="H21" s="756"/>
    </row>
    <row r="22" spans="1:8">
      <c r="A22" s="761"/>
      <c r="B22" s="761"/>
      <c r="C22" s="761"/>
      <c r="D22" s="761"/>
      <c r="E22" s="761"/>
      <c r="F22" s="761"/>
      <c r="G22" s="761"/>
      <c r="H22" s="761"/>
    </row>
    <row r="23" spans="1:8">
      <c r="A23" s="762" t="s">
        <v>4039</v>
      </c>
      <c r="B23" s="761"/>
      <c r="C23" s="761"/>
      <c r="D23" s="761"/>
      <c r="E23" s="761"/>
      <c r="F23" s="761"/>
      <c r="G23" s="761"/>
      <c r="H23" s="761"/>
    </row>
    <row r="24" spans="1:8">
      <c r="A24" s="762" t="s">
        <v>4040</v>
      </c>
      <c r="B24" s="761"/>
      <c r="C24" s="761"/>
      <c r="D24" s="761"/>
      <c r="E24" s="761"/>
      <c r="F24" s="761"/>
      <c r="G24" s="761"/>
      <c r="H24" s="761"/>
    </row>
    <row r="25" spans="1:8">
      <c r="A25" s="762" t="s">
        <v>4041</v>
      </c>
      <c r="B25" s="761"/>
      <c r="C25" s="761"/>
      <c r="D25" s="761"/>
      <c r="E25" s="761"/>
      <c r="F25" s="761"/>
      <c r="G25" s="761"/>
      <c r="H25" s="761"/>
    </row>
    <row r="26" spans="1:8">
      <c r="A26" s="762" t="s">
        <v>4042</v>
      </c>
      <c r="B26" s="761"/>
      <c r="C26" s="761"/>
      <c r="D26" s="761"/>
      <c r="E26" s="761"/>
      <c r="F26" s="761"/>
      <c r="G26" s="761"/>
      <c r="H26" s="761"/>
    </row>
    <row r="27" spans="1:8">
      <c r="A27" s="761"/>
      <c r="B27" s="761"/>
      <c r="C27" s="761"/>
      <c r="D27" s="761"/>
      <c r="E27" s="761"/>
      <c r="F27" s="761"/>
      <c r="G27" s="761"/>
      <c r="H27" s="761"/>
    </row>
    <row r="28" spans="1:8">
      <c r="A28" s="761"/>
      <c r="B28" s="761"/>
      <c r="C28" s="761"/>
      <c r="D28" s="761"/>
      <c r="E28" s="761"/>
      <c r="F28" s="761"/>
      <c r="G28" s="761"/>
      <c r="H28" s="761"/>
    </row>
    <row r="29" spans="1:8">
      <c r="A29" s="762" t="s">
        <v>4033</v>
      </c>
      <c r="B29" s="761"/>
      <c r="C29" s="761"/>
      <c r="D29" s="761"/>
      <c r="E29" s="761"/>
      <c r="F29" s="761"/>
      <c r="G29" s="761"/>
      <c r="H29" s="761"/>
    </row>
    <row r="30" spans="1:8">
      <c r="A30" s="762" t="s">
        <v>4034</v>
      </c>
      <c r="B30" s="761"/>
      <c r="C30" s="761"/>
      <c r="D30" s="761"/>
      <c r="E30" s="761"/>
      <c r="F30" s="761"/>
      <c r="G30" s="761"/>
      <c r="H30" s="761"/>
    </row>
    <row r="31" spans="1:8">
      <c r="A31" s="762" t="s">
        <v>4035</v>
      </c>
      <c r="B31" s="761"/>
      <c r="C31" s="761"/>
      <c r="D31" s="761"/>
      <c r="E31" s="761"/>
      <c r="F31" s="761"/>
      <c r="G31" s="761"/>
      <c r="H31" s="761"/>
    </row>
    <row r="32" spans="1:8">
      <c r="A32" s="762" t="s">
        <v>4036</v>
      </c>
      <c r="B32" s="761"/>
      <c r="C32" s="761"/>
      <c r="D32" s="761"/>
      <c r="E32" s="761"/>
      <c r="F32" s="761"/>
      <c r="G32" s="761"/>
      <c r="H32" s="761"/>
    </row>
    <row r="33" spans="1:8">
      <c r="A33" s="762" t="s">
        <v>4037</v>
      </c>
      <c r="B33" s="761"/>
      <c r="C33" s="761"/>
      <c r="D33" s="761"/>
      <c r="E33" s="761"/>
      <c r="F33" s="761"/>
      <c r="G33" s="761"/>
      <c r="H33" s="761"/>
    </row>
    <row r="34" spans="1:8">
      <c r="A34" s="762" t="s">
        <v>4038</v>
      </c>
      <c r="B34" s="761"/>
      <c r="C34" s="761"/>
      <c r="D34" s="761"/>
      <c r="E34" s="761"/>
      <c r="F34" s="761"/>
      <c r="G34" s="761"/>
      <c r="H34" s="761"/>
    </row>
    <row r="35" spans="1:8">
      <c r="A35" s="761"/>
      <c r="B35" s="761"/>
      <c r="C35" s="761"/>
      <c r="D35" s="761"/>
      <c r="E35" s="761"/>
      <c r="F35" s="761"/>
      <c r="G35" s="761"/>
      <c r="H35" s="761"/>
    </row>
    <row r="36" spans="1:8">
      <c r="A36" s="762" t="s">
        <v>4029</v>
      </c>
      <c r="B36" s="761"/>
      <c r="C36" s="761"/>
      <c r="D36" s="761"/>
      <c r="E36" s="761"/>
      <c r="F36" s="761"/>
      <c r="G36" s="761"/>
      <c r="H36" s="761"/>
    </row>
    <row r="37" spans="1:8">
      <c r="A37" s="762" t="s">
        <v>4030</v>
      </c>
      <c r="B37" s="761"/>
      <c r="C37" s="761"/>
      <c r="D37" s="761"/>
      <c r="E37" s="761"/>
      <c r="F37" s="761"/>
      <c r="G37" s="761"/>
      <c r="H37" s="761"/>
    </row>
    <row r="38" spans="1:8">
      <c r="A38" s="762" t="s">
        <v>4031</v>
      </c>
      <c r="B38" s="761"/>
      <c r="C38" s="761"/>
      <c r="D38" s="761"/>
      <c r="E38" s="761"/>
      <c r="F38" s="761"/>
      <c r="G38" s="761"/>
      <c r="H38" s="761"/>
    </row>
    <row r="39" spans="1:8">
      <c r="A39" s="762" t="s">
        <v>4032</v>
      </c>
      <c r="B39" s="761"/>
      <c r="C39" s="761"/>
      <c r="D39" s="761"/>
      <c r="E39" s="761"/>
      <c r="F39" s="761"/>
      <c r="G39" s="761"/>
      <c r="H39" s="761"/>
    </row>
    <row r="40" spans="1:8">
      <c r="A40" s="761"/>
      <c r="B40" s="761"/>
      <c r="C40" s="761"/>
      <c r="D40" s="761"/>
      <c r="E40" s="761"/>
      <c r="F40" s="761"/>
      <c r="G40" s="761"/>
      <c r="H40" s="761"/>
    </row>
    <row r="41" spans="1:8">
      <c r="A41" s="762" t="s">
        <v>4023</v>
      </c>
      <c r="B41" s="761"/>
      <c r="C41" s="761"/>
      <c r="D41" s="761"/>
      <c r="E41" s="761"/>
      <c r="F41" s="761"/>
      <c r="G41" s="761"/>
      <c r="H41" s="761"/>
    </row>
    <row r="42" spans="1:8">
      <c r="A42" s="762" t="s">
        <v>4024</v>
      </c>
      <c r="B42" s="761"/>
      <c r="C42" s="761"/>
      <c r="D42" s="761"/>
      <c r="E42" s="761"/>
      <c r="F42" s="761"/>
      <c r="G42" s="761"/>
      <c r="H42" s="761"/>
    </row>
    <row r="43" spans="1:8">
      <c r="A43" s="762" t="s">
        <v>4025</v>
      </c>
      <c r="B43" s="761"/>
      <c r="C43" s="761"/>
      <c r="D43" s="761"/>
      <c r="E43" s="761"/>
      <c r="F43" s="761"/>
      <c r="G43" s="761"/>
      <c r="H43" s="761"/>
    </row>
    <row r="44" spans="1:8">
      <c r="A44" s="762" t="s">
        <v>4026</v>
      </c>
      <c r="B44" s="761"/>
      <c r="C44" s="761"/>
      <c r="D44" s="761"/>
      <c r="E44" s="761"/>
      <c r="F44" s="761"/>
      <c r="G44" s="761"/>
      <c r="H44" s="761"/>
    </row>
    <row r="45" spans="1:8">
      <c r="A45" s="762" t="s">
        <v>4027</v>
      </c>
      <c r="B45" s="761"/>
      <c r="C45" s="761"/>
      <c r="D45" s="761"/>
      <c r="E45" s="761"/>
      <c r="F45" s="761"/>
      <c r="G45" s="761"/>
      <c r="H45" s="761"/>
    </row>
    <row r="46" spans="1:8">
      <c r="A46" s="762" t="s">
        <v>4028</v>
      </c>
      <c r="B46" s="761"/>
      <c r="C46" s="761"/>
      <c r="D46" s="761"/>
      <c r="E46" s="761"/>
      <c r="F46" s="761"/>
      <c r="G46" s="761"/>
      <c r="H46" s="761"/>
    </row>
    <row r="47" spans="1:8">
      <c r="A47" s="761"/>
      <c r="B47" s="761"/>
      <c r="C47" s="761"/>
      <c r="D47" s="761"/>
      <c r="E47" s="761"/>
      <c r="F47" s="761"/>
      <c r="G47" s="761"/>
      <c r="H47" s="761"/>
    </row>
    <row r="48" spans="1:8" ht="15.75">
      <c r="A48" s="763" t="s">
        <v>3757</v>
      </c>
      <c r="B48" s="761"/>
      <c r="C48" s="761"/>
      <c r="D48" s="761"/>
      <c r="E48" s="761"/>
      <c r="F48" s="761"/>
      <c r="G48" s="761"/>
      <c r="H48" s="761"/>
    </row>
    <row r="49" spans="1:8">
      <c r="A49" s="761"/>
      <c r="B49" s="761"/>
      <c r="C49" s="761"/>
      <c r="D49" s="761"/>
      <c r="E49" s="761"/>
      <c r="F49" s="761"/>
      <c r="G49" s="761"/>
      <c r="H49" s="761"/>
    </row>
    <row r="50" spans="1:8">
      <c r="A50" s="762" t="s">
        <v>4019</v>
      </c>
      <c r="B50" s="761"/>
      <c r="C50" s="761"/>
      <c r="D50" s="761"/>
      <c r="E50" s="761"/>
      <c r="F50" s="761"/>
      <c r="G50" s="761"/>
      <c r="H50" s="761"/>
    </row>
    <row r="51" spans="1:8">
      <c r="A51" s="762" t="s">
        <v>4020</v>
      </c>
      <c r="B51" s="761"/>
      <c r="C51" s="761"/>
      <c r="D51" s="761"/>
      <c r="E51" s="761"/>
      <c r="F51" s="761"/>
      <c r="G51" s="761"/>
      <c r="H51" s="761"/>
    </row>
    <row r="52" spans="1:8">
      <c r="A52" s="762" t="s">
        <v>4021</v>
      </c>
      <c r="B52" s="761"/>
      <c r="C52" s="761"/>
      <c r="D52" s="761"/>
      <c r="E52" s="761"/>
      <c r="F52" s="761"/>
      <c r="G52" s="761"/>
      <c r="H52" s="761"/>
    </row>
    <row r="53" spans="1:8">
      <c r="A53" s="762" t="s">
        <v>4022</v>
      </c>
      <c r="B53" s="761"/>
      <c r="C53" s="761"/>
      <c r="D53" s="761"/>
      <c r="E53" s="761"/>
      <c r="F53" s="761"/>
      <c r="G53" s="761"/>
      <c r="H53" s="761"/>
    </row>
    <row r="54" spans="1:8">
      <c r="A54" s="761"/>
      <c r="B54" s="761"/>
      <c r="C54" s="761"/>
      <c r="D54" s="761"/>
      <c r="E54" s="761"/>
      <c r="F54" s="761"/>
      <c r="G54" s="761"/>
      <c r="H54" s="761"/>
    </row>
    <row r="55" spans="1:8">
      <c r="A55" s="762" t="s">
        <v>3758</v>
      </c>
      <c r="B55" s="761"/>
      <c r="C55" s="761"/>
      <c r="D55" s="761"/>
      <c r="E55" s="761"/>
      <c r="F55" s="761"/>
      <c r="G55" s="761"/>
      <c r="H55" s="761"/>
    </row>
    <row r="56" spans="1:8">
      <c r="A56" s="761"/>
      <c r="B56" s="761"/>
      <c r="C56" s="761"/>
      <c r="D56" s="761"/>
      <c r="E56" s="761"/>
      <c r="F56" s="761"/>
      <c r="G56" s="761"/>
      <c r="H56" s="761"/>
    </row>
    <row r="57" spans="1:8" ht="15.75">
      <c r="A57" s="763" t="s">
        <v>3759</v>
      </c>
      <c r="B57" s="761"/>
      <c r="C57" s="761"/>
      <c r="D57" s="761"/>
      <c r="E57" s="761"/>
      <c r="F57" s="761"/>
      <c r="G57" s="761"/>
      <c r="H57" s="761"/>
    </row>
    <row r="58" spans="1:8">
      <c r="A58" s="761"/>
      <c r="B58" s="761"/>
      <c r="C58" s="761"/>
      <c r="D58" s="761"/>
      <c r="E58" s="761"/>
      <c r="F58" s="761"/>
      <c r="G58" s="761"/>
      <c r="H58" s="761"/>
    </row>
    <row r="59" spans="1:8">
      <c r="A59" s="762" t="s">
        <v>4017</v>
      </c>
      <c r="B59" s="761"/>
      <c r="C59" s="761"/>
      <c r="D59" s="761"/>
      <c r="E59" s="761"/>
      <c r="F59" s="761"/>
      <c r="G59" s="761"/>
      <c r="H59" s="761"/>
    </row>
    <row r="60" spans="1:8">
      <c r="A60" s="762" t="s">
        <v>4018</v>
      </c>
      <c r="B60" s="761"/>
      <c r="C60" s="761"/>
      <c r="D60" s="761"/>
      <c r="E60" s="761"/>
      <c r="F60" s="761"/>
      <c r="G60" s="761"/>
      <c r="H60" s="761"/>
    </row>
    <row r="61" spans="1:8">
      <c r="A61" s="761"/>
      <c r="B61" s="761"/>
      <c r="C61" s="761"/>
      <c r="D61" s="761"/>
      <c r="E61" s="761"/>
      <c r="F61" s="761"/>
      <c r="G61" s="761"/>
      <c r="H61" s="761"/>
    </row>
    <row r="62" spans="1:8" ht="15.75">
      <c r="A62" s="763" t="s">
        <v>3760</v>
      </c>
      <c r="B62" s="761"/>
      <c r="C62" s="761"/>
      <c r="D62" s="761"/>
      <c r="E62" s="761"/>
      <c r="F62" s="761"/>
      <c r="G62" s="761"/>
      <c r="H62" s="761"/>
    </row>
    <row r="63" spans="1:8">
      <c r="A63" s="761"/>
      <c r="B63" s="761"/>
      <c r="C63" s="761"/>
      <c r="D63" s="761"/>
      <c r="E63" s="761"/>
      <c r="F63" s="761"/>
      <c r="G63" s="761"/>
      <c r="H63" s="761"/>
    </row>
    <row r="64" spans="1:8">
      <c r="A64" s="762" t="s">
        <v>4015</v>
      </c>
      <c r="B64" s="761"/>
      <c r="C64" s="761"/>
      <c r="D64" s="761"/>
      <c r="E64" s="761"/>
      <c r="F64" s="761"/>
      <c r="G64" s="761"/>
      <c r="H64" s="761"/>
    </row>
    <row r="65" spans="1:8">
      <c r="A65" s="762" t="s">
        <v>4016</v>
      </c>
      <c r="B65" s="761"/>
      <c r="C65" s="761"/>
      <c r="D65" s="761"/>
      <c r="E65" s="761"/>
      <c r="F65" s="761"/>
      <c r="G65" s="761"/>
      <c r="H65" s="761"/>
    </row>
    <row r="66" spans="1:8">
      <c r="A66" s="761"/>
      <c r="B66" s="761"/>
      <c r="C66" s="761"/>
      <c r="D66" s="761"/>
      <c r="E66" s="761"/>
      <c r="F66" s="761"/>
      <c r="G66" s="761"/>
      <c r="H66" s="761"/>
    </row>
    <row r="67" spans="1:8">
      <c r="A67" s="762" t="s">
        <v>4013</v>
      </c>
      <c r="B67" s="761"/>
      <c r="C67" s="761"/>
      <c r="D67" s="761"/>
      <c r="E67" s="761"/>
      <c r="F67" s="761"/>
      <c r="G67" s="761"/>
      <c r="H67" s="761"/>
    </row>
    <row r="68" spans="1:8">
      <c r="A68" s="762" t="s">
        <v>4014</v>
      </c>
      <c r="B68" s="761"/>
      <c r="C68" s="761"/>
      <c r="D68" s="761"/>
      <c r="E68" s="761"/>
      <c r="F68" s="761"/>
      <c r="G68" s="761"/>
      <c r="H68" s="761"/>
    </row>
    <row r="69" spans="1:8">
      <c r="A69" s="761"/>
      <c r="B69" s="761"/>
      <c r="C69" s="761"/>
      <c r="D69" s="761"/>
      <c r="E69" s="761"/>
      <c r="F69" s="761"/>
      <c r="G69" s="761"/>
      <c r="H69" s="761"/>
    </row>
    <row r="70" spans="1:8">
      <c r="A70" s="762" t="s">
        <v>4011</v>
      </c>
      <c r="B70" s="761"/>
      <c r="C70" s="761"/>
      <c r="D70" s="761"/>
      <c r="E70" s="761"/>
      <c r="F70" s="761"/>
      <c r="G70" s="761"/>
      <c r="H70" s="761"/>
    </row>
    <row r="71" spans="1:8">
      <c r="A71" s="762" t="s">
        <v>4012</v>
      </c>
      <c r="B71" s="761"/>
      <c r="C71" s="761"/>
      <c r="D71" s="761"/>
      <c r="E71" s="761"/>
      <c r="F71" s="761"/>
      <c r="G71" s="761"/>
      <c r="H71" s="761"/>
    </row>
    <row r="72" spans="1:8">
      <c r="A72" s="761"/>
      <c r="B72" s="761"/>
      <c r="C72" s="761"/>
      <c r="D72" s="761"/>
      <c r="E72" s="761"/>
      <c r="F72" s="761"/>
      <c r="G72" s="761"/>
      <c r="H72" s="761"/>
    </row>
    <row r="73" spans="1:8">
      <c r="A73" s="762" t="s">
        <v>4009</v>
      </c>
      <c r="B73" s="761"/>
      <c r="C73" s="761"/>
      <c r="D73" s="761"/>
      <c r="E73" s="761"/>
      <c r="F73" s="761"/>
      <c r="G73" s="761"/>
      <c r="H73" s="761"/>
    </row>
    <row r="74" spans="1:8">
      <c r="A74" s="762" t="s">
        <v>4010</v>
      </c>
      <c r="B74" s="761"/>
      <c r="C74" s="761"/>
      <c r="D74" s="761"/>
      <c r="E74" s="761"/>
      <c r="F74" s="761"/>
      <c r="G74" s="761"/>
      <c r="H74" s="761"/>
    </row>
    <row r="75" spans="1:8">
      <c r="A75" s="761"/>
      <c r="B75" s="761"/>
      <c r="C75" s="761"/>
      <c r="D75" s="761"/>
      <c r="E75" s="761"/>
      <c r="F75" s="761"/>
      <c r="G75" s="761"/>
      <c r="H75" s="761"/>
    </row>
    <row r="76" spans="1:8">
      <c r="A76" s="762" t="s">
        <v>4007</v>
      </c>
      <c r="B76" s="761"/>
      <c r="C76" s="761"/>
      <c r="D76" s="761"/>
      <c r="E76" s="761"/>
      <c r="F76" s="761"/>
      <c r="G76" s="761"/>
      <c r="H76" s="761"/>
    </row>
    <row r="77" spans="1:8">
      <c r="A77" s="762" t="s">
        <v>4008</v>
      </c>
      <c r="B77" s="761"/>
      <c r="C77" s="761"/>
      <c r="D77" s="761"/>
      <c r="E77" s="761"/>
      <c r="F77" s="761"/>
      <c r="G77" s="761"/>
      <c r="H77" s="761"/>
    </row>
    <row r="78" spans="1:8">
      <c r="A78" s="761"/>
      <c r="B78" s="761"/>
      <c r="C78" s="761"/>
      <c r="D78" s="761"/>
      <c r="E78" s="761"/>
      <c r="F78" s="761"/>
      <c r="G78" s="761"/>
      <c r="H78" s="761"/>
    </row>
    <row r="79" spans="1:8">
      <c r="A79" s="762" t="s">
        <v>4004</v>
      </c>
      <c r="B79" s="761"/>
      <c r="C79" s="761"/>
      <c r="D79" s="761"/>
      <c r="E79" s="761"/>
      <c r="F79" s="761"/>
      <c r="G79" s="761"/>
      <c r="H79" s="761"/>
    </row>
    <row r="80" spans="1:8">
      <c r="A80" s="762" t="s">
        <v>4005</v>
      </c>
      <c r="B80" s="761"/>
      <c r="C80" s="761"/>
      <c r="D80" s="761"/>
      <c r="E80" s="761"/>
      <c r="F80" s="761"/>
      <c r="G80" s="761"/>
      <c r="H80" s="761"/>
    </row>
    <row r="81" spans="1:8">
      <c r="A81" s="762" t="s">
        <v>4006</v>
      </c>
      <c r="B81" s="761"/>
      <c r="C81" s="761"/>
      <c r="D81" s="761"/>
      <c r="E81" s="761"/>
      <c r="F81" s="761"/>
      <c r="G81" s="761"/>
      <c r="H81" s="761"/>
    </row>
    <row r="82" spans="1:8">
      <c r="A82" s="761"/>
      <c r="B82" s="761"/>
      <c r="C82" s="761"/>
      <c r="D82" s="761"/>
      <c r="E82" s="761"/>
      <c r="F82" s="761"/>
      <c r="G82" s="761"/>
      <c r="H82" s="761"/>
    </row>
    <row r="83" spans="1:8">
      <c r="A83" s="762" t="s">
        <v>3761</v>
      </c>
      <c r="B83" s="761"/>
      <c r="C83" s="761"/>
      <c r="D83" s="761"/>
      <c r="E83" s="761"/>
      <c r="F83" s="761"/>
      <c r="G83" s="761"/>
      <c r="H83" s="761"/>
    </row>
    <row r="84" spans="1:8">
      <c r="A84" s="761"/>
      <c r="B84" s="761"/>
      <c r="C84" s="761"/>
      <c r="D84" s="761"/>
      <c r="E84" s="761"/>
      <c r="F84" s="761"/>
      <c r="G84" s="761"/>
      <c r="H84" s="761"/>
    </row>
    <row r="85" spans="1:8">
      <c r="A85" s="762" t="s">
        <v>3999</v>
      </c>
      <c r="B85" s="761"/>
      <c r="C85" s="761"/>
      <c r="D85" s="761"/>
      <c r="E85" s="761"/>
      <c r="F85" s="761"/>
      <c r="G85" s="761"/>
      <c r="H85" s="761"/>
    </row>
    <row r="86" spans="1:8">
      <c r="A86" s="762" t="s">
        <v>4000</v>
      </c>
      <c r="B86" s="761"/>
      <c r="C86" s="761"/>
      <c r="D86" s="761"/>
      <c r="E86" s="761"/>
      <c r="F86" s="761"/>
      <c r="G86" s="761"/>
      <c r="H86" s="761"/>
    </row>
    <row r="87" spans="1:8">
      <c r="A87" s="762" t="s">
        <v>4001</v>
      </c>
      <c r="B87" s="761"/>
      <c r="C87" s="761"/>
      <c r="D87" s="761"/>
      <c r="E87" s="761"/>
      <c r="F87" s="761"/>
      <c r="G87" s="761"/>
      <c r="H87" s="761"/>
    </row>
    <row r="88" spans="1:8">
      <c r="A88" s="762" t="s">
        <v>4002</v>
      </c>
      <c r="B88" s="761"/>
      <c r="C88" s="761"/>
      <c r="D88" s="761"/>
      <c r="E88" s="761"/>
      <c r="F88" s="761"/>
      <c r="G88" s="761"/>
      <c r="H88" s="761"/>
    </row>
    <row r="89" spans="1:8">
      <c r="A89" s="762" t="s">
        <v>4003</v>
      </c>
      <c r="B89" s="761"/>
      <c r="C89" s="761"/>
      <c r="D89" s="761"/>
      <c r="E89" s="761"/>
      <c r="F89" s="761"/>
      <c r="G89" s="761"/>
      <c r="H89" s="761"/>
    </row>
    <row r="90" spans="1:8">
      <c r="A90" s="762" t="s">
        <v>3886</v>
      </c>
      <c r="B90" s="761"/>
      <c r="C90" s="761"/>
      <c r="D90" s="761"/>
      <c r="E90" s="761"/>
      <c r="F90" s="761"/>
      <c r="G90" s="761"/>
      <c r="H90" s="761"/>
    </row>
    <row r="91" spans="1:8">
      <c r="A91" s="761"/>
      <c r="B91" s="761"/>
      <c r="C91" s="761"/>
      <c r="D91" s="761"/>
      <c r="E91" s="761"/>
      <c r="F91" s="761"/>
      <c r="G91" s="761"/>
      <c r="H91" s="761"/>
    </row>
    <row r="92" spans="1:8">
      <c r="A92" s="762" t="s">
        <v>3992</v>
      </c>
      <c r="B92" s="761"/>
      <c r="C92" s="761"/>
      <c r="D92" s="761"/>
      <c r="E92" s="761"/>
      <c r="F92" s="761"/>
      <c r="G92" s="761"/>
      <c r="H92" s="761"/>
    </row>
    <row r="93" spans="1:8">
      <c r="A93" s="762" t="s">
        <v>3993</v>
      </c>
      <c r="B93" s="761"/>
      <c r="C93" s="761"/>
      <c r="D93" s="761"/>
      <c r="E93" s="761"/>
      <c r="F93" s="761"/>
      <c r="G93" s="761"/>
      <c r="H93" s="761"/>
    </row>
    <row r="94" spans="1:8">
      <c r="A94" s="762" t="s">
        <v>3994</v>
      </c>
      <c r="B94" s="761"/>
      <c r="C94" s="761"/>
      <c r="D94" s="761"/>
      <c r="E94" s="761"/>
      <c r="F94" s="761"/>
      <c r="G94" s="761"/>
      <c r="H94" s="761"/>
    </row>
    <row r="95" spans="1:8">
      <c r="A95" s="762" t="s">
        <v>3995</v>
      </c>
      <c r="B95" s="761"/>
      <c r="C95" s="761"/>
      <c r="D95" s="761"/>
      <c r="E95" s="761"/>
      <c r="F95" s="761"/>
      <c r="G95" s="761"/>
      <c r="H95" s="761"/>
    </row>
    <row r="96" spans="1:8">
      <c r="A96" s="762" t="s">
        <v>3996</v>
      </c>
      <c r="B96" s="761"/>
      <c r="C96" s="761"/>
      <c r="D96" s="761"/>
      <c r="E96" s="761"/>
      <c r="F96" s="761"/>
      <c r="G96" s="761"/>
      <c r="H96" s="761"/>
    </row>
    <row r="97" spans="1:8">
      <c r="A97" s="762" t="s">
        <v>3997</v>
      </c>
      <c r="B97" s="761"/>
      <c r="C97" s="761"/>
      <c r="D97" s="761"/>
      <c r="E97" s="761"/>
      <c r="F97" s="761"/>
      <c r="G97" s="761"/>
      <c r="H97" s="761"/>
    </row>
    <row r="98" spans="1:8">
      <c r="A98" s="762" t="s">
        <v>3998</v>
      </c>
      <c r="B98" s="761"/>
      <c r="C98" s="761"/>
      <c r="D98" s="761"/>
      <c r="E98" s="761"/>
      <c r="F98" s="761"/>
      <c r="G98" s="761"/>
      <c r="H98" s="761"/>
    </row>
    <row r="99" spans="1:8">
      <c r="A99" s="761"/>
      <c r="B99" s="761"/>
      <c r="C99" s="761"/>
      <c r="D99" s="761"/>
      <c r="E99" s="761"/>
      <c r="F99" s="761"/>
      <c r="G99" s="761"/>
      <c r="H99" s="761"/>
    </row>
    <row r="100" spans="1:8">
      <c r="A100" s="762" t="s">
        <v>3990</v>
      </c>
      <c r="B100" s="761"/>
      <c r="C100" s="761"/>
      <c r="D100" s="761"/>
      <c r="E100" s="761"/>
      <c r="F100" s="761"/>
      <c r="G100" s="761"/>
      <c r="H100" s="761"/>
    </row>
    <row r="101" spans="1:8">
      <c r="A101" s="762" t="s">
        <v>3991</v>
      </c>
      <c r="B101" s="761"/>
      <c r="C101" s="761"/>
      <c r="D101" s="761"/>
      <c r="E101" s="761"/>
      <c r="F101" s="761"/>
      <c r="G101" s="761"/>
      <c r="H101" s="761"/>
    </row>
    <row r="102" spans="1:8">
      <c r="A102" s="761"/>
      <c r="B102" s="761"/>
      <c r="C102" s="761"/>
      <c r="D102" s="761"/>
      <c r="E102" s="761"/>
      <c r="F102" s="761"/>
      <c r="G102" s="761"/>
      <c r="H102" s="761"/>
    </row>
    <row r="103" spans="1:8" ht="15.75">
      <c r="A103" s="763" t="s">
        <v>3762</v>
      </c>
      <c r="B103" s="761"/>
      <c r="C103" s="761"/>
      <c r="D103" s="761"/>
      <c r="E103" s="761"/>
      <c r="F103" s="761"/>
      <c r="G103" s="761"/>
      <c r="H103" s="761"/>
    </row>
    <row r="104" spans="1:8">
      <c r="A104" s="761"/>
      <c r="B104" s="761"/>
      <c r="C104" s="761"/>
      <c r="D104" s="761"/>
      <c r="E104" s="761"/>
      <c r="F104" s="761"/>
      <c r="G104" s="761"/>
      <c r="H104" s="761"/>
    </row>
    <row r="105" spans="1:8">
      <c r="A105" s="762" t="s">
        <v>3981</v>
      </c>
      <c r="B105" s="761"/>
      <c r="C105" s="761"/>
      <c r="D105" s="761"/>
      <c r="E105" s="761"/>
      <c r="F105" s="761"/>
      <c r="G105" s="761"/>
      <c r="H105" s="761"/>
    </row>
    <row r="106" spans="1:8">
      <c r="A106" s="762" t="s">
        <v>3982</v>
      </c>
      <c r="B106" s="761"/>
      <c r="C106" s="761"/>
      <c r="D106" s="761"/>
      <c r="E106" s="761"/>
      <c r="F106" s="761"/>
      <c r="G106" s="761"/>
      <c r="H106" s="761"/>
    </row>
    <row r="107" spans="1:8">
      <c r="A107" s="762" t="s">
        <v>3983</v>
      </c>
      <c r="B107" s="761"/>
      <c r="C107" s="761"/>
      <c r="D107" s="761"/>
      <c r="E107" s="761"/>
      <c r="F107" s="761"/>
      <c r="G107" s="761"/>
      <c r="H107" s="761"/>
    </row>
    <row r="108" spans="1:8">
      <c r="A108" s="762" t="s">
        <v>3984</v>
      </c>
      <c r="B108" s="761"/>
      <c r="C108" s="761"/>
      <c r="D108" s="761"/>
      <c r="E108" s="761"/>
      <c r="F108" s="761"/>
      <c r="G108" s="761"/>
      <c r="H108" s="761"/>
    </row>
    <row r="109" spans="1:8">
      <c r="A109" s="762" t="s">
        <v>3985</v>
      </c>
      <c r="B109" s="761"/>
      <c r="C109" s="761"/>
      <c r="D109" s="761"/>
      <c r="E109" s="761"/>
      <c r="F109" s="761"/>
      <c r="G109" s="761"/>
      <c r="H109" s="761"/>
    </row>
    <row r="110" spans="1:8">
      <c r="A110" s="762" t="s">
        <v>3986</v>
      </c>
      <c r="B110" s="761"/>
      <c r="C110" s="761"/>
      <c r="D110" s="761"/>
      <c r="E110" s="761"/>
      <c r="F110" s="761"/>
      <c r="G110" s="761"/>
      <c r="H110" s="761"/>
    </row>
    <row r="111" spans="1:8">
      <c r="A111" s="762" t="s">
        <v>3987</v>
      </c>
      <c r="B111" s="761"/>
      <c r="C111" s="761"/>
      <c r="D111" s="761"/>
      <c r="E111" s="761"/>
      <c r="F111" s="761"/>
      <c r="G111" s="761"/>
      <c r="H111" s="761"/>
    </row>
    <row r="112" spans="1:8">
      <c r="A112" s="762" t="s">
        <v>3988</v>
      </c>
      <c r="B112" s="761"/>
      <c r="C112" s="761"/>
      <c r="D112" s="761"/>
      <c r="E112" s="761"/>
      <c r="F112" s="761"/>
      <c r="G112" s="761"/>
      <c r="H112" s="761"/>
    </row>
    <row r="113" spans="1:8">
      <c r="A113" s="762" t="s">
        <v>3989</v>
      </c>
      <c r="B113" s="761"/>
      <c r="C113" s="761"/>
      <c r="D113" s="761"/>
      <c r="E113" s="761"/>
      <c r="F113" s="761"/>
      <c r="G113" s="761"/>
      <c r="H113" s="761"/>
    </row>
    <row r="114" spans="1:8">
      <c r="A114" s="761"/>
      <c r="B114" s="761"/>
      <c r="C114" s="761"/>
      <c r="D114" s="761"/>
      <c r="E114" s="761"/>
      <c r="F114" s="761"/>
      <c r="G114" s="761"/>
      <c r="H114" s="761"/>
    </row>
    <row r="115" spans="1:8" ht="15.75">
      <c r="A115" s="780" t="s">
        <v>3763</v>
      </c>
      <c r="B115" s="780"/>
      <c r="C115" s="780"/>
      <c r="D115" s="780"/>
      <c r="E115" s="780"/>
      <c r="F115" s="780"/>
      <c r="G115" s="780"/>
      <c r="H115" s="780"/>
    </row>
    <row r="116" spans="1:8">
      <c r="A116" s="776" t="s">
        <v>3764</v>
      </c>
      <c r="B116" s="776"/>
      <c r="C116" s="776"/>
      <c r="D116" s="776"/>
      <c r="E116" s="776"/>
      <c r="F116" s="776"/>
      <c r="G116" s="776"/>
      <c r="H116" s="776"/>
    </row>
    <row r="117" spans="1:8">
      <c r="A117" s="781"/>
      <c r="B117" s="781"/>
      <c r="C117" s="781"/>
      <c r="D117" s="781"/>
      <c r="E117" s="781"/>
      <c r="F117" s="781"/>
      <c r="G117" s="781"/>
      <c r="H117" s="781"/>
    </row>
    <row r="118" spans="1:8">
      <c r="A118" s="776" t="s">
        <v>3979</v>
      </c>
      <c r="B118" s="776"/>
      <c r="C118" s="776"/>
      <c r="D118" s="776"/>
      <c r="E118" s="776"/>
      <c r="F118" s="776"/>
      <c r="G118" s="776"/>
      <c r="H118" s="776"/>
    </row>
    <row r="119" spans="1:8">
      <c r="A119" s="762" t="s">
        <v>3980</v>
      </c>
      <c r="B119" s="762"/>
      <c r="C119" s="762"/>
      <c r="D119" s="762"/>
      <c r="E119" s="762"/>
      <c r="F119" s="762"/>
      <c r="G119" s="762"/>
      <c r="H119" s="762"/>
    </row>
    <row r="120" spans="1:8">
      <c r="A120" s="781"/>
      <c r="B120" s="781"/>
      <c r="C120" s="781"/>
      <c r="D120" s="781"/>
      <c r="E120" s="781"/>
      <c r="F120" s="781"/>
      <c r="G120" s="781"/>
      <c r="H120" s="781"/>
    </row>
    <row r="121" spans="1:8">
      <c r="A121" s="776" t="s">
        <v>3972</v>
      </c>
      <c r="B121" s="776"/>
      <c r="C121" s="776"/>
      <c r="D121" s="776"/>
      <c r="E121" s="776"/>
      <c r="F121" s="776"/>
      <c r="G121" s="776"/>
      <c r="H121" s="776"/>
    </row>
    <row r="122" spans="1:8">
      <c r="A122" s="762" t="s">
        <v>3973</v>
      </c>
      <c r="B122" s="762"/>
      <c r="C122" s="762"/>
      <c r="D122" s="762"/>
      <c r="E122" s="762"/>
      <c r="F122" s="762"/>
      <c r="G122" s="762"/>
      <c r="H122" s="762"/>
    </row>
    <row r="123" spans="1:8">
      <c r="A123" s="762" t="s">
        <v>3974</v>
      </c>
      <c r="B123" s="762"/>
      <c r="C123" s="762"/>
      <c r="D123" s="762"/>
      <c r="E123" s="762"/>
      <c r="F123" s="762"/>
      <c r="G123" s="762"/>
      <c r="H123" s="762"/>
    </row>
    <row r="124" spans="1:8">
      <c r="A124" s="762" t="s">
        <v>3975</v>
      </c>
      <c r="B124" s="762"/>
      <c r="C124" s="762"/>
      <c r="D124" s="762"/>
      <c r="E124" s="762"/>
      <c r="F124" s="762"/>
      <c r="G124" s="762"/>
      <c r="H124" s="762"/>
    </row>
    <row r="125" spans="1:8">
      <c r="A125" s="762" t="s">
        <v>3976</v>
      </c>
      <c r="B125" s="762"/>
      <c r="C125" s="762"/>
      <c r="D125" s="762"/>
      <c r="E125" s="762"/>
      <c r="F125" s="762"/>
      <c r="G125" s="762"/>
      <c r="H125" s="762"/>
    </row>
    <row r="126" spans="1:8">
      <c r="A126" s="762" t="s">
        <v>3977</v>
      </c>
      <c r="B126" s="762"/>
      <c r="C126" s="762"/>
      <c r="D126" s="762"/>
      <c r="E126" s="762"/>
      <c r="F126" s="762"/>
      <c r="G126" s="762"/>
      <c r="H126" s="762"/>
    </row>
    <row r="127" spans="1:8">
      <c r="A127" s="762" t="s">
        <v>3978</v>
      </c>
      <c r="B127" s="762"/>
      <c r="C127" s="762"/>
      <c r="D127" s="762"/>
      <c r="E127" s="762"/>
      <c r="F127" s="762"/>
      <c r="G127" s="762"/>
      <c r="H127" s="762"/>
    </row>
    <row r="128" spans="1:8">
      <c r="A128" s="782"/>
      <c r="B128" s="782"/>
      <c r="C128" s="782"/>
      <c r="D128" s="782"/>
      <c r="E128" s="782"/>
      <c r="F128" s="782"/>
      <c r="G128" s="782"/>
      <c r="H128" s="782"/>
    </row>
    <row r="129" spans="1:8">
      <c r="A129" s="764"/>
      <c r="B129" s="777" t="s">
        <v>3765</v>
      </c>
      <c r="C129" s="778"/>
      <c r="D129" s="777" t="s">
        <v>3766</v>
      </c>
      <c r="E129" s="779"/>
      <c r="F129" s="778"/>
      <c r="G129" s="777" t="s">
        <v>3767</v>
      </c>
      <c r="H129" s="778"/>
    </row>
    <row r="130" spans="1:8">
      <c r="A130" s="764" t="s">
        <v>3768</v>
      </c>
      <c r="B130" s="764" t="s">
        <v>383</v>
      </c>
      <c r="C130" s="764" t="s">
        <v>3769</v>
      </c>
      <c r="D130" s="764" t="s">
        <v>383</v>
      </c>
      <c r="E130" s="764" t="s">
        <v>3770</v>
      </c>
      <c r="F130" s="764" t="s">
        <v>3771</v>
      </c>
      <c r="G130" s="764" t="s">
        <v>383</v>
      </c>
      <c r="H130" s="764" t="s">
        <v>3772</v>
      </c>
    </row>
    <row r="131" spans="1:8">
      <c r="A131" s="764" t="s">
        <v>3773</v>
      </c>
      <c r="B131" s="764">
        <v>1189</v>
      </c>
      <c r="C131" s="764">
        <v>0.38</v>
      </c>
      <c r="D131" s="764">
        <v>315</v>
      </c>
      <c r="E131" s="764">
        <v>0.41</v>
      </c>
      <c r="F131" s="764">
        <v>0.26</v>
      </c>
      <c r="G131" s="764">
        <v>555</v>
      </c>
      <c r="H131" s="764">
        <v>0.39</v>
      </c>
    </row>
    <row r="132" spans="1:8">
      <c r="A132" s="764" t="s">
        <v>3774</v>
      </c>
      <c r="B132" s="764">
        <v>1355</v>
      </c>
      <c r="C132" s="764">
        <v>0.43</v>
      </c>
      <c r="D132" s="764">
        <v>364</v>
      </c>
      <c r="E132" s="764">
        <v>0.47</v>
      </c>
      <c r="F132" s="764">
        <v>0.27</v>
      </c>
      <c r="G132" s="764">
        <v>644</v>
      </c>
      <c r="H132" s="764">
        <v>0.45</v>
      </c>
    </row>
    <row r="133" spans="1:8">
      <c r="A133" s="764" t="s">
        <v>3775</v>
      </c>
      <c r="B133" s="764">
        <v>53</v>
      </c>
      <c r="C133" s="764">
        <v>0.02</v>
      </c>
      <c r="D133" s="764">
        <v>4</v>
      </c>
      <c r="E133" s="764">
        <v>0.01</v>
      </c>
      <c r="F133" s="764">
        <v>0.08</v>
      </c>
      <c r="G133" s="764">
        <v>7</v>
      </c>
      <c r="H133" s="764">
        <v>0</v>
      </c>
    </row>
    <row r="134" spans="1:8">
      <c r="A134" s="764" t="s">
        <v>3776</v>
      </c>
      <c r="B134" s="764">
        <v>545</v>
      </c>
      <c r="C134" s="764">
        <v>0.17</v>
      </c>
      <c r="D134" s="764">
        <v>84</v>
      </c>
      <c r="E134" s="764">
        <v>0.11</v>
      </c>
      <c r="F134" s="764">
        <v>0.15</v>
      </c>
      <c r="G134" s="764">
        <v>214</v>
      </c>
      <c r="H134" s="764">
        <v>0.15</v>
      </c>
    </row>
    <row r="135" spans="1:8">
      <c r="A135" s="764" t="s">
        <v>896</v>
      </c>
      <c r="B135" s="764">
        <v>3142</v>
      </c>
      <c r="C135" s="764"/>
      <c r="D135" s="764">
        <v>767</v>
      </c>
      <c r="E135" s="764"/>
      <c r="F135" s="764"/>
      <c r="G135" s="764">
        <v>1420</v>
      </c>
      <c r="H135" s="764"/>
    </row>
    <row r="136" spans="1:8">
      <c r="A136" s="775"/>
      <c r="B136" s="775"/>
      <c r="C136" s="775"/>
      <c r="D136" s="775"/>
      <c r="E136" s="775"/>
      <c r="F136" s="775"/>
      <c r="G136" s="775"/>
      <c r="H136" s="775"/>
    </row>
    <row r="137" spans="1:8">
      <c r="A137" s="776" t="s">
        <v>3968</v>
      </c>
      <c r="B137" s="776"/>
      <c r="C137" s="776"/>
      <c r="D137" s="776"/>
      <c r="E137" s="776"/>
      <c r="F137" s="776"/>
      <c r="G137" s="776"/>
      <c r="H137" s="776"/>
    </row>
    <row r="138" spans="1:8">
      <c r="A138" s="762" t="s">
        <v>3969</v>
      </c>
      <c r="B138" s="762"/>
      <c r="C138" s="762"/>
      <c r="D138" s="762"/>
      <c r="E138" s="762"/>
      <c r="F138" s="762"/>
      <c r="G138" s="762"/>
      <c r="H138" s="762"/>
    </row>
    <row r="139" spans="1:8">
      <c r="A139" s="762" t="s">
        <v>3970</v>
      </c>
      <c r="B139" s="762"/>
      <c r="C139" s="762"/>
      <c r="D139" s="762"/>
      <c r="E139" s="762"/>
      <c r="F139" s="762"/>
      <c r="G139" s="762"/>
      <c r="H139" s="762"/>
    </row>
    <row r="140" spans="1:8">
      <c r="A140" s="762" t="s">
        <v>3971</v>
      </c>
      <c r="B140" s="762"/>
      <c r="C140" s="762"/>
      <c r="D140" s="762"/>
      <c r="E140" s="762"/>
      <c r="F140" s="762"/>
      <c r="G140" s="762"/>
      <c r="H140" s="762"/>
    </row>
    <row r="141" spans="1:8">
      <c r="A141" s="761"/>
      <c r="B141" s="761"/>
      <c r="C141" s="761"/>
      <c r="D141" s="761"/>
      <c r="E141" s="761"/>
      <c r="F141" s="761"/>
      <c r="G141" s="761"/>
      <c r="H141" s="761"/>
    </row>
    <row r="142" spans="1:8" ht="15.75">
      <c r="A142" s="763" t="s">
        <v>3777</v>
      </c>
      <c r="B142" s="761"/>
      <c r="C142" s="761"/>
      <c r="D142" s="761"/>
      <c r="E142" s="761"/>
      <c r="F142" s="761"/>
      <c r="G142" s="761"/>
      <c r="H142" s="761"/>
    </row>
    <row r="143" spans="1:8">
      <c r="A143" s="761"/>
      <c r="B143" s="761"/>
      <c r="C143" s="761"/>
      <c r="D143" s="761"/>
      <c r="E143" s="761"/>
      <c r="F143" s="761"/>
      <c r="G143" s="761"/>
      <c r="H143" s="761"/>
    </row>
    <row r="144" spans="1:8">
      <c r="A144" s="762" t="s">
        <v>3966</v>
      </c>
      <c r="B144" s="761"/>
      <c r="C144" s="761"/>
      <c r="D144" s="761"/>
      <c r="E144" s="761"/>
      <c r="F144" s="761"/>
      <c r="G144" s="761"/>
      <c r="H144" s="761"/>
    </row>
    <row r="145" spans="1:8">
      <c r="A145" s="762" t="s">
        <v>3967</v>
      </c>
      <c r="B145" s="761"/>
      <c r="C145" s="761"/>
      <c r="D145" s="761"/>
      <c r="E145" s="761"/>
      <c r="F145" s="761"/>
      <c r="G145" s="761"/>
      <c r="H145" s="761"/>
    </row>
    <row r="146" spans="1:8">
      <c r="A146" s="761"/>
      <c r="B146" s="761"/>
      <c r="C146" s="761"/>
      <c r="D146" s="761"/>
      <c r="E146" s="761"/>
      <c r="F146" s="761"/>
      <c r="G146" s="761"/>
      <c r="H146" s="761"/>
    </row>
    <row r="147" spans="1:8">
      <c r="A147" s="762" t="s">
        <v>3963</v>
      </c>
      <c r="B147" s="761"/>
      <c r="C147" s="761"/>
      <c r="D147" s="761"/>
      <c r="E147" s="761"/>
      <c r="F147" s="761"/>
      <c r="G147" s="761"/>
      <c r="H147" s="761"/>
    </row>
    <row r="148" spans="1:8">
      <c r="A148" s="762" t="s">
        <v>3964</v>
      </c>
      <c r="B148" s="761"/>
      <c r="C148" s="761"/>
      <c r="D148" s="761"/>
      <c r="E148" s="761"/>
      <c r="F148" s="761"/>
      <c r="G148" s="761"/>
      <c r="H148" s="761"/>
    </row>
    <row r="149" spans="1:8">
      <c r="A149" s="762" t="s">
        <v>3965</v>
      </c>
      <c r="B149" s="761"/>
      <c r="C149" s="761"/>
      <c r="D149" s="761"/>
      <c r="E149" s="761"/>
      <c r="F149" s="761"/>
      <c r="G149" s="761"/>
      <c r="H149" s="761"/>
    </row>
    <row r="150" spans="1:8">
      <c r="A150" s="761"/>
      <c r="B150" s="761"/>
      <c r="C150" s="761"/>
      <c r="D150" s="761"/>
      <c r="E150" s="761"/>
      <c r="F150" s="761"/>
      <c r="G150" s="761"/>
      <c r="H150" s="761"/>
    </row>
    <row r="151" spans="1:8">
      <c r="A151" s="762" t="s">
        <v>3960</v>
      </c>
      <c r="B151" s="761"/>
      <c r="C151" s="761"/>
      <c r="D151" s="761"/>
      <c r="E151" s="761"/>
      <c r="F151" s="761"/>
      <c r="G151" s="761"/>
      <c r="H151" s="761"/>
    </row>
    <row r="152" spans="1:8">
      <c r="A152" s="762" t="s">
        <v>3961</v>
      </c>
      <c r="B152" s="761"/>
      <c r="C152" s="761"/>
      <c r="D152" s="761"/>
      <c r="E152" s="761"/>
      <c r="F152" s="761"/>
      <c r="G152" s="761"/>
      <c r="H152" s="761"/>
    </row>
    <row r="153" spans="1:8">
      <c r="A153" s="762" t="s">
        <v>3962</v>
      </c>
      <c r="B153" s="761"/>
      <c r="C153" s="761"/>
      <c r="D153" s="761"/>
      <c r="E153" s="761"/>
      <c r="F153" s="761"/>
      <c r="G153" s="761"/>
      <c r="H153" s="761"/>
    </row>
    <row r="154" spans="1:8">
      <c r="A154" s="761"/>
      <c r="B154" s="761"/>
      <c r="C154" s="761"/>
      <c r="D154" s="761"/>
      <c r="E154" s="761"/>
      <c r="F154" s="761"/>
      <c r="G154" s="761"/>
      <c r="H154" s="761"/>
    </row>
    <row r="155" spans="1:8">
      <c r="A155" s="762" t="s">
        <v>3957</v>
      </c>
      <c r="B155" s="761"/>
      <c r="C155" s="761"/>
      <c r="D155" s="761"/>
      <c r="E155" s="761"/>
      <c r="F155" s="761"/>
      <c r="G155" s="761"/>
      <c r="H155" s="761"/>
    </row>
    <row r="156" spans="1:8">
      <c r="A156" s="762" t="s">
        <v>3958</v>
      </c>
      <c r="B156" s="761"/>
      <c r="C156" s="761"/>
      <c r="D156" s="761"/>
      <c r="E156" s="761"/>
      <c r="F156" s="761"/>
      <c r="G156" s="761"/>
      <c r="H156" s="761"/>
    </row>
    <row r="157" spans="1:8">
      <c r="A157" s="762" t="s">
        <v>3959</v>
      </c>
      <c r="B157" s="761"/>
      <c r="C157" s="761"/>
      <c r="D157" s="761"/>
      <c r="E157" s="761"/>
      <c r="F157" s="761"/>
      <c r="G157" s="761"/>
      <c r="H157" s="761"/>
    </row>
    <row r="158" spans="1:8">
      <c r="A158" s="761"/>
      <c r="B158" s="761"/>
      <c r="C158" s="761"/>
      <c r="D158" s="761"/>
      <c r="E158" s="761"/>
      <c r="F158" s="761"/>
      <c r="G158" s="761"/>
      <c r="H158" s="761"/>
    </row>
    <row r="159" spans="1:8">
      <c r="A159" s="762" t="s">
        <v>3955</v>
      </c>
      <c r="B159" s="761"/>
      <c r="C159" s="761"/>
      <c r="D159" s="761"/>
      <c r="E159" s="761"/>
      <c r="F159" s="761"/>
      <c r="G159" s="761"/>
      <c r="H159" s="761"/>
    </row>
    <row r="160" spans="1:8">
      <c r="A160" s="762" t="s">
        <v>3956</v>
      </c>
      <c r="B160" s="761"/>
      <c r="C160" s="761"/>
      <c r="D160" s="761"/>
      <c r="E160" s="761"/>
      <c r="F160" s="761"/>
      <c r="G160" s="761"/>
      <c r="H160" s="761"/>
    </row>
    <row r="161" spans="1:8">
      <c r="A161" s="761"/>
      <c r="B161" s="761"/>
      <c r="C161" s="761"/>
      <c r="D161" s="761"/>
      <c r="E161" s="761"/>
      <c r="F161" s="761"/>
      <c r="G161" s="761"/>
      <c r="H161" s="761"/>
    </row>
    <row r="162" spans="1:8" ht="15.75">
      <c r="A162" s="763" t="s">
        <v>3778</v>
      </c>
      <c r="B162" s="761"/>
      <c r="C162" s="761"/>
      <c r="D162" s="761"/>
      <c r="E162" s="761"/>
      <c r="F162" s="761"/>
      <c r="G162" s="761"/>
      <c r="H162" s="761"/>
    </row>
    <row r="163" spans="1:8">
      <c r="A163" s="761"/>
      <c r="B163" s="761"/>
      <c r="C163" s="761"/>
      <c r="D163" s="761"/>
      <c r="E163" s="761"/>
      <c r="F163" s="761"/>
      <c r="G163" s="761"/>
      <c r="H163" s="761"/>
    </row>
    <row r="164" spans="1:8">
      <c r="A164" s="762" t="s">
        <v>3953</v>
      </c>
      <c r="B164" s="761"/>
      <c r="C164" s="761"/>
      <c r="D164" s="761"/>
      <c r="E164" s="761"/>
      <c r="F164" s="761"/>
      <c r="G164" s="761"/>
      <c r="H164" s="761"/>
    </row>
    <row r="165" spans="1:8">
      <c r="A165" s="762" t="s">
        <v>3954</v>
      </c>
      <c r="B165" s="761"/>
      <c r="C165" s="761"/>
      <c r="D165" s="761"/>
      <c r="E165" s="761"/>
      <c r="F165" s="761"/>
      <c r="G165" s="761"/>
      <c r="H165" s="761"/>
    </row>
    <row r="166" spans="1:8">
      <c r="A166" s="761"/>
      <c r="B166" s="761"/>
      <c r="C166" s="761"/>
      <c r="D166" s="761"/>
      <c r="E166" s="761"/>
      <c r="F166" s="761"/>
      <c r="G166" s="761"/>
      <c r="H166" s="761"/>
    </row>
    <row r="167" spans="1:8">
      <c r="A167" s="762" t="s">
        <v>3951</v>
      </c>
      <c r="B167" s="761"/>
      <c r="C167" s="761"/>
      <c r="D167" s="761"/>
      <c r="E167" s="761"/>
      <c r="F167" s="761"/>
      <c r="G167" s="761"/>
      <c r="H167" s="761"/>
    </row>
    <row r="168" spans="1:8">
      <c r="A168" s="762" t="s">
        <v>3952</v>
      </c>
      <c r="B168" s="761"/>
      <c r="C168" s="761"/>
      <c r="D168" s="761"/>
      <c r="E168" s="761"/>
      <c r="F168" s="761"/>
      <c r="G168" s="761"/>
      <c r="H168" s="761"/>
    </row>
    <row r="169" spans="1:8">
      <c r="A169" s="761"/>
      <c r="B169" s="761"/>
      <c r="C169" s="761"/>
      <c r="D169" s="761"/>
      <c r="E169" s="761"/>
      <c r="F169" s="761"/>
      <c r="G169" s="761"/>
      <c r="H169" s="761"/>
    </row>
    <row r="170" spans="1:8">
      <c r="A170" s="762" t="s">
        <v>3949</v>
      </c>
      <c r="B170" s="761"/>
      <c r="C170" s="761"/>
      <c r="D170" s="761"/>
      <c r="E170" s="761"/>
      <c r="F170" s="761"/>
      <c r="G170" s="761"/>
      <c r="H170" s="761"/>
    </row>
    <row r="171" spans="1:8">
      <c r="A171" s="762" t="s">
        <v>3950</v>
      </c>
      <c r="B171" s="761"/>
      <c r="C171" s="761"/>
      <c r="D171" s="761"/>
      <c r="E171" s="761"/>
      <c r="F171" s="761"/>
      <c r="G171" s="761"/>
      <c r="H171" s="761"/>
    </row>
    <row r="172" spans="1:8">
      <c r="A172" s="761"/>
      <c r="B172" s="761"/>
      <c r="C172" s="761"/>
      <c r="D172" s="761"/>
      <c r="E172" s="761"/>
      <c r="F172" s="761"/>
      <c r="G172" s="761"/>
      <c r="H172" s="761"/>
    </row>
    <row r="173" spans="1:8">
      <c r="A173" s="762" t="s">
        <v>3946</v>
      </c>
      <c r="B173" s="761"/>
      <c r="C173" s="761"/>
      <c r="D173" s="761"/>
      <c r="E173" s="761"/>
      <c r="F173" s="761"/>
      <c r="G173" s="761"/>
      <c r="H173" s="761"/>
    </row>
    <row r="174" spans="1:8">
      <c r="A174" s="762" t="s">
        <v>3947</v>
      </c>
      <c r="B174" s="761"/>
      <c r="C174" s="761"/>
      <c r="D174" s="761"/>
      <c r="E174" s="761"/>
      <c r="F174" s="761"/>
      <c r="G174" s="761"/>
      <c r="H174" s="761"/>
    </row>
    <row r="175" spans="1:8">
      <c r="A175" s="762" t="s">
        <v>3948</v>
      </c>
      <c r="B175" s="761"/>
      <c r="C175" s="761"/>
      <c r="D175" s="761"/>
      <c r="E175" s="761"/>
      <c r="F175" s="761"/>
      <c r="G175" s="761"/>
      <c r="H175" s="761"/>
    </row>
    <row r="176" spans="1:8">
      <c r="A176" s="761"/>
      <c r="B176" s="761"/>
      <c r="C176" s="761"/>
      <c r="D176" s="761"/>
      <c r="E176" s="761"/>
      <c r="F176" s="761"/>
      <c r="G176" s="761"/>
      <c r="H176" s="761"/>
    </row>
    <row r="177" spans="1:8">
      <c r="A177" s="761"/>
      <c r="B177" s="761"/>
      <c r="C177" s="761"/>
      <c r="D177" s="761"/>
      <c r="E177" s="761"/>
      <c r="F177" s="761"/>
      <c r="G177" s="761"/>
      <c r="H177" s="761"/>
    </row>
    <row r="178" spans="1:8">
      <c r="A178" s="762" t="s">
        <v>3421</v>
      </c>
      <c r="B178" s="761"/>
      <c r="C178" s="761"/>
      <c r="D178" s="761"/>
      <c r="E178" s="761"/>
      <c r="F178" s="761"/>
      <c r="G178" s="761"/>
      <c r="H178" s="761"/>
    </row>
    <row r="179" spans="1:8">
      <c r="A179" s="761"/>
      <c r="B179" s="761"/>
      <c r="C179" s="761"/>
      <c r="D179" s="761"/>
      <c r="E179" s="761"/>
      <c r="F179" s="761"/>
      <c r="G179" s="761"/>
      <c r="H179" s="761"/>
    </row>
    <row r="180" spans="1:8" ht="15.75">
      <c r="A180" s="763" t="s">
        <v>3779</v>
      </c>
      <c r="B180" s="761"/>
      <c r="C180" s="761"/>
      <c r="D180" s="761"/>
      <c r="E180" s="761"/>
      <c r="F180" s="761"/>
      <c r="G180" s="761"/>
      <c r="H180" s="761"/>
    </row>
    <row r="181" spans="1:8">
      <c r="A181" s="761"/>
      <c r="B181" s="761"/>
      <c r="C181" s="761"/>
      <c r="D181" s="761"/>
      <c r="E181" s="761"/>
      <c r="F181" s="761"/>
      <c r="G181" s="761"/>
      <c r="H181" s="761"/>
    </row>
    <row r="182" spans="1:8">
      <c r="A182" s="761"/>
      <c r="B182" s="761"/>
      <c r="C182" s="761"/>
      <c r="D182" s="761"/>
      <c r="E182" s="761"/>
      <c r="F182" s="761"/>
      <c r="G182" s="761"/>
      <c r="H182" s="761"/>
    </row>
    <row r="183" spans="1:8">
      <c r="A183" s="761"/>
      <c r="B183" s="761"/>
      <c r="C183" s="761"/>
      <c r="D183" s="761"/>
      <c r="E183" s="761"/>
      <c r="F183" s="761"/>
      <c r="G183" s="761"/>
      <c r="H183" s="761"/>
    </row>
    <row r="184" spans="1:8">
      <c r="A184" s="761"/>
      <c r="B184" s="761"/>
      <c r="C184" s="761"/>
      <c r="D184" s="761"/>
      <c r="E184" s="761"/>
      <c r="F184" s="761"/>
      <c r="G184" s="761"/>
      <c r="H184" s="761"/>
    </row>
    <row r="185" spans="1:8">
      <c r="A185" s="761"/>
      <c r="B185" s="761"/>
      <c r="C185" s="761"/>
      <c r="D185" s="761"/>
      <c r="E185" s="761"/>
      <c r="F185" s="761"/>
      <c r="G185" s="761"/>
      <c r="H185" s="761"/>
    </row>
    <row r="186" spans="1:8">
      <c r="A186" s="761"/>
      <c r="B186" s="761"/>
      <c r="C186" s="761"/>
      <c r="D186" s="761"/>
      <c r="E186" s="761"/>
      <c r="F186" s="761"/>
      <c r="G186" s="761"/>
      <c r="H186" s="761"/>
    </row>
    <row r="187" spans="1:8">
      <c r="A187" s="761"/>
      <c r="B187" s="761"/>
      <c r="C187" s="761"/>
      <c r="D187" s="761"/>
      <c r="E187" s="761"/>
      <c r="F187" s="761"/>
      <c r="G187" s="761"/>
      <c r="H187" s="761"/>
    </row>
    <row r="188" spans="1:8">
      <c r="A188" s="761"/>
      <c r="B188" s="761"/>
      <c r="C188" s="761"/>
      <c r="D188" s="761"/>
      <c r="E188" s="761"/>
      <c r="F188" s="761"/>
      <c r="G188" s="761"/>
      <c r="H188" s="761"/>
    </row>
    <row r="189" spans="1:8">
      <c r="A189" s="761"/>
      <c r="B189" s="761"/>
      <c r="C189" s="761"/>
      <c r="D189" s="761"/>
      <c r="E189" s="761"/>
      <c r="F189" s="761"/>
      <c r="G189" s="761"/>
      <c r="H189" s="761"/>
    </row>
    <row r="190" spans="1:8">
      <c r="A190" s="761"/>
      <c r="B190" s="761"/>
      <c r="C190" s="761"/>
      <c r="D190" s="761"/>
      <c r="E190" s="761"/>
      <c r="F190" s="761"/>
      <c r="G190" s="761"/>
      <c r="H190" s="761"/>
    </row>
    <row r="191" spans="1:8">
      <c r="A191" s="761"/>
      <c r="B191" s="761"/>
      <c r="C191" s="761"/>
      <c r="D191" s="761"/>
      <c r="E191" s="761"/>
      <c r="F191" s="761"/>
      <c r="G191" s="761"/>
      <c r="H191" s="761"/>
    </row>
    <row r="192" spans="1:8">
      <c r="A192" s="761"/>
      <c r="B192" s="761"/>
      <c r="C192" s="761"/>
      <c r="D192" s="761"/>
      <c r="E192" s="761"/>
      <c r="F192" s="761"/>
      <c r="G192" s="761"/>
      <c r="H192" s="761"/>
    </row>
    <row r="193" spans="1:8">
      <c r="A193" s="761"/>
      <c r="B193" s="761"/>
      <c r="C193" s="761"/>
      <c r="D193" s="761"/>
      <c r="E193" s="761"/>
      <c r="F193" s="761"/>
      <c r="G193" s="761"/>
      <c r="H193" s="761"/>
    </row>
    <row r="194" spans="1:8">
      <c r="A194" s="761"/>
      <c r="B194" s="761"/>
      <c r="C194" s="761"/>
      <c r="D194" s="761"/>
      <c r="E194" s="761"/>
      <c r="F194" s="761"/>
      <c r="G194" s="761"/>
      <c r="H194" s="761"/>
    </row>
    <row r="195" spans="1:8">
      <c r="A195" s="761"/>
      <c r="B195" s="761"/>
      <c r="C195" s="761"/>
      <c r="D195" s="761"/>
      <c r="E195" s="761"/>
      <c r="F195" s="761"/>
      <c r="G195" s="761"/>
      <c r="H195" s="761"/>
    </row>
    <row r="196" spans="1:8">
      <c r="A196" s="761"/>
      <c r="B196" s="761"/>
      <c r="C196" s="761"/>
      <c r="D196" s="761"/>
      <c r="E196" s="761"/>
      <c r="F196" s="761"/>
      <c r="G196" s="761"/>
      <c r="H196" s="761"/>
    </row>
    <row r="197" spans="1:8">
      <c r="A197" s="761"/>
      <c r="B197" s="761"/>
      <c r="C197" s="761"/>
      <c r="D197" s="761"/>
      <c r="E197" s="761"/>
      <c r="F197" s="761"/>
      <c r="G197" s="761"/>
      <c r="H197" s="761"/>
    </row>
    <row r="198" spans="1:8">
      <c r="A198" s="761"/>
      <c r="B198" s="761"/>
      <c r="C198" s="761"/>
      <c r="D198" s="761"/>
      <c r="E198" s="761"/>
      <c r="F198" s="761"/>
      <c r="G198" s="761"/>
      <c r="H198" s="761"/>
    </row>
    <row r="199" spans="1:8">
      <c r="A199" s="761"/>
      <c r="B199" s="761"/>
      <c r="C199" s="761"/>
      <c r="D199" s="761"/>
      <c r="E199" s="761"/>
      <c r="F199" s="761"/>
      <c r="G199" s="761"/>
      <c r="H199" s="761"/>
    </row>
    <row r="200" spans="1:8">
      <c r="A200" s="761"/>
      <c r="B200" s="761"/>
      <c r="C200" s="761"/>
      <c r="D200" s="761"/>
      <c r="E200" s="761"/>
      <c r="F200" s="761"/>
      <c r="G200" s="761"/>
      <c r="H200" s="761"/>
    </row>
    <row r="201" spans="1:8">
      <c r="A201" s="761"/>
      <c r="B201" s="761"/>
      <c r="C201" s="761"/>
      <c r="D201" s="761"/>
      <c r="E201" s="761"/>
      <c r="F201" s="761"/>
      <c r="G201" s="761"/>
      <c r="H201" s="761"/>
    </row>
    <row r="202" spans="1:8">
      <c r="A202" s="761"/>
      <c r="B202" s="761"/>
      <c r="C202" s="761"/>
      <c r="D202" s="761"/>
      <c r="E202" s="761"/>
      <c r="F202" s="761"/>
      <c r="G202" s="761"/>
      <c r="H202" s="761"/>
    </row>
    <row r="203" spans="1:8">
      <c r="A203" s="761"/>
      <c r="B203" s="761"/>
      <c r="C203" s="761"/>
      <c r="D203" s="761"/>
      <c r="E203" s="761"/>
      <c r="F203" s="761"/>
      <c r="G203" s="761"/>
      <c r="H203" s="761"/>
    </row>
    <row r="204" spans="1:8">
      <c r="A204" s="761"/>
      <c r="B204" s="761"/>
      <c r="C204" s="761"/>
      <c r="D204" s="761"/>
      <c r="E204" s="761"/>
      <c r="F204" s="761"/>
      <c r="G204" s="761"/>
      <c r="H204" s="761"/>
    </row>
    <row r="205" spans="1:8">
      <c r="A205" s="761"/>
      <c r="B205" s="761"/>
      <c r="C205" s="761"/>
      <c r="D205" s="761"/>
      <c r="E205" s="761"/>
      <c r="F205" s="761"/>
      <c r="G205" s="761"/>
      <c r="H205" s="761"/>
    </row>
    <row r="206" spans="1:8">
      <c r="A206" s="761"/>
      <c r="B206" s="761"/>
      <c r="C206" s="761"/>
      <c r="D206" s="761"/>
      <c r="E206" s="761"/>
      <c r="F206" s="761"/>
      <c r="G206" s="761"/>
      <c r="H206" s="761"/>
    </row>
    <row r="207" spans="1:8" ht="15.75">
      <c r="A207" s="763" t="s">
        <v>3780</v>
      </c>
      <c r="B207" s="761"/>
      <c r="C207" s="761"/>
      <c r="D207" s="761"/>
      <c r="E207" s="761"/>
      <c r="F207" s="761"/>
      <c r="G207" s="761"/>
      <c r="H207" s="761"/>
    </row>
    <row r="208" spans="1:8">
      <c r="A208" s="761"/>
      <c r="B208" s="761"/>
      <c r="C208" s="761"/>
      <c r="D208" s="761"/>
      <c r="E208" s="761"/>
      <c r="F208" s="761"/>
      <c r="G208" s="761"/>
      <c r="H208" s="761"/>
    </row>
    <row r="209" spans="1:8">
      <c r="A209" s="762" t="s">
        <v>3941</v>
      </c>
      <c r="B209" s="761"/>
      <c r="C209" s="761"/>
      <c r="D209" s="761"/>
      <c r="E209" s="761"/>
      <c r="F209" s="761"/>
      <c r="G209" s="761"/>
      <c r="H209" s="761"/>
    </row>
    <row r="210" spans="1:8">
      <c r="A210" s="762" t="s">
        <v>3942</v>
      </c>
      <c r="B210" s="761"/>
      <c r="C210" s="761"/>
      <c r="D210" s="761"/>
      <c r="E210" s="761"/>
      <c r="F210" s="761"/>
      <c r="G210" s="761"/>
      <c r="H210" s="761"/>
    </row>
    <row r="211" spans="1:8">
      <c r="A211" s="762" t="s">
        <v>3943</v>
      </c>
      <c r="B211" s="761"/>
      <c r="C211" s="761"/>
      <c r="D211" s="761"/>
      <c r="E211" s="761"/>
      <c r="F211" s="761"/>
      <c r="G211" s="761"/>
      <c r="H211" s="761"/>
    </row>
    <row r="212" spans="1:8">
      <c r="A212" s="762" t="s">
        <v>3944</v>
      </c>
      <c r="B212" s="761"/>
      <c r="C212" s="761"/>
      <c r="D212" s="761"/>
      <c r="E212" s="761"/>
      <c r="F212" s="761"/>
      <c r="G212" s="761"/>
      <c r="H212" s="761"/>
    </row>
    <row r="213" spans="1:8">
      <c r="A213" s="762" t="s">
        <v>3945</v>
      </c>
      <c r="B213" s="761"/>
      <c r="C213" s="761"/>
      <c r="D213" s="761"/>
      <c r="E213" s="761"/>
      <c r="F213" s="761"/>
      <c r="G213" s="761"/>
      <c r="H213" s="761"/>
    </row>
    <row r="214" spans="1:8">
      <c r="A214" s="761"/>
      <c r="B214" s="761"/>
      <c r="C214" s="761"/>
      <c r="D214" s="761"/>
      <c r="E214" s="761"/>
      <c r="F214" s="761"/>
      <c r="G214" s="761"/>
      <c r="H214" s="761"/>
    </row>
    <row r="215" spans="1:8">
      <c r="A215" s="762" t="s">
        <v>3938</v>
      </c>
      <c r="B215" s="761"/>
      <c r="C215" s="761"/>
      <c r="D215" s="761"/>
      <c r="E215" s="761"/>
      <c r="F215" s="761"/>
      <c r="G215" s="761"/>
      <c r="H215" s="761"/>
    </row>
    <row r="216" spans="1:8">
      <c r="A216" s="762" t="s">
        <v>3939</v>
      </c>
      <c r="B216" s="761"/>
      <c r="C216" s="761"/>
      <c r="D216" s="761"/>
      <c r="E216" s="761"/>
      <c r="F216" s="761"/>
      <c r="G216" s="761"/>
      <c r="H216" s="761"/>
    </row>
    <row r="217" spans="1:8">
      <c r="A217" s="762" t="s">
        <v>3940</v>
      </c>
      <c r="B217" s="761"/>
      <c r="C217" s="761"/>
      <c r="D217" s="761"/>
      <c r="E217" s="761"/>
      <c r="F217" s="761"/>
      <c r="G217" s="761"/>
      <c r="H217" s="761"/>
    </row>
    <row r="218" spans="1:8" ht="15.75">
      <c r="A218" s="763" t="s">
        <v>3781</v>
      </c>
      <c r="B218" s="761"/>
      <c r="C218" s="761"/>
      <c r="D218" s="761"/>
      <c r="E218" s="761"/>
      <c r="F218" s="761"/>
      <c r="G218" s="761"/>
      <c r="H218" s="761"/>
    </row>
    <row r="219" spans="1:8">
      <c r="A219" s="761"/>
      <c r="B219" s="761"/>
      <c r="C219" s="761"/>
      <c r="D219" s="761"/>
      <c r="E219" s="761"/>
      <c r="F219" s="761"/>
      <c r="G219" s="761"/>
      <c r="H219" s="761"/>
    </row>
    <row r="220" spans="1:8">
      <c r="A220" s="762" t="s">
        <v>3936</v>
      </c>
      <c r="B220" s="761"/>
      <c r="C220" s="761"/>
      <c r="D220" s="761"/>
      <c r="E220" s="761"/>
      <c r="F220" s="761"/>
      <c r="G220" s="761"/>
      <c r="H220" s="761"/>
    </row>
    <row r="221" spans="1:8">
      <c r="A221" s="762" t="s">
        <v>3937</v>
      </c>
      <c r="B221" s="761"/>
      <c r="C221" s="761"/>
      <c r="D221" s="761"/>
      <c r="E221" s="761"/>
      <c r="F221" s="761"/>
      <c r="G221" s="761"/>
      <c r="H221" s="761"/>
    </row>
    <row r="222" spans="1:8">
      <c r="A222" s="761"/>
      <c r="B222" s="761"/>
      <c r="C222" s="761"/>
      <c r="D222" s="761"/>
      <c r="E222" s="761"/>
      <c r="F222" s="761"/>
      <c r="G222" s="761"/>
      <c r="H222" s="761"/>
    </row>
    <row r="223" spans="1:8">
      <c r="A223" s="762" t="s">
        <v>3929</v>
      </c>
      <c r="B223" s="761"/>
      <c r="C223" s="761"/>
      <c r="D223" s="761"/>
      <c r="E223" s="761"/>
      <c r="F223" s="761"/>
      <c r="G223" s="761"/>
      <c r="H223" s="761"/>
    </row>
    <row r="224" spans="1:8">
      <c r="A224" s="762" t="s">
        <v>3930</v>
      </c>
      <c r="B224" s="761"/>
      <c r="C224" s="761"/>
      <c r="D224" s="761"/>
      <c r="E224" s="761"/>
      <c r="F224" s="761"/>
      <c r="G224" s="761"/>
      <c r="H224" s="761"/>
    </row>
    <row r="225" spans="1:8">
      <c r="A225" s="762" t="s">
        <v>3931</v>
      </c>
      <c r="B225" s="761"/>
      <c r="C225" s="761"/>
      <c r="D225" s="761"/>
      <c r="E225" s="761"/>
      <c r="F225" s="761"/>
      <c r="G225" s="761"/>
      <c r="H225" s="761"/>
    </row>
    <row r="226" spans="1:8">
      <c r="A226" s="762" t="s">
        <v>3932</v>
      </c>
      <c r="B226" s="761"/>
      <c r="C226" s="761"/>
      <c r="D226" s="761"/>
      <c r="E226" s="761"/>
      <c r="F226" s="761"/>
      <c r="G226" s="761"/>
      <c r="H226" s="761"/>
    </row>
    <row r="227" spans="1:8">
      <c r="A227" s="762" t="s">
        <v>3933</v>
      </c>
      <c r="B227" s="761"/>
      <c r="C227" s="761"/>
      <c r="D227" s="761"/>
      <c r="E227" s="761"/>
      <c r="F227" s="761"/>
      <c r="G227" s="761"/>
      <c r="H227" s="761"/>
    </row>
    <row r="228" spans="1:8">
      <c r="A228" s="762" t="s">
        <v>3934</v>
      </c>
      <c r="B228" s="761"/>
      <c r="C228" s="761"/>
      <c r="D228" s="761"/>
      <c r="E228" s="761"/>
      <c r="F228" s="761"/>
      <c r="G228" s="761"/>
      <c r="H228" s="761"/>
    </row>
    <row r="229" spans="1:8">
      <c r="A229" s="762" t="s">
        <v>3935</v>
      </c>
      <c r="B229" s="761"/>
      <c r="C229" s="761"/>
      <c r="D229" s="761"/>
      <c r="E229" s="761"/>
      <c r="F229" s="761"/>
      <c r="G229" s="761"/>
      <c r="H229" s="761"/>
    </row>
    <row r="230" spans="1:8">
      <c r="A230" s="761"/>
      <c r="B230" s="761"/>
      <c r="C230" s="761"/>
      <c r="D230" s="761"/>
      <c r="E230" s="761"/>
      <c r="F230" s="761"/>
      <c r="G230" s="761"/>
      <c r="H230" s="761"/>
    </row>
    <row r="231" spans="1:8">
      <c r="A231" s="762" t="s">
        <v>3926</v>
      </c>
      <c r="B231" s="761"/>
      <c r="C231" s="761"/>
      <c r="D231" s="761"/>
      <c r="E231" s="761"/>
      <c r="F231" s="761"/>
      <c r="G231" s="761"/>
      <c r="H231" s="761"/>
    </row>
    <row r="232" spans="1:8">
      <c r="A232" s="762" t="s">
        <v>3927</v>
      </c>
      <c r="B232" s="761"/>
      <c r="C232" s="761"/>
      <c r="D232" s="761"/>
      <c r="E232" s="761"/>
      <c r="F232" s="761"/>
      <c r="G232" s="761"/>
      <c r="H232" s="761"/>
    </row>
    <row r="233" spans="1:8">
      <c r="A233" s="762" t="s">
        <v>3928</v>
      </c>
      <c r="B233" s="761"/>
      <c r="C233" s="761"/>
      <c r="D233" s="761"/>
      <c r="E233" s="761"/>
      <c r="F233" s="761"/>
      <c r="G233" s="761"/>
      <c r="H233" s="761"/>
    </row>
    <row r="234" spans="1:8">
      <c r="A234" s="761"/>
      <c r="B234" s="761"/>
      <c r="C234" s="761"/>
      <c r="D234" s="761"/>
      <c r="E234" s="761"/>
      <c r="F234" s="761"/>
      <c r="G234" s="761"/>
      <c r="H234" s="761"/>
    </row>
    <row r="235" spans="1:8">
      <c r="A235" s="762" t="s">
        <v>3921</v>
      </c>
      <c r="B235" s="761"/>
      <c r="C235" s="761"/>
      <c r="D235" s="761"/>
      <c r="E235" s="761"/>
      <c r="F235" s="761"/>
      <c r="G235" s="761"/>
      <c r="H235" s="761"/>
    </row>
    <row r="236" spans="1:8">
      <c r="A236" s="762" t="s">
        <v>3922</v>
      </c>
      <c r="B236" s="761"/>
      <c r="C236" s="761"/>
      <c r="D236" s="761"/>
      <c r="E236" s="761"/>
      <c r="F236" s="761"/>
      <c r="G236" s="761"/>
      <c r="H236" s="761"/>
    </row>
    <row r="237" spans="1:8">
      <c r="A237" s="762" t="s">
        <v>3923</v>
      </c>
      <c r="B237" s="761"/>
      <c r="C237" s="761"/>
      <c r="D237" s="761"/>
      <c r="E237" s="761"/>
      <c r="F237" s="761"/>
      <c r="G237" s="761"/>
      <c r="H237" s="761"/>
    </row>
    <row r="238" spans="1:8">
      <c r="A238" s="762" t="s">
        <v>3924</v>
      </c>
      <c r="B238" s="761"/>
      <c r="C238" s="761"/>
      <c r="D238" s="761"/>
      <c r="E238" s="761"/>
      <c r="F238" s="761"/>
      <c r="G238" s="761"/>
      <c r="H238" s="761"/>
    </row>
    <row r="239" spans="1:8">
      <c r="A239" s="762" t="s">
        <v>3925</v>
      </c>
      <c r="B239" s="761"/>
      <c r="C239" s="761"/>
      <c r="D239" s="761"/>
      <c r="E239" s="761"/>
      <c r="F239" s="761"/>
      <c r="G239" s="761"/>
      <c r="H239" s="761"/>
    </row>
    <row r="240" spans="1:8">
      <c r="A240" s="761"/>
      <c r="B240" s="761"/>
      <c r="C240" s="761"/>
      <c r="D240" s="761"/>
      <c r="E240" s="761"/>
      <c r="F240" s="761"/>
      <c r="G240" s="761"/>
      <c r="H240" s="761"/>
    </row>
    <row r="241" spans="1:8">
      <c r="A241" s="762" t="s">
        <v>3915</v>
      </c>
      <c r="B241" s="761"/>
      <c r="C241" s="761"/>
      <c r="D241" s="761"/>
      <c r="E241" s="761"/>
      <c r="F241" s="761"/>
      <c r="G241" s="761"/>
      <c r="H241" s="761"/>
    </row>
    <row r="242" spans="1:8">
      <c r="A242" s="762" t="s">
        <v>3916</v>
      </c>
      <c r="B242" s="761"/>
      <c r="C242" s="761"/>
      <c r="D242" s="761"/>
      <c r="E242" s="761"/>
      <c r="F242" s="761"/>
      <c r="G242" s="761"/>
      <c r="H242" s="761"/>
    </row>
    <row r="243" spans="1:8">
      <c r="A243" s="762" t="s">
        <v>3917</v>
      </c>
      <c r="B243" s="761"/>
      <c r="C243" s="761"/>
      <c r="D243" s="761"/>
      <c r="E243" s="761"/>
      <c r="F243" s="761"/>
      <c r="G243" s="761"/>
      <c r="H243" s="761"/>
    </row>
    <row r="244" spans="1:8">
      <c r="A244" s="762" t="s">
        <v>3918</v>
      </c>
      <c r="B244" s="761"/>
      <c r="C244" s="761"/>
      <c r="D244" s="761"/>
      <c r="E244" s="761"/>
      <c r="F244" s="761"/>
      <c r="G244" s="761"/>
      <c r="H244" s="761"/>
    </row>
    <row r="245" spans="1:8">
      <c r="A245" s="762" t="s">
        <v>3919</v>
      </c>
      <c r="B245" s="761"/>
      <c r="C245" s="761"/>
      <c r="D245" s="761"/>
      <c r="E245" s="761"/>
      <c r="F245" s="761"/>
      <c r="G245" s="761"/>
      <c r="H245" s="761"/>
    </row>
    <row r="246" spans="1:8">
      <c r="A246" s="762" t="s">
        <v>3920</v>
      </c>
      <c r="B246" s="761"/>
      <c r="C246" s="761"/>
      <c r="D246" s="761"/>
      <c r="E246" s="761"/>
      <c r="F246" s="761"/>
      <c r="G246" s="761"/>
      <c r="H246" s="761"/>
    </row>
    <row r="247" spans="1:8">
      <c r="A247" s="761"/>
      <c r="B247" s="761"/>
      <c r="C247" s="761"/>
      <c r="D247" s="761"/>
      <c r="E247" s="761"/>
      <c r="F247" s="761"/>
      <c r="G247" s="761"/>
      <c r="H247" s="761"/>
    </row>
    <row r="248" spans="1:8">
      <c r="A248" s="762" t="s">
        <v>3905</v>
      </c>
      <c r="B248" s="761"/>
      <c r="C248" s="761"/>
      <c r="D248" s="761"/>
      <c r="E248" s="761"/>
      <c r="F248" s="761"/>
      <c r="G248" s="761"/>
      <c r="H248" s="761"/>
    </row>
    <row r="249" spans="1:8">
      <c r="A249" s="762" t="s">
        <v>3906</v>
      </c>
      <c r="B249" s="761"/>
      <c r="C249" s="761"/>
      <c r="D249" s="761"/>
      <c r="E249" s="761"/>
      <c r="F249" s="761"/>
      <c r="G249" s="761"/>
      <c r="H249" s="761"/>
    </row>
    <row r="250" spans="1:8">
      <c r="A250" s="762" t="s">
        <v>3907</v>
      </c>
      <c r="B250" s="761"/>
      <c r="C250" s="761"/>
      <c r="D250" s="761"/>
      <c r="E250" s="761"/>
      <c r="F250" s="761"/>
      <c r="G250" s="761"/>
      <c r="H250" s="761"/>
    </row>
    <row r="251" spans="1:8">
      <c r="A251" s="762" t="s">
        <v>3908</v>
      </c>
      <c r="B251" s="761"/>
      <c r="C251" s="761"/>
      <c r="D251" s="761"/>
      <c r="E251" s="761"/>
      <c r="F251" s="761"/>
      <c r="G251" s="761"/>
      <c r="H251" s="761"/>
    </row>
    <row r="252" spans="1:8">
      <c r="A252" s="762" t="s">
        <v>3909</v>
      </c>
      <c r="B252" s="761"/>
      <c r="C252" s="761"/>
      <c r="D252" s="761"/>
      <c r="E252" s="761"/>
      <c r="F252" s="761"/>
      <c r="G252" s="761"/>
      <c r="H252" s="761"/>
    </row>
    <row r="253" spans="1:8">
      <c r="A253" s="762" t="s">
        <v>3910</v>
      </c>
      <c r="B253" s="761"/>
      <c r="C253" s="761"/>
      <c r="D253" s="761"/>
      <c r="E253" s="761"/>
      <c r="F253" s="761"/>
      <c r="G253" s="761"/>
      <c r="H253" s="761"/>
    </row>
    <row r="254" spans="1:8">
      <c r="A254" s="762" t="s">
        <v>3911</v>
      </c>
      <c r="B254" s="761"/>
      <c r="C254" s="761"/>
      <c r="D254" s="761"/>
      <c r="E254" s="761"/>
      <c r="F254" s="761"/>
      <c r="G254" s="761"/>
      <c r="H254" s="761"/>
    </row>
    <row r="255" spans="1:8">
      <c r="A255" s="762" t="s">
        <v>3912</v>
      </c>
      <c r="B255" s="761"/>
      <c r="C255" s="761"/>
      <c r="D255" s="761"/>
      <c r="E255" s="761"/>
      <c r="F255" s="761"/>
      <c r="G255" s="761"/>
      <c r="H255" s="761"/>
    </row>
    <row r="256" spans="1:8">
      <c r="A256" s="762" t="s">
        <v>3913</v>
      </c>
      <c r="B256" s="761"/>
      <c r="C256" s="761"/>
      <c r="D256" s="761"/>
      <c r="E256" s="761"/>
      <c r="F256" s="761"/>
      <c r="G256" s="761"/>
      <c r="H256" s="761"/>
    </row>
    <row r="257" spans="1:8">
      <c r="A257" s="762" t="s">
        <v>3914</v>
      </c>
      <c r="B257" s="761"/>
      <c r="C257" s="761"/>
      <c r="D257" s="761"/>
      <c r="E257" s="761"/>
      <c r="F257" s="761"/>
      <c r="G257" s="761"/>
      <c r="H257" s="761"/>
    </row>
    <row r="258" spans="1:8">
      <c r="A258" s="761"/>
      <c r="B258" s="761"/>
      <c r="C258" s="761"/>
      <c r="D258" s="761"/>
      <c r="E258" s="761"/>
      <c r="F258" s="761"/>
      <c r="G258" s="761"/>
      <c r="H258" s="761"/>
    </row>
    <row r="259" spans="1:8">
      <c r="A259" s="762" t="s">
        <v>3903</v>
      </c>
      <c r="B259" s="761"/>
      <c r="C259" s="761"/>
      <c r="D259" s="761"/>
      <c r="E259" s="761"/>
      <c r="F259" s="761"/>
      <c r="G259" s="761"/>
      <c r="H259" s="761"/>
    </row>
    <row r="260" spans="1:8">
      <c r="A260" s="762" t="s">
        <v>3904</v>
      </c>
      <c r="B260" s="761"/>
      <c r="C260" s="761"/>
      <c r="D260" s="761"/>
      <c r="E260" s="761"/>
      <c r="F260" s="761"/>
      <c r="G260" s="761"/>
      <c r="H260" s="761"/>
    </row>
    <row r="261" spans="1:8">
      <c r="A261" s="761"/>
      <c r="B261" s="761"/>
      <c r="C261" s="761"/>
      <c r="D261" s="761"/>
      <c r="E261" s="761"/>
      <c r="F261" s="761"/>
      <c r="G261" s="761"/>
      <c r="H261" s="761"/>
    </row>
    <row r="262" spans="1:8">
      <c r="A262" s="762" t="s">
        <v>3887</v>
      </c>
      <c r="B262" s="761"/>
      <c r="C262" s="761"/>
      <c r="D262" s="761"/>
      <c r="E262" s="761"/>
      <c r="F262" s="761"/>
      <c r="G262" s="761"/>
      <c r="H262" s="761"/>
    </row>
    <row r="263" spans="1:8">
      <c r="A263" s="762" t="s">
        <v>3888</v>
      </c>
      <c r="B263" s="761"/>
      <c r="C263" s="761"/>
      <c r="D263" s="761"/>
      <c r="E263" s="761"/>
      <c r="F263" s="761"/>
      <c r="G263" s="761"/>
      <c r="H263" s="761"/>
    </row>
    <row r="264" spans="1:8">
      <c r="A264" s="762" t="s">
        <v>3889</v>
      </c>
      <c r="B264" s="761"/>
      <c r="C264" s="761"/>
      <c r="D264" s="761"/>
      <c r="E264" s="761"/>
      <c r="F264" s="761"/>
      <c r="G264" s="761"/>
      <c r="H264" s="761"/>
    </row>
    <row r="265" spans="1:8">
      <c r="A265" s="762" t="s">
        <v>3890</v>
      </c>
      <c r="B265" s="761"/>
      <c r="C265" s="761"/>
      <c r="D265" s="761"/>
      <c r="E265" s="761"/>
      <c r="F265" s="761"/>
      <c r="G265" s="761"/>
      <c r="H265" s="761"/>
    </row>
    <row r="266" spans="1:8">
      <c r="A266" s="762" t="s">
        <v>3891</v>
      </c>
      <c r="B266" s="761"/>
      <c r="C266" s="761"/>
      <c r="D266" s="761"/>
      <c r="E266" s="761"/>
      <c r="F266" s="761"/>
      <c r="G266" s="761"/>
      <c r="H266" s="761"/>
    </row>
    <row r="267" spans="1:8">
      <c r="A267" s="762" t="s">
        <v>3892</v>
      </c>
      <c r="B267" s="761"/>
      <c r="C267" s="761"/>
      <c r="D267" s="761"/>
      <c r="E267" s="761"/>
      <c r="F267" s="761"/>
      <c r="G267" s="761"/>
      <c r="H267" s="761"/>
    </row>
    <row r="268" spans="1:8">
      <c r="A268" s="762" t="s">
        <v>3893</v>
      </c>
      <c r="B268" s="761"/>
      <c r="C268" s="761"/>
      <c r="D268" s="761"/>
      <c r="E268" s="761"/>
      <c r="F268" s="761"/>
      <c r="G268" s="761"/>
      <c r="H268" s="761"/>
    </row>
    <row r="269" spans="1:8">
      <c r="A269" s="762" t="s">
        <v>3894</v>
      </c>
      <c r="B269" s="761"/>
      <c r="C269" s="761"/>
      <c r="D269" s="761"/>
      <c r="E269" s="761"/>
      <c r="F269" s="761"/>
      <c r="G269" s="761"/>
      <c r="H269" s="761"/>
    </row>
    <row r="270" spans="1:8">
      <c r="A270" s="762" t="s">
        <v>3895</v>
      </c>
      <c r="B270" s="761"/>
      <c r="C270" s="761"/>
      <c r="D270" s="761"/>
      <c r="E270" s="761"/>
      <c r="F270" s="761"/>
      <c r="G270" s="761"/>
      <c r="H270" s="761"/>
    </row>
    <row r="271" spans="1:8">
      <c r="A271" s="762" t="s">
        <v>3896</v>
      </c>
      <c r="B271" s="761"/>
      <c r="C271" s="761"/>
      <c r="D271" s="761"/>
      <c r="E271" s="761"/>
      <c r="F271" s="761"/>
      <c r="G271" s="761"/>
      <c r="H271" s="761"/>
    </row>
    <row r="272" spans="1:8">
      <c r="A272" s="762" t="s">
        <v>3897</v>
      </c>
      <c r="B272" s="761"/>
      <c r="C272" s="761"/>
      <c r="D272" s="761"/>
      <c r="E272" s="761"/>
      <c r="F272" s="761"/>
      <c r="G272" s="761"/>
      <c r="H272" s="761"/>
    </row>
    <row r="273" spans="1:8">
      <c r="A273" s="762" t="s">
        <v>3898</v>
      </c>
      <c r="B273" s="761"/>
      <c r="C273" s="761"/>
      <c r="D273" s="761"/>
      <c r="E273" s="761"/>
      <c r="F273" s="761"/>
      <c r="G273" s="761"/>
      <c r="H273" s="761"/>
    </row>
    <row r="274" spans="1:8">
      <c r="A274" s="762" t="s">
        <v>3899</v>
      </c>
      <c r="B274" s="761"/>
      <c r="C274" s="761"/>
      <c r="D274" s="761"/>
      <c r="E274" s="761"/>
      <c r="F274" s="761"/>
      <c r="G274" s="761"/>
      <c r="H274" s="761"/>
    </row>
    <row r="275" spans="1:8">
      <c r="A275" s="762" t="s">
        <v>3900</v>
      </c>
      <c r="B275" s="761"/>
      <c r="C275" s="761"/>
      <c r="D275" s="761"/>
      <c r="E275" s="761"/>
      <c r="F275" s="761"/>
      <c r="G275" s="761"/>
      <c r="H275" s="761"/>
    </row>
    <row r="276" spans="1:8">
      <c r="A276" s="762" t="s">
        <v>3901</v>
      </c>
      <c r="B276" s="761"/>
      <c r="C276" s="761"/>
      <c r="D276" s="761"/>
      <c r="E276" s="761"/>
      <c r="F276" s="761"/>
      <c r="G276" s="761"/>
      <c r="H276" s="761"/>
    </row>
    <row r="277" spans="1:8">
      <c r="A277" s="762" t="s">
        <v>3902</v>
      </c>
      <c r="B277" s="761"/>
      <c r="C277" s="761"/>
      <c r="D277" s="761"/>
      <c r="E277" s="761"/>
      <c r="F277" s="761"/>
      <c r="G277" s="761"/>
      <c r="H277" s="761"/>
    </row>
    <row r="278" spans="1:8">
      <c r="A278" s="761"/>
      <c r="B278" s="761"/>
      <c r="C278" s="761"/>
      <c r="D278" s="761"/>
      <c r="E278" s="761"/>
      <c r="F278" s="761"/>
      <c r="G278" s="761"/>
      <c r="H278" s="761"/>
    </row>
    <row r="279" spans="1:8">
      <c r="A279" s="762" t="s">
        <v>3880</v>
      </c>
      <c r="B279" s="761"/>
      <c r="C279" s="761"/>
      <c r="D279" s="761"/>
      <c r="E279" s="761"/>
      <c r="F279" s="761"/>
      <c r="G279" s="761"/>
      <c r="H279" s="761"/>
    </row>
    <row r="280" spans="1:8">
      <c r="A280" s="762" t="s">
        <v>3881</v>
      </c>
      <c r="B280" s="761"/>
      <c r="C280" s="761"/>
      <c r="D280" s="761"/>
      <c r="E280" s="761"/>
      <c r="F280" s="761"/>
      <c r="G280" s="761"/>
      <c r="H280" s="761"/>
    </row>
    <row r="281" spans="1:8">
      <c r="A281" s="762" t="s">
        <v>3882</v>
      </c>
      <c r="B281" s="761"/>
      <c r="C281" s="761"/>
      <c r="D281" s="761"/>
      <c r="E281" s="761"/>
      <c r="F281" s="761"/>
      <c r="G281" s="761"/>
      <c r="H281" s="761"/>
    </row>
    <row r="282" spans="1:8">
      <c r="A282" s="762" t="s">
        <v>3883</v>
      </c>
      <c r="B282" s="761"/>
      <c r="C282" s="761"/>
      <c r="D282" s="761"/>
      <c r="E282" s="761"/>
      <c r="F282" s="761"/>
      <c r="G282" s="761"/>
      <c r="H282" s="761"/>
    </row>
    <row r="283" spans="1:8">
      <c r="A283" s="762" t="s">
        <v>3884</v>
      </c>
      <c r="B283" s="761"/>
      <c r="C283" s="761"/>
      <c r="D283" s="761"/>
      <c r="E283" s="761"/>
      <c r="F283" s="761"/>
      <c r="G283" s="761"/>
      <c r="H283" s="761"/>
    </row>
    <row r="284" spans="1:8">
      <c r="A284" s="762" t="s">
        <v>3885</v>
      </c>
      <c r="B284" s="761"/>
      <c r="C284" s="761"/>
      <c r="D284" s="761"/>
      <c r="E284" s="761"/>
      <c r="F284" s="761"/>
      <c r="G284" s="761"/>
      <c r="H284" s="761"/>
    </row>
    <row r="285" spans="1:8">
      <c r="A285" s="762" t="s">
        <v>3886</v>
      </c>
      <c r="B285" s="761"/>
      <c r="C285" s="761"/>
      <c r="D285" s="761"/>
      <c r="E285" s="761"/>
      <c r="F285" s="761"/>
      <c r="G285" s="761"/>
      <c r="H285" s="761"/>
    </row>
    <row r="286" spans="1:8">
      <c r="A286" s="761"/>
      <c r="B286" s="761"/>
      <c r="C286" s="761"/>
      <c r="D286" s="761"/>
      <c r="E286" s="761"/>
      <c r="F286" s="761"/>
      <c r="G286" s="761"/>
      <c r="H286" s="761"/>
    </row>
    <row r="287" spans="1:8">
      <c r="A287" s="762" t="s">
        <v>3871</v>
      </c>
      <c r="B287" s="761"/>
      <c r="C287" s="761"/>
      <c r="D287" s="761"/>
      <c r="E287" s="761"/>
      <c r="F287" s="761"/>
      <c r="G287" s="761"/>
      <c r="H287" s="761"/>
    </row>
    <row r="288" spans="1:8">
      <c r="A288" s="762" t="s">
        <v>3872</v>
      </c>
      <c r="B288" s="761"/>
      <c r="C288" s="761"/>
      <c r="D288" s="761"/>
      <c r="E288" s="761"/>
      <c r="F288" s="761"/>
      <c r="G288" s="761"/>
      <c r="H288" s="761"/>
    </row>
    <row r="289" spans="1:8">
      <c r="A289" s="762" t="s">
        <v>3873</v>
      </c>
      <c r="B289" s="761"/>
      <c r="C289" s="761"/>
      <c r="D289" s="761"/>
      <c r="E289" s="761"/>
      <c r="F289" s="761"/>
      <c r="G289" s="761"/>
      <c r="H289" s="761"/>
    </row>
    <row r="290" spans="1:8">
      <c r="A290" s="762" t="s">
        <v>3874</v>
      </c>
      <c r="B290" s="761"/>
      <c r="C290" s="761"/>
      <c r="D290" s="761"/>
      <c r="E290" s="761"/>
      <c r="F290" s="761"/>
      <c r="G290" s="761"/>
      <c r="H290" s="761"/>
    </row>
    <row r="291" spans="1:8">
      <c r="A291" s="762" t="s">
        <v>3875</v>
      </c>
      <c r="B291" s="761"/>
      <c r="C291" s="761"/>
      <c r="D291" s="761"/>
      <c r="E291" s="761"/>
      <c r="F291" s="761"/>
      <c r="G291" s="761"/>
      <c r="H291" s="761"/>
    </row>
    <row r="292" spans="1:8">
      <c r="A292" s="762" t="s">
        <v>3876</v>
      </c>
      <c r="B292" s="761"/>
      <c r="C292" s="761"/>
      <c r="D292" s="761"/>
      <c r="E292" s="761"/>
      <c r="F292" s="761"/>
      <c r="G292" s="761"/>
      <c r="H292" s="761"/>
    </row>
    <row r="293" spans="1:8">
      <c r="A293" s="762" t="s">
        <v>3877</v>
      </c>
      <c r="B293" s="761"/>
      <c r="C293" s="761"/>
      <c r="D293" s="761"/>
      <c r="E293" s="761"/>
      <c r="F293" s="761"/>
      <c r="G293" s="761"/>
      <c r="H293" s="761"/>
    </row>
    <row r="294" spans="1:8">
      <c r="A294" s="762" t="s">
        <v>3878</v>
      </c>
      <c r="B294" s="761"/>
      <c r="C294" s="761"/>
      <c r="D294" s="761"/>
      <c r="E294" s="761"/>
      <c r="F294" s="761"/>
      <c r="G294" s="761"/>
      <c r="H294" s="761"/>
    </row>
    <row r="295" spans="1:8">
      <c r="A295" s="762" t="s">
        <v>3879</v>
      </c>
      <c r="B295" s="761"/>
      <c r="C295" s="761"/>
      <c r="D295" s="761"/>
      <c r="E295" s="761"/>
      <c r="F295" s="761"/>
      <c r="G295" s="761"/>
      <c r="H295" s="761"/>
    </row>
    <row r="296" spans="1:8">
      <c r="A296" s="761"/>
      <c r="B296" s="761"/>
      <c r="C296" s="761"/>
      <c r="D296" s="761"/>
      <c r="E296" s="761"/>
      <c r="F296" s="761"/>
      <c r="G296" s="761"/>
      <c r="H296" s="761"/>
    </row>
    <row r="297" spans="1:8">
      <c r="A297" s="762" t="s">
        <v>3864</v>
      </c>
      <c r="B297" s="761"/>
      <c r="C297" s="761"/>
      <c r="D297" s="761"/>
      <c r="E297" s="761"/>
      <c r="F297" s="761"/>
      <c r="G297" s="761"/>
      <c r="H297" s="761"/>
    </row>
    <row r="298" spans="1:8">
      <c r="A298" s="762" t="s">
        <v>3865</v>
      </c>
      <c r="B298" s="761"/>
      <c r="C298" s="761"/>
      <c r="D298" s="761"/>
      <c r="E298" s="761"/>
      <c r="F298" s="761"/>
      <c r="G298" s="761"/>
      <c r="H298" s="761"/>
    </row>
    <row r="299" spans="1:8">
      <c r="A299" s="762" t="s">
        <v>3866</v>
      </c>
      <c r="B299" s="761"/>
      <c r="C299" s="761"/>
      <c r="D299" s="761"/>
      <c r="E299" s="761"/>
      <c r="F299" s="761"/>
      <c r="G299" s="761"/>
      <c r="H299" s="761"/>
    </row>
    <row r="300" spans="1:8">
      <c r="A300" s="762" t="s">
        <v>3867</v>
      </c>
      <c r="B300" s="761"/>
      <c r="C300" s="761"/>
      <c r="D300" s="761"/>
      <c r="E300" s="761"/>
      <c r="F300" s="761"/>
      <c r="G300" s="761"/>
      <c r="H300" s="761"/>
    </row>
    <row r="301" spans="1:8">
      <c r="A301" s="762" t="s">
        <v>3868</v>
      </c>
      <c r="B301" s="761"/>
      <c r="C301" s="761"/>
      <c r="D301" s="761"/>
      <c r="E301" s="761"/>
      <c r="F301" s="761"/>
      <c r="G301" s="761"/>
      <c r="H301" s="761"/>
    </row>
    <row r="302" spans="1:8">
      <c r="A302" s="762" t="s">
        <v>3869</v>
      </c>
      <c r="B302" s="761"/>
      <c r="C302" s="761"/>
      <c r="D302" s="761"/>
      <c r="E302" s="761"/>
      <c r="F302" s="761"/>
      <c r="G302" s="761"/>
      <c r="H302" s="761"/>
    </row>
    <row r="303" spans="1:8">
      <c r="A303" s="762" t="s">
        <v>3870</v>
      </c>
      <c r="B303" s="761"/>
      <c r="C303" s="761"/>
      <c r="D303" s="761"/>
      <c r="E303" s="761"/>
      <c r="F303" s="761"/>
      <c r="G303" s="761"/>
      <c r="H303" s="761"/>
    </row>
    <row r="304" spans="1:8">
      <c r="A304" s="761"/>
      <c r="B304" s="761"/>
      <c r="C304" s="761"/>
      <c r="D304" s="761"/>
      <c r="E304" s="761"/>
      <c r="F304" s="761"/>
      <c r="G304" s="761"/>
      <c r="H304" s="761"/>
    </row>
    <row r="305" spans="1:8">
      <c r="A305" s="762" t="s">
        <v>3861</v>
      </c>
      <c r="B305" s="761"/>
      <c r="C305" s="761"/>
      <c r="D305" s="761"/>
      <c r="E305" s="761"/>
      <c r="F305" s="761"/>
      <c r="G305" s="761"/>
      <c r="H305" s="761"/>
    </row>
    <row r="306" spans="1:8">
      <c r="A306" s="762" t="s">
        <v>3862</v>
      </c>
      <c r="B306" s="761"/>
      <c r="C306" s="761"/>
      <c r="D306" s="761"/>
      <c r="E306" s="761"/>
      <c r="F306" s="761"/>
      <c r="G306" s="761"/>
      <c r="H306" s="761"/>
    </row>
    <row r="307" spans="1:8">
      <c r="A307" s="762" t="s">
        <v>3863</v>
      </c>
      <c r="B307" s="761"/>
      <c r="C307" s="761"/>
      <c r="D307" s="761"/>
      <c r="E307" s="761"/>
      <c r="F307" s="761"/>
      <c r="G307" s="761"/>
      <c r="H307" s="761"/>
    </row>
    <row r="308" spans="1:8">
      <c r="A308" s="761"/>
      <c r="B308" s="761"/>
      <c r="C308" s="761"/>
      <c r="D308" s="761"/>
      <c r="E308" s="761"/>
      <c r="F308" s="761"/>
      <c r="G308" s="761"/>
      <c r="H308" s="761"/>
    </row>
    <row r="309" spans="1:8">
      <c r="A309" s="762" t="s">
        <v>3859</v>
      </c>
      <c r="B309" s="761"/>
      <c r="C309" s="761"/>
      <c r="D309" s="761"/>
      <c r="E309" s="761"/>
      <c r="F309" s="761"/>
      <c r="G309" s="761"/>
      <c r="H309" s="761"/>
    </row>
    <row r="310" spans="1:8">
      <c r="A310" s="762" t="s">
        <v>3860</v>
      </c>
      <c r="B310" s="761"/>
      <c r="C310" s="761"/>
      <c r="D310" s="761"/>
      <c r="E310" s="761"/>
      <c r="F310" s="761"/>
      <c r="G310" s="761"/>
      <c r="H310" s="761"/>
    </row>
    <row r="311" spans="1:8">
      <c r="A311" s="761"/>
      <c r="B311" s="761"/>
      <c r="C311" s="761"/>
      <c r="D311" s="761"/>
      <c r="E311" s="761"/>
      <c r="F311" s="761"/>
      <c r="G311" s="761"/>
      <c r="H311" s="761"/>
    </row>
    <row r="312" spans="1:8">
      <c r="A312" s="762" t="s">
        <v>3846</v>
      </c>
      <c r="B312" s="761"/>
      <c r="C312" s="761"/>
      <c r="D312" s="761"/>
      <c r="E312" s="761"/>
      <c r="F312" s="761"/>
      <c r="G312" s="761"/>
      <c r="H312" s="761"/>
    </row>
    <row r="313" spans="1:8">
      <c r="A313" s="762" t="s">
        <v>3847</v>
      </c>
      <c r="B313" s="761"/>
      <c r="C313" s="761"/>
      <c r="D313" s="761"/>
      <c r="E313" s="761"/>
      <c r="F313" s="761"/>
      <c r="G313" s="761"/>
      <c r="H313" s="761"/>
    </row>
    <row r="314" spans="1:8">
      <c r="A314" s="762" t="s">
        <v>3848</v>
      </c>
      <c r="B314" s="761"/>
      <c r="C314" s="761"/>
      <c r="D314" s="761"/>
      <c r="E314" s="761"/>
      <c r="F314" s="761"/>
      <c r="G314" s="761"/>
      <c r="H314" s="761"/>
    </row>
    <row r="315" spans="1:8">
      <c r="A315" s="762" t="s">
        <v>3849</v>
      </c>
      <c r="B315" s="761"/>
      <c r="C315" s="761"/>
      <c r="D315" s="761"/>
      <c r="E315" s="761"/>
      <c r="F315" s="761"/>
      <c r="G315" s="761"/>
      <c r="H315" s="761"/>
    </row>
    <row r="316" spans="1:8">
      <c r="A316" s="762" t="s">
        <v>3850</v>
      </c>
      <c r="B316" s="761"/>
      <c r="C316" s="761"/>
      <c r="D316" s="761"/>
      <c r="E316" s="761"/>
      <c r="F316" s="761"/>
      <c r="G316" s="761"/>
      <c r="H316" s="761"/>
    </row>
    <row r="317" spans="1:8">
      <c r="A317" s="762" t="s">
        <v>3851</v>
      </c>
      <c r="B317" s="761"/>
      <c r="C317" s="761"/>
      <c r="D317" s="761"/>
      <c r="E317" s="761"/>
      <c r="F317" s="761"/>
      <c r="G317" s="761"/>
      <c r="H317" s="761"/>
    </row>
    <row r="318" spans="1:8">
      <c r="A318" s="762" t="s">
        <v>3852</v>
      </c>
      <c r="B318" s="761"/>
      <c r="C318" s="761"/>
      <c r="D318" s="761"/>
      <c r="E318" s="761"/>
      <c r="F318" s="761"/>
      <c r="G318" s="761"/>
      <c r="H318" s="761"/>
    </row>
    <row r="319" spans="1:8">
      <c r="A319" s="762" t="s">
        <v>3853</v>
      </c>
      <c r="B319" s="761"/>
      <c r="C319" s="761"/>
      <c r="D319" s="761"/>
      <c r="E319" s="761"/>
      <c r="F319" s="761"/>
      <c r="G319" s="761"/>
      <c r="H319" s="761"/>
    </row>
    <row r="320" spans="1:8">
      <c r="A320" s="762" t="s">
        <v>3854</v>
      </c>
      <c r="B320" s="761"/>
      <c r="C320" s="761"/>
      <c r="D320" s="761"/>
      <c r="E320" s="761"/>
      <c r="F320" s="761"/>
      <c r="G320" s="761"/>
      <c r="H320" s="761"/>
    </row>
    <row r="321" spans="1:8">
      <c r="A321" s="762" t="s">
        <v>3855</v>
      </c>
      <c r="B321" s="761"/>
      <c r="C321" s="761"/>
      <c r="D321" s="761"/>
      <c r="E321" s="761"/>
      <c r="F321" s="761"/>
      <c r="G321" s="761"/>
      <c r="H321" s="761"/>
    </row>
    <row r="322" spans="1:8">
      <c r="A322" s="762" t="s">
        <v>3856</v>
      </c>
      <c r="B322" s="761"/>
      <c r="C322" s="761"/>
      <c r="D322" s="761"/>
      <c r="E322" s="761"/>
      <c r="F322" s="761"/>
      <c r="G322" s="761"/>
      <c r="H322" s="761"/>
    </row>
    <row r="323" spans="1:8">
      <c r="A323" s="762" t="s">
        <v>3857</v>
      </c>
      <c r="B323" s="761"/>
      <c r="C323" s="761"/>
      <c r="D323" s="761"/>
      <c r="E323" s="761"/>
      <c r="F323" s="761"/>
      <c r="G323" s="761"/>
      <c r="H323" s="761"/>
    </row>
    <row r="324" spans="1:8">
      <c r="A324" s="762" t="s">
        <v>3858</v>
      </c>
      <c r="B324" s="761"/>
      <c r="C324" s="761"/>
      <c r="D324" s="761"/>
      <c r="E324" s="761"/>
      <c r="F324" s="761"/>
      <c r="G324" s="761"/>
      <c r="H324" s="761"/>
    </row>
    <row r="325" spans="1:8">
      <c r="A325" s="761"/>
      <c r="B325" s="761"/>
      <c r="C325" s="761"/>
      <c r="D325" s="761"/>
      <c r="E325" s="761"/>
      <c r="F325" s="761"/>
      <c r="G325" s="761"/>
      <c r="H325" s="761"/>
    </row>
    <row r="326" spans="1:8">
      <c r="A326" s="762" t="s">
        <v>3838</v>
      </c>
      <c r="B326" s="761"/>
      <c r="C326" s="761"/>
      <c r="D326" s="761"/>
      <c r="E326" s="761"/>
      <c r="F326" s="761"/>
      <c r="G326" s="761"/>
      <c r="H326" s="761"/>
    </row>
    <row r="327" spans="1:8">
      <c r="A327" s="762" t="s">
        <v>3839</v>
      </c>
      <c r="B327" s="761"/>
      <c r="C327" s="761"/>
      <c r="D327" s="761"/>
      <c r="E327" s="761"/>
      <c r="F327" s="761"/>
      <c r="G327" s="761"/>
      <c r="H327" s="761"/>
    </row>
    <row r="328" spans="1:8">
      <c r="A328" s="762" t="s">
        <v>3840</v>
      </c>
      <c r="B328" s="761"/>
      <c r="C328" s="761"/>
      <c r="D328" s="761"/>
      <c r="E328" s="761"/>
      <c r="F328" s="761"/>
      <c r="G328" s="761"/>
      <c r="H328" s="761"/>
    </row>
    <row r="329" spans="1:8">
      <c r="A329" s="762" t="s">
        <v>3841</v>
      </c>
      <c r="B329" s="761"/>
      <c r="C329" s="761"/>
      <c r="D329" s="761"/>
      <c r="E329" s="761"/>
      <c r="F329" s="761"/>
      <c r="G329" s="761"/>
      <c r="H329" s="761"/>
    </row>
    <row r="330" spans="1:8">
      <c r="A330" s="762" t="s">
        <v>3842</v>
      </c>
      <c r="B330" s="761"/>
      <c r="C330" s="761"/>
      <c r="D330" s="761"/>
      <c r="E330" s="761"/>
      <c r="F330" s="761"/>
      <c r="G330" s="761"/>
      <c r="H330" s="761"/>
    </row>
    <row r="331" spans="1:8">
      <c r="A331" s="762" t="s">
        <v>3843</v>
      </c>
      <c r="B331" s="761"/>
      <c r="C331" s="761"/>
      <c r="D331" s="761"/>
      <c r="E331" s="761"/>
      <c r="F331" s="761"/>
      <c r="G331" s="761"/>
      <c r="H331" s="761"/>
    </row>
    <row r="332" spans="1:8">
      <c r="A332" s="762" t="s">
        <v>3844</v>
      </c>
      <c r="B332" s="761"/>
      <c r="C332" s="761"/>
      <c r="D332" s="761"/>
      <c r="E332" s="761"/>
      <c r="F332" s="761"/>
      <c r="G332" s="761"/>
      <c r="H332" s="761"/>
    </row>
    <row r="333" spans="1:8">
      <c r="A333" s="762" t="s">
        <v>3845</v>
      </c>
      <c r="B333" s="761"/>
      <c r="C333" s="761"/>
      <c r="D333" s="761"/>
      <c r="E333" s="761"/>
      <c r="F333" s="761"/>
      <c r="G333" s="761"/>
      <c r="H333" s="761"/>
    </row>
    <row r="334" spans="1:8">
      <c r="A334" s="761"/>
      <c r="B334" s="761"/>
      <c r="C334" s="761"/>
      <c r="D334" s="761"/>
      <c r="E334" s="761"/>
      <c r="F334" s="761"/>
      <c r="G334" s="761"/>
      <c r="H334" s="761"/>
    </row>
    <row r="335" spans="1:8">
      <c r="A335" s="762" t="s">
        <v>3803</v>
      </c>
      <c r="B335" s="761"/>
      <c r="C335" s="761"/>
      <c r="D335" s="761"/>
      <c r="E335" s="761"/>
      <c r="F335" s="761"/>
      <c r="G335" s="761"/>
      <c r="H335" s="761"/>
    </row>
    <row r="336" spans="1:8">
      <c r="A336" s="762" t="s">
        <v>3804</v>
      </c>
      <c r="B336" s="761"/>
      <c r="C336" s="761"/>
      <c r="D336" s="761"/>
      <c r="E336" s="761"/>
      <c r="F336" s="761"/>
      <c r="G336" s="761"/>
      <c r="H336" s="761"/>
    </row>
    <row r="337" spans="1:8">
      <c r="A337" s="762" t="s">
        <v>3805</v>
      </c>
      <c r="B337" s="761"/>
      <c r="C337" s="761"/>
      <c r="D337" s="761"/>
      <c r="E337" s="761"/>
      <c r="F337" s="761"/>
      <c r="G337" s="761"/>
      <c r="H337" s="761"/>
    </row>
    <row r="338" spans="1:8">
      <c r="A338" s="762" t="s">
        <v>3806</v>
      </c>
      <c r="B338" s="761"/>
      <c r="C338" s="761"/>
      <c r="D338" s="761"/>
      <c r="E338" s="761"/>
      <c r="F338" s="761"/>
      <c r="G338" s="761"/>
      <c r="H338" s="761"/>
    </row>
    <row r="339" spans="1:8">
      <c r="A339" s="762" t="s">
        <v>3807</v>
      </c>
      <c r="B339" s="761"/>
      <c r="C339" s="761"/>
      <c r="D339" s="761"/>
      <c r="E339" s="761"/>
      <c r="F339" s="761"/>
      <c r="G339" s="761"/>
      <c r="H339" s="761"/>
    </row>
    <row r="340" spans="1:8">
      <c r="A340" s="762" t="s">
        <v>3808</v>
      </c>
      <c r="B340" s="761"/>
      <c r="C340" s="761"/>
      <c r="D340" s="761"/>
      <c r="E340" s="761"/>
      <c r="F340" s="761"/>
      <c r="G340" s="761"/>
      <c r="H340" s="761"/>
    </row>
    <row r="341" spans="1:8">
      <c r="A341" s="762" t="s">
        <v>3809</v>
      </c>
      <c r="B341" s="761"/>
      <c r="C341" s="761"/>
      <c r="D341" s="761"/>
      <c r="E341" s="761"/>
      <c r="F341" s="761"/>
      <c r="G341" s="761"/>
      <c r="H341" s="761"/>
    </row>
    <row r="342" spans="1:8">
      <c r="A342" s="762" t="s">
        <v>3810</v>
      </c>
      <c r="B342" s="761"/>
      <c r="C342" s="761"/>
      <c r="D342" s="761"/>
      <c r="E342" s="761"/>
      <c r="F342" s="761"/>
      <c r="G342" s="761"/>
      <c r="H342" s="761"/>
    </row>
    <row r="343" spans="1:8">
      <c r="A343" s="762" t="s">
        <v>3811</v>
      </c>
      <c r="B343" s="761"/>
      <c r="C343" s="761"/>
      <c r="D343" s="761"/>
      <c r="E343" s="761"/>
      <c r="F343" s="761"/>
      <c r="G343" s="761"/>
      <c r="H343" s="761"/>
    </row>
    <row r="344" spans="1:8">
      <c r="A344" s="762" t="s">
        <v>3812</v>
      </c>
      <c r="B344" s="761"/>
      <c r="C344" s="761"/>
      <c r="D344" s="761"/>
      <c r="E344" s="761"/>
      <c r="F344" s="761"/>
      <c r="G344" s="761"/>
      <c r="H344" s="761"/>
    </row>
    <row r="345" spans="1:8">
      <c r="A345" s="762" t="s">
        <v>3813</v>
      </c>
      <c r="B345" s="761"/>
      <c r="C345" s="761"/>
      <c r="D345" s="761"/>
      <c r="E345" s="761"/>
      <c r="F345" s="761"/>
      <c r="G345" s="761"/>
      <c r="H345" s="761"/>
    </row>
    <row r="346" spans="1:8">
      <c r="A346" s="762" t="s">
        <v>3814</v>
      </c>
      <c r="B346" s="761"/>
      <c r="C346" s="761"/>
      <c r="D346" s="761"/>
      <c r="E346" s="761"/>
      <c r="F346" s="761"/>
      <c r="G346" s="761"/>
      <c r="H346" s="761"/>
    </row>
    <row r="347" spans="1:8">
      <c r="A347" s="762" t="s">
        <v>3815</v>
      </c>
      <c r="B347" s="761"/>
      <c r="C347" s="761"/>
      <c r="D347" s="761"/>
      <c r="E347" s="761"/>
      <c r="F347" s="761"/>
      <c r="G347" s="761"/>
      <c r="H347" s="761"/>
    </row>
    <row r="348" spans="1:8">
      <c r="A348" s="762" t="s">
        <v>3816</v>
      </c>
      <c r="B348" s="761"/>
      <c r="C348" s="761"/>
      <c r="D348" s="761"/>
      <c r="E348" s="761"/>
      <c r="F348" s="761"/>
      <c r="G348" s="761"/>
      <c r="H348" s="761"/>
    </row>
    <row r="349" spans="1:8">
      <c r="A349" s="762" t="s">
        <v>3817</v>
      </c>
      <c r="B349" s="761"/>
      <c r="C349" s="761"/>
      <c r="D349" s="761"/>
      <c r="E349" s="761"/>
      <c r="F349" s="761"/>
      <c r="G349" s="761"/>
      <c r="H349" s="761"/>
    </row>
    <row r="350" spans="1:8">
      <c r="A350" s="762" t="s">
        <v>3818</v>
      </c>
      <c r="B350" s="761"/>
      <c r="C350" s="761"/>
      <c r="D350" s="761"/>
      <c r="E350" s="761"/>
      <c r="F350" s="761"/>
      <c r="G350" s="761"/>
      <c r="H350" s="761"/>
    </row>
    <row r="351" spans="1:8">
      <c r="A351" s="762" t="s">
        <v>3819</v>
      </c>
      <c r="B351" s="761"/>
      <c r="C351" s="761"/>
      <c r="D351" s="761"/>
      <c r="E351" s="761"/>
      <c r="F351" s="761"/>
      <c r="G351" s="761"/>
      <c r="H351" s="761"/>
    </row>
    <row r="352" spans="1:8">
      <c r="A352" s="762" t="s">
        <v>3820</v>
      </c>
      <c r="B352" s="761"/>
      <c r="C352" s="761"/>
      <c r="D352" s="761"/>
      <c r="E352" s="761"/>
      <c r="F352" s="761"/>
      <c r="G352" s="761"/>
      <c r="H352" s="761"/>
    </row>
    <row r="353" spans="1:8">
      <c r="A353" s="762" t="s">
        <v>3821</v>
      </c>
      <c r="B353" s="761"/>
      <c r="C353" s="761"/>
      <c r="D353" s="761"/>
      <c r="E353" s="761"/>
      <c r="F353" s="761"/>
      <c r="G353" s="761"/>
      <c r="H353" s="761"/>
    </row>
    <row r="354" spans="1:8">
      <c r="A354" s="762" t="s">
        <v>3822</v>
      </c>
      <c r="B354" s="761"/>
      <c r="C354" s="761"/>
      <c r="D354" s="761"/>
      <c r="E354" s="761"/>
      <c r="F354" s="761"/>
      <c r="G354" s="761"/>
      <c r="H354" s="761"/>
    </row>
    <row r="355" spans="1:8">
      <c r="A355" s="762" t="s">
        <v>3823</v>
      </c>
      <c r="B355" s="761"/>
      <c r="C355" s="761"/>
      <c r="D355" s="761"/>
      <c r="E355" s="761"/>
      <c r="F355" s="761"/>
      <c r="G355" s="761"/>
      <c r="H355" s="761"/>
    </row>
    <row r="356" spans="1:8">
      <c r="A356" s="762" t="s">
        <v>3824</v>
      </c>
      <c r="B356" s="761"/>
      <c r="C356" s="761"/>
      <c r="D356" s="761"/>
      <c r="E356" s="761"/>
      <c r="F356" s="761"/>
      <c r="G356" s="761"/>
      <c r="H356" s="761"/>
    </row>
    <row r="357" spans="1:8">
      <c r="A357" s="762" t="s">
        <v>3825</v>
      </c>
      <c r="B357" s="761"/>
      <c r="C357" s="761"/>
      <c r="D357" s="761"/>
      <c r="E357" s="761"/>
      <c r="F357" s="761"/>
      <c r="G357" s="761"/>
      <c r="H357" s="761"/>
    </row>
    <row r="358" spans="1:8">
      <c r="A358" s="762" t="s">
        <v>3826</v>
      </c>
      <c r="B358" s="761"/>
      <c r="C358" s="761"/>
      <c r="D358" s="761"/>
      <c r="E358" s="761"/>
      <c r="F358" s="761"/>
      <c r="G358" s="761"/>
      <c r="H358" s="761"/>
    </row>
    <row r="359" spans="1:8">
      <c r="A359" s="762" t="s">
        <v>3827</v>
      </c>
      <c r="B359" s="761"/>
      <c r="C359" s="761"/>
      <c r="D359" s="761"/>
      <c r="E359" s="761"/>
      <c r="F359" s="761"/>
      <c r="G359" s="761"/>
      <c r="H359" s="761"/>
    </row>
    <row r="360" spans="1:8">
      <c r="A360" s="762" t="s">
        <v>3828</v>
      </c>
      <c r="B360" s="761"/>
      <c r="C360" s="761"/>
      <c r="D360" s="761"/>
      <c r="E360" s="761"/>
      <c r="F360" s="761"/>
      <c r="G360" s="761"/>
      <c r="H360" s="761"/>
    </row>
    <row r="361" spans="1:8">
      <c r="A361" s="762" t="s">
        <v>3829</v>
      </c>
      <c r="B361" s="761"/>
      <c r="C361" s="761"/>
      <c r="D361" s="761"/>
      <c r="E361" s="761"/>
      <c r="F361" s="761"/>
      <c r="G361" s="761"/>
      <c r="H361" s="761"/>
    </row>
    <row r="362" spans="1:8">
      <c r="A362" s="762" t="s">
        <v>3830</v>
      </c>
      <c r="B362" s="761"/>
      <c r="C362" s="761"/>
      <c r="D362" s="761"/>
      <c r="E362" s="761"/>
      <c r="F362" s="761"/>
      <c r="G362" s="761"/>
      <c r="H362" s="761"/>
    </row>
    <row r="363" spans="1:8">
      <c r="A363" s="762" t="s">
        <v>3831</v>
      </c>
      <c r="B363" s="761"/>
      <c r="C363" s="761"/>
      <c r="D363" s="761"/>
      <c r="E363" s="761"/>
      <c r="F363" s="761"/>
      <c r="G363" s="761"/>
      <c r="H363" s="761"/>
    </row>
    <row r="364" spans="1:8">
      <c r="A364" s="762" t="s">
        <v>3832</v>
      </c>
      <c r="B364" s="761"/>
      <c r="C364" s="761"/>
      <c r="D364" s="761"/>
      <c r="E364" s="761"/>
      <c r="F364" s="761"/>
      <c r="G364" s="761"/>
      <c r="H364" s="761"/>
    </row>
    <row r="365" spans="1:8">
      <c r="A365" s="762" t="s">
        <v>3833</v>
      </c>
      <c r="B365" s="761"/>
      <c r="C365" s="761"/>
      <c r="D365" s="761"/>
      <c r="E365" s="761"/>
      <c r="F365" s="761"/>
      <c r="G365" s="761"/>
      <c r="H365" s="761"/>
    </row>
    <row r="366" spans="1:8">
      <c r="A366" s="762" t="s">
        <v>3834</v>
      </c>
      <c r="B366" s="761"/>
      <c r="C366" s="761"/>
      <c r="D366" s="761"/>
      <c r="E366" s="761"/>
      <c r="F366" s="761"/>
      <c r="G366" s="761"/>
      <c r="H366" s="761"/>
    </row>
    <row r="367" spans="1:8">
      <c r="A367" s="762" t="s">
        <v>3835</v>
      </c>
      <c r="B367" s="761"/>
      <c r="C367" s="761"/>
      <c r="D367" s="761"/>
      <c r="E367" s="761"/>
      <c r="F367" s="761"/>
      <c r="G367" s="761"/>
      <c r="H367" s="761"/>
    </row>
    <row r="368" spans="1:8">
      <c r="A368" s="762" t="s">
        <v>3836</v>
      </c>
      <c r="B368" s="761"/>
      <c r="C368" s="761"/>
      <c r="D368" s="761"/>
      <c r="E368" s="761"/>
      <c r="F368" s="761"/>
      <c r="G368" s="761"/>
      <c r="H368" s="761"/>
    </row>
    <row r="369" spans="1:8">
      <c r="A369" s="762" t="s">
        <v>3837</v>
      </c>
      <c r="B369" s="761"/>
      <c r="C369" s="761"/>
      <c r="D369" s="761"/>
      <c r="E369" s="761"/>
      <c r="F369" s="761"/>
      <c r="G369" s="761"/>
      <c r="H369" s="761"/>
    </row>
    <row r="370" spans="1:8">
      <c r="A370" s="761"/>
      <c r="B370" s="761"/>
      <c r="C370" s="761"/>
      <c r="D370" s="761"/>
      <c r="E370" s="761"/>
      <c r="F370" s="761"/>
      <c r="G370" s="761"/>
      <c r="H370" s="761"/>
    </row>
    <row r="371" spans="1:8">
      <c r="A371" s="762" t="s">
        <v>3795</v>
      </c>
      <c r="B371" s="761"/>
      <c r="C371" s="761"/>
      <c r="D371" s="761"/>
      <c r="E371" s="761"/>
      <c r="F371" s="761"/>
      <c r="G371" s="761"/>
      <c r="H371" s="761"/>
    </row>
    <row r="372" spans="1:8">
      <c r="A372" s="762" t="s">
        <v>3799</v>
      </c>
      <c r="B372" s="761"/>
      <c r="C372" s="761"/>
      <c r="D372" s="761"/>
      <c r="E372" s="761"/>
      <c r="F372" s="761"/>
      <c r="G372" s="761"/>
      <c r="H372" s="761"/>
    </row>
    <row r="373" spans="1:8">
      <c r="A373" s="762" t="s">
        <v>3800</v>
      </c>
      <c r="B373" s="761"/>
      <c r="C373" s="761"/>
      <c r="D373" s="761"/>
      <c r="E373" s="761"/>
      <c r="F373" s="761"/>
      <c r="G373" s="761"/>
      <c r="H373" s="761"/>
    </row>
    <row r="374" spans="1:8">
      <c r="A374" s="762" t="s">
        <v>3801</v>
      </c>
      <c r="B374" s="761"/>
      <c r="C374" s="761"/>
      <c r="D374" s="761"/>
      <c r="E374" s="761"/>
      <c r="F374" s="761"/>
      <c r="G374" s="761"/>
      <c r="H374" s="761"/>
    </row>
    <row r="375" spans="1:8">
      <c r="A375" s="762" t="s">
        <v>3802</v>
      </c>
      <c r="B375" s="761"/>
      <c r="C375" s="761"/>
      <c r="D375" s="761"/>
      <c r="E375" s="761"/>
      <c r="F375" s="761"/>
      <c r="G375" s="761"/>
      <c r="H375" s="761"/>
    </row>
    <row r="376" spans="1:8">
      <c r="A376" s="761"/>
      <c r="B376" s="761"/>
      <c r="C376" s="761"/>
      <c r="D376" s="761"/>
      <c r="E376" s="761"/>
      <c r="F376" s="761"/>
      <c r="G376" s="761"/>
      <c r="H376" s="761"/>
    </row>
    <row r="377" spans="1:8">
      <c r="A377" s="762" t="s">
        <v>3795</v>
      </c>
      <c r="B377" s="761"/>
      <c r="C377" s="761"/>
      <c r="D377" s="761"/>
      <c r="E377" s="761"/>
      <c r="F377" s="761"/>
      <c r="G377" s="761"/>
      <c r="H377" s="761"/>
    </row>
    <row r="378" spans="1:8">
      <c r="A378" s="762" t="s">
        <v>3796</v>
      </c>
      <c r="B378" s="761"/>
      <c r="C378" s="761"/>
      <c r="D378" s="761"/>
      <c r="E378" s="761"/>
      <c r="F378" s="761"/>
      <c r="G378" s="761"/>
      <c r="H378" s="761"/>
    </row>
    <row r="379" spans="1:8">
      <c r="A379" s="762" t="s">
        <v>3797</v>
      </c>
      <c r="B379" s="761"/>
      <c r="C379" s="761"/>
      <c r="D379" s="761"/>
      <c r="E379" s="761"/>
      <c r="F379" s="761"/>
      <c r="G379" s="761"/>
      <c r="H379" s="761"/>
    </row>
    <row r="380" spans="1:8">
      <c r="A380" s="762" t="s">
        <v>3798</v>
      </c>
      <c r="B380" s="761"/>
      <c r="C380" s="761"/>
      <c r="D380" s="761"/>
      <c r="E380" s="761"/>
      <c r="F380" s="761"/>
      <c r="G380" s="761"/>
      <c r="H380" s="761"/>
    </row>
    <row r="381" spans="1:8">
      <c r="A381" s="761"/>
      <c r="B381" s="761"/>
      <c r="C381" s="761"/>
      <c r="D381" s="761"/>
      <c r="E381" s="761"/>
      <c r="F381" s="761"/>
      <c r="G381" s="761"/>
      <c r="H381" s="761"/>
    </row>
    <row r="382" spans="1:8">
      <c r="A382" s="762" t="s">
        <v>3789</v>
      </c>
      <c r="B382" s="761"/>
      <c r="C382" s="761"/>
      <c r="D382" s="761"/>
      <c r="E382" s="761"/>
      <c r="F382" s="761"/>
      <c r="G382" s="761"/>
      <c r="H382" s="761"/>
    </row>
    <row r="383" spans="1:8">
      <c r="A383" s="762" t="s">
        <v>3790</v>
      </c>
      <c r="B383" s="761"/>
      <c r="C383" s="761"/>
      <c r="D383" s="761"/>
      <c r="E383" s="761"/>
      <c r="F383" s="761"/>
      <c r="G383" s="761"/>
      <c r="H383" s="761"/>
    </row>
    <row r="384" spans="1:8">
      <c r="A384" s="762" t="s">
        <v>3791</v>
      </c>
      <c r="B384" s="761"/>
      <c r="C384" s="761"/>
      <c r="D384" s="761"/>
      <c r="E384" s="761"/>
      <c r="F384" s="761"/>
      <c r="G384" s="761"/>
      <c r="H384" s="761"/>
    </row>
    <row r="385" spans="1:8">
      <c r="A385" s="762" t="s">
        <v>3792</v>
      </c>
      <c r="B385" s="761"/>
      <c r="C385" s="761"/>
      <c r="D385" s="761"/>
      <c r="E385" s="761"/>
      <c r="F385" s="761"/>
      <c r="G385" s="761"/>
      <c r="H385" s="761"/>
    </row>
    <row r="386" spans="1:8">
      <c r="A386" s="762" t="s">
        <v>3793</v>
      </c>
      <c r="B386" s="761"/>
      <c r="C386" s="761"/>
      <c r="D386" s="761"/>
      <c r="E386" s="761"/>
      <c r="F386" s="761"/>
      <c r="G386" s="761"/>
      <c r="H386" s="761"/>
    </row>
    <row r="387" spans="1:8">
      <c r="A387" s="762" t="s">
        <v>3794</v>
      </c>
      <c r="B387" s="761"/>
      <c r="C387" s="761"/>
      <c r="D387" s="761"/>
      <c r="E387" s="761"/>
      <c r="F387" s="761"/>
      <c r="G387" s="761"/>
      <c r="H387" s="761"/>
    </row>
    <row r="388" spans="1:8">
      <c r="A388" s="761"/>
      <c r="B388" s="761"/>
      <c r="C388" s="761"/>
      <c r="D388" s="761"/>
      <c r="E388" s="761"/>
      <c r="F388" s="761"/>
      <c r="G388" s="761"/>
      <c r="H388" s="761"/>
    </row>
    <row r="389" spans="1:8">
      <c r="A389" s="762" t="s">
        <v>3784</v>
      </c>
      <c r="B389" s="761"/>
      <c r="C389" s="761"/>
      <c r="D389" s="761"/>
      <c r="E389" s="761"/>
      <c r="F389" s="761"/>
      <c r="G389" s="761"/>
      <c r="H389" s="761"/>
    </row>
    <row r="390" spans="1:8">
      <c r="A390" s="762" t="s">
        <v>3785</v>
      </c>
      <c r="B390" s="761"/>
      <c r="C390" s="761"/>
      <c r="D390" s="761"/>
      <c r="E390" s="761"/>
      <c r="F390" s="761"/>
      <c r="G390" s="761"/>
      <c r="H390" s="761"/>
    </row>
    <row r="391" spans="1:8">
      <c r="A391" s="762" t="s">
        <v>3786</v>
      </c>
      <c r="B391" s="761"/>
      <c r="C391" s="761"/>
      <c r="D391" s="761"/>
      <c r="E391" s="761"/>
      <c r="F391" s="761"/>
      <c r="G391" s="761"/>
      <c r="H391" s="761"/>
    </row>
    <row r="392" spans="1:8">
      <c r="A392" s="762" t="s">
        <v>3787</v>
      </c>
      <c r="B392" s="761"/>
      <c r="C392" s="761"/>
      <c r="D392" s="761"/>
      <c r="E392" s="761"/>
      <c r="F392" s="761"/>
      <c r="G392" s="761"/>
      <c r="H392" s="761"/>
    </row>
    <row r="393" spans="1:8">
      <c r="A393" s="762" t="s">
        <v>3788</v>
      </c>
      <c r="B393" s="761"/>
      <c r="C393" s="761"/>
      <c r="D393" s="761"/>
      <c r="E393" s="761"/>
      <c r="F393" s="761"/>
      <c r="G393" s="761"/>
      <c r="H393" s="761"/>
    </row>
    <row r="394" spans="1:8">
      <c r="A394" s="761"/>
      <c r="B394" s="761"/>
      <c r="C394" s="761"/>
      <c r="D394" s="761"/>
      <c r="E394" s="761"/>
      <c r="F394" s="761"/>
      <c r="G394" s="761"/>
      <c r="H394" s="761"/>
    </row>
    <row r="395" spans="1:8">
      <c r="A395" s="762" t="s">
        <v>3782</v>
      </c>
      <c r="B395" s="761"/>
      <c r="C395" s="761"/>
      <c r="D395" s="761"/>
      <c r="E395" s="761"/>
      <c r="F395" s="761"/>
      <c r="G395" s="761"/>
      <c r="H395" s="761"/>
    </row>
    <row r="396" spans="1:8">
      <c r="A396" s="762" t="s">
        <v>3783</v>
      </c>
      <c r="B396" s="761"/>
      <c r="C396" s="761"/>
      <c r="D396" s="761"/>
      <c r="E396" s="761"/>
      <c r="F396" s="761"/>
      <c r="G396" s="761"/>
      <c r="H396" s="761"/>
    </row>
    <row r="398" spans="1:8">
      <c r="A398" s="757" t="s">
        <v>4043</v>
      </c>
    </row>
  </sheetData>
  <mergeCells count="12">
    <mergeCell ref="A121:H121"/>
    <mergeCell ref="A128:H128"/>
    <mergeCell ref="A115:H115"/>
    <mergeCell ref="A116:H116"/>
    <mergeCell ref="A117:H117"/>
    <mergeCell ref="A118:H118"/>
    <mergeCell ref="A120:H120"/>
    <mergeCell ref="A136:H136"/>
    <mergeCell ref="A137:H137"/>
    <mergeCell ref="B129:C129"/>
    <mergeCell ref="D129:F129"/>
    <mergeCell ref="G129:H129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B1:B11"/>
  <sheetViews>
    <sheetView showGridLines="0" showRowColHeaders="0" workbookViewId="0">
      <selection activeCell="B42" sqref="B42"/>
    </sheetView>
  </sheetViews>
  <sheetFormatPr defaultRowHeight="12.75"/>
  <cols>
    <col min="1" max="1" width="9.140625" style="526"/>
    <col min="2" max="2" width="88.28515625" style="526" customWidth="1"/>
    <col min="3" max="257" width="9.140625" style="526"/>
    <col min="258" max="258" width="88.28515625" style="526" customWidth="1"/>
    <col min="259" max="513" width="9.140625" style="526"/>
    <col min="514" max="514" width="88.28515625" style="526" customWidth="1"/>
    <col min="515" max="769" width="9.140625" style="526"/>
    <col min="770" max="770" width="88.28515625" style="526" customWidth="1"/>
    <col min="771" max="1025" width="9.140625" style="526"/>
    <col min="1026" max="1026" width="88.28515625" style="526" customWidth="1"/>
    <col min="1027" max="1281" width="9.140625" style="526"/>
    <col min="1282" max="1282" width="88.28515625" style="526" customWidth="1"/>
    <col min="1283" max="1537" width="9.140625" style="526"/>
    <col min="1538" max="1538" width="88.28515625" style="526" customWidth="1"/>
    <col min="1539" max="1793" width="9.140625" style="526"/>
    <col min="1794" max="1794" width="88.28515625" style="526" customWidth="1"/>
    <col min="1795" max="2049" width="9.140625" style="526"/>
    <col min="2050" max="2050" width="88.28515625" style="526" customWidth="1"/>
    <col min="2051" max="2305" width="9.140625" style="526"/>
    <col min="2306" max="2306" width="88.28515625" style="526" customWidth="1"/>
    <col min="2307" max="2561" width="9.140625" style="526"/>
    <col min="2562" max="2562" width="88.28515625" style="526" customWidth="1"/>
    <col min="2563" max="2817" width="9.140625" style="526"/>
    <col min="2818" max="2818" width="88.28515625" style="526" customWidth="1"/>
    <col min="2819" max="3073" width="9.140625" style="526"/>
    <col min="3074" max="3074" width="88.28515625" style="526" customWidth="1"/>
    <col min="3075" max="3329" width="9.140625" style="526"/>
    <col min="3330" max="3330" width="88.28515625" style="526" customWidth="1"/>
    <col min="3331" max="3585" width="9.140625" style="526"/>
    <col min="3586" max="3586" width="88.28515625" style="526" customWidth="1"/>
    <col min="3587" max="3841" width="9.140625" style="526"/>
    <col min="3842" max="3842" width="88.28515625" style="526" customWidth="1"/>
    <col min="3843" max="4097" width="9.140625" style="526"/>
    <col min="4098" max="4098" width="88.28515625" style="526" customWidth="1"/>
    <col min="4099" max="4353" width="9.140625" style="526"/>
    <col min="4354" max="4354" width="88.28515625" style="526" customWidth="1"/>
    <col min="4355" max="4609" width="9.140625" style="526"/>
    <col min="4610" max="4610" width="88.28515625" style="526" customWidth="1"/>
    <col min="4611" max="4865" width="9.140625" style="526"/>
    <col min="4866" max="4866" width="88.28515625" style="526" customWidth="1"/>
    <col min="4867" max="5121" width="9.140625" style="526"/>
    <col min="5122" max="5122" width="88.28515625" style="526" customWidth="1"/>
    <col min="5123" max="5377" width="9.140625" style="526"/>
    <col min="5378" max="5378" width="88.28515625" style="526" customWidth="1"/>
    <col min="5379" max="5633" width="9.140625" style="526"/>
    <col min="5634" max="5634" width="88.28515625" style="526" customWidth="1"/>
    <col min="5635" max="5889" width="9.140625" style="526"/>
    <col min="5890" max="5890" width="88.28515625" style="526" customWidth="1"/>
    <col min="5891" max="6145" width="9.140625" style="526"/>
    <col min="6146" max="6146" width="88.28515625" style="526" customWidth="1"/>
    <col min="6147" max="6401" width="9.140625" style="526"/>
    <col min="6402" max="6402" width="88.28515625" style="526" customWidth="1"/>
    <col min="6403" max="6657" width="9.140625" style="526"/>
    <col min="6658" max="6658" width="88.28515625" style="526" customWidth="1"/>
    <col min="6659" max="6913" width="9.140625" style="526"/>
    <col min="6914" max="6914" width="88.28515625" style="526" customWidth="1"/>
    <col min="6915" max="7169" width="9.140625" style="526"/>
    <col min="7170" max="7170" width="88.28515625" style="526" customWidth="1"/>
    <col min="7171" max="7425" width="9.140625" style="526"/>
    <col min="7426" max="7426" width="88.28515625" style="526" customWidth="1"/>
    <col min="7427" max="7681" width="9.140625" style="526"/>
    <col min="7682" max="7682" width="88.28515625" style="526" customWidth="1"/>
    <col min="7683" max="7937" width="9.140625" style="526"/>
    <col min="7938" max="7938" width="88.28515625" style="526" customWidth="1"/>
    <col min="7939" max="8193" width="9.140625" style="526"/>
    <col min="8194" max="8194" width="88.28515625" style="526" customWidth="1"/>
    <col min="8195" max="8449" width="9.140625" style="526"/>
    <col min="8450" max="8450" width="88.28515625" style="526" customWidth="1"/>
    <col min="8451" max="8705" width="9.140625" style="526"/>
    <col min="8706" max="8706" width="88.28515625" style="526" customWidth="1"/>
    <col min="8707" max="8961" width="9.140625" style="526"/>
    <col min="8962" max="8962" width="88.28515625" style="526" customWidth="1"/>
    <col min="8963" max="9217" width="9.140625" style="526"/>
    <col min="9218" max="9218" width="88.28515625" style="526" customWidth="1"/>
    <col min="9219" max="9473" width="9.140625" style="526"/>
    <col min="9474" max="9474" width="88.28515625" style="526" customWidth="1"/>
    <col min="9475" max="9729" width="9.140625" style="526"/>
    <col min="9730" max="9730" width="88.28515625" style="526" customWidth="1"/>
    <col min="9731" max="9985" width="9.140625" style="526"/>
    <col min="9986" max="9986" width="88.28515625" style="526" customWidth="1"/>
    <col min="9987" max="10241" width="9.140625" style="526"/>
    <col min="10242" max="10242" width="88.28515625" style="526" customWidth="1"/>
    <col min="10243" max="10497" width="9.140625" style="526"/>
    <col min="10498" max="10498" width="88.28515625" style="526" customWidth="1"/>
    <col min="10499" max="10753" width="9.140625" style="526"/>
    <col min="10754" max="10754" width="88.28515625" style="526" customWidth="1"/>
    <col min="10755" max="11009" width="9.140625" style="526"/>
    <col min="11010" max="11010" width="88.28515625" style="526" customWidth="1"/>
    <col min="11011" max="11265" width="9.140625" style="526"/>
    <col min="11266" max="11266" width="88.28515625" style="526" customWidth="1"/>
    <col min="11267" max="11521" width="9.140625" style="526"/>
    <col min="11522" max="11522" width="88.28515625" style="526" customWidth="1"/>
    <col min="11523" max="11777" width="9.140625" style="526"/>
    <col min="11778" max="11778" width="88.28515625" style="526" customWidth="1"/>
    <col min="11779" max="12033" width="9.140625" style="526"/>
    <col min="12034" max="12034" width="88.28515625" style="526" customWidth="1"/>
    <col min="12035" max="12289" width="9.140625" style="526"/>
    <col min="12290" max="12290" width="88.28515625" style="526" customWidth="1"/>
    <col min="12291" max="12545" width="9.140625" style="526"/>
    <col min="12546" max="12546" width="88.28515625" style="526" customWidth="1"/>
    <col min="12547" max="12801" width="9.140625" style="526"/>
    <col min="12802" max="12802" width="88.28515625" style="526" customWidth="1"/>
    <col min="12803" max="13057" width="9.140625" style="526"/>
    <col min="13058" max="13058" width="88.28515625" style="526" customWidth="1"/>
    <col min="13059" max="13313" width="9.140625" style="526"/>
    <col min="13314" max="13314" width="88.28515625" style="526" customWidth="1"/>
    <col min="13315" max="13569" width="9.140625" style="526"/>
    <col min="13570" max="13570" width="88.28515625" style="526" customWidth="1"/>
    <col min="13571" max="13825" width="9.140625" style="526"/>
    <col min="13826" max="13826" width="88.28515625" style="526" customWidth="1"/>
    <col min="13827" max="14081" width="9.140625" style="526"/>
    <col min="14082" max="14082" width="88.28515625" style="526" customWidth="1"/>
    <col min="14083" max="14337" width="9.140625" style="526"/>
    <col min="14338" max="14338" width="88.28515625" style="526" customWidth="1"/>
    <col min="14339" max="14593" width="9.140625" style="526"/>
    <col min="14594" max="14594" width="88.28515625" style="526" customWidth="1"/>
    <col min="14595" max="14849" width="9.140625" style="526"/>
    <col min="14850" max="14850" width="88.28515625" style="526" customWidth="1"/>
    <col min="14851" max="15105" width="9.140625" style="526"/>
    <col min="15106" max="15106" width="88.28515625" style="526" customWidth="1"/>
    <col min="15107" max="15361" width="9.140625" style="526"/>
    <col min="15362" max="15362" width="88.28515625" style="526" customWidth="1"/>
    <col min="15363" max="15617" width="9.140625" style="526"/>
    <col min="15618" max="15618" width="88.28515625" style="526" customWidth="1"/>
    <col min="15619" max="15873" width="9.140625" style="526"/>
    <col min="15874" max="15874" width="88.28515625" style="526" customWidth="1"/>
    <col min="15875" max="16129" width="9.140625" style="526"/>
    <col min="16130" max="16130" width="88.28515625" style="526" customWidth="1"/>
    <col min="16131" max="16384" width="9.140625" style="526"/>
  </cols>
  <sheetData>
    <row r="1" spans="2:2" ht="32.25" customHeight="1"/>
    <row r="2" spans="2:2" ht="72" hidden="1">
      <c r="B2" s="771" t="s">
        <v>4108</v>
      </c>
    </row>
    <row r="3" spans="2:2" ht="72">
      <c r="B3" s="771" t="s">
        <v>4109</v>
      </c>
    </row>
    <row r="4" spans="2:2" ht="18" hidden="1">
      <c r="B4" s="771"/>
    </row>
    <row r="5" spans="2:2" ht="54" hidden="1">
      <c r="B5" s="771" t="s">
        <v>4110</v>
      </c>
    </row>
    <row r="6" spans="2:2" ht="7.5" customHeight="1">
      <c r="B6" s="771"/>
    </row>
    <row r="7" spans="2:2" ht="18">
      <c r="B7" s="772" t="s">
        <v>4111</v>
      </c>
    </row>
    <row r="8" spans="2:2" ht="18">
      <c r="B8" s="772" t="s">
        <v>4113</v>
      </c>
    </row>
    <row r="9" spans="2:2" ht="18">
      <c r="B9" s="772" t="s">
        <v>4114</v>
      </c>
    </row>
    <row r="10" spans="2:2" ht="18">
      <c r="B10" s="773"/>
    </row>
    <row r="11" spans="2:2" ht="54">
      <c r="B11" s="774" t="s">
        <v>4112</v>
      </c>
    </row>
  </sheetData>
  <dataConsolidate/>
  <pageMargins left="0.75" right="0.75" top="1" bottom="1" header="0.5" footer="0.5"/>
  <pageSetup orientation="portrait" horizont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indexed="33"/>
  </sheetPr>
  <dimension ref="A1:DC129"/>
  <sheetViews>
    <sheetView zoomScale="85" workbookViewId="0">
      <pane xSplit="2" ySplit="9" topLeftCell="AF10" activePane="bottomRight" state="frozen"/>
      <selection sqref="A1:IV65536"/>
      <selection pane="topRight" sqref="A1:IV65536"/>
      <selection pane="bottomLeft" sqref="A1:IV65536"/>
      <selection pane="bottomRight" sqref="A1:XFD1048576"/>
    </sheetView>
  </sheetViews>
  <sheetFormatPr defaultColWidth="9.7109375" defaultRowHeight="12.75" outlineLevelCol="1"/>
  <cols>
    <col min="1" max="1" width="3.7109375" customWidth="1"/>
    <col min="2" max="2" width="35.7109375" customWidth="1"/>
    <col min="3" max="5" width="9.7109375" hidden="1" customWidth="1"/>
    <col min="6" max="7" width="9.7109375" customWidth="1"/>
    <col min="8" max="11" width="9.7109375" hidden="1" customWidth="1" outlineLevel="1"/>
    <col min="12" max="12" width="9.7109375" customWidth="1" collapsed="1"/>
    <col min="13" max="16" width="9.7109375" hidden="1" customWidth="1" outlineLevel="1"/>
    <col min="17" max="17" width="9.7109375" customWidth="1" collapsed="1"/>
    <col min="18" max="21" width="9.7109375" hidden="1" customWidth="1" outlineLevel="1"/>
    <col min="22" max="22" width="9.7109375" customWidth="1" collapsed="1"/>
    <col min="23" max="26" width="9.7109375" hidden="1" customWidth="1" outlineLevel="1"/>
    <col min="27" max="27" width="9.7109375" customWidth="1" collapsed="1"/>
    <col min="28" max="31" width="9.7109375" hidden="1" customWidth="1" outlineLevel="1"/>
    <col min="32" max="32" width="9.7109375" customWidth="1" collapsed="1"/>
    <col min="33" max="36" width="9.7109375" hidden="1" customWidth="1" outlineLevel="1"/>
    <col min="37" max="37" width="9.7109375" customWidth="1" collapsed="1"/>
    <col min="38" max="41" width="9.7109375" hidden="1" customWidth="1" outlineLevel="1"/>
    <col min="42" max="42" width="9.7109375" customWidth="1" collapsed="1"/>
    <col min="43" max="46" width="9.7109375" hidden="1" customWidth="1" outlineLevel="1"/>
    <col min="47" max="47" width="9.7109375" customWidth="1" collapsed="1"/>
    <col min="48" max="51" width="9.7109375" hidden="1" customWidth="1" outlineLevel="1"/>
    <col min="52" max="52" width="9.7109375" customWidth="1" collapsed="1"/>
    <col min="53" max="56" width="9.7109375" hidden="1" customWidth="1" outlineLevel="1"/>
    <col min="57" max="57" width="9.7109375" customWidth="1" collapsed="1"/>
    <col min="58" max="61" width="9.7109375" hidden="1" customWidth="1" outlineLevel="1"/>
    <col min="62" max="62" width="9.7109375" customWidth="1" collapsed="1"/>
    <col min="63" max="66" width="9.7109375" hidden="1" customWidth="1" outlineLevel="1"/>
    <col min="67" max="67" width="9.7109375" customWidth="1" collapsed="1"/>
    <col min="68" max="71" width="9.7109375" customWidth="1" outlineLevel="1"/>
    <col min="72" max="72" width="9.7109375" customWidth="1"/>
    <col min="73" max="76" width="9.7109375" hidden="1" customWidth="1" outlineLevel="1"/>
    <col min="77" max="77" width="9.7109375" customWidth="1" collapsed="1"/>
    <col min="78" max="81" width="9.7109375" hidden="1" customWidth="1" outlineLevel="1"/>
    <col min="82" max="82" width="9.7109375" customWidth="1" collapsed="1"/>
  </cols>
  <sheetData>
    <row r="1" spans="1:107" ht="12.75" customHeight="1">
      <c r="A1" s="353"/>
      <c r="B1" s="1"/>
      <c r="C1" s="1"/>
      <c r="D1" s="2"/>
      <c r="E1" s="2"/>
      <c r="F1" s="2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3"/>
      <c r="T1" s="3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 t="s">
        <v>3421</v>
      </c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</row>
    <row r="2" spans="1:107" ht="18" customHeight="1">
      <c r="A2" s="1"/>
      <c r="B2" s="20" t="s">
        <v>3369</v>
      </c>
      <c r="C2" s="1"/>
      <c r="D2" s="2"/>
      <c r="E2" s="2"/>
      <c r="F2" s="2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3"/>
      <c r="T2" s="3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 t="s">
        <v>3421</v>
      </c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</row>
    <row r="3" spans="1:107" ht="12.75" customHeight="1">
      <c r="A3" s="1"/>
      <c r="B3" s="21" t="s">
        <v>3096</v>
      </c>
      <c r="C3" s="1"/>
      <c r="D3" s="2"/>
      <c r="E3" s="2"/>
      <c r="F3" s="2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3"/>
      <c r="T3" s="3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 t="s">
        <v>3421</v>
      </c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</row>
    <row r="4" spans="1:107" ht="12.75" customHeight="1">
      <c r="A4" s="1"/>
      <c r="B4" s="1"/>
      <c r="C4" s="1"/>
      <c r="D4" s="2"/>
      <c r="E4" s="2"/>
      <c r="F4" s="2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3"/>
      <c r="T4" s="3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 t="s">
        <v>3421</v>
      </c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</row>
    <row r="5" spans="1:107" ht="12.75" customHeight="1">
      <c r="A5" s="4"/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</row>
    <row r="6" spans="1:107" ht="12.75" customHeight="1">
      <c r="A6" s="6" t="s">
        <v>3096</v>
      </c>
      <c r="B6" s="7"/>
      <c r="C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155"/>
      <c r="AC6" s="155"/>
      <c r="AD6" s="155"/>
      <c r="AE6" s="155"/>
      <c r="AF6" s="8"/>
      <c r="AG6" s="155"/>
      <c r="AH6" s="155"/>
      <c r="AI6" s="155"/>
      <c r="AJ6" s="155"/>
      <c r="AK6" s="8"/>
      <c r="AL6" s="155"/>
      <c r="AM6" s="155"/>
      <c r="AN6" s="155"/>
      <c r="AO6" s="155"/>
      <c r="AP6" s="8"/>
      <c r="AQ6" s="155"/>
      <c r="AR6" s="155"/>
      <c r="AS6" s="155"/>
      <c r="AT6" s="155"/>
      <c r="AU6" s="8"/>
      <c r="AV6" s="155"/>
      <c r="AW6" s="155"/>
      <c r="AX6" s="155"/>
      <c r="AY6" s="155"/>
      <c r="AZ6" s="8"/>
      <c r="BA6" s="155"/>
      <c r="BB6" s="155"/>
      <c r="BC6" s="155"/>
      <c r="BD6" s="155"/>
      <c r="BE6" s="8"/>
      <c r="BF6" s="155"/>
      <c r="BG6" s="155"/>
      <c r="BH6" s="155"/>
      <c r="BI6" s="155"/>
      <c r="BJ6" s="8"/>
      <c r="BK6" s="155"/>
      <c r="BL6" s="155"/>
      <c r="BM6" s="155"/>
      <c r="BN6" s="155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</row>
    <row r="7" spans="1:107" ht="12.75" customHeight="1">
      <c r="A7" s="783" t="s">
        <v>3610</v>
      </c>
      <c r="B7" s="78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155"/>
      <c r="AC7" s="155"/>
      <c r="AD7" s="155"/>
      <c r="AE7" s="155"/>
      <c r="AF7" s="5"/>
      <c r="AG7" s="155"/>
      <c r="AH7" s="155"/>
      <c r="AI7" s="155"/>
      <c r="AJ7" s="155"/>
      <c r="AK7" s="5"/>
      <c r="AL7" s="155"/>
      <c r="AM7" s="155"/>
      <c r="AN7" s="155"/>
      <c r="AO7" s="15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</row>
    <row r="8" spans="1:107" ht="12.75" customHeight="1">
      <c r="A8" s="9"/>
      <c r="B8" s="4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</row>
    <row r="9" spans="1:107" ht="12.75" customHeight="1">
      <c r="A9" s="10"/>
      <c r="B9" s="10"/>
      <c r="C9" s="31">
        <v>2001</v>
      </c>
      <c r="D9" s="32">
        <v>2002</v>
      </c>
      <c r="E9" s="32">
        <v>2003</v>
      </c>
      <c r="F9" s="32">
        <v>2004</v>
      </c>
      <c r="G9" s="31">
        <v>2005</v>
      </c>
      <c r="H9" s="33" t="s">
        <v>714</v>
      </c>
      <c r="I9" s="33" t="s">
        <v>715</v>
      </c>
      <c r="J9" s="33" t="s">
        <v>716</v>
      </c>
      <c r="K9" s="33" t="s">
        <v>717</v>
      </c>
      <c r="L9" s="31">
        <v>2006</v>
      </c>
      <c r="M9" s="33" t="s">
        <v>718</v>
      </c>
      <c r="N9" s="33" t="s">
        <v>719</v>
      </c>
      <c r="O9" s="33" t="s">
        <v>1970</v>
      </c>
      <c r="P9" s="33" t="s">
        <v>1971</v>
      </c>
      <c r="Q9" s="31">
        <v>2007</v>
      </c>
      <c r="R9" s="33" t="s">
        <v>1972</v>
      </c>
      <c r="S9" s="33" t="s">
        <v>1973</v>
      </c>
      <c r="T9" s="33" t="s">
        <v>1974</v>
      </c>
      <c r="U9" s="33" t="s">
        <v>1975</v>
      </c>
      <c r="V9" s="31">
        <v>2008</v>
      </c>
      <c r="W9" s="33" t="s">
        <v>1976</v>
      </c>
      <c r="X9" s="33" t="s">
        <v>1977</v>
      </c>
      <c r="Y9" s="33" t="s">
        <v>1978</v>
      </c>
      <c r="Z9" s="33" t="s">
        <v>1979</v>
      </c>
      <c r="AA9" s="31">
        <v>2009</v>
      </c>
      <c r="AB9" s="33" t="s">
        <v>1980</v>
      </c>
      <c r="AC9" s="33" t="s">
        <v>1981</v>
      </c>
      <c r="AD9" s="33" t="s">
        <v>1982</v>
      </c>
      <c r="AE9" s="33" t="s">
        <v>2392</v>
      </c>
      <c r="AF9" s="31">
        <v>2010</v>
      </c>
      <c r="AG9" s="33" t="s">
        <v>2393</v>
      </c>
      <c r="AH9" s="33" t="s">
        <v>2394</v>
      </c>
      <c r="AI9" s="33" t="s">
        <v>2395</v>
      </c>
      <c r="AJ9" s="368" t="s">
        <v>2396</v>
      </c>
      <c r="AK9" s="369">
        <v>2011</v>
      </c>
      <c r="AL9" s="368" t="s">
        <v>2397</v>
      </c>
      <c r="AM9" s="368" t="s">
        <v>2398</v>
      </c>
      <c r="AN9" s="368" t="s">
        <v>2399</v>
      </c>
      <c r="AO9" s="368" t="s">
        <v>2400</v>
      </c>
      <c r="AP9" s="369">
        <v>2012</v>
      </c>
      <c r="AQ9" s="368" t="s">
        <v>2401</v>
      </c>
      <c r="AR9" s="368" t="s">
        <v>2402</v>
      </c>
      <c r="AS9" s="368" t="s">
        <v>2403</v>
      </c>
      <c r="AT9" s="368" t="s">
        <v>2404</v>
      </c>
      <c r="AU9" s="369">
        <v>2013</v>
      </c>
      <c r="AV9" s="368" t="s">
        <v>2405</v>
      </c>
      <c r="AW9" s="368" t="s">
        <v>2406</v>
      </c>
      <c r="AX9" s="368" t="s">
        <v>2407</v>
      </c>
      <c r="AY9" s="368" t="s">
        <v>2408</v>
      </c>
      <c r="AZ9" s="369">
        <v>2014</v>
      </c>
      <c r="BA9" s="368" t="s">
        <v>2409</v>
      </c>
      <c r="BB9" s="368" t="s">
        <v>2410</v>
      </c>
      <c r="BC9" s="368" t="s">
        <v>2411</v>
      </c>
      <c r="BD9" s="368" t="s">
        <v>2412</v>
      </c>
      <c r="BE9" s="369">
        <v>2015</v>
      </c>
      <c r="BF9" s="368" t="s">
        <v>2413</v>
      </c>
      <c r="BG9" s="368" t="s">
        <v>2414</v>
      </c>
      <c r="BH9" s="368" t="s">
        <v>2415</v>
      </c>
      <c r="BI9" s="368" t="s">
        <v>2416</v>
      </c>
      <c r="BJ9" s="369">
        <v>2016</v>
      </c>
      <c r="BK9" s="368" t="s">
        <v>2417</v>
      </c>
      <c r="BL9" s="368" t="s">
        <v>2418</v>
      </c>
      <c r="BM9" s="368" t="s">
        <v>2419</v>
      </c>
      <c r="BN9" s="368" t="s">
        <v>2420</v>
      </c>
      <c r="BO9" s="369">
        <v>2017</v>
      </c>
      <c r="BP9" s="363" t="s">
        <v>2244</v>
      </c>
      <c r="BQ9" s="363" t="s">
        <v>2245</v>
      </c>
      <c r="BR9" s="363" t="s">
        <v>2508</v>
      </c>
      <c r="BS9" s="363" t="s">
        <v>2509</v>
      </c>
      <c r="BT9" s="364">
        <v>2018</v>
      </c>
      <c r="BU9" s="363" t="s">
        <v>2510</v>
      </c>
      <c r="BV9" s="363" t="s">
        <v>2511</v>
      </c>
      <c r="BW9" s="363" t="s">
        <v>3125</v>
      </c>
      <c r="BX9" s="363" t="s">
        <v>1405</v>
      </c>
      <c r="BY9" s="364">
        <v>2019</v>
      </c>
      <c r="BZ9" s="363" t="s">
        <v>1406</v>
      </c>
      <c r="CA9" s="363" t="s">
        <v>1407</v>
      </c>
      <c r="CB9" s="363" t="s">
        <v>1408</v>
      </c>
      <c r="CC9" s="363" t="s">
        <v>1409</v>
      </c>
      <c r="CD9" s="364">
        <v>2020</v>
      </c>
      <c r="CE9" s="11"/>
      <c r="CF9" s="11"/>
      <c r="CG9" s="24" t="s">
        <v>982</v>
      </c>
      <c r="CH9" s="5"/>
      <c r="CI9" s="5"/>
      <c r="CJ9" s="5"/>
      <c r="CK9" s="5"/>
      <c r="CL9" s="5"/>
      <c r="CM9" s="5"/>
      <c r="CN9" s="5"/>
      <c r="CP9" s="376" t="s">
        <v>983</v>
      </c>
    </row>
    <row r="10" spans="1:107" ht="12.75" customHeight="1">
      <c r="A10" s="4"/>
      <c r="B10" s="4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47" t="s">
        <v>946</v>
      </c>
      <c r="CH10" s="47"/>
      <c r="CI10" s="47"/>
      <c r="CJ10" s="152">
        <f>COVAR($CH$15:$CH$62,CJ15:CJ62)/VARP($CH$15:$CH$62)</f>
        <v>0.98480942075225242</v>
      </c>
      <c r="CK10" s="438">
        <f>COVAR($CH$15:$CH$62,CK15:CK62)/VARP($CH$15:$CH$62)</f>
        <v>0.85598452481921872</v>
      </c>
      <c r="CL10" s="152">
        <f>COVAR($CH$15:$CH$62,CL15:CL62)/VARP($CH$15:$CH$62)</f>
        <v>0.97420591143824209</v>
      </c>
      <c r="CM10" s="152">
        <f ca="1">COVAR($CH$15:$CH$62,CM15:CM62)/VARP($CH$15:$CH$62)</f>
        <v>0.46951662351074375</v>
      </c>
      <c r="CN10" s="152">
        <f>COVAR($CH$15:$CH$62,CN15:CN62)/VARP($CH$15:$CH$62)</f>
        <v>0.9234017951550183</v>
      </c>
      <c r="CP10" s="47" t="s">
        <v>946</v>
      </c>
      <c r="CQ10" s="5"/>
      <c r="CR10" s="5"/>
      <c r="CS10" s="5"/>
      <c r="CT10" s="441">
        <f>COVAR(CT15:CT62,CR15:CR62)/VARP(CR15:CR62)</f>
        <v>6.1132508472591107E-2</v>
      </c>
      <c r="CU10" s="272">
        <f>COVAR(CU15:CU62,CQ15:CQ62)/VARP(CQ15:CQ62)</f>
        <v>0.76986732487823695</v>
      </c>
      <c r="CV10" s="272">
        <f>COVAR(CV15:CV62,CR15:CR62)/VARP(CR15:CR62)</f>
        <v>3.9043862110557055E-2</v>
      </c>
      <c r="CW10" s="272">
        <f>COVAR(CW15:CW62,CQ15:CQ62)/VARP(CQ15:CQ62)</f>
        <v>0.29540366993673017</v>
      </c>
    </row>
    <row r="11" spans="1:107" ht="12.75" customHeight="1">
      <c r="A11" s="7" t="s">
        <v>3097</v>
      </c>
      <c r="B11" s="121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  <c r="X11" s="108"/>
      <c r="Y11" s="108"/>
      <c r="Z11" s="108"/>
      <c r="AA11" s="108"/>
      <c r="AB11" s="108"/>
      <c r="AC11" s="108"/>
      <c r="AD11" s="108"/>
      <c r="AE11" s="108"/>
      <c r="AF11" s="108"/>
      <c r="AG11" s="108"/>
      <c r="AH11" s="108"/>
      <c r="AI11" s="108"/>
      <c r="AJ11" s="108"/>
      <c r="AK11" s="108"/>
      <c r="AL11" s="108"/>
      <c r="AM11" s="108"/>
      <c r="AN11" s="108"/>
      <c r="AO11" s="108"/>
      <c r="AP11" s="108"/>
      <c r="AQ11" s="108"/>
      <c r="AR11" s="108"/>
      <c r="AS11" s="108"/>
      <c r="AT11" s="108"/>
      <c r="AU11" s="108"/>
      <c r="AV11" s="108"/>
      <c r="AW11" s="108"/>
      <c r="AX11" s="108"/>
      <c r="AY11" s="108"/>
      <c r="AZ11" s="108"/>
      <c r="BA11" s="108"/>
      <c r="BB11" s="108"/>
      <c r="BC11" s="108"/>
      <c r="BD11" s="108"/>
      <c r="BE11" s="108"/>
      <c r="BF11" s="108"/>
      <c r="BG11" s="108"/>
      <c r="BH11" s="108"/>
      <c r="BI11" s="108"/>
      <c r="BJ11" s="47"/>
      <c r="BK11" s="108"/>
      <c r="BL11" s="108"/>
      <c r="BM11" s="108"/>
      <c r="BN11" s="108"/>
      <c r="BO11" s="47"/>
      <c r="BP11" s="47"/>
      <c r="BQ11" s="47"/>
      <c r="BR11" s="47"/>
      <c r="BS11" s="47"/>
      <c r="BT11" s="47"/>
      <c r="BU11" s="47"/>
      <c r="BV11" s="47"/>
      <c r="BW11" s="47"/>
      <c r="BX11" s="47"/>
      <c r="BY11" s="47"/>
      <c r="BZ11" s="47"/>
      <c r="CA11" s="47"/>
      <c r="CB11" s="47"/>
      <c r="CC11" s="47"/>
      <c r="CD11" s="47"/>
      <c r="CE11" s="5"/>
      <c r="CF11" s="5"/>
      <c r="CG11" s="47" t="s">
        <v>947</v>
      </c>
      <c r="CH11" s="47"/>
      <c r="CI11" s="47"/>
      <c r="CJ11" s="106">
        <f>AVERAGE(CJ15:CJ62)-CJ10*AVERAGE($CH$15:$CH$62)</f>
        <v>-1.9815982616545398</v>
      </c>
      <c r="CK11" s="439">
        <f>AVERAGE(CK15:CK62)-CK10*AVERAGE($CH$15:$CH$62)</f>
        <v>1.2053571340330649</v>
      </c>
      <c r="CL11" s="106">
        <f>AVERAGE(CL15:CL62)-CL10*AVERAGE($CH$15:$CH$62)</f>
        <v>-2.6326630970906422</v>
      </c>
      <c r="CM11" s="106">
        <f ca="1">AVERAGE(CM15:CM62)-CM10*AVERAGE($CH$15:$CH$62)</f>
        <v>1.9716340564536239</v>
      </c>
      <c r="CN11" s="106">
        <f>AVERAGE(CN15:CN62)-CN10*AVERAGE($CH$15:$CH$62)</f>
        <v>-0.76966733192902836</v>
      </c>
      <c r="CP11" s="47" t="s">
        <v>947</v>
      </c>
      <c r="CQ11" s="47"/>
      <c r="CR11" s="47"/>
      <c r="CS11" s="47"/>
      <c r="CT11" s="442">
        <f>AVERAGE(CT15:CT62)-CT10*AVERAGE(CR15:CR62)</f>
        <v>1.9784223937246681</v>
      </c>
      <c r="CU11" s="106">
        <f>AVERAGE(CU15:CU62)-CU10*AVERAGE(CQ15:CQ62)</f>
        <v>0.14259622297150054</v>
      </c>
      <c r="CV11" s="106">
        <f>AVERAGE(CV15:CV62)-CV10*AVERAGE(CR15:CR62)</f>
        <v>1.315452528522858</v>
      </c>
      <c r="CW11" s="106">
        <f>AVERAGE(CW15:CW62)-CW10*AVERAGE(CQ15:CQ62)</f>
        <v>3.0549856106549673</v>
      </c>
    </row>
    <row r="12" spans="1:107" ht="12.75" customHeight="1">
      <c r="A12" s="121"/>
      <c r="B12" s="121" t="s">
        <v>3098</v>
      </c>
      <c r="C12" s="110">
        <v>24.44</v>
      </c>
      <c r="D12" s="110">
        <v>25.03</v>
      </c>
      <c r="E12" s="110">
        <v>28.83</v>
      </c>
      <c r="F12" s="618">
        <v>38.270000000000003</v>
      </c>
      <c r="G12" s="618">
        <v>54.48</v>
      </c>
      <c r="H12" s="577">
        <v>61.79</v>
      </c>
      <c r="I12" s="577">
        <v>69.59</v>
      </c>
      <c r="J12" s="577">
        <v>69.599999999999994</v>
      </c>
      <c r="K12" s="577">
        <v>59.6</v>
      </c>
      <c r="L12" s="618">
        <v>65.14</v>
      </c>
      <c r="M12" s="577">
        <v>57.76</v>
      </c>
      <c r="N12" s="577">
        <v>68.760000000000005</v>
      </c>
      <c r="O12" s="577">
        <v>74.739999999999995</v>
      </c>
      <c r="P12" s="577">
        <v>88.45</v>
      </c>
      <c r="Q12" s="618">
        <v>72.39</v>
      </c>
      <c r="R12" s="577">
        <v>96.71</v>
      </c>
      <c r="S12" s="577">
        <v>121.18</v>
      </c>
      <c r="T12" s="577">
        <v>115.09</v>
      </c>
      <c r="U12" s="577">
        <v>55.48</v>
      </c>
      <c r="V12" s="618">
        <v>97.26</v>
      </c>
      <c r="W12" s="577">
        <v>44.46</v>
      </c>
      <c r="X12" s="577">
        <v>59.13</v>
      </c>
      <c r="Y12" s="577">
        <v>68.08</v>
      </c>
      <c r="Z12" s="577">
        <v>74.53</v>
      </c>
      <c r="AA12" s="618">
        <v>61.67</v>
      </c>
      <c r="AB12" s="577">
        <v>76.36</v>
      </c>
      <c r="AC12" s="577">
        <v>78.239999999999995</v>
      </c>
      <c r="AD12" s="577">
        <v>76.86</v>
      </c>
      <c r="AE12" s="577">
        <v>86.46</v>
      </c>
      <c r="AF12" s="618">
        <v>79.5</v>
      </c>
      <c r="AG12" s="577">
        <v>105.43</v>
      </c>
      <c r="AH12" s="577">
        <v>117.04</v>
      </c>
      <c r="AI12" s="577">
        <v>113.41</v>
      </c>
      <c r="AJ12" s="577">
        <v>109.35</v>
      </c>
      <c r="AK12" s="618">
        <f t="shared" ref="AK12:AK17" si="0">AVERAGE(AG12:AJ12)</f>
        <v>111.3075</v>
      </c>
      <c r="AL12" s="577">
        <v>118.6</v>
      </c>
      <c r="AM12" s="577">
        <v>108.29</v>
      </c>
      <c r="AN12" s="577">
        <v>109.5</v>
      </c>
      <c r="AO12" s="577">
        <v>110.08</v>
      </c>
      <c r="AP12" s="618">
        <f t="shared" ref="AP12:AP17" si="1">AVERAGE(AL12:AO12)</f>
        <v>111.61749999999999</v>
      </c>
      <c r="AQ12" s="577">
        <v>112.57</v>
      </c>
      <c r="AR12" s="577">
        <v>102.43</v>
      </c>
      <c r="AS12" s="577">
        <v>110.29</v>
      </c>
      <c r="AT12" s="577">
        <v>109.24</v>
      </c>
      <c r="AU12" s="618">
        <f t="shared" ref="AU12:AU17" si="2">AVERAGE(AQ12:AT12)</f>
        <v>108.63250000000001</v>
      </c>
      <c r="AV12" s="577">
        <v>108.21</v>
      </c>
      <c r="AW12" s="577">
        <v>109.67</v>
      </c>
      <c r="AX12" s="577">
        <v>101.93</v>
      </c>
      <c r="AY12" s="577">
        <v>76.58</v>
      </c>
      <c r="AZ12" s="618">
        <f t="shared" ref="AZ12:AZ17" si="3">AVERAGE(AV12:AY12)</f>
        <v>99.097499999999997</v>
      </c>
      <c r="BA12" s="577">
        <v>53.94</v>
      </c>
      <c r="BB12" s="577">
        <v>61.88</v>
      </c>
      <c r="BC12" s="577">
        <v>50.47</v>
      </c>
      <c r="BD12" s="577">
        <v>43.76</v>
      </c>
      <c r="BE12" s="618">
        <f t="shared" ref="BE12:BE17" si="4">AVERAGE(BA12:BD12)</f>
        <v>52.512499999999996</v>
      </c>
      <c r="BF12" s="577">
        <v>33.94</v>
      </c>
      <c r="BG12" s="577">
        <v>45.59</v>
      </c>
      <c r="BH12" s="577">
        <v>45.86</v>
      </c>
      <c r="BI12" s="577">
        <v>49.33</v>
      </c>
      <c r="BJ12" s="618">
        <f t="shared" ref="BJ12:BJ17" si="5">AVERAGE(BF12:BI12)</f>
        <v>43.68</v>
      </c>
      <c r="BK12" s="577">
        <v>53.69</v>
      </c>
      <c r="BL12" s="577">
        <v>49.64</v>
      </c>
      <c r="BM12" s="577">
        <v>52.08</v>
      </c>
      <c r="BN12" s="577">
        <v>61.26</v>
      </c>
      <c r="BO12" s="618">
        <f t="shared" ref="BO12:BO17" si="6">AVERAGE(BK12:BN12)</f>
        <v>54.167499999999997</v>
      </c>
      <c r="BP12" s="577">
        <f t="shared" ref="BP12:BS13" si="7">IF($A$7="Forward curve",BP67,IF($A$7="Custom case",BP84,IF($A$7="Company assumptions",BP101,BP118)))</f>
        <v>66.930000000000007</v>
      </c>
      <c r="BQ12" s="577">
        <f t="shared" si="7"/>
        <v>67.55</v>
      </c>
      <c r="BR12" s="577">
        <f t="shared" si="7"/>
        <v>66.290000000000006</v>
      </c>
      <c r="BS12" s="577">
        <f t="shared" si="7"/>
        <v>65.239999999999995</v>
      </c>
      <c r="BT12" s="618">
        <f>AVERAGE(BP12:BS12)</f>
        <v>66.502500000000012</v>
      </c>
      <c r="BU12" s="577">
        <f t="shared" ref="BU12:BX13" si="8">IF($A$7="Forward curve",BU67,IF($A$7="Custom case",BU84,IF($A$7="Company assumptions",BU101,BU118)))</f>
        <v>62.95</v>
      </c>
      <c r="BV12" s="577">
        <f t="shared" si="8"/>
        <v>62.95</v>
      </c>
      <c r="BW12" s="577">
        <f t="shared" si="8"/>
        <v>62.95</v>
      </c>
      <c r="BX12" s="577">
        <f t="shared" si="8"/>
        <v>62.95</v>
      </c>
      <c r="BY12" s="618">
        <f>AVERAGE(BU12:BX12)</f>
        <v>62.95</v>
      </c>
      <c r="BZ12" s="577">
        <f t="shared" ref="BZ12:CC13" si="9">IF($A$7="Forward curve",BZ67,IF($A$7="Custom case",BZ84,IF($A$7="Company assumptions",BZ101,BZ118)))</f>
        <v>63.339801906198794</v>
      </c>
      <c r="CA12" s="577">
        <f t="shared" si="9"/>
        <v>63.732017561818971</v>
      </c>
      <c r="CB12" s="577">
        <f t="shared" si="9"/>
        <v>64.126661913391516</v>
      </c>
      <c r="CC12" s="577">
        <f t="shared" si="9"/>
        <v>64.523750000000021</v>
      </c>
      <c r="CD12" s="618">
        <f>AVERAGE(BZ12:CC12)</f>
        <v>63.930557845352325</v>
      </c>
      <c r="CE12" s="5"/>
      <c r="CF12" s="5"/>
      <c r="CG12" s="47" t="s">
        <v>948</v>
      </c>
      <c r="CH12" s="47"/>
      <c r="CI12" s="47"/>
      <c r="CJ12" s="142">
        <f>CORREL($CH$15:$CH$62,CJ15:CJ62)^2</f>
        <v>0.97984989893567698</v>
      </c>
      <c r="CK12" s="608">
        <f>CORREL($CH$15:$CH$62,CK15:CK62)^2</f>
        <v>0.97293456695849112</v>
      </c>
      <c r="CL12" s="142">
        <f>CORREL($CH$15:$CH$62,CL15:CL62)^2</f>
        <v>0.98668293950983188</v>
      </c>
      <c r="CM12" s="142">
        <f ca="1">CORREL($CH$15:$CH$62,CM15:CM62)^2</f>
        <v>0.94032531614666526</v>
      </c>
      <c r="CN12" s="142">
        <f>CORREL($CH$15:$CH$62,CN15:CN62)^2</f>
        <v>0.99436850071508742</v>
      </c>
      <c r="CP12" s="47" t="s">
        <v>948</v>
      </c>
      <c r="CQ12" s="47"/>
      <c r="CR12" s="47"/>
      <c r="CS12" s="47"/>
      <c r="CT12" s="609">
        <f>CORREL($CR$15:$CR$62,CT15:CT62)^2</f>
        <v>0.68336900894989172</v>
      </c>
      <c r="CU12" s="142">
        <f>CORREL($CQ$15:$CQ$62,CU15:CU62)^2</f>
        <v>0.95938503438939005</v>
      </c>
      <c r="CV12" s="142">
        <f>CORREL($CR$15:$CR$62,CV15:CV62)^2</f>
        <v>0.81444458986844537</v>
      </c>
      <c r="CW12" s="142">
        <f>CORREL($CQ$15:$CQ$62,CW15:CW62)^2</f>
        <v>0.36073811314909027</v>
      </c>
    </row>
    <row r="13" spans="1:107" ht="12.75" customHeight="1">
      <c r="A13" s="121"/>
      <c r="B13" s="121" t="s">
        <v>3099</v>
      </c>
      <c r="C13" s="110">
        <v>25.89</v>
      </c>
      <c r="D13" s="110">
        <v>26.14</v>
      </c>
      <c r="E13" s="110">
        <v>31.06</v>
      </c>
      <c r="F13" s="618">
        <v>41.49</v>
      </c>
      <c r="G13" s="618">
        <v>56.58</v>
      </c>
      <c r="H13" s="577">
        <v>63.29</v>
      </c>
      <c r="I13" s="577">
        <v>70.459999999999994</v>
      </c>
      <c r="J13" s="577">
        <v>70.44</v>
      </c>
      <c r="K13" s="577">
        <v>59.9</v>
      </c>
      <c r="L13" s="618">
        <v>66.02</v>
      </c>
      <c r="M13" s="577">
        <v>58.05</v>
      </c>
      <c r="N13" s="577">
        <v>64.89</v>
      </c>
      <c r="O13" s="577">
        <v>75.239999999999995</v>
      </c>
      <c r="P13" s="577">
        <v>90.47</v>
      </c>
      <c r="Q13" s="618">
        <v>72.2</v>
      </c>
      <c r="R13" s="577">
        <v>97.86</v>
      </c>
      <c r="S13" s="577">
        <v>123.81</v>
      </c>
      <c r="T13" s="577">
        <v>118.07</v>
      </c>
      <c r="U13" s="577">
        <v>59.13</v>
      </c>
      <c r="V13" s="618">
        <v>100.06</v>
      </c>
      <c r="W13" s="577">
        <v>43.2</v>
      </c>
      <c r="X13" s="577">
        <v>59.71</v>
      </c>
      <c r="Y13" s="577">
        <v>68.12</v>
      </c>
      <c r="Z13" s="577">
        <v>75.97</v>
      </c>
      <c r="AA13" s="618">
        <v>61.92</v>
      </c>
      <c r="AB13" s="577">
        <v>78.84</v>
      </c>
      <c r="AC13" s="577">
        <v>77.81</v>
      </c>
      <c r="AD13" s="577">
        <v>76.05</v>
      </c>
      <c r="AE13" s="577">
        <v>85.13</v>
      </c>
      <c r="AF13" s="618">
        <v>79.45</v>
      </c>
      <c r="AG13" s="577">
        <v>94.49</v>
      </c>
      <c r="AH13" s="577">
        <v>102.22</v>
      </c>
      <c r="AI13" s="577">
        <v>89.48</v>
      </c>
      <c r="AJ13" s="577">
        <v>94.02</v>
      </c>
      <c r="AK13" s="618">
        <f t="shared" si="0"/>
        <v>95.052499999999995</v>
      </c>
      <c r="AL13" s="577">
        <v>103.1</v>
      </c>
      <c r="AM13" s="577">
        <v>93.3</v>
      </c>
      <c r="AN13" s="577">
        <v>92.1</v>
      </c>
      <c r="AO13" s="577">
        <v>88.15</v>
      </c>
      <c r="AP13" s="618">
        <f t="shared" si="1"/>
        <v>94.162499999999994</v>
      </c>
      <c r="AQ13" s="577">
        <v>94.29</v>
      </c>
      <c r="AR13" s="577">
        <v>94.07</v>
      </c>
      <c r="AS13" s="577">
        <v>105.79</v>
      </c>
      <c r="AT13" s="577">
        <v>97.59</v>
      </c>
      <c r="AU13" s="618">
        <f t="shared" si="2"/>
        <v>97.935000000000002</v>
      </c>
      <c r="AV13" s="577">
        <v>98.69</v>
      </c>
      <c r="AW13" s="577">
        <v>103.05</v>
      </c>
      <c r="AX13" s="577">
        <v>97.56</v>
      </c>
      <c r="AY13" s="577">
        <v>73.62</v>
      </c>
      <c r="AZ13" s="618">
        <f t="shared" si="3"/>
        <v>93.23</v>
      </c>
      <c r="BA13" s="577">
        <v>48.49</v>
      </c>
      <c r="BB13" s="577">
        <v>57.85</v>
      </c>
      <c r="BC13" s="577">
        <v>46.45</v>
      </c>
      <c r="BD13" s="577">
        <v>42.07</v>
      </c>
      <c r="BE13" s="618">
        <f t="shared" si="4"/>
        <v>48.715000000000003</v>
      </c>
      <c r="BF13" s="577">
        <v>33.450000000000003</v>
      </c>
      <c r="BG13" s="577">
        <v>45.53</v>
      </c>
      <c r="BH13" s="577">
        <v>44.88</v>
      </c>
      <c r="BI13" s="577">
        <v>49.23</v>
      </c>
      <c r="BJ13" s="618">
        <f t="shared" si="5"/>
        <v>43.272500000000001</v>
      </c>
      <c r="BK13" s="577">
        <v>51.7</v>
      </c>
      <c r="BL13" s="577">
        <v>48.11</v>
      </c>
      <c r="BM13" s="577">
        <v>48.18</v>
      </c>
      <c r="BN13" s="577">
        <v>55.23</v>
      </c>
      <c r="BO13" s="618">
        <f t="shared" si="6"/>
        <v>50.805</v>
      </c>
      <c r="BP13" s="577">
        <f t="shared" si="7"/>
        <v>62.910000000000004</v>
      </c>
      <c r="BQ13" s="577">
        <f t="shared" si="7"/>
        <v>63.19</v>
      </c>
      <c r="BR13" s="577">
        <f t="shared" si="7"/>
        <v>62.08</v>
      </c>
      <c r="BS13" s="577">
        <f t="shared" si="7"/>
        <v>60.75</v>
      </c>
      <c r="BT13" s="618">
        <f>AVERAGE(BP13:BS13)</f>
        <v>62.232500000000002</v>
      </c>
      <c r="BU13" s="577">
        <f t="shared" si="8"/>
        <v>58</v>
      </c>
      <c r="BV13" s="577">
        <f t="shared" si="8"/>
        <v>58</v>
      </c>
      <c r="BW13" s="577">
        <f t="shared" si="8"/>
        <v>58</v>
      </c>
      <c r="BX13" s="577">
        <f t="shared" si="8"/>
        <v>58</v>
      </c>
      <c r="BY13" s="618">
        <f>AVERAGE(BU13:BX13)</f>
        <v>58</v>
      </c>
      <c r="BZ13" s="577">
        <f t="shared" si="9"/>
        <v>58.359150286886894</v>
      </c>
      <c r="CA13" s="577">
        <f t="shared" si="9"/>
        <v>58.720524520818117</v>
      </c>
      <c r="CB13" s="577">
        <f t="shared" si="9"/>
        <v>59.084136473021573</v>
      </c>
      <c r="CC13" s="577">
        <f t="shared" si="9"/>
        <v>59.450000000000024</v>
      </c>
      <c r="CD13" s="618">
        <f>AVERAGE(BZ13:CC13)</f>
        <v>58.903452820181649</v>
      </c>
      <c r="CE13" s="5"/>
      <c r="CF13" s="5"/>
      <c r="CG13" s="47"/>
      <c r="CH13" s="47"/>
      <c r="CI13" s="47"/>
      <c r="CJ13" s="562"/>
      <c r="CK13" s="562"/>
      <c r="CL13" s="562"/>
      <c r="CM13" s="562"/>
      <c r="CN13" s="562"/>
      <c r="CO13" s="632"/>
      <c r="CP13" s="498"/>
      <c r="CQ13" s="498"/>
      <c r="CR13" s="498"/>
      <c r="CS13" s="498"/>
      <c r="CT13" s="562"/>
      <c r="CU13" s="562"/>
      <c r="CV13" s="562"/>
      <c r="CW13" s="562"/>
    </row>
    <row r="14" spans="1:107" ht="12.75" customHeight="1">
      <c r="A14" s="121"/>
      <c r="B14" s="121" t="s">
        <v>2313</v>
      </c>
      <c r="C14" s="110">
        <v>23.18</v>
      </c>
      <c r="D14" s="110">
        <v>24.77</v>
      </c>
      <c r="E14" s="110">
        <v>29.59</v>
      </c>
      <c r="F14" s="618">
        <v>38.96</v>
      </c>
      <c r="G14" s="618">
        <v>53.55</v>
      </c>
      <c r="H14" s="577">
        <v>60.89</v>
      </c>
      <c r="I14" s="577">
        <v>68.84</v>
      </c>
      <c r="J14" s="577">
        <v>69.02</v>
      </c>
      <c r="K14" s="577">
        <v>55.47</v>
      </c>
      <c r="L14" s="618">
        <v>63.57</v>
      </c>
      <c r="M14" s="577">
        <v>55.78</v>
      </c>
      <c r="N14" s="577">
        <v>65.77</v>
      </c>
      <c r="O14" s="577">
        <v>76.31</v>
      </c>
      <c r="P14" s="577">
        <v>88.65</v>
      </c>
      <c r="Q14" s="618">
        <v>71.680000000000007</v>
      </c>
      <c r="R14" s="577">
        <v>96.53</v>
      </c>
      <c r="S14" s="577">
        <v>123.61</v>
      </c>
      <c r="T14" s="577">
        <v>117.16</v>
      </c>
      <c r="U14" s="577">
        <v>56.7</v>
      </c>
      <c r="V14" s="618">
        <v>98.86</v>
      </c>
      <c r="W14" s="577">
        <v>45.4</v>
      </c>
      <c r="X14" s="577">
        <v>59.1</v>
      </c>
      <c r="Y14" s="577">
        <v>69.069999999999993</v>
      </c>
      <c r="Z14" s="577">
        <v>75.739999999999995</v>
      </c>
      <c r="AA14" s="618">
        <v>62.49</v>
      </c>
      <c r="AB14" s="577">
        <v>79.14</v>
      </c>
      <c r="AC14" s="577">
        <v>78.31</v>
      </c>
      <c r="AD14" s="577">
        <v>76.37</v>
      </c>
      <c r="AE14" s="577">
        <v>85.92</v>
      </c>
      <c r="AF14" s="618">
        <v>79.92</v>
      </c>
      <c r="AG14" s="577">
        <v>103.22</v>
      </c>
      <c r="AH14" s="577">
        <v>115.26</v>
      </c>
      <c r="AI14" s="577">
        <v>111.5</v>
      </c>
      <c r="AJ14" s="577">
        <v>110.3</v>
      </c>
      <c r="AK14" s="618">
        <f t="shared" si="0"/>
        <v>110.07000000000001</v>
      </c>
      <c r="AL14" s="577">
        <v>118.47</v>
      </c>
      <c r="AM14" s="577">
        <v>109.85</v>
      </c>
      <c r="AN14" s="577">
        <v>109.04</v>
      </c>
      <c r="AO14" s="577">
        <v>107.08</v>
      </c>
      <c r="AP14" s="618">
        <f t="shared" si="1"/>
        <v>111.11</v>
      </c>
      <c r="AQ14" s="577">
        <v>110.97</v>
      </c>
      <c r="AR14" s="577">
        <v>104.53</v>
      </c>
      <c r="AS14" s="577">
        <v>110.52</v>
      </c>
      <c r="AT14" s="577">
        <v>104.8</v>
      </c>
      <c r="AU14" s="618">
        <f t="shared" si="2"/>
        <v>107.705</v>
      </c>
      <c r="AV14" s="577">
        <v>105.73</v>
      </c>
      <c r="AW14" s="577">
        <v>108.05</v>
      </c>
      <c r="AX14" s="577">
        <v>101.47</v>
      </c>
      <c r="AY14" s="577">
        <v>74.66</v>
      </c>
      <c r="AZ14" s="618">
        <f t="shared" si="3"/>
        <v>97.477499999999992</v>
      </c>
      <c r="BA14" s="577">
        <v>51.95</v>
      </c>
      <c r="BB14" s="577">
        <v>62.65</v>
      </c>
      <c r="BC14" s="577">
        <v>51.52</v>
      </c>
      <c r="BD14" s="577">
        <v>43.62</v>
      </c>
      <c r="BE14" s="618">
        <f t="shared" si="4"/>
        <v>52.435000000000002</v>
      </c>
      <c r="BF14" s="577">
        <v>33.979999999999997</v>
      </c>
      <c r="BG14" s="577">
        <v>45.74</v>
      </c>
      <c r="BH14" s="577">
        <v>44.65</v>
      </c>
      <c r="BI14" s="577">
        <v>50.06</v>
      </c>
      <c r="BJ14" s="618">
        <f t="shared" si="5"/>
        <v>43.607500000000002</v>
      </c>
      <c r="BK14" s="577">
        <v>53.82</v>
      </c>
      <c r="BL14" s="577">
        <v>50.61</v>
      </c>
      <c r="BM14" s="577">
        <v>52.04</v>
      </c>
      <c r="BN14" s="577">
        <v>38.74</v>
      </c>
      <c r="BO14" s="618">
        <f t="shared" si="6"/>
        <v>48.802500000000002</v>
      </c>
      <c r="BP14" s="619"/>
      <c r="BQ14" s="619"/>
      <c r="BR14" s="619"/>
      <c r="BS14" s="619"/>
      <c r="BT14" s="619"/>
      <c r="BU14" s="619"/>
      <c r="BV14" s="619"/>
      <c r="BW14" s="619"/>
      <c r="BX14" s="619"/>
      <c r="BY14" s="619"/>
      <c r="BZ14" s="619"/>
      <c r="CA14" s="619"/>
      <c r="CB14" s="619"/>
      <c r="CC14" s="619"/>
      <c r="CD14" s="619"/>
      <c r="CE14" s="5"/>
      <c r="CF14" s="5"/>
      <c r="CG14" s="153" t="s">
        <v>949</v>
      </c>
      <c r="CH14" s="154" t="s">
        <v>950</v>
      </c>
      <c r="CI14" s="154" t="s">
        <v>951</v>
      </c>
      <c r="CJ14" s="154" t="s">
        <v>305</v>
      </c>
      <c r="CK14" s="154" t="s">
        <v>728</v>
      </c>
      <c r="CL14" s="154" t="s">
        <v>2315</v>
      </c>
      <c r="CM14" s="154" t="s">
        <v>1703</v>
      </c>
      <c r="CN14" s="154" t="s">
        <v>2316</v>
      </c>
      <c r="CP14" s="153" t="s">
        <v>949</v>
      </c>
      <c r="CQ14" s="154" t="s">
        <v>2317</v>
      </c>
      <c r="CR14" s="154" t="s">
        <v>2318</v>
      </c>
      <c r="CS14" s="154" t="s">
        <v>958</v>
      </c>
      <c r="CT14" s="154" t="s">
        <v>305</v>
      </c>
      <c r="CU14" s="154" t="s">
        <v>728</v>
      </c>
      <c r="CV14" s="154" t="s">
        <v>2315</v>
      </c>
      <c r="CW14" s="154" t="s">
        <v>2316</v>
      </c>
    </row>
    <row r="15" spans="1:107" ht="12.75" customHeight="1">
      <c r="A15" s="121"/>
      <c r="B15" s="121" t="s">
        <v>618</v>
      </c>
      <c r="C15" s="182"/>
      <c r="D15" s="182"/>
      <c r="E15" s="182"/>
      <c r="F15" s="620"/>
      <c r="G15" s="620"/>
      <c r="H15" s="577">
        <v>58.15</v>
      </c>
      <c r="I15" s="577">
        <v>63.74</v>
      </c>
      <c r="J15" s="577">
        <v>62.92</v>
      </c>
      <c r="K15" s="577">
        <v>53.29</v>
      </c>
      <c r="L15" s="618">
        <v>58.9</v>
      </c>
      <c r="M15" s="577">
        <v>53.22</v>
      </c>
      <c r="N15" s="577">
        <v>62.16</v>
      </c>
      <c r="O15" s="577">
        <v>69.37</v>
      </c>
      <c r="P15" s="577">
        <v>81.38</v>
      </c>
      <c r="Q15" s="618">
        <v>66.58</v>
      </c>
      <c r="R15" s="577">
        <v>90.89</v>
      </c>
      <c r="S15" s="577">
        <v>116.82</v>
      </c>
      <c r="T15" s="577">
        <v>112.85</v>
      </c>
      <c r="U15" s="577">
        <v>53.84</v>
      </c>
      <c r="V15" s="618">
        <v>93.95</v>
      </c>
      <c r="W15" s="577">
        <v>43.83</v>
      </c>
      <c r="X15" s="577">
        <v>57.51</v>
      </c>
      <c r="Y15" s="577">
        <v>66.349999999999994</v>
      </c>
      <c r="Z15" s="577">
        <v>73.680000000000007</v>
      </c>
      <c r="AA15" s="618">
        <v>60.5</v>
      </c>
      <c r="AB15" s="577">
        <v>75.849999999999994</v>
      </c>
      <c r="AC15" s="577">
        <v>77.42</v>
      </c>
      <c r="AD15" s="577">
        <v>74.66</v>
      </c>
      <c r="AE15" s="577">
        <v>84.19</v>
      </c>
      <c r="AF15" s="618">
        <v>78.040000000000006</v>
      </c>
      <c r="AG15" s="577">
        <v>101.95</v>
      </c>
      <c r="AH15" s="577">
        <v>111.68</v>
      </c>
      <c r="AI15" s="577">
        <v>109.54</v>
      </c>
      <c r="AJ15" s="577">
        <v>106.85</v>
      </c>
      <c r="AK15" s="618">
        <f t="shared" si="0"/>
        <v>107.505</v>
      </c>
      <c r="AL15" s="577">
        <v>115.5</v>
      </c>
      <c r="AM15" s="577">
        <v>104.05</v>
      </c>
      <c r="AN15" s="577">
        <v>104.17</v>
      </c>
      <c r="AO15" s="577">
        <v>103.56</v>
      </c>
      <c r="AP15" s="618">
        <f t="shared" si="1"/>
        <v>106.82000000000001</v>
      </c>
      <c r="AQ15" s="577">
        <v>109.1</v>
      </c>
      <c r="AR15" s="577">
        <v>99.41</v>
      </c>
      <c r="AS15" s="577">
        <v>104.77</v>
      </c>
      <c r="AT15" s="577">
        <v>95.98</v>
      </c>
      <c r="AU15" s="618">
        <f t="shared" si="2"/>
        <v>102.315</v>
      </c>
      <c r="AV15" s="577">
        <v>100.83</v>
      </c>
      <c r="AW15" s="577">
        <v>100.7</v>
      </c>
      <c r="AX15" s="577">
        <v>97.34</v>
      </c>
      <c r="AY15" s="577">
        <v>72.69</v>
      </c>
      <c r="AZ15" s="618">
        <f t="shared" si="3"/>
        <v>92.89</v>
      </c>
      <c r="BA15" s="577">
        <v>49.15</v>
      </c>
      <c r="BB15" s="577">
        <v>59.57</v>
      </c>
      <c r="BC15" s="577">
        <v>45.34</v>
      </c>
      <c r="BD15" s="577">
        <v>38.79</v>
      </c>
      <c r="BE15" s="618">
        <f t="shared" si="4"/>
        <v>48.212499999999999</v>
      </c>
      <c r="BF15" s="577">
        <v>30.14</v>
      </c>
      <c r="BG15" s="577">
        <v>42.08</v>
      </c>
      <c r="BH15" s="577">
        <v>41.83</v>
      </c>
      <c r="BI15" s="577">
        <v>46.23</v>
      </c>
      <c r="BJ15" s="618">
        <f t="shared" si="5"/>
        <v>40.07</v>
      </c>
      <c r="BK15" s="577">
        <v>49.59</v>
      </c>
      <c r="BL15" s="577">
        <v>46.92</v>
      </c>
      <c r="BM15" s="577">
        <v>48.46</v>
      </c>
      <c r="BN15" s="577">
        <v>57.7</v>
      </c>
      <c r="BO15" s="618">
        <f t="shared" si="6"/>
        <v>50.667500000000004</v>
      </c>
      <c r="BP15" s="619"/>
      <c r="BQ15" s="619"/>
      <c r="BR15" s="619"/>
      <c r="BS15" s="619"/>
      <c r="BT15" s="619"/>
      <c r="BU15" s="619"/>
      <c r="BV15" s="619"/>
      <c r="BW15" s="619"/>
      <c r="BX15" s="619"/>
      <c r="BY15" s="619"/>
      <c r="BZ15" s="619"/>
      <c r="CA15" s="619"/>
      <c r="CB15" s="619"/>
      <c r="CC15" s="619"/>
      <c r="CD15" s="619"/>
      <c r="CE15" s="5"/>
      <c r="CF15" s="5"/>
      <c r="CG15" s="47" t="s">
        <v>714</v>
      </c>
      <c r="CH15" s="155">
        <f>HLOOKUP($CG15,$A$9:$CD$45,4,FALSE)</f>
        <v>61.79</v>
      </c>
      <c r="CI15" s="155">
        <f t="shared" ref="CI15:CI61" si="10">HLOOKUP($CG15,$A$9:$CD$45,5,FALSE)</f>
        <v>63.29</v>
      </c>
      <c r="CJ15" s="155">
        <f t="shared" ref="CJ15:CJ61" si="11">HLOOKUP($CG15,$A$9:$CD$45,16,FALSE)</f>
        <v>60</v>
      </c>
      <c r="CK15" s="155">
        <f t="shared" ref="CK15:CK61" si="12">HLOOKUP($CG15,$A$9:$CD$45,15,FALSE)</f>
        <v>53.79</v>
      </c>
      <c r="CL15" s="155">
        <f t="shared" ref="CL15:CL61" si="13">HLOOKUP($CG15,$A$9:$CD$45,17,FALSE)</f>
        <v>55.02</v>
      </c>
      <c r="CM15" s="155">
        <f>HLOOKUP(CG15,$A$9:$CD$17,9,FALSE)</f>
        <v>35.270000000000003</v>
      </c>
      <c r="CN15" s="155">
        <f t="shared" ref="CN15:CN61" si="14">HLOOKUP($CG15,$A$9:$CD$45,18,FALSE)</f>
        <v>55.88</v>
      </c>
      <c r="CP15" s="47" t="s">
        <v>714</v>
      </c>
      <c r="CQ15" s="155">
        <f t="shared" ref="CQ15:CQ61" si="15">HLOOKUP($CP15,$A$9:$CD$45,11,FALSE)</f>
        <v>9.01</v>
      </c>
      <c r="CR15" s="155">
        <v>61.8</v>
      </c>
      <c r="CS15" s="155">
        <f>HLOOKUP(CP15,$A$9:$CD$20,12,FALSE)</f>
        <v>70</v>
      </c>
      <c r="CT15" s="155">
        <f t="shared" ref="CT15:CT61" si="16">HLOOKUP($CP15,$A$9:$CD$45,23,FALSE)</f>
        <v>7.87</v>
      </c>
      <c r="CU15" s="155">
        <f t="shared" ref="CU15:CU61" si="17">HLOOKUP($CP15,$A$9:$CD$44,22,FALSE)</f>
        <v>6.91</v>
      </c>
      <c r="CV15" s="155">
        <f t="shared" ref="CV15:CV61" si="18">HLOOKUP($CP15,$A$9:$CD$44,24,FALSE)</f>
        <v>3.94</v>
      </c>
      <c r="CW15" s="155">
        <f t="shared" ref="CW15:CW61" si="19">HLOOKUP($CP15,$A$9:$CD$44,25,FALSE)</f>
        <v>5.54</v>
      </c>
      <c r="CY15" s="440"/>
      <c r="CZ15" s="440"/>
      <c r="DB15" s="440"/>
      <c r="DC15" s="440"/>
    </row>
    <row r="16" spans="1:107" ht="12.75" customHeight="1">
      <c r="A16" s="121"/>
      <c r="B16" s="121" t="s">
        <v>2314</v>
      </c>
      <c r="C16" s="182"/>
      <c r="D16" s="182"/>
      <c r="E16" s="182"/>
      <c r="F16" s="618">
        <v>34.08</v>
      </c>
      <c r="G16" s="618">
        <v>50.29</v>
      </c>
      <c r="H16" s="577">
        <v>58.26</v>
      </c>
      <c r="I16" s="577">
        <v>64.73</v>
      </c>
      <c r="J16" s="577">
        <v>65.900000000000006</v>
      </c>
      <c r="K16" s="577">
        <v>56.06</v>
      </c>
      <c r="L16" s="618">
        <v>61.22</v>
      </c>
      <c r="M16" s="577">
        <v>54.36</v>
      </c>
      <c r="N16" s="577">
        <v>65.03</v>
      </c>
      <c r="O16" s="577">
        <v>71.98</v>
      </c>
      <c r="P16" s="577">
        <v>85.41</v>
      </c>
      <c r="Q16" s="618">
        <v>69.16</v>
      </c>
      <c r="R16" s="577">
        <v>93.35</v>
      </c>
      <c r="S16" s="577">
        <v>117.47</v>
      </c>
      <c r="T16" s="577">
        <v>113.32</v>
      </c>
      <c r="U16" s="577">
        <v>54.58</v>
      </c>
      <c r="V16" s="618">
        <v>94.83</v>
      </c>
      <c r="W16" s="577">
        <v>43.65</v>
      </c>
      <c r="X16" s="577">
        <v>58.46</v>
      </c>
      <c r="Y16" s="577">
        <v>67.760000000000005</v>
      </c>
      <c r="Z16" s="577">
        <v>74.209999999999994</v>
      </c>
      <c r="AA16" s="618">
        <v>61.15</v>
      </c>
      <c r="AB16" s="577">
        <v>75.31</v>
      </c>
      <c r="AC16" s="577">
        <v>76.92</v>
      </c>
      <c r="AD16" s="577">
        <v>75.58</v>
      </c>
      <c r="AE16" s="577">
        <v>85.16</v>
      </c>
      <c r="AF16" s="618">
        <v>78.260000000000005</v>
      </c>
      <c r="AG16" s="577">
        <v>102.55</v>
      </c>
      <c r="AH16" s="577">
        <v>113.73</v>
      </c>
      <c r="AI16" s="577">
        <v>111.52</v>
      </c>
      <c r="AJ16" s="577">
        <v>108.65</v>
      </c>
      <c r="AK16" s="618">
        <f t="shared" si="0"/>
        <v>109.11250000000001</v>
      </c>
      <c r="AL16" s="577">
        <v>116.87</v>
      </c>
      <c r="AM16" s="577">
        <v>106.31</v>
      </c>
      <c r="AN16" s="577">
        <v>108.69</v>
      </c>
      <c r="AO16" s="577">
        <v>108.64</v>
      </c>
      <c r="AP16" s="618">
        <f t="shared" si="1"/>
        <v>110.1275</v>
      </c>
      <c r="AQ16" s="577">
        <v>110.53</v>
      </c>
      <c r="AR16" s="577">
        <v>101.89</v>
      </c>
      <c r="AS16" s="577">
        <v>109.36</v>
      </c>
      <c r="AT16" s="577">
        <v>107.65</v>
      </c>
      <c r="AU16" s="618">
        <f t="shared" si="2"/>
        <v>107.35750000000002</v>
      </c>
      <c r="AV16" s="577">
        <v>106.24</v>
      </c>
      <c r="AW16" s="577">
        <v>107.3</v>
      </c>
      <c r="AX16" s="577">
        <v>100.73</v>
      </c>
      <c r="AY16" s="577">
        <v>75.19</v>
      </c>
      <c r="AZ16" s="618">
        <f t="shared" si="3"/>
        <v>97.364999999999995</v>
      </c>
      <c r="BA16" s="577">
        <v>52.59</v>
      </c>
      <c r="BB16" s="577">
        <v>61.21</v>
      </c>
      <c r="BC16" s="577">
        <v>49.19</v>
      </c>
      <c r="BD16" s="577">
        <v>41.42</v>
      </c>
      <c r="BE16" s="618">
        <f t="shared" si="4"/>
        <v>51.102500000000006</v>
      </c>
      <c r="BF16" s="577">
        <v>31.66</v>
      </c>
      <c r="BG16" s="577">
        <v>43.37</v>
      </c>
      <c r="BH16" s="577">
        <v>43.73</v>
      </c>
      <c r="BI16" s="577">
        <v>47.73</v>
      </c>
      <c r="BJ16" s="618">
        <f t="shared" si="5"/>
        <v>41.622499999999995</v>
      </c>
      <c r="BK16" s="577">
        <v>51.88</v>
      </c>
      <c r="BL16" s="577">
        <v>48.48</v>
      </c>
      <c r="BM16" s="577">
        <v>50.73</v>
      </c>
      <c r="BN16" s="577">
        <v>60.17</v>
      </c>
      <c r="BO16" s="618">
        <f t="shared" si="6"/>
        <v>52.814999999999998</v>
      </c>
      <c r="BP16" s="619"/>
      <c r="BQ16" s="619"/>
      <c r="BR16" s="619"/>
      <c r="BS16" s="619"/>
      <c r="BT16" s="619"/>
      <c r="BU16" s="619"/>
      <c r="BV16" s="619"/>
      <c r="BW16" s="619"/>
      <c r="BX16" s="619"/>
      <c r="BY16" s="619"/>
      <c r="BZ16" s="619"/>
      <c r="CA16" s="619"/>
      <c r="CB16" s="619"/>
      <c r="CC16" s="619"/>
      <c r="CD16" s="619"/>
      <c r="CE16" s="5"/>
      <c r="CF16" s="5"/>
      <c r="CG16" s="47" t="s">
        <v>715</v>
      </c>
      <c r="CH16" s="155">
        <f t="shared" ref="CH16:CH61" si="20">HLOOKUP($CG16,$A$9:$CD$45,4,FALSE)</f>
        <v>69.59</v>
      </c>
      <c r="CI16" s="155">
        <f t="shared" si="10"/>
        <v>70.459999999999994</v>
      </c>
      <c r="CJ16" s="155">
        <f t="shared" si="11"/>
        <v>66.61</v>
      </c>
      <c r="CK16" s="155">
        <f t="shared" si="12"/>
        <v>60.21</v>
      </c>
      <c r="CL16" s="155">
        <f t="shared" si="13"/>
        <v>63</v>
      </c>
      <c r="CM16" s="155">
        <f t="shared" ref="CM16:CM38" si="21">HLOOKUP(CG16,$A$9:$CD$17,9,FALSE)</f>
        <v>36.18</v>
      </c>
      <c r="CN16" s="155">
        <f t="shared" si="14"/>
        <v>62.86</v>
      </c>
      <c r="CP16" s="47" t="s">
        <v>715</v>
      </c>
      <c r="CQ16" s="155">
        <f t="shared" si="15"/>
        <v>6.8</v>
      </c>
      <c r="CR16" s="155">
        <f>AVERAGE(CH15)</f>
        <v>61.79</v>
      </c>
      <c r="CS16" s="155">
        <f t="shared" ref="CS16:CS37" si="22">HLOOKUP(CP16,$A$9:$CD$20,12,FALSE)</f>
        <v>34.549999999999997</v>
      </c>
      <c r="CT16" s="155">
        <f t="shared" si="16"/>
        <v>5.67</v>
      </c>
      <c r="CU16" s="155">
        <f t="shared" si="17"/>
        <v>5.44</v>
      </c>
      <c r="CV16" s="155">
        <f t="shared" si="18"/>
        <v>3.54</v>
      </c>
      <c r="CW16" s="155">
        <f t="shared" si="19"/>
        <v>4.4400000000000004</v>
      </c>
      <c r="CY16" s="440"/>
      <c r="CZ16" s="440"/>
      <c r="DB16" s="440"/>
      <c r="DC16" s="440"/>
    </row>
    <row r="17" spans="1:107" ht="12.75" customHeight="1">
      <c r="A17" s="121"/>
      <c r="B17" s="121" t="s">
        <v>1679</v>
      </c>
      <c r="C17" s="182"/>
      <c r="D17" s="182"/>
      <c r="E17" s="182"/>
      <c r="F17" s="618">
        <v>20.61</v>
      </c>
      <c r="G17" s="618">
        <v>28.77</v>
      </c>
      <c r="H17" s="577">
        <v>35.270000000000003</v>
      </c>
      <c r="I17" s="577">
        <v>36.18</v>
      </c>
      <c r="J17" s="577">
        <v>39.83</v>
      </c>
      <c r="K17" s="577">
        <v>26.33</v>
      </c>
      <c r="L17" s="618">
        <v>34.39</v>
      </c>
      <c r="M17" s="577">
        <v>27.33</v>
      </c>
      <c r="N17" s="577">
        <v>39.56</v>
      </c>
      <c r="O17" s="577">
        <v>41.95</v>
      </c>
      <c r="P17" s="577">
        <v>48.98</v>
      </c>
      <c r="Q17" s="618">
        <v>39.81</v>
      </c>
      <c r="R17" s="577">
        <v>46.86</v>
      </c>
      <c r="S17" s="577">
        <v>63.15</v>
      </c>
      <c r="T17" s="577">
        <v>52.94</v>
      </c>
      <c r="U17" s="577">
        <v>20.010000000000002</v>
      </c>
      <c r="V17" s="618">
        <v>45.59</v>
      </c>
      <c r="W17" s="577">
        <v>19.52</v>
      </c>
      <c r="X17" s="577">
        <v>32.630000000000003</v>
      </c>
      <c r="Y17" s="577">
        <v>35.549999999999997</v>
      </c>
      <c r="Z17" s="577">
        <v>35.83</v>
      </c>
      <c r="AA17" s="618">
        <v>31.32</v>
      </c>
      <c r="AB17" s="577">
        <v>35.520000000000003</v>
      </c>
      <c r="AC17" s="577">
        <v>35.61</v>
      </c>
      <c r="AD17" s="577">
        <v>35.94</v>
      </c>
      <c r="AE17" s="577">
        <v>40.619999999999997</v>
      </c>
      <c r="AF17" s="618">
        <v>36.96</v>
      </c>
      <c r="AG17" s="577">
        <v>49.18</v>
      </c>
      <c r="AH17" s="577">
        <v>50.26</v>
      </c>
      <c r="AI17" s="577">
        <v>49.12</v>
      </c>
      <c r="AJ17" s="577">
        <v>49.69</v>
      </c>
      <c r="AK17" s="618">
        <f t="shared" si="0"/>
        <v>49.5625</v>
      </c>
      <c r="AL17" s="577">
        <v>58.2</v>
      </c>
      <c r="AM17" s="577">
        <v>48.22</v>
      </c>
      <c r="AN17" s="577">
        <v>55.24</v>
      </c>
      <c r="AO17" s="577">
        <v>54.03</v>
      </c>
      <c r="AP17" s="618">
        <f t="shared" si="1"/>
        <v>53.922499999999999</v>
      </c>
      <c r="AQ17" s="577">
        <v>55.24</v>
      </c>
      <c r="AR17" s="577">
        <v>51.28</v>
      </c>
      <c r="AS17" s="577">
        <v>57.11</v>
      </c>
      <c r="AT17" s="577">
        <v>55.95</v>
      </c>
      <c r="AU17" s="618">
        <f t="shared" si="2"/>
        <v>54.894999999999996</v>
      </c>
      <c r="AV17" s="577">
        <v>54.55</v>
      </c>
      <c r="AW17" s="577">
        <v>57.51</v>
      </c>
      <c r="AX17" s="577">
        <v>51.42</v>
      </c>
      <c r="AY17" s="577">
        <v>38.79</v>
      </c>
      <c r="AZ17" s="618">
        <f t="shared" si="3"/>
        <v>50.567500000000003</v>
      </c>
      <c r="BA17" s="577">
        <f ca="1">IF($A$7="Forward curve",BA69,IF($A$7="Custom case",BA86,IF($A$7="Company assumptions",BA103,BA120)))</f>
        <v>27.29736072862314</v>
      </c>
      <c r="BB17" s="577">
        <f ca="1">IF($A$7="Forward curve",BB69,IF($A$7="Custom case",BB86,IF($A$7="Company assumptions",BB103,BB120)))</f>
        <v>31.025322719298448</v>
      </c>
      <c r="BC17" s="577">
        <f ca="1">IF($A$7="Forward curve",BC69,IF($A$7="Custom case",BC86,IF($A$7="Company assumptions",BC103,BC120)))</f>
        <v>25.668138045040859</v>
      </c>
      <c r="BD17" s="577">
        <f ca="1">IF($A$7="Forward curve",BD69,IF($A$7="Custom case",BD86,IF($A$7="Company assumptions",BD103,BD120)))</f>
        <v>22.517681501283768</v>
      </c>
      <c r="BE17" s="618">
        <f t="shared" ca="1" si="4"/>
        <v>26.627125748561554</v>
      </c>
      <c r="BF17" s="577">
        <f ca="1">IF($A$7="Forward curve",BF69,IF($A$7="Custom case",BF86,IF($A$7="Company assumptions",BF103,BF120)))</f>
        <v>17.907028258408268</v>
      </c>
      <c r="BG17" s="577">
        <f ca="1">IF($A$7="Forward curve",BG69,IF($A$7="Custom case",BG86,IF($A$7="Company assumptions",BG103,BG120)))</f>
        <v>23.376896922308433</v>
      </c>
      <c r="BH17" s="577">
        <f ca="1">IF($A$7="Forward curve",BH69,IF($A$7="Custom case",BH86,IF($A$7="Company assumptions",BH103,BH120)))</f>
        <v>23.503666410656333</v>
      </c>
      <c r="BI17" s="577">
        <f ca="1">IF($A$7="Forward curve",BI69,IF($A$7="Custom case",BI86,IF($A$7="Company assumptions",BI103,BI120)))</f>
        <v>25.132889094238614</v>
      </c>
      <c r="BJ17" s="618">
        <f t="shared" ca="1" si="5"/>
        <v>22.480120171402909</v>
      </c>
      <c r="BK17" s="577">
        <f ca="1">IF($A$7="Forward curve",BK69,IF($A$7="Custom case",BK86,IF($A$7="Company assumptions",BK103,BK120)))</f>
        <v>27.179981572745454</v>
      </c>
      <c r="BL17" s="577">
        <f ca="1">IF($A$7="Forward curve",BL69,IF($A$7="Custom case",BL86,IF($A$7="Company assumptions",BL103,BL120)))</f>
        <v>25.278439247526943</v>
      </c>
      <c r="BM17" s="577">
        <f ca="1">IF($A$7="Forward curve",BM69,IF($A$7="Custom case",BM86,IF($A$7="Company assumptions",BM103,BM120)))</f>
        <v>26.424059808893158</v>
      </c>
      <c r="BN17" s="577">
        <f ca="1">IF($A$7="Forward curve",BN69,IF($A$7="Custom case",BN86,IF($A$7="Company assumptions",BN103,BN120)))</f>
        <v>30.734222412721785</v>
      </c>
      <c r="BO17" s="618">
        <f t="shared" ca="1" si="6"/>
        <v>27.404175760471837</v>
      </c>
      <c r="BP17" s="577">
        <f ca="1">IF($A$7="Forward curve",BP69,IF($A$7="Custom case",BP86,IF($A$7="Company assumptions",BP103,BP120)))</f>
        <v>33.396381668027708</v>
      </c>
      <c r="BQ17" s="577">
        <f ca="1">IF($A$7="Forward curve",BQ69,IF($A$7="Custom case",BQ86,IF($A$7="Company assumptions",BQ103,BQ120)))</f>
        <v>33.687481974604367</v>
      </c>
      <c r="BR17" s="577">
        <f ca="1">IF($A$7="Forward curve",BR69,IF($A$7="Custom case",BR86,IF($A$7="Company assumptions",BR103,BR120)))</f>
        <v>33.09589102898083</v>
      </c>
      <c r="BS17" s="577">
        <f ca="1">IF($A$7="Forward curve",BS69,IF($A$7="Custom case",BS86,IF($A$7="Company assumptions",BS103,BS120)))</f>
        <v>32.602898574294542</v>
      </c>
      <c r="BT17" s="618">
        <f ca="1">AVERAGE(BP17:BS17)</f>
        <v>33.195663311476864</v>
      </c>
      <c r="BU17" s="577">
        <f ca="1">IF($A$7="Forward curve",BU69,IF($A$7="Custom case",BU86,IF($A$7="Company assumptions",BU103,BU120)))</f>
        <v>31.527705506454943</v>
      </c>
      <c r="BV17" s="577">
        <f ca="1">IF($A$7="Forward curve",BV69,IF($A$7="Custom case",BV86,IF($A$7="Company assumptions",BV103,BV120)))</f>
        <v>31.527705506454943</v>
      </c>
      <c r="BW17" s="577">
        <f ca="1">IF($A$7="Forward curve",BW69,IF($A$7="Custom case",BW86,IF($A$7="Company assumptions",BW103,BW120)))</f>
        <v>31.527705506454943</v>
      </c>
      <c r="BX17" s="577">
        <f ca="1">IF($A$7="Forward curve",BX69,IF($A$7="Custom case",BX86,IF($A$7="Company assumptions",BX103,BX120)))</f>
        <v>31.527705506454943</v>
      </c>
      <c r="BY17" s="618">
        <f ca="1">AVERAGE(BU17:BX17)</f>
        <v>31.527705506454943</v>
      </c>
      <c r="BZ17" s="577">
        <f ca="1">IF($A$7="Forward curve",BZ69,IF($A$7="Custom case",BZ86,IF($A$7="Company assumptions",BZ103,BZ120)))</f>
        <v>31.710723981291451</v>
      </c>
      <c r="CA17" s="577">
        <f ca="1">IF($A$7="Forward curve",CA69,IF($A$7="Custom case",CA86,IF($A$7="Company assumptions",CA103,CA120)))</f>
        <v>31.894875751606289</v>
      </c>
      <c r="CB17" s="577">
        <f ca="1">IF($A$7="Forward curve",CB69,IF($A$7="Custom case",CB86,IF($A$7="Company assumptions",CB103,CB120)))</f>
        <v>32.080167835044222</v>
      </c>
      <c r="CC17" s="577">
        <f ca="1">IF($A$7="Forward curve",CC69,IF($A$7="Custom case",CC86,IF($A$7="Company assumptions",CC103,CC120)))</f>
        <v>32.26660729270499</v>
      </c>
      <c r="CD17" s="618">
        <f ca="1">AVERAGE(BZ17:CC17)</f>
        <v>31.988093715161739</v>
      </c>
      <c r="CE17" s="5"/>
      <c r="CF17" s="5"/>
      <c r="CG17" s="47" t="s">
        <v>716</v>
      </c>
      <c r="CH17" s="155">
        <f t="shared" si="20"/>
        <v>69.599999999999994</v>
      </c>
      <c r="CI17" s="155">
        <f t="shared" si="10"/>
        <v>70.44</v>
      </c>
      <c r="CJ17" s="155">
        <f t="shared" si="11"/>
        <v>63.57</v>
      </c>
      <c r="CK17" s="155">
        <f t="shared" si="12"/>
        <v>62.95</v>
      </c>
      <c r="CL17" s="155">
        <f t="shared" si="13"/>
        <v>65.5</v>
      </c>
      <c r="CM17" s="155">
        <f t="shared" si="21"/>
        <v>39.83</v>
      </c>
      <c r="CN17" s="155">
        <f t="shared" si="14"/>
        <v>64.150000000000006</v>
      </c>
      <c r="CP17" s="47" t="s">
        <v>716</v>
      </c>
      <c r="CQ17" s="155">
        <f t="shared" si="15"/>
        <v>6.58</v>
      </c>
      <c r="CR17" s="155">
        <f t="shared" ref="CR17:CR37" si="23">AVERAGE(CH15:CH16)</f>
        <v>65.69</v>
      </c>
      <c r="CS17" s="155">
        <f t="shared" si="22"/>
        <v>33.72</v>
      </c>
      <c r="CT17" s="155">
        <f t="shared" si="16"/>
        <v>5.55</v>
      </c>
      <c r="CU17" s="155">
        <f t="shared" si="17"/>
        <v>5.51</v>
      </c>
      <c r="CV17" s="155">
        <f t="shared" si="18"/>
        <v>3.62</v>
      </c>
      <c r="CW17" s="155">
        <f t="shared" si="19"/>
        <v>4.49</v>
      </c>
      <c r="CY17" s="440"/>
      <c r="CZ17" s="440"/>
      <c r="DB17" s="440"/>
      <c r="DC17" s="440"/>
    </row>
    <row r="18" spans="1:107" ht="12.75" customHeight="1">
      <c r="A18" s="121"/>
      <c r="B18" s="121"/>
      <c r="C18" s="108"/>
      <c r="D18" s="108"/>
      <c r="E18" s="108"/>
      <c r="F18" s="618"/>
      <c r="G18" s="618"/>
      <c r="H18" s="577"/>
      <c r="I18" s="577"/>
      <c r="J18" s="577"/>
      <c r="K18" s="577"/>
      <c r="L18" s="618"/>
      <c r="M18" s="577"/>
      <c r="N18" s="577"/>
      <c r="O18" s="577"/>
      <c r="P18" s="577"/>
      <c r="Q18" s="618"/>
      <c r="R18" s="577"/>
      <c r="S18" s="577"/>
      <c r="T18" s="577"/>
      <c r="U18" s="577"/>
      <c r="V18" s="618"/>
      <c r="W18" s="577"/>
      <c r="X18" s="577"/>
      <c r="Y18" s="577"/>
      <c r="Z18" s="577"/>
      <c r="AA18" s="618"/>
      <c r="AB18" s="577"/>
      <c r="AC18" s="577"/>
      <c r="AD18" s="577"/>
      <c r="AE18" s="577"/>
      <c r="AF18" s="618"/>
      <c r="AG18" s="577"/>
      <c r="AH18" s="577"/>
      <c r="AI18" s="618"/>
      <c r="AJ18" s="618"/>
      <c r="AK18" s="618"/>
      <c r="AL18" s="618"/>
      <c r="AM18" s="618"/>
      <c r="AN18" s="618"/>
      <c r="AO18" s="618"/>
      <c r="AP18" s="618"/>
      <c r="AQ18" s="618"/>
      <c r="AR18" s="618"/>
      <c r="AS18" s="618"/>
      <c r="AT18" s="618"/>
      <c r="AU18" s="618"/>
      <c r="AV18" s="618"/>
      <c r="AW18" s="618"/>
      <c r="AX18" s="618"/>
      <c r="AY18" s="618"/>
      <c r="AZ18" s="618"/>
      <c r="BA18" s="618"/>
      <c r="BB18" s="618"/>
      <c r="BC18" s="618"/>
      <c r="BD18" s="618"/>
      <c r="BE18" s="618"/>
      <c r="BF18" s="618"/>
      <c r="BG18" s="618"/>
      <c r="BH18" s="618"/>
      <c r="BI18" s="618"/>
      <c r="BJ18" s="618"/>
      <c r="BK18" s="618"/>
      <c r="BL18" s="618"/>
      <c r="BM18" s="618"/>
      <c r="BN18" s="618"/>
      <c r="BO18" s="618"/>
      <c r="BP18" s="618"/>
      <c r="BQ18" s="618"/>
      <c r="BR18" s="618"/>
      <c r="BS18" s="618"/>
      <c r="BT18" s="618"/>
      <c r="BU18" s="618"/>
      <c r="BV18" s="618"/>
      <c r="BW18" s="618"/>
      <c r="BX18" s="618"/>
      <c r="BY18" s="618"/>
      <c r="BZ18" s="618"/>
      <c r="CA18" s="618"/>
      <c r="CB18" s="618"/>
      <c r="CC18" s="618"/>
      <c r="CD18" s="618"/>
      <c r="CE18" s="5"/>
      <c r="CF18" s="5"/>
      <c r="CG18" s="47" t="s">
        <v>717</v>
      </c>
      <c r="CH18" s="155">
        <f t="shared" si="20"/>
        <v>59.6</v>
      </c>
      <c r="CI18" s="155">
        <f t="shared" si="10"/>
        <v>59.9</v>
      </c>
      <c r="CJ18" s="155">
        <f t="shared" si="11"/>
        <v>56.18</v>
      </c>
      <c r="CK18" s="155">
        <f t="shared" si="12"/>
        <v>52.11</v>
      </c>
      <c r="CL18" s="155">
        <f t="shared" si="13"/>
        <v>54.63</v>
      </c>
      <c r="CM18" s="155">
        <f t="shared" si="21"/>
        <v>26.33</v>
      </c>
      <c r="CN18" s="155">
        <f t="shared" si="14"/>
        <v>54.13</v>
      </c>
      <c r="CP18" s="47" t="s">
        <v>717</v>
      </c>
      <c r="CQ18" s="155">
        <f t="shared" si="15"/>
        <v>6.56</v>
      </c>
      <c r="CR18" s="155">
        <f t="shared" si="23"/>
        <v>69.594999999999999</v>
      </c>
      <c r="CS18" s="155">
        <f t="shared" si="22"/>
        <v>29.92</v>
      </c>
      <c r="CT18" s="155">
        <f t="shared" si="16"/>
        <v>5.61</v>
      </c>
      <c r="CU18" s="155">
        <f t="shared" si="17"/>
        <v>5.03</v>
      </c>
      <c r="CV18" s="155">
        <f t="shared" si="18"/>
        <v>3.7</v>
      </c>
      <c r="CW18" s="155">
        <f t="shared" si="19"/>
        <v>4.38</v>
      </c>
      <c r="CY18" s="440"/>
      <c r="CZ18" s="440"/>
      <c r="DB18" s="440"/>
      <c r="DC18" s="440"/>
    </row>
    <row r="19" spans="1:107" ht="12.75" customHeight="1">
      <c r="A19" s="121"/>
      <c r="B19" s="121" t="s">
        <v>3100</v>
      </c>
      <c r="C19" s="110">
        <v>4.26</v>
      </c>
      <c r="D19" s="110">
        <v>3.22</v>
      </c>
      <c r="E19" s="110">
        <v>5.37</v>
      </c>
      <c r="F19" s="618">
        <v>6.13</v>
      </c>
      <c r="G19" s="618">
        <v>8.65</v>
      </c>
      <c r="H19" s="577">
        <v>9.01</v>
      </c>
      <c r="I19" s="577">
        <v>6.8</v>
      </c>
      <c r="J19" s="577">
        <v>6.58</v>
      </c>
      <c r="K19" s="577">
        <v>6.56</v>
      </c>
      <c r="L19" s="618">
        <v>7.24</v>
      </c>
      <c r="M19" s="577">
        <v>6.77</v>
      </c>
      <c r="N19" s="577">
        <v>7.55</v>
      </c>
      <c r="O19" s="577">
        <v>6.16</v>
      </c>
      <c r="P19" s="577">
        <v>6.97</v>
      </c>
      <c r="Q19" s="618">
        <v>6.86</v>
      </c>
      <c r="R19" s="577">
        <v>8.0299999999999994</v>
      </c>
      <c r="S19" s="577">
        <v>10.94</v>
      </c>
      <c r="T19" s="577">
        <v>10.25</v>
      </c>
      <c r="U19" s="577">
        <v>6.95</v>
      </c>
      <c r="V19" s="618">
        <v>9.0399999999999991</v>
      </c>
      <c r="W19" s="577">
        <v>4.91</v>
      </c>
      <c r="X19" s="577">
        <v>3.51</v>
      </c>
      <c r="Y19" s="577">
        <v>3.39</v>
      </c>
      <c r="Z19" s="577">
        <v>4.16</v>
      </c>
      <c r="AA19" s="618">
        <v>3.99</v>
      </c>
      <c r="AB19" s="577">
        <v>5.3</v>
      </c>
      <c r="AC19" s="577">
        <v>4.09</v>
      </c>
      <c r="AD19" s="577">
        <v>4.38</v>
      </c>
      <c r="AE19" s="577">
        <v>3.8</v>
      </c>
      <c r="AF19" s="618">
        <v>4.3899999999999997</v>
      </c>
      <c r="AG19" s="577">
        <v>4.1100000000000003</v>
      </c>
      <c r="AH19" s="577">
        <v>4.32</v>
      </c>
      <c r="AI19" s="577">
        <v>4.2</v>
      </c>
      <c r="AJ19" s="577">
        <v>3.54</v>
      </c>
      <c r="AK19" s="618">
        <f>AVERAGE(AG19:AJ19)</f>
        <v>4.0424999999999995</v>
      </c>
      <c r="AL19" s="577">
        <v>2.72</v>
      </c>
      <c r="AM19" s="577">
        <v>2.21</v>
      </c>
      <c r="AN19" s="577">
        <v>2.8</v>
      </c>
      <c r="AO19" s="577">
        <v>3.41</v>
      </c>
      <c r="AP19" s="618">
        <f>AVERAGE(AL19:AO19)</f>
        <v>2.7850000000000001</v>
      </c>
      <c r="AQ19" s="577">
        <v>3.34</v>
      </c>
      <c r="AR19" s="577">
        <v>4.0999999999999996</v>
      </c>
      <c r="AS19" s="577">
        <v>3.58</v>
      </c>
      <c r="AT19" s="577">
        <v>3.6</v>
      </c>
      <c r="AU19" s="618">
        <f>AVERAGE(AQ19:AT19)</f>
        <v>3.6549999999999998</v>
      </c>
      <c r="AV19" s="577">
        <v>4.95</v>
      </c>
      <c r="AW19" s="577">
        <v>4.68</v>
      </c>
      <c r="AX19" s="577">
        <v>4.07</v>
      </c>
      <c r="AY19" s="577">
        <v>4.04</v>
      </c>
      <c r="AZ19" s="618">
        <f>AVERAGE(AV19:AY19)</f>
        <v>4.4349999999999996</v>
      </c>
      <c r="BA19" s="577">
        <v>2.99</v>
      </c>
      <c r="BB19" s="577">
        <v>2.65</v>
      </c>
      <c r="BC19" s="577">
        <v>2.77</v>
      </c>
      <c r="BD19" s="577">
        <v>2.27</v>
      </c>
      <c r="BE19" s="618">
        <f>AVERAGE(BA19:BD19)</f>
        <v>2.67</v>
      </c>
      <c r="BF19" s="577">
        <v>2.09</v>
      </c>
      <c r="BG19" s="577">
        <v>1.95</v>
      </c>
      <c r="BH19" s="577">
        <v>2.81</v>
      </c>
      <c r="BI19" s="577">
        <v>2.98</v>
      </c>
      <c r="BJ19" s="618">
        <f>AVERAGE(BF19:BI19)</f>
        <v>2.4575</v>
      </c>
      <c r="BK19" s="577">
        <v>3.32</v>
      </c>
      <c r="BL19" s="577">
        <v>3.19</v>
      </c>
      <c r="BM19" s="577">
        <v>2.99</v>
      </c>
      <c r="BN19" s="577">
        <v>2.93</v>
      </c>
      <c r="BO19" s="618">
        <f>AVERAGE(BK19:BN19)</f>
        <v>3.1074999999999999</v>
      </c>
      <c r="BP19" s="577">
        <f t="shared" ref="BP19:BS20" si="24">IF($A$7="Forward curve",BP70,IF($A$7="Custom case",BP87,IF($A$7="Company assumptions",BP104,BP121)))</f>
        <v>2.96</v>
      </c>
      <c r="BQ19" s="577">
        <f t="shared" si="24"/>
        <v>2.77</v>
      </c>
      <c r="BR19" s="577">
        <f t="shared" si="24"/>
        <v>2.84</v>
      </c>
      <c r="BS19" s="577">
        <f t="shared" si="24"/>
        <v>3</v>
      </c>
      <c r="BT19" s="618">
        <f>AVERAGE(BP19:BS19)</f>
        <v>2.8925000000000001</v>
      </c>
      <c r="BU19" s="577">
        <f t="shared" ref="BU19:BX20" si="25">IF($A$7="Forward curve",BU70,IF($A$7="Custom case",BU87,IF($A$7="Company assumptions",BU104,BU121)))</f>
        <v>2.79</v>
      </c>
      <c r="BV19" s="577">
        <f t="shared" si="25"/>
        <v>2.79</v>
      </c>
      <c r="BW19" s="577">
        <f t="shared" si="25"/>
        <v>2.79</v>
      </c>
      <c r="BX19" s="577">
        <f t="shared" si="25"/>
        <v>2.79</v>
      </c>
      <c r="BY19" s="618">
        <f>AVERAGE(BU19:BX19)</f>
        <v>2.79</v>
      </c>
      <c r="BZ19" s="577">
        <f t="shared" ref="BZ19:CC20" si="26">IF($A$7="Forward curve",BZ70,IF($A$7="Custom case",BZ87,IF($A$7="Company assumptions",BZ104,BZ121)))</f>
        <v>2.8072763672485248</v>
      </c>
      <c r="CA19" s="577">
        <f t="shared" si="26"/>
        <v>2.8246597140186647</v>
      </c>
      <c r="CB19" s="577">
        <f t="shared" si="26"/>
        <v>2.842150702753969</v>
      </c>
      <c r="CC19" s="577">
        <f t="shared" si="26"/>
        <v>2.8597500000000013</v>
      </c>
      <c r="CD19" s="618">
        <f>AVERAGE(BZ19:CC19)</f>
        <v>2.8334591960052902</v>
      </c>
      <c r="CE19" s="5"/>
      <c r="CF19" s="5"/>
      <c r="CG19" s="47" t="s">
        <v>718</v>
      </c>
      <c r="CH19" s="155">
        <f t="shared" si="20"/>
        <v>57.76</v>
      </c>
      <c r="CI19" s="155">
        <f t="shared" si="10"/>
        <v>58.05</v>
      </c>
      <c r="CJ19" s="155">
        <f t="shared" si="11"/>
        <v>55.35</v>
      </c>
      <c r="CK19" s="155">
        <f t="shared" si="12"/>
        <v>51.62</v>
      </c>
      <c r="CL19" s="155">
        <f t="shared" si="13"/>
        <v>54.09</v>
      </c>
      <c r="CM19" s="155">
        <f t="shared" si="21"/>
        <v>27.33</v>
      </c>
      <c r="CN19" s="155">
        <f t="shared" si="14"/>
        <v>53.43</v>
      </c>
      <c r="CP19" s="47" t="s">
        <v>718</v>
      </c>
      <c r="CQ19" s="155">
        <f t="shared" si="15"/>
        <v>6.77</v>
      </c>
      <c r="CR19" s="155">
        <f t="shared" si="23"/>
        <v>64.599999999999994</v>
      </c>
      <c r="CS19" s="155">
        <f t="shared" si="22"/>
        <v>22.33</v>
      </c>
      <c r="CT19" s="155">
        <f t="shared" si="16"/>
        <v>7.23</v>
      </c>
      <c r="CU19" s="155">
        <f t="shared" si="17"/>
        <v>5.76</v>
      </c>
      <c r="CV19" s="155">
        <f t="shared" si="18"/>
        <v>3.9</v>
      </c>
      <c r="CW19" s="155">
        <f t="shared" si="19"/>
        <v>4.8600000000000003</v>
      </c>
      <c r="CY19" s="440"/>
      <c r="CZ19" s="440"/>
      <c r="DB19" s="440"/>
      <c r="DC19" s="440"/>
    </row>
    <row r="20" spans="1:107" ht="12.75" customHeight="1">
      <c r="A20" s="121"/>
      <c r="B20" s="121" t="s">
        <v>3101</v>
      </c>
      <c r="C20" s="259"/>
      <c r="D20" s="259"/>
      <c r="E20" s="293">
        <v>20.28</v>
      </c>
      <c r="F20" s="618">
        <v>24.39</v>
      </c>
      <c r="G20" s="618">
        <v>40.71</v>
      </c>
      <c r="H20" s="577">
        <v>70</v>
      </c>
      <c r="I20" s="577">
        <v>34.549999999999997</v>
      </c>
      <c r="J20" s="577">
        <v>33.72</v>
      </c>
      <c r="K20" s="577">
        <v>29.92</v>
      </c>
      <c r="L20" s="618">
        <v>42.19</v>
      </c>
      <c r="M20" s="577">
        <v>22.33</v>
      </c>
      <c r="N20" s="577">
        <v>20.239999999999998</v>
      </c>
      <c r="O20" s="577">
        <v>30.58</v>
      </c>
      <c r="P20" s="577">
        <v>46.7</v>
      </c>
      <c r="Q20" s="618">
        <v>29.95</v>
      </c>
      <c r="R20" s="577">
        <v>52.94</v>
      </c>
      <c r="S20" s="577">
        <v>60.72</v>
      </c>
      <c r="T20" s="577">
        <v>61.48</v>
      </c>
      <c r="U20" s="577">
        <v>57.16</v>
      </c>
      <c r="V20" s="618">
        <v>58.12</v>
      </c>
      <c r="W20" s="577">
        <v>46.8</v>
      </c>
      <c r="X20" s="577">
        <v>27.51</v>
      </c>
      <c r="Y20" s="577">
        <v>21.57</v>
      </c>
      <c r="Z20" s="577">
        <v>27.75</v>
      </c>
      <c r="AA20" s="618">
        <v>30.85</v>
      </c>
      <c r="AB20" s="577">
        <v>35.65</v>
      </c>
      <c r="AC20" s="577">
        <v>38.26</v>
      </c>
      <c r="AD20" s="577">
        <v>43.14</v>
      </c>
      <c r="AE20" s="577">
        <v>52.43</v>
      </c>
      <c r="AF20" s="618">
        <v>42.45</v>
      </c>
      <c r="AG20" s="577">
        <v>56.94</v>
      </c>
      <c r="AH20" s="577">
        <v>57.47</v>
      </c>
      <c r="AI20" s="577">
        <v>54.28</v>
      </c>
      <c r="AJ20" s="577">
        <v>56.75</v>
      </c>
      <c r="AK20" s="618">
        <f>AVERAGE(AG20:AJ20)</f>
        <v>56.36</v>
      </c>
      <c r="AL20" s="577">
        <v>59.38</v>
      </c>
      <c r="AM20" s="577">
        <v>57.38</v>
      </c>
      <c r="AN20" s="577">
        <v>56.79</v>
      </c>
      <c r="AO20" s="577">
        <v>65.260000000000005</v>
      </c>
      <c r="AP20" s="618">
        <f>AVERAGE(AL20:AO20)</f>
        <v>59.702500000000001</v>
      </c>
      <c r="AQ20" s="577">
        <v>73.83</v>
      </c>
      <c r="AR20" s="577">
        <v>65.599999999999994</v>
      </c>
      <c r="AS20" s="577">
        <v>65.209999999999994</v>
      </c>
      <c r="AT20" s="577">
        <v>67.48</v>
      </c>
      <c r="AU20" s="618">
        <f>AVERAGE(AQ20:AT20)</f>
        <v>68.03</v>
      </c>
      <c r="AV20" s="577">
        <v>60.28</v>
      </c>
      <c r="AW20" s="577">
        <v>44.81</v>
      </c>
      <c r="AX20" s="577">
        <v>42.17</v>
      </c>
      <c r="AY20" s="577">
        <v>52.83</v>
      </c>
      <c r="AZ20" s="618">
        <f>AVERAGE(AV20:AY20)</f>
        <v>50.022499999999994</v>
      </c>
      <c r="BA20" s="577">
        <v>47.9</v>
      </c>
      <c r="BB20" s="577">
        <v>44.63</v>
      </c>
      <c r="BC20" s="577">
        <v>41.48</v>
      </c>
      <c r="BD20" s="577">
        <v>36.64</v>
      </c>
      <c r="BE20" s="618">
        <f>AVERAGE(BA20:BD20)</f>
        <v>42.662499999999994</v>
      </c>
      <c r="BF20" s="577">
        <v>30.42</v>
      </c>
      <c r="BG20" s="577">
        <v>31.37</v>
      </c>
      <c r="BH20" s="577">
        <v>31</v>
      </c>
      <c r="BI20" s="577">
        <v>45.76</v>
      </c>
      <c r="BJ20" s="618">
        <f>AVERAGE(BF20:BI20)</f>
        <v>34.637500000000003</v>
      </c>
      <c r="BK20" s="577">
        <v>48.19</v>
      </c>
      <c r="BL20" s="577">
        <v>37.83</v>
      </c>
      <c r="BM20" s="577">
        <v>41.59</v>
      </c>
      <c r="BN20" s="577">
        <v>51.94</v>
      </c>
      <c r="BO20" s="618">
        <f>AVERAGE(BK20:BN20)</f>
        <v>44.887500000000003</v>
      </c>
      <c r="BP20" s="577">
        <f t="shared" si="24"/>
        <v>51.030999999999999</v>
      </c>
      <c r="BQ20" s="577">
        <f t="shared" si="24"/>
        <v>45.31</v>
      </c>
      <c r="BR20" s="577">
        <f t="shared" si="24"/>
        <v>46.11</v>
      </c>
      <c r="BS20" s="577">
        <f t="shared" si="24"/>
        <v>54.1</v>
      </c>
      <c r="BT20" s="618">
        <f>AVERAGE(BP20:BS20)</f>
        <v>49.137750000000004</v>
      </c>
      <c r="BU20" s="577">
        <f t="shared" si="25"/>
        <v>49.12</v>
      </c>
      <c r="BV20" s="577">
        <f t="shared" si="25"/>
        <v>49.12</v>
      </c>
      <c r="BW20" s="577">
        <f t="shared" si="25"/>
        <v>49.12</v>
      </c>
      <c r="BX20" s="577">
        <f t="shared" si="25"/>
        <v>49.12</v>
      </c>
      <c r="BY20" s="618">
        <f>AVERAGE(BU20:BX20)</f>
        <v>49.12</v>
      </c>
      <c r="BZ20" s="577">
        <f t="shared" si="26"/>
        <v>49.424163139515244</v>
      </c>
      <c r="CA20" s="577">
        <f t="shared" si="26"/>
        <v>49.730209732113543</v>
      </c>
      <c r="CB20" s="577">
        <f t="shared" si="26"/>
        <v>50.038151440600338</v>
      </c>
      <c r="CC20" s="577">
        <f t="shared" si="26"/>
        <v>50.34800000000002</v>
      </c>
      <c r="CD20" s="618">
        <f>AVERAGE(BZ20:CC20)</f>
        <v>49.885131078057285</v>
      </c>
      <c r="CE20" s="5"/>
      <c r="CF20" s="5"/>
      <c r="CG20" s="47" t="s">
        <v>719</v>
      </c>
      <c r="CH20" s="155">
        <f t="shared" si="20"/>
        <v>68.760000000000005</v>
      </c>
      <c r="CI20" s="155">
        <f t="shared" si="10"/>
        <v>64.89</v>
      </c>
      <c r="CJ20" s="155">
        <f t="shared" si="11"/>
        <v>64.45</v>
      </c>
      <c r="CK20" s="155">
        <f t="shared" si="12"/>
        <v>59.42</v>
      </c>
      <c r="CL20" s="155">
        <f t="shared" si="13"/>
        <v>64.760000000000005</v>
      </c>
      <c r="CM20" s="155">
        <f t="shared" si="21"/>
        <v>39.56</v>
      </c>
      <c r="CN20" s="155">
        <f t="shared" si="14"/>
        <v>62.58</v>
      </c>
      <c r="CP20" s="47" t="s">
        <v>719</v>
      </c>
      <c r="CQ20" s="155">
        <f t="shared" si="15"/>
        <v>7.55</v>
      </c>
      <c r="CR20" s="155">
        <f t="shared" si="23"/>
        <v>58.68</v>
      </c>
      <c r="CS20" s="155">
        <f t="shared" si="22"/>
        <v>20.239999999999998</v>
      </c>
      <c r="CT20" s="155">
        <f t="shared" si="16"/>
        <v>4.88</v>
      </c>
      <c r="CU20" s="155">
        <f t="shared" si="17"/>
        <v>5.94</v>
      </c>
      <c r="CV20" s="155">
        <f t="shared" si="18"/>
        <v>3.56</v>
      </c>
      <c r="CW20" s="155">
        <f t="shared" si="19"/>
        <v>4.45</v>
      </c>
      <c r="CY20" s="440"/>
      <c r="CZ20" s="440"/>
      <c r="DB20" s="440"/>
      <c r="DC20" s="440"/>
    </row>
    <row r="21" spans="1:107">
      <c r="A21" s="121"/>
      <c r="B21" s="121"/>
      <c r="C21" s="108"/>
      <c r="D21" s="108"/>
      <c r="E21" s="108"/>
      <c r="F21" s="618"/>
      <c r="G21" s="618"/>
      <c r="H21" s="618"/>
      <c r="I21" s="618"/>
      <c r="J21" s="618"/>
      <c r="K21" s="618"/>
      <c r="L21" s="618"/>
      <c r="M21" s="618"/>
      <c r="N21" s="618"/>
      <c r="O21" s="618"/>
      <c r="P21" s="618"/>
      <c r="Q21" s="618"/>
      <c r="R21" s="618"/>
      <c r="S21" s="618"/>
      <c r="T21" s="618"/>
      <c r="U21" s="618"/>
      <c r="V21" s="618"/>
      <c r="W21" s="618"/>
      <c r="X21" s="618"/>
      <c r="Y21" s="618"/>
      <c r="Z21" s="618"/>
      <c r="AA21" s="618"/>
      <c r="AB21" s="618"/>
      <c r="AC21" s="618"/>
      <c r="AD21" s="618"/>
      <c r="AE21" s="618"/>
      <c r="AF21" s="618"/>
      <c r="AG21" s="618"/>
      <c r="AH21" s="618"/>
      <c r="AI21" s="618"/>
      <c r="AJ21" s="618"/>
      <c r="AK21" s="618"/>
      <c r="AL21" s="618"/>
      <c r="AM21" s="618"/>
      <c r="AN21" s="618"/>
      <c r="AO21" s="618"/>
      <c r="AP21" s="618"/>
      <c r="AQ21" s="618"/>
      <c r="AR21" s="618"/>
      <c r="AS21" s="618"/>
      <c r="AT21" s="618"/>
      <c r="AU21" s="618"/>
      <c r="AV21" s="618"/>
      <c r="AW21" s="618"/>
      <c r="AX21" s="618"/>
      <c r="AY21" s="618"/>
      <c r="AZ21" s="618"/>
      <c r="BA21" s="618"/>
      <c r="BB21" s="618"/>
      <c r="BC21" s="618"/>
      <c r="BD21" s="618"/>
      <c r="BE21" s="618"/>
      <c r="BF21" s="618"/>
      <c r="BG21" s="618"/>
      <c r="BH21" s="618"/>
      <c r="BI21" s="618"/>
      <c r="BJ21" s="618"/>
      <c r="BK21" s="618"/>
      <c r="BL21" s="618"/>
      <c r="BM21" s="618"/>
      <c r="BN21" s="618"/>
      <c r="BO21" s="618"/>
      <c r="BP21" s="618"/>
      <c r="BQ21" s="618"/>
      <c r="BR21" s="618"/>
      <c r="BS21" s="618"/>
      <c r="BT21" s="618"/>
      <c r="BU21" s="618"/>
      <c r="BV21" s="618"/>
      <c r="BW21" s="618"/>
      <c r="BX21" s="618"/>
      <c r="BY21" s="618"/>
      <c r="BZ21" s="618"/>
      <c r="CA21" s="618"/>
      <c r="CB21" s="618"/>
      <c r="CC21" s="618"/>
      <c r="CD21" s="618"/>
      <c r="CE21" s="5"/>
      <c r="CF21" s="5"/>
      <c r="CG21" s="47" t="s">
        <v>1970</v>
      </c>
      <c r="CH21" s="155">
        <f t="shared" si="20"/>
        <v>74.739999999999995</v>
      </c>
      <c r="CI21" s="155">
        <f t="shared" si="10"/>
        <v>75.239999999999995</v>
      </c>
      <c r="CJ21" s="155">
        <f t="shared" si="11"/>
        <v>73.52</v>
      </c>
      <c r="CK21" s="155">
        <f t="shared" si="12"/>
        <v>67.47</v>
      </c>
      <c r="CL21" s="155">
        <f t="shared" si="13"/>
        <v>73.56</v>
      </c>
      <c r="CM21" s="155">
        <f t="shared" si="21"/>
        <v>41.95</v>
      </c>
      <c r="CN21" s="155">
        <f t="shared" si="14"/>
        <v>71.12</v>
      </c>
      <c r="CP21" s="47" t="s">
        <v>1970</v>
      </c>
      <c r="CQ21" s="155">
        <f t="shared" si="15"/>
        <v>6.16</v>
      </c>
      <c r="CR21" s="155">
        <f t="shared" si="23"/>
        <v>63.260000000000005</v>
      </c>
      <c r="CS21" s="155">
        <f t="shared" si="22"/>
        <v>30.58</v>
      </c>
      <c r="CT21" s="155">
        <f t="shared" si="16"/>
        <v>4.8899999999999997</v>
      </c>
      <c r="CU21" s="155">
        <f t="shared" si="17"/>
        <v>4.6399999999999997</v>
      </c>
      <c r="CV21" s="155">
        <f t="shared" si="18"/>
        <v>3.42</v>
      </c>
      <c r="CW21" s="155">
        <f t="shared" si="19"/>
        <v>3.93</v>
      </c>
      <c r="CY21" s="440"/>
      <c r="CZ21" s="440"/>
      <c r="DB21" s="440"/>
      <c r="DC21" s="440"/>
    </row>
    <row r="22" spans="1:107">
      <c r="A22" s="7" t="s">
        <v>2889</v>
      </c>
      <c r="B22" s="121"/>
      <c r="C22" s="108"/>
      <c r="D22" s="108"/>
      <c r="E22" s="108"/>
      <c r="F22" s="618"/>
      <c r="G22" s="618"/>
      <c r="H22" s="618"/>
      <c r="I22" s="618"/>
      <c r="J22" s="618"/>
      <c r="K22" s="618"/>
      <c r="L22" s="618"/>
      <c r="M22" s="618"/>
      <c r="N22" s="618"/>
      <c r="O22" s="618"/>
      <c r="P22" s="618"/>
      <c r="Q22" s="618"/>
      <c r="R22" s="618"/>
      <c r="S22" s="618"/>
      <c r="T22" s="618"/>
      <c r="U22" s="618"/>
      <c r="V22" s="618"/>
      <c r="W22" s="618"/>
      <c r="X22" s="618"/>
      <c r="Y22" s="618"/>
      <c r="Z22" s="618"/>
      <c r="AA22" s="618"/>
      <c r="AB22" s="618"/>
      <c r="AC22" s="618"/>
      <c r="AD22" s="618"/>
      <c r="AE22" s="618"/>
      <c r="AF22" s="618"/>
      <c r="AG22" s="618"/>
      <c r="AH22" s="618"/>
      <c r="AI22" s="618"/>
      <c r="AJ22" s="618"/>
      <c r="AK22" s="618"/>
      <c r="AL22" s="618"/>
      <c r="AM22" s="618"/>
      <c r="AN22" s="618"/>
      <c r="AO22" s="618"/>
      <c r="AP22" s="618"/>
      <c r="AQ22" s="618"/>
      <c r="AR22" s="618"/>
      <c r="AS22" s="618"/>
      <c r="AT22" s="618"/>
      <c r="AU22" s="618"/>
      <c r="AV22" s="618"/>
      <c r="AW22" s="618"/>
      <c r="AX22" s="618"/>
      <c r="AY22" s="618"/>
      <c r="AZ22" s="618"/>
      <c r="BA22" s="618"/>
      <c r="BB22" s="618"/>
      <c r="BC22" s="618"/>
      <c r="BD22" s="618"/>
      <c r="BE22" s="618"/>
      <c r="BF22" s="618"/>
      <c r="BG22" s="618"/>
      <c r="BH22" s="618"/>
      <c r="BI22" s="618"/>
      <c r="BJ22" s="618"/>
      <c r="BK22" s="618"/>
      <c r="BL22" s="618"/>
      <c r="BM22" s="618"/>
      <c r="BN22" s="618"/>
      <c r="BO22" s="618"/>
      <c r="BP22" s="618"/>
      <c r="BQ22" s="618"/>
      <c r="BR22" s="618"/>
      <c r="BS22" s="618"/>
      <c r="BT22" s="618"/>
      <c r="BU22" s="618"/>
      <c r="BV22" s="618"/>
      <c r="BW22" s="618"/>
      <c r="BX22" s="618"/>
      <c r="BY22" s="618"/>
      <c r="BZ22" s="618"/>
      <c r="CA22" s="618"/>
      <c r="CB22" s="618"/>
      <c r="CC22" s="618"/>
      <c r="CD22" s="618"/>
      <c r="CE22" s="5"/>
      <c r="CF22" s="5"/>
      <c r="CG22" s="47" t="s">
        <v>1971</v>
      </c>
      <c r="CH22" s="155">
        <f t="shared" si="20"/>
        <v>88.45</v>
      </c>
      <c r="CI22" s="155">
        <f t="shared" si="10"/>
        <v>90.47</v>
      </c>
      <c r="CJ22" s="155">
        <f t="shared" si="11"/>
        <v>87.57</v>
      </c>
      <c r="CK22" s="155">
        <f t="shared" si="12"/>
        <v>78.28</v>
      </c>
      <c r="CL22" s="155">
        <f t="shared" si="13"/>
        <v>84.51</v>
      </c>
      <c r="CM22" s="155">
        <f t="shared" si="21"/>
        <v>48.98</v>
      </c>
      <c r="CN22" s="155">
        <f t="shared" si="14"/>
        <v>82.72</v>
      </c>
      <c r="CP22" s="47" t="s">
        <v>1971</v>
      </c>
      <c r="CQ22" s="155">
        <f t="shared" si="15"/>
        <v>6.97</v>
      </c>
      <c r="CR22" s="155">
        <f t="shared" si="23"/>
        <v>71.75</v>
      </c>
      <c r="CS22" s="155">
        <f t="shared" si="22"/>
        <v>46.7</v>
      </c>
      <c r="CT22" s="155">
        <f t="shared" si="16"/>
        <v>7.78</v>
      </c>
      <c r="CU22" s="155">
        <f t="shared" si="17"/>
        <v>5.41</v>
      </c>
      <c r="CV22" s="155">
        <f t="shared" si="18"/>
        <v>3.94</v>
      </c>
      <c r="CW22" s="155">
        <f t="shared" si="19"/>
        <v>4.83</v>
      </c>
      <c r="CY22" s="440"/>
      <c r="CZ22" s="440"/>
      <c r="DB22" s="440"/>
      <c r="DC22" s="440"/>
    </row>
    <row r="23" spans="1:107">
      <c r="A23" s="121"/>
      <c r="B23" s="121" t="s">
        <v>728</v>
      </c>
      <c r="C23" s="182"/>
      <c r="D23" s="182"/>
      <c r="E23" s="182"/>
      <c r="F23" s="618">
        <v>35.409999999999997</v>
      </c>
      <c r="G23" s="618">
        <v>47.83</v>
      </c>
      <c r="H23" s="577">
        <v>53.79</v>
      </c>
      <c r="I23" s="577">
        <v>60.21</v>
      </c>
      <c r="J23" s="577">
        <v>62.95</v>
      </c>
      <c r="K23" s="577">
        <v>52.11</v>
      </c>
      <c r="L23" s="618">
        <v>57.25</v>
      </c>
      <c r="M23" s="577">
        <v>51.62</v>
      </c>
      <c r="N23" s="577">
        <v>59.42</v>
      </c>
      <c r="O23" s="577">
        <v>67.47</v>
      </c>
      <c r="P23" s="577">
        <v>78.28</v>
      </c>
      <c r="Q23" s="618">
        <v>64.180000000000007</v>
      </c>
      <c r="R23" s="577">
        <v>87.57</v>
      </c>
      <c r="S23" s="577">
        <v>101.88</v>
      </c>
      <c r="T23" s="577">
        <v>112.03</v>
      </c>
      <c r="U23" s="577">
        <v>59.95</v>
      </c>
      <c r="V23" s="618">
        <v>89.22</v>
      </c>
      <c r="W23" s="577">
        <v>39.47</v>
      </c>
      <c r="X23" s="577">
        <v>47.45</v>
      </c>
      <c r="Y23" s="577">
        <v>60.3</v>
      </c>
      <c r="Z23" s="577">
        <v>66.150000000000006</v>
      </c>
      <c r="AA23" s="618">
        <v>53.68</v>
      </c>
      <c r="AB23" s="577">
        <v>69.77</v>
      </c>
      <c r="AC23" s="577">
        <v>70.77</v>
      </c>
      <c r="AD23" s="577">
        <v>68.150000000000006</v>
      </c>
      <c r="AE23" s="577">
        <v>74.599999999999994</v>
      </c>
      <c r="AF23" s="618">
        <v>70.790000000000006</v>
      </c>
      <c r="AG23" s="577">
        <v>86.53</v>
      </c>
      <c r="AH23" s="577">
        <v>101.4</v>
      </c>
      <c r="AI23" s="577">
        <v>100.04</v>
      </c>
      <c r="AJ23" s="577">
        <v>99.05</v>
      </c>
      <c r="AK23" s="618">
        <f>AVERAGE(AG23:AJ23)</f>
        <v>96.75500000000001</v>
      </c>
      <c r="AL23" s="577">
        <v>99.39</v>
      </c>
      <c r="AM23" s="577">
        <v>101.16</v>
      </c>
      <c r="AN23" s="577">
        <v>90.62</v>
      </c>
      <c r="AO23" s="577">
        <v>94.36</v>
      </c>
      <c r="AP23" s="618">
        <f>AVERAGE(AL23:AO23)</f>
        <v>96.382500000000007</v>
      </c>
      <c r="AQ23" s="577">
        <v>96.11</v>
      </c>
      <c r="AR23" s="577">
        <v>90.51</v>
      </c>
      <c r="AS23" s="577">
        <v>91.2</v>
      </c>
      <c r="AT23" s="577">
        <v>89.87</v>
      </c>
      <c r="AU23" s="618">
        <f>AVERAGE(AQ23:AT23)</f>
        <v>91.922499999999999</v>
      </c>
      <c r="AV23" s="577">
        <v>89.81</v>
      </c>
      <c r="AW23" s="577">
        <v>89.61</v>
      </c>
      <c r="AX23" s="577">
        <v>87.26</v>
      </c>
      <c r="AY23" s="577">
        <v>71.14</v>
      </c>
      <c r="AZ23" s="618">
        <f>AVERAGE(AV23:AY23)</f>
        <v>84.454999999999998</v>
      </c>
      <c r="BA23" s="577">
        <v>46.24</v>
      </c>
      <c r="BB23" s="577">
        <v>50.97</v>
      </c>
      <c r="BC23" s="577">
        <v>46.22</v>
      </c>
      <c r="BD23" s="577">
        <v>37.42</v>
      </c>
      <c r="BE23" s="618">
        <f>AVERAGE(BA23:BD23)</f>
        <v>45.212500000000006</v>
      </c>
      <c r="BF23" s="577">
        <v>28.75</v>
      </c>
      <c r="BG23" s="577">
        <v>34.89</v>
      </c>
      <c r="BH23" s="577">
        <v>39.159999999999997</v>
      </c>
      <c r="BI23" s="577">
        <v>41.93</v>
      </c>
      <c r="BJ23" s="618">
        <f>AVERAGE(BF23:BI23)</f>
        <v>36.182499999999997</v>
      </c>
      <c r="BK23" s="577">
        <v>46.34</v>
      </c>
      <c r="BL23" s="577">
        <v>44.65</v>
      </c>
      <c r="BM23" s="577">
        <v>43.58</v>
      </c>
      <c r="BN23" s="577">
        <v>51.5</v>
      </c>
      <c r="BO23" s="618">
        <f>AVERAGE(BK23:BN23)</f>
        <v>46.517499999999998</v>
      </c>
      <c r="BP23" s="577">
        <f>$CH$81+$CH$82*BP12+$CH$83*BP13</f>
        <v>58.215519437221346</v>
      </c>
      <c r="BQ23" s="577">
        <f>$CH$81+$CH$82*BQ12+$CH$83*BQ13</f>
        <v>58.702577046314595</v>
      </c>
      <c r="BR23" s="577">
        <f>$CH$81+$CH$82*BR12+$CH$83*BR13</f>
        <v>57.614391465752192</v>
      </c>
      <c r="BS23" s="577">
        <f>$CH$81+$CH$82*BS12+$CH$83*BS13</f>
        <v>56.633932994893144</v>
      </c>
      <c r="BT23" s="618">
        <f>AVERAGE(BP23:BS23)</f>
        <v>57.791605236045321</v>
      </c>
      <c r="BU23" s="577">
        <f>$CH$81+$CH$82*BU12+$CH$83*BU13</f>
        <v>54.522993991767621</v>
      </c>
      <c r="BV23" s="577">
        <f>$CH$81+$CH$82*BV12+$CH$83*BV13</f>
        <v>54.522993991767621</v>
      </c>
      <c r="BW23" s="577">
        <f>$CH$81+$CH$82*BW12+$CH$83*BW13</f>
        <v>54.522993991767621</v>
      </c>
      <c r="BX23" s="577">
        <f>$CH$81+$CH$82*BX12+$CH$83*BX13</f>
        <v>54.522993991767621</v>
      </c>
      <c r="BY23" s="618">
        <f>AVERAGE(BU23:BX23)</f>
        <v>54.522993991767621</v>
      </c>
      <c r="BZ23" s="577">
        <f>$CH$81+$CH$82*BZ12+$CH$83*BZ13</f>
        <v>54.862506536266586</v>
      </c>
      <c r="CA23" s="577">
        <f>$CH$81+$CH$82*CA12+$CH$83*CA13</f>
        <v>55.204121426071744</v>
      </c>
      <c r="CB23" s="577">
        <f>$CH$81+$CH$82*CB12+$CH$83*CB13</f>
        <v>55.547851679423076</v>
      </c>
      <c r="CC23" s="577">
        <f>$CH$81+$CH$82*CC12+$CH$83*CC13</f>
        <v>55.893710395172732</v>
      </c>
      <c r="CD23" s="618">
        <f>AVERAGE(BZ23:CC23)</f>
        <v>55.377047509233535</v>
      </c>
      <c r="CE23" s="5"/>
      <c r="CF23" s="5"/>
      <c r="CG23" s="47" t="s">
        <v>1972</v>
      </c>
      <c r="CH23" s="155">
        <f t="shared" si="20"/>
        <v>96.71</v>
      </c>
      <c r="CI23" s="155">
        <f t="shared" si="10"/>
        <v>97.86</v>
      </c>
      <c r="CJ23" s="155">
        <f t="shared" si="11"/>
        <v>95.65</v>
      </c>
      <c r="CK23" s="155">
        <f t="shared" si="12"/>
        <v>87.57</v>
      </c>
      <c r="CL23" s="155">
        <f t="shared" si="13"/>
        <v>92.04</v>
      </c>
      <c r="CM23" s="155">
        <f t="shared" si="21"/>
        <v>46.86</v>
      </c>
      <c r="CN23" s="155">
        <f t="shared" si="14"/>
        <v>90.92</v>
      </c>
      <c r="CP23" s="47" t="s">
        <v>1972</v>
      </c>
      <c r="CQ23" s="155">
        <f t="shared" si="15"/>
        <v>8.0299999999999994</v>
      </c>
      <c r="CR23" s="155">
        <f t="shared" si="23"/>
        <v>81.594999999999999</v>
      </c>
      <c r="CS23" s="155">
        <f t="shared" si="22"/>
        <v>52.94</v>
      </c>
      <c r="CT23" s="155">
        <f t="shared" si="16"/>
        <v>7.99</v>
      </c>
      <c r="CU23" s="155">
        <f t="shared" si="17"/>
        <v>6.73</v>
      </c>
      <c r="CV23" s="155">
        <f t="shared" si="18"/>
        <v>4.97</v>
      </c>
      <c r="CW23" s="155">
        <f t="shared" si="19"/>
        <v>5.88</v>
      </c>
      <c r="CY23" s="440"/>
      <c r="CZ23" s="440"/>
      <c r="DB23" s="440"/>
      <c r="DC23" s="440"/>
    </row>
    <row r="24" spans="1:107">
      <c r="A24" s="121"/>
      <c r="B24" s="121" t="s">
        <v>305</v>
      </c>
      <c r="C24" s="182"/>
      <c r="D24" s="182"/>
      <c r="E24" s="182"/>
      <c r="F24" s="618">
        <v>35.869999999999997</v>
      </c>
      <c r="G24" s="618">
        <v>50.45</v>
      </c>
      <c r="H24" s="577">
        <v>60</v>
      </c>
      <c r="I24" s="577">
        <v>66.61</v>
      </c>
      <c r="J24" s="577">
        <v>63.57</v>
      </c>
      <c r="K24" s="577">
        <v>56.18</v>
      </c>
      <c r="L24" s="618">
        <v>61.67</v>
      </c>
      <c r="M24" s="577">
        <v>55.35</v>
      </c>
      <c r="N24" s="577">
        <v>64.45</v>
      </c>
      <c r="O24" s="577">
        <v>73.52</v>
      </c>
      <c r="P24" s="577">
        <v>87.57</v>
      </c>
      <c r="Q24" s="618">
        <v>69.42</v>
      </c>
      <c r="R24" s="577">
        <v>95.65</v>
      </c>
      <c r="S24" s="577">
        <v>127.83</v>
      </c>
      <c r="T24" s="577">
        <v>102.37</v>
      </c>
      <c r="U24" s="577">
        <v>36.520000000000003</v>
      </c>
      <c r="V24" s="618">
        <v>90.61</v>
      </c>
      <c r="W24" s="577">
        <v>47.59</v>
      </c>
      <c r="X24" s="577">
        <v>60.69</v>
      </c>
      <c r="Y24" s="577">
        <v>67.31</v>
      </c>
      <c r="Z24" s="577">
        <v>71.680000000000007</v>
      </c>
      <c r="AA24" s="618">
        <v>61.91</v>
      </c>
      <c r="AB24" s="577">
        <v>75.709999999999994</v>
      </c>
      <c r="AC24" s="577">
        <v>75.459999999999994</v>
      </c>
      <c r="AD24" s="577">
        <v>74.19</v>
      </c>
      <c r="AE24" s="577">
        <v>85.3</v>
      </c>
      <c r="AF24" s="618">
        <v>77.39</v>
      </c>
      <c r="AG24" s="577">
        <v>102.37</v>
      </c>
      <c r="AH24" s="577">
        <v>114.43</v>
      </c>
      <c r="AI24" s="577">
        <v>104.34</v>
      </c>
      <c r="AJ24" s="577">
        <v>107.31</v>
      </c>
      <c r="AK24" s="618">
        <f>AVERAGE(AG24:AJ24)</f>
        <v>107.1125</v>
      </c>
      <c r="AL24" s="577">
        <v>116.96</v>
      </c>
      <c r="AM24" s="577">
        <v>104.18</v>
      </c>
      <c r="AN24" s="577">
        <v>108.74</v>
      </c>
      <c r="AO24" s="577">
        <v>104.8</v>
      </c>
      <c r="AP24" s="618">
        <f>AVERAGE(AL24:AO24)</f>
        <v>108.67</v>
      </c>
      <c r="AQ24" s="577">
        <v>107.15</v>
      </c>
      <c r="AR24" s="577">
        <v>99.12</v>
      </c>
      <c r="AS24" s="577">
        <v>107.78</v>
      </c>
      <c r="AT24" s="577">
        <v>105.23</v>
      </c>
      <c r="AU24" s="618">
        <f>AVERAGE(AQ24:AT24)</f>
        <v>104.82000000000001</v>
      </c>
      <c r="AV24" s="577">
        <v>104.1</v>
      </c>
      <c r="AW24" s="577">
        <v>101.43</v>
      </c>
      <c r="AX24" s="577">
        <v>96.33</v>
      </c>
      <c r="AY24" s="577">
        <v>71.099999999999994</v>
      </c>
      <c r="AZ24" s="618">
        <f>AVERAGE(AV24:AY24)</f>
        <v>93.240000000000009</v>
      </c>
      <c r="BA24" s="577">
        <v>52.28</v>
      </c>
      <c r="BB24" s="577">
        <v>57.42</v>
      </c>
      <c r="BC24" s="577">
        <v>47.68</v>
      </c>
      <c r="BD24" s="577">
        <v>40.49</v>
      </c>
      <c r="BE24" s="618">
        <f>AVERAGE(BA24:BD24)</f>
        <v>49.467500000000001</v>
      </c>
      <c r="BF24" s="577">
        <v>31.73</v>
      </c>
      <c r="BG24" s="577">
        <v>43.62</v>
      </c>
      <c r="BH24" s="577">
        <v>42.87</v>
      </c>
      <c r="BI24" s="577">
        <v>45.66</v>
      </c>
      <c r="BJ24" s="618">
        <f>AVERAGE(BF24:BI24)</f>
        <v>40.97</v>
      </c>
      <c r="BK24" s="577">
        <v>53.28</v>
      </c>
      <c r="BL24" s="577">
        <v>47.79</v>
      </c>
      <c r="BM24" s="577">
        <v>50.02</v>
      </c>
      <c r="BN24" s="577">
        <v>57.92</v>
      </c>
      <c r="BO24" s="618">
        <f>AVERAGE(BK24:BN24)</f>
        <v>52.252499999999998</v>
      </c>
      <c r="BP24" s="577">
        <f t="shared" ref="BP24:CC24" si="27">BP$12*$CJ$10+$CJ$11</f>
        <v>63.931696269293724</v>
      </c>
      <c r="BQ24" s="577">
        <f t="shared" si="27"/>
        <v>64.542278110160112</v>
      </c>
      <c r="BR24" s="577">
        <f t="shared" si="27"/>
        <v>63.301418240012282</v>
      </c>
      <c r="BS24" s="577">
        <f t="shared" si="27"/>
        <v>62.267368348222405</v>
      </c>
      <c r="BT24" s="618">
        <f>AVERAGE(BP24:BS24)</f>
        <v>63.510690241922134</v>
      </c>
      <c r="BU24" s="577">
        <f t="shared" si="27"/>
        <v>60.012154774699752</v>
      </c>
      <c r="BV24" s="577">
        <f t="shared" si="27"/>
        <v>60.012154774699752</v>
      </c>
      <c r="BW24" s="577">
        <f t="shared" si="27"/>
        <v>60.012154774699752</v>
      </c>
      <c r="BX24" s="577">
        <f t="shared" si="27"/>
        <v>60.012154774699752</v>
      </c>
      <c r="BY24" s="618">
        <f>AVERAGE(BU24:BX24)</f>
        <v>60.012154774699752</v>
      </c>
      <c r="BZ24" s="577">
        <f t="shared" si="27"/>
        <v>60.396035364151508</v>
      </c>
      <c r="CA24" s="577">
        <f t="shared" si="27"/>
        <v>60.782293036772778</v>
      </c>
      <c r="CB24" s="577">
        <f t="shared" si="27"/>
        <v>61.170942512048086</v>
      </c>
      <c r="CC24" s="577">
        <f t="shared" si="27"/>
        <v>61.561998600608625</v>
      </c>
      <c r="CD24" s="618">
        <f>AVERAGE(BZ24:CC24)</f>
        <v>60.977817378395251</v>
      </c>
      <c r="CE24" s="5"/>
      <c r="CF24" s="5"/>
      <c r="CG24" s="47" t="s">
        <v>1973</v>
      </c>
      <c r="CH24" s="155">
        <f t="shared" si="20"/>
        <v>121.18</v>
      </c>
      <c r="CI24" s="155">
        <f t="shared" si="10"/>
        <v>123.81</v>
      </c>
      <c r="CJ24" s="155">
        <f t="shared" si="11"/>
        <v>127.83</v>
      </c>
      <c r="CK24" s="155">
        <f t="shared" si="12"/>
        <v>101.88</v>
      </c>
      <c r="CL24" s="155">
        <f t="shared" si="13"/>
        <v>111.23</v>
      </c>
      <c r="CM24" s="155">
        <f t="shared" si="21"/>
        <v>63.15</v>
      </c>
      <c r="CN24" s="155">
        <f t="shared" si="14"/>
        <v>109.95</v>
      </c>
      <c r="CP24" s="47" t="s">
        <v>1973</v>
      </c>
      <c r="CQ24" s="155">
        <f t="shared" si="15"/>
        <v>10.94</v>
      </c>
      <c r="CR24" s="155">
        <f t="shared" si="23"/>
        <v>92.58</v>
      </c>
      <c r="CS24" s="155">
        <f t="shared" si="22"/>
        <v>60.72</v>
      </c>
      <c r="CT24" s="155">
        <f t="shared" si="16"/>
        <v>8.3699999999999992</v>
      </c>
      <c r="CU24" s="155">
        <f t="shared" si="17"/>
        <v>8.76</v>
      </c>
      <c r="CV24" s="155">
        <f t="shared" si="18"/>
        <v>5.26</v>
      </c>
      <c r="CW24" s="155">
        <f t="shared" si="19"/>
        <v>6.63</v>
      </c>
      <c r="CY24" s="440"/>
      <c r="CZ24" s="440"/>
      <c r="DB24" s="440"/>
      <c r="DC24" s="440"/>
    </row>
    <row r="25" spans="1:107">
      <c r="A25" s="121"/>
      <c r="B25" s="121" t="s">
        <v>2012</v>
      </c>
      <c r="C25" s="182"/>
      <c r="D25" s="182"/>
      <c r="E25" s="182"/>
      <c r="F25" s="618">
        <v>34.51</v>
      </c>
      <c r="G25" s="618">
        <v>47.56</v>
      </c>
      <c r="H25" s="577">
        <v>55.02</v>
      </c>
      <c r="I25" s="577">
        <v>63</v>
      </c>
      <c r="J25" s="577">
        <v>65.5</v>
      </c>
      <c r="K25" s="577">
        <v>54.63</v>
      </c>
      <c r="L25" s="618">
        <v>59.54</v>
      </c>
      <c r="M25" s="577">
        <v>54.09</v>
      </c>
      <c r="N25" s="577">
        <v>64.760000000000005</v>
      </c>
      <c r="O25" s="577">
        <v>73.56</v>
      </c>
      <c r="P25" s="577">
        <v>84.51</v>
      </c>
      <c r="Q25" s="618">
        <v>69.56</v>
      </c>
      <c r="R25" s="577">
        <v>92.04</v>
      </c>
      <c r="S25" s="577">
        <v>111.23</v>
      </c>
      <c r="T25" s="577">
        <v>114.59</v>
      </c>
      <c r="U25" s="577">
        <v>49.7</v>
      </c>
      <c r="V25" s="618">
        <v>91.05</v>
      </c>
      <c r="W25" s="577">
        <v>40.89</v>
      </c>
      <c r="X25" s="577">
        <v>55.22</v>
      </c>
      <c r="Y25" s="577">
        <v>64.209999999999994</v>
      </c>
      <c r="Z25" s="577">
        <v>68.95</v>
      </c>
      <c r="AA25" s="618">
        <v>57.29</v>
      </c>
      <c r="AB25" s="577">
        <v>72.94</v>
      </c>
      <c r="AC25" s="577">
        <v>74.44</v>
      </c>
      <c r="AD25" s="577">
        <v>72.06</v>
      </c>
      <c r="AE25" s="577">
        <v>82.3</v>
      </c>
      <c r="AF25" s="618">
        <v>75.23</v>
      </c>
      <c r="AG25" s="577">
        <v>99.68</v>
      </c>
      <c r="AH25" s="577">
        <v>111.12</v>
      </c>
      <c r="AI25" s="577">
        <v>106.83</v>
      </c>
      <c r="AJ25" s="577">
        <v>102.89</v>
      </c>
      <c r="AK25" s="618">
        <f>AVERAGE(AG25:AJ25)</f>
        <v>105.13</v>
      </c>
      <c r="AL25" s="577">
        <v>114.79</v>
      </c>
      <c r="AM25" s="577">
        <v>99.72</v>
      </c>
      <c r="AN25" s="577">
        <v>104.39</v>
      </c>
      <c r="AO25" s="577">
        <v>104.59</v>
      </c>
      <c r="AP25" s="618">
        <f>AVERAGE(AL25:AO25)</f>
        <v>105.8725</v>
      </c>
      <c r="AQ25" s="577">
        <v>108.04</v>
      </c>
      <c r="AR25" s="577">
        <v>97.26</v>
      </c>
      <c r="AS25" s="577">
        <v>107.21</v>
      </c>
      <c r="AT25" s="577">
        <v>104.6</v>
      </c>
      <c r="AU25" s="618">
        <f>AVERAGE(AQ25:AT25)</f>
        <v>104.2775</v>
      </c>
      <c r="AV25" s="577">
        <v>102.69</v>
      </c>
      <c r="AW25" s="577">
        <v>103.37</v>
      </c>
      <c r="AX25" s="577">
        <v>94.14</v>
      </c>
      <c r="AY25" s="577">
        <v>66.61</v>
      </c>
      <c r="AZ25" s="618">
        <f>AVERAGE(AV25:AY25)</f>
        <v>91.702500000000001</v>
      </c>
      <c r="BA25" s="577">
        <v>46.13</v>
      </c>
      <c r="BB25" s="577">
        <v>60.78</v>
      </c>
      <c r="BC25" s="577">
        <v>41.8</v>
      </c>
      <c r="BD25" s="577">
        <v>36.1</v>
      </c>
      <c r="BE25" s="618">
        <f>AVERAGE(BA25:BD25)</f>
        <v>46.202499999999993</v>
      </c>
      <c r="BF25" s="577">
        <v>25.16</v>
      </c>
      <c r="BG25" s="577">
        <v>55.1</v>
      </c>
      <c r="BH25" s="577">
        <v>42.41</v>
      </c>
      <c r="BI25" s="577">
        <v>45.27</v>
      </c>
      <c r="BJ25" s="618">
        <f>AVERAGE(BF25:BI25)</f>
        <v>41.984999999999999</v>
      </c>
      <c r="BK25" s="577">
        <v>51.79</v>
      </c>
      <c r="BL25" s="577">
        <v>47.11</v>
      </c>
      <c r="BM25" s="577">
        <v>49.54</v>
      </c>
      <c r="BN25" s="577">
        <v>59.09</v>
      </c>
      <c r="BO25" s="618">
        <f>AVERAGE(BK25:BN25)</f>
        <v>51.8825</v>
      </c>
      <c r="BP25" s="577">
        <f t="shared" ref="BP25:CC25" si="28">BP$12*$CL$10+$CL$11</f>
        <v>62.570938555470903</v>
      </c>
      <c r="BQ25" s="577">
        <f t="shared" si="28"/>
        <v>63.174946220562603</v>
      </c>
      <c r="BR25" s="577">
        <f t="shared" si="28"/>
        <v>61.947446772150428</v>
      </c>
      <c r="BS25" s="577">
        <f t="shared" si="28"/>
        <v>60.924530565140266</v>
      </c>
      <c r="BT25" s="618">
        <f>AVERAGE(BP25:BS25)</f>
        <v>62.154465528331052</v>
      </c>
      <c r="BU25" s="577">
        <f t="shared" si="28"/>
        <v>58.693599027946703</v>
      </c>
      <c r="BV25" s="577">
        <f t="shared" si="28"/>
        <v>58.693599027946703</v>
      </c>
      <c r="BW25" s="577">
        <f t="shared" si="28"/>
        <v>58.693599027946703</v>
      </c>
      <c r="BX25" s="577">
        <f t="shared" si="28"/>
        <v>58.693599027946703</v>
      </c>
      <c r="BY25" s="618">
        <f>AVERAGE(BU25:BX25)</f>
        <v>58.693599027946703</v>
      </c>
      <c r="BZ25" s="577">
        <f t="shared" si="28"/>
        <v>59.073346349255459</v>
      </c>
      <c r="CA25" s="577">
        <f t="shared" si="28"/>
        <v>59.455445159519257</v>
      </c>
      <c r="CB25" s="577">
        <f t="shared" si="28"/>
        <v>59.839910019736948</v>
      </c>
      <c r="CC25" s="577">
        <f t="shared" si="28"/>
        <v>60.226755581072652</v>
      </c>
      <c r="CD25" s="618">
        <f>AVERAGE(BZ25:CC25)</f>
        <v>59.648864277396086</v>
      </c>
      <c r="CE25" s="5"/>
      <c r="CF25" s="5"/>
      <c r="CG25" s="47" t="s">
        <v>1974</v>
      </c>
      <c r="CH25" s="155">
        <f t="shared" si="20"/>
        <v>115.09</v>
      </c>
      <c r="CI25" s="155">
        <f t="shared" si="10"/>
        <v>118.07</v>
      </c>
      <c r="CJ25" s="155">
        <f t="shared" si="11"/>
        <v>102.37</v>
      </c>
      <c r="CK25" s="155">
        <f t="shared" si="12"/>
        <v>112.03</v>
      </c>
      <c r="CL25" s="155">
        <f t="shared" si="13"/>
        <v>114.59</v>
      </c>
      <c r="CM25" s="155">
        <f t="shared" si="21"/>
        <v>52.94</v>
      </c>
      <c r="CN25" s="155">
        <f t="shared" si="14"/>
        <v>111.47</v>
      </c>
      <c r="CP25" s="47" t="s">
        <v>1974</v>
      </c>
      <c r="CQ25" s="155">
        <f t="shared" si="15"/>
        <v>10.25</v>
      </c>
      <c r="CR25" s="155">
        <f t="shared" si="23"/>
        <v>108.94499999999999</v>
      </c>
      <c r="CS25" s="155">
        <f t="shared" si="22"/>
        <v>61.48</v>
      </c>
      <c r="CT25" s="155">
        <f t="shared" si="16"/>
        <v>8.17</v>
      </c>
      <c r="CU25" s="155">
        <f t="shared" si="17"/>
        <v>7.88</v>
      </c>
      <c r="CV25" s="155">
        <f t="shared" si="18"/>
        <v>5.61</v>
      </c>
      <c r="CW25" s="155">
        <f t="shared" si="19"/>
        <v>6.49</v>
      </c>
      <c r="CY25" s="440"/>
      <c r="CZ25" s="440"/>
      <c r="DB25" s="440"/>
      <c r="DC25" s="440"/>
    </row>
    <row r="26" spans="1:107">
      <c r="A26" s="121"/>
      <c r="B26" s="121" t="s">
        <v>2013</v>
      </c>
      <c r="C26" s="110">
        <v>22.5</v>
      </c>
      <c r="D26" s="110">
        <v>22.69</v>
      </c>
      <c r="E26" s="110">
        <v>27.25</v>
      </c>
      <c r="F26" s="618">
        <v>35.39</v>
      </c>
      <c r="G26" s="618">
        <v>48.51</v>
      </c>
      <c r="H26" s="577">
        <v>55.88</v>
      </c>
      <c r="I26" s="577">
        <v>62.86</v>
      </c>
      <c r="J26" s="577">
        <v>64.150000000000006</v>
      </c>
      <c r="K26" s="577">
        <v>54.13</v>
      </c>
      <c r="L26" s="618">
        <v>59.23</v>
      </c>
      <c r="M26" s="577">
        <v>53.43</v>
      </c>
      <c r="N26" s="577">
        <v>62.58</v>
      </c>
      <c r="O26" s="577">
        <v>71.12</v>
      </c>
      <c r="P26" s="577">
        <v>82.72</v>
      </c>
      <c r="Q26" s="618">
        <v>67.45</v>
      </c>
      <c r="R26" s="577">
        <v>90.92</v>
      </c>
      <c r="S26" s="577">
        <v>109.95</v>
      </c>
      <c r="T26" s="577">
        <v>111.47</v>
      </c>
      <c r="U26" s="577">
        <v>52.09</v>
      </c>
      <c r="V26" s="618">
        <v>90.2</v>
      </c>
      <c r="W26" s="577">
        <v>41.26</v>
      </c>
      <c r="X26" s="577">
        <v>52.33</v>
      </c>
      <c r="Y26" s="577">
        <v>62.77</v>
      </c>
      <c r="Z26" s="577">
        <v>68.02</v>
      </c>
      <c r="AA26" s="618">
        <v>56.26</v>
      </c>
      <c r="AB26" s="577">
        <v>71.86</v>
      </c>
      <c r="AC26" s="577">
        <v>72.900000000000006</v>
      </c>
      <c r="AD26" s="577">
        <v>70.47</v>
      </c>
      <c r="AE26" s="577">
        <v>78.8</v>
      </c>
      <c r="AF26" s="618">
        <v>73.41</v>
      </c>
      <c r="AG26" s="577">
        <v>93.93</v>
      </c>
      <c r="AH26" s="577">
        <v>106.99</v>
      </c>
      <c r="AI26" s="577">
        <v>103.53</v>
      </c>
      <c r="AJ26" s="577">
        <v>101.84</v>
      </c>
      <c r="AK26" s="618">
        <f>AVERAGE(AG26:AJ26)</f>
        <v>101.57250000000002</v>
      </c>
      <c r="AL26" s="577">
        <v>108.13</v>
      </c>
      <c r="AM26" s="577">
        <v>100.89</v>
      </c>
      <c r="AN26" s="577">
        <v>99</v>
      </c>
      <c r="AO26" s="577">
        <v>100</v>
      </c>
      <c r="AP26" s="618">
        <f>AVERAGE(AL26:AO26)</f>
        <v>102.005</v>
      </c>
      <c r="AQ26" s="577">
        <v>103.11</v>
      </c>
      <c r="AR26" s="577">
        <v>94.92</v>
      </c>
      <c r="AS26" s="577">
        <v>100.66</v>
      </c>
      <c r="AT26" s="577">
        <v>98.26</v>
      </c>
      <c r="AU26" s="618">
        <f>AVERAGE(AQ26:AT26)</f>
        <v>99.237499999999997</v>
      </c>
      <c r="AV26" s="577">
        <v>97.16</v>
      </c>
      <c r="AW26" s="577">
        <v>96.9</v>
      </c>
      <c r="AX26" s="577">
        <v>91.42</v>
      </c>
      <c r="AY26" s="577">
        <v>69.03</v>
      </c>
      <c r="AZ26" s="618">
        <f>AVERAGE(AV26:AY26)</f>
        <v>88.627499999999998</v>
      </c>
      <c r="BA26" s="577">
        <v>46.79</v>
      </c>
      <c r="BB26" s="577">
        <v>56.69</v>
      </c>
      <c r="BC26" s="577">
        <v>44.01</v>
      </c>
      <c r="BD26" s="577">
        <v>37.049999999999997</v>
      </c>
      <c r="BE26" s="618">
        <f>AVERAGE(BA26:BD26)</f>
        <v>46.134999999999991</v>
      </c>
      <c r="BF26" s="577">
        <v>26.97</v>
      </c>
      <c r="BG26" s="577">
        <v>44.99</v>
      </c>
      <c r="BH26" s="577">
        <v>41.23</v>
      </c>
      <c r="BI26" s="577">
        <v>43.89</v>
      </c>
      <c r="BJ26" s="618">
        <f>AVERAGE(BF26:BI26)</f>
        <v>39.269999999999996</v>
      </c>
      <c r="BK26" s="577">
        <v>49.87</v>
      </c>
      <c r="BL26" s="577">
        <v>46.27</v>
      </c>
      <c r="BM26" s="577">
        <v>47.45</v>
      </c>
      <c r="BN26" s="577">
        <v>56.16</v>
      </c>
      <c r="BO26" s="618">
        <f>AVERAGE(BK26:BN26)</f>
        <v>49.9375</v>
      </c>
      <c r="BP26" s="577">
        <f t="shared" ref="BP26:CC26" si="29">BP$12*$CN$10+$CN$11</f>
        <v>61.033614817796355</v>
      </c>
      <c r="BQ26" s="577">
        <f t="shared" si="29"/>
        <v>61.606123930792457</v>
      </c>
      <c r="BR26" s="577">
        <f t="shared" si="29"/>
        <v>60.442637668897142</v>
      </c>
      <c r="BS26" s="577">
        <f t="shared" si="29"/>
        <v>59.47306578398436</v>
      </c>
      <c r="BT26" s="618">
        <f>AVERAGE(BP26:BS26)</f>
        <v>60.638860550367582</v>
      </c>
      <c r="BU26" s="577">
        <f t="shared" si="29"/>
        <v>57.358475673079376</v>
      </c>
      <c r="BV26" s="577">
        <f t="shared" si="29"/>
        <v>57.358475673079376</v>
      </c>
      <c r="BW26" s="577">
        <f t="shared" si="29"/>
        <v>57.358475673079376</v>
      </c>
      <c r="BX26" s="577">
        <f t="shared" si="29"/>
        <v>57.358475673079376</v>
      </c>
      <c r="BY26" s="618">
        <f>AVERAGE(BU26:BX26)</f>
        <v>57.358475673079376</v>
      </c>
      <c r="BZ26" s="577">
        <f t="shared" si="29"/>
        <v>57.718419453018186</v>
      </c>
      <c r="CA26" s="577">
        <f t="shared" si="29"/>
        <v>58.080592093505764</v>
      </c>
      <c r="CB26" s="577">
        <f t="shared" si="29"/>
        <v>58.445007396195635</v>
      </c>
      <c r="CC26" s="577">
        <f t="shared" si="29"/>
        <v>58.811679248204605</v>
      </c>
      <c r="CD26" s="618">
        <f>AVERAGE(BZ26:CC26)</f>
        <v>58.263924547731051</v>
      </c>
      <c r="CE26" s="5"/>
      <c r="CF26" s="5"/>
      <c r="CG26" s="47" t="s">
        <v>1975</v>
      </c>
      <c r="CH26" s="155">
        <f t="shared" si="20"/>
        <v>55.48</v>
      </c>
      <c r="CI26" s="155">
        <f t="shared" si="10"/>
        <v>59.13</v>
      </c>
      <c r="CJ26" s="155">
        <f t="shared" si="11"/>
        <v>36.520000000000003</v>
      </c>
      <c r="CK26" s="155">
        <f t="shared" si="12"/>
        <v>59.95</v>
      </c>
      <c r="CL26" s="155">
        <f t="shared" si="13"/>
        <v>49.7</v>
      </c>
      <c r="CM26" s="155">
        <f t="shared" si="21"/>
        <v>20.010000000000002</v>
      </c>
      <c r="CN26" s="155">
        <f t="shared" si="14"/>
        <v>52.09</v>
      </c>
      <c r="CP26" s="47" t="s">
        <v>1975</v>
      </c>
      <c r="CQ26" s="155">
        <f t="shared" si="15"/>
        <v>6.95</v>
      </c>
      <c r="CR26" s="155">
        <f t="shared" si="23"/>
        <v>118.13500000000001</v>
      </c>
      <c r="CS26" s="155">
        <f t="shared" si="22"/>
        <v>57.16</v>
      </c>
      <c r="CT26" s="155">
        <f t="shared" si="16"/>
        <v>8.91</v>
      </c>
      <c r="CU26" s="155">
        <f t="shared" si="17"/>
        <v>3.89</v>
      </c>
      <c r="CV26" s="155">
        <f t="shared" si="18"/>
        <v>4.9400000000000004</v>
      </c>
      <c r="CW26" s="155">
        <f t="shared" si="19"/>
        <v>5.08</v>
      </c>
      <c r="CY26" s="440"/>
      <c r="CZ26" s="440"/>
      <c r="DB26" s="440"/>
      <c r="DC26" s="440"/>
    </row>
    <row r="27" spans="1:107">
      <c r="A27" s="121"/>
      <c r="B27" s="4"/>
      <c r="C27" s="108"/>
      <c r="D27" s="108"/>
      <c r="E27" s="109"/>
      <c r="F27" s="577"/>
      <c r="G27" s="577"/>
      <c r="H27" s="577"/>
      <c r="I27" s="577"/>
      <c r="J27" s="577"/>
      <c r="K27" s="577"/>
      <c r="L27" s="577"/>
      <c r="M27" s="577"/>
      <c r="N27" s="577"/>
      <c r="O27" s="577"/>
      <c r="P27" s="577"/>
      <c r="Q27" s="577"/>
      <c r="R27" s="577"/>
      <c r="S27" s="577"/>
      <c r="T27" s="577"/>
      <c r="U27" s="577"/>
      <c r="V27" s="577"/>
      <c r="W27" s="577"/>
      <c r="X27" s="577"/>
      <c r="Y27" s="577"/>
      <c r="Z27" s="577"/>
      <c r="AA27" s="577"/>
      <c r="AB27" s="577"/>
      <c r="AC27" s="577"/>
      <c r="AD27" s="577"/>
      <c r="AE27" s="577"/>
      <c r="AF27" s="577"/>
      <c r="AG27" s="577"/>
      <c r="AH27" s="577"/>
      <c r="AI27" s="577"/>
      <c r="AJ27" s="577"/>
      <c r="AK27" s="618"/>
      <c r="AL27" s="577"/>
      <c r="AM27" s="577"/>
      <c r="AN27" s="577"/>
      <c r="AO27" s="577"/>
      <c r="AP27" s="618"/>
      <c r="AQ27" s="577"/>
      <c r="AR27" s="577"/>
      <c r="AS27" s="577"/>
      <c r="AT27" s="577"/>
      <c r="AU27" s="618"/>
      <c r="AV27" s="577"/>
      <c r="AW27" s="577"/>
      <c r="AX27" s="577"/>
      <c r="AY27" s="577"/>
      <c r="AZ27" s="618"/>
      <c r="BA27" s="577"/>
      <c r="BB27" s="577"/>
      <c r="BC27" s="577"/>
      <c r="BD27" s="577"/>
      <c r="BE27" s="618"/>
      <c r="BF27" s="577"/>
      <c r="BG27" s="577"/>
      <c r="BH27" s="577"/>
      <c r="BI27" s="577"/>
      <c r="BJ27" s="618"/>
      <c r="BK27" s="577"/>
      <c r="BL27" s="577"/>
      <c r="BM27" s="577"/>
      <c r="BN27" s="577"/>
      <c r="BO27" s="618"/>
      <c r="BP27" s="577"/>
      <c r="BQ27" s="577"/>
      <c r="BR27" s="577"/>
      <c r="BS27" s="577"/>
      <c r="BT27" s="618"/>
      <c r="BU27" s="577"/>
      <c r="BV27" s="577"/>
      <c r="BW27" s="577"/>
      <c r="BX27" s="577"/>
      <c r="BY27" s="618"/>
      <c r="BZ27" s="577"/>
      <c r="CA27" s="577"/>
      <c r="CB27" s="577"/>
      <c r="CC27" s="577"/>
      <c r="CD27" s="618"/>
      <c r="CE27" s="5"/>
      <c r="CF27" s="5"/>
      <c r="CG27" s="47" t="s">
        <v>1976</v>
      </c>
      <c r="CH27" s="155">
        <f t="shared" si="20"/>
        <v>44.46</v>
      </c>
      <c r="CI27" s="155">
        <f t="shared" si="10"/>
        <v>43.2</v>
      </c>
      <c r="CJ27" s="155">
        <f t="shared" si="11"/>
        <v>47.59</v>
      </c>
      <c r="CK27" s="155">
        <f t="shared" si="12"/>
        <v>39.47</v>
      </c>
      <c r="CL27" s="155">
        <f t="shared" si="13"/>
        <v>40.89</v>
      </c>
      <c r="CM27" s="155">
        <f t="shared" si="21"/>
        <v>19.52</v>
      </c>
      <c r="CN27" s="155">
        <f t="shared" si="14"/>
        <v>41.26</v>
      </c>
      <c r="CP27" s="47" t="s">
        <v>1976</v>
      </c>
      <c r="CQ27" s="155">
        <f t="shared" si="15"/>
        <v>4.91</v>
      </c>
      <c r="CR27" s="155">
        <f t="shared" si="23"/>
        <v>85.284999999999997</v>
      </c>
      <c r="CS27" s="155">
        <f t="shared" si="22"/>
        <v>46.8</v>
      </c>
      <c r="CT27" s="155">
        <f t="shared" si="16"/>
        <v>5.56</v>
      </c>
      <c r="CU27" s="155">
        <f t="shared" si="17"/>
        <v>3.38</v>
      </c>
      <c r="CV27" s="155">
        <f t="shared" si="18"/>
        <v>3.41</v>
      </c>
      <c r="CW27" s="155">
        <f t="shared" si="19"/>
        <v>3.63</v>
      </c>
      <c r="CY27" s="440"/>
      <c r="CZ27" s="440"/>
      <c r="DB27" s="440"/>
      <c r="DC27" s="440"/>
    </row>
    <row r="28" spans="1:107">
      <c r="A28" s="121"/>
      <c r="B28" s="121"/>
      <c r="C28" s="108"/>
      <c r="D28" s="108"/>
      <c r="E28" s="108"/>
      <c r="F28" s="618"/>
      <c r="G28" s="618"/>
      <c r="H28" s="618"/>
      <c r="I28" s="618"/>
      <c r="J28" s="618"/>
      <c r="K28" s="618"/>
      <c r="L28" s="618"/>
      <c r="M28" s="618"/>
      <c r="N28" s="618"/>
      <c r="O28" s="618"/>
      <c r="P28" s="618"/>
      <c r="Q28" s="618"/>
      <c r="R28" s="618"/>
      <c r="S28" s="618"/>
      <c r="T28" s="618"/>
      <c r="U28" s="618"/>
      <c r="V28" s="618"/>
      <c r="W28" s="618"/>
      <c r="X28" s="618"/>
      <c r="Y28" s="618"/>
      <c r="Z28" s="618"/>
      <c r="AA28" s="618"/>
      <c r="AB28" s="618"/>
      <c r="AC28" s="618"/>
      <c r="AD28" s="618"/>
      <c r="AE28" s="618"/>
      <c r="AF28" s="618"/>
      <c r="AG28" s="618"/>
      <c r="AH28" s="618"/>
      <c r="AI28" s="618"/>
      <c r="AJ28" s="618"/>
      <c r="AK28" s="618"/>
      <c r="AL28" s="618"/>
      <c r="AM28" s="618"/>
      <c r="AN28" s="618"/>
      <c r="AO28" s="618"/>
      <c r="AP28" s="618"/>
      <c r="AQ28" s="618"/>
      <c r="AR28" s="618"/>
      <c r="AS28" s="618"/>
      <c r="AT28" s="618"/>
      <c r="AU28" s="618"/>
      <c r="AV28" s="618"/>
      <c r="AW28" s="618"/>
      <c r="AX28" s="618"/>
      <c r="AY28" s="618"/>
      <c r="AZ28" s="618"/>
      <c r="BA28" s="618"/>
      <c r="BB28" s="618"/>
      <c r="BC28" s="618"/>
      <c r="BD28" s="618"/>
      <c r="BE28" s="618"/>
      <c r="BF28" s="618"/>
      <c r="BG28" s="618"/>
      <c r="BH28" s="618"/>
      <c r="BI28" s="618"/>
      <c r="BJ28" s="618"/>
      <c r="BK28" s="618"/>
      <c r="BL28" s="618"/>
      <c r="BM28" s="618"/>
      <c r="BN28" s="618"/>
      <c r="BO28" s="618"/>
      <c r="BP28" s="618"/>
      <c r="BQ28" s="618"/>
      <c r="BR28" s="618"/>
      <c r="BS28" s="618"/>
      <c r="BT28" s="618"/>
      <c r="BU28" s="618"/>
      <c r="BV28" s="618"/>
      <c r="BW28" s="618"/>
      <c r="BX28" s="618"/>
      <c r="BY28" s="618"/>
      <c r="BZ28" s="618"/>
      <c r="CA28" s="618"/>
      <c r="CB28" s="618"/>
      <c r="CC28" s="618"/>
      <c r="CD28" s="618"/>
      <c r="CE28" s="5"/>
      <c r="CF28" s="5"/>
      <c r="CG28" s="47" t="s">
        <v>1977</v>
      </c>
      <c r="CH28" s="155">
        <f t="shared" si="20"/>
        <v>59.13</v>
      </c>
      <c r="CI28" s="155">
        <f t="shared" si="10"/>
        <v>59.71</v>
      </c>
      <c r="CJ28" s="155">
        <f t="shared" si="11"/>
        <v>60.69</v>
      </c>
      <c r="CK28" s="155">
        <f t="shared" si="12"/>
        <v>47.45</v>
      </c>
      <c r="CL28" s="155">
        <f t="shared" si="13"/>
        <v>55.22</v>
      </c>
      <c r="CM28" s="155">
        <f t="shared" si="21"/>
        <v>32.630000000000003</v>
      </c>
      <c r="CN28" s="155">
        <f t="shared" si="14"/>
        <v>52.33</v>
      </c>
      <c r="CP28" s="47" t="s">
        <v>1977</v>
      </c>
      <c r="CQ28" s="155">
        <f t="shared" si="15"/>
        <v>3.51</v>
      </c>
      <c r="CR28" s="155">
        <f t="shared" si="23"/>
        <v>49.97</v>
      </c>
      <c r="CS28" s="155">
        <f t="shared" si="22"/>
        <v>27.51</v>
      </c>
      <c r="CT28" s="155">
        <f t="shared" si="16"/>
        <v>4.8600000000000003</v>
      </c>
      <c r="CU28" s="155">
        <f t="shared" si="17"/>
        <v>2.4700000000000002</v>
      </c>
      <c r="CV28" s="155">
        <f t="shared" si="18"/>
        <v>2.77</v>
      </c>
      <c r="CW28" s="155">
        <f t="shared" si="19"/>
        <v>2.86</v>
      </c>
      <c r="CY28" s="440"/>
      <c r="CZ28" s="440"/>
      <c r="DB28" s="440"/>
      <c r="DC28" s="440"/>
    </row>
    <row r="29" spans="1:107">
      <c r="A29" s="7" t="s">
        <v>2694</v>
      </c>
      <c r="B29" s="121"/>
      <c r="C29" s="108"/>
      <c r="D29" s="108"/>
      <c r="E29" s="108"/>
      <c r="F29" s="618"/>
      <c r="G29" s="618"/>
      <c r="H29" s="618"/>
      <c r="I29" s="618"/>
      <c r="J29" s="618"/>
      <c r="K29" s="618"/>
      <c r="L29" s="618"/>
      <c r="M29" s="618"/>
      <c r="N29" s="618"/>
      <c r="O29" s="618"/>
      <c r="P29" s="618"/>
      <c r="Q29" s="618"/>
      <c r="R29" s="618"/>
      <c r="S29" s="618"/>
      <c r="T29" s="618"/>
      <c r="U29" s="618"/>
      <c r="V29" s="618"/>
      <c r="W29" s="618"/>
      <c r="X29" s="618"/>
      <c r="Y29" s="618"/>
      <c r="Z29" s="618"/>
      <c r="AA29" s="618"/>
      <c r="AB29" s="618"/>
      <c r="AC29" s="618"/>
      <c r="AD29" s="618"/>
      <c r="AE29" s="618"/>
      <c r="AF29" s="618"/>
      <c r="AG29" s="618"/>
      <c r="AH29" s="618"/>
      <c r="AI29" s="618"/>
      <c r="AJ29" s="618"/>
      <c r="AK29" s="618"/>
      <c r="AL29" s="618"/>
      <c r="AM29" s="618"/>
      <c r="AN29" s="618"/>
      <c r="AO29" s="618"/>
      <c r="AP29" s="618"/>
      <c r="AQ29" s="618"/>
      <c r="AR29" s="618"/>
      <c r="AS29" s="618"/>
      <c r="AT29" s="618"/>
      <c r="AU29" s="618"/>
      <c r="AV29" s="618"/>
      <c r="AW29" s="618"/>
      <c r="AX29" s="618"/>
      <c r="AY29" s="618"/>
      <c r="AZ29" s="618"/>
      <c r="BA29" s="618"/>
      <c r="BB29" s="618"/>
      <c r="BC29" s="618"/>
      <c r="BD29" s="618"/>
      <c r="BE29" s="618"/>
      <c r="BF29" s="618"/>
      <c r="BG29" s="618"/>
      <c r="BH29" s="618"/>
      <c r="BI29" s="618"/>
      <c r="BJ29" s="618"/>
      <c r="BK29" s="618"/>
      <c r="BL29" s="618"/>
      <c r="BM29" s="618"/>
      <c r="BN29" s="618"/>
      <c r="BO29" s="618"/>
      <c r="BP29" s="618"/>
      <c r="BQ29" s="618"/>
      <c r="BR29" s="618"/>
      <c r="BS29" s="618"/>
      <c r="BT29" s="618"/>
      <c r="BU29" s="618"/>
      <c r="BV29" s="618"/>
      <c r="BW29" s="618"/>
      <c r="BX29" s="618"/>
      <c r="BY29" s="618"/>
      <c r="BZ29" s="618"/>
      <c r="CA29" s="618"/>
      <c r="CB29" s="618"/>
      <c r="CC29" s="618"/>
      <c r="CD29" s="618"/>
      <c r="CE29" s="5"/>
      <c r="CF29" s="5"/>
      <c r="CG29" s="47" t="s">
        <v>1978</v>
      </c>
      <c r="CH29" s="155">
        <f t="shared" si="20"/>
        <v>68.08</v>
      </c>
      <c r="CI29" s="155">
        <f t="shared" si="10"/>
        <v>68.12</v>
      </c>
      <c r="CJ29" s="155">
        <f t="shared" si="11"/>
        <v>67.31</v>
      </c>
      <c r="CK29" s="155">
        <f t="shared" si="12"/>
        <v>60.3</v>
      </c>
      <c r="CL29" s="155">
        <f t="shared" si="13"/>
        <v>64.209999999999994</v>
      </c>
      <c r="CM29" s="155">
        <f t="shared" si="21"/>
        <v>35.549999999999997</v>
      </c>
      <c r="CN29" s="155">
        <f t="shared" si="14"/>
        <v>62.77</v>
      </c>
      <c r="CP29" s="47" t="s">
        <v>1978</v>
      </c>
      <c r="CQ29" s="155">
        <f t="shared" si="15"/>
        <v>3.39</v>
      </c>
      <c r="CR29" s="155">
        <f t="shared" si="23"/>
        <v>51.795000000000002</v>
      </c>
      <c r="CS29" s="155">
        <f t="shared" si="22"/>
        <v>21.57</v>
      </c>
      <c r="CT29" s="155">
        <f t="shared" si="16"/>
        <v>2.96</v>
      </c>
      <c r="CU29" s="155">
        <f t="shared" si="17"/>
        <v>2.73</v>
      </c>
      <c r="CV29" s="155">
        <f t="shared" si="18"/>
        <v>2.84</v>
      </c>
      <c r="CW29" s="155">
        <f t="shared" si="19"/>
        <v>2.81</v>
      </c>
      <c r="CY29" s="440"/>
      <c r="CZ29" s="440"/>
      <c r="DB29" s="440"/>
      <c r="DC29" s="440"/>
    </row>
    <row r="30" spans="1:107">
      <c r="A30" s="121"/>
      <c r="B30" s="121" t="s">
        <v>728</v>
      </c>
      <c r="C30" s="182"/>
      <c r="D30" s="182"/>
      <c r="E30" s="182"/>
      <c r="F30" s="618">
        <v>5.1100000000000003</v>
      </c>
      <c r="G30" s="618">
        <v>6.78</v>
      </c>
      <c r="H30" s="577">
        <v>6.91</v>
      </c>
      <c r="I30" s="577">
        <v>5.44</v>
      </c>
      <c r="J30" s="577">
        <v>5.51</v>
      </c>
      <c r="K30" s="577">
        <v>5.03</v>
      </c>
      <c r="L30" s="618">
        <v>5.74</v>
      </c>
      <c r="M30" s="577">
        <v>5.76</v>
      </c>
      <c r="N30" s="577">
        <v>5.94</v>
      </c>
      <c r="O30" s="577">
        <v>4.6399999999999997</v>
      </c>
      <c r="P30" s="577">
        <v>5.41</v>
      </c>
      <c r="Q30" s="618">
        <v>5.43</v>
      </c>
      <c r="R30" s="577">
        <v>6.73</v>
      </c>
      <c r="S30" s="577">
        <v>8.76</v>
      </c>
      <c r="T30" s="577">
        <v>7.88</v>
      </c>
      <c r="U30" s="577">
        <v>3.89</v>
      </c>
      <c r="V30" s="618">
        <v>6.77</v>
      </c>
      <c r="W30" s="577">
        <v>3.38</v>
      </c>
      <c r="X30" s="577">
        <v>2.4700000000000002</v>
      </c>
      <c r="Y30" s="577">
        <v>2.73</v>
      </c>
      <c r="Z30" s="577">
        <v>3.69</v>
      </c>
      <c r="AA30" s="618">
        <v>3.07</v>
      </c>
      <c r="AB30" s="577">
        <v>4.84</v>
      </c>
      <c r="AC30" s="577">
        <v>3.52</v>
      </c>
      <c r="AD30" s="577">
        <v>3.73</v>
      </c>
      <c r="AE30" s="577">
        <v>3.31</v>
      </c>
      <c r="AF30" s="618">
        <v>3.88</v>
      </c>
      <c r="AG30" s="577">
        <v>3.2</v>
      </c>
      <c r="AH30" s="577">
        <v>3.61</v>
      </c>
      <c r="AI30" s="577">
        <v>3.48</v>
      </c>
      <c r="AJ30" s="577">
        <v>3.07</v>
      </c>
      <c r="AK30" s="618">
        <f>AVERAGE(AG30:AJ30)</f>
        <v>3.3400000000000003</v>
      </c>
      <c r="AL30" s="577">
        <v>2.2400000000000002</v>
      </c>
      <c r="AM30" s="577">
        <v>1.91</v>
      </c>
      <c r="AN30" s="577">
        <v>2.54</v>
      </c>
      <c r="AO30" s="577">
        <v>2.62</v>
      </c>
      <c r="AP30" s="618">
        <f>AVERAGE(AL30:AO30)</f>
        <v>2.3275000000000001</v>
      </c>
      <c r="AQ30" s="577">
        <v>2.92</v>
      </c>
      <c r="AR30" s="577">
        <v>3.37</v>
      </c>
      <c r="AS30" s="577">
        <v>2.91</v>
      </c>
      <c r="AT30" s="577">
        <v>3.08</v>
      </c>
      <c r="AU30" s="618">
        <f>AVERAGE(AQ30:AT30)</f>
        <v>3.07</v>
      </c>
      <c r="AV30" s="577">
        <v>4.62</v>
      </c>
      <c r="AW30" s="577">
        <v>3.86</v>
      </c>
      <c r="AX30" s="577">
        <v>3.48</v>
      </c>
      <c r="AY30" s="577">
        <v>3.3</v>
      </c>
      <c r="AZ30" s="618">
        <f>AVERAGE(AV30:AY30)</f>
        <v>3.8150000000000004</v>
      </c>
      <c r="BA30" s="577">
        <v>2.39</v>
      </c>
      <c r="BB30" s="577">
        <v>2.15</v>
      </c>
      <c r="BC30" s="577">
        <v>2.1800000000000002</v>
      </c>
      <c r="BD30" s="577">
        <v>1.71</v>
      </c>
      <c r="BE30" s="618">
        <f>AVERAGE(BA30:BD30)</f>
        <v>2.1074999999999999</v>
      </c>
      <c r="BF30" s="577">
        <v>1.57</v>
      </c>
      <c r="BG30" s="577">
        <v>1.53</v>
      </c>
      <c r="BH30" s="577">
        <v>2.19</v>
      </c>
      <c r="BI30" s="577">
        <v>2.29</v>
      </c>
      <c r="BJ30" s="618">
        <f>AVERAGE(BF30:BI30)</f>
        <v>1.895</v>
      </c>
      <c r="BK30" s="577">
        <v>2.5</v>
      </c>
      <c r="BL30" s="577">
        <v>2.3199999999999998</v>
      </c>
      <c r="BM30" s="577">
        <v>2.34</v>
      </c>
      <c r="BN30" s="577">
        <v>2.2799999999999998</v>
      </c>
      <c r="BO30" s="618">
        <f>AVERAGE(BK30:BN30)</f>
        <v>2.36</v>
      </c>
      <c r="BP30" s="577">
        <f>BP19*$CU$10+$CU$11</f>
        <v>2.421403504611082</v>
      </c>
      <c r="BQ30" s="577">
        <f>BQ19*$CU$10+$CU$11</f>
        <v>2.275128712884217</v>
      </c>
      <c r="BR30" s="577">
        <f>BR19*$CU$10+$CU$11</f>
        <v>2.3290194256256935</v>
      </c>
      <c r="BS30" s="577">
        <f>BS19*$CU$10+$CU$11</f>
        <v>2.4521981976062115</v>
      </c>
      <c r="BT30" s="618">
        <f>AVERAGE(BP30:BS30)</f>
        <v>2.3694374601818011</v>
      </c>
      <c r="BU30" s="577">
        <f>BU19*$CU$10+$CU$11</f>
        <v>2.2905260593817816</v>
      </c>
      <c r="BV30" s="577">
        <f>BV19*$CU$10+$CU$11</f>
        <v>2.2905260593817816</v>
      </c>
      <c r="BW30" s="577">
        <f>BW19*$CU$10+$CU$11</f>
        <v>2.2905260593817816</v>
      </c>
      <c r="BX30" s="577">
        <f>BX19*$CU$10+$CU$11</f>
        <v>2.2905260593817816</v>
      </c>
      <c r="BY30" s="618">
        <f>AVERAGE(BU30:BX30)</f>
        <v>2.2905260593817816</v>
      </c>
      <c r="BZ30" s="577">
        <f>BZ19*$CU$10+$CU$11</f>
        <v>2.3038265700190173</v>
      </c>
      <c r="CA30" s="577">
        <f>CA19*$CU$10+$CU$11</f>
        <v>2.3172094406943757</v>
      </c>
      <c r="CB30" s="577">
        <f>CB19*$CU$10+$CU$11</f>
        <v>2.3306751814014999</v>
      </c>
      <c r="CC30" s="577">
        <f>CC19*$CU$10+$CU$11</f>
        <v>2.3442243052920397</v>
      </c>
      <c r="CD30" s="618">
        <f>AVERAGE(BZ30:CC30)</f>
        <v>2.3239838743517329</v>
      </c>
      <c r="CE30" s="5"/>
      <c r="CF30" s="5"/>
      <c r="CG30" s="47" t="s">
        <v>1979</v>
      </c>
      <c r="CH30" s="155">
        <f t="shared" si="20"/>
        <v>74.53</v>
      </c>
      <c r="CI30" s="155">
        <f t="shared" si="10"/>
        <v>75.97</v>
      </c>
      <c r="CJ30" s="155">
        <f t="shared" si="11"/>
        <v>71.680000000000007</v>
      </c>
      <c r="CK30" s="155">
        <f t="shared" si="12"/>
        <v>66.150000000000006</v>
      </c>
      <c r="CL30" s="155">
        <f t="shared" si="13"/>
        <v>68.95</v>
      </c>
      <c r="CM30" s="155">
        <f t="shared" si="21"/>
        <v>35.83</v>
      </c>
      <c r="CN30" s="155">
        <f t="shared" si="14"/>
        <v>68.02</v>
      </c>
      <c r="CP30" s="47" t="s">
        <v>1979</v>
      </c>
      <c r="CQ30" s="155">
        <f t="shared" si="15"/>
        <v>4.16</v>
      </c>
      <c r="CR30" s="155">
        <f t="shared" si="23"/>
        <v>63.605000000000004</v>
      </c>
      <c r="CS30" s="155">
        <f t="shared" si="22"/>
        <v>27.75</v>
      </c>
      <c r="CT30" s="155">
        <f t="shared" si="16"/>
        <v>4.96</v>
      </c>
      <c r="CU30" s="155">
        <f t="shared" si="17"/>
        <v>3.69</v>
      </c>
      <c r="CV30" s="155">
        <f t="shared" si="18"/>
        <v>3.51</v>
      </c>
      <c r="CW30" s="155">
        <f t="shared" si="19"/>
        <v>3.68</v>
      </c>
      <c r="CY30" s="440"/>
      <c r="CZ30" s="440"/>
      <c r="DB30" s="440"/>
      <c r="DC30" s="440"/>
    </row>
    <row r="31" spans="1:107">
      <c r="A31" s="121"/>
      <c r="B31" s="121" t="s">
        <v>305</v>
      </c>
      <c r="C31" s="182"/>
      <c r="D31" s="182"/>
      <c r="E31" s="182"/>
      <c r="F31" s="618">
        <v>4.32</v>
      </c>
      <c r="G31" s="618">
        <v>5.53</v>
      </c>
      <c r="H31" s="577">
        <v>7.87</v>
      </c>
      <c r="I31" s="577">
        <v>5.67</v>
      </c>
      <c r="J31" s="577">
        <v>5.55</v>
      </c>
      <c r="K31" s="577">
        <v>5.61</v>
      </c>
      <c r="L31" s="618">
        <v>6.33</v>
      </c>
      <c r="M31" s="577">
        <v>7.23</v>
      </c>
      <c r="N31" s="577">
        <v>4.88</v>
      </c>
      <c r="O31" s="577">
        <v>4.8899999999999997</v>
      </c>
      <c r="P31" s="577">
        <v>7.78</v>
      </c>
      <c r="Q31" s="618">
        <v>6.38</v>
      </c>
      <c r="R31" s="577">
        <v>7.99</v>
      </c>
      <c r="S31" s="577">
        <v>8.3699999999999992</v>
      </c>
      <c r="T31" s="577">
        <v>8.17</v>
      </c>
      <c r="U31" s="577">
        <v>8.91</v>
      </c>
      <c r="V31" s="618">
        <v>8.3699999999999992</v>
      </c>
      <c r="W31" s="577">
        <v>5.56</v>
      </c>
      <c r="X31" s="577">
        <v>4.8600000000000003</v>
      </c>
      <c r="Y31" s="577">
        <v>2.96</v>
      </c>
      <c r="Z31" s="577">
        <v>4.96</v>
      </c>
      <c r="AA31" s="618">
        <v>4.75</v>
      </c>
      <c r="AB31" s="577">
        <v>4.91</v>
      </c>
      <c r="AC31" s="577">
        <v>5.14</v>
      </c>
      <c r="AD31" s="577">
        <v>5.59</v>
      </c>
      <c r="AE31" s="577">
        <v>6.76</v>
      </c>
      <c r="AF31" s="618">
        <v>5.49</v>
      </c>
      <c r="AG31" s="577">
        <v>7.04</v>
      </c>
      <c r="AH31" s="577">
        <v>7.82</v>
      </c>
      <c r="AI31" s="577">
        <v>8.14</v>
      </c>
      <c r="AJ31" s="577">
        <v>9.11</v>
      </c>
      <c r="AK31" s="618">
        <f>AVERAGE(AG31:AJ31)</f>
        <v>8.0274999999999999</v>
      </c>
      <c r="AL31" s="577">
        <v>7.83</v>
      </c>
      <c r="AM31" s="577">
        <v>9.06</v>
      </c>
      <c r="AN31" s="577">
        <v>8.4600000000000009</v>
      </c>
      <c r="AO31" s="577">
        <v>9.33</v>
      </c>
      <c r="AP31" s="618">
        <f>AVERAGE(AL31:AO31)</f>
        <v>8.67</v>
      </c>
      <c r="AQ31" s="577">
        <v>9.7799999999999994</v>
      </c>
      <c r="AR31" s="577">
        <v>9.3699999999999992</v>
      </c>
      <c r="AS31" s="577">
        <v>9.7200000000000006</v>
      </c>
      <c r="AT31" s="577">
        <v>9.9499999999999993</v>
      </c>
      <c r="AU31" s="618">
        <f>AVERAGE(AQ31:AT31)</f>
        <v>9.7049999999999983</v>
      </c>
      <c r="AV31" s="577">
        <v>9.76</v>
      </c>
      <c r="AW31" s="577">
        <v>8.07</v>
      </c>
      <c r="AX31" s="577">
        <v>6.41</v>
      </c>
      <c r="AY31" s="577">
        <v>8.19</v>
      </c>
      <c r="AZ31" s="618">
        <f>AVERAGE(AV31:AY31)</f>
        <v>8.1074999999999999</v>
      </c>
      <c r="BA31" s="577">
        <v>7.32</v>
      </c>
      <c r="BB31" s="577">
        <v>9.16</v>
      </c>
      <c r="BC31" s="577">
        <v>6.44</v>
      </c>
      <c r="BD31" s="577">
        <v>6.08</v>
      </c>
      <c r="BE31" s="618">
        <f>AVERAGE(BA31:BD31)</f>
        <v>7.25</v>
      </c>
      <c r="BF31" s="577">
        <v>4.3</v>
      </c>
      <c r="BG31" s="577">
        <v>4.6399999999999997</v>
      </c>
      <c r="BH31" s="577">
        <v>3.94</v>
      </c>
      <c r="BI31" s="577">
        <v>4.8099999999999996</v>
      </c>
      <c r="BJ31" s="618">
        <f>AVERAGE(BF31:BI31)</f>
        <v>4.4224999999999994</v>
      </c>
      <c r="BK31" s="577">
        <v>5.4</v>
      </c>
      <c r="BL31" s="577">
        <v>4.4800000000000004</v>
      </c>
      <c r="BM31" s="577">
        <v>5.0999999999999996</v>
      </c>
      <c r="BN31" s="577">
        <v>5.56</v>
      </c>
      <c r="BO31" s="618">
        <f>AVERAGE(BK31:BN31)</f>
        <v>5.1349999999999998</v>
      </c>
      <c r="BP31" s="577">
        <f>AVERAGE(BM12,BN12)*$CT$82+BP20*$CT$83+$CT$81</f>
        <v>6.9458581837499178</v>
      </c>
      <c r="BQ31" s="577">
        <f>AVERAGE(BN12,BP12)*$CT$82+BQ20*$CT$83+$CT$81</f>
        <v>6.8599548170389806</v>
      </c>
      <c r="BR31" s="577">
        <f>AVERAGE(BP12,BQ12)*$CT$82+BR20*$CT$83+$CT$81</f>
        <v>7.0194924485954164</v>
      </c>
      <c r="BS31" s="577">
        <f>AVERAGE(BQ12,BR12)*$CT$82+BS20*$CT$83+$CT$81</f>
        <v>7.493877400965018</v>
      </c>
      <c r="BT31" s="618">
        <f>AVERAGE(BP31:BS31)</f>
        <v>7.0797957125873339</v>
      </c>
      <c r="BU31" s="577">
        <f>AVERAGE(BR12,BS12)*$CT$82+BU20*$CT$83+$CT$81</f>
        <v>7.1504379036288919</v>
      </c>
      <c r="BV31" s="577">
        <f>AVERAGE(BS12,BU12)*$CT$82+BV20*$CT$83+$CT$81</f>
        <v>7.0915445932183783</v>
      </c>
      <c r="BW31" s="577">
        <f>AVERAGE(BU12,BV12)*$CT$82+BW20*$CT$83+$CT$81</f>
        <v>7.051165646859074</v>
      </c>
      <c r="BX31" s="577">
        <f>AVERAGE(BV12,BW12)*$CT$82+BX20*$CT$83+$CT$81</f>
        <v>7.051165646859074</v>
      </c>
      <c r="BY31" s="618">
        <f>AVERAGE(BU31:BX31)</f>
        <v>7.0860784476413556</v>
      </c>
      <c r="BZ31" s="577">
        <f>AVERAGE(BW12,BX12)*$CT$82+BZ20*$CT$83+$CT$81</f>
        <v>7.0696541175683549</v>
      </c>
      <c r="CA31" s="577">
        <f>AVERAGE(BX12,BZ12)*$CT$82+CA20*$CT$83+$CT$81</f>
        <v>7.0951303442988509</v>
      </c>
      <c r="CB31" s="577">
        <f>AVERAGE(BZ12,CA12)*$CT$82+CB20*$CT$83+$CT$81</f>
        <v>7.1276375969571104</v>
      </c>
      <c r="CC31" s="577">
        <f>AVERAGE(CA12,CB12)*$CT$82+CC20*$CT$83+$CT$81</f>
        <v>7.1603461425311998</v>
      </c>
      <c r="CD31" s="618">
        <f>AVERAGE(BZ31:CC31)</f>
        <v>7.1131920503388795</v>
      </c>
      <c r="CE31" s="5"/>
      <c r="CF31" s="5"/>
      <c r="CG31" s="47" t="s">
        <v>1980</v>
      </c>
      <c r="CH31" s="155">
        <f t="shared" si="20"/>
        <v>76.36</v>
      </c>
      <c r="CI31" s="155">
        <f t="shared" si="10"/>
        <v>78.84</v>
      </c>
      <c r="CJ31" s="155">
        <f t="shared" si="11"/>
        <v>75.709999999999994</v>
      </c>
      <c r="CK31" s="155">
        <f t="shared" si="12"/>
        <v>69.77</v>
      </c>
      <c r="CL31" s="155">
        <f t="shared" si="13"/>
        <v>72.94</v>
      </c>
      <c r="CM31" s="155">
        <f t="shared" si="21"/>
        <v>35.520000000000003</v>
      </c>
      <c r="CN31" s="155">
        <f t="shared" si="14"/>
        <v>71.86</v>
      </c>
      <c r="CP31" s="47" t="s">
        <v>1980</v>
      </c>
      <c r="CQ31" s="155">
        <f t="shared" si="15"/>
        <v>5.3</v>
      </c>
      <c r="CR31" s="155">
        <f t="shared" si="23"/>
        <v>71.305000000000007</v>
      </c>
      <c r="CS31" s="155">
        <f t="shared" si="22"/>
        <v>35.65</v>
      </c>
      <c r="CT31" s="155">
        <f t="shared" si="16"/>
        <v>4.91</v>
      </c>
      <c r="CU31" s="155">
        <f t="shared" si="17"/>
        <v>4.84</v>
      </c>
      <c r="CV31" s="155">
        <f t="shared" si="18"/>
        <v>3.9</v>
      </c>
      <c r="CW31" s="155">
        <f t="shared" si="19"/>
        <v>4.26</v>
      </c>
      <c r="CY31" s="440"/>
      <c r="CZ31" s="440"/>
      <c r="DB31" s="440"/>
      <c r="DC31" s="440"/>
    </row>
    <row r="32" spans="1:107">
      <c r="A32" s="121"/>
      <c r="B32" s="121" t="s">
        <v>2012</v>
      </c>
      <c r="C32" s="182"/>
      <c r="D32" s="182"/>
      <c r="E32" s="182"/>
      <c r="F32" s="618">
        <v>2.74</v>
      </c>
      <c r="G32" s="618">
        <v>3.46</v>
      </c>
      <c r="H32" s="577">
        <v>3.94</v>
      </c>
      <c r="I32" s="577">
        <v>3.54</v>
      </c>
      <c r="J32" s="577">
        <v>3.62</v>
      </c>
      <c r="K32" s="577">
        <v>3.7</v>
      </c>
      <c r="L32" s="618">
        <v>3.7</v>
      </c>
      <c r="M32" s="577">
        <v>3.9</v>
      </c>
      <c r="N32" s="577">
        <v>3.56</v>
      </c>
      <c r="O32" s="577">
        <v>3.42</v>
      </c>
      <c r="P32" s="577">
        <v>3.94</v>
      </c>
      <c r="Q32" s="618">
        <v>3.71</v>
      </c>
      <c r="R32" s="577">
        <v>4.97</v>
      </c>
      <c r="S32" s="577">
        <v>5.26</v>
      </c>
      <c r="T32" s="577">
        <v>5.61</v>
      </c>
      <c r="U32" s="577">
        <v>4.9400000000000004</v>
      </c>
      <c r="V32" s="618">
        <v>5.19</v>
      </c>
      <c r="W32" s="577">
        <v>3.41</v>
      </c>
      <c r="X32" s="577">
        <v>2.77</v>
      </c>
      <c r="Y32" s="577">
        <v>2.84</v>
      </c>
      <c r="Z32" s="577">
        <v>3.51</v>
      </c>
      <c r="AA32" s="618">
        <v>3.14</v>
      </c>
      <c r="AB32" s="577">
        <v>3.9</v>
      </c>
      <c r="AC32" s="577">
        <v>3.71</v>
      </c>
      <c r="AD32" s="577">
        <v>3.87</v>
      </c>
      <c r="AE32" s="577">
        <v>4.05</v>
      </c>
      <c r="AF32" s="618">
        <v>3.86</v>
      </c>
      <c r="AG32" s="577">
        <v>4.41</v>
      </c>
      <c r="AH32" s="577">
        <v>4.63</v>
      </c>
      <c r="AI32" s="577">
        <v>5.42</v>
      </c>
      <c r="AJ32" s="577">
        <v>5.45</v>
      </c>
      <c r="AK32" s="618">
        <f>AVERAGE(AG32:AJ32)</f>
        <v>4.9775</v>
      </c>
      <c r="AL32" s="577">
        <v>5.34</v>
      </c>
      <c r="AM32" s="577">
        <v>5.09</v>
      </c>
      <c r="AN32" s="577">
        <v>5.31</v>
      </c>
      <c r="AO32" s="577">
        <v>5.58</v>
      </c>
      <c r="AP32" s="618">
        <f>AVERAGE(AL32:AO32)</f>
        <v>5.33</v>
      </c>
      <c r="AQ32" s="577">
        <v>6.12</v>
      </c>
      <c r="AR32" s="577">
        <v>5.89</v>
      </c>
      <c r="AS32" s="577">
        <v>5.67</v>
      </c>
      <c r="AT32" s="577">
        <v>6.21</v>
      </c>
      <c r="AU32" s="618">
        <f>AVERAGE(AQ32:AT32)</f>
        <v>5.9725000000000001</v>
      </c>
      <c r="AV32" s="577">
        <v>6.62</v>
      </c>
      <c r="AW32" s="577">
        <v>6.31</v>
      </c>
      <c r="AX32" s="577">
        <v>6.15</v>
      </c>
      <c r="AY32" s="577">
        <v>6.33</v>
      </c>
      <c r="AZ32" s="618">
        <f>AVERAGE(AV32:AY32)</f>
        <v>6.3524999999999991</v>
      </c>
      <c r="BA32" s="577">
        <v>5.05</v>
      </c>
      <c r="BB32" s="577">
        <v>4.05</v>
      </c>
      <c r="BC32" s="577">
        <v>3.88</v>
      </c>
      <c r="BD32" s="577">
        <v>4</v>
      </c>
      <c r="BE32" s="618">
        <f>AVERAGE(BA32:BD32)</f>
        <v>4.2450000000000001</v>
      </c>
      <c r="BF32" s="577">
        <v>3.31</v>
      </c>
      <c r="BG32" s="577">
        <v>3.1</v>
      </c>
      <c r="BH32" s="577">
        <v>2.98</v>
      </c>
      <c r="BI32" s="577">
        <v>3.35</v>
      </c>
      <c r="BJ32" s="618">
        <f>AVERAGE(BF32:BI32)</f>
        <v>3.1850000000000001</v>
      </c>
      <c r="BK32" s="577">
        <v>3.85</v>
      </c>
      <c r="BL32" s="577">
        <v>3.47</v>
      </c>
      <c r="BM32" s="577">
        <v>3.03</v>
      </c>
      <c r="BN32" s="577">
        <v>3.51</v>
      </c>
      <c r="BO32" s="618">
        <f>AVERAGE(BK32:BN32)</f>
        <v>3.4649999999999999</v>
      </c>
      <c r="BP32" s="577">
        <f>AVERAGE(BM12,BN12)*$CV$10+$CV$11</f>
        <v>3.5280681943281262</v>
      </c>
      <c r="BQ32" s="577">
        <f>AVERAGE(BN12,BP12)*$CV$10+$CV$11</f>
        <v>3.8179688704990125</v>
      </c>
      <c r="BR32" s="577">
        <f>AVERAGE(BP12,BQ12)*$CV$10+$CV$11</f>
        <v>3.9407618168367149</v>
      </c>
      <c r="BS32" s="577">
        <f>AVERAGE(BQ12,BR12)*$CV$10+$CV$11</f>
        <v>3.928267780961336</v>
      </c>
      <c r="BT32" s="618">
        <f>AVERAGE(BP32:BS32)</f>
        <v>3.8037666656562972</v>
      </c>
      <c r="BU32" s="577">
        <f>AVERAGE(BR12,BS12)*$CV$10+$CV$11</f>
        <v>3.8831721202236427</v>
      </c>
      <c r="BV32" s="577">
        <f>AVERAGE(BS12,BU12)*$CV$10+$CV$11</f>
        <v>3.8179688704990125</v>
      </c>
      <c r="BW32" s="577">
        <f>AVERAGE(BU12,BV12)*$CV$10+$CV$11</f>
        <v>3.7732636483824247</v>
      </c>
      <c r="BX32" s="577">
        <f>AVERAGE(BV12,BW12)*$CV$10+$CV$11</f>
        <v>3.7732636483824247</v>
      </c>
      <c r="BY32" s="618">
        <f>AVERAGE(BU32:BX32)</f>
        <v>3.8119170718718762</v>
      </c>
      <c r="BZ32" s="577">
        <f>AVERAGE(BW12,BX12)*$CV$10+$CV$11</f>
        <v>3.7732636483824247</v>
      </c>
      <c r="CA32" s="577">
        <f>AVERAGE(BX12,BZ12)*$CV$10+$CV$11</f>
        <v>3.7808733343204537</v>
      </c>
      <c r="CB32" s="577">
        <f>AVERAGE(BZ12,CA12)*$CV$10+$CV$11</f>
        <v>3.7961398272463005</v>
      </c>
      <c r="CC32" s="577">
        <f>AVERAGE(CA12,CB12)*$CV$10+$CV$11</f>
        <v>3.8115008540568729</v>
      </c>
      <c r="CD32" s="618">
        <f>AVERAGE(BZ32:CC32)</f>
        <v>3.7904444160015132</v>
      </c>
      <c r="CE32" s="5"/>
      <c r="CF32" s="5"/>
      <c r="CG32" s="47" t="s">
        <v>1981</v>
      </c>
      <c r="CH32" s="155">
        <f t="shared" si="20"/>
        <v>78.239999999999995</v>
      </c>
      <c r="CI32" s="155">
        <f t="shared" si="10"/>
        <v>77.81</v>
      </c>
      <c r="CJ32" s="155">
        <f t="shared" si="11"/>
        <v>75.459999999999994</v>
      </c>
      <c r="CK32" s="155">
        <f t="shared" si="12"/>
        <v>70.77</v>
      </c>
      <c r="CL32" s="155">
        <f t="shared" si="13"/>
        <v>74.44</v>
      </c>
      <c r="CM32" s="155">
        <f t="shared" si="21"/>
        <v>35.61</v>
      </c>
      <c r="CN32" s="155">
        <f t="shared" si="14"/>
        <v>72.900000000000006</v>
      </c>
      <c r="CP32" s="47" t="s">
        <v>1981</v>
      </c>
      <c r="CQ32" s="155">
        <f t="shared" si="15"/>
        <v>4.09</v>
      </c>
      <c r="CR32" s="155">
        <f t="shared" si="23"/>
        <v>75.444999999999993</v>
      </c>
      <c r="CS32" s="155">
        <f t="shared" si="22"/>
        <v>38.26</v>
      </c>
      <c r="CT32" s="155">
        <f t="shared" si="16"/>
        <v>5.14</v>
      </c>
      <c r="CU32" s="155">
        <f t="shared" si="17"/>
        <v>3.52</v>
      </c>
      <c r="CV32" s="155">
        <f t="shared" si="18"/>
        <v>3.71</v>
      </c>
      <c r="CW32" s="155">
        <f t="shared" si="19"/>
        <v>3.76</v>
      </c>
      <c r="CY32" s="440"/>
      <c r="CZ32" s="440"/>
      <c r="DB32" s="440"/>
      <c r="DC32" s="440"/>
    </row>
    <row r="33" spans="1:107">
      <c r="A33" s="121"/>
      <c r="B33" s="121" t="s">
        <v>2013</v>
      </c>
      <c r="C33" s="110">
        <v>3.3</v>
      </c>
      <c r="D33" s="110">
        <v>2.46</v>
      </c>
      <c r="E33" s="25">
        <v>3.39</v>
      </c>
      <c r="F33" s="618">
        <v>3.86</v>
      </c>
      <c r="G33" s="618">
        <v>4.9000000000000004</v>
      </c>
      <c r="H33" s="577">
        <v>5.54</v>
      </c>
      <c r="I33" s="577">
        <v>4.4400000000000004</v>
      </c>
      <c r="J33" s="577">
        <v>4.49</v>
      </c>
      <c r="K33" s="577">
        <v>4.38</v>
      </c>
      <c r="L33" s="618">
        <v>4.72</v>
      </c>
      <c r="M33" s="577">
        <v>4.8600000000000003</v>
      </c>
      <c r="N33" s="577">
        <v>4.45</v>
      </c>
      <c r="O33" s="577">
        <v>3.93</v>
      </c>
      <c r="P33" s="577">
        <v>4.83</v>
      </c>
      <c r="Q33" s="618">
        <v>4.53</v>
      </c>
      <c r="R33" s="577">
        <v>5.88</v>
      </c>
      <c r="S33" s="577">
        <v>6.63</v>
      </c>
      <c r="T33" s="577">
        <v>6.49</v>
      </c>
      <c r="U33" s="577">
        <v>5.08</v>
      </c>
      <c r="V33" s="618">
        <v>6</v>
      </c>
      <c r="W33" s="577">
        <v>3.63</v>
      </c>
      <c r="X33" s="577">
        <v>2.86</v>
      </c>
      <c r="Y33" s="577">
        <v>2.81</v>
      </c>
      <c r="Z33" s="577">
        <v>3.68</v>
      </c>
      <c r="AA33" s="618">
        <v>3.25</v>
      </c>
      <c r="AB33" s="577">
        <v>4.26</v>
      </c>
      <c r="AC33" s="577">
        <v>3.76</v>
      </c>
      <c r="AD33" s="577">
        <v>3.92</v>
      </c>
      <c r="AE33" s="577">
        <v>3.98</v>
      </c>
      <c r="AF33" s="618">
        <v>3.97</v>
      </c>
      <c r="AG33" s="577">
        <v>4.21</v>
      </c>
      <c r="AH33" s="577">
        <v>4.54</v>
      </c>
      <c r="AI33" s="577">
        <v>4.95</v>
      </c>
      <c r="AJ33" s="577">
        <v>5.07</v>
      </c>
      <c r="AK33" s="618">
        <f>AVERAGE(AG33:AJ33)</f>
        <v>4.6924999999999999</v>
      </c>
      <c r="AL33" s="577">
        <v>4.68</v>
      </c>
      <c r="AM33" s="577">
        <v>4.54</v>
      </c>
      <c r="AN33" s="577">
        <v>4.7699999999999996</v>
      </c>
      <c r="AO33" s="577">
        <v>5.03</v>
      </c>
      <c r="AP33" s="618">
        <f>AVERAGE(AL33:AO33)</f>
        <v>4.7549999999999999</v>
      </c>
      <c r="AQ33" s="577">
        <v>5.52</v>
      </c>
      <c r="AR33" s="577">
        <v>5.37</v>
      </c>
      <c r="AS33" s="577">
        <v>5.01</v>
      </c>
      <c r="AT33" s="577">
        <v>5.49</v>
      </c>
      <c r="AU33" s="618">
        <f>AVERAGE(AQ33:AT33)</f>
        <v>5.3475000000000001</v>
      </c>
      <c r="AV33" s="577">
        <v>6.2</v>
      </c>
      <c r="AW33" s="577">
        <v>5.67</v>
      </c>
      <c r="AX33" s="577">
        <v>5.4</v>
      </c>
      <c r="AY33" s="577">
        <v>5.54</v>
      </c>
      <c r="AZ33" s="618">
        <f>AVERAGE(AV33:AY33)</f>
        <v>5.7025000000000006</v>
      </c>
      <c r="BA33" s="577">
        <v>4.4400000000000004</v>
      </c>
      <c r="BB33" s="577">
        <v>3.8</v>
      </c>
      <c r="BC33" s="577">
        <v>3.49</v>
      </c>
      <c r="BD33" s="577">
        <v>3.47</v>
      </c>
      <c r="BE33" s="618">
        <f>AVERAGE(BA33:BD33)</f>
        <v>3.8000000000000003</v>
      </c>
      <c r="BF33" s="577">
        <v>2.84</v>
      </c>
      <c r="BG33" s="577">
        <v>2.66</v>
      </c>
      <c r="BH33" s="577">
        <v>2.77</v>
      </c>
      <c r="BI33" s="577">
        <v>3.08</v>
      </c>
      <c r="BJ33" s="618">
        <f>AVERAGE(BF33:BI33)</f>
        <v>2.8374999999999999</v>
      </c>
      <c r="BK33" s="577">
        <v>3.5</v>
      </c>
      <c r="BL33" s="577">
        <v>3.19</v>
      </c>
      <c r="BM33" s="577">
        <v>2.89</v>
      </c>
      <c r="BN33" s="577">
        <v>3.23</v>
      </c>
      <c r="BO33" s="618">
        <f>AVERAGE(BK33:BN33)</f>
        <v>3.2025000000000001</v>
      </c>
      <c r="BP33" s="577">
        <f>BP19*$CW$10+$CW$11</f>
        <v>3.9293804736676887</v>
      </c>
      <c r="BQ33" s="577">
        <f>BQ19*$CW$10+$CW$11</f>
        <v>3.8732537763797099</v>
      </c>
      <c r="BR33" s="577">
        <f>BR19*$CW$10+$CW$11</f>
        <v>3.8939320332752807</v>
      </c>
      <c r="BS33" s="577">
        <f>BS19*$CW$10+$CW$11</f>
        <v>3.9411966204651581</v>
      </c>
      <c r="BT33" s="618">
        <f>AVERAGE(BP33:BS33)</f>
        <v>3.9094407259469595</v>
      </c>
      <c r="BU33" s="577">
        <f>BU19*$CW$10+$CW$11</f>
        <v>3.8791618497784444</v>
      </c>
      <c r="BV33" s="577">
        <f>BV19*$CW$10+$CW$11</f>
        <v>3.8791618497784444</v>
      </c>
      <c r="BW33" s="577">
        <f>BW19*$CW$10+$CW$11</f>
        <v>3.8791618497784444</v>
      </c>
      <c r="BX33" s="577">
        <f>BX19*$CW$10+$CW$11</f>
        <v>3.8791618497784444</v>
      </c>
      <c r="BY33" s="618">
        <f>AVERAGE(BU33:BX33)</f>
        <v>3.8791618497784444</v>
      </c>
      <c r="BZ33" s="577">
        <f>BZ19*$CW$10+$CW$11</f>
        <v>3.8842653520668335</v>
      </c>
      <c r="CA33" s="577">
        <f>CA19*$CW$10+$CW$11</f>
        <v>3.8894004564985156</v>
      </c>
      <c r="CB33" s="577">
        <f>CB19*$CW$10+$CW$11</f>
        <v>3.8945673587617464</v>
      </c>
      <c r="CC33" s="577">
        <f>CC19*$CW$10+$CW$11</f>
        <v>3.899766255756532</v>
      </c>
      <c r="CD33" s="618">
        <f>AVERAGE(BZ33:CC33)</f>
        <v>3.8919998557709068</v>
      </c>
      <c r="CE33" s="5"/>
      <c r="CF33" s="5"/>
      <c r="CG33" s="47" t="s">
        <v>1982</v>
      </c>
      <c r="CH33" s="155">
        <f t="shared" si="20"/>
        <v>76.86</v>
      </c>
      <c r="CI33" s="155">
        <f t="shared" si="10"/>
        <v>76.05</v>
      </c>
      <c r="CJ33" s="155">
        <f t="shared" si="11"/>
        <v>74.19</v>
      </c>
      <c r="CK33" s="155">
        <f t="shared" si="12"/>
        <v>68.150000000000006</v>
      </c>
      <c r="CL33" s="155">
        <f t="shared" si="13"/>
        <v>72.06</v>
      </c>
      <c r="CM33" s="155">
        <f t="shared" si="21"/>
        <v>35.94</v>
      </c>
      <c r="CN33" s="155">
        <f t="shared" si="14"/>
        <v>70.47</v>
      </c>
      <c r="CP33" s="47" t="s">
        <v>1982</v>
      </c>
      <c r="CQ33" s="155">
        <f t="shared" si="15"/>
        <v>4.38</v>
      </c>
      <c r="CR33" s="155">
        <f t="shared" si="23"/>
        <v>77.3</v>
      </c>
      <c r="CS33" s="155">
        <f t="shared" si="22"/>
        <v>43.14</v>
      </c>
      <c r="CT33" s="155">
        <f t="shared" si="16"/>
        <v>5.59</v>
      </c>
      <c r="CU33" s="155">
        <f t="shared" si="17"/>
        <v>3.73</v>
      </c>
      <c r="CV33" s="155">
        <f t="shared" si="18"/>
        <v>3.87</v>
      </c>
      <c r="CW33" s="155">
        <f t="shared" si="19"/>
        <v>3.92</v>
      </c>
      <c r="CY33" s="440"/>
      <c r="CZ33" s="440"/>
      <c r="DB33" s="440"/>
      <c r="DC33" s="440"/>
    </row>
    <row r="34" spans="1:107">
      <c r="A34" s="121"/>
      <c r="B34" s="121"/>
      <c r="C34" s="108"/>
      <c r="D34" s="108"/>
      <c r="E34" s="108"/>
      <c r="F34" s="618"/>
      <c r="G34" s="618"/>
      <c r="H34" s="618"/>
      <c r="I34" s="618"/>
      <c r="J34" s="618"/>
      <c r="K34" s="618"/>
      <c r="L34" s="618"/>
      <c r="M34" s="618"/>
      <c r="N34" s="618"/>
      <c r="O34" s="618"/>
      <c r="P34" s="618"/>
      <c r="Q34" s="618"/>
      <c r="R34" s="618"/>
      <c r="S34" s="618"/>
      <c r="T34" s="618"/>
      <c r="U34" s="618"/>
      <c r="V34" s="618"/>
      <c r="W34" s="618"/>
      <c r="X34" s="618"/>
      <c r="Y34" s="618"/>
      <c r="Z34" s="618"/>
      <c r="AA34" s="618"/>
      <c r="AB34" s="618"/>
      <c r="AC34" s="618"/>
      <c r="AD34" s="618"/>
      <c r="AE34" s="618"/>
      <c r="AF34" s="618"/>
      <c r="AG34" s="618"/>
      <c r="AH34" s="618"/>
      <c r="AI34" s="618"/>
      <c r="AJ34" s="618"/>
      <c r="AK34" s="618"/>
      <c r="AL34" s="618"/>
      <c r="AM34" s="618"/>
      <c r="AN34" s="618"/>
      <c r="AO34" s="618"/>
      <c r="AP34" s="618"/>
      <c r="AQ34" s="618"/>
      <c r="AR34" s="618"/>
      <c r="AS34" s="618"/>
      <c r="AT34" s="618"/>
      <c r="AU34" s="618"/>
      <c r="AV34" s="618"/>
      <c r="AW34" s="618"/>
      <c r="AX34" s="618"/>
      <c r="AY34" s="618"/>
      <c r="AZ34" s="618"/>
      <c r="BA34" s="618"/>
      <c r="BB34" s="618"/>
      <c r="BC34" s="618"/>
      <c r="BD34" s="618"/>
      <c r="BE34" s="618"/>
      <c r="BF34" s="618"/>
      <c r="BG34" s="618"/>
      <c r="BH34" s="618"/>
      <c r="BI34" s="618"/>
      <c r="BJ34" s="618"/>
      <c r="BK34" s="618"/>
      <c r="BL34" s="618"/>
      <c r="BM34" s="618"/>
      <c r="BN34" s="618"/>
      <c r="BO34" s="618"/>
      <c r="BP34" s="618"/>
      <c r="BQ34" s="618"/>
      <c r="BR34" s="618"/>
      <c r="BS34" s="618"/>
      <c r="BT34" s="618"/>
      <c r="BU34" s="618"/>
      <c r="BV34" s="618"/>
      <c r="BW34" s="618"/>
      <c r="BX34" s="618"/>
      <c r="BY34" s="618"/>
      <c r="BZ34" s="618"/>
      <c r="CA34" s="618"/>
      <c r="CB34" s="618"/>
      <c r="CC34" s="618"/>
      <c r="CD34" s="618"/>
      <c r="CE34" s="5"/>
      <c r="CF34" s="5"/>
      <c r="CG34" s="47" t="s">
        <v>2392</v>
      </c>
      <c r="CH34" s="155">
        <f t="shared" si="20"/>
        <v>86.46</v>
      </c>
      <c r="CI34" s="155">
        <f t="shared" si="10"/>
        <v>85.13</v>
      </c>
      <c r="CJ34" s="155">
        <f t="shared" si="11"/>
        <v>85.3</v>
      </c>
      <c r="CK34" s="155">
        <f t="shared" si="12"/>
        <v>74.599999999999994</v>
      </c>
      <c r="CL34" s="155">
        <f t="shared" si="13"/>
        <v>82.3</v>
      </c>
      <c r="CM34" s="155">
        <f t="shared" si="21"/>
        <v>40.619999999999997</v>
      </c>
      <c r="CN34" s="155">
        <f t="shared" si="14"/>
        <v>78.8</v>
      </c>
      <c r="CP34" s="47" t="s">
        <v>2392</v>
      </c>
      <c r="CQ34" s="155">
        <f t="shared" si="15"/>
        <v>3.8</v>
      </c>
      <c r="CR34" s="155">
        <f t="shared" si="23"/>
        <v>77.55</v>
      </c>
      <c r="CS34" s="155">
        <f t="shared" si="22"/>
        <v>52.43</v>
      </c>
      <c r="CT34" s="155">
        <f t="shared" si="16"/>
        <v>6.76</v>
      </c>
      <c r="CU34" s="155">
        <f t="shared" si="17"/>
        <v>3.31</v>
      </c>
      <c r="CV34" s="155">
        <f t="shared" si="18"/>
        <v>4.05</v>
      </c>
      <c r="CW34" s="155">
        <f t="shared" si="19"/>
        <v>3.98</v>
      </c>
      <c r="CY34" s="440"/>
      <c r="CZ34" s="440"/>
      <c r="DB34" s="440"/>
      <c r="DC34" s="440"/>
    </row>
    <row r="35" spans="1:107">
      <c r="A35" s="121"/>
      <c r="B35" s="121"/>
      <c r="C35" s="108"/>
      <c r="D35" s="108"/>
      <c r="E35" s="108"/>
      <c r="F35" s="618"/>
      <c r="G35" s="618"/>
      <c r="H35" s="618"/>
      <c r="I35" s="618"/>
      <c r="J35" s="618"/>
      <c r="K35" s="618"/>
      <c r="L35" s="618"/>
      <c r="M35" s="618"/>
      <c r="N35" s="618"/>
      <c r="O35" s="618"/>
      <c r="P35" s="618"/>
      <c r="Q35" s="618"/>
      <c r="R35" s="618"/>
      <c r="S35" s="618"/>
      <c r="T35" s="618"/>
      <c r="U35" s="618"/>
      <c r="V35" s="618"/>
      <c r="W35" s="618"/>
      <c r="X35" s="618"/>
      <c r="Y35" s="618"/>
      <c r="Z35" s="618"/>
      <c r="AA35" s="618"/>
      <c r="AB35" s="618"/>
      <c r="AC35" s="618"/>
      <c r="AD35" s="618"/>
      <c r="AE35" s="618"/>
      <c r="AF35" s="618"/>
      <c r="AG35" s="618"/>
      <c r="AH35" s="618"/>
      <c r="AI35" s="618"/>
      <c r="AJ35" s="618"/>
      <c r="AK35" s="618"/>
      <c r="AL35" s="618"/>
      <c r="AM35" s="618"/>
      <c r="AN35" s="618"/>
      <c r="AO35" s="618"/>
      <c r="AP35" s="618"/>
      <c r="AQ35" s="618"/>
      <c r="AR35" s="618"/>
      <c r="AS35" s="618"/>
      <c r="AT35" s="618"/>
      <c r="AU35" s="618"/>
      <c r="AV35" s="618"/>
      <c r="AW35" s="618"/>
      <c r="AX35" s="618"/>
      <c r="AY35" s="618"/>
      <c r="AZ35" s="618"/>
      <c r="BA35" s="618"/>
      <c r="BB35" s="618"/>
      <c r="BC35" s="618"/>
      <c r="BD35" s="618"/>
      <c r="BE35" s="618"/>
      <c r="BF35" s="618"/>
      <c r="BG35" s="618"/>
      <c r="BH35" s="618"/>
      <c r="BI35" s="618"/>
      <c r="BJ35" s="618"/>
      <c r="BK35" s="618"/>
      <c r="BL35" s="618"/>
      <c r="BM35" s="618"/>
      <c r="BN35" s="618"/>
      <c r="BO35" s="618"/>
      <c r="BP35" s="618"/>
      <c r="BQ35" s="618"/>
      <c r="BR35" s="618"/>
      <c r="BS35" s="618"/>
      <c r="BT35" s="618"/>
      <c r="BU35" s="618"/>
      <c r="BV35" s="618"/>
      <c r="BW35" s="618"/>
      <c r="BX35" s="618"/>
      <c r="BY35" s="618"/>
      <c r="BZ35" s="618"/>
      <c r="CA35" s="618"/>
      <c r="CB35" s="618"/>
      <c r="CC35" s="618"/>
      <c r="CD35" s="618"/>
      <c r="CE35" s="5"/>
      <c r="CF35" s="5"/>
      <c r="CG35" s="47" t="s">
        <v>2393</v>
      </c>
      <c r="CH35" s="155">
        <f t="shared" si="20"/>
        <v>105.43</v>
      </c>
      <c r="CI35" s="155">
        <f t="shared" si="10"/>
        <v>94.49</v>
      </c>
      <c r="CJ35" s="155">
        <f t="shared" si="11"/>
        <v>102.37</v>
      </c>
      <c r="CK35" s="155">
        <f t="shared" si="12"/>
        <v>86.53</v>
      </c>
      <c r="CL35" s="155">
        <f t="shared" si="13"/>
        <v>99.68</v>
      </c>
      <c r="CM35" s="155">
        <f t="shared" si="21"/>
        <v>49.18</v>
      </c>
      <c r="CN35" s="155">
        <f t="shared" si="14"/>
        <v>93.93</v>
      </c>
      <c r="CP35" s="47" t="s">
        <v>2393</v>
      </c>
      <c r="CQ35" s="155">
        <f t="shared" si="15"/>
        <v>4.1100000000000003</v>
      </c>
      <c r="CR35" s="155">
        <f t="shared" si="23"/>
        <v>81.66</v>
      </c>
      <c r="CS35" s="155">
        <f t="shared" si="22"/>
        <v>56.94</v>
      </c>
      <c r="CT35" s="155">
        <f t="shared" si="16"/>
        <v>7.04</v>
      </c>
      <c r="CU35" s="155">
        <f t="shared" si="17"/>
        <v>3.2</v>
      </c>
      <c r="CV35" s="155">
        <f t="shared" si="18"/>
        <v>4.41</v>
      </c>
      <c r="CW35" s="155">
        <f t="shared" si="19"/>
        <v>4.21</v>
      </c>
      <c r="CY35" s="440"/>
      <c r="CZ35" s="440"/>
      <c r="DB35" s="440"/>
      <c r="DC35" s="440"/>
    </row>
    <row r="36" spans="1:107">
      <c r="A36" s="148" t="s">
        <v>2011</v>
      </c>
      <c r="B36" s="253"/>
      <c r="C36" s="113"/>
      <c r="D36" s="108"/>
      <c r="E36" s="108"/>
      <c r="F36" s="618"/>
      <c r="G36" s="618"/>
      <c r="H36" s="618"/>
      <c r="I36" s="618"/>
      <c r="J36" s="618"/>
      <c r="K36" s="618"/>
      <c r="L36" s="618"/>
      <c r="M36" s="618"/>
      <c r="N36" s="618"/>
      <c r="O36" s="618"/>
      <c r="P36" s="618"/>
      <c r="Q36" s="618"/>
      <c r="R36" s="618"/>
      <c r="S36" s="618"/>
      <c r="T36" s="618"/>
      <c r="U36" s="618"/>
      <c r="V36" s="618"/>
      <c r="W36" s="618"/>
      <c r="X36" s="618"/>
      <c r="Y36" s="618"/>
      <c r="Z36" s="618"/>
      <c r="AA36" s="618"/>
      <c r="AB36" s="618"/>
      <c r="AC36" s="618"/>
      <c r="AD36" s="618"/>
      <c r="AE36" s="618"/>
      <c r="AF36" s="618"/>
      <c r="AG36" s="618"/>
      <c r="AH36" s="618"/>
      <c r="AI36" s="618"/>
      <c r="AJ36" s="618"/>
      <c r="AK36" s="618"/>
      <c r="AL36" s="618"/>
      <c r="AM36" s="618"/>
      <c r="AN36" s="618"/>
      <c r="AO36" s="618"/>
      <c r="AP36" s="618"/>
      <c r="AQ36" s="618"/>
      <c r="AR36" s="618"/>
      <c r="AS36" s="618"/>
      <c r="AT36" s="618"/>
      <c r="AU36" s="618"/>
      <c r="AV36" s="618"/>
      <c r="AW36" s="618"/>
      <c r="AX36" s="618"/>
      <c r="AY36" s="618"/>
      <c r="AZ36" s="618"/>
      <c r="BA36" s="618"/>
      <c r="BB36" s="618"/>
      <c r="BC36" s="618"/>
      <c r="BD36" s="618"/>
      <c r="BE36" s="618"/>
      <c r="BF36" s="618"/>
      <c r="BG36" s="618"/>
      <c r="BH36" s="618"/>
      <c r="BI36" s="618"/>
      <c r="BJ36" s="618"/>
      <c r="BK36" s="618"/>
      <c r="BL36" s="618"/>
      <c r="BM36" s="618"/>
      <c r="BN36" s="618"/>
      <c r="BO36" s="618"/>
      <c r="BP36" s="618"/>
      <c r="BQ36" s="618"/>
      <c r="BR36" s="618"/>
      <c r="BS36" s="618"/>
      <c r="BT36" s="618"/>
      <c r="BU36" s="618"/>
      <c r="BV36" s="618"/>
      <c r="BW36" s="618"/>
      <c r="BX36" s="618"/>
      <c r="BY36" s="618"/>
      <c r="BZ36" s="618"/>
      <c r="CA36" s="618"/>
      <c r="CB36" s="618"/>
      <c r="CC36" s="618"/>
      <c r="CD36" s="618"/>
      <c r="CE36" s="5"/>
      <c r="CF36" s="5"/>
      <c r="CG36" s="47" t="s">
        <v>2394</v>
      </c>
      <c r="CH36" s="155">
        <f t="shared" si="20"/>
        <v>117.04</v>
      </c>
      <c r="CI36" s="155">
        <f t="shared" si="10"/>
        <v>102.22</v>
      </c>
      <c r="CJ36" s="155">
        <f t="shared" si="11"/>
        <v>114.43</v>
      </c>
      <c r="CK36" s="155">
        <f t="shared" si="12"/>
        <v>101.4</v>
      </c>
      <c r="CL36" s="155">
        <f t="shared" si="13"/>
        <v>111.12</v>
      </c>
      <c r="CM36" s="155">
        <f t="shared" si="21"/>
        <v>50.26</v>
      </c>
      <c r="CN36" s="155">
        <f t="shared" si="14"/>
        <v>106.99</v>
      </c>
      <c r="CP36" s="47" t="s">
        <v>2394</v>
      </c>
      <c r="CQ36" s="155">
        <f t="shared" si="15"/>
        <v>4.32</v>
      </c>
      <c r="CR36" s="155">
        <f t="shared" si="23"/>
        <v>95.944999999999993</v>
      </c>
      <c r="CS36" s="155">
        <f t="shared" si="22"/>
        <v>57.47</v>
      </c>
      <c r="CT36" s="155">
        <f t="shared" si="16"/>
        <v>7.82</v>
      </c>
      <c r="CU36" s="155">
        <f t="shared" si="17"/>
        <v>3.61</v>
      </c>
      <c r="CV36" s="155">
        <f t="shared" si="18"/>
        <v>4.63</v>
      </c>
      <c r="CW36" s="155">
        <f t="shared" si="19"/>
        <v>4.54</v>
      </c>
      <c r="CY36" s="440"/>
      <c r="CZ36" s="440"/>
      <c r="DB36" s="440"/>
      <c r="DC36" s="440"/>
    </row>
    <row r="37" spans="1:107">
      <c r="A37" s="253"/>
      <c r="B37" s="121" t="s">
        <v>3103</v>
      </c>
      <c r="C37" s="182"/>
      <c r="D37" s="182"/>
      <c r="E37" s="182"/>
      <c r="F37" s="620"/>
      <c r="G37" s="620"/>
      <c r="H37" s="620"/>
      <c r="I37" s="620"/>
      <c r="J37" s="620"/>
      <c r="K37" s="620"/>
      <c r="L37" s="620"/>
      <c r="M37" s="577">
        <v>28.593615384615383</v>
      </c>
      <c r="N37" s="577">
        <v>34.330469230769232</v>
      </c>
      <c r="O37" s="577">
        <v>16.309623076923074</v>
      </c>
      <c r="P37" s="577">
        <v>16.595154545454548</v>
      </c>
      <c r="Q37" s="618">
        <v>23.929008429118802</v>
      </c>
      <c r="R37" s="577">
        <v>15.321181538461531</v>
      </c>
      <c r="S37" s="577">
        <v>21.957387692307684</v>
      </c>
      <c r="T37" s="577">
        <v>16.241509090909094</v>
      </c>
      <c r="U37" s="577">
        <v>11.933380303030303</v>
      </c>
      <c r="V37" s="618">
        <v>16.345991221374042</v>
      </c>
      <c r="W37" s="577">
        <v>15.813159375000003</v>
      </c>
      <c r="X37" s="577">
        <v>15.123216923076923</v>
      </c>
      <c r="Y37" s="577">
        <v>13.90726666666667</v>
      </c>
      <c r="Z37" s="577">
        <v>8.8590424242424213</v>
      </c>
      <c r="AA37" s="618">
        <v>13.400872413793097</v>
      </c>
      <c r="AB37" s="577">
        <v>9.8233281249999997</v>
      </c>
      <c r="AC37" s="577">
        <v>15.022012307692297</v>
      </c>
      <c r="AD37" s="577">
        <v>14.927090909090909</v>
      </c>
      <c r="AE37" s="577">
        <v>12.520648484848479</v>
      </c>
      <c r="AF37" s="618">
        <v>13.090707279693486</v>
      </c>
      <c r="AG37" s="577">
        <v>16.18</v>
      </c>
      <c r="AH37" s="577">
        <v>15.75</v>
      </c>
      <c r="AI37" s="577">
        <v>11.95</v>
      </c>
      <c r="AJ37" s="577">
        <v>10.71</v>
      </c>
      <c r="AK37" s="618">
        <f t="shared" ref="AK37:AK45" si="30">AVERAGE(AG37:AJ37)</f>
        <v>13.647499999999999</v>
      </c>
      <c r="AL37" s="621"/>
      <c r="AM37" s="621"/>
      <c r="AN37" s="621"/>
      <c r="AO37" s="621"/>
      <c r="AP37" s="621"/>
      <c r="AQ37" s="621"/>
      <c r="AR37" s="621"/>
      <c r="AS37" s="621"/>
      <c r="AT37" s="621"/>
      <c r="AU37" s="621"/>
      <c r="AV37" s="621"/>
      <c r="AW37" s="621"/>
      <c r="AX37" s="621"/>
      <c r="AY37" s="621"/>
      <c r="AZ37" s="621"/>
      <c r="BA37" s="621"/>
      <c r="BB37" s="621"/>
      <c r="BC37" s="621"/>
      <c r="BD37" s="621"/>
      <c r="BE37" s="621"/>
      <c r="BF37" s="621"/>
      <c r="BG37" s="621"/>
      <c r="BH37" s="621"/>
      <c r="BI37" s="621"/>
      <c r="BJ37" s="621"/>
      <c r="BK37" s="621"/>
      <c r="BL37" s="621"/>
      <c r="BM37" s="621"/>
      <c r="BN37" s="621"/>
      <c r="BO37" s="621"/>
      <c r="BP37" s="621"/>
      <c r="BQ37" s="621"/>
      <c r="BR37" s="621"/>
      <c r="BS37" s="621"/>
      <c r="BT37" s="621"/>
      <c r="BU37" s="621"/>
      <c r="BV37" s="621"/>
      <c r="BW37" s="621"/>
      <c r="BX37" s="621"/>
      <c r="BY37" s="621"/>
      <c r="BZ37" s="621"/>
      <c r="CA37" s="621"/>
      <c r="CB37" s="621"/>
      <c r="CC37" s="621"/>
      <c r="CD37" s="621"/>
      <c r="CE37" s="5"/>
      <c r="CF37" s="5"/>
      <c r="CG37" s="47" t="s">
        <v>2395</v>
      </c>
      <c r="CH37" s="155">
        <f t="shared" si="20"/>
        <v>113.41</v>
      </c>
      <c r="CI37" s="155">
        <f t="shared" si="10"/>
        <v>89.48</v>
      </c>
      <c r="CJ37" s="155">
        <f t="shared" si="11"/>
        <v>104.34</v>
      </c>
      <c r="CK37" s="155">
        <f t="shared" si="12"/>
        <v>100.04</v>
      </c>
      <c r="CL37" s="155">
        <f t="shared" si="13"/>
        <v>106.83</v>
      </c>
      <c r="CM37" s="155">
        <f t="shared" si="21"/>
        <v>49.12</v>
      </c>
      <c r="CN37" s="155">
        <f t="shared" si="14"/>
        <v>103.53</v>
      </c>
      <c r="CP37" s="47" t="s">
        <v>2395</v>
      </c>
      <c r="CQ37" s="155">
        <f t="shared" si="15"/>
        <v>4.2</v>
      </c>
      <c r="CR37" s="155">
        <f t="shared" si="23"/>
        <v>111.23500000000001</v>
      </c>
      <c r="CS37" s="155">
        <f t="shared" si="22"/>
        <v>54.28</v>
      </c>
      <c r="CT37" s="155">
        <f t="shared" si="16"/>
        <v>8.14</v>
      </c>
      <c r="CU37" s="155">
        <f t="shared" si="17"/>
        <v>3.48</v>
      </c>
      <c r="CV37" s="155">
        <f t="shared" si="18"/>
        <v>5.42</v>
      </c>
      <c r="CW37" s="155">
        <f t="shared" si="19"/>
        <v>4.95</v>
      </c>
      <c r="CY37" s="440"/>
      <c r="CZ37" s="440"/>
      <c r="DB37" s="440"/>
      <c r="DC37" s="440"/>
    </row>
    <row r="38" spans="1:107">
      <c r="A38" s="253"/>
      <c r="B38" s="121" t="s">
        <v>3104</v>
      </c>
      <c r="C38" s="182"/>
      <c r="D38" s="182"/>
      <c r="E38" s="182"/>
      <c r="F38" s="620"/>
      <c r="G38" s="620"/>
      <c r="H38" s="620"/>
      <c r="I38" s="620"/>
      <c r="J38" s="620"/>
      <c r="K38" s="620"/>
      <c r="L38" s="620"/>
      <c r="M38" s="577">
        <v>17.520599999999995</v>
      </c>
      <c r="N38" s="577">
        <v>29.571492307692303</v>
      </c>
      <c r="O38" s="577">
        <v>19.570515384615383</v>
      </c>
      <c r="P38" s="577">
        <v>16.519268181818177</v>
      </c>
      <c r="Q38" s="618">
        <v>20.779085057471242</v>
      </c>
      <c r="R38" s="577">
        <v>16.608276923076918</v>
      </c>
      <c r="S38" s="577">
        <v>21.027583076923083</v>
      </c>
      <c r="T38" s="577">
        <v>21.265195454545449</v>
      </c>
      <c r="U38" s="577">
        <v>9.0450484848484862</v>
      </c>
      <c r="V38" s="618">
        <v>16.972545801526717</v>
      </c>
      <c r="W38" s="577">
        <v>8.9507515625000007</v>
      </c>
      <c r="X38" s="577">
        <v>11.352513846153844</v>
      </c>
      <c r="Y38" s="577">
        <v>9.3476166666666636</v>
      </c>
      <c r="Z38" s="577">
        <v>7.0225439393939419</v>
      </c>
      <c r="AA38" s="618">
        <v>9.1616555555555657</v>
      </c>
      <c r="AB38" s="577">
        <v>10.307615625000002</v>
      </c>
      <c r="AC38" s="577">
        <v>11.237152307692309</v>
      </c>
      <c r="AD38" s="577">
        <v>9.9542166666666674</v>
      </c>
      <c r="AE38" s="577">
        <v>9.2143954545454516</v>
      </c>
      <c r="AF38" s="618">
        <v>10.17329770114943</v>
      </c>
      <c r="AG38" s="578">
        <v>10.81</v>
      </c>
      <c r="AH38" s="578">
        <v>16.809999999999999</v>
      </c>
      <c r="AI38" s="578">
        <v>12.67</v>
      </c>
      <c r="AJ38" s="578">
        <v>7.16</v>
      </c>
      <c r="AK38" s="618">
        <f t="shared" si="30"/>
        <v>11.862500000000001</v>
      </c>
      <c r="AL38" s="621"/>
      <c r="AM38" s="621"/>
      <c r="AN38" s="621"/>
      <c r="AO38" s="621"/>
      <c r="AP38" s="621"/>
      <c r="AQ38" s="621"/>
      <c r="AR38" s="621"/>
      <c r="AS38" s="621"/>
      <c r="AT38" s="621"/>
      <c r="AU38" s="621"/>
      <c r="AV38" s="621"/>
      <c r="AW38" s="621"/>
      <c r="AX38" s="621"/>
      <c r="AY38" s="621"/>
      <c r="AZ38" s="621"/>
      <c r="BA38" s="621"/>
      <c r="BB38" s="621"/>
      <c r="BC38" s="621"/>
      <c r="BD38" s="621"/>
      <c r="BE38" s="621"/>
      <c r="BF38" s="621"/>
      <c r="BG38" s="621"/>
      <c r="BH38" s="621"/>
      <c r="BI38" s="621"/>
      <c r="BJ38" s="621"/>
      <c r="BK38" s="621"/>
      <c r="BL38" s="621"/>
      <c r="BM38" s="621"/>
      <c r="BN38" s="621"/>
      <c r="BO38" s="621"/>
      <c r="BP38" s="621"/>
      <c r="BQ38" s="621"/>
      <c r="BR38" s="621"/>
      <c r="BS38" s="621"/>
      <c r="BT38" s="621"/>
      <c r="BU38" s="621"/>
      <c r="BV38" s="621"/>
      <c r="BW38" s="621"/>
      <c r="BX38" s="621"/>
      <c r="BY38" s="621"/>
      <c r="BZ38" s="621"/>
      <c r="CA38" s="621"/>
      <c r="CB38" s="621"/>
      <c r="CC38" s="621"/>
      <c r="CD38" s="621"/>
      <c r="CE38" s="5"/>
      <c r="CF38" s="5"/>
      <c r="CG38" s="47" t="s">
        <v>2396</v>
      </c>
      <c r="CH38" s="155">
        <f t="shared" si="20"/>
        <v>109.35</v>
      </c>
      <c r="CI38" s="155">
        <f t="shared" si="10"/>
        <v>94.02</v>
      </c>
      <c r="CJ38" s="155">
        <f t="shared" si="11"/>
        <v>107.31</v>
      </c>
      <c r="CK38" s="155">
        <f t="shared" si="12"/>
        <v>99.05</v>
      </c>
      <c r="CL38" s="155">
        <f t="shared" si="13"/>
        <v>102.89</v>
      </c>
      <c r="CM38" s="155">
        <f t="shared" si="21"/>
        <v>49.69</v>
      </c>
      <c r="CN38" s="155">
        <f t="shared" si="14"/>
        <v>101.84</v>
      </c>
      <c r="CP38" s="47" t="s">
        <v>2396</v>
      </c>
      <c r="CQ38" s="155">
        <f t="shared" si="15"/>
        <v>3.54</v>
      </c>
      <c r="CR38" s="155">
        <f t="shared" ref="CR38:CR54" si="31">AVERAGE(CH36:CH37)</f>
        <v>115.22499999999999</v>
      </c>
      <c r="CS38" s="155">
        <f t="shared" ref="CS38:CS54" si="32">HLOOKUP(CP38,$A$9:$CD$20,12,FALSE)</f>
        <v>56.75</v>
      </c>
      <c r="CT38" s="155">
        <f t="shared" si="16"/>
        <v>9.11</v>
      </c>
      <c r="CU38" s="155">
        <f t="shared" si="17"/>
        <v>3.07</v>
      </c>
      <c r="CV38" s="155">
        <f t="shared" si="18"/>
        <v>5.45</v>
      </c>
      <c r="CW38" s="155">
        <f t="shared" si="19"/>
        <v>5.07</v>
      </c>
      <c r="CY38" s="440"/>
      <c r="CZ38" s="440"/>
      <c r="DB38" s="440"/>
      <c r="DC38" s="440"/>
    </row>
    <row r="39" spans="1:107">
      <c r="A39" s="253"/>
      <c r="B39" s="121" t="s">
        <v>2007</v>
      </c>
      <c r="C39" s="182"/>
      <c r="D39" s="182"/>
      <c r="E39" s="182"/>
      <c r="F39" s="620"/>
      <c r="G39" s="620"/>
      <c r="H39" s="620"/>
      <c r="I39" s="620"/>
      <c r="J39" s="620"/>
      <c r="K39" s="620"/>
      <c r="L39" s="620"/>
      <c r="M39" s="578">
        <v>9.8371769230769228</v>
      </c>
      <c r="N39" s="578">
        <v>24.749700000000004</v>
      </c>
      <c r="O39" s="578">
        <v>16.905429230769236</v>
      </c>
      <c r="P39" s="578">
        <v>7.4045757575757563</v>
      </c>
      <c r="Q39" s="622">
        <v>14.69617586206896</v>
      </c>
      <c r="R39" s="578">
        <v>5.0232169230769204</v>
      </c>
      <c r="S39" s="578">
        <v>10.396544615384611</v>
      </c>
      <c r="T39" s="578">
        <v>13.595534848484846</v>
      </c>
      <c r="U39" s="578">
        <v>4.9692757575757609</v>
      </c>
      <c r="V39" s="622">
        <v>8.5021450381679369</v>
      </c>
      <c r="W39" s="578">
        <v>5.2040312499999999</v>
      </c>
      <c r="X39" s="578">
        <v>9.2692369230769174</v>
      </c>
      <c r="Y39" s="578">
        <v>6.2925848484848483</v>
      </c>
      <c r="Z39" s="578">
        <v>3.3515742424242418</v>
      </c>
      <c r="AA39" s="622">
        <v>6.0232678160919546</v>
      </c>
      <c r="AB39" s="577">
        <v>4.9922062499999971</v>
      </c>
      <c r="AC39" s="577">
        <v>7.2423861538461534</v>
      </c>
      <c r="AD39" s="577">
        <v>6.7410939393939397</v>
      </c>
      <c r="AE39" s="577">
        <v>4.9957393939393935</v>
      </c>
      <c r="AF39" s="618">
        <v>5.9957367816091987</v>
      </c>
      <c r="AG39" s="577">
        <v>3.55</v>
      </c>
      <c r="AH39" s="577">
        <v>13</v>
      </c>
      <c r="AI39" s="577">
        <v>10.68</v>
      </c>
      <c r="AJ39" s="577">
        <v>2.4900000000000002</v>
      </c>
      <c r="AK39" s="618">
        <f t="shared" si="30"/>
        <v>7.43</v>
      </c>
      <c r="AL39" s="621"/>
      <c r="AM39" s="577">
        <v>28.2</v>
      </c>
      <c r="AN39" s="577">
        <v>35.700000000000003</v>
      </c>
      <c r="AO39" s="577">
        <v>28.4</v>
      </c>
      <c r="AP39" s="621"/>
      <c r="AQ39" s="577">
        <v>27.2</v>
      </c>
      <c r="AR39" s="577">
        <v>31.3</v>
      </c>
      <c r="AS39" s="577">
        <v>16.399999999999999</v>
      </c>
      <c r="AT39" s="577">
        <v>12.4</v>
      </c>
      <c r="AU39" s="618">
        <f>AVERAGE(AQ39:AT39)</f>
        <v>21.825000000000003</v>
      </c>
      <c r="AV39" s="577">
        <v>18.399999999999999</v>
      </c>
      <c r="AW39" s="577">
        <v>19.7</v>
      </c>
      <c r="AX39" s="577">
        <v>17.600000000000001</v>
      </c>
      <c r="AY39" s="577">
        <v>14.1</v>
      </c>
      <c r="AZ39" s="618">
        <f>AVERAGE(AV39:AY39)</f>
        <v>17.45</v>
      </c>
      <c r="BA39" s="577">
        <v>16.3</v>
      </c>
      <c r="BB39" s="577">
        <v>20.8</v>
      </c>
      <c r="BC39" s="577">
        <v>24.6</v>
      </c>
      <c r="BD39" s="577">
        <v>14.4</v>
      </c>
      <c r="BE39" s="618">
        <f>AVERAGE(BA39:BD39)</f>
        <v>19.025000000000002</v>
      </c>
      <c r="BF39" s="577">
        <v>9.8000000000000007</v>
      </c>
      <c r="BG39" s="577">
        <v>17.2</v>
      </c>
      <c r="BH39" s="577">
        <v>14.6</v>
      </c>
      <c r="BI39" s="577">
        <v>11.1</v>
      </c>
      <c r="BJ39" s="618">
        <f>AVERAGE(BF39:BI39)</f>
        <v>13.175000000000001</v>
      </c>
      <c r="BK39" s="577">
        <v>11.7</v>
      </c>
      <c r="BL39" s="577">
        <v>14.8</v>
      </c>
      <c r="BM39" s="577">
        <v>19.7</v>
      </c>
      <c r="BN39" s="577">
        <v>21</v>
      </c>
      <c r="BO39" s="618">
        <f>AVERAGE(BK39:BN39)</f>
        <v>16.8</v>
      </c>
      <c r="BP39" s="623">
        <v>15.7</v>
      </c>
      <c r="BQ39" s="621"/>
      <c r="BR39" s="621"/>
      <c r="BS39" s="621"/>
      <c r="BT39" s="621"/>
      <c r="BU39" s="621"/>
      <c r="BV39" s="621"/>
      <c r="BW39" s="621"/>
      <c r="BX39" s="621"/>
      <c r="BY39" s="621"/>
      <c r="BZ39" s="621"/>
      <c r="CA39" s="621"/>
      <c r="CB39" s="621"/>
      <c r="CC39" s="621"/>
      <c r="CD39" s="621"/>
      <c r="CE39" s="5"/>
      <c r="CF39" s="5"/>
      <c r="CG39" s="47" t="s">
        <v>2397</v>
      </c>
      <c r="CH39" s="155">
        <f t="shared" si="20"/>
        <v>118.6</v>
      </c>
      <c r="CI39" s="155">
        <f t="shared" si="10"/>
        <v>103.1</v>
      </c>
      <c r="CJ39" s="155">
        <f t="shared" si="11"/>
        <v>116.96</v>
      </c>
      <c r="CK39" s="155">
        <f t="shared" si="12"/>
        <v>99.39</v>
      </c>
      <c r="CL39" s="155">
        <f t="shared" si="13"/>
        <v>114.79</v>
      </c>
      <c r="CM39" s="155">
        <f t="shared" ref="CM39:CM54" si="33">HLOOKUP(CG39,$A$9:$CD$17,9,FALSE)</f>
        <v>58.2</v>
      </c>
      <c r="CN39" s="155">
        <f t="shared" si="14"/>
        <v>108.13</v>
      </c>
      <c r="CP39" s="47" t="s">
        <v>2397</v>
      </c>
      <c r="CQ39" s="155">
        <f t="shared" si="15"/>
        <v>2.72</v>
      </c>
      <c r="CR39" s="155">
        <f t="shared" si="31"/>
        <v>111.38</v>
      </c>
      <c r="CS39" s="155">
        <f t="shared" si="32"/>
        <v>59.38</v>
      </c>
      <c r="CT39" s="155">
        <f t="shared" si="16"/>
        <v>7.83</v>
      </c>
      <c r="CU39" s="155">
        <f t="shared" si="17"/>
        <v>2.2400000000000002</v>
      </c>
      <c r="CV39" s="155">
        <f t="shared" si="18"/>
        <v>5.34</v>
      </c>
      <c r="CW39" s="155">
        <f t="shared" si="19"/>
        <v>4.68</v>
      </c>
      <c r="CY39" s="440"/>
      <c r="CZ39" s="440"/>
      <c r="DB39" s="440"/>
      <c r="DC39" s="440"/>
    </row>
    <row r="40" spans="1:107">
      <c r="A40" s="253"/>
      <c r="B40" s="121" t="s">
        <v>1427</v>
      </c>
      <c r="C40" s="182"/>
      <c r="D40" s="182"/>
      <c r="E40" s="182"/>
      <c r="F40" s="620"/>
      <c r="G40" s="620"/>
      <c r="H40" s="620"/>
      <c r="I40" s="620"/>
      <c r="J40" s="620"/>
      <c r="K40" s="620"/>
      <c r="L40" s="620"/>
      <c r="M40" s="620"/>
      <c r="N40" s="620"/>
      <c r="O40" s="620"/>
      <c r="P40" s="620"/>
      <c r="Q40" s="620"/>
      <c r="R40" s="620"/>
      <c r="S40" s="620"/>
      <c r="T40" s="620"/>
      <c r="U40" s="620"/>
      <c r="V40" s="620"/>
      <c r="W40" s="620"/>
      <c r="X40" s="620"/>
      <c r="Y40" s="620"/>
      <c r="Z40" s="620"/>
      <c r="AA40" s="620"/>
      <c r="AB40" s="620"/>
      <c r="AC40" s="620"/>
      <c r="AD40" s="620"/>
      <c r="AE40" s="620"/>
      <c r="AF40" s="620"/>
      <c r="AG40" s="620"/>
      <c r="AH40" s="620"/>
      <c r="AI40" s="620"/>
      <c r="AJ40" s="620"/>
      <c r="AK40" s="620"/>
      <c r="AL40" s="620"/>
      <c r="AM40" s="577">
        <v>19.2</v>
      </c>
      <c r="AN40" s="577">
        <v>21.7</v>
      </c>
      <c r="AO40" s="577">
        <v>15.1</v>
      </c>
      <c r="AP40" s="621"/>
      <c r="AQ40" s="577">
        <v>15.9</v>
      </c>
      <c r="AR40" s="577">
        <v>20.5</v>
      </c>
      <c r="AS40" s="577">
        <v>13.4</v>
      </c>
      <c r="AT40" s="577">
        <v>11.2</v>
      </c>
      <c r="AU40" s="618">
        <f>AVERAGE(AQ40:AT40)</f>
        <v>15.25</v>
      </c>
      <c r="AV40" s="577">
        <v>13.7</v>
      </c>
      <c r="AW40" s="577">
        <v>19.600000000000001</v>
      </c>
      <c r="AX40" s="577">
        <v>19.8</v>
      </c>
      <c r="AY40" s="577">
        <v>13.2</v>
      </c>
      <c r="AZ40" s="618">
        <f>AVERAGE(AV40:AY40)</f>
        <v>16.574999999999999</v>
      </c>
      <c r="BA40" s="577">
        <v>21.2</v>
      </c>
      <c r="BB40" s="577">
        <v>28.4</v>
      </c>
      <c r="BC40" s="577">
        <v>27.3</v>
      </c>
      <c r="BD40" s="577">
        <v>18.899999999999999</v>
      </c>
      <c r="BE40" s="618">
        <f>AVERAGE(BA40:BD40)</f>
        <v>23.949999999999996</v>
      </c>
      <c r="BF40" s="577">
        <v>15.6</v>
      </c>
      <c r="BG40" s="577">
        <v>20.100000000000001</v>
      </c>
      <c r="BH40" s="577">
        <v>18.100000000000001</v>
      </c>
      <c r="BI40" s="577">
        <v>14</v>
      </c>
      <c r="BJ40" s="618">
        <f>AVERAGE(BF40:BI40)</f>
        <v>16.950000000000003</v>
      </c>
      <c r="BK40" s="577">
        <v>15.9</v>
      </c>
      <c r="BL40" s="577">
        <v>20.5</v>
      </c>
      <c r="BM40" s="577">
        <v>23.2</v>
      </c>
      <c r="BN40" s="577">
        <v>15.7</v>
      </c>
      <c r="BO40" s="618">
        <f>AVERAGE(BK40:BN40)</f>
        <v>18.824999999999999</v>
      </c>
      <c r="BP40" s="623">
        <v>13.1</v>
      </c>
      <c r="BQ40" s="621"/>
      <c r="BR40" s="621"/>
      <c r="BS40" s="621"/>
      <c r="BT40" s="621"/>
      <c r="BU40" s="621"/>
      <c r="BV40" s="621"/>
      <c r="BW40" s="621"/>
      <c r="BX40" s="621"/>
      <c r="BY40" s="621"/>
      <c r="BZ40" s="621"/>
      <c r="CA40" s="621"/>
      <c r="CB40" s="621"/>
      <c r="CC40" s="621"/>
      <c r="CD40" s="621"/>
      <c r="CE40" s="5"/>
      <c r="CF40" s="5"/>
      <c r="CG40" s="47" t="s">
        <v>2398</v>
      </c>
      <c r="CH40" s="155">
        <f t="shared" si="20"/>
        <v>108.29</v>
      </c>
      <c r="CI40" s="155">
        <f t="shared" si="10"/>
        <v>93.3</v>
      </c>
      <c r="CJ40" s="155">
        <f t="shared" si="11"/>
        <v>104.18</v>
      </c>
      <c r="CK40" s="155">
        <f t="shared" si="12"/>
        <v>101.16</v>
      </c>
      <c r="CL40" s="155">
        <f t="shared" si="13"/>
        <v>99.72</v>
      </c>
      <c r="CM40" s="155">
        <f t="shared" si="33"/>
        <v>48.22</v>
      </c>
      <c r="CN40" s="155">
        <f t="shared" si="14"/>
        <v>100.89</v>
      </c>
      <c r="CP40" s="47" t="s">
        <v>2398</v>
      </c>
      <c r="CQ40" s="155">
        <f t="shared" si="15"/>
        <v>2.21</v>
      </c>
      <c r="CR40" s="155">
        <f t="shared" si="31"/>
        <v>113.97499999999999</v>
      </c>
      <c r="CS40" s="155">
        <f t="shared" si="32"/>
        <v>57.38</v>
      </c>
      <c r="CT40" s="155">
        <f t="shared" si="16"/>
        <v>9.06</v>
      </c>
      <c r="CU40" s="155">
        <f t="shared" si="17"/>
        <v>1.91</v>
      </c>
      <c r="CV40" s="155">
        <f t="shared" si="18"/>
        <v>5.09</v>
      </c>
      <c r="CW40" s="155">
        <f t="shared" si="19"/>
        <v>4.54</v>
      </c>
      <c r="CY40" s="440"/>
      <c r="CZ40" s="440"/>
      <c r="DB40" s="440"/>
      <c r="DC40" s="440"/>
    </row>
    <row r="41" spans="1:107">
      <c r="A41" s="253"/>
      <c r="B41" s="121" t="s">
        <v>2008</v>
      </c>
      <c r="C41" s="182"/>
      <c r="D41" s="182"/>
      <c r="E41" s="182"/>
      <c r="F41" s="620"/>
      <c r="G41" s="620"/>
      <c r="H41" s="620"/>
      <c r="I41" s="620"/>
      <c r="J41" s="620"/>
      <c r="K41" s="620"/>
      <c r="L41" s="620"/>
      <c r="M41" s="577">
        <v>12.003377159736681</v>
      </c>
      <c r="N41" s="577">
        <v>17.715459425975677</v>
      </c>
      <c r="O41" s="577">
        <v>13.551736164338815</v>
      </c>
      <c r="P41" s="577">
        <v>14.457739151371017</v>
      </c>
      <c r="Q41" s="618">
        <v>14.432176294037598</v>
      </c>
      <c r="R41" s="577">
        <v>14.390088265745248</v>
      </c>
      <c r="S41" s="577">
        <v>21.828177752387457</v>
      </c>
      <c r="T41" s="577">
        <v>18.204424912799293</v>
      </c>
      <c r="U41" s="577">
        <v>14.489238889863502</v>
      </c>
      <c r="V41" s="618">
        <v>17.221256115093006</v>
      </c>
      <c r="W41" s="577">
        <v>9.503861587930901</v>
      </c>
      <c r="X41" s="577">
        <v>9.6635737124653929</v>
      </c>
      <c r="Y41" s="577">
        <v>8.7594959756483686</v>
      </c>
      <c r="Z41" s="577">
        <v>7.8819989938415551</v>
      </c>
      <c r="AA41" s="618">
        <v>8.9452800801692103</v>
      </c>
      <c r="AB41" s="577">
        <v>9.7883981259578832</v>
      </c>
      <c r="AC41" s="577">
        <v>11.214690757907114</v>
      </c>
      <c r="AD41" s="577">
        <v>9.1386630512214904</v>
      </c>
      <c r="AE41" s="577">
        <v>11.292412557714954</v>
      </c>
      <c r="AF41" s="618">
        <v>10.359629768256976</v>
      </c>
      <c r="AG41" s="578">
        <v>11.07</v>
      </c>
      <c r="AH41" s="578">
        <v>11.69</v>
      </c>
      <c r="AI41" s="578">
        <v>12.63</v>
      </c>
      <c r="AJ41" s="578">
        <v>12</v>
      </c>
      <c r="AK41" s="618">
        <f t="shared" si="30"/>
        <v>11.8475</v>
      </c>
      <c r="AL41" s="578">
        <v>12.49</v>
      </c>
      <c r="AM41" s="578">
        <v>16.809999999999999</v>
      </c>
      <c r="AN41" s="578">
        <v>19.88</v>
      </c>
      <c r="AO41" s="578">
        <v>15.18</v>
      </c>
      <c r="AP41" s="618">
        <f>AVERAGE(AL41:AO41)</f>
        <v>16.089999999999996</v>
      </c>
      <c r="AQ41" s="578">
        <v>14</v>
      </c>
      <c r="AR41" s="578">
        <v>14.3</v>
      </c>
      <c r="AS41" s="578">
        <v>13.3</v>
      </c>
      <c r="AT41" s="578">
        <v>10</v>
      </c>
      <c r="AU41" s="618">
        <f>AVERAGE(AQ41:AT41)</f>
        <v>12.9</v>
      </c>
      <c r="AV41" s="578">
        <v>10.5</v>
      </c>
      <c r="AW41" s="578">
        <v>13.1</v>
      </c>
      <c r="AX41" s="578">
        <v>14.5</v>
      </c>
      <c r="AY41" s="578">
        <v>12.2</v>
      </c>
      <c r="AZ41" s="618">
        <f>AVERAGE(AV41:AY41)</f>
        <v>12.574999999999999</v>
      </c>
      <c r="BA41" s="578">
        <v>13.4</v>
      </c>
      <c r="BB41" s="578">
        <v>17</v>
      </c>
      <c r="BC41" s="578">
        <v>16.8</v>
      </c>
      <c r="BD41" s="578">
        <v>10.7</v>
      </c>
      <c r="BE41" s="618">
        <f>AVERAGE(BA41:BD41)</f>
        <v>14.475000000000001</v>
      </c>
      <c r="BF41" s="578">
        <v>9.1999999999999993</v>
      </c>
      <c r="BG41" s="578">
        <v>11.3</v>
      </c>
      <c r="BH41" s="578">
        <v>8.9</v>
      </c>
      <c r="BI41" s="578">
        <v>10.6</v>
      </c>
      <c r="BJ41" s="618">
        <f>AVERAGE(BF41:BI41)</f>
        <v>10</v>
      </c>
      <c r="BK41" s="578">
        <v>10.4</v>
      </c>
      <c r="BL41" s="578">
        <v>11.9</v>
      </c>
      <c r="BM41" s="578">
        <v>13.6</v>
      </c>
      <c r="BN41" s="578">
        <v>11.1</v>
      </c>
      <c r="BO41" s="618">
        <f>AVERAGE(BK41:BN41)</f>
        <v>11.75</v>
      </c>
      <c r="BP41" s="623">
        <v>9.9</v>
      </c>
      <c r="BQ41" s="621"/>
      <c r="BR41" s="621"/>
      <c r="BS41" s="621"/>
      <c r="BT41" s="621"/>
      <c r="BU41" s="621"/>
      <c r="BV41" s="621"/>
      <c r="BW41" s="621"/>
      <c r="BX41" s="621"/>
      <c r="BY41" s="621"/>
      <c r="BZ41" s="621"/>
      <c r="CA41" s="621"/>
      <c r="CB41" s="621"/>
      <c r="CC41" s="621"/>
      <c r="CD41" s="621"/>
      <c r="CE41" s="5"/>
      <c r="CF41" s="5"/>
      <c r="CG41" s="47" t="s">
        <v>2399</v>
      </c>
      <c r="CH41" s="155">
        <f t="shared" si="20"/>
        <v>109.5</v>
      </c>
      <c r="CI41" s="155">
        <f t="shared" si="10"/>
        <v>92.1</v>
      </c>
      <c r="CJ41" s="155">
        <f t="shared" si="11"/>
        <v>108.74</v>
      </c>
      <c r="CK41" s="155">
        <f t="shared" si="12"/>
        <v>90.62</v>
      </c>
      <c r="CL41" s="155">
        <f t="shared" si="13"/>
        <v>104.39</v>
      </c>
      <c r="CM41" s="155">
        <f t="shared" si="33"/>
        <v>55.24</v>
      </c>
      <c r="CN41" s="155">
        <f t="shared" si="14"/>
        <v>99</v>
      </c>
      <c r="CP41" s="47" t="s">
        <v>2399</v>
      </c>
      <c r="CQ41" s="155">
        <f t="shared" si="15"/>
        <v>2.8</v>
      </c>
      <c r="CR41" s="155">
        <f t="shared" si="31"/>
        <v>113.44499999999999</v>
      </c>
      <c r="CS41" s="155">
        <f t="shared" si="32"/>
        <v>56.79</v>
      </c>
      <c r="CT41" s="155">
        <f t="shared" si="16"/>
        <v>8.4600000000000009</v>
      </c>
      <c r="CU41" s="155">
        <f t="shared" si="17"/>
        <v>2.54</v>
      </c>
      <c r="CV41" s="155">
        <f t="shared" si="18"/>
        <v>5.31</v>
      </c>
      <c r="CW41" s="155">
        <f t="shared" si="19"/>
        <v>4.7699999999999996</v>
      </c>
      <c r="CY41" s="440"/>
      <c r="CZ41" s="440"/>
      <c r="DB41" s="440"/>
      <c r="DC41" s="440"/>
    </row>
    <row r="42" spans="1:107">
      <c r="A42" s="253"/>
      <c r="B42" s="121" t="s">
        <v>2009</v>
      </c>
      <c r="C42" s="182"/>
      <c r="D42" s="182"/>
      <c r="E42" s="182"/>
      <c r="F42" s="620"/>
      <c r="G42" s="620"/>
      <c r="H42" s="620"/>
      <c r="I42" s="620"/>
      <c r="J42" s="620"/>
      <c r="K42" s="620"/>
      <c r="L42" s="620"/>
      <c r="M42" s="578">
        <v>10.340853862084044</v>
      </c>
      <c r="N42" s="578">
        <v>16.974314173056243</v>
      </c>
      <c r="O42" s="578">
        <v>11.747494410230894</v>
      </c>
      <c r="P42" s="578">
        <v>13.086304308273531</v>
      </c>
      <c r="Q42" s="622">
        <v>13.037429667797614</v>
      </c>
      <c r="R42" s="578">
        <v>12.580941447276624</v>
      </c>
      <c r="S42" s="578">
        <v>18.087756245809068</v>
      </c>
      <c r="T42" s="578">
        <v>14.207306011909887</v>
      </c>
      <c r="U42" s="578">
        <v>12.218983447922575</v>
      </c>
      <c r="V42" s="622">
        <v>14.265650589311122</v>
      </c>
      <c r="W42" s="578">
        <v>8.5472952992306279</v>
      </c>
      <c r="X42" s="578">
        <v>9.1913558904052106</v>
      </c>
      <c r="Y42" s="578">
        <v>7.7632701353325526</v>
      </c>
      <c r="Z42" s="578">
        <v>6.2734401292467483</v>
      </c>
      <c r="AA42" s="622">
        <v>7.9344364348250283</v>
      </c>
      <c r="AB42" s="577">
        <v>8.2671874849496731</v>
      </c>
      <c r="AC42" s="577">
        <v>9.588190206512115</v>
      </c>
      <c r="AD42" s="577">
        <v>7.6294572869858657</v>
      </c>
      <c r="AE42" s="577">
        <v>9.7959348400445023</v>
      </c>
      <c r="AF42" s="618">
        <v>8.8214875204753689</v>
      </c>
      <c r="AG42" s="577">
        <v>9.09</v>
      </c>
      <c r="AH42" s="577">
        <v>8.49</v>
      </c>
      <c r="AI42" s="577">
        <v>10.37</v>
      </c>
      <c r="AJ42" s="577">
        <v>8.14</v>
      </c>
      <c r="AK42" s="618">
        <f t="shared" si="30"/>
        <v>9.0224999999999991</v>
      </c>
      <c r="AL42" s="577">
        <v>10.56</v>
      </c>
      <c r="AM42" s="577">
        <v>12.71</v>
      </c>
      <c r="AN42" s="577">
        <v>16.350000000000001</v>
      </c>
      <c r="AO42" s="577">
        <v>11.13</v>
      </c>
      <c r="AP42" s="618">
        <f>AVERAGE(AL42:AO42)</f>
        <v>12.687500000000002</v>
      </c>
      <c r="AQ42" s="577">
        <v>12.7</v>
      </c>
      <c r="AR42" s="577">
        <v>11.2</v>
      </c>
      <c r="AS42" s="577">
        <v>10.199999999999999</v>
      </c>
      <c r="AT42" s="577">
        <v>8.1</v>
      </c>
      <c r="AU42" s="618">
        <f>AVERAGE(AQ42:AT42)</f>
        <v>10.549999999999999</v>
      </c>
      <c r="AV42" s="577">
        <v>9.3000000000000007</v>
      </c>
      <c r="AW42" s="577">
        <v>10.3</v>
      </c>
      <c r="AX42" s="577">
        <v>12.2</v>
      </c>
      <c r="AY42" s="577">
        <v>10.5</v>
      </c>
      <c r="AZ42" s="618">
        <f>AVERAGE(AV42:AY42)</f>
        <v>10.574999999999999</v>
      </c>
      <c r="BA42" s="577">
        <v>11.7</v>
      </c>
      <c r="BB42" s="577">
        <v>14.8</v>
      </c>
      <c r="BC42" s="577">
        <v>14.3</v>
      </c>
      <c r="BD42" s="577">
        <v>10.1</v>
      </c>
      <c r="BE42" s="618">
        <f>AVERAGE(BA42:BD42)</f>
        <v>12.725</v>
      </c>
      <c r="BF42" s="577">
        <v>9.3000000000000007</v>
      </c>
      <c r="BG42" s="577">
        <v>9.6</v>
      </c>
      <c r="BH42" s="577">
        <v>7.7</v>
      </c>
      <c r="BI42" s="577">
        <v>9.4</v>
      </c>
      <c r="BJ42" s="618">
        <f>AVERAGE(BF42:BI42)</f>
        <v>9</v>
      </c>
      <c r="BK42" s="577">
        <v>9.6999999999999993</v>
      </c>
      <c r="BL42" s="577">
        <v>10.4</v>
      </c>
      <c r="BM42" s="577">
        <v>12</v>
      </c>
      <c r="BN42" s="577">
        <v>9.6</v>
      </c>
      <c r="BO42" s="618">
        <f>AVERAGE(BK42:BN42)</f>
        <v>10.425000000000001</v>
      </c>
      <c r="BP42" s="623">
        <v>9.4</v>
      </c>
      <c r="BQ42" s="621"/>
      <c r="BR42" s="621"/>
      <c r="BS42" s="621"/>
      <c r="BT42" s="621"/>
      <c r="BU42" s="621"/>
      <c r="BV42" s="621"/>
      <c r="BW42" s="621"/>
      <c r="BX42" s="621"/>
      <c r="BY42" s="621"/>
      <c r="BZ42" s="621"/>
      <c r="CA42" s="621"/>
      <c r="CB42" s="621"/>
      <c r="CC42" s="621"/>
      <c r="CD42" s="621"/>
      <c r="CE42" s="5"/>
      <c r="CF42" s="5"/>
      <c r="CG42" s="47" t="s">
        <v>2400</v>
      </c>
      <c r="CH42" s="155">
        <f t="shared" si="20"/>
        <v>110.08</v>
      </c>
      <c r="CI42" s="155">
        <f t="shared" si="10"/>
        <v>88.15</v>
      </c>
      <c r="CJ42" s="155">
        <f t="shared" si="11"/>
        <v>104.8</v>
      </c>
      <c r="CK42" s="155">
        <f t="shared" si="12"/>
        <v>94.36</v>
      </c>
      <c r="CL42" s="155">
        <f t="shared" si="13"/>
        <v>104.59</v>
      </c>
      <c r="CM42" s="155">
        <f t="shared" si="33"/>
        <v>54.03</v>
      </c>
      <c r="CN42" s="155">
        <f t="shared" si="14"/>
        <v>100</v>
      </c>
      <c r="CP42" s="47" t="s">
        <v>2400</v>
      </c>
      <c r="CQ42" s="155">
        <f t="shared" si="15"/>
        <v>3.41</v>
      </c>
      <c r="CR42" s="155">
        <f t="shared" si="31"/>
        <v>108.89500000000001</v>
      </c>
      <c r="CS42" s="155">
        <f t="shared" si="32"/>
        <v>65.260000000000005</v>
      </c>
      <c r="CT42" s="155">
        <f t="shared" si="16"/>
        <v>9.33</v>
      </c>
      <c r="CU42" s="155">
        <f t="shared" si="17"/>
        <v>2.62</v>
      </c>
      <c r="CV42" s="155">
        <f t="shared" si="18"/>
        <v>5.58</v>
      </c>
      <c r="CW42" s="155">
        <f t="shared" si="19"/>
        <v>5.03</v>
      </c>
      <c r="CY42" s="440"/>
      <c r="CZ42" s="440"/>
      <c r="DB42" s="440"/>
      <c r="DC42" s="440"/>
    </row>
    <row r="43" spans="1:107">
      <c r="A43" s="253"/>
      <c r="B43" s="121" t="s">
        <v>2965</v>
      </c>
      <c r="C43" s="182"/>
      <c r="D43" s="182"/>
      <c r="E43" s="182"/>
      <c r="F43" s="620"/>
      <c r="G43" s="620"/>
      <c r="H43" s="620"/>
      <c r="I43" s="620"/>
      <c r="J43" s="620"/>
      <c r="K43" s="620"/>
      <c r="L43" s="620"/>
      <c r="M43" s="578"/>
      <c r="N43" s="578"/>
      <c r="O43" s="578"/>
      <c r="P43" s="578"/>
      <c r="Q43" s="620"/>
      <c r="R43" s="620"/>
      <c r="S43" s="620"/>
      <c r="T43" s="620"/>
      <c r="U43" s="620"/>
      <c r="V43" s="620"/>
      <c r="W43" s="620"/>
      <c r="X43" s="620"/>
      <c r="Y43" s="620"/>
      <c r="Z43" s="620"/>
      <c r="AA43" s="620"/>
      <c r="AB43" s="620"/>
      <c r="AC43" s="620"/>
      <c r="AD43" s="620"/>
      <c r="AE43" s="620"/>
      <c r="AF43" s="620"/>
      <c r="AG43" s="620"/>
      <c r="AH43" s="620"/>
      <c r="AI43" s="620"/>
      <c r="AJ43" s="620"/>
      <c r="AK43" s="620"/>
      <c r="AL43" s="620"/>
      <c r="AM43" s="577">
        <v>14.5</v>
      </c>
      <c r="AN43" s="577">
        <v>15.8</v>
      </c>
      <c r="AO43" s="577">
        <v>14.5</v>
      </c>
      <c r="AP43" s="621"/>
      <c r="AQ43" s="577">
        <v>15.4</v>
      </c>
      <c r="AR43" s="577">
        <v>14.5</v>
      </c>
      <c r="AS43" s="577">
        <v>11.8</v>
      </c>
      <c r="AT43" s="577">
        <v>11.9</v>
      </c>
      <c r="AU43" s="618">
        <f>AVERAGE(AQ43:AT43)</f>
        <v>13.4</v>
      </c>
      <c r="AV43" s="577">
        <v>13</v>
      </c>
      <c r="AW43" s="577">
        <v>13.1</v>
      </c>
      <c r="AX43" s="577">
        <v>14.1</v>
      </c>
      <c r="AY43" s="577">
        <v>13.8</v>
      </c>
      <c r="AZ43" s="618">
        <f>AVERAGE(AV43:AY43)</f>
        <v>13.5</v>
      </c>
      <c r="BA43" s="577">
        <v>14.5</v>
      </c>
      <c r="BB43" s="577">
        <v>17.2</v>
      </c>
      <c r="BC43" s="577">
        <v>16</v>
      </c>
      <c r="BD43" s="577">
        <v>14</v>
      </c>
      <c r="BE43" s="618">
        <f>AVERAGE(BA43:BD43)</f>
        <v>15.425000000000001</v>
      </c>
      <c r="BF43" s="577">
        <v>11.5</v>
      </c>
      <c r="BG43" s="577">
        <v>10.7</v>
      </c>
      <c r="BH43" s="577">
        <v>8.9</v>
      </c>
      <c r="BI43" s="577">
        <v>12.5</v>
      </c>
      <c r="BJ43" s="618">
        <f>AVERAGE(BF43:BI43)</f>
        <v>10.9</v>
      </c>
      <c r="BK43" s="577">
        <v>12.9</v>
      </c>
      <c r="BL43" s="577">
        <v>12.9</v>
      </c>
      <c r="BM43" s="577">
        <v>13.7</v>
      </c>
      <c r="BN43" s="577">
        <v>12.2</v>
      </c>
      <c r="BO43" s="618">
        <f>AVERAGE(BK43:BN43)</f>
        <v>12.925000000000001</v>
      </c>
      <c r="BP43" s="623">
        <v>11.7</v>
      </c>
      <c r="BQ43" s="621"/>
      <c r="BR43" s="621"/>
      <c r="BS43" s="621"/>
      <c r="BT43" s="621"/>
      <c r="BU43" s="621"/>
      <c r="BV43" s="621"/>
      <c r="BW43" s="621"/>
      <c r="BX43" s="621"/>
      <c r="BY43" s="621"/>
      <c r="BZ43" s="621"/>
      <c r="CA43" s="621"/>
      <c r="CB43" s="621"/>
      <c r="CC43" s="621"/>
      <c r="CD43" s="621"/>
      <c r="CE43" s="5"/>
      <c r="CF43" s="5"/>
      <c r="CG43" s="47" t="s">
        <v>2401</v>
      </c>
      <c r="CH43" s="155">
        <f t="shared" si="20"/>
        <v>112.57</v>
      </c>
      <c r="CI43" s="155">
        <f t="shared" si="10"/>
        <v>94.29</v>
      </c>
      <c r="CJ43" s="155">
        <f t="shared" si="11"/>
        <v>107.15</v>
      </c>
      <c r="CK43" s="155">
        <f t="shared" si="12"/>
        <v>96.11</v>
      </c>
      <c r="CL43" s="155">
        <f t="shared" si="13"/>
        <v>108.04</v>
      </c>
      <c r="CM43" s="155">
        <f t="shared" si="33"/>
        <v>55.24</v>
      </c>
      <c r="CN43" s="155">
        <f t="shared" si="14"/>
        <v>103.11</v>
      </c>
      <c r="CP43" s="47" t="s">
        <v>2401</v>
      </c>
      <c r="CQ43" s="155">
        <f t="shared" si="15"/>
        <v>3.34</v>
      </c>
      <c r="CR43" s="155">
        <f t="shared" si="31"/>
        <v>109.78999999999999</v>
      </c>
      <c r="CS43" s="155">
        <f t="shared" si="32"/>
        <v>73.83</v>
      </c>
      <c r="CT43" s="155">
        <f t="shared" si="16"/>
        <v>9.7799999999999994</v>
      </c>
      <c r="CU43" s="155">
        <f t="shared" si="17"/>
        <v>2.92</v>
      </c>
      <c r="CV43" s="155">
        <f t="shared" si="18"/>
        <v>6.12</v>
      </c>
      <c r="CW43" s="155">
        <f t="shared" si="19"/>
        <v>5.52</v>
      </c>
      <c r="CY43" s="440"/>
      <c r="CZ43" s="440"/>
      <c r="DB43" s="440"/>
      <c r="DC43" s="440"/>
    </row>
    <row r="44" spans="1:107">
      <c r="A44" s="253"/>
      <c r="B44" s="121" t="s">
        <v>3102</v>
      </c>
      <c r="C44" s="182"/>
      <c r="D44" s="182"/>
      <c r="E44" s="182"/>
      <c r="F44" s="620"/>
      <c r="G44" s="620"/>
      <c r="H44" s="620"/>
      <c r="I44" s="620"/>
      <c r="J44" s="620"/>
      <c r="K44" s="620"/>
      <c r="L44" s="620"/>
      <c r="M44" s="577">
        <v>13.011826923076923</v>
      </c>
      <c r="N44" s="577">
        <v>17.701346153846156</v>
      </c>
      <c r="O44" s="577">
        <v>13.384500000000003</v>
      </c>
      <c r="P44" s="577">
        <v>15.749318181818181</v>
      </c>
      <c r="Q44" s="618">
        <v>14.964765325670504</v>
      </c>
      <c r="R44" s="577">
        <v>17.404</v>
      </c>
      <c r="S44" s="577">
        <v>24.123750000000001</v>
      </c>
      <c r="T44" s="577">
        <v>14.508977272727277</v>
      </c>
      <c r="U44" s="577">
        <v>12.054696969696971</v>
      </c>
      <c r="V44" s="618">
        <v>16.99429866412213</v>
      </c>
      <c r="W44" s="577">
        <v>11.227246093750004</v>
      </c>
      <c r="X44" s="577">
        <v>8.9682307692307699</v>
      </c>
      <c r="Y44" s="577">
        <v>7.8249621212121214</v>
      </c>
      <c r="Z44" s="577">
        <v>6.1126136363636361</v>
      </c>
      <c r="AA44" s="618">
        <v>8.510953065134105</v>
      </c>
      <c r="AB44" s="577">
        <v>10.600878906249999</v>
      </c>
      <c r="AC44" s="577">
        <v>10.483923076923078</v>
      </c>
      <c r="AD44" s="577">
        <v>10.103465909090906</v>
      </c>
      <c r="AE44" s="577">
        <v>11.56395833333333</v>
      </c>
      <c r="AF44" s="618">
        <v>10.689506704980843</v>
      </c>
      <c r="AG44" s="577">
        <v>14.69</v>
      </c>
      <c r="AH44" s="577">
        <v>15</v>
      </c>
      <c r="AI44" s="577">
        <v>15.93</v>
      </c>
      <c r="AJ44" s="577">
        <v>12.66</v>
      </c>
      <c r="AK44" s="618">
        <f t="shared" si="30"/>
        <v>14.57</v>
      </c>
      <c r="AL44" s="621"/>
      <c r="AM44" s="621"/>
      <c r="AN44" s="621"/>
      <c r="AO44" s="621"/>
      <c r="AP44" s="621"/>
      <c r="AQ44" s="621"/>
      <c r="AR44" s="621"/>
      <c r="AS44" s="621"/>
      <c r="AT44" s="621"/>
      <c r="AU44" s="621"/>
      <c r="AV44" s="621"/>
      <c r="AW44" s="621"/>
      <c r="AX44" s="621"/>
      <c r="AY44" s="621"/>
      <c r="AZ44" s="621"/>
      <c r="BA44" s="621"/>
      <c r="BB44" s="621"/>
      <c r="BC44" s="621"/>
      <c r="BD44" s="621"/>
      <c r="BE44" s="621"/>
      <c r="BF44" s="621"/>
      <c r="BG44" s="621"/>
      <c r="BH44" s="621"/>
      <c r="BI44" s="621"/>
      <c r="BJ44" s="621"/>
      <c r="BK44" s="621"/>
      <c r="BL44" s="621"/>
      <c r="BM44" s="621"/>
      <c r="BN44" s="621"/>
      <c r="BO44" s="621"/>
      <c r="BP44" s="621"/>
      <c r="BQ44" s="621"/>
      <c r="BR44" s="621"/>
      <c r="BS44" s="621"/>
      <c r="BT44" s="621"/>
      <c r="BU44" s="621"/>
      <c r="BV44" s="621"/>
      <c r="BW44" s="621"/>
      <c r="BX44" s="621"/>
      <c r="BY44" s="621"/>
      <c r="BZ44" s="621"/>
      <c r="CA44" s="621"/>
      <c r="CB44" s="621"/>
      <c r="CC44" s="621"/>
      <c r="CD44" s="621"/>
      <c r="CE44" s="5"/>
      <c r="CF44" s="5"/>
      <c r="CG44" s="47" t="s">
        <v>2402</v>
      </c>
      <c r="CH44" s="155">
        <f t="shared" si="20"/>
        <v>102.43</v>
      </c>
      <c r="CI44" s="155">
        <f t="shared" si="10"/>
        <v>94.07</v>
      </c>
      <c r="CJ44" s="155">
        <f t="shared" si="11"/>
        <v>99.12</v>
      </c>
      <c r="CK44" s="155">
        <f t="shared" si="12"/>
        <v>90.51</v>
      </c>
      <c r="CL44" s="155">
        <f t="shared" si="13"/>
        <v>97.26</v>
      </c>
      <c r="CM44" s="155">
        <f t="shared" si="33"/>
        <v>51.28</v>
      </c>
      <c r="CN44" s="155">
        <f t="shared" si="14"/>
        <v>94.92</v>
      </c>
      <c r="CP44" s="47" t="s">
        <v>2402</v>
      </c>
      <c r="CQ44" s="155">
        <f t="shared" si="15"/>
        <v>4.0999999999999996</v>
      </c>
      <c r="CR44" s="155">
        <f t="shared" si="31"/>
        <v>111.32499999999999</v>
      </c>
      <c r="CS44" s="155">
        <f t="shared" si="32"/>
        <v>65.599999999999994</v>
      </c>
      <c r="CT44" s="155">
        <f t="shared" si="16"/>
        <v>9.3699999999999992</v>
      </c>
      <c r="CU44" s="155">
        <f t="shared" si="17"/>
        <v>3.37</v>
      </c>
      <c r="CV44" s="155">
        <f t="shared" si="18"/>
        <v>5.89</v>
      </c>
      <c r="CW44" s="155">
        <f t="shared" si="19"/>
        <v>5.37</v>
      </c>
    </row>
    <row r="45" spans="1:107">
      <c r="A45" s="253"/>
      <c r="B45" s="121" t="s">
        <v>2010</v>
      </c>
      <c r="C45" s="182"/>
      <c r="D45" s="182"/>
      <c r="E45" s="182"/>
      <c r="F45" s="620"/>
      <c r="G45" s="620"/>
      <c r="H45" s="620"/>
      <c r="I45" s="620"/>
      <c r="J45" s="620"/>
      <c r="K45" s="620"/>
      <c r="L45" s="620"/>
      <c r="M45" s="577">
        <v>15.49</v>
      </c>
      <c r="N45" s="577">
        <v>24</v>
      </c>
      <c r="O45" s="577">
        <v>15.62</v>
      </c>
      <c r="P45" s="577">
        <v>13.9</v>
      </c>
      <c r="Q45" s="618">
        <v>17.239999999999998</v>
      </c>
      <c r="R45" s="577">
        <v>13.37</v>
      </c>
      <c r="S45" s="577">
        <v>19.559999999999999</v>
      </c>
      <c r="T45" s="577">
        <v>16.79</v>
      </c>
      <c r="U45" s="577">
        <v>10.75</v>
      </c>
      <c r="V45" s="618">
        <v>15.11</v>
      </c>
      <c r="W45" s="577">
        <v>10.01</v>
      </c>
      <c r="X45" s="577">
        <v>10.8</v>
      </c>
      <c r="Y45" s="577">
        <v>9.2100000000000009</v>
      </c>
      <c r="Z45" s="577">
        <v>6.79</v>
      </c>
      <c r="AA45" s="618">
        <v>9.19</v>
      </c>
      <c r="AB45" s="577">
        <v>9.0629500639755705</v>
      </c>
      <c r="AC45" s="577">
        <v>11.0435960761749</v>
      </c>
      <c r="AD45" s="577">
        <v>10.002169395830727</v>
      </c>
      <c r="AE45" s="577">
        <v>9.9826321518280103</v>
      </c>
      <c r="AF45" s="618">
        <v>10.02</v>
      </c>
      <c r="AG45" s="577">
        <v>11.02</v>
      </c>
      <c r="AH45" s="577">
        <v>13.92</v>
      </c>
      <c r="AI45" s="577">
        <v>12.51</v>
      </c>
      <c r="AJ45" s="577">
        <v>9.1</v>
      </c>
      <c r="AK45" s="618">
        <f t="shared" si="30"/>
        <v>11.637499999999999</v>
      </c>
      <c r="AL45" s="621"/>
      <c r="AM45" s="577">
        <v>19.3</v>
      </c>
      <c r="AN45" s="577">
        <v>23.2</v>
      </c>
      <c r="AO45" s="577">
        <v>18.2</v>
      </c>
      <c r="AP45" s="621"/>
      <c r="AQ45" s="577">
        <v>17.8</v>
      </c>
      <c r="AR45" s="577">
        <v>19.2</v>
      </c>
      <c r="AS45" s="577">
        <v>13.6</v>
      </c>
      <c r="AT45" s="577">
        <v>11</v>
      </c>
      <c r="AU45" s="618">
        <f>AVERAGE(AQ45:AT45)</f>
        <v>15.4</v>
      </c>
      <c r="AV45" s="577">
        <v>13.3</v>
      </c>
      <c r="AW45" s="577">
        <v>15.4</v>
      </c>
      <c r="AX45" s="577">
        <v>15.6</v>
      </c>
      <c r="AY45" s="577">
        <v>13</v>
      </c>
      <c r="AZ45" s="618">
        <v>14.4</v>
      </c>
      <c r="BA45" s="577">
        <v>15.2</v>
      </c>
      <c r="BB45" s="577">
        <v>19.399999999999999</v>
      </c>
      <c r="BC45" s="577">
        <v>20</v>
      </c>
      <c r="BD45" s="577">
        <v>13.2</v>
      </c>
      <c r="BE45" s="618">
        <v>17</v>
      </c>
      <c r="BF45" s="577">
        <v>10.5</v>
      </c>
      <c r="BG45" s="577">
        <v>13.8</v>
      </c>
      <c r="BH45" s="577">
        <v>11.6</v>
      </c>
      <c r="BI45" s="577">
        <v>11.4</v>
      </c>
      <c r="BJ45" s="618">
        <f>AVERAGE(BF45:BI45)</f>
        <v>11.824999999999999</v>
      </c>
      <c r="BK45" s="577">
        <v>11.7</v>
      </c>
      <c r="BL45" s="577">
        <v>13.8</v>
      </c>
      <c r="BM45" s="577">
        <v>16.3</v>
      </c>
      <c r="BN45" s="577">
        <v>14.4</v>
      </c>
      <c r="BO45" s="618">
        <f>AVERAGE(BK45:BN45)</f>
        <v>14.049999999999999</v>
      </c>
      <c r="BP45" s="623">
        <v>11.7</v>
      </c>
      <c r="BQ45" s="623">
        <v>13</v>
      </c>
      <c r="BR45" s="623">
        <v>13</v>
      </c>
      <c r="BS45" s="623">
        <v>13</v>
      </c>
      <c r="BT45" s="624">
        <f t="shared" ref="BT45" si="34">AVERAGE(BP45:BS45)</f>
        <v>12.675000000000001</v>
      </c>
      <c r="BU45" s="623">
        <v>15</v>
      </c>
      <c r="BV45" s="623">
        <v>15</v>
      </c>
      <c r="BW45" s="623">
        <v>15</v>
      </c>
      <c r="BX45" s="623">
        <v>15</v>
      </c>
      <c r="BY45" s="624">
        <f t="shared" ref="BY45" si="35">AVERAGE(BU45:BX45)</f>
        <v>15</v>
      </c>
      <c r="BZ45" s="623">
        <v>16</v>
      </c>
      <c r="CA45" s="623">
        <v>16</v>
      </c>
      <c r="CB45" s="623">
        <v>16</v>
      </c>
      <c r="CC45" s="623">
        <v>16</v>
      </c>
      <c r="CD45" s="624">
        <f t="shared" ref="CD45" si="36">AVERAGE(BZ45:CC45)</f>
        <v>16</v>
      </c>
      <c r="CE45" s="5"/>
      <c r="CF45" s="5"/>
      <c r="CG45" s="47" t="s">
        <v>2403</v>
      </c>
      <c r="CH45" s="155">
        <f t="shared" si="20"/>
        <v>110.29</v>
      </c>
      <c r="CI45" s="155">
        <f t="shared" si="10"/>
        <v>105.79</v>
      </c>
      <c r="CJ45" s="155">
        <f t="shared" si="11"/>
        <v>107.78</v>
      </c>
      <c r="CK45" s="155">
        <f t="shared" si="12"/>
        <v>91.2</v>
      </c>
      <c r="CL45" s="155">
        <f t="shared" si="13"/>
        <v>107.21</v>
      </c>
      <c r="CM45" s="155">
        <f t="shared" si="33"/>
        <v>57.11</v>
      </c>
      <c r="CN45" s="155">
        <f t="shared" si="14"/>
        <v>100.66</v>
      </c>
      <c r="CP45" s="47" t="s">
        <v>2403</v>
      </c>
      <c r="CQ45" s="155">
        <f t="shared" si="15"/>
        <v>3.58</v>
      </c>
      <c r="CR45" s="155">
        <f t="shared" si="31"/>
        <v>107.5</v>
      </c>
      <c r="CS45" s="155">
        <f t="shared" si="32"/>
        <v>65.209999999999994</v>
      </c>
      <c r="CT45" s="155">
        <f t="shared" si="16"/>
        <v>9.7200000000000006</v>
      </c>
      <c r="CU45" s="155">
        <f t="shared" si="17"/>
        <v>2.91</v>
      </c>
      <c r="CV45" s="155">
        <f t="shared" si="18"/>
        <v>5.67</v>
      </c>
      <c r="CW45" s="155">
        <f t="shared" si="19"/>
        <v>5.01</v>
      </c>
      <c r="DB45" s="440"/>
      <c r="DC45" s="440"/>
    </row>
    <row r="46" spans="1:107">
      <c r="A46" s="683" t="s">
        <v>2983</v>
      </c>
      <c r="B46" s="121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88"/>
      <c r="W46" s="88"/>
      <c r="X46" s="88"/>
      <c r="Y46" s="88"/>
      <c r="Z46" s="88"/>
      <c r="AA46" s="88"/>
      <c r="AB46" s="88"/>
      <c r="AC46" s="88"/>
      <c r="AD46" s="88"/>
      <c r="AE46" s="88"/>
      <c r="AF46" s="88"/>
      <c r="AG46" s="88"/>
      <c r="AH46" s="88"/>
      <c r="AI46" s="88"/>
      <c r="AJ46" s="88"/>
      <c r="AK46" s="88"/>
      <c r="AL46" s="88"/>
      <c r="AM46" s="88"/>
      <c r="AN46" s="88"/>
      <c r="AO46" s="88"/>
      <c r="AP46" s="88"/>
      <c r="AQ46" s="88"/>
      <c r="AR46" s="88"/>
      <c r="AS46" s="88"/>
      <c r="AT46" s="88"/>
      <c r="AU46" s="88"/>
      <c r="AV46" s="88"/>
      <c r="AW46" s="340"/>
      <c r="AX46" s="340"/>
      <c r="AY46" s="88"/>
      <c r="AZ46" s="88"/>
      <c r="BA46" s="88"/>
      <c r="BB46" s="340"/>
      <c r="BC46" s="340"/>
      <c r="BD46" s="340"/>
      <c r="BE46" s="88"/>
      <c r="BF46" s="340"/>
      <c r="BG46" s="340"/>
      <c r="BH46" s="340"/>
      <c r="BI46" s="340"/>
      <c r="BJ46" s="88"/>
      <c r="BK46" s="340"/>
      <c r="BL46" s="340"/>
      <c r="BM46" s="340"/>
      <c r="BN46" s="340"/>
      <c r="BO46" s="88"/>
      <c r="BP46" s="88"/>
      <c r="BQ46" s="88"/>
      <c r="BR46" s="88"/>
      <c r="BS46" s="88"/>
      <c r="BT46" s="88"/>
      <c r="BU46" s="88"/>
      <c r="BV46" s="88"/>
      <c r="BW46" s="88"/>
      <c r="BX46" s="88"/>
      <c r="BY46" s="88"/>
      <c r="BZ46" s="88"/>
      <c r="CA46" s="88"/>
      <c r="CB46" s="88"/>
      <c r="CC46" s="88"/>
      <c r="CD46" s="88"/>
      <c r="CE46" s="5"/>
      <c r="CF46" s="5"/>
      <c r="CG46" s="47" t="s">
        <v>2404</v>
      </c>
      <c r="CH46" s="155">
        <f t="shared" si="20"/>
        <v>109.24</v>
      </c>
      <c r="CI46" s="155">
        <f t="shared" si="10"/>
        <v>97.59</v>
      </c>
      <c r="CJ46" s="155">
        <f t="shared" si="11"/>
        <v>105.23</v>
      </c>
      <c r="CK46" s="155">
        <f t="shared" si="12"/>
        <v>89.87</v>
      </c>
      <c r="CL46" s="155">
        <f t="shared" si="13"/>
        <v>104.6</v>
      </c>
      <c r="CM46" s="155">
        <f t="shared" si="33"/>
        <v>55.95</v>
      </c>
      <c r="CN46" s="155">
        <f t="shared" si="14"/>
        <v>98.26</v>
      </c>
      <c r="CP46" s="47" t="s">
        <v>2404</v>
      </c>
      <c r="CQ46" s="155">
        <f t="shared" si="15"/>
        <v>3.6</v>
      </c>
      <c r="CR46" s="155">
        <f t="shared" si="31"/>
        <v>106.36000000000001</v>
      </c>
      <c r="CS46" s="155">
        <f t="shared" si="32"/>
        <v>67.48</v>
      </c>
      <c r="CT46" s="155">
        <f t="shared" si="16"/>
        <v>9.9499999999999993</v>
      </c>
      <c r="CU46" s="155">
        <f t="shared" si="17"/>
        <v>3.08</v>
      </c>
      <c r="CV46" s="155">
        <f t="shared" si="18"/>
        <v>6.21</v>
      </c>
      <c r="CW46" s="155">
        <f t="shared" si="19"/>
        <v>5.49</v>
      </c>
      <c r="DB46" s="440"/>
      <c r="DC46" s="440"/>
    </row>
    <row r="47" spans="1:107">
      <c r="A47" s="121"/>
      <c r="B47" s="121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8"/>
      <c r="AO47" s="88"/>
      <c r="AP47" s="88"/>
      <c r="AQ47" s="88"/>
      <c r="AR47" s="88"/>
      <c r="AS47" s="88"/>
      <c r="AT47" s="88"/>
      <c r="AU47" s="88"/>
      <c r="AV47" s="88"/>
      <c r="AW47" s="340"/>
      <c r="AX47" s="340"/>
      <c r="AY47" s="88"/>
      <c r="AZ47" s="88"/>
      <c r="BA47" s="88"/>
      <c r="BB47" s="340"/>
      <c r="BC47" s="340"/>
      <c r="BD47" s="340"/>
      <c r="BE47" s="88"/>
      <c r="BF47" s="340"/>
      <c r="BG47" s="340"/>
      <c r="BH47" s="340"/>
      <c r="BI47" s="340"/>
      <c r="BJ47" s="88"/>
      <c r="BK47" s="340"/>
      <c r="BL47" s="340"/>
      <c r="BM47" s="340"/>
      <c r="BN47" s="340"/>
      <c r="BO47" s="88"/>
      <c r="BP47" s="88"/>
      <c r="BQ47" s="88"/>
      <c r="BR47" s="88"/>
      <c r="BS47" s="88"/>
      <c r="BT47" s="88"/>
      <c r="BU47" s="88"/>
      <c r="BV47" s="88"/>
      <c r="BW47" s="88"/>
      <c r="BX47" s="88"/>
      <c r="BY47" s="88"/>
      <c r="BZ47" s="88"/>
      <c r="CA47" s="88"/>
      <c r="CB47" s="88"/>
      <c r="CC47" s="88"/>
      <c r="CD47" s="88"/>
      <c r="CE47" s="5"/>
      <c r="CF47" s="5"/>
      <c r="CG47" s="47" t="s">
        <v>2405</v>
      </c>
      <c r="CH47" s="155">
        <f t="shared" si="20"/>
        <v>108.21</v>
      </c>
      <c r="CI47" s="155">
        <f t="shared" si="10"/>
        <v>98.69</v>
      </c>
      <c r="CJ47" s="155">
        <f t="shared" si="11"/>
        <v>104.1</v>
      </c>
      <c r="CK47" s="155">
        <f t="shared" si="12"/>
        <v>89.81</v>
      </c>
      <c r="CL47" s="155">
        <f t="shared" si="13"/>
        <v>102.69</v>
      </c>
      <c r="CM47" s="155">
        <f t="shared" si="33"/>
        <v>54.55</v>
      </c>
      <c r="CN47" s="155">
        <f t="shared" si="14"/>
        <v>97.16</v>
      </c>
      <c r="CP47" s="47" t="s">
        <v>2405</v>
      </c>
      <c r="CQ47" s="155">
        <f t="shared" si="15"/>
        <v>4.95</v>
      </c>
      <c r="CR47" s="155">
        <f t="shared" si="31"/>
        <v>109.765</v>
      </c>
      <c r="CS47" s="155">
        <f t="shared" si="32"/>
        <v>60.28</v>
      </c>
      <c r="CT47" s="155">
        <f t="shared" si="16"/>
        <v>9.76</v>
      </c>
      <c r="CU47" s="155">
        <f t="shared" si="17"/>
        <v>4.62</v>
      </c>
      <c r="CV47" s="155">
        <f t="shared" si="18"/>
        <v>6.62</v>
      </c>
      <c r="CW47" s="155">
        <f t="shared" si="19"/>
        <v>6.2</v>
      </c>
    </row>
    <row r="48" spans="1:107">
      <c r="A48" s="4" t="s">
        <v>2890</v>
      </c>
      <c r="B48" s="4"/>
      <c r="C48" s="5">
        <v>365</v>
      </c>
      <c r="D48" s="5">
        <v>365</v>
      </c>
      <c r="E48" s="5">
        <v>365</v>
      </c>
      <c r="F48" s="5">
        <v>366</v>
      </c>
      <c r="G48" s="5">
        <v>365</v>
      </c>
      <c r="H48" s="12">
        <v>90</v>
      </c>
      <c r="I48" s="12">
        <v>91</v>
      </c>
      <c r="J48" s="12">
        <v>92</v>
      </c>
      <c r="K48" s="12">
        <v>92</v>
      </c>
      <c r="L48" s="5">
        <v>365</v>
      </c>
      <c r="M48" s="12">
        <v>90</v>
      </c>
      <c r="N48" s="12">
        <v>91</v>
      </c>
      <c r="O48" s="12">
        <v>92</v>
      </c>
      <c r="P48" s="12">
        <v>92</v>
      </c>
      <c r="Q48" s="5">
        <v>365</v>
      </c>
      <c r="R48" s="12">
        <v>91</v>
      </c>
      <c r="S48" s="12">
        <v>91</v>
      </c>
      <c r="T48" s="12">
        <v>92</v>
      </c>
      <c r="U48" s="12">
        <v>92</v>
      </c>
      <c r="V48" s="5">
        <v>366</v>
      </c>
      <c r="W48" s="12">
        <v>90</v>
      </c>
      <c r="X48" s="12">
        <v>91</v>
      </c>
      <c r="Y48" s="12">
        <v>92</v>
      </c>
      <c r="Z48" s="12">
        <v>92</v>
      </c>
      <c r="AA48" s="5">
        <v>365</v>
      </c>
      <c r="AB48" s="12">
        <v>90</v>
      </c>
      <c r="AC48" s="12">
        <v>91</v>
      </c>
      <c r="AD48" s="12">
        <v>92</v>
      </c>
      <c r="AE48" s="12">
        <v>92</v>
      </c>
      <c r="AF48" s="5">
        <v>365</v>
      </c>
      <c r="AG48" s="12">
        <v>90</v>
      </c>
      <c r="AH48" s="12">
        <v>91</v>
      </c>
      <c r="AI48" s="12">
        <v>92</v>
      </c>
      <c r="AJ48" s="12">
        <v>92</v>
      </c>
      <c r="AK48" s="5">
        <v>365</v>
      </c>
      <c r="AL48" s="12">
        <v>91</v>
      </c>
      <c r="AM48" s="12">
        <v>91</v>
      </c>
      <c r="AN48" s="12">
        <v>92</v>
      </c>
      <c r="AO48" s="12">
        <v>92</v>
      </c>
      <c r="AP48" s="5">
        <v>366</v>
      </c>
      <c r="AQ48" s="12">
        <v>90</v>
      </c>
      <c r="AR48" s="12">
        <v>91</v>
      </c>
      <c r="AS48" s="12">
        <v>92</v>
      </c>
      <c r="AT48" s="12">
        <v>92</v>
      </c>
      <c r="AU48" s="5">
        <v>365</v>
      </c>
      <c r="AV48" s="12">
        <v>90</v>
      </c>
      <c r="AW48" s="12">
        <v>91</v>
      </c>
      <c r="AX48" s="12">
        <v>92</v>
      </c>
      <c r="AY48" s="12">
        <v>92</v>
      </c>
      <c r="AZ48" s="5">
        <v>365</v>
      </c>
      <c r="BA48" s="12">
        <v>90</v>
      </c>
      <c r="BB48" s="12">
        <v>91</v>
      </c>
      <c r="BC48" s="12">
        <v>92</v>
      </c>
      <c r="BD48" s="12">
        <v>92</v>
      </c>
      <c r="BE48" s="5">
        <v>365</v>
      </c>
      <c r="BF48" s="12">
        <v>91</v>
      </c>
      <c r="BG48" s="12">
        <v>91</v>
      </c>
      <c r="BH48" s="12">
        <v>92</v>
      </c>
      <c r="BI48" s="12">
        <v>92</v>
      </c>
      <c r="BJ48" s="5">
        <v>366</v>
      </c>
      <c r="BK48" s="12">
        <v>90</v>
      </c>
      <c r="BL48" s="12">
        <v>91</v>
      </c>
      <c r="BM48" s="12">
        <v>92</v>
      </c>
      <c r="BN48" s="12">
        <v>92</v>
      </c>
      <c r="BO48" s="5">
        <v>365</v>
      </c>
      <c r="BP48" s="12">
        <v>90</v>
      </c>
      <c r="BQ48" s="12">
        <v>91</v>
      </c>
      <c r="BR48" s="12">
        <v>92</v>
      </c>
      <c r="BS48" s="12">
        <v>92</v>
      </c>
      <c r="BT48" s="5">
        <v>365</v>
      </c>
      <c r="BU48" s="12">
        <v>90</v>
      </c>
      <c r="BV48" s="12">
        <v>91</v>
      </c>
      <c r="BW48" s="12">
        <v>92</v>
      </c>
      <c r="BX48" s="12">
        <v>92</v>
      </c>
      <c r="BY48" s="5">
        <v>365</v>
      </c>
      <c r="BZ48" s="12">
        <v>91</v>
      </c>
      <c r="CA48" s="12">
        <v>91</v>
      </c>
      <c r="CB48" s="12">
        <v>92</v>
      </c>
      <c r="CC48" s="12">
        <v>92</v>
      </c>
      <c r="CD48" s="5">
        <v>366</v>
      </c>
      <c r="CE48" s="5"/>
      <c r="CF48" s="5"/>
      <c r="CG48" s="47" t="s">
        <v>2406</v>
      </c>
      <c r="CH48" s="155">
        <f t="shared" si="20"/>
        <v>109.67</v>
      </c>
      <c r="CI48" s="155">
        <f t="shared" si="10"/>
        <v>103.05</v>
      </c>
      <c r="CJ48" s="155">
        <f t="shared" si="11"/>
        <v>101.43</v>
      </c>
      <c r="CK48" s="155">
        <f t="shared" si="12"/>
        <v>89.61</v>
      </c>
      <c r="CL48" s="155">
        <f t="shared" si="13"/>
        <v>103.37</v>
      </c>
      <c r="CM48" s="155">
        <f t="shared" si="33"/>
        <v>57.51</v>
      </c>
      <c r="CN48" s="155">
        <f t="shared" si="14"/>
        <v>96.9</v>
      </c>
      <c r="CP48" s="47" t="s">
        <v>2406</v>
      </c>
      <c r="CQ48" s="155">
        <f t="shared" si="15"/>
        <v>4.68</v>
      </c>
      <c r="CR48" s="155">
        <f t="shared" si="31"/>
        <v>108.72499999999999</v>
      </c>
      <c r="CS48" s="155">
        <f t="shared" si="32"/>
        <v>44.81</v>
      </c>
      <c r="CT48" s="155">
        <f t="shared" si="16"/>
        <v>8.07</v>
      </c>
      <c r="CU48" s="155">
        <f t="shared" si="17"/>
        <v>3.86</v>
      </c>
      <c r="CV48" s="155">
        <f t="shared" si="18"/>
        <v>6.31</v>
      </c>
      <c r="CW48" s="155">
        <f t="shared" si="19"/>
        <v>5.67</v>
      </c>
    </row>
    <row r="49" spans="1:102">
      <c r="A49" s="4"/>
      <c r="B49" s="4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47" t="s">
        <v>2407</v>
      </c>
      <c r="CH49" s="155">
        <f t="shared" si="20"/>
        <v>101.93</v>
      </c>
      <c r="CI49" s="155">
        <f t="shared" si="10"/>
        <v>97.56</v>
      </c>
      <c r="CJ49" s="155">
        <f t="shared" si="11"/>
        <v>96.33</v>
      </c>
      <c r="CK49" s="155">
        <f t="shared" si="12"/>
        <v>87.26</v>
      </c>
      <c r="CL49" s="155">
        <f t="shared" si="13"/>
        <v>94.14</v>
      </c>
      <c r="CM49" s="155">
        <f t="shared" si="33"/>
        <v>51.42</v>
      </c>
      <c r="CN49" s="155">
        <f t="shared" si="14"/>
        <v>91.42</v>
      </c>
      <c r="CP49" s="47" t="s">
        <v>2407</v>
      </c>
      <c r="CQ49" s="155">
        <f t="shared" si="15"/>
        <v>4.07</v>
      </c>
      <c r="CR49" s="155">
        <f t="shared" si="31"/>
        <v>108.94</v>
      </c>
      <c r="CS49" s="155">
        <f t="shared" si="32"/>
        <v>42.17</v>
      </c>
      <c r="CT49" s="155">
        <f t="shared" si="16"/>
        <v>6.41</v>
      </c>
      <c r="CU49" s="155">
        <f t="shared" si="17"/>
        <v>3.48</v>
      </c>
      <c r="CV49" s="155">
        <f t="shared" si="18"/>
        <v>6.15</v>
      </c>
      <c r="CW49" s="155">
        <f t="shared" si="19"/>
        <v>5.4</v>
      </c>
    </row>
    <row r="50" spans="1:102">
      <c r="A50" s="4" t="s">
        <v>1024</v>
      </c>
      <c r="B50" s="4"/>
      <c r="C50" s="70">
        <v>1.4405212618746301</v>
      </c>
      <c r="D50" s="70">
        <v>1.5029635391266647</v>
      </c>
      <c r="E50" s="70">
        <v>1.6347818589256207</v>
      </c>
      <c r="F50" s="70">
        <v>1.833925</v>
      </c>
      <c r="G50" s="70">
        <v>1.83375</v>
      </c>
      <c r="H50" s="85">
        <v>1.75</v>
      </c>
      <c r="I50" s="85">
        <v>1.83</v>
      </c>
      <c r="J50" s="85">
        <v>1.8747499999999999</v>
      </c>
      <c r="K50" s="85">
        <v>1.92</v>
      </c>
      <c r="L50" s="70">
        <v>1.8436874999999999</v>
      </c>
      <c r="M50" s="85">
        <v>1.9450000000000001</v>
      </c>
      <c r="N50" s="85">
        <v>1.986</v>
      </c>
      <c r="O50" s="85">
        <v>2.02</v>
      </c>
      <c r="P50" s="85">
        <v>2.0459999999999998</v>
      </c>
      <c r="Q50" s="70">
        <v>1.99925</v>
      </c>
      <c r="R50" s="85">
        <v>1.978</v>
      </c>
      <c r="S50" s="85">
        <v>1.97</v>
      </c>
      <c r="T50" s="85">
        <v>1.89</v>
      </c>
      <c r="U50" s="85">
        <v>1.57</v>
      </c>
      <c r="V50" s="70">
        <v>1.8520000000000001</v>
      </c>
      <c r="W50" s="85">
        <v>1.43</v>
      </c>
      <c r="X50" s="85">
        <v>1.55</v>
      </c>
      <c r="Y50" s="85">
        <v>1.64</v>
      </c>
      <c r="Z50" s="85">
        <v>1.63</v>
      </c>
      <c r="AA50" s="70">
        <v>1.5625</v>
      </c>
      <c r="AB50" s="85">
        <v>1.56</v>
      </c>
      <c r="AC50" s="85">
        <v>1.49</v>
      </c>
      <c r="AD50" s="85">
        <v>1.55</v>
      </c>
      <c r="AE50" s="85">
        <v>1.58</v>
      </c>
      <c r="AF50" s="70">
        <v>1.5449999999999999</v>
      </c>
      <c r="AG50" s="85">
        <v>1.6</v>
      </c>
      <c r="AH50" s="85">
        <v>1.63</v>
      </c>
      <c r="AI50" s="323">
        <v>1.61</v>
      </c>
      <c r="AJ50" s="323">
        <v>1.57</v>
      </c>
      <c r="AK50" s="234">
        <f>AVERAGE(AG50:AJ50)</f>
        <v>1.6025</v>
      </c>
      <c r="AL50" s="323">
        <v>1.57</v>
      </c>
      <c r="AM50" s="323">
        <v>1.58</v>
      </c>
      <c r="AN50" s="323">
        <v>1.58</v>
      </c>
      <c r="AO50" s="323">
        <v>1.6060310606060608</v>
      </c>
      <c r="AP50" s="170">
        <f>AVERAGE(AL50:AO50)</f>
        <v>1.5840077651515152</v>
      </c>
      <c r="AQ50" s="323">
        <v>1.5524953125000005</v>
      </c>
      <c r="AR50" s="323">
        <v>1.5354469230769237</v>
      </c>
      <c r="AS50" s="323">
        <v>1.5505030303030303</v>
      </c>
      <c r="AT50" s="323">
        <v>1.62</v>
      </c>
      <c r="AU50" s="234">
        <f>AVERAGE(AQ50:AT50)</f>
        <v>1.5646113164699886</v>
      </c>
      <c r="AV50" s="323">
        <v>1.66</v>
      </c>
      <c r="AW50" s="323">
        <v>1.68</v>
      </c>
      <c r="AX50" s="323">
        <v>1.67</v>
      </c>
      <c r="AY50" s="109">
        <v>1.58</v>
      </c>
      <c r="AZ50" s="574">
        <f>AVERAGE(AV50:AY50)</f>
        <v>1.6475</v>
      </c>
      <c r="BA50" s="109">
        <v>1.51</v>
      </c>
      <c r="BB50" s="575">
        <v>1.53</v>
      </c>
      <c r="BC50" s="575">
        <v>1.55</v>
      </c>
      <c r="BD50" s="575">
        <v>1.52</v>
      </c>
      <c r="BE50" s="574">
        <f>AVERAGE(BA50:BD50)</f>
        <v>1.5274999999999999</v>
      </c>
      <c r="BF50" s="575">
        <v>1.43</v>
      </c>
      <c r="BG50" s="575">
        <v>1.43</v>
      </c>
      <c r="BH50" s="575">
        <v>1.31</v>
      </c>
      <c r="BI50" s="575">
        <v>1.24</v>
      </c>
      <c r="BJ50" s="234">
        <f>AVERAGE(BF50:BI50)</f>
        <v>1.3525</v>
      </c>
      <c r="BK50" s="575">
        <v>1.24</v>
      </c>
      <c r="BL50" s="575">
        <v>1.28</v>
      </c>
      <c r="BM50" s="575">
        <v>1.31</v>
      </c>
      <c r="BN50" s="575">
        <v>1.33</v>
      </c>
      <c r="BO50" s="644">
        <f>AVERAGE(BK50:BN50)</f>
        <v>1.29</v>
      </c>
      <c r="BP50" s="109">
        <f t="shared" ref="BP50:BS51" si="37">IF($A$7="Forward curve",BP63,IF($A$7="Custom case",BP80,IF($A$7="Company assumptions",BP97,BP114)))</f>
        <v>1.3914200000000001</v>
      </c>
      <c r="BQ50" s="109">
        <f t="shared" si="37"/>
        <v>1.35</v>
      </c>
      <c r="BR50" s="109">
        <f t="shared" si="37"/>
        <v>1.35</v>
      </c>
      <c r="BS50" s="109">
        <f t="shared" si="37"/>
        <v>1.35</v>
      </c>
      <c r="BT50" s="234">
        <f>AVERAGE(BP50:BS50)</f>
        <v>1.3603550000000002</v>
      </c>
      <c r="BU50" s="109">
        <f t="shared" ref="BU50:BX51" si="38">IF($A$7="Forward curve",BU63,IF($A$7="Custom case",BU80,IF($A$7="Company assumptions",BU97,BU114)))</f>
        <v>1.35</v>
      </c>
      <c r="BV50" s="109">
        <f t="shared" si="38"/>
        <v>1.35</v>
      </c>
      <c r="BW50" s="109">
        <f t="shared" si="38"/>
        <v>1.35</v>
      </c>
      <c r="BX50" s="109">
        <f t="shared" si="38"/>
        <v>1.35</v>
      </c>
      <c r="BY50" s="234">
        <f>AVERAGE(BU50:BX50)</f>
        <v>1.35</v>
      </c>
      <c r="BZ50" s="109">
        <f t="shared" ref="BZ50:CC51" si="39">IF($A$7="Forward curve",BZ63,IF($A$7="Custom case",BZ80,IF($A$7="Company assumptions",BZ97,BZ114)))</f>
        <v>1.35</v>
      </c>
      <c r="CA50" s="109">
        <f t="shared" si="39"/>
        <v>1.35</v>
      </c>
      <c r="CB50" s="109">
        <f t="shared" si="39"/>
        <v>1.35</v>
      </c>
      <c r="CC50" s="109">
        <f t="shared" si="39"/>
        <v>1.35</v>
      </c>
      <c r="CD50" s="234">
        <f>AVERAGE(BZ50:CC50)</f>
        <v>1.35</v>
      </c>
      <c r="CE50" s="5"/>
      <c r="CF50" s="5"/>
      <c r="CG50" s="47" t="s">
        <v>2408</v>
      </c>
      <c r="CH50" s="155">
        <f t="shared" si="20"/>
        <v>76.58</v>
      </c>
      <c r="CI50" s="155">
        <f t="shared" si="10"/>
        <v>73.62</v>
      </c>
      <c r="CJ50" s="155">
        <f t="shared" si="11"/>
        <v>71.099999999999994</v>
      </c>
      <c r="CK50" s="155">
        <f t="shared" si="12"/>
        <v>71.14</v>
      </c>
      <c r="CL50" s="155">
        <f t="shared" si="13"/>
        <v>66.61</v>
      </c>
      <c r="CM50" s="155">
        <f t="shared" si="33"/>
        <v>38.79</v>
      </c>
      <c r="CN50" s="155">
        <f t="shared" si="14"/>
        <v>69.03</v>
      </c>
      <c r="CP50" s="47" t="s">
        <v>2408</v>
      </c>
      <c r="CQ50" s="155">
        <f t="shared" si="15"/>
        <v>4.04</v>
      </c>
      <c r="CR50" s="155">
        <f t="shared" si="31"/>
        <v>105.80000000000001</v>
      </c>
      <c r="CS50" s="155">
        <f t="shared" si="32"/>
        <v>52.83</v>
      </c>
      <c r="CT50" s="155">
        <f t="shared" si="16"/>
        <v>8.19</v>
      </c>
      <c r="CU50" s="155">
        <f t="shared" si="17"/>
        <v>3.3</v>
      </c>
      <c r="CV50" s="155">
        <f t="shared" si="18"/>
        <v>6.33</v>
      </c>
      <c r="CW50" s="155">
        <f t="shared" si="19"/>
        <v>5.54</v>
      </c>
    </row>
    <row r="51" spans="1:102">
      <c r="A51" s="4" t="s">
        <v>1025</v>
      </c>
      <c r="B51" s="4"/>
      <c r="C51" s="70">
        <v>0.89740500000000001</v>
      </c>
      <c r="D51" s="70">
        <v>0.94981000000000004</v>
      </c>
      <c r="E51" s="70">
        <v>1.131335</v>
      </c>
      <c r="F51" s="70">
        <v>1.242</v>
      </c>
      <c r="G51" s="70">
        <v>1.2450000000000001</v>
      </c>
      <c r="H51" s="85">
        <v>1.2</v>
      </c>
      <c r="I51" s="85">
        <v>1.26</v>
      </c>
      <c r="J51" s="85">
        <v>1.2746299999999999</v>
      </c>
      <c r="K51" s="85">
        <v>1.29</v>
      </c>
      <c r="L51" s="70">
        <v>1.2561575</v>
      </c>
      <c r="M51" s="85">
        <v>1.3069999999999999</v>
      </c>
      <c r="N51" s="85">
        <v>1.349</v>
      </c>
      <c r="O51" s="85">
        <v>1.37</v>
      </c>
      <c r="P51" s="85">
        <v>1.4470000000000001</v>
      </c>
      <c r="Q51" s="70">
        <v>1.36825</v>
      </c>
      <c r="R51" s="85">
        <v>1.4990000000000001</v>
      </c>
      <c r="S51" s="85">
        <v>1.56</v>
      </c>
      <c r="T51" s="85">
        <v>1.5</v>
      </c>
      <c r="U51" s="85">
        <v>1.31</v>
      </c>
      <c r="V51" s="70">
        <v>1.4672499999999999</v>
      </c>
      <c r="W51" s="85">
        <v>1.3</v>
      </c>
      <c r="X51" s="85">
        <v>1.36</v>
      </c>
      <c r="Y51" s="85">
        <v>1.43</v>
      </c>
      <c r="Z51" s="85">
        <v>1.48</v>
      </c>
      <c r="AA51" s="70">
        <v>1.3925000000000001</v>
      </c>
      <c r="AB51" s="85">
        <v>1.38</v>
      </c>
      <c r="AC51" s="85">
        <v>1.27</v>
      </c>
      <c r="AD51" s="85">
        <v>1.29</v>
      </c>
      <c r="AE51" s="85">
        <v>1.36</v>
      </c>
      <c r="AF51" s="70">
        <v>1.325</v>
      </c>
      <c r="AG51" s="85">
        <v>1.37</v>
      </c>
      <c r="AH51" s="85">
        <v>1.44</v>
      </c>
      <c r="AI51" s="323">
        <v>1.41</v>
      </c>
      <c r="AJ51" s="323">
        <v>1.35</v>
      </c>
      <c r="AK51" s="234">
        <f>AVERAGE(AG51:AJ51)</f>
        <v>1.3925000000000001</v>
      </c>
      <c r="AL51" s="323">
        <v>1.31</v>
      </c>
      <c r="AM51" s="323">
        <v>1.28</v>
      </c>
      <c r="AN51" s="323">
        <v>1.25</v>
      </c>
      <c r="AO51" s="323">
        <v>1.2974000000000003</v>
      </c>
      <c r="AP51" s="170">
        <f>AVERAGE(AL51:AO51)</f>
        <v>1.2843500000000001</v>
      </c>
      <c r="AQ51" s="323">
        <v>1.3200578125</v>
      </c>
      <c r="AR51" s="323">
        <v>1.3058284615384621</v>
      </c>
      <c r="AS51" s="323">
        <v>1.3244242424242425</v>
      </c>
      <c r="AT51" s="323">
        <v>1.36</v>
      </c>
      <c r="AU51" s="234">
        <f>AVERAGE(AQ51:AT51)</f>
        <v>1.3275776291156762</v>
      </c>
      <c r="AV51" s="323">
        <v>1.37</v>
      </c>
      <c r="AW51" s="323">
        <v>1.37</v>
      </c>
      <c r="AX51" s="323">
        <v>1.33</v>
      </c>
      <c r="AY51" s="109">
        <v>1.25</v>
      </c>
      <c r="AZ51" s="574">
        <f>AVERAGE(AV51:AY51)</f>
        <v>1.33</v>
      </c>
      <c r="BA51" s="109">
        <v>1.1200000000000001</v>
      </c>
      <c r="BB51" s="575">
        <v>1.1100000000000001</v>
      </c>
      <c r="BC51" s="575">
        <v>1.1100000000000001</v>
      </c>
      <c r="BD51" s="575">
        <v>1.0900000000000001</v>
      </c>
      <c r="BE51" s="574">
        <f>AVERAGE(BA51:BD51)</f>
        <v>1.1075000000000002</v>
      </c>
      <c r="BF51" s="575">
        <v>1.1000000000000001</v>
      </c>
      <c r="BG51" s="575">
        <v>1.1299999999999999</v>
      </c>
      <c r="BH51" s="575">
        <v>1.1200000000000001</v>
      </c>
      <c r="BI51" s="575">
        <v>1.08</v>
      </c>
      <c r="BJ51" s="234">
        <f>AVERAGE(BF51:BI51)</f>
        <v>1.1074999999999999</v>
      </c>
      <c r="BK51" s="575">
        <v>1.07</v>
      </c>
      <c r="BL51" s="575">
        <v>1.1000000000000001</v>
      </c>
      <c r="BM51" s="575">
        <v>1.17</v>
      </c>
      <c r="BN51" s="575">
        <v>1.18</v>
      </c>
      <c r="BO51" s="644">
        <f>AVERAGE(BK51:BN51)</f>
        <v>1.1299999999999999</v>
      </c>
      <c r="BP51" s="109">
        <f t="shared" si="37"/>
        <v>1.22872</v>
      </c>
      <c r="BQ51" s="109">
        <f t="shared" si="37"/>
        <v>1.2</v>
      </c>
      <c r="BR51" s="109">
        <f t="shared" si="37"/>
        <v>1.2</v>
      </c>
      <c r="BS51" s="109">
        <f t="shared" si="37"/>
        <v>1.2</v>
      </c>
      <c r="BT51" s="234">
        <f>AVERAGE(BP51:BS51)</f>
        <v>1.2071800000000001</v>
      </c>
      <c r="BU51" s="109">
        <f t="shared" si="38"/>
        <v>1.2</v>
      </c>
      <c r="BV51" s="109">
        <f t="shared" si="38"/>
        <v>1.2</v>
      </c>
      <c r="BW51" s="109">
        <f t="shared" si="38"/>
        <v>1.2</v>
      </c>
      <c r="BX51" s="109">
        <f t="shared" si="38"/>
        <v>1.2</v>
      </c>
      <c r="BY51" s="234">
        <f>AVERAGE(BU51:BX51)</f>
        <v>1.2</v>
      </c>
      <c r="BZ51" s="109">
        <f t="shared" si="39"/>
        <v>1.1499999999999999</v>
      </c>
      <c r="CA51" s="109">
        <f t="shared" si="39"/>
        <v>1.1499999999999999</v>
      </c>
      <c r="CB51" s="109">
        <f t="shared" si="39"/>
        <v>1.1499999999999999</v>
      </c>
      <c r="CC51" s="109">
        <f t="shared" si="39"/>
        <v>1.1499999999999999</v>
      </c>
      <c r="CD51" s="234">
        <f>AVERAGE(BZ51:CC51)</f>
        <v>1.1499999999999999</v>
      </c>
      <c r="CE51" s="5"/>
      <c r="CF51" s="5"/>
      <c r="CG51" s="47" t="s">
        <v>2409</v>
      </c>
      <c r="CH51" s="155">
        <f t="shared" si="20"/>
        <v>53.94</v>
      </c>
      <c r="CI51" s="155">
        <f t="shared" si="10"/>
        <v>48.49</v>
      </c>
      <c r="CJ51" s="155">
        <f t="shared" si="11"/>
        <v>52.28</v>
      </c>
      <c r="CK51" s="155">
        <f t="shared" si="12"/>
        <v>46.24</v>
      </c>
      <c r="CL51" s="155">
        <f t="shared" si="13"/>
        <v>46.13</v>
      </c>
      <c r="CM51" s="155">
        <f t="shared" ca="1" si="33"/>
        <v>27.29736072862314</v>
      </c>
      <c r="CN51" s="155">
        <f t="shared" si="14"/>
        <v>46.79</v>
      </c>
      <c r="CP51" s="47" t="s">
        <v>2409</v>
      </c>
      <c r="CQ51" s="155">
        <f t="shared" si="15"/>
        <v>2.99</v>
      </c>
      <c r="CR51" s="155">
        <f t="shared" si="31"/>
        <v>89.254999999999995</v>
      </c>
      <c r="CS51" s="155">
        <f t="shared" si="32"/>
        <v>47.9</v>
      </c>
      <c r="CT51" s="155">
        <f t="shared" si="16"/>
        <v>7.32</v>
      </c>
      <c r="CU51" s="155">
        <f t="shared" si="17"/>
        <v>2.39</v>
      </c>
      <c r="CV51" s="155">
        <f t="shared" si="18"/>
        <v>5.05</v>
      </c>
      <c r="CW51" s="155">
        <f t="shared" si="19"/>
        <v>4.4400000000000004</v>
      </c>
    </row>
    <row r="52" spans="1:102">
      <c r="A52" s="4" t="s">
        <v>3552</v>
      </c>
      <c r="B52" s="121"/>
      <c r="C52" s="88"/>
      <c r="D52" s="88"/>
      <c r="E52" s="88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2"/>
      <c r="AR52" s="72"/>
      <c r="AS52" s="72"/>
      <c r="AT52" s="72"/>
      <c r="AU52" s="72"/>
      <c r="AV52" s="72"/>
      <c r="AW52" s="577">
        <v>34.96</v>
      </c>
      <c r="AX52" s="72"/>
      <c r="AY52" s="72"/>
      <c r="AZ52" s="72"/>
      <c r="BA52" s="577">
        <v>63.03</v>
      </c>
      <c r="BB52" s="577">
        <v>52.68</v>
      </c>
      <c r="BC52" s="577">
        <v>63.08</v>
      </c>
      <c r="BD52" s="577">
        <v>65.88</v>
      </c>
      <c r="BE52" s="72"/>
      <c r="BF52" s="577">
        <v>74.97</v>
      </c>
      <c r="BG52" s="577">
        <v>65.86</v>
      </c>
      <c r="BH52" s="577">
        <v>64.599999999999994</v>
      </c>
      <c r="BI52" s="577">
        <v>63.12</v>
      </c>
      <c r="BJ52" s="72"/>
      <c r="BK52" s="577">
        <v>58.72</v>
      </c>
      <c r="BL52" s="577">
        <v>57.24</v>
      </c>
      <c r="BM52" s="577">
        <v>58.99</v>
      </c>
      <c r="BN52" s="577">
        <v>58.46</v>
      </c>
      <c r="BO52" s="644">
        <f>AVERAGE(BK52:BN52)</f>
        <v>58.352500000000006</v>
      </c>
      <c r="BP52" s="72"/>
      <c r="BQ52" s="72"/>
      <c r="BR52" s="72"/>
      <c r="BS52" s="72"/>
      <c r="BT52" s="72"/>
      <c r="BU52" s="72"/>
      <c r="BV52" s="72"/>
      <c r="BW52" s="72"/>
      <c r="BX52" s="72"/>
      <c r="BY52" s="72"/>
      <c r="BZ52" s="72"/>
      <c r="CA52" s="72"/>
      <c r="CB52" s="72"/>
      <c r="CC52" s="72"/>
      <c r="CD52" s="72"/>
      <c r="CE52" s="5"/>
      <c r="CF52" s="5"/>
      <c r="CG52" s="47" t="s">
        <v>2410</v>
      </c>
      <c r="CH52" s="155">
        <f t="shared" si="20"/>
        <v>61.88</v>
      </c>
      <c r="CI52" s="155">
        <f t="shared" si="10"/>
        <v>57.85</v>
      </c>
      <c r="CJ52" s="155">
        <f t="shared" si="11"/>
        <v>57.42</v>
      </c>
      <c r="CK52" s="155">
        <f t="shared" si="12"/>
        <v>50.97</v>
      </c>
      <c r="CL52" s="155">
        <f t="shared" si="13"/>
        <v>60.78</v>
      </c>
      <c r="CM52" s="155">
        <f t="shared" ca="1" si="33"/>
        <v>31.025322719298448</v>
      </c>
      <c r="CN52" s="155">
        <f t="shared" si="14"/>
        <v>56.69</v>
      </c>
      <c r="CP52" s="47" t="s">
        <v>2410</v>
      </c>
      <c r="CQ52" s="155">
        <f t="shared" si="15"/>
        <v>2.65</v>
      </c>
      <c r="CR52" s="155">
        <f t="shared" si="31"/>
        <v>65.259999999999991</v>
      </c>
      <c r="CS52" s="155">
        <f t="shared" si="32"/>
        <v>44.63</v>
      </c>
      <c r="CT52" s="155">
        <f t="shared" si="16"/>
        <v>9.16</v>
      </c>
      <c r="CU52" s="155">
        <f t="shared" si="17"/>
        <v>2.15</v>
      </c>
      <c r="CV52" s="155">
        <f t="shared" si="18"/>
        <v>4.05</v>
      </c>
      <c r="CW52" s="155">
        <f t="shared" si="19"/>
        <v>3.8</v>
      </c>
    </row>
    <row r="53" spans="1:102">
      <c r="CE53" s="5"/>
      <c r="CF53" s="5"/>
      <c r="CG53" s="47" t="s">
        <v>2411</v>
      </c>
      <c r="CH53" s="155">
        <f t="shared" si="20"/>
        <v>50.47</v>
      </c>
      <c r="CI53" s="155">
        <f t="shared" si="10"/>
        <v>46.45</v>
      </c>
      <c r="CJ53" s="155">
        <f t="shared" si="11"/>
        <v>47.68</v>
      </c>
      <c r="CK53" s="155">
        <f t="shared" si="12"/>
        <v>46.22</v>
      </c>
      <c r="CL53" s="155">
        <f t="shared" si="13"/>
        <v>41.8</v>
      </c>
      <c r="CM53" s="155">
        <f t="shared" ca="1" si="33"/>
        <v>25.668138045040859</v>
      </c>
      <c r="CN53" s="155">
        <f t="shared" si="14"/>
        <v>44.01</v>
      </c>
      <c r="CP53" s="47" t="s">
        <v>2411</v>
      </c>
      <c r="CQ53" s="155">
        <f t="shared" si="15"/>
        <v>2.77</v>
      </c>
      <c r="CR53" s="155">
        <f t="shared" si="31"/>
        <v>57.91</v>
      </c>
      <c r="CS53" s="155">
        <f t="shared" si="32"/>
        <v>41.48</v>
      </c>
      <c r="CT53" s="155">
        <f t="shared" si="16"/>
        <v>6.44</v>
      </c>
      <c r="CU53" s="155">
        <f t="shared" si="17"/>
        <v>2.1800000000000002</v>
      </c>
      <c r="CV53" s="155">
        <f t="shared" si="18"/>
        <v>3.88</v>
      </c>
      <c r="CW53" s="155">
        <f t="shared" si="19"/>
        <v>3.49</v>
      </c>
    </row>
    <row r="54" spans="1:102">
      <c r="CE54" s="5"/>
      <c r="CF54" s="5"/>
      <c r="CG54" s="47" t="s">
        <v>2412</v>
      </c>
      <c r="CH54" s="155">
        <f t="shared" si="20"/>
        <v>43.76</v>
      </c>
      <c r="CI54" s="155">
        <f t="shared" si="10"/>
        <v>42.07</v>
      </c>
      <c r="CJ54" s="155">
        <f t="shared" si="11"/>
        <v>40.49</v>
      </c>
      <c r="CK54" s="155">
        <f t="shared" si="12"/>
        <v>37.42</v>
      </c>
      <c r="CL54" s="155">
        <f t="shared" si="13"/>
        <v>36.1</v>
      </c>
      <c r="CM54" s="155">
        <f t="shared" ca="1" si="33"/>
        <v>22.517681501283768</v>
      </c>
      <c r="CN54" s="155">
        <f t="shared" si="14"/>
        <v>37.049999999999997</v>
      </c>
      <c r="CP54" s="47" t="s">
        <v>2412</v>
      </c>
      <c r="CQ54" s="155">
        <f t="shared" si="15"/>
        <v>2.27</v>
      </c>
      <c r="CR54" s="155">
        <f t="shared" si="31"/>
        <v>56.174999999999997</v>
      </c>
      <c r="CS54" s="155">
        <f t="shared" si="32"/>
        <v>36.64</v>
      </c>
      <c r="CT54" s="155">
        <f t="shared" si="16"/>
        <v>6.08</v>
      </c>
      <c r="CU54" s="155">
        <f t="shared" si="17"/>
        <v>1.71</v>
      </c>
      <c r="CV54" s="155">
        <f t="shared" si="18"/>
        <v>4</v>
      </c>
      <c r="CW54" s="155">
        <f t="shared" si="19"/>
        <v>3.47</v>
      </c>
    </row>
    <row r="55" spans="1:102" ht="12.75" customHeight="1">
      <c r="CE55" s="5"/>
      <c r="CF55" s="5"/>
      <c r="CG55" s="47" t="s">
        <v>2413</v>
      </c>
      <c r="CH55" s="155">
        <f t="shared" si="20"/>
        <v>33.94</v>
      </c>
      <c r="CI55" s="155">
        <f t="shared" si="10"/>
        <v>33.450000000000003</v>
      </c>
      <c r="CJ55" s="155">
        <f t="shared" si="11"/>
        <v>31.73</v>
      </c>
      <c r="CK55" s="155">
        <f t="shared" si="12"/>
        <v>28.75</v>
      </c>
      <c r="CL55" s="155">
        <f t="shared" si="13"/>
        <v>25.16</v>
      </c>
      <c r="CM55" s="155">
        <f t="shared" ref="CM55" ca="1" si="40">HLOOKUP(CG55,$A$9:$CD$17,9,FALSE)</f>
        <v>17.907028258408268</v>
      </c>
      <c r="CN55" s="155">
        <f t="shared" si="14"/>
        <v>26.97</v>
      </c>
      <c r="CP55" s="47" t="s">
        <v>2413</v>
      </c>
      <c r="CQ55" s="155">
        <f t="shared" si="15"/>
        <v>2.09</v>
      </c>
      <c r="CR55" s="155">
        <f t="shared" ref="CR55" si="41">AVERAGE(CH53:CH54)</f>
        <v>47.114999999999995</v>
      </c>
      <c r="CS55" s="155">
        <f t="shared" ref="CS55" si="42">HLOOKUP(CP55,$A$9:$CD$20,12,FALSE)</f>
        <v>30.42</v>
      </c>
      <c r="CT55" s="155">
        <f t="shared" si="16"/>
        <v>4.3</v>
      </c>
      <c r="CU55" s="155">
        <f t="shared" si="17"/>
        <v>1.57</v>
      </c>
      <c r="CV55" s="155">
        <f t="shared" si="18"/>
        <v>3.31</v>
      </c>
      <c r="CW55" s="155">
        <f t="shared" si="19"/>
        <v>2.84</v>
      </c>
    </row>
    <row r="56" spans="1:102" ht="12.75" customHeight="1">
      <c r="BP56" s="381"/>
      <c r="CE56" s="5"/>
      <c r="CF56" s="5"/>
      <c r="CG56" s="47" t="s">
        <v>2414</v>
      </c>
      <c r="CH56" s="155">
        <f t="shared" si="20"/>
        <v>45.59</v>
      </c>
      <c r="CI56" s="155">
        <f t="shared" si="10"/>
        <v>45.53</v>
      </c>
      <c r="CJ56" s="155">
        <f t="shared" si="11"/>
        <v>43.62</v>
      </c>
      <c r="CK56" s="155">
        <f t="shared" si="12"/>
        <v>34.89</v>
      </c>
      <c r="CL56" s="155">
        <f t="shared" si="13"/>
        <v>55.1</v>
      </c>
      <c r="CM56" s="155">
        <f t="shared" ref="CM56" ca="1" si="43">HLOOKUP(CG56,$A$9:$CD$17,9,FALSE)</f>
        <v>23.376896922308433</v>
      </c>
      <c r="CN56" s="155">
        <f t="shared" si="14"/>
        <v>44.99</v>
      </c>
      <c r="CP56" s="47" t="s">
        <v>2414</v>
      </c>
      <c r="CQ56" s="155">
        <f t="shared" si="15"/>
        <v>1.95</v>
      </c>
      <c r="CR56" s="155">
        <f t="shared" ref="CR56" si="44">AVERAGE(CH54:CH55)</f>
        <v>38.849999999999994</v>
      </c>
      <c r="CS56" s="155">
        <f t="shared" ref="CS56" si="45">HLOOKUP(CP56,$A$9:$CD$20,12,FALSE)</f>
        <v>31.37</v>
      </c>
      <c r="CT56" s="155">
        <f t="shared" si="16"/>
        <v>4.6399999999999997</v>
      </c>
      <c r="CU56" s="155">
        <f t="shared" si="17"/>
        <v>1.53</v>
      </c>
      <c r="CV56" s="155">
        <f t="shared" si="18"/>
        <v>3.1</v>
      </c>
      <c r="CW56" s="155">
        <f t="shared" si="19"/>
        <v>2.66</v>
      </c>
    </row>
    <row r="57" spans="1:102" ht="12.75" customHeight="1">
      <c r="A57" s="4"/>
      <c r="B57" s="4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CE57" s="5"/>
      <c r="CF57" s="5"/>
      <c r="CG57" s="47" t="s">
        <v>2415</v>
      </c>
      <c r="CH57" s="155">
        <f t="shared" si="20"/>
        <v>45.86</v>
      </c>
      <c r="CI57" s="155">
        <f t="shared" si="10"/>
        <v>44.88</v>
      </c>
      <c r="CJ57" s="155">
        <f t="shared" si="11"/>
        <v>42.87</v>
      </c>
      <c r="CK57" s="155">
        <f t="shared" si="12"/>
        <v>39.159999999999997</v>
      </c>
      <c r="CL57" s="155">
        <f t="shared" si="13"/>
        <v>42.41</v>
      </c>
      <c r="CM57" s="155">
        <f t="shared" ref="CM57" ca="1" si="46">HLOOKUP(CG57,$A$9:$CD$17,9,FALSE)</f>
        <v>23.503666410656333</v>
      </c>
      <c r="CN57" s="155">
        <f t="shared" si="14"/>
        <v>41.23</v>
      </c>
      <c r="CP57" s="47" t="s">
        <v>2415</v>
      </c>
      <c r="CQ57" s="155">
        <f t="shared" si="15"/>
        <v>2.81</v>
      </c>
      <c r="CR57" s="155">
        <f t="shared" ref="CR57" si="47">AVERAGE(CH55:CH56)</f>
        <v>39.765000000000001</v>
      </c>
      <c r="CS57" s="155">
        <f t="shared" ref="CS57" si="48">HLOOKUP(CP57,$A$9:$CD$20,12,FALSE)</f>
        <v>31</v>
      </c>
      <c r="CT57" s="155">
        <f t="shared" si="16"/>
        <v>3.94</v>
      </c>
      <c r="CU57" s="155">
        <f t="shared" si="17"/>
        <v>2.19</v>
      </c>
      <c r="CV57" s="155">
        <f t="shared" si="18"/>
        <v>2.98</v>
      </c>
      <c r="CW57" s="155">
        <f t="shared" si="19"/>
        <v>2.77</v>
      </c>
    </row>
    <row r="58" spans="1:102" ht="12.75" customHeight="1">
      <c r="A58" s="42" t="s">
        <v>2032</v>
      </c>
      <c r="B58" s="4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CE58" s="5"/>
      <c r="CF58" s="5"/>
      <c r="CG58" s="47" t="s">
        <v>2416</v>
      </c>
      <c r="CH58" s="155">
        <f t="shared" si="20"/>
        <v>49.33</v>
      </c>
      <c r="CI58" s="155">
        <f t="shared" si="10"/>
        <v>49.23</v>
      </c>
      <c r="CJ58" s="155">
        <f t="shared" si="11"/>
        <v>45.66</v>
      </c>
      <c r="CK58" s="155">
        <f t="shared" si="12"/>
        <v>41.93</v>
      </c>
      <c r="CL58" s="155">
        <f t="shared" si="13"/>
        <v>45.27</v>
      </c>
      <c r="CM58" s="155">
        <f t="shared" ref="CM58" ca="1" si="49">HLOOKUP(CG58,$A$9:$CD$17,9,FALSE)</f>
        <v>25.132889094238614</v>
      </c>
      <c r="CN58" s="155">
        <f t="shared" si="14"/>
        <v>43.89</v>
      </c>
      <c r="CP58" s="47" t="s">
        <v>2416</v>
      </c>
      <c r="CQ58" s="155">
        <f t="shared" si="15"/>
        <v>2.98</v>
      </c>
      <c r="CR58" s="155">
        <f t="shared" ref="CR58" si="50">AVERAGE(CH56:CH57)</f>
        <v>45.725000000000001</v>
      </c>
      <c r="CS58" s="155">
        <f t="shared" ref="CS58" si="51">HLOOKUP(CP58,$A$9:$CD$20,12,FALSE)</f>
        <v>45.76</v>
      </c>
      <c r="CT58" s="155">
        <f t="shared" si="16"/>
        <v>4.8099999999999996</v>
      </c>
      <c r="CU58" s="155">
        <f t="shared" si="17"/>
        <v>2.29</v>
      </c>
      <c r="CV58" s="155">
        <f t="shared" si="18"/>
        <v>3.35</v>
      </c>
      <c r="CW58" s="155">
        <f t="shared" si="19"/>
        <v>3.08</v>
      </c>
    </row>
    <row r="59" spans="1:102" ht="12.75" customHeight="1">
      <c r="A59" s="4"/>
      <c r="B59" s="4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175"/>
      <c r="CG59" s="47" t="s">
        <v>2417</v>
      </c>
      <c r="CH59" s="155">
        <f t="shared" si="20"/>
        <v>53.69</v>
      </c>
      <c r="CI59" s="155">
        <f t="shared" si="10"/>
        <v>51.7</v>
      </c>
      <c r="CJ59" s="155">
        <f t="shared" si="11"/>
        <v>53.28</v>
      </c>
      <c r="CK59" s="155">
        <f t="shared" si="12"/>
        <v>46.34</v>
      </c>
      <c r="CL59" s="155">
        <f t="shared" si="13"/>
        <v>51.79</v>
      </c>
      <c r="CM59" s="155">
        <f t="shared" ref="CM59" ca="1" si="52">HLOOKUP(CG59,$A$9:$CD$17,9,FALSE)</f>
        <v>27.179981572745454</v>
      </c>
      <c r="CN59" s="155">
        <f t="shared" si="14"/>
        <v>49.87</v>
      </c>
      <c r="CP59" s="47" t="s">
        <v>2417</v>
      </c>
      <c r="CQ59" s="155">
        <f t="shared" si="15"/>
        <v>3.32</v>
      </c>
      <c r="CR59" s="155">
        <f t="shared" ref="CR59" si="53">AVERAGE(CH57:CH58)</f>
        <v>47.594999999999999</v>
      </c>
      <c r="CS59" s="155">
        <f t="shared" ref="CS59" si="54">HLOOKUP(CP59,$A$9:$CD$20,12,FALSE)</f>
        <v>48.19</v>
      </c>
      <c r="CT59" s="155">
        <f t="shared" si="16"/>
        <v>5.4</v>
      </c>
      <c r="CU59" s="155">
        <f t="shared" si="17"/>
        <v>2.5</v>
      </c>
      <c r="CV59" s="155">
        <f t="shared" si="18"/>
        <v>3.85</v>
      </c>
      <c r="CW59" s="155">
        <f t="shared" si="19"/>
        <v>3.5</v>
      </c>
      <c r="CX59" s="50"/>
    </row>
    <row r="60" spans="1:102" ht="12.75" customHeight="1">
      <c r="A60" s="24" t="s">
        <v>3503</v>
      </c>
      <c r="B60" s="47"/>
      <c r="C60" s="88"/>
      <c r="D60" s="88"/>
      <c r="E60" s="88"/>
      <c r="F60" s="88"/>
      <c r="G60" s="88"/>
      <c r="H60" s="88"/>
      <c r="I60" s="88"/>
      <c r="J60" s="88"/>
      <c r="K60" s="88"/>
      <c r="L60" s="88"/>
      <c r="M60" s="88"/>
      <c r="N60" s="88"/>
      <c r="O60" s="88"/>
      <c r="P60" s="88"/>
      <c r="Q60" s="88"/>
      <c r="R60" s="88"/>
      <c r="S60" s="88"/>
      <c r="T60" s="88"/>
      <c r="U60" s="88"/>
      <c r="V60" s="88"/>
      <c r="W60" s="88"/>
      <c r="X60" s="88"/>
      <c r="Y60" s="88"/>
      <c r="Z60" s="88"/>
      <c r="AA60" s="88"/>
      <c r="AB60" s="88"/>
      <c r="AC60" s="88"/>
      <c r="AD60" s="88"/>
      <c r="AE60" s="88"/>
      <c r="AF60" s="88"/>
      <c r="AG60" s="88"/>
      <c r="AH60" s="88"/>
      <c r="AI60" s="88"/>
      <c r="AJ60" s="88"/>
      <c r="AK60" s="88"/>
      <c r="AL60" s="88"/>
      <c r="AM60" s="88"/>
      <c r="AN60" s="88"/>
      <c r="AO60" s="88"/>
      <c r="AP60" s="88"/>
      <c r="AQ60" s="88"/>
      <c r="AR60" s="88"/>
      <c r="AS60" s="88"/>
      <c r="AT60" s="88"/>
      <c r="AU60" s="88"/>
      <c r="AV60" s="88"/>
      <c r="AW60" s="88"/>
      <c r="AX60" s="88"/>
      <c r="AY60" s="88"/>
      <c r="AZ60" s="88"/>
      <c r="BA60" s="88"/>
      <c r="BB60" s="88"/>
      <c r="BC60" s="88"/>
      <c r="BD60" s="88"/>
      <c r="BE60" s="88"/>
      <c r="BF60" s="88"/>
      <c r="BG60" s="88"/>
      <c r="BH60" s="88"/>
      <c r="BI60" s="88"/>
      <c r="BJ60" s="47"/>
      <c r="BK60" s="88"/>
      <c r="BL60" s="88"/>
      <c r="BM60" s="88"/>
      <c r="BN60" s="88"/>
      <c r="BO60" s="47"/>
      <c r="BP60" s="47"/>
      <c r="BQ60" s="47"/>
      <c r="BR60" s="47"/>
      <c r="BS60" s="47"/>
      <c r="BT60" s="47"/>
      <c r="BU60" s="47"/>
      <c r="BV60" s="47"/>
      <c r="BW60" s="47"/>
      <c r="BX60" s="47"/>
      <c r="BY60" s="47"/>
      <c r="BZ60" s="47"/>
      <c r="CA60" s="47"/>
      <c r="CB60" s="47"/>
      <c r="CC60" s="47"/>
      <c r="CD60" s="47"/>
      <c r="CE60" s="47"/>
      <c r="CF60" s="175"/>
      <c r="CG60" s="47" t="s">
        <v>2418</v>
      </c>
      <c r="CH60" s="155">
        <f t="shared" si="20"/>
        <v>49.64</v>
      </c>
      <c r="CI60" s="155">
        <f t="shared" si="10"/>
        <v>48.11</v>
      </c>
      <c r="CJ60" s="155">
        <f t="shared" si="11"/>
        <v>47.79</v>
      </c>
      <c r="CK60" s="155">
        <f t="shared" si="12"/>
        <v>44.65</v>
      </c>
      <c r="CL60" s="155">
        <f t="shared" si="13"/>
        <v>47.11</v>
      </c>
      <c r="CM60" s="155">
        <f t="shared" ref="CM60" ca="1" si="55">HLOOKUP(CG60,$A$9:$CD$17,9,FALSE)</f>
        <v>25.278439247526943</v>
      </c>
      <c r="CN60" s="155">
        <f t="shared" si="14"/>
        <v>46.27</v>
      </c>
      <c r="CP60" s="47" t="s">
        <v>2418</v>
      </c>
      <c r="CQ60" s="155">
        <f t="shared" si="15"/>
        <v>3.19</v>
      </c>
      <c r="CR60" s="155">
        <f t="shared" ref="CR60" si="56">AVERAGE(CH58:CH59)</f>
        <v>51.51</v>
      </c>
      <c r="CS60" s="155">
        <f t="shared" ref="CS60" si="57">HLOOKUP(CP60,$A$9:$CD$20,12,FALSE)</f>
        <v>37.83</v>
      </c>
      <c r="CT60" s="155">
        <f t="shared" si="16"/>
        <v>4.4800000000000004</v>
      </c>
      <c r="CU60" s="155">
        <f t="shared" si="17"/>
        <v>2.3199999999999998</v>
      </c>
      <c r="CV60" s="155">
        <f t="shared" si="18"/>
        <v>3.47</v>
      </c>
      <c r="CW60" s="155">
        <f t="shared" si="19"/>
        <v>3.19</v>
      </c>
      <c r="CX60" s="50"/>
    </row>
    <row r="61" spans="1:102" ht="12.75" customHeight="1">
      <c r="A61" s="10"/>
      <c r="B61" s="10"/>
      <c r="C61" s="31">
        <v>2001</v>
      </c>
      <c r="D61" s="32">
        <v>2002</v>
      </c>
      <c r="E61" s="32">
        <v>2003</v>
      </c>
      <c r="F61" s="32">
        <v>2004</v>
      </c>
      <c r="G61" s="31">
        <v>2005</v>
      </c>
      <c r="H61" s="33" t="s">
        <v>714</v>
      </c>
      <c r="I61" s="33" t="s">
        <v>715</v>
      </c>
      <c r="J61" s="33" t="s">
        <v>716</v>
      </c>
      <c r="K61" s="33" t="s">
        <v>717</v>
      </c>
      <c r="L61" s="31">
        <v>2006</v>
      </c>
      <c r="M61" s="33" t="s">
        <v>718</v>
      </c>
      <c r="N61" s="33" t="s">
        <v>719</v>
      </c>
      <c r="O61" s="33" t="s">
        <v>1970</v>
      </c>
      <c r="P61" s="33" t="s">
        <v>1971</v>
      </c>
      <c r="Q61" s="31">
        <v>2007</v>
      </c>
      <c r="R61" s="33" t="s">
        <v>1972</v>
      </c>
      <c r="S61" s="33" t="s">
        <v>1973</v>
      </c>
      <c r="T61" s="33" t="s">
        <v>1974</v>
      </c>
      <c r="U61" s="33" t="s">
        <v>1975</v>
      </c>
      <c r="V61" s="31">
        <v>2008</v>
      </c>
      <c r="W61" s="33" t="s">
        <v>1976</v>
      </c>
      <c r="X61" s="33" t="s">
        <v>1977</v>
      </c>
      <c r="Y61" s="33" t="s">
        <v>1978</v>
      </c>
      <c r="Z61" s="33" t="s">
        <v>1979</v>
      </c>
      <c r="AA61" s="31">
        <v>2009</v>
      </c>
      <c r="AB61" s="33" t="s">
        <v>1980</v>
      </c>
      <c r="AC61" s="33" t="s">
        <v>1981</v>
      </c>
      <c r="AD61" s="33" t="s">
        <v>1982</v>
      </c>
      <c r="AE61" s="33" t="s">
        <v>2392</v>
      </c>
      <c r="AF61" s="31">
        <v>2010</v>
      </c>
      <c r="AG61" s="33" t="s">
        <v>2393</v>
      </c>
      <c r="AH61" s="33" t="s">
        <v>2394</v>
      </c>
      <c r="AI61" s="33" t="s">
        <v>2395</v>
      </c>
      <c r="AJ61" s="33" t="s">
        <v>2396</v>
      </c>
      <c r="AK61" s="31">
        <v>2011</v>
      </c>
      <c r="AL61" s="368" t="s">
        <v>2397</v>
      </c>
      <c r="AM61" s="368" t="s">
        <v>2398</v>
      </c>
      <c r="AN61" s="368" t="s">
        <v>2399</v>
      </c>
      <c r="AO61" s="368" t="s">
        <v>2400</v>
      </c>
      <c r="AP61" s="369">
        <v>2012</v>
      </c>
      <c r="AQ61" s="368" t="s">
        <v>2401</v>
      </c>
      <c r="AR61" s="368" t="s">
        <v>2402</v>
      </c>
      <c r="AS61" s="368" t="s">
        <v>2403</v>
      </c>
      <c r="AT61" s="368" t="s">
        <v>2404</v>
      </c>
      <c r="AU61" s="369">
        <v>2013</v>
      </c>
      <c r="AV61" s="368" t="s">
        <v>2405</v>
      </c>
      <c r="AW61" s="368" t="s">
        <v>2406</v>
      </c>
      <c r="AX61" s="368" t="s">
        <v>2407</v>
      </c>
      <c r="AY61" s="368" t="s">
        <v>2408</v>
      </c>
      <c r="AZ61" s="369">
        <v>2014</v>
      </c>
      <c r="BA61" s="368" t="s">
        <v>2409</v>
      </c>
      <c r="BB61" s="368" t="s">
        <v>2410</v>
      </c>
      <c r="BC61" s="368" t="s">
        <v>2411</v>
      </c>
      <c r="BD61" s="368" t="s">
        <v>2412</v>
      </c>
      <c r="BE61" s="369">
        <v>2015</v>
      </c>
      <c r="BF61" s="368" t="s">
        <v>2413</v>
      </c>
      <c r="BG61" s="368" t="s">
        <v>2414</v>
      </c>
      <c r="BH61" s="368" t="s">
        <v>2415</v>
      </c>
      <c r="BI61" s="368" t="s">
        <v>2416</v>
      </c>
      <c r="BJ61" s="369">
        <v>2016</v>
      </c>
      <c r="BK61" s="368" t="s">
        <v>2417</v>
      </c>
      <c r="BL61" s="368" t="s">
        <v>2418</v>
      </c>
      <c r="BM61" s="368" t="s">
        <v>2419</v>
      </c>
      <c r="BN61" s="368" t="s">
        <v>2420</v>
      </c>
      <c r="BO61" s="369">
        <v>2017</v>
      </c>
      <c r="BP61" s="363" t="s">
        <v>2244</v>
      </c>
      <c r="BQ61" s="363" t="s">
        <v>2245</v>
      </c>
      <c r="BR61" s="363" t="s">
        <v>2508</v>
      </c>
      <c r="BS61" s="363" t="s">
        <v>2509</v>
      </c>
      <c r="BT61" s="364">
        <v>2018</v>
      </c>
      <c r="BU61" s="363" t="s">
        <v>2510</v>
      </c>
      <c r="BV61" s="363" t="s">
        <v>2511</v>
      </c>
      <c r="BW61" s="363" t="s">
        <v>3125</v>
      </c>
      <c r="BX61" s="363" t="s">
        <v>1405</v>
      </c>
      <c r="BY61" s="364">
        <v>2019</v>
      </c>
      <c r="BZ61" s="363" t="s">
        <v>1406</v>
      </c>
      <c r="CA61" s="363" t="s">
        <v>1407</v>
      </c>
      <c r="CB61" s="363" t="s">
        <v>1408</v>
      </c>
      <c r="CC61" s="363" t="s">
        <v>1409</v>
      </c>
      <c r="CD61" s="364">
        <v>2020</v>
      </c>
      <c r="CE61" s="11"/>
      <c r="CF61" s="175"/>
      <c r="CG61" s="47" t="s">
        <v>2419</v>
      </c>
      <c r="CH61" s="155">
        <f t="shared" si="20"/>
        <v>52.08</v>
      </c>
      <c r="CI61" s="155">
        <f t="shared" si="10"/>
        <v>48.18</v>
      </c>
      <c r="CJ61" s="155">
        <f t="shared" si="11"/>
        <v>50.02</v>
      </c>
      <c r="CK61" s="155">
        <f t="shared" si="12"/>
        <v>43.58</v>
      </c>
      <c r="CL61" s="155">
        <f t="shared" si="13"/>
        <v>49.54</v>
      </c>
      <c r="CM61" s="155">
        <f t="shared" ref="CM61" ca="1" si="58">HLOOKUP(CG61,$A$9:$CD$17,9,FALSE)</f>
        <v>26.424059808893158</v>
      </c>
      <c r="CN61" s="155">
        <f t="shared" si="14"/>
        <v>47.45</v>
      </c>
      <c r="CP61" s="47" t="s">
        <v>2419</v>
      </c>
      <c r="CQ61" s="155">
        <f t="shared" si="15"/>
        <v>2.99</v>
      </c>
      <c r="CR61" s="155">
        <f t="shared" ref="CR61" si="59">AVERAGE(CH59:CH60)</f>
        <v>51.664999999999999</v>
      </c>
      <c r="CS61" s="155">
        <f t="shared" ref="CS61" si="60">HLOOKUP(CP61,$A$9:$CD$20,12,FALSE)</f>
        <v>41.59</v>
      </c>
      <c r="CT61" s="155">
        <f t="shared" si="16"/>
        <v>5.0999999999999996</v>
      </c>
      <c r="CU61" s="155">
        <f t="shared" si="17"/>
        <v>2.34</v>
      </c>
      <c r="CV61" s="155">
        <f t="shared" si="18"/>
        <v>3.03</v>
      </c>
      <c r="CW61" s="155">
        <f t="shared" si="19"/>
        <v>2.89</v>
      </c>
    </row>
    <row r="62" spans="1:102" ht="12.75" customHeight="1">
      <c r="A62" s="54" t="s">
        <v>700</v>
      </c>
      <c r="B62" s="47"/>
      <c r="C62" s="88"/>
      <c r="D62" s="340"/>
      <c r="E62" s="340"/>
      <c r="F62" s="340"/>
      <c r="G62" s="340"/>
      <c r="H62" s="340"/>
      <c r="I62" s="340"/>
      <c r="J62" s="340"/>
      <c r="K62" s="340"/>
      <c r="L62" s="340"/>
      <c r="M62" s="340"/>
      <c r="N62" s="340"/>
      <c r="O62" s="340"/>
      <c r="P62" s="340"/>
      <c r="Q62" s="340"/>
      <c r="R62" s="340"/>
      <c r="S62" s="340"/>
      <c r="T62" s="340"/>
      <c r="U62" s="340"/>
      <c r="V62" s="340"/>
      <c r="W62" s="340"/>
      <c r="X62" s="340"/>
      <c r="Y62" s="340"/>
      <c r="Z62" s="340"/>
      <c r="AA62" s="340"/>
      <c r="AB62" s="340"/>
      <c r="AC62" s="340"/>
      <c r="AD62" s="340"/>
      <c r="AE62" s="340"/>
      <c r="AF62" s="340"/>
      <c r="AG62" s="88"/>
      <c r="AH62" s="88"/>
      <c r="AI62" s="88"/>
      <c r="AJ62" s="88"/>
      <c r="AK62" s="88"/>
      <c r="AL62" s="88"/>
      <c r="AM62" s="88"/>
      <c r="AN62" s="88"/>
      <c r="AO62" s="88"/>
      <c r="AP62" s="88"/>
      <c r="AQ62" s="88"/>
      <c r="AR62" s="88"/>
      <c r="AS62" s="88"/>
      <c r="AT62" s="88"/>
      <c r="AU62" s="88"/>
      <c r="AV62" s="88"/>
      <c r="AW62" s="88"/>
      <c r="AX62" s="88"/>
      <c r="AY62" s="88"/>
      <c r="AZ62" s="88"/>
      <c r="BA62" s="88"/>
      <c r="BB62" s="88"/>
      <c r="BC62" s="88"/>
      <c r="BD62" s="88"/>
      <c r="BE62" s="88"/>
      <c r="BF62" s="88"/>
      <c r="BG62" s="88"/>
      <c r="BH62" s="88"/>
      <c r="BI62" s="88"/>
      <c r="BJ62" s="47"/>
      <c r="BK62" s="88"/>
      <c r="BL62" s="88"/>
      <c r="BM62" s="88"/>
      <c r="BN62" s="88"/>
      <c r="BO62" s="47"/>
      <c r="BP62" s="47"/>
      <c r="BQ62" s="47"/>
      <c r="BR62" s="47"/>
      <c r="BS62" s="47"/>
      <c r="BT62" s="47"/>
      <c r="BU62" s="47"/>
      <c r="BV62" s="47"/>
      <c r="BW62" s="47"/>
      <c r="BX62" s="47"/>
      <c r="BY62" s="47"/>
      <c r="BZ62" s="47"/>
      <c r="CA62" s="47"/>
      <c r="CB62" s="47"/>
      <c r="CC62" s="47"/>
      <c r="CD62" s="47"/>
      <c r="CE62" s="47"/>
      <c r="CF62" s="175"/>
      <c r="CG62" s="47" t="s">
        <v>2420</v>
      </c>
      <c r="CH62" s="699">
        <f>HLOOKUP($CG62,$A$9:$CD$45,4,FALSE)</f>
        <v>61.26</v>
      </c>
      <c r="CI62" s="699">
        <f>HLOOKUP($CG62,$A$9:$CD$45,5,FALSE)</f>
        <v>55.23</v>
      </c>
      <c r="CJ62" s="699">
        <f>HLOOKUP($CG62,$A$9:$CD$45,16,FALSE)</f>
        <v>57.92</v>
      </c>
      <c r="CK62" s="699">
        <f>HLOOKUP($CG62,$A$9:$CD$45,15,FALSE)</f>
        <v>51.5</v>
      </c>
      <c r="CL62" s="699">
        <f>HLOOKUP($CG62,$A$9:$CD$45,17,FALSE)</f>
        <v>59.09</v>
      </c>
      <c r="CM62" s="699">
        <f ca="1">HLOOKUP(CG62,$A$9:$CD$17,9,FALSE)</f>
        <v>30.734222412721785</v>
      </c>
      <c r="CN62" s="699">
        <f>HLOOKUP($CG62,$A$9:$CD$45,18,FALSE)</f>
        <v>56.16</v>
      </c>
      <c r="CO62" s="50"/>
      <c r="CP62" s="47" t="s">
        <v>2420</v>
      </c>
      <c r="CQ62" s="699">
        <f>HLOOKUP($CP62,$A$9:$CD$45,11,FALSE)</f>
        <v>2.93</v>
      </c>
      <c r="CR62" s="699">
        <f>AVERAGE(CH56:CH57)</f>
        <v>45.725000000000001</v>
      </c>
      <c r="CS62" s="699">
        <f>HLOOKUP(CP62,$A$9:$CD$20,12,FALSE)</f>
        <v>51.94</v>
      </c>
      <c r="CT62" s="699">
        <f>HLOOKUP($CP62,$A$9:$CD$45,23,FALSE)</f>
        <v>5.56</v>
      </c>
      <c r="CU62" s="699">
        <f>HLOOKUP($CP62,$A$9:$CD$44,22,FALSE)</f>
        <v>2.2799999999999998</v>
      </c>
      <c r="CV62" s="699">
        <f>HLOOKUP($CP62,$A$9:$CD$44,24,FALSE)</f>
        <v>3.51</v>
      </c>
      <c r="CW62" s="699">
        <f>HLOOKUP($CP62,$A$9:$CD$44,25,FALSE)</f>
        <v>3.23</v>
      </c>
      <c r="CX62" s="50"/>
    </row>
    <row r="63" spans="1:102" ht="12.75" customHeight="1">
      <c r="A63" s="54"/>
      <c r="B63" s="47" t="s">
        <v>2454</v>
      </c>
      <c r="C63" s="70">
        <v>1.4405212618746301</v>
      </c>
      <c r="D63" s="70">
        <v>1.5029635391266647</v>
      </c>
      <c r="E63" s="70">
        <v>1.6347818589256207</v>
      </c>
      <c r="F63" s="70">
        <v>1.833925</v>
      </c>
      <c r="G63" s="70">
        <v>1.83375</v>
      </c>
      <c r="H63" s="85">
        <v>1.75</v>
      </c>
      <c r="I63" s="85">
        <v>1.83</v>
      </c>
      <c r="J63" s="85">
        <v>1.8747499999999999</v>
      </c>
      <c r="K63" s="85">
        <v>1.92</v>
      </c>
      <c r="L63" s="70">
        <v>1.8436874999999999</v>
      </c>
      <c r="M63" s="85">
        <v>1.9450000000000001</v>
      </c>
      <c r="N63" s="85">
        <v>1.986</v>
      </c>
      <c r="O63" s="85">
        <v>2.02</v>
      </c>
      <c r="P63" s="85">
        <v>2.0459999999999998</v>
      </c>
      <c r="Q63" s="70">
        <v>1.99925</v>
      </c>
      <c r="R63" s="85">
        <v>1.978</v>
      </c>
      <c r="S63" s="85">
        <v>1.97</v>
      </c>
      <c r="T63" s="85">
        <v>1.89</v>
      </c>
      <c r="U63" s="85">
        <v>1.57</v>
      </c>
      <c r="V63" s="70">
        <v>1.8520000000000001</v>
      </c>
      <c r="W63" s="85">
        <v>1.43</v>
      </c>
      <c r="X63" s="85">
        <v>1.55</v>
      </c>
      <c r="Y63" s="85">
        <v>1.64</v>
      </c>
      <c r="Z63" s="85">
        <v>1.63</v>
      </c>
      <c r="AA63" s="70">
        <v>1.5625</v>
      </c>
      <c r="AB63" s="85">
        <v>1.56</v>
      </c>
      <c r="AC63" s="85">
        <v>1.49</v>
      </c>
      <c r="AD63" s="85">
        <v>1.55</v>
      </c>
      <c r="AE63" s="85">
        <v>1.58</v>
      </c>
      <c r="AF63" s="70">
        <v>1.5449999999999999</v>
      </c>
      <c r="AG63" s="85">
        <f t="shared" ref="AG63:AJ64" si="61">+AG50</f>
        <v>1.6</v>
      </c>
      <c r="AH63" s="85">
        <f t="shared" si="61"/>
        <v>1.63</v>
      </c>
      <c r="AI63" s="85">
        <f t="shared" si="61"/>
        <v>1.61</v>
      </c>
      <c r="AJ63" s="85">
        <f t="shared" si="61"/>
        <v>1.57</v>
      </c>
      <c r="AK63" s="234">
        <f>AVERAGE(AG63:AJ63)</f>
        <v>1.6025</v>
      </c>
      <c r="AL63" s="85">
        <f t="shared" ref="AL63:AO64" si="62">+AL50</f>
        <v>1.57</v>
      </c>
      <c r="AM63" s="85">
        <f t="shared" si="62"/>
        <v>1.58</v>
      </c>
      <c r="AN63" s="85">
        <f t="shared" si="62"/>
        <v>1.58</v>
      </c>
      <c r="AO63" s="85">
        <f t="shared" si="62"/>
        <v>1.6060310606060608</v>
      </c>
      <c r="AP63" s="234">
        <f>AVERAGE(AL63:AO63)</f>
        <v>1.5840077651515152</v>
      </c>
      <c r="AQ63" s="85">
        <f t="shared" ref="AQ63:AT64" si="63">+AQ50</f>
        <v>1.5524953125000005</v>
      </c>
      <c r="AR63" s="85">
        <f t="shared" si="63"/>
        <v>1.5354469230769237</v>
      </c>
      <c r="AS63" s="85">
        <f t="shared" si="63"/>
        <v>1.5505030303030303</v>
      </c>
      <c r="AT63" s="85">
        <f t="shared" si="63"/>
        <v>1.62</v>
      </c>
      <c r="AU63" s="234">
        <f>AVERAGE(AQ63:AT63)</f>
        <v>1.5646113164699886</v>
      </c>
      <c r="AV63" s="85">
        <f t="shared" ref="AV63:AY64" si="64">+AV50</f>
        <v>1.66</v>
      </c>
      <c r="AW63" s="85">
        <f t="shared" si="64"/>
        <v>1.68</v>
      </c>
      <c r="AX63" s="551">
        <f t="shared" si="64"/>
        <v>1.67</v>
      </c>
      <c r="AY63" s="551">
        <f t="shared" si="64"/>
        <v>1.58</v>
      </c>
      <c r="AZ63" s="574">
        <f>AVERAGE(AV63:AY63)</f>
        <v>1.6475</v>
      </c>
      <c r="BA63" s="551">
        <f t="shared" ref="BA63:BC64" si="65">+BA50</f>
        <v>1.51</v>
      </c>
      <c r="BB63" s="551">
        <f t="shared" si="65"/>
        <v>1.53</v>
      </c>
      <c r="BC63" s="551">
        <f t="shared" si="65"/>
        <v>1.55</v>
      </c>
      <c r="BD63" s="551">
        <f>+BD50</f>
        <v>1.52</v>
      </c>
      <c r="BE63" s="574">
        <f>AVERAGE(BA63:BD63)</f>
        <v>1.5274999999999999</v>
      </c>
      <c r="BF63" s="551">
        <f t="shared" ref="BF63:BH64" si="66">+BF50</f>
        <v>1.43</v>
      </c>
      <c r="BG63" s="551">
        <f t="shared" si="66"/>
        <v>1.43</v>
      </c>
      <c r="BH63" s="551">
        <f t="shared" si="66"/>
        <v>1.31</v>
      </c>
      <c r="BI63" s="551">
        <f t="shared" ref="BI63" si="67">+BI50</f>
        <v>1.24</v>
      </c>
      <c r="BJ63" s="234">
        <f>AVERAGE(BF63:BI63)</f>
        <v>1.3525</v>
      </c>
      <c r="BK63" s="551">
        <f t="shared" ref="BK63:BL63" si="68">+BK50</f>
        <v>1.24</v>
      </c>
      <c r="BL63" s="551">
        <f t="shared" si="68"/>
        <v>1.28</v>
      </c>
      <c r="BM63" s="551">
        <f t="shared" ref="BM63:BN63" si="69">+BM50</f>
        <v>1.31</v>
      </c>
      <c r="BN63" s="551">
        <f t="shared" si="69"/>
        <v>1.33</v>
      </c>
      <c r="BO63" s="644">
        <f>AVERAGE(BK63:BN63)</f>
        <v>1.29</v>
      </c>
      <c r="BP63" s="754">
        <v>1.3914200000000001</v>
      </c>
      <c r="BQ63" s="706">
        <v>1.35</v>
      </c>
      <c r="BR63" s="706">
        <v>1.35</v>
      </c>
      <c r="BS63" s="706">
        <v>1.35</v>
      </c>
      <c r="BT63" s="705">
        <f>AVERAGE(BP63:BS63)</f>
        <v>1.3603550000000002</v>
      </c>
      <c r="BU63" s="706">
        <v>1.35</v>
      </c>
      <c r="BV63" s="706">
        <v>1.35</v>
      </c>
      <c r="BW63" s="706">
        <v>1.35</v>
      </c>
      <c r="BX63" s="706">
        <v>1.35</v>
      </c>
      <c r="BY63" s="705">
        <f>AVERAGE(BU63:BX63)</f>
        <v>1.35</v>
      </c>
      <c r="BZ63" s="706">
        <v>1.35</v>
      </c>
      <c r="CA63" s="706">
        <v>1.35</v>
      </c>
      <c r="CB63" s="706">
        <v>1.35</v>
      </c>
      <c r="CC63" s="706">
        <v>1.35</v>
      </c>
      <c r="CD63" s="644">
        <f t="shared" ref="CD63:CD64" si="70">AVERAGE(BZ63:CC63)</f>
        <v>1.35</v>
      </c>
      <c r="CE63" s="47"/>
      <c r="CF63" s="47"/>
      <c r="CG63" s="50"/>
      <c r="CH63" s="50"/>
      <c r="CI63" s="50"/>
      <c r="CJ63" s="50"/>
      <c r="CK63" s="50"/>
      <c r="CL63" s="50"/>
      <c r="CM63" s="50"/>
      <c r="CN63" s="50"/>
      <c r="CO63" s="50"/>
      <c r="CP63" s="50"/>
      <c r="CQ63" s="50"/>
      <c r="CR63" s="50"/>
      <c r="CS63" s="50"/>
      <c r="CT63" s="50"/>
      <c r="CU63" s="50"/>
      <c r="CV63" s="50"/>
      <c r="CW63" s="50"/>
      <c r="CX63" s="50"/>
    </row>
    <row r="64" spans="1:102" ht="12.75" customHeight="1">
      <c r="A64" s="56"/>
      <c r="B64" s="47" t="s">
        <v>2455</v>
      </c>
      <c r="C64" s="340">
        <v>0.9</v>
      </c>
      <c r="D64" s="340">
        <v>0.95</v>
      </c>
      <c r="E64" s="340">
        <v>1.1299999999999999</v>
      </c>
      <c r="F64" s="340">
        <v>1.24</v>
      </c>
      <c r="G64" s="340">
        <v>1.24</v>
      </c>
      <c r="H64" s="323">
        <v>1.2</v>
      </c>
      <c r="I64" s="323">
        <v>1.26</v>
      </c>
      <c r="J64" s="323">
        <v>1.27</v>
      </c>
      <c r="K64" s="323">
        <v>1.29</v>
      </c>
      <c r="L64" s="234">
        <v>1.26</v>
      </c>
      <c r="M64" s="323">
        <v>1.31</v>
      </c>
      <c r="N64" s="323">
        <v>1.35</v>
      </c>
      <c r="O64" s="323">
        <v>1.37</v>
      </c>
      <c r="P64" s="323">
        <v>1.45</v>
      </c>
      <c r="Q64" s="234">
        <v>1.37</v>
      </c>
      <c r="R64" s="323">
        <v>1.5</v>
      </c>
      <c r="S64" s="323">
        <v>1.56</v>
      </c>
      <c r="T64" s="323">
        <v>1.51</v>
      </c>
      <c r="U64" s="323">
        <v>1.32</v>
      </c>
      <c r="V64" s="234">
        <v>1.47</v>
      </c>
      <c r="W64" s="323">
        <v>1.3</v>
      </c>
      <c r="X64" s="323">
        <v>1.36</v>
      </c>
      <c r="Y64" s="323">
        <v>1.43</v>
      </c>
      <c r="Z64" s="323">
        <v>1.48</v>
      </c>
      <c r="AA64" s="234">
        <v>1.39</v>
      </c>
      <c r="AB64" s="323">
        <v>1.38</v>
      </c>
      <c r="AC64" s="323">
        <v>1.27</v>
      </c>
      <c r="AD64" s="323">
        <v>1.29</v>
      </c>
      <c r="AE64" s="323">
        <v>1.36</v>
      </c>
      <c r="AF64" s="234">
        <v>1.33</v>
      </c>
      <c r="AG64" s="323">
        <f t="shared" si="61"/>
        <v>1.37</v>
      </c>
      <c r="AH64" s="323">
        <f t="shared" si="61"/>
        <v>1.44</v>
      </c>
      <c r="AI64" s="323">
        <f t="shared" si="61"/>
        <v>1.41</v>
      </c>
      <c r="AJ64" s="323">
        <f t="shared" si="61"/>
        <v>1.35</v>
      </c>
      <c r="AK64" s="234">
        <f>+AVERAGE(AG64:AJ64)</f>
        <v>1.3925000000000001</v>
      </c>
      <c r="AL64" s="323">
        <f t="shared" si="62"/>
        <v>1.31</v>
      </c>
      <c r="AM64" s="323">
        <f t="shared" si="62"/>
        <v>1.28</v>
      </c>
      <c r="AN64" s="323">
        <f t="shared" si="62"/>
        <v>1.25</v>
      </c>
      <c r="AO64" s="323">
        <f t="shared" si="62"/>
        <v>1.2974000000000003</v>
      </c>
      <c r="AP64" s="234">
        <f>+AVERAGE(AL64:AO64)</f>
        <v>1.2843500000000001</v>
      </c>
      <c r="AQ64" s="323">
        <f t="shared" si="63"/>
        <v>1.3200578125</v>
      </c>
      <c r="AR64" s="323">
        <f t="shared" si="63"/>
        <v>1.3058284615384621</v>
      </c>
      <c r="AS64" s="323">
        <f t="shared" si="63"/>
        <v>1.3244242424242425</v>
      </c>
      <c r="AT64" s="323">
        <f t="shared" si="63"/>
        <v>1.36</v>
      </c>
      <c r="AU64" s="234">
        <f>+AVERAGE(AQ64:AT64)</f>
        <v>1.3275776291156762</v>
      </c>
      <c r="AV64" s="323">
        <f t="shared" si="64"/>
        <v>1.37</v>
      </c>
      <c r="AW64" s="323">
        <f t="shared" si="64"/>
        <v>1.37</v>
      </c>
      <c r="AX64" s="552">
        <f t="shared" si="64"/>
        <v>1.33</v>
      </c>
      <c r="AY64" s="552">
        <f t="shared" si="64"/>
        <v>1.25</v>
      </c>
      <c r="AZ64" s="574">
        <f>+AVERAGE(AV64:AY64)</f>
        <v>1.33</v>
      </c>
      <c r="BA64" s="552">
        <f t="shared" si="65"/>
        <v>1.1200000000000001</v>
      </c>
      <c r="BB64" s="552">
        <f t="shared" si="65"/>
        <v>1.1100000000000001</v>
      </c>
      <c r="BC64" s="552">
        <f t="shared" si="65"/>
        <v>1.1100000000000001</v>
      </c>
      <c r="BD64" s="552">
        <f>+BD51</f>
        <v>1.0900000000000001</v>
      </c>
      <c r="BE64" s="574">
        <f>+AVERAGE(BA64:BD64)</f>
        <v>1.1075000000000002</v>
      </c>
      <c r="BF64" s="552">
        <f t="shared" si="66"/>
        <v>1.1000000000000001</v>
      </c>
      <c r="BG64" s="552">
        <f t="shared" si="66"/>
        <v>1.1299999999999999</v>
      </c>
      <c r="BH64" s="552">
        <f t="shared" si="66"/>
        <v>1.1200000000000001</v>
      </c>
      <c r="BI64" s="552">
        <f t="shared" ref="BI64" si="71">+BI51</f>
        <v>1.08</v>
      </c>
      <c r="BJ64" s="234">
        <f>AVERAGE(BF64:BI64)</f>
        <v>1.1074999999999999</v>
      </c>
      <c r="BK64" s="552">
        <f t="shared" ref="BK64:BL64" si="72">+BK51</f>
        <v>1.07</v>
      </c>
      <c r="BL64" s="552">
        <f t="shared" si="72"/>
        <v>1.1000000000000001</v>
      </c>
      <c r="BM64" s="552">
        <f t="shared" ref="BM64:BN64" si="73">+BM51</f>
        <v>1.17</v>
      </c>
      <c r="BN64" s="552">
        <f t="shared" si="73"/>
        <v>1.18</v>
      </c>
      <c r="BO64" s="644">
        <f>AVERAGE(BK64:BN64)</f>
        <v>1.1299999999999999</v>
      </c>
      <c r="BP64" s="754">
        <v>1.22872</v>
      </c>
      <c r="BQ64" s="706">
        <v>1.2</v>
      </c>
      <c r="BR64" s="706">
        <v>1.2</v>
      </c>
      <c r="BS64" s="706">
        <v>1.2</v>
      </c>
      <c r="BT64" s="705">
        <f>AVERAGE(BP64:BS64)</f>
        <v>1.2071800000000001</v>
      </c>
      <c r="BU64" s="706">
        <v>1.2</v>
      </c>
      <c r="BV64" s="706">
        <v>1.2</v>
      </c>
      <c r="BW64" s="706">
        <v>1.2</v>
      </c>
      <c r="BX64" s="706">
        <v>1.2</v>
      </c>
      <c r="BY64" s="705">
        <f>AVERAGE(BU64:BX64)</f>
        <v>1.2</v>
      </c>
      <c r="BZ64" s="573">
        <v>1.1499999999999999</v>
      </c>
      <c r="CA64" s="573">
        <v>1.1499999999999999</v>
      </c>
      <c r="CB64" s="573">
        <v>1.1499999999999999</v>
      </c>
      <c r="CC64" s="573">
        <v>1.1499999999999999</v>
      </c>
      <c r="CD64" s="644">
        <f t="shared" si="70"/>
        <v>1.1499999999999999</v>
      </c>
      <c r="CE64" s="47"/>
      <c r="CF64" s="11"/>
      <c r="CG64" s="463" t="s">
        <v>984</v>
      </c>
      <c r="CS64" s="463" t="s">
        <v>959</v>
      </c>
      <c r="CT64" s="406"/>
      <c r="CU64" s="406"/>
      <c r="CV64" s="406"/>
      <c r="CW64" s="406"/>
      <c r="CX64" s="406"/>
    </row>
    <row r="65" spans="1:105" ht="13.5" customHeight="1">
      <c r="A65" s="56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  <c r="AL65" s="47"/>
      <c r="AM65" s="47"/>
      <c r="AN65" s="47"/>
      <c r="AO65" s="47"/>
      <c r="AP65" s="47"/>
      <c r="AQ65" s="47"/>
      <c r="AR65" s="47"/>
      <c r="AS65" s="47"/>
      <c r="AT65" s="47"/>
      <c r="AU65" s="47"/>
      <c r="AV65" s="47"/>
      <c r="AW65" s="47"/>
      <c r="AX65" s="56"/>
      <c r="AY65" s="56"/>
      <c r="AZ65" s="47"/>
      <c r="BA65" s="47"/>
      <c r="BB65" s="56"/>
      <c r="BC65" s="56"/>
      <c r="BD65" s="56"/>
      <c r="BE65" s="47"/>
      <c r="BF65" s="56"/>
      <c r="BG65" s="56"/>
      <c r="BH65" s="56"/>
      <c r="BI65" s="56"/>
      <c r="BJ65" s="47"/>
      <c r="BK65" s="56"/>
      <c r="BL65" s="56"/>
      <c r="BM65" s="56"/>
      <c r="BN65" s="56"/>
      <c r="BO65" s="47"/>
      <c r="BP65" s="22"/>
      <c r="BQ65" s="22"/>
      <c r="BR65" s="22"/>
      <c r="BS65" s="22"/>
      <c r="BT65" s="22"/>
      <c r="BU65" s="22"/>
      <c r="BV65" s="22"/>
      <c r="BW65" s="22"/>
      <c r="BX65" s="22"/>
      <c r="BY65" s="22"/>
      <c r="BZ65" s="22"/>
      <c r="CA65" s="22"/>
      <c r="CB65" s="22"/>
      <c r="CC65" s="22"/>
      <c r="CD65" s="22"/>
      <c r="CE65" s="47"/>
      <c r="CF65" s="47"/>
      <c r="CG65" t="s">
        <v>2638</v>
      </c>
      <c r="CS65" s="465" t="s">
        <v>2638</v>
      </c>
      <c r="CT65" s="406"/>
      <c r="CU65" s="406"/>
      <c r="CV65" s="406"/>
      <c r="CW65" s="406"/>
      <c r="CX65" s="406"/>
    </row>
    <row r="66" spans="1:105" ht="12.75" customHeight="1" thickBot="1">
      <c r="A66" s="54" t="s">
        <v>3097</v>
      </c>
      <c r="B66" s="47"/>
      <c r="C66" s="88"/>
      <c r="D66" s="340"/>
      <c r="E66" s="340"/>
      <c r="F66" s="340"/>
      <c r="G66" s="340"/>
      <c r="H66" s="340"/>
      <c r="I66" s="340"/>
      <c r="J66" s="340"/>
      <c r="K66" s="340"/>
      <c r="L66" s="340"/>
      <c r="M66" s="340"/>
      <c r="N66" s="340"/>
      <c r="O66" s="340"/>
      <c r="P66" s="340"/>
      <c r="Q66" s="340"/>
      <c r="R66" s="340"/>
      <c r="S66" s="340"/>
      <c r="T66" s="340"/>
      <c r="U66" s="340"/>
      <c r="V66" s="340"/>
      <c r="W66" s="340"/>
      <c r="X66" s="340"/>
      <c r="Y66" s="340"/>
      <c r="Z66" s="340"/>
      <c r="AA66" s="340"/>
      <c r="AB66" s="340"/>
      <c r="AC66" s="340"/>
      <c r="AD66" s="340"/>
      <c r="AE66" s="340"/>
      <c r="AF66" s="340"/>
      <c r="AG66" s="88"/>
      <c r="AH66" s="88"/>
      <c r="AI66" s="88"/>
      <c r="AJ66" s="88"/>
      <c r="AK66" s="88"/>
      <c r="AL66" s="88"/>
      <c r="AM66" s="88"/>
      <c r="AN66" s="88"/>
      <c r="AO66" s="88"/>
      <c r="AP66" s="88"/>
      <c r="AQ66" s="88"/>
      <c r="AR66" s="88"/>
      <c r="AS66" s="88"/>
      <c r="AT66" s="88"/>
      <c r="AU66" s="88"/>
      <c r="AV66" s="88"/>
      <c r="AW66" s="88"/>
      <c r="AX66" s="553"/>
      <c r="AY66" s="553"/>
      <c r="AZ66" s="88"/>
      <c r="BA66" s="88"/>
      <c r="BB66" s="553"/>
      <c r="BC66" s="553"/>
      <c r="BD66" s="553"/>
      <c r="BE66" s="88"/>
      <c r="BF66" s="553"/>
      <c r="BG66" s="553"/>
      <c r="BH66" s="553"/>
      <c r="BI66" s="553"/>
      <c r="BJ66" s="47"/>
      <c r="BK66" s="553"/>
      <c r="BL66" s="553"/>
      <c r="BM66" s="553"/>
      <c r="BN66" s="553"/>
      <c r="BO66" s="47"/>
      <c r="BP66" s="22"/>
      <c r="BQ66" s="22"/>
      <c r="BR66" s="22"/>
      <c r="BS66" s="22"/>
      <c r="BT66" s="22"/>
      <c r="BU66" s="22"/>
      <c r="BV66" s="22"/>
      <c r="BW66" s="22"/>
      <c r="BX66" s="22"/>
      <c r="BY66" s="22"/>
      <c r="BZ66" s="22"/>
      <c r="CA66" s="22"/>
      <c r="CB66" s="22"/>
      <c r="CC66" s="22"/>
      <c r="CD66" s="22"/>
      <c r="CE66" s="47"/>
      <c r="CF66" s="47"/>
      <c r="CS66" s="406"/>
      <c r="CT66" s="406"/>
      <c r="CU66" s="406"/>
      <c r="CV66" s="406"/>
      <c r="CW66" s="406"/>
      <c r="CX66" s="406"/>
    </row>
    <row r="67" spans="1:105" ht="12.75" customHeight="1">
      <c r="A67" s="56"/>
      <c r="B67" s="47" t="s">
        <v>2456</v>
      </c>
      <c r="C67" s="155">
        <v>24.44</v>
      </c>
      <c r="D67" s="155">
        <v>25.03</v>
      </c>
      <c r="E67" s="155">
        <v>28.83</v>
      </c>
      <c r="F67" s="155">
        <v>38.270000000000003</v>
      </c>
      <c r="G67" s="155">
        <v>54.48</v>
      </c>
      <c r="H67" s="109">
        <v>61.79</v>
      </c>
      <c r="I67" s="109">
        <v>69.59</v>
      </c>
      <c r="J67" s="109">
        <v>69.599999999999994</v>
      </c>
      <c r="K67" s="109">
        <v>59.6</v>
      </c>
      <c r="L67" s="110">
        <v>65.14</v>
      </c>
      <c r="M67" s="109">
        <v>57.76</v>
      </c>
      <c r="N67" s="109">
        <v>68.760000000000005</v>
      </c>
      <c r="O67" s="109">
        <v>74.739999999999995</v>
      </c>
      <c r="P67" s="109">
        <v>88.45</v>
      </c>
      <c r="Q67" s="110">
        <v>72.39</v>
      </c>
      <c r="R67" s="109">
        <v>96.71</v>
      </c>
      <c r="S67" s="109">
        <v>121.18</v>
      </c>
      <c r="T67" s="109">
        <v>115.09</v>
      </c>
      <c r="U67" s="109">
        <v>55.48</v>
      </c>
      <c r="V67" s="110">
        <v>97.26</v>
      </c>
      <c r="W67" s="109">
        <v>44.46</v>
      </c>
      <c r="X67" s="109">
        <v>59.13</v>
      </c>
      <c r="Y67" s="109">
        <v>68.08</v>
      </c>
      <c r="Z67" s="109">
        <v>74.53</v>
      </c>
      <c r="AA67" s="110">
        <v>61.67</v>
      </c>
      <c r="AB67" s="109">
        <v>76.36</v>
      </c>
      <c r="AC67" s="109">
        <v>78.239999999999995</v>
      </c>
      <c r="AD67" s="109">
        <v>76.86</v>
      </c>
      <c r="AE67" s="109">
        <v>86.46</v>
      </c>
      <c r="AF67" s="110">
        <v>79.5</v>
      </c>
      <c r="AG67" s="109">
        <f t="shared" ref="AG67:AI68" si="74">+AG12</f>
        <v>105.43</v>
      </c>
      <c r="AH67" s="109">
        <f t="shared" si="74"/>
        <v>117.04</v>
      </c>
      <c r="AI67" s="109">
        <f t="shared" si="74"/>
        <v>113.41</v>
      </c>
      <c r="AJ67" s="109">
        <f>+AJ12</f>
        <v>109.35</v>
      </c>
      <c r="AK67" s="110">
        <f>AVERAGE(AG67:AJ67)</f>
        <v>111.3075</v>
      </c>
      <c r="AL67" s="109">
        <f t="shared" ref="AL67:AN68" si="75">+AL12</f>
        <v>118.6</v>
      </c>
      <c r="AM67" s="109">
        <f t="shared" si="75"/>
        <v>108.29</v>
      </c>
      <c r="AN67" s="109">
        <f t="shared" si="75"/>
        <v>109.5</v>
      </c>
      <c r="AO67" s="109">
        <f>+AO12</f>
        <v>110.08</v>
      </c>
      <c r="AP67" s="403">
        <f>AVERAGE(AL67:AO67)</f>
        <v>111.61749999999999</v>
      </c>
      <c r="AQ67" s="109">
        <f t="shared" ref="AQ67:AS68" si="76">+AQ12</f>
        <v>112.57</v>
      </c>
      <c r="AR67" s="109">
        <f t="shared" si="76"/>
        <v>102.43</v>
      </c>
      <c r="AS67" s="109">
        <f t="shared" si="76"/>
        <v>110.29</v>
      </c>
      <c r="AT67" s="109">
        <f>+AT12</f>
        <v>109.24</v>
      </c>
      <c r="AU67" s="403">
        <f>AVERAGE(AQ67:AT67)</f>
        <v>108.63250000000001</v>
      </c>
      <c r="AV67" s="109">
        <f t="shared" ref="AV67:AX68" si="77">+AV12</f>
        <v>108.21</v>
      </c>
      <c r="AW67" s="109">
        <f t="shared" si="77"/>
        <v>109.67</v>
      </c>
      <c r="AX67" s="554">
        <f t="shared" si="77"/>
        <v>101.93</v>
      </c>
      <c r="AY67" s="554">
        <f>+AY12</f>
        <v>76.58</v>
      </c>
      <c r="AZ67" s="403">
        <f>AVERAGE(AV67:AY67)</f>
        <v>99.097499999999997</v>
      </c>
      <c r="BA67" s="554">
        <f t="shared" ref="BA67:BD68" si="78">+BA12</f>
        <v>53.94</v>
      </c>
      <c r="BB67" s="554">
        <f t="shared" si="78"/>
        <v>61.88</v>
      </c>
      <c r="BC67" s="554">
        <f t="shared" si="78"/>
        <v>50.47</v>
      </c>
      <c r="BD67" s="554">
        <f t="shared" si="78"/>
        <v>43.76</v>
      </c>
      <c r="BE67" s="403">
        <f>AVERAGE(BA67:BD67)</f>
        <v>52.512499999999996</v>
      </c>
      <c r="BF67" s="554">
        <f t="shared" ref="BF67:BH68" si="79">+BF12</f>
        <v>33.94</v>
      </c>
      <c r="BG67" s="554">
        <f t="shared" si="79"/>
        <v>45.59</v>
      </c>
      <c r="BH67" s="554">
        <f t="shared" si="79"/>
        <v>45.86</v>
      </c>
      <c r="BI67" s="554">
        <f t="shared" ref="BI67" si="80">+BI12</f>
        <v>49.33</v>
      </c>
      <c r="BJ67" s="110">
        <f>AVERAGE(BF67:BI67)</f>
        <v>43.68</v>
      </c>
      <c r="BK67" s="554">
        <f t="shared" ref="BK67:BL67" si="81">+BK12</f>
        <v>53.69</v>
      </c>
      <c r="BL67" s="554">
        <f t="shared" si="81"/>
        <v>49.64</v>
      </c>
      <c r="BM67" s="554">
        <f t="shared" ref="BM67:BN67" si="82">+BM12</f>
        <v>52.08</v>
      </c>
      <c r="BN67" s="554">
        <f t="shared" si="82"/>
        <v>61.26</v>
      </c>
      <c r="BO67" s="110">
        <f>AVERAGE(BK67:BN67)</f>
        <v>54.167499999999997</v>
      </c>
      <c r="BP67" s="752">
        <v>66.930000000000007</v>
      </c>
      <c r="BQ67" s="752">
        <v>67.55</v>
      </c>
      <c r="BR67" s="752">
        <v>66.290000000000006</v>
      </c>
      <c r="BS67" s="752">
        <v>65.239999999999995</v>
      </c>
      <c r="BT67" s="753">
        <f>AVERAGE(BP67:BS67)</f>
        <v>66.502500000000012</v>
      </c>
      <c r="BU67" s="752">
        <v>62.95</v>
      </c>
      <c r="BV67" s="752">
        <v>62.95</v>
      </c>
      <c r="BW67" s="752">
        <v>62.95</v>
      </c>
      <c r="BX67" s="752">
        <v>62.95</v>
      </c>
      <c r="BY67" s="753">
        <f>AVERAGE(BU67:BX67)</f>
        <v>62.95</v>
      </c>
      <c r="BZ67" s="111">
        <f>BX67*(1+2.5%)^(1/4)</f>
        <v>63.339801906198794</v>
      </c>
      <c r="CA67" s="111">
        <f t="shared" ref="CA67:CC68" si="83">BZ67*(1+2.5%)^(1/4)</f>
        <v>63.732017561818971</v>
      </c>
      <c r="CB67" s="111">
        <f t="shared" si="83"/>
        <v>64.126661913391516</v>
      </c>
      <c r="CC67" s="111">
        <f t="shared" si="83"/>
        <v>64.523750000000021</v>
      </c>
      <c r="CD67" s="110">
        <f>AVERAGE(BZ67:CC67)</f>
        <v>63.930557845352325</v>
      </c>
      <c r="CE67" s="47"/>
      <c r="CF67" s="47"/>
      <c r="CG67" s="511" t="s">
        <v>805</v>
      </c>
      <c r="CH67" s="511"/>
      <c r="CS67" s="511" t="s">
        <v>805</v>
      </c>
      <c r="CT67" s="511"/>
    </row>
    <row r="68" spans="1:105" ht="12.75" customHeight="1">
      <c r="A68" s="56"/>
      <c r="B68" s="47" t="s">
        <v>2457</v>
      </c>
      <c r="C68" s="155">
        <v>25.89</v>
      </c>
      <c r="D68" s="155">
        <v>26.14</v>
      </c>
      <c r="E68" s="155">
        <v>31.06</v>
      </c>
      <c r="F68" s="155">
        <v>41.49</v>
      </c>
      <c r="G68" s="155">
        <v>56.58</v>
      </c>
      <c r="H68" s="109">
        <v>63.29</v>
      </c>
      <c r="I68" s="109">
        <v>70.459999999999994</v>
      </c>
      <c r="J68" s="109">
        <v>70.44</v>
      </c>
      <c r="K68" s="109">
        <v>59.9</v>
      </c>
      <c r="L68" s="110">
        <v>66.02</v>
      </c>
      <c r="M68" s="109">
        <v>58.05</v>
      </c>
      <c r="N68" s="109">
        <v>64.89</v>
      </c>
      <c r="O68" s="109">
        <v>75.239999999999995</v>
      </c>
      <c r="P68" s="109">
        <v>90.47</v>
      </c>
      <c r="Q68" s="110">
        <v>72.2</v>
      </c>
      <c r="R68" s="109">
        <v>97.86</v>
      </c>
      <c r="S68" s="109">
        <v>123.81</v>
      </c>
      <c r="T68" s="109">
        <v>118.07</v>
      </c>
      <c r="U68" s="109">
        <v>59.13</v>
      </c>
      <c r="V68" s="110">
        <v>100.06</v>
      </c>
      <c r="W68" s="109">
        <v>43.2</v>
      </c>
      <c r="X68" s="109">
        <v>59.71</v>
      </c>
      <c r="Y68" s="109">
        <v>68.12</v>
      </c>
      <c r="Z68" s="109">
        <v>75.97</v>
      </c>
      <c r="AA68" s="110">
        <v>61.92</v>
      </c>
      <c r="AB68" s="109">
        <v>78.84</v>
      </c>
      <c r="AC68" s="109">
        <v>77.81</v>
      </c>
      <c r="AD68" s="109">
        <v>76.05</v>
      </c>
      <c r="AE68" s="109">
        <v>85.13</v>
      </c>
      <c r="AF68" s="110">
        <v>79.45</v>
      </c>
      <c r="AG68" s="109">
        <f t="shared" si="74"/>
        <v>94.49</v>
      </c>
      <c r="AH68" s="109">
        <f t="shared" si="74"/>
        <v>102.22</v>
      </c>
      <c r="AI68" s="109">
        <f t="shared" si="74"/>
        <v>89.48</v>
      </c>
      <c r="AJ68" s="109">
        <f>+AJ13</f>
        <v>94.02</v>
      </c>
      <c r="AK68" s="110">
        <f>AVERAGE(AG68:AJ68)</f>
        <v>95.052499999999995</v>
      </c>
      <c r="AL68" s="109">
        <f t="shared" si="75"/>
        <v>103.1</v>
      </c>
      <c r="AM68" s="109">
        <f t="shared" si="75"/>
        <v>93.3</v>
      </c>
      <c r="AN68" s="109">
        <f t="shared" si="75"/>
        <v>92.1</v>
      </c>
      <c r="AO68" s="109">
        <f>+AO13</f>
        <v>88.15</v>
      </c>
      <c r="AP68" s="403">
        <f>AVERAGE(AL68:AO68)</f>
        <v>94.162499999999994</v>
      </c>
      <c r="AQ68" s="109">
        <f t="shared" si="76"/>
        <v>94.29</v>
      </c>
      <c r="AR68" s="109">
        <f t="shared" si="76"/>
        <v>94.07</v>
      </c>
      <c r="AS68" s="109">
        <f t="shared" si="76"/>
        <v>105.79</v>
      </c>
      <c r="AT68" s="109">
        <f>+AT13</f>
        <v>97.59</v>
      </c>
      <c r="AU68" s="403">
        <f>AVERAGE(AQ68:AT68)</f>
        <v>97.935000000000002</v>
      </c>
      <c r="AV68" s="109">
        <f t="shared" si="77"/>
        <v>98.69</v>
      </c>
      <c r="AW68" s="109">
        <f t="shared" si="77"/>
        <v>103.05</v>
      </c>
      <c r="AX68" s="554">
        <f t="shared" si="77"/>
        <v>97.56</v>
      </c>
      <c r="AY68" s="554">
        <f>+AY13</f>
        <v>73.62</v>
      </c>
      <c r="AZ68" s="403">
        <f>AVERAGE(AV68:AY68)</f>
        <v>93.23</v>
      </c>
      <c r="BA68" s="554">
        <f t="shared" si="78"/>
        <v>48.49</v>
      </c>
      <c r="BB68" s="554">
        <f t="shared" si="78"/>
        <v>57.85</v>
      </c>
      <c r="BC68" s="554">
        <f t="shared" si="78"/>
        <v>46.45</v>
      </c>
      <c r="BD68" s="554">
        <f t="shared" si="78"/>
        <v>42.07</v>
      </c>
      <c r="BE68" s="403">
        <f>AVERAGE(BA68:BD68)</f>
        <v>48.715000000000003</v>
      </c>
      <c r="BF68" s="554">
        <f t="shared" si="79"/>
        <v>33.450000000000003</v>
      </c>
      <c r="BG68" s="554">
        <f t="shared" si="79"/>
        <v>45.53</v>
      </c>
      <c r="BH68" s="554">
        <f t="shared" si="79"/>
        <v>44.88</v>
      </c>
      <c r="BI68" s="554">
        <f t="shared" ref="BI68" si="84">+BI13</f>
        <v>49.23</v>
      </c>
      <c r="BJ68" s="110">
        <f>AVERAGE(BF68:BI68)</f>
        <v>43.272500000000001</v>
      </c>
      <c r="BK68" s="554">
        <f t="shared" ref="BK68:BL68" si="85">+BK13</f>
        <v>51.7</v>
      </c>
      <c r="BL68" s="554">
        <f t="shared" si="85"/>
        <v>48.11</v>
      </c>
      <c r="BM68" s="554">
        <f t="shared" ref="BM68:BN68" si="86">+BM13</f>
        <v>48.18</v>
      </c>
      <c r="BN68" s="554">
        <f t="shared" si="86"/>
        <v>55.23</v>
      </c>
      <c r="BO68" s="110">
        <f>AVERAGE(BK68:BN68)</f>
        <v>50.805</v>
      </c>
      <c r="BP68" s="752">
        <v>62.910000000000004</v>
      </c>
      <c r="BQ68" s="752">
        <v>63.19</v>
      </c>
      <c r="BR68" s="752">
        <v>62.08</v>
      </c>
      <c r="BS68" s="752">
        <v>60.75</v>
      </c>
      <c r="BT68" s="753">
        <f>AVERAGE(BP68:BS68)</f>
        <v>62.232500000000002</v>
      </c>
      <c r="BU68" s="752">
        <v>58</v>
      </c>
      <c r="BV68" s="752">
        <v>58</v>
      </c>
      <c r="BW68" s="752">
        <v>58</v>
      </c>
      <c r="BX68" s="752">
        <v>58</v>
      </c>
      <c r="BY68" s="753">
        <f>AVERAGE(BU68:BX68)</f>
        <v>58</v>
      </c>
      <c r="BZ68" s="111">
        <f>BX68*(1+2.5%)^(1/4)</f>
        <v>58.359150286886894</v>
      </c>
      <c r="CA68" s="111">
        <f t="shared" si="83"/>
        <v>58.720524520818117</v>
      </c>
      <c r="CB68" s="111">
        <f t="shared" si="83"/>
        <v>59.084136473021573</v>
      </c>
      <c r="CC68" s="111">
        <f t="shared" si="83"/>
        <v>59.450000000000024</v>
      </c>
      <c r="CD68" s="110">
        <f>AVERAGE(BZ68:CC68)</f>
        <v>58.903452820181649</v>
      </c>
      <c r="CE68" s="47"/>
      <c r="CF68" s="47"/>
      <c r="CG68" s="183" t="s">
        <v>770</v>
      </c>
      <c r="CH68" s="186">
        <v>0.98739230275406664</v>
      </c>
      <c r="CS68" s="183" t="s">
        <v>770</v>
      </c>
      <c r="CT68" s="186">
        <v>0.82759942717933332</v>
      </c>
    </row>
    <row r="69" spans="1:105" ht="12.75" customHeight="1">
      <c r="A69" s="56"/>
      <c r="B69" s="121" t="s">
        <v>1679</v>
      </c>
      <c r="C69" s="182"/>
      <c r="D69" s="182"/>
      <c r="E69" s="182"/>
      <c r="F69" s="110">
        <f t="shared" ref="F69:AR69" si="87">F$17</f>
        <v>20.61</v>
      </c>
      <c r="G69" s="110">
        <f t="shared" si="87"/>
        <v>28.77</v>
      </c>
      <c r="H69" s="109">
        <f t="shared" si="87"/>
        <v>35.270000000000003</v>
      </c>
      <c r="I69" s="109">
        <f t="shared" si="87"/>
        <v>36.18</v>
      </c>
      <c r="J69" s="109">
        <f t="shared" si="87"/>
        <v>39.83</v>
      </c>
      <c r="K69" s="109">
        <f t="shared" si="87"/>
        <v>26.33</v>
      </c>
      <c r="L69" s="110">
        <f t="shared" si="87"/>
        <v>34.39</v>
      </c>
      <c r="M69" s="109">
        <f t="shared" si="87"/>
        <v>27.33</v>
      </c>
      <c r="N69" s="109">
        <f t="shared" si="87"/>
        <v>39.56</v>
      </c>
      <c r="O69" s="109">
        <f t="shared" si="87"/>
        <v>41.95</v>
      </c>
      <c r="P69" s="109">
        <f t="shared" si="87"/>
        <v>48.98</v>
      </c>
      <c r="Q69" s="110">
        <f t="shared" si="87"/>
        <v>39.81</v>
      </c>
      <c r="R69" s="109">
        <f t="shared" si="87"/>
        <v>46.86</v>
      </c>
      <c r="S69" s="109">
        <f t="shared" si="87"/>
        <v>63.15</v>
      </c>
      <c r="T69" s="109">
        <f t="shared" si="87"/>
        <v>52.94</v>
      </c>
      <c r="U69" s="109">
        <f t="shared" si="87"/>
        <v>20.010000000000002</v>
      </c>
      <c r="V69" s="110">
        <f t="shared" si="87"/>
        <v>45.59</v>
      </c>
      <c r="W69" s="109">
        <f t="shared" si="87"/>
        <v>19.52</v>
      </c>
      <c r="X69" s="109">
        <f t="shared" si="87"/>
        <v>32.630000000000003</v>
      </c>
      <c r="Y69" s="109">
        <f t="shared" si="87"/>
        <v>35.549999999999997</v>
      </c>
      <c r="Z69" s="109">
        <f t="shared" si="87"/>
        <v>35.83</v>
      </c>
      <c r="AA69" s="110">
        <f t="shared" si="87"/>
        <v>31.32</v>
      </c>
      <c r="AB69" s="109">
        <f t="shared" si="87"/>
        <v>35.520000000000003</v>
      </c>
      <c r="AC69" s="109">
        <f t="shared" si="87"/>
        <v>35.61</v>
      </c>
      <c r="AD69" s="109">
        <f t="shared" si="87"/>
        <v>35.94</v>
      </c>
      <c r="AE69" s="109">
        <f t="shared" si="87"/>
        <v>40.619999999999997</v>
      </c>
      <c r="AF69" s="110">
        <f t="shared" si="87"/>
        <v>36.96</v>
      </c>
      <c r="AG69" s="109">
        <f t="shared" si="87"/>
        <v>49.18</v>
      </c>
      <c r="AH69" s="109">
        <f t="shared" si="87"/>
        <v>50.26</v>
      </c>
      <c r="AI69" s="109">
        <f t="shared" si="87"/>
        <v>49.12</v>
      </c>
      <c r="AJ69" s="109">
        <f t="shared" si="87"/>
        <v>49.69</v>
      </c>
      <c r="AK69" s="110">
        <f t="shared" si="87"/>
        <v>49.5625</v>
      </c>
      <c r="AL69" s="109">
        <f t="shared" si="87"/>
        <v>58.2</v>
      </c>
      <c r="AM69" s="109">
        <f t="shared" si="87"/>
        <v>48.22</v>
      </c>
      <c r="AN69" s="109">
        <f t="shared" si="87"/>
        <v>55.24</v>
      </c>
      <c r="AO69" s="109">
        <f t="shared" si="87"/>
        <v>54.03</v>
      </c>
      <c r="AP69" s="110">
        <f t="shared" si="87"/>
        <v>53.922499999999999</v>
      </c>
      <c r="AQ69" s="109">
        <f t="shared" si="87"/>
        <v>55.24</v>
      </c>
      <c r="AR69" s="109">
        <f t="shared" si="87"/>
        <v>51.28</v>
      </c>
      <c r="AS69" s="109">
        <f>AS$17</f>
        <v>57.11</v>
      </c>
      <c r="AT69" s="109">
        <f>AT$17</f>
        <v>55.95</v>
      </c>
      <c r="AU69" s="403">
        <f>AVERAGE(AQ69:AT69)</f>
        <v>54.894999999999996</v>
      </c>
      <c r="AV69" s="109">
        <f>AV$17</f>
        <v>54.55</v>
      </c>
      <c r="AW69" s="109">
        <f>AW$17</f>
        <v>57.51</v>
      </c>
      <c r="AX69" s="554">
        <f>AX$17</f>
        <v>51.42</v>
      </c>
      <c r="AY69" s="554">
        <f>AY$17</f>
        <v>38.79</v>
      </c>
      <c r="AZ69" s="403">
        <f>AVERAGE(AV69:AY69)</f>
        <v>50.567500000000003</v>
      </c>
      <c r="BA69" s="402">
        <f t="shared" ref="BA69:BM69" ca="1" si="88">BA67*$CM$10+$CM$11</f>
        <v>27.29736072862314</v>
      </c>
      <c r="BB69" s="402">
        <f t="shared" ca="1" si="88"/>
        <v>31.025322719298448</v>
      </c>
      <c r="BC69" s="402">
        <f t="shared" ca="1" si="88"/>
        <v>25.668138045040859</v>
      </c>
      <c r="BD69" s="402">
        <f t="shared" ca="1" si="88"/>
        <v>22.517681501283768</v>
      </c>
      <c r="BE69" s="403">
        <f ca="1">AVERAGE(BA69:BD69)</f>
        <v>26.627125748561554</v>
      </c>
      <c r="BF69" s="402">
        <f t="shared" ca="1" si="88"/>
        <v>17.907028258408268</v>
      </c>
      <c r="BG69" s="402">
        <f t="shared" ca="1" si="88"/>
        <v>23.376896922308433</v>
      </c>
      <c r="BH69" s="402">
        <f t="shared" ca="1" si="88"/>
        <v>23.503666410656333</v>
      </c>
      <c r="BI69" s="402">
        <f t="shared" ref="BI69" ca="1" si="89">BI67*$CM$10+$CM$11</f>
        <v>25.132889094238614</v>
      </c>
      <c r="BJ69" s="403">
        <f ca="1">AVERAGE(BF69:BI69)</f>
        <v>22.480120171402909</v>
      </c>
      <c r="BK69" s="402">
        <f t="shared" ca="1" si="88"/>
        <v>27.179981572745454</v>
      </c>
      <c r="BL69" s="402">
        <f t="shared" ca="1" si="88"/>
        <v>25.278439247526943</v>
      </c>
      <c r="BM69" s="402">
        <f t="shared" ca="1" si="88"/>
        <v>26.424059808893158</v>
      </c>
      <c r="BN69" s="402">
        <f t="shared" ref="BN69" ca="1" si="90">BN67*$CM$10+$CM$11</f>
        <v>30.734222412721785</v>
      </c>
      <c r="BO69" s="403">
        <f ca="1">AVERAGE(BK69:BN69)</f>
        <v>27.404175760471837</v>
      </c>
      <c r="BP69" s="402">
        <f t="shared" ref="BP69:CC69" ca="1" si="91">BP67*$CM$10+$CM$11</f>
        <v>33.396381668027708</v>
      </c>
      <c r="BQ69" s="402">
        <f t="shared" ca="1" si="91"/>
        <v>33.687481974604367</v>
      </c>
      <c r="BR69" s="402">
        <f t="shared" ca="1" si="91"/>
        <v>33.09589102898083</v>
      </c>
      <c r="BS69" s="402">
        <f t="shared" ca="1" si="91"/>
        <v>32.602898574294542</v>
      </c>
      <c r="BT69" s="403">
        <f ca="1">AVERAGE(BP69:BS69)</f>
        <v>33.195663311476864</v>
      </c>
      <c r="BU69" s="402">
        <f ca="1">BU67*$CM$10+$CM$11</f>
        <v>31.527705506454943</v>
      </c>
      <c r="BV69" s="402">
        <f ca="1">BV67*$CM$10+$CM$11</f>
        <v>31.527705506454943</v>
      </c>
      <c r="BW69" s="402">
        <f ca="1">BW67*$CM$10+$CM$11</f>
        <v>31.527705506454943</v>
      </c>
      <c r="BX69" s="402">
        <f ca="1">BX67*$CM$10+$CM$11</f>
        <v>31.527705506454943</v>
      </c>
      <c r="BY69" s="403">
        <f ca="1">AVERAGE(BU69:BX69)</f>
        <v>31.527705506454943</v>
      </c>
      <c r="BZ69" s="402">
        <f t="shared" ca="1" si="91"/>
        <v>31.710723981291451</v>
      </c>
      <c r="CA69" s="402">
        <f t="shared" ca="1" si="91"/>
        <v>31.894875751606289</v>
      </c>
      <c r="CB69" s="402">
        <f t="shared" ca="1" si="91"/>
        <v>32.080167835044222</v>
      </c>
      <c r="CC69" s="402">
        <f t="shared" ca="1" si="91"/>
        <v>32.26660729270499</v>
      </c>
      <c r="CD69" s="403">
        <f ca="1">AVERAGE(BZ69:CC69)</f>
        <v>31.988093715161739</v>
      </c>
      <c r="CE69" s="47"/>
      <c r="CF69" s="47"/>
      <c r="CG69" s="183" t="s">
        <v>771</v>
      </c>
      <c r="CH69" s="186">
        <v>0.9749435595379784</v>
      </c>
      <c r="CS69" s="183" t="s">
        <v>771</v>
      </c>
      <c r="CT69" s="186">
        <v>0.68492081186756071</v>
      </c>
    </row>
    <row r="70" spans="1:105" ht="12.75" customHeight="1">
      <c r="A70" s="56"/>
      <c r="B70" s="47" t="s">
        <v>2458</v>
      </c>
      <c r="C70" s="110">
        <v>4.26</v>
      </c>
      <c r="D70" s="110">
        <v>3.22</v>
      </c>
      <c r="E70" s="110">
        <v>5.37</v>
      </c>
      <c r="F70" s="110">
        <v>6.13</v>
      </c>
      <c r="G70" s="110">
        <v>8.65</v>
      </c>
      <c r="H70" s="109">
        <v>9.01</v>
      </c>
      <c r="I70" s="109">
        <v>6.8</v>
      </c>
      <c r="J70" s="109">
        <v>6.58</v>
      </c>
      <c r="K70" s="109">
        <v>6.56</v>
      </c>
      <c r="L70" s="110">
        <v>7.24</v>
      </c>
      <c r="M70" s="109">
        <v>6.77</v>
      </c>
      <c r="N70" s="109">
        <v>7.55</v>
      </c>
      <c r="O70" s="109">
        <v>6.16</v>
      </c>
      <c r="P70" s="109">
        <v>6.97</v>
      </c>
      <c r="Q70" s="110">
        <v>6.86</v>
      </c>
      <c r="R70" s="109">
        <v>8.0299999999999994</v>
      </c>
      <c r="S70" s="109">
        <v>10.94</v>
      </c>
      <c r="T70" s="109">
        <v>10.25</v>
      </c>
      <c r="U70" s="109">
        <v>6.95</v>
      </c>
      <c r="V70" s="110">
        <v>9.0399999999999991</v>
      </c>
      <c r="W70" s="109">
        <v>4.91</v>
      </c>
      <c r="X70" s="109">
        <v>3.51</v>
      </c>
      <c r="Y70" s="109">
        <v>3.39</v>
      </c>
      <c r="Z70" s="109">
        <v>4.16</v>
      </c>
      <c r="AA70" s="110">
        <v>3.99</v>
      </c>
      <c r="AB70" s="109">
        <v>5.3</v>
      </c>
      <c r="AC70" s="109">
        <v>4.09</v>
      </c>
      <c r="AD70" s="109">
        <v>4.38</v>
      </c>
      <c r="AE70" s="109">
        <v>3.8</v>
      </c>
      <c r="AF70" s="110">
        <v>4.3899999999999997</v>
      </c>
      <c r="AG70" s="109">
        <f>+AG19</f>
        <v>4.1100000000000003</v>
      </c>
      <c r="AH70" s="109">
        <f>+AH19</f>
        <v>4.32</v>
      </c>
      <c r="AI70" s="109">
        <f>+AI19</f>
        <v>4.2</v>
      </c>
      <c r="AJ70" s="109">
        <f>+AJ19</f>
        <v>3.54</v>
      </c>
      <c r="AK70" s="110">
        <f>AVERAGE(AG70:AJ70)</f>
        <v>4.0424999999999995</v>
      </c>
      <c r="AL70" s="109">
        <f>+AL19</f>
        <v>2.72</v>
      </c>
      <c r="AM70" s="109">
        <f>+AM19</f>
        <v>2.21</v>
      </c>
      <c r="AN70" s="109">
        <f>+AN19</f>
        <v>2.8</v>
      </c>
      <c r="AO70" s="109">
        <f>+AO19</f>
        <v>3.41</v>
      </c>
      <c r="AP70" s="403">
        <f>AVERAGE(AL70:AO70)</f>
        <v>2.7850000000000001</v>
      </c>
      <c r="AQ70" s="109">
        <f>+AQ19</f>
        <v>3.34</v>
      </c>
      <c r="AR70" s="109">
        <f>+AR19</f>
        <v>4.0999999999999996</v>
      </c>
      <c r="AS70" s="109">
        <f>+AS19</f>
        <v>3.58</v>
      </c>
      <c r="AT70" s="109">
        <f>+AT19</f>
        <v>3.6</v>
      </c>
      <c r="AU70" s="403">
        <f>AVERAGE(AQ70:AT70)</f>
        <v>3.6549999999999998</v>
      </c>
      <c r="AV70" s="109">
        <f>+AV19</f>
        <v>4.95</v>
      </c>
      <c r="AW70" s="109">
        <f>+AW19</f>
        <v>4.68</v>
      </c>
      <c r="AX70" s="554">
        <f>+AX19</f>
        <v>4.07</v>
      </c>
      <c r="AY70" s="554">
        <f>+AY19</f>
        <v>4.04</v>
      </c>
      <c r="AZ70" s="403">
        <f>AVERAGE(AV70:AY70)</f>
        <v>4.4349999999999996</v>
      </c>
      <c r="BA70" s="554">
        <f>+BA19</f>
        <v>2.99</v>
      </c>
      <c r="BB70" s="554">
        <f>+BB19</f>
        <v>2.65</v>
      </c>
      <c r="BC70" s="554">
        <f>+BC19</f>
        <v>2.77</v>
      </c>
      <c r="BD70" s="554">
        <f>+BD19</f>
        <v>2.27</v>
      </c>
      <c r="BE70" s="403">
        <f>AVERAGE(BA70:BD70)</f>
        <v>2.67</v>
      </c>
      <c r="BF70" s="554">
        <f>+BF19</f>
        <v>2.09</v>
      </c>
      <c r="BG70" s="554">
        <f>+BG19</f>
        <v>1.95</v>
      </c>
      <c r="BH70" s="554">
        <f>+BH19</f>
        <v>2.81</v>
      </c>
      <c r="BI70" s="554">
        <f>+BI19</f>
        <v>2.98</v>
      </c>
      <c r="BJ70" s="110">
        <f>AVERAGE(BF70:BI70)</f>
        <v>2.4575</v>
      </c>
      <c r="BK70" s="554">
        <f>+BK19</f>
        <v>3.32</v>
      </c>
      <c r="BL70" s="554">
        <f>+BL19</f>
        <v>3.19</v>
      </c>
      <c r="BM70" s="554">
        <f>+BM19</f>
        <v>2.99</v>
      </c>
      <c r="BN70" s="554">
        <f>+BN19</f>
        <v>2.93</v>
      </c>
      <c r="BO70" s="110">
        <f>AVERAGE(BK70:BN70)</f>
        <v>3.1074999999999999</v>
      </c>
      <c r="BP70" s="752">
        <v>2.96</v>
      </c>
      <c r="BQ70" s="752">
        <v>2.77</v>
      </c>
      <c r="BR70" s="752">
        <v>2.84</v>
      </c>
      <c r="BS70" s="752">
        <v>3</v>
      </c>
      <c r="BT70" s="753">
        <f>AVERAGE(BP70:BS70)</f>
        <v>2.8925000000000001</v>
      </c>
      <c r="BU70" s="752">
        <v>2.79</v>
      </c>
      <c r="BV70" s="752">
        <v>2.79</v>
      </c>
      <c r="BW70" s="752">
        <v>2.79</v>
      </c>
      <c r="BX70" s="752">
        <v>2.79</v>
      </c>
      <c r="BY70" s="753">
        <f>AVERAGE(BU70:BX70)</f>
        <v>2.79</v>
      </c>
      <c r="BZ70" s="111">
        <f>BX70*(1+2.5%)^(1/4)</f>
        <v>2.8072763672485248</v>
      </c>
      <c r="CA70" s="111">
        <f t="shared" ref="CA70:CC71" si="92">BZ70*(1+2.5%)^(1/4)</f>
        <v>2.8246597140186647</v>
      </c>
      <c r="CB70" s="111">
        <f t="shared" si="92"/>
        <v>2.842150702753969</v>
      </c>
      <c r="CC70" s="111">
        <f t="shared" si="92"/>
        <v>2.8597500000000013</v>
      </c>
      <c r="CD70" s="110">
        <f>AVERAGE(BZ70:CC70)</f>
        <v>2.8334591960052902</v>
      </c>
      <c r="CE70" s="47"/>
      <c r="CF70" s="47"/>
      <c r="CG70" s="183" t="s">
        <v>772</v>
      </c>
      <c r="CH70" s="186">
        <v>0.97382993996188849</v>
      </c>
      <c r="CS70" s="183" t="s">
        <v>772</v>
      </c>
      <c r="CT70" s="186">
        <v>0.67091729239500775</v>
      </c>
    </row>
    <row r="71" spans="1:105" ht="12.75" customHeight="1">
      <c r="A71" s="56"/>
      <c r="B71" s="121" t="s">
        <v>3101</v>
      </c>
      <c r="C71" s="259"/>
      <c r="D71" s="259"/>
      <c r="E71" s="293">
        <v>20.28</v>
      </c>
      <c r="F71" s="110">
        <v>24.39</v>
      </c>
      <c r="G71" s="110">
        <v>40.71</v>
      </c>
      <c r="H71" s="109">
        <v>70</v>
      </c>
      <c r="I71" s="109">
        <v>34.549999999999997</v>
      </c>
      <c r="J71" s="109">
        <v>33.72</v>
      </c>
      <c r="K71" s="109">
        <v>29.92</v>
      </c>
      <c r="L71" s="110">
        <v>42.19</v>
      </c>
      <c r="M71" s="109">
        <v>22.33</v>
      </c>
      <c r="N71" s="109">
        <v>20.239999999999998</v>
      </c>
      <c r="O71" s="109">
        <v>30.58</v>
      </c>
      <c r="P71" s="109">
        <v>46.7</v>
      </c>
      <c r="Q71" s="110">
        <v>29.95</v>
      </c>
      <c r="R71" s="109">
        <v>52.94</v>
      </c>
      <c r="S71" s="109">
        <v>60.72</v>
      </c>
      <c r="T71" s="109">
        <v>61.48</v>
      </c>
      <c r="U71" s="109">
        <v>57.16</v>
      </c>
      <c r="V71" s="110">
        <v>58.12</v>
      </c>
      <c r="W71" s="109">
        <v>46.8</v>
      </c>
      <c r="X71" s="109">
        <v>27.51</v>
      </c>
      <c r="Y71" s="109">
        <v>21.57</v>
      </c>
      <c r="Z71" s="109">
        <v>27.75</v>
      </c>
      <c r="AA71" s="110">
        <v>30.85</v>
      </c>
      <c r="AB71" s="109">
        <v>35.65</v>
      </c>
      <c r="AC71" s="109">
        <v>38.26</v>
      </c>
      <c r="AD71" s="109">
        <v>43.14</v>
      </c>
      <c r="AE71" s="109">
        <v>52.43</v>
      </c>
      <c r="AF71" s="110">
        <v>42.45</v>
      </c>
      <c r="AG71" s="109">
        <v>56.94</v>
      </c>
      <c r="AH71" s="109">
        <v>57.47</v>
      </c>
      <c r="AI71" s="109">
        <v>54.28</v>
      </c>
      <c r="AJ71" s="109">
        <v>56.75</v>
      </c>
      <c r="AK71" s="110">
        <f>AVERAGE(AG71:AJ71)</f>
        <v>56.36</v>
      </c>
      <c r="AL71" s="109">
        <v>59.38</v>
      </c>
      <c r="AM71" s="109">
        <v>57.38</v>
      </c>
      <c r="AN71" s="109">
        <v>56.79</v>
      </c>
      <c r="AO71" s="109">
        <v>66.09</v>
      </c>
      <c r="AP71" s="403">
        <f>AVERAGE(AL71:AO71)</f>
        <v>59.910000000000004</v>
      </c>
      <c r="AQ71" s="109">
        <v>59.09</v>
      </c>
      <c r="AR71" s="109">
        <v>67.53</v>
      </c>
      <c r="AS71" s="109">
        <f>AS20</f>
        <v>65.209999999999994</v>
      </c>
      <c r="AT71" s="109">
        <f>AT20</f>
        <v>67.48</v>
      </c>
      <c r="AU71" s="403">
        <f>AVERAGE(AQ71:AT71)</f>
        <v>64.827500000000001</v>
      </c>
      <c r="AV71" s="109">
        <f>AV20</f>
        <v>60.28</v>
      </c>
      <c r="AW71" s="109">
        <f>AW20</f>
        <v>44.81</v>
      </c>
      <c r="AX71" s="554">
        <f>AX20</f>
        <v>42.17</v>
      </c>
      <c r="AY71" s="554">
        <f>AY20</f>
        <v>52.83</v>
      </c>
      <c r="AZ71" s="403">
        <f>AVERAGE(AV71:AY71)</f>
        <v>50.022499999999994</v>
      </c>
      <c r="BA71" s="554">
        <f>BA20</f>
        <v>47.9</v>
      </c>
      <c r="BB71" s="554">
        <f>BB20</f>
        <v>44.63</v>
      </c>
      <c r="BC71" s="554">
        <f>BC20</f>
        <v>41.48</v>
      </c>
      <c r="BD71" s="554">
        <f>BD20</f>
        <v>36.64</v>
      </c>
      <c r="BE71" s="403">
        <f>AVERAGE(BA71:BD71)</f>
        <v>42.662499999999994</v>
      </c>
      <c r="BF71" s="554">
        <f>BF20</f>
        <v>30.42</v>
      </c>
      <c r="BG71" s="554">
        <f>BG20</f>
        <v>31.37</v>
      </c>
      <c r="BH71" s="554">
        <f>BH20</f>
        <v>31</v>
      </c>
      <c r="BI71" s="554">
        <f>BI20</f>
        <v>45.76</v>
      </c>
      <c r="BJ71" s="110">
        <f>AVERAGE(BF71:BI71)</f>
        <v>34.637500000000003</v>
      </c>
      <c r="BK71" s="554">
        <f>BK20</f>
        <v>48.19</v>
      </c>
      <c r="BL71" s="554">
        <f>BL20</f>
        <v>37.83</v>
      </c>
      <c r="BM71" s="554">
        <f>BM20</f>
        <v>41.59</v>
      </c>
      <c r="BN71" s="554">
        <f>BN20</f>
        <v>51.94</v>
      </c>
      <c r="BO71" s="110">
        <f>AVERAGE(BK71:BN71)</f>
        <v>44.887500000000003</v>
      </c>
      <c r="BP71" s="752">
        <v>51.030999999999999</v>
      </c>
      <c r="BQ71" s="752">
        <v>45.31</v>
      </c>
      <c r="BR71" s="752">
        <v>46.11</v>
      </c>
      <c r="BS71" s="752">
        <v>54.1</v>
      </c>
      <c r="BT71" s="753">
        <f>AVERAGE(BP71:BS71)</f>
        <v>49.137750000000004</v>
      </c>
      <c r="BU71" s="752">
        <v>49.12</v>
      </c>
      <c r="BV71" s="752">
        <v>49.12</v>
      </c>
      <c r="BW71" s="752">
        <v>49.12</v>
      </c>
      <c r="BX71" s="752">
        <v>49.12</v>
      </c>
      <c r="BY71" s="753">
        <f>AVERAGE(BU71:BX71)</f>
        <v>49.12</v>
      </c>
      <c r="BZ71" s="111">
        <f>BX71*(1+2.5%)^(1/4)</f>
        <v>49.424163139515244</v>
      </c>
      <c r="CA71" s="111">
        <f t="shared" si="92"/>
        <v>49.730209732113543</v>
      </c>
      <c r="CB71" s="111">
        <f t="shared" si="92"/>
        <v>50.038151440600338</v>
      </c>
      <c r="CC71" s="111">
        <f t="shared" si="92"/>
        <v>50.34800000000002</v>
      </c>
      <c r="CD71" s="110">
        <f>AVERAGE(BZ71:CC71)</f>
        <v>49.885131078057285</v>
      </c>
      <c r="CE71" s="47"/>
      <c r="CF71" s="47"/>
      <c r="CG71" s="183" t="s">
        <v>773</v>
      </c>
      <c r="CH71" s="183">
        <v>3.6827049286741409</v>
      </c>
      <c r="CS71" s="183" t="s">
        <v>773</v>
      </c>
      <c r="CT71" s="183">
        <v>1.0795358873913887</v>
      </c>
    </row>
    <row r="72" spans="1:105" ht="12.75" customHeight="1" thickBot="1">
      <c r="A72" s="39"/>
      <c r="B72" s="47"/>
      <c r="C72" s="88"/>
      <c r="D72" s="340"/>
      <c r="E72" s="340"/>
      <c r="F72" s="340"/>
      <c r="G72" s="340"/>
      <c r="H72" s="340"/>
      <c r="I72" s="340"/>
      <c r="J72" s="340"/>
      <c r="K72" s="340"/>
      <c r="L72" s="340"/>
      <c r="M72" s="340"/>
      <c r="N72" s="340"/>
      <c r="O72" s="340"/>
      <c r="P72" s="340"/>
      <c r="Q72" s="340"/>
      <c r="R72" s="340"/>
      <c r="S72" s="340"/>
      <c r="T72" s="340"/>
      <c r="U72" s="340"/>
      <c r="V72" s="340"/>
      <c r="W72" s="340"/>
      <c r="X72" s="340"/>
      <c r="Y72" s="340"/>
      <c r="Z72" s="340"/>
      <c r="AA72" s="340"/>
      <c r="AB72" s="340"/>
      <c r="AC72" s="340"/>
      <c r="AD72" s="340"/>
      <c r="AE72" s="340"/>
      <c r="AF72" s="340"/>
      <c r="AG72" s="88"/>
      <c r="AH72" s="88"/>
      <c r="AI72" s="88"/>
      <c r="AJ72" s="88"/>
      <c r="AK72" s="88"/>
      <c r="AL72" s="88"/>
      <c r="AM72" s="88"/>
      <c r="AN72" s="88"/>
      <c r="AO72" s="88"/>
      <c r="AP72" s="88"/>
      <c r="AQ72" s="88"/>
      <c r="AR72" s="88"/>
      <c r="AS72" s="88"/>
      <c r="AT72" s="88"/>
      <c r="AU72" s="88"/>
      <c r="AV72" s="88"/>
      <c r="AW72" s="88"/>
      <c r="AX72" s="88"/>
      <c r="AY72" s="88"/>
      <c r="AZ72" s="88"/>
      <c r="BA72" s="88"/>
      <c r="BB72" s="88"/>
      <c r="BC72" s="88"/>
      <c r="BD72" s="88"/>
      <c r="BE72" s="88"/>
      <c r="BF72" s="88"/>
      <c r="BG72" s="88"/>
      <c r="BH72" s="88"/>
      <c r="BI72" s="88"/>
      <c r="BJ72" s="47"/>
      <c r="BK72" s="88"/>
      <c r="BL72" s="88"/>
      <c r="BM72" s="88"/>
      <c r="BN72" s="88"/>
      <c r="BO72" s="47"/>
      <c r="BP72" s="47"/>
      <c r="BQ72" s="47"/>
      <c r="BR72" s="47"/>
      <c r="BS72" s="47"/>
      <c r="BT72" s="47"/>
      <c r="BU72" s="47"/>
      <c r="BV72" s="47"/>
      <c r="BW72" s="47"/>
      <c r="BX72" s="47"/>
      <c r="BY72" s="47"/>
      <c r="BZ72" s="47"/>
      <c r="CA72" s="47"/>
      <c r="CB72" s="47"/>
      <c r="CC72" s="47"/>
      <c r="CD72" s="47"/>
      <c r="CE72" s="47"/>
      <c r="CF72" s="47"/>
      <c r="CG72" s="184" t="s">
        <v>774</v>
      </c>
      <c r="CH72" s="184">
        <v>48</v>
      </c>
      <c r="CS72" s="184" t="s">
        <v>774</v>
      </c>
      <c r="CT72" s="184">
        <v>48</v>
      </c>
    </row>
    <row r="73" spans="1:105" ht="12.75" customHeight="1">
      <c r="A73" s="7"/>
      <c r="B73" s="121"/>
      <c r="C73" s="88"/>
      <c r="D73" s="88"/>
      <c r="E73" s="88"/>
      <c r="F73" s="88"/>
      <c r="G73" s="88"/>
      <c r="H73" s="88"/>
      <c r="I73" s="88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88"/>
      <c r="W73" s="88"/>
      <c r="X73" s="88"/>
      <c r="Y73" s="88"/>
      <c r="Z73" s="88"/>
      <c r="AA73" s="88"/>
      <c r="AB73" s="88"/>
      <c r="AC73" s="88"/>
      <c r="AD73" s="88"/>
      <c r="AE73" s="88"/>
      <c r="AF73" s="88"/>
      <c r="AG73" s="88"/>
      <c r="AH73" s="88"/>
      <c r="AI73" s="88"/>
      <c r="AJ73" s="88"/>
      <c r="AK73" s="88"/>
      <c r="AL73" s="88"/>
      <c r="AM73" s="88"/>
      <c r="AN73" s="88"/>
      <c r="AO73" s="88"/>
      <c r="AP73" s="88"/>
      <c r="AQ73" s="88"/>
      <c r="AR73" s="88"/>
      <c r="AS73" s="88"/>
      <c r="AT73" s="88"/>
      <c r="AU73" s="88"/>
      <c r="AV73" s="88"/>
      <c r="AW73" s="88"/>
      <c r="AX73" s="88"/>
      <c r="AY73" s="88"/>
      <c r="AZ73" s="88"/>
      <c r="BA73" s="88"/>
      <c r="BB73" s="88"/>
      <c r="BC73" s="88"/>
      <c r="BD73" s="88"/>
      <c r="BE73" s="88"/>
      <c r="BF73" s="88"/>
      <c r="BG73" s="88"/>
      <c r="BH73" s="88"/>
      <c r="BI73" s="88"/>
      <c r="BJ73" s="88"/>
      <c r="BK73" s="88"/>
      <c r="BL73" s="88"/>
      <c r="BM73" s="88"/>
      <c r="BN73" s="88"/>
      <c r="BO73" s="88"/>
      <c r="BP73" s="88"/>
      <c r="BQ73" s="88"/>
      <c r="BR73" s="88"/>
      <c r="BS73" s="88"/>
      <c r="BT73" s="88"/>
      <c r="BU73" s="88"/>
      <c r="BV73" s="88"/>
      <c r="BW73" s="88"/>
      <c r="BX73" s="88"/>
      <c r="BY73" s="88"/>
      <c r="BZ73" s="88"/>
      <c r="CA73" s="88"/>
      <c r="CB73" s="88"/>
      <c r="CC73" s="88"/>
      <c r="CD73" s="88"/>
      <c r="CE73" s="5"/>
      <c r="CF73" s="47"/>
    </row>
    <row r="74" spans="1:105" ht="12.75" customHeight="1" thickBot="1">
      <c r="A74" s="121"/>
      <c r="B74" s="121"/>
      <c r="C74" s="182"/>
      <c r="D74" s="182"/>
      <c r="E74" s="182"/>
      <c r="F74" s="182"/>
      <c r="G74" s="182"/>
      <c r="H74" s="182"/>
      <c r="I74" s="182"/>
      <c r="J74" s="182"/>
      <c r="K74" s="182"/>
      <c r="L74" s="182"/>
      <c r="M74" s="109"/>
      <c r="N74" s="109"/>
      <c r="O74" s="109"/>
      <c r="P74" s="109"/>
      <c r="Q74" s="110"/>
      <c r="R74" s="109"/>
      <c r="S74" s="109"/>
      <c r="T74" s="109"/>
      <c r="U74" s="109"/>
      <c r="V74" s="110"/>
      <c r="W74" s="109"/>
      <c r="X74" s="109"/>
      <c r="Y74" s="109"/>
      <c r="Z74" s="109"/>
      <c r="AA74" s="110"/>
      <c r="AB74" s="109"/>
      <c r="AC74" s="109"/>
      <c r="AD74" s="109"/>
      <c r="AE74" s="109"/>
      <c r="AF74" s="110"/>
      <c r="AG74" s="109"/>
      <c r="AH74" s="109"/>
      <c r="AI74" s="109"/>
      <c r="AJ74" s="109"/>
      <c r="AK74" s="110"/>
      <c r="AL74" s="109"/>
      <c r="AM74" s="109"/>
      <c r="AN74" s="109"/>
      <c r="AO74" s="109"/>
      <c r="AP74" s="403"/>
      <c r="AQ74" s="109"/>
      <c r="AR74" s="109"/>
      <c r="AS74" s="109"/>
      <c r="AT74" s="109"/>
      <c r="AU74" s="403"/>
      <c r="AV74" s="109"/>
      <c r="AW74" s="109"/>
      <c r="AX74" s="109"/>
      <c r="AY74" s="109"/>
      <c r="AZ74" s="403"/>
      <c r="BA74" s="109"/>
      <c r="BB74" s="109"/>
      <c r="BC74" s="109"/>
      <c r="BD74" s="109"/>
      <c r="BE74" s="109"/>
      <c r="BF74" s="109"/>
      <c r="BG74" s="109"/>
      <c r="BH74" s="109"/>
      <c r="BI74" s="109"/>
      <c r="BJ74" s="109"/>
      <c r="BK74" s="109"/>
      <c r="BL74" s="109"/>
      <c r="BM74" s="109"/>
      <c r="BN74" s="109"/>
      <c r="BO74" s="109"/>
      <c r="BP74" s="109"/>
      <c r="BQ74" s="109"/>
      <c r="BR74" s="109"/>
      <c r="BS74" s="109"/>
      <c r="BT74" s="109"/>
      <c r="BU74" s="109"/>
      <c r="BV74" s="109"/>
      <c r="BW74" s="109"/>
      <c r="BX74" s="109"/>
      <c r="BY74" s="109"/>
      <c r="BZ74" s="109"/>
      <c r="CA74" s="109"/>
      <c r="CB74" s="109"/>
      <c r="CC74" s="109"/>
      <c r="CD74" s="109"/>
      <c r="CE74" s="109"/>
      <c r="CF74" s="47"/>
      <c r="CG74" t="s">
        <v>800</v>
      </c>
      <c r="CS74" t="s">
        <v>800</v>
      </c>
    </row>
    <row r="75" spans="1:105" ht="12.75" customHeight="1">
      <c r="A75" s="121"/>
      <c r="B75" s="121"/>
      <c r="C75" s="182"/>
      <c r="D75" s="182"/>
      <c r="E75" s="182"/>
      <c r="F75" s="182"/>
      <c r="G75" s="182"/>
      <c r="H75" s="182"/>
      <c r="I75" s="182"/>
      <c r="J75" s="182"/>
      <c r="K75" s="182"/>
      <c r="L75" s="182"/>
      <c r="M75" s="109"/>
      <c r="N75" s="109"/>
      <c r="O75" s="109"/>
      <c r="P75" s="109"/>
      <c r="Q75" s="110"/>
      <c r="R75" s="109"/>
      <c r="S75" s="109"/>
      <c r="T75" s="109"/>
      <c r="U75" s="109"/>
      <c r="V75" s="110"/>
      <c r="W75" s="109"/>
      <c r="X75" s="109"/>
      <c r="Y75" s="109"/>
      <c r="Z75" s="109"/>
      <c r="AA75" s="110"/>
      <c r="AB75" s="109"/>
      <c r="AC75" s="109"/>
      <c r="AD75" s="109"/>
      <c r="AE75" s="109"/>
      <c r="AF75" s="110"/>
      <c r="AG75" s="109"/>
      <c r="AH75" s="109"/>
      <c r="AI75" s="109"/>
      <c r="AJ75" s="109"/>
      <c r="AK75" s="110"/>
      <c r="AL75" s="109"/>
      <c r="AM75" s="109"/>
      <c r="AN75" s="109"/>
      <c r="AO75" s="109"/>
      <c r="AP75" s="403"/>
      <c r="AQ75" s="109"/>
      <c r="AR75" s="109"/>
      <c r="AS75" s="109"/>
      <c r="AT75" s="109"/>
      <c r="AU75" s="403"/>
      <c r="AV75" s="109"/>
      <c r="AW75" s="109"/>
      <c r="AX75" s="109"/>
      <c r="AY75" s="109"/>
      <c r="AZ75" s="403"/>
      <c r="BA75" s="109"/>
      <c r="BB75" s="109"/>
      <c r="BC75" s="109"/>
      <c r="BD75" s="109"/>
      <c r="BE75" s="109"/>
      <c r="BF75" s="109"/>
      <c r="BG75" s="109"/>
      <c r="BH75" s="109"/>
      <c r="BI75" s="109"/>
      <c r="BJ75" s="109"/>
      <c r="BK75" s="109"/>
      <c r="BL75" s="109"/>
      <c r="BM75" s="109"/>
      <c r="BN75" s="109"/>
      <c r="BO75" s="109"/>
      <c r="BP75" s="109"/>
      <c r="BQ75" s="109"/>
      <c r="BR75" s="109"/>
      <c r="BS75" s="109"/>
      <c r="BT75" s="109"/>
      <c r="BU75" s="109"/>
      <c r="BV75" s="109"/>
      <c r="BW75" s="109"/>
      <c r="BX75" s="109"/>
      <c r="BY75" s="109"/>
      <c r="BZ75" s="109"/>
      <c r="CA75" s="109"/>
      <c r="CB75" s="109"/>
      <c r="CC75" s="109"/>
      <c r="CD75" s="109"/>
      <c r="CE75" s="109"/>
      <c r="CF75" s="47"/>
      <c r="CG75" s="512"/>
      <c r="CH75" s="185" t="s">
        <v>802</v>
      </c>
      <c r="CI75" s="185" t="s">
        <v>801</v>
      </c>
      <c r="CJ75" s="185" t="s">
        <v>1384</v>
      </c>
      <c r="CK75" s="185" t="s">
        <v>803</v>
      </c>
      <c r="CL75" s="185" t="s">
        <v>777</v>
      </c>
      <c r="CM75" s="478"/>
      <c r="CS75" s="512"/>
      <c r="CT75" s="185" t="s">
        <v>802</v>
      </c>
      <c r="CU75" s="185" t="s">
        <v>801</v>
      </c>
      <c r="CV75" s="185" t="s">
        <v>1384</v>
      </c>
      <c r="CW75" s="185" t="s">
        <v>803</v>
      </c>
      <c r="CX75" s="185" t="s">
        <v>777</v>
      </c>
      <c r="CY75" s="478"/>
    </row>
    <row r="76" spans="1:105">
      <c r="A76" s="39"/>
      <c r="B76" s="47"/>
      <c r="C76" s="88"/>
      <c r="D76" s="340"/>
      <c r="E76" s="340"/>
      <c r="F76" s="340"/>
      <c r="G76" s="340"/>
      <c r="H76" s="340"/>
      <c r="I76" s="340"/>
      <c r="J76" s="340"/>
      <c r="K76" s="340"/>
      <c r="L76" s="340"/>
      <c r="M76" s="88"/>
      <c r="N76" s="88"/>
      <c r="O76" s="88"/>
      <c r="P76" s="88"/>
      <c r="Q76" s="340"/>
      <c r="R76" s="88"/>
      <c r="S76" s="88"/>
      <c r="T76" s="88"/>
      <c r="U76" s="88"/>
      <c r="V76" s="340"/>
      <c r="W76" s="88"/>
      <c r="X76" s="88"/>
      <c r="Y76" s="88"/>
      <c r="Z76" s="88"/>
      <c r="AA76" s="340"/>
      <c r="AB76" s="88"/>
      <c r="AC76" s="88"/>
      <c r="AD76" s="88"/>
      <c r="AE76" s="88"/>
      <c r="AF76" s="340"/>
      <c r="AG76" s="88"/>
      <c r="AH76" s="88"/>
      <c r="AI76" s="88"/>
      <c r="AJ76" s="88"/>
      <c r="AK76" s="88"/>
      <c r="AL76" s="88"/>
      <c r="AM76" s="88"/>
      <c r="AN76" s="88"/>
      <c r="AO76" s="88"/>
      <c r="AP76" s="88"/>
      <c r="AQ76" s="88"/>
      <c r="AR76" s="88"/>
      <c r="AS76" s="88"/>
      <c r="AT76" s="88"/>
      <c r="AU76" s="88"/>
      <c r="AV76" s="88"/>
      <c r="AW76" s="88"/>
      <c r="AX76" s="88"/>
      <c r="AY76" s="88"/>
      <c r="AZ76" s="88"/>
      <c r="BA76" s="88"/>
      <c r="BB76" s="88"/>
      <c r="BC76" s="88"/>
      <c r="BD76" s="88"/>
      <c r="BE76" s="88"/>
      <c r="BF76" s="88"/>
      <c r="BG76" s="88"/>
      <c r="BH76" s="88"/>
      <c r="BI76" s="88"/>
      <c r="BJ76" s="47"/>
      <c r="BK76" s="88"/>
      <c r="BL76" s="88"/>
      <c r="BM76" s="88"/>
      <c r="BN76" s="88"/>
      <c r="BO76" s="47"/>
      <c r="BP76" s="47"/>
      <c r="BQ76" s="47"/>
      <c r="BR76" s="47"/>
      <c r="BS76" s="47"/>
      <c r="BT76" s="47"/>
      <c r="BU76" s="47"/>
      <c r="BV76" s="47"/>
      <c r="BW76" s="47"/>
      <c r="BX76" s="47"/>
      <c r="BY76" s="47"/>
      <c r="BZ76" s="47"/>
      <c r="CA76" s="47"/>
      <c r="CB76" s="47"/>
      <c r="CC76" s="47"/>
      <c r="CD76" s="47"/>
      <c r="CE76" s="47"/>
      <c r="CF76" s="5"/>
      <c r="CG76" s="183" t="s">
        <v>775</v>
      </c>
      <c r="CH76" s="183">
        <v>2</v>
      </c>
      <c r="CI76" s="183">
        <v>23746.874646291031</v>
      </c>
      <c r="CJ76" s="183">
        <v>11873.437323145516</v>
      </c>
      <c r="CK76" s="183">
        <v>875.47272019158299</v>
      </c>
      <c r="CL76" s="183">
        <v>9.4555312310138832E-37</v>
      </c>
      <c r="CM76" s="183"/>
      <c r="CS76" s="183" t="s">
        <v>775</v>
      </c>
      <c r="CT76" s="183">
        <v>2</v>
      </c>
      <c r="CU76" s="183">
        <v>114.00064996920059</v>
      </c>
      <c r="CV76" s="183">
        <v>57.000324984600297</v>
      </c>
      <c r="CW76" s="183">
        <v>48.910619448919071</v>
      </c>
      <c r="CX76" s="183">
        <v>5.1813585837056987E-12</v>
      </c>
      <c r="CY76" s="183"/>
    </row>
    <row r="77" spans="1:105">
      <c r="A77" s="24" t="s">
        <v>2483</v>
      </c>
      <c r="B77" s="47"/>
      <c r="C77" s="88"/>
      <c r="D77" s="88"/>
      <c r="E77" s="88"/>
      <c r="F77" s="88"/>
      <c r="G77" s="88"/>
      <c r="H77" s="88"/>
      <c r="I77" s="88"/>
      <c r="J77" s="88"/>
      <c r="K77" s="88"/>
      <c r="L77" s="88"/>
      <c r="M77" s="88"/>
      <c r="N77" s="88"/>
      <c r="O77" s="88"/>
      <c r="P77" s="88"/>
      <c r="Q77" s="88"/>
      <c r="R77" s="88"/>
      <c r="S77" s="88"/>
      <c r="T77" s="88"/>
      <c r="U77" s="88"/>
      <c r="V77" s="88"/>
      <c r="W77" s="88"/>
      <c r="X77" s="88"/>
      <c r="Y77" s="88"/>
      <c r="Z77" s="88"/>
      <c r="AA77" s="88"/>
      <c r="AB77" s="88"/>
      <c r="AC77" s="88"/>
      <c r="AD77" s="88"/>
      <c r="AE77" s="88"/>
      <c r="AF77" s="88"/>
      <c r="AG77" s="88"/>
      <c r="AH77" s="88"/>
      <c r="AI77" s="88"/>
      <c r="AJ77" s="88"/>
      <c r="AK77" s="88"/>
      <c r="AL77" s="88"/>
      <c r="AM77" s="88"/>
      <c r="AN77" s="88"/>
      <c r="AO77" s="88"/>
      <c r="AP77" s="88"/>
      <c r="AQ77" s="88"/>
      <c r="AR77" s="88"/>
      <c r="AS77" s="88"/>
      <c r="AT77" s="88"/>
      <c r="AU77" s="88"/>
      <c r="AV77" s="88"/>
      <c r="AW77" s="88"/>
      <c r="AX77" s="88"/>
      <c r="AY77" s="88"/>
      <c r="AZ77" s="88"/>
      <c r="BA77" s="88"/>
      <c r="BB77" s="88"/>
      <c r="BC77" s="88"/>
      <c r="BD77" s="88"/>
      <c r="BE77" s="88"/>
      <c r="BF77" s="88"/>
      <c r="BG77" s="88"/>
      <c r="BH77" s="88"/>
      <c r="BI77" s="88"/>
      <c r="BJ77" s="47"/>
      <c r="BK77" s="88"/>
      <c r="BL77" s="88"/>
      <c r="BM77" s="88"/>
      <c r="BN77" s="88"/>
      <c r="BO77" s="47"/>
      <c r="BP77" s="47"/>
      <c r="BQ77" s="47"/>
      <c r="BR77" s="47"/>
      <c r="BS77" s="47"/>
      <c r="BT77" s="47"/>
      <c r="BU77" s="47"/>
      <c r="BV77" s="47"/>
      <c r="BW77" s="47"/>
      <c r="BX77" s="47"/>
      <c r="BY77" s="47"/>
      <c r="BZ77" s="47"/>
      <c r="CA77" s="47"/>
      <c r="CB77" s="47"/>
      <c r="CC77" s="47"/>
      <c r="CD77" s="47"/>
      <c r="CE77" s="47"/>
      <c r="CF77" s="5"/>
      <c r="CG77" s="183" t="s">
        <v>776</v>
      </c>
      <c r="CH77" s="183">
        <v>45</v>
      </c>
      <c r="CI77" s="183">
        <v>610.30420162563644</v>
      </c>
      <c r="CJ77" s="183">
        <v>13.562315591680809</v>
      </c>
      <c r="CK77" s="183"/>
      <c r="CL77" s="183"/>
      <c r="CM77" s="183"/>
      <c r="CS77" s="183" t="s">
        <v>776</v>
      </c>
      <c r="CT77" s="183">
        <v>45</v>
      </c>
      <c r="CU77" s="183">
        <v>52.442897947466093</v>
      </c>
      <c r="CV77" s="183">
        <v>1.1653977321659132</v>
      </c>
      <c r="CW77" s="183"/>
      <c r="CX77" s="183"/>
      <c r="CY77" s="183"/>
    </row>
    <row r="78" spans="1:105" ht="13.5" thickBot="1">
      <c r="A78" s="10"/>
      <c r="B78" s="10"/>
      <c r="C78" s="31">
        <v>2001</v>
      </c>
      <c r="D78" s="32">
        <v>2002</v>
      </c>
      <c r="E78" s="32">
        <v>2003</v>
      </c>
      <c r="F78" s="32">
        <v>2004</v>
      </c>
      <c r="G78" s="31">
        <v>2005</v>
      </c>
      <c r="H78" s="33" t="s">
        <v>714</v>
      </c>
      <c r="I78" s="33" t="s">
        <v>715</v>
      </c>
      <c r="J78" s="33" t="s">
        <v>716</v>
      </c>
      <c r="K78" s="33" t="s">
        <v>717</v>
      </c>
      <c r="L78" s="31">
        <v>2006</v>
      </c>
      <c r="M78" s="33" t="s">
        <v>718</v>
      </c>
      <c r="N78" s="33" t="s">
        <v>719</v>
      </c>
      <c r="O78" s="33" t="s">
        <v>1970</v>
      </c>
      <c r="P78" s="33" t="s">
        <v>1971</v>
      </c>
      <c r="Q78" s="31">
        <v>2007</v>
      </c>
      <c r="R78" s="33" t="s">
        <v>1972</v>
      </c>
      <c r="S78" s="33" t="s">
        <v>1973</v>
      </c>
      <c r="T78" s="33" t="s">
        <v>1974</v>
      </c>
      <c r="U78" s="33" t="s">
        <v>1975</v>
      </c>
      <c r="V78" s="31">
        <v>2008</v>
      </c>
      <c r="W78" s="33" t="s">
        <v>1976</v>
      </c>
      <c r="X78" s="33" t="s">
        <v>1977</v>
      </c>
      <c r="Y78" s="33" t="s">
        <v>1978</v>
      </c>
      <c r="Z78" s="33" t="s">
        <v>1979</v>
      </c>
      <c r="AA78" s="31">
        <v>2009</v>
      </c>
      <c r="AB78" s="33" t="s">
        <v>1980</v>
      </c>
      <c r="AC78" s="33" t="s">
        <v>1981</v>
      </c>
      <c r="AD78" s="33" t="s">
        <v>1982</v>
      </c>
      <c r="AE78" s="33" t="s">
        <v>2392</v>
      </c>
      <c r="AF78" s="31">
        <v>2010</v>
      </c>
      <c r="AG78" s="33" t="s">
        <v>2393</v>
      </c>
      <c r="AH78" s="33" t="s">
        <v>2394</v>
      </c>
      <c r="AI78" s="33" t="s">
        <v>2395</v>
      </c>
      <c r="AJ78" s="33" t="s">
        <v>2396</v>
      </c>
      <c r="AK78" s="31">
        <v>2011</v>
      </c>
      <c r="AL78" s="368" t="s">
        <v>2397</v>
      </c>
      <c r="AM78" s="368" t="s">
        <v>2398</v>
      </c>
      <c r="AN78" s="368" t="s">
        <v>2399</v>
      </c>
      <c r="AO78" s="368" t="s">
        <v>2400</v>
      </c>
      <c r="AP78" s="369">
        <v>2012</v>
      </c>
      <c r="AQ78" s="368" t="s">
        <v>2401</v>
      </c>
      <c r="AR78" s="368" t="s">
        <v>2402</v>
      </c>
      <c r="AS78" s="368" t="s">
        <v>2403</v>
      </c>
      <c r="AT78" s="368" t="s">
        <v>2404</v>
      </c>
      <c r="AU78" s="369">
        <v>2013</v>
      </c>
      <c r="AV78" s="368" t="s">
        <v>2405</v>
      </c>
      <c r="AW78" s="368" t="s">
        <v>2406</v>
      </c>
      <c r="AX78" s="368" t="s">
        <v>2407</v>
      </c>
      <c r="AY78" s="368" t="s">
        <v>2408</v>
      </c>
      <c r="AZ78" s="369">
        <v>2014</v>
      </c>
      <c r="BA78" s="368" t="s">
        <v>2409</v>
      </c>
      <c r="BB78" s="368" t="s">
        <v>2410</v>
      </c>
      <c r="BC78" s="368" t="s">
        <v>2411</v>
      </c>
      <c r="BD78" s="368" t="s">
        <v>2412</v>
      </c>
      <c r="BE78" s="369">
        <v>2015</v>
      </c>
      <c r="BF78" s="368" t="s">
        <v>2413</v>
      </c>
      <c r="BG78" s="368" t="s">
        <v>2414</v>
      </c>
      <c r="BH78" s="368" t="s">
        <v>2415</v>
      </c>
      <c r="BI78" s="368" t="s">
        <v>2416</v>
      </c>
      <c r="BJ78" s="369">
        <v>2016</v>
      </c>
      <c r="BK78" s="368" t="s">
        <v>2417</v>
      </c>
      <c r="BL78" s="368" t="s">
        <v>2418</v>
      </c>
      <c r="BM78" s="368" t="s">
        <v>2419</v>
      </c>
      <c r="BN78" s="368" t="s">
        <v>2420</v>
      </c>
      <c r="BO78" s="369">
        <v>2017</v>
      </c>
      <c r="BP78" s="363" t="s">
        <v>2244</v>
      </c>
      <c r="BQ78" s="363" t="s">
        <v>2245</v>
      </c>
      <c r="BR78" s="363" t="s">
        <v>2508</v>
      </c>
      <c r="BS78" s="363" t="s">
        <v>2509</v>
      </c>
      <c r="BT78" s="364">
        <v>2018</v>
      </c>
      <c r="BU78" s="363" t="s">
        <v>2510</v>
      </c>
      <c r="BV78" s="363" t="s">
        <v>2511</v>
      </c>
      <c r="BW78" s="363" t="s">
        <v>3125</v>
      </c>
      <c r="BX78" s="363" t="s">
        <v>1405</v>
      </c>
      <c r="BY78" s="364">
        <v>2019</v>
      </c>
      <c r="BZ78" s="363" t="s">
        <v>1406</v>
      </c>
      <c r="CA78" s="363" t="s">
        <v>1407</v>
      </c>
      <c r="CB78" s="363" t="s">
        <v>1408</v>
      </c>
      <c r="CC78" s="363" t="s">
        <v>1409</v>
      </c>
      <c r="CD78" s="364">
        <v>2020</v>
      </c>
      <c r="CE78" s="11"/>
      <c r="CF78" s="5"/>
      <c r="CG78" s="184" t="s">
        <v>896</v>
      </c>
      <c r="CH78" s="184">
        <v>47</v>
      </c>
      <c r="CI78" s="184">
        <v>24357.178847916668</v>
      </c>
      <c r="CJ78" s="184"/>
      <c r="CK78" s="184"/>
      <c r="CL78" s="184"/>
      <c r="CM78" s="183"/>
      <c r="CS78" s="184" t="s">
        <v>896</v>
      </c>
      <c r="CT78" s="184">
        <v>47</v>
      </c>
      <c r="CU78" s="184">
        <v>166.44354791666669</v>
      </c>
      <c r="CV78" s="184"/>
      <c r="CW78" s="184"/>
      <c r="CX78" s="184"/>
      <c r="CY78" s="183"/>
    </row>
    <row r="79" spans="1:105" ht="12.75" customHeight="1" thickBot="1">
      <c r="A79" s="54" t="s">
        <v>700</v>
      </c>
      <c r="B79" s="47"/>
      <c r="C79" s="88"/>
      <c r="D79" s="340"/>
      <c r="E79" s="340"/>
      <c r="F79" s="340"/>
      <c r="G79" s="340"/>
      <c r="H79" s="340"/>
      <c r="I79" s="340"/>
      <c r="J79" s="340"/>
      <c r="K79" s="340"/>
      <c r="L79" s="340"/>
      <c r="M79" s="340"/>
      <c r="N79" s="340"/>
      <c r="O79" s="340"/>
      <c r="P79" s="340"/>
      <c r="Q79" s="340"/>
      <c r="R79" s="340"/>
      <c r="S79" s="340"/>
      <c r="T79" s="340"/>
      <c r="U79" s="340"/>
      <c r="V79" s="340"/>
      <c r="W79" s="340"/>
      <c r="X79" s="340"/>
      <c r="Y79" s="340"/>
      <c r="Z79" s="340"/>
      <c r="AA79" s="340"/>
      <c r="AB79" s="340"/>
      <c r="AC79" s="340"/>
      <c r="AD79" s="340"/>
      <c r="AE79" s="340"/>
      <c r="AF79" s="340"/>
      <c r="AG79" s="88"/>
      <c r="AH79" s="88"/>
      <c r="AI79" s="88"/>
      <c r="AJ79" s="88"/>
      <c r="AK79" s="88"/>
      <c r="AL79" s="88"/>
      <c r="AM79" s="88"/>
      <c r="AN79" s="88"/>
      <c r="AO79" s="88"/>
      <c r="AP79" s="88"/>
      <c r="AQ79" s="88"/>
      <c r="AR79" s="88"/>
      <c r="AS79" s="88"/>
      <c r="AT79" s="88"/>
      <c r="AU79" s="88"/>
      <c r="AV79" s="88"/>
      <c r="AW79" s="88"/>
      <c r="AX79" s="88"/>
      <c r="AY79" s="88"/>
      <c r="AZ79" s="88"/>
      <c r="BA79" s="88"/>
      <c r="BB79" s="88"/>
      <c r="BC79" s="88"/>
      <c r="BD79" s="88"/>
      <c r="BE79" s="88"/>
      <c r="BF79" s="88"/>
      <c r="BG79" s="88"/>
      <c r="BH79" s="88"/>
      <c r="BI79" s="88"/>
      <c r="BJ79" s="47"/>
      <c r="BK79" s="88"/>
      <c r="BL79" s="88"/>
      <c r="BM79" s="88"/>
      <c r="BN79" s="88"/>
      <c r="BO79" s="47"/>
      <c r="BP79" s="47"/>
      <c r="BQ79" s="47"/>
      <c r="BR79" s="47"/>
      <c r="BS79" s="47"/>
      <c r="BT79" s="47"/>
      <c r="BU79" s="47"/>
      <c r="BV79" s="47"/>
      <c r="BW79" s="47"/>
      <c r="BX79" s="47"/>
      <c r="BY79" s="47"/>
      <c r="BZ79" s="47"/>
      <c r="CA79" s="47"/>
      <c r="CB79" s="47"/>
      <c r="CC79" s="47"/>
      <c r="CD79" s="47"/>
      <c r="CE79" s="47"/>
      <c r="CF79" s="47"/>
    </row>
    <row r="80" spans="1:105" ht="12.75" customHeight="1">
      <c r="A80" s="54"/>
      <c r="B80" s="47" t="s">
        <v>2454</v>
      </c>
      <c r="C80" s="70">
        <v>1.4405212618746301</v>
      </c>
      <c r="D80" s="70">
        <v>1.5029635391266647</v>
      </c>
      <c r="E80" s="70">
        <v>1.6347818589256207</v>
      </c>
      <c r="F80" s="70">
        <v>1.833925</v>
      </c>
      <c r="G80" s="70">
        <v>1.83375</v>
      </c>
      <c r="H80" s="85">
        <v>1.75</v>
      </c>
      <c r="I80" s="85">
        <v>1.83</v>
      </c>
      <c r="J80" s="85">
        <v>1.8747499999999999</v>
      </c>
      <c r="K80" s="85">
        <v>1.92</v>
      </c>
      <c r="L80" s="70">
        <v>1.8436874999999999</v>
      </c>
      <c r="M80" s="85">
        <v>1.9450000000000001</v>
      </c>
      <c r="N80" s="85">
        <v>1.986</v>
      </c>
      <c r="O80" s="85">
        <v>2.02</v>
      </c>
      <c r="P80" s="85">
        <v>2.0459999999999998</v>
      </c>
      <c r="Q80" s="70">
        <v>1.99925</v>
      </c>
      <c r="R80" s="85">
        <v>1.978</v>
      </c>
      <c r="S80" s="85">
        <v>1.97</v>
      </c>
      <c r="T80" s="85">
        <v>1.89</v>
      </c>
      <c r="U80" s="85">
        <v>1.57</v>
      </c>
      <c r="V80" s="70">
        <v>1.8520000000000001</v>
      </c>
      <c r="W80" s="85">
        <v>1.43</v>
      </c>
      <c r="X80" s="85">
        <v>1.55</v>
      </c>
      <c r="Y80" s="85">
        <v>1.64</v>
      </c>
      <c r="Z80" s="85">
        <v>1.63</v>
      </c>
      <c r="AA80" s="70">
        <v>1.5625</v>
      </c>
      <c r="AB80" s="85">
        <v>1.56</v>
      </c>
      <c r="AC80" s="85">
        <v>1.49</v>
      </c>
      <c r="AD80" s="85">
        <v>1.55</v>
      </c>
      <c r="AE80" s="85">
        <v>1.58</v>
      </c>
      <c r="AF80" s="70">
        <v>1.5449999999999999</v>
      </c>
      <c r="AG80" s="85">
        <f t="shared" ref="AG80:AI81" si="93">+AG63</f>
        <v>1.6</v>
      </c>
      <c r="AH80" s="85">
        <f t="shared" si="93"/>
        <v>1.63</v>
      </c>
      <c r="AI80" s="85">
        <f t="shared" si="93"/>
        <v>1.61</v>
      </c>
      <c r="AJ80" s="85">
        <f>+AJ63</f>
        <v>1.57</v>
      </c>
      <c r="AK80" s="234">
        <f>AVERAGE(AG80:AJ80)</f>
        <v>1.6025</v>
      </c>
      <c r="AL80" s="85">
        <f t="shared" ref="AL80:AN81" si="94">+AL63</f>
        <v>1.57</v>
      </c>
      <c r="AM80" s="85">
        <f t="shared" si="94"/>
        <v>1.58</v>
      </c>
      <c r="AN80" s="85">
        <f t="shared" si="94"/>
        <v>1.58</v>
      </c>
      <c r="AO80" s="85">
        <f>+AO63</f>
        <v>1.6060310606060608</v>
      </c>
      <c r="AP80" s="234">
        <f>AVERAGE(AL80:AO80)</f>
        <v>1.5840077651515152</v>
      </c>
      <c r="AQ80" s="85">
        <f t="shared" ref="AQ80:AS81" si="95">+AQ63</f>
        <v>1.5524953125000005</v>
      </c>
      <c r="AR80" s="85">
        <f t="shared" si="95"/>
        <v>1.5354469230769237</v>
      </c>
      <c r="AS80" s="85">
        <f t="shared" si="95"/>
        <v>1.5505030303030303</v>
      </c>
      <c r="AT80" s="85">
        <f>+AT63</f>
        <v>1.62</v>
      </c>
      <c r="AU80" s="234">
        <f>AVERAGE(AQ80:AT80)</f>
        <v>1.5646113164699886</v>
      </c>
      <c r="AV80" s="85">
        <f t="shared" ref="AV80:AX81" si="96">+AV63</f>
        <v>1.66</v>
      </c>
      <c r="AW80" s="85">
        <f t="shared" si="96"/>
        <v>1.68</v>
      </c>
      <c r="AX80" s="551">
        <f t="shared" si="96"/>
        <v>1.67</v>
      </c>
      <c r="AY80" s="551">
        <f>+AY63</f>
        <v>1.58</v>
      </c>
      <c r="AZ80" s="574">
        <f>AVERAGE(AV80:AY80)</f>
        <v>1.6475</v>
      </c>
      <c r="BA80" s="551">
        <f t="shared" ref="BA80:BD81" si="97">+BA63</f>
        <v>1.51</v>
      </c>
      <c r="BB80" s="551">
        <f t="shared" si="97"/>
        <v>1.53</v>
      </c>
      <c r="BC80" s="551">
        <f t="shared" si="97"/>
        <v>1.55</v>
      </c>
      <c r="BD80" s="551">
        <f t="shared" si="97"/>
        <v>1.52</v>
      </c>
      <c r="BE80" s="574">
        <f>AVERAGE(BA80:BD80)</f>
        <v>1.5274999999999999</v>
      </c>
      <c r="BF80" s="551">
        <f t="shared" ref="BF80" si="98">+BF63</f>
        <v>1.43</v>
      </c>
      <c r="BG80" s="551">
        <f t="shared" ref="BG80" si="99">+BG63</f>
        <v>1.43</v>
      </c>
      <c r="BH80" s="551">
        <f t="shared" ref="BH80" si="100">+BH63</f>
        <v>1.31</v>
      </c>
      <c r="BI80" s="551">
        <f t="shared" ref="BI80:BK80" si="101">+BI63</f>
        <v>1.24</v>
      </c>
      <c r="BJ80" s="574">
        <f>AVERAGE(BF80:BI80)</f>
        <v>1.3525</v>
      </c>
      <c r="BK80" s="551">
        <f t="shared" si="101"/>
        <v>1.24</v>
      </c>
      <c r="BL80" s="551">
        <f t="shared" ref="BL80:BM80" si="102">+BL63</f>
        <v>1.28</v>
      </c>
      <c r="BM80" s="551">
        <f t="shared" si="102"/>
        <v>1.31</v>
      </c>
      <c r="BN80" s="551">
        <f t="shared" ref="BN80:BP80" si="103">+BN63</f>
        <v>1.33</v>
      </c>
      <c r="BO80" s="644">
        <f>AVERAGE(BK80:BN80)</f>
        <v>1.29</v>
      </c>
      <c r="BP80" s="551">
        <f t="shared" si="103"/>
        <v>1.3914200000000001</v>
      </c>
      <c r="BQ80" s="706">
        <v>1.35</v>
      </c>
      <c r="BR80" s="706">
        <v>1.35</v>
      </c>
      <c r="BS80" s="706">
        <v>1.35</v>
      </c>
      <c r="BT80" s="705">
        <f>AVERAGE(BP80:BS80)</f>
        <v>1.3603550000000002</v>
      </c>
      <c r="BU80" s="706">
        <v>1.35</v>
      </c>
      <c r="BV80" s="706">
        <v>1.35</v>
      </c>
      <c r="BW80" s="706">
        <v>1.35</v>
      </c>
      <c r="BX80" s="706">
        <v>1.35</v>
      </c>
      <c r="BY80" s="705">
        <f>AVERAGE(BU80:BX80)</f>
        <v>1.35</v>
      </c>
      <c r="BZ80" s="706">
        <v>1.35</v>
      </c>
      <c r="CA80" s="706">
        <v>1.35</v>
      </c>
      <c r="CB80" s="706">
        <v>1.35</v>
      </c>
      <c r="CC80" s="706">
        <v>1.35</v>
      </c>
      <c r="CD80" s="644">
        <f t="shared" ref="CD80" si="104">AVERAGE(BZ80:CC80)</f>
        <v>1.35</v>
      </c>
      <c r="CE80" s="47"/>
      <c r="CF80" s="47"/>
      <c r="CG80" s="512"/>
      <c r="CH80" s="185" t="s">
        <v>979</v>
      </c>
      <c r="CI80" s="185" t="s">
        <v>773</v>
      </c>
      <c r="CJ80" s="185" t="s">
        <v>980</v>
      </c>
      <c r="CK80" s="185" t="s">
        <v>804</v>
      </c>
      <c r="CL80" s="185" t="s">
        <v>1147</v>
      </c>
      <c r="CM80" s="185" t="s">
        <v>1148</v>
      </c>
      <c r="CN80" s="185" t="s">
        <v>1149</v>
      </c>
      <c r="CO80" s="185" t="s">
        <v>1150</v>
      </c>
      <c r="CP80" s="50"/>
      <c r="CQ80" s="50"/>
      <c r="CR80" s="50"/>
      <c r="CS80" s="512"/>
      <c r="CT80" s="185" t="s">
        <v>979</v>
      </c>
      <c r="CU80" s="185" t="s">
        <v>773</v>
      </c>
      <c r="CV80" s="185" t="s">
        <v>980</v>
      </c>
      <c r="CW80" s="185" t="s">
        <v>804</v>
      </c>
      <c r="CX80" s="185" t="s">
        <v>1147</v>
      </c>
      <c r="CY80" s="185" t="s">
        <v>1148</v>
      </c>
      <c r="CZ80" s="185" t="s">
        <v>1149</v>
      </c>
      <c r="DA80" s="185" t="s">
        <v>1150</v>
      </c>
    </row>
    <row r="81" spans="1:105" ht="12.75" customHeight="1">
      <c r="A81" s="56"/>
      <c r="B81" s="47" t="s">
        <v>2455</v>
      </c>
      <c r="C81" s="340">
        <v>0.9</v>
      </c>
      <c r="D81" s="340">
        <v>0.95</v>
      </c>
      <c r="E81" s="340">
        <v>1.1299999999999999</v>
      </c>
      <c r="F81" s="340">
        <v>1.24</v>
      </c>
      <c r="G81" s="340">
        <v>1.24</v>
      </c>
      <c r="H81" s="323">
        <v>1.2</v>
      </c>
      <c r="I81" s="323">
        <v>1.26</v>
      </c>
      <c r="J81" s="323">
        <v>1.27</v>
      </c>
      <c r="K81" s="323">
        <v>1.29</v>
      </c>
      <c r="L81" s="234">
        <v>1.26</v>
      </c>
      <c r="M81" s="323">
        <v>1.31</v>
      </c>
      <c r="N81" s="323">
        <v>1.35</v>
      </c>
      <c r="O81" s="323">
        <v>1.37</v>
      </c>
      <c r="P81" s="323">
        <v>1.45</v>
      </c>
      <c r="Q81" s="234">
        <v>1.37</v>
      </c>
      <c r="R81" s="323">
        <v>1.5</v>
      </c>
      <c r="S81" s="323">
        <v>1.56</v>
      </c>
      <c r="T81" s="323">
        <v>1.51</v>
      </c>
      <c r="U81" s="323">
        <v>1.32</v>
      </c>
      <c r="V81" s="234">
        <v>1.47</v>
      </c>
      <c r="W81" s="323">
        <v>1.3</v>
      </c>
      <c r="X81" s="323">
        <v>1.36</v>
      </c>
      <c r="Y81" s="323">
        <v>1.43</v>
      </c>
      <c r="Z81" s="323">
        <v>1.48</v>
      </c>
      <c r="AA81" s="234">
        <v>1.39</v>
      </c>
      <c r="AB81" s="323">
        <v>1.38</v>
      </c>
      <c r="AC81" s="323">
        <v>1.27</v>
      </c>
      <c r="AD81" s="323">
        <v>1.29</v>
      </c>
      <c r="AE81" s="323">
        <v>1.36</v>
      </c>
      <c r="AF81" s="234">
        <v>1.33</v>
      </c>
      <c r="AG81" s="323">
        <f t="shared" si="93"/>
        <v>1.37</v>
      </c>
      <c r="AH81" s="323">
        <f t="shared" si="93"/>
        <v>1.44</v>
      </c>
      <c r="AI81" s="323">
        <f t="shared" si="93"/>
        <v>1.41</v>
      </c>
      <c r="AJ81" s="323">
        <f>+AJ64</f>
        <v>1.35</v>
      </c>
      <c r="AK81" s="234">
        <f>+AVERAGE(AG81:AJ81)</f>
        <v>1.3925000000000001</v>
      </c>
      <c r="AL81" s="323">
        <f t="shared" si="94"/>
        <v>1.31</v>
      </c>
      <c r="AM81" s="323">
        <f t="shared" si="94"/>
        <v>1.28</v>
      </c>
      <c r="AN81" s="323">
        <f t="shared" si="94"/>
        <v>1.25</v>
      </c>
      <c r="AO81" s="323">
        <f>+AO64</f>
        <v>1.2974000000000003</v>
      </c>
      <c r="AP81" s="234">
        <f>+AVERAGE(AL81:AO81)</f>
        <v>1.2843500000000001</v>
      </c>
      <c r="AQ81" s="323">
        <f t="shared" si="95"/>
        <v>1.3200578125</v>
      </c>
      <c r="AR81" s="323">
        <f t="shared" si="95"/>
        <v>1.3058284615384621</v>
      </c>
      <c r="AS81" s="323">
        <f t="shared" si="95"/>
        <v>1.3244242424242425</v>
      </c>
      <c r="AT81" s="323">
        <f>+AT64</f>
        <v>1.36</v>
      </c>
      <c r="AU81" s="234">
        <f>+AVERAGE(AQ81:AT81)</f>
        <v>1.3275776291156762</v>
      </c>
      <c r="AV81" s="323">
        <f t="shared" si="96"/>
        <v>1.37</v>
      </c>
      <c r="AW81" s="323">
        <f t="shared" si="96"/>
        <v>1.37</v>
      </c>
      <c r="AX81" s="552">
        <f t="shared" si="96"/>
        <v>1.33</v>
      </c>
      <c r="AY81" s="552">
        <f>+AY64</f>
        <v>1.25</v>
      </c>
      <c r="AZ81" s="574">
        <f>+AVERAGE(AV81:AY81)</f>
        <v>1.33</v>
      </c>
      <c r="BA81" s="552">
        <f t="shared" si="97"/>
        <v>1.1200000000000001</v>
      </c>
      <c r="BB81" s="552">
        <f t="shared" si="97"/>
        <v>1.1100000000000001</v>
      </c>
      <c r="BC81" s="552">
        <f t="shared" si="97"/>
        <v>1.1100000000000001</v>
      </c>
      <c r="BD81" s="552">
        <f t="shared" si="97"/>
        <v>1.0900000000000001</v>
      </c>
      <c r="BE81" s="574">
        <f>+AVERAGE(BA81:BD81)</f>
        <v>1.1075000000000002</v>
      </c>
      <c r="BF81" s="552">
        <f t="shared" ref="BF81" si="105">+BF64</f>
        <v>1.1000000000000001</v>
      </c>
      <c r="BG81" s="552">
        <f t="shared" ref="BG81" si="106">+BG64</f>
        <v>1.1299999999999999</v>
      </c>
      <c r="BH81" s="552">
        <f t="shared" ref="BH81" si="107">+BH64</f>
        <v>1.1200000000000001</v>
      </c>
      <c r="BI81" s="552">
        <f t="shared" ref="BI81:BK81" si="108">+BI64</f>
        <v>1.08</v>
      </c>
      <c r="BJ81" s="574">
        <f>AVERAGE(BF81:BI81)</f>
        <v>1.1074999999999999</v>
      </c>
      <c r="BK81" s="552">
        <f t="shared" si="108"/>
        <v>1.07</v>
      </c>
      <c r="BL81" s="552">
        <f t="shared" ref="BL81:BM81" si="109">+BL64</f>
        <v>1.1000000000000001</v>
      </c>
      <c r="BM81" s="552">
        <f t="shared" si="109"/>
        <v>1.17</v>
      </c>
      <c r="BN81" s="552">
        <f t="shared" ref="BN81:BP81" si="110">+BN64</f>
        <v>1.18</v>
      </c>
      <c r="BO81" s="644">
        <f>AVERAGE(BK81:BN81)</f>
        <v>1.1299999999999999</v>
      </c>
      <c r="BP81" s="552">
        <f t="shared" si="110"/>
        <v>1.22872</v>
      </c>
      <c r="BQ81" s="706">
        <v>1.2</v>
      </c>
      <c r="BR81" s="706">
        <v>1.2</v>
      </c>
      <c r="BS81" s="706">
        <v>1.2</v>
      </c>
      <c r="BT81" s="705">
        <f>AVERAGE(BP81:BS81)</f>
        <v>1.2071800000000001</v>
      </c>
      <c r="BU81" s="706">
        <v>1.2</v>
      </c>
      <c r="BV81" s="706">
        <v>1.2</v>
      </c>
      <c r="BW81" s="706">
        <v>1.2</v>
      </c>
      <c r="BX81" s="706">
        <v>1.2</v>
      </c>
      <c r="BY81" s="705">
        <f>AVERAGE(BU81:BX81)</f>
        <v>1.2</v>
      </c>
      <c r="BZ81" s="573">
        <v>1.1499999999999999</v>
      </c>
      <c r="CA81" s="573">
        <v>1.1499999999999999</v>
      </c>
      <c r="CB81" s="573">
        <v>1.1499999999999999</v>
      </c>
      <c r="CC81" s="573">
        <v>1.1499999999999999</v>
      </c>
      <c r="CD81" s="644">
        <f t="shared" ref="CD81" si="111">AVERAGE(BZ81:CC81)</f>
        <v>1.1499999999999999</v>
      </c>
      <c r="CE81" s="47"/>
      <c r="CF81" s="11"/>
      <c r="CG81" s="183" t="s">
        <v>947</v>
      </c>
      <c r="CH81" s="436">
        <v>-0.30566214443621398</v>
      </c>
      <c r="CI81" s="436">
        <v>1.8923055075017887</v>
      </c>
      <c r="CJ81" s="436">
        <v>-0.16152896201192557</v>
      </c>
      <c r="CK81" s="436">
        <v>0.8723998640129369</v>
      </c>
      <c r="CL81" s="436">
        <v>-4.1169610798934553</v>
      </c>
      <c r="CM81" s="436">
        <v>3.5056367910210273</v>
      </c>
      <c r="CN81" s="436">
        <v>-4.1169610798934553</v>
      </c>
      <c r="CO81" s="436">
        <v>3.5056367910210273</v>
      </c>
      <c r="CP81" s="50"/>
      <c r="CQ81" s="50"/>
      <c r="CR81" s="50"/>
      <c r="CS81" s="183" t="s">
        <v>947</v>
      </c>
      <c r="CT81" s="436">
        <v>1.8454598775930631</v>
      </c>
      <c r="CU81" s="436">
        <v>0.58947187839147042</v>
      </c>
      <c r="CV81" s="436">
        <v>3.1307004544964681</v>
      </c>
      <c r="CW81" s="436">
        <v>3.0606657824061067E-3</v>
      </c>
      <c r="CX81" s="436">
        <v>0.65820256967484481</v>
      </c>
      <c r="CY81" s="436">
        <v>3.0327171855112813</v>
      </c>
      <c r="CZ81" s="436">
        <v>0.65820256967484481</v>
      </c>
      <c r="DA81" s="436">
        <v>3.0327171855112813</v>
      </c>
    </row>
    <row r="82" spans="1:105" ht="13.5" customHeight="1">
      <c r="A82" s="56"/>
      <c r="B82" s="47"/>
      <c r="C82" s="340"/>
      <c r="D82" s="340"/>
      <c r="E82" s="340"/>
      <c r="F82" s="340"/>
      <c r="G82" s="340"/>
      <c r="H82" s="323"/>
      <c r="I82" s="323"/>
      <c r="J82" s="323"/>
      <c r="K82" s="323"/>
      <c r="L82" s="234"/>
      <c r="M82" s="323"/>
      <c r="N82" s="323"/>
      <c r="O82" s="323"/>
      <c r="P82" s="323"/>
      <c r="Q82" s="234"/>
      <c r="R82" s="323"/>
      <c r="S82" s="323"/>
      <c r="T82" s="323"/>
      <c r="U82" s="323"/>
      <c r="V82" s="234"/>
      <c r="W82" s="234"/>
      <c r="X82" s="234"/>
      <c r="Y82" s="234"/>
      <c r="Z82" s="234"/>
      <c r="AA82" s="234"/>
      <c r="AB82" s="234"/>
      <c r="AC82" s="234"/>
      <c r="AD82" s="234"/>
      <c r="AE82" s="234"/>
      <c r="AF82" s="234"/>
      <c r="AG82" s="234"/>
      <c r="AH82" s="234"/>
      <c r="AI82" s="234"/>
      <c r="AJ82" s="234"/>
      <c r="AK82" s="234"/>
      <c r="AL82" s="234"/>
      <c r="AM82" s="234"/>
      <c r="AN82" s="234"/>
      <c r="AO82" s="234"/>
      <c r="AP82" s="234"/>
      <c r="AQ82" s="234"/>
      <c r="AR82" s="234"/>
      <c r="AS82" s="234"/>
      <c r="AT82" s="234"/>
      <c r="AU82" s="234"/>
      <c r="AV82" s="234"/>
      <c r="AW82" s="234"/>
      <c r="AX82" s="555"/>
      <c r="AY82" s="555"/>
      <c r="AZ82" s="574"/>
      <c r="BA82" s="47"/>
      <c r="BB82" s="555"/>
      <c r="BC82" s="555"/>
      <c r="BD82" s="555"/>
      <c r="BE82" s="47"/>
      <c r="BF82" s="555"/>
      <c r="BG82" s="555"/>
      <c r="BH82" s="555"/>
      <c r="BI82" s="555"/>
      <c r="BJ82" s="47"/>
      <c r="BK82" s="555"/>
      <c r="BL82" s="555"/>
      <c r="BM82" s="555"/>
      <c r="BN82" s="555"/>
      <c r="BO82" s="47"/>
      <c r="BP82" s="555"/>
      <c r="BQ82" s="47"/>
      <c r="BR82" s="47"/>
      <c r="BS82" s="47"/>
      <c r="BT82" s="47"/>
      <c r="BU82" s="47"/>
      <c r="BV82" s="47"/>
      <c r="BW82" s="47"/>
      <c r="BX82" s="47"/>
      <c r="BY82" s="47"/>
      <c r="BZ82" s="47"/>
      <c r="CA82" s="47"/>
      <c r="CB82" s="47"/>
      <c r="CC82" s="47"/>
      <c r="CD82" s="47"/>
      <c r="CE82" s="47"/>
      <c r="CF82" s="47"/>
      <c r="CG82" s="183" t="s">
        <v>950</v>
      </c>
      <c r="CH82" s="436">
        <v>0.70346447088862241</v>
      </c>
      <c r="CI82" s="436">
        <v>8.2865533821191953E-2</v>
      </c>
      <c r="CJ82" s="436">
        <v>8.4892287353939562</v>
      </c>
      <c r="CK82" s="436">
        <v>6.7635981295262971E-11</v>
      </c>
      <c r="CL82" s="436">
        <v>0.5365647183979394</v>
      </c>
      <c r="CM82" s="436">
        <v>0.87036422337930541</v>
      </c>
      <c r="CN82" s="436">
        <v>0.5365647183979394</v>
      </c>
      <c r="CO82" s="436">
        <v>0.87036422337930541</v>
      </c>
      <c r="CP82" s="50"/>
      <c r="CQ82" s="50"/>
      <c r="CR82" s="50"/>
      <c r="CS82" s="183" t="s">
        <v>2317</v>
      </c>
      <c r="CT82" s="436">
        <v>3.5265455335636825E-2</v>
      </c>
      <c r="CU82" s="436">
        <v>7.4909140771882349E-2</v>
      </c>
      <c r="CV82" s="436">
        <v>0.47077639620816414</v>
      </c>
      <c r="CW82" s="436">
        <v>0.64007452813549726</v>
      </c>
      <c r="CX82" s="436">
        <v>-0.11560929895116376</v>
      </c>
      <c r="CY82" s="436">
        <v>0.18614020962243741</v>
      </c>
      <c r="CZ82" s="436">
        <v>-0.11560929895116376</v>
      </c>
      <c r="DA82" s="436">
        <v>0.18614020962243741</v>
      </c>
    </row>
    <row r="83" spans="1:105" ht="12.75" customHeight="1" thickBot="1">
      <c r="A83" s="54" t="s">
        <v>3097</v>
      </c>
      <c r="B83" s="47"/>
      <c r="C83" s="88"/>
      <c r="D83" s="340"/>
      <c r="E83" s="340"/>
      <c r="F83" s="340"/>
      <c r="G83" s="340"/>
      <c r="H83" s="340"/>
      <c r="I83" s="340"/>
      <c r="J83" s="340"/>
      <c r="K83" s="340"/>
      <c r="L83" s="340"/>
      <c r="M83" s="340"/>
      <c r="N83" s="340"/>
      <c r="O83" s="340"/>
      <c r="P83" s="340"/>
      <c r="Q83" s="340"/>
      <c r="R83" s="340"/>
      <c r="S83" s="340"/>
      <c r="T83" s="340"/>
      <c r="U83" s="340"/>
      <c r="V83" s="340"/>
      <c r="W83" s="340"/>
      <c r="X83" s="340"/>
      <c r="Y83" s="340"/>
      <c r="Z83" s="340"/>
      <c r="AA83" s="340"/>
      <c r="AB83" s="340"/>
      <c r="AC83" s="340"/>
      <c r="AD83" s="340"/>
      <c r="AE83" s="340"/>
      <c r="AF83" s="340"/>
      <c r="AG83" s="88"/>
      <c r="AH83" s="88"/>
      <c r="AI83" s="88"/>
      <c r="AJ83" s="88"/>
      <c r="AK83" s="88"/>
      <c r="AL83" s="88"/>
      <c r="AM83" s="88"/>
      <c r="AN83" s="88"/>
      <c r="AO83" s="88"/>
      <c r="AP83" s="88"/>
      <c r="AQ83" s="88"/>
      <c r="AR83" s="88"/>
      <c r="AS83" s="88"/>
      <c r="AT83" s="88"/>
      <c r="AU83" s="88"/>
      <c r="AV83" s="88"/>
      <c r="AW83" s="88"/>
      <c r="AX83" s="553"/>
      <c r="AY83" s="553"/>
      <c r="AZ83" s="88"/>
      <c r="BA83" s="88"/>
      <c r="BB83" s="553"/>
      <c r="BC83" s="553"/>
      <c r="BD83" s="553"/>
      <c r="BE83" s="88"/>
      <c r="BF83" s="553"/>
      <c r="BG83" s="553"/>
      <c r="BH83" s="553"/>
      <c r="BI83" s="553"/>
      <c r="BJ83" s="47"/>
      <c r="BK83" s="553"/>
      <c r="BL83" s="553"/>
      <c r="BM83" s="553"/>
      <c r="BN83" s="553"/>
      <c r="BO83" s="47"/>
      <c r="BP83" s="553"/>
      <c r="BQ83" s="47"/>
      <c r="BR83" s="47"/>
      <c r="BS83" s="47"/>
      <c r="BT83" s="47"/>
      <c r="BU83" s="47"/>
      <c r="BV83" s="47"/>
      <c r="BW83" s="47"/>
      <c r="BX83" s="47"/>
      <c r="BY83" s="47"/>
      <c r="BZ83" s="47"/>
      <c r="CA83" s="47"/>
      <c r="CB83" s="47"/>
      <c r="CC83" s="47"/>
      <c r="CD83" s="47"/>
      <c r="CE83" s="47"/>
      <c r="CF83" s="47"/>
      <c r="CG83" s="184" t="s">
        <v>951</v>
      </c>
      <c r="CH83" s="437">
        <v>0.18182013265112151</v>
      </c>
      <c r="CI83" s="437">
        <v>9.5720781233953015E-2</v>
      </c>
      <c r="CJ83" s="437">
        <v>1.899484420282064</v>
      </c>
      <c r="CK83" s="437">
        <v>6.3921674713180401E-2</v>
      </c>
      <c r="CL83" s="437">
        <v>-1.0971417218505308E-2</v>
      </c>
      <c r="CM83" s="437">
        <v>0.37461168252074833</v>
      </c>
      <c r="CN83" s="437">
        <v>-1.0971417218505308E-2</v>
      </c>
      <c r="CO83" s="437">
        <v>0.37461168252074833</v>
      </c>
      <c r="CP83" s="50"/>
      <c r="CQ83" s="50"/>
      <c r="CR83" s="50"/>
      <c r="CS83" s="184" t="s">
        <v>2318</v>
      </c>
      <c r="CT83" s="437">
        <v>6.0784718157322337E-2</v>
      </c>
      <c r="CU83" s="437">
        <v>6.2319125478938744E-3</v>
      </c>
      <c r="CV83" s="437">
        <v>9.7537822763358619</v>
      </c>
      <c r="CW83" s="437">
        <v>1.1288781412066602E-12</v>
      </c>
      <c r="CX83" s="437">
        <v>4.8233001975400216E-2</v>
      </c>
      <c r="CY83" s="437">
        <v>7.3336434339244458E-2</v>
      </c>
      <c r="CZ83" s="437">
        <v>4.8233001975400216E-2</v>
      </c>
      <c r="DA83" s="437">
        <v>7.3336434339244458E-2</v>
      </c>
    </row>
    <row r="84" spans="1:105" ht="12.75" customHeight="1">
      <c r="A84" s="56"/>
      <c r="B84" s="47" t="s">
        <v>2456</v>
      </c>
      <c r="C84" s="155">
        <v>24.44</v>
      </c>
      <c r="D84" s="155">
        <v>25.03</v>
      </c>
      <c r="E84" s="155">
        <v>28.83</v>
      </c>
      <c r="F84" s="155">
        <v>38.270000000000003</v>
      </c>
      <c r="G84" s="155">
        <v>54.48</v>
      </c>
      <c r="H84" s="109">
        <v>61.79</v>
      </c>
      <c r="I84" s="109">
        <v>69.59</v>
      </c>
      <c r="J84" s="109">
        <v>69.599999999999994</v>
      </c>
      <c r="K84" s="109">
        <v>59.6</v>
      </c>
      <c r="L84" s="110">
        <v>65.14</v>
      </c>
      <c r="M84" s="109">
        <v>57.76</v>
      </c>
      <c r="N84" s="109">
        <v>68.760000000000005</v>
      </c>
      <c r="O84" s="109">
        <v>74.739999999999995</v>
      </c>
      <c r="P84" s="109">
        <v>88.45</v>
      </c>
      <c r="Q84" s="110">
        <v>72.39</v>
      </c>
      <c r="R84" s="109">
        <v>96.71</v>
      </c>
      <c r="S84" s="109">
        <v>121.18</v>
      </c>
      <c r="T84" s="109">
        <v>115.09</v>
      </c>
      <c r="U84" s="109">
        <v>55.48</v>
      </c>
      <c r="V84" s="110">
        <v>97.26</v>
      </c>
      <c r="W84" s="109">
        <v>44.46</v>
      </c>
      <c r="X84" s="109">
        <v>59.13</v>
      </c>
      <c r="Y84" s="109">
        <v>68.08</v>
      </c>
      <c r="Z84" s="109">
        <v>74.53</v>
      </c>
      <c r="AA84" s="110">
        <v>61.67</v>
      </c>
      <c r="AB84" s="109">
        <v>76.36</v>
      </c>
      <c r="AC84" s="109">
        <v>78.239999999999995</v>
      </c>
      <c r="AD84" s="109">
        <v>76.86</v>
      </c>
      <c r="AE84" s="109">
        <v>86.46</v>
      </c>
      <c r="AF84" s="110">
        <v>79.5</v>
      </c>
      <c r="AG84" s="109">
        <f t="shared" ref="AG84:AJ85" si="112">+AG67</f>
        <v>105.43</v>
      </c>
      <c r="AH84" s="109">
        <f t="shared" si="112"/>
        <v>117.04</v>
      </c>
      <c r="AI84" s="109">
        <f t="shared" si="112"/>
        <v>113.41</v>
      </c>
      <c r="AJ84" s="109">
        <f t="shared" si="112"/>
        <v>109.35</v>
      </c>
      <c r="AK84" s="110">
        <f>AVERAGE(AG84:AJ84)</f>
        <v>111.3075</v>
      </c>
      <c r="AL84" s="109">
        <f t="shared" ref="AL84:AO85" si="113">+AL67</f>
        <v>118.6</v>
      </c>
      <c r="AM84" s="109">
        <f t="shared" si="113"/>
        <v>108.29</v>
      </c>
      <c r="AN84" s="109">
        <f t="shared" si="113"/>
        <v>109.5</v>
      </c>
      <c r="AO84" s="109">
        <f t="shared" si="113"/>
        <v>110.08</v>
      </c>
      <c r="AP84" s="110">
        <f>AVERAGE(AL84:AO84)</f>
        <v>111.61749999999999</v>
      </c>
      <c r="AQ84" s="109">
        <f t="shared" ref="AQ84:AS85" si="114">+AQ67</f>
        <v>112.57</v>
      </c>
      <c r="AR84" s="109">
        <f t="shared" si="114"/>
        <v>102.43</v>
      </c>
      <c r="AS84" s="109">
        <f t="shared" si="114"/>
        <v>110.29</v>
      </c>
      <c r="AT84" s="109">
        <f>+AT67</f>
        <v>109.24</v>
      </c>
      <c r="AU84" s="110">
        <f>AVERAGE(AQ84:AT84)</f>
        <v>108.63250000000001</v>
      </c>
      <c r="AV84" s="109">
        <f t="shared" ref="AV84:AX85" si="115">+AV67</f>
        <v>108.21</v>
      </c>
      <c r="AW84" s="109">
        <f t="shared" si="115"/>
        <v>109.67</v>
      </c>
      <c r="AX84" s="554">
        <f t="shared" si="115"/>
        <v>101.93</v>
      </c>
      <c r="AY84" s="554">
        <f>+AY67</f>
        <v>76.58</v>
      </c>
      <c r="AZ84" s="110">
        <f>AVERAGE(AV84:AY84)</f>
        <v>99.097499999999997</v>
      </c>
      <c r="BA84" s="554">
        <f>+BA67</f>
        <v>53.94</v>
      </c>
      <c r="BB84" s="554">
        <f>+BB67</f>
        <v>61.88</v>
      </c>
      <c r="BC84" s="554">
        <f>+BC67</f>
        <v>50.47</v>
      </c>
      <c r="BD84" s="554">
        <f>+BD67</f>
        <v>43.76</v>
      </c>
      <c r="BE84" s="110">
        <f>AVERAGE(BA84:BD84)</f>
        <v>52.512499999999996</v>
      </c>
      <c r="BF84" s="554">
        <f>+BF67</f>
        <v>33.94</v>
      </c>
      <c r="BG84" s="554">
        <f>+BG67</f>
        <v>45.59</v>
      </c>
      <c r="BH84" s="554">
        <f>+BH67</f>
        <v>45.86</v>
      </c>
      <c r="BI84" s="554">
        <f>+BI67</f>
        <v>49.33</v>
      </c>
      <c r="BJ84" s="110">
        <f>AVERAGE(BF84:BI84)</f>
        <v>43.68</v>
      </c>
      <c r="BK84" s="554">
        <f>+BK67</f>
        <v>53.69</v>
      </c>
      <c r="BL84" s="554">
        <f>+BL67</f>
        <v>49.64</v>
      </c>
      <c r="BM84" s="554">
        <f>+BM67</f>
        <v>52.08</v>
      </c>
      <c r="BN84" s="554">
        <f>+BN67</f>
        <v>61.26</v>
      </c>
      <c r="BO84" s="110">
        <f>AVERAGE(BK84:BN84)</f>
        <v>54.167499999999997</v>
      </c>
      <c r="BP84" s="554">
        <f>+BP67</f>
        <v>66.930000000000007</v>
      </c>
      <c r="BQ84" s="111">
        <v>67.5</v>
      </c>
      <c r="BR84" s="111">
        <v>67.5</v>
      </c>
      <c r="BS84" s="111">
        <v>67.5</v>
      </c>
      <c r="BT84" s="110">
        <f>AVERAGE(BP84:BS84)</f>
        <v>67.357500000000002</v>
      </c>
      <c r="BU84" s="111">
        <f>BP84*1.025</f>
        <v>68.603250000000003</v>
      </c>
      <c r="BV84" s="111">
        <f t="shared" ref="BV84:BX85" si="116">BQ84*1.025</f>
        <v>69.1875</v>
      </c>
      <c r="BW84" s="111">
        <f t="shared" si="116"/>
        <v>69.1875</v>
      </c>
      <c r="BX84" s="111">
        <f t="shared" si="116"/>
        <v>69.1875</v>
      </c>
      <c r="BY84" s="110">
        <f>AVERAGE(BU84:BX84)</f>
        <v>69.041437500000001</v>
      </c>
      <c r="BZ84" s="111">
        <f>BU84*1.025</f>
        <v>70.31833125</v>
      </c>
      <c r="CA84" s="111">
        <f t="shared" ref="CA84:CA85" si="117">BV84*1.025</f>
        <v>70.917187499999997</v>
      </c>
      <c r="CB84" s="111">
        <f t="shared" ref="CB84:CB85" si="118">BW84*1.025</f>
        <v>70.917187499999997</v>
      </c>
      <c r="CC84" s="111">
        <f t="shared" ref="CC84:CC85" si="119">BX84*1.025</f>
        <v>70.917187499999997</v>
      </c>
      <c r="CD84" s="110">
        <f>AVERAGE(BZ84:CC84)</f>
        <v>70.767473437500001</v>
      </c>
      <c r="CE84" s="47"/>
      <c r="CF84" s="47"/>
      <c r="CP84" s="50"/>
      <c r="CQ84" s="50"/>
      <c r="CR84" s="50"/>
    </row>
    <row r="85" spans="1:105" ht="12.75" customHeight="1">
      <c r="A85" s="56"/>
      <c r="B85" s="47" t="s">
        <v>2457</v>
      </c>
      <c r="C85" s="155">
        <v>25.89</v>
      </c>
      <c r="D85" s="155">
        <v>26.14</v>
      </c>
      <c r="E85" s="155">
        <v>31.06</v>
      </c>
      <c r="F85" s="155">
        <v>41.49</v>
      </c>
      <c r="G85" s="155">
        <v>56.58</v>
      </c>
      <c r="H85" s="109">
        <v>63.29</v>
      </c>
      <c r="I85" s="109">
        <v>70.459999999999994</v>
      </c>
      <c r="J85" s="109">
        <v>70.44</v>
      </c>
      <c r="K85" s="109">
        <v>59.9</v>
      </c>
      <c r="L85" s="110">
        <v>66.02</v>
      </c>
      <c r="M85" s="109">
        <v>58.05</v>
      </c>
      <c r="N85" s="109">
        <v>64.89</v>
      </c>
      <c r="O85" s="109">
        <v>75.239999999999995</v>
      </c>
      <c r="P85" s="109">
        <v>90.47</v>
      </c>
      <c r="Q85" s="110">
        <v>72.2</v>
      </c>
      <c r="R85" s="109">
        <v>97.86</v>
      </c>
      <c r="S85" s="109">
        <v>123.81</v>
      </c>
      <c r="T85" s="109">
        <v>118.07</v>
      </c>
      <c r="U85" s="109">
        <v>59.13</v>
      </c>
      <c r="V85" s="110">
        <v>100.06</v>
      </c>
      <c r="W85" s="109">
        <v>43.2</v>
      </c>
      <c r="X85" s="109">
        <v>59.71</v>
      </c>
      <c r="Y85" s="109">
        <v>68.12</v>
      </c>
      <c r="Z85" s="109">
        <v>75.97</v>
      </c>
      <c r="AA85" s="110">
        <v>61.92</v>
      </c>
      <c r="AB85" s="109">
        <v>78.84</v>
      </c>
      <c r="AC85" s="109">
        <v>77.81</v>
      </c>
      <c r="AD85" s="109">
        <v>76.05</v>
      </c>
      <c r="AE85" s="109">
        <v>85.13</v>
      </c>
      <c r="AF85" s="110">
        <v>79.45</v>
      </c>
      <c r="AG85" s="109">
        <f t="shared" si="112"/>
        <v>94.49</v>
      </c>
      <c r="AH85" s="109">
        <f t="shared" si="112"/>
        <v>102.22</v>
      </c>
      <c r="AI85" s="109">
        <f t="shared" si="112"/>
        <v>89.48</v>
      </c>
      <c r="AJ85" s="109">
        <f t="shared" si="112"/>
        <v>94.02</v>
      </c>
      <c r="AK85" s="110">
        <f>AVERAGE(AG85:AJ85)</f>
        <v>95.052499999999995</v>
      </c>
      <c r="AL85" s="109">
        <f t="shared" si="113"/>
        <v>103.1</v>
      </c>
      <c r="AM85" s="109">
        <f t="shared" si="113"/>
        <v>93.3</v>
      </c>
      <c r="AN85" s="109">
        <f t="shared" si="113"/>
        <v>92.1</v>
      </c>
      <c r="AO85" s="109">
        <f t="shared" si="113"/>
        <v>88.15</v>
      </c>
      <c r="AP85" s="110">
        <f>AVERAGE(AL85:AO85)</f>
        <v>94.162499999999994</v>
      </c>
      <c r="AQ85" s="109">
        <f t="shared" si="114"/>
        <v>94.29</v>
      </c>
      <c r="AR85" s="109">
        <f t="shared" si="114"/>
        <v>94.07</v>
      </c>
      <c r="AS85" s="109">
        <f t="shared" si="114"/>
        <v>105.79</v>
      </c>
      <c r="AT85" s="109">
        <f>+AT68</f>
        <v>97.59</v>
      </c>
      <c r="AU85" s="110">
        <f>AVERAGE(AQ85:AT85)</f>
        <v>97.935000000000002</v>
      </c>
      <c r="AV85" s="109">
        <f t="shared" si="115"/>
        <v>98.69</v>
      </c>
      <c r="AW85" s="109">
        <f t="shared" si="115"/>
        <v>103.05</v>
      </c>
      <c r="AX85" s="554">
        <f t="shared" si="115"/>
        <v>97.56</v>
      </c>
      <c r="AY85" s="554">
        <f t="shared" ref="AY85:BA86" si="120">+AY68</f>
        <v>73.62</v>
      </c>
      <c r="AZ85" s="110">
        <f>AVERAGE(AV85:AY85)</f>
        <v>93.23</v>
      </c>
      <c r="BA85" s="554">
        <f t="shared" si="120"/>
        <v>48.49</v>
      </c>
      <c r="BB85" s="554">
        <f t="shared" ref="BB85:BD88" si="121">+BB68</f>
        <v>57.85</v>
      </c>
      <c r="BC85" s="554">
        <f t="shared" si="121"/>
        <v>46.45</v>
      </c>
      <c r="BD85" s="554">
        <f t="shared" si="121"/>
        <v>42.07</v>
      </c>
      <c r="BE85" s="110">
        <f>AVERAGE(BA85:BD85)</f>
        <v>48.715000000000003</v>
      </c>
      <c r="BF85" s="554">
        <f t="shared" ref="BF85" si="122">+BF68</f>
        <v>33.450000000000003</v>
      </c>
      <c r="BG85" s="554">
        <f t="shared" ref="BG85" si="123">+BG68</f>
        <v>45.53</v>
      </c>
      <c r="BH85" s="554">
        <f t="shared" ref="BH85" si="124">+BH68</f>
        <v>44.88</v>
      </c>
      <c r="BI85" s="554">
        <f t="shared" ref="BI85:BK85" si="125">+BI68</f>
        <v>49.23</v>
      </c>
      <c r="BJ85" s="110">
        <f>AVERAGE(BF85:BI85)</f>
        <v>43.272500000000001</v>
      </c>
      <c r="BK85" s="554">
        <f t="shared" si="125"/>
        <v>51.7</v>
      </c>
      <c r="BL85" s="554">
        <f t="shared" ref="BL85:BM85" si="126">+BL68</f>
        <v>48.11</v>
      </c>
      <c r="BM85" s="554">
        <f t="shared" si="126"/>
        <v>48.18</v>
      </c>
      <c r="BN85" s="554">
        <f t="shared" ref="BN85:BP85" si="127">+BN68</f>
        <v>55.23</v>
      </c>
      <c r="BO85" s="110">
        <f>AVERAGE(BK85:BN85)</f>
        <v>50.805</v>
      </c>
      <c r="BP85" s="554">
        <f t="shared" si="127"/>
        <v>62.910000000000004</v>
      </c>
      <c r="BQ85" s="111">
        <v>61.4</v>
      </c>
      <c r="BR85" s="111">
        <v>61.4</v>
      </c>
      <c r="BS85" s="111">
        <v>61.4</v>
      </c>
      <c r="BT85" s="110">
        <f>AVERAGE(BP85:BS85)</f>
        <v>61.777500000000003</v>
      </c>
      <c r="BU85" s="111">
        <f>BP85*1.025</f>
        <v>64.482749999999996</v>
      </c>
      <c r="BV85" s="111">
        <f t="shared" si="116"/>
        <v>62.934999999999995</v>
      </c>
      <c r="BW85" s="111">
        <f t="shared" si="116"/>
        <v>62.934999999999995</v>
      </c>
      <c r="BX85" s="111">
        <f t="shared" si="116"/>
        <v>62.934999999999995</v>
      </c>
      <c r="BY85" s="110">
        <f>AVERAGE(BU85:BX85)</f>
        <v>63.321937499999997</v>
      </c>
      <c r="BZ85" s="111">
        <f>BU85*1.025</f>
        <v>66.094818749999988</v>
      </c>
      <c r="CA85" s="111">
        <f t="shared" si="117"/>
        <v>64.508374999999987</v>
      </c>
      <c r="CB85" s="111">
        <f t="shared" si="118"/>
        <v>64.508374999999987</v>
      </c>
      <c r="CC85" s="111">
        <f t="shared" si="119"/>
        <v>64.508374999999987</v>
      </c>
      <c r="CD85" s="110">
        <f>AVERAGE(BZ85:CC85)</f>
        <v>64.904985937499987</v>
      </c>
      <c r="CE85" s="47"/>
      <c r="CF85" s="47"/>
      <c r="CP85" s="50"/>
      <c r="CQ85" s="50"/>
      <c r="CR85" s="50"/>
      <c r="CS85" s="50"/>
      <c r="CT85" s="50"/>
      <c r="CU85" s="50"/>
      <c r="CV85" s="50"/>
      <c r="CW85" s="50"/>
      <c r="CX85" s="50"/>
      <c r="CY85" s="50"/>
      <c r="CZ85" s="50"/>
      <c r="DA85" s="50"/>
    </row>
    <row r="86" spans="1:105" ht="12.75" customHeight="1">
      <c r="A86" s="56"/>
      <c r="B86" s="121" t="s">
        <v>1679</v>
      </c>
      <c r="C86" s="182"/>
      <c r="D86" s="182"/>
      <c r="E86" s="182"/>
      <c r="F86" s="110">
        <f t="shared" ref="F86:AR86" si="128">F$17</f>
        <v>20.61</v>
      </c>
      <c r="G86" s="110">
        <f t="shared" si="128"/>
        <v>28.77</v>
      </c>
      <c r="H86" s="109">
        <f t="shared" si="128"/>
        <v>35.270000000000003</v>
      </c>
      <c r="I86" s="109">
        <f t="shared" si="128"/>
        <v>36.18</v>
      </c>
      <c r="J86" s="109">
        <f t="shared" si="128"/>
        <v>39.83</v>
      </c>
      <c r="K86" s="109">
        <f t="shared" si="128"/>
        <v>26.33</v>
      </c>
      <c r="L86" s="110">
        <f t="shared" si="128"/>
        <v>34.39</v>
      </c>
      <c r="M86" s="109">
        <f t="shared" si="128"/>
        <v>27.33</v>
      </c>
      <c r="N86" s="109">
        <f t="shared" si="128"/>
        <v>39.56</v>
      </c>
      <c r="O86" s="109">
        <f t="shared" si="128"/>
        <v>41.95</v>
      </c>
      <c r="P86" s="109">
        <f t="shared" si="128"/>
        <v>48.98</v>
      </c>
      <c r="Q86" s="110">
        <f t="shared" si="128"/>
        <v>39.81</v>
      </c>
      <c r="R86" s="109">
        <f t="shared" si="128"/>
        <v>46.86</v>
      </c>
      <c r="S86" s="109">
        <f t="shared" si="128"/>
        <v>63.15</v>
      </c>
      <c r="T86" s="109">
        <f t="shared" si="128"/>
        <v>52.94</v>
      </c>
      <c r="U86" s="109">
        <f t="shared" si="128"/>
        <v>20.010000000000002</v>
      </c>
      <c r="V86" s="110">
        <f t="shared" si="128"/>
        <v>45.59</v>
      </c>
      <c r="W86" s="109">
        <f t="shared" si="128"/>
        <v>19.52</v>
      </c>
      <c r="X86" s="109">
        <f t="shared" si="128"/>
        <v>32.630000000000003</v>
      </c>
      <c r="Y86" s="109">
        <f t="shared" si="128"/>
        <v>35.549999999999997</v>
      </c>
      <c r="Z86" s="109">
        <f t="shared" si="128"/>
        <v>35.83</v>
      </c>
      <c r="AA86" s="110">
        <f t="shared" si="128"/>
        <v>31.32</v>
      </c>
      <c r="AB86" s="109">
        <f t="shared" si="128"/>
        <v>35.520000000000003</v>
      </c>
      <c r="AC86" s="109">
        <f t="shared" si="128"/>
        <v>35.61</v>
      </c>
      <c r="AD86" s="109">
        <f t="shared" si="128"/>
        <v>35.94</v>
      </c>
      <c r="AE86" s="109">
        <f t="shared" si="128"/>
        <v>40.619999999999997</v>
      </c>
      <c r="AF86" s="110">
        <f t="shared" si="128"/>
        <v>36.96</v>
      </c>
      <c r="AG86" s="109">
        <f t="shared" si="128"/>
        <v>49.18</v>
      </c>
      <c r="AH86" s="109">
        <f t="shared" si="128"/>
        <v>50.26</v>
      </c>
      <c r="AI86" s="109">
        <f t="shared" si="128"/>
        <v>49.12</v>
      </c>
      <c r="AJ86" s="109">
        <f t="shared" si="128"/>
        <v>49.69</v>
      </c>
      <c r="AK86" s="110">
        <f t="shared" si="128"/>
        <v>49.5625</v>
      </c>
      <c r="AL86" s="109">
        <f t="shared" si="128"/>
        <v>58.2</v>
      </c>
      <c r="AM86" s="109">
        <f t="shared" si="128"/>
        <v>48.22</v>
      </c>
      <c r="AN86" s="109">
        <f t="shared" si="128"/>
        <v>55.24</v>
      </c>
      <c r="AO86" s="109">
        <f t="shared" si="128"/>
        <v>54.03</v>
      </c>
      <c r="AP86" s="110">
        <f t="shared" si="128"/>
        <v>53.922499999999999</v>
      </c>
      <c r="AQ86" s="109">
        <f t="shared" si="128"/>
        <v>55.24</v>
      </c>
      <c r="AR86" s="109">
        <f t="shared" si="128"/>
        <v>51.28</v>
      </c>
      <c r="AS86" s="109">
        <f>AS$17</f>
        <v>57.11</v>
      </c>
      <c r="AT86" s="109">
        <f>AT$17</f>
        <v>55.95</v>
      </c>
      <c r="AU86" s="403">
        <f>AVERAGE(AQ86:AT86)</f>
        <v>54.894999999999996</v>
      </c>
      <c r="AV86" s="109">
        <f>AV$17</f>
        <v>54.55</v>
      </c>
      <c r="AW86" s="109">
        <f>AW$17</f>
        <v>57.51</v>
      </c>
      <c r="AX86" s="554">
        <f>AX$17</f>
        <v>51.42</v>
      </c>
      <c r="AY86" s="554">
        <f t="shared" si="120"/>
        <v>38.79</v>
      </c>
      <c r="AZ86" s="403">
        <f>AVERAGE(AV86:AY86)</f>
        <v>50.567500000000003</v>
      </c>
      <c r="BA86" s="554">
        <f t="shared" ca="1" si="120"/>
        <v>27.29736072862314</v>
      </c>
      <c r="BB86" s="554">
        <f t="shared" ca="1" si="121"/>
        <v>31.025322719298448</v>
      </c>
      <c r="BC86" s="554">
        <f t="shared" ca="1" si="121"/>
        <v>25.668138045040859</v>
      </c>
      <c r="BD86" s="554">
        <f t="shared" ca="1" si="121"/>
        <v>22.517681501283768</v>
      </c>
      <c r="BE86" s="110">
        <f ca="1">AVERAGE(BA86:BD86)</f>
        <v>26.627125748561554</v>
      </c>
      <c r="BF86" s="554">
        <f t="shared" ref="BF86" ca="1" si="129">+BF69</f>
        <v>17.907028258408268</v>
      </c>
      <c r="BG86" s="554">
        <f t="shared" ref="BG86" ca="1" si="130">+BG69</f>
        <v>23.376896922308433</v>
      </c>
      <c r="BH86" s="554">
        <f t="shared" ref="BH86" ca="1" si="131">+BH69</f>
        <v>23.503666410656333</v>
      </c>
      <c r="BI86" s="554">
        <f t="shared" ref="BI86:BK86" ca="1" si="132">+BI69</f>
        <v>25.132889094238614</v>
      </c>
      <c r="BJ86" s="403">
        <f ca="1">AVERAGE(BF86:BI86)</f>
        <v>22.480120171402909</v>
      </c>
      <c r="BK86" s="554">
        <f t="shared" ca="1" si="132"/>
        <v>27.179981572745454</v>
      </c>
      <c r="BL86" s="554">
        <f t="shared" ref="BL86:BM86" ca="1" si="133">+BL69</f>
        <v>25.278439247526943</v>
      </c>
      <c r="BM86" s="554">
        <f t="shared" ca="1" si="133"/>
        <v>26.424059808893158</v>
      </c>
      <c r="BN86" s="554">
        <f t="shared" ref="BN86:BP86" ca="1" si="134">+BN69</f>
        <v>30.734222412721785</v>
      </c>
      <c r="BO86" s="403">
        <f ca="1">AVERAGE(BK86:BN86)</f>
        <v>27.404175760471837</v>
      </c>
      <c r="BP86" s="554">
        <f t="shared" ca="1" si="134"/>
        <v>33.396381668027708</v>
      </c>
      <c r="BQ86" s="402">
        <f t="shared" ref="BQ86:BS86" ca="1" si="135">BQ84*$CM$10+$CM$11</f>
        <v>33.664006143428828</v>
      </c>
      <c r="BR86" s="402">
        <f t="shared" ca="1" si="135"/>
        <v>33.664006143428828</v>
      </c>
      <c r="BS86" s="402">
        <f t="shared" ca="1" si="135"/>
        <v>33.664006143428828</v>
      </c>
      <c r="BT86" s="403">
        <f ca="1">AVERAGE(BP86:BS86)</f>
        <v>33.597100024578545</v>
      </c>
      <c r="BU86" s="402">
        <f ca="1">BU84*$CM$10+$CM$11</f>
        <v>34.182000358317055</v>
      </c>
      <c r="BV86" s="402">
        <f ca="1">BV84*$CM$10+$CM$11</f>
        <v>34.456315445603209</v>
      </c>
      <c r="BW86" s="402">
        <f ca="1">BW84*$CM$10+$CM$11</f>
        <v>34.456315445603209</v>
      </c>
      <c r="BX86" s="402">
        <f ca="1">BX84*$CM$10+$CM$11</f>
        <v>34.456315445603209</v>
      </c>
      <c r="BY86" s="403">
        <f ca="1">AVERAGE(BU86:BX86)</f>
        <v>34.387736673781674</v>
      </c>
      <c r="BZ86" s="402">
        <f t="shared" ref="BZ86:CC86" ca="1" si="136">BZ84*$CM$10+$CM$11</f>
        <v>34.987259515863641</v>
      </c>
      <c r="CA86" s="402">
        <f t="shared" ca="1" si="136"/>
        <v>35.268432480331946</v>
      </c>
      <c r="CB86" s="402">
        <f t="shared" ca="1" si="136"/>
        <v>35.268432480331946</v>
      </c>
      <c r="CC86" s="402">
        <f t="shared" ca="1" si="136"/>
        <v>35.268432480331946</v>
      </c>
      <c r="CD86" s="403">
        <f ca="1">AVERAGE(BZ86:CC86)</f>
        <v>35.198139239214868</v>
      </c>
      <c r="CE86" s="47"/>
      <c r="CF86" s="47"/>
      <c r="CP86" s="50"/>
      <c r="CQ86" s="50"/>
      <c r="CR86" s="50"/>
      <c r="CS86" s="50"/>
      <c r="CT86" s="50"/>
      <c r="CU86" s="50"/>
      <c r="CV86" s="50"/>
      <c r="CW86" s="50"/>
      <c r="CX86" s="50"/>
      <c r="CY86" s="50"/>
      <c r="CZ86" s="50"/>
      <c r="DA86" s="50"/>
    </row>
    <row r="87" spans="1:105" ht="12.75" customHeight="1">
      <c r="A87" s="56"/>
      <c r="B87" s="47" t="s">
        <v>2458</v>
      </c>
      <c r="C87" s="110">
        <v>4.26</v>
      </c>
      <c r="D87" s="110">
        <v>3.22</v>
      </c>
      <c r="E87" s="110">
        <v>5.37</v>
      </c>
      <c r="F87" s="110">
        <v>6.13</v>
      </c>
      <c r="G87" s="110">
        <v>8.65</v>
      </c>
      <c r="H87" s="109">
        <v>9.01</v>
      </c>
      <c r="I87" s="109">
        <v>6.8</v>
      </c>
      <c r="J87" s="109">
        <v>6.58</v>
      </c>
      <c r="K87" s="109">
        <v>6.56</v>
      </c>
      <c r="L87" s="110">
        <v>7.24</v>
      </c>
      <c r="M87" s="109">
        <v>6.77</v>
      </c>
      <c r="N87" s="109">
        <v>7.55</v>
      </c>
      <c r="O87" s="109">
        <v>6.16</v>
      </c>
      <c r="P87" s="109">
        <v>6.97</v>
      </c>
      <c r="Q87" s="110">
        <v>6.86</v>
      </c>
      <c r="R87" s="109">
        <v>8.0299999999999994</v>
      </c>
      <c r="S87" s="109">
        <v>10.94</v>
      </c>
      <c r="T87" s="109">
        <v>10.25</v>
      </c>
      <c r="U87" s="109">
        <v>6.95</v>
      </c>
      <c r="V87" s="110">
        <v>9.0399999999999991</v>
      </c>
      <c r="W87" s="109">
        <v>4.91</v>
      </c>
      <c r="X87" s="109">
        <v>3.51</v>
      </c>
      <c r="Y87" s="109">
        <v>3.39</v>
      </c>
      <c r="Z87" s="109">
        <v>4.16</v>
      </c>
      <c r="AA87" s="110">
        <v>3.99</v>
      </c>
      <c r="AB87" s="109">
        <v>5.3</v>
      </c>
      <c r="AC87" s="109">
        <v>4.09</v>
      </c>
      <c r="AD87" s="109">
        <v>4.38</v>
      </c>
      <c r="AE87" s="109">
        <v>3.8</v>
      </c>
      <c r="AF87" s="110">
        <v>4.3899999999999997</v>
      </c>
      <c r="AG87" s="109">
        <f>+AG70</f>
        <v>4.1100000000000003</v>
      </c>
      <c r="AH87" s="109">
        <f>+AH70</f>
        <v>4.32</v>
      </c>
      <c r="AI87" s="109">
        <f>+AI70</f>
        <v>4.2</v>
      </c>
      <c r="AJ87" s="109">
        <f>+AJ70</f>
        <v>3.54</v>
      </c>
      <c r="AK87" s="110">
        <f>AVERAGE(AG87:AJ87)</f>
        <v>4.0424999999999995</v>
      </c>
      <c r="AL87" s="109">
        <f>+AL70</f>
        <v>2.72</v>
      </c>
      <c r="AM87" s="109">
        <f>+AM70</f>
        <v>2.21</v>
      </c>
      <c r="AN87" s="109">
        <f>+AN70</f>
        <v>2.8</v>
      </c>
      <c r="AO87" s="109">
        <f>+AO70</f>
        <v>3.41</v>
      </c>
      <c r="AP87" s="110">
        <f>AVERAGE(AL87:AO87)</f>
        <v>2.7850000000000001</v>
      </c>
      <c r="AQ87" s="109">
        <f>+AQ70</f>
        <v>3.34</v>
      </c>
      <c r="AR87" s="109">
        <f>+AR70</f>
        <v>4.0999999999999996</v>
      </c>
      <c r="AS87" s="109">
        <f>+AS70</f>
        <v>3.58</v>
      </c>
      <c r="AT87" s="109">
        <f>+AT70</f>
        <v>3.6</v>
      </c>
      <c r="AU87" s="110">
        <f>AVERAGE(AQ87:AT87)</f>
        <v>3.6549999999999998</v>
      </c>
      <c r="AV87" s="109">
        <f t="shared" ref="AV87:AY88" si="137">+AV70</f>
        <v>4.95</v>
      </c>
      <c r="AW87" s="109">
        <f t="shared" si="137"/>
        <v>4.68</v>
      </c>
      <c r="AX87" s="109">
        <f t="shared" si="137"/>
        <v>4.07</v>
      </c>
      <c r="AY87" s="109">
        <f t="shared" si="137"/>
        <v>4.04</v>
      </c>
      <c r="AZ87" s="110">
        <f>AVERAGE(AV87:AY87)</f>
        <v>4.4349999999999996</v>
      </c>
      <c r="BA87" s="109">
        <f>+BA70</f>
        <v>2.99</v>
      </c>
      <c r="BB87" s="109">
        <f t="shared" si="121"/>
        <v>2.65</v>
      </c>
      <c r="BC87" s="109">
        <f t="shared" si="121"/>
        <v>2.77</v>
      </c>
      <c r="BD87" s="109">
        <f t="shared" si="121"/>
        <v>2.27</v>
      </c>
      <c r="BE87" s="110">
        <f>AVERAGE(BA87:BD87)</f>
        <v>2.67</v>
      </c>
      <c r="BF87" s="109">
        <f t="shared" ref="BF87" si="138">+BF70</f>
        <v>2.09</v>
      </c>
      <c r="BG87" s="109">
        <f t="shared" ref="BG87" si="139">+BG70</f>
        <v>1.95</v>
      </c>
      <c r="BH87" s="109">
        <f t="shared" ref="BH87" si="140">+BH70</f>
        <v>2.81</v>
      </c>
      <c r="BI87" s="109">
        <f t="shared" ref="BI87:BK87" si="141">+BI70</f>
        <v>2.98</v>
      </c>
      <c r="BJ87" s="110">
        <f>AVERAGE(BF87:BI87)</f>
        <v>2.4575</v>
      </c>
      <c r="BK87" s="109">
        <f t="shared" si="141"/>
        <v>3.32</v>
      </c>
      <c r="BL87" s="109">
        <f t="shared" ref="BL87:BM87" si="142">+BL70</f>
        <v>3.19</v>
      </c>
      <c r="BM87" s="109">
        <f t="shared" si="142"/>
        <v>2.99</v>
      </c>
      <c r="BN87" s="109">
        <f t="shared" ref="BN87:BP87" si="143">+BN70</f>
        <v>2.93</v>
      </c>
      <c r="BO87" s="110">
        <f>AVERAGE(BK87:BN87)</f>
        <v>3.1074999999999999</v>
      </c>
      <c r="BP87" s="109">
        <f t="shared" si="143"/>
        <v>2.96</v>
      </c>
      <c r="BQ87" s="573">
        <v>2.67</v>
      </c>
      <c r="BR87" s="573">
        <v>2.7199999999999998</v>
      </c>
      <c r="BS87" s="573">
        <v>2.91</v>
      </c>
      <c r="BT87" s="644">
        <f>AVERAGE(BP87:BS87)</f>
        <v>2.8149999999999999</v>
      </c>
      <c r="BU87" s="111">
        <v>2.7800000000000002</v>
      </c>
      <c r="BV87" s="111">
        <v>2.7800000000000002</v>
      </c>
      <c r="BW87" s="111">
        <v>2.7800000000000002</v>
      </c>
      <c r="BX87" s="111">
        <v>2.7800000000000002</v>
      </c>
      <c r="BY87" s="110">
        <f>AVERAGE(BU87:BX87)</f>
        <v>2.7800000000000002</v>
      </c>
      <c r="BZ87" s="111">
        <f>BX87*(1+2.5%)^(1/4)</f>
        <v>2.7972144447852685</v>
      </c>
      <c r="CA87" s="111">
        <f t="shared" ref="CA87:CA88" si="144">BZ87*(1+2.5%)^(1/4)</f>
        <v>2.814535485653006</v>
      </c>
      <c r="CB87" s="111">
        <f t="shared" ref="CB87:CB88" si="145">CA87*(1+2.5%)^(1/4)</f>
        <v>2.8319637826724131</v>
      </c>
      <c r="CC87" s="111">
        <f t="shared" ref="CC87:CC88" si="146">CB87*(1+2.5%)^(1/4)</f>
        <v>2.8495000000000008</v>
      </c>
      <c r="CD87" s="110">
        <f>AVERAGE(BZ87:CC87)</f>
        <v>2.8233034282776721</v>
      </c>
      <c r="CE87" s="47"/>
      <c r="CF87" s="47"/>
      <c r="CP87" s="50"/>
      <c r="CQ87" s="50"/>
      <c r="CR87" s="50"/>
      <c r="CS87" s="50"/>
      <c r="CT87" s="50"/>
      <c r="CU87" s="50"/>
      <c r="CV87" s="50"/>
      <c r="CW87" s="50"/>
      <c r="CX87" s="50"/>
      <c r="CY87" s="50"/>
      <c r="CZ87" s="50"/>
      <c r="DA87" s="50"/>
    </row>
    <row r="88" spans="1:105" ht="12.75" customHeight="1">
      <c r="A88" s="56"/>
      <c r="B88" s="121" t="s">
        <v>3101</v>
      </c>
      <c r="C88" s="259"/>
      <c r="D88" s="259"/>
      <c r="E88" s="293">
        <v>20.28</v>
      </c>
      <c r="F88" s="110">
        <v>24.39</v>
      </c>
      <c r="G88" s="110">
        <v>40.71</v>
      </c>
      <c r="H88" s="109">
        <v>70</v>
      </c>
      <c r="I88" s="109">
        <v>34.549999999999997</v>
      </c>
      <c r="J88" s="109">
        <v>33.72</v>
      </c>
      <c r="K88" s="109">
        <v>29.92</v>
      </c>
      <c r="L88" s="110">
        <v>42.19</v>
      </c>
      <c r="M88" s="109">
        <v>22.33</v>
      </c>
      <c r="N88" s="109">
        <v>20.239999999999998</v>
      </c>
      <c r="O88" s="109">
        <v>30.58</v>
      </c>
      <c r="P88" s="109">
        <v>46.7</v>
      </c>
      <c r="Q88" s="110">
        <v>29.95</v>
      </c>
      <c r="R88" s="109">
        <v>52.94</v>
      </c>
      <c r="S88" s="109">
        <v>60.72</v>
      </c>
      <c r="T88" s="109">
        <v>61.48</v>
      </c>
      <c r="U88" s="109">
        <v>57.16</v>
      </c>
      <c r="V88" s="110">
        <v>58.12</v>
      </c>
      <c r="W88" s="109">
        <v>46.8</v>
      </c>
      <c r="X88" s="109">
        <v>27.51</v>
      </c>
      <c r="Y88" s="109">
        <v>21.57</v>
      </c>
      <c r="Z88" s="109">
        <v>27.75</v>
      </c>
      <c r="AA88" s="110">
        <v>30.85</v>
      </c>
      <c r="AB88" s="109">
        <v>35.65</v>
      </c>
      <c r="AC88" s="109">
        <v>38.26</v>
      </c>
      <c r="AD88" s="109">
        <v>43.14</v>
      </c>
      <c r="AE88" s="109">
        <v>52.43</v>
      </c>
      <c r="AF88" s="110">
        <v>42.45</v>
      </c>
      <c r="AG88" s="109">
        <v>56.94</v>
      </c>
      <c r="AH88" s="109">
        <v>57.47</v>
      </c>
      <c r="AI88" s="109">
        <v>54.28</v>
      </c>
      <c r="AJ88" s="109">
        <v>56.75</v>
      </c>
      <c r="AK88" s="110">
        <f>AVERAGE(AG88:AJ88)</f>
        <v>56.36</v>
      </c>
      <c r="AL88" s="109">
        <v>59.38</v>
      </c>
      <c r="AM88" s="109">
        <v>57.38</v>
      </c>
      <c r="AN88" s="109">
        <v>56.79</v>
      </c>
      <c r="AO88" s="109">
        <v>56.79</v>
      </c>
      <c r="AP88" s="403">
        <f>AVERAGE(AL88:AO88)</f>
        <v>57.585000000000001</v>
      </c>
      <c r="AQ88" s="109">
        <v>56.79</v>
      </c>
      <c r="AR88" s="109">
        <v>56.79</v>
      </c>
      <c r="AS88" s="109">
        <v>56.79</v>
      </c>
      <c r="AT88" s="109">
        <v>56.79</v>
      </c>
      <c r="AU88" s="403">
        <f>AVERAGE(AQ88:AT88)</f>
        <v>56.79</v>
      </c>
      <c r="AV88" s="109">
        <f t="shared" si="137"/>
        <v>60.28</v>
      </c>
      <c r="AW88" s="109">
        <f t="shared" si="137"/>
        <v>44.81</v>
      </c>
      <c r="AX88" s="109">
        <f t="shared" si="137"/>
        <v>42.17</v>
      </c>
      <c r="AY88" s="109">
        <f t="shared" si="137"/>
        <v>52.83</v>
      </c>
      <c r="AZ88" s="403">
        <f>AVERAGE(AV88:AY88)</f>
        <v>50.022499999999994</v>
      </c>
      <c r="BA88" s="109">
        <f>+BA71</f>
        <v>47.9</v>
      </c>
      <c r="BB88" s="109">
        <f t="shared" si="121"/>
        <v>44.63</v>
      </c>
      <c r="BC88" s="109">
        <f t="shared" si="121"/>
        <v>41.48</v>
      </c>
      <c r="BD88" s="109">
        <f t="shared" si="121"/>
        <v>36.64</v>
      </c>
      <c r="BE88" s="403">
        <f>AVERAGE(BA88:BD88)</f>
        <v>42.662499999999994</v>
      </c>
      <c r="BF88" s="109">
        <f t="shared" ref="BF88" si="147">+BF71</f>
        <v>30.42</v>
      </c>
      <c r="BG88" s="109">
        <f t="shared" ref="BG88" si="148">+BG71</f>
        <v>31.37</v>
      </c>
      <c r="BH88" s="109">
        <f t="shared" ref="BH88" si="149">+BH71</f>
        <v>31</v>
      </c>
      <c r="BI88" s="109">
        <f t="shared" ref="BI88:BK88" si="150">+BI71</f>
        <v>45.76</v>
      </c>
      <c r="BJ88" s="110">
        <f>AVERAGE(BF88:BI88)</f>
        <v>34.637500000000003</v>
      </c>
      <c r="BK88" s="109">
        <f t="shared" si="150"/>
        <v>48.19</v>
      </c>
      <c r="BL88" s="109">
        <f t="shared" ref="BL88:BM88" si="151">+BL71</f>
        <v>37.83</v>
      </c>
      <c r="BM88" s="109">
        <f t="shared" si="151"/>
        <v>41.59</v>
      </c>
      <c r="BN88" s="109">
        <f t="shared" ref="BN88:BP88" si="152">+BN71</f>
        <v>51.94</v>
      </c>
      <c r="BO88" s="110">
        <f>AVERAGE(BK88:BN88)</f>
        <v>44.887500000000003</v>
      </c>
      <c r="BP88" s="109">
        <f t="shared" si="152"/>
        <v>51.030999999999999</v>
      </c>
      <c r="BQ88" s="111">
        <v>42.92</v>
      </c>
      <c r="BR88" s="111">
        <v>44.89</v>
      </c>
      <c r="BS88" s="111">
        <v>53.5</v>
      </c>
      <c r="BT88" s="110">
        <f>AVERAGE(BP88:BS88)</f>
        <v>48.085250000000002</v>
      </c>
      <c r="BU88" s="111">
        <v>46.28</v>
      </c>
      <c r="BV88" s="111">
        <v>46.28</v>
      </c>
      <c r="BW88" s="111">
        <v>46.28</v>
      </c>
      <c r="BX88" s="111">
        <v>46.28</v>
      </c>
      <c r="BY88" s="110">
        <f>AVERAGE(BU88:BX88)</f>
        <v>46.28</v>
      </c>
      <c r="BZ88" s="111">
        <f>BX88*(1+2.5%)^(1/4)</f>
        <v>46.566577159950441</v>
      </c>
      <c r="CA88" s="111">
        <f t="shared" si="144"/>
        <v>46.854928876266591</v>
      </c>
      <c r="CB88" s="111">
        <f t="shared" si="145"/>
        <v>47.14506613743859</v>
      </c>
      <c r="CC88" s="111">
        <f t="shared" si="146"/>
        <v>47.437000000000012</v>
      </c>
      <c r="CD88" s="110">
        <f>AVERAGE(BZ88:CC88)</f>
        <v>47.00089304341391</v>
      </c>
      <c r="CE88" s="47"/>
      <c r="CF88" s="47"/>
      <c r="CP88" s="50"/>
      <c r="CQ88" s="50"/>
      <c r="CR88" s="50"/>
      <c r="CS88" s="50"/>
      <c r="CT88" s="50"/>
      <c r="CU88" s="50"/>
      <c r="CV88" s="50"/>
      <c r="CW88" s="50"/>
      <c r="CX88" s="50"/>
      <c r="CY88" s="50"/>
      <c r="CZ88" s="50"/>
      <c r="DA88" s="50"/>
    </row>
    <row r="89" spans="1:105" ht="12.75" customHeight="1">
      <c r="A89" s="54"/>
      <c r="B89" s="47"/>
      <c r="C89" s="88"/>
      <c r="D89" s="340"/>
      <c r="E89" s="340"/>
      <c r="F89" s="340"/>
      <c r="G89" s="340"/>
      <c r="H89" s="340"/>
      <c r="I89" s="340"/>
      <c r="J89" s="340"/>
      <c r="K89" s="340"/>
      <c r="L89" s="340"/>
      <c r="M89" s="340"/>
      <c r="N89" s="340"/>
      <c r="O89" s="340"/>
      <c r="P89" s="340"/>
      <c r="Q89" s="340"/>
      <c r="R89" s="340"/>
      <c r="S89" s="340"/>
      <c r="T89" s="340"/>
      <c r="U89" s="340"/>
      <c r="V89" s="340"/>
      <c r="W89" s="340"/>
      <c r="X89" s="340"/>
      <c r="Y89" s="340"/>
      <c r="Z89" s="340"/>
      <c r="AA89" s="340"/>
      <c r="AB89" s="340"/>
      <c r="AC89" s="340"/>
      <c r="AD89" s="340"/>
      <c r="AE89" s="340"/>
      <c r="AF89" s="340"/>
      <c r="AG89" s="88"/>
      <c r="AH89" s="88"/>
      <c r="AI89" s="88"/>
      <c r="AJ89" s="88"/>
      <c r="AK89" s="88"/>
      <c r="AL89" s="88"/>
      <c r="AM89" s="88"/>
      <c r="AN89" s="88"/>
      <c r="AO89" s="88"/>
      <c r="AP89" s="88"/>
      <c r="AQ89" s="88"/>
      <c r="AR89" s="88"/>
      <c r="AS89" s="88"/>
      <c r="AT89" s="88"/>
      <c r="AU89" s="88"/>
      <c r="AV89" s="88"/>
      <c r="AW89" s="88"/>
      <c r="AX89" s="88"/>
      <c r="AZ89" s="88"/>
      <c r="BB89" s="88"/>
      <c r="BC89" s="88"/>
      <c r="BD89" s="88"/>
      <c r="BF89" s="88"/>
      <c r="BG89" s="88"/>
      <c r="BH89" s="88"/>
      <c r="BI89" s="88"/>
      <c r="BK89" s="88"/>
      <c r="BL89" s="88"/>
      <c r="BM89" s="88"/>
      <c r="BN89" s="88"/>
      <c r="CE89" s="47"/>
      <c r="CF89" s="47"/>
      <c r="CP89" s="50"/>
      <c r="CQ89" s="50"/>
      <c r="CR89" s="50"/>
      <c r="CS89" s="50"/>
      <c r="CT89" s="50"/>
      <c r="CU89" s="50"/>
      <c r="CV89" s="50"/>
      <c r="CW89" s="50"/>
      <c r="CX89" s="50"/>
      <c r="CY89" s="50"/>
      <c r="CZ89" s="50"/>
      <c r="DA89" s="50"/>
    </row>
    <row r="90" spans="1:105" ht="12.75" customHeight="1">
      <c r="A90" s="148"/>
      <c r="B90" s="121"/>
      <c r="C90" s="88"/>
      <c r="D90" s="88"/>
      <c r="E90" s="88"/>
      <c r="F90" s="88"/>
      <c r="G90" s="88"/>
      <c r="H90" s="88"/>
      <c r="I90" s="88"/>
      <c r="J90" s="88"/>
      <c r="K90" s="88"/>
      <c r="L90" s="88"/>
      <c r="M90" s="88"/>
      <c r="N90" s="88"/>
      <c r="O90" s="88"/>
      <c r="P90" s="88"/>
      <c r="Q90" s="88"/>
      <c r="R90" s="88"/>
      <c r="S90" s="88"/>
      <c r="T90" s="88"/>
      <c r="U90" s="88"/>
      <c r="V90" s="88"/>
      <c r="W90" s="88"/>
      <c r="X90" s="88"/>
      <c r="Y90" s="88"/>
      <c r="Z90" s="88"/>
      <c r="AA90" s="88"/>
      <c r="AB90" s="88"/>
      <c r="AC90" s="88"/>
      <c r="AD90" s="88"/>
      <c r="AE90" s="88"/>
      <c r="AF90" s="88"/>
      <c r="AG90" s="88"/>
      <c r="AH90" s="88"/>
      <c r="AI90" s="88"/>
      <c r="AJ90" s="88"/>
      <c r="AK90" s="88"/>
      <c r="AL90" s="88"/>
      <c r="AM90" s="88"/>
      <c r="AN90" s="88"/>
      <c r="AO90" s="88"/>
      <c r="AP90" s="88"/>
      <c r="AQ90" s="88"/>
      <c r="AR90" s="88"/>
      <c r="AS90" s="88"/>
      <c r="AT90" s="88"/>
      <c r="AU90" s="88"/>
      <c r="AV90" s="88"/>
      <c r="AW90" s="88"/>
      <c r="AX90" s="88"/>
      <c r="AY90" s="88"/>
      <c r="AZ90" s="88"/>
      <c r="BA90" s="88"/>
      <c r="BB90" s="88"/>
      <c r="BC90" s="88"/>
      <c r="BD90" s="88"/>
      <c r="BE90" s="88"/>
      <c r="BF90" s="88"/>
      <c r="BG90" s="88"/>
      <c r="BH90" s="88"/>
      <c r="BI90" s="88"/>
      <c r="BJ90" s="88"/>
      <c r="BK90" s="88"/>
      <c r="BL90" s="88"/>
      <c r="BM90" s="88"/>
      <c r="BN90" s="88"/>
      <c r="BO90" s="88"/>
      <c r="BP90" s="88"/>
      <c r="BQ90" s="88"/>
      <c r="BR90" s="88"/>
      <c r="BS90" s="88"/>
      <c r="BT90" s="88"/>
      <c r="BU90" s="88"/>
      <c r="BV90" s="88"/>
      <c r="BW90" s="88"/>
      <c r="BX90" s="88"/>
      <c r="BY90" s="88"/>
      <c r="BZ90" s="88"/>
      <c r="CA90" s="88"/>
      <c r="CB90" s="88"/>
      <c r="CC90" s="88"/>
      <c r="CD90" s="88"/>
      <c r="CE90" s="5"/>
      <c r="CF90" s="47"/>
      <c r="CP90" s="50"/>
      <c r="CQ90" s="50"/>
      <c r="CR90" s="50"/>
      <c r="CS90" s="50"/>
      <c r="CT90" s="50"/>
      <c r="CU90" s="50"/>
      <c r="CV90" s="50"/>
      <c r="CW90" s="50"/>
      <c r="CX90" s="50"/>
      <c r="CY90" s="50"/>
      <c r="CZ90" s="50"/>
      <c r="DA90" s="50"/>
    </row>
    <row r="91" spans="1:105" ht="12.75" customHeight="1">
      <c r="A91" s="121"/>
      <c r="B91" s="121"/>
      <c r="C91" s="182"/>
      <c r="D91" s="182"/>
      <c r="E91" s="182"/>
      <c r="F91" s="182"/>
      <c r="G91" s="182"/>
      <c r="H91" s="182"/>
      <c r="I91" s="182"/>
      <c r="J91" s="182"/>
      <c r="K91" s="182"/>
      <c r="L91" s="182"/>
      <c r="M91" s="109"/>
      <c r="N91" s="109"/>
      <c r="O91" s="109"/>
      <c r="P91" s="109"/>
      <c r="Q91" s="110"/>
      <c r="R91" s="109"/>
      <c r="S91" s="109"/>
      <c r="T91" s="109"/>
      <c r="U91" s="109"/>
      <c r="V91" s="110"/>
      <c r="W91" s="109"/>
      <c r="X91" s="109"/>
      <c r="Y91" s="109"/>
      <c r="Z91" s="109"/>
      <c r="AA91" s="110"/>
      <c r="AB91" s="109"/>
      <c r="AC91" s="109"/>
      <c r="AD91" s="109"/>
      <c r="AE91" s="109"/>
      <c r="AF91" s="110"/>
      <c r="AG91" s="109"/>
      <c r="AH91" s="109"/>
      <c r="AI91" s="109"/>
      <c r="AJ91" s="109"/>
      <c r="AK91" s="110"/>
      <c r="AL91" s="109"/>
      <c r="AM91" s="109"/>
      <c r="AN91" s="109"/>
      <c r="AO91" s="109"/>
      <c r="AP91" s="403"/>
      <c r="AQ91" s="109"/>
      <c r="AR91" s="109"/>
      <c r="AS91" s="109"/>
      <c r="AT91" s="109"/>
      <c r="AU91" s="403"/>
      <c r="AV91" s="109"/>
      <c r="AW91" s="109"/>
      <c r="AX91" s="109"/>
      <c r="AY91" s="109"/>
      <c r="AZ91" s="403"/>
      <c r="BA91" s="109"/>
      <c r="BB91" s="109"/>
      <c r="BC91" s="109"/>
      <c r="BD91" s="109"/>
      <c r="BE91" s="109"/>
      <c r="BF91" s="109"/>
      <c r="BG91" s="109"/>
      <c r="BH91" s="109"/>
      <c r="BI91" s="109"/>
      <c r="BJ91" s="109"/>
      <c r="BK91" s="109"/>
      <c r="BL91" s="109"/>
      <c r="BM91" s="109"/>
      <c r="BN91" s="109"/>
      <c r="BO91" s="109"/>
      <c r="BP91" s="109"/>
      <c r="BQ91" s="109"/>
      <c r="BR91" s="109"/>
      <c r="BS91" s="109"/>
      <c r="BT91" s="109"/>
      <c r="BU91" s="109"/>
      <c r="BV91" s="109"/>
      <c r="BW91" s="109"/>
      <c r="BX91" s="109"/>
      <c r="BY91" s="109"/>
      <c r="BZ91" s="109"/>
      <c r="CA91" s="109"/>
      <c r="CB91" s="109"/>
      <c r="CC91" s="109"/>
      <c r="CD91" s="109"/>
      <c r="CE91" s="109"/>
      <c r="CF91" s="47"/>
      <c r="CP91" s="50"/>
      <c r="CQ91" s="50"/>
      <c r="CR91" s="50"/>
      <c r="CS91" s="50"/>
      <c r="CT91" s="50"/>
      <c r="CU91" s="50"/>
      <c r="CV91" s="50"/>
      <c r="CW91" s="50"/>
      <c r="CX91" s="50"/>
      <c r="CY91" s="50"/>
      <c r="CZ91" s="50"/>
      <c r="DA91" s="50"/>
    </row>
    <row r="92" spans="1:105" ht="12.75" customHeight="1">
      <c r="A92" s="121"/>
      <c r="B92" s="121"/>
      <c r="C92" s="182"/>
      <c r="D92" s="182"/>
      <c r="E92" s="182"/>
      <c r="F92" s="182"/>
      <c r="G92" s="182"/>
      <c r="H92" s="182"/>
      <c r="I92" s="182"/>
      <c r="J92" s="182"/>
      <c r="K92" s="182"/>
      <c r="L92" s="182"/>
      <c r="M92" s="109"/>
      <c r="N92" s="109"/>
      <c r="O92" s="109"/>
      <c r="P92" s="109"/>
      <c r="Q92" s="110"/>
      <c r="R92" s="109"/>
      <c r="S92" s="109"/>
      <c r="T92" s="109"/>
      <c r="U92" s="109"/>
      <c r="V92" s="110"/>
      <c r="W92" s="109"/>
      <c r="X92" s="109"/>
      <c r="Y92" s="109"/>
      <c r="Z92" s="109"/>
      <c r="AA92" s="110"/>
      <c r="AB92" s="109"/>
      <c r="AC92" s="109"/>
      <c r="AD92" s="109"/>
      <c r="AE92" s="109"/>
      <c r="AF92" s="110"/>
      <c r="AG92" s="109"/>
      <c r="AH92" s="109"/>
      <c r="AI92" s="109"/>
      <c r="AJ92" s="109"/>
      <c r="AK92" s="110"/>
      <c r="AL92" s="109"/>
      <c r="AM92" s="109"/>
      <c r="AN92" s="109"/>
      <c r="AO92" s="109"/>
      <c r="AP92" s="403"/>
      <c r="AQ92" s="109"/>
      <c r="AR92" s="109"/>
      <c r="AS92" s="109"/>
      <c r="AT92" s="109"/>
      <c r="AU92" s="403"/>
      <c r="AV92" s="109"/>
      <c r="AW92" s="109"/>
      <c r="AX92" s="109"/>
      <c r="AY92" s="109"/>
      <c r="AZ92" s="403"/>
      <c r="BA92" s="109"/>
      <c r="BB92" s="109"/>
      <c r="BC92" s="109"/>
      <c r="BD92" s="109"/>
      <c r="BE92" s="109"/>
      <c r="BF92" s="109"/>
      <c r="BG92" s="109"/>
      <c r="BH92" s="109"/>
      <c r="BI92" s="109"/>
      <c r="BJ92" s="109"/>
      <c r="BK92" s="109"/>
      <c r="BL92" s="109"/>
      <c r="BM92" s="109"/>
      <c r="BN92" s="109"/>
      <c r="BO92" s="109"/>
      <c r="BP92" s="109"/>
      <c r="BQ92" s="109"/>
      <c r="BR92" s="109"/>
      <c r="BS92" s="109"/>
      <c r="BT92" s="109"/>
      <c r="BU92" s="109"/>
      <c r="BV92" s="109"/>
      <c r="BW92" s="109"/>
      <c r="BX92" s="109"/>
      <c r="BY92" s="109"/>
      <c r="BZ92" s="109"/>
      <c r="CA92" s="109"/>
      <c r="CB92" s="109"/>
      <c r="CC92" s="109"/>
      <c r="CD92" s="109"/>
      <c r="CE92" s="109"/>
      <c r="CF92" s="47"/>
      <c r="CP92" s="50"/>
      <c r="CQ92" s="50"/>
      <c r="CR92" s="50"/>
      <c r="CS92" s="50"/>
      <c r="CT92" s="50"/>
      <c r="CU92" s="50"/>
      <c r="CV92" s="50"/>
      <c r="CW92" s="50"/>
      <c r="CX92" s="50"/>
      <c r="CY92" s="50"/>
      <c r="CZ92" s="50"/>
      <c r="DA92" s="50"/>
    </row>
    <row r="93" spans="1:105">
      <c r="A93" s="39"/>
      <c r="B93" s="47"/>
      <c r="C93" s="88"/>
      <c r="D93" s="340"/>
      <c r="E93" s="340"/>
      <c r="F93" s="340"/>
      <c r="G93" s="340"/>
      <c r="H93" s="340"/>
      <c r="I93" s="340"/>
      <c r="J93" s="340"/>
      <c r="K93" s="340"/>
      <c r="L93" s="340"/>
      <c r="M93" s="340"/>
      <c r="N93" s="340"/>
      <c r="O93" s="340"/>
      <c r="P93" s="340"/>
      <c r="Q93" s="340"/>
      <c r="R93" s="340"/>
      <c r="S93" s="340"/>
      <c r="T93" s="340"/>
      <c r="U93" s="340"/>
      <c r="V93" s="340"/>
      <c r="W93" s="340"/>
      <c r="X93" s="340"/>
      <c r="Y93" s="340"/>
      <c r="Z93" s="340"/>
      <c r="AA93" s="340"/>
      <c r="AB93" s="340"/>
      <c r="AC93" s="340"/>
      <c r="AD93" s="340"/>
      <c r="AE93" s="340"/>
      <c r="AF93" s="340"/>
      <c r="AG93" s="88"/>
      <c r="AH93" s="88"/>
      <c r="AI93" s="88"/>
      <c r="AJ93" s="88"/>
      <c r="AK93" s="88"/>
      <c r="AL93" s="88"/>
      <c r="AM93" s="88"/>
      <c r="AN93" s="88"/>
      <c r="AO93" s="88"/>
      <c r="AP93" s="88"/>
      <c r="AQ93" s="88"/>
      <c r="AR93" s="88"/>
      <c r="AS93" s="88"/>
      <c r="AT93" s="88"/>
      <c r="AU93" s="88"/>
      <c r="AV93" s="88"/>
      <c r="AW93" s="88"/>
      <c r="AX93" s="88"/>
      <c r="AY93" s="88"/>
      <c r="AZ93" s="88"/>
      <c r="BA93" s="88"/>
      <c r="BB93" s="88"/>
      <c r="BC93" s="88"/>
      <c r="BD93" s="88"/>
      <c r="BE93" s="88"/>
      <c r="BF93" s="88"/>
      <c r="BG93" s="88"/>
      <c r="BH93" s="88"/>
      <c r="BI93" s="88"/>
      <c r="BJ93" s="47"/>
      <c r="BK93" s="88"/>
      <c r="BL93" s="88"/>
      <c r="BM93" s="88"/>
      <c r="BN93" s="88"/>
      <c r="BO93" s="47"/>
      <c r="BP93" s="47"/>
      <c r="BQ93" s="47"/>
      <c r="BR93" s="47"/>
      <c r="BS93" s="47"/>
      <c r="BT93" s="47"/>
      <c r="BU93" s="47"/>
      <c r="BV93" s="47"/>
      <c r="BW93" s="47"/>
      <c r="BX93" s="47"/>
      <c r="BY93" s="47"/>
      <c r="BZ93" s="47"/>
      <c r="CA93" s="47"/>
      <c r="CB93" s="47"/>
      <c r="CC93" s="47"/>
      <c r="CD93" s="47"/>
      <c r="CE93" s="47"/>
      <c r="CF93" s="5"/>
      <c r="CP93" s="50"/>
      <c r="CQ93" s="50"/>
      <c r="CR93" s="50"/>
      <c r="CS93" s="50"/>
      <c r="CT93" s="50"/>
      <c r="CU93" s="50"/>
      <c r="CV93" s="50"/>
      <c r="CW93" s="50"/>
      <c r="CX93" s="50"/>
      <c r="CY93" s="50"/>
      <c r="CZ93" s="50"/>
      <c r="DA93" s="50"/>
    </row>
    <row r="94" spans="1:105">
      <c r="A94" s="24" t="s">
        <v>3504</v>
      </c>
      <c r="B94" s="47"/>
      <c r="C94" s="88"/>
      <c r="D94" s="88"/>
      <c r="E94" s="88"/>
      <c r="F94" s="88"/>
      <c r="G94" s="88"/>
      <c r="H94" s="88"/>
      <c r="I94" s="88"/>
      <c r="J94" s="88"/>
      <c r="K94" s="88"/>
      <c r="L94" s="88"/>
      <c r="M94" s="88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88"/>
      <c r="AB94" s="88"/>
      <c r="AC94" s="88"/>
      <c r="AD94" s="88"/>
      <c r="AE94" s="88"/>
      <c r="AF94" s="88"/>
      <c r="AG94" s="88"/>
      <c r="AH94" s="88"/>
      <c r="AI94" s="88"/>
      <c r="AJ94" s="88"/>
      <c r="AK94" s="88"/>
      <c r="AL94" s="88"/>
      <c r="AM94" s="88"/>
      <c r="AN94" s="88"/>
      <c r="AO94" s="88"/>
      <c r="AP94" s="88"/>
      <c r="AQ94" s="88"/>
      <c r="AR94" s="88"/>
      <c r="AS94" s="88"/>
      <c r="AT94" s="88"/>
      <c r="AU94" s="88"/>
      <c r="AV94" s="88"/>
      <c r="AW94" s="88"/>
      <c r="AX94" s="88"/>
      <c r="AY94" s="88"/>
      <c r="AZ94" s="88"/>
      <c r="BA94" s="88"/>
      <c r="BB94" s="88"/>
      <c r="BC94" s="88"/>
      <c r="BD94" s="88"/>
      <c r="BE94" s="88"/>
      <c r="BF94" s="88"/>
      <c r="BG94" s="88"/>
      <c r="BH94" s="88"/>
      <c r="BI94" s="88"/>
      <c r="BJ94" s="47"/>
      <c r="BK94" s="88"/>
      <c r="BL94" s="88"/>
      <c r="BM94" s="88"/>
      <c r="BN94" s="88"/>
      <c r="BO94" s="47"/>
      <c r="BP94" s="47"/>
      <c r="BQ94" s="47"/>
      <c r="BR94" s="47"/>
      <c r="BS94" s="47"/>
      <c r="BT94" s="47"/>
      <c r="BU94" s="47"/>
      <c r="BV94" s="47"/>
      <c r="BW94" s="47"/>
      <c r="BX94" s="47"/>
      <c r="BY94" s="47"/>
      <c r="BZ94" s="47"/>
      <c r="CA94" s="47"/>
      <c r="CB94" s="47"/>
      <c r="CC94" s="47"/>
      <c r="CD94" s="47"/>
      <c r="CE94" s="47"/>
      <c r="CF94" s="5"/>
      <c r="CP94" s="50"/>
      <c r="CQ94" s="50"/>
      <c r="CR94" s="50"/>
      <c r="CS94" s="50"/>
      <c r="CT94" s="50"/>
      <c r="CU94" s="50"/>
      <c r="CV94" s="50"/>
      <c r="CW94" s="50"/>
      <c r="CX94" s="50"/>
      <c r="CY94" s="50"/>
      <c r="CZ94" s="50"/>
      <c r="DA94" s="50"/>
    </row>
    <row r="95" spans="1:105">
      <c r="A95" s="10"/>
      <c r="B95" s="10"/>
      <c r="C95" s="31">
        <v>2001</v>
      </c>
      <c r="D95" s="32">
        <v>2002</v>
      </c>
      <c r="E95" s="32">
        <v>2003</v>
      </c>
      <c r="F95" s="32">
        <v>2004</v>
      </c>
      <c r="G95" s="31">
        <v>2005</v>
      </c>
      <c r="H95" s="33" t="s">
        <v>714</v>
      </c>
      <c r="I95" s="33" t="s">
        <v>715</v>
      </c>
      <c r="J95" s="33" t="s">
        <v>716</v>
      </c>
      <c r="K95" s="33" t="s">
        <v>717</v>
      </c>
      <c r="L95" s="31">
        <v>2006</v>
      </c>
      <c r="M95" s="33" t="s">
        <v>718</v>
      </c>
      <c r="N95" s="33" t="s">
        <v>719</v>
      </c>
      <c r="O95" s="33" t="s">
        <v>1970</v>
      </c>
      <c r="P95" s="33" t="s">
        <v>1971</v>
      </c>
      <c r="Q95" s="31">
        <v>2007</v>
      </c>
      <c r="R95" s="33" t="s">
        <v>1972</v>
      </c>
      <c r="S95" s="33" t="s">
        <v>1973</v>
      </c>
      <c r="T95" s="33" t="s">
        <v>1974</v>
      </c>
      <c r="U95" s="33" t="s">
        <v>1975</v>
      </c>
      <c r="V95" s="31">
        <v>2008</v>
      </c>
      <c r="W95" s="33" t="s">
        <v>1976</v>
      </c>
      <c r="X95" s="33" t="s">
        <v>1977</v>
      </c>
      <c r="Y95" s="33" t="s">
        <v>1978</v>
      </c>
      <c r="Z95" s="33" t="s">
        <v>1979</v>
      </c>
      <c r="AA95" s="31">
        <v>2009</v>
      </c>
      <c r="AB95" s="33" t="s">
        <v>1980</v>
      </c>
      <c r="AC95" s="33" t="s">
        <v>1981</v>
      </c>
      <c r="AD95" s="33" t="s">
        <v>1982</v>
      </c>
      <c r="AE95" s="33" t="s">
        <v>2392</v>
      </c>
      <c r="AF95" s="31">
        <v>2010</v>
      </c>
      <c r="AG95" s="33" t="s">
        <v>2393</v>
      </c>
      <c r="AH95" s="33" t="s">
        <v>2394</v>
      </c>
      <c r="AI95" s="33" t="s">
        <v>2395</v>
      </c>
      <c r="AJ95" s="33" t="s">
        <v>2396</v>
      </c>
      <c r="AK95" s="31">
        <v>2011</v>
      </c>
      <c r="AL95" s="368" t="s">
        <v>2397</v>
      </c>
      <c r="AM95" s="368" t="s">
        <v>2398</v>
      </c>
      <c r="AN95" s="368" t="s">
        <v>2399</v>
      </c>
      <c r="AO95" s="368" t="s">
        <v>2400</v>
      </c>
      <c r="AP95" s="369">
        <v>2012</v>
      </c>
      <c r="AQ95" s="368" t="s">
        <v>2401</v>
      </c>
      <c r="AR95" s="368" t="s">
        <v>2402</v>
      </c>
      <c r="AS95" s="368" t="s">
        <v>2403</v>
      </c>
      <c r="AT95" s="368" t="s">
        <v>2404</v>
      </c>
      <c r="AU95" s="369">
        <v>2013</v>
      </c>
      <c r="AV95" s="368" t="s">
        <v>2405</v>
      </c>
      <c r="AW95" s="368" t="s">
        <v>2406</v>
      </c>
      <c r="AX95" s="368" t="s">
        <v>2407</v>
      </c>
      <c r="AY95" s="368" t="s">
        <v>2408</v>
      </c>
      <c r="AZ95" s="369">
        <v>2014</v>
      </c>
      <c r="BA95" s="368" t="s">
        <v>2409</v>
      </c>
      <c r="BB95" s="368" t="s">
        <v>2410</v>
      </c>
      <c r="BC95" s="368" t="s">
        <v>2411</v>
      </c>
      <c r="BD95" s="368" t="s">
        <v>2412</v>
      </c>
      <c r="BE95" s="369">
        <v>2015</v>
      </c>
      <c r="BF95" s="368" t="s">
        <v>2413</v>
      </c>
      <c r="BG95" s="368" t="s">
        <v>2414</v>
      </c>
      <c r="BH95" s="368" t="s">
        <v>2415</v>
      </c>
      <c r="BI95" s="368" t="s">
        <v>2416</v>
      </c>
      <c r="BJ95" s="369">
        <v>2016</v>
      </c>
      <c r="BK95" s="368" t="s">
        <v>2417</v>
      </c>
      <c r="BL95" s="368" t="s">
        <v>2418</v>
      </c>
      <c r="BM95" s="368" t="s">
        <v>2419</v>
      </c>
      <c r="BN95" s="368" t="s">
        <v>2420</v>
      </c>
      <c r="BO95" s="369">
        <v>2017</v>
      </c>
      <c r="BP95" s="363" t="s">
        <v>2244</v>
      </c>
      <c r="BQ95" s="363" t="s">
        <v>2245</v>
      </c>
      <c r="BR95" s="363" t="s">
        <v>2508</v>
      </c>
      <c r="BS95" s="363" t="s">
        <v>2509</v>
      </c>
      <c r="BT95" s="364">
        <v>2018</v>
      </c>
      <c r="BU95" s="363" t="s">
        <v>2510</v>
      </c>
      <c r="BV95" s="363" t="s">
        <v>2511</v>
      </c>
      <c r="BW95" s="363" t="s">
        <v>3125</v>
      </c>
      <c r="BX95" s="363" t="s">
        <v>1405</v>
      </c>
      <c r="BY95" s="364">
        <v>2019</v>
      </c>
      <c r="BZ95" s="363" t="s">
        <v>1406</v>
      </c>
      <c r="CA95" s="363" t="s">
        <v>1407</v>
      </c>
      <c r="CB95" s="363" t="s">
        <v>1408</v>
      </c>
      <c r="CC95" s="363" t="s">
        <v>1409</v>
      </c>
      <c r="CD95" s="364">
        <v>2020</v>
      </c>
      <c r="CE95" s="11"/>
      <c r="CF95" s="5"/>
      <c r="CP95" s="50"/>
      <c r="CQ95" s="50"/>
      <c r="CR95" s="50"/>
      <c r="CS95" s="50"/>
      <c r="CT95" s="50"/>
      <c r="CU95" s="50"/>
      <c r="CV95" s="50"/>
      <c r="CW95" s="50"/>
      <c r="CX95" s="50"/>
      <c r="CY95" s="50"/>
      <c r="CZ95" s="50"/>
      <c r="DA95" s="50"/>
    </row>
    <row r="96" spans="1:105" ht="12.75" customHeight="1">
      <c r="A96" s="39" t="s">
        <v>700</v>
      </c>
      <c r="B96" s="47"/>
      <c r="C96" s="88"/>
      <c r="D96" s="340"/>
      <c r="E96" s="340"/>
      <c r="F96" s="340"/>
      <c r="G96" s="340"/>
      <c r="H96" s="340"/>
      <c r="I96" s="340"/>
      <c r="J96" s="340"/>
      <c r="K96" s="340"/>
      <c r="L96" s="340"/>
      <c r="M96" s="340"/>
      <c r="N96" s="340"/>
      <c r="O96" s="340"/>
      <c r="P96" s="340"/>
      <c r="Q96" s="340"/>
      <c r="R96" s="340"/>
      <c r="S96" s="340"/>
      <c r="T96" s="340"/>
      <c r="U96" s="340"/>
      <c r="V96" s="340"/>
      <c r="W96" s="340"/>
      <c r="X96" s="340"/>
      <c r="Y96" s="340"/>
      <c r="Z96" s="340"/>
      <c r="AA96" s="340"/>
      <c r="AB96" s="340"/>
      <c r="AC96" s="340"/>
      <c r="AD96" s="340"/>
      <c r="AE96" s="340"/>
      <c r="AF96" s="340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47"/>
      <c r="BK96" s="88"/>
      <c r="BL96" s="88"/>
      <c r="BM96" s="88"/>
      <c r="BN96" s="88"/>
      <c r="BO96" s="47"/>
      <c r="BP96" s="47"/>
      <c r="BQ96" s="47"/>
      <c r="BR96" s="47"/>
      <c r="BS96" s="47"/>
      <c r="BT96" s="47"/>
      <c r="BU96" s="47"/>
      <c r="BV96" s="47"/>
      <c r="BW96" s="47"/>
      <c r="BX96" s="47"/>
      <c r="BY96" s="47"/>
      <c r="BZ96" s="47"/>
      <c r="CA96" s="47"/>
      <c r="CB96" s="47"/>
      <c r="CC96" s="47"/>
      <c r="CD96" s="47"/>
      <c r="CE96" s="47"/>
      <c r="CF96" s="47"/>
      <c r="CP96" s="50"/>
      <c r="CQ96" s="50"/>
      <c r="CR96" s="50"/>
      <c r="CS96" s="50"/>
      <c r="CT96" s="50"/>
      <c r="CU96" s="50"/>
      <c r="CV96" s="50"/>
      <c r="CW96" s="50"/>
      <c r="CX96" s="50"/>
      <c r="CY96" s="50"/>
      <c r="CZ96" s="50"/>
      <c r="DA96" s="50"/>
    </row>
    <row r="97" spans="1:105" ht="12.75" customHeight="1">
      <c r="A97" s="39"/>
      <c r="B97" s="47" t="s">
        <v>2454</v>
      </c>
      <c r="C97" s="70">
        <v>1.4405212618746301</v>
      </c>
      <c r="D97" s="70">
        <v>1.5029635391266647</v>
      </c>
      <c r="E97" s="70">
        <v>1.6347818589256207</v>
      </c>
      <c r="F97" s="70">
        <v>1.833925</v>
      </c>
      <c r="G97" s="70">
        <v>1.83375</v>
      </c>
      <c r="H97" s="85">
        <v>1.75</v>
      </c>
      <c r="I97" s="85">
        <v>1.83</v>
      </c>
      <c r="J97" s="85">
        <v>1.8747499999999999</v>
      </c>
      <c r="K97" s="85">
        <v>1.92</v>
      </c>
      <c r="L97" s="70">
        <v>1.8436874999999999</v>
      </c>
      <c r="M97" s="85">
        <v>1.9450000000000001</v>
      </c>
      <c r="N97" s="85">
        <v>1.986</v>
      </c>
      <c r="O97" s="85">
        <v>2.02</v>
      </c>
      <c r="P97" s="85">
        <v>2.0459999999999998</v>
      </c>
      <c r="Q97" s="70">
        <v>1.99925</v>
      </c>
      <c r="R97" s="85">
        <v>1.978</v>
      </c>
      <c r="S97" s="85">
        <v>1.97</v>
      </c>
      <c r="T97" s="85">
        <v>1.89</v>
      </c>
      <c r="U97" s="85">
        <v>1.57</v>
      </c>
      <c r="V97" s="70">
        <v>1.8520000000000001</v>
      </c>
      <c r="W97" s="85">
        <v>1.43</v>
      </c>
      <c r="X97" s="85">
        <v>1.55</v>
      </c>
      <c r="Y97" s="85">
        <v>1.64</v>
      </c>
      <c r="Z97" s="85">
        <v>1.63</v>
      </c>
      <c r="AA97" s="70">
        <v>1.5625</v>
      </c>
      <c r="AB97" s="85">
        <v>1.56</v>
      </c>
      <c r="AC97" s="85">
        <v>1.49</v>
      </c>
      <c r="AD97" s="85">
        <v>1.55</v>
      </c>
      <c r="AE97" s="85">
        <v>1.58</v>
      </c>
      <c r="AF97" s="70">
        <v>1.5449999999999999</v>
      </c>
      <c r="AG97" s="85">
        <f t="shared" ref="AG97:AI98" si="153">+AG80</f>
        <v>1.6</v>
      </c>
      <c r="AH97" s="85">
        <f t="shared" si="153"/>
        <v>1.63</v>
      </c>
      <c r="AI97" s="85">
        <f t="shared" si="153"/>
        <v>1.61</v>
      </c>
      <c r="AJ97" s="85">
        <f>+AJ80</f>
        <v>1.57</v>
      </c>
      <c r="AK97" s="234">
        <f>AVERAGE(AG97:AJ97)</f>
        <v>1.6025</v>
      </c>
      <c r="AL97" s="85">
        <f t="shared" ref="AL97:AN98" si="154">+AL80</f>
        <v>1.57</v>
      </c>
      <c r="AM97" s="85">
        <f t="shared" si="154"/>
        <v>1.58</v>
      </c>
      <c r="AN97" s="85">
        <f t="shared" si="154"/>
        <v>1.58</v>
      </c>
      <c r="AO97" s="85">
        <f>+AO80</f>
        <v>1.6060310606060608</v>
      </c>
      <c r="AP97" s="234">
        <f>AVERAGE(AL97:AO97)</f>
        <v>1.5840077651515152</v>
      </c>
      <c r="AQ97" s="85">
        <f t="shared" ref="AQ97:AS98" si="155">+AQ80</f>
        <v>1.5524953125000005</v>
      </c>
      <c r="AR97" s="85">
        <f t="shared" si="155"/>
        <v>1.5354469230769237</v>
      </c>
      <c r="AS97" s="85">
        <f t="shared" si="155"/>
        <v>1.5505030303030303</v>
      </c>
      <c r="AT97" s="85">
        <f>+AT80</f>
        <v>1.62</v>
      </c>
      <c r="AU97" s="234">
        <f>AVERAGE(AQ97:AT97)</f>
        <v>1.5646113164699886</v>
      </c>
      <c r="AV97" s="85">
        <f t="shared" ref="AV97:AX98" si="156">+AV80</f>
        <v>1.66</v>
      </c>
      <c r="AW97" s="85">
        <f t="shared" si="156"/>
        <v>1.68</v>
      </c>
      <c r="AX97" s="551">
        <f t="shared" si="156"/>
        <v>1.67</v>
      </c>
      <c r="AY97" s="551">
        <f>+AY80</f>
        <v>1.58</v>
      </c>
      <c r="AZ97" s="574">
        <f>AVERAGE(AV97:AY97)</f>
        <v>1.6475</v>
      </c>
      <c r="BA97" s="551">
        <f t="shared" ref="BA97:BD98" si="157">+BA80</f>
        <v>1.51</v>
      </c>
      <c r="BB97" s="551">
        <f t="shared" si="157"/>
        <v>1.53</v>
      </c>
      <c r="BC97" s="551">
        <f t="shared" si="157"/>
        <v>1.55</v>
      </c>
      <c r="BD97" s="551">
        <f t="shared" si="157"/>
        <v>1.52</v>
      </c>
      <c r="BE97" s="574">
        <f>AVERAGE(BA97:BD97)</f>
        <v>1.5274999999999999</v>
      </c>
      <c r="BF97" s="551">
        <f t="shared" ref="BF97" si="158">+BF80</f>
        <v>1.43</v>
      </c>
      <c r="BG97" s="551">
        <f t="shared" ref="BG97" si="159">+BG80</f>
        <v>1.43</v>
      </c>
      <c r="BH97" s="551">
        <f t="shared" ref="BH97" si="160">+BH80</f>
        <v>1.31</v>
      </c>
      <c r="BI97" s="551">
        <f t="shared" ref="BI97:BK97" si="161">+BI80</f>
        <v>1.24</v>
      </c>
      <c r="BJ97" s="574">
        <f>AVERAGE(BF97:BI97)</f>
        <v>1.3525</v>
      </c>
      <c r="BK97" s="551">
        <f t="shared" si="161"/>
        <v>1.24</v>
      </c>
      <c r="BL97" s="551">
        <f t="shared" ref="BL97:BM97" si="162">+BL80</f>
        <v>1.28</v>
      </c>
      <c r="BM97" s="551">
        <f t="shared" si="162"/>
        <v>1.31</v>
      </c>
      <c r="BN97" s="551">
        <f t="shared" ref="BN97:BP97" si="163">+BN80</f>
        <v>1.33</v>
      </c>
      <c r="BO97" s="644">
        <f>AVERAGE(BK97:BN97)</f>
        <v>1.29</v>
      </c>
      <c r="BP97" s="551">
        <f t="shared" si="163"/>
        <v>1.3914200000000001</v>
      </c>
      <c r="BQ97" s="573">
        <v>1.55</v>
      </c>
      <c r="BR97" s="573">
        <v>1.55</v>
      </c>
      <c r="BS97" s="573">
        <v>1.55</v>
      </c>
      <c r="BT97" s="574">
        <f>AVERAGE(BP97:BS97)</f>
        <v>1.5103549999999999</v>
      </c>
      <c r="BU97" s="573">
        <v>1.55</v>
      </c>
      <c r="BV97" s="573">
        <v>1.55</v>
      </c>
      <c r="BW97" s="573">
        <v>1.55</v>
      </c>
      <c r="BX97" s="573">
        <v>1.55</v>
      </c>
      <c r="BY97" s="574">
        <f>AVERAGE(BU97:BX97)</f>
        <v>1.55</v>
      </c>
      <c r="BZ97" s="573">
        <v>1.55</v>
      </c>
      <c r="CA97" s="573">
        <v>1.55</v>
      </c>
      <c r="CB97" s="573">
        <v>1.55</v>
      </c>
      <c r="CC97" s="573">
        <v>1.55</v>
      </c>
      <c r="CD97" s="574">
        <f>AVERAGE(BZ97:CC97)</f>
        <v>1.55</v>
      </c>
      <c r="CE97" s="47"/>
      <c r="CF97" s="47"/>
      <c r="CP97" s="50"/>
      <c r="CQ97" s="50"/>
      <c r="CR97" s="50"/>
      <c r="CS97" s="50"/>
      <c r="CT97" s="50"/>
      <c r="CU97" s="50"/>
      <c r="CV97" s="50"/>
      <c r="CW97" s="50"/>
      <c r="CX97" s="50"/>
      <c r="CY97" s="50"/>
      <c r="CZ97" s="50"/>
      <c r="DA97" s="50"/>
    </row>
    <row r="98" spans="1:105" ht="12.75" customHeight="1">
      <c r="A98" s="47"/>
      <c r="B98" s="47" t="s">
        <v>2455</v>
      </c>
      <c r="C98" s="340">
        <v>0.9</v>
      </c>
      <c r="D98" s="340">
        <v>0.95</v>
      </c>
      <c r="E98" s="340">
        <v>1.1299999999999999</v>
      </c>
      <c r="F98" s="340">
        <v>1.24</v>
      </c>
      <c r="G98" s="340">
        <v>1.24</v>
      </c>
      <c r="H98" s="323">
        <v>1.2</v>
      </c>
      <c r="I98" s="323">
        <v>1.26</v>
      </c>
      <c r="J98" s="323">
        <v>1.27</v>
      </c>
      <c r="K98" s="323">
        <v>1.29</v>
      </c>
      <c r="L98" s="234">
        <v>1.26</v>
      </c>
      <c r="M98" s="323">
        <v>1.31</v>
      </c>
      <c r="N98" s="323">
        <v>1.35</v>
      </c>
      <c r="O98" s="323">
        <v>1.37</v>
      </c>
      <c r="P98" s="323">
        <v>1.45</v>
      </c>
      <c r="Q98" s="234">
        <v>1.37</v>
      </c>
      <c r="R98" s="323">
        <v>1.5</v>
      </c>
      <c r="S98" s="323">
        <v>1.56</v>
      </c>
      <c r="T98" s="323">
        <v>1.51</v>
      </c>
      <c r="U98" s="323">
        <v>1.32</v>
      </c>
      <c r="V98" s="234">
        <v>1.47</v>
      </c>
      <c r="W98" s="323">
        <v>1.3</v>
      </c>
      <c r="X98" s="323">
        <v>1.36</v>
      </c>
      <c r="Y98" s="323">
        <v>1.43</v>
      </c>
      <c r="Z98" s="323">
        <v>1.48</v>
      </c>
      <c r="AA98" s="234">
        <v>1.39</v>
      </c>
      <c r="AB98" s="323">
        <v>1.38</v>
      </c>
      <c r="AC98" s="323">
        <v>1.27</v>
      </c>
      <c r="AD98" s="323">
        <v>1.29</v>
      </c>
      <c r="AE98" s="323">
        <v>1.36</v>
      </c>
      <c r="AF98" s="234">
        <v>1.33</v>
      </c>
      <c r="AG98" s="323">
        <f t="shared" si="153"/>
        <v>1.37</v>
      </c>
      <c r="AH98" s="323">
        <f t="shared" si="153"/>
        <v>1.44</v>
      </c>
      <c r="AI98" s="323">
        <f t="shared" si="153"/>
        <v>1.41</v>
      </c>
      <c r="AJ98" s="323">
        <f>+AJ81</f>
        <v>1.35</v>
      </c>
      <c r="AK98" s="234">
        <f>+AVERAGE(AG98:AJ98)</f>
        <v>1.3925000000000001</v>
      </c>
      <c r="AL98" s="323">
        <f t="shared" si="154"/>
        <v>1.31</v>
      </c>
      <c r="AM98" s="323">
        <f t="shared" si="154"/>
        <v>1.28</v>
      </c>
      <c r="AN98" s="323">
        <f t="shared" si="154"/>
        <v>1.25</v>
      </c>
      <c r="AO98" s="323">
        <f>+AO81</f>
        <v>1.2974000000000003</v>
      </c>
      <c r="AP98" s="234">
        <f>+AVERAGE(AL98:AO98)</f>
        <v>1.2843500000000001</v>
      </c>
      <c r="AQ98" s="323">
        <f t="shared" si="155"/>
        <v>1.3200578125</v>
      </c>
      <c r="AR98" s="323">
        <f t="shared" si="155"/>
        <v>1.3058284615384621</v>
      </c>
      <c r="AS98" s="323">
        <f t="shared" si="155"/>
        <v>1.3244242424242425</v>
      </c>
      <c r="AT98" s="323">
        <f>+AT81</f>
        <v>1.36</v>
      </c>
      <c r="AU98" s="234">
        <f>+AVERAGE(AQ98:AT98)</f>
        <v>1.3275776291156762</v>
      </c>
      <c r="AV98" s="85">
        <f t="shared" si="156"/>
        <v>1.37</v>
      </c>
      <c r="AW98" s="323">
        <f t="shared" si="156"/>
        <v>1.37</v>
      </c>
      <c r="AX98" s="552">
        <f t="shared" si="156"/>
        <v>1.33</v>
      </c>
      <c r="AY98" s="552">
        <f>+AY81</f>
        <v>1.25</v>
      </c>
      <c r="AZ98" s="574">
        <f>+AVERAGE(AV98:AY98)</f>
        <v>1.33</v>
      </c>
      <c r="BA98" s="552">
        <f t="shared" si="157"/>
        <v>1.1200000000000001</v>
      </c>
      <c r="BB98" s="552">
        <f t="shared" si="157"/>
        <v>1.1100000000000001</v>
      </c>
      <c r="BC98" s="552">
        <f t="shared" si="157"/>
        <v>1.1100000000000001</v>
      </c>
      <c r="BD98" s="552">
        <f t="shared" si="157"/>
        <v>1.0900000000000001</v>
      </c>
      <c r="BE98" s="574">
        <f>+AVERAGE(BA98:BD98)</f>
        <v>1.1075000000000002</v>
      </c>
      <c r="BF98" s="552">
        <f t="shared" ref="BF98" si="164">+BF81</f>
        <v>1.1000000000000001</v>
      </c>
      <c r="BG98" s="552">
        <f t="shared" ref="BG98" si="165">+BG81</f>
        <v>1.1299999999999999</v>
      </c>
      <c r="BH98" s="552">
        <f t="shared" ref="BH98" si="166">+BH81</f>
        <v>1.1200000000000001</v>
      </c>
      <c r="BI98" s="552">
        <f t="shared" ref="BI98:BK98" si="167">+BI81</f>
        <v>1.08</v>
      </c>
      <c r="BJ98" s="574">
        <f>+AVERAGE(BF98:BI98)</f>
        <v>1.1074999999999999</v>
      </c>
      <c r="BK98" s="552">
        <f t="shared" si="167"/>
        <v>1.07</v>
      </c>
      <c r="BL98" s="552">
        <f t="shared" ref="BL98:BM98" si="168">+BL81</f>
        <v>1.1000000000000001</v>
      </c>
      <c r="BM98" s="552">
        <f t="shared" si="168"/>
        <v>1.17</v>
      </c>
      <c r="BN98" s="552">
        <f t="shared" ref="BN98:BP98" si="169">+BN81</f>
        <v>1.18</v>
      </c>
      <c r="BO98" s="644">
        <f>+AVERAGE(BK98:BN98)</f>
        <v>1.1299999999999999</v>
      </c>
      <c r="BP98" s="552">
        <f t="shared" si="169"/>
        <v>1.22872</v>
      </c>
      <c r="BQ98" s="573">
        <v>1.1100000000000001</v>
      </c>
      <c r="BR98" s="573">
        <v>1.1100000000000001</v>
      </c>
      <c r="BS98" s="573">
        <v>1.1100000000000001</v>
      </c>
      <c r="BT98" s="574">
        <f>+AVERAGE(BP98:BS98)</f>
        <v>1.1396800000000002</v>
      </c>
      <c r="BU98" s="573">
        <v>1.1100000000000001</v>
      </c>
      <c r="BV98" s="573">
        <v>1.1100000000000001</v>
      </c>
      <c r="BW98" s="573">
        <v>1.1100000000000001</v>
      </c>
      <c r="BX98" s="573">
        <v>1.1100000000000001</v>
      </c>
      <c r="BY98" s="574">
        <f>+AVERAGE(BU98:BX98)</f>
        <v>1.1100000000000001</v>
      </c>
      <c r="BZ98" s="573">
        <v>1.1100000000000001</v>
      </c>
      <c r="CA98" s="573">
        <v>1.1100000000000001</v>
      </c>
      <c r="CB98" s="573">
        <v>1.1100000000000001</v>
      </c>
      <c r="CC98" s="573">
        <v>1.1100000000000001</v>
      </c>
      <c r="CD98" s="574">
        <f>+AVERAGE(BZ98:CC98)</f>
        <v>1.1100000000000001</v>
      </c>
      <c r="CE98" s="47"/>
      <c r="CF98" s="11"/>
      <c r="CP98" s="50"/>
      <c r="CQ98" s="50"/>
      <c r="CR98" s="50"/>
      <c r="CS98" s="50"/>
      <c r="CT98" s="50"/>
      <c r="CU98" s="50"/>
      <c r="CV98" s="50"/>
      <c r="CW98" s="50"/>
      <c r="CX98" s="50"/>
      <c r="CY98" s="50"/>
      <c r="CZ98" s="50"/>
      <c r="DA98" s="50"/>
    </row>
    <row r="99" spans="1:105">
      <c r="A99" s="47"/>
      <c r="B99" s="47"/>
      <c r="C99" s="340"/>
      <c r="D99" s="340"/>
      <c r="E99" s="340"/>
      <c r="F99" s="340"/>
      <c r="G99" s="340"/>
      <c r="H99" s="323"/>
      <c r="I99" s="323"/>
      <c r="J99" s="323"/>
      <c r="K99" s="323"/>
      <c r="L99" s="234"/>
      <c r="M99" s="323"/>
      <c r="N99" s="323"/>
      <c r="O99" s="323"/>
      <c r="P99" s="323"/>
      <c r="Q99" s="234"/>
      <c r="R99" s="323"/>
      <c r="S99" s="323"/>
      <c r="T99" s="323"/>
      <c r="U99" s="323"/>
      <c r="V99" s="234"/>
      <c r="W99" s="234"/>
      <c r="X99" s="234"/>
      <c r="Y99" s="234"/>
      <c r="Z99" s="234"/>
      <c r="AA99" s="234"/>
      <c r="AB99" s="234"/>
      <c r="AC99" s="234"/>
      <c r="AD99" s="234"/>
      <c r="AE99" s="234"/>
      <c r="AF99" s="234"/>
      <c r="AG99" s="234"/>
      <c r="AH99" s="234"/>
      <c r="AI99" s="234"/>
      <c r="AJ99" s="234"/>
      <c r="AK99" s="234"/>
      <c r="AL99" s="234"/>
      <c r="AM99" s="234"/>
      <c r="AN99" s="234"/>
      <c r="AO99" s="234"/>
      <c r="AP99" s="234"/>
      <c r="AQ99" s="234"/>
      <c r="AR99" s="234"/>
      <c r="AS99" s="234"/>
      <c r="AT99" s="234"/>
      <c r="AU99" s="234"/>
      <c r="AV99" s="234"/>
      <c r="AW99" s="234"/>
      <c r="AX99" s="555"/>
      <c r="AY99" s="555"/>
      <c r="AZ99" s="574"/>
      <c r="BA99" s="555"/>
      <c r="BB99" s="555"/>
      <c r="BC99" s="555"/>
      <c r="BD99" s="555"/>
      <c r="BE99" s="574"/>
      <c r="BF99" s="555"/>
      <c r="BG99" s="555"/>
      <c r="BH99" s="555"/>
      <c r="BI99" s="555"/>
      <c r="BJ99" s="234"/>
      <c r="BK99" s="555"/>
      <c r="BL99" s="555"/>
      <c r="BM99" s="555"/>
      <c r="BN99" s="555"/>
      <c r="BO99" s="644"/>
      <c r="BP99" s="555"/>
      <c r="BQ99" s="234"/>
      <c r="BR99" s="234"/>
      <c r="BS99" s="234"/>
      <c r="BT99" s="234"/>
      <c r="BU99" s="234"/>
      <c r="BV99" s="234"/>
      <c r="BW99" s="234"/>
      <c r="BX99" s="234"/>
      <c r="BY99" s="234"/>
      <c r="BZ99" s="234"/>
      <c r="CA99" s="234"/>
      <c r="CB99" s="234"/>
      <c r="CC99" s="234"/>
      <c r="CD99" s="234"/>
      <c r="CE99" s="47"/>
      <c r="CF99" s="47"/>
      <c r="CP99" s="50"/>
      <c r="CQ99" s="50"/>
      <c r="CR99" s="50"/>
      <c r="CS99" s="50"/>
      <c r="CT99" s="50"/>
      <c r="CU99" s="50"/>
      <c r="CV99" s="50"/>
      <c r="CW99" s="50"/>
      <c r="CX99" s="50"/>
      <c r="CY99" s="50"/>
      <c r="CZ99" s="50"/>
      <c r="DA99" s="50"/>
    </row>
    <row r="100" spans="1:105" ht="12.75" customHeight="1">
      <c r="A100" s="39" t="s">
        <v>3097</v>
      </c>
      <c r="B100" s="47"/>
      <c r="C100" s="88"/>
      <c r="D100" s="340"/>
      <c r="E100" s="340"/>
      <c r="F100" s="340"/>
      <c r="G100" s="340"/>
      <c r="H100" s="340"/>
      <c r="I100" s="340"/>
      <c r="J100" s="340"/>
      <c r="K100" s="340"/>
      <c r="L100" s="340"/>
      <c r="M100" s="340"/>
      <c r="N100" s="340"/>
      <c r="O100" s="340"/>
      <c r="P100" s="340"/>
      <c r="Q100" s="340"/>
      <c r="R100" s="340"/>
      <c r="S100" s="340"/>
      <c r="T100" s="340"/>
      <c r="U100" s="340"/>
      <c r="V100" s="340"/>
      <c r="W100" s="340"/>
      <c r="X100" s="340"/>
      <c r="Y100" s="340"/>
      <c r="Z100" s="340"/>
      <c r="AA100" s="340"/>
      <c r="AB100" s="340"/>
      <c r="AC100" s="340"/>
      <c r="AD100" s="340"/>
      <c r="AE100" s="340"/>
      <c r="AF100" s="340"/>
      <c r="AG100" s="88"/>
      <c r="AH100" s="88"/>
      <c r="AI100" s="88"/>
      <c r="AJ100" s="88"/>
      <c r="AK100" s="88"/>
      <c r="AL100" s="88"/>
      <c r="AM100" s="88"/>
      <c r="AN100" s="88"/>
      <c r="AO100" s="88"/>
      <c r="AP100" s="88"/>
      <c r="AQ100" s="88"/>
      <c r="AR100" s="88"/>
      <c r="AS100" s="88"/>
      <c r="AT100" s="88"/>
      <c r="AU100" s="88"/>
      <c r="AV100" s="88"/>
      <c r="AW100" s="88"/>
      <c r="AX100" s="553"/>
      <c r="AY100" s="553"/>
      <c r="AZ100" s="88"/>
      <c r="BA100" s="553"/>
      <c r="BB100" s="553"/>
      <c r="BC100" s="553"/>
      <c r="BD100" s="553"/>
      <c r="BE100" s="88"/>
      <c r="BF100" s="553"/>
      <c r="BG100" s="553"/>
      <c r="BH100" s="553"/>
      <c r="BI100" s="553"/>
      <c r="BJ100" s="47"/>
      <c r="BK100" s="553"/>
      <c r="BL100" s="553"/>
      <c r="BM100" s="553"/>
      <c r="BN100" s="553"/>
      <c r="BO100" s="47"/>
      <c r="BP100" s="553"/>
      <c r="BQ100" s="47"/>
      <c r="BR100" s="47"/>
      <c r="BS100" s="47"/>
      <c r="BT100" s="47"/>
      <c r="BU100" s="47"/>
      <c r="BV100" s="47"/>
      <c r="BW100" s="47"/>
      <c r="BX100" s="47"/>
      <c r="BY100" s="47"/>
      <c r="BZ100" s="47"/>
      <c r="CA100" s="47"/>
      <c r="CB100" s="47"/>
      <c r="CC100" s="47"/>
      <c r="CD100" s="47"/>
      <c r="CE100" s="47"/>
      <c r="CF100" s="47"/>
      <c r="CP100" s="50"/>
      <c r="CQ100" s="50"/>
      <c r="CR100" s="50"/>
      <c r="CS100" s="50"/>
      <c r="CT100" s="50"/>
      <c r="CU100" s="50"/>
      <c r="CV100" s="50"/>
      <c r="CW100" s="50"/>
      <c r="CX100" s="50"/>
      <c r="CY100" s="50"/>
      <c r="CZ100" s="50"/>
      <c r="DA100" s="50"/>
    </row>
    <row r="101" spans="1:105" ht="12.75" customHeight="1">
      <c r="A101" s="47"/>
      <c r="B101" s="47" t="s">
        <v>2456</v>
      </c>
      <c r="C101" s="155">
        <v>24.44</v>
      </c>
      <c r="D101" s="155">
        <v>25.03</v>
      </c>
      <c r="E101" s="155">
        <v>28.83</v>
      </c>
      <c r="F101" s="155">
        <v>38.270000000000003</v>
      </c>
      <c r="G101" s="155">
        <v>54.48</v>
      </c>
      <c r="H101" s="109">
        <v>61.79</v>
      </c>
      <c r="I101" s="109">
        <v>69.59</v>
      </c>
      <c r="J101" s="109">
        <v>69.599999999999994</v>
      </c>
      <c r="K101" s="109">
        <v>59.6</v>
      </c>
      <c r="L101" s="110">
        <v>65.14</v>
      </c>
      <c r="M101" s="109">
        <v>57.76</v>
      </c>
      <c r="N101" s="109">
        <v>68.760000000000005</v>
      </c>
      <c r="O101" s="109">
        <v>74.739999999999995</v>
      </c>
      <c r="P101" s="109">
        <v>88.45</v>
      </c>
      <c r="Q101" s="110">
        <v>72.39</v>
      </c>
      <c r="R101" s="109">
        <v>96.71</v>
      </c>
      <c r="S101" s="109">
        <v>121.18</v>
      </c>
      <c r="T101" s="109">
        <v>115.09</v>
      </c>
      <c r="U101" s="109">
        <v>55.48</v>
      </c>
      <c r="V101" s="110">
        <v>97.26</v>
      </c>
      <c r="W101" s="109">
        <v>44.46</v>
      </c>
      <c r="X101" s="109">
        <v>59.13</v>
      </c>
      <c r="Y101" s="109">
        <v>68.08</v>
      </c>
      <c r="Z101" s="109">
        <v>74.53</v>
      </c>
      <c r="AA101" s="110">
        <v>61.67</v>
      </c>
      <c r="AB101" s="109">
        <v>76.36</v>
      </c>
      <c r="AC101" s="109">
        <v>78.239999999999995</v>
      </c>
      <c r="AD101" s="109">
        <v>76.86</v>
      </c>
      <c r="AE101" s="109">
        <v>86.46</v>
      </c>
      <c r="AF101" s="110">
        <v>79.5</v>
      </c>
      <c r="AG101" s="109">
        <f t="shared" ref="AG101:AJ102" si="170">+AG84</f>
        <v>105.43</v>
      </c>
      <c r="AH101" s="109">
        <f t="shared" si="170"/>
        <v>117.04</v>
      </c>
      <c r="AI101" s="109">
        <f t="shared" si="170"/>
        <v>113.41</v>
      </c>
      <c r="AJ101" s="109">
        <f t="shared" si="170"/>
        <v>109.35</v>
      </c>
      <c r="AK101" s="110">
        <f>AVERAGE(AG101:AJ101)</f>
        <v>111.3075</v>
      </c>
      <c r="AL101" s="109">
        <f t="shared" ref="AL101:AO102" si="171">+AL84</f>
        <v>118.6</v>
      </c>
      <c r="AM101" s="109">
        <f t="shared" si="171"/>
        <v>108.29</v>
      </c>
      <c r="AN101" s="109">
        <f t="shared" si="171"/>
        <v>109.5</v>
      </c>
      <c r="AO101" s="109">
        <f t="shared" si="171"/>
        <v>110.08</v>
      </c>
      <c r="AP101" s="110">
        <f>AVERAGE(AL101:AO101)</f>
        <v>111.61749999999999</v>
      </c>
      <c r="AQ101" s="109">
        <f t="shared" ref="AQ101:AS102" si="172">+AQ84</f>
        <v>112.57</v>
      </c>
      <c r="AR101" s="109">
        <f t="shared" si="172"/>
        <v>102.43</v>
      </c>
      <c r="AS101" s="109">
        <f t="shared" si="172"/>
        <v>110.29</v>
      </c>
      <c r="AT101" s="109">
        <f>+AT84</f>
        <v>109.24</v>
      </c>
      <c r="AU101" s="110">
        <f>AVERAGE(AQ101:AT101)</f>
        <v>108.63250000000001</v>
      </c>
      <c r="AV101" s="109">
        <f t="shared" ref="AV101:AW105" si="173">+AV84</f>
        <v>108.21</v>
      </c>
      <c r="AW101" s="109">
        <f t="shared" si="173"/>
        <v>109.67</v>
      </c>
      <c r="AX101" s="109">
        <f t="shared" ref="AX101:AY105" si="174">+AX84</f>
        <v>101.93</v>
      </c>
      <c r="AY101" s="109">
        <f t="shared" si="174"/>
        <v>76.58</v>
      </c>
      <c r="AZ101" s="110">
        <f>AVERAGE(AV101:AY101)</f>
        <v>99.097499999999997</v>
      </c>
      <c r="BA101" s="109">
        <f t="shared" ref="BA101:BD105" si="175">+BA84</f>
        <v>53.94</v>
      </c>
      <c r="BB101" s="109">
        <f t="shared" si="175"/>
        <v>61.88</v>
      </c>
      <c r="BC101" s="109">
        <f t="shared" si="175"/>
        <v>50.47</v>
      </c>
      <c r="BD101" s="109">
        <f t="shared" si="175"/>
        <v>43.76</v>
      </c>
      <c r="BE101" s="110">
        <f>AVERAGE(BA101:BD101)</f>
        <v>52.512499999999996</v>
      </c>
      <c r="BF101" s="109">
        <f t="shared" ref="BF101" si="176">+BF84</f>
        <v>33.94</v>
      </c>
      <c r="BG101" s="109">
        <f t="shared" ref="BG101" si="177">+BG84</f>
        <v>45.59</v>
      </c>
      <c r="BH101" s="109">
        <f t="shared" ref="BH101" si="178">+BH84</f>
        <v>45.86</v>
      </c>
      <c r="BI101" s="109">
        <f t="shared" ref="BI101:BK101" si="179">+BI84</f>
        <v>49.33</v>
      </c>
      <c r="BJ101" s="110">
        <f>AVERAGE(BF101:BI101)</f>
        <v>43.68</v>
      </c>
      <c r="BK101" s="109">
        <f t="shared" si="179"/>
        <v>53.69</v>
      </c>
      <c r="BL101" s="109">
        <f t="shared" ref="BL101:BM101" si="180">+BL84</f>
        <v>49.64</v>
      </c>
      <c r="BM101" s="109">
        <f t="shared" si="180"/>
        <v>52.08</v>
      </c>
      <c r="BN101" s="109">
        <f t="shared" ref="BN101:BP101" si="181">+BN84</f>
        <v>61.26</v>
      </c>
      <c r="BO101" s="110">
        <f>AVERAGE(BK101:BN101)</f>
        <v>54.167499999999997</v>
      </c>
      <c r="BP101" s="109">
        <f t="shared" si="181"/>
        <v>66.930000000000007</v>
      </c>
      <c r="BQ101" s="111">
        <f t="shared" ref="BQ101:BS101" si="182">55*(1+2.5%)</f>
        <v>56.374999999999993</v>
      </c>
      <c r="BR101" s="111">
        <f t="shared" si="182"/>
        <v>56.374999999999993</v>
      </c>
      <c r="BS101" s="111">
        <f t="shared" si="182"/>
        <v>56.374999999999993</v>
      </c>
      <c r="BT101" s="110">
        <f>AVERAGE(BP101:BS101)</f>
        <v>59.013750000000002</v>
      </c>
      <c r="BU101" s="111">
        <f>BP101*(1+2.5%)</f>
        <v>68.603250000000003</v>
      </c>
      <c r="BV101" s="111">
        <f>BQ101*(1+2.5%)</f>
        <v>57.78437499999999</v>
      </c>
      <c r="BW101" s="111">
        <f>BR101*(1+2.5%)</f>
        <v>57.78437499999999</v>
      </c>
      <c r="BX101" s="111">
        <f>BS101*(1+2.5%)</f>
        <v>57.78437499999999</v>
      </c>
      <c r="BY101" s="110">
        <f>AVERAGE(BU101:BX101)</f>
        <v>60.489093749999988</v>
      </c>
      <c r="BZ101" s="111">
        <f>BU101*(1+2.5%)</f>
        <v>70.31833125</v>
      </c>
      <c r="CA101" s="111">
        <f>BV101*(1+2.5%)</f>
        <v>59.228984374999982</v>
      </c>
      <c r="CB101" s="111">
        <f>BW101*(1+2.5%)</f>
        <v>59.228984374999982</v>
      </c>
      <c r="CC101" s="111">
        <f>BX101*(1+2.5%)</f>
        <v>59.228984374999982</v>
      </c>
      <c r="CD101" s="110">
        <f>AVERAGE(BZ101:CC101)</f>
        <v>62.001321093749986</v>
      </c>
      <c r="CE101" s="47"/>
      <c r="CF101" s="47"/>
      <c r="CP101" s="50"/>
      <c r="CQ101" s="50"/>
      <c r="CR101" s="50"/>
      <c r="CS101" s="50"/>
      <c r="CT101" s="50"/>
      <c r="CU101" s="50"/>
      <c r="CV101" s="50"/>
      <c r="CW101" s="50"/>
      <c r="CX101" s="50"/>
      <c r="CY101" s="50"/>
      <c r="CZ101" s="50"/>
      <c r="DA101" s="50"/>
    </row>
    <row r="102" spans="1:105" ht="12.75" customHeight="1">
      <c r="A102" s="47"/>
      <c r="B102" s="47" t="s">
        <v>2457</v>
      </c>
      <c r="C102" s="155">
        <v>25.89</v>
      </c>
      <c r="D102" s="155">
        <v>26.14</v>
      </c>
      <c r="E102" s="155">
        <v>31.06</v>
      </c>
      <c r="F102" s="155">
        <v>41.49</v>
      </c>
      <c r="G102" s="155">
        <v>56.58</v>
      </c>
      <c r="H102" s="109">
        <v>63.29</v>
      </c>
      <c r="I102" s="109">
        <v>70.459999999999994</v>
      </c>
      <c r="J102" s="109">
        <v>70.44</v>
      </c>
      <c r="K102" s="109">
        <v>59.9</v>
      </c>
      <c r="L102" s="110">
        <v>66.02</v>
      </c>
      <c r="M102" s="109">
        <v>58.05</v>
      </c>
      <c r="N102" s="109">
        <v>64.89</v>
      </c>
      <c r="O102" s="109">
        <v>75.239999999999995</v>
      </c>
      <c r="P102" s="109">
        <v>90.47</v>
      </c>
      <c r="Q102" s="110">
        <v>72.2</v>
      </c>
      <c r="R102" s="109">
        <v>97.86</v>
      </c>
      <c r="S102" s="109">
        <v>123.81</v>
      </c>
      <c r="T102" s="109">
        <v>118.07</v>
      </c>
      <c r="U102" s="109">
        <v>59.13</v>
      </c>
      <c r="V102" s="110">
        <v>100.06</v>
      </c>
      <c r="W102" s="109">
        <v>43.2</v>
      </c>
      <c r="X102" s="109">
        <v>59.71</v>
      </c>
      <c r="Y102" s="109">
        <v>68.12</v>
      </c>
      <c r="Z102" s="109">
        <v>75.97</v>
      </c>
      <c r="AA102" s="110">
        <v>61.92</v>
      </c>
      <c r="AB102" s="109">
        <v>78.84</v>
      </c>
      <c r="AC102" s="109">
        <v>77.81</v>
      </c>
      <c r="AD102" s="109">
        <v>76.05</v>
      </c>
      <c r="AE102" s="109">
        <v>85.13</v>
      </c>
      <c r="AF102" s="110">
        <v>79.45</v>
      </c>
      <c r="AG102" s="109">
        <f t="shared" si="170"/>
        <v>94.49</v>
      </c>
      <c r="AH102" s="109">
        <f t="shared" si="170"/>
        <v>102.22</v>
      </c>
      <c r="AI102" s="109">
        <f t="shared" si="170"/>
        <v>89.48</v>
      </c>
      <c r="AJ102" s="109">
        <f t="shared" si="170"/>
        <v>94.02</v>
      </c>
      <c r="AK102" s="110">
        <f>AVERAGE(AG102:AJ102)</f>
        <v>95.052499999999995</v>
      </c>
      <c r="AL102" s="109">
        <f t="shared" si="171"/>
        <v>103.1</v>
      </c>
      <c r="AM102" s="109">
        <f t="shared" si="171"/>
        <v>93.3</v>
      </c>
      <c r="AN102" s="109">
        <f t="shared" si="171"/>
        <v>92.1</v>
      </c>
      <c r="AO102" s="109">
        <f t="shared" si="171"/>
        <v>88.15</v>
      </c>
      <c r="AP102" s="110">
        <f>AVERAGE(AL102:AO102)</f>
        <v>94.162499999999994</v>
      </c>
      <c r="AQ102" s="109">
        <f t="shared" si="172"/>
        <v>94.29</v>
      </c>
      <c r="AR102" s="109">
        <f t="shared" si="172"/>
        <v>94.07</v>
      </c>
      <c r="AS102" s="109">
        <f t="shared" si="172"/>
        <v>105.79</v>
      </c>
      <c r="AT102" s="109">
        <f>+AT85</f>
        <v>97.59</v>
      </c>
      <c r="AU102" s="110">
        <f>AVERAGE(AQ102:AT102)</f>
        <v>97.935000000000002</v>
      </c>
      <c r="AV102" s="109">
        <f t="shared" si="173"/>
        <v>98.69</v>
      </c>
      <c r="AW102" s="109">
        <f t="shared" si="173"/>
        <v>103.05</v>
      </c>
      <c r="AX102" s="109">
        <f t="shared" si="174"/>
        <v>97.56</v>
      </c>
      <c r="AY102" s="109">
        <f t="shared" si="174"/>
        <v>73.62</v>
      </c>
      <c r="AZ102" s="110">
        <f>AVERAGE(AV102:AY102)</f>
        <v>93.23</v>
      </c>
      <c r="BA102" s="109">
        <f t="shared" si="175"/>
        <v>48.49</v>
      </c>
      <c r="BB102" s="109">
        <f t="shared" si="175"/>
        <v>57.85</v>
      </c>
      <c r="BC102" s="109">
        <f t="shared" si="175"/>
        <v>46.45</v>
      </c>
      <c r="BD102" s="109">
        <f t="shared" si="175"/>
        <v>42.07</v>
      </c>
      <c r="BE102" s="110">
        <f>AVERAGE(BA102:BD102)</f>
        <v>48.715000000000003</v>
      </c>
      <c r="BF102" s="109">
        <f t="shared" ref="BF102" si="183">+BF85</f>
        <v>33.450000000000003</v>
      </c>
      <c r="BG102" s="109">
        <f t="shared" ref="BG102" si="184">+BG85</f>
        <v>45.53</v>
      </c>
      <c r="BH102" s="109">
        <f t="shared" ref="BH102" si="185">+BH85</f>
        <v>44.88</v>
      </c>
      <c r="BI102" s="109">
        <f t="shared" ref="BI102:BK102" si="186">+BI85</f>
        <v>49.23</v>
      </c>
      <c r="BJ102" s="110">
        <f>AVERAGE(BF102:BI102)</f>
        <v>43.272500000000001</v>
      </c>
      <c r="BK102" s="109">
        <f t="shared" si="186"/>
        <v>51.7</v>
      </c>
      <c r="BL102" s="109">
        <f t="shared" ref="BL102:BM102" si="187">+BL85</f>
        <v>48.11</v>
      </c>
      <c r="BM102" s="109">
        <f t="shared" si="187"/>
        <v>48.18</v>
      </c>
      <c r="BN102" s="109">
        <f t="shared" ref="BN102:BP102" si="188">+BN85</f>
        <v>55.23</v>
      </c>
      <c r="BO102" s="110">
        <f>AVERAGE(BK102:BN102)</f>
        <v>50.805</v>
      </c>
      <c r="BP102" s="109">
        <f t="shared" si="188"/>
        <v>62.910000000000004</v>
      </c>
      <c r="BQ102" s="111">
        <f t="shared" ref="BQ102:BS102" si="189">BQ101-3</f>
        <v>53.374999999999993</v>
      </c>
      <c r="BR102" s="111">
        <f t="shared" si="189"/>
        <v>53.374999999999993</v>
      </c>
      <c r="BS102" s="111">
        <f t="shared" si="189"/>
        <v>53.374999999999993</v>
      </c>
      <c r="BT102" s="110">
        <f>AVERAGE(BP102:BS102)</f>
        <v>55.758749999999999</v>
      </c>
      <c r="BU102" s="111">
        <f t="shared" ref="BU102" si="190">BU101-3</f>
        <v>65.603250000000003</v>
      </c>
      <c r="BV102" s="111">
        <f t="shared" ref="BV102" si="191">BV101-3</f>
        <v>54.78437499999999</v>
      </c>
      <c r="BW102" s="111">
        <f t="shared" ref="BW102" si="192">BW101-3</f>
        <v>54.78437499999999</v>
      </c>
      <c r="BX102" s="111">
        <f t="shared" ref="BX102" si="193">BX101-3</f>
        <v>54.78437499999999</v>
      </c>
      <c r="BY102" s="110">
        <f>AVERAGE(BU102:BX102)</f>
        <v>57.489093749999988</v>
      </c>
      <c r="BZ102" s="111">
        <f t="shared" ref="BZ102" si="194">BZ101-3</f>
        <v>67.31833125</v>
      </c>
      <c r="CA102" s="111">
        <f t="shared" ref="CA102" si="195">CA101-3</f>
        <v>56.228984374999982</v>
      </c>
      <c r="CB102" s="111">
        <f t="shared" ref="CB102" si="196">CB101-3</f>
        <v>56.228984374999982</v>
      </c>
      <c r="CC102" s="111">
        <f t="shared" ref="CC102" si="197">CC101-3</f>
        <v>56.228984374999982</v>
      </c>
      <c r="CD102" s="110">
        <f>AVERAGE(BZ102:CC102)</f>
        <v>59.001321093749986</v>
      </c>
      <c r="CE102" s="47"/>
      <c r="CF102" s="47"/>
      <c r="CP102" s="50"/>
      <c r="CQ102" s="50"/>
      <c r="CR102" s="50"/>
      <c r="CS102" s="50"/>
      <c r="CT102" s="50"/>
      <c r="CU102" s="50"/>
      <c r="CV102" s="50"/>
      <c r="CW102" s="50"/>
      <c r="CX102" s="50"/>
      <c r="CY102" s="50"/>
      <c r="CZ102" s="50"/>
      <c r="DA102" s="50"/>
    </row>
    <row r="103" spans="1:105" ht="12.75" customHeight="1">
      <c r="A103" s="47"/>
      <c r="B103" s="121" t="s">
        <v>1679</v>
      </c>
      <c r="C103" s="182"/>
      <c r="D103" s="182"/>
      <c r="E103" s="182"/>
      <c r="F103" s="110">
        <f t="shared" ref="F103:AR103" si="198">F$17</f>
        <v>20.61</v>
      </c>
      <c r="G103" s="110">
        <f t="shared" si="198"/>
        <v>28.77</v>
      </c>
      <c r="H103" s="109">
        <f t="shared" si="198"/>
        <v>35.270000000000003</v>
      </c>
      <c r="I103" s="109">
        <f t="shared" si="198"/>
        <v>36.18</v>
      </c>
      <c r="J103" s="109">
        <f t="shared" si="198"/>
        <v>39.83</v>
      </c>
      <c r="K103" s="109">
        <f t="shared" si="198"/>
        <v>26.33</v>
      </c>
      <c r="L103" s="110">
        <f t="shared" si="198"/>
        <v>34.39</v>
      </c>
      <c r="M103" s="109">
        <f t="shared" si="198"/>
        <v>27.33</v>
      </c>
      <c r="N103" s="109">
        <f t="shared" si="198"/>
        <v>39.56</v>
      </c>
      <c r="O103" s="109">
        <f t="shared" si="198"/>
        <v>41.95</v>
      </c>
      <c r="P103" s="109">
        <f t="shared" si="198"/>
        <v>48.98</v>
      </c>
      <c r="Q103" s="110">
        <f t="shared" si="198"/>
        <v>39.81</v>
      </c>
      <c r="R103" s="109">
        <f t="shared" si="198"/>
        <v>46.86</v>
      </c>
      <c r="S103" s="109">
        <f t="shared" si="198"/>
        <v>63.15</v>
      </c>
      <c r="T103" s="109">
        <f t="shared" si="198"/>
        <v>52.94</v>
      </c>
      <c r="U103" s="109">
        <f t="shared" si="198"/>
        <v>20.010000000000002</v>
      </c>
      <c r="V103" s="110">
        <f t="shared" si="198"/>
        <v>45.59</v>
      </c>
      <c r="W103" s="109">
        <f t="shared" si="198"/>
        <v>19.52</v>
      </c>
      <c r="X103" s="109">
        <f t="shared" si="198"/>
        <v>32.630000000000003</v>
      </c>
      <c r="Y103" s="109">
        <f t="shared" si="198"/>
        <v>35.549999999999997</v>
      </c>
      <c r="Z103" s="109">
        <f t="shared" si="198"/>
        <v>35.83</v>
      </c>
      <c r="AA103" s="110">
        <f t="shared" si="198"/>
        <v>31.32</v>
      </c>
      <c r="AB103" s="109">
        <f t="shared" si="198"/>
        <v>35.520000000000003</v>
      </c>
      <c r="AC103" s="109">
        <f t="shared" si="198"/>
        <v>35.61</v>
      </c>
      <c r="AD103" s="109">
        <f t="shared" si="198"/>
        <v>35.94</v>
      </c>
      <c r="AE103" s="109">
        <f t="shared" si="198"/>
        <v>40.619999999999997</v>
      </c>
      <c r="AF103" s="110">
        <f t="shared" si="198"/>
        <v>36.96</v>
      </c>
      <c r="AG103" s="109">
        <f t="shared" si="198"/>
        <v>49.18</v>
      </c>
      <c r="AH103" s="109">
        <f t="shared" si="198"/>
        <v>50.26</v>
      </c>
      <c r="AI103" s="109">
        <f t="shared" si="198"/>
        <v>49.12</v>
      </c>
      <c r="AJ103" s="109">
        <f t="shared" si="198"/>
        <v>49.69</v>
      </c>
      <c r="AK103" s="110">
        <f t="shared" si="198"/>
        <v>49.5625</v>
      </c>
      <c r="AL103" s="109">
        <f t="shared" si="198"/>
        <v>58.2</v>
      </c>
      <c r="AM103" s="109">
        <f t="shared" si="198"/>
        <v>48.22</v>
      </c>
      <c r="AN103" s="109">
        <f t="shared" si="198"/>
        <v>55.24</v>
      </c>
      <c r="AO103" s="109">
        <f t="shared" si="198"/>
        <v>54.03</v>
      </c>
      <c r="AP103" s="110">
        <f t="shared" si="198"/>
        <v>53.922499999999999</v>
      </c>
      <c r="AQ103" s="109">
        <f t="shared" si="198"/>
        <v>55.24</v>
      </c>
      <c r="AR103" s="109">
        <f t="shared" si="198"/>
        <v>51.28</v>
      </c>
      <c r="AS103" s="109">
        <f>AS$17</f>
        <v>57.11</v>
      </c>
      <c r="AT103" s="109">
        <f>AT$17</f>
        <v>55.95</v>
      </c>
      <c r="AU103" s="403">
        <f>AVERAGE(AQ103:AT103)</f>
        <v>54.894999999999996</v>
      </c>
      <c r="AV103" s="109">
        <f t="shared" si="173"/>
        <v>54.55</v>
      </c>
      <c r="AW103" s="109">
        <f t="shared" si="173"/>
        <v>57.51</v>
      </c>
      <c r="AX103" s="109">
        <f t="shared" si="174"/>
        <v>51.42</v>
      </c>
      <c r="AY103" s="109">
        <f t="shared" si="174"/>
        <v>38.79</v>
      </c>
      <c r="AZ103" s="403">
        <f>AVERAGE(AV103:AY103)</f>
        <v>50.567500000000003</v>
      </c>
      <c r="BA103" s="109">
        <f t="shared" ca="1" si="175"/>
        <v>27.29736072862314</v>
      </c>
      <c r="BB103" s="109">
        <f t="shared" ca="1" si="175"/>
        <v>31.025322719298448</v>
      </c>
      <c r="BC103" s="109">
        <f t="shared" ca="1" si="175"/>
        <v>25.668138045040859</v>
      </c>
      <c r="BD103" s="109">
        <f t="shared" ca="1" si="175"/>
        <v>22.517681501283768</v>
      </c>
      <c r="BE103" s="403">
        <f ca="1">AVERAGE(BA103:BD103)</f>
        <v>26.627125748561554</v>
      </c>
      <c r="BF103" s="109">
        <f t="shared" ref="BF103" ca="1" si="199">+BF86</f>
        <v>17.907028258408268</v>
      </c>
      <c r="BG103" s="109">
        <f t="shared" ref="BG103" ca="1" si="200">+BG86</f>
        <v>23.376896922308433</v>
      </c>
      <c r="BH103" s="109">
        <f t="shared" ref="BH103" ca="1" si="201">+BH86</f>
        <v>23.503666410656333</v>
      </c>
      <c r="BI103" s="109">
        <f t="shared" ref="BI103:BK103" ca="1" si="202">+BI86</f>
        <v>25.132889094238614</v>
      </c>
      <c r="BJ103" s="403">
        <f ca="1">AVERAGE(BF103:BI103)</f>
        <v>22.480120171402909</v>
      </c>
      <c r="BK103" s="109">
        <f t="shared" ca="1" si="202"/>
        <v>27.179981572745454</v>
      </c>
      <c r="BL103" s="109">
        <f t="shared" ref="BL103:BM103" ca="1" si="203">+BL86</f>
        <v>25.278439247526943</v>
      </c>
      <c r="BM103" s="109">
        <f t="shared" ca="1" si="203"/>
        <v>26.424059808893158</v>
      </c>
      <c r="BN103" s="109">
        <f t="shared" ref="BN103:BP103" ca="1" si="204">+BN86</f>
        <v>30.734222412721785</v>
      </c>
      <c r="BO103" s="403">
        <f ca="1">AVERAGE(BK103:BN103)</f>
        <v>27.404175760471837</v>
      </c>
      <c r="BP103" s="109">
        <f t="shared" ca="1" si="204"/>
        <v>33.396381668027708</v>
      </c>
      <c r="BQ103" s="402">
        <f t="shared" ref="BQ103:CC103" ca="1" si="205">BQ101*$CM$10+$CM$11</f>
        <v>28.4406337068718</v>
      </c>
      <c r="BR103" s="402">
        <f t="shared" ca="1" si="205"/>
        <v>28.4406337068718</v>
      </c>
      <c r="BS103" s="402">
        <f t="shared" ca="1" si="205"/>
        <v>28.4406337068718</v>
      </c>
      <c r="BT103" s="403">
        <f ca="1">AVERAGE(BP103:BS103)</f>
        <v>29.679570697160777</v>
      </c>
      <c r="BU103" s="402">
        <f t="shared" ca="1" si="205"/>
        <v>34.182000358317055</v>
      </c>
      <c r="BV103" s="402">
        <f t="shared" ca="1" si="205"/>
        <v>29.102358698132253</v>
      </c>
      <c r="BW103" s="402">
        <f t="shared" ca="1" si="205"/>
        <v>29.102358698132253</v>
      </c>
      <c r="BX103" s="402">
        <f t="shared" ca="1" si="205"/>
        <v>29.102358698132253</v>
      </c>
      <c r="BY103" s="403">
        <f ca="1">AVERAGE(BU103:BX103)</f>
        <v>30.372269113178451</v>
      </c>
      <c r="BZ103" s="402">
        <f t="shared" ca="1" si="205"/>
        <v>34.987259515863641</v>
      </c>
      <c r="CA103" s="402">
        <f t="shared" ca="1" si="205"/>
        <v>29.780626814174216</v>
      </c>
      <c r="CB103" s="402">
        <f t="shared" ca="1" si="205"/>
        <v>29.780626814174216</v>
      </c>
      <c r="CC103" s="402">
        <f t="shared" ca="1" si="205"/>
        <v>29.780626814174216</v>
      </c>
      <c r="CD103" s="403">
        <f ca="1">AVERAGE(BZ103:CC103)</f>
        <v>31.08228498959657</v>
      </c>
      <c r="CE103" s="47"/>
      <c r="CF103" s="47"/>
      <c r="CP103" s="50"/>
      <c r="CQ103" s="50"/>
      <c r="CR103" s="50"/>
      <c r="CS103" s="50"/>
      <c r="CT103" s="50"/>
      <c r="CU103" s="50"/>
      <c r="CV103" s="50"/>
      <c r="CW103" s="50"/>
      <c r="CX103" s="50"/>
      <c r="CY103" s="50"/>
      <c r="CZ103" s="50"/>
      <c r="DA103" s="50"/>
    </row>
    <row r="104" spans="1:105" ht="12.75" customHeight="1">
      <c r="A104" s="47"/>
      <c r="B104" s="47" t="s">
        <v>2458</v>
      </c>
      <c r="C104" s="110">
        <v>4.26</v>
      </c>
      <c r="D104" s="110">
        <v>3.22</v>
      </c>
      <c r="E104" s="110">
        <v>5.37</v>
      </c>
      <c r="F104" s="110">
        <v>6.13</v>
      </c>
      <c r="G104" s="110">
        <v>8.65</v>
      </c>
      <c r="H104" s="109">
        <v>9.01</v>
      </c>
      <c r="I104" s="109">
        <v>6.8</v>
      </c>
      <c r="J104" s="109">
        <v>6.58</v>
      </c>
      <c r="K104" s="109">
        <v>6.56</v>
      </c>
      <c r="L104" s="110">
        <v>7.24</v>
      </c>
      <c r="M104" s="109">
        <v>6.77</v>
      </c>
      <c r="N104" s="109">
        <v>7.55</v>
      </c>
      <c r="O104" s="109">
        <v>6.16</v>
      </c>
      <c r="P104" s="109">
        <v>6.97</v>
      </c>
      <c r="Q104" s="110">
        <v>6.86</v>
      </c>
      <c r="R104" s="109">
        <v>8.0299999999999994</v>
      </c>
      <c r="S104" s="109">
        <v>10.94</v>
      </c>
      <c r="T104" s="109">
        <v>10.25</v>
      </c>
      <c r="U104" s="109">
        <v>6.95</v>
      </c>
      <c r="V104" s="110">
        <v>9.0399999999999991</v>
      </c>
      <c r="W104" s="109">
        <v>4.91</v>
      </c>
      <c r="X104" s="109">
        <v>3.51</v>
      </c>
      <c r="Y104" s="109">
        <v>3.39</v>
      </c>
      <c r="Z104" s="109">
        <v>4.16</v>
      </c>
      <c r="AA104" s="110">
        <v>3.99</v>
      </c>
      <c r="AB104" s="109">
        <v>5.3</v>
      </c>
      <c r="AC104" s="109">
        <v>4.09</v>
      </c>
      <c r="AD104" s="109">
        <v>4.38</v>
      </c>
      <c r="AE104" s="109">
        <v>3.8</v>
      </c>
      <c r="AF104" s="110">
        <v>4.3899999999999997</v>
      </c>
      <c r="AG104" s="109">
        <f>+AG87</f>
        <v>4.1100000000000003</v>
      </c>
      <c r="AH104" s="109">
        <f>+AH87</f>
        <v>4.32</v>
      </c>
      <c r="AI104" s="109">
        <f>+AI87</f>
        <v>4.2</v>
      </c>
      <c r="AJ104" s="109">
        <f>+AJ87</f>
        <v>3.54</v>
      </c>
      <c r="AK104" s="110">
        <f>AVERAGE(AG104:AJ104)</f>
        <v>4.0424999999999995</v>
      </c>
      <c r="AL104" s="109">
        <f>+AL87</f>
        <v>2.72</v>
      </c>
      <c r="AM104" s="109">
        <f>+AM87</f>
        <v>2.21</v>
      </c>
      <c r="AN104" s="109">
        <f>+AN87</f>
        <v>2.8</v>
      </c>
      <c r="AO104" s="109">
        <f>+AO87</f>
        <v>3.41</v>
      </c>
      <c r="AP104" s="110">
        <f>AVERAGE(AL104:AO104)</f>
        <v>2.7850000000000001</v>
      </c>
      <c r="AQ104" s="109">
        <f>+AQ87</f>
        <v>3.34</v>
      </c>
      <c r="AR104" s="109">
        <f>+AR87</f>
        <v>4.0999999999999996</v>
      </c>
      <c r="AS104" s="109">
        <f>+AS87</f>
        <v>3.58</v>
      </c>
      <c r="AT104" s="109">
        <f>+AT87</f>
        <v>3.6</v>
      </c>
      <c r="AU104" s="110">
        <f>AVERAGE(AQ104:AT104)</f>
        <v>3.6549999999999998</v>
      </c>
      <c r="AV104" s="109">
        <f t="shared" si="173"/>
        <v>4.95</v>
      </c>
      <c r="AW104" s="109">
        <f t="shared" si="173"/>
        <v>4.68</v>
      </c>
      <c r="AX104" s="109">
        <f t="shared" si="174"/>
        <v>4.07</v>
      </c>
      <c r="AY104" s="109">
        <f t="shared" si="174"/>
        <v>4.04</v>
      </c>
      <c r="AZ104" s="110">
        <f>AVERAGE(AV104:AY104)</f>
        <v>4.4349999999999996</v>
      </c>
      <c r="BA104" s="109">
        <f t="shared" si="175"/>
        <v>2.99</v>
      </c>
      <c r="BB104" s="109">
        <f t="shared" si="175"/>
        <v>2.65</v>
      </c>
      <c r="BC104" s="109">
        <f t="shared" si="175"/>
        <v>2.77</v>
      </c>
      <c r="BD104" s="109">
        <f t="shared" si="175"/>
        <v>2.27</v>
      </c>
      <c r="BE104" s="110">
        <f>AVERAGE(BA104:BD104)</f>
        <v>2.67</v>
      </c>
      <c r="BF104" s="109">
        <f t="shared" ref="BF104" si="206">+BF87</f>
        <v>2.09</v>
      </c>
      <c r="BG104" s="109">
        <f t="shared" ref="BG104" si="207">+BG87</f>
        <v>1.95</v>
      </c>
      <c r="BH104" s="109">
        <f t="shared" ref="BH104" si="208">+BH87</f>
        <v>2.81</v>
      </c>
      <c r="BI104" s="109">
        <f t="shared" ref="BI104:BK104" si="209">+BI87</f>
        <v>2.98</v>
      </c>
      <c r="BJ104" s="110">
        <f>AVERAGE(BF104:BI104)</f>
        <v>2.4575</v>
      </c>
      <c r="BK104" s="109">
        <f t="shared" si="209"/>
        <v>3.32</v>
      </c>
      <c r="BL104" s="109">
        <f t="shared" ref="BL104:BM104" si="210">+BL87</f>
        <v>3.19</v>
      </c>
      <c r="BM104" s="109">
        <f t="shared" si="210"/>
        <v>2.99</v>
      </c>
      <c r="BN104" s="109">
        <f t="shared" ref="BN104:BP104" si="211">+BN87</f>
        <v>2.93</v>
      </c>
      <c r="BO104" s="110">
        <f>AVERAGE(BK104:BN104)</f>
        <v>3.1074999999999999</v>
      </c>
      <c r="BP104" s="109">
        <f t="shared" si="211"/>
        <v>2.96</v>
      </c>
      <c r="BQ104" s="111">
        <f t="shared" ref="BQ104:BS105" si="212">BP104*(1+2.5%)^(1/4)</f>
        <v>2.9783290491238827</v>
      </c>
      <c r="BR104" s="111">
        <f t="shared" si="212"/>
        <v>2.9967715962348551</v>
      </c>
      <c r="BS104" s="111">
        <f t="shared" si="212"/>
        <v>3.0153283441404111</v>
      </c>
      <c r="BT104" s="110">
        <f>AVERAGE(BP104:BS104)</f>
        <v>2.987607247374787</v>
      </c>
      <c r="BU104" s="111">
        <f>BS104*(1+2.5%)^(1/4)</f>
        <v>3.0340000000000007</v>
      </c>
      <c r="BV104" s="111">
        <f t="shared" ref="BV104:BX105" si="213">BU104*(1+2.5%)^(1/4)</f>
        <v>3.0527872753519807</v>
      </c>
      <c r="BW104" s="111">
        <f t="shared" si="213"/>
        <v>3.0716908861407277</v>
      </c>
      <c r="BX104" s="111">
        <f t="shared" si="213"/>
        <v>3.0907115527439224</v>
      </c>
      <c r="BY104" s="110">
        <f>AVERAGE(BU104:BX104)</f>
        <v>3.062297428559158</v>
      </c>
      <c r="BZ104" s="111">
        <f>BX104*(1+2.5%)^(1/4)</f>
        <v>3.109850000000002</v>
      </c>
      <c r="CA104" s="111">
        <f t="shared" ref="CA104:CC105" si="214">BZ104*(1+2.5%)^(1/4)</f>
        <v>3.1291069572357815</v>
      </c>
      <c r="CB104" s="111">
        <f t="shared" si="214"/>
        <v>3.1484831582942472</v>
      </c>
      <c r="CC104" s="111">
        <f t="shared" si="214"/>
        <v>3.1679793415625217</v>
      </c>
      <c r="CD104" s="110">
        <f>AVERAGE(BZ104:CC104)</f>
        <v>3.1388548642731382</v>
      </c>
      <c r="CE104" s="47"/>
      <c r="CF104" s="47"/>
      <c r="CP104" s="50"/>
      <c r="CQ104" s="50"/>
      <c r="CR104" s="50"/>
      <c r="CS104" s="50"/>
      <c r="CT104" s="50"/>
      <c r="CU104" s="50"/>
      <c r="CV104" s="50"/>
      <c r="CW104" s="50"/>
      <c r="CX104" s="50"/>
      <c r="CY104" s="50"/>
      <c r="CZ104" s="50"/>
      <c r="DA104" s="50"/>
    </row>
    <row r="105" spans="1:105" ht="12.75" customHeight="1">
      <c r="A105" s="47"/>
      <c r="B105" s="121" t="s">
        <v>3101</v>
      </c>
      <c r="C105" s="259"/>
      <c r="D105" s="259"/>
      <c r="E105" s="293">
        <v>20.28</v>
      </c>
      <c r="F105" s="110">
        <v>24.39</v>
      </c>
      <c r="G105" s="110">
        <v>40.71</v>
      </c>
      <c r="H105" s="109">
        <v>70</v>
      </c>
      <c r="I105" s="109">
        <v>34.549999999999997</v>
      </c>
      <c r="J105" s="109">
        <v>33.72</v>
      </c>
      <c r="K105" s="109">
        <v>29.92</v>
      </c>
      <c r="L105" s="110">
        <v>42.19</v>
      </c>
      <c r="M105" s="109">
        <v>22.33</v>
      </c>
      <c r="N105" s="109">
        <v>20.239999999999998</v>
      </c>
      <c r="O105" s="109">
        <v>30.58</v>
      </c>
      <c r="P105" s="109">
        <v>46.7</v>
      </c>
      <c r="Q105" s="110">
        <v>29.95</v>
      </c>
      <c r="R105" s="109">
        <v>52.94</v>
      </c>
      <c r="S105" s="109">
        <v>60.72</v>
      </c>
      <c r="T105" s="109">
        <v>61.48</v>
      </c>
      <c r="U105" s="109">
        <v>57.16</v>
      </c>
      <c r="V105" s="110">
        <v>58.12</v>
      </c>
      <c r="W105" s="109">
        <v>46.8</v>
      </c>
      <c r="X105" s="109">
        <v>27.51</v>
      </c>
      <c r="Y105" s="109">
        <v>21.57</v>
      </c>
      <c r="Z105" s="109">
        <v>27.75</v>
      </c>
      <c r="AA105" s="110">
        <v>30.85</v>
      </c>
      <c r="AB105" s="109">
        <v>35.65</v>
      </c>
      <c r="AC105" s="109">
        <v>38.26</v>
      </c>
      <c r="AD105" s="109">
        <v>43.14</v>
      </c>
      <c r="AE105" s="109">
        <v>52.43</v>
      </c>
      <c r="AF105" s="110">
        <v>42.45</v>
      </c>
      <c r="AG105" s="109">
        <v>56.94</v>
      </c>
      <c r="AH105" s="109">
        <v>57.47</v>
      </c>
      <c r="AI105" s="109">
        <v>54.28</v>
      </c>
      <c r="AJ105" s="109">
        <v>56.75</v>
      </c>
      <c r="AK105" s="110">
        <f>AVERAGE(AG105:AJ105)</f>
        <v>56.36</v>
      </c>
      <c r="AL105" s="109">
        <v>59.38</v>
      </c>
      <c r="AM105" s="109">
        <v>57.38</v>
      </c>
      <c r="AN105" s="109">
        <v>56.79</v>
      </c>
      <c r="AO105" s="109">
        <v>56.79</v>
      </c>
      <c r="AP105" s="403">
        <f>AVERAGE(AL105:AO105)</f>
        <v>57.585000000000001</v>
      </c>
      <c r="AQ105" s="109">
        <v>56.79</v>
      </c>
      <c r="AR105" s="109">
        <v>56.79</v>
      </c>
      <c r="AS105" s="109">
        <v>56.79</v>
      </c>
      <c r="AT105" s="109">
        <v>56.79</v>
      </c>
      <c r="AU105" s="403">
        <f>AVERAGE(AQ105:AT105)</f>
        <v>56.79</v>
      </c>
      <c r="AV105" s="109">
        <f t="shared" si="173"/>
        <v>60.28</v>
      </c>
      <c r="AW105" s="109">
        <f t="shared" si="173"/>
        <v>44.81</v>
      </c>
      <c r="AX105" s="109">
        <f t="shared" si="174"/>
        <v>42.17</v>
      </c>
      <c r="AY105" s="109">
        <f t="shared" si="174"/>
        <v>52.83</v>
      </c>
      <c r="AZ105" s="403">
        <f>AVERAGE(AV105:AY105)</f>
        <v>50.022499999999994</v>
      </c>
      <c r="BA105" s="109">
        <f t="shared" si="175"/>
        <v>47.9</v>
      </c>
      <c r="BB105" s="109">
        <f t="shared" si="175"/>
        <v>44.63</v>
      </c>
      <c r="BC105" s="109">
        <f t="shared" si="175"/>
        <v>41.48</v>
      </c>
      <c r="BD105" s="109">
        <f t="shared" si="175"/>
        <v>36.64</v>
      </c>
      <c r="BE105" s="403">
        <f>AVERAGE(BA105:BD105)</f>
        <v>42.662499999999994</v>
      </c>
      <c r="BF105" s="109">
        <f t="shared" ref="BF105" si="215">+BF88</f>
        <v>30.42</v>
      </c>
      <c r="BG105" s="109">
        <f t="shared" ref="BG105" si="216">+BG88</f>
        <v>31.37</v>
      </c>
      <c r="BH105" s="109">
        <f t="shared" ref="BH105" si="217">+BH88</f>
        <v>31</v>
      </c>
      <c r="BI105" s="109">
        <f t="shared" ref="BI105:BK105" si="218">+BI88</f>
        <v>45.76</v>
      </c>
      <c r="BJ105" s="403">
        <f>AVERAGE(BF105:BI105)</f>
        <v>34.637500000000003</v>
      </c>
      <c r="BK105" s="109">
        <f t="shared" si="218"/>
        <v>48.19</v>
      </c>
      <c r="BL105" s="109">
        <f t="shared" ref="BL105:BM105" si="219">+BL88</f>
        <v>37.83</v>
      </c>
      <c r="BM105" s="109">
        <f t="shared" si="219"/>
        <v>41.59</v>
      </c>
      <c r="BN105" s="109">
        <f t="shared" ref="BN105:BP105" si="220">+BN88</f>
        <v>51.94</v>
      </c>
      <c r="BO105" s="403">
        <f>AVERAGE(BK105:BN105)</f>
        <v>44.887500000000003</v>
      </c>
      <c r="BP105" s="109">
        <f t="shared" si="220"/>
        <v>51.030999999999999</v>
      </c>
      <c r="BQ105" s="111">
        <f t="shared" si="212"/>
        <v>51.346996522243536</v>
      </c>
      <c r="BR105" s="111">
        <f t="shared" si="212"/>
        <v>51.664949772790848</v>
      </c>
      <c r="BS105" s="111">
        <f t="shared" si="212"/>
        <v>51.984871868185586</v>
      </c>
      <c r="BT105" s="110">
        <f>AVERAGE(BP105:BS105)</f>
        <v>51.50695454080499</v>
      </c>
      <c r="BU105" s="111">
        <f>BS105*(1+2.5%)^(1/4)</f>
        <v>52.306775000000023</v>
      </c>
      <c r="BV105" s="111">
        <f t="shared" si="213"/>
        <v>52.630671435299647</v>
      </c>
      <c r="BW105" s="111">
        <f t="shared" si="213"/>
        <v>52.956573517110641</v>
      </c>
      <c r="BX105" s="111">
        <f t="shared" si="213"/>
        <v>53.284493664890249</v>
      </c>
      <c r="BY105" s="110">
        <f>AVERAGE(BU105:BX105)</f>
        <v>52.794628404325138</v>
      </c>
      <c r="BZ105" s="111">
        <f>BX105*(1+2.5%)^(1/4)</f>
        <v>53.614444375000048</v>
      </c>
      <c r="CA105" s="111">
        <f t="shared" si="214"/>
        <v>53.946438221182163</v>
      </c>
      <c r="CB105" s="111">
        <f t="shared" si="214"/>
        <v>54.28048785503843</v>
      </c>
      <c r="CC105" s="111">
        <f t="shared" si="214"/>
        <v>54.616606006512527</v>
      </c>
      <c r="CD105" s="110">
        <f>AVERAGE(BZ105:CC105)</f>
        <v>54.114494114433299</v>
      </c>
      <c r="CE105" s="47"/>
      <c r="CF105" s="47"/>
      <c r="CP105" s="50"/>
      <c r="CQ105" s="50"/>
      <c r="CR105" s="50"/>
      <c r="CS105" s="50"/>
      <c r="CT105" s="50"/>
      <c r="CU105" s="50"/>
      <c r="CV105" s="50"/>
      <c r="CW105" s="50"/>
      <c r="CX105" s="50"/>
      <c r="CY105" s="50"/>
      <c r="CZ105" s="50"/>
      <c r="DA105" s="50"/>
    </row>
    <row r="106" spans="1:105" ht="12.75" customHeight="1">
      <c r="CF106" s="47"/>
      <c r="CP106" s="50"/>
      <c r="CQ106" s="50"/>
      <c r="CR106" s="50"/>
      <c r="CS106" s="50"/>
      <c r="CT106" s="50"/>
      <c r="CU106" s="50"/>
      <c r="CV106" s="50"/>
      <c r="CW106" s="50"/>
      <c r="CX106" s="50"/>
      <c r="CY106" s="50"/>
      <c r="CZ106" s="50"/>
      <c r="DA106" s="50"/>
    </row>
    <row r="107" spans="1:105" ht="12.75" customHeight="1">
      <c r="A107" s="7"/>
      <c r="B107" s="121"/>
      <c r="C107" s="88"/>
      <c r="D107" s="88"/>
      <c r="E107" s="88"/>
      <c r="F107" s="88"/>
      <c r="G107" s="88"/>
      <c r="H107" s="88"/>
      <c r="I107" s="88"/>
      <c r="J107" s="88"/>
      <c r="K107" s="88"/>
      <c r="L107" s="88"/>
      <c r="M107" s="88"/>
      <c r="N107" s="88"/>
      <c r="O107" s="88"/>
      <c r="P107" s="88"/>
      <c r="Q107" s="88"/>
      <c r="R107" s="88"/>
      <c r="S107" s="88"/>
      <c r="T107" s="88"/>
      <c r="U107" s="88"/>
      <c r="V107" s="88"/>
      <c r="W107" s="88"/>
      <c r="X107" s="88"/>
      <c r="Y107" s="88"/>
      <c r="Z107" s="88"/>
      <c r="AA107" s="88"/>
      <c r="AB107" s="88"/>
      <c r="AC107" s="88"/>
      <c r="AD107" s="88"/>
      <c r="AE107" s="88"/>
      <c r="AF107" s="88"/>
      <c r="AG107" s="88"/>
      <c r="AH107" s="88"/>
      <c r="AI107" s="88"/>
      <c r="AJ107" s="88"/>
      <c r="AK107" s="88"/>
      <c r="AL107" s="88"/>
      <c r="AM107" s="88"/>
      <c r="AN107" s="88"/>
      <c r="AO107" s="88"/>
      <c r="AP107" s="88"/>
      <c r="AQ107" s="88"/>
      <c r="AR107" s="88"/>
      <c r="AS107" s="88"/>
      <c r="AT107" s="88"/>
      <c r="AU107" s="88"/>
      <c r="AV107" s="88"/>
      <c r="AW107" s="88"/>
      <c r="AX107" s="88"/>
      <c r="AY107" s="88"/>
      <c r="AZ107" s="88"/>
      <c r="BA107" s="88"/>
      <c r="BB107" s="88"/>
      <c r="BC107" s="88"/>
      <c r="BD107" s="88"/>
      <c r="BE107" s="88"/>
      <c r="BF107" s="88"/>
      <c r="BG107" s="88"/>
      <c r="BH107" s="88"/>
      <c r="BI107" s="88"/>
      <c r="BJ107" s="88"/>
      <c r="BK107" s="88"/>
      <c r="BL107" s="88"/>
      <c r="BM107" s="88"/>
      <c r="BN107" s="88"/>
      <c r="BO107" s="88"/>
      <c r="BP107" s="88"/>
      <c r="BQ107" s="88"/>
      <c r="BR107" s="88"/>
      <c r="BS107" s="88"/>
      <c r="BT107" s="88"/>
      <c r="BU107" s="88"/>
      <c r="BV107" s="88"/>
      <c r="BW107" s="88"/>
      <c r="BX107" s="88"/>
      <c r="BY107" s="88"/>
      <c r="BZ107" s="88"/>
      <c r="CA107" s="88"/>
      <c r="CB107" s="88"/>
      <c r="CC107" s="88"/>
      <c r="CD107" s="88"/>
      <c r="CE107" s="5"/>
      <c r="CF107" s="47"/>
      <c r="CP107" s="50"/>
      <c r="CQ107" s="50"/>
      <c r="CR107" s="50"/>
      <c r="CS107" s="50"/>
      <c r="CT107" s="50"/>
      <c r="CU107" s="50"/>
      <c r="CV107" s="50"/>
      <c r="CW107" s="50"/>
      <c r="CX107" s="50"/>
      <c r="CY107" s="50"/>
      <c r="CZ107" s="50"/>
      <c r="DA107" s="50"/>
    </row>
    <row r="108" spans="1:105" ht="12.75" customHeight="1">
      <c r="A108" s="121"/>
      <c r="B108" s="121"/>
      <c r="C108" s="182"/>
      <c r="D108" s="182"/>
      <c r="E108" s="182"/>
      <c r="F108" s="182"/>
      <c r="G108" s="182"/>
      <c r="H108" s="182"/>
      <c r="I108" s="182"/>
      <c r="J108" s="182"/>
      <c r="K108" s="182"/>
      <c r="L108" s="182"/>
      <c r="M108" s="109"/>
      <c r="N108" s="109"/>
      <c r="O108" s="109"/>
      <c r="P108" s="109"/>
      <c r="Q108" s="110"/>
      <c r="R108" s="109"/>
      <c r="S108" s="109"/>
      <c r="T108" s="109"/>
      <c r="U108" s="109"/>
      <c r="V108" s="110"/>
      <c r="W108" s="109"/>
      <c r="X108" s="109"/>
      <c r="Y108" s="109"/>
      <c r="Z108" s="109"/>
      <c r="AA108" s="110"/>
      <c r="AB108" s="109"/>
      <c r="AC108" s="109"/>
      <c r="AD108" s="109"/>
      <c r="AE108" s="109"/>
      <c r="AF108" s="110"/>
      <c r="AG108" s="109"/>
      <c r="AH108" s="109"/>
      <c r="AI108" s="109"/>
      <c r="AJ108" s="109"/>
      <c r="AK108" s="110"/>
      <c r="AL108" s="109"/>
      <c r="AM108" s="109"/>
      <c r="AN108" s="109"/>
      <c r="AO108" s="109"/>
      <c r="AP108" s="403"/>
      <c r="AQ108" s="109"/>
      <c r="AR108" s="109"/>
      <c r="AS108" s="109"/>
      <c r="AT108" s="109"/>
      <c r="AU108" s="403"/>
      <c r="AV108" s="109"/>
      <c r="AW108" s="109"/>
      <c r="AX108" s="109"/>
      <c r="AY108" s="109"/>
      <c r="AZ108" s="403"/>
      <c r="BA108" s="109"/>
      <c r="BB108" s="109"/>
      <c r="BC108" s="109"/>
      <c r="BD108" s="109"/>
      <c r="BE108" s="109"/>
      <c r="BF108" s="109"/>
      <c r="BG108" s="109"/>
      <c r="BH108" s="109"/>
      <c r="BI108" s="109"/>
      <c r="BJ108" s="109"/>
      <c r="BK108" s="109"/>
      <c r="BL108" s="109"/>
      <c r="BM108" s="109"/>
      <c r="BN108" s="109"/>
      <c r="BO108" s="109"/>
      <c r="BP108" s="109"/>
      <c r="BQ108" s="109"/>
      <c r="BR108" s="109"/>
      <c r="BS108" s="109"/>
      <c r="BT108" s="109"/>
      <c r="BU108" s="109"/>
      <c r="BV108" s="109"/>
      <c r="BW108" s="109"/>
      <c r="BX108" s="109"/>
      <c r="BY108" s="109"/>
      <c r="BZ108" s="109"/>
      <c r="CA108" s="109"/>
      <c r="CB108" s="109"/>
      <c r="CC108" s="109"/>
      <c r="CD108" s="109"/>
      <c r="CE108" s="109"/>
      <c r="CF108" s="109"/>
      <c r="CP108" s="50"/>
      <c r="CQ108" s="50"/>
      <c r="CR108" s="50"/>
      <c r="CS108" s="50"/>
      <c r="CT108" s="50"/>
      <c r="CU108" s="50"/>
      <c r="CV108" s="50"/>
      <c r="CW108" s="50"/>
      <c r="CX108" s="50"/>
      <c r="CY108" s="50"/>
      <c r="CZ108" s="50"/>
      <c r="DA108" s="50"/>
    </row>
    <row r="109" spans="1:105" ht="12.75" customHeight="1">
      <c r="A109" s="121"/>
      <c r="B109" s="121"/>
      <c r="C109" s="182"/>
      <c r="D109" s="182"/>
      <c r="E109" s="182"/>
      <c r="F109" s="182"/>
      <c r="G109" s="182"/>
      <c r="H109" s="182"/>
      <c r="I109" s="182"/>
      <c r="J109" s="182"/>
      <c r="K109" s="182"/>
      <c r="L109" s="182"/>
      <c r="M109" s="109"/>
      <c r="N109" s="109"/>
      <c r="O109" s="109"/>
      <c r="P109" s="109"/>
      <c r="Q109" s="110"/>
      <c r="R109" s="109"/>
      <c r="S109" s="109"/>
      <c r="T109" s="109"/>
      <c r="U109" s="109"/>
      <c r="V109" s="110"/>
      <c r="W109" s="109"/>
      <c r="X109" s="109"/>
      <c r="Y109" s="109"/>
      <c r="Z109" s="109"/>
      <c r="AA109" s="110"/>
      <c r="AB109" s="109"/>
      <c r="AC109" s="109"/>
      <c r="AD109" s="109"/>
      <c r="AE109" s="109"/>
      <c r="AF109" s="110"/>
      <c r="AG109" s="109"/>
      <c r="AH109" s="109"/>
      <c r="AI109" s="109"/>
      <c r="AJ109" s="109"/>
      <c r="AK109" s="110"/>
      <c r="AL109" s="109"/>
      <c r="AM109" s="109"/>
      <c r="AN109" s="109"/>
      <c r="AO109" s="109"/>
      <c r="AP109" s="403"/>
      <c r="AQ109" s="109"/>
      <c r="AR109" s="109"/>
      <c r="AS109" s="109"/>
      <c r="AT109" s="109"/>
      <c r="AU109" s="403"/>
      <c r="AV109" s="109"/>
      <c r="AW109" s="109"/>
      <c r="AX109" s="109"/>
      <c r="AY109" s="109"/>
      <c r="AZ109" s="403"/>
      <c r="BA109" s="109"/>
      <c r="BB109" s="109"/>
      <c r="BC109" s="109"/>
      <c r="BD109" s="109"/>
      <c r="BE109" s="109"/>
      <c r="BF109" s="109"/>
      <c r="BG109" s="109"/>
      <c r="BH109" s="109"/>
      <c r="BI109" s="109"/>
      <c r="BJ109" s="109"/>
      <c r="BK109" s="109"/>
      <c r="BL109" s="109"/>
      <c r="BM109" s="109"/>
      <c r="BN109" s="109"/>
      <c r="BO109" s="109"/>
      <c r="BP109" s="109"/>
      <c r="BQ109" s="109"/>
      <c r="BR109" s="109"/>
      <c r="BS109" s="109"/>
      <c r="BT109" s="109"/>
      <c r="BU109" s="109"/>
      <c r="BV109" s="109"/>
      <c r="BW109" s="109"/>
      <c r="BX109" s="109"/>
      <c r="BY109" s="109"/>
      <c r="BZ109" s="109"/>
      <c r="CA109" s="109"/>
      <c r="CB109" s="109"/>
      <c r="CC109" s="109"/>
      <c r="CD109" s="109"/>
      <c r="CE109" s="109"/>
      <c r="CF109" s="109"/>
      <c r="CP109" s="50"/>
      <c r="CQ109" s="50"/>
      <c r="CR109" s="50"/>
      <c r="CS109" s="50"/>
      <c r="CT109" s="50"/>
      <c r="CU109" s="50"/>
      <c r="CV109" s="50"/>
      <c r="CW109" s="50"/>
      <c r="CX109" s="50"/>
      <c r="CY109" s="50"/>
      <c r="CZ109" s="50"/>
      <c r="DA109" s="50"/>
    </row>
    <row r="110" spans="1:105">
      <c r="CF110" s="5"/>
      <c r="CP110" s="50"/>
      <c r="CQ110" s="50"/>
      <c r="CR110" s="50"/>
      <c r="CS110" s="50"/>
      <c r="CT110" s="50"/>
      <c r="CU110" s="50"/>
      <c r="CV110" s="50"/>
      <c r="CW110" s="50"/>
      <c r="CX110" s="50"/>
      <c r="CY110" s="50"/>
      <c r="CZ110" s="50"/>
      <c r="DA110" s="50"/>
    </row>
    <row r="111" spans="1:105">
      <c r="A111" s="24" t="s">
        <v>3505</v>
      </c>
      <c r="B111" s="47"/>
      <c r="C111" s="88"/>
      <c r="D111" s="88"/>
      <c r="E111" s="88"/>
      <c r="F111" s="88"/>
      <c r="G111" s="88"/>
      <c r="H111" s="88"/>
      <c r="I111" s="88"/>
      <c r="J111" s="88"/>
      <c r="K111" s="88"/>
      <c r="L111" s="88"/>
      <c r="M111" s="88"/>
      <c r="N111" s="88"/>
      <c r="O111" s="88"/>
      <c r="P111" s="88"/>
      <c r="Q111" s="88"/>
      <c r="R111" s="88"/>
      <c r="S111" s="88"/>
      <c r="T111" s="88"/>
      <c r="U111" s="88"/>
      <c r="V111" s="88"/>
      <c r="W111" s="88"/>
      <c r="X111" s="88"/>
      <c r="Y111" s="88"/>
      <c r="Z111" s="88"/>
      <c r="AA111" s="88"/>
      <c r="AB111" s="88"/>
      <c r="AC111" s="88"/>
      <c r="AD111" s="88"/>
      <c r="AE111" s="88"/>
      <c r="AF111" s="88"/>
      <c r="AG111" s="88"/>
      <c r="AH111" s="88"/>
      <c r="AI111" s="88"/>
      <c r="AJ111" s="88"/>
      <c r="AK111" s="88"/>
      <c r="AL111" s="88"/>
      <c r="AM111" s="88"/>
      <c r="AN111" s="88"/>
      <c r="AO111" s="88"/>
      <c r="AP111" s="88"/>
      <c r="AQ111" s="88"/>
      <c r="AR111" s="88"/>
      <c r="AS111" s="88"/>
      <c r="AT111" s="88"/>
      <c r="AU111" s="88"/>
      <c r="AV111" s="88"/>
      <c r="AW111" s="88"/>
      <c r="AX111" s="88"/>
      <c r="AY111" s="88"/>
      <c r="AZ111" s="88"/>
      <c r="BA111" s="88"/>
      <c r="BB111" s="88"/>
      <c r="BC111" s="88"/>
      <c r="BD111" s="88"/>
      <c r="BE111" s="88"/>
      <c r="BF111" s="88"/>
      <c r="BG111" s="88"/>
      <c r="BH111" s="88"/>
      <c r="BI111" s="88"/>
      <c r="BJ111" s="47"/>
      <c r="BK111" s="88"/>
      <c r="BL111" s="88"/>
      <c r="BM111" s="88"/>
      <c r="BN111" s="88"/>
      <c r="BO111" s="47"/>
      <c r="BP111" s="47"/>
      <c r="BQ111" s="47"/>
      <c r="BR111" s="47"/>
      <c r="BS111" s="47"/>
      <c r="BT111" s="47"/>
      <c r="BU111" s="47"/>
      <c r="BV111" s="47"/>
      <c r="BW111" s="47"/>
      <c r="BX111" s="47"/>
      <c r="BY111" s="47"/>
      <c r="BZ111" s="47"/>
      <c r="CA111" s="47"/>
      <c r="CB111" s="47"/>
      <c r="CC111" s="47"/>
      <c r="CD111" s="47"/>
      <c r="CE111" s="47"/>
      <c r="CF111" s="5"/>
      <c r="CP111" s="50"/>
      <c r="CQ111" s="50"/>
      <c r="CR111" s="50"/>
      <c r="CS111" s="50"/>
      <c r="CT111" s="50"/>
      <c r="CU111" s="50"/>
      <c r="CV111" s="50"/>
      <c r="CW111" s="50"/>
      <c r="CX111" s="50"/>
      <c r="CY111" s="50"/>
      <c r="CZ111" s="50"/>
      <c r="DA111" s="50"/>
    </row>
    <row r="112" spans="1:105">
      <c r="A112" s="10"/>
      <c r="B112" s="10"/>
      <c r="C112" s="31">
        <v>2001</v>
      </c>
      <c r="D112" s="32">
        <v>2002</v>
      </c>
      <c r="E112" s="32">
        <v>2003</v>
      </c>
      <c r="F112" s="32">
        <v>2004</v>
      </c>
      <c r="G112" s="31">
        <v>2005</v>
      </c>
      <c r="H112" s="33" t="s">
        <v>714</v>
      </c>
      <c r="I112" s="33" t="s">
        <v>715</v>
      </c>
      <c r="J112" s="33" t="s">
        <v>716</v>
      </c>
      <c r="K112" s="33" t="s">
        <v>717</v>
      </c>
      <c r="L112" s="31">
        <v>2006</v>
      </c>
      <c r="M112" s="33" t="s">
        <v>718</v>
      </c>
      <c r="N112" s="33" t="s">
        <v>719</v>
      </c>
      <c r="O112" s="33" t="s">
        <v>1970</v>
      </c>
      <c r="P112" s="33" t="s">
        <v>1971</v>
      </c>
      <c r="Q112" s="31">
        <v>2007</v>
      </c>
      <c r="R112" s="33" t="s">
        <v>1972</v>
      </c>
      <c r="S112" s="33" t="s">
        <v>1973</v>
      </c>
      <c r="T112" s="33" t="s">
        <v>1974</v>
      </c>
      <c r="U112" s="33" t="s">
        <v>1975</v>
      </c>
      <c r="V112" s="31">
        <v>2008</v>
      </c>
      <c r="W112" s="33" t="s">
        <v>1976</v>
      </c>
      <c r="X112" s="33" t="s">
        <v>1977</v>
      </c>
      <c r="Y112" s="33" t="s">
        <v>1978</v>
      </c>
      <c r="Z112" s="33" t="s">
        <v>1979</v>
      </c>
      <c r="AA112" s="31">
        <v>2009</v>
      </c>
      <c r="AB112" s="33" t="s">
        <v>1980</v>
      </c>
      <c r="AC112" s="33" t="s">
        <v>1981</v>
      </c>
      <c r="AD112" s="33" t="s">
        <v>1982</v>
      </c>
      <c r="AE112" s="33" t="s">
        <v>2392</v>
      </c>
      <c r="AF112" s="31">
        <v>2010</v>
      </c>
      <c r="AG112" s="33" t="s">
        <v>2393</v>
      </c>
      <c r="AH112" s="33" t="s">
        <v>2394</v>
      </c>
      <c r="AI112" s="33" t="s">
        <v>2395</v>
      </c>
      <c r="AJ112" s="33" t="s">
        <v>2396</v>
      </c>
      <c r="AK112" s="31">
        <v>2011</v>
      </c>
      <c r="AL112" s="368" t="s">
        <v>2397</v>
      </c>
      <c r="AM112" s="368" t="s">
        <v>2398</v>
      </c>
      <c r="AN112" s="368" t="s">
        <v>2399</v>
      </c>
      <c r="AO112" s="368" t="s">
        <v>2400</v>
      </c>
      <c r="AP112" s="369">
        <v>2012</v>
      </c>
      <c r="AQ112" s="368" t="s">
        <v>2401</v>
      </c>
      <c r="AR112" s="368" t="s">
        <v>2402</v>
      </c>
      <c r="AS112" s="368" t="s">
        <v>2403</v>
      </c>
      <c r="AT112" s="368" t="s">
        <v>2404</v>
      </c>
      <c r="AU112" s="369">
        <v>2013</v>
      </c>
      <c r="AV112" s="368" t="s">
        <v>2405</v>
      </c>
      <c r="AW112" s="368" t="s">
        <v>2406</v>
      </c>
      <c r="AX112" s="368" t="s">
        <v>2407</v>
      </c>
      <c r="AY112" s="368" t="s">
        <v>2408</v>
      </c>
      <c r="AZ112" s="369">
        <v>2014</v>
      </c>
      <c r="BA112" s="368" t="s">
        <v>2409</v>
      </c>
      <c r="BB112" s="368" t="s">
        <v>2410</v>
      </c>
      <c r="BC112" s="368" t="s">
        <v>2411</v>
      </c>
      <c r="BD112" s="368" t="s">
        <v>2412</v>
      </c>
      <c r="BE112" s="369">
        <v>2015</v>
      </c>
      <c r="BF112" s="368" t="s">
        <v>2413</v>
      </c>
      <c r="BG112" s="368" t="s">
        <v>2414</v>
      </c>
      <c r="BH112" s="368" t="s">
        <v>2415</v>
      </c>
      <c r="BI112" s="368" t="s">
        <v>2416</v>
      </c>
      <c r="BJ112" s="369">
        <v>2016</v>
      </c>
      <c r="BK112" s="368" t="s">
        <v>2417</v>
      </c>
      <c r="BL112" s="368" t="s">
        <v>2418</v>
      </c>
      <c r="BM112" s="368" t="s">
        <v>2419</v>
      </c>
      <c r="BN112" s="368" t="s">
        <v>2420</v>
      </c>
      <c r="BO112" s="369">
        <v>2017</v>
      </c>
      <c r="BP112" s="363" t="s">
        <v>2244</v>
      </c>
      <c r="BQ112" s="363" t="s">
        <v>2245</v>
      </c>
      <c r="BR112" s="363" t="s">
        <v>2508</v>
      </c>
      <c r="BS112" s="363" t="s">
        <v>2509</v>
      </c>
      <c r="BT112" s="364">
        <v>2018</v>
      </c>
      <c r="BU112" s="363" t="s">
        <v>2510</v>
      </c>
      <c r="BV112" s="363" t="s">
        <v>2511</v>
      </c>
      <c r="BW112" s="363" t="s">
        <v>3125</v>
      </c>
      <c r="BX112" s="363" t="s">
        <v>1405</v>
      </c>
      <c r="BY112" s="364">
        <v>2019</v>
      </c>
      <c r="BZ112" s="363" t="s">
        <v>1406</v>
      </c>
      <c r="CA112" s="363" t="s">
        <v>1407</v>
      </c>
      <c r="CB112" s="363" t="s">
        <v>1408</v>
      </c>
      <c r="CC112" s="363" t="s">
        <v>1409</v>
      </c>
      <c r="CD112" s="364">
        <v>2020</v>
      </c>
      <c r="CE112" s="11"/>
      <c r="CF112" s="5"/>
      <c r="CG112" s="540"/>
      <c r="CH112" s="541"/>
      <c r="CI112" s="541"/>
      <c r="CJ112" s="541"/>
      <c r="CK112" s="541"/>
      <c r="CL112" s="541"/>
      <c r="CM112" s="541"/>
      <c r="CN112" s="541"/>
      <c r="CO112" s="541"/>
      <c r="CP112" s="50"/>
      <c r="CQ112" s="50"/>
      <c r="CR112" s="50"/>
      <c r="CS112" s="50"/>
      <c r="CT112" s="50"/>
      <c r="CU112" s="50"/>
      <c r="CV112" s="50"/>
      <c r="CW112" s="50"/>
      <c r="CX112" s="50"/>
      <c r="CY112" s="50"/>
      <c r="CZ112" s="50"/>
      <c r="DA112" s="50"/>
    </row>
    <row r="113" spans="1:105" ht="12.75" customHeight="1">
      <c r="A113" s="39" t="s">
        <v>700</v>
      </c>
      <c r="B113" s="47"/>
      <c r="C113" s="88"/>
      <c r="D113" s="340"/>
      <c r="E113" s="340"/>
      <c r="F113" s="340"/>
      <c r="G113" s="340"/>
      <c r="H113" s="340"/>
      <c r="I113" s="340"/>
      <c r="J113" s="340"/>
      <c r="K113" s="340"/>
      <c r="L113" s="340"/>
      <c r="M113" s="340"/>
      <c r="N113" s="340"/>
      <c r="O113" s="340"/>
      <c r="P113" s="340"/>
      <c r="Q113" s="340"/>
      <c r="R113" s="340"/>
      <c r="S113" s="340"/>
      <c r="T113" s="340"/>
      <c r="U113" s="340"/>
      <c r="V113" s="340"/>
      <c r="W113" s="340"/>
      <c r="X113" s="340"/>
      <c r="Y113" s="340"/>
      <c r="Z113" s="340"/>
      <c r="AA113" s="340"/>
      <c r="AB113" s="340"/>
      <c r="AC113" s="340"/>
      <c r="AD113" s="340"/>
      <c r="AE113" s="340"/>
      <c r="AF113" s="340"/>
      <c r="AG113" s="88"/>
      <c r="AH113" s="88"/>
      <c r="AI113" s="88"/>
      <c r="AJ113" s="88"/>
      <c r="AK113" s="88"/>
      <c r="AL113" s="88"/>
      <c r="AM113" s="88"/>
      <c r="AN113" s="88"/>
      <c r="AO113" s="88"/>
      <c r="AP113" s="88"/>
      <c r="AQ113" s="88"/>
      <c r="AR113" s="88"/>
      <c r="AS113" s="88"/>
      <c r="AT113" s="88"/>
      <c r="AU113" s="88"/>
      <c r="AV113" s="88"/>
      <c r="AW113" s="88"/>
      <c r="AX113" s="88"/>
      <c r="AY113" s="88"/>
      <c r="AZ113" s="88"/>
      <c r="BA113" s="88"/>
      <c r="BB113" s="88"/>
      <c r="BC113" s="88"/>
      <c r="BD113" s="88"/>
      <c r="BE113" s="88"/>
      <c r="BF113" s="88"/>
      <c r="BG113" s="88"/>
      <c r="BH113" s="88"/>
      <c r="BI113" s="88"/>
      <c r="BJ113" s="47"/>
      <c r="BK113" s="88"/>
      <c r="BL113" s="88"/>
      <c r="BM113" s="88"/>
      <c r="BN113" s="88"/>
      <c r="BO113" s="47"/>
      <c r="BP113" s="47"/>
      <c r="BQ113" s="47"/>
      <c r="BR113" s="47"/>
      <c r="BS113" s="47"/>
      <c r="BT113" s="47"/>
      <c r="BU113" s="47"/>
      <c r="BV113" s="47"/>
      <c r="BW113" s="47"/>
      <c r="BX113" s="47"/>
      <c r="BY113" s="47"/>
      <c r="BZ113" s="47"/>
      <c r="CA113" s="47"/>
      <c r="CB113" s="47"/>
      <c r="CC113" s="47"/>
      <c r="CD113" s="47"/>
      <c r="CE113" s="47"/>
      <c r="CG113" s="540"/>
      <c r="CH113" s="541"/>
      <c r="CI113" s="541"/>
      <c r="CJ113" s="541"/>
      <c r="CK113" s="541"/>
      <c r="CL113" s="541"/>
      <c r="CM113" s="541"/>
      <c r="CN113" s="541"/>
      <c r="CO113" s="541"/>
      <c r="CP113" s="50"/>
      <c r="CQ113" s="50"/>
      <c r="CR113" s="50"/>
      <c r="CS113" s="50"/>
      <c r="CT113" s="50"/>
      <c r="CU113" s="50"/>
      <c r="CV113" s="50"/>
      <c r="CW113" s="50"/>
      <c r="CX113" s="50"/>
      <c r="CY113" s="50"/>
      <c r="CZ113" s="50"/>
      <c r="DA113" s="50"/>
    </row>
    <row r="114" spans="1:105" ht="12.75" customHeight="1">
      <c r="A114" s="39"/>
      <c r="B114" s="47" t="s">
        <v>2454</v>
      </c>
      <c r="C114" s="70">
        <v>1.4405212618746301</v>
      </c>
      <c r="D114" s="70">
        <v>1.5029635391266647</v>
      </c>
      <c r="E114" s="70">
        <v>1.6347818589256207</v>
      </c>
      <c r="F114" s="70">
        <v>1.833925</v>
      </c>
      <c r="G114" s="70">
        <v>1.83375</v>
      </c>
      <c r="H114" s="85">
        <v>1.75</v>
      </c>
      <c r="I114" s="85">
        <v>1.83</v>
      </c>
      <c r="J114" s="85">
        <v>1.8747499999999999</v>
      </c>
      <c r="K114" s="85">
        <v>1.92</v>
      </c>
      <c r="L114" s="70">
        <v>1.8436874999999999</v>
      </c>
      <c r="M114" s="85">
        <v>1.9450000000000001</v>
      </c>
      <c r="N114" s="85">
        <v>1.986</v>
      </c>
      <c r="O114" s="85">
        <v>2.02</v>
      </c>
      <c r="P114" s="85">
        <v>2.0459999999999998</v>
      </c>
      <c r="Q114" s="70">
        <v>1.99925</v>
      </c>
      <c r="R114" s="85">
        <v>1.978</v>
      </c>
      <c r="S114" s="85">
        <v>1.97</v>
      </c>
      <c r="T114" s="85">
        <v>1.89</v>
      </c>
      <c r="U114" s="85">
        <v>1.57</v>
      </c>
      <c r="V114" s="70">
        <v>1.8520000000000001</v>
      </c>
      <c r="W114" s="85">
        <v>1.43</v>
      </c>
      <c r="X114" s="85">
        <v>1.55</v>
      </c>
      <c r="Y114" s="85">
        <v>1.64</v>
      </c>
      <c r="Z114" s="85">
        <v>1.63</v>
      </c>
      <c r="AA114" s="70">
        <v>1.5625</v>
      </c>
      <c r="AB114" s="85">
        <v>1.56</v>
      </c>
      <c r="AC114" s="85">
        <v>1.49</v>
      </c>
      <c r="AD114" s="85">
        <v>1.55</v>
      </c>
      <c r="AE114" s="85">
        <v>1.58</v>
      </c>
      <c r="AF114" s="70">
        <v>1.5449999999999999</v>
      </c>
      <c r="AG114" s="85">
        <f t="shared" ref="AG114:AI115" si="221">+AG97</f>
        <v>1.6</v>
      </c>
      <c r="AH114" s="85">
        <f t="shared" si="221"/>
        <v>1.63</v>
      </c>
      <c r="AI114" s="85">
        <f t="shared" si="221"/>
        <v>1.61</v>
      </c>
      <c r="AJ114" s="85">
        <f>+AJ97</f>
        <v>1.57</v>
      </c>
      <c r="AK114" s="234">
        <f>AVERAGE(AG114:AJ114)</f>
        <v>1.6025</v>
      </c>
      <c r="AL114" s="85">
        <f t="shared" ref="AL114:AN115" si="222">+AL97</f>
        <v>1.57</v>
      </c>
      <c r="AM114" s="85">
        <f t="shared" si="222"/>
        <v>1.58</v>
      </c>
      <c r="AN114" s="85">
        <f t="shared" si="222"/>
        <v>1.58</v>
      </c>
      <c r="AO114" s="85">
        <f>+AO97</f>
        <v>1.6060310606060608</v>
      </c>
      <c r="AP114" s="234">
        <f>AVERAGE(AL114:AO114)</f>
        <v>1.5840077651515152</v>
      </c>
      <c r="AQ114" s="85">
        <f t="shared" ref="AQ114:AS115" si="223">+AQ97</f>
        <v>1.5524953125000005</v>
      </c>
      <c r="AR114" s="85">
        <f t="shared" si="223"/>
        <v>1.5354469230769237</v>
      </c>
      <c r="AS114" s="85">
        <f t="shared" si="223"/>
        <v>1.5505030303030303</v>
      </c>
      <c r="AT114" s="85">
        <f>+AT97</f>
        <v>1.62</v>
      </c>
      <c r="AU114" s="234">
        <f>AVERAGE(AQ114:AT114)</f>
        <v>1.5646113164699886</v>
      </c>
      <c r="AV114" s="85">
        <f t="shared" ref="AV114:AY115" si="224">+AV97</f>
        <v>1.66</v>
      </c>
      <c r="AW114" s="85">
        <f t="shared" si="224"/>
        <v>1.68</v>
      </c>
      <c r="AX114" s="85">
        <f t="shared" si="224"/>
        <v>1.67</v>
      </c>
      <c r="AY114" s="85">
        <f t="shared" si="224"/>
        <v>1.58</v>
      </c>
      <c r="AZ114" s="574">
        <f>AVERAGE(AV114:AY114)</f>
        <v>1.6475</v>
      </c>
      <c r="BA114" s="85">
        <f t="shared" ref="BA114:BD115" si="225">+BA97</f>
        <v>1.51</v>
      </c>
      <c r="BB114" s="85">
        <f t="shared" si="225"/>
        <v>1.53</v>
      </c>
      <c r="BC114" s="85">
        <f t="shared" si="225"/>
        <v>1.55</v>
      </c>
      <c r="BD114" s="85">
        <f t="shared" si="225"/>
        <v>1.52</v>
      </c>
      <c r="BE114" s="555">
        <f>AVERAGE(BA114:BD114)</f>
        <v>1.5274999999999999</v>
      </c>
      <c r="BF114" s="633">
        <f t="shared" ref="BF114" si="226">+BF97</f>
        <v>1.43</v>
      </c>
      <c r="BG114" s="633">
        <f t="shared" ref="BG114" si="227">+BG97</f>
        <v>1.43</v>
      </c>
      <c r="BH114" s="633">
        <f t="shared" ref="BH114" si="228">+BH97</f>
        <v>1.31</v>
      </c>
      <c r="BI114" s="633">
        <f t="shared" ref="BI114:BK114" si="229">+BI97</f>
        <v>1.24</v>
      </c>
      <c r="BJ114" s="234">
        <f t="shared" ref="BJ114:CD114" si="230">BJ63</f>
        <v>1.3525</v>
      </c>
      <c r="BK114" s="633">
        <f t="shared" si="229"/>
        <v>1.24</v>
      </c>
      <c r="BL114" s="633">
        <f t="shared" ref="BL114:BM114" si="231">+BL97</f>
        <v>1.28</v>
      </c>
      <c r="BM114" s="633">
        <f t="shared" si="231"/>
        <v>1.31</v>
      </c>
      <c r="BN114" s="633">
        <f t="shared" ref="BN114:BP114" si="232">+BN97</f>
        <v>1.33</v>
      </c>
      <c r="BO114" s="644">
        <f t="shared" si="230"/>
        <v>1.29</v>
      </c>
      <c r="BP114" s="711">
        <f t="shared" si="232"/>
        <v>1.3914200000000001</v>
      </c>
      <c r="BQ114" s="233">
        <f t="shared" si="230"/>
        <v>1.35</v>
      </c>
      <c r="BR114" s="233">
        <f t="shared" si="230"/>
        <v>1.35</v>
      </c>
      <c r="BS114" s="233">
        <f t="shared" si="230"/>
        <v>1.35</v>
      </c>
      <c r="BT114" s="234">
        <f t="shared" si="230"/>
        <v>1.3603550000000002</v>
      </c>
      <c r="BU114" s="233">
        <f t="shared" si="230"/>
        <v>1.35</v>
      </c>
      <c r="BV114" s="233">
        <f t="shared" si="230"/>
        <v>1.35</v>
      </c>
      <c r="BW114" s="233">
        <f t="shared" si="230"/>
        <v>1.35</v>
      </c>
      <c r="BX114" s="233">
        <f t="shared" si="230"/>
        <v>1.35</v>
      </c>
      <c r="BY114" s="234">
        <f t="shared" si="230"/>
        <v>1.35</v>
      </c>
      <c r="BZ114" s="233">
        <f t="shared" si="230"/>
        <v>1.35</v>
      </c>
      <c r="CA114" s="233">
        <f t="shared" si="230"/>
        <v>1.35</v>
      </c>
      <c r="CB114" s="233">
        <f t="shared" si="230"/>
        <v>1.35</v>
      </c>
      <c r="CC114" s="233">
        <f t="shared" si="230"/>
        <v>1.35</v>
      </c>
      <c r="CD114" s="234">
        <f t="shared" si="230"/>
        <v>1.35</v>
      </c>
      <c r="CE114" s="47"/>
      <c r="CF114" s="47"/>
      <c r="CG114" s="540"/>
      <c r="CH114" s="541"/>
      <c r="CI114" s="541"/>
      <c r="CJ114" s="541"/>
      <c r="CK114" s="541"/>
      <c r="CL114" s="541"/>
      <c r="CM114" s="541"/>
      <c r="CN114" s="541"/>
      <c r="CO114" s="541"/>
      <c r="CP114" s="50"/>
      <c r="CQ114" s="50"/>
      <c r="CR114" s="50"/>
      <c r="CS114" s="50"/>
      <c r="CT114" s="50"/>
      <c r="CU114" s="50"/>
      <c r="CV114" s="50"/>
      <c r="CW114" s="50"/>
      <c r="CX114" s="50"/>
      <c r="CY114" s="50"/>
      <c r="CZ114" s="50"/>
      <c r="DA114" s="50"/>
    </row>
    <row r="115" spans="1:105" ht="12.75" customHeight="1">
      <c r="A115" s="47"/>
      <c r="B115" s="47" t="s">
        <v>2455</v>
      </c>
      <c r="C115" s="340">
        <v>0.9</v>
      </c>
      <c r="D115" s="340">
        <v>0.95</v>
      </c>
      <c r="E115" s="340">
        <v>1.1299999999999999</v>
      </c>
      <c r="F115" s="340">
        <v>1.24</v>
      </c>
      <c r="G115" s="340">
        <v>1.24</v>
      </c>
      <c r="H115" s="323">
        <v>1.2</v>
      </c>
      <c r="I115" s="323">
        <v>1.26</v>
      </c>
      <c r="J115" s="323">
        <v>1.27</v>
      </c>
      <c r="K115" s="323">
        <v>1.29</v>
      </c>
      <c r="L115" s="234">
        <v>1.26</v>
      </c>
      <c r="M115" s="323">
        <v>1.31</v>
      </c>
      <c r="N115" s="323">
        <v>1.35</v>
      </c>
      <c r="O115" s="323">
        <v>1.37</v>
      </c>
      <c r="P115" s="323">
        <v>1.45</v>
      </c>
      <c r="Q115" s="234">
        <v>1.37</v>
      </c>
      <c r="R115" s="323">
        <v>1.5</v>
      </c>
      <c r="S115" s="323">
        <v>1.56</v>
      </c>
      <c r="T115" s="323">
        <v>1.51</v>
      </c>
      <c r="U115" s="323">
        <v>1.32</v>
      </c>
      <c r="V115" s="234">
        <v>1.47</v>
      </c>
      <c r="W115" s="323">
        <v>1.3</v>
      </c>
      <c r="X115" s="323">
        <v>1.36</v>
      </c>
      <c r="Y115" s="323">
        <v>1.43</v>
      </c>
      <c r="Z115" s="323">
        <v>1.48</v>
      </c>
      <c r="AA115" s="234">
        <v>1.39</v>
      </c>
      <c r="AB115" s="323">
        <v>1.38</v>
      </c>
      <c r="AC115" s="323">
        <v>1.27</v>
      </c>
      <c r="AD115" s="323">
        <v>1.29</v>
      </c>
      <c r="AE115" s="323">
        <v>1.36</v>
      </c>
      <c r="AF115" s="234">
        <v>1.33</v>
      </c>
      <c r="AG115" s="323">
        <f t="shared" si="221"/>
        <v>1.37</v>
      </c>
      <c r="AH115" s="323">
        <f t="shared" si="221"/>
        <v>1.44</v>
      </c>
      <c r="AI115" s="323">
        <f t="shared" si="221"/>
        <v>1.41</v>
      </c>
      <c r="AJ115" s="323">
        <f>+AJ98</f>
        <v>1.35</v>
      </c>
      <c r="AK115" s="234">
        <f>+AVERAGE(AG115:AJ115)</f>
        <v>1.3925000000000001</v>
      </c>
      <c r="AL115" s="323">
        <f t="shared" si="222"/>
        <v>1.31</v>
      </c>
      <c r="AM115" s="323">
        <f t="shared" si="222"/>
        <v>1.28</v>
      </c>
      <c r="AN115" s="323">
        <f t="shared" si="222"/>
        <v>1.25</v>
      </c>
      <c r="AO115" s="323">
        <f>+AO98</f>
        <v>1.2974000000000003</v>
      </c>
      <c r="AP115" s="234">
        <f>+AVERAGE(AL115:AO115)</f>
        <v>1.2843500000000001</v>
      </c>
      <c r="AQ115" s="323">
        <f t="shared" si="223"/>
        <v>1.3200578125</v>
      </c>
      <c r="AR115" s="323">
        <f t="shared" si="223"/>
        <v>1.3058284615384621</v>
      </c>
      <c r="AS115" s="323">
        <f t="shared" si="223"/>
        <v>1.3244242424242425</v>
      </c>
      <c r="AT115" s="323">
        <f>+AT98</f>
        <v>1.36</v>
      </c>
      <c r="AU115" s="234">
        <f>+AVERAGE(AQ115:AT115)</f>
        <v>1.3275776291156762</v>
      </c>
      <c r="AV115" s="323">
        <f t="shared" si="224"/>
        <v>1.37</v>
      </c>
      <c r="AW115" s="323">
        <f t="shared" si="224"/>
        <v>1.37</v>
      </c>
      <c r="AX115" s="323">
        <f t="shared" si="224"/>
        <v>1.33</v>
      </c>
      <c r="AY115" s="323">
        <f t="shared" si="224"/>
        <v>1.25</v>
      </c>
      <c r="AZ115" s="574">
        <f>+AVERAGE(AV115:AY115)</f>
        <v>1.33</v>
      </c>
      <c r="BA115" s="575">
        <f t="shared" si="225"/>
        <v>1.1200000000000001</v>
      </c>
      <c r="BB115" s="575">
        <f t="shared" si="225"/>
        <v>1.1100000000000001</v>
      </c>
      <c r="BC115" s="575">
        <f t="shared" si="225"/>
        <v>1.1100000000000001</v>
      </c>
      <c r="BD115" s="575">
        <f t="shared" si="225"/>
        <v>1.0900000000000001</v>
      </c>
      <c r="BE115" s="555">
        <f>+AVERAGE(BA115:BD115)</f>
        <v>1.1075000000000002</v>
      </c>
      <c r="BF115" s="575">
        <f t="shared" ref="BF115" si="233">+BF98</f>
        <v>1.1000000000000001</v>
      </c>
      <c r="BG115" s="575">
        <f t="shared" ref="BG115" si="234">+BG98</f>
        <v>1.1299999999999999</v>
      </c>
      <c r="BH115" s="575">
        <f t="shared" ref="BH115" si="235">+BH98</f>
        <v>1.1200000000000001</v>
      </c>
      <c r="BI115" s="575">
        <f t="shared" ref="BI115:BK115" si="236">+BI98</f>
        <v>1.08</v>
      </c>
      <c r="BJ115" s="234">
        <f t="shared" ref="BJ115:CD115" si="237">BJ64</f>
        <v>1.1074999999999999</v>
      </c>
      <c r="BK115" s="575">
        <f t="shared" si="236"/>
        <v>1.07</v>
      </c>
      <c r="BL115" s="575">
        <f t="shared" ref="BL115:BM115" si="238">+BL98</f>
        <v>1.1000000000000001</v>
      </c>
      <c r="BM115" s="575">
        <f t="shared" si="238"/>
        <v>1.17</v>
      </c>
      <c r="BN115" s="575">
        <f t="shared" ref="BN115:BP115" si="239">+BN98</f>
        <v>1.18</v>
      </c>
      <c r="BO115" s="644">
        <f t="shared" si="237"/>
        <v>1.1299999999999999</v>
      </c>
      <c r="BP115" s="575">
        <f t="shared" si="239"/>
        <v>1.22872</v>
      </c>
      <c r="BQ115" s="233">
        <f t="shared" si="237"/>
        <v>1.2</v>
      </c>
      <c r="BR115" s="233">
        <f t="shared" si="237"/>
        <v>1.2</v>
      </c>
      <c r="BS115" s="233">
        <f t="shared" si="237"/>
        <v>1.2</v>
      </c>
      <c r="BT115" s="234">
        <f t="shared" si="237"/>
        <v>1.2071800000000001</v>
      </c>
      <c r="BU115" s="233">
        <f t="shared" si="237"/>
        <v>1.2</v>
      </c>
      <c r="BV115" s="233">
        <f t="shared" si="237"/>
        <v>1.2</v>
      </c>
      <c r="BW115" s="233">
        <f t="shared" si="237"/>
        <v>1.2</v>
      </c>
      <c r="BX115" s="233">
        <f t="shared" si="237"/>
        <v>1.2</v>
      </c>
      <c r="BY115" s="234">
        <f t="shared" si="237"/>
        <v>1.2</v>
      </c>
      <c r="BZ115" s="233">
        <f t="shared" si="237"/>
        <v>1.1499999999999999</v>
      </c>
      <c r="CA115" s="233">
        <f t="shared" si="237"/>
        <v>1.1499999999999999</v>
      </c>
      <c r="CB115" s="233">
        <f t="shared" si="237"/>
        <v>1.1499999999999999</v>
      </c>
      <c r="CC115" s="233">
        <f t="shared" si="237"/>
        <v>1.1499999999999999</v>
      </c>
      <c r="CD115" s="234">
        <f t="shared" si="237"/>
        <v>1.1499999999999999</v>
      </c>
      <c r="CE115" s="47"/>
      <c r="CF115" s="11"/>
      <c r="CG115" s="50"/>
      <c r="CH115" s="50"/>
      <c r="CI115" s="50"/>
      <c r="CJ115" s="50"/>
      <c r="CK115" s="50"/>
      <c r="CL115" s="50"/>
      <c r="CM115" s="50"/>
      <c r="CN115" s="50"/>
      <c r="CO115" s="50"/>
      <c r="CP115" s="50"/>
      <c r="CQ115" s="50"/>
      <c r="CR115" s="50"/>
      <c r="CS115" s="50"/>
      <c r="CT115" s="50"/>
      <c r="CU115" s="50"/>
      <c r="CV115" s="50"/>
      <c r="CW115" s="50"/>
      <c r="CX115" s="50"/>
      <c r="CY115" s="50"/>
      <c r="CZ115" s="50"/>
      <c r="DA115" s="50"/>
    </row>
    <row r="116" spans="1:105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  <c r="AA116" s="47"/>
      <c r="AB116" s="47"/>
      <c r="AC116" s="47"/>
      <c r="AD116" s="47"/>
      <c r="AE116" s="47"/>
      <c r="AF116" s="47"/>
      <c r="AG116" s="47"/>
      <c r="AH116" s="47"/>
      <c r="AI116" s="47"/>
      <c r="AJ116" s="47"/>
      <c r="AK116" s="47"/>
      <c r="AL116" s="47"/>
      <c r="AM116" s="47"/>
      <c r="AN116" s="47"/>
      <c r="AO116" s="47"/>
      <c r="AP116" s="47"/>
      <c r="AQ116" s="47"/>
      <c r="AR116" s="47"/>
      <c r="AS116" s="47"/>
      <c r="AT116" s="47"/>
      <c r="AU116" s="47"/>
      <c r="AV116" s="47"/>
      <c r="AW116" s="47"/>
      <c r="AX116" s="47"/>
      <c r="AY116" s="47"/>
      <c r="AZ116" s="47"/>
      <c r="BA116" s="47"/>
      <c r="BB116" s="47"/>
      <c r="BC116" s="47"/>
      <c r="BD116" s="47"/>
      <c r="BE116" s="56"/>
      <c r="BF116" s="47"/>
      <c r="BG116" s="47"/>
      <c r="BH116" s="47"/>
      <c r="BI116" s="47"/>
      <c r="BJ116" s="47"/>
      <c r="BK116" s="47"/>
      <c r="BL116" s="47"/>
      <c r="BM116" s="47"/>
      <c r="BN116" s="47"/>
      <c r="BO116" s="47"/>
      <c r="BP116" s="47"/>
      <c r="BQ116" s="47"/>
      <c r="BR116" s="47"/>
      <c r="BS116" s="47"/>
      <c r="BT116" s="47"/>
      <c r="BU116" s="47"/>
      <c r="BV116" s="47"/>
      <c r="BW116" s="47"/>
      <c r="BX116" s="47"/>
      <c r="BY116" s="47"/>
      <c r="BZ116" s="47"/>
      <c r="CA116" s="47"/>
      <c r="CB116" s="47"/>
      <c r="CC116" s="47"/>
      <c r="CD116" s="47"/>
      <c r="CE116" s="47"/>
      <c r="CF116" s="47"/>
      <c r="CG116" s="50"/>
      <c r="CH116" s="50"/>
      <c r="CI116" s="50"/>
      <c r="CJ116" s="50"/>
      <c r="CK116" s="50"/>
      <c r="CL116" s="50"/>
      <c r="CM116" s="50"/>
      <c r="CN116" s="50"/>
      <c r="CO116" s="50"/>
      <c r="CP116" s="50"/>
      <c r="CQ116" s="50"/>
      <c r="CR116" s="50"/>
      <c r="CS116" s="50"/>
      <c r="CT116" s="50"/>
      <c r="CU116" s="50"/>
      <c r="CV116" s="50"/>
      <c r="CW116" s="50"/>
      <c r="CX116" s="50"/>
      <c r="CY116" s="50"/>
      <c r="CZ116" s="50"/>
      <c r="DA116" s="50"/>
    </row>
    <row r="117" spans="1:105">
      <c r="A117" s="39" t="s">
        <v>3097</v>
      </c>
      <c r="B117" s="47"/>
      <c r="C117" s="88"/>
      <c r="D117" s="340"/>
      <c r="E117" s="340"/>
      <c r="F117" s="340"/>
      <c r="G117" s="340"/>
      <c r="H117" s="340"/>
      <c r="I117" s="340"/>
      <c r="J117" s="340"/>
      <c r="K117" s="340"/>
      <c r="L117" s="340"/>
      <c r="M117" s="340"/>
      <c r="N117" s="340"/>
      <c r="O117" s="340"/>
      <c r="P117" s="340"/>
      <c r="Q117" s="340"/>
      <c r="R117" s="340"/>
      <c r="S117" s="340"/>
      <c r="T117" s="340"/>
      <c r="U117" s="340"/>
      <c r="V117" s="340"/>
      <c r="W117" s="340"/>
      <c r="X117" s="340"/>
      <c r="Y117" s="340"/>
      <c r="Z117" s="340"/>
      <c r="AA117" s="340"/>
      <c r="AB117" s="340"/>
      <c r="AC117" s="340"/>
      <c r="AD117" s="340"/>
      <c r="AE117" s="340"/>
      <c r="AF117" s="340"/>
      <c r="AG117" s="88"/>
      <c r="AH117" s="88"/>
      <c r="AI117" s="88"/>
      <c r="AJ117" s="88"/>
      <c r="AK117" s="88"/>
      <c r="AL117" s="88"/>
      <c r="AM117" s="88"/>
      <c r="AN117" s="88"/>
      <c r="AO117" s="88"/>
      <c r="AP117" s="88"/>
      <c r="AQ117" s="88"/>
      <c r="AR117" s="88"/>
      <c r="AS117" s="88"/>
      <c r="AT117" s="88"/>
      <c r="AU117" s="88"/>
      <c r="AV117" s="88"/>
      <c r="AW117" s="88"/>
      <c r="AX117" s="88"/>
      <c r="AY117" s="88"/>
      <c r="AZ117" s="88"/>
      <c r="BA117" s="88"/>
      <c r="BB117" s="88"/>
      <c r="BC117" s="88"/>
      <c r="BD117" s="88"/>
      <c r="BE117" s="553"/>
      <c r="BF117" s="88"/>
      <c r="BG117" s="88"/>
      <c r="BH117" s="88"/>
      <c r="BI117" s="88"/>
      <c r="BJ117" s="47"/>
      <c r="BK117" s="88"/>
      <c r="BL117" s="88"/>
      <c r="BM117" s="88"/>
      <c r="BN117" s="88"/>
      <c r="BO117" s="47"/>
      <c r="BP117" s="88"/>
      <c r="BQ117" s="47"/>
      <c r="BR117" s="47"/>
      <c r="BS117" s="47"/>
      <c r="BT117" s="47"/>
      <c r="BU117" s="47"/>
      <c r="BV117" s="47"/>
      <c r="BW117" s="47"/>
      <c r="BX117" s="47"/>
      <c r="BY117" s="47"/>
      <c r="BZ117" s="47"/>
      <c r="CA117" s="47"/>
      <c r="CB117" s="47"/>
      <c r="CC117" s="47"/>
      <c r="CD117" s="47"/>
      <c r="CE117" s="47"/>
      <c r="CF117" s="47"/>
      <c r="CG117" s="50"/>
      <c r="CH117" s="50"/>
      <c r="CI117" s="50"/>
      <c r="CJ117" s="50"/>
      <c r="CK117" s="50"/>
      <c r="CL117" s="50"/>
      <c r="CM117" s="50"/>
      <c r="CN117" s="50"/>
      <c r="CO117" s="50"/>
      <c r="CP117" s="50"/>
      <c r="CQ117" s="50"/>
      <c r="CR117" s="50"/>
      <c r="CS117" s="50"/>
      <c r="CT117" s="50"/>
      <c r="CU117" s="50"/>
      <c r="CV117" s="50"/>
      <c r="CW117" s="50"/>
      <c r="CX117" s="50"/>
      <c r="CY117" s="50"/>
      <c r="CZ117" s="50"/>
      <c r="DA117" s="50"/>
    </row>
    <row r="118" spans="1:105">
      <c r="A118" s="47"/>
      <c r="B118" s="47" t="s">
        <v>2456</v>
      </c>
      <c r="C118" s="155">
        <v>24.44</v>
      </c>
      <c r="D118" s="155">
        <v>25.03</v>
      </c>
      <c r="E118" s="155">
        <v>28.83</v>
      </c>
      <c r="F118" s="155">
        <v>38.270000000000003</v>
      </c>
      <c r="G118" s="155">
        <v>54.48</v>
      </c>
      <c r="H118" s="109">
        <v>61.79</v>
      </c>
      <c r="I118" s="109">
        <v>69.59</v>
      </c>
      <c r="J118" s="109">
        <v>69.599999999999994</v>
      </c>
      <c r="K118" s="109">
        <v>59.6</v>
      </c>
      <c r="L118" s="110">
        <v>65.14</v>
      </c>
      <c r="M118" s="109">
        <v>57.76</v>
      </c>
      <c r="N118" s="109">
        <v>68.760000000000005</v>
      </c>
      <c r="O118" s="109">
        <v>74.739999999999995</v>
      </c>
      <c r="P118" s="109">
        <v>88.45</v>
      </c>
      <c r="Q118" s="110">
        <v>72.39</v>
      </c>
      <c r="R118" s="109">
        <v>96.71</v>
      </c>
      <c r="S118" s="109">
        <v>121.18</v>
      </c>
      <c r="T118" s="109">
        <v>115.09</v>
      </c>
      <c r="U118" s="109">
        <v>55.48</v>
      </c>
      <c r="V118" s="110">
        <v>97.26</v>
      </c>
      <c r="W118" s="109">
        <v>44.46</v>
      </c>
      <c r="X118" s="109">
        <v>59.13</v>
      </c>
      <c r="Y118" s="109">
        <v>68.08</v>
      </c>
      <c r="Z118" s="109">
        <v>74.53</v>
      </c>
      <c r="AA118" s="110">
        <v>61.67</v>
      </c>
      <c r="AB118" s="109">
        <v>76.36</v>
      </c>
      <c r="AC118" s="109">
        <v>78.239999999999995</v>
      </c>
      <c r="AD118" s="109">
        <v>76.86</v>
      </c>
      <c r="AE118" s="109">
        <v>86.46</v>
      </c>
      <c r="AF118" s="110">
        <v>79.5</v>
      </c>
      <c r="AG118" s="109">
        <f t="shared" ref="AG118:AJ119" si="240">+AG101</f>
        <v>105.43</v>
      </c>
      <c r="AH118" s="109">
        <f t="shared" si="240"/>
        <v>117.04</v>
      </c>
      <c r="AI118" s="109">
        <f t="shared" si="240"/>
        <v>113.41</v>
      </c>
      <c r="AJ118" s="109">
        <f t="shared" si="240"/>
        <v>109.35</v>
      </c>
      <c r="AK118" s="110">
        <f>AVERAGE(AG118:AJ118)</f>
        <v>111.3075</v>
      </c>
      <c r="AL118" s="109">
        <f t="shared" ref="AL118:AO119" si="241">+AL101</f>
        <v>118.6</v>
      </c>
      <c r="AM118" s="109">
        <f t="shared" si="241"/>
        <v>108.29</v>
      </c>
      <c r="AN118" s="109">
        <f t="shared" si="241"/>
        <v>109.5</v>
      </c>
      <c r="AO118" s="109">
        <f t="shared" si="241"/>
        <v>110.08</v>
      </c>
      <c r="AP118" s="110">
        <f>AVERAGE(AL118:AO118)</f>
        <v>111.61749999999999</v>
      </c>
      <c r="AQ118" s="109">
        <f t="shared" ref="AQ118:AS119" si="242">+AQ101</f>
        <v>112.57</v>
      </c>
      <c r="AR118" s="109">
        <f t="shared" si="242"/>
        <v>102.43</v>
      </c>
      <c r="AS118" s="109">
        <f t="shared" si="242"/>
        <v>110.29</v>
      </c>
      <c r="AT118" s="109">
        <f>+AT101</f>
        <v>109.24</v>
      </c>
      <c r="AU118" s="110">
        <f>AVERAGE(AQ118:AT118)</f>
        <v>108.63250000000001</v>
      </c>
      <c r="AV118" s="109">
        <f t="shared" ref="AV118:AY122" si="243">+AV101</f>
        <v>108.21</v>
      </c>
      <c r="AW118" s="109">
        <f t="shared" si="243"/>
        <v>109.67</v>
      </c>
      <c r="AX118" s="109">
        <f t="shared" si="243"/>
        <v>101.93</v>
      </c>
      <c r="AY118" s="109">
        <f t="shared" si="243"/>
        <v>76.58</v>
      </c>
      <c r="AZ118" s="110">
        <f>AVERAGE(AV118:AY118)</f>
        <v>99.097499999999997</v>
      </c>
      <c r="BA118" s="109">
        <f t="shared" ref="BA118:BD122" si="244">+BA101</f>
        <v>53.94</v>
      </c>
      <c r="BB118" s="109">
        <f t="shared" si="244"/>
        <v>61.88</v>
      </c>
      <c r="BC118" s="109">
        <f t="shared" si="244"/>
        <v>50.47</v>
      </c>
      <c r="BD118" s="109">
        <f t="shared" si="244"/>
        <v>43.76</v>
      </c>
      <c r="BE118" s="556">
        <f>AVERAGE(BA118:BD118)</f>
        <v>52.512499999999996</v>
      </c>
      <c r="BF118" s="109">
        <f t="shared" ref="BF118" si="245">+BF101</f>
        <v>33.94</v>
      </c>
      <c r="BG118" s="109">
        <f t="shared" ref="BG118" si="246">+BG101</f>
        <v>45.59</v>
      </c>
      <c r="BH118" s="109">
        <f t="shared" ref="BH118" si="247">+BH101</f>
        <v>45.86</v>
      </c>
      <c r="BI118" s="109">
        <f t="shared" ref="BI118:BK118" si="248">+BI101</f>
        <v>49.33</v>
      </c>
      <c r="BJ118" s="110">
        <f>AVERAGE(BF118:BI118)</f>
        <v>43.68</v>
      </c>
      <c r="BK118" s="109">
        <f t="shared" si="248"/>
        <v>53.69</v>
      </c>
      <c r="BL118" s="109">
        <f t="shared" ref="BL118:BM118" si="249">+BL101</f>
        <v>49.64</v>
      </c>
      <c r="BM118" s="109">
        <f t="shared" si="249"/>
        <v>52.08</v>
      </c>
      <c r="BN118" s="109">
        <f t="shared" ref="BN118:BP118" si="250">+BN101</f>
        <v>61.26</v>
      </c>
      <c r="BO118" s="110">
        <f>AVERAGE(BK118:BN118)</f>
        <v>54.167499999999997</v>
      </c>
      <c r="BP118" s="109">
        <f t="shared" si="250"/>
        <v>66.930000000000007</v>
      </c>
      <c r="BQ118" s="111">
        <v>52.15</v>
      </c>
      <c r="BR118" s="111">
        <v>52.15</v>
      </c>
      <c r="BS118" s="111">
        <v>52.15</v>
      </c>
      <c r="BT118" s="110">
        <f>AVERAGE(BP118:BS118)</f>
        <v>55.845000000000006</v>
      </c>
      <c r="BU118" s="111">
        <f>BS118*1.025^(1/4)</f>
        <v>52.472925645881922</v>
      </c>
      <c r="BV118" s="111">
        <f>BU118*1.025^(1/4)</f>
        <v>52.797850926908012</v>
      </c>
      <c r="BW118" s="111">
        <f>BV118*1.025^(1/4)</f>
        <v>53.12478822531164</v>
      </c>
      <c r="BX118" s="111">
        <f>BW118*1.025^(1/4)</f>
        <v>53.453750000000021</v>
      </c>
      <c r="BY118" s="110">
        <f t="shared" ref="BY118:BY119" si="251">AVERAGE(BU118:BX118)</f>
        <v>52.962328699525401</v>
      </c>
      <c r="BZ118" s="111">
        <f>BX118*(1+2.5%)^(1/4)</f>
        <v>53.784748787028988</v>
      </c>
      <c r="CA118" s="111">
        <f t="shared" ref="CA118:CC119" si="252">BZ118*(1+2.5%)^(1/4)</f>
        <v>54.11779720008073</v>
      </c>
      <c r="CB118" s="111">
        <f t="shared" si="252"/>
        <v>54.452907930944448</v>
      </c>
      <c r="CC118" s="111">
        <f t="shared" si="252"/>
        <v>54.79009375000004</v>
      </c>
      <c r="CD118" s="110">
        <f>AVERAGE(BZ118:CC118)</f>
        <v>54.286386917013552</v>
      </c>
      <c r="CE118" s="47"/>
      <c r="CF118" s="47"/>
      <c r="CG118" s="50"/>
      <c r="CH118" s="50"/>
      <c r="CI118" s="50"/>
      <c r="CJ118" s="50"/>
      <c r="CK118" s="50"/>
      <c r="CL118" s="50"/>
      <c r="CM118" s="50"/>
      <c r="CN118" s="50"/>
      <c r="CO118" s="50"/>
      <c r="CP118" s="50"/>
      <c r="CQ118" s="50"/>
      <c r="CR118" s="50"/>
      <c r="CS118" s="50"/>
      <c r="CT118" s="50"/>
      <c r="CU118" s="50"/>
      <c r="CV118" s="50"/>
      <c r="CW118" s="50"/>
      <c r="CX118" s="50"/>
      <c r="CY118" s="50"/>
      <c r="CZ118" s="50"/>
      <c r="DA118" s="50"/>
    </row>
    <row r="119" spans="1:105">
      <c r="A119" s="47"/>
      <c r="B119" s="47" t="s">
        <v>2457</v>
      </c>
      <c r="C119" s="155">
        <v>25.89</v>
      </c>
      <c r="D119" s="155">
        <v>26.14</v>
      </c>
      <c r="E119" s="155">
        <v>31.06</v>
      </c>
      <c r="F119" s="155">
        <v>41.49</v>
      </c>
      <c r="G119" s="155">
        <v>56.58</v>
      </c>
      <c r="H119" s="109">
        <v>63.29</v>
      </c>
      <c r="I119" s="109">
        <v>70.459999999999994</v>
      </c>
      <c r="J119" s="109">
        <v>70.44</v>
      </c>
      <c r="K119" s="109">
        <v>59.9</v>
      </c>
      <c r="L119" s="110">
        <v>66.02</v>
      </c>
      <c r="M119" s="109">
        <v>58.05</v>
      </c>
      <c r="N119" s="109">
        <v>64.89</v>
      </c>
      <c r="O119" s="109">
        <v>75.239999999999995</v>
      </c>
      <c r="P119" s="109">
        <v>90.47</v>
      </c>
      <c r="Q119" s="110">
        <v>72.2</v>
      </c>
      <c r="R119" s="109">
        <v>97.86</v>
      </c>
      <c r="S119" s="109">
        <v>123.81</v>
      </c>
      <c r="T119" s="109">
        <v>118.07</v>
      </c>
      <c r="U119" s="109">
        <v>59.13</v>
      </c>
      <c r="V119" s="110">
        <v>100.06</v>
      </c>
      <c r="W119" s="109">
        <v>43.2</v>
      </c>
      <c r="X119" s="109">
        <v>59.71</v>
      </c>
      <c r="Y119" s="109">
        <v>68.12</v>
      </c>
      <c r="Z119" s="109">
        <v>75.97</v>
      </c>
      <c r="AA119" s="110">
        <v>61.92</v>
      </c>
      <c r="AB119" s="109">
        <v>78.84</v>
      </c>
      <c r="AC119" s="109">
        <v>77.81</v>
      </c>
      <c r="AD119" s="109">
        <v>76.05</v>
      </c>
      <c r="AE119" s="109">
        <v>85.13</v>
      </c>
      <c r="AF119" s="110">
        <v>79.45</v>
      </c>
      <c r="AG119" s="109">
        <f t="shared" si="240"/>
        <v>94.49</v>
      </c>
      <c r="AH119" s="109">
        <f t="shared" si="240"/>
        <v>102.22</v>
      </c>
      <c r="AI119" s="109">
        <f t="shared" si="240"/>
        <v>89.48</v>
      </c>
      <c r="AJ119" s="109">
        <f t="shared" si="240"/>
        <v>94.02</v>
      </c>
      <c r="AK119" s="110">
        <f>AVERAGE(AG119:AJ119)</f>
        <v>95.052499999999995</v>
      </c>
      <c r="AL119" s="109">
        <f t="shared" si="241"/>
        <v>103.1</v>
      </c>
      <c r="AM119" s="109">
        <f t="shared" si="241"/>
        <v>93.3</v>
      </c>
      <c r="AN119" s="109">
        <f t="shared" si="241"/>
        <v>92.1</v>
      </c>
      <c r="AO119" s="109">
        <f t="shared" si="241"/>
        <v>88.15</v>
      </c>
      <c r="AP119" s="110">
        <f>AVERAGE(AL119:AO119)</f>
        <v>94.162499999999994</v>
      </c>
      <c r="AQ119" s="109">
        <f t="shared" si="242"/>
        <v>94.29</v>
      </c>
      <c r="AR119" s="109">
        <f t="shared" si="242"/>
        <v>94.07</v>
      </c>
      <c r="AS119" s="109">
        <f t="shared" si="242"/>
        <v>105.79</v>
      </c>
      <c r="AT119" s="109">
        <f>+AT102</f>
        <v>97.59</v>
      </c>
      <c r="AU119" s="110">
        <f>AVERAGE(AQ119:AT119)</f>
        <v>97.935000000000002</v>
      </c>
      <c r="AV119" s="109">
        <f t="shared" si="243"/>
        <v>98.69</v>
      </c>
      <c r="AW119" s="109">
        <f t="shared" si="243"/>
        <v>103.05</v>
      </c>
      <c r="AX119" s="109">
        <f t="shared" si="243"/>
        <v>97.56</v>
      </c>
      <c r="AY119" s="109">
        <f t="shared" si="243"/>
        <v>73.62</v>
      </c>
      <c r="AZ119" s="110">
        <f>AVERAGE(AV119:AY119)</f>
        <v>93.23</v>
      </c>
      <c r="BA119" s="109">
        <f t="shared" si="244"/>
        <v>48.49</v>
      </c>
      <c r="BB119" s="109">
        <f t="shared" si="244"/>
        <v>57.85</v>
      </c>
      <c r="BC119" s="109">
        <f t="shared" si="244"/>
        <v>46.45</v>
      </c>
      <c r="BD119" s="109">
        <f t="shared" si="244"/>
        <v>42.07</v>
      </c>
      <c r="BE119" s="556">
        <f>AVERAGE(BA119:BD119)</f>
        <v>48.715000000000003</v>
      </c>
      <c r="BF119" s="109">
        <f t="shared" ref="BF119" si="253">+BF102</f>
        <v>33.450000000000003</v>
      </c>
      <c r="BG119" s="109">
        <f t="shared" ref="BG119" si="254">+BG102</f>
        <v>45.53</v>
      </c>
      <c r="BH119" s="109">
        <f t="shared" ref="BH119" si="255">+BH102</f>
        <v>44.88</v>
      </c>
      <c r="BI119" s="109">
        <f t="shared" ref="BI119:BK119" si="256">+BI102</f>
        <v>49.23</v>
      </c>
      <c r="BJ119" s="110">
        <f>AVERAGE(BF119:BI119)</f>
        <v>43.272500000000001</v>
      </c>
      <c r="BK119" s="109">
        <f t="shared" si="256"/>
        <v>51.7</v>
      </c>
      <c r="BL119" s="109">
        <f t="shared" ref="BL119:BM119" si="257">+BL102</f>
        <v>48.11</v>
      </c>
      <c r="BM119" s="109">
        <f t="shared" si="257"/>
        <v>48.18</v>
      </c>
      <c r="BN119" s="109">
        <f t="shared" ref="BN119:BP119" si="258">+BN102</f>
        <v>55.23</v>
      </c>
      <c r="BO119" s="110">
        <f>AVERAGE(BK119:BN119)</f>
        <v>50.805</v>
      </c>
      <c r="BP119" s="109">
        <f t="shared" si="258"/>
        <v>62.910000000000004</v>
      </c>
      <c r="BQ119" s="111">
        <v>50.31</v>
      </c>
      <c r="BR119" s="111">
        <v>50.31</v>
      </c>
      <c r="BS119" s="111">
        <v>50.31</v>
      </c>
      <c r="BT119" s="110">
        <f>AVERAGE(BP119:BS119)</f>
        <v>53.46</v>
      </c>
      <c r="BU119" s="111">
        <f>BU118-1</f>
        <v>51.472925645881922</v>
      </c>
      <c r="BV119" s="111">
        <f>BV118-1</f>
        <v>51.797850926908012</v>
      </c>
      <c r="BW119" s="111">
        <f>BW118-1</f>
        <v>52.12478822531164</v>
      </c>
      <c r="BX119" s="111">
        <f>BX118-1</f>
        <v>52.453750000000021</v>
      </c>
      <c r="BY119" s="110">
        <f t="shared" si="251"/>
        <v>51.962328699525401</v>
      </c>
      <c r="BZ119" s="111">
        <f>BX119*(1+2.5%)^(1/4)</f>
        <v>52.778556540703356</v>
      </c>
      <c r="CA119" s="111">
        <f t="shared" si="252"/>
        <v>53.105374363514905</v>
      </c>
      <c r="CB119" s="111">
        <f t="shared" si="252"/>
        <v>53.434215922788908</v>
      </c>
      <c r="CC119" s="111">
        <f t="shared" si="252"/>
        <v>53.765093750000041</v>
      </c>
      <c r="CD119" s="110">
        <f>AVERAGE(BZ119:CC119)</f>
        <v>53.270810144251804</v>
      </c>
      <c r="CE119" s="47"/>
      <c r="CF119" s="47"/>
      <c r="CG119" s="50"/>
      <c r="CH119" s="50"/>
      <c r="CI119" s="50"/>
      <c r="CJ119" s="50"/>
      <c r="CK119" s="50"/>
      <c r="CL119" s="50"/>
      <c r="CM119" s="50"/>
      <c r="CN119" s="50"/>
      <c r="CO119" s="50"/>
      <c r="CP119" s="50"/>
      <c r="CQ119" s="50"/>
      <c r="CR119" s="50"/>
      <c r="CS119" s="50"/>
      <c r="CT119" s="50"/>
      <c r="CU119" s="50"/>
      <c r="CV119" s="50"/>
      <c r="CW119" s="50"/>
      <c r="CX119" s="50"/>
      <c r="CY119" s="50"/>
      <c r="CZ119" s="50"/>
      <c r="DA119" s="50"/>
    </row>
    <row r="120" spans="1:105">
      <c r="A120" s="47"/>
      <c r="B120" s="121" t="s">
        <v>1679</v>
      </c>
      <c r="C120" s="182"/>
      <c r="D120" s="182"/>
      <c r="E120" s="182"/>
      <c r="F120" s="110">
        <f t="shared" ref="F120:AR120" si="259">F$17</f>
        <v>20.61</v>
      </c>
      <c r="G120" s="110">
        <f t="shared" si="259"/>
        <v>28.77</v>
      </c>
      <c r="H120" s="109">
        <f t="shared" si="259"/>
        <v>35.270000000000003</v>
      </c>
      <c r="I120" s="109">
        <f t="shared" si="259"/>
        <v>36.18</v>
      </c>
      <c r="J120" s="109">
        <f t="shared" si="259"/>
        <v>39.83</v>
      </c>
      <c r="K120" s="109">
        <f t="shared" si="259"/>
        <v>26.33</v>
      </c>
      <c r="L120" s="110">
        <f t="shared" si="259"/>
        <v>34.39</v>
      </c>
      <c r="M120" s="109">
        <f t="shared" si="259"/>
        <v>27.33</v>
      </c>
      <c r="N120" s="109">
        <f t="shared" si="259"/>
        <v>39.56</v>
      </c>
      <c r="O120" s="109">
        <f t="shared" si="259"/>
        <v>41.95</v>
      </c>
      <c r="P120" s="109">
        <f t="shared" si="259"/>
        <v>48.98</v>
      </c>
      <c r="Q120" s="110">
        <f t="shared" si="259"/>
        <v>39.81</v>
      </c>
      <c r="R120" s="109">
        <f t="shared" si="259"/>
        <v>46.86</v>
      </c>
      <c r="S120" s="109">
        <f t="shared" si="259"/>
        <v>63.15</v>
      </c>
      <c r="T120" s="109">
        <f t="shared" si="259"/>
        <v>52.94</v>
      </c>
      <c r="U120" s="109">
        <f t="shared" si="259"/>
        <v>20.010000000000002</v>
      </c>
      <c r="V120" s="110">
        <f t="shared" si="259"/>
        <v>45.59</v>
      </c>
      <c r="W120" s="109">
        <f t="shared" si="259"/>
        <v>19.52</v>
      </c>
      <c r="X120" s="109">
        <f t="shared" si="259"/>
        <v>32.630000000000003</v>
      </c>
      <c r="Y120" s="109">
        <f t="shared" si="259"/>
        <v>35.549999999999997</v>
      </c>
      <c r="Z120" s="109">
        <f t="shared" si="259"/>
        <v>35.83</v>
      </c>
      <c r="AA120" s="110">
        <f t="shared" si="259"/>
        <v>31.32</v>
      </c>
      <c r="AB120" s="109">
        <f t="shared" si="259"/>
        <v>35.520000000000003</v>
      </c>
      <c r="AC120" s="109">
        <f t="shared" si="259"/>
        <v>35.61</v>
      </c>
      <c r="AD120" s="109">
        <f t="shared" si="259"/>
        <v>35.94</v>
      </c>
      <c r="AE120" s="109">
        <f t="shared" si="259"/>
        <v>40.619999999999997</v>
      </c>
      <c r="AF120" s="110">
        <f t="shared" si="259"/>
        <v>36.96</v>
      </c>
      <c r="AG120" s="109">
        <f t="shared" si="259"/>
        <v>49.18</v>
      </c>
      <c r="AH120" s="109">
        <f t="shared" si="259"/>
        <v>50.26</v>
      </c>
      <c r="AI120" s="109">
        <f t="shared" si="259"/>
        <v>49.12</v>
      </c>
      <c r="AJ120" s="109">
        <f t="shared" si="259"/>
        <v>49.69</v>
      </c>
      <c r="AK120" s="110">
        <f t="shared" si="259"/>
        <v>49.5625</v>
      </c>
      <c r="AL120" s="109">
        <f t="shared" si="259"/>
        <v>58.2</v>
      </c>
      <c r="AM120" s="109">
        <f t="shared" si="259"/>
        <v>48.22</v>
      </c>
      <c r="AN120" s="109">
        <f t="shared" si="259"/>
        <v>55.24</v>
      </c>
      <c r="AO120" s="109">
        <f t="shared" si="259"/>
        <v>54.03</v>
      </c>
      <c r="AP120" s="110">
        <f t="shared" si="259"/>
        <v>53.922499999999999</v>
      </c>
      <c r="AQ120" s="109">
        <f t="shared" si="259"/>
        <v>55.24</v>
      </c>
      <c r="AR120" s="109">
        <f t="shared" si="259"/>
        <v>51.28</v>
      </c>
      <c r="AS120" s="109">
        <f>AS$17</f>
        <v>57.11</v>
      </c>
      <c r="AT120" s="109">
        <f>AT$17</f>
        <v>55.95</v>
      </c>
      <c r="AU120" s="403">
        <f>AVERAGE(AQ120:AT120)</f>
        <v>54.894999999999996</v>
      </c>
      <c r="AV120" s="109">
        <f t="shared" si="243"/>
        <v>54.55</v>
      </c>
      <c r="AW120" s="109">
        <f t="shared" si="243"/>
        <v>57.51</v>
      </c>
      <c r="AX120" s="109">
        <f t="shared" si="243"/>
        <v>51.42</v>
      </c>
      <c r="AY120" s="109">
        <f t="shared" si="243"/>
        <v>38.79</v>
      </c>
      <c r="AZ120" s="403">
        <f>AVERAGE(AV120:AY120)</f>
        <v>50.567500000000003</v>
      </c>
      <c r="BA120" s="109">
        <f t="shared" ca="1" si="244"/>
        <v>27.29736072862314</v>
      </c>
      <c r="BB120" s="109">
        <f t="shared" ca="1" si="244"/>
        <v>31.025322719298448</v>
      </c>
      <c r="BC120" s="109">
        <f t="shared" ca="1" si="244"/>
        <v>25.668138045040859</v>
      </c>
      <c r="BD120" s="109">
        <f t="shared" ca="1" si="244"/>
        <v>22.517681501283768</v>
      </c>
      <c r="BE120" s="556">
        <f ca="1">AVERAGE(BA120:BD120)</f>
        <v>26.627125748561554</v>
      </c>
      <c r="BF120" s="109">
        <f t="shared" ref="BF120" ca="1" si="260">+BF103</f>
        <v>17.907028258408268</v>
      </c>
      <c r="BG120" s="109">
        <f t="shared" ref="BG120" ca="1" si="261">+BG103</f>
        <v>23.376896922308433</v>
      </c>
      <c r="BH120" s="109">
        <f t="shared" ref="BH120" ca="1" si="262">+BH103</f>
        <v>23.503666410656333</v>
      </c>
      <c r="BI120" s="109">
        <f t="shared" ref="BI120:BK120" ca="1" si="263">+BI103</f>
        <v>25.132889094238614</v>
      </c>
      <c r="BJ120" s="110">
        <f ca="1">AVERAGE(BF120:BI120)</f>
        <v>22.480120171402909</v>
      </c>
      <c r="BK120" s="109">
        <f t="shared" ca="1" si="263"/>
        <v>27.179981572745454</v>
      </c>
      <c r="BL120" s="109">
        <f t="shared" ref="BL120:BM120" ca="1" si="264">+BL103</f>
        <v>25.278439247526943</v>
      </c>
      <c r="BM120" s="109">
        <f t="shared" ca="1" si="264"/>
        <v>26.424059808893158</v>
      </c>
      <c r="BN120" s="109">
        <f t="shared" ref="BN120:BP120" ca="1" si="265">+BN103</f>
        <v>30.734222412721785</v>
      </c>
      <c r="BO120" s="110">
        <f ca="1">AVERAGE(BK120:BN120)</f>
        <v>27.404175760471837</v>
      </c>
      <c r="BP120" s="109">
        <f t="shared" ca="1" si="265"/>
        <v>33.396381668027708</v>
      </c>
      <c r="BQ120" s="402">
        <f t="shared" ref="BQ120:CC120" ca="1" si="266">BQ118*$CM$10+$CM$11</f>
        <v>26.456925972538908</v>
      </c>
      <c r="BR120" s="402">
        <f t="shared" ca="1" si="266"/>
        <v>26.456925972538908</v>
      </c>
      <c r="BS120" s="402">
        <f t="shared" ca="1" si="266"/>
        <v>26.456925972538908</v>
      </c>
      <c r="BT120" s="110">
        <f ca="1">AVERAGE(BP120:BS120)</f>
        <v>28.191789896411109</v>
      </c>
      <c r="BU120" s="402">
        <f t="shared" ca="1" si="266"/>
        <v>26.608544931438416</v>
      </c>
      <c r="BV120" s="402">
        <f t="shared" ca="1" si="266"/>
        <v>26.761102752279065</v>
      </c>
      <c r="BW120" s="402">
        <f t="shared" ca="1" si="266"/>
        <v>26.914605248725262</v>
      </c>
      <c r="BX120" s="402">
        <f t="shared" ca="1" si="266"/>
        <v>27.069058270441051</v>
      </c>
      <c r="BY120" s="110">
        <f ca="1">AVERAGE(BU120:BX120)</f>
        <v>26.838327800720947</v>
      </c>
      <c r="BZ120" s="402">
        <f t="shared" ca="1" si="266"/>
        <v>27.224467703313046</v>
      </c>
      <c r="CA120" s="402">
        <f t="shared" ca="1" si="266"/>
        <v>27.380839469674711</v>
      </c>
      <c r="CB120" s="402">
        <f t="shared" ca="1" si="266"/>
        <v>27.538179528532062</v>
      </c>
      <c r="CC120" s="402">
        <f t="shared" ca="1" si="266"/>
        <v>27.696493875790747</v>
      </c>
      <c r="CD120" s="110">
        <f ca="1">AVERAGE(BZ120:CC120)</f>
        <v>27.459995144327642</v>
      </c>
      <c r="CE120" s="47"/>
      <c r="CF120" s="47"/>
      <c r="CG120" s="50"/>
      <c r="CH120" s="50"/>
      <c r="CI120" s="50"/>
      <c r="CJ120" s="50"/>
      <c r="CK120" s="50"/>
      <c r="CL120" s="50"/>
      <c r="CM120" s="50"/>
      <c r="CN120" s="50"/>
      <c r="CO120" s="50"/>
      <c r="CP120" s="50"/>
      <c r="CQ120" s="50"/>
      <c r="CR120" s="50"/>
      <c r="CS120" s="50"/>
      <c r="CT120" s="50"/>
      <c r="CU120" s="50"/>
      <c r="CV120" s="50"/>
      <c r="CW120" s="50"/>
      <c r="CX120" s="50"/>
      <c r="CY120" s="50"/>
      <c r="CZ120" s="50"/>
      <c r="DA120" s="50"/>
    </row>
    <row r="121" spans="1:105">
      <c r="A121" s="47"/>
      <c r="B121" s="47" t="s">
        <v>2458</v>
      </c>
      <c r="C121" s="110">
        <v>4.26</v>
      </c>
      <c r="D121" s="110">
        <v>3.22</v>
      </c>
      <c r="E121" s="110">
        <v>5.37</v>
      </c>
      <c r="F121" s="110">
        <v>6.13</v>
      </c>
      <c r="G121" s="110">
        <v>8.65</v>
      </c>
      <c r="H121" s="109">
        <v>9.01</v>
      </c>
      <c r="I121" s="109">
        <v>6.8</v>
      </c>
      <c r="J121" s="109">
        <v>6.58</v>
      </c>
      <c r="K121" s="109">
        <v>6.56</v>
      </c>
      <c r="L121" s="110">
        <v>7.24</v>
      </c>
      <c r="M121" s="109">
        <v>6.77</v>
      </c>
      <c r="N121" s="109">
        <v>7.55</v>
      </c>
      <c r="O121" s="109">
        <v>6.16</v>
      </c>
      <c r="P121" s="109">
        <v>6.97</v>
      </c>
      <c r="Q121" s="110">
        <v>6.86</v>
      </c>
      <c r="R121" s="109">
        <v>8.0299999999999994</v>
      </c>
      <c r="S121" s="109">
        <v>10.94</v>
      </c>
      <c r="T121" s="109">
        <v>10.25</v>
      </c>
      <c r="U121" s="109">
        <v>6.95</v>
      </c>
      <c r="V121" s="110">
        <v>9.0399999999999991</v>
      </c>
      <c r="W121" s="109">
        <v>4.91</v>
      </c>
      <c r="X121" s="109">
        <v>3.51</v>
      </c>
      <c r="Y121" s="109">
        <v>3.39</v>
      </c>
      <c r="Z121" s="109">
        <v>4.16</v>
      </c>
      <c r="AA121" s="110">
        <v>3.99</v>
      </c>
      <c r="AB121" s="109">
        <v>5.3</v>
      </c>
      <c r="AC121" s="109">
        <v>4.09</v>
      </c>
      <c r="AD121" s="109">
        <v>4.38</v>
      </c>
      <c r="AE121" s="109">
        <v>3.8</v>
      </c>
      <c r="AF121" s="110">
        <v>4.3899999999999997</v>
      </c>
      <c r="AG121" s="109">
        <f>+AG104</f>
        <v>4.1100000000000003</v>
      </c>
      <c r="AH121" s="109">
        <f>+AH104</f>
        <v>4.32</v>
      </c>
      <c r="AI121" s="109">
        <f>+AI104</f>
        <v>4.2</v>
      </c>
      <c r="AJ121" s="109">
        <f>+AJ104</f>
        <v>3.54</v>
      </c>
      <c r="AK121" s="110">
        <f>AVERAGE(AG121:AJ121)</f>
        <v>4.0424999999999995</v>
      </c>
      <c r="AL121" s="109">
        <f>+AL104</f>
        <v>2.72</v>
      </c>
      <c r="AM121" s="109">
        <f>+AM104</f>
        <v>2.21</v>
      </c>
      <c r="AN121" s="109">
        <f>+AN104</f>
        <v>2.8</v>
      </c>
      <c r="AO121" s="109">
        <f>+AO104</f>
        <v>3.41</v>
      </c>
      <c r="AP121" s="403">
        <f>AVERAGE(AL121:AO121)</f>
        <v>2.7850000000000001</v>
      </c>
      <c r="AQ121" s="109">
        <f>+AQ104</f>
        <v>3.34</v>
      </c>
      <c r="AR121" s="109">
        <f>+AR104</f>
        <v>4.0999999999999996</v>
      </c>
      <c r="AS121" s="109">
        <f>+AS104</f>
        <v>3.58</v>
      </c>
      <c r="AT121" s="109">
        <f>+AT104</f>
        <v>3.6</v>
      </c>
      <c r="AU121" s="403">
        <f>AVERAGE(AQ121:AT121)</f>
        <v>3.6549999999999998</v>
      </c>
      <c r="AV121" s="109">
        <f t="shared" si="243"/>
        <v>4.95</v>
      </c>
      <c r="AW121" s="109">
        <f t="shared" si="243"/>
        <v>4.68</v>
      </c>
      <c r="AX121" s="109">
        <f t="shared" si="243"/>
        <v>4.07</v>
      </c>
      <c r="AY121" s="109">
        <f t="shared" si="243"/>
        <v>4.04</v>
      </c>
      <c r="AZ121" s="403">
        <f>AVERAGE(AV121:AY121)</f>
        <v>4.4349999999999996</v>
      </c>
      <c r="BA121" s="109">
        <f t="shared" si="244"/>
        <v>2.99</v>
      </c>
      <c r="BB121" s="109">
        <f t="shared" si="244"/>
        <v>2.65</v>
      </c>
      <c r="BC121" s="109">
        <f t="shared" si="244"/>
        <v>2.77</v>
      </c>
      <c r="BD121" s="109">
        <f t="shared" si="244"/>
        <v>2.27</v>
      </c>
      <c r="BE121" s="556">
        <f>AVERAGE(BA121:BD121)</f>
        <v>2.67</v>
      </c>
      <c r="BF121" s="109">
        <f t="shared" ref="BF121" si="267">+BF104</f>
        <v>2.09</v>
      </c>
      <c r="BG121" s="109">
        <f t="shared" ref="BG121" si="268">+BG104</f>
        <v>1.95</v>
      </c>
      <c r="BH121" s="109">
        <f t="shared" ref="BH121" si="269">+BH104</f>
        <v>2.81</v>
      </c>
      <c r="BI121" s="109">
        <f t="shared" ref="BI121:BK121" si="270">+BI104</f>
        <v>2.98</v>
      </c>
      <c r="BJ121" s="644">
        <f>AVERAGE(BF121:BI121)</f>
        <v>2.4575</v>
      </c>
      <c r="BK121" s="109">
        <f t="shared" si="270"/>
        <v>3.32</v>
      </c>
      <c r="BL121" s="109">
        <f t="shared" ref="BL121:BM121" si="271">+BL104</f>
        <v>3.19</v>
      </c>
      <c r="BM121" s="109">
        <f t="shared" si="271"/>
        <v>2.99</v>
      </c>
      <c r="BN121" s="109">
        <f t="shared" ref="BN121:BP121" si="272">+BN104</f>
        <v>2.93</v>
      </c>
      <c r="BO121" s="644">
        <f>AVERAGE(BK121:BN121)</f>
        <v>3.1074999999999999</v>
      </c>
      <c r="BP121" s="109">
        <f t="shared" si="272"/>
        <v>2.96</v>
      </c>
      <c r="BQ121" s="573">
        <v>3.03</v>
      </c>
      <c r="BR121" s="573">
        <v>3.03</v>
      </c>
      <c r="BS121" s="573">
        <v>3.03</v>
      </c>
      <c r="BT121" s="574">
        <f>AVERAGE(BP121:BS121)</f>
        <v>3.0124999999999997</v>
      </c>
      <c r="BU121" s="573">
        <f>BS121*1.025^(1/4)</f>
        <v>3.048762506366677</v>
      </c>
      <c r="BV121" s="573">
        <f>BU121*1.025^(1/4)</f>
        <v>3.0676411947944633</v>
      </c>
      <c r="BW121" s="573">
        <f>BV121*1.025^(1/4)</f>
        <v>3.086636784711299</v>
      </c>
      <c r="BX121" s="573">
        <f>BW121*1.025^(1/4)</f>
        <v>3.1057500000000009</v>
      </c>
      <c r="BY121" s="574">
        <f t="shared" ref="BY121" si="273">AVERAGE(BU121:BX121)</f>
        <v>3.0771976214681098</v>
      </c>
      <c r="BZ121" s="111">
        <f>BX121*(1+2.5%)^(1/4)</f>
        <v>3.1249815690258451</v>
      </c>
      <c r="CA121" s="111">
        <f t="shared" ref="CA121:CC122" si="274">BZ121*(1+2.5%)^(1/4)</f>
        <v>3.1443322246643257</v>
      </c>
      <c r="CB121" s="111">
        <f t="shared" si="274"/>
        <v>3.1638027043290826</v>
      </c>
      <c r="CC121" s="111">
        <f t="shared" si="274"/>
        <v>3.1833937500000018</v>
      </c>
      <c r="CD121" s="110">
        <f>AVERAGE(BZ121:CC121)</f>
        <v>3.1541275620048137</v>
      </c>
      <c r="CE121" s="47"/>
      <c r="CF121" s="47"/>
      <c r="CG121" s="50"/>
      <c r="CH121" s="50"/>
      <c r="CI121" s="50"/>
      <c r="CJ121" s="50"/>
      <c r="CK121" s="50"/>
      <c r="CL121" s="50"/>
      <c r="CM121" s="50"/>
      <c r="CN121" s="50"/>
      <c r="CO121" s="50"/>
      <c r="CP121" s="50"/>
      <c r="CQ121" s="50"/>
      <c r="CR121" s="50"/>
      <c r="CS121" s="50"/>
      <c r="CT121" s="50"/>
      <c r="CU121" s="50"/>
      <c r="CV121" s="50"/>
      <c r="CW121" s="50"/>
      <c r="CX121" s="50"/>
      <c r="CY121" s="50"/>
      <c r="CZ121" s="50"/>
      <c r="DA121" s="50"/>
    </row>
    <row r="122" spans="1:105" ht="12.75" customHeight="1">
      <c r="A122" s="47"/>
      <c r="B122" s="121" t="s">
        <v>3101</v>
      </c>
      <c r="C122" s="259"/>
      <c r="D122" s="259"/>
      <c r="E122" s="293">
        <v>20.28</v>
      </c>
      <c r="F122" s="110">
        <v>24.39</v>
      </c>
      <c r="G122" s="110">
        <v>40.71</v>
      </c>
      <c r="H122" s="109">
        <v>70</v>
      </c>
      <c r="I122" s="109">
        <v>34.549999999999997</v>
      </c>
      <c r="J122" s="109">
        <v>33.72</v>
      </c>
      <c r="K122" s="109">
        <v>29.92</v>
      </c>
      <c r="L122" s="110">
        <v>42.19</v>
      </c>
      <c r="M122" s="109">
        <v>22.33</v>
      </c>
      <c r="N122" s="109">
        <v>20.239999999999998</v>
      </c>
      <c r="O122" s="109">
        <v>30.58</v>
      </c>
      <c r="P122" s="109">
        <v>46.7</v>
      </c>
      <c r="Q122" s="110">
        <v>29.95</v>
      </c>
      <c r="R122" s="109">
        <v>52.94</v>
      </c>
      <c r="S122" s="109">
        <v>60.72</v>
      </c>
      <c r="T122" s="109">
        <v>61.48</v>
      </c>
      <c r="U122" s="109">
        <v>57.16</v>
      </c>
      <c r="V122" s="110">
        <v>58.12</v>
      </c>
      <c r="W122" s="109">
        <v>46.8</v>
      </c>
      <c r="X122" s="109">
        <v>27.51</v>
      </c>
      <c r="Y122" s="109">
        <v>21.57</v>
      </c>
      <c r="Z122" s="109">
        <v>27.75</v>
      </c>
      <c r="AA122" s="110">
        <v>30.85</v>
      </c>
      <c r="AB122" s="109">
        <v>35.65</v>
      </c>
      <c r="AC122" s="109">
        <v>38.26</v>
      </c>
      <c r="AD122" s="109">
        <v>43.14</v>
      </c>
      <c r="AE122" s="109">
        <v>52.43</v>
      </c>
      <c r="AF122" s="110">
        <v>42.45</v>
      </c>
      <c r="AG122" s="109">
        <v>56.94</v>
      </c>
      <c r="AH122" s="109">
        <v>57.47</v>
      </c>
      <c r="AI122" s="109">
        <v>54.28</v>
      </c>
      <c r="AJ122" s="109">
        <v>56.75</v>
      </c>
      <c r="AK122" s="110">
        <f>AVERAGE(AG122:AJ122)</f>
        <v>56.36</v>
      </c>
      <c r="AL122" s="109">
        <v>59.38</v>
      </c>
      <c r="AM122" s="109">
        <v>57.38</v>
      </c>
      <c r="AN122" s="109">
        <v>56.79</v>
      </c>
      <c r="AO122" s="109">
        <v>56.79</v>
      </c>
      <c r="AP122" s="403">
        <f>AVERAGE(AL122:AO122)</f>
        <v>57.585000000000001</v>
      </c>
      <c r="AQ122" s="109">
        <v>56.79</v>
      </c>
      <c r="AR122" s="109">
        <v>56.79</v>
      </c>
      <c r="AS122" s="109">
        <v>56.79</v>
      </c>
      <c r="AT122" s="109">
        <v>56.79</v>
      </c>
      <c r="AU122" s="403">
        <f>AVERAGE(AQ122:AT122)</f>
        <v>56.79</v>
      </c>
      <c r="AV122" s="109">
        <f t="shared" si="243"/>
        <v>60.28</v>
      </c>
      <c r="AW122" s="109">
        <f t="shared" si="243"/>
        <v>44.81</v>
      </c>
      <c r="AX122" s="109">
        <f t="shared" si="243"/>
        <v>42.17</v>
      </c>
      <c r="AY122" s="109">
        <f t="shared" si="243"/>
        <v>52.83</v>
      </c>
      <c r="AZ122" s="403">
        <f>AVERAGE(AV122:AY122)</f>
        <v>50.022499999999994</v>
      </c>
      <c r="BA122" s="109">
        <f t="shared" si="244"/>
        <v>47.9</v>
      </c>
      <c r="BB122" s="109">
        <f t="shared" si="244"/>
        <v>44.63</v>
      </c>
      <c r="BC122" s="109">
        <f t="shared" si="244"/>
        <v>41.48</v>
      </c>
      <c r="BD122" s="109">
        <f t="shared" si="244"/>
        <v>36.64</v>
      </c>
      <c r="BE122" s="403">
        <f>AVERAGE(BA122:BD122)</f>
        <v>42.662499999999994</v>
      </c>
      <c r="BF122" s="109">
        <f t="shared" ref="BF122" si="275">+BF105</f>
        <v>30.42</v>
      </c>
      <c r="BG122" s="109">
        <f t="shared" ref="BG122" si="276">+BG105</f>
        <v>31.37</v>
      </c>
      <c r="BH122" s="109">
        <f t="shared" ref="BH122" si="277">+BH105</f>
        <v>31</v>
      </c>
      <c r="BI122" s="109">
        <f t="shared" ref="BI122:BK122" si="278">+BI105</f>
        <v>45.76</v>
      </c>
      <c r="BJ122" s="110">
        <f>AVERAGE(BF122:BI122)</f>
        <v>34.637500000000003</v>
      </c>
      <c r="BK122" s="109">
        <f t="shared" si="278"/>
        <v>48.19</v>
      </c>
      <c r="BL122" s="109">
        <f t="shared" ref="BL122:BM122" si="279">+BL105</f>
        <v>37.83</v>
      </c>
      <c r="BM122" s="109">
        <f t="shared" si="279"/>
        <v>41.59</v>
      </c>
      <c r="BN122" s="109">
        <f t="shared" ref="BN122:BP122" si="280">+BN105</f>
        <v>51.94</v>
      </c>
      <c r="BO122" s="110">
        <f>AVERAGE(BK122:BN122)</f>
        <v>44.887500000000003</v>
      </c>
      <c r="BP122" s="109">
        <f t="shared" si="280"/>
        <v>51.030999999999999</v>
      </c>
      <c r="BQ122" s="402">
        <v>39.090000000000003</v>
      </c>
      <c r="BR122" s="402">
        <v>39.090000000000003</v>
      </c>
      <c r="BS122" s="402">
        <v>39.090000000000003</v>
      </c>
      <c r="BT122" s="403">
        <f>AVERAGE(BP122:BS122)</f>
        <v>42.075250000000004</v>
      </c>
      <c r="BU122" s="402">
        <f>BP122*1.025</f>
        <v>52.306774999999995</v>
      </c>
      <c r="BV122" s="402">
        <f t="shared" ref="BV122:BX122" si="281">BQ122*1.025</f>
        <v>40.067250000000001</v>
      </c>
      <c r="BW122" s="402">
        <f t="shared" si="281"/>
        <v>40.067250000000001</v>
      </c>
      <c r="BX122" s="402">
        <f t="shared" si="281"/>
        <v>40.067250000000001</v>
      </c>
      <c r="BY122" s="403">
        <f>AVERAGE(BU122:BX122)</f>
        <v>43.127131249999998</v>
      </c>
      <c r="BZ122" s="111">
        <f>BX122*(1+2.5%)^(1/4)</f>
        <v>40.315356281590844</v>
      </c>
      <c r="CA122" s="111">
        <f t="shared" si="274"/>
        <v>40.564998898392233</v>
      </c>
      <c r="CB122" s="111">
        <f t="shared" si="274"/>
        <v>40.816187363770233</v>
      </c>
      <c r="CC122" s="111">
        <f t="shared" si="274"/>
        <v>41.068931250000013</v>
      </c>
      <c r="CD122" s="110">
        <f>AVERAGE(BZ122:CC122)</f>
        <v>40.691368448438332</v>
      </c>
      <c r="CE122" s="47"/>
      <c r="CF122" s="47"/>
      <c r="CG122" s="50"/>
      <c r="CH122" s="50"/>
      <c r="CI122" s="50"/>
      <c r="CJ122" s="50"/>
      <c r="CK122" s="50"/>
      <c r="CL122" s="50"/>
      <c r="CM122" s="50"/>
      <c r="CN122" s="50"/>
      <c r="CO122" s="50"/>
      <c r="CP122" s="50"/>
      <c r="CQ122" s="50"/>
      <c r="CR122" s="50"/>
      <c r="CS122" s="50"/>
      <c r="CT122" s="50"/>
      <c r="CU122" s="50"/>
      <c r="CV122" s="50"/>
      <c r="CW122" s="50"/>
      <c r="CX122" s="50"/>
      <c r="CY122" s="50"/>
      <c r="CZ122" s="50"/>
      <c r="DA122" s="50"/>
    </row>
    <row r="123" spans="1:105">
      <c r="CF123" s="47"/>
      <c r="CG123" s="50"/>
      <c r="CH123" s="50"/>
      <c r="CI123" s="50"/>
      <c r="CJ123" s="50"/>
      <c r="CK123" s="50"/>
      <c r="CL123" s="50"/>
      <c r="CM123" s="50"/>
      <c r="CN123" s="50"/>
      <c r="CO123" s="50"/>
      <c r="CP123" s="50"/>
      <c r="CQ123" s="50"/>
      <c r="CR123" s="50"/>
      <c r="CS123" s="50"/>
      <c r="CT123" s="50"/>
      <c r="CU123" s="50"/>
      <c r="CV123" s="50"/>
      <c r="CW123" s="50"/>
      <c r="CX123" s="50"/>
      <c r="CY123" s="50"/>
      <c r="CZ123" s="50"/>
      <c r="DA123" s="50"/>
    </row>
    <row r="124" spans="1:105">
      <c r="A124" s="7"/>
      <c r="B124" s="121"/>
      <c r="C124" s="121"/>
      <c r="D124" s="121"/>
      <c r="E124" s="121"/>
      <c r="F124" s="121"/>
      <c r="G124" s="121"/>
      <c r="H124" s="121"/>
      <c r="I124" s="121"/>
      <c r="J124" s="121"/>
      <c r="K124" s="121"/>
      <c r="L124" s="121"/>
      <c r="M124" s="121"/>
      <c r="N124" s="121"/>
      <c r="O124" s="121"/>
      <c r="P124" s="121"/>
      <c r="Q124" s="121"/>
      <c r="R124" s="121"/>
      <c r="S124" s="121"/>
      <c r="T124" s="121"/>
      <c r="U124" s="121"/>
      <c r="V124" s="121"/>
      <c r="W124" s="88"/>
      <c r="X124" s="88"/>
      <c r="Y124" s="88"/>
      <c r="Z124" s="88"/>
      <c r="AA124" s="88"/>
      <c r="AB124" s="88"/>
      <c r="AC124" s="88"/>
      <c r="AD124" s="88"/>
      <c r="AE124" s="88"/>
      <c r="AF124" s="88"/>
      <c r="AG124" s="88"/>
      <c r="AH124" s="88"/>
      <c r="AI124" s="88"/>
      <c r="AJ124" s="88"/>
      <c r="AK124" s="88"/>
      <c r="AL124" s="88"/>
      <c r="AM124" s="88"/>
      <c r="AN124" s="88"/>
      <c r="AO124" s="88"/>
      <c r="AP124" s="88"/>
      <c r="AQ124" s="88"/>
      <c r="AR124" s="88"/>
      <c r="AS124" s="88"/>
      <c r="AT124" s="88"/>
      <c r="AU124" s="88"/>
      <c r="AV124" s="88"/>
      <c r="AW124" s="88"/>
      <c r="AX124" s="88"/>
      <c r="AY124" s="88"/>
      <c r="AZ124" s="88"/>
      <c r="BA124" s="88"/>
      <c r="BB124" s="88"/>
      <c r="BC124" s="88"/>
      <c r="BD124" s="88"/>
      <c r="BE124" s="88"/>
      <c r="BF124" s="88"/>
      <c r="BG124" s="88"/>
      <c r="BH124" s="88"/>
      <c r="BI124" s="88"/>
      <c r="BJ124" s="88"/>
      <c r="BK124" s="88"/>
      <c r="BL124" s="88"/>
      <c r="BM124" s="88"/>
      <c r="BN124" s="88"/>
      <c r="BO124" s="88"/>
      <c r="BP124" s="88"/>
      <c r="BQ124" s="88"/>
      <c r="BR124" s="88"/>
      <c r="BS124" s="88"/>
      <c r="BT124" s="88"/>
      <c r="BU124" s="88"/>
      <c r="BV124" s="88"/>
      <c r="BW124" s="88"/>
      <c r="BX124" s="88"/>
      <c r="BY124" s="88"/>
      <c r="BZ124" s="88"/>
      <c r="CA124" s="88"/>
      <c r="CB124" s="88"/>
      <c r="CC124" s="88"/>
      <c r="CD124" s="88"/>
      <c r="CE124" s="5"/>
      <c r="CF124" s="47"/>
      <c r="CG124" s="50"/>
      <c r="CH124" s="50"/>
      <c r="CI124" s="50"/>
      <c r="CJ124" s="50"/>
      <c r="CK124" s="50"/>
      <c r="CL124" s="50"/>
      <c r="CM124" s="50"/>
      <c r="CN124" s="50"/>
      <c r="CO124" s="50"/>
      <c r="CP124" s="50"/>
      <c r="CQ124" s="50"/>
      <c r="CR124" s="50"/>
      <c r="CS124" s="50"/>
      <c r="CT124" s="50"/>
      <c r="CU124" s="50"/>
      <c r="CV124" s="50"/>
      <c r="CW124" s="50"/>
      <c r="CX124" s="50"/>
      <c r="CY124" s="50"/>
      <c r="CZ124" s="50"/>
      <c r="DA124" s="50"/>
    </row>
    <row r="125" spans="1:105">
      <c r="A125" s="121"/>
      <c r="B125" s="121"/>
      <c r="C125" s="121"/>
      <c r="D125" s="121"/>
      <c r="E125" s="121"/>
      <c r="F125" s="121"/>
      <c r="G125" s="121"/>
      <c r="H125" s="121"/>
      <c r="I125" s="121"/>
      <c r="J125" s="121"/>
      <c r="K125" s="121"/>
      <c r="L125" s="121"/>
      <c r="M125" s="121"/>
      <c r="N125" s="121"/>
      <c r="O125" s="121"/>
      <c r="P125" s="121"/>
      <c r="Q125" s="121"/>
      <c r="R125" s="121"/>
      <c r="S125" s="121"/>
      <c r="T125" s="121"/>
      <c r="U125" s="121"/>
      <c r="V125" s="121"/>
      <c r="W125" s="109"/>
      <c r="X125" s="109"/>
      <c r="Y125" s="109"/>
      <c r="Z125" s="109"/>
      <c r="AA125" s="110"/>
      <c r="AB125" s="109"/>
      <c r="AC125" s="109"/>
      <c r="AD125" s="109"/>
      <c r="AE125" s="109"/>
      <c r="AF125" s="110"/>
      <c r="AG125" s="109"/>
      <c r="AH125" s="109"/>
      <c r="AI125" s="109"/>
      <c r="AJ125" s="109"/>
      <c r="AK125" s="110"/>
      <c r="AL125" s="109"/>
      <c r="AM125" s="109"/>
      <c r="AN125" s="109"/>
      <c r="AO125" s="109"/>
      <c r="AP125" s="403"/>
      <c r="AQ125" s="109"/>
      <c r="AR125" s="109"/>
      <c r="AS125" s="109"/>
      <c r="AT125" s="109"/>
      <c r="AU125" s="403"/>
      <c r="AV125" s="109"/>
      <c r="AW125" s="109"/>
      <c r="AX125" s="109"/>
      <c r="AY125" s="109"/>
      <c r="AZ125" s="403"/>
      <c r="BA125" s="109"/>
      <c r="BB125" s="109"/>
      <c r="BC125" s="109"/>
      <c r="BD125" s="109"/>
      <c r="BE125" s="109"/>
      <c r="BF125" s="109"/>
      <c r="BG125" s="109"/>
      <c r="BH125" s="109"/>
      <c r="BI125" s="109"/>
      <c r="BJ125" s="109"/>
      <c r="BK125" s="109"/>
      <c r="BL125" s="109"/>
      <c r="BM125" s="109"/>
      <c r="BN125" s="109"/>
      <c r="BO125" s="109"/>
      <c r="BP125" s="109"/>
      <c r="BQ125" s="109"/>
      <c r="BR125" s="109"/>
      <c r="BS125" s="109"/>
      <c r="BT125" s="109"/>
      <c r="BU125" s="109"/>
      <c r="BV125" s="109"/>
      <c r="BW125" s="109"/>
      <c r="BX125" s="109"/>
      <c r="BY125" s="109"/>
      <c r="BZ125" s="109"/>
      <c r="CA125" s="109"/>
      <c r="CB125" s="109"/>
      <c r="CC125" s="109"/>
      <c r="CD125" s="109"/>
      <c r="CE125" s="109"/>
      <c r="CF125" s="109"/>
      <c r="CG125" s="109"/>
      <c r="CH125" s="50"/>
      <c r="CI125" s="50"/>
      <c r="CJ125" s="50"/>
      <c r="CK125" s="50"/>
      <c r="CL125" s="50"/>
      <c r="CM125" s="50"/>
      <c r="CN125" s="50"/>
      <c r="CO125" s="50"/>
      <c r="CP125" s="50"/>
      <c r="CQ125" s="50"/>
      <c r="CR125" s="50"/>
      <c r="CS125" s="50"/>
      <c r="CT125" s="50"/>
      <c r="CU125" s="50"/>
      <c r="CV125" s="50"/>
      <c r="CW125" s="50"/>
      <c r="CX125" s="50"/>
      <c r="CY125" s="50"/>
      <c r="CZ125" s="50"/>
      <c r="DA125" s="50"/>
    </row>
    <row r="126" spans="1:105">
      <c r="A126" s="121"/>
      <c r="B126" s="121"/>
      <c r="C126" s="121"/>
      <c r="D126" s="121"/>
      <c r="E126" s="121"/>
      <c r="F126" s="121"/>
      <c r="G126" s="121"/>
      <c r="H126" s="121"/>
      <c r="I126" s="121"/>
      <c r="J126" s="121"/>
      <c r="K126" s="121"/>
      <c r="L126" s="121"/>
      <c r="M126" s="121"/>
      <c r="N126" s="121"/>
      <c r="O126" s="121"/>
      <c r="P126" s="121"/>
      <c r="Q126" s="121"/>
      <c r="R126" s="121"/>
      <c r="S126" s="121"/>
      <c r="T126" s="121"/>
      <c r="U126" s="121"/>
      <c r="V126" s="121"/>
      <c r="W126" s="109"/>
      <c r="X126" s="109"/>
      <c r="Y126" s="109"/>
      <c r="Z126" s="109"/>
      <c r="AA126" s="110"/>
      <c r="AB126" s="109"/>
      <c r="AC126" s="109"/>
      <c r="AD126" s="109"/>
      <c r="AE126" s="109"/>
      <c r="AF126" s="110"/>
      <c r="AG126" s="109"/>
      <c r="AH126" s="109"/>
      <c r="AI126" s="109"/>
      <c r="AJ126" s="109"/>
      <c r="AK126" s="110"/>
      <c r="AL126" s="109"/>
      <c r="AM126" s="109"/>
      <c r="AN126" s="109"/>
      <c r="AO126" s="109"/>
      <c r="AP126" s="403"/>
      <c r="AQ126" s="109"/>
      <c r="AR126" s="109"/>
      <c r="AS126" s="109"/>
      <c r="AT126" s="109"/>
      <c r="AU126" s="403"/>
      <c r="AV126" s="109"/>
      <c r="AW126" s="109"/>
      <c r="AX126" s="109"/>
      <c r="AY126" s="109"/>
      <c r="AZ126" s="403"/>
      <c r="BA126" s="109"/>
      <c r="BB126" s="109"/>
      <c r="BC126" s="109"/>
      <c r="BD126" s="109"/>
      <c r="BE126" s="109"/>
      <c r="BF126" s="109"/>
      <c r="BG126" s="109"/>
      <c r="BH126" s="109"/>
      <c r="BI126" s="109"/>
      <c r="BJ126" s="109"/>
      <c r="BK126" s="109"/>
      <c r="BL126" s="109"/>
      <c r="BM126" s="109"/>
      <c r="BN126" s="109"/>
      <c r="BO126" s="109"/>
      <c r="BP126" s="109"/>
      <c r="BQ126" s="109"/>
      <c r="BR126" s="109"/>
      <c r="BS126" s="109"/>
      <c r="BT126" s="109"/>
      <c r="BU126" s="109"/>
      <c r="BV126" s="109"/>
      <c r="BW126" s="109"/>
      <c r="BX126" s="109"/>
      <c r="BY126" s="109"/>
      <c r="BZ126" s="109"/>
      <c r="CA126" s="109"/>
      <c r="CB126" s="109"/>
      <c r="CC126" s="109"/>
      <c r="CD126" s="109"/>
      <c r="CE126" s="109"/>
      <c r="CF126" s="109"/>
      <c r="CG126" s="109"/>
      <c r="CH126" s="50"/>
      <c r="CI126" s="50"/>
      <c r="CJ126" s="50"/>
      <c r="CK126" s="50"/>
      <c r="CL126" s="50"/>
      <c r="CM126" s="50"/>
      <c r="CN126" s="50"/>
      <c r="CO126" s="50"/>
      <c r="CP126" s="50"/>
      <c r="CQ126" s="50"/>
      <c r="CR126" s="50"/>
      <c r="CS126" s="50"/>
      <c r="CT126" s="50"/>
      <c r="CU126" s="50"/>
      <c r="CV126" s="50"/>
      <c r="CW126" s="50"/>
      <c r="CX126" s="50"/>
      <c r="CY126" s="50"/>
      <c r="CZ126" s="50"/>
      <c r="DA126" s="50"/>
    </row>
    <row r="127" spans="1:105">
      <c r="CF127" s="5"/>
      <c r="CG127" s="50"/>
      <c r="CH127" s="50"/>
      <c r="CI127" s="50"/>
      <c r="CJ127" s="50"/>
      <c r="CK127" s="50"/>
      <c r="CL127" s="50"/>
      <c r="CM127" s="50"/>
      <c r="CN127" s="50"/>
      <c r="CO127" s="50"/>
      <c r="CP127" s="50"/>
      <c r="CQ127" s="50"/>
      <c r="CR127" s="50"/>
      <c r="CS127" s="50"/>
      <c r="CT127" s="50"/>
      <c r="CU127" s="50"/>
      <c r="CV127" s="50"/>
      <c r="CW127" s="50"/>
      <c r="CX127" s="50"/>
      <c r="CY127" s="50"/>
      <c r="CZ127" s="50"/>
      <c r="DA127" s="50"/>
    </row>
    <row r="128" spans="1:105">
      <c r="CF128" s="5"/>
      <c r="CG128" s="50"/>
      <c r="CH128" s="50"/>
      <c r="CI128" s="50"/>
      <c r="CJ128" s="50"/>
      <c r="CK128" s="50"/>
      <c r="CL128" s="50"/>
      <c r="CM128" s="50"/>
      <c r="CN128" s="50"/>
      <c r="CO128" s="50"/>
      <c r="CP128" s="50"/>
      <c r="CQ128" s="50"/>
      <c r="CR128" s="50"/>
      <c r="CS128" s="50"/>
      <c r="CT128" s="50"/>
      <c r="CU128" s="50"/>
      <c r="CV128" s="50"/>
      <c r="CW128" s="50"/>
      <c r="CX128" s="50"/>
      <c r="CY128" s="50"/>
      <c r="CZ128" s="50"/>
      <c r="DA128" s="50"/>
    </row>
    <row r="129" spans="84:105">
      <c r="CF129" s="5"/>
      <c r="CG129" s="50"/>
      <c r="CH129" s="50"/>
      <c r="CI129" s="50"/>
      <c r="CJ129" s="50"/>
      <c r="CK129" s="50"/>
      <c r="CL129" s="50"/>
      <c r="CM129" s="50"/>
      <c r="CN129" s="50"/>
      <c r="CO129" s="50"/>
      <c r="CP129" s="50"/>
      <c r="CQ129" s="50"/>
      <c r="CR129" s="50"/>
      <c r="CS129" s="50"/>
      <c r="CT129" s="50"/>
      <c r="CU129" s="50"/>
      <c r="CV129" s="50"/>
      <c r="CW129" s="50"/>
      <c r="CX129" s="50"/>
      <c r="CY129" s="50"/>
      <c r="CZ129" s="50"/>
      <c r="DA129" s="50"/>
    </row>
  </sheetData>
  <mergeCells count="1">
    <mergeCell ref="A7:B7"/>
  </mergeCells>
  <phoneticPr fontId="14" type="noConversion"/>
  <dataValidations disablePrompts="1" count="1">
    <dataValidation type="list" allowBlank="1" showInputMessage="1" showErrorMessage="1" sqref="A7:B7">
      <formula1>"Forward Curve,Custom Case,Company assumptions,Price target case"</formula1>
    </dataValidation>
  </dataValidations>
  <hyperlinks>
    <hyperlink ref="A46" r:id="rId1"/>
  </hyperlinks>
  <pageMargins left="0.75" right="0.75" top="1" bottom="1" header="0.5" footer="0.5"/>
  <pageSetup paperSize="9" orientation="portrait" r:id="rId2"/>
  <headerFooter alignWithMargins="0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IV13"/>
  <sheetViews>
    <sheetView workbookViewId="0"/>
  </sheetViews>
  <sheetFormatPr defaultRowHeight="12.75"/>
  <sheetData>
    <row r="1" spans="1:256">
      <c r="A1" t="s">
        <v>2177</v>
      </c>
    </row>
    <row r="2" spans="1:256" s="294" customFormat="1">
      <c r="A2" s="294" t="s">
        <v>899</v>
      </c>
      <c r="B2" s="294" t="s">
        <v>1876</v>
      </c>
      <c r="C2" s="294" t="s">
        <v>662</v>
      </c>
      <c r="D2" s="294" t="s">
        <v>1774</v>
      </c>
      <c r="E2" s="294" t="s">
        <v>3377</v>
      </c>
      <c r="F2" s="294" t="s">
        <v>819</v>
      </c>
      <c r="G2" s="294" t="s">
        <v>1697</v>
      </c>
      <c r="H2" s="294" t="s">
        <v>993</v>
      </c>
      <c r="I2" s="294" t="s">
        <v>2040</v>
      </c>
      <c r="J2" s="294" t="s">
        <v>243</v>
      </c>
      <c r="K2" s="294" t="s">
        <v>3409</v>
      </c>
      <c r="L2" s="294" t="s">
        <v>862</v>
      </c>
      <c r="M2" s="294" t="s">
        <v>857</v>
      </c>
      <c r="N2" s="294" t="s">
        <v>223</v>
      </c>
      <c r="O2" s="294" t="s">
        <v>311</v>
      </c>
      <c r="P2" s="294" t="s">
        <v>2585</v>
      </c>
      <c r="Q2" s="294" t="s">
        <v>20</v>
      </c>
      <c r="R2" s="294" t="s">
        <v>1319</v>
      </c>
      <c r="S2" s="294" t="s">
        <v>679</v>
      </c>
      <c r="T2" s="294" t="s">
        <v>1063</v>
      </c>
      <c r="U2" s="294" t="s">
        <v>3336</v>
      </c>
      <c r="V2" s="294" t="s">
        <v>841</v>
      </c>
      <c r="W2" s="294" t="s">
        <v>295</v>
      </c>
      <c r="X2" s="294" t="s">
        <v>873</v>
      </c>
      <c r="Y2" s="294" t="s">
        <v>2322</v>
      </c>
      <c r="Z2" s="294" t="s">
        <v>994</v>
      </c>
      <c r="AA2" s="294" t="s">
        <v>281</v>
      </c>
      <c r="AB2" s="294" t="s">
        <v>1263</v>
      </c>
      <c r="AC2" s="294" t="s">
        <v>1164</v>
      </c>
      <c r="AD2" s="294" t="s">
        <v>3304</v>
      </c>
      <c r="AE2" s="294" t="s">
        <v>1588</v>
      </c>
      <c r="AF2" s="294" t="s">
        <v>851</v>
      </c>
      <c r="AG2" s="294" t="s">
        <v>2939</v>
      </c>
      <c r="AH2" s="294" t="s">
        <v>3426</v>
      </c>
      <c r="AI2" s="294" t="s">
        <v>1522</v>
      </c>
      <c r="AJ2" s="294" t="s">
        <v>819</v>
      </c>
      <c r="AK2" s="294" t="s">
        <v>2731</v>
      </c>
      <c r="AL2" s="294" t="s">
        <v>1234</v>
      </c>
      <c r="AM2" s="294" t="s">
        <v>337</v>
      </c>
      <c r="AN2" s="294" t="s">
        <v>819</v>
      </c>
      <c r="AO2" s="294" t="s">
        <v>2444</v>
      </c>
      <c r="AP2" s="294" t="s">
        <v>223</v>
      </c>
      <c r="AQ2" s="294" t="s">
        <v>2658</v>
      </c>
      <c r="AR2" s="294" t="s">
        <v>819</v>
      </c>
      <c r="AS2" s="294" t="s">
        <v>2459</v>
      </c>
      <c r="AT2" s="294" t="s">
        <v>819</v>
      </c>
      <c r="AU2" s="294" t="s">
        <v>1436</v>
      </c>
      <c r="AV2" s="294" t="s">
        <v>1228</v>
      </c>
      <c r="AW2" s="294" t="s">
        <v>1591</v>
      </c>
      <c r="AX2" s="294" t="s">
        <v>853</v>
      </c>
      <c r="AY2" s="294" t="s">
        <v>3146</v>
      </c>
      <c r="AZ2" s="294" t="s">
        <v>1626</v>
      </c>
      <c r="BA2" s="294" t="s">
        <v>751</v>
      </c>
      <c r="BB2" s="294" t="s">
        <v>881</v>
      </c>
      <c r="BC2" s="294" t="s">
        <v>170</v>
      </c>
      <c r="BD2" s="294" t="s">
        <v>63</v>
      </c>
      <c r="BE2" s="294" t="s">
        <v>856</v>
      </c>
      <c r="BF2" s="294" t="s">
        <v>1772</v>
      </c>
      <c r="BG2" s="294" t="s">
        <v>2300</v>
      </c>
      <c r="BH2" s="294" t="s">
        <v>1243</v>
      </c>
      <c r="BI2" s="294" t="s">
        <v>900</v>
      </c>
      <c r="BJ2" s="294" t="s">
        <v>1771</v>
      </c>
      <c r="BK2" s="294" t="s">
        <v>2835</v>
      </c>
      <c r="BL2" s="294" t="s">
        <v>3254</v>
      </c>
      <c r="BM2" s="294" t="s">
        <v>595</v>
      </c>
      <c r="BN2" s="294" t="s">
        <v>867</v>
      </c>
      <c r="BO2" s="294" t="s">
        <v>978</v>
      </c>
      <c r="BP2" s="294" t="s">
        <v>1613</v>
      </c>
      <c r="BQ2" s="294" t="s">
        <v>317</v>
      </c>
      <c r="BR2" s="294" t="s">
        <v>531</v>
      </c>
      <c r="BS2" s="294" t="s">
        <v>1514</v>
      </c>
      <c r="BT2" s="294" t="s">
        <v>2847</v>
      </c>
      <c r="BU2" s="294" t="s">
        <v>2323</v>
      </c>
      <c r="BV2" s="294" t="s">
        <v>2581</v>
      </c>
      <c r="BW2" s="294" t="s">
        <v>3343</v>
      </c>
      <c r="BX2" s="294" t="s">
        <v>1630</v>
      </c>
      <c r="BY2" s="294" t="s">
        <v>970</v>
      </c>
      <c r="BZ2" s="294" t="s">
        <v>712</v>
      </c>
      <c r="CA2" s="294" t="s">
        <v>3132</v>
      </c>
      <c r="CB2" s="294" t="s">
        <v>3289</v>
      </c>
      <c r="CC2" s="294" t="s">
        <v>122</v>
      </c>
      <c r="CD2" s="294" t="s">
        <v>866</v>
      </c>
      <c r="CE2" s="294" t="s">
        <v>1857</v>
      </c>
      <c r="CF2" s="294" t="s">
        <v>3254</v>
      </c>
      <c r="CG2" s="294" t="s">
        <v>2231</v>
      </c>
      <c r="CH2" s="294" t="s">
        <v>1318</v>
      </c>
      <c r="CI2" s="294" t="s">
        <v>2993</v>
      </c>
      <c r="CJ2" s="294" t="s">
        <v>2594</v>
      </c>
      <c r="CK2" s="294" t="s">
        <v>963</v>
      </c>
      <c r="CL2" s="294" t="s">
        <v>1011</v>
      </c>
      <c r="CM2" s="294" t="s">
        <v>3114</v>
      </c>
      <c r="CN2" s="294" t="s">
        <v>1266</v>
      </c>
      <c r="CO2" s="294" t="s">
        <v>285</v>
      </c>
      <c r="CP2" s="294" t="s">
        <v>1606</v>
      </c>
      <c r="CQ2" s="294" t="s">
        <v>3190</v>
      </c>
      <c r="CR2" s="294" t="s">
        <v>569</v>
      </c>
      <c r="CS2" s="294" t="s">
        <v>169</v>
      </c>
      <c r="CT2" s="294" t="s">
        <v>175</v>
      </c>
      <c r="CU2" s="294" t="s">
        <v>2448</v>
      </c>
      <c r="CV2" s="294" t="s">
        <v>1989</v>
      </c>
      <c r="CW2" s="294" t="s">
        <v>1858</v>
      </c>
      <c r="CX2" s="294" t="s">
        <v>2573</v>
      </c>
      <c r="CY2" s="294" t="s">
        <v>1504</v>
      </c>
      <c r="CZ2" s="294" t="s">
        <v>2682</v>
      </c>
      <c r="DA2" s="294" t="s">
        <v>1077</v>
      </c>
      <c r="DB2" s="294" t="s">
        <v>3287</v>
      </c>
      <c r="DC2" s="294" t="s">
        <v>2280</v>
      </c>
      <c r="DD2" s="294" t="s">
        <v>819</v>
      </c>
      <c r="DE2" s="294" t="s">
        <v>2093</v>
      </c>
      <c r="DF2" s="294" t="s">
        <v>3308</v>
      </c>
      <c r="DG2" s="294" t="s">
        <v>263</v>
      </c>
      <c r="DH2" s="294" t="s">
        <v>569</v>
      </c>
      <c r="DI2" s="294" t="s">
        <v>3198</v>
      </c>
      <c r="DJ2" s="294" t="s">
        <v>831</v>
      </c>
      <c r="DK2" s="294" t="s">
        <v>2065</v>
      </c>
      <c r="DL2" s="294" t="s">
        <v>1873</v>
      </c>
      <c r="DM2" s="294" t="s">
        <v>24</v>
      </c>
      <c r="DN2" s="294" t="s">
        <v>1321</v>
      </c>
      <c r="DO2" s="294" t="s">
        <v>420</v>
      </c>
      <c r="DP2" s="294" t="s">
        <v>2432</v>
      </c>
      <c r="DQ2" s="294" t="s">
        <v>827</v>
      </c>
      <c r="DR2" s="294" t="s">
        <v>16</v>
      </c>
      <c r="DS2" s="294" t="s">
        <v>3159</v>
      </c>
      <c r="DT2" s="294" t="s">
        <v>1631</v>
      </c>
      <c r="DU2" s="294" t="s">
        <v>745</v>
      </c>
      <c r="DV2" s="294" t="s">
        <v>1824</v>
      </c>
      <c r="DW2" s="294" t="s">
        <v>2875</v>
      </c>
      <c r="DX2" s="294" t="s">
        <v>1054</v>
      </c>
      <c r="DY2" s="294" t="s">
        <v>341</v>
      </c>
      <c r="DZ2" s="294" t="s">
        <v>2339</v>
      </c>
      <c r="EA2" s="294" t="s">
        <v>373</v>
      </c>
      <c r="EB2" s="294" t="s">
        <v>884</v>
      </c>
      <c r="EC2" s="294" t="s">
        <v>2176</v>
      </c>
      <c r="ED2" s="294" t="s">
        <v>957</v>
      </c>
      <c r="EE2" s="294" t="s">
        <v>2452</v>
      </c>
      <c r="EF2" s="294" t="s">
        <v>490</v>
      </c>
      <c r="EG2" s="294" t="s">
        <v>3110</v>
      </c>
      <c r="EH2" s="294" t="s">
        <v>1995</v>
      </c>
      <c r="EI2" s="294" t="s">
        <v>3028</v>
      </c>
      <c r="EJ2" s="294" t="s">
        <v>993</v>
      </c>
      <c r="EK2" s="294" t="s">
        <v>190</v>
      </c>
      <c r="EL2" s="294" t="s">
        <v>2779</v>
      </c>
      <c r="EM2" s="294" t="s">
        <v>409</v>
      </c>
      <c r="EN2" s="294" t="s">
        <v>222</v>
      </c>
      <c r="EO2" s="294" t="s">
        <v>3337</v>
      </c>
      <c r="EP2" s="294" t="s">
        <v>3290</v>
      </c>
      <c r="EQ2" s="294" t="s">
        <v>1831</v>
      </c>
      <c r="ER2" s="294" t="s">
        <v>173</v>
      </c>
      <c r="ES2" s="294" t="s">
        <v>1342</v>
      </c>
      <c r="ET2" s="294" t="s">
        <v>1780</v>
      </c>
      <c r="EU2" s="294" t="s">
        <v>2390</v>
      </c>
      <c r="EV2" s="294" t="s">
        <v>2340</v>
      </c>
      <c r="EW2" s="294" t="s">
        <v>525</v>
      </c>
      <c r="EX2" s="294" t="s">
        <v>182</v>
      </c>
      <c r="EY2" s="294" t="s">
        <v>1328</v>
      </c>
      <c r="EZ2" s="294" t="s">
        <v>1058</v>
      </c>
      <c r="FA2" s="294" t="s">
        <v>1414</v>
      </c>
      <c r="FB2" s="294" t="s">
        <v>2857</v>
      </c>
      <c r="FC2" s="294" t="s">
        <v>1136</v>
      </c>
      <c r="FD2" s="294" t="s">
        <v>494</v>
      </c>
      <c r="FE2" s="294" t="s">
        <v>1506</v>
      </c>
      <c r="FF2" s="294" t="s">
        <v>178</v>
      </c>
      <c r="FG2" s="294" t="s">
        <v>2534</v>
      </c>
      <c r="FH2" s="294" t="s">
        <v>57</v>
      </c>
      <c r="FI2" s="294" t="s">
        <v>2116</v>
      </c>
      <c r="FJ2" s="294" t="s">
        <v>832</v>
      </c>
      <c r="FK2" s="294" t="s">
        <v>1925</v>
      </c>
      <c r="FL2" s="294" t="s">
        <v>2633</v>
      </c>
      <c r="FM2" s="294" t="s">
        <v>2130</v>
      </c>
      <c r="FN2" s="294" t="s">
        <v>3288</v>
      </c>
      <c r="FO2" s="294" t="s">
        <v>1330</v>
      </c>
      <c r="FP2" s="294" t="s">
        <v>1059</v>
      </c>
      <c r="FQ2" s="294" t="s">
        <v>2299</v>
      </c>
      <c r="FR2" s="294" t="s">
        <v>1108</v>
      </c>
      <c r="FS2" s="294" t="s">
        <v>3193</v>
      </c>
      <c r="FT2" s="294" t="s">
        <v>225</v>
      </c>
      <c r="FU2" s="294" t="s">
        <v>2490</v>
      </c>
      <c r="FV2" s="294" t="s">
        <v>1055</v>
      </c>
      <c r="FW2" s="294" t="s">
        <v>1822</v>
      </c>
      <c r="FX2" s="294" t="s">
        <v>3252</v>
      </c>
      <c r="FY2" s="294" t="s">
        <v>1783</v>
      </c>
      <c r="FZ2" s="294" t="s">
        <v>1101</v>
      </c>
      <c r="GA2" s="294" t="s">
        <v>2488</v>
      </c>
      <c r="GB2" s="294" t="s">
        <v>1870</v>
      </c>
      <c r="GC2" s="294" t="s">
        <v>124</v>
      </c>
      <c r="GD2" s="294" t="s">
        <v>2077</v>
      </c>
      <c r="GE2" s="294" t="s">
        <v>1964</v>
      </c>
      <c r="GF2" s="294" t="s">
        <v>2070</v>
      </c>
      <c r="GG2" s="294" t="s">
        <v>3195</v>
      </c>
      <c r="GH2" s="294" t="s">
        <v>830</v>
      </c>
      <c r="GI2" s="294" t="s">
        <v>905</v>
      </c>
      <c r="GJ2" s="294" t="s">
        <v>584</v>
      </c>
      <c r="GK2" s="294" t="s">
        <v>374</v>
      </c>
      <c r="GL2" s="294" t="s">
        <v>492</v>
      </c>
      <c r="GM2" s="294" t="s">
        <v>2234</v>
      </c>
      <c r="GN2" s="294" t="s">
        <v>2633</v>
      </c>
      <c r="GO2" s="294" t="s">
        <v>2391</v>
      </c>
      <c r="GP2" s="294" t="s">
        <v>234</v>
      </c>
      <c r="GQ2" s="294" t="s">
        <v>2999</v>
      </c>
      <c r="GR2" s="294" t="s">
        <v>1761</v>
      </c>
      <c r="GS2" s="294" t="s">
        <v>1908</v>
      </c>
      <c r="GT2" s="294" t="s">
        <v>2818</v>
      </c>
      <c r="GU2" s="294" t="s">
        <v>3051</v>
      </c>
      <c r="GV2" s="294" t="s">
        <v>2676</v>
      </c>
      <c r="GW2" s="294" t="s">
        <v>290</v>
      </c>
      <c r="GX2" s="294" t="s">
        <v>3259</v>
      </c>
      <c r="GY2" s="294" t="s">
        <v>2619</v>
      </c>
      <c r="GZ2" s="294" t="s">
        <v>3292</v>
      </c>
      <c r="HA2" s="294" t="s">
        <v>1120</v>
      </c>
      <c r="HB2" s="294" t="s">
        <v>1242</v>
      </c>
      <c r="HC2" s="294" t="s">
        <v>1456</v>
      </c>
      <c r="HD2" s="294" t="s">
        <v>1064</v>
      </c>
      <c r="HE2" s="294" t="s">
        <v>538</v>
      </c>
      <c r="HF2" s="294" t="s">
        <v>3425</v>
      </c>
      <c r="HG2" s="294" t="s">
        <v>3152</v>
      </c>
      <c r="HH2" s="294" t="s">
        <v>1628</v>
      </c>
      <c r="HI2" s="294" t="s">
        <v>2089</v>
      </c>
      <c r="HJ2" s="294" t="s">
        <v>1721</v>
      </c>
      <c r="HK2" s="294" t="s">
        <v>2225</v>
      </c>
      <c r="HL2" s="294" t="s">
        <v>359</v>
      </c>
      <c r="HM2" s="294" t="s">
        <v>1307</v>
      </c>
      <c r="HN2" s="294" t="s">
        <v>176</v>
      </c>
      <c r="HO2" s="294" t="s">
        <v>967</v>
      </c>
      <c r="HP2" s="294" t="s">
        <v>535</v>
      </c>
      <c r="HQ2" s="294" t="s">
        <v>3364</v>
      </c>
      <c r="HR2" s="294" t="s">
        <v>989</v>
      </c>
      <c r="HS2" s="294" t="s">
        <v>1659</v>
      </c>
      <c r="HT2" s="294" t="s">
        <v>840</v>
      </c>
      <c r="HU2" s="294" t="s">
        <v>1444</v>
      </c>
      <c r="HV2" s="294" t="s">
        <v>819</v>
      </c>
      <c r="HW2" s="294" t="s">
        <v>1140</v>
      </c>
      <c r="HX2" s="294" t="s">
        <v>229</v>
      </c>
      <c r="HY2" s="294" t="s">
        <v>1860</v>
      </c>
      <c r="HZ2" s="294" t="s">
        <v>2586</v>
      </c>
      <c r="IA2" s="294" t="s">
        <v>2354</v>
      </c>
      <c r="IB2" s="294" t="s">
        <v>2431</v>
      </c>
      <c r="IC2" s="294" t="s">
        <v>1600</v>
      </c>
      <c r="ID2" s="294" t="s">
        <v>100</v>
      </c>
      <c r="IE2" s="294" t="s">
        <v>3023</v>
      </c>
      <c r="IF2" s="294" t="s">
        <v>1609</v>
      </c>
      <c r="IG2" s="294" t="s">
        <v>572</v>
      </c>
      <c r="IH2" s="294" t="s">
        <v>2750</v>
      </c>
      <c r="II2" s="294" t="s">
        <v>427</v>
      </c>
      <c r="IJ2" s="294" t="s">
        <v>3262</v>
      </c>
      <c r="IK2" s="294" t="s">
        <v>2294</v>
      </c>
      <c r="IL2" s="294" t="s">
        <v>172</v>
      </c>
      <c r="IM2" s="294" t="s">
        <v>3362</v>
      </c>
      <c r="IN2" s="294" t="s">
        <v>226</v>
      </c>
      <c r="IO2" s="294" t="s">
        <v>3407</v>
      </c>
      <c r="IP2" s="294" t="s">
        <v>1244</v>
      </c>
      <c r="IQ2" s="294" t="s">
        <v>340</v>
      </c>
      <c r="IR2" s="294" t="s">
        <v>1781</v>
      </c>
      <c r="IS2" s="294" t="s">
        <v>1392</v>
      </c>
      <c r="IT2" s="294" t="s">
        <v>625</v>
      </c>
      <c r="IU2" s="294" t="s">
        <v>1248</v>
      </c>
      <c r="IV2" s="294" t="s">
        <v>1737</v>
      </c>
    </row>
    <row r="3" spans="1:256" s="294" customFormat="1">
      <c r="A3" s="294" t="s">
        <v>2851</v>
      </c>
      <c r="B3" s="294" t="s">
        <v>2336</v>
      </c>
      <c r="C3" s="294" t="s">
        <v>2913</v>
      </c>
      <c r="D3" s="294" t="s">
        <v>819</v>
      </c>
      <c r="E3" s="294" t="s">
        <v>21</v>
      </c>
      <c r="F3" s="294" t="s">
        <v>989</v>
      </c>
      <c r="G3" s="294" t="s">
        <v>3018</v>
      </c>
      <c r="H3" s="294" t="s">
        <v>95</v>
      </c>
      <c r="I3" s="294" t="s">
        <v>599</v>
      </c>
      <c r="J3" s="294" t="s">
        <v>819</v>
      </c>
      <c r="K3" s="294" t="s">
        <v>513</v>
      </c>
      <c r="L3" s="294" t="s">
        <v>3256</v>
      </c>
      <c r="M3" s="294" t="s">
        <v>968</v>
      </c>
      <c r="N3" s="294" t="s">
        <v>536</v>
      </c>
      <c r="O3" s="294" t="s">
        <v>1033</v>
      </c>
      <c r="P3" s="294" t="s">
        <v>1268</v>
      </c>
      <c r="Q3" s="294" t="s">
        <v>1660</v>
      </c>
      <c r="R3" s="294" t="s">
        <v>3289</v>
      </c>
      <c r="S3" s="294" t="s">
        <v>1145</v>
      </c>
      <c r="T3" s="294" t="s">
        <v>671</v>
      </c>
      <c r="U3" s="294" t="s">
        <v>97</v>
      </c>
      <c r="V3" s="294" t="s">
        <v>1867</v>
      </c>
      <c r="W3" s="294" t="s">
        <v>2831</v>
      </c>
      <c r="X3" s="294" t="s">
        <v>2799</v>
      </c>
      <c r="Y3" s="294" t="s">
        <v>2561</v>
      </c>
      <c r="Z3" s="294" t="s">
        <v>462</v>
      </c>
      <c r="AA3" s="294" t="s">
        <v>2236</v>
      </c>
      <c r="AB3" s="294" t="s">
        <v>64</v>
      </c>
      <c r="AC3" s="294" t="s">
        <v>3416</v>
      </c>
      <c r="AD3" s="294" t="s">
        <v>2369</v>
      </c>
      <c r="AE3" s="294" t="s">
        <v>384</v>
      </c>
      <c r="AF3" s="294" t="s">
        <v>1866</v>
      </c>
      <c r="AG3" s="294" t="s">
        <v>3455</v>
      </c>
      <c r="AH3" s="294" t="s">
        <v>3000</v>
      </c>
      <c r="AI3" s="294" t="s">
        <v>937</v>
      </c>
      <c r="AJ3" s="294" t="s">
        <v>1770</v>
      </c>
      <c r="AK3" s="294" t="s">
        <v>432</v>
      </c>
      <c r="AL3" s="294" t="s">
        <v>489</v>
      </c>
      <c r="AM3" s="294" t="s">
        <v>2860</v>
      </c>
      <c r="AN3" s="294" t="s">
        <v>1871</v>
      </c>
      <c r="AO3" s="294" t="s">
        <v>3273</v>
      </c>
      <c r="AP3" s="294" t="s">
        <v>3295</v>
      </c>
      <c r="AQ3" s="294" t="s">
        <v>1845</v>
      </c>
      <c r="AR3" s="294" t="s">
        <v>221</v>
      </c>
      <c r="AS3" s="294" t="s">
        <v>2570</v>
      </c>
      <c r="AT3" s="294" t="s">
        <v>1275</v>
      </c>
      <c r="AU3" s="294" t="s">
        <v>1844</v>
      </c>
      <c r="AV3" s="294" t="s">
        <v>819</v>
      </c>
      <c r="AW3" s="294" t="s">
        <v>3360</v>
      </c>
      <c r="AX3" s="294" t="s">
        <v>819</v>
      </c>
      <c r="AY3" s="294" t="s">
        <v>3075</v>
      </c>
      <c r="AZ3" s="294" t="s">
        <v>819</v>
      </c>
      <c r="BA3" s="294" t="s">
        <v>366</v>
      </c>
      <c r="BB3" s="294" t="s">
        <v>34</v>
      </c>
      <c r="BC3" s="294" t="s">
        <v>3149</v>
      </c>
      <c r="BD3" s="294" t="s">
        <v>2820</v>
      </c>
      <c r="BE3" s="294" t="s">
        <v>2538</v>
      </c>
      <c r="BF3" s="294" t="s">
        <v>94</v>
      </c>
      <c r="BG3" s="294" t="s">
        <v>3434</v>
      </c>
      <c r="BH3" s="294" t="s">
        <v>182</v>
      </c>
      <c r="BI3" s="294" t="s">
        <v>1210</v>
      </c>
      <c r="BJ3" s="294" t="s">
        <v>413</v>
      </c>
      <c r="BK3" s="294" t="s">
        <v>3085</v>
      </c>
      <c r="BL3" s="294" t="s">
        <v>1760</v>
      </c>
      <c r="BM3" s="294" t="s">
        <v>2349</v>
      </c>
      <c r="BN3" s="294" t="s">
        <v>621</v>
      </c>
      <c r="BO3" s="294" t="s">
        <v>658</v>
      </c>
      <c r="BP3" s="294" t="s">
        <v>453</v>
      </c>
      <c r="BQ3" s="294" t="s">
        <v>81</v>
      </c>
      <c r="BR3" s="294" t="s">
        <v>498</v>
      </c>
      <c r="BS3" s="294" t="s">
        <v>334</v>
      </c>
      <c r="BT3" s="294" t="s">
        <v>1431</v>
      </c>
      <c r="BU3" s="294" t="s">
        <v>2422</v>
      </c>
      <c r="BV3" s="294" t="s">
        <v>235</v>
      </c>
      <c r="BW3" s="294" t="s">
        <v>756</v>
      </c>
      <c r="BX3" s="294" t="s">
        <v>2777</v>
      </c>
      <c r="BY3" s="294" t="s">
        <v>3366</v>
      </c>
      <c r="BZ3" s="294" t="s">
        <v>3254</v>
      </c>
      <c r="CA3" s="294" t="s">
        <v>2037</v>
      </c>
      <c r="CB3" s="294" t="s">
        <v>181</v>
      </c>
      <c r="CC3" s="294" t="s">
        <v>2905</v>
      </c>
      <c r="CD3" s="294" t="s">
        <v>2434</v>
      </c>
      <c r="CE3" s="294" t="s">
        <v>2112</v>
      </c>
      <c r="CF3" s="294" t="s">
        <v>819</v>
      </c>
      <c r="CG3" s="294" t="s">
        <v>1325</v>
      </c>
      <c r="CH3" s="294" t="s">
        <v>2136</v>
      </c>
      <c r="CI3" s="294" t="s">
        <v>2120</v>
      </c>
      <c r="CJ3" s="294" t="s">
        <v>411</v>
      </c>
      <c r="CK3" s="294" t="s">
        <v>1573</v>
      </c>
      <c r="CL3" s="294" t="s">
        <v>2810</v>
      </c>
      <c r="CM3" s="294" t="s">
        <v>1589</v>
      </c>
      <c r="CN3" s="294" t="s">
        <v>223</v>
      </c>
      <c r="CO3" s="294" t="s">
        <v>1161</v>
      </c>
      <c r="CP3" s="294" t="s">
        <v>226</v>
      </c>
      <c r="CQ3" s="294" t="s">
        <v>2067</v>
      </c>
      <c r="CR3" s="294" t="s">
        <v>1874</v>
      </c>
      <c r="CS3" s="294" t="s">
        <v>104</v>
      </c>
      <c r="CT3" s="294" t="s">
        <v>1900</v>
      </c>
      <c r="CU3" s="294" t="s">
        <v>3191</v>
      </c>
      <c r="CV3" s="294" t="s">
        <v>220</v>
      </c>
      <c r="CW3" s="294" t="s">
        <v>1463</v>
      </c>
      <c r="CX3" s="294" t="s">
        <v>2042</v>
      </c>
      <c r="CY3" s="294" t="s">
        <v>3330</v>
      </c>
      <c r="CZ3" s="294" t="s">
        <v>1619</v>
      </c>
      <c r="DA3" s="294" t="s">
        <v>678</v>
      </c>
      <c r="DB3" s="294" t="s">
        <v>1062</v>
      </c>
      <c r="DC3" s="294" t="s">
        <v>1595</v>
      </c>
      <c r="DD3" s="294" t="s">
        <v>854</v>
      </c>
      <c r="DE3" s="294" t="s">
        <v>903</v>
      </c>
      <c r="DF3" s="294" t="s">
        <v>436</v>
      </c>
      <c r="DG3" s="294" t="s">
        <v>2870</v>
      </c>
      <c r="DH3" s="294" t="s">
        <v>437</v>
      </c>
      <c r="DI3" s="294" t="s">
        <v>1309</v>
      </c>
      <c r="DJ3" s="294" t="s">
        <v>1779</v>
      </c>
      <c r="DK3" s="294" t="s">
        <v>1415</v>
      </c>
      <c r="DL3" s="294" t="s">
        <v>222</v>
      </c>
      <c r="DM3" s="294" t="s">
        <v>2908</v>
      </c>
      <c r="DN3" s="294" t="s">
        <v>271</v>
      </c>
      <c r="DO3" s="294" t="s">
        <v>699</v>
      </c>
      <c r="DP3" s="294" t="s">
        <v>536</v>
      </c>
      <c r="DQ3" s="294" t="s">
        <v>3446</v>
      </c>
      <c r="DR3" s="294" t="s">
        <v>1276</v>
      </c>
      <c r="DS3" s="294" t="s">
        <v>2117</v>
      </c>
      <c r="DT3" s="294" t="s">
        <v>837</v>
      </c>
      <c r="DU3" s="294" t="s">
        <v>1040</v>
      </c>
      <c r="DV3" s="294" t="s">
        <v>1367</v>
      </c>
      <c r="DW3" s="294" t="s">
        <v>259</v>
      </c>
      <c r="DX3" s="294" t="s">
        <v>500</v>
      </c>
      <c r="DY3" s="294" t="s">
        <v>1048</v>
      </c>
      <c r="DZ3" s="294" t="s">
        <v>3300</v>
      </c>
      <c r="EA3" s="294" t="s">
        <v>2371</v>
      </c>
      <c r="EB3" s="294" t="s">
        <v>3292</v>
      </c>
      <c r="EC3" s="294" t="s">
        <v>1434</v>
      </c>
      <c r="ED3" s="294" t="s">
        <v>226</v>
      </c>
      <c r="EE3" s="294" t="s">
        <v>964</v>
      </c>
      <c r="EF3" s="294" t="s">
        <v>1012</v>
      </c>
      <c r="EG3" s="294" t="s">
        <v>3170</v>
      </c>
      <c r="EH3" s="294" t="s">
        <v>1635</v>
      </c>
      <c r="EI3" s="294" t="s">
        <v>61</v>
      </c>
      <c r="EJ3" s="294" t="s">
        <v>3438</v>
      </c>
      <c r="EK3" s="294" t="s">
        <v>660</v>
      </c>
      <c r="EL3" s="294" t="s">
        <v>456</v>
      </c>
      <c r="EM3" s="294" t="s">
        <v>1138</v>
      </c>
      <c r="EN3" s="294" t="s">
        <v>388</v>
      </c>
      <c r="EO3" s="294" t="s">
        <v>2738</v>
      </c>
      <c r="EP3" s="294" t="s">
        <v>2783</v>
      </c>
      <c r="EQ3" s="294" t="s">
        <v>590</v>
      </c>
      <c r="ER3" s="294" t="s">
        <v>3296</v>
      </c>
      <c r="ES3" s="294" t="s">
        <v>1663</v>
      </c>
      <c r="ET3" s="294" t="s">
        <v>2633</v>
      </c>
      <c r="EU3" s="294" t="s">
        <v>1519</v>
      </c>
      <c r="EV3" s="294" t="s">
        <v>504</v>
      </c>
      <c r="EW3" s="294" t="s">
        <v>2771</v>
      </c>
      <c r="EX3" s="294" t="s">
        <v>2799</v>
      </c>
      <c r="EY3" s="294" t="s">
        <v>1664</v>
      </c>
      <c r="EZ3" s="294" t="s">
        <v>843</v>
      </c>
      <c r="FA3" s="294" t="s">
        <v>1035</v>
      </c>
      <c r="FB3" s="294" t="s">
        <v>460</v>
      </c>
      <c r="FC3" s="294" t="s">
        <v>2909</v>
      </c>
      <c r="FD3" s="294" t="s">
        <v>2077</v>
      </c>
      <c r="FE3" s="294" t="s">
        <v>2296</v>
      </c>
      <c r="FF3" s="294" t="s">
        <v>3289</v>
      </c>
      <c r="FG3" s="294" t="s">
        <v>2003</v>
      </c>
      <c r="FH3" s="294" t="s">
        <v>819</v>
      </c>
      <c r="FI3" s="294" t="s">
        <v>2559</v>
      </c>
      <c r="FJ3" s="294" t="s">
        <v>503</v>
      </c>
      <c r="FK3" s="294" t="s">
        <v>2635</v>
      </c>
      <c r="FL3" s="294" t="s">
        <v>1254</v>
      </c>
      <c r="FM3" s="294" t="s">
        <v>3218</v>
      </c>
      <c r="FN3" s="294" t="s">
        <v>567</v>
      </c>
      <c r="FO3" s="294" t="s">
        <v>1576</v>
      </c>
      <c r="FP3" s="294" t="s">
        <v>1772</v>
      </c>
      <c r="FQ3" s="294" t="s">
        <v>3272</v>
      </c>
      <c r="FR3" s="294" t="s">
        <v>3294</v>
      </c>
      <c r="FS3" s="294" t="s">
        <v>936</v>
      </c>
      <c r="FT3" s="294" t="s">
        <v>277</v>
      </c>
      <c r="FU3" s="294" t="s">
        <v>279</v>
      </c>
      <c r="FV3" s="294" t="s">
        <v>1734</v>
      </c>
      <c r="FW3" s="294" t="s">
        <v>3361</v>
      </c>
      <c r="FX3" s="294" t="s">
        <v>1607</v>
      </c>
      <c r="FY3" s="294" t="s">
        <v>2569</v>
      </c>
      <c r="FZ3" s="294" t="s">
        <v>92</v>
      </c>
      <c r="GA3" s="294" t="s">
        <v>1046</v>
      </c>
      <c r="GB3" s="294" t="s">
        <v>3296</v>
      </c>
      <c r="GC3" s="294" t="s">
        <v>1555</v>
      </c>
      <c r="GD3" s="294" t="s">
        <v>2759</v>
      </c>
      <c r="GE3" s="294" t="s">
        <v>1003</v>
      </c>
      <c r="GF3" s="294" t="s">
        <v>532</v>
      </c>
      <c r="GG3" s="294" t="s">
        <v>962</v>
      </c>
      <c r="GH3" s="294" t="s">
        <v>112</v>
      </c>
      <c r="GI3" s="294" t="s">
        <v>3081</v>
      </c>
      <c r="GJ3" s="294" t="s">
        <v>1256</v>
      </c>
      <c r="GK3" s="294" t="s">
        <v>524</v>
      </c>
      <c r="GL3" s="294" t="s">
        <v>1310</v>
      </c>
      <c r="GM3" s="294" t="s">
        <v>29</v>
      </c>
      <c r="GN3" s="294" t="s">
        <v>1773</v>
      </c>
      <c r="GO3" s="294" t="s">
        <v>2827</v>
      </c>
      <c r="GP3" s="294" t="s">
        <v>2762</v>
      </c>
      <c r="GQ3" s="294" t="s">
        <v>2768</v>
      </c>
      <c r="GR3" s="294" t="s">
        <v>2795</v>
      </c>
      <c r="GS3" s="294" t="s">
        <v>2621</v>
      </c>
      <c r="GT3" s="294" t="s">
        <v>56</v>
      </c>
      <c r="GU3" s="294" t="s">
        <v>1372</v>
      </c>
      <c r="GV3" s="294" t="s">
        <v>469</v>
      </c>
      <c r="GW3" s="294" t="s">
        <v>3196</v>
      </c>
      <c r="GX3" s="294" t="s">
        <v>2816</v>
      </c>
      <c r="GY3" s="294" t="s">
        <v>2830</v>
      </c>
      <c r="GZ3" s="294" t="s">
        <v>3304</v>
      </c>
      <c r="HA3" s="294" t="s">
        <v>1215</v>
      </c>
      <c r="HB3" s="294" t="s">
        <v>1990</v>
      </c>
      <c r="HC3" s="294" t="s">
        <v>3284</v>
      </c>
      <c r="HD3" s="294" t="s">
        <v>390</v>
      </c>
      <c r="HE3" s="294" t="s">
        <v>2376</v>
      </c>
      <c r="HF3" s="294" t="s">
        <v>1102</v>
      </c>
      <c r="HG3" s="294" t="s">
        <v>3201</v>
      </c>
      <c r="HH3" s="294" t="s">
        <v>841</v>
      </c>
      <c r="HI3" s="294" t="s">
        <v>890</v>
      </c>
      <c r="HJ3" s="294" t="s">
        <v>989</v>
      </c>
      <c r="HK3" s="294" t="s">
        <v>2996</v>
      </c>
      <c r="HL3" s="294" t="s">
        <v>3287</v>
      </c>
      <c r="HM3" s="294" t="s">
        <v>2115</v>
      </c>
      <c r="HN3" s="294" t="s">
        <v>1606</v>
      </c>
      <c r="HO3" s="294" t="s">
        <v>2687</v>
      </c>
      <c r="HP3" s="294" t="s">
        <v>1780</v>
      </c>
      <c r="HQ3" s="294" t="s">
        <v>3200</v>
      </c>
      <c r="HR3" s="294" t="s">
        <v>2800</v>
      </c>
      <c r="HS3" s="294" t="s">
        <v>260</v>
      </c>
      <c r="HT3" s="294" t="s">
        <v>2760</v>
      </c>
      <c r="HU3" s="294" t="s">
        <v>1786</v>
      </c>
      <c r="HV3" s="294" t="s">
        <v>1070</v>
      </c>
      <c r="HW3" s="294" t="s">
        <v>3440</v>
      </c>
      <c r="HX3" s="294" t="s">
        <v>1240</v>
      </c>
      <c r="HY3" s="294" t="s">
        <v>3389</v>
      </c>
      <c r="HZ3" s="294" t="s">
        <v>3286</v>
      </c>
      <c r="IA3" s="294" t="s">
        <v>665</v>
      </c>
      <c r="IB3" s="294" t="s">
        <v>1680</v>
      </c>
      <c r="IC3" s="294" t="s">
        <v>386</v>
      </c>
      <c r="ID3" s="294" t="s">
        <v>100</v>
      </c>
      <c r="IE3" s="294" t="s">
        <v>3335</v>
      </c>
      <c r="IF3" s="294" t="s">
        <v>849</v>
      </c>
      <c r="IG3" s="294" t="s">
        <v>1538</v>
      </c>
      <c r="IH3" s="294" t="s">
        <v>2792</v>
      </c>
      <c r="II3" s="294" t="s">
        <v>3435</v>
      </c>
      <c r="IJ3" s="294" t="s">
        <v>531</v>
      </c>
      <c r="IK3" s="294" t="s">
        <v>600</v>
      </c>
      <c r="IL3" s="294" t="s">
        <v>180</v>
      </c>
      <c r="IM3" s="294" t="s">
        <v>1051</v>
      </c>
      <c r="IN3" s="294" t="s">
        <v>880</v>
      </c>
      <c r="IO3" s="294" t="s">
        <v>1959</v>
      </c>
      <c r="IP3" s="294" t="s">
        <v>1069</v>
      </c>
      <c r="IQ3" s="294" t="s">
        <v>511</v>
      </c>
      <c r="IR3" s="294" t="s">
        <v>275</v>
      </c>
      <c r="IS3" s="294" t="s">
        <v>3024</v>
      </c>
      <c r="IT3" s="294" t="s">
        <v>2820</v>
      </c>
      <c r="IU3" s="294" t="s">
        <v>733</v>
      </c>
      <c r="IV3" s="294" t="s">
        <v>1771</v>
      </c>
    </row>
    <row r="4" spans="1:256" s="294" customFormat="1">
      <c r="A4" s="294" t="s">
        <v>3224</v>
      </c>
      <c r="B4" s="294" t="s">
        <v>526</v>
      </c>
      <c r="C4" s="294" t="s">
        <v>365</v>
      </c>
      <c r="D4" s="294" t="s">
        <v>2334</v>
      </c>
      <c r="E4" s="294" t="s">
        <v>2094</v>
      </c>
      <c r="F4" s="294" t="s">
        <v>94</v>
      </c>
      <c r="G4" s="294" t="s">
        <v>2763</v>
      </c>
      <c r="H4" s="294" t="s">
        <v>568</v>
      </c>
      <c r="I4" s="294" t="s">
        <v>3060</v>
      </c>
      <c r="J4" s="294" t="s">
        <v>1988</v>
      </c>
      <c r="K4" s="294" t="s">
        <v>2764</v>
      </c>
      <c r="L4" s="294" t="s">
        <v>2791</v>
      </c>
      <c r="M4" s="294" t="s">
        <v>3155</v>
      </c>
      <c r="N4" s="294" t="s">
        <v>1629</v>
      </c>
      <c r="O4" s="294" t="s">
        <v>2653</v>
      </c>
      <c r="P4" s="294" t="s">
        <v>998</v>
      </c>
      <c r="Q4" s="294" t="s">
        <v>2075</v>
      </c>
      <c r="R4" s="294" t="s">
        <v>3250</v>
      </c>
      <c r="S4" s="294" t="s">
        <v>3345</v>
      </c>
      <c r="T4" s="294" t="s">
        <v>819</v>
      </c>
      <c r="U4" s="294" t="s">
        <v>3019</v>
      </c>
      <c r="V4" s="294" t="s">
        <v>1367</v>
      </c>
      <c r="W4" s="294" t="s">
        <v>3342</v>
      </c>
      <c r="X4" s="294" t="s">
        <v>1598</v>
      </c>
      <c r="Y4" s="294" t="s">
        <v>695</v>
      </c>
      <c r="Z4" s="294" t="s">
        <v>819</v>
      </c>
      <c r="AA4" s="294" t="s">
        <v>919</v>
      </c>
      <c r="AB4" s="294" t="s">
        <v>502</v>
      </c>
      <c r="AC4" s="294" t="s">
        <v>2361</v>
      </c>
      <c r="AD4" s="294" t="s">
        <v>1632</v>
      </c>
      <c r="AE4" s="294" t="s">
        <v>791</v>
      </c>
      <c r="AF4" s="294" t="s">
        <v>748</v>
      </c>
      <c r="AG4" s="294" t="s">
        <v>2651</v>
      </c>
      <c r="AH4" s="294" t="s">
        <v>3243</v>
      </c>
      <c r="AI4" s="294" t="s">
        <v>2863</v>
      </c>
      <c r="AJ4" s="294" t="s">
        <v>3122</v>
      </c>
      <c r="AK4" s="294" t="s">
        <v>83</v>
      </c>
      <c r="AL4" s="294" t="s">
        <v>1730</v>
      </c>
      <c r="AM4" s="294" t="s">
        <v>2491</v>
      </c>
      <c r="AN4" s="294" t="s">
        <v>1056</v>
      </c>
      <c r="AO4" s="294" t="s">
        <v>2297</v>
      </c>
      <c r="AP4" s="294" t="s">
        <v>1042</v>
      </c>
      <c r="AQ4" s="294" t="s">
        <v>118</v>
      </c>
      <c r="AR4" s="294" t="s">
        <v>988</v>
      </c>
      <c r="AS4" s="294" t="s">
        <v>1067</v>
      </c>
      <c r="AT4" s="294" t="s">
        <v>3254</v>
      </c>
      <c r="AU4" s="294" t="s">
        <v>1002</v>
      </c>
      <c r="AV4" s="294" t="s">
        <v>1369</v>
      </c>
      <c r="AW4" s="294" t="s">
        <v>3037</v>
      </c>
      <c r="AX4" s="294" t="s">
        <v>819</v>
      </c>
      <c r="AY4" s="294" t="s">
        <v>2937</v>
      </c>
      <c r="AZ4" s="294" t="s">
        <v>1365</v>
      </c>
      <c r="BA4" s="294" t="s">
        <v>2981</v>
      </c>
      <c r="BB4" s="294" t="s">
        <v>819</v>
      </c>
      <c r="BC4" s="294" t="s">
        <v>3138</v>
      </c>
      <c r="BD4" s="294" t="s">
        <v>1623</v>
      </c>
      <c r="BE4" s="294" t="s">
        <v>1950</v>
      </c>
      <c r="BF4" s="294" t="s">
        <v>3306</v>
      </c>
      <c r="BG4" s="294" t="s">
        <v>927</v>
      </c>
      <c r="BH4" s="294" t="s">
        <v>221</v>
      </c>
      <c r="BI4" s="294" t="s">
        <v>2386</v>
      </c>
      <c r="BJ4" s="294" t="s">
        <v>2762</v>
      </c>
      <c r="BK4" s="294" t="s">
        <v>2646</v>
      </c>
      <c r="BL4" s="294" t="s">
        <v>1429</v>
      </c>
      <c r="BM4" s="294" t="s">
        <v>210</v>
      </c>
      <c r="BN4" s="294" t="s">
        <v>488</v>
      </c>
      <c r="BO4" s="294" t="s">
        <v>1142</v>
      </c>
      <c r="BP4" s="294" t="s">
        <v>669</v>
      </c>
      <c r="BQ4" s="294" t="s">
        <v>2263</v>
      </c>
      <c r="BR4" s="294" t="s">
        <v>1617</v>
      </c>
      <c r="BS4" s="294" t="s">
        <v>1915</v>
      </c>
      <c r="BT4" s="294" t="s">
        <v>1780</v>
      </c>
      <c r="BU4" s="294" t="s">
        <v>188</v>
      </c>
      <c r="BV4" s="294" t="s">
        <v>2801</v>
      </c>
      <c r="BW4" s="294" t="s">
        <v>1195</v>
      </c>
      <c r="BX4" s="294" t="s">
        <v>526</v>
      </c>
      <c r="BY4" s="294" t="s">
        <v>1579</v>
      </c>
      <c r="BZ4" s="294" t="s">
        <v>846</v>
      </c>
      <c r="CA4" s="294" t="s">
        <v>885</v>
      </c>
      <c r="CB4" s="294" t="s">
        <v>819</v>
      </c>
      <c r="CC4" s="294" t="s">
        <v>3140</v>
      </c>
      <c r="CD4" s="294" t="s">
        <v>2819</v>
      </c>
      <c r="CE4" s="294" t="s">
        <v>1723</v>
      </c>
      <c r="CF4" s="294" t="s">
        <v>2852</v>
      </c>
      <c r="CG4" s="294" t="s">
        <v>2837</v>
      </c>
      <c r="CH4" s="294" t="s">
        <v>1884</v>
      </c>
      <c r="CI4" s="294" t="s">
        <v>192</v>
      </c>
      <c r="CJ4" s="294" t="s">
        <v>830</v>
      </c>
      <c r="CK4" s="294" t="s">
        <v>3182</v>
      </c>
      <c r="CL4" s="294" t="s">
        <v>2778</v>
      </c>
      <c r="CM4" s="294" t="s">
        <v>555</v>
      </c>
      <c r="CN4" s="294" t="s">
        <v>1352</v>
      </c>
      <c r="CO4" s="294" t="s">
        <v>1689</v>
      </c>
      <c r="CP4" s="294" t="s">
        <v>529</v>
      </c>
      <c r="CQ4" s="294" t="s">
        <v>2531</v>
      </c>
      <c r="CR4" s="294" t="s">
        <v>2341</v>
      </c>
      <c r="CS4" s="294" t="s">
        <v>1334</v>
      </c>
      <c r="CT4" s="294" t="s">
        <v>150</v>
      </c>
      <c r="CU4" s="294" t="s">
        <v>3038</v>
      </c>
      <c r="CV4" s="294" t="s">
        <v>2020</v>
      </c>
      <c r="CW4" s="294" t="s">
        <v>2014</v>
      </c>
      <c r="CX4" s="294" t="s">
        <v>90</v>
      </c>
      <c r="CY4" s="294" t="s">
        <v>3025</v>
      </c>
      <c r="CZ4" s="294" t="s">
        <v>2337</v>
      </c>
      <c r="DA4" s="294" t="s">
        <v>1180</v>
      </c>
      <c r="DB4" s="294" t="s">
        <v>834</v>
      </c>
      <c r="DC4" s="294" t="s">
        <v>3315</v>
      </c>
      <c r="DD4" s="294" t="s">
        <v>1631</v>
      </c>
      <c r="DE4" s="294" t="s">
        <v>1571</v>
      </c>
      <c r="DF4" s="294" t="s">
        <v>1362</v>
      </c>
      <c r="DG4" s="294" t="s">
        <v>3445</v>
      </c>
      <c r="DH4" s="294" t="s">
        <v>2080</v>
      </c>
      <c r="DI4" s="294" t="s">
        <v>588</v>
      </c>
      <c r="DJ4" s="294" t="s">
        <v>492</v>
      </c>
      <c r="DK4" s="294" t="s">
        <v>2381</v>
      </c>
      <c r="DL4" s="294" t="s">
        <v>1424</v>
      </c>
      <c r="DM4" s="294" t="s">
        <v>2087</v>
      </c>
      <c r="DN4" s="294" t="s">
        <v>737</v>
      </c>
      <c r="DO4" s="294" t="s">
        <v>1833</v>
      </c>
      <c r="DP4" s="294" t="s">
        <v>1710</v>
      </c>
      <c r="DQ4" s="294" t="s">
        <v>2484</v>
      </c>
      <c r="DR4" s="294" t="s">
        <v>2847</v>
      </c>
      <c r="DS4" s="294" t="s">
        <v>683</v>
      </c>
      <c r="DT4" s="294" t="s">
        <v>2342</v>
      </c>
      <c r="DU4" s="294" t="s">
        <v>1165</v>
      </c>
      <c r="DV4" s="294" t="s">
        <v>486</v>
      </c>
      <c r="DW4" s="294" t="s">
        <v>3089</v>
      </c>
      <c r="DX4" s="294" t="s">
        <v>1242</v>
      </c>
      <c r="DY4" s="294" t="s">
        <v>2525</v>
      </c>
      <c r="DZ4" s="294" t="s">
        <v>668</v>
      </c>
      <c r="EA4" s="294" t="s">
        <v>923</v>
      </c>
      <c r="EB4" s="294" t="s">
        <v>493</v>
      </c>
      <c r="EC4" s="294" t="s">
        <v>1763</v>
      </c>
      <c r="ED4" s="294" t="s">
        <v>464</v>
      </c>
      <c r="EE4" s="294" t="s">
        <v>976</v>
      </c>
      <c r="EF4" s="294" t="s">
        <v>819</v>
      </c>
      <c r="EG4" s="294" t="s">
        <v>676</v>
      </c>
      <c r="EH4" s="294" t="s">
        <v>3291</v>
      </c>
      <c r="EI4" s="294" t="s">
        <v>1479</v>
      </c>
      <c r="EJ4" s="294" t="s">
        <v>819</v>
      </c>
      <c r="EK4" s="294" t="s">
        <v>2228</v>
      </c>
      <c r="EL4" s="294" t="s">
        <v>1914</v>
      </c>
      <c r="EM4" s="294" t="s">
        <v>14</v>
      </c>
      <c r="EN4" s="294" t="s">
        <v>2797</v>
      </c>
      <c r="EO4" s="294" t="s">
        <v>2640</v>
      </c>
      <c r="EP4" s="294" t="s">
        <v>819</v>
      </c>
      <c r="EQ4" s="294" t="s">
        <v>975</v>
      </c>
      <c r="ER4" s="294" t="s">
        <v>2784</v>
      </c>
      <c r="ES4" s="294" t="s">
        <v>3410</v>
      </c>
      <c r="ET4" s="294" t="s">
        <v>864</v>
      </c>
      <c r="EU4" s="294" t="s">
        <v>3012</v>
      </c>
      <c r="EV4" s="294" t="s">
        <v>2340</v>
      </c>
      <c r="EW4" s="294" t="s">
        <v>825</v>
      </c>
      <c r="EX4" s="294" t="s">
        <v>2783</v>
      </c>
      <c r="EY4" s="294" t="s">
        <v>570</v>
      </c>
      <c r="EZ4" s="294" t="s">
        <v>585</v>
      </c>
      <c r="FA4" s="294" t="s">
        <v>743</v>
      </c>
      <c r="FB4" s="294" t="s">
        <v>1823</v>
      </c>
      <c r="FC4" s="294" t="s">
        <v>1581</v>
      </c>
      <c r="FD4" s="294" t="s">
        <v>847</v>
      </c>
      <c r="FE4" s="294" t="s">
        <v>2942</v>
      </c>
      <c r="FF4" s="294" t="s">
        <v>495</v>
      </c>
      <c r="FG4" s="294" t="s">
        <v>2478</v>
      </c>
      <c r="FH4" s="294" t="s">
        <v>1363</v>
      </c>
      <c r="FI4" s="294" t="s">
        <v>3365</v>
      </c>
      <c r="FJ4" s="294" t="s">
        <v>1621</v>
      </c>
      <c r="FK4" s="294" t="s">
        <v>750</v>
      </c>
      <c r="FL4" s="294" t="s">
        <v>879</v>
      </c>
      <c r="FM4" s="294" t="s">
        <v>2523</v>
      </c>
      <c r="FN4" s="294" t="s">
        <v>3229</v>
      </c>
      <c r="FO4" s="294" t="s">
        <v>105</v>
      </c>
      <c r="FP4" s="294" t="s">
        <v>852</v>
      </c>
      <c r="FQ4" s="294" t="s">
        <v>2536</v>
      </c>
      <c r="FR4" s="294" t="s">
        <v>1777</v>
      </c>
      <c r="FS4" s="294" t="s">
        <v>2060</v>
      </c>
      <c r="FT4" s="294" t="s">
        <v>3309</v>
      </c>
      <c r="FU4" s="294" t="s">
        <v>672</v>
      </c>
      <c r="FV4" s="294" t="s">
        <v>1111</v>
      </c>
      <c r="FW4" s="294" t="s">
        <v>2535</v>
      </c>
      <c r="FX4" s="294" t="s">
        <v>568</v>
      </c>
      <c r="FY4" s="294" t="s">
        <v>907</v>
      </c>
      <c r="FZ4" s="294" t="s">
        <v>3251</v>
      </c>
      <c r="GA4" s="294" t="s">
        <v>2489</v>
      </c>
      <c r="GB4" s="294" t="s">
        <v>225</v>
      </c>
      <c r="GC4" s="294" t="s">
        <v>1890</v>
      </c>
      <c r="GD4" s="294" t="s">
        <v>3298</v>
      </c>
      <c r="GE4" s="294" t="s">
        <v>1397</v>
      </c>
      <c r="GF4" s="294" t="s">
        <v>229</v>
      </c>
      <c r="GG4" s="294" t="s">
        <v>3322</v>
      </c>
      <c r="GH4" s="294" t="s">
        <v>835</v>
      </c>
      <c r="GI4" s="294" t="s">
        <v>1029</v>
      </c>
      <c r="GJ4" s="294" t="s">
        <v>177</v>
      </c>
      <c r="GK4" s="294" t="s">
        <v>2118</v>
      </c>
      <c r="GL4" s="294" t="s">
        <v>501</v>
      </c>
      <c r="GM4" s="294" t="s">
        <v>1495</v>
      </c>
      <c r="GN4" s="294" t="s">
        <v>2677</v>
      </c>
      <c r="GO4" s="294" t="s">
        <v>657</v>
      </c>
      <c r="GP4" s="294" t="s">
        <v>1174</v>
      </c>
      <c r="GQ4" s="294" t="s">
        <v>2746</v>
      </c>
      <c r="GR4" s="294" t="s">
        <v>2779</v>
      </c>
      <c r="GS4" s="294" t="s">
        <v>3433</v>
      </c>
      <c r="GT4" s="294" t="s">
        <v>3259</v>
      </c>
      <c r="GU4" s="294" t="s">
        <v>1179</v>
      </c>
      <c r="GV4" s="294" t="s">
        <v>1041</v>
      </c>
      <c r="GW4" s="294" t="s">
        <v>1143</v>
      </c>
      <c r="GX4" s="294" t="s">
        <v>670</v>
      </c>
      <c r="GY4" s="294" t="s">
        <v>3414</v>
      </c>
      <c r="GZ4" s="294" t="s">
        <v>863</v>
      </c>
      <c r="HA4" s="294" t="s">
        <v>283</v>
      </c>
      <c r="HB4" s="294" t="s">
        <v>1605</v>
      </c>
      <c r="HC4" s="294" t="s">
        <v>1476</v>
      </c>
      <c r="HD4" s="294" t="s">
        <v>819</v>
      </c>
      <c r="HE4" s="294" t="s">
        <v>574</v>
      </c>
      <c r="HF4" s="294" t="s">
        <v>2752</v>
      </c>
      <c r="HG4" s="294" t="s">
        <v>3044</v>
      </c>
      <c r="HH4" s="294" t="s">
        <v>65</v>
      </c>
      <c r="HI4" s="294" t="s">
        <v>645</v>
      </c>
      <c r="HJ4" s="294" t="s">
        <v>878</v>
      </c>
      <c r="HK4" s="294" t="s">
        <v>2477</v>
      </c>
      <c r="HL4" s="294" t="s">
        <v>1362</v>
      </c>
      <c r="HM4" s="294" t="s">
        <v>2185</v>
      </c>
      <c r="HN4" s="294" t="s">
        <v>7</v>
      </c>
      <c r="HO4" s="294" t="s">
        <v>2180</v>
      </c>
      <c r="HP4" s="294" t="s">
        <v>2</v>
      </c>
      <c r="HQ4" s="294" t="s">
        <v>1333</v>
      </c>
      <c r="HR4" s="294" t="s">
        <v>242</v>
      </c>
      <c r="HS4" s="294" t="s">
        <v>247</v>
      </c>
      <c r="HT4" s="294" t="s">
        <v>819</v>
      </c>
      <c r="HU4" s="294" t="s">
        <v>1553</v>
      </c>
      <c r="HV4" s="294" t="s">
        <v>2364</v>
      </c>
      <c r="HW4" s="294" t="s">
        <v>3197</v>
      </c>
      <c r="HX4" s="294" t="s">
        <v>1069</v>
      </c>
      <c r="HY4" s="294" t="s">
        <v>1498</v>
      </c>
      <c r="HZ4" s="294" t="s">
        <v>2045</v>
      </c>
      <c r="IA4" s="294" t="s">
        <v>2068</v>
      </c>
      <c r="IB4" s="294" t="s">
        <v>1875</v>
      </c>
      <c r="IC4" s="294" t="s">
        <v>1892</v>
      </c>
      <c r="ID4" s="294" t="s">
        <v>1231</v>
      </c>
      <c r="IE4" s="294" t="s">
        <v>3316</v>
      </c>
      <c r="IF4" s="294" t="s">
        <v>1629</v>
      </c>
      <c r="IG4" s="294" t="s">
        <v>1655</v>
      </c>
      <c r="IH4" s="294" t="s">
        <v>851</v>
      </c>
      <c r="II4" s="294" t="s">
        <v>2181</v>
      </c>
      <c r="IJ4" s="294" t="s">
        <v>3</v>
      </c>
      <c r="IK4" s="294" t="s">
        <v>22</v>
      </c>
      <c r="IL4" s="294" t="s">
        <v>996</v>
      </c>
      <c r="IM4" s="294" t="s">
        <v>1690</v>
      </c>
      <c r="IN4" s="294" t="s">
        <v>819</v>
      </c>
      <c r="IO4" s="294" t="s">
        <v>2359</v>
      </c>
      <c r="IP4" s="294" t="s">
        <v>839</v>
      </c>
      <c r="IQ4" s="294" t="s">
        <v>1199</v>
      </c>
      <c r="IR4" s="294" t="s">
        <v>1265</v>
      </c>
      <c r="IS4" s="294" t="s">
        <v>261</v>
      </c>
      <c r="IT4" s="294" t="s">
        <v>1988</v>
      </c>
      <c r="IU4" s="294" t="s">
        <v>1360</v>
      </c>
      <c r="IV4" s="294" t="s">
        <v>567</v>
      </c>
    </row>
    <row r="5" spans="1:256" s="294" customFormat="1">
      <c r="A5" s="294" t="s">
        <v>2374</v>
      </c>
      <c r="B5" s="294" t="s">
        <v>245</v>
      </c>
      <c r="C5" s="294" t="s">
        <v>2844</v>
      </c>
      <c r="D5" s="294" t="s">
        <v>1898</v>
      </c>
      <c r="E5" s="294" t="s">
        <v>1562</v>
      </c>
      <c r="F5" s="294" t="s">
        <v>156</v>
      </c>
      <c r="G5" s="294" t="s">
        <v>1207</v>
      </c>
      <c r="H5" s="294" t="s">
        <v>3298</v>
      </c>
      <c r="I5" s="294" t="s">
        <v>379</v>
      </c>
      <c r="J5" s="294" t="s">
        <v>154</v>
      </c>
      <c r="K5" s="294" t="s">
        <v>1208</v>
      </c>
      <c r="L5" s="294" t="s">
        <v>3299</v>
      </c>
      <c r="M5" s="294" t="s">
        <v>2480</v>
      </c>
      <c r="N5" s="294" t="s">
        <v>497</v>
      </c>
      <c r="O5" s="294" t="s">
        <v>2841</v>
      </c>
      <c r="P5" s="294" t="s">
        <v>842</v>
      </c>
      <c r="Q5" s="294" t="s">
        <v>1329</v>
      </c>
      <c r="R5" s="294" t="s">
        <v>994</v>
      </c>
      <c r="S5" s="294" t="s">
        <v>1131</v>
      </c>
      <c r="T5" s="294" t="s">
        <v>883</v>
      </c>
      <c r="U5" s="294" t="s">
        <v>2532</v>
      </c>
      <c r="V5" s="294" t="s">
        <v>1991</v>
      </c>
      <c r="W5" s="294" t="s">
        <v>264</v>
      </c>
      <c r="X5" s="294" t="s">
        <v>1069</v>
      </c>
      <c r="Y5" s="294" t="s">
        <v>380</v>
      </c>
      <c r="Z5" s="294" t="s">
        <v>3305</v>
      </c>
      <c r="AA5" s="294" t="s">
        <v>575</v>
      </c>
      <c r="AB5" s="294" t="s">
        <v>2753</v>
      </c>
      <c r="AC5" s="294" t="s">
        <v>165</v>
      </c>
      <c r="AD5" s="294" t="s">
        <v>828</v>
      </c>
      <c r="AE5" s="294" t="s">
        <v>3452</v>
      </c>
      <c r="AF5" s="294" t="s">
        <v>2819</v>
      </c>
      <c r="AG5" s="294" t="s">
        <v>2991</v>
      </c>
      <c r="AH5" s="294" t="s">
        <v>455</v>
      </c>
      <c r="AI5" s="294" t="s">
        <v>1178</v>
      </c>
      <c r="AJ5" s="294" t="s">
        <v>1255</v>
      </c>
      <c r="AK5" s="294" t="s">
        <v>1652</v>
      </c>
      <c r="AL5" s="294" t="s">
        <v>1599</v>
      </c>
      <c r="AM5" s="294" t="s">
        <v>3082</v>
      </c>
      <c r="AN5" s="294" t="s">
        <v>1793</v>
      </c>
      <c r="AO5" s="294" t="s">
        <v>429</v>
      </c>
      <c r="AP5" s="294" t="s">
        <v>1773</v>
      </c>
      <c r="AQ5" s="294" t="s">
        <v>3088</v>
      </c>
      <c r="AR5" s="294" t="s">
        <v>626</v>
      </c>
      <c r="AS5" s="294" t="s">
        <v>591</v>
      </c>
      <c r="AT5" s="294" t="s">
        <v>1997</v>
      </c>
      <c r="AU5" s="294" t="s">
        <v>1837</v>
      </c>
      <c r="AV5" s="294" t="s">
        <v>1712</v>
      </c>
      <c r="AW5" s="294" t="s">
        <v>1403</v>
      </c>
      <c r="AX5" s="294" t="s">
        <v>1202</v>
      </c>
      <c r="AY5" s="294" t="s">
        <v>3180</v>
      </c>
      <c r="AZ5" s="294" t="s">
        <v>2801</v>
      </c>
      <c r="BA5" s="294" t="s">
        <v>3171</v>
      </c>
      <c r="BB5" s="294" t="s">
        <v>2780</v>
      </c>
      <c r="BC5" s="294" t="s">
        <v>2938</v>
      </c>
      <c r="BD5" s="294" t="s">
        <v>2335</v>
      </c>
      <c r="BE5" s="294" t="s">
        <v>2834</v>
      </c>
      <c r="BF5" s="294" t="s">
        <v>1603</v>
      </c>
      <c r="BG5" s="294" t="s">
        <v>2439</v>
      </c>
      <c r="BH5" s="294" t="s">
        <v>150</v>
      </c>
      <c r="BI5" s="294" t="s">
        <v>3418</v>
      </c>
      <c r="BJ5" s="294" t="s">
        <v>155</v>
      </c>
      <c r="BK5" s="294" t="s">
        <v>3189</v>
      </c>
      <c r="BL5" s="294" t="s">
        <v>1910</v>
      </c>
      <c r="BM5" s="294" t="s">
        <v>3313</v>
      </c>
      <c r="BN5" s="294" t="s">
        <v>1620</v>
      </c>
      <c r="BO5" s="294" t="s">
        <v>3430</v>
      </c>
      <c r="BP5" s="294" t="s">
        <v>3450</v>
      </c>
      <c r="BQ5" s="294" t="s">
        <v>1337</v>
      </c>
      <c r="BR5" s="294" t="s">
        <v>1273</v>
      </c>
      <c r="BS5" s="294" t="s">
        <v>3039</v>
      </c>
      <c r="BT5" s="294" t="s">
        <v>819</v>
      </c>
      <c r="BU5" s="294" t="s">
        <v>2873</v>
      </c>
      <c r="BV5" s="294" t="s">
        <v>17</v>
      </c>
      <c r="BW5" s="294" t="s">
        <v>2186</v>
      </c>
      <c r="BX5" s="294" t="s">
        <v>8</v>
      </c>
      <c r="BY5" s="294" t="s">
        <v>2527</v>
      </c>
      <c r="BZ5" s="294" t="s">
        <v>1172</v>
      </c>
      <c r="CA5" s="294" t="s">
        <v>2082</v>
      </c>
      <c r="CB5" s="294" t="s">
        <v>1355</v>
      </c>
      <c r="CC5" s="294" t="s">
        <v>19</v>
      </c>
      <c r="CD5" s="294" t="s">
        <v>2782</v>
      </c>
      <c r="CE5" s="294" t="s">
        <v>1200</v>
      </c>
      <c r="CF5" s="294" t="s">
        <v>1733</v>
      </c>
      <c r="CG5" s="294" t="s">
        <v>2656</v>
      </c>
      <c r="CH5" s="294" t="s">
        <v>3248</v>
      </c>
      <c r="CI5" s="294" t="s">
        <v>2041</v>
      </c>
      <c r="CJ5" s="294" t="s">
        <v>176</v>
      </c>
      <c r="CK5" s="294" t="s">
        <v>3216</v>
      </c>
      <c r="CL5" s="294" t="s">
        <v>3294</v>
      </c>
      <c r="CM5" s="294" t="s">
        <v>2492</v>
      </c>
      <c r="CN5" s="294" t="s">
        <v>1353</v>
      </c>
      <c r="CO5" s="294" t="s">
        <v>48</v>
      </c>
      <c r="CP5" s="294" t="s">
        <v>819</v>
      </c>
      <c r="CQ5" s="294" t="s">
        <v>1132</v>
      </c>
      <c r="CR5" s="294" t="s">
        <v>1261</v>
      </c>
      <c r="CS5" s="294" t="s">
        <v>343</v>
      </c>
      <c r="CT5" s="294" t="s">
        <v>1716</v>
      </c>
      <c r="CU5" s="294" t="s">
        <v>2142</v>
      </c>
      <c r="CV5" s="294" t="s">
        <v>155</v>
      </c>
      <c r="CW5" s="294" t="s">
        <v>734</v>
      </c>
      <c r="CX5" s="294" t="s">
        <v>3036</v>
      </c>
      <c r="CY5" s="294" t="s">
        <v>1812</v>
      </c>
      <c r="CZ5" s="294" t="s">
        <v>1988</v>
      </c>
      <c r="DA5" s="294" t="s">
        <v>663</v>
      </c>
      <c r="DB5" s="294" t="s">
        <v>819</v>
      </c>
      <c r="DC5" s="294" t="s">
        <v>3314</v>
      </c>
      <c r="DD5" s="294" t="s">
        <v>842</v>
      </c>
      <c r="DE5" s="294" t="s">
        <v>1359</v>
      </c>
      <c r="DF5" s="294" t="s">
        <v>53</v>
      </c>
      <c r="DG5" s="294" t="s">
        <v>2871</v>
      </c>
      <c r="DH5" s="294" t="s">
        <v>1773</v>
      </c>
      <c r="DI5" s="294" t="s">
        <v>2382</v>
      </c>
      <c r="DJ5" s="294" t="s">
        <v>3288</v>
      </c>
      <c r="DK5" s="294" t="s">
        <v>1654</v>
      </c>
      <c r="DL5" s="294" t="s">
        <v>1616</v>
      </c>
      <c r="DM5" s="294" t="s">
        <v>1787</v>
      </c>
      <c r="DN5" s="294" t="s">
        <v>489</v>
      </c>
      <c r="DO5" s="294" t="s">
        <v>1848</v>
      </c>
      <c r="DP5" s="294" t="s">
        <v>819</v>
      </c>
      <c r="DQ5" s="294" t="s">
        <v>3164</v>
      </c>
      <c r="DR5" s="294" t="s">
        <v>2793</v>
      </c>
      <c r="DS5" s="294" t="s">
        <v>1515</v>
      </c>
      <c r="DT5" s="294" t="s">
        <v>143</v>
      </c>
      <c r="DU5" s="294" t="s">
        <v>2092</v>
      </c>
      <c r="DV5" s="294" t="s">
        <v>1722</v>
      </c>
      <c r="DW5" s="294" t="s">
        <v>1583</v>
      </c>
      <c r="DX5" s="294" t="s">
        <v>849</v>
      </c>
      <c r="DY5" s="294" t="s">
        <v>3318</v>
      </c>
      <c r="DZ5" s="294" t="s">
        <v>1367</v>
      </c>
      <c r="EA5" s="294" t="s">
        <v>2311</v>
      </c>
      <c r="EB5" s="294" t="s">
        <v>1365</v>
      </c>
      <c r="EC5" s="294" t="s">
        <v>2063</v>
      </c>
      <c r="ED5" s="294" t="s">
        <v>1872</v>
      </c>
      <c r="EE5" s="294" t="s">
        <v>2066</v>
      </c>
      <c r="EF5" s="294" t="s">
        <v>3293</v>
      </c>
      <c r="EG5" s="294" t="s">
        <v>918</v>
      </c>
      <c r="EH5" s="294" t="s">
        <v>477</v>
      </c>
      <c r="EI5" s="294" t="s">
        <v>2678</v>
      </c>
      <c r="EJ5" s="294" t="s">
        <v>819</v>
      </c>
      <c r="EK5" s="294" t="s">
        <v>3271</v>
      </c>
      <c r="EL5" s="294" t="s">
        <v>3293</v>
      </c>
      <c r="EM5" s="294" t="s">
        <v>1963</v>
      </c>
      <c r="EN5" s="294" t="s">
        <v>1778</v>
      </c>
      <c r="EO5" s="294" t="s">
        <v>3356</v>
      </c>
      <c r="EP5" s="294" t="s">
        <v>1637</v>
      </c>
      <c r="EQ5" s="294" t="s">
        <v>916</v>
      </c>
      <c r="ER5" s="294" t="s">
        <v>3302</v>
      </c>
      <c r="ES5" s="294" t="s">
        <v>1001</v>
      </c>
      <c r="ET5" s="294" t="s">
        <v>2338</v>
      </c>
      <c r="EU5" s="294" t="s">
        <v>508</v>
      </c>
      <c r="EV5" s="294" t="s">
        <v>529</v>
      </c>
      <c r="EW5" s="294" t="s">
        <v>1911</v>
      </c>
      <c r="EX5" s="294" t="s">
        <v>819</v>
      </c>
      <c r="EY5" s="294" t="s">
        <v>183</v>
      </c>
      <c r="EZ5" s="294" t="s">
        <v>2800</v>
      </c>
      <c r="FA5" s="294" t="s">
        <v>1568</v>
      </c>
      <c r="FB5" s="294" t="s">
        <v>224</v>
      </c>
      <c r="FC5" s="294" t="s">
        <v>1393</v>
      </c>
      <c r="FD5" s="294" t="s">
        <v>440</v>
      </c>
      <c r="FE5" s="294" t="s">
        <v>3209</v>
      </c>
      <c r="FF5" s="294" t="s">
        <v>2846</v>
      </c>
      <c r="FG5" s="294" t="s">
        <v>3355</v>
      </c>
      <c r="FH5" s="294" t="s">
        <v>220</v>
      </c>
      <c r="FI5" s="294" t="s">
        <v>1177</v>
      </c>
      <c r="FJ5" s="294" t="s">
        <v>1241</v>
      </c>
      <c r="FK5" s="294" t="s">
        <v>2333</v>
      </c>
      <c r="FL5" s="294" t="s">
        <v>819</v>
      </c>
      <c r="FM5" s="294" t="s">
        <v>721</v>
      </c>
      <c r="FN5" s="294" t="s">
        <v>3261</v>
      </c>
      <c r="FO5" s="294" t="s">
        <v>291</v>
      </c>
      <c r="FP5" s="294" t="s">
        <v>527</v>
      </c>
      <c r="FQ5" s="294" t="s">
        <v>2739</v>
      </c>
      <c r="FR5" s="294" t="s">
        <v>835</v>
      </c>
      <c r="FS5" s="294" t="s">
        <v>3131</v>
      </c>
      <c r="FT5" s="294" t="s">
        <v>2807</v>
      </c>
      <c r="FU5" s="294" t="s">
        <v>1649</v>
      </c>
      <c r="FV5" s="294" t="s">
        <v>1640</v>
      </c>
      <c r="FW5" s="294" t="s">
        <v>889</v>
      </c>
      <c r="FX5" s="294" t="s">
        <v>114</v>
      </c>
      <c r="FY5" s="294" t="s">
        <v>3177</v>
      </c>
      <c r="FZ5" s="294" t="s">
        <v>1638</v>
      </c>
      <c r="GA5" s="294" t="s">
        <v>722</v>
      </c>
      <c r="GB5" s="294" t="s">
        <v>1732</v>
      </c>
      <c r="GC5" s="294" t="s">
        <v>787</v>
      </c>
      <c r="GD5" s="294" t="s">
        <v>1941</v>
      </c>
      <c r="GE5" s="294" t="s">
        <v>2026</v>
      </c>
      <c r="GF5" s="294" t="s">
        <v>3267</v>
      </c>
      <c r="GG5" s="294" t="s">
        <v>1379</v>
      </c>
      <c r="GH5" s="294" t="s">
        <v>1157</v>
      </c>
      <c r="GI5" s="294" t="s">
        <v>3033</v>
      </c>
      <c r="GJ5" s="294" t="s">
        <v>2384</v>
      </c>
      <c r="GK5" s="294" t="s">
        <v>954</v>
      </c>
      <c r="GL5" s="294" t="s">
        <v>819</v>
      </c>
      <c r="GM5" s="294" t="s">
        <v>3332</v>
      </c>
      <c r="GN5" s="294" t="s">
        <v>486</v>
      </c>
      <c r="GO5" s="294" t="s">
        <v>3204</v>
      </c>
      <c r="GP5" s="294" t="s">
        <v>2342</v>
      </c>
      <c r="GQ5" s="294" t="s">
        <v>627</v>
      </c>
      <c r="GR5" s="294" t="s">
        <v>860</v>
      </c>
      <c r="GS5" s="294" t="s">
        <v>2365</v>
      </c>
      <c r="GT5" s="294" t="s">
        <v>2813</v>
      </c>
      <c r="GU5" s="294" t="s">
        <v>3106</v>
      </c>
      <c r="GV5" s="294" t="s">
        <v>2847</v>
      </c>
      <c r="GW5" s="294" t="s">
        <v>969</v>
      </c>
      <c r="GX5" s="294" t="s">
        <v>1041</v>
      </c>
      <c r="GY5" s="294" t="s">
        <v>1028</v>
      </c>
      <c r="GZ5" s="294" t="s">
        <v>819</v>
      </c>
      <c r="HA5" s="294" t="s">
        <v>2861</v>
      </c>
      <c r="HB5" s="294" t="s">
        <v>239</v>
      </c>
      <c r="HC5" s="294" t="s">
        <v>1864</v>
      </c>
      <c r="HD5" s="294" t="s">
        <v>1429</v>
      </c>
      <c r="HE5" s="294" t="s">
        <v>1846</v>
      </c>
      <c r="HF5" s="294" t="s">
        <v>1559</v>
      </c>
      <c r="HG5" s="294" t="s">
        <v>731</v>
      </c>
      <c r="HH5" s="294" t="s">
        <v>732</v>
      </c>
      <c r="HI5" s="294" t="s">
        <v>703</v>
      </c>
      <c r="HJ5" s="294" t="s">
        <v>1203</v>
      </c>
      <c r="HK5" s="294" t="s">
        <v>3004</v>
      </c>
      <c r="HL5" s="294" t="s">
        <v>1070</v>
      </c>
      <c r="HM5" s="294" t="s">
        <v>2521</v>
      </c>
      <c r="HN5" s="294" t="s">
        <v>529</v>
      </c>
      <c r="HO5" s="294" t="s">
        <v>3153</v>
      </c>
      <c r="HP5" s="294" t="s">
        <v>819</v>
      </c>
      <c r="HQ5" s="294" t="s">
        <v>1955</v>
      </c>
      <c r="HR5" s="294" t="s">
        <v>3291</v>
      </c>
      <c r="HS5" s="294" t="s">
        <v>1278</v>
      </c>
      <c r="HT5" s="294" t="s">
        <v>1091</v>
      </c>
      <c r="HU5" s="294" t="s">
        <v>562</v>
      </c>
      <c r="HV5" s="294" t="s">
        <v>565</v>
      </c>
      <c r="HW5" s="294" t="s">
        <v>2774</v>
      </c>
      <c r="HX5" s="294" t="s">
        <v>2807</v>
      </c>
      <c r="HY5" s="294" t="s">
        <v>1907</v>
      </c>
      <c r="HZ5" s="294" t="s">
        <v>2785</v>
      </c>
      <c r="IA5" s="294" t="s">
        <v>1813</v>
      </c>
      <c r="IB5" s="294" t="s">
        <v>1779</v>
      </c>
      <c r="IC5" s="294" t="s">
        <v>99</v>
      </c>
      <c r="ID5" s="294" t="s">
        <v>528</v>
      </c>
      <c r="IE5" s="294" t="s">
        <v>3015</v>
      </c>
      <c r="IF5" s="294" t="s">
        <v>1356</v>
      </c>
      <c r="IG5" s="294" t="s">
        <v>1698</v>
      </c>
      <c r="IH5" s="294" t="s">
        <v>994</v>
      </c>
      <c r="II5" s="294" t="s">
        <v>3134</v>
      </c>
      <c r="IJ5" s="294" t="s">
        <v>2797</v>
      </c>
      <c r="IK5" s="294" t="s">
        <v>3115</v>
      </c>
      <c r="IL5" s="294" t="s">
        <v>870</v>
      </c>
      <c r="IM5" s="294" t="s">
        <v>2378</v>
      </c>
      <c r="IN5" s="294" t="s">
        <v>819</v>
      </c>
      <c r="IO5" s="294" t="s">
        <v>2767</v>
      </c>
      <c r="IP5" s="294" t="s">
        <v>2794</v>
      </c>
      <c r="IQ5" s="294" t="s">
        <v>753</v>
      </c>
      <c r="IR5" s="294" t="s">
        <v>1271</v>
      </c>
      <c r="IS5" s="294" t="s">
        <v>2505</v>
      </c>
      <c r="IT5" s="294" t="s">
        <v>812</v>
      </c>
      <c r="IU5" s="294" t="s">
        <v>578</v>
      </c>
      <c r="IV5" s="294" t="s">
        <v>2756</v>
      </c>
    </row>
    <row r="6" spans="1:256" s="294" customFormat="1">
      <c r="A6" s="294" t="s">
        <v>915</v>
      </c>
      <c r="B6" s="294" t="s">
        <v>2369</v>
      </c>
      <c r="C6" s="294" t="s">
        <v>3325</v>
      </c>
      <c r="D6" s="294" t="s">
        <v>845</v>
      </c>
      <c r="E6" s="294" t="s">
        <v>3052</v>
      </c>
      <c r="F6" s="294" t="s">
        <v>2580</v>
      </c>
      <c r="G6" s="294" t="s">
        <v>2770</v>
      </c>
      <c r="H6" s="294" t="s">
        <v>569</v>
      </c>
      <c r="I6" s="294" t="s">
        <v>2368</v>
      </c>
      <c r="J6" s="294" t="s">
        <v>532</v>
      </c>
      <c r="K6" s="294" t="s">
        <v>23</v>
      </c>
      <c r="L6" s="294" t="s">
        <v>1320</v>
      </c>
      <c r="M6" s="294" t="s">
        <v>1235</v>
      </c>
      <c r="N6" s="294" t="s">
        <v>1061</v>
      </c>
      <c r="O6" s="294" t="s">
        <v>3174</v>
      </c>
      <c r="P6" s="294" t="s">
        <v>1636</v>
      </c>
      <c r="Q6" s="294" t="s">
        <v>2372</v>
      </c>
      <c r="R6" s="294" t="s">
        <v>1776</v>
      </c>
      <c r="S6" s="294" t="s">
        <v>422</v>
      </c>
      <c r="T6" s="294" t="s">
        <v>1014</v>
      </c>
      <c r="U6" s="294" t="s">
        <v>935</v>
      </c>
      <c r="V6" s="294" t="s">
        <v>67</v>
      </c>
      <c r="W6" s="294" t="s">
        <v>1401</v>
      </c>
      <c r="X6" s="294" t="s">
        <v>203</v>
      </c>
      <c r="Y6" s="294" t="s">
        <v>1520</v>
      </c>
      <c r="Z6" s="294" t="s">
        <v>448</v>
      </c>
      <c r="AA6" s="294" t="s">
        <v>2230</v>
      </c>
      <c r="AB6" s="294" t="s">
        <v>1440</v>
      </c>
      <c r="AC6" s="294" t="s">
        <v>786</v>
      </c>
      <c r="AD6" s="294" t="s">
        <v>1940</v>
      </c>
      <c r="AE6" s="294" t="s">
        <v>892</v>
      </c>
      <c r="AF6" s="294" t="s">
        <v>819</v>
      </c>
      <c r="AG6" s="294" t="s">
        <v>441</v>
      </c>
      <c r="AH6" s="294" t="s">
        <v>1315</v>
      </c>
      <c r="AI6" s="294" t="s">
        <v>2128</v>
      </c>
      <c r="AJ6" s="294" t="s">
        <v>418</v>
      </c>
      <c r="AK6" s="294" t="s">
        <v>2091</v>
      </c>
      <c r="AL6" s="294" t="s">
        <v>2633</v>
      </c>
      <c r="AM6" s="294" t="s">
        <v>592</v>
      </c>
      <c r="AN6" s="294" t="s">
        <v>1998</v>
      </c>
      <c r="AO6" s="294" t="s">
        <v>184</v>
      </c>
      <c r="AP6" s="294" t="s">
        <v>2071</v>
      </c>
      <c r="AQ6" s="294" t="s">
        <v>2874</v>
      </c>
      <c r="AR6" s="294" t="s">
        <v>1322</v>
      </c>
      <c r="AS6" s="294" t="s">
        <v>2295</v>
      </c>
      <c r="AT6" s="294" t="s">
        <v>1098</v>
      </c>
      <c r="AU6" s="294" t="s">
        <v>2839</v>
      </c>
      <c r="AV6" s="294" t="s">
        <v>2789</v>
      </c>
      <c r="AW6" s="294" t="s">
        <v>2285</v>
      </c>
      <c r="AX6" s="294" t="s">
        <v>1943</v>
      </c>
      <c r="AY6" s="294" t="s">
        <v>1694</v>
      </c>
      <c r="AZ6" s="294" t="s">
        <v>991</v>
      </c>
      <c r="BA6" s="294" t="s">
        <v>442</v>
      </c>
      <c r="BB6" s="294" t="s">
        <v>1990</v>
      </c>
      <c r="BC6" s="294" t="s">
        <v>961</v>
      </c>
      <c r="BD6" s="294" t="s">
        <v>1420</v>
      </c>
      <c r="BE6" s="294" t="s">
        <v>2289</v>
      </c>
      <c r="BF6" s="294" t="s">
        <v>819</v>
      </c>
      <c r="BG6" s="294" t="s">
        <v>1582</v>
      </c>
      <c r="BH6" s="294" t="s">
        <v>848</v>
      </c>
      <c r="BI6" s="294" t="s">
        <v>766</v>
      </c>
      <c r="BJ6" s="294" t="s">
        <v>3262</v>
      </c>
      <c r="BK6" s="294" t="s">
        <v>2348</v>
      </c>
      <c r="BL6" s="294" t="s">
        <v>220</v>
      </c>
      <c r="BM6" s="294" t="s">
        <v>3451</v>
      </c>
      <c r="BN6" s="294" t="s">
        <v>2786</v>
      </c>
      <c r="BO6" s="294" t="s">
        <v>2447</v>
      </c>
      <c r="BP6" s="294" t="s">
        <v>1828</v>
      </c>
      <c r="BQ6" s="294" t="s">
        <v>2825</v>
      </c>
      <c r="BR6" s="294" t="s">
        <v>2804</v>
      </c>
      <c r="BS6" s="294" t="s">
        <v>1584</v>
      </c>
      <c r="BT6" s="294" t="s">
        <v>850</v>
      </c>
      <c r="BU6" s="294" t="s">
        <v>1335</v>
      </c>
      <c r="BV6" s="294" t="s">
        <v>1274</v>
      </c>
      <c r="BW6" s="294" t="s">
        <v>2017</v>
      </c>
      <c r="BX6" s="294" t="s">
        <v>819</v>
      </c>
      <c r="BY6" s="294" t="s">
        <v>1788</v>
      </c>
      <c r="BZ6" s="294" t="s">
        <v>276</v>
      </c>
      <c r="CA6" s="294" t="s">
        <v>3169</v>
      </c>
      <c r="CB6" s="294" t="s">
        <v>1634</v>
      </c>
      <c r="CC6" s="294" t="s">
        <v>3232</v>
      </c>
      <c r="CD6" s="294" t="s">
        <v>1240</v>
      </c>
      <c r="CE6" s="294" t="s">
        <v>2639</v>
      </c>
      <c r="CF6" s="294" t="s">
        <v>1362</v>
      </c>
      <c r="CG6" s="294" t="s">
        <v>2655</v>
      </c>
      <c r="CH6" s="294" t="s">
        <v>3247</v>
      </c>
      <c r="CI6" s="294" t="s">
        <v>1727</v>
      </c>
      <c r="CJ6" s="294" t="s">
        <v>891</v>
      </c>
      <c r="CK6" s="294" t="s">
        <v>3181</v>
      </c>
      <c r="CL6" s="294" t="s">
        <v>2681</v>
      </c>
      <c r="CM6" s="294" t="s">
        <v>1015</v>
      </c>
      <c r="CN6" s="294" t="s">
        <v>1777</v>
      </c>
      <c r="CO6" s="294" t="s">
        <v>2732</v>
      </c>
      <c r="CP6" s="294" t="s">
        <v>2791</v>
      </c>
      <c r="CQ6" s="294" t="s">
        <v>1432</v>
      </c>
      <c r="CR6" s="294" t="s">
        <v>3424</v>
      </c>
      <c r="CS6" s="294" t="s">
        <v>2131</v>
      </c>
      <c r="CT6" s="294" t="s">
        <v>1251</v>
      </c>
      <c r="CU6" s="294" t="s">
        <v>1789</v>
      </c>
      <c r="CV6" s="294" t="s">
        <v>490</v>
      </c>
      <c r="CW6" s="294" t="s">
        <v>2845</v>
      </c>
      <c r="CX6" s="294" t="s">
        <v>451</v>
      </c>
      <c r="CY6" s="294" t="s">
        <v>2634</v>
      </c>
      <c r="CZ6" s="294" t="s">
        <v>1109</v>
      </c>
      <c r="DA6" s="294" t="s">
        <v>1563</v>
      </c>
      <c r="DB6" s="294" t="s">
        <v>1252</v>
      </c>
      <c r="DC6" s="294" t="s">
        <v>3031</v>
      </c>
      <c r="DD6" s="294" t="s">
        <v>992</v>
      </c>
      <c r="DE6" s="294" t="s">
        <v>730</v>
      </c>
      <c r="DF6" s="294" t="s">
        <v>1060</v>
      </c>
      <c r="DG6" s="294" t="s">
        <v>2224</v>
      </c>
      <c r="DH6" s="294" t="s">
        <v>2588</v>
      </c>
      <c r="DI6" s="294" t="s">
        <v>1666</v>
      </c>
      <c r="DJ6" s="294" t="s">
        <v>224</v>
      </c>
      <c r="DK6" s="294" t="s">
        <v>1306</v>
      </c>
      <c r="DL6" s="294" t="s">
        <v>990</v>
      </c>
      <c r="DM6" s="294" t="s">
        <v>3139</v>
      </c>
      <c r="DN6" s="294" t="s">
        <v>1899</v>
      </c>
      <c r="DO6" s="294" t="s">
        <v>294</v>
      </c>
      <c r="DP6" s="294" t="s">
        <v>2078</v>
      </c>
      <c r="DQ6" s="294" t="s">
        <v>2290</v>
      </c>
      <c r="DR6" s="294" t="s">
        <v>819</v>
      </c>
      <c r="DS6" s="294" t="s">
        <v>2388</v>
      </c>
      <c r="DT6" s="294" t="s">
        <v>819</v>
      </c>
      <c r="DU6" s="294" t="s">
        <v>814</v>
      </c>
      <c r="DV6" s="294" t="s">
        <v>1617</v>
      </c>
      <c r="DW6" s="294" t="s">
        <v>434</v>
      </c>
      <c r="DX6" s="294" t="s">
        <v>848</v>
      </c>
      <c r="DY6" s="294" t="s">
        <v>1967</v>
      </c>
      <c r="DZ6" s="294" t="s">
        <v>1259</v>
      </c>
      <c r="EA6" s="294" t="s">
        <v>1544</v>
      </c>
      <c r="EB6" s="294" t="s">
        <v>1367</v>
      </c>
      <c r="EC6" s="294" t="s">
        <v>1549</v>
      </c>
      <c r="ED6" s="294" t="s">
        <v>2811</v>
      </c>
      <c r="EE6" s="294" t="s">
        <v>3406</v>
      </c>
      <c r="EF6" s="294" t="s">
        <v>498</v>
      </c>
      <c r="EG6" s="294" t="s">
        <v>2842</v>
      </c>
      <c r="EH6" s="294" t="s">
        <v>2803</v>
      </c>
      <c r="EI6" s="294" t="s">
        <v>593</v>
      </c>
      <c r="EJ6" s="294" t="s">
        <v>1999</v>
      </c>
      <c r="EK6" s="294" t="s">
        <v>426</v>
      </c>
      <c r="EL6" s="294" t="s">
        <v>157</v>
      </c>
      <c r="EM6" s="294" t="s">
        <v>2104</v>
      </c>
      <c r="EN6" s="294" t="s">
        <v>1603</v>
      </c>
      <c r="EO6" s="294" t="s">
        <v>675</v>
      </c>
      <c r="EP6" s="294" t="s">
        <v>233</v>
      </c>
      <c r="EQ6" s="294" t="s">
        <v>1382</v>
      </c>
      <c r="ER6" s="294" t="s">
        <v>1069</v>
      </c>
      <c r="ES6" s="294" t="s">
        <v>2675</v>
      </c>
      <c r="ET6" s="294" t="s">
        <v>819</v>
      </c>
      <c r="EU6" s="294" t="s">
        <v>692</v>
      </c>
      <c r="EV6" s="294" t="s">
        <v>995</v>
      </c>
      <c r="EW6" s="294" t="s">
        <v>3320</v>
      </c>
      <c r="EX6" s="294" t="s">
        <v>1625</v>
      </c>
      <c r="EY6" s="294" t="s">
        <v>424</v>
      </c>
      <c r="EZ6" s="294" t="s">
        <v>1937</v>
      </c>
      <c r="FA6" s="294" t="s">
        <v>3413</v>
      </c>
      <c r="FB6" s="294" t="s">
        <v>871</v>
      </c>
      <c r="FC6" s="294" t="s">
        <v>344</v>
      </c>
      <c r="FD6" s="294" t="s">
        <v>176</v>
      </c>
      <c r="FE6" s="294" t="s">
        <v>914</v>
      </c>
      <c r="FF6" s="294" t="s">
        <v>476</v>
      </c>
      <c r="FG6" s="294" t="s">
        <v>1516</v>
      </c>
      <c r="FH6" s="294" t="s">
        <v>3304</v>
      </c>
      <c r="FI6" s="294" t="s">
        <v>1508</v>
      </c>
      <c r="FJ6" s="294" t="s">
        <v>2595</v>
      </c>
      <c r="FK6" s="294" t="s">
        <v>1593</v>
      </c>
      <c r="FL6" s="294" t="s">
        <v>819</v>
      </c>
      <c r="FM6" s="294" t="s">
        <v>3319</v>
      </c>
      <c r="FN6" s="294" t="s">
        <v>1634</v>
      </c>
      <c r="FO6" s="294" t="s">
        <v>1683</v>
      </c>
      <c r="FP6" s="294" t="s">
        <v>229</v>
      </c>
      <c r="FQ6" s="294" t="s">
        <v>1790</v>
      </c>
      <c r="FR6" s="294" t="s">
        <v>491</v>
      </c>
      <c r="FS6" s="294" t="s">
        <v>1380</v>
      </c>
      <c r="FT6" s="294" t="s">
        <v>1159</v>
      </c>
      <c r="FU6" s="294" t="s">
        <v>913</v>
      </c>
      <c r="FV6" s="294" t="s">
        <v>475</v>
      </c>
      <c r="FW6" s="294" t="s">
        <v>2074</v>
      </c>
      <c r="FX6" s="294" t="s">
        <v>461</v>
      </c>
      <c r="FY6" s="294" t="s">
        <v>1541</v>
      </c>
      <c r="FZ6" s="294" t="s">
        <v>1608</v>
      </c>
      <c r="GA6" s="294" t="s">
        <v>1861</v>
      </c>
      <c r="GB6" s="294" t="s">
        <v>3250</v>
      </c>
      <c r="GC6" s="294" t="s">
        <v>826</v>
      </c>
      <c r="GD6" s="294" t="s">
        <v>3449</v>
      </c>
      <c r="GE6" s="294" t="s">
        <v>1458</v>
      </c>
      <c r="GF6" s="294" t="s">
        <v>64</v>
      </c>
      <c r="GG6" s="294" t="s">
        <v>2862</v>
      </c>
      <c r="GH6" s="294" t="s">
        <v>228</v>
      </c>
      <c r="GI6" s="294" t="s">
        <v>1371</v>
      </c>
      <c r="GJ6" s="294" t="s">
        <v>2681</v>
      </c>
      <c r="GK6" s="294" t="s">
        <v>312</v>
      </c>
      <c r="GL6" s="294" t="s">
        <v>154</v>
      </c>
      <c r="GM6" s="294" t="s">
        <v>2992</v>
      </c>
      <c r="GN6" s="294" t="s">
        <v>2593</v>
      </c>
      <c r="GO6" s="294" t="s">
        <v>1144</v>
      </c>
      <c r="GP6" s="294" t="s">
        <v>3287</v>
      </c>
      <c r="GQ6" s="294" t="s">
        <v>249</v>
      </c>
      <c r="GR6" s="294" t="s">
        <v>1264</v>
      </c>
      <c r="GS6" s="294" t="s">
        <v>1395</v>
      </c>
      <c r="GT6" s="294" t="s">
        <v>3423</v>
      </c>
      <c r="GU6" s="294" t="s">
        <v>286</v>
      </c>
      <c r="GV6" s="294" t="s">
        <v>1607</v>
      </c>
      <c r="GW6" s="294" t="s">
        <v>3405</v>
      </c>
      <c r="GX6" s="294" t="s">
        <v>2578</v>
      </c>
      <c r="GY6" s="294" t="s">
        <v>797</v>
      </c>
      <c r="GZ6" s="294" t="s">
        <v>1771</v>
      </c>
      <c r="HA6" s="294" t="s">
        <v>938</v>
      </c>
      <c r="HB6" s="294" t="s">
        <v>2577</v>
      </c>
      <c r="HC6" s="294" t="s">
        <v>1166</v>
      </c>
      <c r="HD6" s="294" t="s">
        <v>1421</v>
      </c>
      <c r="HE6" s="294" t="s">
        <v>3087</v>
      </c>
      <c r="HF6" s="294" t="s">
        <v>486</v>
      </c>
      <c r="HG6" s="294" t="s">
        <v>2504</v>
      </c>
      <c r="HH6" s="294" t="s">
        <v>811</v>
      </c>
      <c r="HI6" s="294" t="s">
        <v>2267</v>
      </c>
      <c r="HJ6" s="294" t="s">
        <v>2080</v>
      </c>
      <c r="HK6" s="294" t="s">
        <v>687</v>
      </c>
      <c r="HL6" s="294" t="s">
        <v>2575</v>
      </c>
      <c r="HM6" s="294" t="s">
        <v>2643</v>
      </c>
      <c r="HN6" s="294" t="s">
        <v>819</v>
      </c>
      <c r="HO6" s="294" t="s">
        <v>1592</v>
      </c>
      <c r="HP6" s="294" t="s">
        <v>2796</v>
      </c>
      <c r="HQ6" s="294" t="s">
        <v>3034</v>
      </c>
      <c r="HR6" s="294" t="s">
        <v>1369</v>
      </c>
      <c r="HS6" s="294" t="s">
        <v>1862</v>
      </c>
      <c r="HT6" s="294" t="s">
        <v>2592</v>
      </c>
      <c r="HU6" s="294" t="s">
        <v>1501</v>
      </c>
      <c r="HV6" s="294" t="s">
        <v>2750</v>
      </c>
      <c r="HW6" s="294" t="s">
        <v>3231</v>
      </c>
      <c r="HX6" s="294" t="s">
        <v>1364</v>
      </c>
      <c r="HY6" s="294" t="s">
        <v>3143</v>
      </c>
      <c r="HZ6" s="294" t="s">
        <v>2784</v>
      </c>
      <c r="IA6" s="294" t="s">
        <v>2441</v>
      </c>
      <c r="IB6" s="294" t="s">
        <v>93</v>
      </c>
      <c r="IC6" s="294" t="s">
        <v>2823</v>
      </c>
      <c r="ID6" s="294" t="s">
        <v>1598</v>
      </c>
      <c r="IE6" s="294" t="s">
        <v>68</v>
      </c>
      <c r="IF6" s="294" t="s">
        <v>155</v>
      </c>
      <c r="IG6" s="294" t="s">
        <v>2652</v>
      </c>
      <c r="IH6" s="294" t="s">
        <v>1097</v>
      </c>
      <c r="II6" s="294" t="s">
        <v>3005</v>
      </c>
      <c r="IJ6" s="294" t="s">
        <v>1778</v>
      </c>
      <c r="IK6" s="294" t="s">
        <v>27</v>
      </c>
      <c r="IL6" s="294" t="s">
        <v>2633</v>
      </c>
      <c r="IM6" s="294" t="s">
        <v>744</v>
      </c>
      <c r="IN6" s="294" t="s">
        <v>1779</v>
      </c>
      <c r="IO6" s="294" t="s">
        <v>2765</v>
      </c>
      <c r="IP6" s="294" t="s">
        <v>2792</v>
      </c>
      <c r="IQ6" s="294" t="s">
        <v>1034</v>
      </c>
      <c r="IR6" s="294" t="s">
        <v>3243</v>
      </c>
      <c r="IS6" s="294" t="s">
        <v>2298</v>
      </c>
      <c r="IT6" s="294" t="s">
        <v>1119</v>
      </c>
      <c r="IU6" s="294" t="s">
        <v>1903</v>
      </c>
      <c r="IV6" s="294" t="s">
        <v>26</v>
      </c>
    </row>
    <row r="7" spans="1:256" s="294" customFormat="1">
      <c r="A7" s="294" t="s">
        <v>28</v>
      </c>
      <c r="B7" s="294" t="s">
        <v>1253</v>
      </c>
      <c r="C7" s="294" t="s">
        <v>3363</v>
      </c>
      <c r="D7" s="294" t="s">
        <v>1612</v>
      </c>
      <c r="E7" s="294" t="s">
        <v>187</v>
      </c>
      <c r="F7" s="294" t="s">
        <v>2821</v>
      </c>
      <c r="G7" s="294" t="s">
        <v>2240</v>
      </c>
      <c r="H7" s="294" t="s">
        <v>1772</v>
      </c>
      <c r="I7" s="294" t="s">
        <v>720</v>
      </c>
      <c r="J7" s="294" t="s">
        <v>3260</v>
      </c>
      <c r="K7" s="294" t="s">
        <v>2769</v>
      </c>
      <c r="L7" s="294" t="s">
        <v>2796</v>
      </c>
      <c r="M7" s="294" t="s">
        <v>3008</v>
      </c>
      <c r="N7" s="294" t="s">
        <v>450</v>
      </c>
      <c r="O7" s="294" t="s">
        <v>2379</v>
      </c>
      <c r="P7" s="294" t="s">
        <v>1438</v>
      </c>
      <c r="Q7" s="294" t="s">
        <v>162</v>
      </c>
      <c r="R7" s="294" t="s">
        <v>473</v>
      </c>
      <c r="S7" s="294" t="s">
        <v>205</v>
      </c>
      <c r="T7" s="294" t="s">
        <v>485</v>
      </c>
      <c r="U7" s="294" t="s">
        <v>3207</v>
      </c>
      <c r="V7" s="294" t="s">
        <v>237</v>
      </c>
      <c r="W7" s="294" t="s">
        <v>382</v>
      </c>
      <c r="X7" s="294" t="s">
        <v>1112</v>
      </c>
      <c r="Y7" s="294" t="s">
        <v>921</v>
      </c>
      <c r="Z7" s="294" t="s">
        <v>1760</v>
      </c>
      <c r="AA7" s="294" t="s">
        <v>1687</v>
      </c>
      <c r="AB7" s="294" t="s">
        <v>3437</v>
      </c>
      <c r="AC7" s="294" t="s">
        <v>2520</v>
      </c>
      <c r="AD7" s="294" t="s">
        <v>2633</v>
      </c>
      <c r="AE7" s="294" t="s">
        <v>1648</v>
      </c>
      <c r="AF7" s="294" t="s">
        <v>1604</v>
      </c>
      <c r="AG7" s="294" t="s">
        <v>965</v>
      </c>
      <c r="AH7" s="294" t="s">
        <v>1013</v>
      </c>
      <c r="AI7" s="294" t="s">
        <v>2438</v>
      </c>
      <c r="AJ7" s="294" t="s">
        <v>3058</v>
      </c>
      <c r="AK7" s="294" t="s">
        <v>193</v>
      </c>
      <c r="AL7" s="294" t="s">
        <v>3058</v>
      </c>
      <c r="AM7" s="294" t="s">
        <v>42</v>
      </c>
      <c r="AN7" s="294" t="s">
        <v>1439</v>
      </c>
      <c r="AO7" s="294" t="s">
        <v>3339</v>
      </c>
      <c r="AP7" s="294" t="s">
        <v>829</v>
      </c>
      <c r="AQ7" s="294" t="s">
        <v>2380</v>
      </c>
      <c r="AR7" s="294" t="s">
        <v>3305</v>
      </c>
      <c r="AS7" s="294" t="s">
        <v>407</v>
      </c>
      <c r="AT7" s="294" t="s">
        <v>78</v>
      </c>
      <c r="AU7" s="294" t="s">
        <v>1469</v>
      </c>
      <c r="AV7" s="294" t="s">
        <v>992</v>
      </c>
      <c r="AW7" s="294" t="s">
        <v>1381</v>
      </c>
      <c r="AX7" s="294" t="s">
        <v>3251</v>
      </c>
      <c r="AY7" s="294" t="s">
        <v>3270</v>
      </c>
      <c r="AZ7" s="294" t="s">
        <v>3294</v>
      </c>
      <c r="BA7" s="294" t="s">
        <v>3199</v>
      </c>
      <c r="BB7" s="294" t="s">
        <v>568</v>
      </c>
      <c r="BC7" s="294" t="s">
        <v>573</v>
      </c>
      <c r="BD7" s="294" t="s">
        <v>2751</v>
      </c>
      <c r="BE7" s="294" t="s">
        <v>2735</v>
      </c>
      <c r="BF7" s="294" t="s">
        <v>2815</v>
      </c>
      <c r="BG7" s="294" t="s">
        <v>2537</v>
      </c>
      <c r="BH7" s="294" t="s">
        <v>93</v>
      </c>
      <c r="BI7" s="294" t="s">
        <v>269</v>
      </c>
      <c r="BJ7" s="294" t="s">
        <v>178</v>
      </c>
      <c r="BK7" s="294" t="s">
        <v>3312</v>
      </c>
      <c r="BL7" s="294" t="s">
        <v>1615</v>
      </c>
      <c r="BM7" s="294" t="s">
        <v>2038</v>
      </c>
      <c r="BN7" s="294" t="s">
        <v>225</v>
      </c>
      <c r="BO7" s="294" t="s">
        <v>3214</v>
      </c>
      <c r="BP7" s="294" t="s">
        <v>293</v>
      </c>
      <c r="BQ7" s="294" t="s">
        <v>248</v>
      </c>
      <c r="BR7" s="294" t="s">
        <v>819</v>
      </c>
      <c r="BS7" s="294" t="s">
        <v>1653</v>
      </c>
      <c r="BT7" s="294" t="s">
        <v>1622</v>
      </c>
      <c r="BU7" s="294" t="s">
        <v>2293</v>
      </c>
      <c r="BV7" s="294" t="s">
        <v>1364</v>
      </c>
      <c r="BW7" s="294" t="s">
        <v>3151</v>
      </c>
      <c r="BX7" s="294" t="s">
        <v>819</v>
      </c>
      <c r="BY7" s="294" t="s">
        <v>2270</v>
      </c>
      <c r="BZ7" s="294" t="s">
        <v>3291</v>
      </c>
      <c r="CA7" s="294" t="s">
        <v>3183</v>
      </c>
      <c r="CB7" s="294" t="s">
        <v>2761</v>
      </c>
      <c r="CC7" s="294" t="s">
        <v>1357</v>
      </c>
      <c r="CD7" s="294" t="s">
        <v>626</v>
      </c>
      <c r="CE7" s="294" t="s">
        <v>920</v>
      </c>
      <c r="CF7" s="294" t="s">
        <v>3448</v>
      </c>
      <c r="CG7" s="294" t="s">
        <v>1561</v>
      </c>
      <c r="CH7" s="294" t="s">
        <v>819</v>
      </c>
      <c r="CI7" s="294" t="s">
        <v>2360</v>
      </c>
      <c r="CJ7" s="294" t="s">
        <v>906</v>
      </c>
      <c r="CK7" s="294" t="s">
        <v>102</v>
      </c>
      <c r="CL7" s="294" t="s">
        <v>587</v>
      </c>
      <c r="CM7" s="294" t="s">
        <v>115</v>
      </c>
      <c r="CN7" s="294" t="s">
        <v>3122</v>
      </c>
      <c r="CO7" s="294" t="s">
        <v>316</v>
      </c>
      <c r="CP7" s="294" t="s">
        <v>1731</v>
      </c>
      <c r="CQ7" s="294" t="s">
        <v>3208</v>
      </c>
      <c r="CR7" s="294" t="s">
        <v>238</v>
      </c>
      <c r="CS7" s="294" t="s">
        <v>191</v>
      </c>
      <c r="CT7" s="294" t="s">
        <v>1901</v>
      </c>
      <c r="CU7" s="294" t="s">
        <v>551</v>
      </c>
      <c r="CV7" s="294" t="s">
        <v>985</v>
      </c>
      <c r="CW7" s="294" t="s">
        <v>1564</v>
      </c>
      <c r="CX7" s="294" t="s">
        <v>3288</v>
      </c>
      <c r="CY7" s="294" t="s">
        <v>3192</v>
      </c>
      <c r="CZ7" s="294" t="s">
        <v>1773</v>
      </c>
      <c r="DA7" s="294" t="s">
        <v>1644</v>
      </c>
      <c r="DB7" s="294" t="s">
        <v>3297</v>
      </c>
      <c r="DC7" s="294" t="s">
        <v>2736</v>
      </c>
      <c r="DD7" s="294" t="s">
        <v>586</v>
      </c>
      <c r="DE7" s="294" t="s">
        <v>3427</v>
      </c>
      <c r="DF7" s="294" t="s">
        <v>439</v>
      </c>
      <c r="DG7" s="294" t="s">
        <v>1597</v>
      </c>
      <c r="DH7" s="294" t="s">
        <v>855</v>
      </c>
      <c r="DI7" s="294" t="s">
        <v>1509</v>
      </c>
      <c r="DJ7" s="294" t="s">
        <v>447</v>
      </c>
      <c r="DK7" s="294" t="s">
        <v>2083</v>
      </c>
      <c r="DL7" s="294" t="s">
        <v>819</v>
      </c>
      <c r="DM7" s="294" t="s">
        <v>1887</v>
      </c>
      <c r="DN7" s="294" t="s">
        <v>833</v>
      </c>
      <c r="DO7" s="294" t="s">
        <v>1402</v>
      </c>
      <c r="DP7" s="294" t="s">
        <v>2080</v>
      </c>
      <c r="DQ7" s="294" t="s">
        <v>2978</v>
      </c>
      <c r="DR7" s="294" t="s">
        <v>3227</v>
      </c>
      <c r="DS7" s="294" t="s">
        <v>2912</v>
      </c>
      <c r="DT7" s="294" t="s">
        <v>1705</v>
      </c>
      <c r="DU7" s="294" t="s">
        <v>3187</v>
      </c>
      <c r="DV7" s="294" t="s">
        <v>3036</v>
      </c>
      <c r="DW7" s="294" t="s">
        <v>103</v>
      </c>
      <c r="DX7" s="294" t="s">
        <v>1898</v>
      </c>
      <c r="DY7" s="294" t="s">
        <v>824</v>
      </c>
      <c r="DZ7" s="294" t="s">
        <v>872</v>
      </c>
      <c r="EA7" s="294" t="s">
        <v>2859</v>
      </c>
      <c r="EB7" s="294" t="s">
        <v>1770</v>
      </c>
      <c r="EC7" s="294" t="s">
        <v>128</v>
      </c>
      <c r="ED7" s="294" t="s">
        <v>221</v>
      </c>
      <c r="EE7" s="294" t="s">
        <v>1323</v>
      </c>
      <c r="EF7" s="294" t="s">
        <v>1257</v>
      </c>
      <c r="EG7" s="294" t="s">
        <v>1569</v>
      </c>
      <c r="EH7" s="294" t="s">
        <v>1242</v>
      </c>
      <c r="EI7" s="294" t="s">
        <v>1832</v>
      </c>
      <c r="EJ7" s="294" t="s">
        <v>1430</v>
      </c>
      <c r="EK7" s="294" t="s">
        <v>2994</v>
      </c>
      <c r="EL7" s="294" t="s">
        <v>2339</v>
      </c>
      <c r="EM7" s="294" t="s">
        <v>282</v>
      </c>
      <c r="EN7" s="294" t="s">
        <v>3293</v>
      </c>
      <c r="EO7" s="294" t="s">
        <v>2503</v>
      </c>
      <c r="EP7" s="294" t="s">
        <v>3263</v>
      </c>
      <c r="EQ7" s="294" t="s">
        <v>3385</v>
      </c>
      <c r="ER7" s="294" t="s">
        <v>1316</v>
      </c>
      <c r="ES7" s="294" t="s">
        <v>1167</v>
      </c>
      <c r="ET7" s="294" t="s">
        <v>1422</v>
      </c>
      <c r="EU7" s="294" t="s">
        <v>167</v>
      </c>
      <c r="EV7" s="294" t="s">
        <v>360</v>
      </c>
      <c r="EW7" s="294" t="s">
        <v>977</v>
      </c>
      <c r="EX7" s="294" t="s">
        <v>2822</v>
      </c>
      <c r="EY7" s="294" t="s">
        <v>349</v>
      </c>
      <c r="EZ7" s="294" t="s">
        <v>1720</v>
      </c>
      <c r="FA7" s="294" t="s">
        <v>1493</v>
      </c>
      <c r="FB7" s="294" t="s">
        <v>1086</v>
      </c>
      <c r="FC7" s="294" t="s">
        <v>1881</v>
      </c>
      <c r="FD7" s="294" t="s">
        <v>1882</v>
      </c>
      <c r="FE7" s="294" t="s">
        <v>3419</v>
      </c>
      <c r="FF7" s="294" t="s">
        <v>16</v>
      </c>
      <c r="FG7" s="294" t="s">
        <v>1123</v>
      </c>
      <c r="FH7" s="294" t="s">
        <v>626</v>
      </c>
      <c r="FI7" s="294" t="s">
        <v>3046</v>
      </c>
      <c r="FJ7" s="294" t="s">
        <v>179</v>
      </c>
      <c r="FK7" s="294" t="s">
        <v>1389</v>
      </c>
      <c r="FL7" s="294" t="s">
        <v>622</v>
      </c>
      <c r="FM7" s="294" t="s">
        <v>408</v>
      </c>
      <c r="FN7" s="294" t="s">
        <v>2044</v>
      </c>
      <c r="FO7" s="294" t="s">
        <v>3334</v>
      </c>
      <c r="FP7" s="294" t="s">
        <v>1628</v>
      </c>
      <c r="FQ7" s="294" t="s">
        <v>1836</v>
      </c>
      <c r="FR7" s="294" t="s">
        <v>533</v>
      </c>
      <c r="FS7" s="294" t="s">
        <v>3354</v>
      </c>
      <c r="FT7" s="294" t="s">
        <v>1638</v>
      </c>
      <c r="FU7" s="294" t="s">
        <v>2904</v>
      </c>
      <c r="FV7" s="294" t="s">
        <v>3122</v>
      </c>
      <c r="FW7" s="294" t="s">
        <v>3179</v>
      </c>
      <c r="FX7" s="294" t="s">
        <v>1014</v>
      </c>
      <c r="FY7" s="294" t="s">
        <v>2506</v>
      </c>
      <c r="FZ7" s="294" t="s">
        <v>711</v>
      </c>
      <c r="GA7" s="294" t="s">
        <v>1465</v>
      </c>
      <c r="GB7" s="294" t="s">
        <v>603</v>
      </c>
      <c r="GC7" s="294" t="s">
        <v>2867</v>
      </c>
      <c r="GD7" s="294" t="s">
        <v>1770</v>
      </c>
      <c r="GE7" s="294" t="s">
        <v>2125</v>
      </c>
      <c r="GF7" s="294" t="s">
        <v>2342</v>
      </c>
      <c r="GG7" s="294" t="s">
        <v>3165</v>
      </c>
      <c r="GH7" s="294" t="s">
        <v>3058</v>
      </c>
      <c r="GI7" s="294" t="s">
        <v>1574</v>
      </c>
      <c r="GJ7" s="294" t="s">
        <v>2822</v>
      </c>
      <c r="GK7" s="294" t="s">
        <v>966</v>
      </c>
      <c r="GL7" s="294" t="s">
        <v>87</v>
      </c>
      <c r="GM7" s="294" t="s">
        <v>1137</v>
      </c>
      <c r="GN7" s="294" t="s">
        <v>1240</v>
      </c>
      <c r="GO7" s="294" t="s">
        <v>2188</v>
      </c>
      <c r="GP7" s="294" t="s">
        <v>10</v>
      </c>
      <c r="GQ7" s="294" t="s">
        <v>3329</v>
      </c>
      <c r="GR7" s="294" t="s">
        <v>3286</v>
      </c>
      <c r="GS7" s="294" t="s">
        <v>3375</v>
      </c>
      <c r="GT7" s="294" t="s">
        <v>1708</v>
      </c>
      <c r="GU7" s="294" t="s">
        <v>2326</v>
      </c>
      <c r="GV7" s="294" t="s">
        <v>2590</v>
      </c>
      <c r="GW7" s="294" t="s">
        <v>2387</v>
      </c>
      <c r="GX7" s="294" t="s">
        <v>2816</v>
      </c>
      <c r="GY7" s="294" t="s">
        <v>768</v>
      </c>
      <c r="GZ7" s="294" t="s">
        <v>416</v>
      </c>
      <c r="HA7" s="294" t="s">
        <v>3442</v>
      </c>
      <c r="HB7" s="294" t="s">
        <v>1096</v>
      </c>
      <c r="HC7" s="294" t="s">
        <v>577</v>
      </c>
      <c r="HD7" s="294" t="s">
        <v>2755</v>
      </c>
      <c r="HE7" s="294" t="s">
        <v>1724</v>
      </c>
      <c r="HF7" s="294" t="s">
        <v>1253</v>
      </c>
      <c r="HG7" s="294" t="s">
        <v>1196</v>
      </c>
      <c r="HH7" s="294" t="s">
        <v>1277</v>
      </c>
      <c r="HI7" s="294" t="s">
        <v>3415</v>
      </c>
      <c r="HJ7" s="294" t="s">
        <v>3264</v>
      </c>
      <c r="HK7" s="294" t="s">
        <v>510</v>
      </c>
      <c r="HL7" s="294" t="s">
        <v>1205</v>
      </c>
      <c r="HM7" s="294" t="s">
        <v>1556</v>
      </c>
      <c r="HN7" s="294" t="s">
        <v>486</v>
      </c>
      <c r="HO7" s="294" t="s">
        <v>3162</v>
      </c>
      <c r="HP7" s="294" t="s">
        <v>1632</v>
      </c>
      <c r="HQ7" s="294" t="s">
        <v>375</v>
      </c>
      <c r="HR7" s="294" t="s">
        <v>222</v>
      </c>
      <c r="HS7" s="294" t="s">
        <v>3311</v>
      </c>
      <c r="HT7" s="294" t="s">
        <v>1924</v>
      </c>
      <c r="HU7" s="294" t="s">
        <v>908</v>
      </c>
      <c r="HV7" s="294" t="s">
        <v>223</v>
      </c>
      <c r="HW7" s="294" t="s">
        <v>1211</v>
      </c>
      <c r="HX7" s="294" t="s">
        <v>414</v>
      </c>
      <c r="HY7" s="294" t="s">
        <v>2005</v>
      </c>
      <c r="HZ7" s="294" t="s">
        <v>179</v>
      </c>
      <c r="IA7" s="294" t="s">
        <v>2501</v>
      </c>
      <c r="IB7" s="294" t="s">
        <v>2015</v>
      </c>
      <c r="IC7" s="294" t="s">
        <v>2198</v>
      </c>
      <c r="ID7" s="294" t="s">
        <v>3003</v>
      </c>
      <c r="IE7" s="294" t="s">
        <v>131</v>
      </c>
      <c r="IF7" s="294" t="s">
        <v>3262</v>
      </c>
      <c r="IG7" s="294" t="s">
        <v>3412</v>
      </c>
      <c r="IH7" s="294" t="s">
        <v>819</v>
      </c>
      <c r="II7" s="294" t="s">
        <v>2129</v>
      </c>
      <c r="IJ7" s="294" t="s">
        <v>1433</v>
      </c>
      <c r="IK7" s="294" t="s">
        <v>1650</v>
      </c>
      <c r="IL7" s="294" t="s">
        <v>855</v>
      </c>
      <c r="IM7" s="294" t="s">
        <v>3032</v>
      </c>
      <c r="IN7" s="294" t="s">
        <v>1042</v>
      </c>
      <c r="IO7" s="294" t="s">
        <v>158</v>
      </c>
      <c r="IP7" s="294" t="s">
        <v>3225</v>
      </c>
      <c r="IQ7" s="294" t="s">
        <v>1130</v>
      </c>
      <c r="IR7" s="294" t="s">
        <v>3297</v>
      </c>
      <c r="IS7" s="294" t="s">
        <v>1896</v>
      </c>
      <c r="IT7" s="294" t="s">
        <v>180</v>
      </c>
      <c r="IU7" s="294" t="s">
        <v>1466</v>
      </c>
      <c r="IV7" s="294" t="s">
        <v>819</v>
      </c>
    </row>
    <row r="8" spans="1:256" s="294" customFormat="1">
      <c r="A8" s="294" t="s">
        <v>2560</v>
      </c>
      <c r="B8" s="294" t="s">
        <v>504</v>
      </c>
      <c r="C8" s="294" t="s">
        <v>1141</v>
      </c>
      <c r="D8" s="294" t="s">
        <v>819</v>
      </c>
      <c r="E8" s="294" t="s">
        <v>1490</v>
      </c>
      <c r="F8" s="294" t="s">
        <v>493</v>
      </c>
      <c r="G8" s="294" t="s">
        <v>2324</v>
      </c>
      <c r="H8" s="294" t="s">
        <v>528</v>
      </c>
      <c r="I8" s="294" t="s">
        <v>2148</v>
      </c>
      <c r="J8" s="294" t="s">
        <v>819</v>
      </c>
      <c r="K8" s="294" t="s">
        <v>2450</v>
      </c>
      <c r="L8" s="294" t="s">
        <v>1829</v>
      </c>
      <c r="M8" s="294" t="s">
        <v>2828</v>
      </c>
      <c r="N8" s="294" t="s">
        <v>1601</v>
      </c>
      <c r="O8" s="294" t="s">
        <v>2258</v>
      </c>
      <c r="P8" s="294" t="s">
        <v>1992</v>
      </c>
      <c r="Q8" s="294" t="s">
        <v>3144</v>
      </c>
      <c r="R8" s="294" t="s">
        <v>2777</v>
      </c>
      <c r="S8" s="294" t="s">
        <v>1696</v>
      </c>
      <c r="T8" s="294" t="s">
        <v>1155</v>
      </c>
      <c r="U8" s="294" t="s">
        <v>35</v>
      </c>
      <c r="V8" s="294" t="s">
        <v>1714</v>
      </c>
      <c r="W8" s="294" t="s">
        <v>431</v>
      </c>
      <c r="X8" s="294" t="s">
        <v>499</v>
      </c>
      <c r="Y8" s="294" t="s">
        <v>3105</v>
      </c>
      <c r="Z8" s="294" t="s">
        <v>3260</v>
      </c>
      <c r="AA8" s="294" t="s">
        <v>659</v>
      </c>
      <c r="AB8" s="294" t="s">
        <v>527</v>
      </c>
      <c r="AC8" s="294" t="s">
        <v>3447</v>
      </c>
      <c r="AD8" s="294" t="s">
        <v>473</v>
      </c>
      <c r="AE8" s="294" t="s">
        <v>381</v>
      </c>
      <c r="AF8" s="294" t="s">
        <v>1996</v>
      </c>
      <c r="AG8" s="294" t="s">
        <v>1557</v>
      </c>
      <c r="AH8" s="294" t="s">
        <v>1615</v>
      </c>
      <c r="AI8" s="294" t="s">
        <v>2351</v>
      </c>
      <c r="AJ8" s="294" t="s">
        <v>997</v>
      </c>
      <c r="AK8" s="294" t="s">
        <v>3370</v>
      </c>
      <c r="AL8" s="294" t="s">
        <v>391</v>
      </c>
      <c r="AM8" s="294" t="s">
        <v>1577</v>
      </c>
      <c r="AN8" s="294" t="s">
        <v>844</v>
      </c>
      <c r="AO8" s="294" t="s">
        <v>1651</v>
      </c>
      <c r="AP8" s="294" t="s">
        <v>3304</v>
      </c>
      <c r="AQ8" s="294" t="s">
        <v>1331</v>
      </c>
      <c r="AR8" s="294" t="s">
        <v>531</v>
      </c>
      <c r="AS8" s="294" t="s">
        <v>3194</v>
      </c>
      <c r="AT8" s="294" t="s">
        <v>829</v>
      </c>
      <c r="AU8" s="294" t="s">
        <v>189</v>
      </c>
      <c r="AV8" s="294" t="s">
        <v>1158</v>
      </c>
      <c r="AW8" s="294" t="s">
        <v>1031</v>
      </c>
      <c r="AX8" s="294" t="s">
        <v>3264</v>
      </c>
      <c r="AY8" s="294" t="s">
        <v>2421</v>
      </c>
      <c r="AZ8" s="294" t="s">
        <v>3259</v>
      </c>
      <c r="BA8" s="294" t="s">
        <v>601</v>
      </c>
      <c r="BB8" s="294" t="s">
        <v>604</v>
      </c>
      <c r="BC8" s="294" t="s">
        <v>1840</v>
      </c>
      <c r="BD8" s="294" t="s">
        <v>819</v>
      </c>
      <c r="BE8" s="294" t="s">
        <v>1324</v>
      </c>
      <c r="BF8" s="294" t="s">
        <v>438</v>
      </c>
      <c r="BG8" s="294" t="s">
        <v>3142</v>
      </c>
      <c r="BH8" s="294" t="s">
        <v>1901</v>
      </c>
      <c r="BI8" s="294" t="s">
        <v>1548</v>
      </c>
      <c r="BJ8" s="294" t="s">
        <v>1612</v>
      </c>
      <c r="BK8" s="294" t="s">
        <v>1502</v>
      </c>
      <c r="BL8" s="294" t="s">
        <v>2813</v>
      </c>
      <c r="BM8" s="294" t="s">
        <v>1645</v>
      </c>
      <c r="BN8" s="294" t="s">
        <v>3257</v>
      </c>
      <c r="BO8" s="294" t="s">
        <v>315</v>
      </c>
      <c r="BP8" s="294" t="s">
        <v>1920</v>
      </c>
      <c r="BQ8" s="294" t="s">
        <v>512</v>
      </c>
      <c r="BR8" s="294" t="s">
        <v>500</v>
      </c>
      <c r="BS8" s="294" t="s">
        <v>1859</v>
      </c>
      <c r="BT8" s="294" t="s">
        <v>1269</v>
      </c>
      <c r="BU8" s="294" t="s">
        <v>2191</v>
      </c>
      <c r="BV8" s="294" t="s">
        <v>1009</v>
      </c>
      <c r="BW8" s="294" t="s">
        <v>3347</v>
      </c>
      <c r="BX8" s="294" t="s">
        <v>2633</v>
      </c>
      <c r="BY8" s="294" t="s">
        <v>1554</v>
      </c>
      <c r="BZ8" s="294" t="s">
        <v>1614</v>
      </c>
      <c r="CA8" s="294" t="s">
        <v>84</v>
      </c>
      <c r="CB8" s="294" t="s">
        <v>1735</v>
      </c>
      <c r="CC8" s="294" t="s">
        <v>602</v>
      </c>
      <c r="CD8" s="294" t="s">
        <v>605</v>
      </c>
      <c r="CE8" s="294" t="s">
        <v>2557</v>
      </c>
      <c r="CF8" s="294" t="s">
        <v>2683</v>
      </c>
      <c r="CG8" s="294" t="s">
        <v>3107</v>
      </c>
      <c r="CH8" s="294" t="s">
        <v>503</v>
      </c>
      <c r="CI8" s="294" t="s">
        <v>2742</v>
      </c>
      <c r="CJ8" s="294" t="s">
        <v>836</v>
      </c>
      <c r="CK8" s="294" t="s">
        <v>2486</v>
      </c>
      <c r="CL8" s="294" t="s">
        <v>2369</v>
      </c>
      <c r="CM8" s="294" t="s">
        <v>1550</v>
      </c>
      <c r="CN8" s="294" t="s">
        <v>2805</v>
      </c>
      <c r="CO8" s="294" t="s">
        <v>912</v>
      </c>
      <c r="CP8" s="294" t="s">
        <v>2000</v>
      </c>
      <c r="CQ8" s="294" t="s">
        <v>1587</v>
      </c>
      <c r="CR8" s="294" t="s">
        <v>2802</v>
      </c>
      <c r="CS8" s="294" t="s">
        <v>148</v>
      </c>
      <c r="CT8" s="294" t="s">
        <v>819</v>
      </c>
      <c r="CU8" s="294" t="s">
        <v>3178</v>
      </c>
      <c r="CV8" s="294" t="s">
        <v>1639</v>
      </c>
      <c r="CW8" s="294" t="s">
        <v>127</v>
      </c>
      <c r="CX8" s="294" t="s">
        <v>869</v>
      </c>
      <c r="CY8" s="294" t="s">
        <v>3133</v>
      </c>
      <c r="CZ8" s="294" t="s">
        <v>1620</v>
      </c>
      <c r="DA8" s="294" t="s">
        <v>98</v>
      </c>
      <c r="DB8" s="294" t="s">
        <v>3228</v>
      </c>
      <c r="DC8" s="294" t="s">
        <v>2864</v>
      </c>
      <c r="DD8" s="294" t="s">
        <v>819</v>
      </c>
      <c r="DE8" s="294" t="s">
        <v>2641</v>
      </c>
      <c r="DF8" s="294" t="s">
        <v>3297</v>
      </c>
      <c r="DG8" s="294" t="s">
        <v>3084</v>
      </c>
      <c r="DH8" s="294" t="s">
        <v>625</v>
      </c>
      <c r="DI8" s="294" t="s">
        <v>1594</v>
      </c>
      <c r="DJ8" s="294" t="s">
        <v>1989</v>
      </c>
      <c r="DK8" s="294" t="s">
        <v>378</v>
      </c>
      <c r="DL8" s="294" t="s">
        <v>1796</v>
      </c>
      <c r="DM8" s="294" t="s">
        <v>1378</v>
      </c>
      <c r="DN8" s="294" t="s">
        <v>94</v>
      </c>
      <c r="DO8" s="294" t="s">
        <v>1474</v>
      </c>
      <c r="DP8" s="294" t="s">
        <v>3248</v>
      </c>
      <c r="DQ8" s="294" t="s">
        <v>576</v>
      </c>
      <c r="DR8" s="294" t="s">
        <v>2754</v>
      </c>
      <c r="DS8" s="294" t="s">
        <v>1560</v>
      </c>
      <c r="DT8" s="294" t="s">
        <v>470</v>
      </c>
      <c r="DU8" s="294" t="s">
        <v>3108</v>
      </c>
      <c r="DV8" s="294" t="s">
        <v>490</v>
      </c>
      <c r="DW8" s="294" t="s">
        <v>1437</v>
      </c>
      <c r="DX8" s="294" t="s">
        <v>819</v>
      </c>
      <c r="DY8" s="294" t="s">
        <v>2858</v>
      </c>
      <c r="DZ8" s="294" t="s">
        <v>3290</v>
      </c>
      <c r="EA8" s="294" t="s">
        <v>2086</v>
      </c>
      <c r="EB8" s="294" t="s">
        <v>504</v>
      </c>
      <c r="EC8" s="294" t="s">
        <v>2833</v>
      </c>
      <c r="ED8" s="294" t="s">
        <v>226</v>
      </c>
      <c r="EE8" s="294" t="s">
        <v>47</v>
      </c>
      <c r="EF8" s="294" t="s">
        <v>2681</v>
      </c>
      <c r="EG8" s="294" t="s">
        <v>3353</v>
      </c>
      <c r="EH8" s="294" t="s">
        <v>1624</v>
      </c>
      <c r="EI8" s="294" t="s">
        <v>1480</v>
      </c>
      <c r="EJ8" s="294" t="s">
        <v>156</v>
      </c>
      <c r="EK8" s="294" t="s">
        <v>2446</v>
      </c>
      <c r="EL8" s="294" t="s">
        <v>1827</v>
      </c>
      <c r="EM8" s="294" t="s">
        <v>1565</v>
      </c>
      <c r="EN8" s="294" t="s">
        <v>3289</v>
      </c>
      <c r="EO8" s="294" t="s">
        <v>1475</v>
      </c>
      <c r="EP8" s="294" t="s">
        <v>2069</v>
      </c>
      <c r="EQ8" s="294" t="s">
        <v>3219</v>
      </c>
      <c r="ER8" s="294" t="s">
        <v>836</v>
      </c>
      <c r="ES8" s="294" t="s">
        <v>3220</v>
      </c>
      <c r="ET8" s="294" t="s">
        <v>853</v>
      </c>
      <c r="EU8" s="294" t="s">
        <v>3221</v>
      </c>
      <c r="EV8" s="294" t="s">
        <v>3222</v>
      </c>
      <c r="EW8" s="294" t="s">
        <v>385</v>
      </c>
      <c r="EX8" s="294" t="s">
        <v>2072</v>
      </c>
      <c r="EY8" s="294" t="s">
        <v>2190</v>
      </c>
      <c r="EZ8" s="294" t="s">
        <v>1008</v>
      </c>
      <c r="FA8" s="294" t="s">
        <v>2487</v>
      </c>
      <c r="FB8" s="294" t="s">
        <v>2846</v>
      </c>
      <c r="FC8" s="294" t="s">
        <v>2362</v>
      </c>
      <c r="FD8" s="294" t="s">
        <v>1636</v>
      </c>
      <c r="FE8" s="294" t="s">
        <v>3317</v>
      </c>
      <c r="FF8" s="294" t="s">
        <v>838</v>
      </c>
      <c r="FG8" s="294" t="s">
        <v>345</v>
      </c>
      <c r="FH8" s="294" t="s">
        <v>1431</v>
      </c>
      <c r="FI8" s="294" t="s">
        <v>1496</v>
      </c>
      <c r="FJ8" s="294" t="s">
        <v>623</v>
      </c>
      <c r="FK8" s="294" t="s">
        <v>3141</v>
      </c>
      <c r="FL8" s="294" t="s">
        <v>1624</v>
      </c>
      <c r="FM8" s="294" t="s">
        <v>902</v>
      </c>
      <c r="FN8" s="294" t="s">
        <v>219</v>
      </c>
      <c r="FO8" s="294" t="s">
        <v>121</v>
      </c>
      <c r="FP8" s="294" t="s">
        <v>489</v>
      </c>
      <c r="FQ8" s="294" t="s">
        <v>2451</v>
      </c>
      <c r="FR8" s="294" t="s">
        <v>467</v>
      </c>
      <c r="FS8" s="294" t="s">
        <v>288</v>
      </c>
      <c r="FT8" s="294" t="s">
        <v>893</v>
      </c>
      <c r="FU8" s="294" t="s">
        <v>2312</v>
      </c>
      <c r="FV8" s="294" t="s">
        <v>1366</v>
      </c>
      <c r="FW8" s="294" t="s">
        <v>41</v>
      </c>
      <c r="FX8" s="294" t="s">
        <v>1365</v>
      </c>
      <c r="FY8" s="294" t="s">
        <v>757</v>
      </c>
      <c r="FZ8" s="294" t="s">
        <v>2778</v>
      </c>
      <c r="GA8" s="294" t="s">
        <v>1404</v>
      </c>
      <c r="GB8" s="294" t="s">
        <v>484</v>
      </c>
      <c r="GC8" s="294" t="s">
        <v>1162</v>
      </c>
      <c r="GD8" s="294" t="s">
        <v>227</v>
      </c>
      <c r="GE8" s="294" t="s">
        <v>708</v>
      </c>
      <c r="GF8" s="294" t="s">
        <v>496</v>
      </c>
      <c r="GG8" s="294" t="s">
        <v>2524</v>
      </c>
      <c r="GH8" s="294" t="s">
        <v>530</v>
      </c>
      <c r="GI8" s="294" t="s">
        <v>1124</v>
      </c>
      <c r="GJ8" s="294" t="s">
        <v>1118</v>
      </c>
      <c r="GK8" s="294" t="s">
        <v>3160</v>
      </c>
      <c r="GL8" s="294" t="s">
        <v>2633</v>
      </c>
      <c r="GM8" s="294" t="s">
        <v>3014</v>
      </c>
      <c r="GN8" s="294" t="s">
        <v>2077</v>
      </c>
      <c r="GO8" s="294" t="s">
        <v>2979</v>
      </c>
      <c r="GP8" s="294" t="s">
        <v>527</v>
      </c>
      <c r="GQ8" s="294" t="s">
        <v>1951</v>
      </c>
      <c r="GR8" s="294" t="s">
        <v>988</v>
      </c>
      <c r="GS8" s="294" t="s">
        <v>2132</v>
      </c>
      <c r="GT8" s="294" t="s">
        <v>1913</v>
      </c>
      <c r="GU8" s="294" t="s">
        <v>552</v>
      </c>
      <c r="GV8" s="294" t="s">
        <v>3734</v>
      </c>
      <c r="GW8" s="294" t="s">
        <v>911</v>
      </c>
      <c r="GX8" s="294" t="s">
        <v>226</v>
      </c>
      <c r="GY8" s="294" t="s">
        <v>2475</v>
      </c>
      <c r="GZ8" s="294" t="s">
        <v>533</v>
      </c>
      <c r="HA8" s="294" t="s">
        <v>1122</v>
      </c>
      <c r="HB8" s="294" t="s">
        <v>1272</v>
      </c>
      <c r="HC8" s="294" t="s">
        <v>3352</v>
      </c>
      <c r="HD8" s="294" t="s">
        <v>1639</v>
      </c>
      <c r="HE8" s="294" t="s">
        <v>171</v>
      </c>
      <c r="HF8" s="294" t="s">
        <v>273</v>
      </c>
      <c r="HG8" s="294" t="s">
        <v>1176</v>
      </c>
      <c r="HH8" s="294" t="s">
        <v>1107</v>
      </c>
      <c r="HI8" s="294" t="s">
        <v>2389</v>
      </c>
      <c r="HJ8" s="294" t="s">
        <v>2339</v>
      </c>
      <c r="HK8" s="294" t="s">
        <v>2944</v>
      </c>
      <c r="HL8" s="294" t="s">
        <v>865</v>
      </c>
      <c r="HM8" s="294" t="s">
        <v>2105</v>
      </c>
      <c r="HN8" s="294" t="s">
        <v>2805</v>
      </c>
      <c r="HO8" s="294" t="s">
        <v>265</v>
      </c>
      <c r="HP8" s="294" t="s">
        <v>52</v>
      </c>
      <c r="HQ8" s="294" t="s">
        <v>2654</v>
      </c>
      <c r="HR8" s="294" t="s">
        <v>3058</v>
      </c>
      <c r="HS8" s="294" t="s">
        <v>2824</v>
      </c>
      <c r="HT8" s="294" t="s">
        <v>2795</v>
      </c>
      <c r="HU8" s="294" t="s">
        <v>1642</v>
      </c>
      <c r="HV8" s="294" t="s">
        <v>991</v>
      </c>
      <c r="HW8" s="294" t="s">
        <v>166</v>
      </c>
      <c r="HX8" s="294" t="s">
        <v>111</v>
      </c>
      <c r="HY8" s="294" t="s">
        <v>1400</v>
      </c>
      <c r="HZ8" s="294" t="s">
        <v>1777</v>
      </c>
      <c r="IA8" s="294" t="s">
        <v>2829</v>
      </c>
      <c r="IB8" s="294" t="s">
        <v>1602</v>
      </c>
      <c r="IC8" s="294" t="s">
        <v>1764</v>
      </c>
      <c r="ID8" s="294" t="s">
        <v>1989</v>
      </c>
      <c r="IE8" s="294" t="s">
        <v>1863</v>
      </c>
      <c r="IF8" s="294" t="s">
        <v>1368</v>
      </c>
      <c r="IG8" s="294" t="s">
        <v>338</v>
      </c>
      <c r="IH8" s="294" t="s">
        <v>3256</v>
      </c>
      <c r="II8" s="294" t="s">
        <v>332</v>
      </c>
      <c r="IJ8" s="294" t="s">
        <v>1368</v>
      </c>
      <c r="IK8" s="294" t="s">
        <v>704</v>
      </c>
      <c r="IL8" s="294" t="s">
        <v>1241</v>
      </c>
      <c r="IM8" s="294" t="s">
        <v>18</v>
      </c>
      <c r="IN8" s="294" t="s">
        <v>224</v>
      </c>
      <c r="IO8" s="294" t="s">
        <v>1847</v>
      </c>
      <c r="IP8" s="294" t="s">
        <v>3258</v>
      </c>
      <c r="IQ8" s="294" t="s">
        <v>3417</v>
      </c>
      <c r="IR8" s="294" t="s">
        <v>1423</v>
      </c>
      <c r="IS8" s="294" t="s">
        <v>1580</v>
      </c>
      <c r="IT8" s="294" t="s">
        <v>155</v>
      </c>
      <c r="IU8" s="294" t="s">
        <v>3431</v>
      </c>
      <c r="IV8" s="294" t="s">
        <v>1775</v>
      </c>
    </row>
    <row r="9" spans="1:256" s="294" customFormat="1">
      <c r="A9" s="294" t="s">
        <v>1075</v>
      </c>
      <c r="B9" s="294" t="s">
        <v>990</v>
      </c>
      <c r="C9" s="294" t="s">
        <v>3013</v>
      </c>
      <c r="D9" s="294" t="s">
        <v>488</v>
      </c>
      <c r="E9" s="294" t="s">
        <v>2620</v>
      </c>
      <c r="F9" s="294" t="s">
        <v>491</v>
      </c>
      <c r="G9" s="294" t="s">
        <v>1543</v>
      </c>
      <c r="H9" s="294" t="s">
        <v>2808</v>
      </c>
      <c r="I9" s="294" t="s">
        <v>1390</v>
      </c>
      <c r="J9" s="294" t="s">
        <v>623</v>
      </c>
      <c r="K9" s="294" t="s">
        <v>3117</v>
      </c>
      <c r="L9" s="294" t="s">
        <v>622</v>
      </c>
      <c r="M9" s="294" t="s">
        <v>3408</v>
      </c>
      <c r="N9" s="294" t="s">
        <v>502</v>
      </c>
      <c r="O9" s="294" t="s">
        <v>1387</v>
      </c>
      <c r="P9" s="294" t="s">
        <v>1092</v>
      </c>
      <c r="Q9" s="294" t="s">
        <v>2090</v>
      </c>
      <c r="R9" s="294" t="s">
        <v>3266</v>
      </c>
      <c r="S9" s="294" t="s">
        <v>516</v>
      </c>
      <c r="T9" s="294" t="s">
        <v>157</v>
      </c>
      <c r="U9" s="294" t="s">
        <v>3009</v>
      </c>
      <c r="V9" s="294" t="s">
        <v>3299</v>
      </c>
      <c r="W9" s="294" t="s">
        <v>2911</v>
      </c>
      <c r="X9" s="294" t="s">
        <v>2079</v>
      </c>
      <c r="Y9" s="294" t="s">
        <v>2006</v>
      </c>
      <c r="Z9" s="294" t="s">
        <v>819</v>
      </c>
      <c r="AA9" s="294" t="s">
        <v>2265</v>
      </c>
      <c r="AB9" s="294" t="s">
        <v>2798</v>
      </c>
      <c r="AC9" s="294" t="s">
        <v>2064</v>
      </c>
      <c r="AD9" s="294" t="s">
        <v>484</v>
      </c>
      <c r="AE9" s="294" t="s">
        <v>1726</v>
      </c>
      <c r="AF9" s="294" t="s">
        <v>472</v>
      </c>
      <c r="AG9" s="294" t="s">
        <v>3172</v>
      </c>
      <c r="AH9" s="294" t="s">
        <v>2337</v>
      </c>
      <c r="AI9" s="294" t="s">
        <v>1249</v>
      </c>
      <c r="AJ9" s="294" t="s">
        <v>1312</v>
      </c>
      <c r="AK9" s="294" t="s">
        <v>3359</v>
      </c>
      <c r="AL9" s="294" t="s">
        <v>1635</v>
      </c>
      <c r="AM9" s="294" t="s">
        <v>3130</v>
      </c>
      <c r="AN9" s="294" t="s">
        <v>1619</v>
      </c>
      <c r="AO9" s="294" t="s">
        <v>2266</v>
      </c>
      <c r="AP9" s="294" t="s">
        <v>587</v>
      </c>
      <c r="AQ9" s="294" t="s">
        <v>1835</v>
      </c>
      <c r="AR9" s="294" t="s">
        <v>154</v>
      </c>
      <c r="AS9" s="294" t="s">
        <v>2556</v>
      </c>
      <c r="AT9" s="294" t="s">
        <v>2024</v>
      </c>
      <c r="AU9" s="294" t="s">
        <v>2772</v>
      </c>
      <c r="AV9" s="294" t="s">
        <v>2802</v>
      </c>
      <c r="AW9" s="294" t="s">
        <v>1160</v>
      </c>
      <c r="AX9" s="294" t="s">
        <v>2046</v>
      </c>
      <c r="AY9" s="294" t="s">
        <v>2980</v>
      </c>
      <c r="AZ9" s="294" t="s">
        <v>819</v>
      </c>
      <c r="BA9" s="294" t="s">
        <v>3176</v>
      </c>
      <c r="BB9" s="294" t="s">
        <v>150</v>
      </c>
      <c r="BC9" s="294" t="s">
        <v>2507</v>
      </c>
      <c r="BD9" s="294" t="s">
        <v>1781</v>
      </c>
      <c r="BE9" s="294" t="s">
        <v>101</v>
      </c>
      <c r="BF9" s="294" t="s">
        <v>844</v>
      </c>
      <c r="BG9" s="294" t="s">
        <v>1317</v>
      </c>
      <c r="BH9" s="294" t="s">
        <v>1313</v>
      </c>
      <c r="BI9" s="294" t="s">
        <v>901</v>
      </c>
      <c r="BJ9" s="294" t="s">
        <v>2043</v>
      </c>
      <c r="BK9" s="294" t="s">
        <v>1139</v>
      </c>
      <c r="BL9" s="294" t="s">
        <v>389</v>
      </c>
      <c r="BM9" s="294" t="s">
        <v>430</v>
      </c>
      <c r="BN9" s="294" t="s">
        <v>219</v>
      </c>
      <c r="BO9" s="294" t="s">
        <v>2840</v>
      </c>
      <c r="BP9" s="294" t="s">
        <v>2633</v>
      </c>
      <c r="BQ9" s="294" t="s">
        <v>904</v>
      </c>
      <c r="BR9" s="294" t="s">
        <v>220</v>
      </c>
      <c r="BS9" s="294" t="s">
        <v>1886</v>
      </c>
      <c r="BT9" s="294" t="s">
        <v>1610</v>
      </c>
      <c r="BU9" s="294" t="s">
        <v>1905</v>
      </c>
      <c r="BV9" s="294" t="s">
        <v>1906</v>
      </c>
      <c r="BW9" s="294" t="s">
        <v>747</v>
      </c>
      <c r="BX9" s="294" t="s">
        <v>1826</v>
      </c>
      <c r="BY9" s="294" t="s">
        <v>792</v>
      </c>
      <c r="BZ9" s="294" t="s">
        <v>749</v>
      </c>
      <c r="CA9" s="294" t="s">
        <v>478</v>
      </c>
      <c r="CB9" s="294" t="s">
        <v>3310</v>
      </c>
      <c r="CC9" s="294" t="s">
        <v>2367</v>
      </c>
      <c r="CD9" s="294" t="s">
        <v>85</v>
      </c>
      <c r="CE9" s="294" t="s">
        <v>3388</v>
      </c>
      <c r="CF9" s="294" t="s">
        <v>2095</v>
      </c>
      <c r="CG9" s="294" t="s">
        <v>3358</v>
      </c>
      <c r="CH9" s="294" t="s">
        <v>1627</v>
      </c>
      <c r="CI9" s="294" t="s">
        <v>3321</v>
      </c>
      <c r="CJ9" s="294" t="s">
        <v>850</v>
      </c>
      <c r="CK9" s="294" t="s">
        <v>3386</v>
      </c>
      <c r="CL9" s="294" t="s">
        <v>1351</v>
      </c>
      <c r="CM9" s="294" t="s">
        <v>561</v>
      </c>
      <c r="CN9" s="294" t="s">
        <v>564</v>
      </c>
      <c r="CO9" s="294" t="s">
        <v>1308</v>
      </c>
      <c r="CP9" s="294" t="s">
        <v>144</v>
      </c>
      <c r="CQ9" s="294" t="s">
        <v>1236</v>
      </c>
      <c r="CR9" s="294" t="s">
        <v>991</v>
      </c>
      <c r="CS9" s="294" t="s">
        <v>1552</v>
      </c>
      <c r="CT9" s="294" t="s">
        <v>1613</v>
      </c>
      <c r="CU9" s="294" t="s">
        <v>3083</v>
      </c>
      <c r="CV9" s="294" t="s">
        <v>3303</v>
      </c>
      <c r="CW9" s="294" t="s">
        <v>1895</v>
      </c>
      <c r="CX9" s="294" t="s">
        <v>3261</v>
      </c>
      <c r="CY9" s="294" t="s">
        <v>357</v>
      </c>
      <c r="CZ9" s="294" t="s">
        <v>3302</v>
      </c>
      <c r="DA9" s="294" t="s">
        <v>506</v>
      </c>
      <c r="DB9" s="294" t="s">
        <v>1868</v>
      </c>
      <c r="DC9" s="294" t="s">
        <v>313</v>
      </c>
      <c r="DD9" s="294" t="s">
        <v>990</v>
      </c>
      <c r="DE9" s="294" t="s">
        <v>3324</v>
      </c>
      <c r="DF9" s="294" t="s">
        <v>819</v>
      </c>
      <c r="DG9" s="294" t="s">
        <v>2184</v>
      </c>
      <c r="DH9" s="294" t="s">
        <v>6</v>
      </c>
      <c r="DI9" s="294" t="s">
        <v>1163</v>
      </c>
      <c r="DJ9" s="294" t="s">
        <v>236</v>
      </c>
      <c r="DK9" s="294" t="s">
        <v>707</v>
      </c>
      <c r="DL9" s="294" t="s">
        <v>59</v>
      </c>
      <c r="DM9" s="294" t="s">
        <v>1293</v>
      </c>
      <c r="DN9" s="294" t="s">
        <v>3422</v>
      </c>
      <c r="DO9" s="294" t="s">
        <v>2941</v>
      </c>
      <c r="DP9" s="294" t="s">
        <v>2018</v>
      </c>
      <c r="DQ9" s="294" t="s">
        <v>596</v>
      </c>
      <c r="DR9" s="294" t="s">
        <v>2583</v>
      </c>
      <c r="DS9" s="294" t="s">
        <v>1889</v>
      </c>
      <c r="DT9" s="294" t="s">
        <v>3263</v>
      </c>
      <c r="DU9" s="294" t="s">
        <v>2373</v>
      </c>
      <c r="DV9" s="294" t="s">
        <v>1069</v>
      </c>
      <c r="DW9" s="294" t="s">
        <v>2122</v>
      </c>
      <c r="DX9" s="294" t="s">
        <v>1781</v>
      </c>
      <c r="DY9" s="294" t="s">
        <v>2657</v>
      </c>
      <c r="DZ9" s="294" t="s">
        <v>3249</v>
      </c>
      <c r="EA9" s="294" t="s">
        <v>15</v>
      </c>
      <c r="EB9" s="294" t="s">
        <v>149</v>
      </c>
      <c r="EC9" s="294" t="s">
        <v>563</v>
      </c>
      <c r="ED9" s="294" t="s">
        <v>566</v>
      </c>
      <c r="EE9" s="294" t="s">
        <v>2193</v>
      </c>
      <c r="EF9" s="294" t="s">
        <v>534</v>
      </c>
      <c r="EG9" s="294" t="s">
        <v>582</v>
      </c>
      <c r="EH9" s="294" t="s">
        <v>2761</v>
      </c>
      <c r="EI9" s="294" t="s">
        <v>3371</v>
      </c>
      <c r="EJ9" s="294" t="s">
        <v>1117</v>
      </c>
      <c r="EK9" s="294" t="s">
        <v>3129</v>
      </c>
      <c r="EL9" s="294" t="s">
        <v>2786</v>
      </c>
      <c r="EM9" s="294" t="s">
        <v>752</v>
      </c>
      <c r="EN9" s="294" t="s">
        <v>488</v>
      </c>
      <c r="EO9" s="294" t="s">
        <v>2276</v>
      </c>
      <c r="EP9" s="294" t="s">
        <v>819</v>
      </c>
      <c r="EQ9" s="294" t="s">
        <v>2039</v>
      </c>
      <c r="ER9" s="294" t="s">
        <v>503</v>
      </c>
      <c r="ES9" s="294" t="s">
        <v>1027</v>
      </c>
      <c r="ET9" s="294" t="s">
        <v>1736</v>
      </c>
      <c r="EU9" s="294" t="s">
        <v>807</v>
      </c>
      <c r="EV9" s="294" t="s">
        <v>532</v>
      </c>
      <c r="EW9" s="294" t="s">
        <v>2114</v>
      </c>
      <c r="EX9" s="294" t="s">
        <v>1611</v>
      </c>
      <c r="EY9" s="294" t="s">
        <v>999</v>
      </c>
      <c r="EZ9" s="294" t="s">
        <v>1314</v>
      </c>
      <c r="FA9" s="294" t="s">
        <v>1958</v>
      </c>
      <c r="FB9" s="294" t="s">
        <v>3305</v>
      </c>
      <c r="FC9" s="294" t="s">
        <v>886</v>
      </c>
      <c r="FD9" s="294" t="s">
        <v>819</v>
      </c>
      <c r="FE9" s="294" t="s">
        <v>230</v>
      </c>
      <c r="FF9" s="294" t="s">
        <v>2015</v>
      </c>
      <c r="FG9" s="294" t="s">
        <v>3045</v>
      </c>
      <c r="FH9" s="294" t="s">
        <v>667</v>
      </c>
      <c r="FI9" s="294" t="s">
        <v>691</v>
      </c>
      <c r="FJ9" s="294" t="s">
        <v>2023</v>
      </c>
      <c r="FK9" s="294" t="s">
        <v>3420</v>
      </c>
      <c r="FL9" s="294" t="s">
        <v>536</v>
      </c>
      <c r="FM9" s="294" t="s">
        <v>3157</v>
      </c>
      <c r="FN9" s="294" t="s">
        <v>1630</v>
      </c>
      <c r="FO9" s="294" t="s">
        <v>1413</v>
      </c>
      <c r="FP9" s="294" t="s">
        <v>2856</v>
      </c>
      <c r="FQ9" s="294" t="s">
        <v>2189</v>
      </c>
      <c r="FR9" s="294" t="s">
        <v>11</v>
      </c>
      <c r="FS9" s="294" t="s">
        <v>2530</v>
      </c>
      <c r="FT9" s="294" t="s">
        <v>2591</v>
      </c>
      <c r="FU9" s="294" t="s">
        <v>3441</v>
      </c>
      <c r="FV9" s="294" t="s">
        <v>1775</v>
      </c>
      <c r="FW9" s="294" t="s">
        <v>2733</v>
      </c>
      <c r="FX9" s="294" t="s">
        <v>3290</v>
      </c>
      <c r="FY9" s="294" t="s">
        <v>2442</v>
      </c>
      <c r="FZ9" s="294" t="s">
        <v>465</v>
      </c>
      <c r="GA9" s="294" t="s">
        <v>266</v>
      </c>
      <c r="GB9" s="294" t="s">
        <v>3226</v>
      </c>
      <c r="GC9" s="294" t="s">
        <v>1957</v>
      </c>
      <c r="GD9" s="294" t="s">
        <v>3304</v>
      </c>
      <c r="GE9" s="294" t="s">
        <v>2775</v>
      </c>
      <c r="GF9" s="294" t="s">
        <v>2811</v>
      </c>
      <c r="GG9" s="294" t="s">
        <v>2744</v>
      </c>
      <c r="GH9" s="294" t="s">
        <v>2072</v>
      </c>
      <c r="GI9" s="294" t="s">
        <v>1667</v>
      </c>
      <c r="GJ9" s="294" t="s">
        <v>1253</v>
      </c>
      <c r="GK9" s="294" t="s">
        <v>2187</v>
      </c>
      <c r="GL9" s="294" t="s">
        <v>9</v>
      </c>
      <c r="GM9" s="294" t="s">
        <v>3205</v>
      </c>
      <c r="GN9" s="294" t="s">
        <v>989</v>
      </c>
      <c r="GO9" s="294" t="s">
        <v>1762</v>
      </c>
      <c r="GP9" s="294" t="s">
        <v>1229</v>
      </c>
      <c r="GQ9" s="294" t="s">
        <v>1497</v>
      </c>
      <c r="GR9" s="294" t="s">
        <v>2576</v>
      </c>
      <c r="GS9" s="294" t="s">
        <v>2745</v>
      </c>
      <c r="GT9" s="294" t="s">
        <v>490</v>
      </c>
      <c r="GU9" s="294" t="s">
        <v>2235</v>
      </c>
      <c r="GV9" s="294" t="s">
        <v>2047</v>
      </c>
      <c r="GW9" s="294" t="s">
        <v>3206</v>
      </c>
      <c r="GX9" s="294" t="s">
        <v>1761</v>
      </c>
      <c r="GY9" s="294" t="s">
        <v>2479</v>
      </c>
      <c r="GZ9" s="294" t="s">
        <v>179</v>
      </c>
      <c r="HA9" s="294" t="s">
        <v>2773</v>
      </c>
      <c r="HB9" s="294" t="s">
        <v>2803</v>
      </c>
      <c r="HC9" s="294" t="s">
        <v>2995</v>
      </c>
      <c r="HD9" s="294" t="s">
        <v>3286</v>
      </c>
      <c r="HE9" s="294" t="s">
        <v>3323</v>
      </c>
      <c r="HF9" s="294" t="s">
        <v>1626</v>
      </c>
      <c r="HG9" s="294" t="s">
        <v>129</v>
      </c>
      <c r="HH9" s="294" t="s">
        <v>93</v>
      </c>
      <c r="HI9" s="294" t="s">
        <v>3123</v>
      </c>
      <c r="HJ9" s="294" t="s">
        <v>819</v>
      </c>
      <c r="HK9" s="294" t="s">
        <v>246</v>
      </c>
      <c r="HL9" s="294" t="s">
        <v>819</v>
      </c>
      <c r="HM9" s="294" t="s">
        <v>1494</v>
      </c>
      <c r="HN9" s="294" t="s">
        <v>1991</v>
      </c>
      <c r="HO9" s="294" t="s">
        <v>2826</v>
      </c>
      <c r="HP9" s="294" t="s">
        <v>1599</v>
      </c>
      <c r="HQ9" s="294" t="s">
        <v>268</v>
      </c>
      <c r="HR9" s="294" t="s">
        <v>177</v>
      </c>
      <c r="HS9" s="294" t="s">
        <v>2264</v>
      </c>
      <c r="HT9" s="294" t="s">
        <v>3286</v>
      </c>
      <c r="HU9" s="294" t="s">
        <v>3150</v>
      </c>
      <c r="HV9" s="294" t="s">
        <v>1627</v>
      </c>
      <c r="HW9" s="294" t="s">
        <v>2866</v>
      </c>
      <c r="HX9" s="294" t="s">
        <v>64</v>
      </c>
      <c r="HY9" s="294" t="s">
        <v>3185</v>
      </c>
      <c r="HZ9" s="294" t="s">
        <v>1640</v>
      </c>
      <c r="IA9" s="294" t="s">
        <v>952</v>
      </c>
      <c r="IB9" s="294" t="s">
        <v>819</v>
      </c>
      <c r="IC9" s="294" t="s">
        <v>2183</v>
      </c>
      <c r="ID9" s="294" t="s">
        <v>5</v>
      </c>
      <c r="IE9" s="294" t="s">
        <v>49</v>
      </c>
      <c r="IF9" s="294" t="s">
        <v>1830</v>
      </c>
      <c r="IG9" s="294" t="s">
        <v>1383</v>
      </c>
      <c r="IH9" s="294" t="s">
        <v>2780</v>
      </c>
      <c r="II9" s="294" t="s">
        <v>746</v>
      </c>
      <c r="IJ9" s="294" t="s">
        <v>1825</v>
      </c>
      <c r="IK9" s="294" t="s">
        <v>2982</v>
      </c>
      <c r="IL9" s="294" t="s">
        <v>1350</v>
      </c>
      <c r="IM9" s="294" t="s">
        <v>1566</v>
      </c>
      <c r="IN9" s="294" t="s">
        <v>3290</v>
      </c>
      <c r="IO9" s="294" t="s">
        <v>1049</v>
      </c>
      <c r="IP9" s="294" t="s">
        <v>877</v>
      </c>
      <c r="IQ9" s="294" t="s">
        <v>1691</v>
      </c>
      <c r="IR9" s="294" t="s">
        <v>819</v>
      </c>
      <c r="IS9" s="294" t="s">
        <v>3351</v>
      </c>
      <c r="IT9" s="294" t="s">
        <v>1623</v>
      </c>
      <c r="IU9" s="294" t="s">
        <v>2445</v>
      </c>
      <c r="IV9" s="294" t="s">
        <v>2342</v>
      </c>
    </row>
    <row r="10" spans="1:256" s="294" customFormat="1">
      <c r="A10" s="294" t="s">
        <v>2838</v>
      </c>
      <c r="B10" s="294" t="s">
        <v>567</v>
      </c>
      <c r="C10" s="294" t="s">
        <v>2476</v>
      </c>
      <c r="D10" s="294" t="s">
        <v>819</v>
      </c>
      <c r="E10" s="294" t="s">
        <v>2554</v>
      </c>
      <c r="F10" s="294" t="s">
        <v>2781</v>
      </c>
      <c r="G10" s="294" t="s">
        <v>2498</v>
      </c>
      <c r="H10" s="294" t="s">
        <v>95</v>
      </c>
      <c r="I10" s="294" t="s">
        <v>1784</v>
      </c>
      <c r="J10" s="294" t="s">
        <v>528</v>
      </c>
      <c r="K10" s="294" t="s">
        <v>2286</v>
      </c>
      <c r="L10" s="294" t="s">
        <v>3058</v>
      </c>
      <c r="M10" s="294" t="s">
        <v>987</v>
      </c>
      <c r="N10" s="294" t="s">
        <v>493</v>
      </c>
      <c r="O10" s="294" t="s">
        <v>694</v>
      </c>
      <c r="P10" s="294" t="s">
        <v>988</v>
      </c>
      <c r="Q10" s="294" t="s">
        <v>782</v>
      </c>
      <c r="R10" s="294" t="s">
        <v>182</v>
      </c>
      <c r="S10" s="294" t="s">
        <v>795</v>
      </c>
      <c r="T10" s="294" t="s">
        <v>3265</v>
      </c>
      <c r="U10" s="294" t="s">
        <v>2099</v>
      </c>
      <c r="V10" s="294" t="s">
        <v>3251</v>
      </c>
      <c r="W10" s="294" t="s">
        <v>1539</v>
      </c>
      <c r="X10" s="294" t="s">
        <v>906</v>
      </c>
      <c r="Y10" s="294" t="s">
        <v>50</v>
      </c>
      <c r="Z10" s="294" t="s">
        <v>583</v>
      </c>
      <c r="AA10" s="294" t="s">
        <v>2436</v>
      </c>
      <c r="AB10" s="294" t="s">
        <v>1794</v>
      </c>
      <c r="AC10" s="294" t="s">
        <v>793</v>
      </c>
      <c r="AD10" s="294" t="s">
        <v>1244</v>
      </c>
      <c r="AE10" s="294" t="s">
        <v>2832</v>
      </c>
      <c r="AF10" s="294" t="s">
        <v>2787</v>
      </c>
      <c r="AG10" s="294" t="s">
        <v>2084</v>
      </c>
      <c r="AH10" s="294" t="s">
        <v>1431</v>
      </c>
      <c r="AI10" s="294" t="s">
        <v>2958</v>
      </c>
      <c r="AJ10" s="294" t="s">
        <v>2080</v>
      </c>
      <c r="AK10" s="294" t="s">
        <v>2642</v>
      </c>
      <c r="AL10" s="294" t="s">
        <v>740</v>
      </c>
      <c r="AM10" s="294" t="s">
        <v>2081</v>
      </c>
      <c r="AN10" s="294" t="s">
        <v>1354</v>
      </c>
      <c r="AO10" s="294" t="s">
        <v>2843</v>
      </c>
      <c r="AP10" s="294" t="s">
        <v>2818</v>
      </c>
      <c r="AQ10" s="294" t="s">
        <v>1590</v>
      </c>
      <c r="AR10" s="294" t="s">
        <v>852</v>
      </c>
      <c r="AS10" s="294" t="s">
        <v>1948</v>
      </c>
      <c r="AT10" s="294" t="s">
        <v>3264</v>
      </c>
      <c r="AU10" s="294" t="s">
        <v>1540</v>
      </c>
      <c r="AV10" s="294" t="s">
        <v>819</v>
      </c>
      <c r="AW10" s="294" t="s">
        <v>3454</v>
      </c>
      <c r="AX10" s="294" t="s">
        <v>1114</v>
      </c>
      <c r="AY10" s="294" t="s">
        <v>926</v>
      </c>
      <c r="AZ10" s="294" t="s">
        <v>2370</v>
      </c>
      <c r="BA10" s="294" t="s">
        <v>1518</v>
      </c>
      <c r="BB10" s="294" t="s">
        <v>1090</v>
      </c>
      <c r="BC10" s="294" t="s">
        <v>925</v>
      </c>
      <c r="BD10" s="294" t="s">
        <v>1014</v>
      </c>
      <c r="BE10" s="294" t="s">
        <v>2178</v>
      </c>
      <c r="BF10" s="294" t="s">
        <v>0</v>
      </c>
      <c r="BG10" s="294" t="s">
        <v>888</v>
      </c>
      <c r="BH10" s="294" t="s">
        <v>3246</v>
      </c>
      <c r="BI10" s="294" t="s">
        <v>1461</v>
      </c>
      <c r="BJ10" s="294" t="s">
        <v>272</v>
      </c>
      <c r="BK10" s="294" t="s">
        <v>3158</v>
      </c>
      <c r="BL10" s="294" t="s">
        <v>819</v>
      </c>
      <c r="BM10" s="294" t="s">
        <v>2440</v>
      </c>
      <c r="BN10" s="294" t="s">
        <v>996</v>
      </c>
      <c r="BO10" s="294" t="s">
        <v>2910</v>
      </c>
      <c r="BP10" s="294" t="s">
        <v>2078</v>
      </c>
      <c r="BQ10" s="294" t="s">
        <v>514</v>
      </c>
      <c r="BR10" s="294" t="s">
        <v>1041</v>
      </c>
      <c r="BS10" s="294" t="s">
        <v>2562</v>
      </c>
      <c r="BT10" s="294" t="s">
        <v>989</v>
      </c>
      <c r="BU10" s="294" t="s">
        <v>1500</v>
      </c>
      <c r="BV10" s="294" t="s">
        <v>832</v>
      </c>
      <c r="BW10" s="294" t="s">
        <v>1817</v>
      </c>
      <c r="BX10" s="294" t="s">
        <v>1106</v>
      </c>
      <c r="BY10" s="294" t="s">
        <v>3223</v>
      </c>
      <c r="BZ10" s="294" t="s">
        <v>1618</v>
      </c>
      <c r="CA10" s="294" t="s">
        <v>806</v>
      </c>
      <c r="CB10" s="294" t="s">
        <v>1099</v>
      </c>
      <c r="CC10" s="294" t="s">
        <v>1250</v>
      </c>
      <c r="CD10" s="294" t="s">
        <v>3286</v>
      </c>
      <c r="CE10" s="294" t="s">
        <v>1052</v>
      </c>
      <c r="CF10" s="294" t="s">
        <v>2574</v>
      </c>
      <c r="CG10" s="294" t="s">
        <v>2876</v>
      </c>
      <c r="CH10" s="294" t="s">
        <v>739</v>
      </c>
      <c r="CI10" s="294" t="s">
        <v>1657</v>
      </c>
      <c r="CJ10" s="294" t="s">
        <v>1242</v>
      </c>
      <c r="CK10" s="294" t="s">
        <v>2737</v>
      </c>
      <c r="CL10" s="294" t="s">
        <v>2806</v>
      </c>
      <c r="CM10" s="294" t="s">
        <v>251</v>
      </c>
      <c r="CN10" s="294" t="s">
        <v>3263</v>
      </c>
      <c r="CO10" s="294" t="s">
        <v>2636</v>
      </c>
      <c r="CP10" s="294" t="s">
        <v>1110</v>
      </c>
      <c r="CQ10" s="294" t="s">
        <v>1668</v>
      </c>
      <c r="CR10" s="294" t="s">
        <v>1364</v>
      </c>
      <c r="CS10" s="294" t="s">
        <v>2344</v>
      </c>
      <c r="CT10" s="294" t="s">
        <v>502</v>
      </c>
      <c r="CU10" s="294" t="s">
        <v>1503</v>
      </c>
      <c r="CV10" s="294" t="s">
        <v>833</v>
      </c>
      <c r="CW10" s="294" t="s">
        <v>1546</v>
      </c>
      <c r="CX10" s="294" t="s">
        <v>2781</v>
      </c>
      <c r="CY10" s="294" t="s">
        <v>125</v>
      </c>
      <c r="CZ10" s="294" t="s">
        <v>446</v>
      </c>
      <c r="DA10" s="294" t="s">
        <v>798</v>
      </c>
      <c r="DB10" s="294" t="s">
        <v>3266</v>
      </c>
      <c r="DC10" s="294" t="s">
        <v>594</v>
      </c>
      <c r="DD10" s="294" t="s">
        <v>1267</v>
      </c>
      <c r="DE10" s="294" t="s">
        <v>1462</v>
      </c>
      <c r="DF10" s="294" t="s">
        <v>278</v>
      </c>
      <c r="DG10" s="294" t="s">
        <v>2749</v>
      </c>
      <c r="DH10" s="294" t="s">
        <v>840</v>
      </c>
      <c r="DI10" s="294" t="s">
        <v>423</v>
      </c>
      <c r="DJ10" s="294" t="s">
        <v>3124</v>
      </c>
      <c r="DK10" s="294" t="s">
        <v>1517</v>
      </c>
      <c r="DL10" s="294" t="s">
        <v>1089</v>
      </c>
      <c r="DM10" s="294" t="s">
        <v>1688</v>
      </c>
      <c r="DN10" s="294" t="s">
        <v>494</v>
      </c>
      <c r="DO10" s="294" t="s">
        <v>3350</v>
      </c>
      <c r="DP10" s="294" t="s">
        <v>1601</v>
      </c>
      <c r="DQ10" s="294" t="s">
        <v>3175</v>
      </c>
      <c r="DR10" s="294" t="s">
        <v>1637</v>
      </c>
      <c r="DS10" s="294" t="s">
        <v>1457</v>
      </c>
      <c r="DT10" s="294" t="s">
        <v>876</v>
      </c>
      <c r="DU10" s="294" t="s">
        <v>1646</v>
      </c>
      <c r="DV10" s="294" t="s">
        <v>819</v>
      </c>
      <c r="DW10" s="294" t="s">
        <v>2943</v>
      </c>
      <c r="DX10" s="294" t="s">
        <v>496</v>
      </c>
      <c r="DY10" s="294" t="s">
        <v>3186</v>
      </c>
      <c r="DZ10" s="294" t="s">
        <v>2071</v>
      </c>
      <c r="EA10" s="294" t="s">
        <v>2119</v>
      </c>
      <c r="EB10" s="294" t="s">
        <v>819</v>
      </c>
      <c r="EC10" s="294" t="s">
        <v>425</v>
      </c>
      <c r="ED10" s="294" t="s">
        <v>223</v>
      </c>
      <c r="EE10" s="294" t="s">
        <v>40</v>
      </c>
      <c r="EF10" s="294" t="s">
        <v>535</v>
      </c>
      <c r="EG10" s="294" t="s">
        <v>2473</v>
      </c>
      <c r="EH10" s="294" t="s">
        <v>1385</v>
      </c>
      <c r="EI10" s="294" t="s">
        <v>823</v>
      </c>
      <c r="EJ10" s="294" t="s">
        <v>996</v>
      </c>
      <c r="EK10" s="294" t="s">
        <v>2363</v>
      </c>
      <c r="EL10" s="294" t="s">
        <v>2364</v>
      </c>
      <c r="EM10" s="294" t="s">
        <v>1739</v>
      </c>
      <c r="EN10" s="294" t="s">
        <v>54</v>
      </c>
      <c r="EO10" s="294" t="s">
        <v>46</v>
      </c>
      <c r="EP10" s="294" t="s">
        <v>2341</v>
      </c>
      <c r="EQ10" s="294" t="s">
        <v>1575</v>
      </c>
      <c r="ER10" s="294" t="s">
        <v>843</v>
      </c>
      <c r="ES10" s="294" t="s">
        <v>168</v>
      </c>
      <c r="ET10" s="294" t="s">
        <v>174</v>
      </c>
      <c r="EU10" s="294" t="s">
        <v>3163</v>
      </c>
      <c r="EV10" s="294" t="s">
        <v>2788</v>
      </c>
      <c r="EW10" s="294" t="s">
        <v>2002</v>
      </c>
      <c r="EX10" s="294" t="s">
        <v>2589</v>
      </c>
      <c r="EY10" s="294" t="s">
        <v>1505</v>
      </c>
      <c r="EZ10" s="294" t="s">
        <v>535</v>
      </c>
      <c r="FA10" s="294" t="s">
        <v>335</v>
      </c>
      <c r="FB10" s="294" t="s">
        <v>526</v>
      </c>
      <c r="FC10" s="294" t="s">
        <v>2088</v>
      </c>
      <c r="FD10" s="294" t="s">
        <v>738</v>
      </c>
      <c r="FE10" s="294" t="s">
        <v>3061</v>
      </c>
      <c r="FF10" s="294" t="s">
        <v>2806</v>
      </c>
      <c r="FG10" s="294" t="s">
        <v>1216</v>
      </c>
      <c r="FH10" s="294" t="s">
        <v>956</v>
      </c>
      <c r="FI10" s="294" t="s">
        <v>1785</v>
      </c>
      <c r="FJ10" s="294" t="s">
        <v>1104</v>
      </c>
      <c r="FK10" s="294" t="s">
        <v>445</v>
      </c>
      <c r="FL10" s="294" t="s">
        <v>1095</v>
      </c>
      <c r="FM10" s="294" t="s">
        <v>241</v>
      </c>
      <c r="FN10" s="294" t="s">
        <v>819</v>
      </c>
      <c r="FO10" s="294" t="s">
        <v>554</v>
      </c>
      <c r="FP10" s="294" t="s">
        <v>1728</v>
      </c>
      <c r="FQ10" s="294" t="s">
        <v>1695</v>
      </c>
      <c r="FR10" s="294" t="s">
        <v>992</v>
      </c>
      <c r="FS10" s="294" t="s">
        <v>1399</v>
      </c>
      <c r="FT10" s="294" t="s">
        <v>1776</v>
      </c>
      <c r="FU10" s="294" t="s">
        <v>347</v>
      </c>
      <c r="FV10" s="294" t="s">
        <v>1718</v>
      </c>
      <c r="FW10" s="294" t="s">
        <v>1682</v>
      </c>
      <c r="FX10" s="294" t="s">
        <v>1093</v>
      </c>
      <c r="FY10" s="294" t="s">
        <v>2740</v>
      </c>
      <c r="FZ10" s="294" t="s">
        <v>3222</v>
      </c>
      <c r="GA10" s="294" t="s">
        <v>1133</v>
      </c>
      <c r="GB10" s="294" t="s">
        <v>1262</v>
      </c>
      <c r="GC10" s="294" t="s">
        <v>917</v>
      </c>
      <c r="GD10" s="294" t="s">
        <v>501</v>
      </c>
      <c r="GE10" s="294" t="s">
        <v>428</v>
      </c>
      <c r="GF10" s="294" t="s">
        <v>819</v>
      </c>
      <c r="GG10" s="294" t="s">
        <v>1585</v>
      </c>
      <c r="GH10" s="294" t="s">
        <v>1990</v>
      </c>
      <c r="GI10" s="294" t="s">
        <v>80</v>
      </c>
      <c r="GJ10" s="294" t="s">
        <v>109</v>
      </c>
      <c r="GK10" s="294" t="s">
        <v>2868</v>
      </c>
      <c r="GL10" s="294" t="s">
        <v>1771</v>
      </c>
      <c r="GM10" s="294" t="s">
        <v>3188</v>
      </c>
      <c r="GN10" s="294" t="s">
        <v>3287</v>
      </c>
      <c r="GO10" s="294" t="s">
        <v>3021</v>
      </c>
      <c r="GP10" s="294" t="s">
        <v>2789</v>
      </c>
      <c r="GQ10" s="294" t="s">
        <v>1551</v>
      </c>
      <c r="GR10" s="294" t="s">
        <v>2812</v>
      </c>
      <c r="GS10" s="294" t="s">
        <v>185</v>
      </c>
      <c r="GT10" s="294" t="s">
        <v>1899</v>
      </c>
      <c r="GU10" s="294" t="s">
        <v>2268</v>
      </c>
      <c r="GV10" s="294" t="s">
        <v>1618</v>
      </c>
      <c r="GW10" s="294" t="s">
        <v>1740</v>
      </c>
      <c r="GX10" s="294" t="s">
        <v>3300</v>
      </c>
      <c r="GY10" s="294" t="s">
        <v>2512</v>
      </c>
      <c r="GZ10" s="294" t="s">
        <v>819</v>
      </c>
      <c r="HA10" s="294" t="s">
        <v>2085</v>
      </c>
      <c r="HB10" s="294" t="s">
        <v>3265</v>
      </c>
      <c r="HC10" s="294" t="s">
        <v>1332</v>
      </c>
      <c r="HD10" s="294" t="s">
        <v>3247</v>
      </c>
      <c r="HE10" s="294" t="s">
        <v>3148</v>
      </c>
      <c r="HF10" s="294" t="s">
        <v>2794</v>
      </c>
      <c r="HG10" s="294" t="s">
        <v>62</v>
      </c>
      <c r="HH10" s="294" t="s">
        <v>495</v>
      </c>
      <c r="HI10" s="294" t="s">
        <v>598</v>
      </c>
      <c r="HJ10" s="294" t="s">
        <v>1088</v>
      </c>
      <c r="HK10" s="294" t="s">
        <v>858</v>
      </c>
      <c r="HL10" s="294" t="s">
        <v>1990</v>
      </c>
      <c r="HM10" s="294" t="s">
        <v>1643</v>
      </c>
      <c r="HN10" s="294" t="s">
        <v>819</v>
      </c>
      <c r="HO10" s="294" t="s">
        <v>693</v>
      </c>
      <c r="HP10" s="294" t="s">
        <v>3261</v>
      </c>
      <c r="HQ10" s="294" t="s">
        <v>1681</v>
      </c>
      <c r="HR10" s="294" t="s">
        <v>2340</v>
      </c>
      <c r="HS10" s="294" t="s">
        <v>262</v>
      </c>
      <c r="HT10" s="294" t="s">
        <v>621</v>
      </c>
      <c r="HU10" s="294" t="s">
        <v>3147</v>
      </c>
      <c r="HV10" s="294" t="s">
        <v>2683</v>
      </c>
      <c r="HW10" s="294" t="s">
        <v>2259</v>
      </c>
      <c r="HX10" s="294" t="s">
        <v>741</v>
      </c>
      <c r="HY10" s="294" t="s">
        <v>2170</v>
      </c>
      <c r="HZ10" s="294" t="s">
        <v>496</v>
      </c>
      <c r="IA10" s="294" t="s">
        <v>581</v>
      </c>
      <c r="IB10" s="294" t="s">
        <v>2759</v>
      </c>
      <c r="IC10" s="294" t="s">
        <v>1007</v>
      </c>
      <c r="ID10" s="294" t="s">
        <v>3250</v>
      </c>
      <c r="IE10" s="294" t="s">
        <v>2526</v>
      </c>
      <c r="IF10" s="294" t="s">
        <v>2080</v>
      </c>
      <c r="IG10" s="294" t="s">
        <v>2182</v>
      </c>
      <c r="IH10" s="294" t="s">
        <v>4</v>
      </c>
      <c r="II10" s="294" t="s">
        <v>208</v>
      </c>
      <c r="IJ10" s="294" t="s">
        <v>487</v>
      </c>
      <c r="IK10" s="294" t="s">
        <v>2907</v>
      </c>
      <c r="IL10" s="294" t="s">
        <v>1754</v>
      </c>
      <c r="IM10" s="294" t="s">
        <v>1956</v>
      </c>
      <c r="IN10" s="294" t="s">
        <v>819</v>
      </c>
      <c r="IO10" s="294" t="s">
        <v>3213</v>
      </c>
      <c r="IP10" s="294" t="s">
        <v>1738</v>
      </c>
      <c r="IQ10" s="294" t="s">
        <v>433</v>
      </c>
      <c r="IR10" s="294" t="s">
        <v>1795</v>
      </c>
      <c r="IS10" s="294" t="s">
        <v>2474</v>
      </c>
      <c r="IT10" s="294" t="s">
        <v>86</v>
      </c>
      <c r="IU10" s="294" t="s">
        <v>2914</v>
      </c>
      <c r="IV10" s="294" t="s">
        <v>530</v>
      </c>
    </row>
    <row r="11" spans="1:256" s="294" customFormat="1">
      <c r="A11" s="294" t="s">
        <v>3346</v>
      </c>
      <c r="B11" s="294" t="s">
        <v>1014</v>
      </c>
      <c r="C11" s="294" t="s">
        <v>3086</v>
      </c>
      <c r="D11" s="294" t="s">
        <v>2584</v>
      </c>
      <c r="E11" s="294" t="s">
        <v>1954</v>
      </c>
      <c r="F11" s="294" t="s">
        <v>1989</v>
      </c>
      <c r="G11" s="294" t="s">
        <v>557</v>
      </c>
      <c r="H11" s="294" t="s">
        <v>1429</v>
      </c>
      <c r="I11" s="294" t="s">
        <v>3116</v>
      </c>
      <c r="J11" s="294" t="s">
        <v>1113</v>
      </c>
      <c r="K11" s="294" t="s">
        <v>2034</v>
      </c>
      <c r="L11" s="294" t="s">
        <v>1258</v>
      </c>
      <c r="M11" s="294" t="s">
        <v>2352</v>
      </c>
      <c r="N11" s="294" t="s">
        <v>819</v>
      </c>
      <c r="O11" s="294" t="s">
        <v>250</v>
      </c>
      <c r="P11" s="294" t="s">
        <v>3245</v>
      </c>
      <c r="Q11" s="294" t="s">
        <v>2776</v>
      </c>
      <c r="R11" s="294" t="s">
        <v>2812</v>
      </c>
      <c r="S11" s="294" t="s">
        <v>1902</v>
      </c>
      <c r="T11" s="294" t="s">
        <v>95</v>
      </c>
      <c r="U11" s="294" t="s">
        <v>1669</v>
      </c>
      <c r="V11" s="294" t="s">
        <v>1270</v>
      </c>
      <c r="W11" s="294" t="s">
        <v>3387</v>
      </c>
      <c r="X11" s="294" t="s">
        <v>1729</v>
      </c>
      <c r="Y11" s="294" t="s">
        <v>1966</v>
      </c>
      <c r="Z11" s="294" t="s">
        <v>458</v>
      </c>
      <c r="AA11" s="294" t="s">
        <v>3340</v>
      </c>
      <c r="AB11" s="294" t="s">
        <v>3287</v>
      </c>
      <c r="AC11" s="294" t="s">
        <v>252</v>
      </c>
      <c r="AD11" s="294" t="s">
        <v>157</v>
      </c>
      <c r="AE11" s="294" t="s">
        <v>1197</v>
      </c>
      <c r="AF11" s="294" t="s">
        <v>859</v>
      </c>
      <c r="AG11" s="294" t="s">
        <v>1842</v>
      </c>
      <c r="AH11" s="294" t="s">
        <v>17</v>
      </c>
      <c r="AI11" s="294" t="s">
        <v>2140</v>
      </c>
      <c r="AJ11" s="294" t="s">
        <v>3245</v>
      </c>
      <c r="AK11" s="294" t="s">
        <v>517</v>
      </c>
      <c r="AL11" s="294" t="s">
        <v>1366</v>
      </c>
      <c r="AM11" s="294" t="s">
        <v>924</v>
      </c>
      <c r="AN11" s="294" t="s">
        <v>2369</v>
      </c>
      <c r="AO11" s="294" t="s">
        <v>1175</v>
      </c>
      <c r="AP11" s="294" t="s">
        <v>501</v>
      </c>
      <c r="AQ11" s="294" t="s">
        <v>1953</v>
      </c>
      <c r="AR11" s="294" t="s">
        <v>1774</v>
      </c>
      <c r="AS11" s="294" t="s">
        <v>1662</v>
      </c>
      <c r="AT11" s="294" t="s">
        <v>3298</v>
      </c>
      <c r="AU11" s="294" t="s">
        <v>2121</v>
      </c>
      <c r="AV11" s="294" t="s">
        <v>882</v>
      </c>
      <c r="AW11" s="294" t="s">
        <v>3029</v>
      </c>
      <c r="AX11" s="294" t="s">
        <v>1939</v>
      </c>
      <c r="AY11" s="294" t="s">
        <v>2001</v>
      </c>
      <c r="AZ11" s="294" t="s">
        <v>1244</v>
      </c>
      <c r="BA11" s="294" t="s">
        <v>1032</v>
      </c>
      <c r="BB11" s="294" t="s">
        <v>819</v>
      </c>
      <c r="BC11" s="294" t="s">
        <v>755</v>
      </c>
      <c r="BD11" s="294" t="s">
        <v>2817</v>
      </c>
      <c r="BE11" s="294" t="s">
        <v>1567</v>
      </c>
      <c r="BF11" s="294" t="s">
        <v>819</v>
      </c>
      <c r="BG11" s="294" t="s">
        <v>151</v>
      </c>
      <c r="BH11" s="294" t="s">
        <v>1922</v>
      </c>
      <c r="BI11" s="294" t="s">
        <v>2997</v>
      </c>
      <c r="BJ11" s="294" t="s">
        <v>3249</v>
      </c>
      <c r="BK11" s="294" t="s">
        <v>2036</v>
      </c>
      <c r="BL11" s="294" t="s">
        <v>180</v>
      </c>
      <c r="BM11" s="294" t="s">
        <v>202</v>
      </c>
      <c r="BN11" s="294" t="s">
        <v>819</v>
      </c>
      <c r="BO11" s="294" t="s">
        <v>3444</v>
      </c>
      <c r="BP11" s="294" t="s">
        <v>1260</v>
      </c>
      <c r="BQ11" s="294" t="s">
        <v>2443</v>
      </c>
      <c r="BR11" s="294" t="s">
        <v>2853</v>
      </c>
      <c r="BS11" s="294" t="s">
        <v>3404</v>
      </c>
      <c r="BT11" s="294" t="s">
        <v>819</v>
      </c>
      <c r="BU11" s="294" t="s">
        <v>1513</v>
      </c>
      <c r="BV11" s="294" t="s">
        <v>2579</v>
      </c>
      <c r="BW11" s="294" t="s">
        <v>2123</v>
      </c>
      <c r="BX11" s="294" t="s">
        <v>874</v>
      </c>
      <c r="BY11" s="294" t="s">
        <v>1459</v>
      </c>
      <c r="BZ11" s="294" t="s">
        <v>415</v>
      </c>
      <c r="CA11" s="294" t="s">
        <v>1524</v>
      </c>
      <c r="CB11" s="294" t="s">
        <v>1425</v>
      </c>
      <c r="CC11" s="294" t="s">
        <v>3203</v>
      </c>
      <c r="CD11" s="294" t="s">
        <v>1760</v>
      </c>
      <c r="CE11" s="294" t="s">
        <v>1217</v>
      </c>
      <c r="CF11" s="294" t="s">
        <v>1991</v>
      </c>
      <c r="CG11" s="294" t="s">
        <v>2558</v>
      </c>
      <c r="CH11" s="294" t="s">
        <v>2808</v>
      </c>
      <c r="CI11" s="294" t="s">
        <v>3215</v>
      </c>
      <c r="CJ11" s="294" t="s">
        <v>497</v>
      </c>
      <c r="CK11" s="294" t="s">
        <v>922</v>
      </c>
      <c r="CL11" s="294" t="s">
        <v>2369</v>
      </c>
      <c r="CM11" s="294" t="s">
        <v>3026</v>
      </c>
      <c r="CN11" s="294" t="s">
        <v>3260</v>
      </c>
      <c r="CO11" s="294" t="s">
        <v>1435</v>
      </c>
      <c r="CP11" s="294" t="s">
        <v>25</v>
      </c>
      <c r="CQ11" s="294" t="s">
        <v>684</v>
      </c>
      <c r="CR11" s="294" t="s">
        <v>1760</v>
      </c>
      <c r="CS11" s="294" t="s">
        <v>698</v>
      </c>
      <c r="CT11" s="294" t="s">
        <v>1115</v>
      </c>
      <c r="CU11" s="294" t="s">
        <v>2350</v>
      </c>
      <c r="CV11" s="294" t="s">
        <v>1921</v>
      </c>
      <c r="CW11" s="294" t="s">
        <v>2998</v>
      </c>
      <c r="CX11" s="294" t="s">
        <v>412</v>
      </c>
      <c r="CY11" s="294" t="s">
        <v>2321</v>
      </c>
      <c r="CZ11" s="294" t="s">
        <v>173</v>
      </c>
      <c r="DA11" s="294" t="s">
        <v>435</v>
      </c>
      <c r="DB11" s="294" t="s">
        <v>2810</v>
      </c>
      <c r="DC11" s="294" t="s">
        <v>1218</v>
      </c>
      <c r="DD11" s="294" t="s">
        <v>463</v>
      </c>
      <c r="DE11" s="294" t="s">
        <v>186</v>
      </c>
      <c r="DF11" s="294" t="s">
        <v>2804</v>
      </c>
      <c r="DG11" s="294" t="s">
        <v>1596</v>
      </c>
      <c r="DH11" s="294" t="s">
        <v>2024</v>
      </c>
      <c r="DI11" s="294" t="s">
        <v>523</v>
      </c>
      <c r="DJ11" s="294" t="s">
        <v>363</v>
      </c>
      <c r="DK11" s="294" t="s">
        <v>796</v>
      </c>
      <c r="DL11" s="294" t="s">
        <v>498</v>
      </c>
      <c r="DM11" s="294" t="s">
        <v>367</v>
      </c>
      <c r="DN11" s="294" t="s">
        <v>485</v>
      </c>
      <c r="DO11" s="294" t="s">
        <v>2366</v>
      </c>
      <c r="DP11" s="294" t="s">
        <v>2814</v>
      </c>
      <c r="DQ11" s="294" t="s">
        <v>3168</v>
      </c>
      <c r="DR11" s="294" t="s">
        <v>1906</v>
      </c>
      <c r="DS11" s="294" t="s">
        <v>1416</v>
      </c>
      <c r="DT11" s="294" t="s">
        <v>1772</v>
      </c>
      <c r="DU11" s="294" t="s">
        <v>2325</v>
      </c>
      <c r="DV11" s="294" t="s">
        <v>314</v>
      </c>
      <c r="DW11" s="294" t="s">
        <v>1839</v>
      </c>
      <c r="DX11" s="294" t="s">
        <v>819</v>
      </c>
      <c r="DY11" s="294" t="s">
        <v>790</v>
      </c>
      <c r="DZ11" s="294" t="s">
        <v>3722</v>
      </c>
      <c r="EA11" s="294" t="s">
        <v>955</v>
      </c>
      <c r="EB11" s="294" t="s">
        <v>2809</v>
      </c>
      <c r="EC11" s="294" t="s">
        <v>971</v>
      </c>
      <c r="ED11" s="294" t="s">
        <v>3248</v>
      </c>
      <c r="EE11" s="294" t="s">
        <v>696</v>
      </c>
      <c r="EF11" s="294" t="s">
        <v>172</v>
      </c>
      <c r="EG11" s="294" t="s">
        <v>289</v>
      </c>
      <c r="EH11" s="294" t="s">
        <v>3245</v>
      </c>
      <c r="EI11" s="294" t="s">
        <v>1006</v>
      </c>
      <c r="EJ11" s="294" t="s">
        <v>1368</v>
      </c>
      <c r="EK11" s="294" t="s">
        <v>1396</v>
      </c>
      <c r="EL11" s="294" t="s">
        <v>2078</v>
      </c>
      <c r="EM11" s="294" t="s">
        <v>3202</v>
      </c>
      <c r="EN11" s="294" t="s">
        <v>1242</v>
      </c>
      <c r="EO11" s="294" t="s">
        <v>2052</v>
      </c>
      <c r="EP11" s="294" t="s">
        <v>620</v>
      </c>
      <c r="EQ11" s="294" t="s">
        <v>3076</v>
      </c>
      <c r="ER11" s="294" t="s">
        <v>3256</v>
      </c>
      <c r="ES11" s="294" t="s">
        <v>3167</v>
      </c>
      <c r="ET11" s="294" t="s">
        <v>1633</v>
      </c>
      <c r="EU11" s="294" t="s">
        <v>284</v>
      </c>
      <c r="EV11" s="294" t="s">
        <v>2817</v>
      </c>
      <c r="EW11" s="294" t="s">
        <v>346</v>
      </c>
      <c r="EX11" s="294" t="s">
        <v>1717</v>
      </c>
      <c r="EY11" s="294" t="s">
        <v>1030</v>
      </c>
      <c r="EZ11" s="294" t="s">
        <v>1156</v>
      </c>
      <c r="FA11" s="294" t="s">
        <v>1883</v>
      </c>
      <c r="FB11" s="294" t="s">
        <v>1884</v>
      </c>
      <c r="FC11" s="294" t="s">
        <v>1725</v>
      </c>
      <c r="FD11" s="294" t="s">
        <v>471</v>
      </c>
      <c r="FE11" s="294" t="s">
        <v>1782</v>
      </c>
      <c r="FF11" s="294" t="s">
        <v>17</v>
      </c>
      <c r="FG11" s="294" t="s">
        <v>1834</v>
      </c>
      <c r="FH11" s="294" t="s">
        <v>1711</v>
      </c>
      <c r="FI11" s="294" t="s">
        <v>2611</v>
      </c>
      <c r="FJ11" s="294" t="s">
        <v>3249</v>
      </c>
      <c r="FK11" s="294" t="s">
        <v>2197</v>
      </c>
      <c r="FL11" s="294" t="s">
        <v>3002</v>
      </c>
      <c r="FM11" s="294" t="s">
        <v>126</v>
      </c>
      <c r="FN11" s="294" t="s">
        <v>868</v>
      </c>
      <c r="FO11" s="294" t="s">
        <v>2679</v>
      </c>
      <c r="FP11" s="294" t="s">
        <v>819</v>
      </c>
      <c r="FQ11" s="294" t="s">
        <v>754</v>
      </c>
      <c r="FR11" s="294" t="s">
        <v>3298</v>
      </c>
      <c r="FS11" s="294" t="s">
        <v>2940</v>
      </c>
      <c r="FT11" s="294" t="s">
        <v>55</v>
      </c>
      <c r="FU11" s="294" t="s">
        <v>3137</v>
      </c>
      <c r="FV11" s="294" t="s">
        <v>1622</v>
      </c>
      <c r="FW11" s="294" t="s">
        <v>1053</v>
      </c>
      <c r="FX11" s="294" t="s">
        <v>3290</v>
      </c>
      <c r="FY11" s="294" t="s">
        <v>3156</v>
      </c>
      <c r="FZ11" s="294" t="s">
        <v>2821</v>
      </c>
      <c r="GA11" s="294" t="s">
        <v>1658</v>
      </c>
      <c r="GB11" s="294" t="s">
        <v>1608</v>
      </c>
      <c r="GC11" s="294" t="s">
        <v>3173</v>
      </c>
      <c r="GD11" s="294" t="s">
        <v>1778</v>
      </c>
      <c r="GE11" s="294" t="s">
        <v>123</v>
      </c>
      <c r="GF11" s="294" t="s">
        <v>2337</v>
      </c>
      <c r="GG11" s="294" t="s">
        <v>3327</v>
      </c>
      <c r="GH11" s="294" t="s">
        <v>831</v>
      </c>
      <c r="GI11" s="294" t="s">
        <v>2906</v>
      </c>
      <c r="GJ11" s="294" t="s">
        <v>819</v>
      </c>
      <c r="GK11" s="294" t="s">
        <v>821</v>
      </c>
      <c r="GL11" s="294" t="s">
        <v>1065</v>
      </c>
      <c r="GM11" s="294" t="s">
        <v>706</v>
      </c>
      <c r="GN11" s="294" t="s">
        <v>58</v>
      </c>
      <c r="GO11" s="294" t="s">
        <v>1198</v>
      </c>
      <c r="GP11" s="294" t="s">
        <v>3301</v>
      </c>
      <c r="GQ11" s="294" t="s">
        <v>2968</v>
      </c>
      <c r="GR11" s="294" t="s">
        <v>2587</v>
      </c>
      <c r="GS11" s="294" t="s">
        <v>130</v>
      </c>
      <c r="GT11" s="294" t="s">
        <v>809</v>
      </c>
      <c r="GU11" s="294" t="s">
        <v>2449</v>
      </c>
      <c r="GV11" s="294" t="s">
        <v>3301</v>
      </c>
      <c r="GW11" s="294" t="s">
        <v>780</v>
      </c>
      <c r="GX11" s="294" t="s">
        <v>468</v>
      </c>
      <c r="GY11" s="294" t="s">
        <v>2563</v>
      </c>
      <c r="GZ11" s="294" t="s">
        <v>3230</v>
      </c>
      <c r="HA11" s="294" t="s">
        <v>507</v>
      </c>
      <c r="HB11" s="294" t="s">
        <v>473</v>
      </c>
      <c r="HC11" s="294" t="s">
        <v>1547</v>
      </c>
      <c r="HD11" s="294" t="s">
        <v>1611</v>
      </c>
      <c r="HE11" s="294" t="s">
        <v>1388</v>
      </c>
      <c r="HF11" s="294" t="s">
        <v>1154</v>
      </c>
      <c r="HG11" s="294" t="s">
        <v>1000</v>
      </c>
      <c r="HH11" s="294" t="s">
        <v>64</v>
      </c>
      <c r="HI11" s="294" t="s">
        <v>2053</v>
      </c>
      <c r="HJ11" s="294" t="s">
        <v>621</v>
      </c>
      <c r="HK11" s="294" t="s">
        <v>1441</v>
      </c>
      <c r="HL11" s="294" t="s">
        <v>1706</v>
      </c>
      <c r="HM11" s="294" t="s">
        <v>1477</v>
      </c>
      <c r="HN11" s="294" t="s">
        <v>1116</v>
      </c>
      <c r="HO11" s="294" t="s">
        <v>30</v>
      </c>
      <c r="HP11" s="294" t="s">
        <v>2854</v>
      </c>
      <c r="HQ11" s="294" t="s">
        <v>556</v>
      </c>
      <c r="HR11" s="294" t="s">
        <v>2384</v>
      </c>
      <c r="HS11" s="294" t="s">
        <v>1050</v>
      </c>
      <c r="HT11" s="294" t="s">
        <v>625</v>
      </c>
      <c r="HU11" s="294" t="s">
        <v>2126</v>
      </c>
      <c r="HV11" s="294" t="s">
        <v>1241</v>
      </c>
      <c r="HW11" s="294" t="s">
        <v>2564</v>
      </c>
      <c r="HX11" s="294" t="s">
        <v>292</v>
      </c>
      <c r="HY11" s="294" t="s">
        <v>2229</v>
      </c>
      <c r="HZ11" s="294" t="s">
        <v>3247</v>
      </c>
      <c r="IA11" s="294" t="s">
        <v>2004</v>
      </c>
      <c r="IB11" s="294" t="s">
        <v>1066</v>
      </c>
      <c r="IC11" s="294" t="s">
        <v>333</v>
      </c>
      <c r="ID11" s="294" t="s">
        <v>497</v>
      </c>
      <c r="IE11" s="294" t="s">
        <v>2734</v>
      </c>
      <c r="IF11" s="294" t="s">
        <v>834</v>
      </c>
      <c r="IG11" s="294" t="s">
        <v>3136</v>
      </c>
      <c r="IH11" s="294" t="s">
        <v>1621</v>
      </c>
      <c r="II11" s="294" t="s">
        <v>1542</v>
      </c>
      <c r="IJ11" s="294" t="s">
        <v>1609</v>
      </c>
      <c r="IK11" s="294" t="s">
        <v>553</v>
      </c>
      <c r="IL11" s="294" t="s">
        <v>3253</v>
      </c>
      <c r="IM11" s="294" t="s">
        <v>1894</v>
      </c>
      <c r="IN11" s="294" t="s">
        <v>1233</v>
      </c>
      <c r="IO11" s="294" t="s">
        <v>2383</v>
      </c>
      <c r="IP11" s="294" t="s">
        <v>1366</v>
      </c>
      <c r="IQ11" s="294" t="s">
        <v>1586</v>
      </c>
      <c r="IR11" s="294" t="s">
        <v>3298</v>
      </c>
      <c r="IS11" s="294" t="s">
        <v>3348</v>
      </c>
      <c r="IT11" s="294" t="s">
        <v>1760</v>
      </c>
      <c r="IU11" s="294" t="s">
        <v>2836</v>
      </c>
      <c r="IV11" s="294" t="s">
        <v>1604</v>
      </c>
    </row>
    <row r="12" spans="1:256" s="294" customFormat="1">
      <c r="A12" s="294" t="s">
        <v>2377</v>
      </c>
      <c r="B12" s="294" t="s">
        <v>1103</v>
      </c>
      <c r="C12" s="294" t="s">
        <v>580</v>
      </c>
      <c r="D12" s="294" t="s">
        <v>2758</v>
      </c>
      <c r="E12" s="294" t="s">
        <v>546</v>
      </c>
      <c r="F12" s="294" t="s">
        <v>819</v>
      </c>
      <c r="G12" s="294" t="s">
        <v>1891</v>
      </c>
      <c r="H12" s="294" t="s">
        <v>1865</v>
      </c>
      <c r="I12" s="294" t="s">
        <v>342</v>
      </c>
      <c r="J12" s="294" t="s">
        <v>1715</v>
      </c>
      <c r="K12" s="294" t="s">
        <v>3240</v>
      </c>
      <c r="L12" s="294" t="s">
        <v>181</v>
      </c>
      <c r="M12" s="294" t="s">
        <v>152</v>
      </c>
      <c r="N12" s="294" t="s">
        <v>110</v>
      </c>
      <c r="O12" s="294" t="s">
        <v>1570</v>
      </c>
      <c r="P12" s="294" t="s">
        <v>810</v>
      </c>
      <c r="Q12" s="294" t="s">
        <v>579</v>
      </c>
      <c r="R12" s="294" t="s">
        <v>2757</v>
      </c>
      <c r="S12" s="294" t="s">
        <v>3338</v>
      </c>
      <c r="T12" s="294" t="s">
        <v>155</v>
      </c>
      <c r="U12" s="294" t="s">
        <v>3443</v>
      </c>
      <c r="V12" s="294" t="s">
        <v>2024</v>
      </c>
      <c r="W12" s="294" t="s">
        <v>986</v>
      </c>
      <c r="X12" s="294" t="s">
        <v>492</v>
      </c>
      <c r="Y12" s="294" t="s">
        <v>788</v>
      </c>
      <c r="Z12" s="294" t="s">
        <v>1942</v>
      </c>
      <c r="AA12" s="294" t="s">
        <v>1888</v>
      </c>
      <c r="AB12" s="294" t="s">
        <v>1605</v>
      </c>
      <c r="AC12" s="294" t="s">
        <v>794</v>
      </c>
      <c r="AD12" s="294" t="s">
        <v>819</v>
      </c>
      <c r="AE12" s="294" t="s">
        <v>2355</v>
      </c>
      <c r="AF12" s="294" t="s">
        <v>1992</v>
      </c>
      <c r="AG12" s="294" t="s">
        <v>2027</v>
      </c>
      <c r="AH12" s="294" t="s">
        <v>3035</v>
      </c>
      <c r="AI12" s="294" t="s">
        <v>287</v>
      </c>
      <c r="AJ12" s="294" t="s">
        <v>2846</v>
      </c>
      <c r="AK12" s="294" t="s">
        <v>2424</v>
      </c>
      <c r="AL12" s="294" t="s">
        <v>3254</v>
      </c>
      <c r="AM12" s="294" t="s">
        <v>201</v>
      </c>
      <c r="AN12" s="294" t="s">
        <v>1230</v>
      </c>
      <c r="AO12" s="294" t="s">
        <v>1358</v>
      </c>
      <c r="AP12" s="294" t="s">
        <v>622</v>
      </c>
      <c r="AQ12" s="294" t="s">
        <v>258</v>
      </c>
      <c r="AR12" s="294" t="s">
        <v>3255</v>
      </c>
      <c r="AS12" s="294" t="s">
        <v>2743</v>
      </c>
      <c r="AT12" s="294" t="s">
        <v>837</v>
      </c>
      <c r="AU12" s="294" t="s">
        <v>270</v>
      </c>
      <c r="AV12" s="294" t="s">
        <v>2342</v>
      </c>
      <c r="AW12" s="294" t="s">
        <v>2292</v>
      </c>
      <c r="AX12" s="294" t="s">
        <v>1430</v>
      </c>
      <c r="AY12" s="294" t="s">
        <v>3027</v>
      </c>
      <c r="AZ12" s="294" t="s">
        <v>1938</v>
      </c>
      <c r="BA12" s="294" t="s">
        <v>702</v>
      </c>
      <c r="BB12" s="294" t="s">
        <v>495</v>
      </c>
      <c r="BC12" s="294" t="s">
        <v>1507</v>
      </c>
      <c r="BD12" s="294" t="s">
        <v>3255</v>
      </c>
      <c r="BE12" s="294" t="s">
        <v>3109</v>
      </c>
      <c r="BF12" s="294" t="s">
        <v>220</v>
      </c>
      <c r="BG12" s="294" t="s">
        <v>2500</v>
      </c>
      <c r="BH12" s="294" t="s">
        <v>2798</v>
      </c>
      <c r="BI12" s="294" t="s">
        <v>1665</v>
      </c>
      <c r="BJ12" s="294" t="s">
        <v>1070</v>
      </c>
      <c r="BK12" s="294" t="s">
        <v>2741</v>
      </c>
      <c r="BL12" s="294" t="s">
        <v>2782</v>
      </c>
      <c r="BM12" s="294" t="s">
        <v>43</v>
      </c>
      <c r="BN12" s="294" t="s">
        <v>156</v>
      </c>
      <c r="BO12" s="294" t="s">
        <v>1893</v>
      </c>
      <c r="BP12" s="294" t="s">
        <v>1232</v>
      </c>
      <c r="BQ12" s="294" t="s">
        <v>1909</v>
      </c>
      <c r="BR12" s="294" t="s">
        <v>1910</v>
      </c>
      <c r="BS12" s="294" t="s">
        <v>1214</v>
      </c>
      <c r="BT12" s="294" t="s">
        <v>1369</v>
      </c>
      <c r="BU12" s="294" t="s">
        <v>2127</v>
      </c>
      <c r="BV12" s="294" t="s">
        <v>1755</v>
      </c>
      <c r="BW12" s="294" t="s">
        <v>2423</v>
      </c>
      <c r="BX12" s="294" t="s">
        <v>995</v>
      </c>
      <c r="BY12" s="294" t="s">
        <v>1510</v>
      </c>
      <c r="BZ12" s="294" t="s">
        <v>452</v>
      </c>
      <c r="CA12" s="294" t="s">
        <v>3436</v>
      </c>
      <c r="CB12" s="294" t="s">
        <v>2022</v>
      </c>
      <c r="CC12" s="294" t="s">
        <v>2139</v>
      </c>
      <c r="CD12" s="294" t="s">
        <v>3244</v>
      </c>
      <c r="CE12" s="294" t="s">
        <v>822</v>
      </c>
      <c r="CF12" s="294" t="s">
        <v>995</v>
      </c>
      <c r="CG12" s="294" t="s">
        <v>3184</v>
      </c>
      <c r="CH12" s="294" t="s">
        <v>732</v>
      </c>
      <c r="CI12" s="294" t="s">
        <v>2062</v>
      </c>
      <c r="CJ12" s="294" t="s">
        <v>993</v>
      </c>
      <c r="CK12" s="294" t="s">
        <v>1952</v>
      </c>
      <c r="CL12" s="294" t="s">
        <v>3307</v>
      </c>
      <c r="CM12" s="294" t="s">
        <v>1656</v>
      </c>
      <c r="CN12" s="294" t="s">
        <v>1614</v>
      </c>
      <c r="CO12" s="294" t="s">
        <v>2869</v>
      </c>
      <c r="CP12" s="294" t="s">
        <v>1772</v>
      </c>
      <c r="CQ12" s="294" t="s">
        <v>571</v>
      </c>
      <c r="CR12" s="294" t="s">
        <v>586</v>
      </c>
      <c r="CS12" s="294" t="s">
        <v>2059</v>
      </c>
      <c r="CT12" s="294" t="s">
        <v>89</v>
      </c>
      <c r="CU12" s="294" t="s">
        <v>1491</v>
      </c>
      <c r="CV12" s="294" t="s">
        <v>219</v>
      </c>
      <c r="CW12" s="294" t="s">
        <v>894</v>
      </c>
      <c r="CX12" s="294" t="s">
        <v>3299</v>
      </c>
      <c r="CY12" s="294" t="s">
        <v>2232</v>
      </c>
      <c r="CZ12" s="294" t="s">
        <v>361</v>
      </c>
      <c r="DA12" s="294" t="s">
        <v>3333</v>
      </c>
      <c r="DB12" s="294" t="s">
        <v>1633</v>
      </c>
      <c r="DC12" s="294" t="s">
        <v>1394</v>
      </c>
      <c r="DD12" s="294" t="s">
        <v>3295</v>
      </c>
      <c r="DE12" s="294" t="s">
        <v>396</v>
      </c>
      <c r="DF12" s="294" t="s">
        <v>819</v>
      </c>
      <c r="DG12" s="294" t="s">
        <v>2644</v>
      </c>
      <c r="DH12" s="294" t="s">
        <v>1923</v>
      </c>
      <c r="DI12" s="294" t="s">
        <v>2375</v>
      </c>
      <c r="DJ12" s="294" t="s">
        <v>1100</v>
      </c>
      <c r="DK12" s="294" t="s">
        <v>3047</v>
      </c>
      <c r="DL12" s="294" t="s">
        <v>362</v>
      </c>
      <c r="DM12" s="294" t="s">
        <v>677</v>
      </c>
      <c r="DN12" s="294" t="s">
        <v>3292</v>
      </c>
      <c r="DO12" s="294" t="s">
        <v>2106</v>
      </c>
      <c r="DP12" s="294" t="s">
        <v>232</v>
      </c>
      <c r="DQ12" s="294" t="s">
        <v>2647</v>
      </c>
      <c r="DR12" s="294" t="s">
        <v>3243</v>
      </c>
      <c r="DS12" s="294" t="s">
        <v>1661</v>
      </c>
      <c r="DT12" s="294" t="s">
        <v>1778</v>
      </c>
      <c r="DU12" s="294" t="s">
        <v>1693</v>
      </c>
      <c r="DV12" s="294" t="s">
        <v>244</v>
      </c>
      <c r="DW12" s="294" t="s">
        <v>1370</v>
      </c>
      <c r="DX12" s="294" t="s">
        <v>2788</v>
      </c>
      <c r="DY12" s="294" t="s">
        <v>3432</v>
      </c>
      <c r="DZ12" s="294" t="s">
        <v>819</v>
      </c>
      <c r="EA12" s="294" t="s">
        <v>163</v>
      </c>
      <c r="EB12" s="294" t="s">
        <v>172</v>
      </c>
      <c r="EC12" s="294" t="s">
        <v>2485</v>
      </c>
      <c r="ED12" s="294" t="s">
        <v>1869</v>
      </c>
      <c r="EE12" s="294" t="s">
        <v>3030</v>
      </c>
      <c r="EF12" s="294" t="s">
        <v>178</v>
      </c>
      <c r="EG12" s="294" t="s">
        <v>1947</v>
      </c>
      <c r="EH12" s="294" t="s">
        <v>387</v>
      </c>
      <c r="EI12" s="294" t="s">
        <v>2179</v>
      </c>
      <c r="EJ12" s="294" t="s">
        <v>1</v>
      </c>
      <c r="EK12" s="294" t="s">
        <v>2437</v>
      </c>
      <c r="EL12" s="294" t="s">
        <v>459</v>
      </c>
      <c r="EM12" s="294" t="s">
        <v>3285</v>
      </c>
      <c r="EN12" s="294" t="s">
        <v>1204</v>
      </c>
      <c r="EO12" s="294" t="s">
        <v>560</v>
      </c>
      <c r="EP12" s="294" t="s">
        <v>153</v>
      </c>
      <c r="EQ12" s="294" t="s">
        <v>953</v>
      </c>
      <c r="ER12" s="294" t="s">
        <v>819</v>
      </c>
      <c r="ES12" s="294" t="s">
        <v>2865</v>
      </c>
      <c r="ET12" s="294" t="s">
        <v>449</v>
      </c>
      <c r="EU12" s="294" t="s">
        <v>3349</v>
      </c>
      <c r="EV12" s="294" t="s">
        <v>1773</v>
      </c>
      <c r="EW12" s="294" t="s">
        <v>336</v>
      </c>
      <c r="EX12" s="294" t="s">
        <v>819</v>
      </c>
      <c r="EY12" s="294" t="s">
        <v>331</v>
      </c>
      <c r="EZ12" s="294" t="s">
        <v>1367</v>
      </c>
      <c r="FA12" s="294" t="s">
        <v>3328</v>
      </c>
      <c r="FB12" s="294" t="s">
        <v>3302</v>
      </c>
      <c r="FC12" s="294" t="s">
        <v>1572</v>
      </c>
      <c r="FD12" s="294" t="s">
        <v>3302</v>
      </c>
      <c r="FE12" s="294" t="s">
        <v>656</v>
      </c>
      <c r="FF12" s="294" t="s">
        <v>1173</v>
      </c>
      <c r="FG12" s="294" t="s">
        <v>2555</v>
      </c>
      <c r="FH12" s="294" t="s">
        <v>225</v>
      </c>
      <c r="FI12" s="294" t="s">
        <v>1558</v>
      </c>
      <c r="FJ12" s="294" t="s">
        <v>2384</v>
      </c>
      <c r="FK12" s="294" t="s">
        <v>3135</v>
      </c>
      <c r="FL12" s="294" t="s">
        <v>2785</v>
      </c>
      <c r="FM12" s="294" t="s">
        <v>2288</v>
      </c>
      <c r="FN12" s="294" t="s">
        <v>1945</v>
      </c>
      <c r="FO12" s="294" t="s">
        <v>2192</v>
      </c>
      <c r="FP12" s="294" t="s">
        <v>1010</v>
      </c>
      <c r="FQ12" s="294" t="s">
        <v>661</v>
      </c>
      <c r="FR12" s="294" t="s">
        <v>500</v>
      </c>
      <c r="FS12" s="294" t="s">
        <v>1841</v>
      </c>
      <c r="FT12" s="294" t="s">
        <v>16</v>
      </c>
      <c r="FU12" s="294" t="s">
        <v>1212</v>
      </c>
      <c r="FV12" s="294" t="s">
        <v>3301</v>
      </c>
      <c r="FW12" s="294" t="s">
        <v>697</v>
      </c>
      <c r="FX12" s="294" t="s">
        <v>177</v>
      </c>
      <c r="FY12" s="294" t="s">
        <v>1965</v>
      </c>
      <c r="FZ12" s="294" t="s">
        <v>3289</v>
      </c>
      <c r="GA12" s="294" t="s">
        <v>3376</v>
      </c>
      <c r="GB12" s="294" t="s">
        <v>1709</v>
      </c>
      <c r="GC12" s="294" t="s">
        <v>3341</v>
      </c>
      <c r="GD12" s="294" t="s">
        <v>854</v>
      </c>
      <c r="GE12" s="294" t="s">
        <v>1949</v>
      </c>
      <c r="GF12" s="294" t="s">
        <v>3001</v>
      </c>
      <c r="GG12" s="294" t="s">
        <v>1545</v>
      </c>
      <c r="GH12" s="294" t="s">
        <v>1610</v>
      </c>
      <c r="GI12" s="294" t="s">
        <v>1492</v>
      </c>
      <c r="GJ12" s="294" t="s">
        <v>1105</v>
      </c>
      <c r="GK12" s="294" t="s">
        <v>3062</v>
      </c>
      <c r="GL12" s="294" t="s">
        <v>2341</v>
      </c>
      <c r="GM12" s="294" t="s">
        <v>1076</v>
      </c>
      <c r="GN12" s="294" t="s">
        <v>1990</v>
      </c>
      <c r="GO12" s="294" t="s">
        <v>2239</v>
      </c>
      <c r="GP12" s="294" t="s">
        <v>3296</v>
      </c>
      <c r="GQ12" s="294" t="s">
        <v>2975</v>
      </c>
      <c r="GR12" s="294" t="s">
        <v>875</v>
      </c>
      <c r="GS12" s="294" t="s">
        <v>3016</v>
      </c>
      <c r="GT12" s="294" t="s">
        <v>3265</v>
      </c>
      <c r="GU12" s="294" t="s">
        <v>3326</v>
      </c>
      <c r="GV12" s="294" t="s">
        <v>846</v>
      </c>
      <c r="GW12" s="294" t="s">
        <v>1460</v>
      </c>
      <c r="GX12" s="294" t="s">
        <v>3303</v>
      </c>
      <c r="GY12" s="294" t="s">
        <v>1327</v>
      </c>
      <c r="GZ12" s="294" t="s">
        <v>1057</v>
      </c>
      <c r="HA12" s="294" t="s">
        <v>1521</v>
      </c>
      <c r="HB12" s="294" t="s">
        <v>225</v>
      </c>
      <c r="HC12" s="294" t="s">
        <v>164</v>
      </c>
      <c r="HD12" s="294" t="s">
        <v>173</v>
      </c>
      <c r="HE12" s="294" t="s">
        <v>44</v>
      </c>
      <c r="HF12" s="294" t="s">
        <v>3258</v>
      </c>
      <c r="HG12" s="294" t="s">
        <v>2291</v>
      </c>
      <c r="HH12" s="294" t="s">
        <v>1912</v>
      </c>
      <c r="HI12" s="294" t="s">
        <v>3145</v>
      </c>
      <c r="HJ12" s="294" t="s">
        <v>1625</v>
      </c>
      <c r="HK12" s="294" t="s">
        <v>3010</v>
      </c>
      <c r="HL12" s="294" t="s">
        <v>1899</v>
      </c>
      <c r="HM12" s="294" t="s">
        <v>1068</v>
      </c>
      <c r="HN12" s="294" t="s">
        <v>3255</v>
      </c>
      <c r="HO12" s="294" t="s">
        <v>3022</v>
      </c>
      <c r="HP12" s="294" t="s">
        <v>2790</v>
      </c>
      <c r="HQ12" s="294" t="s">
        <v>1045</v>
      </c>
      <c r="HR12" s="294" t="s">
        <v>1206</v>
      </c>
      <c r="HS12" s="294" t="s">
        <v>1336</v>
      </c>
      <c r="HT12" s="294" t="s">
        <v>2582</v>
      </c>
      <c r="HU12" s="294" t="s">
        <v>3166</v>
      </c>
      <c r="HV12" s="294" t="s">
        <v>1158</v>
      </c>
      <c r="HW12" s="294" t="s">
        <v>1391</v>
      </c>
      <c r="HX12" s="294" t="s">
        <v>624</v>
      </c>
      <c r="HY12" s="294" t="s">
        <v>3059</v>
      </c>
      <c r="HZ12" s="294" t="s">
        <v>1311</v>
      </c>
      <c r="IA12" s="294" t="s">
        <v>421</v>
      </c>
      <c r="IB12" s="294" t="s">
        <v>2433</v>
      </c>
      <c r="IC12" s="294" t="s">
        <v>2196</v>
      </c>
      <c r="ID12" s="294" t="s">
        <v>2633</v>
      </c>
      <c r="IE12" s="294" t="s">
        <v>742</v>
      </c>
      <c r="IF12" s="294" t="s">
        <v>1426</v>
      </c>
      <c r="IG12" s="294" t="s">
        <v>2528</v>
      </c>
      <c r="IH12" s="294" t="s">
        <v>1087</v>
      </c>
      <c r="II12" s="294" t="s">
        <v>3217</v>
      </c>
      <c r="IJ12" s="294" t="s">
        <v>1602</v>
      </c>
      <c r="IK12" s="294" t="s">
        <v>2287</v>
      </c>
      <c r="IL12" s="294" t="s">
        <v>1944</v>
      </c>
      <c r="IM12" s="294" t="s">
        <v>3161</v>
      </c>
      <c r="IN12" s="294" t="s">
        <v>1771</v>
      </c>
      <c r="IO12" s="294" t="s">
        <v>1578</v>
      </c>
      <c r="IP12" s="294" t="s">
        <v>845</v>
      </c>
      <c r="IQ12" s="294" t="s">
        <v>2025</v>
      </c>
      <c r="IR12" s="294" t="s">
        <v>819</v>
      </c>
      <c r="IS12" s="294" t="s">
        <v>559</v>
      </c>
      <c r="IT12" s="294" t="s">
        <v>88</v>
      </c>
      <c r="IU12" s="294" t="s">
        <v>597</v>
      </c>
      <c r="IV12" s="294" t="s">
        <v>533</v>
      </c>
    </row>
    <row r="13" spans="1:256" s="294" customFormat="1">
      <c r="A13" s="294" t="s">
        <v>3154</v>
      </c>
      <c r="B13" s="294" t="s">
        <v>819</v>
      </c>
      <c r="C13" s="294" t="s">
        <v>509</v>
      </c>
      <c r="D13" s="294" t="s">
        <v>64</v>
      </c>
      <c r="E13" s="294" t="s">
        <v>444</v>
      </c>
      <c r="F13" s="294" t="s">
        <v>1094</v>
      </c>
      <c r="G13" s="294" t="s">
        <v>1209</v>
      </c>
      <c r="H13" s="294" t="s">
        <v>3300</v>
      </c>
      <c r="I13" s="294" t="s">
        <v>3063</v>
      </c>
      <c r="J13" s="294" t="s">
        <v>66</v>
      </c>
      <c r="K13" s="294" t="s">
        <v>31</v>
      </c>
      <c r="L13" s="294" t="s">
        <v>2855</v>
      </c>
      <c r="M13" s="294" t="s">
        <v>45</v>
      </c>
      <c r="N13" s="294" t="s">
        <v>3302</v>
      </c>
      <c r="O13" s="294" t="s">
        <v>2766</v>
      </c>
      <c r="P13" s="294" t="s">
        <v>2793</v>
      </c>
      <c r="Q13" s="294" t="s">
        <v>79</v>
      </c>
      <c r="R13" s="294" t="s">
        <v>274</v>
      </c>
      <c r="S13" s="294" t="s">
        <v>2103</v>
      </c>
      <c r="T13" s="294" t="s">
        <v>1901</v>
      </c>
      <c r="U13" s="294" t="s">
        <v>2195</v>
      </c>
      <c r="V13" s="294" t="s">
        <v>419</v>
      </c>
      <c r="W13" s="294" t="s">
        <v>348</v>
      </c>
      <c r="X13" s="294" t="s">
        <v>1719</v>
      </c>
      <c r="Y13" s="294" t="s">
        <v>2281</v>
      </c>
      <c r="Z13" s="294" t="s">
        <v>1774</v>
      </c>
      <c r="AA13" s="294" t="s">
        <v>1377</v>
      </c>
      <c r="AB13" s="294" t="s">
        <v>457</v>
      </c>
      <c r="AC13" s="294" t="s">
        <v>589</v>
      </c>
      <c r="AD13" s="294" t="s">
        <v>1776</v>
      </c>
      <c r="AE13" s="294" t="s">
        <v>2141</v>
      </c>
      <c r="AF13" s="294" t="s">
        <v>1085</v>
      </c>
      <c r="AG13" s="294" t="s">
        <v>3357</v>
      </c>
      <c r="AH13" s="294" t="s">
        <v>847</v>
      </c>
      <c r="AI13" s="294" t="s">
        <v>1946</v>
      </c>
      <c r="AJ13" s="294" t="s">
        <v>1430</v>
      </c>
      <c r="AK13" s="294" t="s">
        <v>1044</v>
      </c>
      <c r="AL13" s="294" t="s">
        <v>2430</v>
      </c>
      <c r="AM13" s="294" t="s">
        <v>1478</v>
      </c>
      <c r="AN13" s="294" t="s">
        <v>2015</v>
      </c>
      <c r="AO13" s="294" t="s">
        <v>1213</v>
      </c>
      <c r="AP13" s="294" t="s">
        <v>454</v>
      </c>
      <c r="AQ13" s="294" t="s">
        <v>1326</v>
      </c>
      <c r="AR13" s="294" t="s">
        <v>1778</v>
      </c>
      <c r="AS13" s="294" t="s">
        <v>1815</v>
      </c>
      <c r="AT13" s="294" t="s">
        <v>1989</v>
      </c>
      <c r="AU13" s="294" t="s">
        <v>1499</v>
      </c>
      <c r="AV13" s="294" t="s">
        <v>1900</v>
      </c>
      <c r="AW13" s="294" t="s">
        <v>686</v>
      </c>
      <c r="AX13" s="294" t="s">
        <v>3258</v>
      </c>
      <c r="AY13" s="294" t="s">
        <v>3453</v>
      </c>
      <c r="AZ13" s="294" t="s">
        <v>2787</v>
      </c>
      <c r="BA13" s="294" t="s">
        <v>518</v>
      </c>
      <c r="BB13" s="294" t="s">
        <v>1707</v>
      </c>
      <c r="BC13" s="294" t="s">
        <v>2124</v>
      </c>
      <c r="BD13" s="294" t="s">
        <v>1014</v>
      </c>
      <c r="BE13" s="294" t="s">
        <v>2262</v>
      </c>
      <c r="BF13" s="294" t="s">
        <v>1616</v>
      </c>
      <c r="BG13" s="294" t="s">
        <v>2260</v>
      </c>
      <c r="BH13" s="294" t="s">
        <v>666</v>
      </c>
      <c r="BI13" s="294" t="s">
        <v>3344</v>
      </c>
      <c r="BJ13" s="294" t="s">
        <v>819</v>
      </c>
      <c r="BK13" s="294" t="s">
        <v>1468</v>
      </c>
      <c r="BL13" s="294" t="s">
        <v>181</v>
      </c>
      <c r="BM13" s="294" t="s">
        <v>209</v>
      </c>
      <c r="BN13" s="294" t="s">
        <v>2482</v>
      </c>
      <c r="BO13" s="294" t="s">
        <v>3331</v>
      </c>
      <c r="BP13" s="294" t="s">
        <v>490</v>
      </c>
      <c r="BQ13" s="294" t="s">
        <v>1121</v>
      </c>
      <c r="BR13" s="294" t="s">
        <v>2073</v>
      </c>
      <c r="BS13" s="294" t="s">
        <v>1843</v>
      </c>
      <c r="BT13" s="294" t="s">
        <v>113</v>
      </c>
      <c r="BU13" s="294" t="s">
        <v>2113</v>
      </c>
      <c r="BV13" s="294" t="s">
        <v>819</v>
      </c>
      <c r="BW13" s="294" t="s">
        <v>2748</v>
      </c>
      <c r="BX13" s="294" t="s">
        <v>839</v>
      </c>
      <c r="BY13" s="294" t="s">
        <v>887</v>
      </c>
      <c r="BZ13" s="294" t="s">
        <v>819</v>
      </c>
      <c r="CA13" s="294" t="s">
        <v>2269</v>
      </c>
      <c r="CB13" s="294" t="s">
        <v>2790</v>
      </c>
      <c r="CC13" s="294" t="s">
        <v>2222</v>
      </c>
      <c r="CD13" s="294" t="s">
        <v>2680</v>
      </c>
      <c r="CE13" s="294" t="s">
        <v>60</v>
      </c>
      <c r="CF13" s="294" t="s">
        <v>1201</v>
      </c>
      <c r="CG13" s="294" t="s">
        <v>1398</v>
      </c>
      <c r="CH13" s="294" t="s">
        <v>1775</v>
      </c>
      <c r="CI13" s="294" t="s">
        <v>1692</v>
      </c>
      <c r="CJ13" s="294" t="s">
        <v>819</v>
      </c>
      <c r="CK13" s="294" t="s">
        <v>1467</v>
      </c>
      <c r="CL13" s="294" t="s">
        <v>808</v>
      </c>
      <c r="CM13" s="294" t="s">
        <v>2969</v>
      </c>
      <c r="CN13" s="294" t="s">
        <v>530</v>
      </c>
      <c r="CO13" s="294" t="s">
        <v>2533</v>
      </c>
      <c r="CP13" s="294" t="s">
        <v>623</v>
      </c>
      <c r="CQ13" s="294" t="s">
        <v>207</v>
      </c>
      <c r="CR13" s="294" t="s">
        <v>417</v>
      </c>
      <c r="CS13" s="294" t="s">
        <v>2747</v>
      </c>
      <c r="CT13" s="294" t="s">
        <v>838</v>
      </c>
      <c r="CU13" s="294" t="s">
        <v>2347</v>
      </c>
      <c r="CV13" s="294" t="s">
        <v>2019</v>
      </c>
      <c r="CW13" s="294" t="s">
        <v>1838</v>
      </c>
      <c r="CX13" s="294" t="s">
        <v>819</v>
      </c>
      <c r="CY13" s="294" t="s">
        <v>240</v>
      </c>
      <c r="CZ13" s="294" t="s">
        <v>499</v>
      </c>
      <c r="DA13" s="294" t="s">
        <v>206</v>
      </c>
      <c r="DB13" s="294" t="s">
        <v>486</v>
      </c>
      <c r="DC13" s="294" t="s">
        <v>2385</v>
      </c>
      <c r="DD13" s="294" t="s">
        <v>2815</v>
      </c>
      <c r="DE13" s="294" t="s">
        <v>2522</v>
      </c>
      <c r="DF13" s="294" t="s">
        <v>819</v>
      </c>
      <c r="DG13" s="294" t="s">
        <v>1814</v>
      </c>
      <c r="DH13" s="294" t="s">
        <v>51</v>
      </c>
      <c r="DI13" s="294" t="s">
        <v>2529</v>
      </c>
      <c r="DJ13" s="294" t="s">
        <v>3266</v>
      </c>
      <c r="DK13" s="294" t="s">
        <v>2076</v>
      </c>
      <c r="DL13" s="294" t="s">
        <v>1042</v>
      </c>
      <c r="DM13" s="294" t="s">
        <v>2223</v>
      </c>
      <c r="DN13" s="294" t="s">
        <v>861</v>
      </c>
      <c r="DO13" s="294" t="s">
        <v>779</v>
      </c>
      <c r="DP13" s="294" t="s">
        <v>466</v>
      </c>
      <c r="DQ13" s="294" t="s">
        <v>2460</v>
      </c>
      <c r="DR13" s="294" t="s">
        <v>1713</v>
      </c>
    </row>
  </sheetData>
  <phoneticPr fontId="14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B1"/>
  <sheetViews>
    <sheetView workbookViewId="0"/>
  </sheetViews>
  <sheetFormatPr defaultRowHeight="12.75"/>
  <sheetData>
    <row r="1" spans="1:2">
      <c r="B1" t="s">
        <v>820</v>
      </c>
    </row>
  </sheetData>
  <phoneticPr fontId="14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8"/>
    <pageSetUpPr autoPageBreaks="0" fitToPage="1"/>
  </sheetPr>
  <dimension ref="A1:CW146"/>
  <sheetViews>
    <sheetView zoomScale="85" zoomScaleNormal="85" workbookViewId="0">
      <pane xSplit="2" ySplit="9" topLeftCell="AF10" activePane="bottomRight" state="frozen"/>
      <selection sqref="A1:IV65536"/>
      <selection pane="topRight" sqref="A1:IV65536"/>
      <selection pane="bottomLeft" sqref="A1:IV65536"/>
      <selection pane="bottomRight" sqref="A1:XFD1048576"/>
    </sheetView>
  </sheetViews>
  <sheetFormatPr defaultColWidth="9.7109375" defaultRowHeight="12.75" outlineLevelCol="1"/>
  <cols>
    <col min="1" max="1" width="3.7109375" customWidth="1"/>
    <col min="2" max="2" width="35.7109375" customWidth="1"/>
    <col min="3" max="7" width="9.7109375" customWidth="1"/>
    <col min="8" max="11" width="9.7109375" hidden="1" customWidth="1" outlineLevel="1"/>
    <col min="12" max="12" width="9.7109375" customWidth="1" collapsed="1"/>
    <col min="13" max="16" width="9.7109375" hidden="1" customWidth="1" outlineLevel="1"/>
    <col min="17" max="17" width="9.7109375" customWidth="1" collapsed="1"/>
    <col min="18" max="21" width="9.7109375" hidden="1" customWidth="1" outlineLevel="1"/>
    <col min="22" max="22" width="9.7109375" customWidth="1" collapsed="1"/>
    <col min="23" max="26" width="9.7109375" hidden="1" customWidth="1" outlineLevel="1"/>
    <col min="27" max="27" width="9.7109375" customWidth="1" collapsed="1"/>
    <col min="28" max="31" width="9.7109375" hidden="1" customWidth="1" outlineLevel="1"/>
    <col min="32" max="32" width="9.7109375" customWidth="1" collapsed="1"/>
    <col min="33" max="36" width="9.7109375" hidden="1" customWidth="1" outlineLevel="1"/>
    <col min="37" max="37" width="9.7109375" customWidth="1" collapsed="1"/>
    <col min="38" max="41" width="9.7109375" hidden="1" customWidth="1" outlineLevel="1"/>
    <col min="42" max="42" width="9.7109375" customWidth="1" collapsed="1"/>
    <col min="43" max="46" width="9.7109375" hidden="1" customWidth="1" outlineLevel="1"/>
    <col min="47" max="47" width="9.7109375" customWidth="1" collapsed="1"/>
    <col min="48" max="51" width="9.7109375" hidden="1" customWidth="1" outlineLevel="1"/>
    <col min="52" max="52" width="9.7109375" customWidth="1" collapsed="1"/>
    <col min="53" max="56" width="9.7109375" hidden="1" customWidth="1" outlineLevel="1"/>
    <col min="57" max="57" width="9.7109375" customWidth="1" collapsed="1"/>
    <col min="58" max="61" width="9.7109375" hidden="1" customWidth="1" outlineLevel="1"/>
    <col min="62" max="62" width="9.7109375" customWidth="1" collapsed="1"/>
    <col min="63" max="66" width="9.7109375" hidden="1" customWidth="1" outlineLevel="1"/>
    <col min="67" max="67" width="9.7109375" customWidth="1" collapsed="1"/>
    <col min="68" max="71" width="9.7109375" customWidth="1" outlineLevel="1"/>
    <col min="72" max="72" width="9.7109375" customWidth="1"/>
    <col min="73" max="76" width="9.7109375" hidden="1" customWidth="1" outlineLevel="1"/>
    <col min="77" max="77" width="9.7109375" customWidth="1" collapsed="1"/>
    <col min="78" max="81" width="9.7109375" hidden="1" customWidth="1" outlineLevel="1"/>
    <col min="82" max="82" width="9.7109375" customWidth="1" collapsed="1"/>
  </cols>
  <sheetData>
    <row r="1" spans="1:101" ht="12.75" customHeight="1">
      <c r="A1" s="1"/>
      <c r="B1" s="1"/>
      <c r="C1" s="1"/>
      <c r="D1" s="2"/>
      <c r="E1" s="2"/>
      <c r="F1" s="2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3"/>
      <c r="T1" s="3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 t="s">
        <v>3421</v>
      </c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</row>
    <row r="2" spans="1:101" ht="18" customHeight="1">
      <c r="A2" s="1"/>
      <c r="B2" s="20" t="s">
        <v>3369</v>
      </c>
      <c r="C2" s="1"/>
      <c r="D2" s="2"/>
      <c r="E2" s="2"/>
      <c r="F2" s="2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3"/>
      <c r="T2" s="3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 t="s">
        <v>3421</v>
      </c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</row>
    <row r="3" spans="1:101" ht="12.75" customHeight="1">
      <c r="A3" s="1"/>
      <c r="B3" s="21" t="s">
        <v>2712</v>
      </c>
      <c r="C3" s="1"/>
      <c r="D3" s="2"/>
      <c r="E3" s="2"/>
      <c r="F3" s="2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3"/>
      <c r="T3" s="3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 t="s">
        <v>3421</v>
      </c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</row>
    <row r="4" spans="1:101" ht="12.75" customHeight="1">
      <c r="A4" s="1"/>
      <c r="B4" s="1"/>
      <c r="C4" s="1"/>
      <c r="D4" s="2"/>
      <c r="E4" s="2"/>
      <c r="F4" s="2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3"/>
      <c r="T4" s="3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 t="s">
        <v>3421</v>
      </c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</row>
    <row r="5" spans="1:101" ht="12.75" customHeight="1">
      <c r="A5" s="4"/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</row>
    <row r="6" spans="1:101" ht="15.75">
      <c r="A6" s="252" t="s">
        <v>2238</v>
      </c>
      <c r="B6" s="4"/>
      <c r="C6" s="5"/>
      <c r="D6" s="5"/>
      <c r="E6" s="5"/>
      <c r="F6" s="5"/>
      <c r="G6" s="5"/>
      <c r="H6" s="5"/>
      <c r="I6" s="5"/>
      <c r="J6" s="5"/>
      <c r="K6" s="116"/>
      <c r="L6" s="5"/>
      <c r="M6" s="5"/>
      <c r="N6" s="5"/>
      <c r="O6" s="5"/>
      <c r="P6" s="116"/>
      <c r="Q6" s="5"/>
      <c r="R6" s="5"/>
      <c r="S6" s="5"/>
      <c r="T6" s="5"/>
      <c r="U6" s="116"/>
      <c r="V6" s="5"/>
      <c r="W6" s="5"/>
      <c r="X6" s="5"/>
      <c r="Y6" s="5"/>
      <c r="Z6" s="116"/>
      <c r="AA6" s="5"/>
      <c r="AB6" s="5"/>
      <c r="AC6" s="5"/>
      <c r="AD6" s="5"/>
      <c r="AE6" s="116"/>
      <c r="AF6" s="5"/>
      <c r="AG6" s="5"/>
      <c r="AH6" s="5"/>
      <c r="AI6" s="5"/>
      <c r="AJ6" s="116"/>
      <c r="AK6" s="5"/>
      <c r="AL6" s="5"/>
      <c r="AM6" s="5"/>
      <c r="AN6" s="5"/>
      <c r="AO6" s="116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</row>
    <row r="7" spans="1:101">
      <c r="A7" s="9" t="str">
        <f>'Key assumptions'!A7:B7&amp;" scenario"</f>
        <v>Forward Curve scenario</v>
      </c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49"/>
      <c r="Z7" s="5"/>
      <c r="AA7" s="49"/>
      <c r="AB7" s="49"/>
      <c r="AC7" s="49"/>
      <c r="AD7" s="49"/>
      <c r="AE7" s="5"/>
      <c r="AF7" s="49"/>
      <c r="AG7" s="49"/>
      <c r="AH7" s="318"/>
      <c r="AI7" s="49"/>
      <c r="AJ7" s="5"/>
      <c r="AK7" s="49"/>
      <c r="AL7" s="49"/>
      <c r="AM7" s="5"/>
      <c r="AN7" s="5"/>
      <c r="AO7" s="116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</row>
    <row r="8" spans="1:101">
      <c r="A8" s="9"/>
      <c r="B8" s="4"/>
      <c r="C8" s="5" t="s">
        <v>2345</v>
      </c>
      <c r="D8" s="5" t="s">
        <v>2345</v>
      </c>
      <c r="E8" s="5" t="s">
        <v>1523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214" t="s">
        <v>1171</v>
      </c>
      <c r="CI8" s="5"/>
      <c r="CJ8" s="5"/>
    </row>
    <row r="9" spans="1:101" ht="12.75" customHeight="1">
      <c r="A9" s="10"/>
      <c r="B9" s="10"/>
      <c r="C9" s="31">
        <v>2001</v>
      </c>
      <c r="D9" s="32">
        <v>2002</v>
      </c>
      <c r="E9" s="32">
        <v>2003</v>
      </c>
      <c r="F9" s="32">
        <v>2004</v>
      </c>
      <c r="G9" s="31">
        <v>2005</v>
      </c>
      <c r="H9" s="33" t="s">
        <v>714</v>
      </c>
      <c r="I9" s="33" t="s">
        <v>715</v>
      </c>
      <c r="J9" s="33" t="s">
        <v>716</v>
      </c>
      <c r="K9" s="33" t="s">
        <v>717</v>
      </c>
      <c r="L9" s="31">
        <v>2006</v>
      </c>
      <c r="M9" s="33" t="s">
        <v>718</v>
      </c>
      <c r="N9" s="33" t="s">
        <v>719</v>
      </c>
      <c r="O9" s="33" t="s">
        <v>1970</v>
      </c>
      <c r="P9" s="33" t="s">
        <v>1971</v>
      </c>
      <c r="Q9" s="31">
        <v>2007</v>
      </c>
      <c r="R9" s="33" t="s">
        <v>1972</v>
      </c>
      <c r="S9" s="33" t="s">
        <v>1973</v>
      </c>
      <c r="T9" s="33" t="s">
        <v>1974</v>
      </c>
      <c r="U9" s="33" t="s">
        <v>1975</v>
      </c>
      <c r="V9" s="31">
        <v>2008</v>
      </c>
      <c r="W9" s="33" t="s">
        <v>1976</v>
      </c>
      <c r="X9" s="33" t="s">
        <v>1977</v>
      </c>
      <c r="Y9" s="33" t="s">
        <v>1978</v>
      </c>
      <c r="Z9" s="33" t="s">
        <v>1979</v>
      </c>
      <c r="AA9" s="31">
        <v>2009</v>
      </c>
      <c r="AB9" s="33" t="s">
        <v>1980</v>
      </c>
      <c r="AC9" s="33" t="s">
        <v>1981</v>
      </c>
      <c r="AD9" s="33" t="s">
        <v>1982</v>
      </c>
      <c r="AE9" s="33" t="s">
        <v>2392</v>
      </c>
      <c r="AF9" s="31">
        <v>2010</v>
      </c>
      <c r="AG9" s="33" t="s">
        <v>2393</v>
      </c>
      <c r="AH9" s="33" t="s">
        <v>2394</v>
      </c>
      <c r="AI9" s="33" t="s">
        <v>2395</v>
      </c>
      <c r="AJ9" s="368" t="s">
        <v>2396</v>
      </c>
      <c r="AK9" s="369">
        <v>2011</v>
      </c>
      <c r="AL9" s="368" t="s">
        <v>2397</v>
      </c>
      <c r="AM9" s="368" t="s">
        <v>2398</v>
      </c>
      <c r="AN9" s="368" t="s">
        <v>2399</v>
      </c>
      <c r="AO9" s="368" t="s">
        <v>2400</v>
      </c>
      <c r="AP9" s="31">
        <v>2012</v>
      </c>
      <c r="AQ9" s="368" t="s">
        <v>2401</v>
      </c>
      <c r="AR9" s="368" t="s">
        <v>2402</v>
      </c>
      <c r="AS9" s="368" t="s">
        <v>2403</v>
      </c>
      <c r="AT9" s="368" t="s">
        <v>2404</v>
      </c>
      <c r="AU9" s="31">
        <v>2013</v>
      </c>
      <c r="AV9" s="368" t="s">
        <v>2405</v>
      </c>
      <c r="AW9" s="368" t="s">
        <v>2406</v>
      </c>
      <c r="AX9" s="368" t="s">
        <v>2407</v>
      </c>
      <c r="AY9" s="368" t="s">
        <v>2408</v>
      </c>
      <c r="AZ9" s="31">
        <v>2014</v>
      </c>
      <c r="BA9" s="368" t="s">
        <v>2409</v>
      </c>
      <c r="BB9" s="368" t="s">
        <v>2410</v>
      </c>
      <c r="BC9" s="368" t="s">
        <v>2411</v>
      </c>
      <c r="BD9" s="368" t="s">
        <v>2412</v>
      </c>
      <c r="BE9" s="31">
        <v>2015</v>
      </c>
      <c r="BF9" s="368" t="s">
        <v>2413</v>
      </c>
      <c r="BG9" s="368" t="s">
        <v>2414</v>
      </c>
      <c r="BH9" s="368" t="s">
        <v>2415</v>
      </c>
      <c r="BI9" s="368" t="s">
        <v>2416</v>
      </c>
      <c r="BJ9" s="31">
        <v>2016</v>
      </c>
      <c r="BK9" s="368" t="s">
        <v>2417</v>
      </c>
      <c r="BL9" s="368" t="s">
        <v>2418</v>
      </c>
      <c r="BM9" s="368" t="s">
        <v>2419</v>
      </c>
      <c r="BN9" s="368" t="s">
        <v>2420</v>
      </c>
      <c r="BO9" s="31">
        <v>2017</v>
      </c>
      <c r="BP9" s="363" t="s">
        <v>2244</v>
      </c>
      <c r="BQ9" s="363" t="s">
        <v>2245</v>
      </c>
      <c r="BR9" s="363" t="s">
        <v>2508</v>
      </c>
      <c r="BS9" s="363" t="s">
        <v>2509</v>
      </c>
      <c r="BT9" s="364">
        <v>2018</v>
      </c>
      <c r="BU9" s="363" t="s">
        <v>2510</v>
      </c>
      <c r="BV9" s="363" t="s">
        <v>2511</v>
      </c>
      <c r="BW9" s="363" t="s">
        <v>3125</v>
      </c>
      <c r="BX9" s="363" t="s">
        <v>1405</v>
      </c>
      <c r="BY9" s="364">
        <v>2019</v>
      </c>
      <c r="BZ9" s="363" t="s">
        <v>1406</v>
      </c>
      <c r="CA9" s="363" t="s">
        <v>1407</v>
      </c>
      <c r="CB9" s="363" t="s">
        <v>1408</v>
      </c>
      <c r="CC9" s="363" t="s">
        <v>1409</v>
      </c>
      <c r="CD9" s="364">
        <v>2020</v>
      </c>
      <c r="CE9" s="11"/>
      <c r="CF9" s="5"/>
      <c r="CG9" s="11"/>
      <c r="CH9" s="202" t="s">
        <v>946</v>
      </c>
      <c r="CI9" s="5"/>
      <c r="CJ9" s="5">
        <f>COVAR($CI14:$CI61,CJ14:CJ61)/VARP($CI14:$CI61)</f>
        <v>683.80699685323009</v>
      </c>
    </row>
    <row r="10" spans="1:101" ht="12.75" customHeight="1">
      <c r="A10" s="137" t="s">
        <v>393</v>
      </c>
      <c r="B10" s="137"/>
      <c r="C10" s="5">
        <v>148502</v>
      </c>
      <c r="D10" s="5">
        <v>149674</v>
      </c>
      <c r="E10" s="5">
        <v>164653</v>
      </c>
      <c r="F10" s="5">
        <v>192024</v>
      </c>
      <c r="G10" s="5">
        <v>239792</v>
      </c>
      <c r="H10" s="12">
        <v>63288</v>
      </c>
      <c r="I10" s="12">
        <v>72132</v>
      </c>
      <c r="J10" s="12">
        <v>68540</v>
      </c>
      <c r="K10" s="12">
        <v>61946</v>
      </c>
      <c r="L10" s="5">
        <v>265906</v>
      </c>
      <c r="M10" s="12">
        <v>61307</v>
      </c>
      <c r="N10" s="12">
        <v>71872</v>
      </c>
      <c r="O10" s="12">
        <v>71334</v>
      </c>
      <c r="P10" s="12">
        <v>79852</v>
      </c>
      <c r="Q10" s="5">
        <v>284365</v>
      </c>
      <c r="R10" s="12">
        <v>87745</v>
      </c>
      <c r="S10" s="12">
        <v>108747</v>
      </c>
      <c r="T10" s="12">
        <v>103174</v>
      </c>
      <c r="U10" s="12">
        <v>61477</v>
      </c>
      <c r="V10" s="5">
        <v>361143</v>
      </c>
      <c r="W10" s="12">
        <v>47296</v>
      </c>
      <c r="X10" s="12">
        <v>54777</v>
      </c>
      <c r="Y10" s="12">
        <v>66218</v>
      </c>
      <c r="Z10" s="12">
        <v>70981</v>
      </c>
      <c r="AA10" s="5">
        <v>239272</v>
      </c>
      <c r="AB10" s="12">
        <v>73071</v>
      </c>
      <c r="AC10" s="12">
        <v>73725</v>
      </c>
      <c r="AD10" s="12">
        <v>70608</v>
      </c>
      <c r="AE10" s="12">
        <v>79703</v>
      </c>
      <c r="AF10" s="5">
        <v>297107</v>
      </c>
      <c r="AG10" s="12">
        <v>85329</v>
      </c>
      <c r="AH10" s="12">
        <v>101364</v>
      </c>
      <c r="AI10" s="12">
        <v>95383</v>
      </c>
      <c r="AJ10" s="12">
        <v>93441</v>
      </c>
      <c r="AK10" s="5">
        <f t="shared" ref="AK10:AK15" si="0">SUM(AG10:AJ10)</f>
        <v>375517</v>
      </c>
      <c r="AL10" s="12">
        <v>94040</v>
      </c>
      <c r="AM10" s="12">
        <v>93341</v>
      </c>
      <c r="AN10" s="12">
        <v>90591</v>
      </c>
      <c r="AO10" s="12">
        <v>92894</v>
      </c>
      <c r="AP10" s="5">
        <f t="shared" ref="AP10:AP15" si="1">SUM(AL10:AO10)</f>
        <v>370866</v>
      </c>
      <c r="AQ10" s="12">
        <v>94107</v>
      </c>
      <c r="AR10" s="12">
        <v>94711</v>
      </c>
      <c r="AS10" s="12">
        <v>96601</v>
      </c>
      <c r="AT10" s="12">
        <v>93717</v>
      </c>
      <c r="AU10" s="5">
        <f t="shared" ref="AU10:AU15" si="2">SUM(AQ10:AT10)</f>
        <v>379136</v>
      </c>
      <c r="AV10" s="181">
        <v>91710</v>
      </c>
      <c r="AW10" s="12">
        <v>93957</v>
      </c>
      <c r="AX10" s="12">
        <v>93904</v>
      </c>
      <c r="AY10" s="12">
        <v>73997</v>
      </c>
      <c r="AZ10" s="5">
        <f t="shared" ref="AZ10:AZ15" si="3">SUM(AV10:AY10)</f>
        <v>353568</v>
      </c>
      <c r="BA10" s="12">
        <v>55519</v>
      </c>
      <c r="BB10" s="12">
        <v>62051</v>
      </c>
      <c r="BC10" s="12">
        <v>56152</v>
      </c>
      <c r="BD10" s="12">
        <v>49172</v>
      </c>
      <c r="BE10" s="5">
        <f t="shared" ref="BE10:BE15" si="4">SUM(BA10:BD10)</f>
        <v>222894</v>
      </c>
      <c r="BF10" s="12">
        <v>38512</v>
      </c>
      <c r="BG10" s="12">
        <v>46442</v>
      </c>
      <c r="BH10" s="12">
        <v>47047</v>
      </c>
      <c r="BI10" s="12">
        <v>51007</v>
      </c>
      <c r="BJ10" s="5">
        <f t="shared" ref="BJ10:BJ15" si="5">SUM(BF10:BI10)</f>
        <v>183008</v>
      </c>
      <c r="BK10" s="12">
        <v>55863</v>
      </c>
      <c r="BL10" s="12">
        <v>56511</v>
      </c>
      <c r="BM10" s="181">
        <v>60018</v>
      </c>
      <c r="BN10" s="181">
        <v>67816</v>
      </c>
      <c r="BO10" s="5">
        <f t="shared" ref="BO10:BO15" si="6">SUM(BK10:BN10)</f>
        <v>240208</v>
      </c>
      <c r="BP10" s="12">
        <f>$CJ$10+'Key assumptions'!BP$12*'Income statement'!$CJ$9</f>
        <v>65686.129164646467</v>
      </c>
      <c r="BQ10" s="12">
        <f>$CJ$10+'Key assumptions'!BQ$12*'Income statement'!$CJ$9</f>
        <v>66110.089502695453</v>
      </c>
      <c r="BR10" s="12">
        <f>$CJ$10+'Key assumptions'!BR$12*'Income statement'!$CJ$9</f>
        <v>65248.492686660393</v>
      </c>
      <c r="BS10" s="12">
        <f>$CJ$10+'Key assumptions'!BS$12*'Income statement'!$CJ$9</f>
        <v>64530.495339964495</v>
      </c>
      <c r="BT10" s="5">
        <f t="shared" ref="BT10:BT15" si="7">SUM(BP10:BS10)</f>
        <v>261575.20669396679</v>
      </c>
      <c r="BU10" s="12">
        <f>$CJ$10+'Key assumptions'!BU$12*'Income statement'!$CJ$9</f>
        <v>62964.577317170602</v>
      </c>
      <c r="BV10" s="12">
        <f>$CJ$10+'Key assumptions'!BV$12*'Income statement'!$CJ$9</f>
        <v>62964.577317170602</v>
      </c>
      <c r="BW10" s="12">
        <f>$CJ$10+'Key assumptions'!BW$12*'Income statement'!$CJ$9</f>
        <v>62964.577317170602</v>
      </c>
      <c r="BX10" s="12">
        <f>$CJ$10+'Key assumptions'!BX$12*'Income statement'!$CJ$9</f>
        <v>62964.577317170602</v>
      </c>
      <c r="BY10" s="5">
        <f t="shared" ref="BY10:BY15" si="8">SUM(BU10:BX10)</f>
        <v>251858.30926868241</v>
      </c>
      <c r="BZ10" s="12">
        <f>$CJ$10+'Key assumptions'!BZ$12*'Income statement'!$CJ$9</f>
        <v>63231.126588016064</v>
      </c>
      <c r="CA10" s="12">
        <f>$CJ$10+'Key assumptions'!CA$12*'Income statement'!$CJ$9</f>
        <v>63499.32639760452</v>
      </c>
      <c r="CB10" s="12">
        <f>$CJ$10+'Key assumptions'!CB$12*'Income statement'!$CJ$9</f>
        <v>63769.186966478432</v>
      </c>
      <c r="CC10" s="12">
        <f>$CJ$10+'Key assumptions'!CC$12*'Income statement'!$CJ$9</f>
        <v>64040.71857846839</v>
      </c>
      <c r="CD10" s="5">
        <f t="shared" ref="CD10:CD15" si="9">SUM(BZ10:CC10)</f>
        <v>254540.35853056741</v>
      </c>
      <c r="CE10" s="5"/>
      <c r="CF10" s="5"/>
      <c r="CG10" s="5"/>
      <c r="CH10" s="202" t="s">
        <v>947</v>
      </c>
      <c r="CI10" s="5"/>
      <c r="CJ10" s="5">
        <f>AVERAGE($CJ14:$CJ61)-CJ9*AVERAGE($CI14:$CI61)</f>
        <v>19918.926865259768</v>
      </c>
    </row>
    <row r="11" spans="1:101" ht="12.75" customHeight="1">
      <c r="A11" s="137" t="s">
        <v>813</v>
      </c>
      <c r="B11" s="137"/>
      <c r="C11" s="5">
        <v>439</v>
      </c>
      <c r="D11" s="5">
        <v>347</v>
      </c>
      <c r="E11" s="5">
        <v>826</v>
      </c>
      <c r="F11" s="5">
        <v>1818</v>
      </c>
      <c r="G11" s="5">
        <v>3083</v>
      </c>
      <c r="H11" s="12">
        <v>573</v>
      </c>
      <c r="I11" s="12">
        <v>818</v>
      </c>
      <c r="J11" s="12">
        <v>1878</v>
      </c>
      <c r="K11" s="12">
        <v>284</v>
      </c>
      <c r="L11" s="5">
        <v>3553</v>
      </c>
      <c r="M11" s="12">
        <v>333</v>
      </c>
      <c r="N11" s="12">
        <v>910</v>
      </c>
      <c r="O11" s="12">
        <v>900</v>
      </c>
      <c r="P11" s="12">
        <v>992</v>
      </c>
      <c r="Q11" s="5">
        <v>3135</v>
      </c>
      <c r="R11" s="12">
        <v>975</v>
      </c>
      <c r="S11" s="12">
        <v>1752</v>
      </c>
      <c r="T11" s="12">
        <v>1172</v>
      </c>
      <c r="U11" s="12">
        <v>-876</v>
      </c>
      <c r="V11" s="5">
        <v>3023</v>
      </c>
      <c r="W11" s="12">
        <v>220</v>
      </c>
      <c r="X11" s="12">
        <v>357</v>
      </c>
      <c r="Y11" s="12">
        <v>359</v>
      </c>
      <c r="Z11" s="12">
        <v>350</v>
      </c>
      <c r="AA11" s="5">
        <v>1286</v>
      </c>
      <c r="AB11" s="12">
        <v>403</v>
      </c>
      <c r="AC11" s="12">
        <v>257</v>
      </c>
      <c r="AD11" s="12">
        <v>282</v>
      </c>
      <c r="AE11" s="12">
        <v>233</v>
      </c>
      <c r="AF11" s="5">
        <v>1175</v>
      </c>
      <c r="AG11" s="12">
        <v>392</v>
      </c>
      <c r="AH11" s="181">
        <v>401</v>
      </c>
      <c r="AI11" s="181">
        <v>300</v>
      </c>
      <c r="AJ11" s="12">
        <v>211</v>
      </c>
      <c r="AK11" s="138">
        <f t="shared" si="0"/>
        <v>1304</v>
      </c>
      <c r="AL11" s="12">
        <v>290</v>
      </c>
      <c r="AM11" s="12">
        <v>88</v>
      </c>
      <c r="AN11" s="12">
        <v>235</v>
      </c>
      <c r="AO11" s="12">
        <v>131</v>
      </c>
      <c r="AP11" s="5">
        <f t="shared" si="1"/>
        <v>744</v>
      </c>
      <c r="AQ11" s="12">
        <v>125</v>
      </c>
      <c r="AR11" s="12">
        <v>102</v>
      </c>
      <c r="AS11" s="12">
        <v>119</v>
      </c>
      <c r="AT11" s="12">
        <v>101</v>
      </c>
      <c r="AU11" s="5">
        <f t="shared" si="2"/>
        <v>447</v>
      </c>
      <c r="AV11" s="181">
        <v>115</v>
      </c>
      <c r="AW11" s="12">
        <v>155</v>
      </c>
      <c r="AX11" s="12">
        <v>119</v>
      </c>
      <c r="AY11" s="12">
        <v>181</v>
      </c>
      <c r="AZ11" s="5">
        <f t="shared" si="3"/>
        <v>570</v>
      </c>
      <c r="BA11" s="12">
        <v>104</v>
      </c>
      <c r="BB11" s="12">
        <v>156</v>
      </c>
      <c r="BC11" s="12">
        <v>327</v>
      </c>
      <c r="BD11" s="12">
        <v>-615</v>
      </c>
      <c r="BE11" s="5">
        <f t="shared" si="4"/>
        <v>-28</v>
      </c>
      <c r="BF11" s="12">
        <v>29</v>
      </c>
      <c r="BG11" s="12">
        <v>274</v>
      </c>
      <c r="BH11" s="12">
        <v>174</v>
      </c>
      <c r="BI11" s="12">
        <v>489</v>
      </c>
      <c r="BJ11" s="5">
        <f t="shared" si="5"/>
        <v>966</v>
      </c>
      <c r="BK11" s="12">
        <v>205</v>
      </c>
      <c r="BL11" s="12">
        <v>160</v>
      </c>
      <c r="BM11" s="181">
        <v>231</v>
      </c>
      <c r="BN11" s="181">
        <v>581</v>
      </c>
      <c r="BO11" s="5">
        <f t="shared" si="6"/>
        <v>1177</v>
      </c>
      <c r="BP11" s="12">
        <f ca="1">Segments!BP89</f>
        <v>213.80600814845042</v>
      </c>
      <c r="BQ11" s="12">
        <f ca="1">Segments!BQ89</f>
        <v>213.80600814845039</v>
      </c>
      <c r="BR11" s="12">
        <f ca="1">Segments!BR89</f>
        <v>213.80600814845042</v>
      </c>
      <c r="BS11" s="12">
        <f ca="1">Segments!BS89</f>
        <v>213.80600814845047</v>
      </c>
      <c r="BT11" s="5">
        <f t="shared" ca="1" si="7"/>
        <v>855.22403259380167</v>
      </c>
      <c r="BU11" s="12">
        <f ca="1">Segments!BU89</f>
        <v>210.85414928534286</v>
      </c>
      <c r="BV11" s="12">
        <f ca="1">Segments!BV89</f>
        <v>210.85414928534286</v>
      </c>
      <c r="BW11" s="12">
        <f ca="1">Segments!BW89</f>
        <v>210.85414928534286</v>
      </c>
      <c r="BX11" s="12">
        <f ca="1">Segments!BX89</f>
        <v>210.85414928534283</v>
      </c>
      <c r="BY11" s="5">
        <f t="shared" ca="1" si="8"/>
        <v>843.41659714137143</v>
      </c>
      <c r="BZ11" s="12">
        <f ca="1">Segments!BZ89</f>
        <v>306.76983199132496</v>
      </c>
      <c r="CA11" s="12">
        <f ca="1">Segments!CA89</f>
        <v>306.76983199132496</v>
      </c>
      <c r="CB11" s="12">
        <f ca="1">Segments!CB89</f>
        <v>306.76983199132496</v>
      </c>
      <c r="CC11" s="12">
        <f ca="1">Segments!CC89</f>
        <v>306.76983199132496</v>
      </c>
      <c r="CD11" s="5">
        <f t="shared" ca="1" si="9"/>
        <v>1227.0793279652999</v>
      </c>
      <c r="CE11" s="5"/>
      <c r="CF11" s="5"/>
      <c r="CG11" s="5"/>
      <c r="CH11" s="202" t="s">
        <v>948</v>
      </c>
      <c r="CI11" s="8"/>
      <c r="CJ11" s="142">
        <f>CORREL($CI14:$CI61,CJ14:CJ61)^2</f>
        <v>0.968469738404928</v>
      </c>
    </row>
    <row r="12" spans="1:101" ht="12.75" customHeight="1">
      <c r="A12" s="137" t="s">
        <v>647</v>
      </c>
      <c r="B12" s="137"/>
      <c r="C12" s="5">
        <v>756</v>
      </c>
      <c r="D12" s="5">
        <v>617</v>
      </c>
      <c r="E12" s="5">
        <v>388</v>
      </c>
      <c r="F12" s="5">
        <v>462</v>
      </c>
      <c r="G12" s="5">
        <v>460</v>
      </c>
      <c r="H12" s="12">
        <v>115</v>
      </c>
      <c r="I12" s="12">
        <v>114</v>
      </c>
      <c r="J12" s="12">
        <v>88</v>
      </c>
      <c r="K12" s="12">
        <v>125</v>
      </c>
      <c r="L12" s="5">
        <v>442</v>
      </c>
      <c r="M12" s="12">
        <v>163</v>
      </c>
      <c r="N12" s="12">
        <v>173</v>
      </c>
      <c r="O12" s="12">
        <v>204</v>
      </c>
      <c r="P12" s="12">
        <v>157</v>
      </c>
      <c r="Q12" s="5">
        <v>697</v>
      </c>
      <c r="R12" s="12">
        <v>225</v>
      </c>
      <c r="S12" s="12">
        <v>251</v>
      </c>
      <c r="T12" s="12">
        <v>155</v>
      </c>
      <c r="U12" s="12">
        <v>167</v>
      </c>
      <c r="V12" s="5">
        <v>798</v>
      </c>
      <c r="W12" s="12">
        <v>285</v>
      </c>
      <c r="X12" s="12">
        <v>714</v>
      </c>
      <c r="Y12" s="12">
        <v>920</v>
      </c>
      <c r="Z12" s="12">
        <v>696</v>
      </c>
      <c r="AA12" s="5">
        <v>2615</v>
      </c>
      <c r="AB12" s="12">
        <v>763</v>
      </c>
      <c r="AC12" s="12">
        <v>760</v>
      </c>
      <c r="AD12" s="12">
        <v>934</v>
      </c>
      <c r="AE12" s="12">
        <v>1125</v>
      </c>
      <c r="AF12" s="5">
        <v>3582</v>
      </c>
      <c r="AG12" s="12">
        <v>1409</v>
      </c>
      <c r="AH12" s="12">
        <v>1255</v>
      </c>
      <c r="AI12" s="12">
        <v>1108</v>
      </c>
      <c r="AJ12" s="12">
        <v>1144</v>
      </c>
      <c r="AK12" s="5">
        <f>SUM(AG12:AJ12)</f>
        <v>4916</v>
      </c>
      <c r="AL12" s="12">
        <v>1260</v>
      </c>
      <c r="AM12" s="12">
        <v>545</v>
      </c>
      <c r="AN12" s="12">
        <v>1548</v>
      </c>
      <c r="AO12" s="12">
        <v>322</v>
      </c>
      <c r="AP12" s="5">
        <f>SUM(AL12:AO12)</f>
        <v>3675</v>
      </c>
      <c r="AQ12" s="12">
        <v>284</v>
      </c>
      <c r="AR12" s="12">
        <v>448</v>
      </c>
      <c r="AS12" s="12">
        <v>1010</v>
      </c>
      <c r="AT12" s="12">
        <v>1000</v>
      </c>
      <c r="AU12" s="5">
        <f t="shared" si="2"/>
        <v>2742</v>
      </c>
      <c r="AV12" s="181">
        <v>783</v>
      </c>
      <c r="AW12" s="12">
        <v>1228</v>
      </c>
      <c r="AX12" s="12">
        <v>272</v>
      </c>
      <c r="AY12" s="12">
        <v>519</v>
      </c>
      <c r="AZ12" s="5">
        <f t="shared" si="3"/>
        <v>2802</v>
      </c>
      <c r="BA12" s="12">
        <v>362</v>
      </c>
      <c r="BB12" s="12">
        <v>670</v>
      </c>
      <c r="BC12" s="12">
        <v>504</v>
      </c>
      <c r="BD12" s="12">
        <v>303</v>
      </c>
      <c r="BE12" s="5">
        <f t="shared" si="4"/>
        <v>1839</v>
      </c>
      <c r="BF12" s="12">
        <v>142</v>
      </c>
      <c r="BG12" s="12">
        <v>380</v>
      </c>
      <c r="BH12" s="12">
        <v>209</v>
      </c>
      <c r="BI12" s="12">
        <v>263</v>
      </c>
      <c r="BJ12" s="5">
        <f t="shared" si="5"/>
        <v>994</v>
      </c>
      <c r="BK12" s="12">
        <v>151</v>
      </c>
      <c r="BL12" s="12">
        <v>371</v>
      </c>
      <c r="BM12" s="181">
        <v>282</v>
      </c>
      <c r="BN12" s="181">
        <v>526</v>
      </c>
      <c r="BO12" s="5">
        <f t="shared" si="6"/>
        <v>1330</v>
      </c>
      <c r="BP12" s="12">
        <f ca="1">Segments!BP90</f>
        <v>641.41802444535119</v>
      </c>
      <c r="BQ12" s="12">
        <f ca="1">Segments!BQ90</f>
        <v>641.41802444535119</v>
      </c>
      <c r="BR12" s="12">
        <f ca="1">Segments!BR90</f>
        <v>641.41802444535119</v>
      </c>
      <c r="BS12" s="12">
        <f ca="1">Segments!BS90</f>
        <v>641.41802444535142</v>
      </c>
      <c r="BT12" s="5">
        <f t="shared" ca="1" si="7"/>
        <v>2565.6720977814048</v>
      </c>
      <c r="BU12" s="12">
        <f ca="1">Segments!BU90</f>
        <v>632.5624478560286</v>
      </c>
      <c r="BV12" s="12">
        <f ca="1">Segments!BV90</f>
        <v>632.5624478560286</v>
      </c>
      <c r="BW12" s="12">
        <f ca="1">Segments!BW90</f>
        <v>632.5624478560286</v>
      </c>
      <c r="BX12" s="12">
        <f ca="1">Segments!BX90</f>
        <v>632.56244785602848</v>
      </c>
      <c r="BY12" s="5">
        <f t="shared" ca="1" si="8"/>
        <v>2530.2497914241144</v>
      </c>
      <c r="BZ12" s="12">
        <f ca="1">Segments!BZ90</f>
        <v>920.30949597397489</v>
      </c>
      <c r="CA12" s="12">
        <f ca="1">Segments!CA90</f>
        <v>920.30949597397489</v>
      </c>
      <c r="CB12" s="12">
        <f ca="1">Segments!CB90</f>
        <v>920.30949597397489</v>
      </c>
      <c r="CC12" s="12">
        <f ca="1">Segments!CC90</f>
        <v>920.30949597397489</v>
      </c>
      <c r="CD12" s="5">
        <f t="shared" ca="1" si="9"/>
        <v>3681.2379838958996</v>
      </c>
      <c r="CE12" s="5"/>
      <c r="CF12" s="5"/>
      <c r="CG12" s="5"/>
      <c r="CH12" s="5"/>
      <c r="CI12" s="5"/>
      <c r="CJ12" s="5"/>
    </row>
    <row r="13" spans="1:101" ht="12.75" customHeight="1">
      <c r="A13" s="137" t="s">
        <v>394</v>
      </c>
      <c r="B13" s="137"/>
      <c r="C13" s="5">
        <v>694</v>
      </c>
      <c r="D13" s="5">
        <v>641</v>
      </c>
      <c r="E13" s="5">
        <v>746</v>
      </c>
      <c r="F13" s="5">
        <v>615</v>
      </c>
      <c r="G13" s="5">
        <v>613</v>
      </c>
      <c r="H13" s="12">
        <v>198</v>
      </c>
      <c r="I13" s="12">
        <v>106</v>
      </c>
      <c r="J13" s="12">
        <v>220</v>
      </c>
      <c r="K13" s="12">
        <v>177</v>
      </c>
      <c r="L13" s="5">
        <v>701</v>
      </c>
      <c r="M13" s="12">
        <v>233</v>
      </c>
      <c r="N13" s="12">
        <v>128</v>
      </c>
      <c r="O13" s="12">
        <v>172</v>
      </c>
      <c r="P13" s="12">
        <v>221</v>
      </c>
      <c r="Q13" s="5">
        <v>754</v>
      </c>
      <c r="R13" s="12">
        <v>278</v>
      </c>
      <c r="S13" s="12">
        <v>153</v>
      </c>
      <c r="T13" s="12">
        <v>135</v>
      </c>
      <c r="U13" s="12">
        <v>170</v>
      </c>
      <c r="V13" s="5">
        <v>736</v>
      </c>
      <c r="W13" s="12">
        <v>203</v>
      </c>
      <c r="X13" s="12">
        <v>191</v>
      </c>
      <c r="Y13" s="12">
        <v>157</v>
      </c>
      <c r="Z13" s="12">
        <v>241</v>
      </c>
      <c r="AA13" s="5">
        <v>792</v>
      </c>
      <c r="AB13" s="12">
        <v>142</v>
      </c>
      <c r="AC13" s="12">
        <v>158</v>
      </c>
      <c r="AD13" s="12">
        <v>207</v>
      </c>
      <c r="AE13" s="12">
        <v>174</v>
      </c>
      <c r="AF13" s="5">
        <v>681</v>
      </c>
      <c r="AG13" s="12">
        <v>124</v>
      </c>
      <c r="AH13" s="12">
        <v>151</v>
      </c>
      <c r="AI13" s="12">
        <v>151</v>
      </c>
      <c r="AJ13" s="12">
        <v>170</v>
      </c>
      <c r="AK13" s="235">
        <f t="shared" si="0"/>
        <v>596</v>
      </c>
      <c r="AL13" s="12">
        <v>175</v>
      </c>
      <c r="AM13" s="12">
        <v>176</v>
      </c>
      <c r="AN13" s="12">
        <v>137</v>
      </c>
      <c r="AO13" s="12">
        <v>1102</v>
      </c>
      <c r="AP13" s="5">
        <f t="shared" si="1"/>
        <v>1590</v>
      </c>
      <c r="AQ13" s="12">
        <v>157</v>
      </c>
      <c r="AR13" s="12">
        <v>207</v>
      </c>
      <c r="AS13" s="12">
        <v>178</v>
      </c>
      <c r="AT13" s="12">
        <v>235</v>
      </c>
      <c r="AU13" s="5">
        <f t="shared" si="2"/>
        <v>777</v>
      </c>
      <c r="AV13" s="181">
        <v>331</v>
      </c>
      <c r="AW13" s="12">
        <v>157</v>
      </c>
      <c r="AX13" s="12">
        <v>117</v>
      </c>
      <c r="AY13" s="12">
        <v>238</v>
      </c>
      <c r="AZ13" s="5">
        <f t="shared" si="3"/>
        <v>843</v>
      </c>
      <c r="BA13" s="12">
        <v>120</v>
      </c>
      <c r="BB13" s="12">
        <v>195</v>
      </c>
      <c r="BC13" s="12">
        <v>151</v>
      </c>
      <c r="BD13" s="12">
        <v>145</v>
      </c>
      <c r="BE13" s="5">
        <f t="shared" si="4"/>
        <v>611</v>
      </c>
      <c r="BF13" s="12">
        <v>145</v>
      </c>
      <c r="BG13" s="12">
        <v>101</v>
      </c>
      <c r="BH13" s="12">
        <v>146</v>
      </c>
      <c r="BI13" s="12">
        <v>114</v>
      </c>
      <c r="BJ13" s="5">
        <f t="shared" si="5"/>
        <v>506</v>
      </c>
      <c r="BK13" s="12">
        <v>122</v>
      </c>
      <c r="BL13" s="12">
        <v>127</v>
      </c>
      <c r="BM13" s="181">
        <v>185</v>
      </c>
      <c r="BN13" s="181">
        <v>223</v>
      </c>
      <c r="BO13" s="5">
        <f t="shared" si="6"/>
        <v>657</v>
      </c>
      <c r="BP13" s="12">
        <f ca="1">Other!BP57</f>
        <v>159.91250000000002</v>
      </c>
      <c r="BQ13" s="12">
        <f ca="1">Other!BQ57</f>
        <v>159.91250000000002</v>
      </c>
      <c r="BR13" s="12">
        <f ca="1">Other!BR57</f>
        <v>159.91250000000002</v>
      </c>
      <c r="BS13" s="12">
        <f ca="1">Other!BS57</f>
        <v>159.91250000000002</v>
      </c>
      <c r="BT13" s="5">
        <f t="shared" ca="1" si="7"/>
        <v>639.65000000000009</v>
      </c>
      <c r="BU13" s="12">
        <f ca="1">Other!BU57</f>
        <v>159.91250000000002</v>
      </c>
      <c r="BV13" s="12">
        <f ca="1">Other!BV57</f>
        <v>159.91250000000002</v>
      </c>
      <c r="BW13" s="12">
        <f ca="1">Other!BW57</f>
        <v>159.91250000000002</v>
      </c>
      <c r="BX13" s="12">
        <f ca="1">Other!BX57</f>
        <v>159.91250000000002</v>
      </c>
      <c r="BY13" s="5">
        <f t="shared" ca="1" si="8"/>
        <v>639.65000000000009</v>
      </c>
      <c r="BZ13" s="12">
        <f ca="1">Other!BZ57</f>
        <v>159.91250000000002</v>
      </c>
      <c r="CA13" s="12">
        <f ca="1">Other!CA57</f>
        <v>159.91250000000002</v>
      </c>
      <c r="CB13" s="12">
        <f ca="1">Other!CB57</f>
        <v>159.91250000000002</v>
      </c>
      <c r="CC13" s="12">
        <f ca="1">Other!CC57</f>
        <v>159.91250000000002</v>
      </c>
      <c r="CD13" s="5">
        <f t="shared" ca="1" si="9"/>
        <v>639.65000000000009</v>
      </c>
      <c r="CE13" s="5"/>
      <c r="CF13" s="5"/>
      <c r="CG13" s="5"/>
      <c r="CH13" s="151" t="s">
        <v>949</v>
      </c>
      <c r="CI13" s="151" t="s">
        <v>950</v>
      </c>
      <c r="CJ13" s="151" t="s">
        <v>929</v>
      </c>
      <c r="CU13" s="440"/>
      <c r="CV13" s="613"/>
    </row>
    <row r="14" spans="1:101" ht="12.75" customHeight="1">
      <c r="A14" s="137" t="s">
        <v>395</v>
      </c>
      <c r="B14" s="137"/>
      <c r="C14" s="5">
        <v>1130</v>
      </c>
      <c r="D14" s="5">
        <v>2933</v>
      </c>
      <c r="E14" s="5">
        <v>1895</v>
      </c>
      <c r="F14" s="5">
        <v>1685</v>
      </c>
      <c r="G14" s="5">
        <v>1538</v>
      </c>
      <c r="H14" s="12">
        <v>597</v>
      </c>
      <c r="I14" s="12">
        <v>541</v>
      </c>
      <c r="J14" s="12">
        <v>2276</v>
      </c>
      <c r="K14" s="12">
        <v>300</v>
      </c>
      <c r="L14" s="5">
        <v>3714</v>
      </c>
      <c r="M14" s="12">
        <v>680</v>
      </c>
      <c r="N14" s="12">
        <v>1309</v>
      </c>
      <c r="O14" s="12">
        <v>228</v>
      </c>
      <c r="P14" s="12">
        <v>270</v>
      </c>
      <c r="Q14" s="5">
        <v>2487</v>
      </c>
      <c r="R14" s="12">
        <v>925</v>
      </c>
      <c r="S14" s="12">
        <v>79</v>
      </c>
      <c r="T14" s="12">
        <v>193</v>
      </c>
      <c r="U14" s="12">
        <v>156</v>
      </c>
      <c r="V14" s="5">
        <v>1353</v>
      </c>
      <c r="W14" s="12">
        <v>81</v>
      </c>
      <c r="X14" s="12">
        <v>522</v>
      </c>
      <c r="Y14" s="12">
        <v>202</v>
      </c>
      <c r="Z14" s="12">
        <v>1368</v>
      </c>
      <c r="AA14" s="5">
        <v>2173</v>
      </c>
      <c r="AB14" s="12">
        <v>38</v>
      </c>
      <c r="AC14" s="12">
        <v>971</v>
      </c>
      <c r="AD14" s="12">
        <v>2621</v>
      </c>
      <c r="AE14" s="12">
        <v>2753</v>
      </c>
      <c r="AF14" s="5">
        <v>6383</v>
      </c>
      <c r="AG14" s="12">
        <v>1188</v>
      </c>
      <c r="AH14" s="12">
        <v>775</v>
      </c>
      <c r="AI14" s="12">
        <v>790</v>
      </c>
      <c r="AJ14" s="12">
        <v>1377</v>
      </c>
      <c r="AK14" s="235">
        <f t="shared" si="0"/>
        <v>4130</v>
      </c>
      <c r="AL14" s="12">
        <v>933</v>
      </c>
      <c r="AM14" s="12">
        <v>742</v>
      </c>
      <c r="AN14" s="12">
        <v>610</v>
      </c>
      <c r="AO14" s="12">
        <v>4411</v>
      </c>
      <c r="AP14" s="5">
        <f t="shared" si="1"/>
        <v>6696</v>
      </c>
      <c r="AQ14" s="12">
        <v>12541</v>
      </c>
      <c r="AR14" s="12">
        <v>236</v>
      </c>
      <c r="AS14" s="12">
        <v>295</v>
      </c>
      <c r="AT14" s="12">
        <v>43</v>
      </c>
      <c r="AU14" s="5">
        <f t="shared" si="2"/>
        <v>13115</v>
      </c>
      <c r="AV14" s="181">
        <v>49</v>
      </c>
      <c r="AW14" s="12">
        <v>330</v>
      </c>
      <c r="AX14" s="12">
        <v>355</v>
      </c>
      <c r="AY14" s="12">
        <v>161</v>
      </c>
      <c r="AZ14" s="5">
        <f t="shared" si="3"/>
        <v>895</v>
      </c>
      <c r="BA14" s="12">
        <v>138</v>
      </c>
      <c r="BB14" s="12">
        <v>133</v>
      </c>
      <c r="BC14" s="12">
        <v>167</v>
      </c>
      <c r="BD14" s="12">
        <v>228</v>
      </c>
      <c r="BE14" s="5">
        <f t="shared" si="4"/>
        <v>666</v>
      </c>
      <c r="BF14" s="12">
        <v>338</v>
      </c>
      <c r="BG14" s="12">
        <v>79</v>
      </c>
      <c r="BH14" s="12">
        <v>467</v>
      </c>
      <c r="BI14" s="12">
        <v>248</v>
      </c>
      <c r="BJ14" s="5">
        <f t="shared" si="5"/>
        <v>1132</v>
      </c>
      <c r="BK14" s="12">
        <v>45</v>
      </c>
      <c r="BL14" s="12">
        <v>197</v>
      </c>
      <c r="BM14" s="181">
        <v>92</v>
      </c>
      <c r="BN14" s="181">
        <v>876</v>
      </c>
      <c r="BO14" s="5">
        <f t="shared" si="6"/>
        <v>1210</v>
      </c>
      <c r="BP14" s="12">
        <v>0</v>
      </c>
      <c r="BQ14" s="12">
        <v>0</v>
      </c>
      <c r="BR14" s="12">
        <v>0</v>
      </c>
      <c r="BS14" s="12">
        <v>0</v>
      </c>
      <c r="BT14" s="5">
        <f t="shared" si="7"/>
        <v>0</v>
      </c>
      <c r="BU14" s="12">
        <v>0</v>
      </c>
      <c r="BV14" s="12">
        <v>0</v>
      </c>
      <c r="BW14" s="12">
        <v>0</v>
      </c>
      <c r="BX14" s="12">
        <v>0</v>
      </c>
      <c r="BY14" s="5">
        <f t="shared" si="8"/>
        <v>0</v>
      </c>
      <c r="BZ14" s="12">
        <v>0</v>
      </c>
      <c r="CA14" s="12">
        <v>0</v>
      </c>
      <c r="CB14" s="12">
        <v>0</v>
      </c>
      <c r="CC14" s="12">
        <v>0</v>
      </c>
      <c r="CD14" s="5">
        <f t="shared" si="9"/>
        <v>0</v>
      </c>
      <c r="CE14" s="5"/>
      <c r="CF14" s="5"/>
      <c r="CG14" s="5"/>
      <c r="CH14" s="202" t="s">
        <v>714</v>
      </c>
      <c r="CI14" s="5">
        <f>HLOOKUP(CH14,'Key assumptions'!$A$9:$CD$20,4,FALSE)</f>
        <v>61.79</v>
      </c>
      <c r="CJ14" s="5">
        <f>HLOOKUP(CH14,$A$9:$CD$15,2,FALSE)</f>
        <v>63288</v>
      </c>
      <c r="CT14" s="468"/>
      <c r="CU14" s="440"/>
      <c r="CV14" s="613"/>
    </row>
    <row r="15" spans="1:101">
      <c r="A15" s="14" t="s">
        <v>36</v>
      </c>
      <c r="B15" s="14"/>
      <c r="C15" s="15">
        <f t="shared" ref="C15:Q15" si="10">SUM(C10:C14)</f>
        <v>151521</v>
      </c>
      <c r="D15" s="15">
        <f t="shared" si="10"/>
        <v>154212</v>
      </c>
      <c r="E15" s="15">
        <f t="shared" si="10"/>
        <v>168508</v>
      </c>
      <c r="F15" s="15">
        <f t="shared" si="10"/>
        <v>196604</v>
      </c>
      <c r="G15" s="15">
        <f t="shared" si="10"/>
        <v>245486</v>
      </c>
      <c r="H15" s="67">
        <f t="shared" si="10"/>
        <v>64771</v>
      </c>
      <c r="I15" s="67">
        <f t="shared" si="10"/>
        <v>73711</v>
      </c>
      <c r="J15" s="67">
        <f t="shared" si="10"/>
        <v>73002</v>
      </c>
      <c r="K15" s="67">
        <f t="shared" si="10"/>
        <v>62832</v>
      </c>
      <c r="L15" s="15">
        <f t="shared" si="10"/>
        <v>274316</v>
      </c>
      <c r="M15" s="16">
        <f t="shared" si="10"/>
        <v>62716</v>
      </c>
      <c r="N15" s="16">
        <f t="shared" si="10"/>
        <v>74392</v>
      </c>
      <c r="O15" s="16">
        <f t="shared" si="10"/>
        <v>72838</v>
      </c>
      <c r="P15" s="16">
        <f t="shared" si="10"/>
        <v>81492</v>
      </c>
      <c r="Q15" s="15">
        <f t="shared" si="10"/>
        <v>291438</v>
      </c>
      <c r="R15" s="16">
        <f t="shared" ref="R15:AI15" si="11">SUM(R10:R14)</f>
        <v>90148</v>
      </c>
      <c r="S15" s="16">
        <f t="shared" si="11"/>
        <v>110982</v>
      </c>
      <c r="T15" s="16">
        <f t="shared" si="11"/>
        <v>104829</v>
      </c>
      <c r="U15" s="16">
        <f t="shared" si="11"/>
        <v>61094</v>
      </c>
      <c r="V15" s="15">
        <f t="shared" si="11"/>
        <v>367053</v>
      </c>
      <c r="W15" s="16">
        <f t="shared" si="11"/>
        <v>48085</v>
      </c>
      <c r="X15" s="16">
        <f t="shared" si="11"/>
        <v>56561</v>
      </c>
      <c r="Y15" s="16">
        <f t="shared" si="11"/>
        <v>67856</v>
      </c>
      <c r="Z15" s="16">
        <f t="shared" si="11"/>
        <v>73636</v>
      </c>
      <c r="AA15" s="15">
        <f t="shared" si="11"/>
        <v>246138</v>
      </c>
      <c r="AB15" s="16">
        <f t="shared" si="11"/>
        <v>74417</v>
      </c>
      <c r="AC15" s="16">
        <f t="shared" si="11"/>
        <v>75871</v>
      </c>
      <c r="AD15" s="16">
        <f t="shared" si="11"/>
        <v>74652</v>
      </c>
      <c r="AE15" s="16">
        <f t="shared" si="11"/>
        <v>83988</v>
      </c>
      <c r="AF15" s="15">
        <f t="shared" si="11"/>
        <v>308928</v>
      </c>
      <c r="AG15" s="16">
        <f t="shared" si="11"/>
        <v>88442</v>
      </c>
      <c r="AH15" s="16">
        <f t="shared" si="11"/>
        <v>103946</v>
      </c>
      <c r="AI15" s="16">
        <f t="shared" si="11"/>
        <v>97732</v>
      </c>
      <c r="AJ15" s="16">
        <f>SUM(AJ10:AJ14)</f>
        <v>96343</v>
      </c>
      <c r="AK15" s="15">
        <f t="shared" si="0"/>
        <v>386463</v>
      </c>
      <c r="AL15" s="16">
        <f>SUM(AL10:AL14)</f>
        <v>96698</v>
      </c>
      <c r="AM15" s="16">
        <v>94892</v>
      </c>
      <c r="AN15" s="16">
        <v>93121</v>
      </c>
      <c r="AO15" s="16">
        <v>98860</v>
      </c>
      <c r="AP15" s="15">
        <f t="shared" si="1"/>
        <v>383571</v>
      </c>
      <c r="AQ15" s="16">
        <f>SUM(AQ10:AQ14)</f>
        <v>107214</v>
      </c>
      <c r="AR15" s="16">
        <f>SUM(AR10:AR14)</f>
        <v>95704</v>
      </c>
      <c r="AS15" s="16">
        <f>SUM(AS10:AS14)</f>
        <v>98203</v>
      </c>
      <c r="AT15" s="16">
        <f>SUM(AT10:AT14)</f>
        <v>95096</v>
      </c>
      <c r="AU15" s="15">
        <f t="shared" si="2"/>
        <v>396217</v>
      </c>
      <c r="AV15" s="177">
        <f>SUM(AV10:AV14)</f>
        <v>92988</v>
      </c>
      <c r="AW15" s="16">
        <f>SUM(AW10:AW14)</f>
        <v>95827</v>
      </c>
      <c r="AX15" s="16">
        <f>SUM(AX10:AX14)</f>
        <v>94767</v>
      </c>
      <c r="AY15" s="16">
        <f>SUM(AY10:AY14)</f>
        <v>75096</v>
      </c>
      <c r="AZ15" s="15">
        <f t="shared" si="3"/>
        <v>358678</v>
      </c>
      <c r="BA15" s="16">
        <f>SUM(BA10:BA14)</f>
        <v>56243</v>
      </c>
      <c r="BB15" s="16">
        <f>SUM(BB10:BB14)</f>
        <v>63205</v>
      </c>
      <c r="BC15" s="16">
        <f>SUM(BC10:BC14)</f>
        <v>57301</v>
      </c>
      <c r="BD15" s="16">
        <f>SUM(BD10:BD14)</f>
        <v>49233</v>
      </c>
      <c r="BE15" s="15">
        <f t="shared" si="4"/>
        <v>225982</v>
      </c>
      <c r="BF15" s="16">
        <f>SUM(BF10:BF14)</f>
        <v>39166</v>
      </c>
      <c r="BG15" s="16">
        <f>SUM(BG10:BG14)</f>
        <v>47276</v>
      </c>
      <c r="BH15" s="16">
        <f>SUM(BH10:BH14)</f>
        <v>48043</v>
      </c>
      <c r="BI15" s="16">
        <f>SUM(BI10:BI14)</f>
        <v>52121</v>
      </c>
      <c r="BJ15" s="15">
        <f t="shared" si="5"/>
        <v>186606</v>
      </c>
      <c r="BK15" s="16">
        <f>SUM(BK10:BK14)</f>
        <v>56386</v>
      </c>
      <c r="BL15" s="16">
        <f>SUM(BL10:BL14)</f>
        <v>57366</v>
      </c>
      <c r="BM15" s="177">
        <f>SUM(BM10:BM14)</f>
        <v>60808</v>
      </c>
      <c r="BN15" s="177">
        <f>SUM(BN10:BN14)</f>
        <v>70022</v>
      </c>
      <c r="BO15" s="15">
        <f t="shared" si="6"/>
        <v>244582</v>
      </c>
      <c r="BP15" s="16">
        <f ca="1">SUM(BP10:BP14)</f>
        <v>66701.265697240262</v>
      </c>
      <c r="BQ15" s="16">
        <f ca="1">SUM(BQ10:BQ14)</f>
        <v>67125.226035289248</v>
      </c>
      <c r="BR15" s="16">
        <f ca="1">SUM(BR10:BR14)</f>
        <v>66263.629219254202</v>
      </c>
      <c r="BS15" s="16">
        <f ca="1">SUM(BS10:BS14)</f>
        <v>65545.631872558297</v>
      </c>
      <c r="BT15" s="15">
        <f t="shared" ca="1" si="7"/>
        <v>265635.75282434199</v>
      </c>
      <c r="BU15" s="16">
        <f ca="1">SUM(BU10:BU14)</f>
        <v>63967.906414311969</v>
      </c>
      <c r="BV15" s="16">
        <f ca="1">SUM(BV10:BV14)</f>
        <v>63967.906414311969</v>
      </c>
      <c r="BW15" s="16">
        <f ca="1">SUM(BW10:BW14)</f>
        <v>63967.906414311969</v>
      </c>
      <c r="BX15" s="16">
        <f ca="1">SUM(BX10:BX14)</f>
        <v>63967.906414311969</v>
      </c>
      <c r="BY15" s="15">
        <f t="shared" ca="1" si="8"/>
        <v>255871.62565724787</v>
      </c>
      <c r="BZ15" s="16">
        <f ca="1">SUM(BZ10:BZ14)</f>
        <v>64618.118415981364</v>
      </c>
      <c r="CA15" s="16">
        <f ca="1">SUM(CA10:CA14)</f>
        <v>64886.318225569819</v>
      </c>
      <c r="CB15" s="16">
        <f ca="1">SUM(CB10:CB14)</f>
        <v>65156.178794443731</v>
      </c>
      <c r="CC15" s="16">
        <f ca="1">SUM(CC10:CC14)</f>
        <v>65427.710406433689</v>
      </c>
      <c r="CD15" s="15">
        <f t="shared" ca="1" si="9"/>
        <v>260088.3258424286</v>
      </c>
      <c r="CE15" s="8"/>
      <c r="CF15" s="5"/>
      <c r="CG15" s="8"/>
      <c r="CH15" s="202" t="s">
        <v>715</v>
      </c>
      <c r="CI15" s="5">
        <f>HLOOKUP(CH15,'Key assumptions'!$A$9:$CD$20,4,FALSE)</f>
        <v>69.59</v>
      </c>
      <c r="CJ15" s="5">
        <f t="shared" ref="CJ15:CJ34" si="12">HLOOKUP(CH15,$A$9:$CD$15,2,FALSE)</f>
        <v>72132</v>
      </c>
      <c r="CT15" s="468"/>
      <c r="CU15" s="440"/>
      <c r="CV15" s="613"/>
      <c r="CW15" s="381"/>
    </row>
    <row r="16" spans="1:101" ht="12.75" customHeight="1">
      <c r="A16" s="4"/>
      <c r="B16" s="4"/>
      <c r="C16" s="5"/>
      <c r="D16" s="5"/>
      <c r="E16" s="5"/>
      <c r="F16" s="5"/>
      <c r="G16" s="5"/>
      <c r="H16" s="12"/>
      <c r="I16" s="12"/>
      <c r="J16" s="12"/>
      <c r="K16" s="12"/>
      <c r="L16" s="116"/>
      <c r="M16" s="12"/>
      <c r="N16" s="12"/>
      <c r="O16" s="12"/>
      <c r="P16" s="12"/>
      <c r="Q16" s="116"/>
      <c r="R16" s="12"/>
      <c r="S16" s="12"/>
      <c r="T16" s="12"/>
      <c r="U16" s="12"/>
      <c r="V16" s="116"/>
      <c r="W16" s="12"/>
      <c r="X16" s="12"/>
      <c r="Y16" s="12"/>
      <c r="Z16" s="12"/>
      <c r="AA16" s="116"/>
      <c r="AB16" s="12"/>
      <c r="AC16" s="12"/>
      <c r="AD16" s="12"/>
      <c r="AE16" s="12"/>
      <c r="AF16" s="116"/>
      <c r="AG16" s="12"/>
      <c r="AH16" s="5"/>
      <c r="AI16" s="5"/>
      <c r="AJ16" s="5"/>
      <c r="AK16" s="116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138"/>
      <c r="AW16" s="5"/>
      <c r="AX16" s="5"/>
      <c r="AY16" s="5"/>
      <c r="AZ16" s="5"/>
      <c r="BA16" s="603"/>
      <c r="BB16" s="603"/>
      <c r="BC16" s="603"/>
      <c r="BD16" s="603"/>
      <c r="BE16" s="5"/>
      <c r="BF16" s="603"/>
      <c r="BG16" s="603"/>
      <c r="BH16" s="603"/>
      <c r="BI16" s="603"/>
      <c r="BJ16" s="5"/>
      <c r="BK16" s="603"/>
      <c r="BL16" s="603"/>
      <c r="BM16" s="542"/>
      <c r="BN16" s="542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202" t="s">
        <v>716</v>
      </c>
      <c r="CI16" s="5">
        <f>HLOOKUP(CH16,'Key assumptions'!$A$9:$CD$20,4,FALSE)</f>
        <v>69.599999999999994</v>
      </c>
      <c r="CJ16" s="5">
        <f t="shared" si="12"/>
        <v>68540</v>
      </c>
      <c r="CT16" s="617"/>
      <c r="CU16" s="440"/>
      <c r="CV16" s="613"/>
      <c r="CW16" s="381"/>
    </row>
    <row r="17" spans="1:101" ht="12.75" customHeight="1">
      <c r="A17" s="4" t="s">
        <v>37</v>
      </c>
      <c r="B17" s="4"/>
      <c r="C17" s="5">
        <v>-104027</v>
      </c>
      <c r="D17" s="5">
        <v>-101208</v>
      </c>
      <c r="E17" s="5">
        <v>-111190</v>
      </c>
      <c r="F17" s="5">
        <v>-128055</v>
      </c>
      <c r="G17" s="5">
        <v>-163026</v>
      </c>
      <c r="H17" s="12">
        <v>-43819</v>
      </c>
      <c r="I17" s="12">
        <v>-50427</v>
      </c>
      <c r="J17" s="12">
        <v>-48431</v>
      </c>
      <c r="K17" s="12">
        <v>-44506</v>
      </c>
      <c r="L17" s="5">
        <v>-187183</v>
      </c>
      <c r="M17" s="12">
        <v>-42660</v>
      </c>
      <c r="N17" s="12">
        <v>-49983</v>
      </c>
      <c r="O17" s="12">
        <v>-51810</v>
      </c>
      <c r="P17" s="12">
        <v>-56313</v>
      </c>
      <c r="Q17" s="5">
        <v>-200766</v>
      </c>
      <c r="R17" s="12">
        <v>-62389</v>
      </c>
      <c r="S17" s="12">
        <v>-77499</v>
      </c>
      <c r="T17" s="12">
        <v>-77234</v>
      </c>
      <c r="U17" s="12">
        <v>-49860</v>
      </c>
      <c r="V17" s="5">
        <v>-266982</v>
      </c>
      <c r="W17" s="12">
        <v>-30777</v>
      </c>
      <c r="X17" s="12">
        <v>-36007</v>
      </c>
      <c r="Y17" s="12">
        <v>-46787</v>
      </c>
      <c r="Z17" s="12">
        <v>-50201</v>
      </c>
      <c r="AA17" s="5">
        <v>-163772</v>
      </c>
      <c r="AB17" s="12">
        <v>-51641</v>
      </c>
      <c r="AC17" s="12">
        <v>-54536</v>
      </c>
      <c r="AD17" s="12">
        <v>-51695</v>
      </c>
      <c r="AE17" s="12">
        <v>-58339</v>
      </c>
      <c r="AF17" s="5">
        <v>-216211</v>
      </c>
      <c r="AG17" s="12">
        <v>-61721</v>
      </c>
      <c r="AH17" s="176">
        <v>-78281</v>
      </c>
      <c r="AI17" s="176">
        <v>-73825</v>
      </c>
      <c r="AJ17" s="176">
        <v>-71791</v>
      </c>
      <c r="AK17" s="235">
        <f>SUM(AG17:AJ17)</f>
        <v>-285618</v>
      </c>
      <c r="AL17" s="176">
        <v>-71643</v>
      </c>
      <c r="AM17" s="176">
        <v>-75522</v>
      </c>
      <c r="AN17" s="176">
        <v>-68148</v>
      </c>
      <c r="AO17" s="176">
        <v>-73215</v>
      </c>
      <c r="AP17" s="235">
        <f>SUM(AL17:AO17)</f>
        <v>-288528</v>
      </c>
      <c r="AQ17" s="176">
        <v>-71661</v>
      </c>
      <c r="AR17" s="176">
        <v>-75127</v>
      </c>
      <c r="AS17" s="176">
        <v>-76603</v>
      </c>
      <c r="AT17" s="176">
        <v>-74960</v>
      </c>
      <c r="AU17" s="235">
        <f>SUM(AQ17:AT17)</f>
        <v>-298351</v>
      </c>
      <c r="AV17" s="206">
        <v>-71468</v>
      </c>
      <c r="AW17" s="176">
        <v>-74536</v>
      </c>
      <c r="AX17" s="176">
        <v>-75492</v>
      </c>
      <c r="AY17" s="176">
        <v>-60411</v>
      </c>
      <c r="AZ17" s="235">
        <f>SUM(AV17:AY17)</f>
        <v>-281907</v>
      </c>
      <c r="BA17" s="176">
        <v>-39259</v>
      </c>
      <c r="BB17" s="176">
        <v>-46153</v>
      </c>
      <c r="BC17" s="176">
        <v>-42485</v>
      </c>
      <c r="BD17" s="176">
        <v>-36893</v>
      </c>
      <c r="BE17" s="235">
        <f>SUM(BA17:BD17)</f>
        <v>-164790</v>
      </c>
      <c r="BF17" s="176">
        <v>-26603</v>
      </c>
      <c r="BG17" s="176">
        <v>-32752</v>
      </c>
      <c r="BH17" s="176">
        <v>-34981</v>
      </c>
      <c r="BI17" s="176">
        <v>-37883</v>
      </c>
      <c r="BJ17" s="235">
        <f>SUM(BF17:BI17)</f>
        <v>-132219</v>
      </c>
      <c r="BK17" s="176">
        <v>-41137</v>
      </c>
      <c r="BL17" s="176">
        <v>-42713</v>
      </c>
      <c r="BM17" s="206">
        <v>-44612</v>
      </c>
      <c r="BN17" s="206">
        <v>-51745</v>
      </c>
      <c r="BO17" s="235">
        <f>SUM(BK17:BN17)</f>
        <v>-180207</v>
      </c>
      <c r="BP17" s="176">
        <f ca="1">(BP25-BP15)-SUM(BP18:BP24)</f>
        <v>-49113.162362384697</v>
      </c>
      <c r="BQ17" s="176">
        <f ca="1">(BQ25-BQ15)-SUM(BQ18:BQ24)</f>
        <v>-47934.196895150701</v>
      </c>
      <c r="BR17" s="176">
        <f ca="1">(BR25-BR15)-SUM(BR18:BR24)</f>
        <v>-46687.91157096719</v>
      </c>
      <c r="BS17" s="176">
        <f ca="1">(BS25-BS15)-SUM(BS18:BS24)</f>
        <v>-46214.651025057647</v>
      </c>
      <c r="BT17" s="235">
        <f ca="1">SUM(BP17:BS17)</f>
        <v>-189949.92185356026</v>
      </c>
      <c r="BU17" s="176">
        <f ca="1">(BU25-BU15)-SUM(BU18:BU24)</f>
        <v>-44519.763315379765</v>
      </c>
      <c r="BV17" s="176">
        <f ca="1">(BV25-BV15)-SUM(BV18:BV24)</f>
        <v>-44572.7127447823</v>
      </c>
      <c r="BW17" s="176">
        <f ca="1">(BW25-BW15)-SUM(BW18:BW24)</f>
        <v>-44262.556042942917</v>
      </c>
      <c r="BX17" s="176">
        <f ca="1">(BX25-BX15)-SUM(BX18:BX24)</f>
        <v>-44516.019004825757</v>
      </c>
      <c r="BY17" s="235">
        <f ca="1">SUM(BU17:BX17)</f>
        <v>-177871.05110793075</v>
      </c>
      <c r="BZ17" s="176">
        <f ca="1">(BZ25-BZ15)-SUM(BZ18:BZ24)</f>
        <v>-44496.530191270635</v>
      </c>
      <c r="CA17" s="176">
        <f ca="1">(CA25-CA15)-SUM(CA18:CA24)</f>
        <v>-44816.702858257173</v>
      </c>
      <c r="CB17" s="176">
        <f ca="1">(CB25-CB15)-SUM(CB18:CB24)</f>
        <v>-44757.713864720587</v>
      </c>
      <c r="CC17" s="176">
        <f ca="1">(CC25-CC15)-SUM(CC18:CC24)</f>
        <v>-45230.065315016051</v>
      </c>
      <c r="CD17" s="235">
        <f ca="1">SUM(BZ17:CC17)</f>
        <v>-179301.01222926445</v>
      </c>
      <c r="CE17" s="5"/>
      <c r="CF17" s="5"/>
      <c r="CG17" s="5"/>
      <c r="CH17" s="202" t="s">
        <v>717</v>
      </c>
      <c r="CI17" s="5">
        <f>HLOOKUP(CH17,'Key assumptions'!$A$9:$CD$20,4,FALSE)</f>
        <v>59.6</v>
      </c>
      <c r="CJ17" s="5">
        <f t="shared" si="12"/>
        <v>61946</v>
      </c>
      <c r="CT17" s="617"/>
      <c r="CU17" s="440"/>
      <c r="CV17" s="613"/>
      <c r="CW17" s="381"/>
    </row>
    <row r="18" spans="1:101">
      <c r="A18" s="4" t="s">
        <v>38</v>
      </c>
      <c r="B18" s="4"/>
      <c r="C18" s="5">
        <v>-11607</v>
      </c>
      <c r="D18" s="5">
        <v>-15001</v>
      </c>
      <c r="E18" s="5">
        <v>-14130</v>
      </c>
      <c r="F18" s="5">
        <v>-17330</v>
      </c>
      <c r="G18" s="5">
        <v>-21092</v>
      </c>
      <c r="H18" s="12">
        <v>-5217</v>
      </c>
      <c r="I18" s="12">
        <v>-5876</v>
      </c>
      <c r="J18" s="12">
        <v>-6275</v>
      </c>
      <c r="K18" s="12">
        <v>-6425</v>
      </c>
      <c r="L18" s="5">
        <v>-23793</v>
      </c>
      <c r="M18" s="12">
        <v>-5423</v>
      </c>
      <c r="N18" s="12">
        <v>-5870</v>
      </c>
      <c r="O18" s="12">
        <v>-5847</v>
      </c>
      <c r="P18" s="12">
        <v>-7085</v>
      </c>
      <c r="Q18" s="5">
        <v>-24225</v>
      </c>
      <c r="R18" s="12">
        <v>-6179</v>
      </c>
      <c r="S18" s="12">
        <v>-6592</v>
      </c>
      <c r="T18" s="12">
        <v>-6818</v>
      </c>
      <c r="U18" s="12">
        <v>-7167</v>
      </c>
      <c r="V18" s="5">
        <v>-26756</v>
      </c>
      <c r="W18" s="12">
        <v>-5894</v>
      </c>
      <c r="X18" s="12">
        <v>-5683</v>
      </c>
      <c r="Y18" s="12">
        <v>-5585</v>
      </c>
      <c r="Z18" s="12">
        <v>-6040</v>
      </c>
      <c r="AA18" s="5">
        <v>-23202</v>
      </c>
      <c r="AB18" s="12">
        <v>-5740</v>
      </c>
      <c r="AC18" s="12">
        <v>-37979</v>
      </c>
      <c r="AD18" s="12">
        <v>-13374</v>
      </c>
      <c r="AE18" s="12">
        <v>-7522</v>
      </c>
      <c r="AF18" s="5">
        <v>-64615</v>
      </c>
      <c r="AG18" s="12">
        <v>-6508</v>
      </c>
      <c r="AH18" s="176">
        <v>-6200</v>
      </c>
      <c r="AI18" s="176">
        <v>-7809</v>
      </c>
      <c r="AJ18" s="176">
        <v>-3628</v>
      </c>
      <c r="AK18" s="235">
        <f t="shared" ref="AK18:AK24" si="13">SUM(AG18:AJ18)</f>
        <v>-24145</v>
      </c>
      <c r="AL18" s="176">
        <v>-6721</v>
      </c>
      <c r="AM18" s="176">
        <v>-7889</v>
      </c>
      <c r="AN18" s="176">
        <v>-7093</v>
      </c>
      <c r="AO18" s="176">
        <v>-12208</v>
      </c>
      <c r="AP18" s="235">
        <f t="shared" ref="AP18:AP24" si="14">SUM(AL18:AO18)</f>
        <v>-33911</v>
      </c>
      <c r="AQ18" s="176">
        <v>-6868</v>
      </c>
      <c r="AR18" s="176">
        <v>-7126</v>
      </c>
      <c r="AS18" s="176">
        <v>-6276</v>
      </c>
      <c r="AT18" s="176">
        <v>-7257</v>
      </c>
      <c r="AU18" s="235">
        <f t="shared" ref="AU18:AU24" si="15">SUM(AQ18:AT18)</f>
        <v>-27527</v>
      </c>
      <c r="AV18" s="206">
        <v>-6831</v>
      </c>
      <c r="AW18" s="176">
        <v>-6980</v>
      </c>
      <c r="AX18" s="176">
        <v>-6562</v>
      </c>
      <c r="AY18" s="176">
        <v>-7002</v>
      </c>
      <c r="AZ18" s="235">
        <f t="shared" ref="AZ18:AZ24" si="16">SUM(AV18:AY18)</f>
        <v>-27375</v>
      </c>
      <c r="BA18" s="176">
        <v>-7000</v>
      </c>
      <c r="BB18" s="176">
        <v>-17185</v>
      </c>
      <c r="BC18" s="176">
        <v>-6407</v>
      </c>
      <c r="BD18" s="176">
        <v>-6448</v>
      </c>
      <c r="BE18" s="235">
        <f t="shared" ref="BE18:BE24" si="17">SUM(BA18:BD18)</f>
        <v>-37040</v>
      </c>
      <c r="BF18" s="176">
        <v>-6519</v>
      </c>
      <c r="BG18" s="176">
        <v>-10446</v>
      </c>
      <c r="BH18" s="176">
        <v>-5517</v>
      </c>
      <c r="BI18" s="176">
        <v>-6595</v>
      </c>
      <c r="BJ18" s="235">
        <f t="shared" ref="BJ18:BJ24" si="18">SUM(BF18:BI18)</f>
        <v>-29077</v>
      </c>
      <c r="BK18" s="176">
        <v>-5255</v>
      </c>
      <c r="BL18" s="176">
        <v>-5761</v>
      </c>
      <c r="BM18" s="206">
        <v>-5454</v>
      </c>
      <c r="BN18" s="206">
        <v>-7759</v>
      </c>
      <c r="BO18" s="235">
        <f t="shared" ref="BO18:BO24" si="19">SUM(BK18:BN18)</f>
        <v>-24229</v>
      </c>
      <c r="BP18" s="176">
        <f>AVERAGE(BK18:BN18)</f>
        <v>-6057.25</v>
      </c>
      <c r="BQ18" s="176">
        <f>AVERAGE(BP18,BL18:BN18)</f>
        <v>-6257.8125</v>
      </c>
      <c r="BR18" s="176">
        <f>AVERAGE(BP18:BQ18,BM18:BN18)</f>
        <v>-6382.015625</v>
      </c>
      <c r="BS18" s="176">
        <f>AVERAGE(BP18:BR18,BN18)</f>
        <v>-6614.01953125</v>
      </c>
      <c r="BT18" s="235">
        <f t="shared" ref="BT18:BT24" si="20">SUM(BP18:BS18)</f>
        <v>-25311.09765625</v>
      </c>
      <c r="BU18" s="176">
        <f>AVERAGE(BP18:BS18)</f>
        <v>-6327.7744140625</v>
      </c>
      <c r="BV18" s="176">
        <f>AVERAGE(BU18,BQ18:BS18)</f>
        <v>-6395.405517578125</v>
      </c>
      <c r="BW18" s="176">
        <f>AVERAGE(BU18:BV18,BR18:BS18)</f>
        <v>-6429.8037719726562</v>
      </c>
      <c r="BX18" s="176">
        <f>AVERAGE(BU18:BW18,BS18)</f>
        <v>-6441.7508087158203</v>
      </c>
      <c r="BY18" s="235">
        <f t="shared" ref="BY18:BY24" si="21">SUM(BU18:BX18)</f>
        <v>-25594.734512329102</v>
      </c>
      <c r="BZ18" s="176">
        <f>AVERAGE(BU18:BX18)</f>
        <v>-6398.6836280822754</v>
      </c>
      <c r="CA18" s="176">
        <f>AVERAGE(BZ18,BV18:BX18)</f>
        <v>-6416.4109315872192</v>
      </c>
      <c r="CB18" s="176">
        <f>AVERAGE(BZ18:CA18,BW18:BX18)</f>
        <v>-6421.6622850894928</v>
      </c>
      <c r="CC18" s="176">
        <f>AVERAGE(BZ18:CB18,BX18)</f>
        <v>-6419.6269133687019</v>
      </c>
      <c r="CD18" s="235">
        <f t="shared" ref="CD18:CD24" si="22">SUM(BZ18:CC18)</f>
        <v>-25656.383758127689</v>
      </c>
      <c r="CE18" s="5"/>
      <c r="CF18" s="5"/>
      <c r="CG18" s="5"/>
      <c r="CH18" s="202" t="s">
        <v>718</v>
      </c>
      <c r="CI18" s="5">
        <f>HLOOKUP(CH18,'Key assumptions'!$A$9:$CD$20,4,FALSE)</f>
        <v>57.76</v>
      </c>
      <c r="CJ18" s="5">
        <f t="shared" si="12"/>
        <v>61307</v>
      </c>
      <c r="CT18" s="440"/>
      <c r="CU18" s="613"/>
    </row>
    <row r="19" spans="1:101">
      <c r="A19" s="4" t="s">
        <v>39</v>
      </c>
      <c r="B19" s="4"/>
      <c r="C19" s="5">
        <v>-1689</v>
      </c>
      <c r="D19" s="5">
        <v>-1274</v>
      </c>
      <c r="E19" s="5">
        <v>-1723</v>
      </c>
      <c r="F19" s="5">
        <v>-2149</v>
      </c>
      <c r="G19" s="5">
        <v>-3010</v>
      </c>
      <c r="H19" s="12">
        <v>-932</v>
      </c>
      <c r="I19" s="12">
        <v>-855</v>
      </c>
      <c r="J19" s="12">
        <v>-1202</v>
      </c>
      <c r="K19" s="12">
        <v>-632</v>
      </c>
      <c r="L19" s="5">
        <v>-3621</v>
      </c>
      <c r="M19" s="12">
        <v>-1076</v>
      </c>
      <c r="N19" s="12">
        <v>-1233</v>
      </c>
      <c r="O19" s="12">
        <v>-1371</v>
      </c>
      <c r="P19" s="12">
        <v>-2023</v>
      </c>
      <c r="Q19" s="5">
        <v>-5703</v>
      </c>
      <c r="R19" s="12">
        <v>-2229</v>
      </c>
      <c r="S19" s="12">
        <v>-3115</v>
      </c>
      <c r="T19" s="12">
        <v>-2617</v>
      </c>
      <c r="U19" s="12">
        <v>-992</v>
      </c>
      <c r="V19" s="5">
        <v>-8953</v>
      </c>
      <c r="W19" s="12">
        <v>-674</v>
      </c>
      <c r="X19" s="12">
        <v>-987</v>
      </c>
      <c r="Y19" s="12">
        <v>-1007</v>
      </c>
      <c r="Z19" s="12">
        <v>-1084</v>
      </c>
      <c r="AA19" s="5">
        <v>-3752</v>
      </c>
      <c r="AB19" s="12">
        <v>-1276</v>
      </c>
      <c r="AC19" s="12">
        <v>-1238</v>
      </c>
      <c r="AD19" s="12">
        <v>-1206</v>
      </c>
      <c r="AE19" s="12">
        <v>-1524</v>
      </c>
      <c r="AF19" s="5">
        <v>-5244</v>
      </c>
      <c r="AG19" s="12">
        <v>-1831</v>
      </c>
      <c r="AH19" s="176">
        <v>-2356</v>
      </c>
      <c r="AI19" s="176">
        <v>-2021</v>
      </c>
      <c r="AJ19" s="176">
        <v>-2072</v>
      </c>
      <c r="AK19" s="235">
        <f t="shared" si="13"/>
        <v>-8280</v>
      </c>
      <c r="AL19" s="176">
        <v>-2346</v>
      </c>
      <c r="AM19" s="176">
        <v>-1827</v>
      </c>
      <c r="AN19" s="176">
        <v>-1912</v>
      </c>
      <c r="AO19" s="176">
        <v>-2073</v>
      </c>
      <c r="AP19" s="235">
        <f t="shared" si="14"/>
        <v>-8158</v>
      </c>
      <c r="AQ19" s="176">
        <v>-1995</v>
      </c>
      <c r="AR19" s="176">
        <v>-1672</v>
      </c>
      <c r="AS19" s="176">
        <v>-1889</v>
      </c>
      <c r="AT19" s="176">
        <v>-1491</v>
      </c>
      <c r="AU19" s="235">
        <f t="shared" si="15"/>
        <v>-7047</v>
      </c>
      <c r="AV19" s="206">
        <v>-986</v>
      </c>
      <c r="AW19" s="176">
        <v>-816</v>
      </c>
      <c r="AX19" s="176">
        <v>-744</v>
      </c>
      <c r="AY19" s="176">
        <v>-412</v>
      </c>
      <c r="AZ19" s="235">
        <f t="shared" si="16"/>
        <v>-2958</v>
      </c>
      <c r="BA19" s="176">
        <v>-362</v>
      </c>
      <c r="BB19" s="176">
        <v>-173</v>
      </c>
      <c r="BC19" s="176">
        <v>-238</v>
      </c>
      <c r="BD19" s="176">
        <v>-263</v>
      </c>
      <c r="BE19" s="235">
        <f t="shared" si="17"/>
        <v>-1036</v>
      </c>
      <c r="BF19" s="176">
        <v>-14</v>
      </c>
      <c r="BG19" s="176">
        <v>-258</v>
      </c>
      <c r="BH19" s="176">
        <v>-212</v>
      </c>
      <c r="BI19" s="176">
        <v>-199</v>
      </c>
      <c r="BJ19" s="235">
        <f t="shared" si="18"/>
        <v>-683</v>
      </c>
      <c r="BK19" s="176">
        <v>-306</v>
      </c>
      <c r="BL19" s="176">
        <v>-189</v>
      </c>
      <c r="BM19" s="206">
        <v>-278</v>
      </c>
      <c r="BN19" s="206">
        <v>-511</v>
      </c>
      <c r="BO19" s="235">
        <f t="shared" si="19"/>
        <v>-1284</v>
      </c>
      <c r="BP19" s="176">
        <f>AVERAGE(BK19:BN19)</f>
        <v>-321</v>
      </c>
      <c r="BQ19" s="176">
        <f>AVERAGE(BP19,BL19:BN19)</f>
        <v>-324.75</v>
      </c>
      <c r="BR19" s="176">
        <f>AVERAGE(BP19:BQ19,BM19:BN19)</f>
        <v>-358.6875</v>
      </c>
      <c r="BS19" s="176">
        <f>AVERAGE(BP19:BR19,BN19)</f>
        <v>-378.859375</v>
      </c>
      <c r="BT19" s="235">
        <f t="shared" si="20"/>
        <v>-1383.296875</v>
      </c>
      <c r="BU19" s="176">
        <f>AVERAGE(BP19:BS19)</f>
        <v>-345.82421875</v>
      </c>
      <c r="BV19" s="176">
        <f>AVERAGE(BU19,BQ19:BS19)</f>
        <v>-352.0302734375</v>
      </c>
      <c r="BW19" s="176">
        <f>AVERAGE(BU19:BV19,BR19:BS19)</f>
        <v>-358.850341796875</v>
      </c>
      <c r="BX19" s="176">
        <f>AVERAGE(BU19:BW19,BS19)</f>
        <v>-358.89105224609375</v>
      </c>
      <c r="BY19" s="235">
        <f t="shared" si="21"/>
        <v>-1415.5958862304688</v>
      </c>
      <c r="BZ19" s="176">
        <f>AVERAGE(BU19:BX19)</f>
        <v>-353.89897155761719</v>
      </c>
      <c r="CA19" s="176">
        <f>AVERAGE(BZ19,BV19:BX19)</f>
        <v>-355.91765975952148</v>
      </c>
      <c r="CB19" s="176">
        <f>AVERAGE(BZ19:CA19,BW19:BX19)</f>
        <v>-356.88950634002686</v>
      </c>
      <c r="CC19" s="176">
        <f>AVERAGE(BZ19:CB19,BX19)</f>
        <v>-356.39929747581482</v>
      </c>
      <c r="CD19" s="235">
        <f t="shared" si="22"/>
        <v>-1423.1054351329803</v>
      </c>
      <c r="CE19" s="5"/>
      <c r="CF19" s="5"/>
      <c r="CG19" s="5"/>
      <c r="CH19" s="202" t="s">
        <v>719</v>
      </c>
      <c r="CI19" s="5">
        <f>HLOOKUP(CH19,'Key assumptions'!$A$9:$CD$20,4,FALSE)</f>
        <v>68.760000000000005</v>
      </c>
      <c r="CJ19" s="5">
        <f t="shared" si="12"/>
        <v>71872</v>
      </c>
      <c r="CT19" s="440"/>
      <c r="CU19" s="613"/>
    </row>
    <row r="20" spans="1:101">
      <c r="A20" s="137" t="s">
        <v>2151</v>
      </c>
      <c r="B20" s="4"/>
      <c r="C20" s="5">
        <v>-8683</v>
      </c>
      <c r="D20" s="5">
        <v>-9127</v>
      </c>
      <c r="E20" s="5">
        <v>-8076</v>
      </c>
      <c r="F20" s="5">
        <v>-8529</v>
      </c>
      <c r="G20" s="5">
        <v>-8771</v>
      </c>
      <c r="H20" s="12">
        <v>-2184</v>
      </c>
      <c r="I20" s="12">
        <v>-2309</v>
      </c>
      <c r="J20" s="12">
        <v>-2194</v>
      </c>
      <c r="K20" s="12">
        <v>-2441</v>
      </c>
      <c r="L20" s="5">
        <v>-9128</v>
      </c>
      <c r="M20" s="12">
        <v>-2519</v>
      </c>
      <c r="N20" s="12">
        <v>-2535</v>
      </c>
      <c r="O20" s="12">
        <v>-2505</v>
      </c>
      <c r="P20" s="12">
        <v>-3020</v>
      </c>
      <c r="Q20" s="5">
        <v>-10579</v>
      </c>
      <c r="R20" s="12">
        <v>-2782</v>
      </c>
      <c r="S20" s="12">
        <v>-2850</v>
      </c>
      <c r="T20" s="12">
        <v>-2653</v>
      </c>
      <c r="U20" s="12">
        <v>-2700</v>
      </c>
      <c r="V20" s="5">
        <v>-10985</v>
      </c>
      <c r="W20" s="12">
        <v>-2823</v>
      </c>
      <c r="X20" s="12">
        <v>-3092</v>
      </c>
      <c r="Y20" s="12">
        <v>-2991</v>
      </c>
      <c r="Z20" s="12">
        <v>-3200</v>
      </c>
      <c r="AA20" s="5">
        <v>-12106</v>
      </c>
      <c r="AB20" s="12">
        <v>-2996</v>
      </c>
      <c r="AC20" s="12">
        <v>-2780</v>
      </c>
      <c r="AD20" s="12">
        <v>-2754</v>
      </c>
      <c r="AE20" s="12">
        <v>-2634</v>
      </c>
      <c r="AF20" s="5">
        <v>-11164</v>
      </c>
      <c r="AG20" s="12">
        <v>-2835</v>
      </c>
      <c r="AH20" s="12">
        <v>-2671</v>
      </c>
      <c r="AI20" s="12">
        <v>-2647</v>
      </c>
      <c r="AJ20" s="12">
        <v>-2982</v>
      </c>
      <c r="AK20" s="235">
        <f t="shared" si="13"/>
        <v>-11135</v>
      </c>
      <c r="AL20" s="12">
        <v>-3208</v>
      </c>
      <c r="AM20" s="12">
        <v>-2877</v>
      </c>
      <c r="AN20" s="12">
        <v>-3200</v>
      </c>
      <c r="AO20" s="12">
        <v>-3196</v>
      </c>
      <c r="AP20" s="235">
        <f t="shared" si="14"/>
        <v>-12481</v>
      </c>
      <c r="AQ20" s="12">
        <v>-3197</v>
      </c>
      <c r="AR20" s="12">
        <v>-3162</v>
      </c>
      <c r="AS20" s="12">
        <v>-3415</v>
      </c>
      <c r="AT20" s="12">
        <v>-3736</v>
      </c>
      <c r="AU20" s="235">
        <f t="shared" si="15"/>
        <v>-13510</v>
      </c>
      <c r="AV20" s="181">
        <v>-3590</v>
      </c>
      <c r="AW20" s="12">
        <v>-3751</v>
      </c>
      <c r="AX20" s="12">
        <v>-3956</v>
      </c>
      <c r="AY20" s="12">
        <v>-3866</v>
      </c>
      <c r="AZ20" s="235">
        <f t="shared" si="16"/>
        <v>-15163</v>
      </c>
      <c r="BA20" s="12">
        <v>-3836</v>
      </c>
      <c r="BB20" s="12">
        <v>-3765</v>
      </c>
      <c r="BC20" s="12">
        <v>-3737</v>
      </c>
      <c r="BD20" s="12">
        <v>-3881</v>
      </c>
      <c r="BE20" s="235">
        <f t="shared" si="17"/>
        <v>-15219</v>
      </c>
      <c r="BF20" s="12">
        <v>-3730</v>
      </c>
      <c r="BG20" s="12">
        <v>-3637</v>
      </c>
      <c r="BH20" s="12">
        <v>-3496</v>
      </c>
      <c r="BI20" s="12">
        <v>-3642</v>
      </c>
      <c r="BJ20" s="235">
        <f t="shared" si="18"/>
        <v>-14505</v>
      </c>
      <c r="BK20" s="12">
        <v>-3842</v>
      </c>
      <c r="BL20" s="12">
        <v>-3793</v>
      </c>
      <c r="BM20" s="181">
        <v>-3904</v>
      </c>
      <c r="BN20" s="181">
        <v>-4045</v>
      </c>
      <c r="BO20" s="235">
        <f t="shared" si="19"/>
        <v>-15584</v>
      </c>
      <c r="BP20" s="12">
        <f>-Assets!BP34</f>
        <v>-4141.0184335188414</v>
      </c>
      <c r="BQ20" s="12">
        <f>-Assets!BQ34</f>
        <v>-4130.351407424896</v>
      </c>
      <c r="BR20" s="12">
        <f>-Assets!BR34</f>
        <v>-4148.5392723651003</v>
      </c>
      <c r="BS20" s="12">
        <f>-Assets!BS34</f>
        <v>-4174.3554085919777</v>
      </c>
      <c r="BT20" s="235">
        <f t="shared" si="20"/>
        <v>-16594.264521900815</v>
      </c>
      <c r="BU20" s="12">
        <f>-Assets!BU34</f>
        <v>-4409.9337100574521</v>
      </c>
      <c r="BV20" s="12">
        <f>-Assets!BV34</f>
        <v>-4405.5453123177358</v>
      </c>
      <c r="BW20" s="12">
        <f>-Assets!BW34</f>
        <v>-4422.4800993095014</v>
      </c>
      <c r="BX20" s="12">
        <f>-Assets!BX34</f>
        <v>-4453.8038002743997</v>
      </c>
      <c r="BY20" s="235">
        <f t="shared" si="21"/>
        <v>-17691.762921959089</v>
      </c>
      <c r="BZ20" s="12">
        <f>-Assets!BZ34</f>
        <v>-4687.0456492883086</v>
      </c>
      <c r="CA20" s="12">
        <f>-Assets!CA34</f>
        <v>-4631.7535449108254</v>
      </c>
      <c r="CB20" s="12">
        <f>-Assets!CB34</f>
        <v>-4641.893896473618</v>
      </c>
      <c r="CC20" s="12">
        <f>-Assets!CC34</f>
        <v>-4683.2160238511533</v>
      </c>
      <c r="CD20" s="235">
        <f t="shared" si="22"/>
        <v>-18643.909114523907</v>
      </c>
      <c r="CE20" s="5"/>
      <c r="CF20" s="5"/>
      <c r="CG20" s="5"/>
      <c r="CH20" s="202" t="s">
        <v>1970</v>
      </c>
      <c r="CI20" s="5">
        <f>HLOOKUP(CH20,'Key assumptions'!$A$9:$CD$20,4,FALSE)</f>
        <v>74.739999999999995</v>
      </c>
      <c r="CJ20" s="5">
        <f t="shared" si="12"/>
        <v>71334</v>
      </c>
      <c r="CT20" s="440"/>
      <c r="CU20" s="613"/>
    </row>
    <row r="21" spans="1:101">
      <c r="A21" s="137" t="s">
        <v>648</v>
      </c>
      <c r="B21" s="4"/>
      <c r="C21" s="5">
        <v>-770</v>
      </c>
      <c r="D21" s="5">
        <v>-3039</v>
      </c>
      <c r="E21" s="5">
        <v>-1801</v>
      </c>
      <c r="F21" s="5">
        <v>-1390</v>
      </c>
      <c r="G21" s="5">
        <v>-468</v>
      </c>
      <c r="H21" s="12">
        <v>-23</v>
      </c>
      <c r="I21" s="12">
        <v>-79</v>
      </c>
      <c r="J21" s="12">
        <v>-387</v>
      </c>
      <c r="K21" s="12">
        <v>-60</v>
      </c>
      <c r="L21" s="5">
        <v>-549</v>
      </c>
      <c r="M21" s="12">
        <v>-223</v>
      </c>
      <c r="N21" s="12">
        <v>-455</v>
      </c>
      <c r="O21" s="12">
        <v>-129</v>
      </c>
      <c r="P21" s="12">
        <v>-872</v>
      </c>
      <c r="Q21" s="5">
        <v>-1679</v>
      </c>
      <c r="R21" s="12">
        <v>-40</v>
      </c>
      <c r="S21" s="12">
        <v>-23</v>
      </c>
      <c r="T21" s="12">
        <v>-54</v>
      </c>
      <c r="U21" s="12">
        <v>-1616</v>
      </c>
      <c r="V21" s="5">
        <v>-1733</v>
      </c>
      <c r="W21" s="12">
        <v>-137</v>
      </c>
      <c r="X21" s="12">
        <v>-216</v>
      </c>
      <c r="Y21" s="12">
        <v>-157</v>
      </c>
      <c r="Z21" s="12">
        <v>-1823</v>
      </c>
      <c r="AA21" s="5">
        <v>-2333</v>
      </c>
      <c r="AB21" s="12">
        <v>-164</v>
      </c>
      <c r="AC21" s="12">
        <v>56</v>
      </c>
      <c r="AD21" s="12">
        <v>-380</v>
      </c>
      <c r="AE21" s="12">
        <v>-1201</v>
      </c>
      <c r="AF21" s="5">
        <v>-1689</v>
      </c>
      <c r="AG21" s="12">
        <v>-59</v>
      </c>
      <c r="AH21" s="12">
        <v>-1383</v>
      </c>
      <c r="AI21" s="12">
        <v>-211</v>
      </c>
      <c r="AJ21" s="12">
        <v>-405</v>
      </c>
      <c r="AK21" s="235">
        <f t="shared" si="13"/>
        <v>-2058</v>
      </c>
      <c r="AL21" s="12">
        <v>-140</v>
      </c>
      <c r="AM21" s="12">
        <v>-4821</v>
      </c>
      <c r="AN21" s="12">
        <v>-486</v>
      </c>
      <c r="AO21" s="12">
        <v>-828</v>
      </c>
      <c r="AP21" s="235">
        <f t="shared" si="14"/>
        <v>-6275</v>
      </c>
      <c r="AQ21" s="12">
        <v>-110</v>
      </c>
      <c r="AR21" s="12">
        <v>-610</v>
      </c>
      <c r="AS21" s="12">
        <v>-767</v>
      </c>
      <c r="AT21" s="12">
        <v>-474</v>
      </c>
      <c r="AU21" s="235">
        <f t="shared" si="15"/>
        <v>-1961</v>
      </c>
      <c r="AV21" s="181">
        <v>-426</v>
      </c>
      <c r="AW21" s="12">
        <v>-774</v>
      </c>
      <c r="AX21" s="12">
        <v>-997</v>
      </c>
      <c r="AY21" s="12">
        <v>-6768</v>
      </c>
      <c r="AZ21" s="235">
        <f t="shared" si="16"/>
        <v>-8965</v>
      </c>
      <c r="BA21" s="12">
        <v>-197</v>
      </c>
      <c r="BB21" s="12">
        <v>-286</v>
      </c>
      <c r="BC21" s="12">
        <v>-40</v>
      </c>
      <c r="BD21" s="12">
        <v>-1386</v>
      </c>
      <c r="BE21" s="235">
        <f t="shared" si="17"/>
        <v>-1909</v>
      </c>
      <c r="BF21" s="12">
        <v>-13</v>
      </c>
      <c r="BG21" s="12">
        <v>-52</v>
      </c>
      <c r="BH21" s="12">
        <v>1424</v>
      </c>
      <c r="BI21" s="12">
        <v>305</v>
      </c>
      <c r="BJ21" s="235">
        <f t="shared" si="18"/>
        <v>1664</v>
      </c>
      <c r="BK21" s="12">
        <v>-453</v>
      </c>
      <c r="BL21" s="12">
        <v>-51</v>
      </c>
      <c r="BM21" s="181">
        <v>-108</v>
      </c>
      <c r="BN21" s="181">
        <v>-604</v>
      </c>
      <c r="BO21" s="235">
        <f t="shared" si="19"/>
        <v>-1216</v>
      </c>
      <c r="BP21" s="12">
        <v>0</v>
      </c>
      <c r="BQ21" s="12">
        <v>0</v>
      </c>
      <c r="BR21" s="12">
        <v>0</v>
      </c>
      <c r="BS21" s="12">
        <v>0</v>
      </c>
      <c r="BT21" s="235">
        <f t="shared" si="20"/>
        <v>0</v>
      </c>
      <c r="BU21" s="12">
        <v>0</v>
      </c>
      <c r="BV21" s="12">
        <v>0</v>
      </c>
      <c r="BW21" s="12">
        <v>0</v>
      </c>
      <c r="BX21" s="12">
        <v>0</v>
      </c>
      <c r="BY21" s="235">
        <f t="shared" si="21"/>
        <v>0</v>
      </c>
      <c r="BZ21" s="12">
        <v>0</v>
      </c>
      <c r="CA21" s="12">
        <v>0</v>
      </c>
      <c r="CB21" s="12">
        <v>0</v>
      </c>
      <c r="CC21" s="12">
        <v>0</v>
      </c>
      <c r="CD21" s="235">
        <f t="shared" si="22"/>
        <v>0</v>
      </c>
      <c r="CE21" s="5"/>
      <c r="CF21" s="5"/>
      <c r="CG21" s="5"/>
      <c r="CH21" s="202" t="s">
        <v>1971</v>
      </c>
      <c r="CI21" s="5">
        <f>HLOOKUP(CH21,'Key assumptions'!$A$9:$CD$20,4,FALSE)</f>
        <v>88.45</v>
      </c>
      <c r="CJ21" s="5">
        <f t="shared" si="12"/>
        <v>79852</v>
      </c>
      <c r="CT21" s="440"/>
      <c r="CU21" s="613"/>
    </row>
    <row r="22" spans="1:101">
      <c r="A22" s="137" t="s">
        <v>358</v>
      </c>
      <c r="B22" s="4"/>
      <c r="C22" s="5">
        <v>-480</v>
      </c>
      <c r="D22" s="5">
        <v>-644</v>
      </c>
      <c r="E22" s="5">
        <v>-542</v>
      </c>
      <c r="F22" s="5">
        <v>-637</v>
      </c>
      <c r="G22" s="5">
        <v>-684</v>
      </c>
      <c r="H22" s="12">
        <v>-189</v>
      </c>
      <c r="I22" s="12">
        <v>-97</v>
      </c>
      <c r="J22" s="12">
        <v>-351</v>
      </c>
      <c r="K22" s="12">
        <v>-408</v>
      </c>
      <c r="L22" s="5">
        <v>-1045</v>
      </c>
      <c r="M22" s="12">
        <v>-156</v>
      </c>
      <c r="N22" s="12">
        <v>-155</v>
      </c>
      <c r="O22" s="12">
        <v>-244</v>
      </c>
      <c r="P22" s="12">
        <v>-201</v>
      </c>
      <c r="Q22" s="5">
        <v>-756</v>
      </c>
      <c r="R22" s="12">
        <v>-293</v>
      </c>
      <c r="S22" s="12">
        <v>-118</v>
      </c>
      <c r="T22" s="12">
        <v>-232</v>
      </c>
      <c r="U22" s="12">
        <v>-239</v>
      </c>
      <c r="V22" s="5">
        <v>-882</v>
      </c>
      <c r="W22" s="12">
        <v>-119</v>
      </c>
      <c r="X22" s="12">
        <v>-347</v>
      </c>
      <c r="Y22" s="12">
        <v>-378</v>
      </c>
      <c r="Z22" s="12">
        <v>-272</v>
      </c>
      <c r="AA22" s="5">
        <v>-1116</v>
      </c>
      <c r="AB22" s="12">
        <v>-120</v>
      </c>
      <c r="AC22" s="12">
        <v>-132</v>
      </c>
      <c r="AD22" s="12">
        <v>-160</v>
      </c>
      <c r="AE22" s="12">
        <v>-431</v>
      </c>
      <c r="AF22" s="5">
        <v>-843</v>
      </c>
      <c r="AG22" s="12">
        <v>-399</v>
      </c>
      <c r="AH22" s="12">
        <v>-679</v>
      </c>
      <c r="AI22" s="12">
        <v>-100</v>
      </c>
      <c r="AJ22" s="12">
        <v>-342</v>
      </c>
      <c r="AK22" s="235">
        <f t="shared" si="13"/>
        <v>-1520</v>
      </c>
      <c r="AL22" s="12">
        <v>-260</v>
      </c>
      <c r="AM22" s="12">
        <v>-616</v>
      </c>
      <c r="AN22" s="12">
        <v>-290</v>
      </c>
      <c r="AO22" s="12">
        <v>-309</v>
      </c>
      <c r="AP22" s="235">
        <f t="shared" si="14"/>
        <v>-1475</v>
      </c>
      <c r="AQ22" s="12">
        <v>-322</v>
      </c>
      <c r="AR22" s="12">
        <v>-434</v>
      </c>
      <c r="AS22" s="12">
        <v>-511</v>
      </c>
      <c r="AT22" s="12">
        <v>-2174</v>
      </c>
      <c r="AU22" s="235">
        <f t="shared" si="15"/>
        <v>-3441</v>
      </c>
      <c r="AV22" s="181">
        <v>-948</v>
      </c>
      <c r="AW22" s="12">
        <v>-389</v>
      </c>
      <c r="AX22" s="12">
        <v>-840</v>
      </c>
      <c r="AY22" s="12">
        <v>-1455</v>
      </c>
      <c r="AZ22" s="235">
        <f t="shared" si="16"/>
        <v>-3632</v>
      </c>
      <c r="BA22" s="12">
        <v>-172</v>
      </c>
      <c r="BB22" s="12">
        <v>-902</v>
      </c>
      <c r="BC22" s="12">
        <v>-356</v>
      </c>
      <c r="BD22" s="12">
        <v>-923</v>
      </c>
      <c r="BE22" s="235">
        <f t="shared" si="17"/>
        <v>-2353</v>
      </c>
      <c r="BF22" s="12">
        <v>-254</v>
      </c>
      <c r="BG22" s="12">
        <v>-350</v>
      </c>
      <c r="BH22" s="12">
        <v>-803</v>
      </c>
      <c r="BI22" s="12">
        <v>-314</v>
      </c>
      <c r="BJ22" s="235">
        <f t="shared" si="18"/>
        <v>-1721</v>
      </c>
      <c r="BK22" s="12">
        <v>-412</v>
      </c>
      <c r="BL22" s="12">
        <v>-850</v>
      </c>
      <c r="BM22" s="181">
        <v>-297</v>
      </c>
      <c r="BN22" s="181">
        <v>-521</v>
      </c>
      <c r="BO22" s="235">
        <f t="shared" si="19"/>
        <v>-2080</v>
      </c>
      <c r="BP22" s="12">
        <f>'E&amp;P - FAS69'!BP40</f>
        <v>-375</v>
      </c>
      <c r="BQ22" s="12">
        <f>'E&amp;P - FAS69'!BQ40</f>
        <v>-242.68888888888887</v>
      </c>
      <c r="BR22" s="12">
        <f>'E&amp;P - FAS69'!BR40</f>
        <v>-242.68888888888887</v>
      </c>
      <c r="BS22" s="12">
        <f>'E&amp;P - FAS69'!BS40</f>
        <v>-242.68888888888887</v>
      </c>
      <c r="BT22" s="235">
        <f t="shared" si="20"/>
        <v>-1103.0666666666666</v>
      </c>
      <c r="BU22" s="12">
        <f>'E&amp;P - FAS69'!BU40</f>
        <v>-226.0916666666667</v>
      </c>
      <c r="BV22" s="12">
        <f>'E&amp;P - FAS69'!BV40</f>
        <v>-226.0916666666667</v>
      </c>
      <c r="BW22" s="12">
        <f>'E&amp;P - FAS69'!BW40</f>
        <v>-226.0916666666667</v>
      </c>
      <c r="BX22" s="12">
        <f>'E&amp;P - FAS69'!BX40</f>
        <v>-226.09166666666673</v>
      </c>
      <c r="BY22" s="235">
        <f t="shared" si="21"/>
        <v>-904.36666666666679</v>
      </c>
      <c r="BZ22" s="12">
        <f>'E&amp;P - FAS69'!BZ40</f>
        <v>-145.60000000000002</v>
      </c>
      <c r="CA22" s="12">
        <f>'E&amp;P - FAS69'!CA40</f>
        <v>-145.60000000000002</v>
      </c>
      <c r="CB22" s="12">
        <f>'E&amp;P - FAS69'!CB40</f>
        <v>-145.60000000000002</v>
      </c>
      <c r="CC22" s="12">
        <f>'E&amp;P - FAS69'!CC40</f>
        <v>-145.60000000000002</v>
      </c>
      <c r="CD22" s="235">
        <f t="shared" si="22"/>
        <v>-582.40000000000009</v>
      </c>
      <c r="CE22" s="5"/>
      <c r="CF22" s="5"/>
      <c r="CG22" s="5"/>
      <c r="CH22" s="202" t="s">
        <v>1972</v>
      </c>
      <c r="CI22" s="5">
        <f>HLOOKUP(CH22,'Key assumptions'!$A$9:$CD$20,4,FALSE)</f>
        <v>96.71</v>
      </c>
      <c r="CJ22" s="5">
        <f t="shared" si="12"/>
        <v>87745</v>
      </c>
      <c r="CT22" s="440"/>
      <c r="CU22" s="613"/>
    </row>
    <row r="23" spans="1:101">
      <c r="A23" s="137" t="s">
        <v>2721</v>
      </c>
      <c r="B23" s="4"/>
      <c r="C23" s="5">
        <v>-9603</v>
      </c>
      <c r="D23" s="5">
        <v>-11590</v>
      </c>
      <c r="E23" s="5">
        <v>-12270</v>
      </c>
      <c r="F23" s="5">
        <v>-12768</v>
      </c>
      <c r="G23" s="5">
        <v>-13706</v>
      </c>
      <c r="H23" s="12">
        <v>-3096</v>
      </c>
      <c r="I23" s="12">
        <v>-3516</v>
      </c>
      <c r="J23" s="12">
        <v>-3630</v>
      </c>
      <c r="K23" s="12">
        <v>-4205</v>
      </c>
      <c r="L23" s="5">
        <v>-14447</v>
      </c>
      <c r="M23" s="12">
        <v>-3457</v>
      </c>
      <c r="N23" s="12">
        <v>-3565</v>
      </c>
      <c r="O23" s="12">
        <v>-4137</v>
      </c>
      <c r="P23" s="12">
        <v>-4212</v>
      </c>
      <c r="Q23" s="5">
        <v>-15371</v>
      </c>
      <c r="R23" s="12">
        <v>-3896</v>
      </c>
      <c r="S23" s="12">
        <v>-3977</v>
      </c>
      <c r="T23" s="12">
        <v>-3794</v>
      </c>
      <c r="U23" s="12">
        <v>-3745</v>
      </c>
      <c r="V23" s="5">
        <v>-15412</v>
      </c>
      <c r="W23" s="12">
        <v>-3349</v>
      </c>
      <c r="X23" s="12">
        <v>-3290</v>
      </c>
      <c r="Y23" s="12">
        <v>-3420</v>
      </c>
      <c r="Z23" s="12">
        <v>-3979</v>
      </c>
      <c r="AA23" s="5">
        <v>-14038</v>
      </c>
      <c r="AB23" s="12">
        <v>-3020</v>
      </c>
      <c r="AC23" s="12">
        <v>-2939</v>
      </c>
      <c r="AD23" s="12">
        <v>-3187</v>
      </c>
      <c r="AE23" s="12">
        <v>-3409</v>
      </c>
      <c r="AF23" s="5">
        <v>-12555</v>
      </c>
      <c r="AG23" s="12">
        <v>-2907</v>
      </c>
      <c r="AH23" s="176">
        <v>-3448</v>
      </c>
      <c r="AI23" s="176">
        <v>-3693</v>
      </c>
      <c r="AJ23" s="176">
        <v>-3910</v>
      </c>
      <c r="AK23" s="235">
        <f t="shared" si="13"/>
        <v>-13958</v>
      </c>
      <c r="AL23" s="176">
        <v>-3128</v>
      </c>
      <c r="AM23" s="176">
        <v>-3213</v>
      </c>
      <c r="AN23" s="176">
        <v>-3627</v>
      </c>
      <c r="AO23" s="176">
        <v>-3389</v>
      </c>
      <c r="AP23" s="235">
        <f t="shared" si="14"/>
        <v>-13357</v>
      </c>
      <c r="AQ23" s="176">
        <v>-2954</v>
      </c>
      <c r="AR23" s="176">
        <v>-3223</v>
      </c>
      <c r="AS23" s="176">
        <v>-3411</v>
      </c>
      <c r="AT23" s="176">
        <v>-3482</v>
      </c>
      <c r="AU23" s="235">
        <f t="shared" si="15"/>
        <v>-13070</v>
      </c>
      <c r="AV23" s="206">
        <v>-3200</v>
      </c>
      <c r="AW23" s="176">
        <v>-3110</v>
      </c>
      <c r="AX23" s="176">
        <v>-3320</v>
      </c>
      <c r="AY23" s="176">
        <v>-3066</v>
      </c>
      <c r="AZ23" s="235">
        <f t="shared" si="16"/>
        <v>-12696</v>
      </c>
      <c r="BA23" s="176">
        <v>-2783</v>
      </c>
      <c r="BB23" s="176">
        <v>-2989</v>
      </c>
      <c r="BC23" s="176">
        <v>-2699</v>
      </c>
      <c r="BD23" s="176">
        <v>-3082</v>
      </c>
      <c r="BE23" s="235">
        <f t="shared" si="17"/>
        <v>-11553</v>
      </c>
      <c r="BF23" s="176">
        <v>-2458</v>
      </c>
      <c r="BG23" s="176">
        <v>-2697</v>
      </c>
      <c r="BH23" s="176">
        <v>-2648</v>
      </c>
      <c r="BI23" s="176">
        <v>-2692</v>
      </c>
      <c r="BJ23" s="235">
        <f t="shared" si="18"/>
        <v>-10495</v>
      </c>
      <c r="BK23" s="176">
        <v>-2353</v>
      </c>
      <c r="BL23" s="176">
        <v>-2540</v>
      </c>
      <c r="BM23" s="206">
        <v>-2634</v>
      </c>
      <c r="BN23" s="206">
        <v>-2981</v>
      </c>
      <c r="BO23" s="235">
        <f t="shared" si="19"/>
        <v>-10508</v>
      </c>
      <c r="BP23" s="176">
        <f>AVERAGE(BK23:BN23)</f>
        <v>-2627</v>
      </c>
      <c r="BQ23" s="176">
        <f>AVERAGE(BP23,BL23:BN23)</f>
        <v>-2695.5</v>
      </c>
      <c r="BR23" s="176">
        <f>AVERAGE(BP23:BQ23,BM23:BN23)</f>
        <v>-2734.375</v>
      </c>
      <c r="BS23" s="176">
        <f>AVERAGE(BP23:BR23,BN23)</f>
        <v>-2759.46875</v>
      </c>
      <c r="BT23" s="235">
        <f t="shared" si="20"/>
        <v>-10816.34375</v>
      </c>
      <c r="BU23" s="176">
        <f>AVERAGE(BP23:BS23)</f>
        <v>-2704.0859375</v>
      </c>
      <c r="BV23" s="176">
        <f>AVERAGE(BU23,BQ23:BS23)</f>
        <v>-2723.357421875</v>
      </c>
      <c r="BW23" s="176">
        <f>AVERAGE(BU23:BV23,BR23:BS23)</f>
        <v>-2730.32177734375</v>
      </c>
      <c r="BX23" s="176">
        <f>AVERAGE(BU23:BW23,BS23)</f>
        <v>-2729.3084716796875</v>
      </c>
      <c r="BY23" s="235">
        <f t="shared" si="21"/>
        <v>-10887.073608398438</v>
      </c>
      <c r="BZ23" s="176">
        <f>AVERAGE(BU23:BX23)</f>
        <v>-2721.7684020996094</v>
      </c>
      <c r="CA23" s="176">
        <f>AVERAGE(BZ23,BV23:BX23)</f>
        <v>-2726.1890182495117</v>
      </c>
      <c r="CB23" s="176">
        <f>AVERAGE(BZ23:CA23,BW23:BX23)</f>
        <v>-2726.8969173431396</v>
      </c>
      <c r="CC23" s="176">
        <f>AVERAGE(BZ23:CB23,BX23)</f>
        <v>-2726.0407023429871</v>
      </c>
      <c r="CD23" s="235">
        <f t="shared" si="22"/>
        <v>-10900.895040035248</v>
      </c>
      <c r="CE23" s="5"/>
      <c r="CF23" s="5"/>
      <c r="CG23" s="5"/>
      <c r="CH23" s="202" t="s">
        <v>1973</v>
      </c>
      <c r="CI23" s="5">
        <f>HLOOKUP(CH23,'Key assumptions'!$A$9:$CD$20,4,FALSE)</f>
        <v>121.18</v>
      </c>
      <c r="CJ23" s="5">
        <f t="shared" si="12"/>
        <v>108747</v>
      </c>
      <c r="CT23" s="440"/>
      <c r="CU23" s="613"/>
    </row>
    <row r="24" spans="1:101">
      <c r="A24" s="137" t="s">
        <v>1849</v>
      </c>
      <c r="B24" s="4"/>
      <c r="C24" s="5">
        <v>0</v>
      </c>
      <c r="D24" s="5">
        <v>0</v>
      </c>
      <c r="E24" s="5">
        <v>0</v>
      </c>
      <c r="F24" s="5">
        <v>0</v>
      </c>
      <c r="G24" s="5">
        <v>-2047</v>
      </c>
      <c r="H24" s="12">
        <v>-442</v>
      </c>
      <c r="I24" s="12">
        <v>261</v>
      </c>
      <c r="J24" s="12">
        <v>493</v>
      </c>
      <c r="K24" s="12">
        <v>296</v>
      </c>
      <c r="L24" s="5">
        <v>608</v>
      </c>
      <c r="M24" s="12">
        <v>155</v>
      </c>
      <c r="N24" s="12">
        <v>283</v>
      </c>
      <c r="O24" s="12">
        <v>14</v>
      </c>
      <c r="P24" s="12">
        <v>-459</v>
      </c>
      <c r="Q24" s="5">
        <v>-7</v>
      </c>
      <c r="R24" s="12">
        <v>-690</v>
      </c>
      <c r="S24" s="12">
        <v>-2081</v>
      </c>
      <c r="T24" s="12">
        <v>1098</v>
      </c>
      <c r="U24" s="12">
        <v>1562</v>
      </c>
      <c r="V24" s="5">
        <v>-111</v>
      </c>
      <c r="W24" s="12">
        <v>186</v>
      </c>
      <c r="X24" s="12">
        <v>154</v>
      </c>
      <c r="Y24" s="12">
        <v>370</v>
      </c>
      <c r="Z24" s="12">
        <v>-103</v>
      </c>
      <c r="AA24" s="5">
        <v>607</v>
      </c>
      <c r="AB24" s="12">
        <v>146</v>
      </c>
      <c r="AC24" s="12">
        <v>-452</v>
      </c>
      <c r="AD24" s="12">
        <v>20</v>
      </c>
      <c r="AE24" s="12">
        <v>-23</v>
      </c>
      <c r="AF24" s="5">
        <v>-309</v>
      </c>
      <c r="AG24" s="12">
        <v>-545</v>
      </c>
      <c r="AH24" s="12">
        <v>149</v>
      </c>
      <c r="AI24" s="12">
        <v>298</v>
      </c>
      <c r="AJ24" s="12">
        <v>166</v>
      </c>
      <c r="AK24" s="291">
        <f t="shared" si="13"/>
        <v>68</v>
      </c>
      <c r="AL24" s="12">
        <v>-99</v>
      </c>
      <c r="AM24" s="12">
        <v>270</v>
      </c>
      <c r="AN24" s="12">
        <v>72</v>
      </c>
      <c r="AO24" s="12">
        <v>104</v>
      </c>
      <c r="AP24" s="235">
        <f t="shared" si="14"/>
        <v>347</v>
      </c>
      <c r="AQ24" s="12">
        <v>31</v>
      </c>
      <c r="AR24" s="12">
        <v>135</v>
      </c>
      <c r="AS24" s="12">
        <v>238</v>
      </c>
      <c r="AT24" s="12">
        <v>55</v>
      </c>
      <c r="AU24" s="235">
        <f t="shared" si="15"/>
        <v>459</v>
      </c>
      <c r="AV24" s="181">
        <v>98</v>
      </c>
      <c r="AW24" s="12">
        <v>32</v>
      </c>
      <c r="AX24" s="12">
        <v>113</v>
      </c>
      <c r="AY24" s="12">
        <v>187</v>
      </c>
      <c r="AZ24" s="235">
        <f t="shared" si="16"/>
        <v>430</v>
      </c>
      <c r="BA24" s="12">
        <v>0</v>
      </c>
      <c r="BB24" s="12">
        <v>0</v>
      </c>
      <c r="BC24" s="12">
        <v>0</v>
      </c>
      <c r="BD24" s="12">
        <v>0</v>
      </c>
      <c r="BE24" s="235">
        <f t="shared" si="17"/>
        <v>0</v>
      </c>
      <c r="BF24" s="12">
        <v>0</v>
      </c>
      <c r="BG24" s="12">
        <v>0</v>
      </c>
      <c r="BH24" s="12">
        <v>0</v>
      </c>
      <c r="BI24" s="12">
        <v>0</v>
      </c>
      <c r="BJ24" s="235">
        <f t="shared" si="18"/>
        <v>0</v>
      </c>
      <c r="BK24" s="12">
        <v>0</v>
      </c>
      <c r="BL24" s="12">
        <v>0</v>
      </c>
      <c r="BM24" s="181">
        <v>0</v>
      </c>
      <c r="BN24" s="181">
        <v>0</v>
      </c>
      <c r="BO24" s="235">
        <f t="shared" si="19"/>
        <v>0</v>
      </c>
      <c r="BP24" s="12">
        <v>0</v>
      </c>
      <c r="BQ24" s="12">
        <v>0</v>
      </c>
      <c r="BR24" s="12">
        <v>0</v>
      </c>
      <c r="BS24" s="12">
        <v>0</v>
      </c>
      <c r="BT24" s="235">
        <f t="shared" si="20"/>
        <v>0</v>
      </c>
      <c r="BU24" s="12">
        <v>0</v>
      </c>
      <c r="BV24" s="12">
        <v>0</v>
      </c>
      <c r="BW24" s="12">
        <v>0</v>
      </c>
      <c r="BX24" s="12">
        <v>0</v>
      </c>
      <c r="BY24" s="235">
        <f t="shared" si="21"/>
        <v>0</v>
      </c>
      <c r="BZ24" s="12">
        <v>0</v>
      </c>
      <c r="CA24" s="12">
        <v>0</v>
      </c>
      <c r="CB24" s="12">
        <v>0</v>
      </c>
      <c r="CC24" s="12">
        <v>0</v>
      </c>
      <c r="CD24" s="235">
        <f t="shared" si="22"/>
        <v>0</v>
      </c>
      <c r="CE24" s="5"/>
      <c r="CF24" s="5"/>
      <c r="CG24" s="5"/>
      <c r="CH24" s="202" t="s">
        <v>1974</v>
      </c>
      <c r="CI24" s="5">
        <f>HLOOKUP(CH24,'Key assumptions'!$A$9:$CD$20,4,FALSE)</f>
        <v>115.09</v>
      </c>
      <c r="CJ24" s="5">
        <f t="shared" si="12"/>
        <v>103174</v>
      </c>
      <c r="CT24" s="440"/>
      <c r="CU24" s="613"/>
    </row>
    <row r="25" spans="1:101">
      <c r="A25" s="14" t="s">
        <v>2713</v>
      </c>
      <c r="B25" s="14"/>
      <c r="C25" s="15">
        <f t="shared" ref="C25:AF25" si="23">C15+SUM(C17:C24)</f>
        <v>14662</v>
      </c>
      <c r="D25" s="15">
        <f t="shared" si="23"/>
        <v>12329</v>
      </c>
      <c r="E25" s="15">
        <f t="shared" si="23"/>
        <v>18776</v>
      </c>
      <c r="F25" s="15">
        <f t="shared" si="23"/>
        <v>25746</v>
      </c>
      <c r="G25" s="15">
        <f t="shared" si="23"/>
        <v>32682</v>
      </c>
      <c r="H25" s="16">
        <f t="shared" si="23"/>
        <v>8869</v>
      </c>
      <c r="I25" s="16">
        <f t="shared" si="23"/>
        <v>10813</v>
      </c>
      <c r="J25" s="16">
        <f t="shared" si="23"/>
        <v>11025</v>
      </c>
      <c r="K25" s="16">
        <f t="shared" si="23"/>
        <v>4451</v>
      </c>
      <c r="L25" s="15">
        <f t="shared" si="23"/>
        <v>35158</v>
      </c>
      <c r="M25" s="16">
        <f t="shared" si="23"/>
        <v>7357</v>
      </c>
      <c r="N25" s="16">
        <f t="shared" si="23"/>
        <v>10879</v>
      </c>
      <c r="O25" s="16">
        <f t="shared" si="23"/>
        <v>6809</v>
      </c>
      <c r="P25" s="16">
        <f t="shared" si="23"/>
        <v>7307</v>
      </c>
      <c r="Q25" s="15">
        <f t="shared" si="23"/>
        <v>32352</v>
      </c>
      <c r="R25" s="16">
        <f t="shared" si="23"/>
        <v>11650</v>
      </c>
      <c r="S25" s="16">
        <f t="shared" si="23"/>
        <v>14727</v>
      </c>
      <c r="T25" s="16">
        <f t="shared" si="23"/>
        <v>12525</v>
      </c>
      <c r="U25" s="16">
        <f t="shared" si="23"/>
        <v>-3663</v>
      </c>
      <c r="V25" s="15">
        <f t="shared" si="23"/>
        <v>35239</v>
      </c>
      <c r="W25" s="16">
        <f t="shared" si="23"/>
        <v>4498</v>
      </c>
      <c r="X25" s="16">
        <f t="shared" si="23"/>
        <v>7093</v>
      </c>
      <c r="Y25" s="16">
        <f t="shared" si="23"/>
        <v>7901</v>
      </c>
      <c r="Z25" s="16">
        <f t="shared" si="23"/>
        <v>6934</v>
      </c>
      <c r="AA25" s="15">
        <f t="shared" si="23"/>
        <v>26426</v>
      </c>
      <c r="AB25" s="16">
        <f t="shared" si="23"/>
        <v>9606</v>
      </c>
      <c r="AC25" s="16">
        <f t="shared" si="23"/>
        <v>-24129</v>
      </c>
      <c r="AD25" s="16">
        <f t="shared" si="23"/>
        <v>1916</v>
      </c>
      <c r="AE25" s="16">
        <f t="shared" si="23"/>
        <v>8905</v>
      </c>
      <c r="AF25" s="15">
        <f t="shared" si="23"/>
        <v>-3702</v>
      </c>
      <c r="AG25" s="16">
        <f>AG15+SUM(AG17:AG24)</f>
        <v>11637</v>
      </c>
      <c r="AH25" s="16">
        <f>AH15+SUM(AH17:AH24)</f>
        <v>9077</v>
      </c>
      <c r="AI25" s="16">
        <f>AI15+SUM(AI17:AI24)</f>
        <v>7724</v>
      </c>
      <c r="AJ25" s="16">
        <f>AJ15+SUM(AJ17:AJ24)</f>
        <v>11379</v>
      </c>
      <c r="AK25" s="174">
        <f>SUM(AG25:AJ25)</f>
        <v>39817</v>
      </c>
      <c r="AL25" s="16">
        <f>AL15+SUM(AL17:AL24)</f>
        <v>9153</v>
      </c>
      <c r="AM25" s="16">
        <f>AM15+SUM(AM17:AM24)</f>
        <v>-1603</v>
      </c>
      <c r="AN25" s="16">
        <f>AN15+SUM(AN17:AN24)</f>
        <v>8437</v>
      </c>
      <c r="AO25" s="16">
        <f>AO15+SUM(AO17:AO24)</f>
        <v>3746</v>
      </c>
      <c r="AP25" s="15">
        <f>SUM(AL25:AO25)</f>
        <v>19733</v>
      </c>
      <c r="AQ25" s="16">
        <f>AQ15+SUM(AQ17:AQ24)</f>
        <v>20138</v>
      </c>
      <c r="AR25" s="16">
        <f>AR15+SUM(AR17:AR24)</f>
        <v>4485</v>
      </c>
      <c r="AS25" s="16">
        <f>AS15+SUM(AS17:AS24)</f>
        <v>5569</v>
      </c>
      <c r="AT25" s="16">
        <f>AT15+SUM(AT17:AT24)</f>
        <v>1577</v>
      </c>
      <c r="AU25" s="15">
        <f>SUM(AQ25:AT25)</f>
        <v>31769</v>
      </c>
      <c r="AV25" s="177">
        <f>AV15+SUM(AV17:AV24)</f>
        <v>5637</v>
      </c>
      <c r="AW25" s="16">
        <f>AW15+SUM(AW17:AW24)</f>
        <v>5503</v>
      </c>
      <c r="AX25" s="16">
        <f>AX15+SUM(AX17:AX24)</f>
        <v>2969</v>
      </c>
      <c r="AY25" s="16">
        <f>AY15+SUM(AY17:AY24)</f>
        <v>-7697</v>
      </c>
      <c r="AZ25" s="15">
        <f>SUM(AV25:AY25)</f>
        <v>6412</v>
      </c>
      <c r="BA25" s="16">
        <f>BA15+SUM(BA17:BA24)</f>
        <v>2634</v>
      </c>
      <c r="BB25" s="16">
        <f>BB15+SUM(BB17:BB24)</f>
        <v>-8248</v>
      </c>
      <c r="BC25" s="16">
        <f>BC15+SUM(BC17:BC24)</f>
        <v>1339</v>
      </c>
      <c r="BD25" s="16">
        <f>BD15+SUM(BD17:BD24)</f>
        <v>-3643</v>
      </c>
      <c r="BE25" s="15">
        <f>SUM(BA25:BD25)</f>
        <v>-7918</v>
      </c>
      <c r="BF25" s="16">
        <f>BF15+SUM(BF17:BF24)</f>
        <v>-425</v>
      </c>
      <c r="BG25" s="16">
        <f>BG15+SUM(BG17:BG24)</f>
        <v>-2916</v>
      </c>
      <c r="BH25" s="16">
        <f>BH15+SUM(BH17:BH24)</f>
        <v>1810</v>
      </c>
      <c r="BI25" s="16">
        <f>BI15+SUM(BI17:BI24)</f>
        <v>1101</v>
      </c>
      <c r="BJ25" s="15">
        <f>SUM(BF25:BI25)</f>
        <v>-430</v>
      </c>
      <c r="BK25" s="16">
        <f>BK15+SUM(BK17:BK24)</f>
        <v>2628</v>
      </c>
      <c r="BL25" s="16">
        <f>BL15+SUM(BL17:BL24)</f>
        <v>1469</v>
      </c>
      <c r="BM25" s="177">
        <f>BM15+SUM(BM17:BM24)</f>
        <v>3521</v>
      </c>
      <c r="BN25" s="177">
        <f>BN15+SUM(BN17:BN24)</f>
        <v>1856</v>
      </c>
      <c r="BO25" s="15">
        <f>SUM(BK25:BN25)</f>
        <v>9474</v>
      </c>
      <c r="BP25" s="67">
        <f ca="1">BP29-BP27-BP28</f>
        <v>4066.8349013367219</v>
      </c>
      <c r="BQ25" s="67">
        <f ca="1">BQ29-BQ27-BQ28</f>
        <v>5539.9263438247563</v>
      </c>
      <c r="BR25" s="67">
        <f ca="1">BR29-BR27-BR28</f>
        <v>5709.4113620330272</v>
      </c>
      <c r="BS25" s="67">
        <f ca="1">BS29-BS27-BS28</f>
        <v>5161.58889376978</v>
      </c>
      <c r="BT25" s="15">
        <f ca="1">SUM(BP25:BS25)</f>
        <v>20477.761500964283</v>
      </c>
      <c r="BU25" s="67">
        <f ca="1">BU29-BU27-BU28</f>
        <v>5434.4331518955842</v>
      </c>
      <c r="BV25" s="67">
        <f ca="1">BV29-BV27-BV28</f>
        <v>5292.7634776546383</v>
      </c>
      <c r="BW25" s="67">
        <f ca="1">BW29-BW27-BW28</f>
        <v>5537.8027142795954</v>
      </c>
      <c r="BX25" s="67">
        <f ca="1">BX29-BX27-BX28</f>
        <v>5242.041609903541</v>
      </c>
      <c r="BY25" s="15">
        <f ca="1">SUM(BU25:BX25)</f>
        <v>21507.040953733362</v>
      </c>
      <c r="BZ25" s="67">
        <f ca="1">BZ29-BZ27-BZ28</f>
        <v>5814.5915736829211</v>
      </c>
      <c r="CA25" s="67">
        <f ca="1">CA29-CA27-CA28</f>
        <v>5793.7442128055718</v>
      </c>
      <c r="CB25" s="67">
        <f ca="1">CB29-CB27-CB28</f>
        <v>6105.5223244768667</v>
      </c>
      <c r="CC25" s="67">
        <f ca="1">CC29-CC27-CC28</f>
        <v>5866.7621543789792</v>
      </c>
      <c r="CD25" s="15">
        <f ca="1">SUM(BZ25:CC25)</f>
        <v>23580.62026534434</v>
      </c>
      <c r="CE25" s="8"/>
      <c r="CF25" s="5"/>
      <c r="CG25" s="8"/>
      <c r="CH25" s="202" t="s">
        <v>1975</v>
      </c>
      <c r="CI25" s="5">
        <f>HLOOKUP(CH25,'Key assumptions'!$A$9:$CD$20,4,FALSE)</f>
        <v>55.48</v>
      </c>
      <c r="CJ25" s="5">
        <f t="shared" si="12"/>
        <v>61477</v>
      </c>
      <c r="CT25" s="440"/>
      <c r="CU25" s="613"/>
    </row>
    <row r="26" spans="1:101">
      <c r="A26" s="4"/>
      <c r="B26" s="4"/>
      <c r="C26" s="5"/>
      <c r="D26" s="5"/>
      <c r="E26" s="5"/>
      <c r="F26" s="5"/>
      <c r="G26" s="5"/>
      <c r="H26" s="12"/>
      <c r="I26" s="12"/>
      <c r="J26" s="12"/>
      <c r="K26" s="12"/>
      <c r="L26" s="5"/>
      <c r="M26" s="12"/>
      <c r="N26" s="12"/>
      <c r="O26" s="12"/>
      <c r="P26" s="12"/>
      <c r="Q26" s="5"/>
      <c r="R26" s="12"/>
      <c r="S26" s="12"/>
      <c r="T26" s="12"/>
      <c r="U26" s="12"/>
      <c r="V26" s="5"/>
      <c r="W26" s="12"/>
      <c r="X26" s="12"/>
      <c r="Y26" s="12"/>
      <c r="Z26" s="12"/>
      <c r="AA26" s="5"/>
      <c r="AB26" s="12"/>
      <c r="AC26" s="12"/>
      <c r="AD26" s="12"/>
      <c r="AE26" s="12"/>
      <c r="AF26" s="5"/>
      <c r="AG26" s="5"/>
      <c r="AH26" s="12"/>
      <c r="AI26" s="12"/>
      <c r="AJ26" s="12"/>
      <c r="AK26" s="138"/>
      <c r="AL26" s="12"/>
      <c r="AM26" s="12"/>
      <c r="AN26" s="12"/>
      <c r="AO26" s="12"/>
      <c r="AP26" s="5"/>
      <c r="AQ26" s="12"/>
      <c r="AR26" s="12"/>
      <c r="AS26" s="12"/>
      <c r="AT26" s="12"/>
      <c r="AU26" s="5"/>
      <c r="AV26" s="181"/>
      <c r="AW26" s="5"/>
      <c r="AX26" s="12"/>
      <c r="AY26" s="12"/>
      <c r="AZ26" s="5"/>
      <c r="BA26" s="603"/>
      <c r="BB26" s="603"/>
      <c r="BC26" s="603"/>
      <c r="BD26" s="603"/>
      <c r="BE26" s="5"/>
      <c r="BF26" s="603"/>
      <c r="BG26" s="603"/>
      <c r="BH26" s="603"/>
      <c r="BI26" s="603"/>
      <c r="BJ26" s="5"/>
      <c r="BK26" s="603"/>
      <c r="BL26" s="603"/>
      <c r="BM26" s="542"/>
      <c r="BN26" s="542"/>
      <c r="BO26" s="5"/>
      <c r="BP26" s="138"/>
      <c r="BQ26" s="138"/>
      <c r="BR26" s="138"/>
      <c r="BS26" s="138"/>
      <c r="BT26" s="138"/>
      <c r="BU26" s="138"/>
      <c r="BV26" s="138"/>
      <c r="BW26" s="138"/>
      <c r="BX26" s="138"/>
      <c r="BY26" s="138"/>
      <c r="BZ26" s="5"/>
      <c r="CA26" s="5"/>
      <c r="CB26" s="5"/>
      <c r="CC26" s="5"/>
      <c r="CD26" s="5"/>
      <c r="CE26" s="5"/>
      <c r="CF26" s="5"/>
      <c r="CG26" s="5"/>
      <c r="CH26" s="202" t="s">
        <v>1976</v>
      </c>
      <c r="CI26" s="5">
        <f>HLOOKUP(CH26,'Key assumptions'!$A$9:$CD$20,4,FALSE)</f>
        <v>44.46</v>
      </c>
      <c r="CJ26" s="5">
        <f t="shared" si="12"/>
        <v>47296</v>
      </c>
      <c r="CT26" s="440"/>
      <c r="CU26" s="613"/>
    </row>
    <row r="27" spans="1:101">
      <c r="A27" s="4" t="s">
        <v>350</v>
      </c>
      <c r="B27" s="4"/>
      <c r="C27" s="5">
        <v>-1670</v>
      </c>
      <c r="D27" s="5">
        <v>-1140</v>
      </c>
      <c r="E27" s="5">
        <v>-720</v>
      </c>
      <c r="F27" s="5">
        <v>-440</v>
      </c>
      <c r="G27" s="5">
        <v>-616</v>
      </c>
      <c r="H27" s="12">
        <v>-191</v>
      </c>
      <c r="I27" s="12">
        <v>-153</v>
      </c>
      <c r="J27" s="12">
        <v>-169</v>
      </c>
      <c r="K27" s="12">
        <v>-205</v>
      </c>
      <c r="L27" s="5">
        <v>-718</v>
      </c>
      <c r="M27" s="12">
        <v>-331</v>
      </c>
      <c r="N27" s="12">
        <v>-317</v>
      </c>
      <c r="O27" s="12">
        <v>-337</v>
      </c>
      <c r="P27" s="12">
        <v>-408</v>
      </c>
      <c r="Q27" s="5">
        <v>-1393</v>
      </c>
      <c r="R27" s="12">
        <v>-406</v>
      </c>
      <c r="S27" s="12">
        <v>-381</v>
      </c>
      <c r="T27" s="12">
        <v>-391</v>
      </c>
      <c r="U27" s="12">
        <v>-369</v>
      </c>
      <c r="V27" s="5">
        <v>-1547</v>
      </c>
      <c r="W27" s="12">
        <v>-318</v>
      </c>
      <c r="X27" s="12">
        <v>-274</v>
      </c>
      <c r="Y27" s="12">
        <v>-266</v>
      </c>
      <c r="Z27" s="12">
        <v>-252</v>
      </c>
      <c r="AA27" s="5">
        <v>-1110</v>
      </c>
      <c r="AB27" s="12">
        <v>-238</v>
      </c>
      <c r="AC27" s="12">
        <v>-225</v>
      </c>
      <c r="AD27" s="12">
        <v>-348</v>
      </c>
      <c r="AE27" s="12">
        <v>-359</v>
      </c>
      <c r="AF27" s="5">
        <v>-1170</v>
      </c>
      <c r="AG27" s="12">
        <v>-308</v>
      </c>
      <c r="AH27" s="12">
        <v>-314</v>
      </c>
      <c r="AI27" s="12">
        <v>-298</v>
      </c>
      <c r="AJ27" s="12">
        <v>-326</v>
      </c>
      <c r="AK27" s="138">
        <f>SUM(AG27:AJ27)</f>
        <v>-1246</v>
      </c>
      <c r="AL27" s="12">
        <v>-283</v>
      </c>
      <c r="AM27" s="12">
        <v>-267</v>
      </c>
      <c r="AN27" s="12">
        <v>-256</v>
      </c>
      <c r="AO27" s="12">
        <v>-319</v>
      </c>
      <c r="AP27" s="5">
        <f>SUM(AL27:AO27)</f>
        <v>-1125</v>
      </c>
      <c r="AQ27" s="12">
        <v>-282</v>
      </c>
      <c r="AR27" s="12">
        <v>-252</v>
      </c>
      <c r="AS27" s="12">
        <v>-279</v>
      </c>
      <c r="AT27" s="12">
        <v>-255</v>
      </c>
      <c r="AU27" s="5">
        <f>SUM(AQ27:AT27)</f>
        <v>-1068</v>
      </c>
      <c r="AV27" s="181">
        <v>-287</v>
      </c>
      <c r="AW27" s="12">
        <v>-277</v>
      </c>
      <c r="AX27" s="12">
        <v>-285</v>
      </c>
      <c r="AY27" s="12">
        <v>-299</v>
      </c>
      <c r="AZ27" s="5">
        <f>SUM(AV27:AY27)</f>
        <v>-1148</v>
      </c>
      <c r="BA27" s="12">
        <v>-281</v>
      </c>
      <c r="BB27" s="12">
        <v>-289</v>
      </c>
      <c r="BC27" s="12">
        <v>-398</v>
      </c>
      <c r="BD27" s="12">
        <v>-379</v>
      </c>
      <c r="BE27" s="5">
        <f>SUM(BA27:BD27)</f>
        <v>-1347</v>
      </c>
      <c r="BF27" s="12">
        <v>-394</v>
      </c>
      <c r="BG27" s="12">
        <v>-414</v>
      </c>
      <c r="BH27" s="12">
        <v>-433</v>
      </c>
      <c r="BI27" s="12">
        <v>-434</v>
      </c>
      <c r="BJ27" s="5">
        <f>SUM(BF27:BI27)</f>
        <v>-1675</v>
      </c>
      <c r="BK27" s="12">
        <v>-460</v>
      </c>
      <c r="BL27" s="12">
        <v>-487</v>
      </c>
      <c r="BM27" s="181">
        <v>-511</v>
      </c>
      <c r="BN27" s="181">
        <v>-616</v>
      </c>
      <c r="BO27" s="5">
        <f>SUM(BK27:BN27)</f>
        <v>-2074</v>
      </c>
      <c r="BP27" s="181">
        <f ca="1">-Other!BP44+'GoM oil spill'!BP13</f>
        <v>-484.02343319693631</v>
      </c>
      <c r="BQ27" s="181">
        <f ca="1">-Other!BQ44+'GoM oil spill'!BQ13</f>
        <v>-491.96412555422705</v>
      </c>
      <c r="BR27" s="181">
        <f ca="1">-Other!BR44+'GoM oil spill'!BR13</f>
        <v>-481.88849070519177</v>
      </c>
      <c r="BS27" s="181">
        <f ca="1">-Other!BS44+'GoM oil spill'!BS13</f>
        <v>-472.6639587887625</v>
      </c>
      <c r="BT27" s="138">
        <f t="shared" ref="BT27" ca="1" si="24">SUM(BP27:BS27)</f>
        <v>-1930.5400082451176</v>
      </c>
      <c r="BU27" s="181">
        <f ca="1">-Other!BU44+'GoM oil spill'!BU13</f>
        <v>-476.63167038414042</v>
      </c>
      <c r="BV27" s="181">
        <f ca="1">-Other!BV44+'GoM oil spill'!BV13</f>
        <v>-469.58721277719269</v>
      </c>
      <c r="BW27" s="181">
        <f ca="1">-Other!BW44+'GoM oil spill'!BW13</f>
        <v>-455.85307483243662</v>
      </c>
      <c r="BX27" s="181">
        <f ca="1">-Other!BX44+'GoM oil spill'!BX13</f>
        <v>-444.89366277451677</v>
      </c>
      <c r="BY27" s="138">
        <f t="shared" ref="BY27" ca="1" si="25">SUM(BU27:BX27)</f>
        <v>-1846.9656207682865</v>
      </c>
      <c r="BZ27" s="12">
        <f ca="1">-Other!BZ44+'GoM oil spill'!BZ13</f>
        <v>-445.34189965646124</v>
      </c>
      <c r="CA27" s="12">
        <f ca="1">-Other!CA44+'GoM oil spill'!CA13</f>
        <v>-438.67056099001593</v>
      </c>
      <c r="CB27" s="12">
        <f ca="1">-Other!CB44+'GoM oil spill'!CB13</f>
        <v>-422.39751985695762</v>
      </c>
      <c r="CC27" s="12">
        <f ca="1">-Other!CC44+'GoM oil spill'!CC13</f>
        <v>-409.86036066722886</v>
      </c>
      <c r="CD27" s="5">
        <f t="shared" ref="CD27" ca="1" si="26">SUM(BZ27:CC27)</f>
        <v>-1716.2703411706636</v>
      </c>
      <c r="CE27" s="5"/>
      <c r="CF27" s="5"/>
      <c r="CG27" s="5"/>
      <c r="CH27" s="202" t="s">
        <v>1977</v>
      </c>
      <c r="CI27" s="5">
        <f>HLOOKUP(CH27,'Key assumptions'!$A$9:$CD$20,4,FALSE)</f>
        <v>59.13</v>
      </c>
      <c r="CJ27" s="5">
        <f t="shared" si="12"/>
        <v>54777</v>
      </c>
      <c r="CT27" s="440"/>
      <c r="CU27" s="613"/>
    </row>
    <row r="28" spans="1:101">
      <c r="A28" s="4" t="s">
        <v>649</v>
      </c>
      <c r="B28" s="4"/>
      <c r="C28" s="5">
        <v>0</v>
      </c>
      <c r="D28" s="5">
        <v>0</v>
      </c>
      <c r="E28" s="5">
        <v>-325</v>
      </c>
      <c r="F28" s="5">
        <v>-340</v>
      </c>
      <c r="G28" s="5">
        <v>-145</v>
      </c>
      <c r="H28" s="12">
        <v>48</v>
      </c>
      <c r="I28" s="12">
        <v>46</v>
      </c>
      <c r="J28" s="12">
        <v>52</v>
      </c>
      <c r="K28" s="12">
        <v>56</v>
      </c>
      <c r="L28" s="5">
        <v>202</v>
      </c>
      <c r="M28" s="12">
        <v>160</v>
      </c>
      <c r="N28" s="12">
        <v>162</v>
      </c>
      <c r="O28" s="12">
        <v>164</v>
      </c>
      <c r="P28" s="12">
        <v>166</v>
      </c>
      <c r="Q28" s="5">
        <v>652</v>
      </c>
      <c r="R28" s="12">
        <v>160</v>
      </c>
      <c r="S28" s="12">
        <v>160</v>
      </c>
      <c r="T28" s="12">
        <v>153</v>
      </c>
      <c r="U28" s="12">
        <v>118</v>
      </c>
      <c r="V28" s="5">
        <v>591</v>
      </c>
      <c r="W28" s="12">
        <v>-50</v>
      </c>
      <c r="X28" s="12">
        <v>-47</v>
      </c>
      <c r="Y28" s="12">
        <v>-45</v>
      </c>
      <c r="Z28" s="12">
        <v>-50</v>
      </c>
      <c r="AA28" s="5">
        <v>-192</v>
      </c>
      <c r="AB28" s="12">
        <v>10</v>
      </c>
      <c r="AC28" s="12">
        <v>11</v>
      </c>
      <c r="AD28" s="12">
        <v>13</v>
      </c>
      <c r="AE28" s="12">
        <v>13</v>
      </c>
      <c r="AF28" s="5">
        <v>47</v>
      </c>
      <c r="AG28" s="12">
        <v>69</v>
      </c>
      <c r="AH28" s="12">
        <v>65</v>
      </c>
      <c r="AI28" s="12">
        <v>64</v>
      </c>
      <c r="AJ28" s="12">
        <v>65</v>
      </c>
      <c r="AK28" s="138">
        <f>SUM(AG28:AJ28)</f>
        <v>263</v>
      </c>
      <c r="AL28" s="12">
        <v>53</v>
      </c>
      <c r="AM28" s="12">
        <v>55</v>
      </c>
      <c r="AN28" s="12">
        <v>58</v>
      </c>
      <c r="AO28" s="12">
        <v>35</v>
      </c>
      <c r="AP28" s="5">
        <f>SUM(AL28:AO28)</f>
        <v>201</v>
      </c>
      <c r="AQ28" s="12">
        <v>-122</v>
      </c>
      <c r="AR28" s="12">
        <v>-117</v>
      </c>
      <c r="AS28" s="12">
        <v>-118</v>
      </c>
      <c r="AT28" s="12">
        <v>-123</v>
      </c>
      <c r="AU28" s="5">
        <f>SUM(AQ28:AT28)</f>
        <v>-480</v>
      </c>
      <c r="AV28" s="181">
        <v>-80</v>
      </c>
      <c r="AW28" s="12">
        <v>-79</v>
      </c>
      <c r="AX28" s="12">
        <v>-73</v>
      </c>
      <c r="AY28" s="12">
        <v>-82</v>
      </c>
      <c r="AZ28" s="5">
        <f>SUM(AV28:AY28)</f>
        <v>-314</v>
      </c>
      <c r="BA28" s="12">
        <v>-77</v>
      </c>
      <c r="BB28" s="12">
        <v>-75</v>
      </c>
      <c r="BC28" s="12">
        <v>-76</v>
      </c>
      <c r="BD28" s="12">
        <v>-78</v>
      </c>
      <c r="BE28" s="5">
        <f>SUM(BA28:BD28)</f>
        <v>-306</v>
      </c>
      <c r="BF28" s="12">
        <v>-46</v>
      </c>
      <c r="BG28" s="12">
        <v>-46</v>
      </c>
      <c r="BH28" s="12">
        <v>-48</v>
      </c>
      <c r="BI28" s="12">
        <v>-50</v>
      </c>
      <c r="BJ28" s="5">
        <f>SUM(BF28:BI28)</f>
        <v>-190</v>
      </c>
      <c r="BK28" s="12">
        <v>-53</v>
      </c>
      <c r="BL28" s="12">
        <v>-54</v>
      </c>
      <c r="BM28" s="181">
        <v>-55</v>
      </c>
      <c r="BN28" s="181">
        <v>-58</v>
      </c>
      <c r="BO28" s="5">
        <f>SUM(BK28:BN28)</f>
        <v>-220</v>
      </c>
      <c r="BP28" s="240">
        <v>-45</v>
      </c>
      <c r="BQ28" s="240">
        <v>-45</v>
      </c>
      <c r="BR28" s="240">
        <v>-45</v>
      </c>
      <c r="BS28" s="240">
        <v>-45</v>
      </c>
      <c r="BT28" s="5">
        <f t="shared" ref="BT28" si="27">SUM(BP28:BS28)</f>
        <v>-180</v>
      </c>
      <c r="BU28" s="240">
        <v>-45</v>
      </c>
      <c r="BV28" s="240">
        <v>-45</v>
      </c>
      <c r="BW28" s="240">
        <v>-45</v>
      </c>
      <c r="BX28" s="240">
        <v>-45</v>
      </c>
      <c r="BY28" s="5">
        <f t="shared" ref="BY28" si="28">SUM(BU28:BX28)</f>
        <v>-180</v>
      </c>
      <c r="BZ28" s="240">
        <v>-45</v>
      </c>
      <c r="CA28" s="240">
        <v>-45</v>
      </c>
      <c r="CB28" s="240">
        <v>-45</v>
      </c>
      <c r="CC28" s="240">
        <v>-45</v>
      </c>
      <c r="CD28" s="5">
        <f t="shared" ref="CD28" si="29">SUM(BZ28:CC28)</f>
        <v>-180</v>
      </c>
      <c r="CE28" s="5"/>
      <c r="CF28" s="5"/>
      <c r="CG28" s="5"/>
      <c r="CH28" s="202" t="s">
        <v>1978</v>
      </c>
      <c r="CI28" s="5">
        <f>HLOOKUP(CH28,'Key assumptions'!$A$9:$CD$20,4,FALSE)</f>
        <v>68.08</v>
      </c>
      <c r="CJ28" s="5">
        <f t="shared" si="12"/>
        <v>66218</v>
      </c>
    </row>
    <row r="29" spans="1:101">
      <c r="A29" s="7" t="s">
        <v>2714</v>
      </c>
      <c r="B29" s="7"/>
      <c r="C29" s="8">
        <f t="shared" ref="C29:AF29" si="30">C25+SUM(C27:C28)</f>
        <v>12992</v>
      </c>
      <c r="D29" s="8">
        <f t="shared" si="30"/>
        <v>11189</v>
      </c>
      <c r="E29" s="8">
        <f t="shared" si="30"/>
        <v>17731</v>
      </c>
      <c r="F29" s="8">
        <f t="shared" si="30"/>
        <v>24966</v>
      </c>
      <c r="G29" s="8">
        <f t="shared" si="30"/>
        <v>31921</v>
      </c>
      <c r="H29" s="19">
        <f t="shared" si="30"/>
        <v>8726</v>
      </c>
      <c r="I29" s="19">
        <f t="shared" si="30"/>
        <v>10706</v>
      </c>
      <c r="J29" s="19">
        <f t="shared" si="30"/>
        <v>10908</v>
      </c>
      <c r="K29" s="19">
        <f t="shared" si="30"/>
        <v>4302</v>
      </c>
      <c r="L29" s="8">
        <f t="shared" si="30"/>
        <v>34642</v>
      </c>
      <c r="M29" s="19">
        <f t="shared" si="30"/>
        <v>7186</v>
      </c>
      <c r="N29" s="19">
        <f t="shared" si="30"/>
        <v>10724</v>
      </c>
      <c r="O29" s="19">
        <f t="shared" si="30"/>
        <v>6636</v>
      </c>
      <c r="P29" s="19">
        <f t="shared" si="30"/>
        <v>7065</v>
      </c>
      <c r="Q29" s="8">
        <f t="shared" si="30"/>
        <v>31611</v>
      </c>
      <c r="R29" s="19">
        <f t="shared" si="30"/>
        <v>11404</v>
      </c>
      <c r="S29" s="19">
        <f t="shared" si="30"/>
        <v>14506</v>
      </c>
      <c r="T29" s="19">
        <f t="shared" si="30"/>
        <v>12287</v>
      </c>
      <c r="U29" s="19">
        <f t="shared" si="30"/>
        <v>-3914</v>
      </c>
      <c r="V29" s="8">
        <f t="shared" si="30"/>
        <v>34283</v>
      </c>
      <c r="W29" s="19">
        <f t="shared" si="30"/>
        <v>4130</v>
      </c>
      <c r="X29" s="19">
        <f t="shared" si="30"/>
        <v>6772</v>
      </c>
      <c r="Y29" s="19">
        <f t="shared" si="30"/>
        <v>7590</v>
      </c>
      <c r="Z29" s="19">
        <f t="shared" si="30"/>
        <v>6632</v>
      </c>
      <c r="AA29" s="8">
        <f t="shared" si="30"/>
        <v>25124</v>
      </c>
      <c r="AB29" s="19">
        <f t="shared" si="30"/>
        <v>9378</v>
      </c>
      <c r="AC29" s="19">
        <f t="shared" si="30"/>
        <v>-24343</v>
      </c>
      <c r="AD29" s="19">
        <f t="shared" si="30"/>
        <v>1581</v>
      </c>
      <c r="AE29" s="19">
        <f t="shared" si="30"/>
        <v>8559</v>
      </c>
      <c r="AF29" s="8">
        <f t="shared" si="30"/>
        <v>-4825</v>
      </c>
      <c r="AG29" s="19">
        <f>AG25+SUM(AG27:AG28)</f>
        <v>11398</v>
      </c>
      <c r="AH29" s="19">
        <f>AH25+SUM(AH27:AH28)</f>
        <v>8828</v>
      </c>
      <c r="AI29" s="19">
        <f>AI25+SUM(AI27:AI28)</f>
        <v>7490</v>
      </c>
      <c r="AJ29" s="19">
        <f>AJ25+SUM(AJ27:AJ28)</f>
        <v>11118</v>
      </c>
      <c r="AK29" s="179">
        <f>SUM(AG29:AJ29)</f>
        <v>38834</v>
      </c>
      <c r="AL29" s="19">
        <f>AL25+SUM(AL27:AL28)</f>
        <v>8923</v>
      </c>
      <c r="AM29" s="19">
        <f>AM25+SUM(AM27:AM28)</f>
        <v>-1815</v>
      </c>
      <c r="AN29" s="19">
        <f>AN25+SUM(AN27:AN28)</f>
        <v>8239</v>
      </c>
      <c r="AO29" s="19">
        <f>AO25+SUM(AO27:AO28)</f>
        <v>3462</v>
      </c>
      <c r="AP29" s="8">
        <f>SUM(AL29:AO29)</f>
        <v>18809</v>
      </c>
      <c r="AQ29" s="19">
        <f>AQ25+SUM(AQ27:AQ28)</f>
        <v>19734</v>
      </c>
      <c r="AR29" s="19">
        <f>AR25+SUM(AR27:AR28)</f>
        <v>4116</v>
      </c>
      <c r="AS29" s="19">
        <f>AS25+SUM(AS27:AS28)</f>
        <v>5172</v>
      </c>
      <c r="AT29" s="19">
        <f>AT25+SUM(AT27:AT28)</f>
        <v>1199</v>
      </c>
      <c r="AU29" s="8">
        <f>SUM(AQ29:AT29)</f>
        <v>30221</v>
      </c>
      <c r="AV29" s="180">
        <f>AV25+SUM(AV27:AV28)</f>
        <v>5270</v>
      </c>
      <c r="AW29" s="19">
        <f>AW25+SUM(AW27:AW28)</f>
        <v>5147</v>
      </c>
      <c r="AX29" s="19">
        <f>AX25+SUM(AX27:AX28)</f>
        <v>2611</v>
      </c>
      <c r="AY29" s="19">
        <f>AY25+SUM(AY27:AY28)</f>
        <v>-8078</v>
      </c>
      <c r="AZ29" s="8">
        <f>SUM(AV29:AY29)</f>
        <v>4950</v>
      </c>
      <c r="BA29" s="19">
        <f>BA25+SUM(BA27:BA28)</f>
        <v>2276</v>
      </c>
      <c r="BB29" s="19">
        <f>BB25+SUM(BB27:BB28)</f>
        <v>-8612</v>
      </c>
      <c r="BC29" s="19">
        <f>BC25+SUM(BC27:BC28)</f>
        <v>865</v>
      </c>
      <c r="BD29" s="19">
        <f>BD25+SUM(BD27:BD28)</f>
        <v>-4100</v>
      </c>
      <c r="BE29" s="8">
        <f>SUM(BA29:BD29)</f>
        <v>-9571</v>
      </c>
      <c r="BF29" s="19">
        <f>BF25+SUM(BF27:BF28)</f>
        <v>-865</v>
      </c>
      <c r="BG29" s="19">
        <f>BG25+SUM(BG27:BG28)</f>
        <v>-3376</v>
      </c>
      <c r="BH29" s="19">
        <f>BH25+SUM(BH27:BH28)</f>
        <v>1329</v>
      </c>
      <c r="BI29" s="19">
        <f>BI25+SUM(BI27:BI28)</f>
        <v>617</v>
      </c>
      <c r="BJ29" s="8">
        <f>SUM(BF29:BI29)</f>
        <v>-2295</v>
      </c>
      <c r="BK29" s="19">
        <f>BK25+SUM(BK27:BK28)</f>
        <v>2115</v>
      </c>
      <c r="BL29" s="19">
        <f>BL25+SUM(BL27:BL28)</f>
        <v>928</v>
      </c>
      <c r="BM29" s="180">
        <f>BM25+SUM(BM27:BM28)</f>
        <v>2955</v>
      </c>
      <c r="BN29" s="180">
        <f>BN25+SUM(BN27:BN28)</f>
        <v>1182</v>
      </c>
      <c r="BO29" s="8">
        <f>SUM(BK29:BN29)</f>
        <v>7180</v>
      </c>
      <c r="BP29" s="19">
        <f ca="1">BP32-BP31</f>
        <v>3537.8114681397856</v>
      </c>
      <c r="BQ29" s="19">
        <f ca="1">BQ32-BQ31</f>
        <v>5002.9622182705289</v>
      </c>
      <c r="BR29" s="19">
        <f ca="1">BR32-BR31</f>
        <v>5182.5228713278357</v>
      </c>
      <c r="BS29" s="19">
        <f ca="1">BS32-BS31</f>
        <v>4643.9249349810179</v>
      </c>
      <c r="BT29" s="8">
        <f ca="1">SUM(BP29:BS29)</f>
        <v>18367.221492719167</v>
      </c>
      <c r="BU29" s="19">
        <f ca="1">BU32-BU31</f>
        <v>4912.8014815114439</v>
      </c>
      <c r="BV29" s="19">
        <f ca="1">BV32-BV31</f>
        <v>4778.1762648774456</v>
      </c>
      <c r="BW29" s="19">
        <f ca="1">BW32-BW31</f>
        <v>5036.9496394471589</v>
      </c>
      <c r="BX29" s="19">
        <f ca="1">BX32-BX31</f>
        <v>4752.147947129024</v>
      </c>
      <c r="BY29" s="8">
        <f ca="1">SUM(BU29:BX29)</f>
        <v>19480.075332965072</v>
      </c>
      <c r="BZ29" s="19">
        <f ca="1">BZ32-BZ31</f>
        <v>5324.2496740264596</v>
      </c>
      <c r="CA29" s="19">
        <f ca="1">CA32-CA31</f>
        <v>5310.0736518155554</v>
      </c>
      <c r="CB29" s="19">
        <f ca="1">CB32-CB31</f>
        <v>5638.1248046199089</v>
      </c>
      <c r="CC29" s="19">
        <f ca="1">CC32-CC31</f>
        <v>5411.9017937117505</v>
      </c>
      <c r="CD29" s="8">
        <f ca="1">SUM(BZ29:CC29)</f>
        <v>21684.349924173675</v>
      </c>
      <c r="CE29" s="8"/>
      <c r="CF29" s="5"/>
      <c r="CG29" s="8"/>
      <c r="CH29" s="202" t="s">
        <v>1979</v>
      </c>
      <c r="CI29" s="5">
        <f>HLOOKUP(CH29,'Key assumptions'!$A$9:$CD$20,4,FALSE)</f>
        <v>74.53</v>
      </c>
      <c r="CJ29" s="5">
        <f t="shared" si="12"/>
        <v>70981</v>
      </c>
    </row>
    <row r="30" spans="1:101">
      <c r="A30" s="137"/>
      <c r="B30" s="137"/>
      <c r="C30" s="5"/>
      <c r="D30" s="5"/>
      <c r="E30" s="5"/>
      <c r="F30" s="5"/>
      <c r="G30" s="5"/>
      <c r="H30" s="12"/>
      <c r="I30" s="12"/>
      <c r="J30" s="12"/>
      <c r="K30" s="12"/>
      <c r="L30" s="5"/>
      <c r="M30" s="12"/>
      <c r="N30" s="12"/>
      <c r="O30" s="12"/>
      <c r="P30" s="12"/>
      <c r="Q30" s="5"/>
      <c r="R30" s="12"/>
      <c r="S30" s="12"/>
      <c r="T30" s="12"/>
      <c r="U30" s="12"/>
      <c r="V30" s="5"/>
      <c r="W30" s="12"/>
      <c r="X30" s="12"/>
      <c r="Y30" s="12"/>
      <c r="Z30" s="12"/>
      <c r="AA30" s="5"/>
      <c r="AB30" s="12"/>
      <c r="AC30" s="12"/>
      <c r="AD30" s="12"/>
      <c r="AE30" s="12"/>
      <c r="AF30" s="5"/>
      <c r="AG30" s="12"/>
      <c r="AH30" s="5"/>
      <c r="AI30" s="5"/>
      <c r="AJ30" s="5"/>
      <c r="AK30" s="138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138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138"/>
      <c r="BN30" s="138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202" t="s">
        <v>1980</v>
      </c>
      <c r="CI30" s="5">
        <f>HLOOKUP(CH30,'Key assumptions'!$A$9:$CD$20,4,FALSE)</f>
        <v>76.36</v>
      </c>
      <c r="CJ30" s="5">
        <f t="shared" si="12"/>
        <v>73071</v>
      </c>
    </row>
    <row r="31" spans="1:101">
      <c r="A31" s="137" t="s">
        <v>1675</v>
      </c>
      <c r="B31" s="137"/>
      <c r="C31" s="5">
        <v>-6375</v>
      </c>
      <c r="D31" s="5">
        <v>-4317</v>
      </c>
      <c r="E31" s="5">
        <v>-5050</v>
      </c>
      <c r="F31" s="5">
        <v>-7082</v>
      </c>
      <c r="G31" s="5">
        <v>-9473</v>
      </c>
      <c r="H31" s="12">
        <v>-2929</v>
      </c>
      <c r="I31" s="12">
        <v>-3441</v>
      </c>
      <c r="J31" s="12">
        <v>-4614</v>
      </c>
      <c r="K31" s="12">
        <v>-1347</v>
      </c>
      <c r="L31" s="5">
        <v>-12331</v>
      </c>
      <c r="M31" s="12">
        <v>-2440</v>
      </c>
      <c r="N31" s="12">
        <v>-3283</v>
      </c>
      <c r="O31" s="12">
        <v>-2158</v>
      </c>
      <c r="P31" s="12">
        <v>-2561</v>
      </c>
      <c r="Q31" s="5">
        <v>-10442</v>
      </c>
      <c r="R31" s="12">
        <v>-4192</v>
      </c>
      <c r="S31" s="12">
        <v>-5036</v>
      </c>
      <c r="T31" s="12">
        <v>-4101</v>
      </c>
      <c r="U31" s="12">
        <v>712</v>
      </c>
      <c r="V31" s="5">
        <v>-12617</v>
      </c>
      <c r="W31" s="12">
        <v>-1533</v>
      </c>
      <c r="X31" s="12">
        <v>-2343</v>
      </c>
      <c r="Y31" s="12">
        <v>-2235</v>
      </c>
      <c r="Z31" s="12">
        <v>-2254</v>
      </c>
      <c r="AA31" s="5">
        <v>-8365</v>
      </c>
      <c r="AB31" s="181">
        <f>Segments!AB20+Segments!AB26</f>
        <v>-3190</v>
      </c>
      <c r="AC31" s="181">
        <f>Segments!AC20+Segments!AC26</f>
        <v>7295</v>
      </c>
      <c r="AD31" s="181">
        <f>Segments!AD20+Segments!AD26</f>
        <v>292</v>
      </c>
      <c r="AE31" s="181">
        <f>Segments!AE20+Segments!AE26</f>
        <v>-2896</v>
      </c>
      <c r="AF31" s="5">
        <v>1501</v>
      </c>
      <c r="AG31" s="181">
        <f>Segments!AG20+Segments!AG26</f>
        <v>-4083</v>
      </c>
      <c r="AH31" s="181">
        <f>Segments!AH20+Segments!AH26</f>
        <v>-3040</v>
      </c>
      <c r="AI31" s="181">
        <f>Segments!AI20+Segments!AI26</f>
        <v>-2270</v>
      </c>
      <c r="AJ31" s="181">
        <v>-3344</v>
      </c>
      <c r="AK31" s="138">
        <f>SUM(AG31:AJ31)</f>
        <v>-12737</v>
      </c>
      <c r="AL31" s="181">
        <v>-2947</v>
      </c>
      <c r="AM31" s="181">
        <v>475</v>
      </c>
      <c r="AN31" s="181">
        <v>-2739</v>
      </c>
      <c r="AO31" s="181">
        <v>-1782</v>
      </c>
      <c r="AP31" s="290">
        <f>SUM(AL31:AO31)</f>
        <v>-6993</v>
      </c>
      <c r="AQ31" s="181">
        <v>-2792</v>
      </c>
      <c r="AR31" s="181">
        <v>-1990</v>
      </c>
      <c r="AS31" s="181">
        <v>-1580</v>
      </c>
      <c r="AT31" s="181">
        <v>-101</v>
      </c>
      <c r="AU31" s="290">
        <f>SUM(AQ31:AT31)</f>
        <v>-6463</v>
      </c>
      <c r="AV31" s="181">
        <v>-1651</v>
      </c>
      <c r="AW31" s="181">
        <v>-1714</v>
      </c>
      <c r="AX31" s="181">
        <v>-1287</v>
      </c>
      <c r="AY31" s="181">
        <v>3705</v>
      </c>
      <c r="AZ31" s="290">
        <f>SUM(AV31:AY31)</f>
        <v>-947</v>
      </c>
      <c r="BA31" s="181">
        <v>375</v>
      </c>
      <c r="BB31" s="181">
        <v>2829</v>
      </c>
      <c r="BC31" s="181">
        <v>-809</v>
      </c>
      <c r="BD31" s="181">
        <v>776</v>
      </c>
      <c r="BE31" s="290">
        <f>SUM(BA31:BD31)</f>
        <v>3171</v>
      </c>
      <c r="BF31" s="181">
        <v>307</v>
      </c>
      <c r="BG31" s="181">
        <v>1986</v>
      </c>
      <c r="BH31" s="181">
        <v>248</v>
      </c>
      <c r="BI31" s="181">
        <v>-74</v>
      </c>
      <c r="BJ31" s="290">
        <f>SUM(BF31:BI31)</f>
        <v>2467</v>
      </c>
      <c r="BK31" s="181">
        <v>-623</v>
      </c>
      <c r="BL31" s="181">
        <v>-772</v>
      </c>
      <c r="BM31" s="181">
        <v>-1198</v>
      </c>
      <c r="BN31" s="181">
        <v>-1119</v>
      </c>
      <c r="BO31" s="290">
        <f>SUM(BK31:BN31)</f>
        <v>-3712</v>
      </c>
      <c r="BP31" s="181">
        <f ca="1">Segments!BP20+Segments!BP26</f>
        <v>-1397.0446265134608</v>
      </c>
      <c r="BQ31" s="181">
        <f ca="1">Segments!BQ20+Segments!BQ26</f>
        <v>-1958.69827809249</v>
      </c>
      <c r="BR31" s="181">
        <f ca="1">Segments!BR20+Segments!BR26</f>
        <v>-2094.8869256961757</v>
      </c>
      <c r="BS31" s="181">
        <f ca="1">Segments!BS20+Segments!BS26</f>
        <v>-1950.0409779436663</v>
      </c>
      <c r="BT31" s="290">
        <f ca="1">SUM(BP31:BS31)</f>
        <v>-7400.6708082457935</v>
      </c>
      <c r="BU31" s="181">
        <f ca="1">Segments!BU20+Segments!BU26</f>
        <v>-2172.3038137018975</v>
      </c>
      <c r="BV31" s="181">
        <f ca="1">Segments!BV20+Segments!BV26</f>
        <v>-2065.9542372065371</v>
      </c>
      <c r="BW31" s="181">
        <f ca="1">Segments!BW20+Segments!BW26</f>
        <v>-2203.5607646724775</v>
      </c>
      <c r="BX31" s="181">
        <f ca="1">Segments!BX20+Segments!BX26</f>
        <v>-2028.9346729592799</v>
      </c>
      <c r="BY31" s="290">
        <f ca="1">SUM(BU31:BX31)</f>
        <v>-8470.753488540191</v>
      </c>
      <c r="BZ31" s="181">
        <f ca="1">Segments!BZ20+Segments!BZ26</f>
        <v>-2160.6836209744733</v>
      </c>
      <c r="CA31" s="181">
        <f ca="1">Segments!CA20+Segments!CA26</f>
        <v>-2153.3575096280233</v>
      </c>
      <c r="CB31" s="181">
        <f ca="1">Segments!CB20+Segments!CB26</f>
        <v>-2342.0442853220311</v>
      </c>
      <c r="CC31" s="181">
        <f ca="1">Segments!CC20+Segments!CC26</f>
        <v>-2198.871399580943</v>
      </c>
      <c r="CD31" s="290">
        <f ca="1">SUM(BZ31:CC31)</f>
        <v>-8854.9568155054694</v>
      </c>
      <c r="CE31" s="5"/>
      <c r="CF31" s="5"/>
      <c r="CG31" s="5"/>
      <c r="CH31" s="202" t="s">
        <v>1981</v>
      </c>
      <c r="CI31" s="5">
        <f>HLOOKUP(CH31,'Key assumptions'!$A$9:$CD$20,4,FALSE)</f>
        <v>78.239999999999995</v>
      </c>
      <c r="CJ31" s="5">
        <f t="shared" si="12"/>
        <v>73725</v>
      </c>
    </row>
    <row r="32" spans="1:101">
      <c r="A32" s="148" t="s">
        <v>2705</v>
      </c>
      <c r="B32" s="148"/>
      <c r="C32" s="8">
        <f t="shared" ref="C32:AF32" si="31">C29+C31</f>
        <v>6617</v>
      </c>
      <c r="D32" s="8">
        <f t="shared" si="31"/>
        <v>6872</v>
      </c>
      <c r="E32" s="8">
        <f t="shared" si="31"/>
        <v>12681</v>
      </c>
      <c r="F32" s="8">
        <f t="shared" si="31"/>
        <v>17884</v>
      </c>
      <c r="G32" s="8">
        <f t="shared" si="31"/>
        <v>22448</v>
      </c>
      <c r="H32" s="19">
        <f t="shared" si="31"/>
        <v>5797</v>
      </c>
      <c r="I32" s="19">
        <f t="shared" si="31"/>
        <v>7265</v>
      </c>
      <c r="J32" s="19">
        <f t="shared" si="31"/>
        <v>6294</v>
      </c>
      <c r="K32" s="19">
        <f t="shared" si="31"/>
        <v>2955</v>
      </c>
      <c r="L32" s="8">
        <f t="shared" si="31"/>
        <v>22311</v>
      </c>
      <c r="M32" s="19">
        <f t="shared" si="31"/>
        <v>4746</v>
      </c>
      <c r="N32" s="19">
        <f t="shared" si="31"/>
        <v>7441</v>
      </c>
      <c r="O32" s="19">
        <f t="shared" si="31"/>
        <v>4478</v>
      </c>
      <c r="P32" s="19">
        <f t="shared" si="31"/>
        <v>4504</v>
      </c>
      <c r="Q32" s="8">
        <f t="shared" si="31"/>
        <v>21169</v>
      </c>
      <c r="R32" s="19">
        <f t="shared" si="31"/>
        <v>7212</v>
      </c>
      <c r="S32" s="19">
        <f t="shared" si="31"/>
        <v>9470</v>
      </c>
      <c r="T32" s="19">
        <f t="shared" si="31"/>
        <v>8186</v>
      </c>
      <c r="U32" s="19">
        <f t="shared" si="31"/>
        <v>-3202</v>
      </c>
      <c r="V32" s="8">
        <f t="shared" si="31"/>
        <v>21666</v>
      </c>
      <c r="W32" s="19">
        <f t="shared" si="31"/>
        <v>2597</v>
      </c>
      <c r="X32" s="19">
        <f t="shared" si="31"/>
        <v>4429</v>
      </c>
      <c r="Y32" s="19">
        <f t="shared" si="31"/>
        <v>5355</v>
      </c>
      <c r="Z32" s="19">
        <f t="shared" si="31"/>
        <v>4378</v>
      </c>
      <c r="AA32" s="8">
        <f t="shared" si="31"/>
        <v>16759</v>
      </c>
      <c r="AB32" s="19">
        <f t="shared" si="31"/>
        <v>6188</v>
      </c>
      <c r="AC32" s="19">
        <f t="shared" si="31"/>
        <v>-17048</v>
      </c>
      <c r="AD32" s="19">
        <f t="shared" si="31"/>
        <v>1873</v>
      </c>
      <c r="AE32" s="19">
        <f t="shared" si="31"/>
        <v>5663</v>
      </c>
      <c r="AF32" s="8">
        <f t="shared" si="31"/>
        <v>-3324</v>
      </c>
      <c r="AG32" s="19">
        <f>AG29+AG31</f>
        <v>7315</v>
      </c>
      <c r="AH32" s="19">
        <f>AH29+AH31</f>
        <v>5788</v>
      </c>
      <c r="AI32" s="19">
        <f>AI29+AI31</f>
        <v>5220</v>
      </c>
      <c r="AJ32" s="19">
        <f>AJ29+AJ31</f>
        <v>7774</v>
      </c>
      <c r="AK32" s="8">
        <f>SUM(AG32:AJ32)</f>
        <v>26097</v>
      </c>
      <c r="AL32" s="19">
        <f>AL29+AL31</f>
        <v>5976</v>
      </c>
      <c r="AM32" s="19">
        <f>AM29+AM31</f>
        <v>-1340</v>
      </c>
      <c r="AN32" s="19">
        <f>AN29+AN31</f>
        <v>5500</v>
      </c>
      <c r="AO32" s="19">
        <f>AO29+AO31</f>
        <v>1680</v>
      </c>
      <c r="AP32" s="8">
        <f>SUM(AL32:AO32)</f>
        <v>11816</v>
      </c>
      <c r="AQ32" s="19">
        <f>AQ29+AQ31</f>
        <v>16942</v>
      </c>
      <c r="AR32" s="19">
        <f>AR29+AR31</f>
        <v>2126</v>
      </c>
      <c r="AS32" s="19">
        <f>AS29+AS31</f>
        <v>3592</v>
      </c>
      <c r="AT32" s="19">
        <f>AT29+AT31</f>
        <v>1098</v>
      </c>
      <c r="AU32" s="8">
        <f>SUM(AQ32:AT32)</f>
        <v>23758</v>
      </c>
      <c r="AV32" s="180">
        <f>AV29+AV31</f>
        <v>3619</v>
      </c>
      <c r="AW32" s="19">
        <f>AW29+AW31</f>
        <v>3433</v>
      </c>
      <c r="AX32" s="19">
        <f>AX29+AX31</f>
        <v>1324</v>
      </c>
      <c r="AY32" s="19">
        <f>AY29+AY31</f>
        <v>-4373</v>
      </c>
      <c r="AZ32" s="8">
        <f>SUM(AV32:AY32)</f>
        <v>4003</v>
      </c>
      <c r="BA32" s="19">
        <f>BA36-BA35</f>
        <v>2651</v>
      </c>
      <c r="BB32" s="19">
        <f>BB36-BB35</f>
        <v>-5783</v>
      </c>
      <c r="BC32" s="19">
        <f>BC36-BC35</f>
        <v>56</v>
      </c>
      <c r="BD32" s="19">
        <f>BD36-BD35</f>
        <v>-3324</v>
      </c>
      <c r="BE32" s="8">
        <f>SUM(BA32:BD32)</f>
        <v>-6400</v>
      </c>
      <c r="BF32" s="19">
        <f>BF36-BF35</f>
        <v>-558</v>
      </c>
      <c r="BG32" s="19">
        <f>BG36-BG35</f>
        <v>-1390</v>
      </c>
      <c r="BH32" s="19">
        <f>BH36-BH35</f>
        <v>1577</v>
      </c>
      <c r="BI32" s="19">
        <f>BI36-BI35</f>
        <v>543</v>
      </c>
      <c r="BJ32" s="8">
        <f>SUM(BF32:BI32)</f>
        <v>172</v>
      </c>
      <c r="BK32" s="19">
        <f>BK36-BK35</f>
        <v>1492</v>
      </c>
      <c r="BL32" s="19">
        <f>BL36-BL35</f>
        <v>156</v>
      </c>
      <c r="BM32" s="180">
        <f>BM36-BM35</f>
        <v>1757</v>
      </c>
      <c r="BN32" s="180">
        <f ca="1">BN36-BN35</f>
        <v>63</v>
      </c>
      <c r="BO32" s="8">
        <f ca="1">SUM(BK32:BN32)</f>
        <v>3468</v>
      </c>
      <c r="BP32" s="19">
        <f ca="1">BP36-BP35</f>
        <v>2140.766841626325</v>
      </c>
      <c r="BQ32" s="19">
        <f ca="1">BQ36-BQ35</f>
        <v>3044.2639401780389</v>
      </c>
      <c r="BR32" s="19">
        <f ca="1">BR36-BR35</f>
        <v>3087.63594563166</v>
      </c>
      <c r="BS32" s="19">
        <f ca="1">BS36-BS35</f>
        <v>2693.8839570373516</v>
      </c>
      <c r="BT32" s="8">
        <f ca="1">SUM(BP32:BS32)</f>
        <v>10966.550684473375</v>
      </c>
      <c r="BU32" s="19">
        <f ca="1">BU36-BU35</f>
        <v>2740.4976678095463</v>
      </c>
      <c r="BV32" s="19">
        <f ca="1">BV36-BV35</f>
        <v>2712.2220276709086</v>
      </c>
      <c r="BW32" s="19">
        <f ca="1">BW36-BW35</f>
        <v>2833.3888747746814</v>
      </c>
      <c r="BX32" s="19">
        <f ca="1">BX36-BX35</f>
        <v>2723.2132741697442</v>
      </c>
      <c r="BY32" s="8">
        <f ca="1">SUM(BU32:BX32)</f>
        <v>11009.32184442488</v>
      </c>
      <c r="BZ32" s="19">
        <f ca="1">BZ36-BZ35</f>
        <v>3163.5660530519863</v>
      </c>
      <c r="CA32" s="19">
        <f ca="1">CA36-CA35</f>
        <v>3156.7161421875321</v>
      </c>
      <c r="CB32" s="19">
        <f ca="1">CB36-CB35</f>
        <v>3296.0805192978778</v>
      </c>
      <c r="CC32" s="19">
        <f ca="1">CC36-CC35</f>
        <v>3213.0303941308075</v>
      </c>
      <c r="CD32" s="8">
        <f ca="1">SUM(BZ32:CC32)</f>
        <v>12829.393108668206</v>
      </c>
      <c r="CE32" s="8"/>
      <c r="CF32" s="5"/>
      <c r="CG32" s="8"/>
      <c r="CH32" s="202" t="s">
        <v>1982</v>
      </c>
      <c r="CI32" s="5">
        <f>HLOOKUP(CH32,'Key assumptions'!$A$9:$CD$20,4,FALSE)</f>
        <v>76.86</v>
      </c>
      <c r="CJ32" s="5">
        <f t="shared" si="12"/>
        <v>70608</v>
      </c>
    </row>
    <row r="33" spans="1:91">
      <c r="A33" s="137"/>
      <c r="B33" s="137"/>
      <c r="C33" s="5"/>
      <c r="D33" s="5"/>
      <c r="E33" s="5"/>
      <c r="F33" s="5"/>
      <c r="G33" s="5"/>
      <c r="H33" s="12"/>
      <c r="I33" s="12"/>
      <c r="J33" s="12"/>
      <c r="K33" s="12"/>
      <c r="L33" s="5"/>
      <c r="M33" s="12"/>
      <c r="N33" s="12"/>
      <c r="O33" s="12"/>
      <c r="P33" s="12"/>
      <c r="Q33" s="5"/>
      <c r="R33" s="12"/>
      <c r="S33" s="12"/>
      <c r="T33" s="12"/>
      <c r="U33" s="12"/>
      <c r="V33" s="5"/>
      <c r="W33" s="12"/>
      <c r="X33" s="12"/>
      <c r="Y33" s="12"/>
      <c r="Z33" s="12"/>
      <c r="AA33" s="5"/>
      <c r="AB33" s="12"/>
      <c r="AC33" s="12"/>
      <c r="AD33" s="12"/>
      <c r="AE33" s="12"/>
      <c r="AF33" s="5"/>
      <c r="AG33" s="12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138"/>
      <c r="AW33" s="5"/>
      <c r="AX33" s="5"/>
      <c r="AY33" s="5"/>
      <c r="AZ33" s="5"/>
      <c r="BA33" s="603"/>
      <c r="BB33" s="603"/>
      <c r="BC33" s="603"/>
      <c r="BD33" s="603"/>
      <c r="BE33" s="5"/>
      <c r="BF33" s="603"/>
      <c r="BG33" s="603"/>
      <c r="BH33" s="603"/>
      <c r="BI33" s="603"/>
      <c r="BJ33" s="5"/>
      <c r="BK33" s="603"/>
      <c r="BL33" s="603"/>
      <c r="BM33" s="542"/>
      <c r="BN33" s="542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202" t="s">
        <v>2392</v>
      </c>
      <c r="CI33" s="5">
        <f>HLOOKUP(CH33,'Key assumptions'!$A$9:$CD$20,4,FALSE)</f>
        <v>86.46</v>
      </c>
      <c r="CJ33" s="5">
        <f t="shared" si="12"/>
        <v>79703</v>
      </c>
    </row>
    <row r="34" spans="1:91">
      <c r="A34" s="137" t="s">
        <v>789</v>
      </c>
      <c r="B34" s="137"/>
      <c r="C34" s="5">
        <v>0</v>
      </c>
      <c r="D34" s="5">
        <v>0</v>
      </c>
      <c r="E34" s="5">
        <v>-63</v>
      </c>
      <c r="F34" s="5">
        <v>-622</v>
      </c>
      <c r="G34" s="5">
        <v>184</v>
      </c>
      <c r="H34" s="12">
        <v>-103</v>
      </c>
      <c r="I34" s="12">
        <v>78</v>
      </c>
      <c r="J34" s="12">
        <v>0</v>
      </c>
      <c r="K34" s="12">
        <v>0</v>
      </c>
      <c r="L34" s="5">
        <v>-25</v>
      </c>
      <c r="M34" s="12"/>
      <c r="N34" s="12"/>
      <c r="O34" s="12"/>
      <c r="P34" s="12"/>
      <c r="Q34" s="72"/>
      <c r="R34" s="93"/>
      <c r="S34" s="93"/>
      <c r="T34" s="93"/>
      <c r="U34" s="93"/>
      <c r="V34" s="72"/>
      <c r="W34" s="93"/>
      <c r="X34" s="93"/>
      <c r="Y34" s="93"/>
      <c r="Z34" s="93"/>
      <c r="AA34" s="72"/>
      <c r="AB34" s="93"/>
      <c r="AC34" s="93"/>
      <c r="AD34" s="93"/>
      <c r="AE34" s="93"/>
      <c r="AF34" s="72"/>
      <c r="AG34" s="93"/>
      <c r="AH34" s="72"/>
      <c r="AI34" s="72"/>
      <c r="AJ34" s="72"/>
      <c r="AK34" s="72"/>
      <c r="AL34" s="72"/>
      <c r="AM34" s="72"/>
      <c r="AN34" s="72"/>
      <c r="AO34" s="72"/>
      <c r="AP34" s="72"/>
      <c r="AQ34" s="72"/>
      <c r="AR34" s="72"/>
      <c r="AS34" s="72"/>
      <c r="AT34" s="72"/>
      <c r="AU34" s="72"/>
      <c r="AV34" s="138"/>
      <c r="AW34" s="72"/>
      <c r="AX34" s="72"/>
      <c r="AY34" s="72"/>
      <c r="AZ34" s="72"/>
      <c r="BA34" s="72"/>
      <c r="BB34" s="72"/>
      <c r="BC34" s="72"/>
      <c r="BD34" s="72"/>
      <c r="BE34" s="72"/>
      <c r="BF34" s="72"/>
      <c r="BG34" s="72"/>
      <c r="BH34" s="72"/>
      <c r="BI34" s="72"/>
      <c r="BJ34" s="72"/>
      <c r="BK34" s="72"/>
      <c r="BL34" s="72"/>
      <c r="BM34" s="138"/>
      <c r="BN34" s="138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72"/>
      <c r="BZ34" s="72"/>
      <c r="CA34" s="72"/>
      <c r="CB34" s="72"/>
      <c r="CC34" s="72"/>
      <c r="CD34" s="72"/>
      <c r="CE34" s="5"/>
      <c r="CF34" s="5"/>
      <c r="CG34" s="5"/>
      <c r="CH34" s="202" t="s">
        <v>2393</v>
      </c>
      <c r="CI34" s="5">
        <f>HLOOKUP(CH34,'Key assumptions'!$A$9:$CD$20,4,FALSE)</f>
        <v>105.43</v>
      </c>
      <c r="CJ34" s="5">
        <f t="shared" si="12"/>
        <v>85329</v>
      </c>
    </row>
    <row r="35" spans="1:91">
      <c r="A35" s="137" t="s">
        <v>1676</v>
      </c>
      <c r="B35" s="137"/>
      <c r="C35" s="5">
        <v>-61</v>
      </c>
      <c r="D35" s="5">
        <v>-77</v>
      </c>
      <c r="E35" s="5">
        <v>-170</v>
      </c>
      <c r="F35" s="5">
        <v>-187</v>
      </c>
      <c r="G35" s="5">
        <v>-291</v>
      </c>
      <c r="H35" s="12">
        <v>-71</v>
      </c>
      <c r="I35" s="12">
        <v>-77</v>
      </c>
      <c r="J35" s="12">
        <v>-63</v>
      </c>
      <c r="K35" s="12">
        <v>-75</v>
      </c>
      <c r="L35" s="5">
        <v>-286</v>
      </c>
      <c r="M35" s="12">
        <v>-82</v>
      </c>
      <c r="N35" s="12">
        <v>-65</v>
      </c>
      <c r="O35" s="12">
        <v>-72</v>
      </c>
      <c r="P35" s="12">
        <v>-105</v>
      </c>
      <c r="Q35" s="5">
        <v>-324</v>
      </c>
      <c r="R35" s="12">
        <v>-118</v>
      </c>
      <c r="S35" s="12">
        <v>-112</v>
      </c>
      <c r="T35" s="12">
        <v>-137</v>
      </c>
      <c r="U35" s="12">
        <v>-142</v>
      </c>
      <c r="V35" s="5">
        <v>-509</v>
      </c>
      <c r="W35" s="12">
        <v>-35</v>
      </c>
      <c r="X35" s="12">
        <v>-44</v>
      </c>
      <c r="Y35" s="12">
        <v>-19</v>
      </c>
      <c r="Z35" s="12">
        <v>-83</v>
      </c>
      <c r="AA35" s="5">
        <v>-181</v>
      </c>
      <c r="AB35" s="12">
        <v>-109</v>
      </c>
      <c r="AC35" s="12">
        <v>-102</v>
      </c>
      <c r="AD35" s="12">
        <v>-88</v>
      </c>
      <c r="AE35" s="12">
        <v>-96</v>
      </c>
      <c r="AF35" s="5">
        <v>-395</v>
      </c>
      <c r="AG35" s="12">
        <f>Segments!AG62</f>
        <v>-61</v>
      </c>
      <c r="AH35" s="12">
        <f>Segments!AH62</f>
        <v>-70</v>
      </c>
      <c r="AI35" s="12">
        <f>Segments!AI62</f>
        <v>-177</v>
      </c>
      <c r="AJ35" s="12">
        <f>Segments!AJ62</f>
        <v>-89</v>
      </c>
      <c r="AK35" s="5">
        <f>SUM(AG35:AJ35)</f>
        <v>-397</v>
      </c>
      <c r="AL35" s="12">
        <v>-61</v>
      </c>
      <c r="AM35" s="12">
        <v>-45</v>
      </c>
      <c r="AN35" s="12">
        <v>-66</v>
      </c>
      <c r="AO35" s="12">
        <v>-62</v>
      </c>
      <c r="AP35" s="5">
        <f>SUM(AL35:AO35)</f>
        <v>-234</v>
      </c>
      <c r="AQ35" s="12">
        <v>-79</v>
      </c>
      <c r="AR35" s="12">
        <v>-84</v>
      </c>
      <c r="AS35" s="12">
        <v>-88</v>
      </c>
      <c r="AT35" s="12">
        <v>-56</v>
      </c>
      <c r="AU35" s="5">
        <f>SUM(AQ35:AT35)</f>
        <v>-307</v>
      </c>
      <c r="AV35" s="181">
        <v>-91</v>
      </c>
      <c r="AW35" s="12">
        <v>-64</v>
      </c>
      <c r="AX35" s="12">
        <v>-34</v>
      </c>
      <c r="AY35" s="12">
        <v>-34</v>
      </c>
      <c r="AZ35" s="5">
        <f>SUM(AV35:AY35)</f>
        <v>-223</v>
      </c>
      <c r="BA35" s="12">
        <v>-49</v>
      </c>
      <c r="BB35" s="12">
        <v>-40</v>
      </c>
      <c r="BC35" s="12">
        <v>-10</v>
      </c>
      <c r="BD35" s="12">
        <v>17</v>
      </c>
      <c r="BE35" s="5">
        <f>SUM(BA35:BD35)</f>
        <v>-82</v>
      </c>
      <c r="BF35" s="12">
        <v>-25</v>
      </c>
      <c r="BG35" s="12">
        <v>-29</v>
      </c>
      <c r="BH35" s="12">
        <v>43</v>
      </c>
      <c r="BI35" s="12">
        <v>-46</v>
      </c>
      <c r="BJ35" s="5">
        <f>SUM(BF35:BI35)</f>
        <v>-57</v>
      </c>
      <c r="BK35" s="12">
        <v>-43</v>
      </c>
      <c r="BL35" s="12">
        <v>-12</v>
      </c>
      <c r="BM35" s="181">
        <v>12</v>
      </c>
      <c r="BN35" s="181">
        <v>-36</v>
      </c>
      <c r="BO35" s="5">
        <f>SUM(BK35:BN35)</f>
        <v>-79</v>
      </c>
      <c r="BP35" s="12">
        <f>Segments!BP62</f>
        <v>-25</v>
      </c>
      <c r="BQ35" s="12">
        <f>Segments!BQ62</f>
        <v>-25</v>
      </c>
      <c r="BR35" s="12">
        <f>Segments!BR62</f>
        <v>-25</v>
      </c>
      <c r="BS35" s="12">
        <f>Segments!BS62</f>
        <v>-25</v>
      </c>
      <c r="BT35" s="5">
        <f>SUM(BP35:BS35)</f>
        <v>-100</v>
      </c>
      <c r="BU35" s="12">
        <f>Segments!BU62</f>
        <v>-25</v>
      </c>
      <c r="BV35" s="12">
        <f>Segments!BV62</f>
        <v>-25</v>
      </c>
      <c r="BW35" s="12">
        <f>Segments!BW62</f>
        <v>-25</v>
      </c>
      <c r="BX35" s="12">
        <f>Segments!BX62</f>
        <v>-25</v>
      </c>
      <c r="BY35" s="5">
        <f>SUM(BU35:BX35)</f>
        <v>-100</v>
      </c>
      <c r="BZ35" s="12">
        <f>Segments!BZ62</f>
        <v>-25</v>
      </c>
      <c r="CA35" s="12">
        <f>Segments!CA62</f>
        <v>-25</v>
      </c>
      <c r="CB35" s="12">
        <f>Segments!CB62</f>
        <v>-25</v>
      </c>
      <c r="CC35" s="12">
        <f>Segments!CC62</f>
        <v>-25</v>
      </c>
      <c r="CD35" s="5">
        <f>SUM(BZ35:CC35)</f>
        <v>-100</v>
      </c>
      <c r="CE35" s="5"/>
      <c r="CF35" s="5"/>
      <c r="CG35" s="5"/>
      <c r="CH35" s="202" t="s">
        <v>2394</v>
      </c>
      <c r="CI35" s="5">
        <f>HLOOKUP(CH35,'Key assumptions'!$A$9:$CD$20,4,FALSE)</f>
        <v>117.04</v>
      </c>
      <c r="CJ35" s="5">
        <f t="shared" ref="CJ35:CJ41" si="32">HLOOKUP(CH35,$A$9:$CD$15,2,FALSE)</f>
        <v>101364</v>
      </c>
    </row>
    <row r="36" spans="1:91">
      <c r="A36" s="148" t="s">
        <v>3628</v>
      </c>
      <c r="B36" s="148"/>
      <c r="C36" s="8">
        <f t="shared" ref="C36:AE36" si="33">C32+C35+C34</f>
        <v>6556</v>
      </c>
      <c r="D36" s="8">
        <f t="shared" si="33"/>
        <v>6795</v>
      </c>
      <c r="E36" s="8">
        <f t="shared" si="33"/>
        <v>12448</v>
      </c>
      <c r="F36" s="8">
        <f t="shared" si="33"/>
        <v>17075</v>
      </c>
      <c r="G36" s="8">
        <f t="shared" si="33"/>
        <v>22341</v>
      </c>
      <c r="H36" s="19">
        <f t="shared" si="33"/>
        <v>5623</v>
      </c>
      <c r="I36" s="19">
        <f t="shared" si="33"/>
        <v>7266</v>
      </c>
      <c r="J36" s="19">
        <f t="shared" si="33"/>
        <v>6231</v>
      </c>
      <c r="K36" s="19">
        <f t="shared" si="33"/>
        <v>2880</v>
      </c>
      <c r="L36" s="8">
        <f t="shared" si="33"/>
        <v>22000</v>
      </c>
      <c r="M36" s="19">
        <f t="shared" si="33"/>
        <v>4664</v>
      </c>
      <c r="N36" s="19">
        <f t="shared" si="33"/>
        <v>7376</v>
      </c>
      <c r="O36" s="19">
        <f t="shared" si="33"/>
        <v>4406</v>
      </c>
      <c r="P36" s="19">
        <f t="shared" si="33"/>
        <v>4399</v>
      </c>
      <c r="Q36" s="8">
        <f t="shared" si="33"/>
        <v>20845</v>
      </c>
      <c r="R36" s="19">
        <f t="shared" si="33"/>
        <v>7094</v>
      </c>
      <c r="S36" s="19">
        <f t="shared" si="33"/>
        <v>9358</v>
      </c>
      <c r="T36" s="19">
        <f t="shared" si="33"/>
        <v>8049</v>
      </c>
      <c r="U36" s="19">
        <f t="shared" si="33"/>
        <v>-3344</v>
      </c>
      <c r="V36" s="8">
        <f t="shared" si="33"/>
        <v>21157</v>
      </c>
      <c r="W36" s="19">
        <f t="shared" si="33"/>
        <v>2562</v>
      </c>
      <c r="X36" s="19">
        <f t="shared" si="33"/>
        <v>4385</v>
      </c>
      <c r="Y36" s="19">
        <f t="shared" si="33"/>
        <v>5336</v>
      </c>
      <c r="Z36" s="19">
        <f t="shared" si="33"/>
        <v>4295</v>
      </c>
      <c r="AA36" s="8">
        <f t="shared" si="33"/>
        <v>16578</v>
      </c>
      <c r="AB36" s="19">
        <f t="shared" si="33"/>
        <v>6079</v>
      </c>
      <c r="AC36" s="19">
        <f t="shared" si="33"/>
        <v>-17150</v>
      </c>
      <c r="AD36" s="19">
        <f t="shared" si="33"/>
        <v>1785</v>
      </c>
      <c r="AE36" s="19">
        <f t="shared" si="33"/>
        <v>5567</v>
      </c>
      <c r="AF36" s="8">
        <f>AF32+AF35+AF34</f>
        <v>-3719</v>
      </c>
      <c r="AG36" s="180">
        <f>AG32+AG35+AG34</f>
        <v>7254</v>
      </c>
      <c r="AH36" s="180">
        <f>AH32+AH35+AH34</f>
        <v>5718</v>
      </c>
      <c r="AI36" s="180">
        <f>AI32+AI35+AI34</f>
        <v>5043</v>
      </c>
      <c r="AJ36" s="180">
        <f>AJ32+AJ35+AJ34</f>
        <v>7685</v>
      </c>
      <c r="AK36" s="8">
        <f>Segments!AK27</f>
        <v>25700</v>
      </c>
      <c r="AL36" s="180">
        <f>AL32+AL35+AL34</f>
        <v>5915</v>
      </c>
      <c r="AM36" s="180">
        <f>AM32+AM35+AM34</f>
        <v>-1385</v>
      </c>
      <c r="AN36" s="180">
        <f>AN32+AN35+AN34</f>
        <v>5434</v>
      </c>
      <c r="AO36" s="180">
        <f>AO32+AO35+AO34</f>
        <v>1618</v>
      </c>
      <c r="AP36" s="8">
        <f>Segments!AP27</f>
        <v>11582</v>
      </c>
      <c r="AQ36" s="180">
        <f>AQ32+AQ35+AQ34</f>
        <v>16863</v>
      </c>
      <c r="AR36" s="180">
        <f>AR32+AR35+AR34</f>
        <v>2042</v>
      </c>
      <c r="AS36" s="180">
        <f>AS32+AS35+AS34</f>
        <v>3504</v>
      </c>
      <c r="AT36" s="180">
        <f>AT32+AT35+AT34</f>
        <v>1042</v>
      </c>
      <c r="AU36" s="8">
        <f>Segments!AU27</f>
        <v>23451</v>
      </c>
      <c r="AV36" s="180">
        <f>AV32+AV35+AV34</f>
        <v>3528</v>
      </c>
      <c r="AW36" s="180">
        <f>AW32+AW35+AW34</f>
        <v>3369</v>
      </c>
      <c r="AX36" s="180">
        <f>AX32+AX35+AX34</f>
        <v>1290</v>
      </c>
      <c r="AY36" s="180">
        <f>AY32+AY35+AY34</f>
        <v>-4407</v>
      </c>
      <c r="AZ36" s="8">
        <f>Segments!AZ27</f>
        <v>3780</v>
      </c>
      <c r="BA36" s="180">
        <f>Segments!BA27</f>
        <v>2602</v>
      </c>
      <c r="BB36" s="180">
        <f>Segments!BB27</f>
        <v>-5823</v>
      </c>
      <c r="BC36" s="180">
        <f>Segments!BC27</f>
        <v>46</v>
      </c>
      <c r="BD36" s="180">
        <f>Segments!BD27</f>
        <v>-3307</v>
      </c>
      <c r="BE36" s="8">
        <f>Segments!BE27</f>
        <v>-6482</v>
      </c>
      <c r="BF36" s="180">
        <f>Segments!BF27</f>
        <v>-583</v>
      </c>
      <c r="BG36" s="180">
        <f>Segments!BG27</f>
        <v>-1419</v>
      </c>
      <c r="BH36" s="180">
        <f>Segments!BH27</f>
        <v>1620</v>
      </c>
      <c r="BI36" s="180">
        <f>Segments!BI27</f>
        <v>497</v>
      </c>
      <c r="BJ36" s="8">
        <f>Segments!BJ27</f>
        <v>115</v>
      </c>
      <c r="BK36" s="180">
        <f>Segments!BK27</f>
        <v>1449</v>
      </c>
      <c r="BL36" s="180">
        <f>Segments!BL27</f>
        <v>144</v>
      </c>
      <c r="BM36" s="180">
        <f>Segments!BM27</f>
        <v>1769</v>
      </c>
      <c r="BN36" s="180">
        <f ca="1">Segments!BN27</f>
        <v>27</v>
      </c>
      <c r="BO36" s="8">
        <f ca="1">Segments!BO27</f>
        <v>3389</v>
      </c>
      <c r="BP36" s="19">
        <f ca="1">Segments!BP27</f>
        <v>2115.766841626325</v>
      </c>
      <c r="BQ36" s="19">
        <f ca="1">Segments!BQ27</f>
        <v>3019.2639401780389</v>
      </c>
      <c r="BR36" s="19">
        <f ca="1">Segments!BR27</f>
        <v>3062.63594563166</v>
      </c>
      <c r="BS36" s="19">
        <f ca="1">Segments!BS27</f>
        <v>2668.8839570373516</v>
      </c>
      <c r="BT36" s="8">
        <f ca="1">Segments!BT27</f>
        <v>10866.550684473374</v>
      </c>
      <c r="BU36" s="19">
        <f ca="1">Segments!BU27</f>
        <v>2715.4976678095463</v>
      </c>
      <c r="BV36" s="19">
        <f ca="1">Segments!BV27</f>
        <v>2687.2220276709086</v>
      </c>
      <c r="BW36" s="19">
        <f ca="1">Segments!BW27</f>
        <v>2808.3888747746814</v>
      </c>
      <c r="BX36" s="19">
        <f ca="1">Segments!BX27</f>
        <v>2698.2132741697442</v>
      </c>
      <c r="BY36" s="8">
        <f ca="1">Segments!BY27</f>
        <v>10909.321844424885</v>
      </c>
      <c r="BZ36" s="19">
        <f ca="1">Segments!BZ27</f>
        <v>3138.5660530519863</v>
      </c>
      <c r="CA36" s="19">
        <f ca="1">Segments!CA27</f>
        <v>3131.7161421875321</v>
      </c>
      <c r="CB36" s="19">
        <f ca="1">Segments!CB27</f>
        <v>3271.0805192978778</v>
      </c>
      <c r="CC36" s="19">
        <f ca="1">Segments!CC27</f>
        <v>3188.0303941308075</v>
      </c>
      <c r="CD36" s="8">
        <f ca="1">Segments!CD27</f>
        <v>12729.393108668206</v>
      </c>
      <c r="CE36" s="5"/>
      <c r="CF36" s="5"/>
      <c r="CG36" s="8"/>
      <c r="CH36" s="202" t="s">
        <v>2395</v>
      </c>
      <c r="CI36" s="5">
        <f>HLOOKUP(CH36,'Key assumptions'!$A$9:$CD$20,4,FALSE)</f>
        <v>113.41</v>
      </c>
      <c r="CJ36" s="5">
        <f t="shared" si="32"/>
        <v>95383</v>
      </c>
    </row>
    <row r="37" spans="1:91">
      <c r="A37" s="287"/>
      <c r="B37" s="287"/>
      <c r="C37" s="264"/>
      <c r="D37" s="264"/>
      <c r="E37" s="264"/>
      <c r="F37" s="264"/>
      <c r="G37" s="264"/>
      <c r="H37" s="267"/>
      <c r="I37" s="267"/>
      <c r="J37" s="267"/>
      <c r="K37" s="267"/>
      <c r="L37" s="264"/>
      <c r="M37" s="265"/>
      <c r="N37" s="265"/>
      <c r="O37" s="265"/>
      <c r="P37" s="265"/>
      <c r="Q37" s="264"/>
      <c r="R37" s="265"/>
      <c r="S37" s="265"/>
      <c r="T37" s="265"/>
      <c r="U37" s="265"/>
      <c r="V37" s="264"/>
      <c r="W37" s="265"/>
      <c r="X37" s="265"/>
      <c r="Y37" s="265"/>
      <c r="Z37" s="265"/>
      <c r="AA37" s="264"/>
      <c r="AB37" s="265"/>
      <c r="AC37" s="265"/>
      <c r="AD37" s="265"/>
      <c r="AE37" s="265"/>
      <c r="AF37" s="264"/>
      <c r="AG37" s="265"/>
      <c r="AH37" s="265"/>
      <c r="AI37" s="265"/>
      <c r="AJ37" s="265"/>
      <c r="AK37" s="264"/>
      <c r="AL37" s="265"/>
      <c r="AM37" s="265"/>
      <c r="AN37" s="265"/>
      <c r="AO37" s="265"/>
      <c r="AP37" s="264"/>
      <c r="AQ37" s="265"/>
      <c r="AR37" s="265"/>
      <c r="AS37" s="265"/>
      <c r="AT37" s="265"/>
      <c r="AU37" s="264"/>
      <c r="AV37" s="265"/>
      <c r="AW37" s="265"/>
      <c r="AX37" s="265"/>
      <c r="AY37" s="265"/>
      <c r="AZ37" s="264"/>
      <c r="BA37" s="265"/>
      <c r="BB37" s="265"/>
      <c r="BC37" s="265"/>
      <c r="BD37" s="265"/>
      <c r="BE37" s="264"/>
      <c r="BF37" s="265"/>
      <c r="BG37" s="265"/>
      <c r="BH37" s="265"/>
      <c r="BI37" s="265"/>
      <c r="BJ37" s="264"/>
      <c r="BK37" s="265"/>
      <c r="BL37" s="265"/>
      <c r="BM37" s="265"/>
      <c r="BN37" s="265"/>
      <c r="BO37" s="264"/>
      <c r="BP37" s="265"/>
      <c r="BQ37" s="265"/>
      <c r="BR37" s="265"/>
      <c r="BS37" s="265"/>
      <c r="BT37" s="264"/>
      <c r="BU37" s="265"/>
      <c r="BV37" s="265"/>
      <c r="BW37" s="265"/>
      <c r="BX37" s="265"/>
      <c r="BY37" s="264"/>
      <c r="BZ37" s="265"/>
      <c r="CA37" s="265"/>
      <c r="CB37" s="265"/>
      <c r="CC37" s="265"/>
      <c r="CD37" s="264"/>
      <c r="CE37" s="5"/>
      <c r="CF37" s="8"/>
      <c r="CG37" s="8"/>
      <c r="CH37" s="202" t="s">
        <v>2396</v>
      </c>
      <c r="CI37" s="5">
        <f>HLOOKUP(CH37,'Key assumptions'!$A$9:$CD$20,4,FALSE)</f>
        <v>109.35</v>
      </c>
      <c r="CJ37" s="5">
        <f t="shared" si="32"/>
        <v>93441</v>
      </c>
    </row>
    <row r="38" spans="1:91">
      <c r="A38" s="137" t="s">
        <v>1225</v>
      </c>
      <c r="B38" s="137"/>
      <c r="C38" s="5">
        <f>+Segments!C25+Segments!C26</f>
        <v>0</v>
      </c>
      <c r="D38" s="5">
        <f>+Segments!D25+Segments!D26</f>
        <v>0</v>
      </c>
      <c r="E38" s="5">
        <f>+Segments!E25+Segments!E26</f>
        <v>0</v>
      </c>
      <c r="F38" s="5">
        <f>+Segments!F25+Segments!F26</f>
        <v>1643</v>
      </c>
      <c r="G38" s="5">
        <f>+Segments!G25+Segments!G26</f>
        <v>3027</v>
      </c>
      <c r="H38" s="12">
        <f>+Segments!H25+Segments!H26</f>
        <v>239</v>
      </c>
      <c r="I38" s="12">
        <f>+Segments!I25+Segments!I26</f>
        <v>948</v>
      </c>
      <c r="J38" s="12">
        <f>+Segments!J25+Segments!J26</f>
        <v>-534</v>
      </c>
      <c r="K38" s="12">
        <f>+Segments!K25+Segments!K26</f>
        <v>-690</v>
      </c>
      <c r="L38" s="5">
        <f>+Segments!L25+Segments!L26</f>
        <v>-37</v>
      </c>
      <c r="M38" s="12">
        <f>+Segments!M25+Segments!M26</f>
        <v>220</v>
      </c>
      <c r="N38" s="12">
        <f>+Segments!N25+Segments!N26</f>
        <v>888</v>
      </c>
      <c r="O38" s="12">
        <f>+Segments!O25+Segments!O26</f>
        <v>363</v>
      </c>
      <c r="P38" s="12">
        <f>+Segments!P25+Segments!P26</f>
        <v>1004</v>
      </c>
      <c r="Q38" s="5">
        <f>+Segments!Q25+Segments!Q26</f>
        <v>2475</v>
      </c>
      <c r="R38" s="12">
        <f>+Segments!R25+Segments!R26</f>
        <v>863</v>
      </c>
      <c r="S38" s="12">
        <f>+Segments!S25+Segments!S26</f>
        <v>2612</v>
      </c>
      <c r="T38" s="12">
        <f>+Segments!T25+Segments!T26</f>
        <v>-1980</v>
      </c>
      <c r="U38" s="12">
        <f>+Segments!U25+Segments!U26</f>
        <v>-5931</v>
      </c>
      <c r="V38" s="5">
        <f>+Segments!V25+Segments!V26</f>
        <v>-4436</v>
      </c>
      <c r="W38" s="12">
        <f>+Segments!W25+Segments!W26</f>
        <v>175</v>
      </c>
      <c r="X38" s="12">
        <f>+Segments!X25+Segments!X26</f>
        <v>1245</v>
      </c>
      <c r="Y38" s="12">
        <f>+Segments!Y25+Segments!Y26</f>
        <v>355</v>
      </c>
      <c r="Z38" s="12">
        <f>+Segments!Z25+Segments!Z26</f>
        <v>848</v>
      </c>
      <c r="AA38" s="5">
        <f>+Segments!AA25+Segments!AA26</f>
        <v>2623</v>
      </c>
      <c r="AB38" s="181">
        <f>+Segments!AB25+Segments!AB26</f>
        <v>481</v>
      </c>
      <c r="AC38" s="181">
        <f>+Segments!AC25+Segments!AC26</f>
        <v>-177</v>
      </c>
      <c r="AD38" s="181">
        <f>+Segments!AD25+Segments!AD26</f>
        <v>-62</v>
      </c>
      <c r="AE38" s="181">
        <f>+Segments!AE25+Segments!AE26</f>
        <v>953</v>
      </c>
      <c r="AF38" s="5">
        <f>+Segments!AF25+Segments!AF26</f>
        <v>1195</v>
      </c>
      <c r="AG38" s="181">
        <f>+Segments!AG25+Segments!AG26</f>
        <v>1643</v>
      </c>
      <c r="AH38" s="181">
        <f>+Segments!AH25+Segments!AH26</f>
        <v>311</v>
      </c>
      <c r="AI38" s="181">
        <f>+Segments!AI25+Segments!AI26</f>
        <v>-233</v>
      </c>
      <c r="AJ38" s="181">
        <f>+Segments!AJ25+Segments!AJ26</f>
        <v>79</v>
      </c>
      <c r="AK38" s="138">
        <f>+Segments!AK25+Segments!AK26</f>
        <v>1800</v>
      </c>
      <c r="AL38" s="181">
        <f>+Segments!AL25+Segments!AL26</f>
        <v>986</v>
      </c>
      <c r="AM38" s="181">
        <f>+Segments!AM25+Segments!AM26</f>
        <v>-1623</v>
      </c>
      <c r="AN38" s="181">
        <f>+Segments!AN25+Segments!AN26</f>
        <v>747</v>
      </c>
      <c r="AO38" s="181">
        <f>+Segments!AO25+Segments!AO26</f>
        <v>-521</v>
      </c>
      <c r="AP38" s="290">
        <f>+Segments!AP25+Segments!AP26</f>
        <v>-411</v>
      </c>
      <c r="AQ38" s="181">
        <f>+Segments!AQ25+Segments!AQ26</f>
        <v>267</v>
      </c>
      <c r="AR38" s="181">
        <f>+Segments!AR25+Segments!AR26</f>
        <v>-358</v>
      </c>
      <c r="AS38" s="181">
        <f>+Segments!AS25+Segments!AS26</f>
        <v>326</v>
      </c>
      <c r="AT38" s="181">
        <f>+Segments!AT25+Segments!AT26</f>
        <v>-465</v>
      </c>
      <c r="AU38" s="290">
        <f>+Segments!AU25+Segments!AU26</f>
        <v>-230</v>
      </c>
      <c r="AV38" s="181">
        <f>+Segments!AV25+Segments!AV26</f>
        <v>53</v>
      </c>
      <c r="AW38" s="181">
        <f>+Segments!AW25+Segments!AW26</f>
        <v>187</v>
      </c>
      <c r="AX38" s="181">
        <f>+Segments!AX25+Segments!AX26</f>
        <v>-1095</v>
      </c>
      <c r="AY38" s="181">
        <f>+Segments!AY25+Segments!AY26</f>
        <v>-3438</v>
      </c>
      <c r="AZ38" s="290">
        <f>+Segments!AZ25+Segments!AZ26</f>
        <v>-4293</v>
      </c>
      <c r="BA38" s="181">
        <f>+Segments!BA25+Segments!BA26</f>
        <v>499</v>
      </c>
      <c r="BB38" s="181">
        <f>+Segments!BB25+Segments!BB26</f>
        <v>443</v>
      </c>
      <c r="BC38" s="181">
        <f>+Segments!BC25+Segments!BC26</f>
        <v>-1188</v>
      </c>
      <c r="BD38" s="181">
        <f>+Segments!BD25+Segments!BD26</f>
        <v>-1074</v>
      </c>
      <c r="BE38" s="290">
        <f>+Segments!BE25+Segments!BE26</f>
        <v>-1320</v>
      </c>
      <c r="BF38" s="181">
        <f>+Segments!BF25+Segments!BF26</f>
        <v>-98</v>
      </c>
      <c r="BG38" s="181">
        <f>+Segments!BG25+Segments!BG26</f>
        <v>828</v>
      </c>
      <c r="BH38" s="181">
        <f>+Segments!BH25+Segments!BH26</f>
        <v>-41</v>
      </c>
      <c r="BI38" s="181">
        <f>+Segments!BI25+Segments!BI26</f>
        <v>425</v>
      </c>
      <c r="BJ38" s="290">
        <f>+Segments!BJ25+Segments!BJ26</f>
        <v>1114</v>
      </c>
      <c r="BK38" s="181">
        <f>+Segments!BK25+Segments!BK26</f>
        <v>37</v>
      </c>
      <c r="BL38" s="181">
        <f>+Segments!BL25+Segments!BL26</f>
        <v>-409</v>
      </c>
      <c r="BM38" s="181">
        <f>+Segments!BM25+Segments!BM26</f>
        <v>390</v>
      </c>
      <c r="BN38" s="181">
        <f>+Segments!BN25+Segments!BN26</f>
        <v>610</v>
      </c>
      <c r="BO38" s="290">
        <f>+Segments!BO25+Segments!BO26</f>
        <v>628</v>
      </c>
      <c r="BP38" s="181">
        <f>+Segments!BP25+Segments!BP26</f>
        <v>0</v>
      </c>
      <c r="BQ38" s="181">
        <f>+Segments!BQ25+Segments!BQ26</f>
        <v>0</v>
      </c>
      <c r="BR38" s="181">
        <f>+Segments!BR25+Segments!BR26</f>
        <v>0</v>
      </c>
      <c r="BS38" s="181">
        <f>+Segments!BS25+Segments!BS26</f>
        <v>0</v>
      </c>
      <c r="BT38" s="290">
        <f>+Segments!BT25+Segments!BT26</f>
        <v>0</v>
      </c>
      <c r="BU38" s="181">
        <f>+Segments!BU25+Segments!BU26</f>
        <v>0</v>
      </c>
      <c r="BV38" s="181">
        <f>+Segments!BV25+Segments!BV26</f>
        <v>0</v>
      </c>
      <c r="BW38" s="181">
        <f>+Segments!BW25+Segments!BW26</f>
        <v>0</v>
      </c>
      <c r="BX38" s="181">
        <f>+Segments!BX25+Segments!BX26</f>
        <v>0</v>
      </c>
      <c r="BY38" s="290">
        <f>+Segments!BY25+Segments!BY26</f>
        <v>0</v>
      </c>
      <c r="BZ38" s="181">
        <f>+Segments!BZ25+Segments!BZ26</f>
        <v>0</v>
      </c>
      <c r="CA38" s="181">
        <f>+Segments!CA25+Segments!CA26</f>
        <v>0</v>
      </c>
      <c r="CB38" s="181">
        <f>+Segments!CB25+Segments!CB26</f>
        <v>0</v>
      </c>
      <c r="CC38" s="181">
        <f>+Segments!CC25+Segments!CC26</f>
        <v>0</v>
      </c>
      <c r="CD38" s="290">
        <f>+Segments!CD25+Segments!CD26</f>
        <v>0</v>
      </c>
      <c r="CE38" s="5"/>
      <c r="CF38" s="5"/>
      <c r="CG38" s="5"/>
      <c r="CH38" s="202" t="s">
        <v>2397</v>
      </c>
      <c r="CI38" s="5">
        <f>HLOOKUP(CH38,'Key assumptions'!$A$9:$CD$20,4,FALSE)</f>
        <v>118.6</v>
      </c>
      <c r="CJ38" s="5">
        <f t="shared" si="32"/>
        <v>94040</v>
      </c>
    </row>
    <row r="39" spans="1:91">
      <c r="A39" s="148" t="s">
        <v>2546</v>
      </c>
      <c r="B39" s="148"/>
      <c r="C39" s="8">
        <f>+C36-C38</f>
        <v>6556</v>
      </c>
      <c r="D39" s="8">
        <f>+D36-D38</f>
        <v>6795</v>
      </c>
      <c r="E39" s="8">
        <f>+E36-E38</f>
        <v>12448</v>
      </c>
      <c r="F39" s="8">
        <f>+F36-F38</f>
        <v>15432</v>
      </c>
      <c r="G39" s="8">
        <f>+G36-G38</f>
        <v>19314</v>
      </c>
      <c r="H39" s="19"/>
      <c r="I39" s="19"/>
      <c r="J39" s="19"/>
      <c r="K39" s="19"/>
      <c r="L39" s="8">
        <f>+L36-L38</f>
        <v>22037</v>
      </c>
      <c r="M39" s="19"/>
      <c r="N39" s="19"/>
      <c r="O39" s="19"/>
      <c r="P39" s="19"/>
      <c r="Q39" s="8">
        <f>+Q36-Q38</f>
        <v>18370</v>
      </c>
      <c r="R39" s="19"/>
      <c r="S39" s="19"/>
      <c r="T39" s="19"/>
      <c r="U39" s="19"/>
      <c r="V39" s="8">
        <f>+V36-V38</f>
        <v>25593</v>
      </c>
      <c r="W39" s="19"/>
      <c r="X39" s="19"/>
      <c r="Y39" s="19"/>
      <c r="Z39" s="19"/>
      <c r="AA39" s="8">
        <f t="shared" ref="AA39:AK39" si="34">+AA36-AA38</f>
        <v>13955</v>
      </c>
      <c r="AB39" s="19">
        <f t="shared" si="34"/>
        <v>5598</v>
      </c>
      <c r="AC39" s="19">
        <f t="shared" si="34"/>
        <v>-16973</v>
      </c>
      <c r="AD39" s="19">
        <f t="shared" si="34"/>
        <v>1847</v>
      </c>
      <c r="AE39" s="19">
        <f t="shared" si="34"/>
        <v>4614</v>
      </c>
      <c r="AF39" s="8">
        <f t="shared" si="34"/>
        <v>-4914</v>
      </c>
      <c r="AG39" s="19">
        <f t="shared" si="34"/>
        <v>5611</v>
      </c>
      <c r="AH39" s="19">
        <f t="shared" si="34"/>
        <v>5407</v>
      </c>
      <c r="AI39" s="19">
        <f t="shared" si="34"/>
        <v>5276</v>
      </c>
      <c r="AJ39" s="19">
        <f t="shared" si="34"/>
        <v>7606</v>
      </c>
      <c r="AK39" s="8">
        <f t="shared" si="34"/>
        <v>23900</v>
      </c>
      <c r="AL39" s="19">
        <f t="shared" ref="AL39:CD39" si="35">+AL36-AL38</f>
        <v>4929</v>
      </c>
      <c r="AM39" s="180">
        <f t="shared" si="35"/>
        <v>238</v>
      </c>
      <c r="AN39" s="180">
        <f t="shared" si="35"/>
        <v>4687</v>
      </c>
      <c r="AO39" s="180">
        <f t="shared" si="35"/>
        <v>2139</v>
      </c>
      <c r="AP39" s="8">
        <f t="shared" si="35"/>
        <v>11993</v>
      </c>
      <c r="AQ39" s="19">
        <f t="shared" si="35"/>
        <v>16596</v>
      </c>
      <c r="AR39" s="19">
        <f t="shared" si="35"/>
        <v>2400</v>
      </c>
      <c r="AS39" s="19">
        <f t="shared" si="35"/>
        <v>3178</v>
      </c>
      <c r="AT39" s="19">
        <f t="shared" si="35"/>
        <v>1507</v>
      </c>
      <c r="AU39" s="8">
        <f t="shared" si="35"/>
        <v>23681</v>
      </c>
      <c r="AV39" s="19">
        <f t="shared" si="35"/>
        <v>3475</v>
      </c>
      <c r="AW39" s="19">
        <f t="shared" si="35"/>
        <v>3182</v>
      </c>
      <c r="AX39" s="19">
        <f t="shared" si="35"/>
        <v>2385</v>
      </c>
      <c r="AY39" s="19">
        <f t="shared" si="35"/>
        <v>-969</v>
      </c>
      <c r="AZ39" s="8">
        <f t="shared" si="35"/>
        <v>8073</v>
      </c>
      <c r="BA39" s="19">
        <f>+BA36-BA38</f>
        <v>2103</v>
      </c>
      <c r="BB39" s="19">
        <f t="shared" si="35"/>
        <v>-6266</v>
      </c>
      <c r="BC39" s="19">
        <f t="shared" si="35"/>
        <v>1234</v>
      </c>
      <c r="BD39" s="19">
        <f t="shared" si="35"/>
        <v>-2233</v>
      </c>
      <c r="BE39" s="8">
        <f>+BE36-BE38</f>
        <v>-5162</v>
      </c>
      <c r="BF39" s="19">
        <f t="shared" si="35"/>
        <v>-485</v>
      </c>
      <c r="BG39" s="19">
        <f t="shared" si="35"/>
        <v>-2247</v>
      </c>
      <c r="BH39" s="19">
        <f t="shared" si="35"/>
        <v>1661</v>
      </c>
      <c r="BI39" s="19">
        <f t="shared" si="35"/>
        <v>72</v>
      </c>
      <c r="BJ39" s="8">
        <f t="shared" si="35"/>
        <v>-999</v>
      </c>
      <c r="BK39" s="19">
        <f t="shared" si="35"/>
        <v>1412</v>
      </c>
      <c r="BL39" s="19">
        <f t="shared" si="35"/>
        <v>553</v>
      </c>
      <c r="BM39" s="180">
        <f t="shared" si="35"/>
        <v>1379</v>
      </c>
      <c r="BN39" s="180">
        <f t="shared" ca="1" si="35"/>
        <v>-583</v>
      </c>
      <c r="BO39" s="8">
        <f t="shared" ca="1" si="35"/>
        <v>2761</v>
      </c>
      <c r="BP39" s="19">
        <f t="shared" ca="1" si="35"/>
        <v>2115.766841626325</v>
      </c>
      <c r="BQ39" s="19">
        <f t="shared" ca="1" si="35"/>
        <v>3019.2639401780389</v>
      </c>
      <c r="BR39" s="19">
        <f t="shared" ca="1" si="35"/>
        <v>3062.63594563166</v>
      </c>
      <c r="BS39" s="19">
        <f t="shared" ca="1" si="35"/>
        <v>2668.8839570373516</v>
      </c>
      <c r="BT39" s="8">
        <f t="shared" ca="1" si="35"/>
        <v>10866.550684473374</v>
      </c>
      <c r="BU39" s="19">
        <f t="shared" ca="1" si="35"/>
        <v>2715.4976678095463</v>
      </c>
      <c r="BV39" s="19">
        <f t="shared" ca="1" si="35"/>
        <v>2687.2220276709086</v>
      </c>
      <c r="BW39" s="19">
        <f t="shared" ca="1" si="35"/>
        <v>2808.3888747746814</v>
      </c>
      <c r="BX39" s="19">
        <f t="shared" ca="1" si="35"/>
        <v>2698.2132741697442</v>
      </c>
      <c r="BY39" s="8">
        <f t="shared" ca="1" si="35"/>
        <v>10909.321844424885</v>
      </c>
      <c r="BZ39" s="19">
        <f t="shared" ca="1" si="35"/>
        <v>3138.5660530519863</v>
      </c>
      <c r="CA39" s="19">
        <f t="shared" ca="1" si="35"/>
        <v>3131.7161421875321</v>
      </c>
      <c r="CB39" s="19">
        <f t="shared" ca="1" si="35"/>
        <v>3271.0805192978778</v>
      </c>
      <c r="CC39" s="19">
        <f t="shared" ca="1" si="35"/>
        <v>3188.0303941308075</v>
      </c>
      <c r="CD39" s="8">
        <f t="shared" ca="1" si="35"/>
        <v>12729.393108668206</v>
      </c>
      <c r="CE39" s="8"/>
      <c r="CF39" s="8"/>
      <c r="CG39" s="8"/>
      <c r="CH39" s="202" t="s">
        <v>2398</v>
      </c>
      <c r="CI39" s="5">
        <f>HLOOKUP(CH39,'Key assumptions'!$A$9:$CD$20,4,FALSE)</f>
        <v>108.29</v>
      </c>
      <c r="CJ39" s="5">
        <f t="shared" si="32"/>
        <v>93341</v>
      </c>
    </row>
    <row r="40" spans="1:91">
      <c r="A40" s="148"/>
      <c r="B40" s="148"/>
      <c r="C40" s="8"/>
      <c r="D40" s="8"/>
      <c r="E40" s="8"/>
      <c r="F40" s="8"/>
      <c r="G40" s="8"/>
      <c r="H40" s="19"/>
      <c r="I40" s="19"/>
      <c r="J40" s="19"/>
      <c r="K40" s="19"/>
      <c r="L40" s="8"/>
      <c r="M40" s="19"/>
      <c r="N40" s="19"/>
      <c r="O40" s="19"/>
      <c r="P40" s="19"/>
      <c r="Q40" s="8"/>
      <c r="R40" s="19"/>
      <c r="S40" s="19"/>
      <c r="T40" s="19"/>
      <c r="U40" s="19"/>
      <c r="V40" s="8"/>
      <c r="W40" s="19"/>
      <c r="X40" s="19"/>
      <c r="Y40" s="19"/>
      <c r="Z40" s="19"/>
      <c r="AA40" s="8"/>
      <c r="AB40" s="19"/>
      <c r="AC40" s="19"/>
      <c r="AD40" s="19"/>
      <c r="AE40" s="19"/>
      <c r="AF40" s="8"/>
      <c r="AG40" s="19"/>
      <c r="AH40" s="19"/>
      <c r="AI40" s="19"/>
      <c r="AJ40" s="19"/>
      <c r="AK40" s="179"/>
      <c r="AL40" s="19"/>
      <c r="AM40" s="180"/>
      <c r="AN40" s="180"/>
      <c r="AO40" s="180"/>
      <c r="AP40" s="8"/>
      <c r="AQ40" s="19"/>
      <c r="AR40" s="19"/>
      <c r="AS40" s="19"/>
      <c r="AT40" s="19"/>
      <c r="AU40" s="8"/>
      <c r="AV40" s="19"/>
      <c r="AW40" s="19"/>
      <c r="AX40" s="19"/>
      <c r="AY40" s="19"/>
      <c r="AZ40" s="8"/>
      <c r="BA40" s="19"/>
      <c r="BB40" s="19"/>
      <c r="BC40" s="19"/>
      <c r="BD40" s="19"/>
      <c r="BE40" s="8"/>
      <c r="BF40" s="19"/>
      <c r="BG40" s="19"/>
      <c r="BH40" s="19"/>
      <c r="BI40" s="19"/>
      <c r="BJ40" s="8"/>
      <c r="BK40" s="19"/>
      <c r="BL40" s="19"/>
      <c r="BM40" s="180"/>
      <c r="BN40" s="180"/>
      <c r="BO40" s="8"/>
      <c r="BP40" s="19"/>
      <c r="BQ40" s="19"/>
      <c r="BR40" s="19"/>
      <c r="BS40" s="19"/>
      <c r="BT40" s="8"/>
      <c r="BU40" s="19"/>
      <c r="BV40" s="19"/>
      <c r="BW40" s="19"/>
      <c r="BX40" s="19"/>
      <c r="BY40" s="8"/>
      <c r="BZ40" s="19"/>
      <c r="CA40" s="19"/>
      <c r="CB40" s="19"/>
      <c r="CC40" s="19"/>
      <c r="CD40" s="8"/>
      <c r="CE40" s="8"/>
      <c r="CF40" s="8"/>
      <c r="CG40" s="8"/>
      <c r="CH40" s="202" t="s">
        <v>2399</v>
      </c>
      <c r="CI40" s="5">
        <f>HLOOKUP(CH40,'Key assumptions'!$A$9:$CD$20,4,FALSE)</f>
        <v>109.5</v>
      </c>
      <c r="CJ40" s="5">
        <f t="shared" si="32"/>
        <v>90591</v>
      </c>
    </row>
    <row r="41" spans="1:91">
      <c r="A41" s="361" t="s">
        <v>3629</v>
      </c>
      <c r="B41" s="137"/>
      <c r="C41" s="5">
        <f>+Segments!C45</f>
        <v>0</v>
      </c>
      <c r="D41" s="5">
        <f>+Segments!D45</f>
        <v>0</v>
      </c>
      <c r="E41" s="5">
        <f>+Segments!E45</f>
        <v>-234</v>
      </c>
      <c r="F41" s="5">
        <f>+Segments!F45</f>
        <v>-1061</v>
      </c>
      <c r="G41" s="5">
        <f>+Segments!G45</f>
        <v>-1727</v>
      </c>
      <c r="H41" s="12"/>
      <c r="I41" s="12"/>
      <c r="J41" s="12"/>
      <c r="K41" s="12"/>
      <c r="L41" s="5">
        <f>+Segments!L45</f>
        <v>1062</v>
      </c>
      <c r="M41" s="12"/>
      <c r="N41" s="12"/>
      <c r="O41" s="12"/>
      <c r="P41" s="12"/>
      <c r="Q41" s="5">
        <f>+Segments!Q45</f>
        <v>-571</v>
      </c>
      <c r="R41" s="12"/>
      <c r="S41" s="12"/>
      <c r="T41" s="12"/>
      <c r="U41" s="12"/>
      <c r="V41" s="5">
        <f>+Segments!V45</f>
        <v>-650</v>
      </c>
      <c r="W41" s="12"/>
      <c r="X41" s="12"/>
      <c r="Y41" s="12"/>
      <c r="Z41" s="12"/>
      <c r="AA41" s="5">
        <f>+Segments!AA45</f>
        <v>-622</v>
      </c>
      <c r="AB41" s="12">
        <f>+Segments!AB45</f>
        <v>-49</v>
      </c>
      <c r="AC41" s="12">
        <f>+Segments!AC45</f>
        <v>-21953</v>
      </c>
      <c r="AD41" s="12">
        <f>+Segments!AD45</f>
        <v>-3684</v>
      </c>
      <c r="AE41" s="12">
        <f>+Segments!AE45</f>
        <v>250</v>
      </c>
      <c r="AF41" s="5">
        <f>+Segments!AF45</f>
        <v>-25436</v>
      </c>
      <c r="AG41" s="12">
        <f>+Segments!AG45</f>
        <v>107</v>
      </c>
      <c r="AH41" s="12">
        <f>+Segments!AH45</f>
        <v>-298</v>
      </c>
      <c r="AI41" s="12">
        <f>+Segments!AI45</f>
        <v>-187</v>
      </c>
      <c r="AJ41" s="12">
        <f>+Segments!AJ45</f>
        <v>2620</v>
      </c>
      <c r="AK41" s="138">
        <f>+Segments!AK45</f>
        <v>2242</v>
      </c>
      <c r="AL41" s="12">
        <f>+Segments!AL45</f>
        <v>130</v>
      </c>
      <c r="AM41" s="181">
        <f>+Segments!AM45</f>
        <v>-3447</v>
      </c>
      <c r="AN41" s="181">
        <f>+Segments!AN45</f>
        <v>-483</v>
      </c>
      <c r="AO41" s="181">
        <f>+Segments!AO45</f>
        <v>-1845</v>
      </c>
      <c r="AP41" s="5">
        <f>+Segments!AP45</f>
        <v>-5645</v>
      </c>
      <c r="AQ41" s="181">
        <f>+Segments!AQ45</f>
        <v>12381</v>
      </c>
      <c r="AR41" s="181">
        <f>+Segments!AR45</f>
        <v>-312</v>
      </c>
      <c r="AS41" s="181">
        <f>+Segments!AS45</f>
        <v>-514</v>
      </c>
      <c r="AT41" s="181">
        <f>+Segments!AT45</f>
        <v>-1302</v>
      </c>
      <c r="AU41" s="5">
        <f>+Segments!AU45</f>
        <v>10253</v>
      </c>
      <c r="AV41" s="181">
        <f>+Segments!AV45</f>
        <v>250</v>
      </c>
      <c r="AW41" s="181">
        <f>+Segments!AW45</f>
        <v>-453</v>
      </c>
      <c r="AX41" s="181">
        <f>+Segments!AX45</f>
        <v>-652</v>
      </c>
      <c r="AY41" s="181">
        <f>+Segments!AY45</f>
        <v>-3208</v>
      </c>
      <c r="AZ41" s="5">
        <f>+Segments!AZ45</f>
        <v>-4063</v>
      </c>
      <c r="BA41" s="181">
        <f>+Segments!BA45</f>
        <v>432.17000000000007</v>
      </c>
      <c r="BB41" s="181">
        <f>+Segments!BB45</f>
        <v>-7579</v>
      </c>
      <c r="BC41" s="181">
        <f>+Segments!BC45</f>
        <v>-585</v>
      </c>
      <c r="BD41" s="181">
        <f>+Segments!BD45</f>
        <v>-2429</v>
      </c>
      <c r="BE41" s="5">
        <f>+Segments!BE45</f>
        <v>-10160.83</v>
      </c>
      <c r="BF41" s="181">
        <f ca="1">+Segments!BF45</f>
        <v>-1017</v>
      </c>
      <c r="BG41" s="181">
        <f ca="1">+Segments!BG45</f>
        <v>-2967</v>
      </c>
      <c r="BH41" s="181">
        <f>+Segments!BH45</f>
        <v>728</v>
      </c>
      <c r="BI41" s="181">
        <f>+Segments!BI45</f>
        <v>-328</v>
      </c>
      <c r="BJ41" s="5">
        <f ca="1">+Segments!BJ45</f>
        <v>-3584</v>
      </c>
      <c r="BK41" s="181">
        <f>+Segments!BK45</f>
        <v>-98</v>
      </c>
      <c r="BL41" s="181">
        <f>+Segments!BL45</f>
        <v>-131</v>
      </c>
      <c r="BM41" s="181">
        <f>+Segments!BM45</f>
        <v>-486</v>
      </c>
      <c r="BN41" s="181">
        <f>+Segments!BN45</f>
        <v>-2690</v>
      </c>
      <c r="BO41" s="5">
        <f>+Segments!BO45</f>
        <v>-3405</v>
      </c>
      <c r="BP41" s="12">
        <f>+Segments!BP45</f>
        <v>-72.961622542768964</v>
      </c>
      <c r="BQ41" s="12">
        <f>+Segments!BQ45</f>
        <v>-66.468877098002849</v>
      </c>
      <c r="BR41" s="12">
        <f>+Segments!BR45</f>
        <v>-62.902390939838369</v>
      </c>
      <c r="BS41" s="12">
        <f>+Segments!BS45</f>
        <v>-61.783626145981543</v>
      </c>
      <c r="BT41" s="5">
        <f>+Segments!BT45</f>
        <v>-264.11651672659173</v>
      </c>
      <c r="BU41" s="12">
        <f>+Segments!BU45</f>
        <v>-74.592210184679061</v>
      </c>
      <c r="BV41" s="12">
        <f>+Segments!BV45</f>
        <v>-73.969889203313869</v>
      </c>
      <c r="BW41" s="12">
        <f>+Segments!BW45</f>
        <v>-66.761382533848519</v>
      </c>
      <c r="BX41" s="12">
        <f>+Segments!BX45</f>
        <v>-66.095899886167899</v>
      </c>
      <c r="BY41" s="5">
        <f>+Segments!BY45</f>
        <v>-281.41938180800935</v>
      </c>
      <c r="BZ41" s="12">
        <f>+Segments!BZ45</f>
        <v>-76.387316331898546</v>
      </c>
      <c r="CA41" s="12">
        <f>+Segments!CA45</f>
        <v>-76.878877649223796</v>
      </c>
      <c r="CB41" s="12">
        <f>+Segments!CB45</f>
        <v>-69.655899840945494</v>
      </c>
      <c r="CC41" s="12">
        <f>+Segments!CC45</f>
        <v>-70.104143705628303</v>
      </c>
      <c r="CD41" s="5">
        <f>+Segments!CD45</f>
        <v>-293.02623752769614</v>
      </c>
      <c r="CE41" s="5"/>
      <c r="CF41" s="5"/>
      <c r="CG41" s="5"/>
      <c r="CH41" s="202" t="s">
        <v>2400</v>
      </c>
      <c r="CI41" s="5">
        <f>HLOOKUP(CH41,'Key assumptions'!$A$9:$CD$20,4,FALSE)</f>
        <v>110.08</v>
      </c>
      <c r="CJ41" s="5">
        <f t="shared" si="32"/>
        <v>92894</v>
      </c>
    </row>
    <row r="42" spans="1:91" ht="13.5" thickBot="1">
      <c r="A42" s="241" t="s">
        <v>3630</v>
      </c>
      <c r="B42" s="241"/>
      <c r="C42" s="254">
        <f t="shared" ref="C42:V42" si="36">+C39-C41</f>
        <v>6556</v>
      </c>
      <c r="D42" s="254">
        <f t="shared" si="36"/>
        <v>6795</v>
      </c>
      <c r="E42" s="254">
        <f t="shared" si="36"/>
        <v>12682</v>
      </c>
      <c r="F42" s="254">
        <f t="shared" si="36"/>
        <v>16493</v>
      </c>
      <c r="G42" s="254">
        <f t="shared" si="36"/>
        <v>21041</v>
      </c>
      <c r="H42" s="255">
        <f t="shared" si="36"/>
        <v>0</v>
      </c>
      <c r="I42" s="255">
        <f t="shared" si="36"/>
        <v>0</v>
      </c>
      <c r="J42" s="255">
        <f t="shared" si="36"/>
        <v>0</v>
      </c>
      <c r="K42" s="255">
        <f t="shared" si="36"/>
        <v>0</v>
      </c>
      <c r="L42" s="254">
        <f t="shared" si="36"/>
        <v>20975</v>
      </c>
      <c r="M42" s="256">
        <f t="shared" si="36"/>
        <v>0</v>
      </c>
      <c r="N42" s="256">
        <f t="shared" si="36"/>
        <v>0</v>
      </c>
      <c r="O42" s="256">
        <f t="shared" si="36"/>
        <v>0</v>
      </c>
      <c r="P42" s="256">
        <f t="shared" si="36"/>
        <v>0</v>
      </c>
      <c r="Q42" s="254">
        <f t="shared" si="36"/>
        <v>18941</v>
      </c>
      <c r="R42" s="256">
        <f t="shared" si="36"/>
        <v>0</v>
      </c>
      <c r="S42" s="256">
        <f t="shared" si="36"/>
        <v>0</v>
      </c>
      <c r="T42" s="256">
        <f t="shared" si="36"/>
        <v>0</v>
      </c>
      <c r="U42" s="256">
        <f t="shared" si="36"/>
        <v>0</v>
      </c>
      <c r="V42" s="254">
        <f t="shared" si="36"/>
        <v>26243</v>
      </c>
      <c r="W42" s="256"/>
      <c r="X42" s="256"/>
      <c r="Y42" s="256"/>
      <c r="Z42" s="256"/>
      <c r="AA42" s="254">
        <f t="shared" ref="AA42:AK42" si="37">+AA39-AA41</f>
        <v>14577</v>
      </c>
      <c r="AB42" s="256">
        <f t="shared" si="37"/>
        <v>5647</v>
      </c>
      <c r="AC42" s="256">
        <f t="shared" si="37"/>
        <v>4980</v>
      </c>
      <c r="AD42" s="256">
        <f t="shared" si="37"/>
        <v>5531</v>
      </c>
      <c r="AE42" s="256">
        <f t="shared" si="37"/>
        <v>4364</v>
      </c>
      <c r="AF42" s="254">
        <f t="shared" si="37"/>
        <v>20522</v>
      </c>
      <c r="AG42" s="256">
        <f t="shared" si="37"/>
        <v>5504</v>
      </c>
      <c r="AH42" s="256">
        <f t="shared" si="37"/>
        <v>5705</v>
      </c>
      <c r="AI42" s="256">
        <f t="shared" si="37"/>
        <v>5463</v>
      </c>
      <c r="AJ42" s="256">
        <f t="shared" si="37"/>
        <v>4986</v>
      </c>
      <c r="AK42" s="254">
        <f t="shared" si="37"/>
        <v>21658</v>
      </c>
      <c r="AL42" s="256">
        <f t="shared" ref="AL42:CD42" si="38">+AL39-AL41</f>
        <v>4799</v>
      </c>
      <c r="AM42" s="256">
        <f t="shared" si="38"/>
        <v>3685</v>
      </c>
      <c r="AN42" s="256">
        <f t="shared" si="38"/>
        <v>5170</v>
      </c>
      <c r="AO42" s="256">
        <f t="shared" si="38"/>
        <v>3984</v>
      </c>
      <c r="AP42" s="254">
        <f t="shared" si="38"/>
        <v>17638</v>
      </c>
      <c r="AQ42" s="256">
        <f t="shared" si="38"/>
        <v>4215</v>
      </c>
      <c r="AR42" s="256">
        <f t="shared" si="38"/>
        <v>2712</v>
      </c>
      <c r="AS42" s="256">
        <f t="shared" si="38"/>
        <v>3692</v>
      </c>
      <c r="AT42" s="256">
        <f t="shared" si="38"/>
        <v>2809</v>
      </c>
      <c r="AU42" s="254">
        <f t="shared" si="38"/>
        <v>13428</v>
      </c>
      <c r="AV42" s="256">
        <f t="shared" si="38"/>
        <v>3225</v>
      </c>
      <c r="AW42" s="256">
        <f t="shared" si="38"/>
        <v>3635</v>
      </c>
      <c r="AX42" s="256">
        <f t="shared" si="38"/>
        <v>3037</v>
      </c>
      <c r="AY42" s="256">
        <f t="shared" si="38"/>
        <v>2239</v>
      </c>
      <c r="AZ42" s="254">
        <f t="shared" si="38"/>
        <v>12136</v>
      </c>
      <c r="BA42" s="256">
        <f>+BA39-BA41</f>
        <v>1670.83</v>
      </c>
      <c r="BB42" s="256">
        <f t="shared" si="38"/>
        <v>1313</v>
      </c>
      <c r="BC42" s="256">
        <f t="shared" si="38"/>
        <v>1819</v>
      </c>
      <c r="BD42" s="256">
        <f t="shared" si="38"/>
        <v>196</v>
      </c>
      <c r="BE42" s="254">
        <f>+BE39-BE41</f>
        <v>4998.83</v>
      </c>
      <c r="BF42" s="256">
        <f t="shared" ca="1" si="38"/>
        <v>532</v>
      </c>
      <c r="BG42" s="256">
        <f t="shared" ca="1" si="38"/>
        <v>720</v>
      </c>
      <c r="BH42" s="256">
        <f t="shared" si="38"/>
        <v>933</v>
      </c>
      <c r="BI42" s="256">
        <f t="shared" si="38"/>
        <v>400</v>
      </c>
      <c r="BJ42" s="254">
        <f t="shared" ca="1" si="38"/>
        <v>2585</v>
      </c>
      <c r="BK42" s="256">
        <f t="shared" si="38"/>
        <v>1510</v>
      </c>
      <c r="BL42" s="256">
        <f t="shared" si="38"/>
        <v>684</v>
      </c>
      <c r="BM42" s="256">
        <f>+BM39-BM41</f>
        <v>1865</v>
      </c>
      <c r="BN42" s="256">
        <f t="shared" ca="1" si="38"/>
        <v>2107</v>
      </c>
      <c r="BO42" s="254">
        <f t="shared" ca="1" si="38"/>
        <v>6166</v>
      </c>
      <c r="BP42" s="256">
        <f t="shared" ca="1" si="38"/>
        <v>2188.728464169094</v>
      </c>
      <c r="BQ42" s="256">
        <f t="shared" ca="1" si="38"/>
        <v>3085.7328172760417</v>
      </c>
      <c r="BR42" s="256">
        <f t="shared" ca="1" si="38"/>
        <v>3125.5383365714983</v>
      </c>
      <c r="BS42" s="256">
        <f t="shared" ca="1" si="38"/>
        <v>2730.6675831833331</v>
      </c>
      <c r="BT42" s="254">
        <f t="shared" ca="1" si="38"/>
        <v>11130.667201199965</v>
      </c>
      <c r="BU42" s="256">
        <f t="shared" ca="1" si="38"/>
        <v>2790.0898779942254</v>
      </c>
      <c r="BV42" s="256">
        <f t="shared" ca="1" si="38"/>
        <v>2761.1919168742224</v>
      </c>
      <c r="BW42" s="256">
        <f t="shared" ca="1" si="38"/>
        <v>2875.1502573085299</v>
      </c>
      <c r="BX42" s="256">
        <f t="shared" ca="1" si="38"/>
        <v>2764.3091740559121</v>
      </c>
      <c r="BY42" s="254">
        <f t="shared" ca="1" si="38"/>
        <v>11190.741226232894</v>
      </c>
      <c r="BZ42" s="256">
        <f t="shared" ca="1" si="38"/>
        <v>3214.9533693838848</v>
      </c>
      <c r="CA42" s="256">
        <f t="shared" ca="1" si="38"/>
        <v>3208.5950198367559</v>
      </c>
      <c r="CB42" s="256">
        <f t="shared" ca="1" si="38"/>
        <v>3340.7364191388233</v>
      </c>
      <c r="CC42" s="256">
        <f t="shared" ca="1" si="38"/>
        <v>3258.1345378364358</v>
      </c>
      <c r="CD42" s="254">
        <f t="shared" ca="1" si="38"/>
        <v>13022.419346195902</v>
      </c>
      <c r="CE42" s="8"/>
      <c r="CF42" s="8"/>
      <c r="CG42" s="8"/>
      <c r="CH42" s="202" t="s">
        <v>2401</v>
      </c>
      <c r="CI42" s="5">
        <f>HLOOKUP(CH42,'Key assumptions'!$A$9:$CD$20,4,FALSE)</f>
        <v>112.57</v>
      </c>
      <c r="CJ42" s="5">
        <f t="shared" ref="CJ42:CJ47" si="39">HLOOKUP(CH42,$A$9:$CD$15,2,FALSE)</f>
        <v>94107</v>
      </c>
    </row>
    <row r="43" spans="1:91" ht="13.5" thickTop="1">
      <c r="A43" s="4"/>
      <c r="B43" s="4"/>
      <c r="C43" s="5"/>
      <c r="D43" s="5"/>
      <c r="E43" s="5"/>
      <c r="F43" s="5"/>
      <c r="G43" s="5"/>
      <c r="H43" s="12"/>
      <c r="I43" s="12"/>
      <c r="J43" s="12"/>
      <c r="K43" s="12"/>
      <c r="L43" s="5"/>
      <c r="M43" s="12"/>
      <c r="N43" s="12"/>
      <c r="O43" s="12"/>
      <c r="P43" s="12"/>
      <c r="Q43" s="5"/>
      <c r="R43" s="12"/>
      <c r="S43" s="12"/>
      <c r="T43" s="12"/>
      <c r="U43" s="12"/>
      <c r="V43" s="5"/>
      <c r="W43" s="12"/>
      <c r="X43" s="12"/>
      <c r="Y43" s="12"/>
      <c r="Z43" s="12"/>
      <c r="AA43" s="5"/>
      <c r="AB43" s="12"/>
      <c r="AC43" s="12"/>
      <c r="AD43" s="12"/>
      <c r="AE43" s="12"/>
      <c r="AF43" s="5"/>
      <c r="AG43" s="5"/>
      <c r="AH43" s="5"/>
      <c r="AI43" s="5"/>
      <c r="AJ43" s="5"/>
      <c r="AK43" s="5"/>
      <c r="AL43" s="5"/>
      <c r="AM43" s="5"/>
      <c r="AN43" s="116"/>
      <c r="AO43" s="5"/>
      <c r="AP43" s="5"/>
      <c r="AQ43" s="5"/>
      <c r="AR43" s="5"/>
      <c r="AS43" s="5"/>
      <c r="AT43" s="5"/>
      <c r="AU43" s="479"/>
      <c r="AV43" s="479"/>
      <c r="AW43" s="479"/>
      <c r="AX43" s="5"/>
      <c r="AY43" s="5"/>
      <c r="AZ43" s="479"/>
      <c r="BA43" s="479"/>
      <c r="BB43" s="479"/>
      <c r="BC43" s="479"/>
      <c r="BD43" s="479"/>
      <c r="BE43" s="479"/>
      <c r="BF43" s="479"/>
      <c r="BG43" s="479"/>
      <c r="BH43" s="479"/>
      <c r="BI43" s="479"/>
      <c r="BJ43" s="479"/>
      <c r="BK43" s="479"/>
      <c r="BL43" s="479"/>
      <c r="BM43" s="479"/>
      <c r="BN43" s="479"/>
      <c r="BO43" s="479"/>
      <c r="BP43" s="479"/>
      <c r="BQ43" s="479"/>
      <c r="BR43" s="479"/>
      <c r="BS43" s="479"/>
      <c r="BT43" s="479"/>
      <c r="BU43" s="479"/>
      <c r="BV43" s="479"/>
      <c r="BW43" s="479"/>
      <c r="BX43" s="479"/>
      <c r="BY43" s="479"/>
      <c r="BZ43" s="479"/>
      <c r="CA43" s="479"/>
      <c r="CB43" s="479"/>
      <c r="CC43" s="479"/>
      <c r="CD43" s="479"/>
      <c r="CE43" s="5"/>
      <c r="CF43" s="5"/>
      <c r="CG43" s="5"/>
      <c r="CH43" s="202" t="s">
        <v>2402</v>
      </c>
      <c r="CI43" s="5">
        <f>HLOOKUP(CH43,'Key assumptions'!$A$9:$CD$20,4,FALSE)</f>
        <v>102.43</v>
      </c>
      <c r="CJ43" s="5">
        <f t="shared" si="39"/>
        <v>94711</v>
      </c>
    </row>
    <row r="44" spans="1:91">
      <c r="A44" s="4"/>
      <c r="B44" s="4"/>
      <c r="C44" s="5"/>
      <c r="D44" s="5"/>
      <c r="E44" s="5"/>
      <c r="F44" s="5"/>
      <c r="G44" s="5"/>
      <c r="H44" s="12"/>
      <c r="I44" s="12"/>
      <c r="J44" s="12"/>
      <c r="K44" s="12"/>
      <c r="L44" s="5"/>
      <c r="M44" s="12"/>
      <c r="N44" s="12"/>
      <c r="O44" s="12"/>
      <c r="P44" s="12"/>
      <c r="Q44" s="5"/>
      <c r="R44" s="12"/>
      <c r="S44" s="12"/>
      <c r="T44" s="12"/>
      <c r="U44" s="12"/>
      <c r="V44" s="5"/>
      <c r="W44" s="12"/>
      <c r="X44" s="12"/>
      <c r="Y44" s="12"/>
      <c r="Z44" s="12"/>
      <c r="AA44" s="5"/>
      <c r="AB44" s="12"/>
      <c r="AC44" s="12"/>
      <c r="AD44" s="12"/>
      <c r="AE44" s="12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116"/>
      <c r="AR44" s="5"/>
      <c r="AS44" s="5"/>
      <c r="AT44" s="5"/>
      <c r="AU44" s="561"/>
      <c r="AV44" s="561"/>
      <c r="AW44" s="561"/>
      <c r="AX44" s="561"/>
      <c r="AY44" s="561"/>
      <c r="AZ44" s="561"/>
      <c r="BA44" s="561"/>
      <c r="BB44" s="561"/>
      <c r="BC44" s="561"/>
      <c r="BD44" s="561"/>
      <c r="BE44" s="561"/>
      <c r="BF44" s="561"/>
      <c r="BG44" s="561"/>
      <c r="BH44" s="561"/>
      <c r="BI44" s="561"/>
      <c r="BJ44" s="561"/>
      <c r="BK44" s="561"/>
      <c r="BL44" s="561"/>
      <c r="BM44" s="561"/>
      <c r="BN44" s="561"/>
      <c r="BO44" s="561"/>
      <c r="BP44" s="561"/>
      <c r="BQ44" s="561"/>
      <c r="BR44" s="561"/>
      <c r="BS44" s="561"/>
      <c r="BT44" s="561"/>
      <c r="BU44" s="561"/>
      <c r="BV44" s="561"/>
      <c r="BW44" s="561"/>
      <c r="BX44" s="561"/>
      <c r="BY44" s="561"/>
      <c r="BZ44" s="561"/>
      <c r="CA44" s="561"/>
      <c r="CB44" s="561"/>
      <c r="CC44" s="561"/>
      <c r="CD44" s="561"/>
      <c r="CE44" s="173"/>
      <c r="CF44" s="5"/>
      <c r="CG44" s="5"/>
      <c r="CH44" s="202" t="s">
        <v>2403</v>
      </c>
      <c r="CI44" s="5">
        <f>HLOOKUP(CH44,'Key assumptions'!$A$9:$CD$20,4,FALSE)</f>
        <v>110.29</v>
      </c>
      <c r="CJ44" s="5">
        <f t="shared" si="39"/>
        <v>96601</v>
      </c>
    </row>
    <row r="45" spans="1:91">
      <c r="A45" s="4"/>
      <c r="B45" s="4"/>
      <c r="C45" s="5"/>
      <c r="D45" s="5"/>
      <c r="E45" s="5"/>
      <c r="F45" s="5"/>
      <c r="G45" s="5"/>
      <c r="H45" s="12"/>
      <c r="I45" s="12"/>
      <c r="J45" s="12"/>
      <c r="K45" s="12"/>
      <c r="L45" s="5"/>
      <c r="M45" s="12"/>
      <c r="N45" s="12"/>
      <c r="O45" s="12"/>
      <c r="P45" s="12"/>
      <c r="Q45" s="5"/>
      <c r="R45" s="12"/>
      <c r="S45" s="12"/>
      <c r="T45" s="12"/>
      <c r="U45" s="12"/>
      <c r="V45" s="5"/>
      <c r="W45" s="12"/>
      <c r="X45" s="12"/>
      <c r="Y45" s="12"/>
      <c r="Z45" s="12"/>
      <c r="AA45" s="5"/>
      <c r="AB45" s="12"/>
      <c r="AC45" s="12"/>
      <c r="AD45" s="12"/>
      <c r="AE45" s="12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65"/>
      <c r="AV45" s="565"/>
      <c r="AW45" s="565"/>
      <c r="AX45" s="565"/>
      <c r="AY45" s="565"/>
      <c r="AZ45" s="565"/>
      <c r="BA45" s="565"/>
      <c r="BB45" s="565"/>
      <c r="BC45" s="565"/>
      <c r="BD45" s="565"/>
      <c r="BE45" s="565"/>
      <c r="BF45" s="634"/>
      <c r="BG45" s="634"/>
      <c r="BH45" s="634"/>
      <c r="BI45" s="634"/>
      <c r="BJ45" s="634"/>
      <c r="BK45" s="634"/>
      <c r="BL45" s="634"/>
      <c r="BM45" s="634"/>
      <c r="BN45" s="634"/>
      <c r="BO45" s="634"/>
      <c r="BP45" s="591"/>
      <c r="BQ45" s="591"/>
      <c r="BR45" s="591"/>
      <c r="BS45" s="591"/>
      <c r="BT45" s="591"/>
      <c r="BU45" s="591"/>
      <c r="BV45" s="591"/>
      <c r="BW45" s="591"/>
      <c r="BX45" s="591"/>
      <c r="BY45" s="591"/>
      <c r="BZ45" s="591"/>
      <c r="CA45" s="591"/>
      <c r="CB45" s="591"/>
      <c r="CC45" s="591"/>
      <c r="CD45" s="591"/>
      <c r="CE45" s="634"/>
      <c r="CF45" s="5"/>
      <c r="CG45" s="5"/>
      <c r="CH45" s="202" t="s">
        <v>2404</v>
      </c>
      <c r="CI45" s="5">
        <f>HLOOKUP(CH45,'Key assumptions'!$A$9:$CD$20,4,FALSE)</f>
        <v>109.24</v>
      </c>
      <c r="CJ45" s="5">
        <f t="shared" si="39"/>
        <v>93717</v>
      </c>
    </row>
    <row r="46" spans="1:91">
      <c r="A46" s="9" t="s">
        <v>3390</v>
      </c>
      <c r="B46" s="4"/>
      <c r="C46" s="5"/>
      <c r="D46" s="5"/>
      <c r="E46" s="5"/>
      <c r="F46" s="5"/>
      <c r="G46" s="5"/>
      <c r="H46" s="12"/>
      <c r="I46" s="12"/>
      <c r="J46" s="12"/>
      <c r="K46" s="12"/>
      <c r="L46" s="5"/>
      <c r="M46" s="12"/>
      <c r="N46" s="12"/>
      <c r="O46" s="12"/>
      <c r="P46" s="12"/>
      <c r="Q46" s="5"/>
      <c r="R46" s="12"/>
      <c r="S46" s="12"/>
      <c r="T46" s="12"/>
      <c r="U46" s="12"/>
      <c r="V46" s="5"/>
      <c r="W46" s="12"/>
      <c r="X46" s="12"/>
      <c r="Y46" s="12"/>
      <c r="Z46" s="12"/>
      <c r="AA46" s="5"/>
      <c r="AB46" s="12"/>
      <c r="AC46" s="12"/>
      <c r="AD46" s="12"/>
      <c r="AE46" s="12"/>
      <c r="AF46" s="5"/>
      <c r="AG46" s="12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/>
      <c r="BJ46" s="116"/>
      <c r="BK46" s="116"/>
      <c r="BL46" s="116"/>
      <c r="BM46" s="116"/>
      <c r="BN46" s="116"/>
      <c r="BO46" s="116"/>
      <c r="BP46" s="116"/>
      <c r="BQ46" s="116"/>
      <c r="BR46" s="116"/>
      <c r="BS46" s="116"/>
      <c r="BT46" s="116"/>
      <c r="BU46" s="116"/>
      <c r="BV46" s="116"/>
      <c r="BW46" s="116"/>
      <c r="BX46" s="116"/>
      <c r="BY46" s="116"/>
      <c r="BZ46" s="116"/>
      <c r="CA46" s="116"/>
      <c r="CB46" s="116"/>
      <c r="CC46" s="116"/>
      <c r="CD46" s="116"/>
      <c r="CE46" s="116"/>
      <c r="CF46" s="5"/>
      <c r="CG46" s="5"/>
      <c r="CH46" s="202" t="s">
        <v>2405</v>
      </c>
      <c r="CI46" s="5">
        <f>HLOOKUP(CH46,'Key assumptions'!$A$9:$CD$20,4,FALSE)</f>
        <v>108.21</v>
      </c>
      <c r="CJ46" s="5">
        <f t="shared" si="39"/>
        <v>91710</v>
      </c>
      <c r="CM46" s="616"/>
    </row>
    <row r="47" spans="1:91" ht="12.75" customHeight="1">
      <c r="A47" s="10"/>
      <c r="B47" s="10"/>
      <c r="C47" s="31">
        <v>2001</v>
      </c>
      <c r="D47" s="32">
        <v>2002</v>
      </c>
      <c r="E47" s="32">
        <v>2003</v>
      </c>
      <c r="F47" s="32">
        <v>2004</v>
      </c>
      <c r="G47" s="31">
        <v>2005</v>
      </c>
      <c r="H47" s="33" t="s">
        <v>714</v>
      </c>
      <c r="I47" s="33" t="s">
        <v>715</v>
      </c>
      <c r="J47" s="33" t="s">
        <v>716</v>
      </c>
      <c r="K47" s="33" t="s">
        <v>717</v>
      </c>
      <c r="L47" s="31">
        <v>2006</v>
      </c>
      <c r="M47" s="33" t="s">
        <v>718</v>
      </c>
      <c r="N47" s="33" t="s">
        <v>719</v>
      </c>
      <c r="O47" s="33" t="s">
        <v>1970</v>
      </c>
      <c r="P47" s="33" t="s">
        <v>1971</v>
      </c>
      <c r="Q47" s="31">
        <v>2007</v>
      </c>
      <c r="R47" s="33" t="s">
        <v>1972</v>
      </c>
      <c r="S47" s="33" t="s">
        <v>1973</v>
      </c>
      <c r="T47" s="33" t="s">
        <v>1974</v>
      </c>
      <c r="U47" s="33" t="s">
        <v>1975</v>
      </c>
      <c r="V47" s="31">
        <v>2008</v>
      </c>
      <c r="W47" s="33" t="s">
        <v>1976</v>
      </c>
      <c r="X47" s="33" t="s">
        <v>1977</v>
      </c>
      <c r="Y47" s="33" t="s">
        <v>1978</v>
      </c>
      <c r="Z47" s="33" t="s">
        <v>1979</v>
      </c>
      <c r="AA47" s="31">
        <v>2009</v>
      </c>
      <c r="AB47" s="33" t="s">
        <v>1980</v>
      </c>
      <c r="AC47" s="33" t="s">
        <v>1981</v>
      </c>
      <c r="AD47" s="33" t="s">
        <v>1982</v>
      </c>
      <c r="AE47" s="33" t="s">
        <v>2392</v>
      </c>
      <c r="AF47" s="31">
        <v>2010</v>
      </c>
      <c r="AG47" s="33" t="s">
        <v>2393</v>
      </c>
      <c r="AH47" s="33" t="s">
        <v>2394</v>
      </c>
      <c r="AI47" s="33" t="s">
        <v>2395</v>
      </c>
      <c r="AJ47" s="33" t="s">
        <v>2396</v>
      </c>
      <c r="AK47" s="31">
        <v>2011</v>
      </c>
      <c r="AL47" s="368" t="s">
        <v>2397</v>
      </c>
      <c r="AM47" s="368" t="s">
        <v>2398</v>
      </c>
      <c r="AN47" s="368" t="s">
        <v>2399</v>
      </c>
      <c r="AO47" s="368" t="s">
        <v>2400</v>
      </c>
      <c r="AP47" s="31">
        <v>2012</v>
      </c>
      <c r="AQ47" s="368" t="s">
        <v>2401</v>
      </c>
      <c r="AR47" s="368" t="s">
        <v>2402</v>
      </c>
      <c r="AS47" s="368" t="s">
        <v>2403</v>
      </c>
      <c r="AT47" s="368" t="s">
        <v>2404</v>
      </c>
      <c r="AU47" s="31">
        <v>2013</v>
      </c>
      <c r="AV47" s="368" t="s">
        <v>2405</v>
      </c>
      <c r="AW47" s="368" t="s">
        <v>2406</v>
      </c>
      <c r="AX47" s="368" t="s">
        <v>2407</v>
      </c>
      <c r="AY47" s="368" t="s">
        <v>2408</v>
      </c>
      <c r="AZ47" s="31">
        <v>2014</v>
      </c>
      <c r="BA47" s="368" t="s">
        <v>2409</v>
      </c>
      <c r="BB47" s="368" t="s">
        <v>2410</v>
      </c>
      <c r="BC47" s="368" t="s">
        <v>2411</v>
      </c>
      <c r="BD47" s="368" t="s">
        <v>2412</v>
      </c>
      <c r="BE47" s="31">
        <v>2015</v>
      </c>
      <c r="BF47" s="368" t="s">
        <v>2413</v>
      </c>
      <c r="BG47" s="368" t="s">
        <v>2414</v>
      </c>
      <c r="BH47" s="368" t="s">
        <v>2415</v>
      </c>
      <c r="BI47" s="368" t="s">
        <v>2416</v>
      </c>
      <c r="BJ47" s="31">
        <v>2016</v>
      </c>
      <c r="BK47" s="368" t="s">
        <v>2417</v>
      </c>
      <c r="BL47" s="368" t="s">
        <v>2418</v>
      </c>
      <c r="BM47" s="368" t="s">
        <v>2419</v>
      </c>
      <c r="BN47" s="368" t="s">
        <v>2420</v>
      </c>
      <c r="BO47" s="31">
        <v>2017</v>
      </c>
      <c r="BP47" s="363" t="s">
        <v>2244</v>
      </c>
      <c r="BQ47" s="363" t="s">
        <v>2245</v>
      </c>
      <c r="BR47" s="363" t="s">
        <v>2508</v>
      </c>
      <c r="BS47" s="363" t="s">
        <v>2509</v>
      </c>
      <c r="BT47" s="364">
        <v>2018</v>
      </c>
      <c r="BU47" s="363" t="s">
        <v>2510</v>
      </c>
      <c r="BV47" s="363" t="s">
        <v>2511</v>
      </c>
      <c r="BW47" s="363" t="s">
        <v>3125</v>
      </c>
      <c r="BX47" s="363" t="s">
        <v>1405</v>
      </c>
      <c r="BY47" s="364">
        <v>2019</v>
      </c>
      <c r="BZ47" s="363" t="s">
        <v>1406</v>
      </c>
      <c r="CA47" s="363" t="s">
        <v>1407</v>
      </c>
      <c r="CB47" s="363" t="s">
        <v>1408</v>
      </c>
      <c r="CC47" s="363" t="s">
        <v>1409</v>
      </c>
      <c r="CD47" s="364">
        <v>2020</v>
      </c>
      <c r="CE47" s="11"/>
      <c r="CF47" s="11"/>
      <c r="CG47" s="11"/>
      <c r="CH47" s="202" t="s">
        <v>2406</v>
      </c>
      <c r="CI47" s="5">
        <f>HLOOKUP(CH47,'Key assumptions'!$A$9:$CD$20,4,FALSE)</f>
        <v>109.67</v>
      </c>
      <c r="CJ47" s="5">
        <f t="shared" si="39"/>
        <v>93957</v>
      </c>
    </row>
    <row r="48" spans="1:91" ht="12.75" customHeight="1">
      <c r="A48" s="7" t="s">
        <v>1016</v>
      </c>
      <c r="B48" s="4"/>
      <c r="C48" s="5"/>
      <c r="D48" s="5"/>
      <c r="E48" s="70"/>
      <c r="F48" s="70"/>
      <c r="G48" s="70"/>
      <c r="H48" s="12"/>
      <c r="I48" s="12"/>
      <c r="J48" s="12"/>
      <c r="K48" s="12"/>
      <c r="L48" s="70"/>
      <c r="M48" s="12"/>
      <c r="N48" s="12"/>
      <c r="O48" s="12"/>
      <c r="P48" s="12"/>
      <c r="Q48" s="70"/>
      <c r="R48" s="12"/>
      <c r="S48" s="12"/>
      <c r="T48" s="12"/>
      <c r="U48" s="12"/>
      <c r="V48" s="5"/>
      <c r="W48" s="12"/>
      <c r="X48" s="12"/>
      <c r="Y48" s="12"/>
      <c r="Z48" s="12"/>
      <c r="AA48" s="5"/>
      <c r="AB48" s="12"/>
      <c r="AC48" s="12"/>
      <c r="AD48" s="12"/>
      <c r="AE48" s="12"/>
      <c r="AF48" s="5"/>
      <c r="AG48" s="70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202" t="s">
        <v>2407</v>
      </c>
      <c r="CI48" s="5">
        <f>HLOOKUP(CH48,'Key assumptions'!$A$9:$CD$20,4,FALSE)</f>
        <v>101.93</v>
      </c>
      <c r="CJ48" s="5">
        <f t="shared" ref="CJ48:CJ52" si="40">HLOOKUP(CH48,$A$9:$CD$15,2,FALSE)</f>
        <v>93904</v>
      </c>
    </row>
    <row r="49" spans="1:88" ht="12.75" customHeight="1">
      <c r="A49" s="4"/>
      <c r="B49" s="4" t="s">
        <v>3390</v>
      </c>
      <c r="C49" s="710">
        <f>C$36/C$60*100</f>
        <v>29.221237528323673</v>
      </c>
      <c r="D49" s="710">
        <f>D$36/D$60*100</f>
        <v>30.338713993929399</v>
      </c>
      <c r="E49" s="710">
        <v>56.14</v>
      </c>
      <c r="F49" s="710">
        <v>78.239999999999995</v>
      </c>
      <c r="G49" s="710">
        <v>105.74</v>
      </c>
      <c r="H49" s="711"/>
      <c r="I49" s="711"/>
      <c r="J49" s="711"/>
      <c r="K49" s="711"/>
      <c r="L49" s="710">
        <v>109.84</v>
      </c>
      <c r="M49" s="711">
        <v>24.06</v>
      </c>
      <c r="N49" s="711">
        <v>38.369999999999997</v>
      </c>
      <c r="O49" s="711">
        <v>23.18</v>
      </c>
      <c r="P49" s="711">
        <v>23.15</v>
      </c>
      <c r="Q49" s="710">
        <v>108.76</v>
      </c>
      <c r="R49" s="711">
        <v>37.58</v>
      </c>
      <c r="S49" s="711">
        <v>49.7</v>
      </c>
      <c r="T49" s="711">
        <v>42.93</v>
      </c>
      <c r="U49" s="711">
        <v>-17.62</v>
      </c>
      <c r="V49" s="710">
        <v>112.59</v>
      </c>
      <c r="W49" s="711">
        <v>13.69</v>
      </c>
      <c r="X49" s="711">
        <v>23.41</v>
      </c>
      <c r="Y49" s="711">
        <v>28.48</v>
      </c>
      <c r="Z49" s="711">
        <v>22.9</v>
      </c>
      <c r="AA49" s="710">
        <v>88.49</v>
      </c>
      <c r="AB49" s="711">
        <v>32.39</v>
      </c>
      <c r="AC49" s="711">
        <v>-91.29</v>
      </c>
      <c r="AD49" s="711">
        <v>9.5</v>
      </c>
      <c r="AE49" s="711">
        <v>29.62</v>
      </c>
      <c r="AF49" s="710">
        <v>-19.809999999999999</v>
      </c>
      <c r="AG49" s="711">
        <f>AG36/AG$60*100</f>
        <v>38.550517546278165</v>
      </c>
      <c r="AH49" s="711">
        <v>30.27</v>
      </c>
      <c r="AI49" s="711">
        <f>AI36/AI$60*100</f>
        <v>26.616588283286003</v>
      </c>
      <c r="AJ49" s="711">
        <v>40.51</v>
      </c>
      <c r="AK49" s="710">
        <f>AK36/AK$60*100</f>
        <v>135.50450568299041</v>
      </c>
      <c r="AL49" s="711">
        <v>31.17</v>
      </c>
      <c r="AM49" s="711">
        <f t="shared" ref="AM49:CD49" si="41">AM36/AM$60*100</f>
        <v>-7.2814740269032852</v>
      </c>
      <c r="AN49" s="711">
        <f t="shared" si="41"/>
        <v>28.543764277463247</v>
      </c>
      <c r="AO49" s="711">
        <f t="shared" si="41"/>
        <v>8.483750367166019</v>
      </c>
      <c r="AP49" s="710">
        <f t="shared" si="41"/>
        <v>60.8684213610425</v>
      </c>
      <c r="AQ49" s="711">
        <f t="shared" si="41"/>
        <v>88.069228273214833</v>
      </c>
      <c r="AR49" s="711">
        <f t="shared" si="41"/>
        <v>10.738483738717228</v>
      </c>
      <c r="AS49" s="711">
        <f t="shared" si="41"/>
        <v>18.571795040313091</v>
      </c>
      <c r="AT49" s="711">
        <f t="shared" si="41"/>
        <v>5.5753570502530163</v>
      </c>
      <c r="AU49" s="710">
        <f t="shared" si="41"/>
        <v>123.87604450916831</v>
      </c>
      <c r="AV49" s="711">
        <f t="shared" si="41"/>
        <v>19.090055823262446</v>
      </c>
      <c r="AW49" s="711">
        <f t="shared" si="41"/>
        <v>18.269164497259872</v>
      </c>
      <c r="AX49" s="711">
        <f t="shared" si="41"/>
        <v>7.0146796036934393</v>
      </c>
      <c r="AY49" s="711">
        <f t="shared" si="41"/>
        <v>-24.171590981577758</v>
      </c>
      <c r="AZ49" s="710">
        <f t="shared" si="41"/>
        <v>20.559727149576585</v>
      </c>
      <c r="BA49" s="711">
        <f t="shared" si="41"/>
        <v>14.280628957976202</v>
      </c>
      <c r="BB49" s="711">
        <f t="shared" si="41"/>
        <v>-31.819886002512476</v>
      </c>
      <c r="BC49" s="711">
        <f t="shared" si="41"/>
        <v>0.25095881269421688</v>
      </c>
      <c r="BD49" s="711">
        <f t="shared" si="41"/>
        <v>-18.003094768465068</v>
      </c>
      <c r="BE49" s="710">
        <f t="shared" si="41"/>
        <v>-35.375055815856733</v>
      </c>
      <c r="BF49" s="711">
        <f t="shared" si="41"/>
        <v>-3.1567037558602067</v>
      </c>
      <c r="BG49" s="711">
        <f t="shared" si="41"/>
        <v>-7.5942461196158524</v>
      </c>
      <c r="BH49" s="711">
        <f t="shared" si="41"/>
        <v>8.6056970032891282</v>
      </c>
      <c r="BI49" s="711">
        <f t="shared" si="41"/>
        <v>2.6163781587699342</v>
      </c>
      <c r="BJ49" s="710">
        <f t="shared" si="41"/>
        <v>0.61350347829798135</v>
      </c>
      <c r="BK49" s="711">
        <f t="shared" si="41"/>
        <v>7.4237262084688878</v>
      </c>
      <c r="BL49" s="711">
        <f t="shared" si="41"/>
        <v>0.73146152667297315</v>
      </c>
      <c r="BM49" s="711">
        <f t="shared" si="41"/>
        <v>8.9541887203846802</v>
      </c>
      <c r="BN49" s="711">
        <f t="shared" ca="1" si="41"/>
        <v>0.13632967788023712</v>
      </c>
      <c r="BO49" s="710">
        <f t="shared" ca="1" si="41"/>
        <v>17.210436126112125</v>
      </c>
      <c r="BP49" s="711">
        <f t="shared" ca="1" si="41"/>
        <v>10.676846055682446</v>
      </c>
      <c r="BQ49" s="711">
        <f t="shared" ca="1" si="41"/>
        <v>15.236896375386275</v>
      </c>
      <c r="BR49" s="711">
        <f t="shared" ca="1" si="41"/>
        <v>15.455777671703011</v>
      </c>
      <c r="BS49" s="711">
        <f t="shared" ca="1" si="41"/>
        <v>13.46868443288324</v>
      </c>
      <c r="BT49" s="710">
        <f t="shared" ca="1" si="41"/>
        <v>54.838705765825445</v>
      </c>
      <c r="BU49" s="711">
        <f t="shared" ca="1" si="41"/>
        <v>13.703923345766952</v>
      </c>
      <c r="BV49" s="711">
        <f t="shared" ca="1" si="41"/>
        <v>13.561228616323536</v>
      </c>
      <c r="BW49" s="711">
        <f t="shared" ca="1" si="41"/>
        <v>14.172704444287618</v>
      </c>
      <c r="BX49" s="711">
        <f t="shared" ca="1" si="41"/>
        <v>13.616696607064243</v>
      </c>
      <c r="BY49" s="710">
        <f t="shared" ca="1" si="41"/>
        <v>55.054553013442401</v>
      </c>
      <c r="BZ49" s="711">
        <f t="shared" ca="1" si="41"/>
        <v>15.838963559613498</v>
      </c>
      <c r="CA49" s="711">
        <f t="shared" ca="1" si="41"/>
        <v>15.804395069820782</v>
      </c>
      <c r="CB49" s="711">
        <f t="shared" ca="1" si="41"/>
        <v>16.507705834433338</v>
      </c>
      <c r="CC49" s="711">
        <f t="shared" ca="1" si="41"/>
        <v>16.088588350873152</v>
      </c>
      <c r="CD49" s="710">
        <f t="shared" ca="1" si="41"/>
        <v>64.239652814740779</v>
      </c>
      <c r="CE49" s="324"/>
      <c r="CF49" s="125"/>
      <c r="CG49" s="5"/>
      <c r="CH49" s="202" t="s">
        <v>2408</v>
      </c>
      <c r="CI49" s="5">
        <f>HLOOKUP(CH49,'Key assumptions'!$A$9:$CD$20,4,FALSE)</f>
        <v>76.58</v>
      </c>
      <c r="CJ49" s="5">
        <f t="shared" si="40"/>
        <v>73997</v>
      </c>
    </row>
    <row r="50" spans="1:88" ht="12.75" customHeight="1">
      <c r="A50" s="4"/>
      <c r="B50" s="4" t="s">
        <v>1936</v>
      </c>
      <c r="C50" s="712"/>
      <c r="D50" s="712"/>
      <c r="E50" s="713">
        <f>Segments!E22/E$60*100</f>
        <v>56.19568601698969</v>
      </c>
      <c r="F50" s="713">
        <f>Segments!F22/F$60*100</f>
        <v>74.86525880323282</v>
      </c>
      <c r="G50" s="713">
        <f>Segments!G22/G$60*100</f>
        <v>92.365286935440679</v>
      </c>
      <c r="H50" s="711"/>
      <c r="I50" s="711"/>
      <c r="J50" s="711"/>
      <c r="K50" s="711"/>
      <c r="L50" s="710">
        <f>Segments!L22/L$60*100</f>
        <v>110.15838350885761</v>
      </c>
      <c r="M50" s="711">
        <f>Segments!M22/M$60*100</f>
        <v>23.035989200326672</v>
      </c>
      <c r="N50" s="711">
        <f>Segments!N22/N$60*100</f>
        <v>33.906479454113416</v>
      </c>
      <c r="O50" s="711">
        <f>Segments!O22/O$60*100</f>
        <v>21.255910754943176</v>
      </c>
      <c r="P50" s="711">
        <f>Segments!P22/P$60*100</f>
        <v>17.94037260241554</v>
      </c>
      <c r="Q50" s="710">
        <f>Segments!Q22/Q$60*100</f>
        <v>95.859871132397302</v>
      </c>
      <c r="R50" s="711">
        <f>Segments!R22/R$60*100</f>
        <v>33.005728673773781</v>
      </c>
      <c r="S50" s="711">
        <f>Segments!S22/S$60*100</f>
        <v>35.871353086289304</v>
      </c>
      <c r="T50" s="711">
        <f>Segments!T22/T$60*100</f>
        <v>53.556332340707492</v>
      </c>
      <c r="U50" s="711">
        <f>Segments!U22/U$60*100</f>
        <v>13.821584176795257</v>
      </c>
      <c r="V50" s="710">
        <f>Segments!V22/V$60*100</f>
        <v>136.20668247770456</v>
      </c>
      <c r="W50" s="711">
        <f>Segments!W22/W$60*100</f>
        <v>12.750827254655547</v>
      </c>
      <c r="X50" s="711">
        <f>Segments!X22/X$60*100</f>
        <v>16.768046596799451</v>
      </c>
      <c r="Y50" s="711">
        <f>Segments!Y22/Y$60*100</f>
        <v>26.588708707964916</v>
      </c>
      <c r="Z50" s="711">
        <f>Segments!Z22/Z$60*100</f>
        <v>18.385935671307475</v>
      </c>
      <c r="AA50" s="710">
        <f>Segments!AA22/AA$60*100</f>
        <v>74.496359500906962</v>
      </c>
      <c r="AB50" s="711">
        <f>Segments!AB22/AB$60*100</f>
        <v>29.824378205934188</v>
      </c>
      <c r="AC50" s="711">
        <f>Segments!AC22/AC$60*100</f>
        <v>-90.341362393306781</v>
      </c>
      <c r="AD50" s="711">
        <f>Segments!AD22/AD$60*100</f>
        <v>9.8296500884056481</v>
      </c>
      <c r="AE50" s="711">
        <f>Segments!AE22/AE$60*100</f>
        <v>24.551389079708155</v>
      </c>
      <c r="AF50" s="710">
        <f>Segments!AF22/AF$60*100</f>
        <v>-26.15789960050915</v>
      </c>
      <c r="AG50" s="711">
        <f>AG39/AG$60*100</f>
        <v>29.81899006784764</v>
      </c>
      <c r="AH50" s="711">
        <f>AH39/AH$60*100</f>
        <v>28.629093703600827</v>
      </c>
      <c r="AI50" s="711">
        <f>AI39/AI$60*100</f>
        <v>27.846345386202053</v>
      </c>
      <c r="AJ50" s="711">
        <f>Segments!AJ22/AJ$60*100</f>
        <v>40.103006623534057</v>
      </c>
      <c r="AK50" s="710">
        <f>AK39/AK$60*100</f>
        <v>126.01391773632184</v>
      </c>
      <c r="AL50" s="711">
        <f>AL39/AL$60*100</f>
        <v>25.974830815793077</v>
      </c>
      <c r="AM50" s="711">
        <f>AM39/AM$60*100</f>
        <v>1.2512569085942107</v>
      </c>
      <c r="AN50" s="711">
        <f>AN39/AN$60*100</f>
        <v>24.619915930892571</v>
      </c>
      <c r="AO50" s="711">
        <f>Segments!AO22/AO$60*100</f>
        <v>11.215538958818366</v>
      </c>
      <c r="AP50" s="710">
        <f>AP39/AP$60*100</f>
        <v>63.028404194697174</v>
      </c>
      <c r="AQ50" s="711">
        <f>AQ39/AQ$60*100</f>
        <v>86.674785768977841</v>
      </c>
      <c r="AR50" s="711">
        <f>AR39/AR$60*100</f>
        <v>12.621136617493315</v>
      </c>
      <c r="AS50" s="711">
        <f>AS39/AS$60*100</f>
        <v>16.84393967982734</v>
      </c>
      <c r="AT50" s="711">
        <f>Segments!AT22/AT$60*100</f>
        <v>8.0634002636576714</v>
      </c>
      <c r="AU50" s="710">
        <f t="shared" ref="AU50:BC50" si="42">AU39/AU$60*100</f>
        <v>125.09098162217451</v>
      </c>
      <c r="AV50" s="711">
        <f t="shared" si="42"/>
        <v>18.80327210482908</v>
      </c>
      <c r="AW50" s="711">
        <f t="shared" si="42"/>
        <v>17.255114701775277</v>
      </c>
      <c r="AX50" s="711">
        <f t="shared" si="42"/>
        <v>12.969000662642523</v>
      </c>
      <c r="AY50" s="711">
        <f t="shared" si="42"/>
        <v>-5.314788214465362</v>
      </c>
      <c r="AZ50" s="710">
        <f t="shared" si="42"/>
        <v>43.909702983738562</v>
      </c>
      <c r="BA50" s="711">
        <f t="shared" si="42"/>
        <v>11.541953381484994</v>
      </c>
      <c r="BB50" s="711">
        <f t="shared" si="42"/>
        <v>-34.24066730066</v>
      </c>
      <c r="BC50" s="711">
        <f t="shared" si="42"/>
        <v>6.7322429318405135</v>
      </c>
      <c r="BD50" s="711">
        <f>Segments!BD22/BD$60*100</f>
        <v>-12.156308018742818</v>
      </c>
      <c r="BE50" s="710">
        <f>BE39/BE$60*100</f>
        <v>-28.171249324506704</v>
      </c>
      <c r="BF50" s="711">
        <f>BF39/BF$60*100</f>
        <v>-2.6260743080483708</v>
      </c>
      <c r="BG50" s="711">
        <f>BG39/BG$60*100</f>
        <v>-12.025560980110514</v>
      </c>
      <c r="BH50" s="711">
        <f>BH39/BH$60*100</f>
        <v>8.8234955076933606</v>
      </c>
      <c r="BI50" s="711">
        <f>Segments!BI22/BI$60*100</f>
        <v>0.37903265076747533</v>
      </c>
      <c r="BJ50" s="710">
        <f>BJ39/BJ$60*100</f>
        <v>-5.3294780419102894</v>
      </c>
      <c r="BK50" s="711">
        <f>BK39/BK$60*100</f>
        <v>7.2341624612547077</v>
      </c>
      <c r="BL50" s="711">
        <f>BL39/BL$60*100</f>
        <v>2.8090154461816259</v>
      </c>
      <c r="BM50" s="711">
        <f>BM39/BM$60*100</f>
        <v>6.9801165887000982</v>
      </c>
      <c r="BN50" s="711">
        <f ca="1">Segments!BN22/BN$60*100</f>
        <v>-2.9437111927473421</v>
      </c>
      <c r="BO50" s="710">
        <f ca="1">BO39/BO$60*100</f>
        <v>14.021249378635462</v>
      </c>
      <c r="BP50" s="711">
        <f ca="1">BP39/BP$60*100</f>
        <v>10.676846055682446</v>
      </c>
      <c r="BQ50" s="711">
        <f ca="1">BQ39/BQ$60*100</f>
        <v>15.236896375386275</v>
      </c>
      <c r="BR50" s="711">
        <f ca="1">BR39/BR$60*100</f>
        <v>15.455777671703011</v>
      </c>
      <c r="BS50" s="711">
        <f ca="1">Segments!BS22/BS$60*100</f>
        <v>13.46868443288324</v>
      </c>
      <c r="BT50" s="710">
        <f ca="1">BT39/BT$60*100</f>
        <v>54.838705765825445</v>
      </c>
      <c r="BU50" s="711">
        <f ca="1">BU39/BU$60*100</f>
        <v>13.703923345766952</v>
      </c>
      <c r="BV50" s="711">
        <f ca="1">BV39/BV$60*100</f>
        <v>13.561228616323536</v>
      </c>
      <c r="BW50" s="711">
        <f ca="1">BW39/BW$60*100</f>
        <v>14.172704444287618</v>
      </c>
      <c r="BX50" s="711">
        <f ca="1">Segments!BX22/BX$60*100</f>
        <v>13.616696607064243</v>
      </c>
      <c r="BY50" s="710">
        <f ca="1">BY39/BY$60*100</f>
        <v>55.054553013442401</v>
      </c>
      <c r="BZ50" s="711">
        <f ca="1">BZ39/BZ$60*100</f>
        <v>15.838963559613498</v>
      </c>
      <c r="CA50" s="711">
        <f ca="1">CA39/CA$60*100</f>
        <v>15.804395069820782</v>
      </c>
      <c r="CB50" s="711">
        <f ca="1">CB39/CB$60*100</f>
        <v>16.507705834433338</v>
      </c>
      <c r="CC50" s="711">
        <f ca="1">Segments!CC22/CC$60*100</f>
        <v>16.088588350873152</v>
      </c>
      <c r="CD50" s="710">
        <f ca="1">CD39/CD$60*100</f>
        <v>64.239652814740779</v>
      </c>
      <c r="CE50" s="634"/>
      <c r="CF50" s="125"/>
      <c r="CG50" s="5"/>
      <c r="CH50" s="202" t="s">
        <v>2409</v>
      </c>
      <c r="CI50" s="5">
        <f>HLOOKUP(CH50,'Key assumptions'!$A$9:$CD$20,4,FALSE)</f>
        <v>53.94</v>
      </c>
      <c r="CJ50" s="5">
        <f t="shared" si="40"/>
        <v>55519</v>
      </c>
    </row>
    <row r="51" spans="1:88" ht="12.75" customHeight="1">
      <c r="A51" s="4"/>
      <c r="B51" s="4" t="s">
        <v>1081</v>
      </c>
      <c r="C51" s="712"/>
      <c r="D51" s="712"/>
      <c r="E51" s="713">
        <f>Segments!E63/E$60*100</f>
        <v>57.251131119162856</v>
      </c>
      <c r="F51" s="713">
        <f>Segments!F63/F$60*100</f>
        <v>79.727651040636729</v>
      </c>
      <c r="G51" s="713">
        <f>Segments!G63/G$60*100</f>
        <v>100.54008581503409</v>
      </c>
      <c r="H51" s="711"/>
      <c r="I51" s="711"/>
      <c r="J51" s="711"/>
      <c r="K51" s="711"/>
      <c r="L51" s="710">
        <f>Segments!L63/L$60*100</f>
        <v>104.85568188224138</v>
      </c>
      <c r="M51" s="711">
        <f>Segments!M63/M$60*100</f>
        <v>22.849379026786671</v>
      </c>
      <c r="N51" s="711">
        <f>Segments!N63/N$60*100</f>
        <v>28.821552741898198</v>
      </c>
      <c r="O51" s="711">
        <f>Segments!O63/O$60*100</f>
        <v>23.611252832166659</v>
      </c>
      <c r="P51" s="711">
        <f>Segments!P63/P$60*100</f>
        <v>23.922258253648053</v>
      </c>
      <c r="Q51" s="710">
        <f>Segments!Q63/Q$60*100</f>
        <v>98.839511111526264</v>
      </c>
      <c r="R51" s="711">
        <f>Segments!R63/R$60*100</f>
        <v>33.026916751882446</v>
      </c>
      <c r="S51" s="711">
        <f>Segments!S63/S$60*100</f>
        <v>45.309783523313243</v>
      </c>
      <c r="T51" s="711">
        <f>Segments!T63/T$60*100</f>
        <v>47.431183951556875</v>
      </c>
      <c r="U51" s="711">
        <f>Segments!U63/U$60*100</f>
        <v>13.917752910920619</v>
      </c>
      <c r="V51" s="710">
        <f>Segments!V63/V$60*100</f>
        <v>139.66600118244833</v>
      </c>
      <c r="W51" s="711">
        <f>Segments!W63/W$60*100</f>
        <v>13.787132444183481</v>
      </c>
      <c r="X51" s="711">
        <f>Segments!X63/X$60*100</f>
        <v>15.689337866686873</v>
      </c>
      <c r="Y51" s="711">
        <f>Segments!Y63/Y$60*100</f>
        <v>24.949934651882756</v>
      </c>
      <c r="Z51" s="711">
        <f>Segments!Z63/Z$60*100</f>
        <v>23.383795179289805</v>
      </c>
      <c r="AA51" s="710">
        <f>Segments!AA63/AA$60*100</f>
        <v>77.816799171961364</v>
      </c>
      <c r="AB51" s="711">
        <f>Segments!AB63/AB$60*100</f>
        <v>30.085434749716033</v>
      </c>
      <c r="AC51" s="711">
        <f>Segments!AC63/AC$60*100</f>
        <v>26.506804025138031</v>
      </c>
      <c r="AD51" s="711">
        <f>Segments!AD63/AD$60*100</f>
        <v>29.435730719529857</v>
      </c>
      <c r="AE51" s="711">
        <f>Segments!AE63/AE$60*100</f>
        <v>23.221123091427479</v>
      </c>
      <c r="AF51" s="710">
        <f>Segments!AF63/AF$60*100</f>
        <v>109.24143581637134</v>
      </c>
      <c r="AG51" s="711">
        <f>Segments!AG63/AG$60*100</f>
        <v>29.250351333707609</v>
      </c>
      <c r="AH51" s="711">
        <f>Segments!AH63/AH$60*100</f>
        <v>30.206950171822211</v>
      </c>
      <c r="AI51" s="711">
        <f>Segments!AI63/AI$60*100</f>
        <v>28.833317825023091</v>
      </c>
      <c r="AJ51" s="711">
        <f>Segments!AJ63/AJ$60*100</f>
        <v>26.288928612271995</v>
      </c>
      <c r="AK51" s="710">
        <f>Segments!AK63/AK$60*100</f>
        <v>114.19286319386018</v>
      </c>
      <c r="AL51" s="711">
        <v>25.29</v>
      </c>
      <c r="AM51" s="711">
        <f>Segments!AM63/AM$60*100</f>
        <v>19.373452555334733</v>
      </c>
      <c r="AN51" s="711">
        <f>Segments!AN63/AN$60*100</f>
        <v>27.157022693133047</v>
      </c>
      <c r="AO51" s="711">
        <f>Segments!AO63/AO$60*100</f>
        <v>20.889531188374178</v>
      </c>
      <c r="AP51" s="710">
        <f>Segments!AP63/AP$60*100</f>
        <v>92.695321703165916</v>
      </c>
      <c r="AQ51" s="711">
        <f>Segments!AQ63/AQ$60*100</f>
        <v>22.013390094977201</v>
      </c>
      <c r="AR51" s="711">
        <f>Segments!AR63/AR$60*100</f>
        <v>14.261884377767448</v>
      </c>
      <c r="AS51" s="711">
        <f>Segments!AS63/AS$60*100</f>
        <v>19.568226965991993</v>
      </c>
      <c r="AT51" s="711">
        <f>Segments!AT63/AT$60*100</f>
        <v>15.029921261190712</v>
      </c>
      <c r="AU51" s="710">
        <f>Segments!AU63/AU$60*100</f>
        <v>70.931198058467103</v>
      </c>
      <c r="AV51" s="711">
        <f>Segments!AV63/AV$60*100</f>
        <v>17.450518715992455</v>
      </c>
      <c r="AW51" s="711">
        <f>Segments!AW63/AW$60*100</f>
        <v>19.71160966089036</v>
      </c>
      <c r="AX51" s="711">
        <f>Segments!AX63/AX$60*100</f>
        <v>16.514404617377505</v>
      </c>
      <c r="AY51" s="711">
        <f>Segments!AY63/AY$60*100</f>
        <v>12.280506514125845</v>
      </c>
      <c r="AZ51" s="710">
        <f>Segments!AZ63/AZ$60*100</f>
        <v>66.008690128905144</v>
      </c>
      <c r="BA51" s="711">
        <f>Segments!BA63/BA$60*100</f>
        <v>9.1700627524424974</v>
      </c>
      <c r="BB51" s="711">
        <f>Segments!BB63/BB$60*100</f>
        <v>7.174911612793899</v>
      </c>
      <c r="BC51" s="711">
        <f>Segments!BC63/BC$60*100</f>
        <v>9.9237843541474025</v>
      </c>
      <c r="BD51" s="711">
        <f>Segments!BD63/BD$60*100</f>
        <v>1.067011362146705</v>
      </c>
      <c r="BE51" s="710">
        <f>Segments!BE63/BE$60*100</f>
        <v>27.280760608450962</v>
      </c>
      <c r="BF51" s="711">
        <f ca="1">Segments!BF63/BF$60*100</f>
        <v>2.8805598595499653</v>
      </c>
      <c r="BG51" s="711">
        <f ca="1">Segments!BG63/BG$60*100</f>
        <v>3.8533172699953586</v>
      </c>
      <c r="BH51" s="711">
        <f>Segments!BH63/BH$60*100</f>
        <v>4.9562440148572575</v>
      </c>
      <c r="BI51" s="711">
        <f>Segments!BI63/BI$60*100</f>
        <v>2.1057369487081963</v>
      </c>
      <c r="BJ51" s="710">
        <f ca="1">Segments!BJ63/BJ$60*100</f>
        <v>13.790491229567667</v>
      </c>
      <c r="BK51" s="711">
        <f>Segments!BK63/BK$60*100</f>
        <v>7.736250224146322</v>
      </c>
      <c r="BL51" s="711">
        <f>Segments!BL63/BL$60*100</f>
        <v>3.4744422516966225</v>
      </c>
      <c r="BM51" s="711">
        <f>Segments!BM63/BM$60*100</f>
        <v>9.4401141681839604</v>
      </c>
      <c r="BN51" s="711">
        <f ca="1">Segments!BN63/BN$60*100</f>
        <v>10.638764121987391</v>
      </c>
      <c r="BO51" s="710">
        <f ca="1">Segments!BO63/BO$60*100</f>
        <v>31.312938670288393</v>
      </c>
      <c r="BP51" s="711">
        <f ca="1">Segments!BP63/BP$60*100</f>
        <v>11.045034079303782</v>
      </c>
      <c r="BQ51" s="711">
        <f ca="1">Segments!BQ63/BQ$60*100</f>
        <v>15.572335546189883</v>
      </c>
      <c r="BR51" s="711">
        <f ca="1">Segments!BR63/BR$60*100</f>
        <v>15.773218394872011</v>
      </c>
      <c r="BS51" s="711">
        <f ca="1">Segments!BS63/BS$60*100</f>
        <v>13.780479241902663</v>
      </c>
      <c r="BT51" s="710">
        <f ca="1">Segments!BT63/BT$60*100</f>
        <v>56.171585754077789</v>
      </c>
      <c r="BU51" s="711">
        <f ca="1">Segments!BU63/BU$60*100</f>
        <v>14.080357449423076</v>
      </c>
      <c r="BV51" s="711">
        <f ca="1">Segments!BV63/BV$60*100</f>
        <v>13.934522139479007</v>
      </c>
      <c r="BW51" s="711">
        <f ca="1">Segments!BW63/BW$60*100</f>
        <v>14.509619802215095</v>
      </c>
      <c r="BX51" s="711">
        <f ca="1">Segments!BX63/BX$60*100</f>
        <v>13.950253566529497</v>
      </c>
      <c r="BY51" s="710">
        <f ca="1">Segments!BY63/BY$60*100</f>
        <v>56.474752957646722</v>
      </c>
      <c r="BZ51" s="711">
        <f ca="1">Segments!BZ63/BZ$60*100</f>
        <v>16.224456775096755</v>
      </c>
      <c r="CA51" s="711">
        <f ca="1">Segments!CA63/CA$60*100</f>
        <v>16.192368979245423</v>
      </c>
      <c r="CB51" s="711">
        <f ca="1">Segments!CB63/CB$60*100</f>
        <v>16.859228549152046</v>
      </c>
      <c r="CC51" s="711">
        <f ca="1">Segments!CC63/CC$60*100</f>
        <v>16.442373155386541</v>
      </c>
      <c r="CD51" s="710">
        <f ca="1">Segments!CD63/CD$60*100</f>
        <v>65.718427458880782</v>
      </c>
      <c r="CE51" s="634"/>
      <c r="CF51" s="125"/>
      <c r="CG51" s="5"/>
      <c r="CH51" s="202" t="s">
        <v>2410</v>
      </c>
      <c r="CI51" s="5">
        <f>HLOOKUP(CH51,'Key assumptions'!$A$9:$CD$20,4,FALSE)</f>
        <v>61.88</v>
      </c>
      <c r="CJ51" s="5">
        <f t="shared" si="40"/>
        <v>62051</v>
      </c>
    </row>
    <row r="52" spans="1:88" ht="12.75" customHeight="1">
      <c r="A52" s="4"/>
      <c r="B52" s="4"/>
      <c r="C52" s="712"/>
      <c r="D52" s="712"/>
      <c r="E52" s="713"/>
      <c r="F52" s="713"/>
      <c r="G52" s="713"/>
      <c r="H52" s="711"/>
      <c r="I52" s="711"/>
      <c r="J52" s="711"/>
      <c r="K52" s="711"/>
      <c r="L52" s="710"/>
      <c r="M52" s="711"/>
      <c r="N52" s="711"/>
      <c r="O52" s="711"/>
      <c r="P52" s="711"/>
      <c r="Q52" s="710"/>
      <c r="R52" s="711"/>
      <c r="S52" s="711"/>
      <c r="T52" s="711"/>
      <c r="U52" s="711"/>
      <c r="V52" s="710"/>
      <c r="W52" s="711"/>
      <c r="X52" s="711"/>
      <c r="Y52" s="711"/>
      <c r="Z52" s="711"/>
      <c r="AA52" s="710"/>
      <c r="AB52" s="711"/>
      <c r="AC52" s="711"/>
      <c r="AD52" s="711"/>
      <c r="AE52" s="711"/>
      <c r="AF52" s="710"/>
      <c r="AG52" s="711"/>
      <c r="AH52" s="711"/>
      <c r="AI52" s="711"/>
      <c r="AJ52" s="711"/>
      <c r="AK52" s="710"/>
      <c r="AL52" s="711"/>
      <c r="AM52" s="711"/>
      <c r="AN52" s="711"/>
      <c r="AO52" s="711"/>
      <c r="AP52" s="710"/>
      <c r="AQ52" s="711"/>
      <c r="AR52" s="711"/>
      <c r="AS52" s="711"/>
      <c r="AT52" s="711"/>
      <c r="AU52" s="710"/>
      <c r="AV52" s="711"/>
      <c r="AW52" s="711"/>
      <c r="AX52" s="711"/>
      <c r="AY52" s="711"/>
      <c r="AZ52" s="710"/>
      <c r="BA52" s="711"/>
      <c r="BB52" s="711"/>
      <c r="BC52" s="711"/>
      <c r="BD52" s="711"/>
      <c r="BE52" s="710"/>
      <c r="BF52" s="711"/>
      <c r="BG52" s="711"/>
      <c r="BH52" s="711"/>
      <c r="BI52" s="711"/>
      <c r="BJ52" s="710"/>
      <c r="BK52" s="711"/>
      <c r="BL52" s="711"/>
      <c r="BM52" s="711"/>
      <c r="BN52" s="711"/>
      <c r="BO52" s="710"/>
      <c r="BP52" s="711"/>
      <c r="BQ52" s="711"/>
      <c r="BR52" s="711"/>
      <c r="BS52" s="711"/>
      <c r="BT52" s="710"/>
      <c r="BU52" s="711"/>
      <c r="BV52" s="711"/>
      <c r="BW52" s="711"/>
      <c r="BX52" s="711"/>
      <c r="BY52" s="710"/>
      <c r="BZ52" s="711"/>
      <c r="CA52" s="711"/>
      <c r="CB52" s="711"/>
      <c r="CC52" s="711"/>
      <c r="CD52" s="710"/>
      <c r="CE52" s="5"/>
      <c r="CF52" s="5"/>
      <c r="CG52" s="5"/>
      <c r="CH52" s="202" t="s">
        <v>2411</v>
      </c>
      <c r="CI52" s="5">
        <f>HLOOKUP(CH52,'Key assumptions'!$A$9:$CD$20,4,FALSE)</f>
        <v>50.47</v>
      </c>
      <c r="CJ52" s="5">
        <f t="shared" si="40"/>
        <v>56152</v>
      </c>
    </row>
    <row r="53" spans="1:88" ht="12.75" customHeight="1">
      <c r="A53" s="7" t="s">
        <v>1017</v>
      </c>
      <c r="B53" s="4"/>
      <c r="C53" s="70"/>
      <c r="D53" s="70"/>
      <c r="E53" s="70"/>
      <c r="F53" s="70"/>
      <c r="G53" s="70"/>
      <c r="H53" s="85"/>
      <c r="I53" s="85"/>
      <c r="J53" s="85"/>
      <c r="K53" s="85"/>
      <c r="L53" s="70"/>
      <c r="M53" s="323"/>
      <c r="N53" s="323"/>
      <c r="O53" s="323"/>
      <c r="P53" s="323"/>
      <c r="Q53" s="324"/>
      <c r="R53" s="323"/>
      <c r="S53" s="323"/>
      <c r="T53" s="323"/>
      <c r="U53" s="323"/>
      <c r="V53" s="324"/>
      <c r="W53" s="323"/>
      <c r="X53" s="323"/>
      <c r="Y53" s="323"/>
      <c r="Z53" s="323"/>
      <c r="AA53" s="324"/>
      <c r="AB53" s="323"/>
      <c r="AC53" s="323"/>
      <c r="AD53" s="323"/>
      <c r="AE53" s="323"/>
      <c r="AF53" s="324"/>
      <c r="AG53" s="324"/>
      <c r="AH53" s="324"/>
      <c r="AI53" s="324"/>
      <c r="AJ53" s="324"/>
      <c r="AK53" s="324"/>
      <c r="AL53" s="324"/>
      <c r="AM53" s="324"/>
      <c r="AN53" s="324"/>
      <c r="AO53" s="324"/>
      <c r="AP53" s="324"/>
      <c r="AQ53" s="324"/>
      <c r="AR53" s="324"/>
      <c r="AS53" s="324"/>
      <c r="AT53" s="324"/>
      <c r="AU53" s="324"/>
      <c r="AV53" s="324"/>
      <c r="AW53" s="324"/>
      <c r="AX53" s="324"/>
      <c r="AY53" s="324"/>
      <c r="AZ53" s="324"/>
      <c r="BA53" s="324"/>
      <c r="BB53" s="324"/>
      <c r="BC53" s="324"/>
      <c r="BD53" s="324"/>
      <c r="BE53" s="324"/>
      <c r="BF53" s="324"/>
      <c r="BG53" s="324"/>
      <c r="BH53" s="324"/>
      <c r="BI53" s="324"/>
      <c r="BJ53" s="324"/>
      <c r="BK53" s="324"/>
      <c r="BL53" s="324"/>
      <c r="BM53" s="324"/>
      <c r="BN53" s="324"/>
      <c r="BO53" s="324"/>
      <c r="BP53" s="324"/>
      <c r="BQ53" s="324"/>
      <c r="BR53" s="324"/>
      <c r="BS53" s="324"/>
      <c r="BT53" s="324"/>
      <c r="BU53" s="324"/>
      <c r="BV53" s="324"/>
      <c r="BW53" s="324"/>
      <c r="BX53" s="324"/>
      <c r="BY53" s="324"/>
      <c r="BZ53" s="324"/>
      <c r="CA53" s="324"/>
      <c r="CB53" s="324"/>
      <c r="CC53" s="324"/>
      <c r="CD53" s="324"/>
      <c r="CE53" s="5"/>
      <c r="CF53" s="5"/>
      <c r="CG53" s="5"/>
      <c r="CH53" s="202" t="s">
        <v>2412</v>
      </c>
      <c r="CI53" s="5">
        <f>HLOOKUP(CH53,'Key assumptions'!$A$9:$CD$20,4,FALSE)</f>
        <v>43.76</v>
      </c>
      <c r="CJ53" s="5">
        <f t="shared" ref="CJ53" si="43">HLOOKUP(CH53,$A$9:$CD$15,2,FALSE)</f>
        <v>49172</v>
      </c>
    </row>
    <row r="54" spans="1:88" ht="12.75" customHeight="1">
      <c r="A54" s="4"/>
      <c r="B54" s="4" t="s">
        <v>3390</v>
      </c>
      <c r="C54" s="710">
        <f>C$36/C$61*100</f>
        <v>29.042614809917282</v>
      </c>
      <c r="D54" s="710">
        <f>D$36/D$61*100</f>
        <v>30.194030975565362</v>
      </c>
      <c r="E54" s="710">
        <v>55.61</v>
      </c>
      <c r="F54" s="710">
        <v>76.87</v>
      </c>
      <c r="G54" s="710">
        <v>104.52</v>
      </c>
      <c r="H54" s="711"/>
      <c r="I54" s="711"/>
      <c r="J54" s="711"/>
      <c r="K54" s="711"/>
      <c r="L54" s="710">
        <v>109</v>
      </c>
      <c r="M54" s="711">
        <v>23.94</v>
      </c>
      <c r="N54" s="711">
        <v>38.18</v>
      </c>
      <c r="O54" s="711">
        <v>23.07</v>
      </c>
      <c r="P54" s="711">
        <v>22.65</v>
      </c>
      <c r="Q54" s="710">
        <v>107.84</v>
      </c>
      <c r="R54" s="711">
        <v>37.25</v>
      </c>
      <c r="S54" s="711">
        <v>49.23</v>
      </c>
      <c r="T54" s="711">
        <v>42.56</v>
      </c>
      <c r="U54" s="711">
        <v>-17.62</v>
      </c>
      <c r="V54" s="710">
        <v>111.56</v>
      </c>
      <c r="W54" s="711">
        <v>13.54</v>
      </c>
      <c r="X54" s="711">
        <v>23.16</v>
      </c>
      <c r="Y54" s="711">
        <v>28.18</v>
      </c>
      <c r="Z54" s="711">
        <v>22.64</v>
      </c>
      <c r="AA54" s="710">
        <v>87.54</v>
      </c>
      <c r="AB54" s="711">
        <v>31.99</v>
      </c>
      <c r="AC54" s="711">
        <v>-91.29</v>
      </c>
      <c r="AD54" s="711">
        <v>9.3800000000000008</v>
      </c>
      <c r="AE54" s="711">
        <v>29.28</v>
      </c>
      <c r="AF54" s="710">
        <v>-19.809999999999999</v>
      </c>
      <c r="AG54" s="711">
        <f>AG36/AG$61*100</f>
        <v>38.101967356793409</v>
      </c>
      <c r="AH54" s="711">
        <v>29.9</v>
      </c>
      <c r="AI54" s="711">
        <f t="shared" ref="AI54:CD54" si="44">AI36/AI$61*100</f>
        <v>26.283419696491389</v>
      </c>
      <c r="AJ54" s="711">
        <f t="shared" si="44"/>
        <v>39.993039077544552</v>
      </c>
      <c r="AK54" s="710">
        <f t="shared" si="44"/>
        <v>133.74380016823616</v>
      </c>
      <c r="AL54" s="711">
        <f t="shared" si="44"/>
        <v>30.741811607941749</v>
      </c>
      <c r="AM54" s="711">
        <f t="shared" si="44"/>
        <v>-7.1819392636100989</v>
      </c>
      <c r="AN54" s="711">
        <f t="shared" si="44"/>
        <v>28.391056764871998</v>
      </c>
      <c r="AO54" s="711">
        <f t="shared" si="44"/>
        <v>8.4368203907832999</v>
      </c>
      <c r="AP54" s="710">
        <f t="shared" si="44"/>
        <v>60.455515764576973</v>
      </c>
      <c r="AQ54" s="711">
        <f t="shared" si="44"/>
        <v>87.610599744769118</v>
      </c>
      <c r="AR54" s="711">
        <f t="shared" si="44"/>
        <v>10.686249821285292</v>
      </c>
      <c r="AS54" s="711">
        <f t="shared" si="44"/>
        <v>18.474006956222826</v>
      </c>
      <c r="AT54" s="711">
        <f t="shared" si="44"/>
        <v>5.5419559572994954</v>
      </c>
      <c r="AU54" s="710">
        <f t="shared" si="44"/>
        <v>123.12709750142457</v>
      </c>
      <c r="AV54" s="711">
        <f t="shared" si="44"/>
        <v>18.973333968646028</v>
      </c>
      <c r="AW54" s="711">
        <f t="shared" si="44"/>
        <v>18.155080601498458</v>
      </c>
      <c r="AX54" s="711">
        <f t="shared" si="44"/>
        <v>6.9731595521069352</v>
      </c>
      <c r="AY54" s="711">
        <f t="shared" si="44"/>
        <v>-24.039810843182046</v>
      </c>
      <c r="AZ54" s="710">
        <f t="shared" si="44"/>
        <v>20.435421527062282</v>
      </c>
      <c r="BA54" s="711">
        <f t="shared" si="44"/>
        <v>14.21102331929526</v>
      </c>
      <c r="BB54" s="711">
        <f t="shared" si="44"/>
        <v>-31.819886002512476</v>
      </c>
      <c r="BC54" s="711">
        <f t="shared" si="44"/>
        <v>0.25038570284573153</v>
      </c>
      <c r="BD54" s="711">
        <f t="shared" si="44"/>
        <v>-18.003094768465068</v>
      </c>
      <c r="BE54" s="710">
        <f t="shared" si="44"/>
        <v>-35.375055815856733</v>
      </c>
      <c r="BF54" s="711">
        <f t="shared" si="44"/>
        <v>-3.1567037558602067</v>
      </c>
      <c r="BG54" s="711">
        <f t="shared" si="44"/>
        <v>-7.5942461196158524</v>
      </c>
      <c r="BH54" s="711">
        <f t="shared" si="44"/>
        <v>8.5619515330121381</v>
      </c>
      <c r="BI54" s="711">
        <f t="shared" si="44"/>
        <v>2.6010594005034338</v>
      </c>
      <c r="BJ54" s="710">
        <f t="shared" si="44"/>
        <v>0.60990747491463815</v>
      </c>
      <c r="BK54" s="711">
        <f t="shared" si="44"/>
        <v>7.3847316773798797</v>
      </c>
      <c r="BL54" s="711">
        <f t="shared" si="44"/>
        <v>0.72787752732725197</v>
      </c>
      <c r="BM54" s="711">
        <f t="shared" si="44"/>
        <v>8.9043273067631361</v>
      </c>
      <c r="BN54" s="711">
        <f t="shared" ca="1" si="44"/>
        <v>0.1354765047362837</v>
      </c>
      <c r="BO54" s="710">
        <f t="shared" ca="1" si="44"/>
        <v>17.115834427104513</v>
      </c>
      <c r="BP54" s="711">
        <f t="shared" ca="1" si="44"/>
        <v>10.610067064822607</v>
      </c>
      <c r="BQ54" s="711">
        <f t="shared" ca="1" si="44"/>
        <v>15.141591851139552</v>
      </c>
      <c r="BR54" s="711">
        <f t="shared" ca="1" si="44"/>
        <v>15.359104065813634</v>
      </c>
      <c r="BS54" s="711">
        <f t="shared" ca="1" si="44"/>
        <v>13.384439801601841</v>
      </c>
      <c r="BT54" s="710">
        <f t="shared" ca="1" si="44"/>
        <v>54.495062892759847</v>
      </c>
      <c r="BU54" s="711">
        <f t="shared" ca="1" si="44"/>
        <v>13.618207329839294</v>
      </c>
      <c r="BV54" s="711">
        <f t="shared" ca="1" si="44"/>
        <v>13.476405134847012</v>
      </c>
      <c r="BW54" s="711">
        <f t="shared" ca="1" si="44"/>
        <v>14.084056271845832</v>
      </c>
      <c r="BX54" s="711">
        <f t="shared" ca="1" si="44"/>
        <v>13.531526181500405</v>
      </c>
      <c r="BY54" s="710">
        <f t="shared" ca="1" si="44"/>
        <v>54.710194918032563</v>
      </c>
      <c r="BZ54" s="711">
        <f t="shared" ca="1" si="44"/>
        <v>15.73989318257634</v>
      </c>
      <c r="CA54" s="711">
        <f t="shared" ca="1" si="44"/>
        <v>15.705540913580174</v>
      </c>
      <c r="CB54" s="711">
        <f t="shared" ca="1" si="44"/>
        <v>16.404452573266308</v>
      </c>
      <c r="CC54" s="711">
        <f t="shared" ca="1" si="44"/>
        <v>15.987956607645911</v>
      </c>
      <c r="CD54" s="710">
        <f t="shared" ca="1" si="44"/>
        <v>63.83784327706875</v>
      </c>
      <c r="CE54" s="5"/>
      <c r="CF54" s="5"/>
      <c r="CG54" s="5"/>
      <c r="CH54" s="202" t="s">
        <v>2413</v>
      </c>
      <c r="CI54" s="5">
        <f>HLOOKUP(CH54,'Key assumptions'!$A$9:$CD$20,4,FALSE)</f>
        <v>33.94</v>
      </c>
      <c r="CJ54" s="5">
        <f t="shared" ref="CJ54" si="45">HLOOKUP(CH54,$A$9:$CD$15,2,FALSE)</f>
        <v>38512</v>
      </c>
    </row>
    <row r="55" spans="1:88" ht="12.75" customHeight="1">
      <c r="A55" s="4"/>
      <c r="B55" s="4" t="s">
        <v>1936</v>
      </c>
      <c r="C55" s="325"/>
      <c r="D55" s="325"/>
      <c r="E55" s="710">
        <f>Segments!E$22/E$61*100</f>
        <v>55.561868334381934</v>
      </c>
      <c r="F55" s="710">
        <f>Segments!F$22/F$61*100</f>
        <v>73.280132865996038</v>
      </c>
      <c r="G55" s="710">
        <f>Segments!G$22/G$61*100</f>
        <v>91.133495087931237</v>
      </c>
      <c r="H55" s="711"/>
      <c r="I55" s="711"/>
      <c r="J55" s="711"/>
      <c r="K55" s="711"/>
      <c r="L55" s="710">
        <f>Segments!L$22/L$61*100</f>
        <v>109.24238509470794</v>
      </c>
      <c r="M55" s="711">
        <f>Segments!M$22/M$61*100</f>
        <v>23.035978883765019</v>
      </c>
      <c r="N55" s="711">
        <f>Segments!N$22/N$61*100</f>
        <v>33.906464145006701</v>
      </c>
      <c r="O55" s="711">
        <f>Segments!O$22/O$61*100</f>
        <v>21.255901099971869</v>
      </c>
      <c r="P55" s="711">
        <f>Segments!P$22/P$61*100</f>
        <v>17.94036441176436</v>
      </c>
      <c r="Q55" s="710">
        <f>Segments!Q$22/Q$61*100</f>
        <v>95.048992659185714</v>
      </c>
      <c r="R55" s="711">
        <f>Segments!R$22/R$61*100</f>
        <v>33.005712542355219</v>
      </c>
      <c r="S55" s="711">
        <f>Segments!S$22/S$61*100</f>
        <v>35.871335486768594</v>
      </c>
      <c r="T55" s="711">
        <f>Segments!T$22/T$61*100</f>
        <v>53.556305952147987</v>
      </c>
      <c r="U55" s="711">
        <f>Segments!U$22/U$61*100</f>
        <v>13.82157736328559</v>
      </c>
      <c r="V55" s="710">
        <f>Segments!V$22/V$61*100</f>
        <v>134.9662600170642</v>
      </c>
      <c r="W55" s="711">
        <f>Segments!W$22/W$61*100</f>
        <v>12.615935665598954</v>
      </c>
      <c r="X55" s="711">
        <f>Segments!X$22/X$61*100</f>
        <v>16.58748870175431</v>
      </c>
      <c r="Y55" s="711">
        <f>Segments!Y$22/Y$61*100</f>
        <v>26.303308888664873</v>
      </c>
      <c r="Z55" s="711">
        <f>Segments!Z$22/Z$61*100</f>
        <v>18.170616873729287</v>
      </c>
      <c r="AA55" s="710">
        <f>Segments!AA$22/AA$61*100</f>
        <v>73.696808846320948</v>
      </c>
      <c r="AB55" s="711">
        <f>Segments!AB$22/AB$61*100</f>
        <v>29.455809445433083</v>
      </c>
      <c r="AC55" s="711">
        <f>Segments!AC$22/AC$61*100</f>
        <v>-89.182920406726254</v>
      </c>
      <c r="AD55" s="711">
        <f>Segments!AD$22/AD$61*100</f>
        <v>9.7107102141109074</v>
      </c>
      <c r="AE55" s="711">
        <f>Segments!AE$22/AE$61*100</f>
        <v>24.273595299823882</v>
      </c>
      <c r="AF55" s="710">
        <f>Segments!AF$22/AF$61*100</f>
        <v>-25.86614339223469</v>
      </c>
      <c r="AG55" s="711">
        <f t="shared" ref="AG55:BL55" si="46">AG39/AG$61*100</f>
        <v>29.472034579400031</v>
      </c>
      <c r="AH55" s="711">
        <f t="shared" si="46"/>
        <v>28.280989703878635</v>
      </c>
      <c r="AI55" s="711">
        <f t="shared" si="46"/>
        <v>27.497783525419113</v>
      </c>
      <c r="AJ55" s="711">
        <f t="shared" si="46"/>
        <v>39.581920003097444</v>
      </c>
      <c r="AK55" s="710">
        <f t="shared" si="46"/>
        <v>124.37653011754257</v>
      </c>
      <c r="AL55" s="711">
        <f t="shared" si="46"/>
        <v>25.617310129424325</v>
      </c>
      <c r="AM55" s="711">
        <f t="shared" si="46"/>
        <v>1.2341527398839016</v>
      </c>
      <c r="AN55" s="711">
        <f t="shared" si="46"/>
        <v>24.488200783392536</v>
      </c>
      <c r="AO55" s="711">
        <f t="shared" si="46"/>
        <v>11.153497414020691</v>
      </c>
      <c r="AP55" s="710">
        <f t="shared" si="46"/>
        <v>62.600846189308555</v>
      </c>
      <c r="AQ55" s="711">
        <f t="shared" si="46"/>
        <v>86.223418926892521</v>
      </c>
      <c r="AR55" s="711">
        <f t="shared" si="46"/>
        <v>12.559745137651666</v>
      </c>
      <c r="AS55" s="711">
        <f t="shared" si="46"/>
        <v>16.755249459724926</v>
      </c>
      <c r="AT55" s="711">
        <f t="shared" si="46"/>
        <v>8.0150936925627061</v>
      </c>
      <c r="AU55" s="710">
        <f t="shared" si="46"/>
        <v>124.33468917876573</v>
      </c>
      <c r="AV55" s="711">
        <f t="shared" si="46"/>
        <v>18.688303724785982</v>
      </c>
      <c r="AW55" s="711">
        <f t="shared" si="46"/>
        <v>17.14736315641677</v>
      </c>
      <c r="AX55" s="711">
        <f t="shared" si="46"/>
        <v>12.892236846337237</v>
      </c>
      <c r="AY55" s="711">
        <f t="shared" si="46"/>
        <v>-5.2858127313463585</v>
      </c>
      <c r="AZ55" s="710">
        <f t="shared" si="46"/>
        <v>43.644221689940153</v>
      </c>
      <c r="BA55" s="711">
        <f t="shared" si="46"/>
        <v>11.485696402950781</v>
      </c>
      <c r="BB55" s="711">
        <f t="shared" si="46"/>
        <v>-34.24066730066</v>
      </c>
      <c r="BC55" s="711">
        <f t="shared" si="46"/>
        <v>6.7168686372094051</v>
      </c>
      <c r="BD55" s="711">
        <f t="shared" si="46"/>
        <v>-12.156308018742818</v>
      </c>
      <c r="BE55" s="710">
        <f t="shared" si="46"/>
        <v>-28.171249324506704</v>
      </c>
      <c r="BF55" s="711">
        <f t="shared" si="46"/>
        <v>-2.6260743080483708</v>
      </c>
      <c r="BG55" s="711">
        <f t="shared" si="46"/>
        <v>-12.025560980110514</v>
      </c>
      <c r="BH55" s="711">
        <f t="shared" si="46"/>
        <v>8.7786428989710874</v>
      </c>
      <c r="BI55" s="711">
        <f t="shared" si="46"/>
        <v>0.37681343427816338</v>
      </c>
      <c r="BJ55" s="710">
        <f t="shared" si="46"/>
        <v>-5.2982397168671609</v>
      </c>
      <c r="BK55" s="711">
        <f t="shared" si="46"/>
        <v>7.1961636497311172</v>
      </c>
      <c r="BL55" s="711">
        <f t="shared" si="46"/>
        <v>2.7952518931386829</v>
      </c>
      <c r="BM55" s="711">
        <f t="shared" ref="BM55:CD55" si="47">BM39/BM$61*100</f>
        <v>6.9412477987712631</v>
      </c>
      <c r="BN55" s="711">
        <f t="shared" ca="1" si="47"/>
        <v>-2.9252889726390148</v>
      </c>
      <c r="BO55" s="710">
        <f t="shared" ca="1" si="47"/>
        <v>13.944177885286384</v>
      </c>
      <c r="BP55" s="711">
        <f t="shared" ca="1" si="47"/>
        <v>10.610067064822607</v>
      </c>
      <c r="BQ55" s="711">
        <f t="shared" ca="1" si="47"/>
        <v>15.141591851139552</v>
      </c>
      <c r="BR55" s="711">
        <f t="shared" ca="1" si="47"/>
        <v>15.359104065813634</v>
      </c>
      <c r="BS55" s="711">
        <f t="shared" ca="1" si="47"/>
        <v>13.384439801601841</v>
      </c>
      <c r="BT55" s="710">
        <f t="shared" ca="1" si="47"/>
        <v>54.495062892759847</v>
      </c>
      <c r="BU55" s="711">
        <f t="shared" ca="1" si="47"/>
        <v>13.618207329839294</v>
      </c>
      <c r="BV55" s="711">
        <f t="shared" ca="1" si="47"/>
        <v>13.476405134847012</v>
      </c>
      <c r="BW55" s="711">
        <f t="shared" ca="1" si="47"/>
        <v>14.084056271845832</v>
      </c>
      <c r="BX55" s="711">
        <f t="shared" ca="1" si="47"/>
        <v>13.531526181500405</v>
      </c>
      <c r="BY55" s="710">
        <f t="shared" ca="1" si="47"/>
        <v>54.710194918032563</v>
      </c>
      <c r="BZ55" s="711">
        <f t="shared" ca="1" si="47"/>
        <v>15.73989318257634</v>
      </c>
      <c r="CA55" s="711">
        <f t="shared" ca="1" si="47"/>
        <v>15.705540913580174</v>
      </c>
      <c r="CB55" s="711">
        <f t="shared" ca="1" si="47"/>
        <v>16.404452573266308</v>
      </c>
      <c r="CC55" s="711">
        <f t="shared" ca="1" si="47"/>
        <v>15.987956607645911</v>
      </c>
      <c r="CD55" s="710">
        <f t="shared" ca="1" si="47"/>
        <v>63.83784327706875</v>
      </c>
      <c r="CE55" s="5"/>
      <c r="CF55" s="5"/>
      <c r="CG55" s="5"/>
      <c r="CH55" s="202" t="s">
        <v>2414</v>
      </c>
      <c r="CI55" s="5">
        <f>HLOOKUP(CH55,'Key assumptions'!$A$9:$CD$20,4,FALSE)</f>
        <v>45.59</v>
      </c>
      <c r="CJ55" s="5">
        <f t="shared" ref="CJ55" si="48">HLOOKUP(CH55,$A$9:$CD$15,2,FALSE)</f>
        <v>46442</v>
      </c>
    </row>
    <row r="56" spans="1:88" ht="12.75" customHeight="1">
      <c r="A56" s="4"/>
      <c r="B56" s="7" t="s">
        <v>1081</v>
      </c>
      <c r="C56" s="325"/>
      <c r="D56" s="325"/>
      <c r="E56" s="326">
        <f>Segments!E$63/E$61*100</f>
        <v>56.605409324047663</v>
      </c>
      <c r="F56" s="326">
        <f>Segments!F$63/F$61*100</f>
        <v>78.039573424934687</v>
      </c>
      <c r="G56" s="326">
        <f>Segments!G$63/G$61*100</f>
        <v>99.199274107910597</v>
      </c>
      <c r="H56" s="635"/>
      <c r="I56" s="635"/>
      <c r="J56" s="635"/>
      <c r="K56" s="635"/>
      <c r="L56" s="636">
        <f>Segments!L$63/L$61*100</f>
        <v>103.98377694628169</v>
      </c>
      <c r="M56" s="635">
        <f>Segments!M$63/M$61*100</f>
        <v>22.849368793797524</v>
      </c>
      <c r="N56" s="635">
        <f>Segments!N$63/N$61*100</f>
        <v>28.821539728685565</v>
      </c>
      <c r="O56" s="635">
        <f>Segments!O$63/O$61*100</f>
        <v>23.611242107339518</v>
      </c>
      <c r="P56" s="635">
        <f>Segments!P$63/P$61*100</f>
        <v>23.922247331975633</v>
      </c>
      <c r="Q56" s="636">
        <f>Segments!Q$63/Q$61*100</f>
        <v>98.003427869223557</v>
      </c>
      <c r="R56" s="635">
        <f>Segments!R$63/R$61*100</f>
        <v>33.026900610108292</v>
      </c>
      <c r="S56" s="635">
        <f>Segments!S$63/S$61*100</f>
        <v>45.309761293026263</v>
      </c>
      <c r="T56" s="635">
        <f>Segments!T$63/T$61*100</f>
        <v>47.431160581012904</v>
      </c>
      <c r="U56" s="635">
        <f>Segments!U$63/U$61*100</f>
        <v>13.917746050003466</v>
      </c>
      <c r="V56" s="636">
        <f>Segments!V$63/V$61*100</f>
        <v>138.39407500597099</v>
      </c>
      <c r="W56" s="635">
        <f>Segments!W$63/W$61*100</f>
        <v>13.641277734776247</v>
      </c>
      <c r="X56" s="635">
        <f>Segments!X$63/X$61*100</f>
        <v>15.520395479539545</v>
      </c>
      <c r="Y56" s="635">
        <f>Segments!Y$63/Y$61*100</f>
        <v>24.68212522497884</v>
      </c>
      <c r="Z56" s="635">
        <f>Segments!Z$63/Z$61*100</f>
        <v>23.109946148659471</v>
      </c>
      <c r="AA56" s="636">
        <f>Segments!AA$63/AA$61*100</f>
        <v>76.981611075085681</v>
      </c>
      <c r="AB56" s="635">
        <f>Segments!AB$63/AB$61*100</f>
        <v>29.713639860371671</v>
      </c>
      <c r="AC56" s="635">
        <f>Segments!AC$63/AC$61*100</f>
        <v>26.166908833176027</v>
      </c>
      <c r="AD56" s="635">
        <f>Segments!AD$63/AD$61*100</f>
        <v>29.079555059148582</v>
      </c>
      <c r="AE56" s="635">
        <f>Segments!AE$63/AE$61*100</f>
        <v>22.958380990123846</v>
      </c>
      <c r="AF56" s="636">
        <f>Segments!AF$63/AF$61*100</f>
        <v>108.02299444351655</v>
      </c>
      <c r="AG56" s="635">
        <f t="shared" ref="AG56:AO56" si="49">AG42/AG$61*100</f>
        <v>28.910012176976966</v>
      </c>
      <c r="AH56" s="635">
        <f t="shared" si="49"/>
        <v>29.839660858262924</v>
      </c>
      <c r="AI56" s="635">
        <f t="shared" si="49"/>
        <v>28.472401705717328</v>
      </c>
      <c r="AJ56" s="635">
        <f t="shared" si="49"/>
        <v>25.947338040421226</v>
      </c>
      <c r="AK56" s="636">
        <f t="shared" si="49"/>
        <v>112.70907486551202</v>
      </c>
      <c r="AL56" s="635">
        <f t="shared" si="49"/>
        <v>24.941665918260767</v>
      </c>
      <c r="AM56" s="635">
        <f t="shared" si="49"/>
        <v>19.108625405345279</v>
      </c>
      <c r="AN56" s="635">
        <f t="shared" si="49"/>
        <v>27.011734169007767</v>
      </c>
      <c r="AO56" s="635">
        <f t="shared" si="49"/>
        <v>20.773975548133912</v>
      </c>
      <c r="AP56" s="636">
        <f>SUM(AL56:AO56)</f>
        <v>91.836001040747732</v>
      </c>
      <c r="AQ56" s="635">
        <f t="shared" ref="AQ56:BI56" si="50">AQ42/AQ$61*100</f>
        <v>21.898753360861168</v>
      </c>
      <c r="AR56" s="635">
        <f t="shared" si="50"/>
        <v>14.192512005546382</v>
      </c>
      <c r="AS56" s="635">
        <f t="shared" si="50"/>
        <v>19.465192260951678</v>
      </c>
      <c r="AT56" s="635">
        <f t="shared" si="50"/>
        <v>14.939879351299693</v>
      </c>
      <c r="AU56" s="636">
        <f t="shared" si="50"/>
        <v>70.502352362335472</v>
      </c>
      <c r="AV56" s="635">
        <f t="shared" si="50"/>
        <v>17.343821442427281</v>
      </c>
      <c r="AW56" s="635">
        <f t="shared" si="50"/>
        <v>19.588518250652093</v>
      </c>
      <c r="AX56" s="635">
        <f t="shared" si="50"/>
        <v>16.416655472673458</v>
      </c>
      <c r="AY56" s="635">
        <f t="shared" si="50"/>
        <v>12.21355490762074</v>
      </c>
      <c r="AZ56" s="636">
        <f t="shared" si="50"/>
        <v>65.609596733446523</v>
      </c>
      <c r="BA56" s="635">
        <f t="shared" si="50"/>
        <v>9.1253666766249424</v>
      </c>
      <c r="BB56" s="635">
        <f t="shared" si="50"/>
        <v>7.174911612793899</v>
      </c>
      <c r="BC56" s="635">
        <f t="shared" si="50"/>
        <v>9.9011215973127307</v>
      </c>
      <c r="BD56" s="635">
        <f t="shared" si="50"/>
        <v>1.067011362146705</v>
      </c>
      <c r="BE56" s="636">
        <f t="shared" si="50"/>
        <v>27.280760608450962</v>
      </c>
      <c r="BF56" s="635">
        <f t="shared" ca="1" si="50"/>
        <v>2.8805598595499653</v>
      </c>
      <c r="BG56" s="635">
        <f t="shared" ca="1" si="50"/>
        <v>3.8533172699953586</v>
      </c>
      <c r="BH56" s="635">
        <f t="shared" si="50"/>
        <v>4.9310498643829161</v>
      </c>
      <c r="BI56" s="635">
        <f t="shared" si="50"/>
        <v>2.093407968212019</v>
      </c>
      <c r="BJ56" s="636">
        <f ca="1">SUM(BF56:BI56)</f>
        <v>13.75833496214026</v>
      </c>
      <c r="BK56" s="635">
        <f>BK42/BK$61*100</f>
        <v>7.6956141013413513</v>
      </c>
      <c r="BL56" s="635">
        <f>BL42/BL$61*100</f>
        <v>3.4574182548044465</v>
      </c>
      <c r="BM56" s="635">
        <f>BM42/BM$61*100</f>
        <v>9.3875468779611371</v>
      </c>
      <c r="BN56" s="635">
        <f ca="1">BN42/BN$61*100</f>
        <v>10.572185017753695</v>
      </c>
      <c r="BO56" s="636">
        <f ca="1">SUM(BK56:BN56)</f>
        <v>31.112764251860632</v>
      </c>
      <c r="BP56" s="635">
        <f ca="1">BP42/BP$61*100</f>
        <v>10.975952233786689</v>
      </c>
      <c r="BQ56" s="635">
        <f ca="1">BQ42/BQ$61*100</f>
        <v>15.474932899740349</v>
      </c>
      <c r="BR56" s="635">
        <f ca="1">BR42/BR$61*100</f>
        <v>15.67455924415812</v>
      </c>
      <c r="BS56" s="635">
        <f ca="1">BS42/BS$61*100</f>
        <v>13.694284380155015</v>
      </c>
      <c r="BT56" s="636">
        <f ca="1">SUM(BP56:BS56)</f>
        <v>55.819728757840167</v>
      </c>
      <c r="BU56" s="635">
        <f ca="1">BU42/BU$61*100</f>
        <v>13.99228689379094</v>
      </c>
      <c r="BV56" s="635">
        <f ca="1">BV42/BV$61*100</f>
        <v>13.847363762165052</v>
      </c>
      <c r="BW56" s="635">
        <f ca="1">BW42/BW$61*100</f>
        <v>14.418864273984919</v>
      </c>
      <c r="BX56" s="635">
        <f ca="1">BX42/BX$61*100</f>
        <v>13.86299679146348</v>
      </c>
      <c r="BY56" s="636">
        <f ca="1">SUM(BU56:BX56)</f>
        <v>56.121511721404396</v>
      </c>
      <c r="BZ56" s="635">
        <f ca="1">BZ42/BZ$61*100</f>
        <v>16.122975194949024</v>
      </c>
      <c r="CA56" s="635">
        <f ca="1">CA42/CA$61*100</f>
        <v>16.091088103520132</v>
      </c>
      <c r="CB56" s="635">
        <f ca="1">CB42/CB$61*100</f>
        <v>16.753776565337972</v>
      </c>
      <c r="CC56" s="635">
        <f ca="1">CC42/CC$61*100</f>
        <v>16.339528540474785</v>
      </c>
      <c r="CD56" s="636">
        <f ca="1">SUM(BZ56:CC56)</f>
        <v>65.307368404281917</v>
      </c>
      <c r="CE56" s="5"/>
      <c r="CF56" s="5"/>
      <c r="CG56" s="5"/>
      <c r="CH56" s="202" t="s">
        <v>2415</v>
      </c>
      <c r="CI56" s="5">
        <f>HLOOKUP(CH56,'Key assumptions'!$A$9:$CD$20,4,FALSE)</f>
        <v>45.86</v>
      </c>
      <c r="CJ56" s="5">
        <f t="shared" ref="CJ56" si="51">HLOOKUP(CH56,$A$9:$CD$15,2,FALSE)</f>
        <v>47047</v>
      </c>
    </row>
    <row r="57" spans="1:88" ht="12.75" customHeight="1">
      <c r="A57" s="4"/>
      <c r="B57" s="4" t="s">
        <v>2453</v>
      </c>
      <c r="C57" s="325"/>
      <c r="D57" s="325"/>
      <c r="E57" s="324">
        <f>+E56</f>
        <v>56.605409324047663</v>
      </c>
      <c r="F57" s="324">
        <f t="shared" ref="F57:BQ57" si="52">+F56</f>
        <v>78.039573424934687</v>
      </c>
      <c r="G57" s="324">
        <f t="shared" si="52"/>
        <v>99.199274107910597</v>
      </c>
      <c r="H57" s="633">
        <f t="shared" si="52"/>
        <v>0</v>
      </c>
      <c r="I57" s="633">
        <f t="shared" si="52"/>
        <v>0</v>
      </c>
      <c r="J57" s="633">
        <f t="shared" si="52"/>
        <v>0</v>
      </c>
      <c r="K57" s="633">
        <f t="shared" si="52"/>
        <v>0</v>
      </c>
      <c r="L57" s="637">
        <f t="shared" si="52"/>
        <v>103.98377694628169</v>
      </c>
      <c r="M57" s="633">
        <f t="shared" si="52"/>
        <v>22.849368793797524</v>
      </c>
      <c r="N57" s="633">
        <f t="shared" si="52"/>
        <v>28.821539728685565</v>
      </c>
      <c r="O57" s="633">
        <f t="shared" si="52"/>
        <v>23.611242107339518</v>
      </c>
      <c r="P57" s="633">
        <f t="shared" si="52"/>
        <v>23.922247331975633</v>
      </c>
      <c r="Q57" s="637">
        <f t="shared" si="52"/>
        <v>98.003427869223557</v>
      </c>
      <c r="R57" s="633">
        <f t="shared" si="52"/>
        <v>33.026900610108292</v>
      </c>
      <c r="S57" s="633">
        <f t="shared" si="52"/>
        <v>45.309761293026263</v>
      </c>
      <c r="T57" s="633">
        <f t="shared" si="52"/>
        <v>47.431160581012904</v>
      </c>
      <c r="U57" s="633">
        <f t="shared" si="52"/>
        <v>13.917746050003466</v>
      </c>
      <c r="V57" s="637">
        <f t="shared" si="52"/>
        <v>138.39407500597099</v>
      </c>
      <c r="W57" s="633">
        <f t="shared" si="52"/>
        <v>13.641277734776247</v>
      </c>
      <c r="X57" s="633">
        <f t="shared" si="52"/>
        <v>15.520395479539545</v>
      </c>
      <c r="Y57" s="633">
        <f t="shared" si="52"/>
        <v>24.68212522497884</v>
      </c>
      <c r="Z57" s="633">
        <f t="shared" si="52"/>
        <v>23.109946148659471</v>
      </c>
      <c r="AA57" s="637">
        <f t="shared" si="52"/>
        <v>76.981611075085681</v>
      </c>
      <c r="AB57" s="633">
        <f t="shared" si="52"/>
        <v>29.713639860371671</v>
      </c>
      <c r="AC57" s="633">
        <f t="shared" si="52"/>
        <v>26.166908833176027</v>
      </c>
      <c r="AD57" s="633">
        <f t="shared" si="52"/>
        <v>29.079555059148582</v>
      </c>
      <c r="AE57" s="633">
        <f t="shared" si="52"/>
        <v>22.958380990123846</v>
      </c>
      <c r="AF57" s="637">
        <f t="shared" si="52"/>
        <v>108.02299444351655</v>
      </c>
      <c r="AG57" s="633">
        <f t="shared" si="52"/>
        <v>28.910012176976966</v>
      </c>
      <c r="AH57" s="633">
        <f t="shared" si="52"/>
        <v>29.839660858262924</v>
      </c>
      <c r="AI57" s="633">
        <f t="shared" si="52"/>
        <v>28.472401705717328</v>
      </c>
      <c r="AJ57" s="633">
        <f t="shared" si="52"/>
        <v>25.947338040421226</v>
      </c>
      <c r="AK57" s="637">
        <f t="shared" si="52"/>
        <v>112.70907486551202</v>
      </c>
      <c r="AL57" s="633">
        <f t="shared" si="52"/>
        <v>24.941665918260767</v>
      </c>
      <c r="AM57" s="633">
        <f t="shared" si="52"/>
        <v>19.108625405345279</v>
      </c>
      <c r="AN57" s="633">
        <f t="shared" si="52"/>
        <v>27.011734169007767</v>
      </c>
      <c r="AO57" s="633">
        <f t="shared" si="52"/>
        <v>20.773975548133912</v>
      </c>
      <c r="AP57" s="637">
        <f>+AP56</f>
        <v>91.836001040747732</v>
      </c>
      <c r="AQ57" s="633">
        <f t="shared" si="52"/>
        <v>21.898753360861168</v>
      </c>
      <c r="AR57" s="633">
        <f t="shared" si="52"/>
        <v>14.192512005546382</v>
      </c>
      <c r="AS57" s="633">
        <f t="shared" si="52"/>
        <v>19.465192260951678</v>
      </c>
      <c r="AT57" s="633">
        <f t="shared" si="52"/>
        <v>14.939879351299693</v>
      </c>
      <c r="AU57" s="637">
        <f t="shared" si="52"/>
        <v>70.502352362335472</v>
      </c>
      <c r="AV57" s="633">
        <f t="shared" si="52"/>
        <v>17.343821442427281</v>
      </c>
      <c r="AW57" s="633">
        <f t="shared" si="52"/>
        <v>19.588518250652093</v>
      </c>
      <c r="AX57" s="633">
        <f t="shared" si="52"/>
        <v>16.416655472673458</v>
      </c>
      <c r="AY57" s="633">
        <f>+AY56</f>
        <v>12.21355490762074</v>
      </c>
      <c r="AZ57" s="637">
        <f t="shared" si="52"/>
        <v>65.609596733446523</v>
      </c>
      <c r="BA57" s="633">
        <f t="shared" si="52"/>
        <v>9.1253666766249424</v>
      </c>
      <c r="BB57" s="633">
        <f t="shared" si="52"/>
        <v>7.174911612793899</v>
      </c>
      <c r="BC57" s="633">
        <f>+BC56</f>
        <v>9.9011215973127307</v>
      </c>
      <c r="BD57" s="633">
        <f t="shared" si="52"/>
        <v>1.067011362146705</v>
      </c>
      <c r="BE57" s="637">
        <f>+BE56</f>
        <v>27.280760608450962</v>
      </c>
      <c r="BF57" s="633">
        <f t="shared" ca="1" si="52"/>
        <v>2.8805598595499653</v>
      </c>
      <c r="BG57" s="633">
        <f t="shared" ca="1" si="52"/>
        <v>3.8533172699953586</v>
      </c>
      <c r="BH57" s="633">
        <f t="shared" si="52"/>
        <v>4.9310498643829161</v>
      </c>
      <c r="BI57" s="633">
        <f t="shared" si="52"/>
        <v>2.093407968212019</v>
      </c>
      <c r="BJ57" s="637">
        <f t="shared" ca="1" si="52"/>
        <v>13.75833496214026</v>
      </c>
      <c r="BK57" s="633">
        <f t="shared" si="52"/>
        <v>7.6956141013413513</v>
      </c>
      <c r="BL57" s="633">
        <f t="shared" si="52"/>
        <v>3.4574182548044465</v>
      </c>
      <c r="BM57" s="633">
        <f t="shared" si="52"/>
        <v>9.3875468779611371</v>
      </c>
      <c r="BN57" s="633">
        <f t="shared" ca="1" si="52"/>
        <v>10.572185017753695</v>
      </c>
      <c r="BO57" s="637">
        <f t="shared" ca="1" si="52"/>
        <v>31.112764251860632</v>
      </c>
      <c r="BP57" s="633">
        <f t="shared" ca="1" si="52"/>
        <v>10.975952233786689</v>
      </c>
      <c r="BQ57" s="633">
        <f t="shared" ca="1" si="52"/>
        <v>15.474932899740349</v>
      </c>
      <c r="BR57" s="633">
        <f t="shared" ref="BR57:CD57" ca="1" si="53">+BR56</f>
        <v>15.67455924415812</v>
      </c>
      <c r="BS57" s="633">
        <f t="shared" ca="1" si="53"/>
        <v>13.694284380155015</v>
      </c>
      <c r="BT57" s="637">
        <f t="shared" ca="1" si="53"/>
        <v>55.819728757840167</v>
      </c>
      <c r="BU57" s="633">
        <f t="shared" ca="1" si="53"/>
        <v>13.99228689379094</v>
      </c>
      <c r="BV57" s="633">
        <f t="shared" ca="1" si="53"/>
        <v>13.847363762165052</v>
      </c>
      <c r="BW57" s="633">
        <f t="shared" ca="1" si="53"/>
        <v>14.418864273984919</v>
      </c>
      <c r="BX57" s="633">
        <f t="shared" ca="1" si="53"/>
        <v>13.86299679146348</v>
      </c>
      <c r="BY57" s="637">
        <f t="shared" ca="1" si="53"/>
        <v>56.121511721404396</v>
      </c>
      <c r="BZ57" s="633">
        <f t="shared" ca="1" si="53"/>
        <v>16.122975194949024</v>
      </c>
      <c r="CA57" s="633">
        <f t="shared" ca="1" si="53"/>
        <v>16.091088103520132</v>
      </c>
      <c r="CB57" s="633">
        <f t="shared" ca="1" si="53"/>
        <v>16.753776565337972</v>
      </c>
      <c r="CC57" s="633">
        <f t="shared" ca="1" si="53"/>
        <v>16.339528540474785</v>
      </c>
      <c r="CD57" s="637">
        <f t="shared" ca="1" si="53"/>
        <v>65.307368404281917</v>
      </c>
      <c r="CE57" s="5"/>
      <c r="CF57" s="5"/>
      <c r="CG57" s="5"/>
      <c r="CH57" s="202" t="s">
        <v>2416</v>
      </c>
      <c r="CI57" s="5">
        <f>HLOOKUP(CH57,'Key assumptions'!$A$9:$CD$20,4,FALSE)</f>
        <v>49.33</v>
      </c>
      <c r="CJ57" s="5">
        <f t="shared" ref="CJ57" si="54">HLOOKUP(CH57,$A$9:$CD$15,2,FALSE)</f>
        <v>51007</v>
      </c>
    </row>
    <row r="58" spans="1:88" ht="12.75" customHeight="1">
      <c r="A58" s="4"/>
      <c r="B58" s="4"/>
      <c r="C58" s="5"/>
      <c r="D58" s="5"/>
      <c r="E58" s="5"/>
      <c r="F58" s="5"/>
      <c r="G58" s="5"/>
      <c r="H58" s="12"/>
      <c r="I58" s="12"/>
      <c r="J58" s="12"/>
      <c r="K58" s="12"/>
      <c r="L58" s="5"/>
      <c r="M58" s="12"/>
      <c r="N58" s="12"/>
      <c r="O58" s="12"/>
      <c r="P58" s="12"/>
      <c r="Q58" s="5"/>
      <c r="R58" s="12"/>
      <c r="S58" s="12"/>
      <c r="T58" s="12"/>
      <c r="U58" s="12"/>
      <c r="V58" s="5"/>
      <c r="W58" s="12"/>
      <c r="X58" s="12"/>
      <c r="Y58" s="12"/>
      <c r="Z58" s="12"/>
      <c r="AA58" s="49"/>
      <c r="AB58" s="49"/>
      <c r="AC58" s="49"/>
      <c r="AD58" s="49"/>
      <c r="AE58" s="49"/>
      <c r="AF58" s="49"/>
      <c r="AG58" s="49"/>
      <c r="AH58" s="49"/>
      <c r="AI58" s="360"/>
      <c r="AJ58" s="360"/>
      <c r="AK58" s="377"/>
      <c r="AL58" s="377"/>
      <c r="AM58" s="377"/>
      <c r="AN58" s="377"/>
      <c r="AO58" s="377"/>
      <c r="AP58" s="377"/>
      <c r="AQ58" s="377"/>
      <c r="AR58" s="377"/>
      <c r="AS58" s="377"/>
      <c r="AT58" s="341"/>
      <c r="AU58" s="569"/>
      <c r="AV58" s="569"/>
      <c r="AW58" s="569"/>
      <c r="AX58" s="569"/>
      <c r="AY58" s="569"/>
      <c r="AZ58" s="569"/>
      <c r="BA58" s="602"/>
      <c r="BB58" s="602"/>
      <c r="BC58" s="602"/>
      <c r="BD58" s="602"/>
      <c r="BE58" s="569"/>
      <c r="BF58" s="602"/>
      <c r="BG58" s="602"/>
      <c r="BH58" s="602"/>
      <c r="BI58" s="602"/>
      <c r="BJ58" s="602"/>
      <c r="BK58" s="602"/>
      <c r="BL58" s="602"/>
      <c r="BM58" s="602"/>
      <c r="BN58" s="602"/>
      <c r="BO58" s="602"/>
      <c r="BP58" s="602"/>
      <c r="BQ58" s="602"/>
      <c r="BR58" s="602"/>
      <c r="BS58" s="602"/>
      <c r="BT58" s="602"/>
      <c r="BU58" s="602"/>
      <c r="BV58" s="602"/>
      <c r="BW58" s="602"/>
      <c r="BX58" s="602"/>
      <c r="BY58" s="602"/>
      <c r="BZ58" s="602"/>
      <c r="CA58" s="602"/>
      <c r="CB58" s="602"/>
      <c r="CC58" s="602"/>
      <c r="CD58" s="602"/>
      <c r="CE58" s="602"/>
      <c r="CF58" s="5"/>
      <c r="CG58" s="5"/>
      <c r="CH58" s="202" t="s">
        <v>2417</v>
      </c>
      <c r="CI58" s="5">
        <f>HLOOKUP(CH58,'Key assumptions'!$A$9:$CD$20,4,FALSE)</f>
        <v>53.69</v>
      </c>
      <c r="CJ58" s="5">
        <f t="shared" ref="CJ58" si="55">HLOOKUP(CH58,$A$9:$CD$15,2,FALSE)</f>
        <v>55863</v>
      </c>
    </row>
    <row r="59" spans="1:88" ht="12.75" customHeight="1">
      <c r="A59" s="7" t="s">
        <v>1018</v>
      </c>
      <c r="B59" s="4"/>
      <c r="C59" s="5"/>
      <c r="D59" s="5"/>
      <c r="E59" s="5"/>
      <c r="F59" s="5"/>
      <c r="G59" s="5"/>
      <c r="H59" s="12"/>
      <c r="I59" s="12"/>
      <c r="J59" s="12"/>
      <c r="K59" s="12"/>
      <c r="L59" s="5"/>
      <c r="M59" s="12"/>
      <c r="N59" s="12"/>
      <c r="O59" s="12"/>
      <c r="P59" s="12"/>
      <c r="Q59" s="5"/>
      <c r="R59" s="12"/>
      <c r="S59" s="12"/>
      <c r="T59" s="12"/>
      <c r="U59" s="12"/>
      <c r="V59" s="5"/>
      <c r="W59" s="12"/>
      <c r="X59" s="12"/>
      <c r="Y59" s="12"/>
      <c r="Z59" s="12"/>
      <c r="AA59" s="5"/>
      <c r="AB59" s="12"/>
      <c r="AC59" s="12"/>
      <c r="AD59" s="12"/>
      <c r="AE59" s="12"/>
      <c r="AF59" s="434"/>
      <c r="AG59" s="434"/>
      <c r="AH59" s="434"/>
      <c r="AI59" s="434"/>
      <c r="AJ59" s="434"/>
      <c r="AK59" s="434"/>
      <c r="AL59" s="434"/>
      <c r="AM59" s="434"/>
      <c r="AN59" s="434"/>
      <c r="AO59" s="434"/>
      <c r="AP59" s="434"/>
      <c r="AQ59" s="434"/>
      <c r="AR59" s="434"/>
      <c r="AS59" s="434"/>
      <c r="AT59" s="434"/>
      <c r="AU59" s="434"/>
      <c r="AV59" s="434"/>
      <c r="AW59" s="434"/>
      <c r="AX59" s="434"/>
      <c r="AY59" s="434"/>
      <c r="AZ59" s="434"/>
      <c r="BA59" s="591"/>
      <c r="BB59" s="591"/>
      <c r="BC59" s="591"/>
      <c r="BD59" s="591"/>
      <c r="BE59" s="562"/>
      <c r="BF59" s="591"/>
      <c r="BG59" s="591"/>
      <c r="BH59" s="591"/>
      <c r="BI59" s="591"/>
      <c r="BJ59" s="591"/>
      <c r="BK59" s="591"/>
      <c r="BL59" s="591"/>
      <c r="BM59" s="591"/>
      <c r="BN59" s="591"/>
      <c r="BO59" s="591"/>
      <c r="BP59" s="591"/>
      <c r="BQ59" s="591"/>
      <c r="BR59" s="591"/>
      <c r="BS59" s="591"/>
      <c r="BT59" s="591"/>
      <c r="BU59" s="591"/>
      <c r="BV59" s="591"/>
      <c r="BW59" s="591"/>
      <c r="BX59" s="591"/>
      <c r="BY59" s="591"/>
      <c r="BZ59" s="591"/>
      <c r="CA59" s="591"/>
      <c r="CB59" s="591"/>
      <c r="CC59" s="591"/>
      <c r="CD59" s="591"/>
      <c r="CE59" s="591"/>
      <c r="CF59" s="5"/>
      <c r="CG59" s="5"/>
      <c r="CH59" s="202" t="s">
        <v>2418</v>
      </c>
      <c r="CI59" s="5">
        <f>HLOOKUP(CH59,'Key assumptions'!$A$9:$CD$20,4,FALSE)</f>
        <v>49.64</v>
      </c>
      <c r="CJ59" s="5">
        <f t="shared" ref="CJ59" si="56">HLOOKUP(CH59,$A$9:$CD$15,2,FALSE)</f>
        <v>56511</v>
      </c>
    </row>
    <row r="60" spans="1:88" ht="12.75" customHeight="1">
      <c r="A60" s="4"/>
      <c r="B60" s="4" t="s">
        <v>1019</v>
      </c>
      <c r="C60" s="227">
        <v>22435.737000000001</v>
      </c>
      <c r="D60" s="227">
        <v>22397.126</v>
      </c>
      <c r="E60" s="227">
        <v>22170.741000000002</v>
      </c>
      <c r="F60" s="227">
        <v>21820.535</v>
      </c>
      <c r="G60" s="227">
        <v>21125.901999999998</v>
      </c>
      <c r="H60" s="228"/>
      <c r="I60" s="228"/>
      <c r="J60" s="228"/>
      <c r="K60" s="228"/>
      <c r="L60" s="227">
        <v>20027.526999999998</v>
      </c>
      <c r="M60" s="258">
        <f>M62+($Q$60/$Q$62)</f>
        <v>19291.552714988164</v>
      </c>
      <c r="N60" s="258">
        <f>N62+($Q$60/$Q$62)</f>
        <v>19134.985714988165</v>
      </c>
      <c r="O60" s="258">
        <f>O62+($Q$60/$Q$62)</f>
        <v>19020.591714988164</v>
      </c>
      <c r="P60" s="258">
        <f>P62+($Q$60/$Q$62)</f>
        <v>18923.798714988163</v>
      </c>
      <c r="Q60" s="227">
        <v>19163.388999999999</v>
      </c>
      <c r="R60" s="258">
        <f>R62+($V$60/$V$62)</f>
        <v>18878.540939322233</v>
      </c>
      <c r="S60" s="258">
        <f>S62+($V$60/$V$62)</f>
        <v>18806.092939322232</v>
      </c>
      <c r="T60" s="258">
        <f>T62+($V$60/$V$62)</f>
        <v>18726.076939322233</v>
      </c>
      <c r="U60" s="258">
        <f>U62+($V$60/$V$62)</f>
        <v>18717.101939322234</v>
      </c>
      <c r="V60" s="227">
        <v>18789.827000000001</v>
      </c>
      <c r="W60" s="228">
        <v>18720.353999999999</v>
      </c>
      <c r="X60" s="228">
        <v>18726.093000000001</v>
      </c>
      <c r="Y60" s="228">
        <v>18733.516</v>
      </c>
      <c r="Z60" s="228">
        <v>18748.026000000002</v>
      </c>
      <c r="AA60" s="227">
        <v>18732.458999999999</v>
      </c>
      <c r="AB60" s="228">
        <v>18769.88</v>
      </c>
      <c r="AC60" s="228">
        <v>18787.629000000001</v>
      </c>
      <c r="AD60" s="228">
        <v>18790.089</v>
      </c>
      <c r="AE60" s="228">
        <v>18793.234</v>
      </c>
      <c r="AF60" s="227">
        <v>18785.912</v>
      </c>
      <c r="AG60" s="228">
        <v>18816.867999999999</v>
      </c>
      <c r="AH60" s="228">
        <v>18886.382000000001</v>
      </c>
      <c r="AI60" s="228">
        <v>18946.830999999998</v>
      </c>
      <c r="AJ60" s="228">
        <v>18966.159</v>
      </c>
      <c r="AK60" s="227">
        <f>AJ60</f>
        <v>18966.159</v>
      </c>
      <c r="AL60" s="228">
        <v>18976.062000000002</v>
      </c>
      <c r="AM60" s="228">
        <v>19020.874</v>
      </c>
      <c r="AN60" s="228">
        <v>19037.433000000001</v>
      </c>
      <c r="AO60" s="228">
        <v>19071.754000000001</v>
      </c>
      <c r="AP60" s="227">
        <v>19027.929</v>
      </c>
      <c r="AQ60" s="228">
        <v>19147.437000000002</v>
      </c>
      <c r="AR60" s="228">
        <v>19015.72</v>
      </c>
      <c r="AS60" s="228">
        <v>18867.32</v>
      </c>
      <c r="AT60" s="228">
        <v>18689.385999999999</v>
      </c>
      <c r="AU60" s="227">
        <v>18931.021000000001</v>
      </c>
      <c r="AV60" s="228">
        <v>18480.826000000001</v>
      </c>
      <c r="AW60" s="228">
        <v>18440.909</v>
      </c>
      <c r="AX60" s="228">
        <v>18390.006000000001</v>
      </c>
      <c r="AY60" s="228">
        <v>18232.147000000001</v>
      </c>
      <c r="AZ60" s="227">
        <v>18385.457999999999</v>
      </c>
      <c r="BA60" s="228">
        <v>18220.486000000001</v>
      </c>
      <c r="BB60" s="228">
        <v>18299.877</v>
      </c>
      <c r="BC60" s="228">
        <v>18329.701000000001</v>
      </c>
      <c r="BD60" s="228">
        <v>18369.063999999998</v>
      </c>
      <c r="BE60" s="227">
        <v>18323.646000000001</v>
      </c>
      <c r="BF60" s="228">
        <v>18468.632000000001</v>
      </c>
      <c r="BG60" s="228">
        <v>18685.199000000001</v>
      </c>
      <c r="BH60" s="228">
        <v>18824.739000000001</v>
      </c>
      <c r="BI60" s="228">
        <v>18995.724999999999</v>
      </c>
      <c r="BJ60" s="227">
        <v>18744.8</v>
      </c>
      <c r="BK60" s="228">
        <v>19518.5</v>
      </c>
      <c r="BL60" s="718">
        <v>19686.613000000001</v>
      </c>
      <c r="BM60" s="718">
        <v>19756.116999999998</v>
      </c>
      <c r="BN60" s="718">
        <v>19804.932000000001</v>
      </c>
      <c r="BO60" s="227">
        <f>AVERAGE(BK60:BN60)</f>
        <v>19691.540499999999</v>
      </c>
      <c r="BP60" s="228">
        <f>AVERAGE(BO62:BP62)</f>
        <v>19816.40299571678</v>
      </c>
      <c r="BQ60" s="228">
        <f>AVERAGE(BP62:BQ62)</f>
        <v>19815.478597435147</v>
      </c>
      <c r="BR60" s="228">
        <f>AVERAGE(BQ62:BR62)</f>
        <v>19815.476197220687</v>
      </c>
      <c r="BS60" s="228">
        <f>AVERAGE(BR62:BS62)</f>
        <v>19815.476190988491</v>
      </c>
      <c r="BT60" s="227">
        <f>BS60</f>
        <v>19815.476190988491</v>
      </c>
      <c r="BU60" s="228">
        <f>AVERAGE(BT62:BU62)</f>
        <v>19815.476190972309</v>
      </c>
      <c r="BV60" s="228">
        <f>AVERAGE(BU62:BV62)</f>
        <v>19815.476190972269</v>
      </c>
      <c r="BW60" s="228">
        <f>AVERAGE(BV62:BW62)</f>
        <v>19815.476190972269</v>
      </c>
      <c r="BX60" s="228">
        <f>AVERAGE(BW62:BX62)</f>
        <v>19815.476190972269</v>
      </c>
      <c r="BY60" s="227">
        <f>BX60</f>
        <v>19815.476190972269</v>
      </c>
      <c r="BZ60" s="228">
        <f>AVERAGE(BY62:BZ62)</f>
        <v>19815.476190972269</v>
      </c>
      <c r="CA60" s="228">
        <f>AVERAGE(BZ62:CA62)</f>
        <v>19815.476190972269</v>
      </c>
      <c r="CB60" s="228">
        <f>AVERAGE(CA62:CB62)</f>
        <v>19815.476190972269</v>
      </c>
      <c r="CC60" s="228">
        <f>AVERAGE(CB62:CC62)</f>
        <v>19815.476190972269</v>
      </c>
      <c r="CD60" s="227">
        <f>CC60</f>
        <v>19815.476190972269</v>
      </c>
      <c r="CE60" s="227"/>
      <c r="CF60" s="227"/>
      <c r="CG60" s="227"/>
      <c r="CH60" s="202" t="s">
        <v>2419</v>
      </c>
      <c r="CI60" s="5">
        <f>HLOOKUP(CH60,'Key assumptions'!$A$9:$CD$20,4,FALSE)</f>
        <v>52.08</v>
      </c>
      <c r="CJ60" s="5">
        <f t="shared" ref="CJ60" si="57">HLOOKUP(CH60,$A$9:$CD$15,2,FALSE)</f>
        <v>60018</v>
      </c>
    </row>
    <row r="61" spans="1:88" ht="12.75" customHeight="1">
      <c r="A61" s="4"/>
      <c r="B61" s="4" t="s">
        <v>1020</v>
      </c>
      <c r="C61" s="227">
        <v>22573.724999999999</v>
      </c>
      <c r="D61" s="227">
        <v>22504.448</v>
      </c>
      <c r="E61" s="227">
        <v>22423.651999999998</v>
      </c>
      <c r="F61" s="227">
        <v>22292.536</v>
      </c>
      <c r="G61" s="227">
        <v>21411.447</v>
      </c>
      <c r="H61" s="228"/>
      <c r="I61" s="228"/>
      <c r="J61" s="228"/>
      <c r="K61" s="228"/>
      <c r="L61" s="227">
        <v>20195.457999999999</v>
      </c>
      <c r="M61" s="258">
        <f>M62+($Q$61/$Q$62)</f>
        <v>19291.561354625053</v>
      </c>
      <c r="N61" s="258">
        <f>N62+($Q$61/$Q$62)</f>
        <v>19134.994354625054</v>
      </c>
      <c r="O61" s="258">
        <f>O62+($Q$61/$Q$62)</f>
        <v>19020.600354625054</v>
      </c>
      <c r="P61" s="258">
        <f>P62+($Q$61/$Q$62)</f>
        <v>18923.807354625053</v>
      </c>
      <c r="Q61" s="227">
        <v>19326.875</v>
      </c>
      <c r="R61" s="258">
        <f>R62+($V$61/$V$62)</f>
        <v>18878.55016613851</v>
      </c>
      <c r="S61" s="258">
        <f>S62+($V$61/$V$62)</f>
        <v>18806.102166138509</v>
      </c>
      <c r="T61" s="258">
        <f>T62+($V$61/$V$62)</f>
        <v>18726.08616613851</v>
      </c>
      <c r="U61" s="258">
        <f>U62+($V$61/$V$62)</f>
        <v>18717.111166138511</v>
      </c>
      <c r="V61" s="227">
        <v>18962.517</v>
      </c>
      <c r="W61" s="228">
        <v>18920.514999999999</v>
      </c>
      <c r="X61" s="228">
        <v>18929.93</v>
      </c>
      <c r="Y61" s="228">
        <v>18936.780999999999</v>
      </c>
      <c r="Z61" s="228">
        <v>18970.187000000002</v>
      </c>
      <c r="AA61" s="227">
        <v>18935.690999999999</v>
      </c>
      <c r="AB61" s="228">
        <v>19004.740000000002</v>
      </c>
      <c r="AC61" s="228">
        <v>19031.670999999998</v>
      </c>
      <c r="AD61" s="228">
        <v>19020.236000000001</v>
      </c>
      <c r="AE61" s="228">
        <v>19008.309000000001</v>
      </c>
      <c r="AF61" s="227">
        <v>18997.807000000001</v>
      </c>
      <c r="AG61" s="228">
        <v>19038.386999999999</v>
      </c>
      <c r="AH61" s="228">
        <v>19118.849999999999</v>
      </c>
      <c r="AI61" s="228">
        <v>19187.001</v>
      </c>
      <c r="AJ61" s="228">
        <v>19215.844000000001</v>
      </c>
      <c r="AK61" s="227">
        <f>AJ61</f>
        <v>19215.844000000001</v>
      </c>
      <c r="AL61" s="228">
        <v>19240.896000000001</v>
      </c>
      <c r="AM61" s="228">
        <v>19284.485000000001</v>
      </c>
      <c r="AN61" s="228">
        <v>19139.830000000002</v>
      </c>
      <c r="AO61" s="228">
        <v>19177.841</v>
      </c>
      <c r="AP61" s="227">
        <v>19157.887999999999</v>
      </c>
      <c r="AQ61" s="228">
        <v>19247.670999999998</v>
      </c>
      <c r="AR61" s="228">
        <v>19108.668000000001</v>
      </c>
      <c r="AS61" s="228">
        <v>18967.189999999999</v>
      </c>
      <c r="AT61" s="228">
        <v>18802.026000000002</v>
      </c>
      <c r="AU61" s="227">
        <v>19046.172999999999</v>
      </c>
      <c r="AV61" s="228">
        <v>18594.518</v>
      </c>
      <c r="AW61" s="228">
        <v>18556.789000000001</v>
      </c>
      <c r="AX61" s="228">
        <v>18499.505000000001</v>
      </c>
      <c r="AY61" s="228">
        <v>18332.091</v>
      </c>
      <c r="AZ61" s="227">
        <v>18497.294000000002</v>
      </c>
      <c r="BA61" s="228">
        <v>18309.73</v>
      </c>
      <c r="BB61" s="228">
        <v>18299.877</v>
      </c>
      <c r="BC61" s="228">
        <v>18371.655999999999</v>
      </c>
      <c r="BD61" s="228">
        <v>18369.063999999998</v>
      </c>
      <c r="BE61" s="227">
        <v>18323.646000000001</v>
      </c>
      <c r="BF61" s="228">
        <v>18468.632000000001</v>
      </c>
      <c r="BG61" s="228">
        <v>18685.199000000001</v>
      </c>
      <c r="BH61" s="228">
        <v>18920.919999999998</v>
      </c>
      <c r="BI61" s="228">
        <v>19107.598999999998</v>
      </c>
      <c r="BJ61" s="227">
        <v>18855.319</v>
      </c>
      <c r="BK61" s="228">
        <v>19621.565999999999</v>
      </c>
      <c r="BL61" s="718">
        <v>19783.547999999999</v>
      </c>
      <c r="BM61" s="718">
        <v>19866.744999999999</v>
      </c>
      <c r="BN61" s="718">
        <v>19929.654999999999</v>
      </c>
      <c r="BO61" s="227">
        <f>AVERAGE(BK61:BN61)</f>
        <v>19800.378499999999</v>
      </c>
      <c r="BP61" s="228">
        <f>BP60+(BN61-BN60)</f>
        <v>19941.125995716779</v>
      </c>
      <c r="BQ61" s="228">
        <f>BQ60+(BP61-BP60)</f>
        <v>19940.201597435145</v>
      </c>
      <c r="BR61" s="228">
        <f>BR60+(BQ61-BQ60)</f>
        <v>19940.199197220685</v>
      </c>
      <c r="BS61" s="228">
        <f>BS60+(BR61-BR60)</f>
        <v>19940.199190988489</v>
      </c>
      <c r="BT61" s="227">
        <f>AVERAGE(BP61:BS61)</f>
        <v>19940.431495340272</v>
      </c>
      <c r="BU61" s="228">
        <f>BU60+(BS61-BS60)</f>
        <v>19940.199190972307</v>
      </c>
      <c r="BV61" s="228">
        <f>BV60+(BU61-BU60)</f>
        <v>19940.199190972267</v>
      </c>
      <c r="BW61" s="228">
        <f>BW60+(BV61-BV60)</f>
        <v>19940.199190972267</v>
      </c>
      <c r="BX61" s="228">
        <f>BX60+(BW61-BW60)</f>
        <v>19940.199190972267</v>
      </c>
      <c r="BY61" s="227">
        <f>AVERAGE(BU61:BX61)</f>
        <v>19940.199190972278</v>
      </c>
      <c r="BZ61" s="228">
        <f>BZ60+(BX61-BX60)</f>
        <v>19940.199190972267</v>
      </c>
      <c r="CA61" s="228">
        <f>CA60+(BZ61-BZ60)</f>
        <v>19940.199190972267</v>
      </c>
      <c r="CB61" s="228">
        <f>CB60+(CA61-CA60)</f>
        <v>19940.199190972267</v>
      </c>
      <c r="CC61" s="228">
        <f>CC60+(CB61-CB60)</f>
        <v>19940.199190972267</v>
      </c>
      <c r="CD61" s="227">
        <f>AVERAGE(BZ61:CC61)</f>
        <v>19940.199190972267</v>
      </c>
      <c r="CE61" s="227"/>
      <c r="CF61" s="227"/>
      <c r="CG61" s="227"/>
      <c r="CH61" s="202" t="s">
        <v>2420</v>
      </c>
      <c r="CI61" s="5">
        <f>HLOOKUP(CH61,'Key assumptions'!$A$9:$CD$20,4,FALSE)</f>
        <v>61.26</v>
      </c>
      <c r="CJ61" s="5">
        <f>HLOOKUP(CH61,$A$9:$CD$15,2,FALSE)</f>
        <v>67816</v>
      </c>
    </row>
    <row r="62" spans="1:88" ht="12.75" customHeight="1">
      <c r="A62" s="4"/>
      <c r="B62" s="4" t="s">
        <v>1021</v>
      </c>
      <c r="C62" s="227">
        <v>22432.077000000001</v>
      </c>
      <c r="D62" s="227">
        <v>22378.651000000002</v>
      </c>
      <c r="E62" s="227">
        <v>22122.61</v>
      </c>
      <c r="F62" s="227">
        <v>21525.977999999999</v>
      </c>
      <c r="G62" s="227">
        <v>20657.044719000001</v>
      </c>
      <c r="H62" s="228"/>
      <c r="I62" s="228"/>
      <c r="J62" s="228"/>
      <c r="K62" s="228"/>
      <c r="L62" s="227">
        <v>19510.496490000001</v>
      </c>
      <c r="M62" s="228">
        <v>19290.54</v>
      </c>
      <c r="N62" s="228">
        <v>19133.973000000002</v>
      </c>
      <c r="O62" s="228">
        <v>19019.579000000002</v>
      </c>
      <c r="P62" s="228">
        <v>18922.786</v>
      </c>
      <c r="Q62" s="227">
        <v>18922.786</v>
      </c>
      <c r="R62" s="228">
        <v>18877.537</v>
      </c>
      <c r="S62" s="228">
        <v>18805.089</v>
      </c>
      <c r="T62" s="228">
        <v>18725.073</v>
      </c>
      <c r="U62" s="228">
        <v>18716.098000000002</v>
      </c>
      <c r="V62" s="227">
        <v>18716.098258000002</v>
      </c>
      <c r="W62" s="228">
        <v>18724.785</v>
      </c>
      <c r="X62" s="228">
        <v>18728.163</v>
      </c>
      <c r="Y62" s="228">
        <v>18739.59</v>
      </c>
      <c r="Z62" s="228">
        <v>18755.378000000001</v>
      </c>
      <c r="AA62" s="227">
        <v>18755.378210999999</v>
      </c>
      <c r="AB62" s="228">
        <v>18784.361000000001</v>
      </c>
      <c r="AC62" s="228">
        <v>18791.925999999999</v>
      </c>
      <c r="AD62" s="228">
        <v>18789.321</v>
      </c>
      <c r="AE62" s="228">
        <v>18796.498</v>
      </c>
      <c r="AF62" s="227">
        <v>18796.497759999998</v>
      </c>
      <c r="AG62" s="228">
        <v>18866.531999999999</v>
      </c>
      <c r="AH62" s="228">
        <v>18940.09</v>
      </c>
      <c r="AI62" s="228">
        <v>18958.048999999999</v>
      </c>
      <c r="AJ62" s="228">
        <v>18977.214</v>
      </c>
      <c r="AK62" s="227">
        <f>AJ62</f>
        <v>18977.214</v>
      </c>
      <c r="AL62" s="228">
        <v>19016.207999999999</v>
      </c>
      <c r="AM62" s="228">
        <v>19029.937999999998</v>
      </c>
      <c r="AN62" s="228">
        <v>19051.866999999998</v>
      </c>
      <c r="AO62" s="228">
        <v>19119.757000000001</v>
      </c>
      <c r="AP62" s="227">
        <f>AO62</f>
        <v>19119.757000000001</v>
      </c>
      <c r="AQ62" s="228">
        <v>19153.585999999999</v>
      </c>
      <c r="AR62" s="228">
        <v>18935.572</v>
      </c>
      <c r="AS62" s="228">
        <v>18821.216</v>
      </c>
      <c r="AT62" s="228">
        <v>18611.489000000001</v>
      </c>
      <c r="AU62" s="227">
        <f>AT62</f>
        <v>18611.489000000001</v>
      </c>
      <c r="AV62" s="228">
        <v>18457.008999999998</v>
      </c>
      <c r="AW62" s="228">
        <v>18435.266</v>
      </c>
      <c r="AX62" s="228">
        <v>18311.460999999999</v>
      </c>
      <c r="AY62" s="228">
        <v>18199.882000000001</v>
      </c>
      <c r="AZ62" s="227">
        <v>18199.882000000001</v>
      </c>
      <c r="BA62" s="228">
        <v>18249.421999999999</v>
      </c>
      <c r="BB62" s="228">
        <v>18318.923999999999</v>
      </c>
      <c r="BC62" s="228">
        <v>18349.963</v>
      </c>
      <c r="BD62" s="228">
        <v>18412.392</v>
      </c>
      <c r="BE62" s="227">
        <f>BD62</f>
        <v>18412.392</v>
      </c>
      <c r="BF62" s="228">
        <v>18635.861000000001</v>
      </c>
      <c r="BG62" s="228">
        <v>18777.155999999999</v>
      </c>
      <c r="BH62" s="228">
        <v>18912.989000000001</v>
      </c>
      <c r="BI62" s="228">
        <v>19438.990000000002</v>
      </c>
      <c r="BJ62" s="227">
        <f>BI62</f>
        <v>19438.990000000002</v>
      </c>
      <c r="BK62" s="228">
        <v>19664.527999999998</v>
      </c>
      <c r="BL62" s="718">
        <v>19738.565999999999</v>
      </c>
      <c r="BM62" s="718">
        <v>19797.656999999999</v>
      </c>
      <c r="BN62" s="718">
        <v>19817.325000000001</v>
      </c>
      <c r="BO62" s="227">
        <f>BN62</f>
        <v>19817.325000000001</v>
      </c>
      <c r="BP62" s="229">
        <f>BO62+Other!BP30+Other!BP38</f>
        <v>19815.480991433556</v>
      </c>
      <c r="BQ62" s="229">
        <f>BP62+Other!BQ30+Other!BQ38</f>
        <v>19815.476203436741</v>
      </c>
      <c r="BR62" s="229">
        <f>BQ62+Other!BR30+Other!BR38</f>
        <v>19815.476191004633</v>
      </c>
      <c r="BS62" s="229">
        <f>BR62+Other!BS30+Other!BS38</f>
        <v>19815.476190972353</v>
      </c>
      <c r="BT62" s="227">
        <f>BS62</f>
        <v>19815.476190972353</v>
      </c>
      <c r="BU62" s="229">
        <f>BT62+Other!BU30+Other!BU38</f>
        <v>19815.476190972269</v>
      </c>
      <c r="BV62" s="229">
        <f>BU62+Other!BV30+Other!BV38</f>
        <v>19815.476190972269</v>
      </c>
      <c r="BW62" s="229">
        <f>BV62+Other!BW30+Other!BW38</f>
        <v>19815.476190972269</v>
      </c>
      <c r="BX62" s="229">
        <f>BW62+Other!BX30+Other!BX38</f>
        <v>19815.476190972269</v>
      </c>
      <c r="BY62" s="227">
        <f>BX62</f>
        <v>19815.476190972269</v>
      </c>
      <c r="BZ62" s="229">
        <f>BY62+Other!BZ30+Other!BZ38</f>
        <v>19815.476190972269</v>
      </c>
      <c r="CA62" s="229">
        <f>BZ62+Other!CA30+Other!CA38</f>
        <v>19815.476190972269</v>
      </c>
      <c r="CB62" s="229">
        <f>CA62+Other!CB30+Other!CB38</f>
        <v>19815.476190972269</v>
      </c>
      <c r="CC62" s="229">
        <f>CB62+Other!CC30+Other!CC38</f>
        <v>19815.476190972269</v>
      </c>
      <c r="CD62" s="227">
        <f>CC62</f>
        <v>19815.476190972269</v>
      </c>
      <c r="CE62" s="227"/>
      <c r="CF62" s="227"/>
      <c r="CG62" s="227"/>
      <c r="CH62" s="5"/>
      <c r="CI62" s="5"/>
      <c r="CJ62" s="5"/>
    </row>
    <row r="63" spans="1:88">
      <c r="A63" s="4"/>
      <c r="B63" s="4"/>
      <c r="C63" s="5"/>
      <c r="D63" s="5"/>
      <c r="E63" s="5"/>
      <c r="F63" s="5"/>
      <c r="G63" s="5"/>
      <c r="H63" s="12"/>
      <c r="I63" s="12"/>
      <c r="J63" s="12"/>
      <c r="K63" s="12"/>
      <c r="L63" s="5"/>
      <c r="M63" s="12"/>
      <c r="N63" s="12"/>
      <c r="O63" s="12"/>
      <c r="P63" s="12"/>
      <c r="Q63" s="5"/>
      <c r="R63" s="12"/>
      <c r="S63" s="12"/>
      <c r="T63" s="12"/>
      <c r="U63" s="12"/>
      <c r="V63" s="5"/>
      <c r="W63" s="12"/>
      <c r="X63" s="12"/>
      <c r="Y63" s="12"/>
      <c r="Z63" s="12"/>
      <c r="AA63" s="5"/>
      <c r="AB63" s="12"/>
      <c r="AC63" s="12"/>
      <c r="AD63" s="12"/>
      <c r="AE63" s="12"/>
      <c r="AF63" s="5"/>
      <c r="AG63" s="12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</row>
    <row r="64" spans="1:88">
      <c r="A64" s="4" t="s">
        <v>2163</v>
      </c>
      <c r="B64" s="4"/>
      <c r="C64" s="5"/>
      <c r="D64" s="5"/>
      <c r="E64" s="5"/>
      <c r="F64" s="5"/>
      <c r="G64" s="5"/>
      <c r="H64" s="12"/>
      <c r="I64" s="12"/>
      <c r="J64" s="12"/>
      <c r="K64" s="12"/>
      <c r="L64" s="5"/>
      <c r="M64" s="12"/>
      <c r="N64" s="12"/>
      <c r="O64" s="12"/>
      <c r="P64" s="12"/>
      <c r="Q64" s="5"/>
      <c r="R64" s="12"/>
      <c r="S64" s="12"/>
      <c r="T64" s="12"/>
      <c r="U64" s="12"/>
      <c r="V64" s="5"/>
      <c r="W64" s="12"/>
      <c r="X64" s="12"/>
      <c r="Y64" s="12"/>
      <c r="Z64" s="12"/>
      <c r="AA64" s="5"/>
      <c r="AB64" s="12"/>
      <c r="AC64" s="12"/>
      <c r="AD64" s="12"/>
      <c r="AE64" s="12"/>
      <c r="AF64" s="5"/>
      <c r="AG64" s="12"/>
      <c r="AH64" s="5"/>
      <c r="AI64" s="5"/>
      <c r="AJ64" s="5"/>
      <c r="AK64" s="5"/>
      <c r="AL64" s="5"/>
      <c r="AM64" s="5"/>
      <c r="AN64" s="5"/>
      <c r="AO64" s="5"/>
      <c r="AP64" s="70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</row>
    <row r="65" spans="1:88">
      <c r="A65" s="4"/>
      <c r="B65" s="4" t="s">
        <v>2164</v>
      </c>
      <c r="C65" s="5">
        <v>3738.68</v>
      </c>
      <c r="D65" s="5">
        <v>3729.7750000000001</v>
      </c>
      <c r="E65" s="5">
        <v>3687.1019999999999</v>
      </c>
      <c r="F65" s="5">
        <v>3587.663</v>
      </c>
      <c r="G65" s="5">
        <v>3442.8409999999999</v>
      </c>
      <c r="H65" s="12"/>
      <c r="I65" s="12"/>
      <c r="J65" s="12"/>
      <c r="K65" s="12"/>
      <c r="L65" s="5">
        <v>3251.7489999999998</v>
      </c>
      <c r="M65" s="12"/>
      <c r="N65" s="12"/>
      <c r="O65" s="12"/>
      <c r="P65" s="12"/>
      <c r="Q65" s="5">
        <v>3153.7979999999998</v>
      </c>
      <c r="R65" s="12"/>
      <c r="S65" s="12"/>
      <c r="T65" s="12"/>
      <c r="U65" s="12"/>
      <c r="V65" s="5">
        <v>3119.35</v>
      </c>
      <c r="W65" s="12"/>
      <c r="X65" s="12"/>
      <c r="Y65" s="12"/>
      <c r="Z65" s="12"/>
      <c r="AA65" s="5">
        <v>3125.8960000000002</v>
      </c>
      <c r="AB65" s="12"/>
      <c r="AC65" s="12"/>
      <c r="AD65" s="12"/>
      <c r="AE65" s="12"/>
      <c r="AF65" s="5">
        <v>3132.75</v>
      </c>
      <c r="AG65" s="12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</row>
    <row r="66" spans="1:88">
      <c r="A66" s="4"/>
      <c r="B66" s="4" t="s">
        <v>2165</v>
      </c>
      <c r="C66" s="5">
        <v>3739.29</v>
      </c>
      <c r="D66" s="5">
        <v>3732.8539999999998</v>
      </c>
      <c r="E66" s="5">
        <v>3695.1239999999998</v>
      </c>
      <c r="F66" s="5">
        <v>3636.7559999999999</v>
      </c>
      <c r="G66" s="5">
        <v>3520.9839999999999</v>
      </c>
      <c r="H66" s="12"/>
      <c r="I66" s="12"/>
      <c r="J66" s="12"/>
      <c r="K66" s="12"/>
      <c r="L66" s="173">
        <v>3337.9209999999998</v>
      </c>
      <c r="M66" s="173"/>
      <c r="N66" s="173"/>
      <c r="O66" s="173"/>
      <c r="P66" s="173"/>
      <c r="Q66" s="173">
        <v>3193.8980000000001</v>
      </c>
      <c r="R66" s="12"/>
      <c r="S66" s="12"/>
      <c r="T66" s="12"/>
      <c r="U66" s="12"/>
      <c r="V66" s="5">
        <v>3131.6379999999999</v>
      </c>
      <c r="W66" s="12"/>
      <c r="X66" s="12"/>
      <c r="Y66" s="12"/>
      <c r="Z66" s="12"/>
      <c r="AA66" s="5">
        <v>3122.0770000000002</v>
      </c>
      <c r="AB66" s="12"/>
      <c r="AC66" s="12"/>
      <c r="AD66" s="12"/>
      <c r="AE66" s="12"/>
      <c r="AF66" s="5">
        <v>3130.9850000000001</v>
      </c>
      <c r="AG66" s="12"/>
      <c r="AH66" s="12"/>
      <c r="AI66" s="5"/>
      <c r="AJ66" s="5"/>
      <c r="AK66" s="5"/>
      <c r="AL66" s="5"/>
      <c r="AM66" s="70"/>
      <c r="AN66" s="5"/>
      <c r="AO66" s="5"/>
      <c r="AP66" s="5"/>
      <c r="AQ66" s="5"/>
      <c r="AR66" s="5"/>
      <c r="AS66" s="5"/>
      <c r="CE66" s="5"/>
      <c r="CF66" s="5"/>
      <c r="CG66" s="5"/>
      <c r="CH66" s="5"/>
      <c r="CI66" s="5"/>
      <c r="CJ66" s="5"/>
    </row>
    <row r="67" spans="1:88">
      <c r="A67" s="4"/>
      <c r="B67" s="4"/>
      <c r="C67" s="5"/>
      <c r="D67" s="5"/>
      <c r="E67" s="5"/>
      <c r="F67" s="5"/>
      <c r="G67" s="5"/>
      <c r="H67" s="12"/>
      <c r="I67" s="12"/>
      <c r="J67" s="12"/>
      <c r="K67" s="12"/>
      <c r="L67" s="5"/>
      <c r="M67" s="12"/>
      <c r="N67" s="12"/>
      <c r="O67" s="12"/>
      <c r="P67" s="12"/>
      <c r="Q67" s="5"/>
      <c r="R67" s="12"/>
      <c r="S67" s="12"/>
      <c r="T67" s="12"/>
      <c r="U67" s="12"/>
      <c r="V67" s="5"/>
      <c r="W67" s="12"/>
      <c r="X67" s="12"/>
      <c r="Y67" s="12"/>
      <c r="Z67" s="12"/>
      <c r="AA67" s="5"/>
      <c r="AB67" s="12"/>
      <c r="AC67" s="12"/>
      <c r="AD67" s="12"/>
      <c r="AE67" s="12"/>
      <c r="AF67" s="5"/>
      <c r="AG67" s="12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341"/>
      <c r="AU67" s="568"/>
      <c r="AV67" s="568"/>
      <c r="AW67" s="568"/>
      <c r="AX67" s="568"/>
      <c r="AY67" s="568"/>
      <c r="AZ67" s="568"/>
      <c r="BA67" s="625"/>
      <c r="BB67" s="625"/>
      <c r="BC67" s="625"/>
      <c r="BD67" s="625"/>
      <c r="BE67" s="568"/>
      <c r="BF67" s="625"/>
      <c r="BG67" s="625"/>
      <c r="BH67" s="625"/>
      <c r="BI67" s="625"/>
      <c r="BJ67" s="625"/>
      <c r="BK67" s="625"/>
      <c r="BL67" s="625"/>
      <c r="BM67" s="625"/>
      <c r="BN67" s="625"/>
      <c r="BO67" s="625"/>
      <c r="BP67" s="625"/>
      <c r="BQ67" s="625"/>
      <c r="BR67" s="625"/>
      <c r="BS67" s="625"/>
      <c r="BT67" s="625"/>
      <c r="BU67" s="625"/>
      <c r="BV67" s="625"/>
      <c r="BW67" s="625"/>
      <c r="BX67" s="625"/>
      <c r="BY67" s="625"/>
      <c r="BZ67" s="625"/>
      <c r="CA67" s="625"/>
      <c r="CB67" s="625"/>
      <c r="CC67" s="625"/>
      <c r="CD67" s="625"/>
      <c r="CE67" s="5"/>
      <c r="CF67" s="5"/>
      <c r="CG67" s="5"/>
      <c r="CH67" s="5"/>
      <c r="CI67" s="5"/>
      <c r="CJ67" s="5"/>
    </row>
    <row r="68" spans="1:88">
      <c r="A68" s="4"/>
      <c r="B68" s="4"/>
      <c r="C68" s="5"/>
      <c r="D68" s="5"/>
      <c r="E68" s="5"/>
      <c r="F68" s="5"/>
      <c r="G68" s="5"/>
      <c r="H68" s="12"/>
      <c r="I68" s="12"/>
      <c r="J68" s="12"/>
      <c r="K68" s="12"/>
      <c r="L68" s="5"/>
      <c r="M68" s="12"/>
      <c r="N68" s="12"/>
      <c r="O68" s="12"/>
      <c r="P68" s="12"/>
      <c r="Q68" s="5"/>
      <c r="R68" s="12"/>
      <c r="S68" s="12"/>
      <c r="T68" s="12"/>
      <c r="U68" s="12"/>
      <c r="V68" s="5"/>
      <c r="W68" s="12"/>
      <c r="X68" s="12"/>
      <c r="Y68" s="12"/>
      <c r="Z68" s="12"/>
      <c r="AA68" s="5"/>
      <c r="AB68" s="12"/>
      <c r="AC68" s="12"/>
      <c r="AD68" s="12"/>
      <c r="AE68" s="12"/>
      <c r="AF68" s="5"/>
      <c r="AG68" s="12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62"/>
      <c r="BB68" s="562"/>
      <c r="BC68" s="562"/>
      <c r="BD68" s="562"/>
      <c r="BE68" s="116"/>
      <c r="BF68" s="562"/>
      <c r="BG68" s="562"/>
      <c r="BH68" s="562"/>
      <c r="BI68" s="562"/>
      <c r="BJ68" s="562"/>
      <c r="BK68" s="562"/>
      <c r="BL68" s="562"/>
      <c r="BM68" s="562"/>
      <c r="BN68" s="562"/>
      <c r="BO68" s="562"/>
      <c r="BP68" s="562"/>
      <c r="BQ68" s="562"/>
      <c r="BR68" s="562"/>
      <c r="BS68" s="562"/>
      <c r="BT68" s="562"/>
      <c r="BU68" s="562"/>
      <c r="BV68" s="562"/>
      <c r="BW68" s="562"/>
      <c r="BX68" s="562"/>
      <c r="BY68" s="562"/>
      <c r="BZ68" s="562"/>
      <c r="CA68" s="562"/>
      <c r="CB68" s="562"/>
      <c r="CC68" s="562"/>
      <c r="CD68" s="562"/>
      <c r="CE68" s="5"/>
      <c r="CF68" s="5"/>
      <c r="CG68" s="5"/>
      <c r="CH68" s="5"/>
      <c r="CI68" s="5"/>
      <c r="CJ68" s="5"/>
    </row>
    <row r="69" spans="1:88">
      <c r="A69" s="4"/>
      <c r="B69" s="4"/>
      <c r="C69" s="5"/>
      <c r="D69" s="5"/>
      <c r="E69" s="5"/>
      <c r="F69" s="5"/>
      <c r="G69" s="5"/>
      <c r="H69" s="12"/>
      <c r="I69" s="12"/>
      <c r="J69" s="12"/>
      <c r="K69" s="12"/>
      <c r="L69" s="5"/>
      <c r="M69" s="12"/>
      <c r="N69" s="12"/>
      <c r="O69" s="12"/>
      <c r="P69" s="12"/>
      <c r="Q69" s="5"/>
      <c r="R69" s="12"/>
      <c r="S69" s="12"/>
      <c r="T69" s="12"/>
      <c r="U69" s="12"/>
      <c r="V69" s="5"/>
      <c r="W69" s="12"/>
      <c r="X69" s="12"/>
      <c r="Y69" s="12"/>
      <c r="Z69" s="12"/>
      <c r="AA69" s="5"/>
      <c r="AB69" s="12"/>
      <c r="AC69" s="12"/>
      <c r="AD69" s="12"/>
      <c r="AE69" s="12"/>
      <c r="AF69" s="5"/>
      <c r="AG69" s="12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</row>
    <row r="70" spans="1:88">
      <c r="A70" s="9" t="s">
        <v>2542</v>
      </c>
      <c r="B70" s="4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</row>
    <row r="71" spans="1:88" ht="12.75" customHeight="1">
      <c r="A71" s="10"/>
      <c r="B71" s="10"/>
      <c r="C71" s="32">
        <v>2001</v>
      </c>
      <c r="D71" s="32">
        <v>2002</v>
      </c>
      <c r="E71" s="32">
        <v>2003</v>
      </c>
      <c r="F71" s="32">
        <v>2004</v>
      </c>
      <c r="G71" s="31">
        <v>2005</v>
      </c>
      <c r="H71" s="33" t="s">
        <v>714</v>
      </c>
      <c r="I71" s="33" t="s">
        <v>715</v>
      </c>
      <c r="J71" s="33" t="s">
        <v>716</v>
      </c>
      <c r="K71" s="33" t="s">
        <v>717</v>
      </c>
      <c r="L71" s="31">
        <v>2006</v>
      </c>
      <c r="M71" s="33" t="s">
        <v>718</v>
      </c>
      <c r="N71" s="33" t="s">
        <v>719</v>
      </c>
      <c r="O71" s="33" t="s">
        <v>1970</v>
      </c>
      <c r="P71" s="33" t="s">
        <v>1971</v>
      </c>
      <c r="Q71" s="31">
        <v>2007</v>
      </c>
      <c r="R71" s="33" t="s">
        <v>1972</v>
      </c>
      <c r="S71" s="33" t="s">
        <v>1973</v>
      </c>
      <c r="T71" s="33" t="s">
        <v>1974</v>
      </c>
      <c r="U71" s="33" t="s">
        <v>1975</v>
      </c>
      <c r="V71" s="31">
        <v>2008</v>
      </c>
      <c r="W71" s="33" t="s">
        <v>1976</v>
      </c>
      <c r="X71" s="33" t="s">
        <v>1977</v>
      </c>
      <c r="Y71" s="33" t="s">
        <v>1978</v>
      </c>
      <c r="Z71" s="33" t="s">
        <v>1979</v>
      </c>
      <c r="AA71" s="31">
        <v>2009</v>
      </c>
      <c r="AB71" s="33" t="s">
        <v>1980</v>
      </c>
      <c r="AC71" s="33" t="s">
        <v>1981</v>
      </c>
      <c r="AD71" s="33" t="s">
        <v>1982</v>
      </c>
      <c r="AE71" s="33" t="s">
        <v>2392</v>
      </c>
      <c r="AF71" s="31">
        <v>2010</v>
      </c>
      <c r="AG71" s="33" t="s">
        <v>2393</v>
      </c>
      <c r="AH71" s="33" t="s">
        <v>2394</v>
      </c>
      <c r="AI71" s="33" t="s">
        <v>2395</v>
      </c>
      <c r="AJ71" s="33" t="s">
        <v>2396</v>
      </c>
      <c r="AK71" s="31">
        <v>2011</v>
      </c>
      <c r="AL71" s="368" t="s">
        <v>2397</v>
      </c>
      <c r="AM71" s="368" t="s">
        <v>2398</v>
      </c>
      <c r="AN71" s="368" t="s">
        <v>2399</v>
      </c>
      <c r="AO71" s="368" t="s">
        <v>2400</v>
      </c>
      <c r="AP71" s="31">
        <v>2012</v>
      </c>
      <c r="AQ71" s="368" t="s">
        <v>2401</v>
      </c>
      <c r="AR71" s="368" t="s">
        <v>2402</v>
      </c>
      <c r="AS71" s="368" t="s">
        <v>2403</v>
      </c>
      <c r="AT71" s="368" t="s">
        <v>2404</v>
      </c>
      <c r="AU71" s="31">
        <v>2013</v>
      </c>
      <c r="AV71" s="368" t="s">
        <v>2405</v>
      </c>
      <c r="AW71" s="368" t="s">
        <v>2406</v>
      </c>
      <c r="AX71" s="368" t="s">
        <v>2407</v>
      </c>
      <c r="AY71" s="368" t="s">
        <v>2408</v>
      </c>
      <c r="AZ71" s="31">
        <v>2014</v>
      </c>
      <c r="BA71" s="368" t="s">
        <v>2409</v>
      </c>
      <c r="BB71" s="368" t="s">
        <v>2410</v>
      </c>
      <c r="BC71" s="368" t="s">
        <v>2411</v>
      </c>
      <c r="BD71" s="368" t="s">
        <v>2412</v>
      </c>
      <c r="BE71" s="31">
        <v>2015</v>
      </c>
      <c r="BF71" s="368" t="s">
        <v>2413</v>
      </c>
      <c r="BG71" s="368" t="s">
        <v>2414</v>
      </c>
      <c r="BH71" s="368" t="s">
        <v>2415</v>
      </c>
      <c r="BI71" s="368" t="s">
        <v>2416</v>
      </c>
      <c r="BJ71" s="31">
        <v>2016</v>
      </c>
      <c r="BK71" s="368" t="s">
        <v>2417</v>
      </c>
      <c r="BL71" s="368" t="s">
        <v>2418</v>
      </c>
      <c r="BM71" s="368" t="s">
        <v>2419</v>
      </c>
      <c r="BN71" s="368" t="s">
        <v>2420</v>
      </c>
      <c r="BO71" s="31">
        <v>2017</v>
      </c>
      <c r="BP71" s="363" t="s">
        <v>2244</v>
      </c>
      <c r="BQ71" s="363" t="s">
        <v>2245</v>
      </c>
      <c r="BR71" s="363" t="s">
        <v>2508</v>
      </c>
      <c r="BS71" s="363" t="s">
        <v>2509</v>
      </c>
      <c r="BT71" s="364">
        <v>2018</v>
      </c>
      <c r="BU71" s="363" t="s">
        <v>2510</v>
      </c>
      <c r="BV71" s="363" t="s">
        <v>2511</v>
      </c>
      <c r="BW71" s="363" t="s">
        <v>3125</v>
      </c>
      <c r="BX71" s="363" t="s">
        <v>1405</v>
      </c>
      <c r="BY71" s="364">
        <v>2019</v>
      </c>
      <c r="BZ71" s="363" t="s">
        <v>1406</v>
      </c>
      <c r="CA71" s="363" t="s">
        <v>1407</v>
      </c>
      <c r="CB71" s="363" t="s">
        <v>1408</v>
      </c>
      <c r="CC71" s="363" t="s">
        <v>1409</v>
      </c>
      <c r="CD71" s="364">
        <v>2020</v>
      </c>
      <c r="CE71" s="11"/>
      <c r="CF71" s="5"/>
      <c r="CG71" s="5"/>
      <c r="CH71" s="5"/>
      <c r="CI71" s="5"/>
      <c r="CJ71" s="5"/>
    </row>
    <row r="72" spans="1:88">
      <c r="A72" s="4" t="s">
        <v>2700</v>
      </c>
      <c r="B72" s="4"/>
      <c r="C72" s="72"/>
      <c r="D72" s="72"/>
      <c r="E72" s="5">
        <f>+Segments!E51</f>
        <v>15726</v>
      </c>
      <c r="F72" s="5">
        <f>+Segments!F51</f>
        <v>19417</v>
      </c>
      <c r="G72" s="5">
        <f>+Segments!G51</f>
        <v>27398</v>
      </c>
      <c r="H72" s="12">
        <f>+Segments!H51</f>
        <v>7567</v>
      </c>
      <c r="I72" s="12">
        <f>+Segments!I51</f>
        <v>7659</v>
      </c>
      <c r="J72" s="12">
        <f>+Segments!J51</f>
        <v>7697</v>
      </c>
      <c r="K72" s="12">
        <f>+Segments!K51</f>
        <v>5540</v>
      </c>
      <c r="L72" s="5">
        <f>+Segments!L51</f>
        <v>28463</v>
      </c>
      <c r="M72" s="12">
        <f>+Segments!M51</f>
        <v>5518</v>
      </c>
      <c r="N72" s="12">
        <f>+Segments!N51</f>
        <v>6815</v>
      </c>
      <c r="O72" s="12">
        <f>+Segments!O51</f>
        <v>6333</v>
      </c>
      <c r="P72" s="12">
        <f>+Segments!P51</f>
        <v>8397</v>
      </c>
      <c r="Q72" s="5">
        <f>+Segments!Q51</f>
        <v>27063</v>
      </c>
      <c r="R72" s="12">
        <f>+Segments!R51</f>
        <v>10707</v>
      </c>
      <c r="S72" s="12">
        <f>+Segments!S51</f>
        <v>13120</v>
      </c>
      <c r="T72" s="12">
        <f>+Segments!T51</f>
        <v>11494</v>
      </c>
      <c r="U72" s="12">
        <f>+Segments!U51</f>
        <v>4259</v>
      </c>
      <c r="V72" s="5">
        <f>+Segments!V51</f>
        <v>39580</v>
      </c>
      <c r="W72" s="12">
        <f>+Segments!W51</f>
        <v>3717</v>
      </c>
      <c r="X72" s="12">
        <f>+Segments!X51</f>
        <v>3858</v>
      </c>
      <c r="Y72" s="12">
        <f>+Segments!Y51</f>
        <v>5546</v>
      </c>
      <c r="Z72" s="12">
        <f>+Segments!Z51</f>
        <v>6547</v>
      </c>
      <c r="AA72" s="5">
        <f>+Segments!AA51</f>
        <v>19668</v>
      </c>
      <c r="AB72" s="12">
        <f>+Segments!AB51</f>
        <v>7645</v>
      </c>
      <c r="AC72" s="12">
        <f>+Segments!AC51</f>
        <v>5815</v>
      </c>
      <c r="AD72" s="12">
        <f>+Segments!AD51</f>
        <v>5811</v>
      </c>
      <c r="AE72" s="12">
        <f>+Segments!AE51</f>
        <v>5802</v>
      </c>
      <c r="AF72" s="5">
        <f>+Segments!AF51</f>
        <v>25073</v>
      </c>
      <c r="AG72" s="12">
        <f>+Segments!AG51</f>
        <v>6684</v>
      </c>
      <c r="AH72" s="12">
        <f>+Segments!AH51</f>
        <v>6330</v>
      </c>
      <c r="AI72" s="12">
        <f>+Segments!AI51</f>
        <v>6287</v>
      </c>
      <c r="AJ72" s="12">
        <f>+Segments!AJ51</f>
        <v>5924</v>
      </c>
      <c r="AK72" s="5">
        <f>+Segments!AK51</f>
        <v>25225</v>
      </c>
      <c r="AL72" s="12">
        <f>+Segments!AL51</f>
        <v>6290</v>
      </c>
      <c r="AM72" s="12">
        <f>+Segments!AM51</f>
        <v>4401</v>
      </c>
      <c r="AN72" s="12">
        <f>+Segments!AN51</f>
        <v>4369</v>
      </c>
      <c r="AO72" s="12">
        <f>+Segments!AO51</f>
        <v>4359</v>
      </c>
      <c r="AP72" s="5">
        <f>+Segments!AP51</f>
        <v>19419</v>
      </c>
      <c r="AQ72" s="12">
        <f>+Segments!AQ51</f>
        <v>5702</v>
      </c>
      <c r="AR72" s="12">
        <f>+Segments!AR51</f>
        <v>4288</v>
      </c>
      <c r="AS72" s="12">
        <f>+Segments!AS51</f>
        <v>4423</v>
      </c>
      <c r="AT72" s="12">
        <f>+Segments!AT51</f>
        <v>3852</v>
      </c>
      <c r="AU72" s="5">
        <f>+Segments!AU51</f>
        <v>18265</v>
      </c>
      <c r="AV72" s="12">
        <f>+Segments!AV51</f>
        <v>4401</v>
      </c>
      <c r="AW72" s="12">
        <f>+Segments!AW51</f>
        <v>4655</v>
      </c>
      <c r="AX72" s="12">
        <f>+Segments!AX51</f>
        <v>3899</v>
      </c>
      <c r="AY72" s="12">
        <f>+Segments!AY51</f>
        <v>2246</v>
      </c>
      <c r="AZ72" s="5">
        <f>+Segments!AZ51</f>
        <v>15201</v>
      </c>
      <c r="BA72" s="12">
        <f>+Segments!BA51</f>
        <v>604</v>
      </c>
      <c r="BB72" s="12">
        <f>+Segments!BB51</f>
        <v>494</v>
      </c>
      <c r="BC72" s="12">
        <f>+Segments!BC51</f>
        <v>823</v>
      </c>
      <c r="BD72" s="12">
        <f>+Segments!BD51</f>
        <v>-728</v>
      </c>
      <c r="BE72" s="5">
        <f>+Segments!BE51</f>
        <v>1193</v>
      </c>
      <c r="BF72" s="12">
        <f>+Segments!BF51</f>
        <v>-747</v>
      </c>
      <c r="BG72" s="12">
        <f>+Segments!BG51</f>
        <v>29</v>
      </c>
      <c r="BH72" s="12">
        <f>+Segments!BH51</f>
        <v>-224</v>
      </c>
      <c r="BI72" s="12">
        <f>+Segments!BI51</f>
        <v>400</v>
      </c>
      <c r="BJ72" s="5">
        <f>+Segments!BJ51</f>
        <v>-542</v>
      </c>
      <c r="BK72" s="12">
        <f>+Segments!BK51</f>
        <v>1370</v>
      </c>
      <c r="BL72" s="12">
        <f>+Segments!BL51</f>
        <v>710</v>
      </c>
      <c r="BM72" s="12">
        <f>+Segments!BM51</f>
        <v>1562</v>
      </c>
      <c r="BN72" s="12">
        <f>+Segments!BN51</f>
        <v>2223</v>
      </c>
      <c r="BO72" s="5">
        <f>+Segments!BO51</f>
        <v>5865</v>
      </c>
      <c r="BP72" s="12">
        <f>+Segments!BP51</f>
        <v>2713.5992453804474</v>
      </c>
      <c r="BQ72" s="12">
        <f>+Segments!BQ51</f>
        <v>3469.2947773112592</v>
      </c>
      <c r="BR72" s="12">
        <f>+Segments!BR51</f>
        <v>3419.8350830093696</v>
      </c>
      <c r="BS72" s="12">
        <f>+Segments!BS51</f>
        <v>3328.8200957335225</v>
      </c>
      <c r="BT72" s="5">
        <f>+Segments!BT51</f>
        <v>12931.5492014346</v>
      </c>
      <c r="BU72" s="12">
        <f>+Segments!BU51</f>
        <v>3022.0940076910179</v>
      </c>
      <c r="BV72" s="12">
        <f>+Segments!BV51</f>
        <v>3025.9772800128012</v>
      </c>
      <c r="BW72" s="12">
        <f>+Segments!BW51</f>
        <v>3050.5181526629212</v>
      </c>
      <c r="BX72" s="12">
        <f>+Segments!BX51</f>
        <v>3060.1832132635736</v>
      </c>
      <c r="BY72" s="5">
        <f>+Segments!BY51</f>
        <v>12158.772653630314</v>
      </c>
      <c r="BZ72" s="12">
        <f>+Segments!BZ51</f>
        <v>2923.2995335794899</v>
      </c>
      <c r="CA72" s="12">
        <f>+Segments!CA51</f>
        <v>3061.7798224220128</v>
      </c>
      <c r="CB72" s="12">
        <f>+Segments!CB51</f>
        <v>3154.5134306046239</v>
      </c>
      <c r="CC72" s="12">
        <f>+Segments!CC51</f>
        <v>3222.6681736809719</v>
      </c>
      <c r="CD72" s="5">
        <f>+Segments!CD51</f>
        <v>12362.260960287098</v>
      </c>
      <c r="CE72" s="5"/>
      <c r="CF72" s="5"/>
      <c r="CG72" s="5"/>
      <c r="CH72" s="5"/>
      <c r="CI72" s="5"/>
      <c r="CJ72" s="5"/>
    </row>
    <row r="73" spans="1:88">
      <c r="A73" s="4" t="s">
        <v>2701</v>
      </c>
      <c r="B73" s="4"/>
      <c r="C73" s="72"/>
      <c r="D73" s="72"/>
      <c r="E73" s="5">
        <f>+Segments!E52</f>
        <v>4015</v>
      </c>
      <c r="F73" s="5">
        <f>+Segments!F52</f>
        <v>5718</v>
      </c>
      <c r="G73" s="5">
        <f>+Segments!G52</f>
        <v>5035</v>
      </c>
      <c r="H73" s="12">
        <f>+Segments!H52</f>
        <v>935</v>
      </c>
      <c r="I73" s="12">
        <f>+Segments!I52</f>
        <v>2322</v>
      </c>
      <c r="J73" s="12">
        <f>+Segments!J52</f>
        <v>1913</v>
      </c>
      <c r="K73" s="12">
        <f>+Segments!K52</f>
        <v>378</v>
      </c>
      <c r="L73" s="5">
        <f>+Segments!L52</f>
        <v>5548</v>
      </c>
      <c r="M73" s="12">
        <f>+Segments!M52</f>
        <v>1572</v>
      </c>
      <c r="N73" s="12">
        <f>+Segments!N52</f>
        <v>1638</v>
      </c>
      <c r="O73" s="12">
        <f>+Segments!O52</f>
        <v>808</v>
      </c>
      <c r="P73" s="12">
        <f>+Segments!P52</f>
        <v>-88</v>
      </c>
      <c r="Q73" s="5">
        <f>+Segments!Q52</f>
        <v>3930</v>
      </c>
      <c r="R73" s="12">
        <f>+Segments!R52</f>
        <v>539</v>
      </c>
      <c r="S73" s="12">
        <f>+Segments!S52</f>
        <v>799</v>
      </c>
      <c r="T73" s="12">
        <f>+Segments!T52</f>
        <v>1336</v>
      </c>
      <c r="U73" s="12">
        <f>+Segments!U52</f>
        <v>644</v>
      </c>
      <c r="V73" s="5">
        <f>+Segments!V52</f>
        <v>3318</v>
      </c>
      <c r="W73" s="12">
        <f>+Segments!W52</f>
        <v>1549</v>
      </c>
      <c r="X73" s="12">
        <f>+Segments!X52</f>
        <v>972</v>
      </c>
      <c r="Y73" s="12">
        <f>+Segments!Y52</f>
        <v>1071</v>
      </c>
      <c r="Z73" s="12">
        <f>+Segments!Z52</f>
        <v>15</v>
      </c>
      <c r="AA73" s="5">
        <f>+Segments!AA52</f>
        <v>3607</v>
      </c>
      <c r="AB73" s="12">
        <f>+Segments!AB52</f>
        <v>789</v>
      </c>
      <c r="AC73" s="12">
        <f>+Segments!AC52</f>
        <v>1724</v>
      </c>
      <c r="AD73" s="12">
        <f>+Segments!AD52</f>
        <v>1626</v>
      </c>
      <c r="AE73" s="12">
        <f>+Segments!AE52</f>
        <v>744</v>
      </c>
      <c r="AF73" s="5">
        <f>+Segments!AF52</f>
        <v>4883</v>
      </c>
      <c r="AG73" s="12">
        <f>+Segments!AG52</f>
        <v>2196</v>
      </c>
      <c r="AH73" s="12">
        <f>+Segments!AH52</f>
        <v>1392</v>
      </c>
      <c r="AI73" s="12">
        <f>+Segments!AI52</f>
        <v>1666</v>
      </c>
      <c r="AJ73" s="12">
        <f>+Segments!AJ52</f>
        <v>759</v>
      </c>
      <c r="AK73" s="5">
        <f>+Segments!AK52</f>
        <v>6013</v>
      </c>
      <c r="AL73" s="12">
        <f>+Segments!AL52</f>
        <v>924</v>
      </c>
      <c r="AM73" s="12">
        <f>+Segments!AM52</f>
        <v>1129</v>
      </c>
      <c r="AN73" s="12">
        <f>+Segments!AN52</f>
        <v>3004</v>
      </c>
      <c r="AO73" s="12">
        <f>+Segments!AO52</f>
        <v>1390</v>
      </c>
      <c r="AP73" s="5">
        <f>+Segments!AP52</f>
        <v>6447</v>
      </c>
      <c r="AQ73" s="12">
        <f>+Segments!AQ52</f>
        <v>1641</v>
      </c>
      <c r="AR73" s="12">
        <f>+Segments!AR52</f>
        <v>1201</v>
      </c>
      <c r="AS73" s="12">
        <f>+Segments!AS52</f>
        <v>720</v>
      </c>
      <c r="AT73" s="12">
        <f>+Segments!AT52</f>
        <v>70</v>
      </c>
      <c r="AU73" s="5">
        <f>+Segments!AU52</f>
        <v>3632</v>
      </c>
      <c r="AV73" s="12">
        <f>+Segments!AV52</f>
        <v>1011</v>
      </c>
      <c r="AW73" s="12">
        <f>+Segments!AW52</f>
        <v>733</v>
      </c>
      <c r="AX73" s="12">
        <f>+Segments!AX52</f>
        <v>1484</v>
      </c>
      <c r="AY73" s="12">
        <f>+Segments!AY52</f>
        <v>1213</v>
      </c>
      <c r="AZ73" s="5">
        <f>+Segments!AZ52</f>
        <v>4441</v>
      </c>
      <c r="BA73" s="12">
        <f>+Segments!BA52</f>
        <v>2158</v>
      </c>
      <c r="BB73" s="12">
        <f>+Segments!BB52</f>
        <v>1867</v>
      </c>
      <c r="BC73" s="12">
        <f>+Segments!BC52</f>
        <v>2302</v>
      </c>
      <c r="BD73" s="12">
        <f>+Segments!BD52</f>
        <v>1218</v>
      </c>
      <c r="BE73" s="5">
        <f>+Segments!BE52</f>
        <v>7545</v>
      </c>
      <c r="BF73" s="12">
        <f>+Segments!BF52</f>
        <v>1813</v>
      </c>
      <c r="BG73" s="12">
        <f>+Segments!BG52</f>
        <v>1513</v>
      </c>
      <c r="BH73" s="12">
        <f>+Segments!BH52</f>
        <v>1431</v>
      </c>
      <c r="BI73" s="12">
        <f>+Segments!BI52</f>
        <v>877</v>
      </c>
      <c r="BJ73" s="5">
        <f>+Segments!BJ52</f>
        <v>5634</v>
      </c>
      <c r="BK73" s="12">
        <f>+Segments!BK52</f>
        <v>1742</v>
      </c>
      <c r="BL73" s="12">
        <f>+Segments!BL52</f>
        <v>1413</v>
      </c>
      <c r="BM73" s="12">
        <f>+Segments!BM52</f>
        <v>2338</v>
      </c>
      <c r="BN73" s="12">
        <f>+Segments!BN52</f>
        <v>1474</v>
      </c>
      <c r="BO73" s="5">
        <f>+Segments!BO52</f>
        <v>6967</v>
      </c>
      <c r="BP73" s="12">
        <f>+Segments!BP52</f>
        <v>1537.1374776063149</v>
      </c>
      <c r="BQ73" s="12">
        <f>+Segments!BQ52</f>
        <v>1969.787356180356</v>
      </c>
      <c r="BR73" s="12">
        <f>+Segments!BR52</f>
        <v>2199.2873561803563</v>
      </c>
      <c r="BS73" s="12">
        <f>+Segments!BS52</f>
        <v>1740.287356180356</v>
      </c>
      <c r="BT73" s="5">
        <f>+Segments!BT52</f>
        <v>7446.4995461473836</v>
      </c>
      <c r="BU73" s="12">
        <f>+Segments!BU52</f>
        <v>2301.3350525471051</v>
      </c>
      <c r="BV73" s="12">
        <f>+Segments!BV52</f>
        <v>2148.3350525471051</v>
      </c>
      <c r="BW73" s="12">
        <f>+Segments!BW52</f>
        <v>2377.8350525471051</v>
      </c>
      <c r="BX73" s="12">
        <f>+Segments!BX52</f>
        <v>2071.8350525471051</v>
      </c>
      <c r="BY73" s="5">
        <f>+Segments!BY52</f>
        <v>8899.3402101884203</v>
      </c>
      <c r="BZ73" s="12">
        <f>+Segments!BZ52</f>
        <v>2400.6089007304799</v>
      </c>
      <c r="CA73" s="12">
        <f>+Segments!CA52</f>
        <v>2247.6089007304799</v>
      </c>
      <c r="CB73" s="12">
        <f>+Segments!CB52</f>
        <v>2477.1089007304799</v>
      </c>
      <c r="CC73" s="12">
        <f>+Segments!CC52</f>
        <v>2171.1089007304799</v>
      </c>
      <c r="CD73" s="5">
        <f>+Segments!CD52</f>
        <v>9296.4356029219198</v>
      </c>
      <c r="CE73" s="5"/>
      <c r="CF73" s="5"/>
      <c r="CG73" s="5"/>
      <c r="CH73" s="5"/>
      <c r="CI73" s="5"/>
      <c r="CJ73" s="5"/>
    </row>
    <row r="74" spans="1:88">
      <c r="A74" s="35" t="s">
        <v>3618</v>
      </c>
      <c r="B74" s="4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12">
        <f>+Segments!W53</f>
        <v>134</v>
      </c>
      <c r="X74" s="12">
        <f>+Segments!X53</f>
        <v>546</v>
      </c>
      <c r="Y74" s="12">
        <f>+Segments!Y53</f>
        <v>732</v>
      </c>
      <c r="Z74" s="12">
        <f>+Segments!Z53</f>
        <v>536</v>
      </c>
      <c r="AA74" s="5">
        <f>+Segments!AA53</f>
        <v>1948</v>
      </c>
      <c r="AB74" s="12">
        <f>+Segments!AB53</f>
        <v>543</v>
      </c>
      <c r="AC74" s="12">
        <f>+Segments!AC53</f>
        <v>490</v>
      </c>
      <c r="AD74" s="12">
        <f>+Segments!AD53</f>
        <v>730</v>
      </c>
      <c r="AE74" s="12">
        <f>+Segments!AE53</f>
        <v>854</v>
      </c>
      <c r="AF74" s="5">
        <f>+Segments!AF53</f>
        <v>2617</v>
      </c>
      <c r="AG74" s="12">
        <f>+Segments!AG53</f>
        <v>1127</v>
      </c>
      <c r="AH74" s="12">
        <f>+Segments!AH53</f>
        <v>1081</v>
      </c>
      <c r="AI74" s="12">
        <f>+Segments!AI53</f>
        <v>939</v>
      </c>
      <c r="AJ74" s="12">
        <f>+Segments!AJ53</f>
        <v>987</v>
      </c>
      <c r="AK74" s="5">
        <f>+Segments!AK53</f>
        <v>4134</v>
      </c>
      <c r="AL74" s="12">
        <f>+Segments!AL53</f>
        <v>1157</v>
      </c>
      <c r="AM74" s="12">
        <f>+Segments!AM53</f>
        <v>452</v>
      </c>
      <c r="AN74" s="12">
        <f>+Segments!AN53</f>
        <v>1294</v>
      </c>
      <c r="AO74" s="12">
        <f>+Segments!AO53</f>
        <v>224</v>
      </c>
      <c r="AP74" s="5">
        <f>+Segments!AP53</f>
        <v>3127</v>
      </c>
      <c r="AQ74" s="12">
        <f>+Segments!AQ53</f>
        <v>85</v>
      </c>
      <c r="AR74" s="12">
        <f>+Segments!AR53</f>
        <v>218</v>
      </c>
      <c r="AS74" s="12">
        <f>+Segments!AS53</f>
        <v>808</v>
      </c>
      <c r="AT74" s="12">
        <f>+Segments!AT53</f>
        <v>1087</v>
      </c>
      <c r="AU74" s="5">
        <f>+Segments!AU53</f>
        <v>2198</v>
      </c>
      <c r="AV74" s="12">
        <f>+Segments!AV53</f>
        <v>271</v>
      </c>
      <c r="AW74" s="12">
        <f>+Segments!AW53</f>
        <v>1024</v>
      </c>
      <c r="AX74" s="12">
        <f>+Segments!AX53</f>
        <v>110</v>
      </c>
      <c r="AY74" s="12">
        <f>+Segments!AY53</f>
        <v>470</v>
      </c>
      <c r="AZ74" s="5">
        <f>+Segments!AZ53</f>
        <v>1875</v>
      </c>
      <c r="BA74" s="12">
        <f>+Segments!BA53</f>
        <v>183</v>
      </c>
      <c r="BB74" s="12">
        <f>+Segments!BB53</f>
        <v>510</v>
      </c>
      <c r="BC74" s="12">
        <f>+Segments!BC53</f>
        <v>382</v>
      </c>
      <c r="BD74" s="12">
        <f>+Segments!BD53</f>
        <v>235</v>
      </c>
      <c r="BE74" s="5">
        <f>+Segments!BE53</f>
        <v>1310</v>
      </c>
      <c r="BF74" s="12">
        <f>+Segments!BF53</f>
        <v>66</v>
      </c>
      <c r="BG74" s="12">
        <f>+Segments!BG53</f>
        <v>246</v>
      </c>
      <c r="BH74" s="12">
        <f>+Segments!BH53</f>
        <v>120</v>
      </c>
      <c r="BI74" s="12">
        <f>+Segments!BI53</f>
        <v>135</v>
      </c>
      <c r="BJ74" s="5">
        <f>+Segments!BJ53</f>
        <v>567</v>
      </c>
      <c r="BK74" s="12">
        <f>+Segments!BK53</f>
        <v>99</v>
      </c>
      <c r="BL74" s="12">
        <f>+Segments!BL53</f>
        <v>279</v>
      </c>
      <c r="BM74" s="12">
        <f>+Segments!BM53</f>
        <v>137</v>
      </c>
      <c r="BN74" s="12">
        <f>+Segments!BN53</f>
        <v>321</v>
      </c>
      <c r="BO74" s="5">
        <f>+Segments!BO53</f>
        <v>836</v>
      </c>
      <c r="BP74" s="12">
        <f ca="1">+Segments!BP53</f>
        <v>166.09817834995982</v>
      </c>
      <c r="BQ74" s="12">
        <f ca="1">+Segments!BQ53</f>
        <v>450.84421033314067</v>
      </c>
      <c r="BR74" s="12">
        <f ca="1">+Segments!BR53</f>
        <v>440.28892284330129</v>
      </c>
      <c r="BS74" s="12">
        <f ca="1">+Segments!BS53</f>
        <v>442.48144185590229</v>
      </c>
      <c r="BT74" s="5">
        <f ca="1">+Segments!BT53</f>
        <v>1499.7127533823041</v>
      </c>
      <c r="BU74" s="12">
        <f ca="1">+Segments!BU53</f>
        <v>461.00409165746134</v>
      </c>
      <c r="BV74" s="12">
        <f ca="1">+Segments!BV53</f>
        <v>468.45114509473188</v>
      </c>
      <c r="BW74" s="12">
        <f ca="1">+Segments!BW53</f>
        <v>459.44950906956944</v>
      </c>
      <c r="BX74" s="12">
        <f ca="1">+Segments!BX53</f>
        <v>460.02334409286203</v>
      </c>
      <c r="BY74" s="5">
        <f ca="1">+Segments!BY53</f>
        <v>1848.9280899146249</v>
      </c>
      <c r="BZ74" s="12">
        <f ca="1">+Segments!BZ53</f>
        <v>840.68313937295204</v>
      </c>
      <c r="CA74" s="12">
        <f ca="1">+Segments!CA53</f>
        <v>834.35548965307885</v>
      </c>
      <c r="CB74" s="12">
        <f ca="1">+Segments!CB53</f>
        <v>823.89999314176282</v>
      </c>
      <c r="CC74" s="12">
        <f ca="1">+Segments!CC53</f>
        <v>822.98507996752778</v>
      </c>
      <c r="CD74" s="5">
        <f ca="1">+Segments!CD53</f>
        <v>3321.9237021353215</v>
      </c>
      <c r="CE74" s="5"/>
      <c r="CF74" s="5"/>
      <c r="CG74" s="5"/>
      <c r="CH74" s="5"/>
      <c r="CI74" s="5"/>
      <c r="CJ74" s="5"/>
    </row>
    <row r="75" spans="1:88">
      <c r="A75" s="4" t="s">
        <v>2702</v>
      </c>
      <c r="B75" s="4"/>
      <c r="C75" s="72"/>
      <c r="D75" s="72"/>
      <c r="E75" s="5">
        <f>+Segments!E54</f>
        <v>-820</v>
      </c>
      <c r="F75" s="5">
        <f>+Segments!F54</f>
        <v>-465</v>
      </c>
      <c r="G75" s="5">
        <f>+Segments!G54</f>
        <v>-594</v>
      </c>
      <c r="H75" s="12">
        <f>+Segments!H54</f>
        <v>-99</v>
      </c>
      <c r="I75" s="12">
        <f>+Segments!I54</f>
        <v>-203</v>
      </c>
      <c r="J75" s="12">
        <f>+Segments!J54</f>
        <v>-305</v>
      </c>
      <c r="K75" s="12">
        <f>+Segments!K54</f>
        <v>-162</v>
      </c>
      <c r="L75" s="5">
        <f>+Segments!L54</f>
        <v>-769</v>
      </c>
      <c r="M75" s="12">
        <f>+Segments!M54</f>
        <v>-132</v>
      </c>
      <c r="N75" s="12">
        <f>+Segments!N54</f>
        <v>-165</v>
      </c>
      <c r="O75" s="12">
        <f>+Segments!O54</f>
        <v>-310</v>
      </c>
      <c r="P75" s="12">
        <f>+Segments!P54</f>
        <v>-340</v>
      </c>
      <c r="Q75" s="5">
        <f>+Segments!Q54</f>
        <v>-947</v>
      </c>
      <c r="R75" s="12">
        <f>+Segments!R54</f>
        <v>-132</v>
      </c>
      <c r="S75" s="12">
        <f>+Segments!S54</f>
        <v>-191</v>
      </c>
      <c r="T75" s="12">
        <f>+Segments!T54</f>
        <v>112</v>
      </c>
      <c r="U75" s="12">
        <f>+Segments!U54</f>
        <v>-379</v>
      </c>
      <c r="V75" s="5">
        <f>+Segments!V54</f>
        <v>-590</v>
      </c>
      <c r="W75" s="12">
        <f>+Segments!W54</f>
        <v>-440</v>
      </c>
      <c r="X75" s="12">
        <f>+Segments!X54</f>
        <v>-544</v>
      </c>
      <c r="Y75" s="12">
        <f>+Segments!Y54</f>
        <v>-522</v>
      </c>
      <c r="Z75" s="12">
        <f>+Segments!Z54</f>
        <v>-327</v>
      </c>
      <c r="AA75" s="5">
        <f>+Segments!AA54</f>
        <v>-1833</v>
      </c>
      <c r="AB75" s="12">
        <f>+Segments!AB54</f>
        <v>-210</v>
      </c>
      <c r="AC75" s="12">
        <f>+Segments!AC54</f>
        <v>-141</v>
      </c>
      <c r="AD75" s="12">
        <f>+Segments!AD54</f>
        <v>-482</v>
      </c>
      <c r="AE75" s="12">
        <f>+Segments!AE54</f>
        <v>-483</v>
      </c>
      <c r="AF75" s="5">
        <f>+Segments!AF54</f>
        <v>-1316</v>
      </c>
      <c r="AG75" s="12">
        <f>+Segments!AG54</f>
        <v>-297</v>
      </c>
      <c r="AH75" s="12">
        <f>+Segments!AH54</f>
        <v>-335</v>
      </c>
      <c r="AI75" s="12">
        <f>+Segments!AI54</f>
        <v>-406</v>
      </c>
      <c r="AJ75" s="12">
        <f>+Segments!AJ54</f>
        <v>-618</v>
      </c>
      <c r="AK75" s="5">
        <f>+Segments!AK54</f>
        <v>-1656</v>
      </c>
      <c r="AL75" s="12">
        <f>+Segments!AL54</f>
        <v>-436</v>
      </c>
      <c r="AM75" s="12">
        <f>+Segments!AM54</f>
        <v>-540</v>
      </c>
      <c r="AN75" s="12">
        <f>+Segments!AN54</f>
        <v>-574</v>
      </c>
      <c r="AO75" s="12">
        <f>+Segments!AO54</f>
        <v>-447</v>
      </c>
      <c r="AP75" s="5">
        <f>+Segments!AP54</f>
        <v>-1997</v>
      </c>
      <c r="AQ75" s="12">
        <f>+Segments!AQ54</f>
        <v>-461</v>
      </c>
      <c r="AR75" s="12">
        <f>+Segments!AR54</f>
        <v>-438</v>
      </c>
      <c r="AS75" s="12">
        <f>+Segments!AS54</f>
        <v>-385</v>
      </c>
      <c r="AT75" s="12">
        <f>+Segments!AT54</f>
        <v>-614</v>
      </c>
      <c r="AU75" s="5">
        <f>+Segments!AU54</f>
        <v>-1898</v>
      </c>
      <c r="AV75" s="12">
        <f>+Segments!AV54</f>
        <v>-489</v>
      </c>
      <c r="AW75" s="12">
        <f>+Segments!AW54</f>
        <v>-438</v>
      </c>
      <c r="AX75" s="12">
        <f>+Segments!AX54</f>
        <v>-293</v>
      </c>
      <c r="AY75" s="12">
        <f>+Segments!AY54</f>
        <v>-120</v>
      </c>
      <c r="AZ75" s="5">
        <f>+Segments!AZ54</f>
        <v>-1340</v>
      </c>
      <c r="BA75" s="12">
        <f>+Segments!BA54</f>
        <v>-290</v>
      </c>
      <c r="BB75" s="12">
        <f>+Segments!BB54</f>
        <v>-401</v>
      </c>
      <c r="BC75" s="12">
        <f>+Segments!BC54</f>
        <v>-231</v>
      </c>
      <c r="BD75" s="12">
        <f>+Segments!BD54</f>
        <v>-299</v>
      </c>
      <c r="BE75" s="5">
        <f>+Segments!BE54</f>
        <v>-1221</v>
      </c>
      <c r="BF75" s="12">
        <f>+Segments!BF54</f>
        <v>-178</v>
      </c>
      <c r="BG75" s="12">
        <f>+Segments!BG54</f>
        <v>-376</v>
      </c>
      <c r="BH75" s="12">
        <f>+Segments!BH54</f>
        <v>-260</v>
      </c>
      <c r="BI75" s="12">
        <f>+Segments!BI54</f>
        <v>-424</v>
      </c>
      <c r="BJ75" s="5">
        <f>+Segments!BJ54</f>
        <v>-1238</v>
      </c>
      <c r="BK75" s="12">
        <f>+Segments!BK54</f>
        <v>-440</v>
      </c>
      <c r="BL75" s="12">
        <f>+Segments!BL54</f>
        <v>-366</v>
      </c>
      <c r="BM75" s="12">
        <f>+Segments!BM54</f>
        <v>-398</v>
      </c>
      <c r="BN75" s="12">
        <f>+Segments!BN54</f>
        <v>-394</v>
      </c>
      <c r="BO75" s="5">
        <f>+Segments!BO54</f>
        <v>-1598</v>
      </c>
      <c r="BP75" s="12">
        <f>+Segments!BP54</f>
        <v>-350</v>
      </c>
      <c r="BQ75" s="12">
        <f>+Segments!BQ54</f>
        <v>-350</v>
      </c>
      <c r="BR75" s="12">
        <f>+Segments!BR54</f>
        <v>-350</v>
      </c>
      <c r="BS75" s="12">
        <f>+Segments!BS54</f>
        <v>-350</v>
      </c>
      <c r="BT75" s="5">
        <f>+Segments!BT54</f>
        <v>-1400</v>
      </c>
      <c r="BU75" s="12">
        <f>+Segments!BU54</f>
        <v>-350</v>
      </c>
      <c r="BV75" s="12">
        <f>+Segments!BV54</f>
        <v>-350</v>
      </c>
      <c r="BW75" s="12">
        <f>+Segments!BW54</f>
        <v>-350</v>
      </c>
      <c r="BX75" s="12">
        <f>+Segments!BX54</f>
        <v>-350</v>
      </c>
      <c r="BY75" s="5">
        <f>+Segments!BY54</f>
        <v>-1400</v>
      </c>
      <c r="BZ75" s="12">
        <f>+Segments!BZ54</f>
        <v>-350</v>
      </c>
      <c r="CA75" s="12">
        <f>+Segments!CA54</f>
        <v>-350</v>
      </c>
      <c r="CB75" s="12">
        <f>+Segments!CB54</f>
        <v>-350</v>
      </c>
      <c r="CC75" s="12">
        <f>+Segments!CC54</f>
        <v>-350</v>
      </c>
      <c r="CD75" s="5">
        <f>+Segments!CD54</f>
        <v>-1400</v>
      </c>
      <c r="CE75" s="5"/>
      <c r="CF75" s="5"/>
      <c r="CG75" s="5"/>
      <c r="CH75" s="5"/>
      <c r="CI75" s="5"/>
      <c r="CJ75" s="5"/>
    </row>
    <row r="76" spans="1:88">
      <c r="A76" s="4" t="s">
        <v>2703</v>
      </c>
      <c r="B76" s="4"/>
      <c r="C76" s="72"/>
      <c r="D76" s="72"/>
      <c r="E76" s="5">
        <f>+Segments!E55</f>
        <v>0</v>
      </c>
      <c r="F76" s="5">
        <f>+Segments!F55</f>
        <v>0</v>
      </c>
      <c r="G76" s="5">
        <f>+Segments!G55</f>
        <v>0</v>
      </c>
      <c r="H76" s="12">
        <f>+Segments!H55</f>
        <v>0</v>
      </c>
      <c r="I76" s="12">
        <f>+Segments!I55</f>
        <v>0</v>
      </c>
      <c r="J76" s="12">
        <f>+Segments!J55</f>
        <v>0</v>
      </c>
      <c r="K76" s="12">
        <f>+Segments!K55</f>
        <v>0</v>
      </c>
      <c r="L76" s="5">
        <f>+Segments!L55</f>
        <v>0</v>
      </c>
      <c r="M76" s="12">
        <f>+Segments!M55</f>
        <v>0</v>
      </c>
      <c r="N76" s="12">
        <f>+Segments!N55</f>
        <v>0</v>
      </c>
      <c r="O76" s="12">
        <f>+Segments!O55</f>
        <v>0</v>
      </c>
      <c r="P76" s="12">
        <f>+Segments!P55</f>
        <v>0</v>
      </c>
      <c r="Q76" s="5">
        <f>+Segments!Q55</f>
        <v>0</v>
      </c>
      <c r="R76" s="12">
        <f>+Segments!R55</f>
        <v>0</v>
      </c>
      <c r="S76" s="12">
        <f>+Segments!S55</f>
        <v>0</v>
      </c>
      <c r="T76" s="12">
        <f>+Segments!T55</f>
        <v>0</v>
      </c>
      <c r="U76" s="12">
        <f>+Segments!U55</f>
        <v>0</v>
      </c>
      <c r="V76" s="5">
        <f>+Segments!V55</f>
        <v>0</v>
      </c>
      <c r="W76" s="12">
        <f>+Segments!W55</f>
        <v>0</v>
      </c>
      <c r="X76" s="12">
        <f>+Segments!X55</f>
        <v>0</v>
      </c>
      <c r="Y76" s="12">
        <f>+Segments!Y55</f>
        <v>0</v>
      </c>
      <c r="Z76" s="12">
        <f>+Segments!Z55</f>
        <v>0</v>
      </c>
      <c r="AA76" s="5">
        <f>+Segments!AA55</f>
        <v>0</v>
      </c>
      <c r="AB76" s="12">
        <f>+Segments!AB55</f>
        <v>0</v>
      </c>
      <c r="AC76" s="12">
        <f>+Segments!AC55</f>
        <v>0</v>
      </c>
      <c r="AD76" s="12">
        <f>+Segments!AD55</f>
        <v>0</v>
      </c>
      <c r="AE76" s="12">
        <f>+Segments!AE55</f>
        <v>0</v>
      </c>
      <c r="AF76" s="5">
        <f>+Segments!AF55</f>
        <v>0</v>
      </c>
      <c r="AG76" s="12">
        <f>+Segments!AG55</f>
        <v>0</v>
      </c>
      <c r="AH76" s="12">
        <f>+Segments!AH55</f>
        <v>0</v>
      </c>
      <c r="AI76" s="12">
        <f>+Segments!AI55</f>
        <v>0</v>
      </c>
      <c r="AJ76" s="12">
        <f>+Segments!AJ55</f>
        <v>0</v>
      </c>
      <c r="AK76" s="5">
        <f>+Segments!AK55</f>
        <v>0</v>
      </c>
      <c r="AL76" s="12">
        <f>+Segments!AL55</f>
        <v>0</v>
      </c>
      <c r="AM76" s="12">
        <f>+Segments!AM55</f>
        <v>0</v>
      </c>
      <c r="AN76" s="12">
        <f>+Segments!AN55</f>
        <v>0</v>
      </c>
      <c r="AO76" s="12">
        <f>+Segments!AO55</f>
        <v>0</v>
      </c>
      <c r="AP76" s="5">
        <f>+Segments!AP55</f>
        <v>0</v>
      </c>
      <c r="AQ76" s="12">
        <f>+Segments!AQ55</f>
        <v>0</v>
      </c>
      <c r="AR76" s="12">
        <f>+Segments!AR55</f>
        <v>0</v>
      </c>
      <c r="AS76" s="12">
        <f>+Segments!AS55</f>
        <v>0</v>
      </c>
      <c r="AT76" s="12">
        <f>+Segments!AT55</f>
        <v>0</v>
      </c>
      <c r="AU76" s="5">
        <f>+Segments!AU55</f>
        <v>0</v>
      </c>
      <c r="AV76" s="12">
        <f>+Segments!AV55</f>
        <v>0</v>
      </c>
      <c r="AW76" s="12">
        <f>+Segments!AW55</f>
        <v>0</v>
      </c>
      <c r="AX76" s="12">
        <f>+Segments!AX55</f>
        <v>0</v>
      </c>
      <c r="AY76" s="12">
        <f>+Segments!AY55</f>
        <v>0</v>
      </c>
      <c r="AZ76" s="5">
        <f>+Segments!AZ55</f>
        <v>0</v>
      </c>
      <c r="BA76" s="12">
        <f>+Segments!BA55</f>
        <v>0</v>
      </c>
      <c r="BB76" s="12">
        <f>+Segments!BB55</f>
        <v>0</v>
      </c>
      <c r="BC76" s="12">
        <f>+Segments!BC55</f>
        <v>0</v>
      </c>
      <c r="BD76" s="12">
        <f>+Segments!BD55</f>
        <v>0</v>
      </c>
      <c r="BE76" s="5">
        <f>+Segments!BE55</f>
        <v>0</v>
      </c>
      <c r="BF76" s="12">
        <f ca="1">+Segments!BF55</f>
        <v>0</v>
      </c>
      <c r="BG76" s="12">
        <f ca="1">+Segments!BG55</f>
        <v>0</v>
      </c>
      <c r="BH76" s="12">
        <f>+Segments!BH55</f>
        <v>0</v>
      </c>
      <c r="BI76" s="12">
        <f>+Segments!BI55</f>
        <v>0</v>
      </c>
      <c r="BJ76" s="5">
        <f ca="1">+Segments!BJ55</f>
        <v>0</v>
      </c>
      <c r="BK76" s="12">
        <f>+Segments!BK55</f>
        <v>0</v>
      </c>
      <c r="BL76" s="12">
        <f>+Segments!BL55</f>
        <v>0</v>
      </c>
      <c r="BM76" s="12">
        <f>+Segments!BM55</f>
        <v>0</v>
      </c>
      <c r="BN76" s="12">
        <f ca="1">+Segments!BN55</f>
        <v>0</v>
      </c>
      <c r="BO76" s="5">
        <f ca="1">+Segments!BO55</f>
        <v>0</v>
      </c>
      <c r="BP76" s="12">
        <f ca="1">+Segments!BP55</f>
        <v>0</v>
      </c>
      <c r="BQ76" s="12">
        <f ca="1">+Segments!BQ55</f>
        <v>0</v>
      </c>
      <c r="BR76" s="12">
        <f ca="1">+Segments!BR55</f>
        <v>0</v>
      </c>
      <c r="BS76" s="12">
        <f ca="1">+Segments!BS55</f>
        <v>0</v>
      </c>
      <c r="BT76" s="5">
        <f ca="1">+Segments!BT55</f>
        <v>0</v>
      </c>
      <c r="BU76" s="12">
        <f ca="1">+Segments!BU55</f>
        <v>0</v>
      </c>
      <c r="BV76" s="12">
        <f ca="1">+Segments!BV55</f>
        <v>0</v>
      </c>
      <c r="BW76" s="12">
        <f ca="1">+Segments!BW55</f>
        <v>0</v>
      </c>
      <c r="BX76" s="12">
        <f ca="1">+Segments!BX55</f>
        <v>0</v>
      </c>
      <c r="BY76" s="5">
        <f ca="1">+Segments!BY55</f>
        <v>0</v>
      </c>
      <c r="BZ76" s="12">
        <f ca="1">+Segments!BZ55</f>
        <v>0</v>
      </c>
      <c r="CA76" s="12">
        <f ca="1">+Segments!CA55</f>
        <v>0</v>
      </c>
      <c r="CB76" s="12">
        <f ca="1">+Segments!CB55</f>
        <v>0</v>
      </c>
      <c r="CC76" s="12">
        <f ca="1">+Segments!CC55</f>
        <v>0</v>
      </c>
      <c r="CD76" s="5">
        <f ca="1">+Segments!CD55</f>
        <v>0</v>
      </c>
      <c r="CE76" s="5"/>
      <c r="CF76" s="5"/>
      <c r="CG76" s="5"/>
      <c r="CH76" s="5"/>
      <c r="CI76" s="5"/>
      <c r="CJ76" s="5"/>
    </row>
    <row r="77" spans="1:88">
      <c r="A77" s="4" t="s">
        <v>2704</v>
      </c>
      <c r="B77" s="4"/>
      <c r="C77" s="72"/>
      <c r="D77" s="72"/>
      <c r="E77" s="5">
        <f>+Segments!E56</f>
        <v>-62</v>
      </c>
      <c r="F77" s="5">
        <f>+Segments!F56</f>
        <v>-184</v>
      </c>
      <c r="G77" s="5">
        <f>+Segments!G56</f>
        <v>-137</v>
      </c>
      <c r="H77" s="12">
        <f>+Segments!H56</f>
        <v>-24</v>
      </c>
      <c r="I77" s="12">
        <f>+Segments!I56</f>
        <v>-260</v>
      </c>
      <c r="J77" s="12">
        <f>+Segments!J56</f>
        <v>436</v>
      </c>
      <c r="K77" s="12">
        <f>+Segments!K56</f>
        <v>-87</v>
      </c>
      <c r="L77" s="5">
        <f>+Segments!L56</f>
        <v>65</v>
      </c>
      <c r="M77" s="12">
        <f>+Segments!M56</f>
        <v>42</v>
      </c>
      <c r="N77" s="12">
        <f>+Segments!N56</f>
        <v>-98</v>
      </c>
      <c r="O77" s="12">
        <f>+Segments!O56</f>
        <v>103</v>
      </c>
      <c r="P77" s="12">
        <f>+Segments!P56</f>
        <v>-267</v>
      </c>
      <c r="Q77" s="5">
        <f>+Segments!Q56</f>
        <v>-220</v>
      </c>
      <c r="R77" s="12">
        <f>+Segments!R56</f>
        <v>-784</v>
      </c>
      <c r="S77" s="12">
        <f>+Segments!S56</f>
        <v>-221</v>
      </c>
      <c r="T77" s="12">
        <f>+Segments!T56</f>
        <v>838</v>
      </c>
      <c r="U77" s="12">
        <f>+Segments!U56</f>
        <v>633</v>
      </c>
      <c r="V77" s="5">
        <f>+Segments!V56</f>
        <v>466</v>
      </c>
      <c r="W77" s="12">
        <f>+Segments!W56</f>
        <v>-405</v>
      </c>
      <c r="X77" s="12">
        <f>+Segments!X56</f>
        <v>76</v>
      </c>
      <c r="Y77" s="12">
        <f>+Segments!Y56</f>
        <v>104</v>
      </c>
      <c r="Z77" s="12">
        <f>+Segments!Z56</f>
        <v>-492</v>
      </c>
      <c r="AA77" s="5">
        <f>+Segments!AA56</f>
        <v>-717</v>
      </c>
      <c r="AB77" s="12">
        <f>+Segments!AB56</f>
        <v>208</v>
      </c>
      <c r="AC77" s="12">
        <f>+Segments!AC56</f>
        <v>98</v>
      </c>
      <c r="AD77" s="12">
        <f>+Segments!AD56</f>
        <v>85</v>
      </c>
      <c r="AE77" s="12">
        <f>+Segments!AE56</f>
        <v>56</v>
      </c>
      <c r="AF77" s="5">
        <f>+Segments!AF56</f>
        <v>447</v>
      </c>
      <c r="AG77" s="12">
        <f>+Segments!AG56</f>
        <v>-542</v>
      </c>
      <c r="AH77" s="12">
        <f>+Segments!AH56</f>
        <v>515</v>
      </c>
      <c r="AI77" s="12">
        <f>+Segments!AI56</f>
        <v>-213</v>
      </c>
      <c r="AJ77" s="12">
        <f>+Segments!AJ56</f>
        <v>127</v>
      </c>
      <c r="AK77" s="5">
        <f>+Segments!AK56</f>
        <v>-113</v>
      </c>
      <c r="AL77" s="12">
        <f>+Segments!AL56</f>
        <v>-541</v>
      </c>
      <c r="AM77" s="12">
        <f>+Segments!AM56</f>
        <v>457</v>
      </c>
      <c r="AN77" s="12">
        <f>+Segments!AN56</f>
        <v>-64</v>
      </c>
      <c r="AO77" s="12">
        <f>+Segments!AO56</f>
        <v>-428</v>
      </c>
      <c r="AP77" s="5">
        <f>+Segments!AP56</f>
        <v>-576</v>
      </c>
      <c r="AQ77" s="12">
        <f>+Segments!AQ56</f>
        <v>427</v>
      </c>
      <c r="AR77" s="12">
        <f>+Segments!AR56</f>
        <v>129</v>
      </c>
      <c r="AS77" s="12">
        <f>+Segments!AS56</f>
        <v>263</v>
      </c>
      <c r="AT77" s="12">
        <f>+Segments!AT56</f>
        <v>-240</v>
      </c>
      <c r="AU77" s="5">
        <f>+Segments!AU56</f>
        <v>579</v>
      </c>
      <c r="AV77" s="12">
        <f>+Segments!AV56</f>
        <v>90</v>
      </c>
      <c r="AW77" s="12">
        <f>+Segments!AW56</f>
        <v>-76</v>
      </c>
      <c r="AX77" s="12">
        <f>+Segments!AX56</f>
        <v>370</v>
      </c>
      <c r="AY77" s="12">
        <f>+Segments!AY56</f>
        <v>257</v>
      </c>
      <c r="AZ77" s="5">
        <f>+Segments!AZ56</f>
        <v>641</v>
      </c>
      <c r="BA77" s="12">
        <f>+Segments!BA56</f>
        <v>-129</v>
      </c>
      <c r="BB77" s="12">
        <f>+Segments!BB56</f>
        <v>-39</v>
      </c>
      <c r="BC77" s="12">
        <f>+Segments!BC56</f>
        <v>67</v>
      </c>
      <c r="BD77" s="12">
        <f>+Segments!BD56</f>
        <v>65</v>
      </c>
      <c r="BE77" s="5">
        <f>+Segments!BE56</f>
        <v>-36</v>
      </c>
      <c r="BF77" s="12">
        <f>+Segments!BF56</f>
        <v>40</v>
      </c>
      <c r="BG77" s="12">
        <f>+Segments!BG56</f>
        <v>-121</v>
      </c>
      <c r="BH77" s="12">
        <f>+Segments!BH56</f>
        <v>17</v>
      </c>
      <c r="BI77" s="12">
        <f>+Segments!BI56</f>
        <v>-132</v>
      </c>
      <c r="BJ77" s="5">
        <f>+Segments!BJ56</f>
        <v>-196</v>
      </c>
      <c r="BK77" s="12">
        <f>+Segments!BK56</f>
        <v>-68</v>
      </c>
      <c r="BL77" s="12">
        <f>+Segments!BL56</f>
        <v>135</v>
      </c>
      <c r="BM77" s="12">
        <f>+Segments!BM56</f>
        <v>-130</v>
      </c>
      <c r="BN77" s="12">
        <f>+Segments!BN56</f>
        <v>-149</v>
      </c>
      <c r="BO77" s="5">
        <f>+Segments!BO56</f>
        <v>-212</v>
      </c>
      <c r="BP77" s="12">
        <f>+Segments!BP56</f>
        <v>0</v>
      </c>
      <c r="BQ77" s="12">
        <f>+Segments!BQ56</f>
        <v>0</v>
      </c>
      <c r="BR77" s="12">
        <f>+Segments!BR56</f>
        <v>0</v>
      </c>
      <c r="BS77" s="12">
        <f>+Segments!BS56</f>
        <v>0</v>
      </c>
      <c r="BT77" s="5">
        <f>+Segments!BT56</f>
        <v>0</v>
      </c>
      <c r="BU77" s="12">
        <f>+Segments!BU56</f>
        <v>0</v>
      </c>
      <c r="BV77" s="12">
        <f>+Segments!BV56</f>
        <v>0</v>
      </c>
      <c r="BW77" s="12">
        <f>+Segments!BW56</f>
        <v>0</v>
      </c>
      <c r="BX77" s="12">
        <f>+Segments!BX56</f>
        <v>0</v>
      </c>
      <c r="BY77" s="5">
        <f>+Segments!BY56</f>
        <v>0</v>
      </c>
      <c r="BZ77" s="12">
        <f>+Segments!BZ56</f>
        <v>0</v>
      </c>
      <c r="CA77" s="12">
        <f>+Segments!CA56</f>
        <v>0</v>
      </c>
      <c r="CB77" s="12">
        <f>+Segments!CB56</f>
        <v>0</v>
      </c>
      <c r="CC77" s="12">
        <f>+Segments!CC56</f>
        <v>0</v>
      </c>
      <c r="CD77" s="5">
        <f>+Segments!CD56</f>
        <v>0</v>
      </c>
      <c r="CE77" s="5"/>
      <c r="CF77" s="5"/>
      <c r="CG77" s="5"/>
      <c r="CH77" s="5"/>
      <c r="CI77" s="5"/>
      <c r="CJ77" s="5"/>
    </row>
    <row r="78" spans="1:88">
      <c r="A78" s="4" t="s">
        <v>799</v>
      </c>
      <c r="B78" s="4"/>
      <c r="C78" s="72"/>
      <c r="D78" s="72"/>
      <c r="E78" s="5">
        <f>+Segments!E57</f>
        <v>193</v>
      </c>
      <c r="F78" s="5">
        <f>+Segments!F57</f>
        <v>1307</v>
      </c>
      <c r="G78" s="5">
        <f>+Segments!G57</f>
        <v>1174</v>
      </c>
      <c r="H78" s="12">
        <f>+Segments!H57</f>
        <v>96</v>
      </c>
      <c r="I78" s="12">
        <f>+Segments!I57</f>
        <v>88</v>
      </c>
      <c r="J78" s="12">
        <f>+Segments!J57</f>
        <v>0</v>
      </c>
      <c r="K78" s="12">
        <f>+Segments!K57</f>
        <v>0</v>
      </c>
      <c r="L78" s="5">
        <f>+Segments!L57</f>
        <v>184</v>
      </c>
      <c r="M78" s="12">
        <f>+Segments!M57</f>
        <v>0</v>
      </c>
      <c r="N78" s="12">
        <f>+Segments!N57</f>
        <v>0</v>
      </c>
      <c r="O78" s="12">
        <f>+Segments!O57</f>
        <v>0</v>
      </c>
      <c r="P78" s="12">
        <f>+Segments!P57</f>
        <v>0</v>
      </c>
      <c r="Q78" s="5">
        <f>+Segments!Q57</f>
        <v>0</v>
      </c>
      <c r="R78" s="12">
        <f>+Segments!R57</f>
        <v>0</v>
      </c>
      <c r="S78" s="12">
        <f>+Segments!S57</f>
        <v>0</v>
      </c>
      <c r="T78" s="12">
        <f>+Segments!T57</f>
        <v>0</v>
      </c>
      <c r="U78" s="12">
        <f>+Segments!U57</f>
        <v>0</v>
      </c>
      <c r="V78" s="5">
        <f>+Segments!V57</f>
        <v>0</v>
      </c>
      <c r="W78" s="12">
        <f>+Segments!W57</f>
        <v>0</v>
      </c>
      <c r="X78" s="12">
        <f>+Segments!X57</f>
        <v>0</v>
      </c>
      <c r="Y78" s="12">
        <f>+Segments!Y57</f>
        <v>0</v>
      </c>
      <c r="Z78" s="12">
        <f>+Segments!Z57</f>
        <v>0</v>
      </c>
      <c r="AA78" s="5">
        <f>+Segments!AA57</f>
        <v>0</v>
      </c>
      <c r="AB78" s="12">
        <f>+Segments!AB57</f>
        <v>0</v>
      </c>
      <c r="AC78" s="12">
        <f>+Segments!AC57</f>
        <v>0</v>
      </c>
      <c r="AD78" s="12">
        <f>+Segments!AD57</f>
        <v>0</v>
      </c>
      <c r="AE78" s="12">
        <f>+Segments!AE57</f>
        <v>0</v>
      </c>
      <c r="AF78" s="5">
        <f>+Segments!AF57</f>
        <v>0</v>
      </c>
      <c r="AG78" s="12">
        <f>+Segments!AG57</f>
        <v>0</v>
      </c>
      <c r="AH78" s="12">
        <f>+Segments!AH57</f>
        <v>0</v>
      </c>
      <c r="AI78" s="12">
        <f>+Segments!AI57</f>
        <v>0</v>
      </c>
      <c r="AJ78" s="12">
        <f>+Segments!AJ57</f>
        <v>0</v>
      </c>
      <c r="AK78" s="5">
        <f>+Segments!AK57</f>
        <v>0</v>
      </c>
      <c r="AL78" s="12">
        <f>+Segments!AL57</f>
        <v>0</v>
      </c>
      <c r="AM78" s="12">
        <f>+Segments!AM57</f>
        <v>0</v>
      </c>
      <c r="AN78" s="12">
        <f>+Segments!AN57</f>
        <v>0</v>
      </c>
      <c r="AO78" s="12">
        <f>+Segments!AO57</f>
        <v>0</v>
      </c>
      <c r="AP78" s="5">
        <f>+Segments!AP57</f>
        <v>0</v>
      </c>
      <c r="AQ78" s="12">
        <f>+Segments!AQ57</f>
        <v>0</v>
      </c>
      <c r="AR78" s="12">
        <f>+Segments!AR57</f>
        <v>0</v>
      </c>
      <c r="AS78" s="12">
        <f>+Segments!AS57</f>
        <v>0</v>
      </c>
      <c r="AT78" s="12">
        <f>+Segments!AT57</f>
        <v>0</v>
      </c>
      <c r="AU78" s="5">
        <f>+Segments!AU57</f>
        <v>0</v>
      </c>
      <c r="AV78" s="12">
        <f>+Segments!AV57</f>
        <v>0</v>
      </c>
      <c r="AW78" s="12">
        <f>+Segments!AW57</f>
        <v>0</v>
      </c>
      <c r="AX78" s="12">
        <f>+Segments!AX57</f>
        <v>0</v>
      </c>
      <c r="AY78" s="12">
        <f>+Segments!AY57</f>
        <v>0</v>
      </c>
      <c r="AZ78" s="5">
        <f>+Segments!AZ57</f>
        <v>0</v>
      </c>
      <c r="BA78" s="12">
        <f>+Segments!BA57</f>
        <v>0</v>
      </c>
      <c r="BB78" s="12">
        <f>+Segments!BB57</f>
        <v>0</v>
      </c>
      <c r="BC78" s="12">
        <f>+Segments!BC57</f>
        <v>0</v>
      </c>
      <c r="BD78" s="12">
        <f>+Segments!BD57</f>
        <v>0</v>
      </c>
      <c r="BE78" s="5">
        <f>+Segments!BE57</f>
        <v>0</v>
      </c>
      <c r="BF78" s="12">
        <f>+Segments!BF57</f>
        <v>0</v>
      </c>
      <c r="BG78" s="12">
        <f>+Segments!BG57</f>
        <v>0</v>
      </c>
      <c r="BH78" s="12">
        <f>+Segments!BH57</f>
        <v>0</v>
      </c>
      <c r="BI78" s="12">
        <f>+Segments!BI57</f>
        <v>0</v>
      </c>
      <c r="BJ78" s="5">
        <f>+Segments!BJ57</f>
        <v>0</v>
      </c>
      <c r="BK78" s="12">
        <f>+Segments!BK57</f>
        <v>0</v>
      </c>
      <c r="BL78" s="12">
        <f>+Segments!BL57</f>
        <v>0</v>
      </c>
      <c r="BM78" s="12">
        <f>+Segments!BM57</f>
        <v>0</v>
      </c>
      <c r="BN78" s="12">
        <f>+Segments!BN57</f>
        <v>0</v>
      </c>
      <c r="BO78" s="5">
        <f>+Segments!BO57</f>
        <v>0</v>
      </c>
      <c r="BP78" s="12">
        <f>+Segments!BP57</f>
        <v>0</v>
      </c>
      <c r="BQ78" s="12">
        <f>+Segments!BQ57</f>
        <v>0</v>
      </c>
      <c r="BR78" s="12">
        <f>+Segments!BR57</f>
        <v>0</v>
      </c>
      <c r="BS78" s="12">
        <f>+Segments!BS57</f>
        <v>0</v>
      </c>
      <c r="BT78" s="5">
        <f>+Segments!BT57</f>
        <v>0</v>
      </c>
      <c r="BU78" s="12">
        <f>+Segments!BU57</f>
        <v>0</v>
      </c>
      <c r="BV78" s="12">
        <f>+Segments!BV57</f>
        <v>0</v>
      </c>
      <c r="BW78" s="12">
        <f>+Segments!BW57</f>
        <v>0</v>
      </c>
      <c r="BX78" s="12">
        <f>+Segments!BX57</f>
        <v>0</v>
      </c>
      <c r="BY78" s="5">
        <f>+Segments!BY57</f>
        <v>0</v>
      </c>
      <c r="BZ78" s="12">
        <f>+Segments!BZ57</f>
        <v>0</v>
      </c>
      <c r="CA78" s="12">
        <f>+Segments!CA57</f>
        <v>0</v>
      </c>
      <c r="CB78" s="12">
        <f>+Segments!CB57</f>
        <v>0</v>
      </c>
      <c r="CC78" s="12">
        <f>+Segments!CC57</f>
        <v>0</v>
      </c>
      <c r="CD78" s="5">
        <f>+Segments!CD57</f>
        <v>0</v>
      </c>
      <c r="CE78" s="5"/>
      <c r="CF78" s="5"/>
      <c r="CG78" s="5"/>
      <c r="CH78" s="5"/>
      <c r="CI78" s="5"/>
      <c r="CJ78" s="5"/>
    </row>
    <row r="79" spans="1:88">
      <c r="A79" s="14" t="s">
        <v>2544</v>
      </c>
      <c r="B79" s="14"/>
      <c r="C79" s="74"/>
      <c r="D79" s="74"/>
      <c r="E79" s="15">
        <f>+Segments!E58</f>
        <v>19052</v>
      </c>
      <c r="F79" s="15">
        <f>+Segments!F58</f>
        <v>25793</v>
      </c>
      <c r="G79" s="15">
        <f>+Segments!G58</f>
        <v>32876</v>
      </c>
      <c r="H79" s="67">
        <f>+Segments!H58</f>
        <v>8475</v>
      </c>
      <c r="I79" s="67">
        <f>+Segments!I58</f>
        <v>9606</v>
      </c>
      <c r="J79" s="67">
        <f>+Segments!J58</f>
        <v>9741</v>
      </c>
      <c r="K79" s="67">
        <f>+Segments!K58</f>
        <v>5669</v>
      </c>
      <c r="L79" s="15">
        <f>+Segments!L58</f>
        <v>33491</v>
      </c>
      <c r="M79" s="67">
        <f>+Segments!M58</f>
        <v>7000</v>
      </c>
      <c r="N79" s="67">
        <f>+Segments!N58</f>
        <v>8190</v>
      </c>
      <c r="O79" s="67">
        <f>+Segments!O58</f>
        <v>6934</v>
      </c>
      <c r="P79" s="67">
        <f>+Segments!P58</f>
        <v>7702</v>
      </c>
      <c r="Q79" s="15">
        <f>+Segments!Q58</f>
        <v>29826</v>
      </c>
      <c r="R79" s="67">
        <f>+Segments!R58</f>
        <v>10330</v>
      </c>
      <c r="S79" s="67">
        <f>+Segments!S58</f>
        <v>13507</v>
      </c>
      <c r="T79" s="67">
        <f>+Segments!T58</f>
        <v>13780</v>
      </c>
      <c r="U79" s="67">
        <f>+Segments!U58</f>
        <v>5157</v>
      </c>
      <c r="V79" s="15">
        <f>+Segments!V58</f>
        <v>42774</v>
      </c>
      <c r="W79" s="67">
        <f>+Segments!W58</f>
        <v>4555</v>
      </c>
      <c r="X79" s="67">
        <f>+Segments!X58</f>
        <v>4908</v>
      </c>
      <c r="Y79" s="67">
        <f>+Segments!Y58</f>
        <v>6931</v>
      </c>
      <c r="Z79" s="67">
        <f>+Segments!Z58</f>
        <v>6279</v>
      </c>
      <c r="AA79" s="15">
        <f>+Segments!AA58</f>
        <v>22673</v>
      </c>
      <c r="AB79" s="67">
        <f>+Segments!AB58</f>
        <v>8975</v>
      </c>
      <c r="AC79" s="67">
        <f>+Segments!AC58</f>
        <v>7986</v>
      </c>
      <c r="AD79" s="67">
        <f>+Segments!AD58</f>
        <v>7770</v>
      </c>
      <c r="AE79" s="67">
        <f>+Segments!AE58</f>
        <v>6973</v>
      </c>
      <c r="AF79" s="15">
        <f>+Segments!AF58</f>
        <v>31704</v>
      </c>
      <c r="AG79" s="67">
        <f>+Segments!AG58</f>
        <v>9168</v>
      </c>
      <c r="AH79" s="67">
        <f>+Segments!AH58</f>
        <v>8983</v>
      </c>
      <c r="AI79" s="67">
        <f>+Segments!AI58</f>
        <v>8273</v>
      </c>
      <c r="AJ79" s="67">
        <f>+Segments!AJ58</f>
        <v>7179</v>
      </c>
      <c r="AK79" s="15">
        <f>+Segments!AK58</f>
        <v>33603</v>
      </c>
      <c r="AL79" s="67">
        <f>+Segments!AL58</f>
        <v>7394</v>
      </c>
      <c r="AM79" s="67">
        <f>+Segments!AM58</f>
        <v>5899</v>
      </c>
      <c r="AN79" s="67">
        <f>+Segments!AN58</f>
        <v>8029</v>
      </c>
      <c r="AO79" s="67">
        <f>+Segments!AO58</f>
        <v>5098</v>
      </c>
      <c r="AP79" s="15">
        <f>+Segments!AP58</f>
        <v>26420</v>
      </c>
      <c r="AQ79" s="67">
        <f>+Segments!AQ58</f>
        <v>7394</v>
      </c>
      <c r="AR79" s="67">
        <f>+Segments!AR58</f>
        <v>5398</v>
      </c>
      <c r="AS79" s="67">
        <f>+Segments!AS58</f>
        <v>5829</v>
      </c>
      <c r="AT79" s="67">
        <f>+Segments!AT58</f>
        <v>4155</v>
      </c>
      <c r="AU79" s="15">
        <f>+Segments!AU58</f>
        <v>22776</v>
      </c>
      <c r="AV79" s="67">
        <f>+Segments!AV58</f>
        <v>5284</v>
      </c>
      <c r="AW79" s="67">
        <f>+Segments!AW58</f>
        <v>5898</v>
      </c>
      <c r="AX79" s="67">
        <f>+Segments!AX58</f>
        <v>5570</v>
      </c>
      <c r="AY79" s="67">
        <f>+Segments!AY58</f>
        <v>4066</v>
      </c>
      <c r="AZ79" s="15">
        <f>+Segments!AZ58</f>
        <v>20818</v>
      </c>
      <c r="BA79" s="67">
        <f>+Segments!BA58</f>
        <v>2526</v>
      </c>
      <c r="BB79" s="67">
        <f>+Segments!BB58</f>
        <v>2431</v>
      </c>
      <c r="BC79" s="67">
        <f>+Segments!BC58</f>
        <v>3343</v>
      </c>
      <c r="BD79" s="67">
        <f>+Segments!BD58</f>
        <v>491</v>
      </c>
      <c r="BE79" s="15">
        <f>+Segments!BE58</f>
        <v>8791</v>
      </c>
      <c r="BF79" s="67">
        <f ca="1">+Segments!BF58</f>
        <v>994</v>
      </c>
      <c r="BG79" s="67">
        <f ca="1">+Segments!BG58</f>
        <v>1291</v>
      </c>
      <c r="BH79" s="67">
        <f>+Segments!BH58</f>
        <v>1084</v>
      </c>
      <c r="BI79" s="67">
        <f>+Segments!BI58</f>
        <v>856</v>
      </c>
      <c r="BJ79" s="15">
        <f ca="1">+Segments!BJ58</f>
        <v>4225</v>
      </c>
      <c r="BK79" s="67">
        <f>+Segments!BK58</f>
        <v>2703</v>
      </c>
      <c r="BL79" s="67">
        <f>+Segments!BL58</f>
        <v>2171</v>
      </c>
      <c r="BM79" s="67">
        <f>+Segments!BM58</f>
        <v>3509</v>
      </c>
      <c r="BN79" s="67">
        <f ca="1">+Segments!BN58</f>
        <v>3475</v>
      </c>
      <c r="BO79" s="15">
        <f ca="1">+Segments!BO58</f>
        <v>11858</v>
      </c>
      <c r="BP79" s="67">
        <f ca="1">+Segments!BP58</f>
        <v>4066.8349013367224</v>
      </c>
      <c r="BQ79" s="67">
        <f ca="1">+Segments!BQ58</f>
        <v>5539.9263438247563</v>
      </c>
      <c r="BR79" s="67">
        <f ca="1">+Segments!BR58</f>
        <v>5709.4113620330272</v>
      </c>
      <c r="BS79" s="67">
        <f ca="1">+Segments!BS58</f>
        <v>5161.588893769781</v>
      </c>
      <c r="BT79" s="15">
        <f ca="1">+Segments!BT58</f>
        <v>20477.761500964287</v>
      </c>
      <c r="BU79" s="67">
        <f ca="1">+Segments!BU58</f>
        <v>5434.4331518955842</v>
      </c>
      <c r="BV79" s="67">
        <f ca="1">+Segments!BV58</f>
        <v>5292.7634776546383</v>
      </c>
      <c r="BW79" s="67">
        <f ca="1">+Segments!BW58</f>
        <v>5537.8027142795954</v>
      </c>
      <c r="BX79" s="67">
        <f ca="1">+Segments!BX58</f>
        <v>5242.041609903541</v>
      </c>
      <c r="BY79" s="15">
        <f ca="1">+Segments!BY58</f>
        <v>21507.040953733362</v>
      </c>
      <c r="BZ79" s="67">
        <f ca="1">+Segments!BZ58</f>
        <v>5814.5915736829211</v>
      </c>
      <c r="CA79" s="67">
        <f ca="1">+Segments!CA58</f>
        <v>5793.7442128055718</v>
      </c>
      <c r="CB79" s="67">
        <f ca="1">+Segments!CB58</f>
        <v>6105.5223244768667</v>
      </c>
      <c r="CC79" s="67">
        <f ca="1">+Segments!CC58</f>
        <v>5866.7621543789792</v>
      </c>
      <c r="CD79" s="15">
        <f ca="1">+Segments!CD58</f>
        <v>23580.62026534434</v>
      </c>
      <c r="CE79" s="8"/>
      <c r="CF79" s="5"/>
      <c r="CG79" s="5"/>
      <c r="CH79" s="5"/>
      <c r="CI79" s="5"/>
      <c r="CJ79" s="5"/>
    </row>
    <row r="80" spans="1:88">
      <c r="A80" s="7"/>
      <c r="B80" s="7"/>
      <c r="C80" s="73"/>
      <c r="D80" s="73"/>
      <c r="E80" s="8">
        <f>+Segments!E59</f>
        <v>0</v>
      </c>
      <c r="F80" s="8">
        <f>+Segments!F59</f>
        <v>0</v>
      </c>
      <c r="G80" s="8">
        <f>+Segments!G59</f>
        <v>0</v>
      </c>
      <c r="H80" s="66">
        <f>+Segments!H59</f>
        <v>0</v>
      </c>
      <c r="I80" s="66">
        <f>+Segments!I59</f>
        <v>0</v>
      </c>
      <c r="J80" s="66">
        <f>+Segments!J59</f>
        <v>0</v>
      </c>
      <c r="K80" s="66">
        <f>+Segments!K59</f>
        <v>0</v>
      </c>
      <c r="L80" s="8">
        <f>+Segments!L59</f>
        <v>0</v>
      </c>
      <c r="M80" s="66">
        <f>+Segments!M59</f>
        <v>0</v>
      </c>
      <c r="N80" s="66">
        <f>+Segments!N59</f>
        <v>0</v>
      </c>
      <c r="O80" s="66">
        <f>+Segments!O59</f>
        <v>0</v>
      </c>
      <c r="P80" s="66">
        <f>+Segments!P59</f>
        <v>0</v>
      </c>
      <c r="Q80" s="8">
        <f>+Segments!Q59</f>
        <v>0</v>
      </c>
      <c r="R80" s="66">
        <f>+Segments!R59</f>
        <v>0</v>
      </c>
      <c r="S80" s="66">
        <f>+Segments!S59</f>
        <v>0</v>
      </c>
      <c r="T80" s="66">
        <f>+Segments!T59</f>
        <v>0</v>
      </c>
      <c r="U80" s="66">
        <f>+Segments!U59</f>
        <v>0</v>
      </c>
      <c r="V80" s="8">
        <f>+Segments!V59</f>
        <v>0</v>
      </c>
      <c r="W80" s="66">
        <f>+Segments!W59</f>
        <v>0</v>
      </c>
      <c r="X80" s="66">
        <f>+Segments!X59</f>
        <v>0</v>
      </c>
      <c r="Y80" s="66">
        <f>+Segments!Y59</f>
        <v>0</v>
      </c>
      <c r="Z80" s="66">
        <f>+Segments!Z59</f>
        <v>0</v>
      </c>
      <c r="AA80" s="8">
        <f>+Segments!AA59</f>
        <v>0</v>
      </c>
      <c r="AB80" s="66">
        <f>+Segments!AB59</f>
        <v>0</v>
      </c>
      <c r="AC80" s="66">
        <f>+Segments!AC59</f>
        <v>0</v>
      </c>
      <c r="AD80" s="66">
        <f>+Segments!AD59</f>
        <v>0</v>
      </c>
      <c r="AE80" s="66">
        <f>+Segments!AE59</f>
        <v>0</v>
      </c>
      <c r="AF80" s="8">
        <f>+Segments!AF59</f>
        <v>0</v>
      </c>
      <c r="AG80" s="66">
        <f>+Segments!AG59</f>
        <v>0</v>
      </c>
      <c r="AH80" s="66">
        <f>+Segments!AH59</f>
        <v>0</v>
      </c>
      <c r="AI80" s="66">
        <f>+Segments!AI59</f>
        <v>0</v>
      </c>
      <c r="AJ80" s="66">
        <f>+Segments!AJ59</f>
        <v>0</v>
      </c>
      <c r="AK80" s="8">
        <f>+Segments!AK59</f>
        <v>0</v>
      </c>
      <c r="AL80" s="8">
        <f>+Segments!AL59</f>
        <v>0</v>
      </c>
      <c r="AM80" s="8">
        <f>+Segments!AM59</f>
        <v>0</v>
      </c>
      <c r="AN80" s="8">
        <f>+Segments!AN59</f>
        <v>0</v>
      </c>
      <c r="AO80" s="8">
        <f>+Segments!AO59</f>
        <v>0</v>
      </c>
      <c r="AP80" s="8">
        <f>+Segments!AP59</f>
        <v>0</v>
      </c>
      <c r="AQ80" s="8">
        <f>+Segments!AQ59</f>
        <v>0</v>
      </c>
      <c r="AR80" s="8">
        <f>+Segments!AR59</f>
        <v>0</v>
      </c>
      <c r="AS80" s="8">
        <f>+Segments!AS59</f>
        <v>0</v>
      </c>
      <c r="AT80" s="8">
        <f>+Segments!AT59</f>
        <v>0</v>
      </c>
      <c r="AU80" s="8">
        <f>+Segments!AU59</f>
        <v>0</v>
      </c>
      <c r="AV80" s="8">
        <f>+Segments!AV59</f>
        <v>0</v>
      </c>
      <c r="AW80" s="8">
        <f>+Segments!AW59</f>
        <v>0</v>
      </c>
      <c r="AX80" s="8">
        <f>+Segments!AX59</f>
        <v>0</v>
      </c>
      <c r="AY80" s="8">
        <f>+Segments!AY59</f>
        <v>0</v>
      </c>
      <c r="AZ80" s="8">
        <f>+Segments!AZ59</f>
        <v>0</v>
      </c>
      <c r="BA80" s="8">
        <f>+Segments!BA59</f>
        <v>0</v>
      </c>
      <c r="BB80" s="8">
        <f>+Segments!BB59</f>
        <v>0</v>
      </c>
      <c r="BC80" s="8">
        <f>+Segments!BC59</f>
        <v>0</v>
      </c>
      <c r="BD80" s="8">
        <f>+Segments!BD59</f>
        <v>0</v>
      </c>
      <c r="BE80" s="8">
        <f>+Segments!BE59</f>
        <v>0</v>
      </c>
      <c r="BF80" s="8">
        <f>+Segments!BF59</f>
        <v>0</v>
      </c>
      <c r="BG80" s="8">
        <f>+Segments!BG59</f>
        <v>0</v>
      </c>
      <c r="BH80" s="8">
        <f>+Segments!BH59</f>
        <v>0</v>
      </c>
      <c r="BI80" s="8">
        <f>+Segments!BI59</f>
        <v>0</v>
      </c>
      <c r="BJ80" s="8">
        <f>+Segments!BJ59</f>
        <v>0</v>
      </c>
      <c r="BK80" s="8">
        <f>+Segments!BK59</f>
        <v>0</v>
      </c>
      <c r="BL80" s="8">
        <f>+Segments!BL59</f>
        <v>0</v>
      </c>
      <c r="BM80" s="8">
        <f>+Segments!BM59</f>
        <v>0</v>
      </c>
      <c r="BN80" s="8">
        <f>+Segments!BN59</f>
        <v>0</v>
      </c>
      <c r="BO80" s="8">
        <f>+Segments!BO59</f>
        <v>0</v>
      </c>
      <c r="BP80" s="8">
        <f>+Segments!BP59</f>
        <v>0</v>
      </c>
      <c r="BQ80" s="8">
        <f>+Segments!BQ59</f>
        <v>0</v>
      </c>
      <c r="BR80" s="8">
        <f>+Segments!BR59</f>
        <v>0</v>
      </c>
      <c r="BS80" s="8">
        <f>+Segments!BS59</f>
        <v>0</v>
      </c>
      <c r="BT80" s="8">
        <f>+Segments!BT59</f>
        <v>0</v>
      </c>
      <c r="BU80" s="8">
        <f>+Segments!BU59</f>
        <v>0</v>
      </c>
      <c r="BV80" s="8">
        <f>+Segments!BV59</f>
        <v>0</v>
      </c>
      <c r="BW80" s="8">
        <f>+Segments!BW59</f>
        <v>0</v>
      </c>
      <c r="BX80" s="8">
        <f>+Segments!BX59</f>
        <v>0</v>
      </c>
      <c r="BY80" s="8">
        <f>+Segments!BY59</f>
        <v>0</v>
      </c>
      <c r="BZ80" s="8">
        <f>+Segments!BZ59</f>
        <v>0</v>
      </c>
      <c r="CA80" s="8">
        <f>+Segments!CA59</f>
        <v>0</v>
      </c>
      <c r="CB80" s="8">
        <f>+Segments!CB59</f>
        <v>0</v>
      </c>
      <c r="CC80" s="8">
        <f>+Segments!CC59</f>
        <v>0</v>
      </c>
      <c r="CD80" s="8">
        <f>+Segments!CD59</f>
        <v>0</v>
      </c>
      <c r="CE80" s="8"/>
      <c r="CF80" s="5"/>
      <c r="CG80" s="5"/>
      <c r="CH80" s="5"/>
      <c r="CI80" s="5"/>
      <c r="CJ80" s="5"/>
    </row>
    <row r="81" spans="1:88">
      <c r="A81" s="4" t="s">
        <v>2540</v>
      </c>
      <c r="B81" s="4"/>
      <c r="C81" s="72"/>
      <c r="D81" s="72"/>
      <c r="E81" s="5">
        <f>+Segments!E60</f>
        <v>-1045</v>
      </c>
      <c r="F81" s="5">
        <f>+Segments!F60</f>
        <v>-780</v>
      </c>
      <c r="G81" s="5">
        <f>+Segments!G60</f>
        <v>-761</v>
      </c>
      <c r="H81" s="12">
        <f>+Segments!H60</f>
        <v>-143</v>
      </c>
      <c r="I81" s="12">
        <f>+Segments!I60</f>
        <v>-107</v>
      </c>
      <c r="J81" s="12">
        <f>+Segments!J60</f>
        <v>-117</v>
      </c>
      <c r="K81" s="12">
        <f>+Segments!K60</f>
        <v>-149</v>
      </c>
      <c r="L81" s="5">
        <f>+Segments!L60</f>
        <v>-516</v>
      </c>
      <c r="M81" s="12">
        <f>+Segments!M60</f>
        <v>-171</v>
      </c>
      <c r="N81" s="12">
        <f>+Segments!N60</f>
        <v>-155</v>
      </c>
      <c r="O81" s="12">
        <f>+Segments!O60</f>
        <v>-173</v>
      </c>
      <c r="P81" s="12">
        <f>+Segments!P60</f>
        <v>-242</v>
      </c>
      <c r="Q81" s="5">
        <f>+Segments!Q60</f>
        <v>-741</v>
      </c>
      <c r="R81" s="12">
        <f>+Segments!R60</f>
        <v>-246</v>
      </c>
      <c r="S81" s="12">
        <f>+Segments!S60</f>
        <v>-221</v>
      </c>
      <c r="T81" s="12">
        <f>+Segments!T60</f>
        <v>-238</v>
      </c>
      <c r="U81" s="12">
        <f>+Segments!U60</f>
        <v>-251</v>
      </c>
      <c r="V81" s="5">
        <f>+Segments!V60</f>
        <v>-956</v>
      </c>
      <c r="W81" s="12">
        <f>+Segments!W60</f>
        <v>-368</v>
      </c>
      <c r="X81" s="12">
        <f>+Segments!X60</f>
        <v>-321</v>
      </c>
      <c r="Y81" s="12">
        <f>+Segments!Y60</f>
        <v>-311</v>
      </c>
      <c r="Z81" s="12">
        <f>+Segments!Z60</f>
        <v>-302</v>
      </c>
      <c r="AA81" s="5">
        <f>+Segments!AA60</f>
        <v>-1302</v>
      </c>
      <c r="AB81" s="12">
        <f>+Segments!AB60</f>
        <v>-228</v>
      </c>
      <c r="AC81" s="12">
        <f>+Segments!AC60</f>
        <v>-214</v>
      </c>
      <c r="AD81" s="12">
        <f>+Segments!AD60</f>
        <v>-288</v>
      </c>
      <c r="AE81" s="12">
        <f>+Segments!AE60</f>
        <v>-316</v>
      </c>
      <c r="AF81" s="5">
        <f>+Segments!AF60</f>
        <v>-1046</v>
      </c>
      <c r="AG81" s="12">
        <f>+Segments!AG60</f>
        <v>-223</v>
      </c>
      <c r="AH81" s="12">
        <f>+Segments!AH60</f>
        <v>-234</v>
      </c>
      <c r="AI81" s="12">
        <f>+Segments!AI60</f>
        <v>-220</v>
      </c>
      <c r="AJ81" s="12">
        <f>+Segments!AJ60</f>
        <v>-248</v>
      </c>
      <c r="AK81" s="5">
        <f>+Segments!AK60</f>
        <v>-925</v>
      </c>
      <c r="AL81" s="12">
        <f>+Segments!AL60</f>
        <v>-224</v>
      </c>
      <c r="AM81" s="12">
        <f>+Segments!AM60</f>
        <v>-208</v>
      </c>
      <c r="AN81" s="12">
        <f>+Segments!AN60</f>
        <v>-195</v>
      </c>
      <c r="AO81" s="12">
        <f>+Segments!AO60</f>
        <v>-278</v>
      </c>
      <c r="AP81" s="5">
        <f>+Segments!AP60</f>
        <v>-905</v>
      </c>
      <c r="AQ81" s="12">
        <f>+Segments!AQ60</f>
        <v>-394</v>
      </c>
      <c r="AR81" s="12">
        <f>+Segments!AR60</f>
        <v>-359</v>
      </c>
      <c r="AS81" s="12">
        <f>+Segments!AS60</f>
        <v>-388</v>
      </c>
      <c r="AT81" s="12">
        <f>+Segments!AT60</f>
        <v>-368</v>
      </c>
      <c r="AU81" s="5">
        <f>+Segments!AU60</f>
        <v>-1509</v>
      </c>
      <c r="AV81" s="12">
        <f>+Segments!AV60</f>
        <v>-357</v>
      </c>
      <c r="AW81" s="12">
        <f>+Segments!AW60</f>
        <v>-347</v>
      </c>
      <c r="AX81" s="12">
        <f>+Segments!AX60</f>
        <v>-348</v>
      </c>
      <c r="AY81" s="12">
        <f>+Segments!AY60</f>
        <v>-372</v>
      </c>
      <c r="AZ81" s="5">
        <f>+Segments!AZ60</f>
        <v>-1424</v>
      </c>
      <c r="BA81" s="12">
        <f>+Segments!BA60</f>
        <v>-349</v>
      </c>
      <c r="BB81" s="12">
        <f>+Segments!BB60</f>
        <v>-356</v>
      </c>
      <c r="BC81" s="12">
        <f>+Segments!BC60</f>
        <v>-359</v>
      </c>
      <c r="BD81" s="12">
        <f>+Segments!BD60</f>
        <v>-342</v>
      </c>
      <c r="BE81" s="5">
        <f>+Segments!BE60</f>
        <v>-1406</v>
      </c>
      <c r="BF81" s="12">
        <f>+Segments!BF60</f>
        <v>-317</v>
      </c>
      <c r="BG81" s="12">
        <f>+Segments!BG60</f>
        <v>-337</v>
      </c>
      <c r="BH81" s="12">
        <f>+Segments!BH60</f>
        <v>-358</v>
      </c>
      <c r="BI81" s="12">
        <f>+Segments!BI60</f>
        <v>-359</v>
      </c>
      <c r="BJ81" s="5">
        <f>+Segments!BJ60</f>
        <v>-1371</v>
      </c>
      <c r="BK81" s="12">
        <f>+Segments!BK60</f>
        <v>-387</v>
      </c>
      <c r="BL81" s="12">
        <f>+Segments!BL60</f>
        <v>-420</v>
      </c>
      <c r="BM81" s="12">
        <f>+Segments!BM60</f>
        <v>-444</v>
      </c>
      <c r="BN81" s="12">
        <f>+Segments!BN60</f>
        <v>-550</v>
      </c>
      <c r="BO81" s="5">
        <f>+Segments!BO60</f>
        <v>-1801</v>
      </c>
      <c r="BP81" s="12">
        <f ca="1">+Segments!BP60</f>
        <v>-456.0618106541674</v>
      </c>
      <c r="BQ81" s="12">
        <f ca="1">+Segments!BQ60</f>
        <v>-470.4952484562242</v>
      </c>
      <c r="BR81" s="12">
        <f ca="1">+Segments!BR60</f>
        <v>-463.9860997653534</v>
      </c>
      <c r="BS81" s="12">
        <f ca="1">+Segments!BS60</f>
        <v>-455.88033264278101</v>
      </c>
      <c r="BT81" s="5">
        <f ca="1">+Segments!BT60</f>
        <v>-1846.4234915185261</v>
      </c>
      <c r="BU81" s="12">
        <f ca="1">+Segments!BU60</f>
        <v>-447.03946019946136</v>
      </c>
      <c r="BV81" s="12">
        <f ca="1">+Segments!BV60</f>
        <v>-440.61732357387882</v>
      </c>
      <c r="BW81" s="12">
        <f ca="1">+Segments!BW60</f>
        <v>-434.0916922985881</v>
      </c>
      <c r="BX81" s="12">
        <f ca="1">+Segments!BX60</f>
        <v>-423.79776288834887</v>
      </c>
      <c r="BY81" s="5">
        <f ca="1">+Segments!BY60</f>
        <v>-1745.5462389602772</v>
      </c>
      <c r="BZ81" s="12">
        <f ca="1">+Segments!BZ60</f>
        <v>-413.95458332456269</v>
      </c>
      <c r="CA81" s="12">
        <f ca="1">+Segments!CA60</f>
        <v>-406.79168334079213</v>
      </c>
      <c r="CB81" s="12">
        <f ca="1">+Segments!CB60</f>
        <v>-397.74162001601212</v>
      </c>
      <c r="CC81" s="12">
        <f ca="1">+Segments!CC60</f>
        <v>-384.75621696160056</v>
      </c>
      <c r="CD81" s="5">
        <f ca="1">+Segments!CD60</f>
        <v>-1603.2441036429675</v>
      </c>
      <c r="CE81" s="5"/>
      <c r="CF81" s="5"/>
      <c r="CG81" s="5"/>
      <c r="CH81" s="5"/>
      <c r="CI81" s="5"/>
      <c r="CJ81" s="5"/>
    </row>
    <row r="82" spans="1:88">
      <c r="A82" s="4" t="s">
        <v>1675</v>
      </c>
      <c r="B82" s="4"/>
      <c r="C82" s="72"/>
      <c r="D82" s="72"/>
      <c r="E82" s="5">
        <f>+Segments!E61</f>
        <v>-5144</v>
      </c>
      <c r="F82" s="5">
        <f>+Segments!F61</f>
        <v>-7429</v>
      </c>
      <c r="G82" s="5">
        <f>+Segments!G61</f>
        <v>-10584</v>
      </c>
      <c r="H82" s="12">
        <f>+Segments!H61</f>
        <v>-2757</v>
      </c>
      <c r="I82" s="12">
        <f>+Segments!I61</f>
        <v>-3188</v>
      </c>
      <c r="J82" s="12">
        <f>+Segments!J61</f>
        <v>-4021</v>
      </c>
      <c r="K82" s="12">
        <f>+Segments!K61</f>
        <v>-1723</v>
      </c>
      <c r="L82" s="5">
        <f>+Segments!L61</f>
        <v>-11689</v>
      </c>
      <c r="M82" s="12">
        <f>+Segments!M61</f>
        <v>-2339</v>
      </c>
      <c r="N82" s="12">
        <f>+Segments!N61</f>
        <v>-2455</v>
      </c>
      <c r="O82" s="12">
        <f>+Segments!O61</f>
        <v>-2198</v>
      </c>
      <c r="P82" s="12">
        <f>+Segments!P61</f>
        <v>-2828</v>
      </c>
      <c r="Q82" s="5">
        <f>+Segments!Q61</f>
        <v>-9820</v>
      </c>
      <c r="R82" s="12">
        <f>+Segments!R61</f>
        <v>-3731</v>
      </c>
      <c r="S82" s="12">
        <f>+Segments!S61</f>
        <v>-4653</v>
      </c>
      <c r="T82" s="12">
        <f>+Segments!T61</f>
        <v>-4523</v>
      </c>
      <c r="U82" s="12">
        <f>+Segments!U61</f>
        <v>-2159</v>
      </c>
      <c r="V82" s="5">
        <f>+Segments!V61</f>
        <v>-15066</v>
      </c>
      <c r="W82" s="12">
        <f>+Segments!W61</f>
        <v>-1571</v>
      </c>
      <c r="X82" s="12">
        <f>+Segments!X61</f>
        <v>-1605</v>
      </c>
      <c r="Y82" s="12">
        <f>+Segments!Y61</f>
        <v>-1927</v>
      </c>
      <c r="Z82" s="12">
        <f>+Segments!Z61</f>
        <v>-1510</v>
      </c>
      <c r="AA82" s="5">
        <f>+Segments!AA61</f>
        <v>-6613</v>
      </c>
      <c r="AB82" s="12">
        <f>+Segments!AB61</f>
        <v>-2991</v>
      </c>
      <c r="AC82" s="12">
        <f>+Segments!AC61</f>
        <v>-2690</v>
      </c>
      <c r="AD82" s="12">
        <f>+Segments!AD61</f>
        <v>-1863</v>
      </c>
      <c r="AE82" s="12">
        <f>+Segments!AE61</f>
        <v>-2197</v>
      </c>
      <c r="AF82" s="5">
        <f>+Segments!AF61</f>
        <v>-9741</v>
      </c>
      <c r="AG82" s="12">
        <f>+Segments!AG61</f>
        <v>-3380</v>
      </c>
      <c r="AH82" s="12">
        <f>+Segments!AH61</f>
        <v>-2974</v>
      </c>
      <c r="AI82" s="12">
        <f>+Segments!AI61</f>
        <v>-2413</v>
      </c>
      <c r="AJ82" s="12">
        <f>+Segments!AJ61</f>
        <v>-1856</v>
      </c>
      <c r="AK82" s="5">
        <f>+Segments!AK61</f>
        <v>-10623</v>
      </c>
      <c r="AL82" s="12">
        <f>+Segments!AL61</f>
        <v>-2310</v>
      </c>
      <c r="AM82" s="12">
        <f>+Segments!AM61</f>
        <v>-1961</v>
      </c>
      <c r="AN82" s="12">
        <f>+Segments!AN61</f>
        <v>-2598</v>
      </c>
      <c r="AO82" s="12">
        <f>+Segments!AO61</f>
        <v>-774</v>
      </c>
      <c r="AP82" s="5">
        <f>+Segments!AP61</f>
        <v>-7643</v>
      </c>
      <c r="AQ82" s="12">
        <f>+Segments!AQ61</f>
        <v>-2706</v>
      </c>
      <c r="AR82" s="12">
        <f>+Segments!AR61</f>
        <v>-2243</v>
      </c>
      <c r="AS82" s="12">
        <f>+Segments!AS61</f>
        <v>-1661</v>
      </c>
      <c r="AT82" s="12">
        <f>+Segments!AT61</f>
        <v>-922</v>
      </c>
      <c r="AU82" s="5">
        <f>+Segments!AU61</f>
        <v>-7532</v>
      </c>
      <c r="AV82" s="12">
        <f>+Segments!AV61</f>
        <v>-1611</v>
      </c>
      <c r="AW82" s="12">
        <f>+Segments!AW61</f>
        <v>-1852</v>
      </c>
      <c r="AX82" s="12">
        <f>+Segments!AX61</f>
        <v>-2151</v>
      </c>
      <c r="AY82" s="12">
        <f>+Segments!AY61</f>
        <v>-1421</v>
      </c>
      <c r="AZ82" s="5">
        <f>+Segments!AZ61</f>
        <v>-7035</v>
      </c>
      <c r="BA82" s="12">
        <f>+Segments!BA61</f>
        <v>-457.16999999999996</v>
      </c>
      <c r="BB82" s="12">
        <f>+Segments!BB61</f>
        <v>-722</v>
      </c>
      <c r="BC82" s="12">
        <f>+Segments!BC61</f>
        <v>-1155</v>
      </c>
      <c r="BD82" s="12">
        <f>+Segments!BD61</f>
        <v>30</v>
      </c>
      <c r="BE82" s="5">
        <f>+Segments!BE61</f>
        <v>-2304.17</v>
      </c>
      <c r="BF82" s="12">
        <f>+Segments!BF61</f>
        <v>-120</v>
      </c>
      <c r="BG82" s="12">
        <f>+Segments!BG61</f>
        <v>-205</v>
      </c>
      <c r="BH82" s="12">
        <f>+Segments!BH61</f>
        <v>164</v>
      </c>
      <c r="BI82" s="12">
        <f>+Segments!BI61</f>
        <v>-51</v>
      </c>
      <c r="BJ82" s="5">
        <f>+Segments!BJ61</f>
        <v>-212</v>
      </c>
      <c r="BK82" s="12">
        <f>+Segments!BK61</f>
        <v>-763</v>
      </c>
      <c r="BL82" s="12">
        <f>+Segments!BL61</f>
        <v>-1055</v>
      </c>
      <c r="BM82" s="12">
        <f>+Segments!BM61</f>
        <v>-1212</v>
      </c>
      <c r="BN82" s="12">
        <f>+Segments!BN61</f>
        <v>-782</v>
      </c>
      <c r="BO82" s="5">
        <f>+Segments!BO61</f>
        <v>-3812</v>
      </c>
      <c r="BP82" s="12">
        <f ca="1">+Segments!BP61</f>
        <v>-1397.0446265134608</v>
      </c>
      <c r="BQ82" s="12">
        <f ca="1">+Segments!BQ61</f>
        <v>-1958.69827809249</v>
      </c>
      <c r="BR82" s="12">
        <f ca="1">+Segments!BR61</f>
        <v>-2094.8869256961757</v>
      </c>
      <c r="BS82" s="12">
        <f ca="1">+Segments!BS61</f>
        <v>-1950.0409779436663</v>
      </c>
      <c r="BT82" s="5">
        <f ca="1">+Segments!BT61</f>
        <v>-7400.6708082457935</v>
      </c>
      <c r="BU82" s="12">
        <f ca="1">+Segments!BU61</f>
        <v>-2172.3038137018975</v>
      </c>
      <c r="BV82" s="12">
        <f ca="1">+Segments!BV61</f>
        <v>-2065.9542372065371</v>
      </c>
      <c r="BW82" s="12">
        <f ca="1">+Segments!BW61</f>
        <v>-2203.5607646724775</v>
      </c>
      <c r="BX82" s="12">
        <f ca="1">+Segments!BX61</f>
        <v>-2028.9346729592799</v>
      </c>
      <c r="BY82" s="5">
        <f ca="1">+Segments!BY61</f>
        <v>-8470.753488540191</v>
      </c>
      <c r="BZ82" s="12">
        <f ca="1">+Segments!BZ61</f>
        <v>-2160.6836209744733</v>
      </c>
      <c r="CA82" s="12">
        <f ca="1">+Segments!CA61</f>
        <v>-2153.3575096280233</v>
      </c>
      <c r="CB82" s="12">
        <f ca="1">+Segments!CB61</f>
        <v>-2342.0442853220311</v>
      </c>
      <c r="CC82" s="12">
        <f ca="1">+Segments!CC61</f>
        <v>-2198.871399580943</v>
      </c>
      <c r="CD82" s="5">
        <f ca="1">+Segments!CD61</f>
        <v>-8854.9568155054694</v>
      </c>
      <c r="CE82" s="5"/>
      <c r="CF82" s="5"/>
      <c r="CG82" s="5"/>
      <c r="CH82" s="5"/>
      <c r="CI82" s="5"/>
      <c r="CJ82" s="5"/>
    </row>
    <row r="83" spans="1:88">
      <c r="A83" s="4" t="s">
        <v>1676</v>
      </c>
      <c r="B83" s="4"/>
      <c r="C83" s="72"/>
      <c r="D83" s="72"/>
      <c r="E83" s="5">
        <f>+Segments!E62</f>
        <v>-170</v>
      </c>
      <c r="F83" s="5">
        <f>+Segments!F62</f>
        <v>-187</v>
      </c>
      <c r="G83" s="5">
        <f>+Segments!G62</f>
        <v>-291</v>
      </c>
      <c r="H83" s="12">
        <f>+Segments!H62</f>
        <v>-71</v>
      </c>
      <c r="I83" s="12">
        <f>+Segments!I62</f>
        <v>-77</v>
      </c>
      <c r="J83" s="12">
        <f>+Segments!J62</f>
        <v>-63</v>
      </c>
      <c r="K83" s="12">
        <f>+Segments!K62</f>
        <v>-75</v>
      </c>
      <c r="L83" s="5">
        <f>+Segments!L62</f>
        <v>-286</v>
      </c>
      <c r="M83" s="12">
        <f>+Segments!M62</f>
        <v>-82</v>
      </c>
      <c r="N83" s="12">
        <f>+Segments!N62</f>
        <v>-65</v>
      </c>
      <c r="O83" s="12">
        <f>+Segments!O62</f>
        <v>-72</v>
      </c>
      <c r="P83" s="12">
        <f>+Segments!P62</f>
        <v>-105</v>
      </c>
      <c r="Q83" s="5">
        <f>+Segments!Q62</f>
        <v>-324</v>
      </c>
      <c r="R83" s="12">
        <f>+Segments!R62</f>
        <v>-118</v>
      </c>
      <c r="S83" s="12">
        <f>+Segments!S62</f>
        <v>-112</v>
      </c>
      <c r="T83" s="12">
        <f>+Segments!T62</f>
        <v>-137</v>
      </c>
      <c r="U83" s="12">
        <f>+Segments!U62</f>
        <v>-142</v>
      </c>
      <c r="V83" s="5">
        <f>+Segments!V62</f>
        <v>-509</v>
      </c>
      <c r="W83" s="12">
        <f>+Segments!W62</f>
        <v>-35</v>
      </c>
      <c r="X83" s="12">
        <f>+Segments!X62</f>
        <v>-44</v>
      </c>
      <c r="Y83" s="12">
        <f>+Segments!Y62</f>
        <v>-19</v>
      </c>
      <c r="Z83" s="12">
        <f>+Segments!Z62</f>
        <v>-83</v>
      </c>
      <c r="AA83" s="5">
        <f>+Segments!AA62</f>
        <v>-181</v>
      </c>
      <c r="AB83" s="12">
        <f>+Segments!AB62</f>
        <v>-109</v>
      </c>
      <c r="AC83" s="12">
        <f>+Segments!AC62</f>
        <v>-102</v>
      </c>
      <c r="AD83" s="12">
        <f>+Segments!AD62</f>
        <v>-88</v>
      </c>
      <c r="AE83" s="12">
        <f>+Segments!AE62</f>
        <v>-96</v>
      </c>
      <c r="AF83" s="5">
        <f>+Segments!AF62</f>
        <v>-395</v>
      </c>
      <c r="AG83" s="12">
        <f>+Segments!AG62</f>
        <v>-61</v>
      </c>
      <c r="AH83" s="12">
        <f>+Segments!AH62</f>
        <v>-70</v>
      </c>
      <c r="AI83" s="12">
        <f>+Segments!AI62</f>
        <v>-177</v>
      </c>
      <c r="AJ83" s="12">
        <f>+Segments!AJ62</f>
        <v>-89</v>
      </c>
      <c r="AK83" s="5">
        <f>+Segments!AK62</f>
        <v>-397</v>
      </c>
      <c r="AL83" s="12">
        <f>+Segments!AL62</f>
        <v>-61</v>
      </c>
      <c r="AM83" s="12">
        <f>+Segments!AM62</f>
        <v>-45</v>
      </c>
      <c r="AN83" s="12">
        <f>+Segments!AN62</f>
        <v>-66</v>
      </c>
      <c r="AO83" s="12">
        <f>+Segments!AO62</f>
        <v>-62</v>
      </c>
      <c r="AP83" s="5">
        <f>+Segments!AP62</f>
        <v>-234</v>
      </c>
      <c r="AQ83" s="12">
        <f>+Segments!AQ62</f>
        <v>-79</v>
      </c>
      <c r="AR83" s="12">
        <f>+Segments!AR62</f>
        <v>-84</v>
      </c>
      <c r="AS83" s="12">
        <f>+Segments!AS62</f>
        <v>-88</v>
      </c>
      <c r="AT83" s="12">
        <f>+Segments!AT62</f>
        <v>-56</v>
      </c>
      <c r="AU83" s="5">
        <f>+Segments!AU62</f>
        <v>-307</v>
      </c>
      <c r="AV83" s="12">
        <f>+Segments!AV62</f>
        <v>-91</v>
      </c>
      <c r="AW83" s="12">
        <f>+Segments!AW62</f>
        <v>-64</v>
      </c>
      <c r="AX83" s="12">
        <f>+Segments!AX62</f>
        <v>-34</v>
      </c>
      <c r="AY83" s="12">
        <f>+Segments!AY62</f>
        <v>-34</v>
      </c>
      <c r="AZ83" s="5">
        <f>+Segments!AZ62</f>
        <v>-223</v>
      </c>
      <c r="BA83" s="12">
        <f>+Segments!BA62</f>
        <v>-49</v>
      </c>
      <c r="BB83" s="12">
        <f>+Segments!BB62</f>
        <v>-40</v>
      </c>
      <c r="BC83" s="12">
        <f>+Segments!BC62</f>
        <v>-10</v>
      </c>
      <c r="BD83" s="12">
        <f>+Segments!BD62</f>
        <v>17</v>
      </c>
      <c r="BE83" s="5">
        <f>+Segments!BE62</f>
        <v>-82</v>
      </c>
      <c r="BF83" s="12">
        <f>+Segments!BF62</f>
        <v>-25</v>
      </c>
      <c r="BG83" s="12">
        <f>+Segments!BG62</f>
        <v>-29</v>
      </c>
      <c r="BH83" s="12">
        <f>+Segments!BH62</f>
        <v>43</v>
      </c>
      <c r="BI83" s="12">
        <f>+Segments!BI62</f>
        <v>-46</v>
      </c>
      <c r="BJ83" s="5">
        <f>+Segments!BJ62</f>
        <v>-57</v>
      </c>
      <c r="BK83" s="12">
        <f>+Segments!BK62</f>
        <v>-43</v>
      </c>
      <c r="BL83" s="12">
        <f>+Segments!BL62</f>
        <v>-12</v>
      </c>
      <c r="BM83" s="12">
        <f>+Segments!BM62</f>
        <v>12</v>
      </c>
      <c r="BN83" s="12">
        <f>+Segments!BN62</f>
        <v>-36</v>
      </c>
      <c r="BO83" s="5">
        <f>+Segments!BO62</f>
        <v>-79</v>
      </c>
      <c r="BP83" s="12">
        <f>+Segments!BP62</f>
        <v>-25</v>
      </c>
      <c r="BQ83" s="12">
        <f>+Segments!BQ62</f>
        <v>-25</v>
      </c>
      <c r="BR83" s="12">
        <f>+Segments!BR62</f>
        <v>-25</v>
      </c>
      <c r="BS83" s="12">
        <f>+Segments!BS62</f>
        <v>-25</v>
      </c>
      <c r="BT83" s="5">
        <f>+Segments!BT62</f>
        <v>-100</v>
      </c>
      <c r="BU83" s="12">
        <f>+Segments!BU62</f>
        <v>-25</v>
      </c>
      <c r="BV83" s="12">
        <f>+Segments!BV62</f>
        <v>-25</v>
      </c>
      <c r="BW83" s="12">
        <f>+Segments!BW62</f>
        <v>-25</v>
      </c>
      <c r="BX83" s="12">
        <f>+Segments!BX62</f>
        <v>-25</v>
      </c>
      <c r="BY83" s="5">
        <f>+Segments!BY62</f>
        <v>-100</v>
      </c>
      <c r="BZ83" s="12">
        <f>+Segments!BZ62</f>
        <v>-25</v>
      </c>
      <c r="CA83" s="12">
        <f>+Segments!CA62</f>
        <v>-25</v>
      </c>
      <c r="CB83" s="12">
        <f>+Segments!CB62</f>
        <v>-25</v>
      </c>
      <c r="CC83" s="12">
        <f>+Segments!CC62</f>
        <v>-25</v>
      </c>
      <c r="CD83" s="5">
        <f>+Segments!CD62</f>
        <v>-100</v>
      </c>
      <c r="CE83" s="5"/>
      <c r="CF83" s="5"/>
      <c r="CG83" s="5"/>
      <c r="CH83" s="5"/>
      <c r="CI83" s="5"/>
      <c r="CJ83" s="5"/>
    </row>
    <row r="84" spans="1:88">
      <c r="A84" s="244" t="s">
        <v>3238</v>
      </c>
      <c r="B84" s="244"/>
      <c r="C84" s="74"/>
      <c r="D84" s="74"/>
      <c r="E84" s="174">
        <f>+Segments!E63</f>
        <v>12693</v>
      </c>
      <c r="F84" s="174">
        <f>+Segments!F63</f>
        <v>17397</v>
      </c>
      <c r="G84" s="174">
        <f>+Segments!G63</f>
        <v>21240</v>
      </c>
      <c r="H84" s="178">
        <f>+Segments!H63</f>
        <v>5504</v>
      </c>
      <c r="I84" s="178">
        <f>+Segments!I63</f>
        <v>6234</v>
      </c>
      <c r="J84" s="178">
        <f>+Segments!J63</f>
        <v>5540</v>
      </c>
      <c r="K84" s="178">
        <f>+Segments!K63</f>
        <v>3722</v>
      </c>
      <c r="L84" s="174">
        <f>+Segments!L63</f>
        <v>21000</v>
      </c>
      <c r="M84" s="178">
        <f>+Segments!M63</f>
        <v>4408</v>
      </c>
      <c r="N84" s="178">
        <f>+Segments!N63</f>
        <v>5515</v>
      </c>
      <c r="O84" s="178">
        <f>+Segments!O63</f>
        <v>4491</v>
      </c>
      <c r="P84" s="178">
        <f>+Segments!P63</f>
        <v>4527</v>
      </c>
      <c r="Q84" s="174">
        <f>+Segments!Q63</f>
        <v>18941</v>
      </c>
      <c r="R84" s="178">
        <f>+Segments!R63</f>
        <v>6235</v>
      </c>
      <c r="S84" s="178">
        <f>+Segments!S63</f>
        <v>8521</v>
      </c>
      <c r="T84" s="178">
        <f>+Segments!T63</f>
        <v>8882</v>
      </c>
      <c r="U84" s="178">
        <f>+Segments!U63</f>
        <v>2605</v>
      </c>
      <c r="V84" s="174">
        <f>+Segments!V63</f>
        <v>26243</v>
      </c>
      <c r="W84" s="178">
        <f>+Segments!W63</f>
        <v>2581</v>
      </c>
      <c r="X84" s="178">
        <f>+Segments!X63</f>
        <v>2938</v>
      </c>
      <c r="Y84" s="178">
        <f>+Segments!Y63</f>
        <v>4674</v>
      </c>
      <c r="Z84" s="178">
        <f>+Segments!Z63</f>
        <v>4384</v>
      </c>
      <c r="AA84" s="174">
        <f>+Segments!AA63</f>
        <v>14577</v>
      </c>
      <c r="AB84" s="178">
        <f>+Segments!AB63</f>
        <v>5647</v>
      </c>
      <c r="AC84" s="178">
        <f>+Segments!AC63</f>
        <v>4980</v>
      </c>
      <c r="AD84" s="178">
        <f>+Segments!AD63</f>
        <v>5531</v>
      </c>
      <c r="AE84" s="178">
        <f>+Segments!AE63</f>
        <v>4364</v>
      </c>
      <c r="AF84" s="174">
        <f>+Segments!AF63</f>
        <v>20522</v>
      </c>
      <c r="AG84" s="178">
        <f>+Segments!AG63</f>
        <v>5504</v>
      </c>
      <c r="AH84" s="178">
        <f>+Segments!AH63</f>
        <v>5705</v>
      </c>
      <c r="AI84" s="178">
        <f>+Segments!AI63</f>
        <v>5463</v>
      </c>
      <c r="AJ84" s="178">
        <f>+Segments!AJ63</f>
        <v>4986</v>
      </c>
      <c r="AK84" s="174">
        <f>+Segments!AK63</f>
        <v>21658</v>
      </c>
      <c r="AL84" s="178">
        <f>+Segments!AL63</f>
        <v>4799</v>
      </c>
      <c r="AM84" s="178">
        <f>+Segments!AM63</f>
        <v>3685</v>
      </c>
      <c r="AN84" s="178">
        <f>+Segments!AN63</f>
        <v>5170</v>
      </c>
      <c r="AO84" s="178">
        <f>+Segments!AO63</f>
        <v>3984</v>
      </c>
      <c r="AP84" s="174">
        <f>+Segments!AP63</f>
        <v>17638</v>
      </c>
      <c r="AQ84" s="178">
        <f>+Segments!AQ63</f>
        <v>4215</v>
      </c>
      <c r="AR84" s="178">
        <f>+Segments!AR63</f>
        <v>2712</v>
      </c>
      <c r="AS84" s="178">
        <f>+Segments!AS63</f>
        <v>3692</v>
      </c>
      <c r="AT84" s="178">
        <f>+Segments!AT63</f>
        <v>2809</v>
      </c>
      <c r="AU84" s="174">
        <f>+Segments!AU63</f>
        <v>13428</v>
      </c>
      <c r="AV84" s="178">
        <f>+Segments!AV63</f>
        <v>3225</v>
      </c>
      <c r="AW84" s="178">
        <f>+Segments!AW63</f>
        <v>3635</v>
      </c>
      <c r="AX84" s="178">
        <f>+Segments!AX63</f>
        <v>3037</v>
      </c>
      <c r="AY84" s="178">
        <f>+Segments!AY63</f>
        <v>2239</v>
      </c>
      <c r="AZ84" s="174">
        <f>+Segments!AZ63</f>
        <v>12136</v>
      </c>
      <c r="BA84" s="178">
        <f>+Segments!BA63</f>
        <v>1670.83</v>
      </c>
      <c r="BB84" s="178">
        <f>+Segments!BB63</f>
        <v>1313</v>
      </c>
      <c r="BC84" s="178">
        <f>+Segments!BC63</f>
        <v>1819</v>
      </c>
      <c r="BD84" s="178">
        <f>+Segments!BD63</f>
        <v>196</v>
      </c>
      <c r="BE84" s="174">
        <f>+Segments!BE63</f>
        <v>4998.83</v>
      </c>
      <c r="BF84" s="178">
        <f ca="1">+Segments!BF63</f>
        <v>532</v>
      </c>
      <c r="BG84" s="178">
        <f ca="1">+Segments!BG63</f>
        <v>720</v>
      </c>
      <c r="BH84" s="178">
        <f>+Segments!BH63</f>
        <v>933</v>
      </c>
      <c r="BI84" s="178">
        <f>+Segments!BI63</f>
        <v>400</v>
      </c>
      <c r="BJ84" s="174">
        <f ca="1">+Segments!BJ63</f>
        <v>2585</v>
      </c>
      <c r="BK84" s="178">
        <f>+Segments!BK63</f>
        <v>1510</v>
      </c>
      <c r="BL84" s="178">
        <f>+Segments!BL63</f>
        <v>684</v>
      </c>
      <c r="BM84" s="178">
        <f>+Segments!BM63</f>
        <v>1865</v>
      </c>
      <c r="BN84" s="178">
        <f ca="1">+Segments!BN63</f>
        <v>2107</v>
      </c>
      <c r="BO84" s="174">
        <f ca="1">+Segments!BO63</f>
        <v>6166</v>
      </c>
      <c r="BP84" s="178">
        <f ca="1">+Segments!BP63</f>
        <v>2188.728464169094</v>
      </c>
      <c r="BQ84" s="178">
        <f ca="1">+Segments!BQ63</f>
        <v>3085.7328172760422</v>
      </c>
      <c r="BR84" s="178">
        <f ca="1">+Segments!BR63</f>
        <v>3125.5383365714979</v>
      </c>
      <c r="BS84" s="178">
        <f ca="1">+Segments!BS63</f>
        <v>2730.6675831833336</v>
      </c>
      <c r="BT84" s="174">
        <f ca="1">+Segments!BT63</f>
        <v>11130.667201199967</v>
      </c>
      <c r="BU84" s="178">
        <f ca="1">+Segments!BU63</f>
        <v>2790.0898779942254</v>
      </c>
      <c r="BV84" s="178">
        <f ca="1">+Segments!BV63</f>
        <v>2761.1919168742224</v>
      </c>
      <c r="BW84" s="178">
        <f ca="1">+Segments!BW63</f>
        <v>2875.1502573085299</v>
      </c>
      <c r="BX84" s="178">
        <f ca="1">+Segments!BX63</f>
        <v>2764.3091740559121</v>
      </c>
      <c r="BY84" s="174">
        <f ca="1">+Segments!BY63</f>
        <v>11190.741226232894</v>
      </c>
      <c r="BZ84" s="178">
        <f ca="1">+Segments!BZ63</f>
        <v>3214.9533693838848</v>
      </c>
      <c r="CA84" s="178">
        <f ca="1">+Segments!CA63</f>
        <v>3208.5950198367564</v>
      </c>
      <c r="CB84" s="178">
        <f ca="1">+Segments!CB63</f>
        <v>3340.7364191388233</v>
      </c>
      <c r="CC84" s="178">
        <f ca="1">+Segments!CC63</f>
        <v>3258.1345378364358</v>
      </c>
      <c r="CD84" s="174">
        <f ca="1">+Segments!CD63</f>
        <v>13022.419346195902</v>
      </c>
      <c r="CE84" s="179"/>
      <c r="CF84" s="5"/>
      <c r="CG84" s="5"/>
      <c r="CH84" s="5"/>
      <c r="CI84" s="5"/>
      <c r="CJ84" s="5"/>
    </row>
    <row r="85" spans="1:88">
      <c r="A85" s="286" t="s">
        <v>897</v>
      </c>
      <c r="B85" s="286"/>
      <c r="C85" s="288"/>
      <c r="D85" s="288"/>
      <c r="E85" s="288"/>
      <c r="F85" s="288"/>
      <c r="G85" s="288"/>
      <c r="H85" s="288"/>
      <c r="I85" s="288"/>
      <c r="J85" s="288"/>
      <c r="K85" s="288"/>
      <c r="L85" s="288"/>
      <c r="M85" s="288">
        <f t="shared" ref="M85:AR85" si="58">+M84-M42</f>
        <v>4408</v>
      </c>
      <c r="N85" s="288">
        <f t="shared" si="58"/>
        <v>5515</v>
      </c>
      <c r="O85" s="288">
        <f t="shared" si="58"/>
        <v>4491</v>
      </c>
      <c r="P85" s="288">
        <f t="shared" si="58"/>
        <v>4527</v>
      </c>
      <c r="Q85" s="288">
        <f t="shared" si="58"/>
        <v>0</v>
      </c>
      <c r="R85" s="288">
        <f t="shared" si="58"/>
        <v>6235</v>
      </c>
      <c r="S85" s="288">
        <f t="shared" si="58"/>
        <v>8521</v>
      </c>
      <c r="T85" s="288">
        <f t="shared" si="58"/>
        <v>8882</v>
      </c>
      <c r="U85" s="288">
        <f t="shared" si="58"/>
        <v>2605</v>
      </c>
      <c r="V85" s="288">
        <f t="shared" si="58"/>
        <v>0</v>
      </c>
      <c r="W85" s="288">
        <f t="shared" si="58"/>
        <v>2581</v>
      </c>
      <c r="X85" s="288">
        <f t="shared" si="58"/>
        <v>2938</v>
      </c>
      <c r="Y85" s="288">
        <f t="shared" si="58"/>
        <v>4674</v>
      </c>
      <c r="Z85" s="288">
        <f t="shared" si="58"/>
        <v>4384</v>
      </c>
      <c r="AA85" s="288">
        <f t="shared" si="58"/>
        <v>0</v>
      </c>
      <c r="AB85" s="288">
        <f t="shared" si="58"/>
        <v>0</v>
      </c>
      <c r="AC85" s="288">
        <f t="shared" si="58"/>
        <v>0</v>
      </c>
      <c r="AD85" s="288">
        <f t="shared" si="58"/>
        <v>0</v>
      </c>
      <c r="AE85" s="288">
        <f t="shared" si="58"/>
        <v>0</v>
      </c>
      <c r="AF85" s="288">
        <f t="shared" si="58"/>
        <v>0</v>
      </c>
      <c r="AG85" s="288">
        <f t="shared" si="58"/>
        <v>0</v>
      </c>
      <c r="AH85" s="288">
        <f t="shared" si="58"/>
        <v>0</v>
      </c>
      <c r="AI85" s="288">
        <f t="shared" si="58"/>
        <v>0</v>
      </c>
      <c r="AJ85" s="288">
        <f t="shared" si="58"/>
        <v>0</v>
      </c>
      <c r="AK85" s="288">
        <f t="shared" si="58"/>
        <v>0</v>
      </c>
      <c r="AL85" s="288">
        <f t="shared" si="58"/>
        <v>0</v>
      </c>
      <c r="AM85" s="288">
        <f t="shared" si="58"/>
        <v>0</v>
      </c>
      <c r="AN85" s="288">
        <f t="shared" si="58"/>
        <v>0</v>
      </c>
      <c r="AO85" s="288">
        <f t="shared" si="58"/>
        <v>0</v>
      </c>
      <c r="AP85" s="288">
        <f t="shared" si="58"/>
        <v>0</v>
      </c>
      <c r="AQ85" s="288">
        <f t="shared" si="58"/>
        <v>0</v>
      </c>
      <c r="AR85" s="288">
        <f t="shared" si="58"/>
        <v>0</v>
      </c>
      <c r="AS85" s="288">
        <f t="shared" ref="AS85:BX85" si="59">+AS84-AS42</f>
        <v>0</v>
      </c>
      <c r="AT85" s="288">
        <f t="shared" si="59"/>
        <v>0</v>
      </c>
      <c r="AU85" s="288">
        <f t="shared" si="59"/>
        <v>0</v>
      </c>
      <c r="AV85" s="288">
        <f t="shared" si="59"/>
        <v>0</v>
      </c>
      <c r="AW85" s="288">
        <f t="shared" si="59"/>
        <v>0</v>
      </c>
      <c r="AX85" s="288">
        <f t="shared" si="59"/>
        <v>0</v>
      </c>
      <c r="AY85" s="288">
        <f t="shared" si="59"/>
        <v>0</v>
      </c>
      <c r="AZ85" s="288">
        <f t="shared" si="59"/>
        <v>0</v>
      </c>
      <c r="BA85" s="288">
        <f t="shared" si="59"/>
        <v>0</v>
      </c>
      <c r="BB85" s="288">
        <f t="shared" si="59"/>
        <v>0</v>
      </c>
      <c r="BC85" s="288">
        <f t="shared" si="59"/>
        <v>0</v>
      </c>
      <c r="BD85" s="288">
        <f t="shared" si="59"/>
        <v>0</v>
      </c>
      <c r="BE85" s="288">
        <f t="shared" si="59"/>
        <v>0</v>
      </c>
      <c r="BF85" s="288">
        <f t="shared" ca="1" si="59"/>
        <v>0</v>
      </c>
      <c r="BG85" s="288">
        <f t="shared" ca="1" si="59"/>
        <v>0</v>
      </c>
      <c r="BH85" s="288">
        <f t="shared" si="59"/>
        <v>0</v>
      </c>
      <c r="BI85" s="288">
        <f t="shared" si="59"/>
        <v>0</v>
      </c>
      <c r="BJ85" s="288">
        <f t="shared" ca="1" si="59"/>
        <v>0</v>
      </c>
      <c r="BK85" s="288">
        <f t="shared" si="59"/>
        <v>0</v>
      </c>
      <c r="BL85" s="288">
        <f t="shared" si="59"/>
        <v>0</v>
      </c>
      <c r="BM85" s="288">
        <f t="shared" si="59"/>
        <v>0</v>
      </c>
      <c r="BN85" s="288">
        <f t="shared" ca="1" si="59"/>
        <v>0</v>
      </c>
      <c r="BO85" s="288">
        <f t="shared" ca="1" si="59"/>
        <v>0</v>
      </c>
      <c r="BP85" s="288">
        <f t="shared" ca="1" si="59"/>
        <v>0</v>
      </c>
      <c r="BQ85" s="288">
        <f t="shared" ca="1" si="59"/>
        <v>0</v>
      </c>
      <c r="BR85" s="288">
        <f t="shared" ca="1" si="59"/>
        <v>0</v>
      </c>
      <c r="BS85" s="288">
        <f t="shared" ca="1" si="59"/>
        <v>0</v>
      </c>
      <c r="BT85" s="288">
        <f t="shared" ca="1" si="59"/>
        <v>0</v>
      </c>
      <c r="BU85" s="288">
        <f t="shared" ca="1" si="59"/>
        <v>0</v>
      </c>
      <c r="BV85" s="288">
        <f t="shared" ca="1" si="59"/>
        <v>0</v>
      </c>
      <c r="BW85" s="288">
        <f t="shared" ca="1" si="59"/>
        <v>0</v>
      </c>
      <c r="BX85" s="288">
        <f t="shared" ca="1" si="59"/>
        <v>0</v>
      </c>
      <c r="BY85" s="288">
        <f t="shared" ref="BY85:CD85" ca="1" si="60">+BY84-BY42</f>
        <v>0</v>
      </c>
      <c r="BZ85" s="288">
        <f t="shared" ca="1" si="60"/>
        <v>0</v>
      </c>
      <c r="CA85" s="288">
        <f t="shared" ca="1" si="60"/>
        <v>0</v>
      </c>
      <c r="CB85" s="288">
        <f t="shared" ca="1" si="60"/>
        <v>0</v>
      </c>
      <c r="CC85" s="288">
        <f t="shared" ca="1" si="60"/>
        <v>0</v>
      </c>
      <c r="CD85" s="288">
        <f t="shared" ca="1" si="60"/>
        <v>0</v>
      </c>
      <c r="CE85" s="322"/>
      <c r="CF85" s="322"/>
      <c r="CG85" s="322"/>
      <c r="CH85" s="322"/>
      <c r="CI85" s="322"/>
      <c r="CJ85" s="322"/>
    </row>
    <row r="86" spans="1:88">
      <c r="A86" s="287"/>
      <c r="B86" s="287"/>
      <c r="C86" s="264"/>
      <c r="D86" s="264"/>
      <c r="E86" s="264"/>
      <c r="F86" s="264"/>
      <c r="G86" s="264"/>
      <c r="H86" s="264"/>
      <c r="I86" s="264"/>
      <c r="J86" s="264"/>
      <c r="K86" s="264"/>
      <c r="L86" s="264"/>
      <c r="M86" s="264"/>
      <c r="N86" s="264"/>
      <c r="O86" s="264"/>
      <c r="P86" s="264"/>
      <c r="Q86" s="264"/>
      <c r="R86" s="264"/>
      <c r="S86" s="264"/>
      <c r="T86" s="264"/>
      <c r="U86" s="264"/>
      <c r="V86" s="264"/>
      <c r="W86" s="264"/>
      <c r="X86" s="264"/>
      <c r="Y86" s="264"/>
      <c r="Z86" s="264"/>
      <c r="AA86" s="264"/>
      <c r="AB86" s="264"/>
      <c r="AC86" s="264"/>
      <c r="AD86" s="264"/>
      <c r="AE86" s="264"/>
      <c r="AF86" s="264"/>
      <c r="AG86" s="264"/>
      <c r="AH86" s="264"/>
      <c r="AI86" s="264"/>
      <c r="AJ86" s="264"/>
      <c r="AK86" s="264"/>
      <c r="AL86" s="264"/>
      <c r="AM86" s="264"/>
      <c r="AN86" s="264"/>
      <c r="AO86" s="264"/>
      <c r="AP86" s="264"/>
      <c r="AQ86" s="264"/>
      <c r="AR86" s="264"/>
      <c r="AS86" s="264"/>
      <c r="AT86" s="264"/>
      <c r="AU86" s="264"/>
      <c r="AV86" s="264"/>
      <c r="AW86" s="264"/>
      <c r="AX86" s="264"/>
      <c r="AY86" s="264"/>
      <c r="AZ86" s="264"/>
      <c r="BA86" s="264"/>
      <c r="BB86" s="264"/>
      <c r="BC86" s="264"/>
      <c r="BD86" s="264"/>
      <c r="BE86" s="264"/>
      <c r="BF86" s="264"/>
      <c r="BG86" s="264"/>
      <c r="BH86" s="264"/>
      <c r="BI86" s="264"/>
      <c r="BJ86" s="264"/>
      <c r="BK86" s="264"/>
      <c r="BL86" s="264"/>
      <c r="BM86" s="264"/>
      <c r="BN86" s="264"/>
      <c r="BO86" s="264"/>
      <c r="BP86" s="264"/>
      <c r="BQ86" s="264"/>
      <c r="BR86" s="264"/>
      <c r="BS86" s="264"/>
      <c r="BT86" s="264"/>
      <c r="BU86" s="264"/>
      <c r="BV86" s="264"/>
      <c r="BW86" s="264"/>
      <c r="BX86" s="264"/>
      <c r="BY86" s="264"/>
      <c r="BZ86" s="264"/>
      <c r="CA86" s="264"/>
      <c r="CB86" s="264"/>
      <c r="CC86" s="264"/>
      <c r="CD86" s="264"/>
      <c r="CE86" s="179"/>
      <c r="CF86" s="138"/>
      <c r="CG86" s="138"/>
      <c r="CH86" s="138"/>
      <c r="CI86" s="138"/>
      <c r="CJ86" s="138"/>
    </row>
    <row r="87" spans="1:88">
      <c r="A87" s="287"/>
      <c r="B87" s="287"/>
      <c r="C87" s="264"/>
      <c r="D87" s="264"/>
      <c r="E87" s="264"/>
      <c r="F87" s="264"/>
      <c r="G87" s="264"/>
      <c r="H87" s="264"/>
      <c r="I87" s="264"/>
      <c r="J87" s="264"/>
      <c r="K87" s="264"/>
      <c r="L87" s="264"/>
      <c r="M87" s="264"/>
      <c r="N87" s="264"/>
      <c r="O87" s="264"/>
      <c r="P87" s="264"/>
      <c r="Q87" s="264"/>
      <c r="R87" s="264"/>
      <c r="S87" s="264"/>
      <c r="T87" s="264"/>
      <c r="U87" s="264"/>
      <c r="V87" s="264"/>
      <c r="W87" s="264"/>
      <c r="X87" s="264"/>
      <c r="Y87" s="264"/>
      <c r="Z87" s="264"/>
      <c r="AA87" s="264"/>
      <c r="AB87" s="264"/>
      <c r="AC87" s="264"/>
      <c r="AD87" s="264"/>
      <c r="AE87" s="264"/>
      <c r="AF87" s="264"/>
      <c r="AG87" s="264"/>
      <c r="AH87" s="264"/>
      <c r="AI87" s="264"/>
      <c r="AJ87" s="264"/>
      <c r="AK87" s="264"/>
      <c r="AL87" s="264"/>
      <c r="AM87" s="264"/>
      <c r="AN87" s="264"/>
      <c r="AO87" s="264"/>
      <c r="AP87" s="264"/>
      <c r="AQ87" s="264"/>
      <c r="AR87" s="264"/>
      <c r="AS87" s="264"/>
      <c r="AT87" s="264"/>
      <c r="AU87" s="264"/>
      <c r="AV87" s="264"/>
      <c r="AW87" s="264"/>
      <c r="AX87" s="264"/>
      <c r="AY87" s="264"/>
      <c r="AZ87" s="264"/>
      <c r="BA87" s="264"/>
      <c r="BB87" s="264"/>
      <c r="BC87" s="264"/>
      <c r="BD87" s="264"/>
      <c r="BE87" s="264"/>
      <c r="BF87" s="264"/>
      <c r="BG87" s="264"/>
      <c r="BH87" s="264"/>
      <c r="BI87" s="264"/>
      <c r="BJ87" s="264"/>
      <c r="BK87" s="264"/>
      <c r="BL87" s="264"/>
      <c r="BM87" s="264"/>
      <c r="BN87" s="264"/>
      <c r="BO87" s="264"/>
      <c r="BP87" s="264"/>
      <c r="BQ87" s="264"/>
      <c r="BR87" s="264"/>
      <c r="BS87" s="264"/>
      <c r="BT87" s="264"/>
      <c r="BU87" s="264"/>
      <c r="BV87" s="264"/>
      <c r="BW87" s="264"/>
      <c r="BX87" s="264"/>
      <c r="BY87" s="264"/>
      <c r="BZ87" s="264"/>
      <c r="CA87" s="264"/>
      <c r="CB87" s="264"/>
      <c r="CC87" s="264"/>
      <c r="CD87" s="264"/>
      <c r="CE87" s="179"/>
      <c r="CF87" s="138"/>
      <c r="CG87" s="138"/>
      <c r="CH87" s="138"/>
      <c r="CI87" s="138"/>
      <c r="CJ87" s="138"/>
    </row>
    <row r="88" spans="1:88">
      <c r="A88" s="287"/>
      <c r="B88" s="287"/>
      <c r="C88" s="264"/>
      <c r="D88" s="264"/>
      <c r="E88" s="264"/>
      <c r="F88" s="264"/>
      <c r="G88" s="264"/>
      <c r="H88" s="264"/>
      <c r="I88" s="264"/>
      <c r="J88" s="264"/>
      <c r="K88" s="264"/>
      <c r="L88" s="264"/>
      <c r="M88" s="264"/>
      <c r="N88" s="264"/>
      <c r="O88" s="264"/>
      <c r="P88" s="264"/>
      <c r="Q88" s="264"/>
      <c r="R88" s="264"/>
      <c r="S88" s="264"/>
      <c r="T88" s="264"/>
      <c r="U88" s="264"/>
      <c r="V88" s="264"/>
      <c r="W88" s="264"/>
      <c r="X88" s="264"/>
      <c r="Y88" s="264"/>
      <c r="Z88" s="264"/>
      <c r="AA88" s="264"/>
      <c r="AB88" s="264"/>
      <c r="AC88" s="264"/>
      <c r="AD88" s="264"/>
      <c r="AE88" s="264"/>
      <c r="AF88" s="264"/>
      <c r="AG88" s="264"/>
      <c r="AH88" s="264"/>
      <c r="AI88" s="264"/>
      <c r="AJ88" s="264"/>
      <c r="AK88" s="264"/>
      <c r="AL88" s="264"/>
      <c r="AM88" s="264"/>
      <c r="AN88" s="264"/>
      <c r="AO88" s="264"/>
      <c r="AP88" s="264"/>
      <c r="AQ88" s="264"/>
      <c r="AR88" s="264"/>
      <c r="AS88" s="264"/>
      <c r="AT88" s="264"/>
      <c r="AU88" s="264"/>
      <c r="AV88" s="264"/>
      <c r="AW88" s="264"/>
      <c r="AX88" s="264"/>
      <c r="AY88" s="264"/>
      <c r="AZ88" s="264"/>
      <c r="BA88" s="264"/>
      <c r="BB88" s="264"/>
      <c r="BC88" s="264"/>
      <c r="BD88" s="264"/>
      <c r="BE88" s="264"/>
      <c r="BF88" s="264"/>
      <c r="BG88" s="264"/>
      <c r="BH88" s="264"/>
      <c r="BI88" s="264"/>
      <c r="BJ88" s="264"/>
      <c r="BK88" s="264"/>
      <c r="BL88" s="264"/>
      <c r="BM88" s="264"/>
      <c r="BN88" s="264"/>
      <c r="BO88" s="264"/>
      <c r="BP88" s="264"/>
      <c r="BQ88" s="264"/>
      <c r="BR88" s="264"/>
      <c r="BS88" s="264"/>
      <c r="BT88" s="264"/>
      <c r="BU88" s="264"/>
      <c r="BV88" s="264"/>
      <c r="BW88" s="264"/>
      <c r="BX88" s="264"/>
      <c r="BY88" s="264"/>
      <c r="BZ88" s="264"/>
      <c r="CA88" s="264"/>
      <c r="CB88" s="264"/>
      <c r="CC88" s="264"/>
      <c r="CD88" s="264"/>
      <c r="CE88" s="179"/>
      <c r="CF88" s="138"/>
      <c r="CG88" s="138"/>
      <c r="CH88" s="138"/>
      <c r="CI88" s="138"/>
      <c r="CJ88" s="138"/>
    </row>
    <row r="89" spans="1:88">
      <c r="A89" s="9" t="s">
        <v>3055</v>
      </c>
      <c r="B89" s="4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</row>
    <row r="90" spans="1:88" ht="12.75" customHeight="1">
      <c r="A90" s="10"/>
      <c r="B90" s="10"/>
      <c r="C90" s="31">
        <v>2001</v>
      </c>
      <c r="D90" s="32">
        <v>2002</v>
      </c>
      <c r="E90" s="32">
        <v>2003</v>
      </c>
      <c r="F90" s="32">
        <v>2004</v>
      </c>
      <c r="G90" s="31">
        <v>2005</v>
      </c>
      <c r="H90" s="33" t="s">
        <v>714</v>
      </c>
      <c r="I90" s="33" t="s">
        <v>715</v>
      </c>
      <c r="J90" s="33" t="s">
        <v>716</v>
      </c>
      <c r="K90" s="33" t="s">
        <v>717</v>
      </c>
      <c r="L90" s="31">
        <v>2006</v>
      </c>
      <c r="M90" s="33" t="s">
        <v>718</v>
      </c>
      <c r="N90" s="33" t="s">
        <v>719</v>
      </c>
      <c r="O90" s="33" t="s">
        <v>1970</v>
      </c>
      <c r="P90" s="33" t="s">
        <v>1971</v>
      </c>
      <c r="Q90" s="31">
        <v>2007</v>
      </c>
      <c r="R90" s="33" t="s">
        <v>1972</v>
      </c>
      <c r="S90" s="33" t="s">
        <v>1973</v>
      </c>
      <c r="T90" s="33" t="s">
        <v>1974</v>
      </c>
      <c r="U90" s="33" t="s">
        <v>1975</v>
      </c>
      <c r="V90" s="31">
        <v>2008</v>
      </c>
      <c r="W90" s="33" t="s">
        <v>1976</v>
      </c>
      <c r="X90" s="33" t="s">
        <v>1977</v>
      </c>
      <c r="Y90" s="33" t="s">
        <v>1978</v>
      </c>
      <c r="Z90" s="33" t="s">
        <v>1979</v>
      </c>
      <c r="AA90" s="31">
        <v>2009</v>
      </c>
      <c r="AB90" s="33" t="s">
        <v>1980</v>
      </c>
      <c r="AC90" s="33" t="s">
        <v>1981</v>
      </c>
      <c r="AD90" s="33" t="s">
        <v>1982</v>
      </c>
      <c r="AE90" s="33" t="s">
        <v>2392</v>
      </c>
      <c r="AF90" s="31">
        <v>2010</v>
      </c>
      <c r="AG90" s="33" t="s">
        <v>2393</v>
      </c>
      <c r="AH90" s="33" t="s">
        <v>2394</v>
      </c>
      <c r="AI90" s="33" t="s">
        <v>2395</v>
      </c>
      <c r="AJ90" s="33" t="s">
        <v>2396</v>
      </c>
      <c r="AK90" s="31">
        <v>2011</v>
      </c>
      <c r="AL90" s="368" t="s">
        <v>2397</v>
      </c>
      <c r="AM90" s="368" t="s">
        <v>2398</v>
      </c>
      <c r="AN90" s="368" t="s">
        <v>2399</v>
      </c>
      <c r="AO90" s="368" t="s">
        <v>2400</v>
      </c>
      <c r="AP90" s="31">
        <v>2012</v>
      </c>
      <c r="AQ90" s="368" t="s">
        <v>2401</v>
      </c>
      <c r="AR90" s="368" t="s">
        <v>2402</v>
      </c>
      <c r="AS90" s="368" t="s">
        <v>2403</v>
      </c>
      <c r="AT90" s="368" t="s">
        <v>2404</v>
      </c>
      <c r="AU90" s="31">
        <v>2013</v>
      </c>
      <c r="AV90" s="368" t="s">
        <v>2405</v>
      </c>
      <c r="AW90" s="368" t="s">
        <v>2406</v>
      </c>
      <c r="AX90" s="368" t="s">
        <v>2407</v>
      </c>
      <c r="AY90" s="368" t="s">
        <v>2408</v>
      </c>
      <c r="AZ90" s="31">
        <v>2014</v>
      </c>
      <c r="BA90" s="368" t="s">
        <v>2409</v>
      </c>
      <c r="BB90" s="368" t="s">
        <v>2410</v>
      </c>
      <c r="BC90" s="368" t="s">
        <v>2411</v>
      </c>
      <c r="BD90" s="368" t="s">
        <v>2412</v>
      </c>
      <c r="BE90" s="31">
        <v>2015</v>
      </c>
      <c r="BF90" s="368" t="s">
        <v>2413</v>
      </c>
      <c r="BG90" s="368" t="s">
        <v>2414</v>
      </c>
      <c r="BH90" s="368" t="s">
        <v>2415</v>
      </c>
      <c r="BI90" s="368" t="s">
        <v>2416</v>
      </c>
      <c r="BJ90" s="31">
        <v>2016</v>
      </c>
      <c r="BK90" s="368" t="s">
        <v>2417</v>
      </c>
      <c r="BL90" s="368" t="s">
        <v>2418</v>
      </c>
      <c r="BM90" s="368" t="s">
        <v>2419</v>
      </c>
      <c r="BN90" s="368" t="s">
        <v>2420</v>
      </c>
      <c r="BO90" s="31">
        <v>2017</v>
      </c>
      <c r="BP90" s="363" t="s">
        <v>2244</v>
      </c>
      <c r="BQ90" s="363" t="s">
        <v>2245</v>
      </c>
      <c r="BR90" s="363" t="s">
        <v>2508</v>
      </c>
      <c r="BS90" s="363" t="s">
        <v>2509</v>
      </c>
      <c r="BT90" s="364">
        <v>2018</v>
      </c>
      <c r="BU90" s="363" t="s">
        <v>2510</v>
      </c>
      <c r="BV90" s="363" t="s">
        <v>2511</v>
      </c>
      <c r="BW90" s="363" t="s">
        <v>3125</v>
      </c>
      <c r="BX90" s="363" t="s">
        <v>1405</v>
      </c>
      <c r="BY90" s="364">
        <v>2019</v>
      </c>
      <c r="BZ90" s="363" t="s">
        <v>1406</v>
      </c>
      <c r="CA90" s="363" t="s">
        <v>1407</v>
      </c>
      <c r="CB90" s="363" t="s">
        <v>1408</v>
      </c>
      <c r="CC90" s="363" t="s">
        <v>1409</v>
      </c>
      <c r="CD90" s="364">
        <v>2020</v>
      </c>
      <c r="CE90" s="11"/>
      <c r="CF90" s="5"/>
      <c r="CG90" s="5"/>
      <c r="CH90" s="5"/>
      <c r="CI90" s="5"/>
      <c r="CJ90" s="5"/>
    </row>
    <row r="91" spans="1:88">
      <c r="A91" s="148" t="s">
        <v>2715</v>
      </c>
      <c r="B91" s="7"/>
      <c r="C91" s="8">
        <f>C32+C34</f>
        <v>6617</v>
      </c>
      <c r="D91" s="8">
        <f>D32+D34</f>
        <v>6872</v>
      </c>
      <c r="E91" s="8">
        <f>E32+E34</f>
        <v>12618</v>
      </c>
      <c r="F91" s="8">
        <f>F32+F34</f>
        <v>17262</v>
      </c>
      <c r="G91" s="8">
        <f>G32+G34</f>
        <v>22632</v>
      </c>
      <c r="H91" s="8"/>
      <c r="I91" s="8"/>
      <c r="J91" s="8"/>
      <c r="K91" s="8"/>
      <c r="L91" s="8">
        <f>L32+L34</f>
        <v>22286</v>
      </c>
      <c r="M91" s="19">
        <v>4746</v>
      </c>
      <c r="N91" s="19">
        <v>7441</v>
      </c>
      <c r="O91" s="19">
        <v>4478</v>
      </c>
      <c r="P91" s="19">
        <v>4504</v>
      </c>
      <c r="Q91" s="8">
        <f>Q32</f>
        <v>21169</v>
      </c>
      <c r="R91" s="19">
        <v>7212</v>
      </c>
      <c r="S91" s="19">
        <v>9470</v>
      </c>
      <c r="T91" s="19">
        <v>8186</v>
      </c>
      <c r="U91" s="19">
        <v>-3202</v>
      </c>
      <c r="V91" s="8">
        <f>V32</f>
        <v>21666</v>
      </c>
      <c r="W91" s="19">
        <v>2597</v>
      </c>
      <c r="X91" s="19">
        <v>4429</v>
      </c>
      <c r="Y91" s="19">
        <v>5355</v>
      </c>
      <c r="Z91" s="19">
        <v>4378</v>
      </c>
      <c r="AA91" s="8">
        <f>AA32</f>
        <v>16759</v>
      </c>
      <c r="AB91" s="19">
        <v>6188</v>
      </c>
      <c r="AC91" s="19">
        <v>-17048</v>
      </c>
      <c r="AD91" s="19">
        <v>1873</v>
      </c>
      <c r="AE91" s="19">
        <v>5663</v>
      </c>
      <c r="AF91" s="8">
        <f t="shared" ref="AF91:BK91" si="61">AF32</f>
        <v>-3324</v>
      </c>
      <c r="AG91" s="19">
        <f t="shared" si="61"/>
        <v>7315</v>
      </c>
      <c r="AH91" s="19">
        <f t="shared" si="61"/>
        <v>5788</v>
      </c>
      <c r="AI91" s="19">
        <f t="shared" si="61"/>
        <v>5220</v>
      </c>
      <c r="AJ91" s="19">
        <f t="shared" si="61"/>
        <v>7774</v>
      </c>
      <c r="AK91" s="8">
        <f t="shared" si="61"/>
        <v>26097</v>
      </c>
      <c r="AL91" s="19">
        <f t="shared" si="61"/>
        <v>5976</v>
      </c>
      <c r="AM91" s="19">
        <f t="shared" si="61"/>
        <v>-1340</v>
      </c>
      <c r="AN91" s="19">
        <f t="shared" si="61"/>
        <v>5500</v>
      </c>
      <c r="AO91" s="19">
        <f t="shared" si="61"/>
        <v>1680</v>
      </c>
      <c r="AP91" s="8">
        <f t="shared" si="61"/>
        <v>11816</v>
      </c>
      <c r="AQ91" s="19">
        <f t="shared" si="61"/>
        <v>16942</v>
      </c>
      <c r="AR91" s="19">
        <f t="shared" si="61"/>
        <v>2126</v>
      </c>
      <c r="AS91" s="19">
        <f t="shared" si="61"/>
        <v>3592</v>
      </c>
      <c r="AT91" s="19">
        <f t="shared" si="61"/>
        <v>1098</v>
      </c>
      <c r="AU91" s="8">
        <f t="shared" si="61"/>
        <v>23758</v>
      </c>
      <c r="AV91" s="19">
        <f t="shared" si="61"/>
        <v>3619</v>
      </c>
      <c r="AW91" s="19">
        <f t="shared" si="61"/>
        <v>3433</v>
      </c>
      <c r="AX91" s="19">
        <f t="shared" si="61"/>
        <v>1324</v>
      </c>
      <c r="AY91" s="19">
        <f t="shared" si="61"/>
        <v>-4373</v>
      </c>
      <c r="AZ91" s="8">
        <f t="shared" si="61"/>
        <v>4003</v>
      </c>
      <c r="BA91" s="19">
        <f t="shared" si="61"/>
        <v>2651</v>
      </c>
      <c r="BB91" s="19">
        <f t="shared" si="61"/>
        <v>-5783</v>
      </c>
      <c r="BC91" s="19">
        <f t="shared" si="61"/>
        <v>56</v>
      </c>
      <c r="BD91" s="19">
        <f t="shared" si="61"/>
        <v>-3324</v>
      </c>
      <c r="BE91" s="8">
        <f t="shared" si="61"/>
        <v>-6400</v>
      </c>
      <c r="BF91" s="19">
        <f t="shared" si="61"/>
        <v>-558</v>
      </c>
      <c r="BG91" s="19">
        <f t="shared" si="61"/>
        <v>-1390</v>
      </c>
      <c r="BH91" s="19">
        <f t="shared" si="61"/>
        <v>1577</v>
      </c>
      <c r="BI91" s="19">
        <f t="shared" si="61"/>
        <v>543</v>
      </c>
      <c r="BJ91" s="8">
        <f t="shared" si="61"/>
        <v>172</v>
      </c>
      <c r="BK91" s="19">
        <f t="shared" si="61"/>
        <v>1492</v>
      </c>
      <c r="BL91" s="19">
        <f t="shared" ref="BL91:CD91" si="62">BL32</f>
        <v>156</v>
      </c>
      <c r="BM91" s="19">
        <f t="shared" si="62"/>
        <v>1757</v>
      </c>
      <c r="BN91" s="19">
        <f t="shared" ca="1" si="62"/>
        <v>63</v>
      </c>
      <c r="BO91" s="8">
        <f t="shared" ca="1" si="62"/>
        <v>3468</v>
      </c>
      <c r="BP91" s="19">
        <f t="shared" ca="1" si="62"/>
        <v>2140.766841626325</v>
      </c>
      <c r="BQ91" s="19">
        <f t="shared" ca="1" si="62"/>
        <v>3044.2639401780389</v>
      </c>
      <c r="BR91" s="19">
        <f t="shared" ca="1" si="62"/>
        <v>3087.63594563166</v>
      </c>
      <c r="BS91" s="19">
        <f t="shared" ca="1" si="62"/>
        <v>2693.8839570373516</v>
      </c>
      <c r="BT91" s="8">
        <f t="shared" ca="1" si="62"/>
        <v>10966.550684473375</v>
      </c>
      <c r="BU91" s="19">
        <f t="shared" ca="1" si="62"/>
        <v>2740.4976678095463</v>
      </c>
      <c r="BV91" s="19">
        <f t="shared" ca="1" si="62"/>
        <v>2712.2220276709086</v>
      </c>
      <c r="BW91" s="19">
        <f t="shared" ca="1" si="62"/>
        <v>2833.3888747746814</v>
      </c>
      <c r="BX91" s="19">
        <f t="shared" ca="1" si="62"/>
        <v>2723.2132741697442</v>
      </c>
      <c r="BY91" s="8">
        <f t="shared" ca="1" si="62"/>
        <v>11009.32184442488</v>
      </c>
      <c r="BZ91" s="19">
        <f t="shared" ca="1" si="62"/>
        <v>3163.5660530519863</v>
      </c>
      <c r="CA91" s="19">
        <f t="shared" ca="1" si="62"/>
        <v>3156.7161421875321</v>
      </c>
      <c r="CB91" s="19">
        <f t="shared" ca="1" si="62"/>
        <v>3296.0805192978778</v>
      </c>
      <c r="CC91" s="19">
        <f t="shared" ca="1" si="62"/>
        <v>3213.0303941308075</v>
      </c>
      <c r="CD91" s="8">
        <f t="shared" ca="1" si="62"/>
        <v>12829.393108668206</v>
      </c>
      <c r="CE91" s="8"/>
      <c r="CF91" s="5"/>
      <c r="CG91" s="5"/>
      <c r="CH91" s="5"/>
      <c r="CI91" s="5"/>
      <c r="CJ91" s="5"/>
    </row>
    <row r="92" spans="1:88">
      <c r="A92" s="7"/>
      <c r="B92" s="7"/>
      <c r="C92" s="8"/>
      <c r="D92" s="8"/>
      <c r="E92" s="8"/>
      <c r="F92" s="8"/>
      <c r="G92" s="8"/>
      <c r="H92" s="8"/>
      <c r="I92" s="8"/>
      <c r="J92" s="8"/>
      <c r="K92" s="8"/>
      <c r="L92" s="8"/>
      <c r="M92" s="19"/>
      <c r="N92" s="19"/>
      <c r="O92" s="19"/>
      <c r="P92" s="19"/>
      <c r="Q92" s="8"/>
      <c r="R92" s="19"/>
      <c r="S92" s="19"/>
      <c r="T92" s="19"/>
      <c r="U92" s="19"/>
      <c r="V92" s="8"/>
      <c r="W92" s="19"/>
      <c r="X92" s="19"/>
      <c r="Y92" s="19"/>
      <c r="Z92" s="19"/>
      <c r="AA92" s="8"/>
      <c r="AB92" s="19"/>
      <c r="AC92" s="19"/>
      <c r="AD92" s="19"/>
      <c r="AE92" s="19"/>
      <c r="AF92" s="8"/>
      <c r="AG92" s="19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5"/>
      <c r="CG92" s="5"/>
      <c r="CH92" s="5"/>
      <c r="CI92" s="5"/>
      <c r="CJ92" s="5"/>
    </row>
    <row r="93" spans="1:88">
      <c r="A93" s="4" t="s">
        <v>1219</v>
      </c>
      <c r="B93" s="5"/>
      <c r="C93" s="72"/>
      <c r="D93" s="72"/>
      <c r="E93" s="5">
        <v>3656</v>
      </c>
      <c r="F93" s="5">
        <v>2283</v>
      </c>
      <c r="G93" s="5">
        <v>-2502</v>
      </c>
      <c r="H93" s="5"/>
      <c r="I93" s="5"/>
      <c r="J93" s="5"/>
      <c r="K93" s="5"/>
      <c r="L93" s="5">
        <v>2025</v>
      </c>
      <c r="M93" s="12">
        <v>174</v>
      </c>
      <c r="N93" s="12">
        <v>621</v>
      </c>
      <c r="O93" s="12">
        <v>788</v>
      </c>
      <c r="P93" s="12">
        <v>304</v>
      </c>
      <c r="Q93" s="5">
        <v>1887</v>
      </c>
      <c r="R93" s="12">
        <v>778</v>
      </c>
      <c r="S93" s="12">
        <v>255</v>
      </c>
      <c r="T93" s="12">
        <v>-3125</v>
      </c>
      <c r="U93" s="12">
        <v>-2270</v>
      </c>
      <c r="V93" s="5">
        <v>-4362</v>
      </c>
      <c r="W93" s="12">
        <v>-1011</v>
      </c>
      <c r="X93" s="12">
        <v>2351</v>
      </c>
      <c r="Y93" s="12">
        <v>549</v>
      </c>
      <c r="Z93" s="12">
        <v>-63</v>
      </c>
      <c r="AA93" s="5">
        <v>1826</v>
      </c>
      <c r="AB93" s="12">
        <v>-526</v>
      </c>
      <c r="AC93" s="12">
        <v>-1000</v>
      </c>
      <c r="AD93" s="12">
        <v>1759</v>
      </c>
      <c r="AE93" s="12">
        <v>26</v>
      </c>
      <c r="AF93" s="5">
        <v>259</v>
      </c>
      <c r="AG93" s="12">
        <v>657</v>
      </c>
      <c r="AH93" s="12">
        <v>401</v>
      </c>
      <c r="AI93" s="12">
        <v>-1483</v>
      </c>
      <c r="AJ93" s="12">
        <v>-106</v>
      </c>
      <c r="AK93" s="5">
        <f>SUM(AG93:AJ93)</f>
        <v>-531</v>
      </c>
      <c r="AL93" s="12">
        <v>586</v>
      </c>
      <c r="AM93" s="12">
        <v>-1038</v>
      </c>
      <c r="AN93" s="12">
        <v>747</v>
      </c>
      <c r="AO93" s="12">
        <v>236</v>
      </c>
      <c r="AP93" s="5">
        <f>SUM(AL93:AO93)</f>
        <v>531</v>
      </c>
      <c r="AQ93" s="12">
        <v>-587</v>
      </c>
      <c r="AR93" s="12">
        <v>-1506</v>
      </c>
      <c r="AS93" s="12">
        <v>662</v>
      </c>
      <c r="AT93" s="12">
        <v>-177</v>
      </c>
      <c r="AU93" s="5">
        <f>SUM(AQ93:AT93)</f>
        <v>-1608</v>
      </c>
      <c r="AV93" s="12">
        <v>-913</v>
      </c>
      <c r="AW93" s="12">
        <v>1005</v>
      </c>
      <c r="AX93" s="12">
        <v>-3434</v>
      </c>
      <c r="AY93" s="12">
        <v>-3496</v>
      </c>
      <c r="AZ93" s="5">
        <f>SUM(AV93:AY93)</f>
        <v>-6838</v>
      </c>
      <c r="BA93" s="12">
        <v>-1612</v>
      </c>
      <c r="BB93" s="12">
        <v>698</v>
      </c>
      <c r="BC93" s="12">
        <v>-2247</v>
      </c>
      <c r="BD93" s="12">
        <v>-958</v>
      </c>
      <c r="BE93" s="5">
        <f>SUM(BA93:BD93)</f>
        <v>-4119</v>
      </c>
      <c r="BF93" s="12">
        <v>874</v>
      </c>
      <c r="BG93" s="12">
        <v>-35</v>
      </c>
      <c r="BH93" s="12">
        <v>192</v>
      </c>
      <c r="BI93" s="12">
        <v>-777</v>
      </c>
      <c r="BJ93" s="5">
        <f>SUM(BF93:BI93)</f>
        <v>254</v>
      </c>
      <c r="BK93" s="12">
        <v>1214</v>
      </c>
      <c r="BL93" s="12">
        <v>-103</v>
      </c>
      <c r="BM93" s="12">
        <v>611</v>
      </c>
      <c r="BN93" s="12">
        <v>264</v>
      </c>
      <c r="BO93" s="5">
        <f>SUM(BK93:BN93)</f>
        <v>1986</v>
      </c>
      <c r="BP93" s="209">
        <f>-BP28*(1-Segments!BP80)</f>
        <v>13.500000000000002</v>
      </c>
      <c r="BQ93" s="209">
        <f>-BQ28*(1-Segments!BQ80)</f>
        <v>22.5</v>
      </c>
      <c r="BR93" s="209">
        <f>-BR28*(1-Segments!BR80)</f>
        <v>22.5</v>
      </c>
      <c r="BS93" s="209">
        <f>-BS28*(1-Segments!BS80)</f>
        <v>18</v>
      </c>
      <c r="BT93" s="5">
        <f>SUM(BP93:BS93)</f>
        <v>76.5</v>
      </c>
      <c r="BU93" s="209">
        <f>-BU28*(1-Segments!BU80)</f>
        <v>18</v>
      </c>
      <c r="BV93" s="209">
        <f>-BV28*(1-Segments!BV80)</f>
        <v>18</v>
      </c>
      <c r="BW93" s="209">
        <f>-BW28*(1-Segments!BW80)</f>
        <v>18</v>
      </c>
      <c r="BX93" s="209">
        <f>-BX28*(1-Segments!BX80)</f>
        <v>18</v>
      </c>
      <c r="BY93" s="5">
        <f>SUM(BU93:BX93)</f>
        <v>72</v>
      </c>
      <c r="BZ93" s="209">
        <f>-BZ28*(1-Segments!BZ80)</f>
        <v>18</v>
      </c>
      <c r="CA93" s="209">
        <f>-CA28*(1-Segments!CA80)</f>
        <v>18</v>
      </c>
      <c r="CB93" s="209">
        <f>-CB28*(1-Segments!CB80)</f>
        <v>18</v>
      </c>
      <c r="CC93" s="209">
        <f>-CC28*(1-Segments!CC80)</f>
        <v>18</v>
      </c>
      <c r="CD93" s="5">
        <f>SUM(BZ93:CC93)</f>
        <v>72</v>
      </c>
      <c r="CE93" s="5"/>
      <c r="CF93" s="5"/>
      <c r="CG93" s="5"/>
      <c r="CH93" s="5"/>
      <c r="CI93" s="5"/>
      <c r="CJ93" s="5"/>
    </row>
    <row r="94" spans="1:88">
      <c r="A94" s="4" t="s">
        <v>2494</v>
      </c>
      <c r="B94" s="5"/>
      <c r="C94" s="72"/>
      <c r="D94" s="72"/>
      <c r="E94" s="5">
        <v>0</v>
      </c>
      <c r="F94" s="5">
        <v>-78</v>
      </c>
      <c r="G94" s="5">
        <v>-315</v>
      </c>
      <c r="H94" s="5"/>
      <c r="I94" s="5"/>
      <c r="J94" s="5"/>
      <c r="K94" s="5"/>
      <c r="L94" s="5">
        <v>0</v>
      </c>
      <c r="M94" s="12">
        <v>-19</v>
      </c>
      <c r="N94" s="12">
        <v>-128</v>
      </c>
      <c r="O94" s="12">
        <v>0</v>
      </c>
      <c r="P94" s="12">
        <v>0</v>
      </c>
      <c r="Q94" s="5">
        <v>-147</v>
      </c>
      <c r="R94" s="12">
        <v>0</v>
      </c>
      <c r="S94" s="12">
        <v>0</v>
      </c>
      <c r="T94" s="12">
        <v>0</v>
      </c>
      <c r="U94" s="12">
        <v>0</v>
      </c>
      <c r="V94" s="5">
        <v>0</v>
      </c>
      <c r="W94" s="12">
        <v>0</v>
      </c>
      <c r="X94" s="12">
        <v>42</v>
      </c>
      <c r="Y94" s="12">
        <v>4</v>
      </c>
      <c r="Z94" s="12">
        <v>-73</v>
      </c>
      <c r="AA94" s="5">
        <v>-27</v>
      </c>
      <c r="AB94" s="12">
        <v>0</v>
      </c>
      <c r="AC94" s="12">
        <v>39</v>
      </c>
      <c r="AD94" s="12">
        <v>-11</v>
      </c>
      <c r="AE94" s="12">
        <v>-48</v>
      </c>
      <c r="AF94" s="5">
        <v>-20</v>
      </c>
      <c r="AG94" s="12">
        <v>11</v>
      </c>
      <c r="AH94" s="12">
        <v>2</v>
      </c>
      <c r="AI94" s="12">
        <v>6</v>
      </c>
      <c r="AJ94" s="12">
        <v>0</v>
      </c>
      <c r="AK94" s="5">
        <f t="shared" ref="AK94:AK102" si="63">SUM(AG94:AJ94)</f>
        <v>19</v>
      </c>
      <c r="AL94" s="12">
        <v>0</v>
      </c>
      <c r="AM94" s="12">
        <v>-12</v>
      </c>
      <c r="AN94" s="12">
        <v>12</v>
      </c>
      <c r="AO94" s="12">
        <v>-15</v>
      </c>
      <c r="AP94" s="5">
        <f t="shared" ref="AP94:AP102" si="64">SUM(AL94:AO94)</f>
        <v>-15</v>
      </c>
      <c r="AQ94" s="12">
        <v>0</v>
      </c>
      <c r="AR94" s="12">
        <v>0</v>
      </c>
      <c r="AS94" s="12">
        <v>9</v>
      </c>
      <c r="AT94" s="12">
        <v>13</v>
      </c>
      <c r="AU94" s="5">
        <f t="shared" ref="AU94:AU102" si="65">SUM(AQ94:AT94)</f>
        <v>22</v>
      </c>
      <c r="AV94" s="12">
        <v>0</v>
      </c>
      <c r="AW94" s="12">
        <v>0</v>
      </c>
      <c r="AX94" s="12">
        <v>-3</v>
      </c>
      <c r="AY94" s="12">
        <v>54</v>
      </c>
      <c r="AZ94" s="5">
        <f t="shared" ref="AZ94:AZ102" si="66">SUM(AV94:AY94)</f>
        <v>51</v>
      </c>
      <c r="BA94" s="12"/>
      <c r="BB94" s="12">
        <v>16</v>
      </c>
      <c r="BC94" s="12">
        <v>7</v>
      </c>
      <c r="BD94" s="12"/>
      <c r="BE94" s="5">
        <f t="shared" ref="BE94:BE102" si="67">SUM(BA94:BD94)</f>
        <v>23</v>
      </c>
      <c r="BF94" s="12">
        <v>6</v>
      </c>
      <c r="BG94" s="12">
        <v>0</v>
      </c>
      <c r="BH94" s="12"/>
      <c r="BI94" s="12">
        <v>24</v>
      </c>
      <c r="BJ94" s="5">
        <f t="shared" ref="BJ94:BJ102" si="68">SUM(BF94:BI94)</f>
        <v>30</v>
      </c>
      <c r="BK94" s="12">
        <v>1</v>
      </c>
      <c r="BL94" s="12">
        <v>4</v>
      </c>
      <c r="BM94" s="12">
        <v>13</v>
      </c>
      <c r="BN94" s="12">
        <v>-138</v>
      </c>
      <c r="BO94" s="5">
        <f t="shared" ref="BO94:BO102" si="69">SUM(BK94:BN94)</f>
        <v>-120</v>
      </c>
      <c r="BP94" s="73"/>
      <c r="BQ94" s="73"/>
      <c r="BR94" s="73"/>
      <c r="BS94" s="73"/>
      <c r="BT94" s="5">
        <f t="shared" ref="BT94:BT102" si="70">SUM(BP94:BS94)</f>
        <v>0</v>
      </c>
      <c r="BU94" s="73"/>
      <c r="BV94" s="73"/>
      <c r="BW94" s="73"/>
      <c r="BX94" s="73"/>
      <c r="BY94" s="5">
        <f t="shared" ref="BY94:BY102" si="71">SUM(BU94:BX94)</f>
        <v>0</v>
      </c>
      <c r="BZ94" s="73"/>
      <c r="CA94" s="73"/>
      <c r="CB94" s="73"/>
      <c r="CC94" s="73"/>
      <c r="CD94" s="5">
        <f t="shared" ref="CD94:CD102" si="72">SUM(BZ94:CC94)</f>
        <v>0</v>
      </c>
      <c r="CE94" s="5"/>
      <c r="CF94" s="5"/>
      <c r="CG94" s="5"/>
      <c r="CH94" s="5"/>
      <c r="CI94" s="5"/>
      <c r="CJ94" s="5"/>
    </row>
    <row r="95" spans="1:88">
      <c r="A95" s="4" t="s">
        <v>1220</v>
      </c>
      <c r="B95" s="5"/>
      <c r="C95" s="72"/>
      <c r="D95" s="72"/>
      <c r="E95" s="5">
        <v>76</v>
      </c>
      <c r="F95" s="5">
        <v>107</v>
      </c>
      <c r="G95" s="5">
        <v>975</v>
      </c>
      <c r="H95" s="5"/>
      <c r="I95" s="5"/>
      <c r="J95" s="5"/>
      <c r="K95" s="5"/>
      <c r="L95" s="5">
        <v>2615</v>
      </c>
      <c r="M95" s="12">
        <v>0</v>
      </c>
      <c r="N95" s="12">
        <v>0</v>
      </c>
      <c r="O95" s="12">
        <v>0</v>
      </c>
      <c r="P95" s="12">
        <v>1717</v>
      </c>
      <c r="Q95" s="5">
        <v>1717</v>
      </c>
      <c r="R95" s="12">
        <v>0</v>
      </c>
      <c r="S95" s="12">
        <v>0</v>
      </c>
      <c r="T95" s="12">
        <v>0</v>
      </c>
      <c r="U95" s="12">
        <v>-8430</v>
      </c>
      <c r="V95" s="5">
        <v>-8430</v>
      </c>
      <c r="W95" s="12">
        <v>0</v>
      </c>
      <c r="X95" s="12">
        <v>0</v>
      </c>
      <c r="Y95" s="12">
        <v>0</v>
      </c>
      <c r="Z95" s="12">
        <v>-682</v>
      </c>
      <c r="AA95" s="5">
        <v>-682</v>
      </c>
      <c r="AB95" s="12">
        <v>0</v>
      </c>
      <c r="AC95" s="12">
        <v>0</v>
      </c>
      <c r="AD95" s="12">
        <v>0</v>
      </c>
      <c r="AE95" s="12">
        <v>-320</v>
      </c>
      <c r="AF95" s="5">
        <v>-320</v>
      </c>
      <c r="AG95" s="12">
        <v>0</v>
      </c>
      <c r="AH95" s="12">
        <v>0</v>
      </c>
      <c r="AI95" s="12">
        <v>0</v>
      </c>
      <c r="AJ95" s="12">
        <v>-5960</v>
      </c>
      <c r="AK95" s="5">
        <f t="shared" si="63"/>
        <v>-5960</v>
      </c>
      <c r="AL95" s="12">
        <v>1420</v>
      </c>
      <c r="AM95" s="12">
        <v>-2301</v>
      </c>
      <c r="AN95" s="12">
        <v>192</v>
      </c>
      <c r="AO95" s="12">
        <v>-1646</v>
      </c>
      <c r="AP95" s="5">
        <f t="shared" si="64"/>
        <v>-2335</v>
      </c>
      <c r="AQ95" s="12">
        <v>0</v>
      </c>
      <c r="AR95" s="12">
        <v>0</v>
      </c>
      <c r="AS95" s="12">
        <v>0</v>
      </c>
      <c r="AT95" s="12">
        <v>0</v>
      </c>
      <c r="AU95" s="5">
        <f t="shared" si="65"/>
        <v>0</v>
      </c>
      <c r="AV95" s="12">
        <v>0</v>
      </c>
      <c r="AW95" s="12">
        <v>0</v>
      </c>
      <c r="AX95" s="12"/>
      <c r="AY95" s="12"/>
      <c r="AZ95" s="5">
        <f t="shared" si="66"/>
        <v>0</v>
      </c>
      <c r="BA95" s="12"/>
      <c r="BB95" s="12"/>
      <c r="BC95" s="12"/>
      <c r="BD95" s="12"/>
      <c r="BE95" s="5">
        <f t="shared" si="67"/>
        <v>0</v>
      </c>
      <c r="BF95" s="12"/>
      <c r="BG95" s="12"/>
      <c r="BH95" s="12"/>
      <c r="BI95" s="12"/>
      <c r="BJ95" s="5">
        <f t="shared" si="68"/>
        <v>0</v>
      </c>
      <c r="BK95" s="12"/>
      <c r="BL95" s="12"/>
      <c r="BM95" s="12"/>
      <c r="BN95" s="12"/>
      <c r="BO95" s="5">
        <f t="shared" si="69"/>
        <v>0</v>
      </c>
      <c r="BP95" s="73"/>
      <c r="BQ95" s="73"/>
      <c r="BR95" s="73"/>
      <c r="BS95" s="73"/>
      <c r="BT95" s="5">
        <f t="shared" si="70"/>
        <v>0</v>
      </c>
      <c r="BU95" s="73"/>
      <c r="BV95" s="73"/>
      <c r="BW95" s="73"/>
      <c r="BX95" s="73"/>
      <c r="BY95" s="5">
        <f t="shared" si="71"/>
        <v>0</v>
      </c>
      <c r="BZ95" s="73"/>
      <c r="CA95" s="73"/>
      <c r="CB95" s="73"/>
      <c r="CC95" s="73"/>
      <c r="CD95" s="5">
        <f t="shared" si="72"/>
        <v>0</v>
      </c>
      <c r="CE95" s="5"/>
      <c r="CF95" s="5"/>
      <c r="CG95" s="5"/>
      <c r="CH95" s="5"/>
      <c r="CI95" s="5"/>
      <c r="CJ95" s="5"/>
    </row>
    <row r="96" spans="1:88">
      <c r="A96" s="4" t="s">
        <v>1221</v>
      </c>
      <c r="B96" s="5"/>
      <c r="C96" s="72"/>
      <c r="D96" s="72"/>
      <c r="E96" s="5">
        <v>0</v>
      </c>
      <c r="F96" s="5">
        <v>0</v>
      </c>
      <c r="G96" s="5">
        <v>322</v>
      </c>
      <c r="H96" s="5"/>
      <c r="I96" s="5"/>
      <c r="J96" s="5"/>
      <c r="K96" s="5"/>
      <c r="L96" s="5">
        <v>561</v>
      </c>
      <c r="M96" s="12">
        <v>-109</v>
      </c>
      <c r="N96" s="12">
        <v>6</v>
      </c>
      <c r="O96" s="12">
        <v>78</v>
      </c>
      <c r="P96" s="12">
        <v>225</v>
      </c>
      <c r="Q96" s="5">
        <v>200</v>
      </c>
      <c r="R96" s="12">
        <v>-191</v>
      </c>
      <c r="S96" s="12">
        <v>322</v>
      </c>
      <c r="T96" s="12">
        <v>-703</v>
      </c>
      <c r="U96" s="12">
        <v>-422</v>
      </c>
      <c r="V96" s="5">
        <v>-994</v>
      </c>
      <c r="W96" s="12">
        <v>74</v>
      </c>
      <c r="X96" s="12">
        <v>207</v>
      </c>
      <c r="Y96" s="12">
        <v>256</v>
      </c>
      <c r="Z96" s="12">
        <v>168</v>
      </c>
      <c r="AA96" s="5">
        <v>705</v>
      </c>
      <c r="AB96" s="12">
        <v>-93</v>
      </c>
      <c r="AC96" s="12">
        <v>-230</v>
      </c>
      <c r="AD96" s="12">
        <v>67</v>
      </c>
      <c r="AE96" s="12">
        <v>65</v>
      </c>
      <c r="AF96" s="5">
        <v>-191</v>
      </c>
      <c r="AG96" s="12">
        <v>266</v>
      </c>
      <c r="AH96" s="12">
        <v>-95</v>
      </c>
      <c r="AI96" s="12">
        <v>-338</v>
      </c>
      <c r="AJ96" s="12">
        <v>96</v>
      </c>
      <c r="AK96" s="5">
        <f t="shared" si="63"/>
        <v>-71</v>
      </c>
      <c r="AL96" s="12">
        <v>64</v>
      </c>
      <c r="AM96" s="12">
        <v>-109</v>
      </c>
      <c r="AN96" s="12">
        <v>61</v>
      </c>
      <c r="AO96" s="12">
        <v>290</v>
      </c>
      <c r="AP96" s="5">
        <f t="shared" si="64"/>
        <v>306</v>
      </c>
      <c r="AQ96" s="12">
        <v>-172</v>
      </c>
      <c r="AR96" s="12">
        <v>0</v>
      </c>
      <c r="AS96" s="12">
        <v>0</v>
      </c>
      <c r="AT96" s="12">
        <v>0</v>
      </c>
      <c r="AU96" s="5">
        <f t="shared" si="65"/>
        <v>-172</v>
      </c>
      <c r="AV96" s="12">
        <v>-3</v>
      </c>
      <c r="AW96" s="12">
        <v>2</v>
      </c>
      <c r="AX96" s="12"/>
      <c r="AY96" s="12"/>
      <c r="AZ96" s="5">
        <f t="shared" si="66"/>
        <v>-1</v>
      </c>
      <c r="BA96" s="12"/>
      <c r="BB96" s="12">
        <v>1</v>
      </c>
      <c r="BC96" s="12">
        <v>0</v>
      </c>
      <c r="BD96" s="12"/>
      <c r="BE96" s="5">
        <f t="shared" si="67"/>
        <v>1</v>
      </c>
      <c r="BF96" s="12"/>
      <c r="BG96" s="12"/>
      <c r="BH96" s="12">
        <v>1</v>
      </c>
      <c r="BI96" s="12">
        <v>0</v>
      </c>
      <c r="BJ96" s="5">
        <f t="shared" si="68"/>
        <v>1</v>
      </c>
      <c r="BK96" s="12">
        <v>2</v>
      </c>
      <c r="BL96" s="12">
        <v>1</v>
      </c>
      <c r="BM96" s="12">
        <v>0</v>
      </c>
      <c r="BN96" s="12">
        <v>11</v>
      </c>
      <c r="BO96" s="5">
        <f t="shared" si="69"/>
        <v>14</v>
      </c>
      <c r="BP96" s="73"/>
      <c r="BQ96" s="73"/>
      <c r="BR96" s="73"/>
      <c r="BS96" s="73"/>
      <c r="BT96" s="5">
        <f t="shared" si="70"/>
        <v>0</v>
      </c>
      <c r="BU96" s="73"/>
      <c r="BV96" s="73"/>
      <c r="BW96" s="73"/>
      <c r="BX96" s="73"/>
      <c r="BY96" s="5">
        <f t="shared" si="71"/>
        <v>0</v>
      </c>
      <c r="BZ96" s="73"/>
      <c r="CA96" s="73"/>
      <c r="CB96" s="73"/>
      <c r="CC96" s="73"/>
      <c r="CD96" s="5">
        <f t="shared" si="72"/>
        <v>0</v>
      </c>
      <c r="CE96" s="5"/>
      <c r="CF96" s="5"/>
      <c r="CG96" s="5"/>
      <c r="CH96" s="5"/>
      <c r="CI96" s="5"/>
      <c r="CJ96" s="5"/>
    </row>
    <row r="97" spans="1:88">
      <c r="A97" s="4" t="s">
        <v>1222</v>
      </c>
      <c r="B97" s="5"/>
      <c r="C97" s="72"/>
      <c r="D97" s="72"/>
      <c r="E97" s="5">
        <v>0</v>
      </c>
      <c r="F97" s="5">
        <v>0</v>
      </c>
      <c r="G97" s="5">
        <v>-60</v>
      </c>
      <c r="H97" s="5"/>
      <c r="I97" s="5"/>
      <c r="J97" s="5"/>
      <c r="K97" s="5"/>
      <c r="L97" s="5">
        <v>-695</v>
      </c>
      <c r="M97" s="12">
        <v>0</v>
      </c>
      <c r="N97" s="12">
        <v>0</v>
      </c>
      <c r="O97" s="12">
        <v>-91</v>
      </c>
      <c r="P97" s="12">
        <v>0</v>
      </c>
      <c r="Q97" s="5">
        <v>-91</v>
      </c>
      <c r="R97" s="12">
        <v>-5</v>
      </c>
      <c r="S97" s="12">
        <v>0</v>
      </c>
      <c r="T97" s="12">
        <v>-15</v>
      </c>
      <c r="U97" s="12">
        <v>546</v>
      </c>
      <c r="V97" s="5">
        <v>526</v>
      </c>
      <c r="W97" s="12">
        <v>2</v>
      </c>
      <c r="X97" s="12">
        <v>0</v>
      </c>
      <c r="Y97" s="12">
        <v>0</v>
      </c>
      <c r="Z97" s="12">
        <v>0</v>
      </c>
      <c r="AA97" s="5">
        <v>2</v>
      </c>
      <c r="AB97" s="12">
        <v>0</v>
      </c>
      <c r="AC97" s="12">
        <v>-143</v>
      </c>
      <c r="AD97" s="12">
        <v>1</v>
      </c>
      <c r="AE97" s="12">
        <v>-8</v>
      </c>
      <c r="AF97" s="5">
        <v>-150</v>
      </c>
      <c r="AG97" s="12">
        <v>-2</v>
      </c>
      <c r="AH97" s="12">
        <v>-3</v>
      </c>
      <c r="AI97" s="12">
        <v>2</v>
      </c>
      <c r="AJ97" s="12">
        <v>0</v>
      </c>
      <c r="AK97" s="5">
        <f t="shared" si="63"/>
        <v>-3</v>
      </c>
      <c r="AL97" s="12">
        <v>0</v>
      </c>
      <c r="AM97" s="12"/>
      <c r="AN97" s="12"/>
      <c r="AO97" s="12">
        <v>-1</v>
      </c>
      <c r="AP97" s="5">
        <f t="shared" si="64"/>
        <v>-1</v>
      </c>
      <c r="AQ97" s="12">
        <v>-523</v>
      </c>
      <c r="AR97" s="12">
        <v>0</v>
      </c>
      <c r="AS97" s="12">
        <v>0</v>
      </c>
      <c r="AT97" s="12">
        <v>0</v>
      </c>
      <c r="AU97" s="5">
        <f t="shared" si="65"/>
        <v>-523</v>
      </c>
      <c r="AV97" s="12">
        <v>0</v>
      </c>
      <c r="AW97" s="12">
        <v>1</v>
      </c>
      <c r="AX97" s="12"/>
      <c r="AY97" s="12"/>
      <c r="AZ97" s="5">
        <f t="shared" si="66"/>
        <v>1</v>
      </c>
      <c r="BA97" s="12"/>
      <c r="BB97" s="12"/>
      <c r="BC97" s="12"/>
      <c r="BD97" s="12"/>
      <c r="BE97" s="5">
        <f t="shared" si="67"/>
        <v>0</v>
      </c>
      <c r="BF97" s="12"/>
      <c r="BG97" s="12"/>
      <c r="BH97" s="12"/>
      <c r="BI97" s="12"/>
      <c r="BJ97" s="5">
        <f t="shared" si="68"/>
        <v>0</v>
      </c>
      <c r="BK97" s="12"/>
      <c r="BL97" s="12"/>
      <c r="BM97" s="12"/>
      <c r="BN97" s="12"/>
      <c r="BO97" s="5">
        <f t="shared" si="69"/>
        <v>0</v>
      </c>
      <c r="BP97" s="73"/>
      <c r="BQ97" s="73"/>
      <c r="BR97" s="73"/>
      <c r="BS97" s="73"/>
      <c r="BT97" s="5">
        <f t="shared" si="70"/>
        <v>0</v>
      </c>
      <c r="BU97" s="73"/>
      <c r="BV97" s="73"/>
      <c r="BW97" s="73"/>
      <c r="BX97" s="73"/>
      <c r="BY97" s="5">
        <f t="shared" si="71"/>
        <v>0</v>
      </c>
      <c r="BZ97" s="73"/>
      <c r="CA97" s="73"/>
      <c r="CB97" s="73"/>
      <c r="CC97" s="73"/>
      <c r="CD97" s="5">
        <f t="shared" si="72"/>
        <v>0</v>
      </c>
      <c r="CE97" s="5"/>
      <c r="CF97" s="5"/>
      <c r="CG97" s="5"/>
      <c r="CH97" s="5"/>
      <c r="CI97" s="5"/>
      <c r="CJ97" s="5"/>
    </row>
    <row r="98" spans="1:88">
      <c r="A98" s="4" t="s">
        <v>1223</v>
      </c>
      <c r="B98" s="5"/>
      <c r="C98" s="72"/>
      <c r="D98" s="72"/>
      <c r="E98" s="5">
        <v>0</v>
      </c>
      <c r="F98" s="5">
        <v>0</v>
      </c>
      <c r="G98" s="5">
        <v>-212</v>
      </c>
      <c r="H98" s="5"/>
      <c r="I98" s="5"/>
      <c r="J98" s="5"/>
      <c r="K98" s="5"/>
      <c r="L98" s="5">
        <v>413</v>
      </c>
      <c r="M98" s="12">
        <v>28</v>
      </c>
      <c r="N98" s="12">
        <v>13</v>
      </c>
      <c r="O98" s="12">
        <v>139</v>
      </c>
      <c r="P98" s="12">
        <v>-25</v>
      </c>
      <c r="Q98" s="5">
        <v>155</v>
      </c>
      <c r="R98" s="12">
        <v>74</v>
      </c>
      <c r="S98" s="12">
        <v>49</v>
      </c>
      <c r="T98" s="12">
        <v>-594</v>
      </c>
      <c r="U98" s="12">
        <v>-702</v>
      </c>
      <c r="V98" s="5">
        <v>-1173</v>
      </c>
      <c r="W98" s="12">
        <v>-211</v>
      </c>
      <c r="X98" s="12">
        <v>648</v>
      </c>
      <c r="Y98" s="12">
        <v>176</v>
      </c>
      <c r="Z98" s="12">
        <v>39</v>
      </c>
      <c r="AA98" s="5">
        <v>652</v>
      </c>
      <c r="AB98" s="12">
        <v>-162</v>
      </c>
      <c r="AC98" s="12">
        <v>-245</v>
      </c>
      <c r="AD98" s="12">
        <v>322</v>
      </c>
      <c r="AE98" s="12">
        <v>20</v>
      </c>
      <c r="AF98" s="5">
        <v>-65</v>
      </c>
      <c r="AG98" s="12">
        <v>118</v>
      </c>
      <c r="AH98" s="12">
        <v>75</v>
      </c>
      <c r="AI98" s="12">
        <v>-125</v>
      </c>
      <c r="AJ98" s="12">
        <v>-24</v>
      </c>
      <c r="AK98" s="5">
        <f t="shared" si="63"/>
        <v>44</v>
      </c>
      <c r="AL98" s="12">
        <v>75</v>
      </c>
      <c r="AM98" s="12">
        <v>-96</v>
      </c>
      <c r="AN98" s="12">
        <v>48</v>
      </c>
      <c r="AO98" s="12">
        <v>1439</v>
      </c>
      <c r="AP98" s="5">
        <f t="shared" si="64"/>
        <v>1466</v>
      </c>
      <c r="AQ98" s="12">
        <v>-2141</v>
      </c>
      <c r="AR98" s="12">
        <v>-25</v>
      </c>
      <c r="AS98" s="12">
        <v>104</v>
      </c>
      <c r="AT98" s="12">
        <v>62</v>
      </c>
      <c r="AU98" s="5">
        <f t="shared" si="65"/>
        <v>-2000</v>
      </c>
      <c r="AV98" s="12">
        <v>23</v>
      </c>
      <c r="AW98" s="12">
        <v>77</v>
      </c>
      <c r="AX98" s="12">
        <v>-144</v>
      </c>
      <c r="AY98" s="12">
        <v>-111</v>
      </c>
      <c r="AZ98" s="5">
        <f t="shared" si="66"/>
        <v>-155</v>
      </c>
      <c r="BA98" s="12">
        <v>-212</v>
      </c>
      <c r="BB98" s="12">
        <v>128</v>
      </c>
      <c r="BC98" s="12">
        <v>-70</v>
      </c>
      <c r="BD98" s="12">
        <v>-24</v>
      </c>
      <c r="BE98" s="5">
        <f t="shared" si="67"/>
        <v>-178</v>
      </c>
      <c r="BF98" s="12">
        <v>-62</v>
      </c>
      <c r="BG98" s="12">
        <v>-289</v>
      </c>
      <c r="BH98" s="12">
        <v>-84</v>
      </c>
      <c r="BI98" s="12">
        <v>-204</v>
      </c>
      <c r="BJ98" s="5">
        <f t="shared" si="68"/>
        <v>-639</v>
      </c>
      <c r="BK98" s="12">
        <v>48</v>
      </c>
      <c r="BL98" s="12">
        <v>81</v>
      </c>
      <c r="BM98" s="12">
        <v>49</v>
      </c>
      <c r="BN98" s="12">
        <v>19</v>
      </c>
      <c r="BO98" s="5">
        <f t="shared" si="69"/>
        <v>197</v>
      </c>
      <c r="BP98" s="73"/>
      <c r="BQ98" s="73"/>
      <c r="BR98" s="73"/>
      <c r="BS98" s="73"/>
      <c r="BT98" s="5">
        <f t="shared" si="70"/>
        <v>0</v>
      </c>
      <c r="BU98" s="73"/>
      <c r="BV98" s="73"/>
      <c r="BW98" s="73"/>
      <c r="BX98" s="73"/>
      <c r="BY98" s="5">
        <f t="shared" si="71"/>
        <v>0</v>
      </c>
      <c r="BZ98" s="73"/>
      <c r="CA98" s="73"/>
      <c r="CB98" s="73"/>
      <c r="CC98" s="73"/>
      <c r="CD98" s="5">
        <f t="shared" si="72"/>
        <v>0</v>
      </c>
      <c r="CE98" s="5"/>
      <c r="CF98" s="5"/>
      <c r="CG98" s="5"/>
      <c r="CH98" s="5"/>
      <c r="CI98" s="5"/>
      <c r="CJ98" s="5"/>
    </row>
    <row r="99" spans="1:88">
      <c r="A99" s="4" t="s">
        <v>1224</v>
      </c>
      <c r="B99" s="5"/>
      <c r="C99" s="72"/>
      <c r="D99" s="72"/>
      <c r="E99" s="5">
        <v>0</v>
      </c>
      <c r="F99" s="5">
        <v>0</v>
      </c>
      <c r="G99" s="5">
        <v>36</v>
      </c>
      <c r="H99" s="5"/>
      <c r="I99" s="5"/>
      <c r="J99" s="5"/>
      <c r="K99" s="5"/>
      <c r="L99" s="5">
        <v>-93</v>
      </c>
      <c r="M99" s="12">
        <v>-60</v>
      </c>
      <c r="N99" s="12">
        <v>-21</v>
      </c>
      <c r="O99" s="12">
        <v>-5</v>
      </c>
      <c r="P99" s="12">
        <v>12</v>
      </c>
      <c r="Q99" s="5">
        <v>-74</v>
      </c>
      <c r="R99" s="12">
        <v>-2</v>
      </c>
      <c r="S99" s="12">
        <v>1</v>
      </c>
      <c r="T99" s="12">
        <v>16</v>
      </c>
      <c r="U99" s="12">
        <v>30</v>
      </c>
      <c r="V99" s="5">
        <v>45</v>
      </c>
      <c r="W99" s="12">
        <v>239</v>
      </c>
      <c r="X99" s="12">
        <v>178</v>
      </c>
      <c r="Y99" s="12">
        <v>71</v>
      </c>
      <c r="Z99" s="12">
        <v>-122</v>
      </c>
      <c r="AA99" s="5">
        <v>366</v>
      </c>
      <c r="AB99" s="12">
        <v>-94</v>
      </c>
      <c r="AC99" s="12">
        <v>21</v>
      </c>
      <c r="AD99" s="12">
        <v>32</v>
      </c>
      <c r="AE99" s="12">
        <v>16</v>
      </c>
      <c r="AF99" s="5">
        <v>-25</v>
      </c>
      <c r="AG99" s="12">
        <v>-16</v>
      </c>
      <c r="AH99" s="12">
        <v>-112</v>
      </c>
      <c r="AI99" s="12">
        <v>-70</v>
      </c>
      <c r="AJ99" s="12">
        <v>3</v>
      </c>
      <c r="AK99" s="5">
        <f t="shared" si="63"/>
        <v>-195</v>
      </c>
      <c r="AL99" s="12">
        <v>2</v>
      </c>
      <c r="AM99" s="12">
        <v>28</v>
      </c>
      <c r="AN99" s="12">
        <v>29</v>
      </c>
      <c r="AO99" s="12">
        <v>3</v>
      </c>
      <c r="AP99" s="5">
        <f t="shared" si="64"/>
        <v>62</v>
      </c>
      <c r="AQ99" s="12">
        <v>0</v>
      </c>
      <c r="AR99" s="12">
        <v>-1</v>
      </c>
      <c r="AS99" s="12">
        <v>2</v>
      </c>
      <c r="AT99" s="12">
        <v>3</v>
      </c>
      <c r="AU99" s="5">
        <f t="shared" si="65"/>
        <v>4</v>
      </c>
      <c r="AV99" s="12">
        <v>-20</v>
      </c>
      <c r="AW99" s="12">
        <v>-49</v>
      </c>
      <c r="AX99" s="12">
        <v>-21</v>
      </c>
      <c r="AY99" s="12">
        <v>17</v>
      </c>
      <c r="AZ99" s="5">
        <f t="shared" si="66"/>
        <v>-73</v>
      </c>
      <c r="BA99" s="12">
        <v>74</v>
      </c>
      <c r="BB99" s="12">
        <v>81</v>
      </c>
      <c r="BC99" s="12">
        <v>65</v>
      </c>
      <c r="BD99" s="12">
        <v>29</v>
      </c>
      <c r="BE99" s="5">
        <f t="shared" si="67"/>
        <v>249</v>
      </c>
      <c r="BF99" s="12">
        <v>23</v>
      </c>
      <c r="BG99" s="12">
        <v>16</v>
      </c>
      <c r="BH99" s="12">
        <v>71</v>
      </c>
      <c r="BI99" s="12">
        <v>86</v>
      </c>
      <c r="BJ99" s="5">
        <f t="shared" si="68"/>
        <v>196</v>
      </c>
      <c r="BK99" s="12">
        <v>42</v>
      </c>
      <c r="BL99" s="12">
        <v>31</v>
      </c>
      <c r="BM99" s="12">
        <v>20</v>
      </c>
      <c r="BN99" s="12">
        <v>23</v>
      </c>
      <c r="BO99" s="5">
        <f t="shared" si="69"/>
        <v>116</v>
      </c>
      <c r="BP99" s="73"/>
      <c r="BQ99" s="73"/>
      <c r="BR99" s="73"/>
      <c r="BS99" s="73"/>
      <c r="BT99" s="5">
        <f t="shared" si="70"/>
        <v>0</v>
      </c>
      <c r="BU99" s="73"/>
      <c r="BV99" s="73"/>
      <c r="BW99" s="73"/>
      <c r="BX99" s="73"/>
      <c r="BY99" s="5">
        <f t="shared" si="71"/>
        <v>0</v>
      </c>
      <c r="BZ99" s="73"/>
      <c r="CA99" s="73"/>
      <c r="CB99" s="73"/>
      <c r="CC99" s="73"/>
      <c r="CD99" s="5">
        <f t="shared" si="72"/>
        <v>0</v>
      </c>
      <c r="CE99" s="5"/>
      <c r="CF99" s="5"/>
      <c r="CG99" s="5"/>
      <c r="CH99" s="5"/>
      <c r="CI99" s="5"/>
      <c r="CJ99" s="5"/>
    </row>
    <row r="100" spans="1:88">
      <c r="A100" s="137" t="s">
        <v>1245</v>
      </c>
      <c r="B100" s="138"/>
      <c r="C100" s="72"/>
      <c r="D100" s="72"/>
      <c r="E100" s="5">
        <v>0</v>
      </c>
      <c r="F100" s="5">
        <v>94</v>
      </c>
      <c r="G100" s="5">
        <v>0</v>
      </c>
      <c r="H100" s="5"/>
      <c r="I100" s="5"/>
      <c r="J100" s="5"/>
      <c r="K100" s="5"/>
      <c r="L100" s="5">
        <v>-6</v>
      </c>
      <c r="M100" s="12">
        <v>-7</v>
      </c>
      <c r="N100" s="12">
        <v>0</v>
      </c>
      <c r="O100" s="12">
        <v>-2</v>
      </c>
      <c r="P100" s="12">
        <v>-31</v>
      </c>
      <c r="Q100" s="5">
        <v>-40</v>
      </c>
      <c r="R100" s="12">
        <v>-23</v>
      </c>
      <c r="S100" s="12">
        <v>-18</v>
      </c>
      <c r="T100" s="12">
        <v>-20</v>
      </c>
      <c r="U100" s="12">
        <v>23</v>
      </c>
      <c r="V100" s="5">
        <v>-38</v>
      </c>
      <c r="W100" s="12">
        <v>71</v>
      </c>
      <c r="X100" s="12">
        <v>42</v>
      </c>
      <c r="Y100" s="12">
        <v>19</v>
      </c>
      <c r="Z100" s="12">
        <v>4</v>
      </c>
      <c r="AA100" s="5">
        <v>136</v>
      </c>
      <c r="AB100" s="12">
        <v>13</v>
      </c>
      <c r="AC100" s="12">
        <v>18</v>
      </c>
      <c r="AD100" s="12">
        <v>14</v>
      </c>
      <c r="AE100" s="12">
        <v>8</v>
      </c>
      <c r="AF100" s="5">
        <v>53</v>
      </c>
      <c r="AG100" s="12">
        <v>2</v>
      </c>
      <c r="AH100" s="12">
        <v>-5</v>
      </c>
      <c r="AI100" s="12">
        <v>-4</v>
      </c>
      <c r="AJ100" s="12">
        <v>-6</v>
      </c>
      <c r="AK100" s="5">
        <f t="shared" si="63"/>
        <v>-13</v>
      </c>
      <c r="AL100" s="12">
        <v>5</v>
      </c>
      <c r="AM100" s="12">
        <v>4</v>
      </c>
      <c r="AN100" s="12">
        <v>3</v>
      </c>
      <c r="AO100" s="12">
        <v>7</v>
      </c>
      <c r="AP100" s="5">
        <f t="shared" si="64"/>
        <v>19</v>
      </c>
      <c r="AQ100" s="12">
        <v>3</v>
      </c>
      <c r="AR100" s="12">
        <v>12</v>
      </c>
      <c r="AS100" s="12">
        <v>10</v>
      </c>
      <c r="AT100" s="12">
        <v>-8</v>
      </c>
      <c r="AU100" s="5">
        <f t="shared" si="65"/>
        <v>17</v>
      </c>
      <c r="AV100" s="12">
        <v>-1</v>
      </c>
      <c r="AW100" s="12">
        <v>-2</v>
      </c>
      <c r="AX100" s="12">
        <v>-8</v>
      </c>
      <c r="AY100" s="12"/>
      <c r="AZ100" s="5">
        <f t="shared" si="66"/>
        <v>-11</v>
      </c>
      <c r="BA100" s="12">
        <v>5</v>
      </c>
      <c r="BB100" s="12">
        <v>4</v>
      </c>
      <c r="BC100" s="12">
        <v>7</v>
      </c>
      <c r="BD100" s="12">
        <v>6</v>
      </c>
      <c r="BE100" s="5">
        <f t="shared" si="67"/>
        <v>22</v>
      </c>
      <c r="BF100" s="12">
        <v>13</v>
      </c>
      <c r="BG100" s="12">
        <v>6</v>
      </c>
      <c r="BH100" s="12">
        <v>30</v>
      </c>
      <c r="BI100" s="12">
        <v>32</v>
      </c>
      <c r="BJ100" s="5">
        <f t="shared" si="68"/>
        <v>81</v>
      </c>
      <c r="BK100" s="12">
        <v>39</v>
      </c>
      <c r="BL100" s="12">
        <v>36</v>
      </c>
      <c r="BM100" s="12">
        <v>29</v>
      </c>
      <c r="BN100" s="12">
        <v>8</v>
      </c>
      <c r="BO100" s="5">
        <f t="shared" si="69"/>
        <v>112</v>
      </c>
      <c r="BP100" s="73"/>
      <c r="BQ100" s="73"/>
      <c r="BR100" s="73"/>
      <c r="BS100" s="73"/>
      <c r="BT100" s="5">
        <f t="shared" si="70"/>
        <v>0</v>
      </c>
      <c r="BU100" s="73"/>
      <c r="BV100" s="73"/>
      <c r="BW100" s="73"/>
      <c r="BX100" s="73"/>
      <c r="BY100" s="5">
        <f t="shared" si="71"/>
        <v>0</v>
      </c>
      <c r="BZ100" s="73"/>
      <c r="CA100" s="73"/>
      <c r="CB100" s="73"/>
      <c r="CC100" s="73"/>
      <c r="CD100" s="5">
        <f t="shared" si="72"/>
        <v>0</v>
      </c>
      <c r="CE100" s="5"/>
      <c r="CF100" s="5"/>
      <c r="CG100" s="5"/>
      <c r="CH100" s="5"/>
      <c r="CI100" s="5"/>
      <c r="CJ100" s="5"/>
    </row>
    <row r="101" spans="1:88">
      <c r="A101" s="137" t="s">
        <v>3048</v>
      </c>
      <c r="B101" s="138"/>
      <c r="C101" s="72"/>
      <c r="D101" s="72"/>
      <c r="E101" s="5">
        <f>-37-16+5</f>
        <v>-48</v>
      </c>
      <c r="F101" s="5">
        <f>-208+96+39</f>
        <v>-73</v>
      </c>
      <c r="G101" s="5">
        <f>11+95-356-72+63</f>
        <v>-259</v>
      </c>
      <c r="H101" s="5"/>
      <c r="I101" s="5"/>
      <c r="J101" s="5"/>
      <c r="K101" s="5"/>
      <c r="L101" s="5">
        <f>-201-820+108-47+26</f>
        <v>-934</v>
      </c>
      <c r="M101" s="12">
        <v>-9</v>
      </c>
      <c r="N101" s="12">
        <v>-218</v>
      </c>
      <c r="O101" s="12">
        <v>196</v>
      </c>
      <c r="P101" s="12">
        <v>-245</v>
      </c>
      <c r="Q101" s="5">
        <v>-63</v>
      </c>
      <c r="R101" s="12">
        <v>97</v>
      </c>
      <c r="S101" s="12">
        <v>-4</v>
      </c>
      <c r="T101" s="12">
        <v>292</v>
      </c>
      <c r="U101" s="12">
        <v>2561</v>
      </c>
      <c r="V101" s="5">
        <v>2946</v>
      </c>
      <c r="W101" s="12">
        <v>-82</v>
      </c>
      <c r="X101" s="12">
        <v>439</v>
      </c>
      <c r="Y101" s="12">
        <v>-46</v>
      </c>
      <c r="Z101" s="12">
        <v>214</v>
      </c>
      <c r="AA101" s="5">
        <v>525</v>
      </c>
      <c r="AB101" s="12">
        <v>-119</v>
      </c>
      <c r="AC101" s="12">
        <v>-48</v>
      </c>
      <c r="AD101" s="12">
        <v>-91</v>
      </c>
      <c r="AE101" s="12">
        <v>121</v>
      </c>
      <c r="AF101" s="5">
        <v>-137</v>
      </c>
      <c r="AG101" s="12">
        <v>-5</v>
      </c>
      <c r="AH101" s="12">
        <v>57</v>
      </c>
      <c r="AI101" s="12">
        <v>6</v>
      </c>
      <c r="AJ101" s="12">
        <f>1601-57</f>
        <v>1544</v>
      </c>
      <c r="AK101" s="5">
        <f t="shared" si="63"/>
        <v>1602</v>
      </c>
      <c r="AL101" s="12">
        <f>-451+203</f>
        <v>-248</v>
      </c>
      <c r="AM101" s="12">
        <f>-334+668</f>
        <v>334</v>
      </c>
      <c r="AN101" s="12">
        <f>73+56</f>
        <v>129</v>
      </c>
      <c r="AO101" s="12">
        <f>-40+173</f>
        <v>133</v>
      </c>
      <c r="AP101" s="5">
        <f t="shared" si="64"/>
        <v>348</v>
      </c>
      <c r="AQ101" s="12">
        <f>33+169-50+1</f>
        <v>153</v>
      </c>
      <c r="AR101" s="12">
        <f>-88+26+2206-732</f>
        <v>1412</v>
      </c>
      <c r="AS101" s="12">
        <f>31-25+310-114</f>
        <v>202</v>
      </c>
      <c r="AT101" s="12">
        <f>0-23+2298+2-676</f>
        <v>1601</v>
      </c>
      <c r="AU101" s="5">
        <f t="shared" si="65"/>
        <v>3368</v>
      </c>
      <c r="AV101" s="12">
        <f>-73-936+5+294</f>
        <v>-710</v>
      </c>
      <c r="AW101" s="12">
        <f>51+9+222-73</f>
        <v>209</v>
      </c>
      <c r="AX101" s="12">
        <f>-144-13-1051+257</f>
        <v>-951</v>
      </c>
      <c r="AY101" s="12">
        <f>-2418+151-2825-1+856</f>
        <v>-4237</v>
      </c>
      <c r="AZ101" s="5">
        <f t="shared" si="66"/>
        <v>-5689</v>
      </c>
      <c r="BA101" s="12">
        <f>-80-568+158+124</f>
        <v>-366</v>
      </c>
      <c r="BB101" s="12">
        <f>329-92+2688-754</f>
        <v>2171</v>
      </c>
      <c r="BC101" s="12">
        <f>-830+268-551-1+80</f>
        <v>-1034</v>
      </c>
      <c r="BD101" s="12">
        <f>-233-43+2570+0-881</f>
        <v>1413</v>
      </c>
      <c r="BE101" s="5">
        <f t="shared" si="67"/>
        <v>2184</v>
      </c>
      <c r="BF101" s="12">
        <f>290-86-1222+402</f>
        <v>-616</v>
      </c>
      <c r="BG101" s="12">
        <f>197+80-1763+592</f>
        <v>-894</v>
      </c>
      <c r="BH101" s="12">
        <f>174-78-2995+510</f>
        <v>-2389</v>
      </c>
      <c r="BI101" s="12">
        <f>172+97+3484-765</f>
        <v>2988</v>
      </c>
      <c r="BJ101" s="5">
        <f t="shared" si="68"/>
        <v>-911</v>
      </c>
      <c r="BK101" s="12">
        <f>231-125+727-246</f>
        <v>587</v>
      </c>
      <c r="BL101" s="12">
        <f>72+4+318-102</f>
        <v>292</v>
      </c>
      <c r="BM101" s="12">
        <f>128-59-351+1002</f>
        <v>720</v>
      </c>
      <c r="BN101" s="12">
        <f>133-81-539+1599</f>
        <v>1112</v>
      </c>
      <c r="BO101" s="5">
        <f t="shared" si="69"/>
        <v>2711</v>
      </c>
      <c r="BP101" s="73"/>
      <c r="BQ101" s="73"/>
      <c r="BR101" s="73"/>
      <c r="BS101" s="73"/>
      <c r="BT101" s="5">
        <f t="shared" si="70"/>
        <v>0</v>
      </c>
      <c r="BU101" s="73"/>
      <c r="BV101" s="73"/>
      <c r="BW101" s="73"/>
      <c r="BX101" s="73"/>
      <c r="BY101" s="5">
        <f t="shared" si="71"/>
        <v>0</v>
      </c>
      <c r="BZ101" s="73"/>
      <c r="CA101" s="73"/>
      <c r="CB101" s="73"/>
      <c r="CC101" s="73"/>
      <c r="CD101" s="5">
        <f t="shared" si="72"/>
        <v>0</v>
      </c>
      <c r="CE101" s="5"/>
      <c r="CF101" s="5"/>
      <c r="CG101" s="5"/>
      <c r="CH101" s="5"/>
      <c r="CI101" s="5"/>
      <c r="CJ101" s="5"/>
    </row>
    <row r="102" spans="1:88">
      <c r="A102" s="148" t="s">
        <v>2493</v>
      </c>
      <c r="B102" s="148"/>
      <c r="C102" s="73"/>
      <c r="D102" s="73"/>
      <c r="E102" s="8">
        <f>SUM(E91:E101)</f>
        <v>16302</v>
      </c>
      <c r="F102" s="8">
        <f>SUM(F91:F101)</f>
        <v>19595</v>
      </c>
      <c r="G102" s="8">
        <f>SUM(G91:G101)</f>
        <v>20617</v>
      </c>
      <c r="H102" s="8"/>
      <c r="I102" s="8"/>
      <c r="J102" s="8"/>
      <c r="K102" s="8"/>
      <c r="L102" s="8">
        <f>SUM(L91:L101)</f>
        <v>26172</v>
      </c>
      <c r="M102" s="19">
        <v>4744</v>
      </c>
      <c r="N102" s="19">
        <v>7714</v>
      </c>
      <c r="O102" s="19">
        <v>5581</v>
      </c>
      <c r="P102" s="19">
        <v>6461</v>
      </c>
      <c r="Q102" s="8">
        <f>SUM(Q91:Q101)</f>
        <v>24713</v>
      </c>
      <c r="R102" s="19">
        <v>7940</v>
      </c>
      <c r="S102" s="19">
        <v>10075</v>
      </c>
      <c r="T102" s="19">
        <v>4037</v>
      </c>
      <c r="U102" s="19">
        <v>-11866</v>
      </c>
      <c r="V102" s="8">
        <v>10186</v>
      </c>
      <c r="W102" s="19">
        <v>1679</v>
      </c>
      <c r="X102" s="19">
        <v>8336</v>
      </c>
      <c r="Y102" s="19">
        <v>6384</v>
      </c>
      <c r="Z102" s="19">
        <v>3863</v>
      </c>
      <c r="AA102" s="8">
        <v>20262</v>
      </c>
      <c r="AB102" s="19">
        <v>5207</v>
      </c>
      <c r="AC102" s="19">
        <v>-18636</v>
      </c>
      <c r="AD102" s="19">
        <f>SUM(AD91,AD93:AD101)</f>
        <v>3966</v>
      </c>
      <c r="AE102" s="19">
        <f>SUM(AE91,AE93:AE101)</f>
        <v>5543</v>
      </c>
      <c r="AF102" s="8">
        <v>-3920</v>
      </c>
      <c r="AG102" s="19">
        <f>SUM(AG91,AG93:AG101)</f>
        <v>8346</v>
      </c>
      <c r="AH102" s="19">
        <f>SUM(AH91,AH93:AH101)</f>
        <v>6108</v>
      </c>
      <c r="AI102" s="19">
        <f>SUM(AI91,AI93:AI101)</f>
        <v>3214</v>
      </c>
      <c r="AJ102" s="19">
        <f>SUM(AJ91,AJ93:AJ101)</f>
        <v>3321</v>
      </c>
      <c r="AK102" s="8">
        <f t="shared" si="63"/>
        <v>20989</v>
      </c>
      <c r="AL102" s="19">
        <f>SUM(AL91,AL93:AL101)</f>
        <v>7880</v>
      </c>
      <c r="AM102" s="19">
        <f>SUM(AM91,AM93:AM101)</f>
        <v>-4530</v>
      </c>
      <c r="AN102" s="19">
        <f>SUM(AN91,AN93:AN101)</f>
        <v>6721</v>
      </c>
      <c r="AO102" s="19">
        <f>SUM(AO91,AO93:AO101)</f>
        <v>2126</v>
      </c>
      <c r="AP102" s="8">
        <f t="shared" si="64"/>
        <v>12197</v>
      </c>
      <c r="AQ102" s="19">
        <f>SUM(AQ91,AQ93:AQ101)</f>
        <v>13675</v>
      </c>
      <c r="AR102" s="19">
        <f>SUM(AR91,AR93:AR101)</f>
        <v>2018</v>
      </c>
      <c r="AS102" s="19">
        <f>SUM(AS91,AS93:AS101)</f>
        <v>4581</v>
      </c>
      <c r="AT102" s="19">
        <f>SUM(AT91,AT93:AT101)</f>
        <v>2592</v>
      </c>
      <c r="AU102" s="8">
        <f t="shared" si="65"/>
        <v>22866</v>
      </c>
      <c r="AV102" s="19">
        <f>SUM(AV91,AV93:AV101)</f>
        <v>1995</v>
      </c>
      <c r="AW102" s="19">
        <f>SUM(AW91,AW93:AW101)</f>
        <v>4676</v>
      </c>
      <c r="AX102" s="19">
        <f>SUM(AX91,AX93:AX101)</f>
        <v>-3237</v>
      </c>
      <c r="AY102" s="19">
        <f>SUM(AY91,AY93:AY101)</f>
        <v>-12146</v>
      </c>
      <c r="AZ102" s="8">
        <f t="shared" si="66"/>
        <v>-8712</v>
      </c>
      <c r="BA102" s="19">
        <f>SUM(BA91,BA93:BA101)</f>
        <v>540</v>
      </c>
      <c r="BB102" s="19">
        <f>SUM(BB91,BB93:BB101)</f>
        <v>-2684</v>
      </c>
      <c r="BC102" s="19">
        <f>SUM(BC91,BC93:BC101)</f>
        <v>-3216</v>
      </c>
      <c r="BD102" s="19">
        <f>SUM(BD91,BD93:BD101)</f>
        <v>-2858</v>
      </c>
      <c r="BE102" s="8">
        <f t="shared" si="67"/>
        <v>-8218</v>
      </c>
      <c r="BF102" s="19">
        <f>SUM(BF91,BF93:BF101)</f>
        <v>-320</v>
      </c>
      <c r="BG102" s="19">
        <f>SUM(BG91,BG93:BG101)</f>
        <v>-2586</v>
      </c>
      <c r="BH102" s="19">
        <f>SUM(BH91,BH93:BH101)</f>
        <v>-602</v>
      </c>
      <c r="BI102" s="19">
        <f>SUM(BI91,BI93:BI101)</f>
        <v>2692</v>
      </c>
      <c r="BJ102" s="8">
        <f t="shared" si="68"/>
        <v>-816</v>
      </c>
      <c r="BK102" s="19">
        <f>SUM(BK91,BK93:BK101)</f>
        <v>3425</v>
      </c>
      <c r="BL102" s="19">
        <f>SUM(BL91,BL93:BL101)</f>
        <v>498</v>
      </c>
      <c r="BM102" s="19">
        <f>SUM(BM91,BM93:BM101)</f>
        <v>3199</v>
      </c>
      <c r="BN102" s="19">
        <f ca="1">SUM(BN91,BN93:BN101)</f>
        <v>1362</v>
      </c>
      <c r="BO102" s="8">
        <f t="shared" ca="1" si="69"/>
        <v>8484</v>
      </c>
      <c r="BP102" s="19">
        <f t="shared" ref="BP102:CC102" ca="1" si="73">SUM(BP91,BP93)</f>
        <v>2154.266841626325</v>
      </c>
      <c r="BQ102" s="19">
        <f t="shared" ca="1" si="73"/>
        <v>3066.7639401780389</v>
      </c>
      <c r="BR102" s="19">
        <f t="shared" ca="1" si="73"/>
        <v>3110.13594563166</v>
      </c>
      <c r="BS102" s="19">
        <f t="shared" ca="1" si="73"/>
        <v>2711.8839570373516</v>
      </c>
      <c r="BT102" s="8">
        <f t="shared" ca="1" si="70"/>
        <v>11043.050684473375</v>
      </c>
      <c r="BU102" s="19">
        <f t="shared" ca="1" si="73"/>
        <v>2758.4976678095463</v>
      </c>
      <c r="BV102" s="19">
        <f t="shared" ca="1" si="73"/>
        <v>2730.2220276709086</v>
      </c>
      <c r="BW102" s="19">
        <f t="shared" ca="1" si="73"/>
        <v>2851.3888747746814</v>
      </c>
      <c r="BX102" s="19">
        <f t="shared" ca="1" si="73"/>
        <v>2741.2132741697442</v>
      </c>
      <c r="BY102" s="8">
        <f t="shared" ca="1" si="71"/>
        <v>11081.32184442488</v>
      </c>
      <c r="BZ102" s="19">
        <f t="shared" ca="1" si="73"/>
        <v>3181.5660530519863</v>
      </c>
      <c r="CA102" s="19">
        <f t="shared" ca="1" si="73"/>
        <v>3174.7161421875321</v>
      </c>
      <c r="CB102" s="19">
        <f t="shared" ca="1" si="73"/>
        <v>3314.0805192978778</v>
      </c>
      <c r="CC102" s="19">
        <f t="shared" ca="1" si="73"/>
        <v>3231.0303941308075</v>
      </c>
      <c r="CD102" s="8">
        <f t="shared" ca="1" si="72"/>
        <v>12901.393108668206</v>
      </c>
      <c r="CE102" s="8"/>
      <c r="CF102" s="8"/>
      <c r="CG102" s="8"/>
      <c r="CH102" s="8"/>
      <c r="CI102" s="8"/>
      <c r="CJ102" s="8"/>
    </row>
    <row r="103" spans="1:88">
      <c r="A103" s="148"/>
      <c r="B103" s="148"/>
      <c r="C103" s="73"/>
      <c r="D103" s="73"/>
      <c r="E103" s="8"/>
      <c r="F103" s="8"/>
      <c r="G103" s="8"/>
      <c r="H103" s="8"/>
      <c r="I103" s="8"/>
      <c r="J103" s="8"/>
      <c r="K103" s="8"/>
      <c r="L103" s="8"/>
      <c r="M103" s="19"/>
      <c r="N103" s="19"/>
      <c r="O103" s="19"/>
      <c r="P103" s="19"/>
      <c r="Q103" s="8"/>
      <c r="R103" s="19"/>
      <c r="S103" s="19"/>
      <c r="T103" s="19"/>
      <c r="U103" s="19"/>
      <c r="V103" s="8"/>
      <c r="W103" s="19"/>
      <c r="X103" s="19"/>
      <c r="Y103" s="19"/>
      <c r="Z103" s="19"/>
      <c r="AA103" s="8"/>
      <c r="AB103" s="19"/>
      <c r="AC103" s="19"/>
      <c r="AD103" s="19"/>
      <c r="AE103" s="19"/>
      <c r="AF103" s="8"/>
      <c r="AG103" s="19"/>
      <c r="AH103" s="19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</row>
    <row r="104" spans="1:88">
      <c r="A104" s="137" t="s">
        <v>2495</v>
      </c>
      <c r="B104" s="137"/>
      <c r="C104" s="72"/>
      <c r="D104" s="72"/>
      <c r="E104" s="5">
        <v>170</v>
      </c>
      <c r="F104" s="5">
        <v>187</v>
      </c>
      <c r="G104" s="5">
        <v>291</v>
      </c>
      <c r="H104" s="5"/>
      <c r="I104" s="5"/>
      <c r="J104" s="5"/>
      <c r="K104" s="5"/>
      <c r="L104" s="5">
        <v>335</v>
      </c>
      <c r="M104" s="12">
        <v>98</v>
      </c>
      <c r="N104" s="12">
        <v>70</v>
      </c>
      <c r="O104" s="12">
        <v>103</v>
      </c>
      <c r="P104" s="12">
        <v>77</v>
      </c>
      <c r="Q104" s="5">
        <v>348</v>
      </c>
      <c r="R104" s="12">
        <v>122</v>
      </c>
      <c r="S104" s="12">
        <v>111</v>
      </c>
      <c r="T104" s="12">
        <v>123</v>
      </c>
      <c r="U104" s="12">
        <v>78</v>
      </c>
      <c r="V104" s="5">
        <v>434</v>
      </c>
      <c r="W104" s="12">
        <v>11</v>
      </c>
      <c r="X104" s="12">
        <v>76</v>
      </c>
      <c r="Y104" s="12">
        <v>9</v>
      </c>
      <c r="Z104" s="12">
        <v>29</v>
      </c>
      <c r="AA104" s="5">
        <v>125</v>
      </c>
      <c r="AB104" s="12">
        <v>102</v>
      </c>
      <c r="AC104" s="12">
        <v>101</v>
      </c>
      <c r="AD104" s="12">
        <v>101</v>
      </c>
      <c r="AE104" s="12">
        <v>94</v>
      </c>
      <c r="AF104" s="5">
        <v>398</v>
      </c>
      <c r="AG104" s="12">
        <v>77</v>
      </c>
      <c r="AH104" s="12">
        <v>64</v>
      </c>
      <c r="AI104" s="12">
        <v>165</v>
      </c>
      <c r="AJ104" s="12">
        <v>78</v>
      </c>
      <c r="AK104" s="5">
        <f>SUM(AG104:AJ104)</f>
        <v>384</v>
      </c>
      <c r="AL104" s="12">
        <v>67</v>
      </c>
      <c r="AM104" s="12">
        <v>34</v>
      </c>
      <c r="AN104" s="12">
        <v>77</v>
      </c>
      <c r="AO104" s="12">
        <v>60</v>
      </c>
      <c r="AP104" s="5">
        <f>SUM(AL104:AO104)</f>
        <v>238</v>
      </c>
      <c r="AQ104" s="12">
        <v>75</v>
      </c>
      <c r="AR104" s="12">
        <v>62</v>
      </c>
      <c r="AS104" s="12">
        <v>96</v>
      </c>
      <c r="AT104" s="12">
        <v>59</v>
      </c>
      <c r="AU104" s="5">
        <f>SUM(AQ104:AT104)</f>
        <v>292</v>
      </c>
      <c r="AV104" s="12">
        <v>92</v>
      </c>
      <c r="AW104" s="12">
        <v>70</v>
      </c>
      <c r="AX104" s="12">
        <v>20</v>
      </c>
      <c r="AY104" s="12">
        <v>9</v>
      </c>
      <c r="AZ104" s="5">
        <f>SUM(AV104:AY104)</f>
        <v>191</v>
      </c>
      <c r="BA104" s="12">
        <v>27</v>
      </c>
      <c r="BB104" s="12">
        <v>48</v>
      </c>
      <c r="BC104" s="12">
        <v>-12</v>
      </c>
      <c r="BD104" s="12">
        <v>-22</v>
      </c>
      <c r="BE104" s="5">
        <f>SUM(BA104:BD104)</f>
        <v>41</v>
      </c>
      <c r="BF104" s="12">
        <v>31</v>
      </c>
      <c r="BG104" s="12">
        <v>18</v>
      </c>
      <c r="BH104" s="12">
        <v>-44</v>
      </c>
      <c r="BI104" s="12">
        <v>25</v>
      </c>
      <c r="BJ104" s="5">
        <f>SUM(BF104:BI104)</f>
        <v>30</v>
      </c>
      <c r="BK104" s="12">
        <v>62</v>
      </c>
      <c r="BL104" s="12">
        <v>26</v>
      </c>
      <c r="BM104" s="12">
        <v>-7</v>
      </c>
      <c r="BN104" s="12">
        <v>50</v>
      </c>
      <c r="BO104" s="5">
        <f>SUM(BK104:BN104)</f>
        <v>131</v>
      </c>
      <c r="BP104" s="209">
        <v>80</v>
      </c>
      <c r="BQ104" s="209">
        <v>80</v>
      </c>
      <c r="BR104" s="209">
        <v>80</v>
      </c>
      <c r="BS104" s="209">
        <v>80</v>
      </c>
      <c r="BT104" s="5">
        <f>SUM(BP104:BS104)</f>
        <v>320</v>
      </c>
      <c r="BU104" s="209">
        <v>80</v>
      </c>
      <c r="BV104" s="209">
        <v>80</v>
      </c>
      <c r="BW104" s="209">
        <v>80</v>
      </c>
      <c r="BX104" s="209">
        <v>80</v>
      </c>
      <c r="BY104" s="5">
        <f>SUM(BU104:BX104)</f>
        <v>320</v>
      </c>
      <c r="BZ104" s="209">
        <v>80</v>
      </c>
      <c r="CA104" s="209">
        <v>80</v>
      </c>
      <c r="CB104" s="209">
        <v>80</v>
      </c>
      <c r="CC104" s="209">
        <v>80</v>
      </c>
      <c r="CD104" s="5">
        <f>SUM(BZ104:CC104)</f>
        <v>320</v>
      </c>
      <c r="CE104" s="5"/>
      <c r="CF104" s="5"/>
      <c r="CG104" s="5"/>
      <c r="CH104" s="5"/>
      <c r="CI104" s="5"/>
      <c r="CJ104" s="5"/>
    </row>
    <row r="105" spans="1:88">
      <c r="A105" s="244" t="s">
        <v>2496</v>
      </c>
      <c r="B105" s="244"/>
      <c r="C105" s="74"/>
      <c r="D105" s="74"/>
      <c r="E105" s="15">
        <f>E102-E104</f>
        <v>16132</v>
      </c>
      <c r="F105" s="15">
        <f>F102-F104</f>
        <v>19408</v>
      </c>
      <c r="G105" s="15">
        <f>G102-G104</f>
        <v>20326</v>
      </c>
      <c r="H105" s="15"/>
      <c r="I105" s="15"/>
      <c r="J105" s="15"/>
      <c r="K105" s="15"/>
      <c r="L105" s="15">
        <f>L102-L104</f>
        <v>25837</v>
      </c>
      <c r="M105" s="16">
        <v>4646</v>
      </c>
      <c r="N105" s="16">
        <v>7644</v>
      </c>
      <c r="O105" s="16">
        <v>5478</v>
      </c>
      <c r="P105" s="16">
        <v>6384</v>
      </c>
      <c r="Q105" s="15">
        <f>Q102-Q104</f>
        <v>24365</v>
      </c>
      <c r="R105" s="16">
        <v>7818</v>
      </c>
      <c r="S105" s="16">
        <v>9964</v>
      </c>
      <c r="T105" s="16">
        <v>3914</v>
      </c>
      <c r="U105" s="16">
        <v>-11944</v>
      </c>
      <c r="V105" s="15">
        <v>9752</v>
      </c>
      <c r="W105" s="16">
        <v>1668</v>
      </c>
      <c r="X105" s="16">
        <v>8260</v>
      </c>
      <c r="Y105" s="16">
        <v>6375</v>
      </c>
      <c r="Z105" s="16">
        <v>3834</v>
      </c>
      <c r="AA105" s="15">
        <v>20137</v>
      </c>
      <c r="AB105" s="16">
        <f>AB102-AB104</f>
        <v>5105</v>
      </c>
      <c r="AC105" s="16">
        <f>AC102-AC104</f>
        <v>-18737</v>
      </c>
      <c r="AD105" s="16">
        <f>AD102-AD104</f>
        <v>3865</v>
      </c>
      <c r="AE105" s="16">
        <f>AE102-AE104</f>
        <v>5449</v>
      </c>
      <c r="AF105" s="15">
        <v>-4318</v>
      </c>
      <c r="AG105" s="16">
        <f>AG102-AG104</f>
        <v>8269</v>
      </c>
      <c r="AH105" s="16">
        <f>AH102-AH104</f>
        <v>6044</v>
      </c>
      <c r="AI105" s="16">
        <f>AI102-AI104</f>
        <v>3049</v>
      </c>
      <c r="AJ105" s="16">
        <f>AJ102-AJ104</f>
        <v>3243</v>
      </c>
      <c r="AK105" s="15">
        <f>SUM(AG105:AJ105)</f>
        <v>20605</v>
      </c>
      <c r="AL105" s="16">
        <f>AL102-AL104</f>
        <v>7813</v>
      </c>
      <c r="AM105" s="16">
        <f>AM102-AM104</f>
        <v>-4564</v>
      </c>
      <c r="AN105" s="16">
        <f>AN102-AN104</f>
        <v>6644</v>
      </c>
      <c r="AO105" s="16">
        <f>AO102-AO104</f>
        <v>2066</v>
      </c>
      <c r="AP105" s="15">
        <f>SUM(AL105:AO105)</f>
        <v>11959</v>
      </c>
      <c r="AQ105" s="16">
        <f>AQ102-AQ104</f>
        <v>13600</v>
      </c>
      <c r="AR105" s="16">
        <f>AR102-AR104</f>
        <v>1956</v>
      </c>
      <c r="AS105" s="16">
        <f>AS102-AS104</f>
        <v>4485</v>
      </c>
      <c r="AT105" s="16">
        <f>AT102-AT104</f>
        <v>2533</v>
      </c>
      <c r="AU105" s="15">
        <f>SUM(AQ105:AT105)</f>
        <v>22574</v>
      </c>
      <c r="AV105" s="16">
        <f>AV102-AV104</f>
        <v>1903</v>
      </c>
      <c r="AW105" s="16">
        <f>AW102-AW104</f>
        <v>4606</v>
      </c>
      <c r="AX105" s="16">
        <f>AX102-AX104</f>
        <v>-3257</v>
      </c>
      <c r="AY105" s="16">
        <f>AY102-AY104</f>
        <v>-12155</v>
      </c>
      <c r="AZ105" s="15">
        <f>SUM(AV105:AY105)</f>
        <v>-8903</v>
      </c>
      <c r="BA105" s="16">
        <f>BA102-BA104</f>
        <v>513</v>
      </c>
      <c r="BB105" s="16">
        <f>BB102-BB104</f>
        <v>-2732</v>
      </c>
      <c r="BC105" s="16">
        <f>BC102-BC104</f>
        <v>-3204</v>
      </c>
      <c r="BD105" s="16">
        <f>BD102-BD104</f>
        <v>-2836</v>
      </c>
      <c r="BE105" s="15">
        <f>SUM(BA105:BD105)</f>
        <v>-8259</v>
      </c>
      <c r="BF105" s="16">
        <f>BF102-BF104</f>
        <v>-351</v>
      </c>
      <c r="BG105" s="16">
        <f>BG102-BG104</f>
        <v>-2604</v>
      </c>
      <c r="BH105" s="16">
        <f>BH102-BH104</f>
        <v>-558</v>
      </c>
      <c r="BI105" s="16">
        <f>BI102-BI104</f>
        <v>2667</v>
      </c>
      <c r="BJ105" s="15">
        <f>SUM(BF105:BI105)</f>
        <v>-846</v>
      </c>
      <c r="BK105" s="16">
        <f>BK102-BK104</f>
        <v>3363</v>
      </c>
      <c r="BL105" s="16">
        <f>BL102-BL104</f>
        <v>472</v>
      </c>
      <c r="BM105" s="16">
        <f>BM102-BM104</f>
        <v>3206</v>
      </c>
      <c r="BN105" s="16">
        <f ca="1">BN102-BN104</f>
        <v>1312</v>
      </c>
      <c r="BO105" s="15">
        <f ca="1">SUM(BK105:BN105)</f>
        <v>8353</v>
      </c>
      <c r="BP105" s="16">
        <f ca="1">BP102-BP104</f>
        <v>2074.266841626325</v>
      </c>
      <c r="BQ105" s="16">
        <f ca="1">BQ102-BQ104</f>
        <v>2986.7639401780389</v>
      </c>
      <c r="BR105" s="16">
        <f ca="1">BR102-BR104</f>
        <v>3030.13594563166</v>
      </c>
      <c r="BS105" s="16">
        <f ca="1">BS102-BS104</f>
        <v>2631.8839570373516</v>
      </c>
      <c r="BT105" s="15">
        <f ca="1">SUM(BP105:BS105)</f>
        <v>10723.050684473375</v>
      </c>
      <c r="BU105" s="16">
        <f ca="1">BU102-BU104</f>
        <v>2678.4976678095463</v>
      </c>
      <c r="BV105" s="16">
        <f ca="1">BV102-BV104</f>
        <v>2650.2220276709086</v>
      </c>
      <c r="BW105" s="16">
        <f ca="1">BW102-BW104</f>
        <v>2771.3888747746814</v>
      </c>
      <c r="BX105" s="16">
        <f ca="1">BX102-BX104</f>
        <v>2661.2132741697442</v>
      </c>
      <c r="BY105" s="15">
        <f ca="1">SUM(BU105:BX105)</f>
        <v>10761.321844424881</v>
      </c>
      <c r="BZ105" s="16">
        <f ca="1">BZ102-BZ104</f>
        <v>3101.5660530519863</v>
      </c>
      <c r="CA105" s="16">
        <f ca="1">CA102-CA104</f>
        <v>3094.7161421875321</v>
      </c>
      <c r="CB105" s="16">
        <f ca="1">CB102-CB104</f>
        <v>3234.0805192978778</v>
      </c>
      <c r="CC105" s="16">
        <f ca="1">CC102-CC104</f>
        <v>3151.0303941308075</v>
      </c>
      <c r="CD105" s="15">
        <f ca="1">SUM(BZ105:CC105)</f>
        <v>12581.393108668206</v>
      </c>
      <c r="CE105" s="5"/>
      <c r="CF105" s="173"/>
      <c r="CG105" s="8"/>
      <c r="CH105" s="8"/>
      <c r="CI105" s="8"/>
      <c r="CJ105" s="8"/>
    </row>
    <row r="106" spans="1:88">
      <c r="A106" s="137"/>
      <c r="B106" s="137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12"/>
      <c r="N106" s="12"/>
      <c r="O106" s="12"/>
      <c r="P106" s="12"/>
      <c r="Q106" s="5"/>
      <c r="R106" s="12"/>
      <c r="S106" s="12"/>
      <c r="T106" s="12"/>
      <c r="U106" s="12"/>
      <c r="V106" s="5"/>
      <c r="W106" s="12"/>
      <c r="X106" s="12"/>
      <c r="Y106" s="12"/>
      <c r="Z106" s="12"/>
      <c r="AA106" s="5"/>
      <c r="AB106" s="12"/>
      <c r="AC106" s="12"/>
      <c r="AD106" s="12"/>
      <c r="AE106" s="12"/>
      <c r="AF106" s="5"/>
      <c r="AG106" s="12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</row>
    <row r="107" spans="1:88">
      <c r="A107" s="137"/>
      <c r="B107" s="137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12"/>
      <c r="AQ107" s="12"/>
      <c r="AR107" s="12"/>
      <c r="AS107" s="12"/>
      <c r="AT107" s="12"/>
      <c r="AU107" s="12"/>
      <c r="AV107" s="12"/>
      <c r="AW107" s="12"/>
      <c r="AX107" s="12"/>
      <c r="AY107" s="12"/>
      <c r="AZ107" s="12"/>
      <c r="BA107" s="12"/>
      <c r="BB107" s="12"/>
      <c r="BC107" s="12"/>
      <c r="BD107" s="12"/>
      <c r="BE107" s="12"/>
      <c r="BF107" s="12"/>
      <c r="BG107" s="12"/>
      <c r="BH107" s="12"/>
      <c r="BI107" s="12"/>
      <c r="BJ107" s="12"/>
      <c r="BK107" s="12"/>
      <c r="BL107" s="12"/>
      <c r="BM107" s="12"/>
      <c r="BN107" s="12"/>
      <c r="BO107" s="12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</row>
    <row r="108" spans="1:88">
      <c r="A108" s="137"/>
      <c r="B108" s="137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  <c r="AQ108" s="12"/>
      <c r="AR108" s="12"/>
      <c r="AS108" s="12"/>
      <c r="AT108" s="12"/>
      <c r="AU108" s="12"/>
      <c r="AV108" s="12"/>
      <c r="AW108" s="12"/>
      <c r="AX108" s="12"/>
      <c r="AY108" s="12"/>
      <c r="AZ108" s="12"/>
      <c r="BA108" s="12"/>
      <c r="BB108" s="12"/>
      <c r="BC108" s="12"/>
      <c r="BD108" s="12"/>
      <c r="BE108" s="12"/>
      <c r="BF108" s="12"/>
      <c r="BG108" s="12"/>
      <c r="BH108" s="12"/>
      <c r="BI108" s="12"/>
      <c r="BJ108" s="12"/>
      <c r="BK108" s="12"/>
      <c r="BL108" s="12"/>
      <c r="BM108" s="12"/>
      <c r="BN108" s="12"/>
      <c r="BO108" s="12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</row>
    <row r="109" spans="1:88">
      <c r="A109" s="9" t="s">
        <v>3056</v>
      </c>
      <c r="B109" s="4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</row>
    <row r="110" spans="1:88" ht="12.75" customHeight="1">
      <c r="A110" s="10"/>
      <c r="B110" s="10"/>
      <c r="C110" s="31">
        <v>2001</v>
      </c>
      <c r="D110" s="32">
        <v>2002</v>
      </c>
      <c r="E110" s="32">
        <v>2003</v>
      </c>
      <c r="F110" s="32">
        <v>2004</v>
      </c>
      <c r="G110" s="31">
        <v>2005</v>
      </c>
      <c r="H110" s="33" t="s">
        <v>714</v>
      </c>
      <c r="I110" s="33" t="s">
        <v>715</v>
      </c>
      <c r="J110" s="33" t="s">
        <v>716</v>
      </c>
      <c r="K110" s="33" t="s">
        <v>717</v>
      </c>
      <c r="L110" s="31">
        <v>2006</v>
      </c>
      <c r="M110" s="33" t="s">
        <v>718</v>
      </c>
      <c r="N110" s="33" t="s">
        <v>719</v>
      </c>
      <c r="O110" s="33" t="s">
        <v>1970</v>
      </c>
      <c r="P110" s="33" t="s">
        <v>1971</v>
      </c>
      <c r="Q110" s="31">
        <v>2007</v>
      </c>
      <c r="R110" s="33" t="s">
        <v>1972</v>
      </c>
      <c r="S110" s="33" t="s">
        <v>1973</v>
      </c>
      <c r="T110" s="33" t="s">
        <v>1974</v>
      </c>
      <c r="U110" s="33" t="s">
        <v>1975</v>
      </c>
      <c r="V110" s="31">
        <v>2008</v>
      </c>
      <c r="W110" s="33" t="s">
        <v>1976</v>
      </c>
      <c r="X110" s="33" t="s">
        <v>1977</v>
      </c>
      <c r="Y110" s="33" t="s">
        <v>1978</v>
      </c>
      <c r="Z110" s="33" t="s">
        <v>1979</v>
      </c>
      <c r="AA110" s="31">
        <v>2009</v>
      </c>
      <c r="AB110" s="33" t="s">
        <v>1980</v>
      </c>
      <c r="AC110" s="33" t="s">
        <v>1981</v>
      </c>
      <c r="AD110" s="33" t="s">
        <v>1982</v>
      </c>
      <c r="AE110" s="33" t="s">
        <v>2392</v>
      </c>
      <c r="AF110" s="31">
        <v>2010</v>
      </c>
      <c r="AG110" s="33" t="s">
        <v>2393</v>
      </c>
      <c r="AH110" s="33" t="s">
        <v>2394</v>
      </c>
      <c r="AI110" s="33" t="s">
        <v>2395</v>
      </c>
      <c r="AJ110" s="33" t="s">
        <v>2396</v>
      </c>
      <c r="AK110" s="31">
        <v>2011</v>
      </c>
      <c r="AL110" s="368" t="s">
        <v>2397</v>
      </c>
      <c r="AM110" s="368" t="s">
        <v>2398</v>
      </c>
      <c r="AN110" s="368" t="s">
        <v>2399</v>
      </c>
      <c r="AO110" s="368" t="s">
        <v>2400</v>
      </c>
      <c r="AP110" s="31">
        <v>2012</v>
      </c>
      <c r="AQ110" s="368" t="s">
        <v>2401</v>
      </c>
      <c r="AR110" s="368" t="s">
        <v>2402</v>
      </c>
      <c r="AS110" s="368" t="s">
        <v>2403</v>
      </c>
      <c r="AT110" s="368" t="s">
        <v>2404</v>
      </c>
      <c r="AU110" s="31">
        <v>2013</v>
      </c>
      <c r="AV110" s="368" t="s">
        <v>2405</v>
      </c>
      <c r="AW110" s="368" t="s">
        <v>2406</v>
      </c>
      <c r="AX110" s="368" t="s">
        <v>2407</v>
      </c>
      <c r="AY110" s="368" t="s">
        <v>2408</v>
      </c>
      <c r="AZ110" s="31">
        <v>2014</v>
      </c>
      <c r="BA110" s="368" t="s">
        <v>2409</v>
      </c>
      <c r="BB110" s="368" t="s">
        <v>2410</v>
      </c>
      <c r="BC110" s="368" t="s">
        <v>2411</v>
      </c>
      <c r="BD110" s="368" t="s">
        <v>2412</v>
      </c>
      <c r="BE110" s="31">
        <v>2015</v>
      </c>
      <c r="BF110" s="368" t="s">
        <v>2413</v>
      </c>
      <c r="BG110" s="368" t="s">
        <v>2414</v>
      </c>
      <c r="BH110" s="368" t="s">
        <v>2415</v>
      </c>
      <c r="BI110" s="368" t="s">
        <v>2416</v>
      </c>
      <c r="BJ110" s="31">
        <v>2016</v>
      </c>
      <c r="BK110" s="368" t="s">
        <v>2417</v>
      </c>
      <c r="BL110" s="368" t="s">
        <v>2418</v>
      </c>
      <c r="BM110" s="368" t="s">
        <v>2419</v>
      </c>
      <c r="BN110" s="368" t="s">
        <v>2420</v>
      </c>
      <c r="BO110" s="31">
        <v>2017</v>
      </c>
      <c r="BP110" s="363" t="s">
        <v>2244</v>
      </c>
      <c r="BQ110" s="363" t="s">
        <v>2245</v>
      </c>
      <c r="BR110" s="363" t="s">
        <v>2508</v>
      </c>
      <c r="BS110" s="363" t="s">
        <v>2509</v>
      </c>
      <c r="BT110" s="364">
        <v>2018</v>
      </c>
      <c r="BU110" s="363" t="s">
        <v>2510</v>
      </c>
      <c r="BV110" s="363" t="s">
        <v>2511</v>
      </c>
      <c r="BW110" s="363" t="s">
        <v>3125</v>
      </c>
      <c r="BX110" s="363" t="s">
        <v>1405</v>
      </c>
      <c r="BY110" s="364">
        <v>2019</v>
      </c>
      <c r="BZ110" s="363" t="s">
        <v>1406</v>
      </c>
      <c r="CA110" s="363" t="s">
        <v>1407</v>
      </c>
      <c r="CB110" s="363" t="s">
        <v>1408</v>
      </c>
      <c r="CC110" s="363" t="s">
        <v>1409</v>
      </c>
      <c r="CD110" s="364">
        <v>2020</v>
      </c>
      <c r="CE110" s="11"/>
      <c r="CF110" s="11"/>
      <c r="CG110" s="11"/>
      <c r="CH110" s="11"/>
      <c r="CI110" s="11"/>
      <c r="CJ110" s="11"/>
    </row>
    <row r="111" spans="1:88">
      <c r="A111" s="148" t="s">
        <v>2203</v>
      </c>
      <c r="B111" s="4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12"/>
      <c r="N111" s="12"/>
      <c r="O111" s="12"/>
      <c r="P111" s="12"/>
      <c r="Q111" s="5"/>
      <c r="R111" s="12"/>
      <c r="S111" s="12"/>
      <c r="T111" s="12"/>
      <c r="U111" s="12"/>
      <c r="V111" s="5"/>
      <c r="W111" s="12"/>
      <c r="X111" s="12"/>
      <c r="Y111" s="12"/>
      <c r="Z111" s="12"/>
      <c r="AA111" s="5"/>
      <c r="AB111" s="12"/>
      <c r="AC111" s="12"/>
      <c r="AD111" s="12"/>
      <c r="AE111" s="12"/>
      <c r="AF111" s="5"/>
      <c r="AG111" s="12"/>
      <c r="AH111" s="12"/>
      <c r="AI111" s="12"/>
      <c r="AJ111" s="12"/>
      <c r="AK111" s="5"/>
      <c r="AL111" s="12"/>
      <c r="AM111" s="12"/>
      <c r="AN111" s="12"/>
      <c r="AO111" s="12"/>
      <c r="AP111" s="5"/>
      <c r="AQ111" s="12"/>
      <c r="AR111" s="12"/>
      <c r="AS111" s="12"/>
      <c r="AT111" s="12"/>
      <c r="AU111" s="5"/>
      <c r="AV111" s="12"/>
      <c r="AW111" s="12"/>
      <c r="AX111" s="12"/>
      <c r="AY111" s="12"/>
      <c r="AZ111" s="5"/>
      <c r="BA111" s="12"/>
      <c r="BB111" s="12"/>
      <c r="BC111" s="12"/>
      <c r="BD111" s="12"/>
      <c r="BE111" s="5"/>
      <c r="BF111" s="12"/>
      <c r="BG111" s="12"/>
      <c r="BH111" s="12"/>
      <c r="BI111" s="12"/>
      <c r="BJ111" s="5"/>
      <c r="BK111" s="12"/>
      <c r="BL111" s="12"/>
      <c r="BM111" s="12"/>
      <c r="BN111" s="12"/>
      <c r="BO111" s="5"/>
      <c r="BP111" s="12"/>
      <c r="BQ111" s="12"/>
      <c r="BR111" s="12"/>
      <c r="BS111" s="12"/>
      <c r="BT111" s="5"/>
      <c r="BU111" s="12"/>
      <c r="BV111" s="12"/>
      <c r="BW111" s="12"/>
      <c r="BX111" s="12"/>
      <c r="BY111" s="5"/>
      <c r="BZ111" s="12"/>
      <c r="CA111" s="12"/>
      <c r="CB111" s="12"/>
      <c r="CC111" s="12"/>
      <c r="CD111" s="5"/>
      <c r="CE111" s="5"/>
      <c r="CF111" s="5"/>
      <c r="CG111" s="5"/>
      <c r="CH111" s="5"/>
      <c r="CI111" s="5"/>
      <c r="CJ111" s="5"/>
    </row>
    <row r="112" spans="1:88">
      <c r="A112" s="137" t="s">
        <v>253</v>
      </c>
      <c r="B112" s="4"/>
      <c r="C112" s="72"/>
      <c r="D112" s="72"/>
      <c r="E112" s="5">
        <v>60867</v>
      </c>
      <c r="F112" s="5">
        <v>70264</v>
      </c>
      <c r="G112" s="5">
        <v>78235</v>
      </c>
      <c r="H112" s="5"/>
      <c r="I112" s="5"/>
      <c r="J112" s="5"/>
      <c r="K112" s="5"/>
      <c r="L112" s="5">
        <v>80765</v>
      </c>
      <c r="M112" s="12"/>
      <c r="N112" s="12"/>
      <c r="O112" s="12"/>
      <c r="P112" s="12"/>
      <c r="Q112" s="5">
        <v>85465</v>
      </c>
      <c r="R112" s="12"/>
      <c r="S112" s="12"/>
      <c r="T112" s="12"/>
      <c r="U112" s="12"/>
      <c r="V112" s="5">
        <v>94652</v>
      </c>
      <c r="W112" s="12">
        <f>V120</f>
        <v>92109</v>
      </c>
      <c r="X112" s="12">
        <f>W120</f>
        <v>91179</v>
      </c>
      <c r="Y112" s="12">
        <f>X120</f>
        <v>96949</v>
      </c>
      <c r="Z112" s="12">
        <f>Y120</f>
        <v>100803</v>
      </c>
      <c r="AA112" s="5">
        <f>V120</f>
        <v>92109</v>
      </c>
      <c r="AB112" s="12">
        <f>AA120</f>
        <v>102113</v>
      </c>
      <c r="AC112" s="12">
        <f>AB120</f>
        <v>104978</v>
      </c>
      <c r="AD112" s="12">
        <f>AC120</f>
        <v>86362</v>
      </c>
      <c r="AE112" s="12">
        <f>AD120</f>
        <v>90366</v>
      </c>
      <c r="AF112" s="5">
        <f>AA120</f>
        <v>102113</v>
      </c>
      <c r="AG112" s="12">
        <f>AF120</f>
        <v>95891</v>
      </c>
      <c r="AH112" s="12">
        <f>AG120</f>
        <v>103313</v>
      </c>
      <c r="AI112" s="12">
        <f>AH120</f>
        <v>108636</v>
      </c>
      <c r="AJ112" s="12">
        <f>AI120</f>
        <v>110659</v>
      </c>
      <c r="AK112" s="5">
        <f>AF120</f>
        <v>95891</v>
      </c>
      <c r="AL112" s="12">
        <f>AK120</f>
        <v>112482</v>
      </c>
      <c r="AM112" s="12">
        <f>AL120</f>
        <v>119220</v>
      </c>
      <c r="AN112" s="12">
        <f>AM120</f>
        <v>113323</v>
      </c>
      <c r="AO112" s="12">
        <f>AN120</f>
        <v>118773</v>
      </c>
      <c r="AP112" s="5">
        <f>AK120</f>
        <v>112482</v>
      </c>
      <c r="AQ112" s="12">
        <f>AP120</f>
        <v>119620</v>
      </c>
      <c r="AR112" s="12">
        <f>AQ120</f>
        <v>131085</v>
      </c>
      <c r="AS112" s="12">
        <f>AR120</f>
        <v>130133</v>
      </c>
      <c r="AT112" s="12">
        <f>AS120</f>
        <v>131251</v>
      </c>
      <c r="AU112" s="5">
        <f>AP120</f>
        <v>119620</v>
      </c>
      <c r="AV112" s="12">
        <f>AU120</f>
        <v>130407</v>
      </c>
      <c r="AW112" s="12">
        <f>AV120</f>
        <v>130200</v>
      </c>
      <c r="AX112" s="12">
        <f>AW120</f>
        <v>132978</v>
      </c>
      <c r="AY112" s="12">
        <f>AX120</f>
        <v>126894</v>
      </c>
      <c r="AZ112" s="5">
        <f>AU120</f>
        <v>130407</v>
      </c>
      <c r="BA112" s="12">
        <f>AZ120</f>
        <v>112642</v>
      </c>
      <c r="BB112" s="12">
        <f>BA120</f>
        <v>111509</v>
      </c>
      <c r="BC112" s="12">
        <f ca="1">BB120</f>
        <v>107351</v>
      </c>
      <c r="BD112" s="12">
        <f ca="1">BC120</f>
        <v>102599</v>
      </c>
      <c r="BE112" s="5">
        <f>AZ120</f>
        <v>112642</v>
      </c>
      <c r="BF112" s="12">
        <f>BE120</f>
        <v>98387</v>
      </c>
      <c r="BG112" s="12">
        <f>BF120</f>
        <v>97289</v>
      </c>
      <c r="BH112" s="12">
        <f ca="1">BG120</f>
        <v>94108</v>
      </c>
      <c r="BI112" s="12">
        <f ca="1">BH120</f>
        <v>92797</v>
      </c>
      <c r="BJ112" s="5">
        <f>BE120</f>
        <v>98387</v>
      </c>
      <c r="BK112" s="12">
        <f ca="1">BJ120</f>
        <v>96843</v>
      </c>
      <c r="BL112" s="12">
        <f ca="1">BK120</f>
        <v>99282</v>
      </c>
      <c r="BM112" s="12">
        <f ca="1">BL120</f>
        <v>98461</v>
      </c>
      <c r="BN112" s="12">
        <f ca="1">BM120</f>
        <v>100138</v>
      </c>
      <c r="BO112" s="5">
        <f ca="1">BJ120</f>
        <v>96843</v>
      </c>
      <c r="BP112" s="12">
        <f ca="1">BO120</f>
        <v>100404</v>
      </c>
      <c r="BQ112" s="12">
        <f ca="1">BP120</f>
        <v>100615.77084162632</v>
      </c>
      <c r="BR112" s="12">
        <f ca="1">BQ120</f>
        <v>101752.54115988484</v>
      </c>
      <c r="BS112" s="12">
        <f ca="1">BR120</f>
        <v>102932.71594621539</v>
      </c>
      <c r="BT112" s="5">
        <f ca="1">BO120</f>
        <v>100404</v>
      </c>
      <c r="BU112" s="12">
        <f ca="1">BT120</f>
        <v>103714.63882824135</v>
      </c>
      <c r="BV112" s="12">
        <f ca="1">BU120</f>
        <v>104543.17542125835</v>
      </c>
      <c r="BW112" s="12">
        <f ca="1">BV120</f>
        <v>105343.43637413729</v>
      </c>
      <c r="BX112" s="12">
        <f ca="1">BW120</f>
        <v>106264.86417412001</v>
      </c>
      <c r="BY112" s="5">
        <f ca="1">BT120</f>
        <v>103714.63882824135</v>
      </c>
      <c r="BZ112" s="12">
        <f ca="1">BY120</f>
        <v>107076.11637349776</v>
      </c>
      <c r="CA112" s="12">
        <f ca="1">BZ120</f>
        <v>108327.72135175778</v>
      </c>
      <c r="CB112" s="12">
        <f ca="1">CA120</f>
        <v>109572.47641915335</v>
      </c>
      <c r="CC112" s="12">
        <f ca="1">CB120</f>
        <v>110956.59586365925</v>
      </c>
      <c r="CD112" s="5">
        <f ca="1">BY120</f>
        <v>107076.11637349776</v>
      </c>
      <c r="CE112" s="5"/>
      <c r="CF112" s="5"/>
      <c r="CG112" s="5"/>
      <c r="CH112" s="5"/>
      <c r="CI112" s="5"/>
      <c r="CJ112" s="5"/>
    </row>
    <row r="113" spans="1:88">
      <c r="A113" s="137"/>
      <c r="B113" s="4" t="s">
        <v>1226</v>
      </c>
      <c r="C113" s="72"/>
      <c r="D113" s="72"/>
      <c r="E113" s="5">
        <f>E102</f>
        <v>16302</v>
      </c>
      <c r="F113" s="5">
        <f>F102</f>
        <v>19595</v>
      </c>
      <c r="G113" s="5">
        <f>G102</f>
        <v>20617</v>
      </c>
      <c r="H113" s="5"/>
      <c r="I113" s="5"/>
      <c r="J113" s="5"/>
      <c r="K113" s="5"/>
      <c r="L113" s="5">
        <f>L102</f>
        <v>26172</v>
      </c>
      <c r="M113" s="12"/>
      <c r="N113" s="12"/>
      <c r="O113" s="12"/>
      <c r="P113" s="12"/>
      <c r="Q113" s="5">
        <f>Q102</f>
        <v>24713</v>
      </c>
      <c r="R113" s="12"/>
      <c r="S113" s="12"/>
      <c r="T113" s="12"/>
      <c r="U113" s="12"/>
      <c r="V113" s="5">
        <f t="shared" ref="V113:AR113" si="74">V102</f>
        <v>10186</v>
      </c>
      <c r="W113" s="12">
        <f t="shared" si="74"/>
        <v>1679</v>
      </c>
      <c r="X113" s="12">
        <f t="shared" si="74"/>
        <v>8336</v>
      </c>
      <c r="Y113" s="12">
        <f t="shared" si="74"/>
        <v>6384</v>
      </c>
      <c r="Z113" s="12">
        <f t="shared" si="74"/>
        <v>3863</v>
      </c>
      <c r="AA113" s="5">
        <f t="shared" si="74"/>
        <v>20262</v>
      </c>
      <c r="AB113" s="12">
        <f t="shared" si="74"/>
        <v>5207</v>
      </c>
      <c r="AC113" s="12">
        <f t="shared" si="74"/>
        <v>-18636</v>
      </c>
      <c r="AD113" s="12">
        <f t="shared" si="74"/>
        <v>3966</v>
      </c>
      <c r="AE113" s="12">
        <f t="shared" si="74"/>
        <v>5543</v>
      </c>
      <c r="AF113" s="5">
        <f t="shared" si="74"/>
        <v>-3920</v>
      </c>
      <c r="AG113" s="12">
        <f t="shared" si="74"/>
        <v>8346</v>
      </c>
      <c r="AH113" s="12">
        <f t="shared" si="74"/>
        <v>6108</v>
      </c>
      <c r="AI113" s="12">
        <f t="shared" si="74"/>
        <v>3214</v>
      </c>
      <c r="AJ113" s="12">
        <f t="shared" si="74"/>
        <v>3321</v>
      </c>
      <c r="AK113" s="5">
        <f t="shared" si="74"/>
        <v>20989</v>
      </c>
      <c r="AL113" s="12">
        <f t="shared" si="74"/>
        <v>7880</v>
      </c>
      <c r="AM113" s="12">
        <f t="shared" si="74"/>
        <v>-4530</v>
      </c>
      <c r="AN113" s="12">
        <f t="shared" si="74"/>
        <v>6721</v>
      </c>
      <c r="AO113" s="12">
        <f t="shared" si="74"/>
        <v>2126</v>
      </c>
      <c r="AP113" s="5">
        <f t="shared" si="74"/>
        <v>12197</v>
      </c>
      <c r="AQ113" s="12">
        <f t="shared" si="74"/>
        <v>13675</v>
      </c>
      <c r="AR113" s="12">
        <f t="shared" si="74"/>
        <v>2018</v>
      </c>
      <c r="AS113" s="12">
        <f t="shared" ref="AS113:CD113" si="75">AS102</f>
        <v>4581</v>
      </c>
      <c r="AT113" s="12">
        <f t="shared" si="75"/>
        <v>2592</v>
      </c>
      <c r="AU113" s="5">
        <f t="shared" si="75"/>
        <v>22866</v>
      </c>
      <c r="AV113" s="12">
        <f t="shared" si="75"/>
        <v>1995</v>
      </c>
      <c r="AW113" s="12">
        <f t="shared" si="75"/>
        <v>4676</v>
      </c>
      <c r="AX113" s="12">
        <f t="shared" si="75"/>
        <v>-3237</v>
      </c>
      <c r="AY113" s="12">
        <f t="shared" si="75"/>
        <v>-12146</v>
      </c>
      <c r="AZ113" s="5">
        <f t="shared" si="75"/>
        <v>-8712</v>
      </c>
      <c r="BA113" s="12">
        <f t="shared" si="75"/>
        <v>540</v>
      </c>
      <c r="BB113" s="12">
        <f t="shared" si="75"/>
        <v>-2684</v>
      </c>
      <c r="BC113" s="12">
        <f>BC102</f>
        <v>-3216</v>
      </c>
      <c r="BD113" s="12">
        <f t="shared" si="75"/>
        <v>-2858</v>
      </c>
      <c r="BE113" s="5">
        <f>BE102</f>
        <v>-8218</v>
      </c>
      <c r="BF113" s="12">
        <f>BF102</f>
        <v>-320</v>
      </c>
      <c r="BG113" s="12">
        <f t="shared" ref="BG113" si="76">BG102</f>
        <v>-2586</v>
      </c>
      <c r="BH113" s="12">
        <f t="shared" si="75"/>
        <v>-602</v>
      </c>
      <c r="BI113" s="12">
        <f>+BJ113-SUM(BF113:BH113)</f>
        <v>2692</v>
      </c>
      <c r="BJ113" s="5">
        <v>-816</v>
      </c>
      <c r="BK113" s="12">
        <f t="shared" si="75"/>
        <v>3425</v>
      </c>
      <c r="BL113" s="12">
        <f t="shared" si="75"/>
        <v>498</v>
      </c>
      <c r="BM113" s="12">
        <f t="shared" si="75"/>
        <v>3199</v>
      </c>
      <c r="BN113" s="12">
        <f t="shared" ca="1" si="75"/>
        <v>1362</v>
      </c>
      <c r="BO113" s="5">
        <f t="shared" ca="1" si="75"/>
        <v>8484</v>
      </c>
      <c r="BP113" s="12">
        <f t="shared" ca="1" si="75"/>
        <v>2154.266841626325</v>
      </c>
      <c r="BQ113" s="12">
        <f t="shared" ca="1" si="75"/>
        <v>3066.7639401780389</v>
      </c>
      <c r="BR113" s="12">
        <f t="shared" ca="1" si="75"/>
        <v>3110.13594563166</v>
      </c>
      <c r="BS113" s="12">
        <f t="shared" ca="1" si="75"/>
        <v>2711.8839570373516</v>
      </c>
      <c r="BT113" s="5">
        <f t="shared" ca="1" si="75"/>
        <v>11043.050684473375</v>
      </c>
      <c r="BU113" s="12">
        <f t="shared" ca="1" si="75"/>
        <v>2758.4976678095463</v>
      </c>
      <c r="BV113" s="12">
        <f t="shared" ca="1" si="75"/>
        <v>2730.2220276709086</v>
      </c>
      <c r="BW113" s="12">
        <f t="shared" ca="1" si="75"/>
        <v>2851.3888747746814</v>
      </c>
      <c r="BX113" s="12">
        <f t="shared" ca="1" si="75"/>
        <v>2741.2132741697442</v>
      </c>
      <c r="BY113" s="5">
        <f t="shared" ca="1" si="75"/>
        <v>11081.32184442488</v>
      </c>
      <c r="BZ113" s="12">
        <f t="shared" ca="1" si="75"/>
        <v>3181.5660530519863</v>
      </c>
      <c r="CA113" s="12">
        <f t="shared" ca="1" si="75"/>
        <v>3174.7161421875321</v>
      </c>
      <c r="CB113" s="12">
        <f t="shared" ca="1" si="75"/>
        <v>3314.0805192978778</v>
      </c>
      <c r="CC113" s="12">
        <f t="shared" ca="1" si="75"/>
        <v>3231.0303941308075</v>
      </c>
      <c r="CD113" s="5">
        <f t="shared" ca="1" si="75"/>
        <v>12901.393108668206</v>
      </c>
      <c r="CE113" s="5"/>
      <c r="CF113" s="5"/>
      <c r="CG113" s="5"/>
      <c r="CH113" s="5"/>
      <c r="CI113" s="5"/>
      <c r="CJ113" s="5"/>
    </row>
    <row r="114" spans="1:88">
      <c r="A114" s="137"/>
      <c r="B114" s="4" t="s">
        <v>1152</v>
      </c>
      <c r="C114" s="72"/>
      <c r="D114" s="72"/>
      <c r="E114" s="5">
        <f>'Cash flow statement'!E179+'Cash flow statement'!E180</f>
        <v>-5674</v>
      </c>
      <c r="F114" s="5">
        <f>'Cash flow statement'!F179+'Cash flow statement'!F180</f>
        <v>-6074</v>
      </c>
      <c r="G114" s="5">
        <f>'Cash flow statement'!G179+'Cash flow statement'!G180</f>
        <v>-8186</v>
      </c>
      <c r="H114" s="5"/>
      <c r="I114" s="5"/>
      <c r="J114" s="5"/>
      <c r="K114" s="5"/>
      <c r="L114" s="5">
        <f>'Cash flow statement'!L179+'Cash flow statement'!L180</f>
        <v>-7969</v>
      </c>
      <c r="M114" s="12"/>
      <c r="N114" s="12"/>
      <c r="O114" s="12"/>
      <c r="P114" s="12"/>
      <c r="Q114" s="5">
        <f>'Cash flow statement'!Q179+'Cash flow statement'!Q180</f>
        <v>-8333</v>
      </c>
      <c r="R114" s="12"/>
      <c r="S114" s="12"/>
      <c r="T114" s="12"/>
      <c r="U114" s="12"/>
      <c r="V114" s="5">
        <f>'Cash flow statement'!V179+'Cash flow statement'!V180</f>
        <v>-10767</v>
      </c>
      <c r="W114" s="73"/>
      <c r="X114" s="73"/>
      <c r="Y114" s="73"/>
      <c r="Z114" s="73"/>
      <c r="AA114" s="5">
        <f>'Cash flow statement'!AA179+'Cash flow statement'!AA180</f>
        <v>-10899</v>
      </c>
      <c r="AB114" s="73"/>
      <c r="AC114" s="73"/>
      <c r="AD114" s="73"/>
      <c r="AE114" s="73"/>
      <c r="AF114" s="5">
        <f>'Cash flow statement'!AF179+'Cash flow statement'!AF180</f>
        <v>-2942</v>
      </c>
      <c r="AG114" s="12">
        <v>-814</v>
      </c>
      <c r="AH114" s="12">
        <f>-1735-AG114</f>
        <v>-921</v>
      </c>
      <c r="AI114" s="12">
        <f>-3010-AH114-AG114</f>
        <v>-1275</v>
      </c>
      <c r="AJ114" s="12">
        <f>AK114-AI114-AH114-AG114</f>
        <v>-1307</v>
      </c>
      <c r="AK114" s="5">
        <v>-4317</v>
      </c>
      <c r="AL114" s="12">
        <v>-1212</v>
      </c>
      <c r="AM114" s="12">
        <f>-2711-AL114</f>
        <v>-1499</v>
      </c>
      <c r="AN114" s="12">
        <f>-4149-AM114-AL114</f>
        <v>-1438</v>
      </c>
      <c r="AO114" s="12">
        <f>-5376-AN114-AM114-AL114</f>
        <v>-1227</v>
      </c>
      <c r="AP114" s="5">
        <f>SUM(AL114:AO114)</f>
        <v>-5376</v>
      </c>
      <c r="AQ114" s="12">
        <v>-1687</v>
      </c>
      <c r="AR114" s="12">
        <f>-3256-AQ114</f>
        <v>-1569</v>
      </c>
      <c r="AS114" s="12">
        <f>-4597-AR114-AQ114</f>
        <v>-1341</v>
      </c>
      <c r="AT114" s="12">
        <f>-5910-AS114-AR114-AQ114</f>
        <v>-1313</v>
      </c>
      <c r="AU114" s="5">
        <f>SUM(AQ114:AT114)</f>
        <v>-5910</v>
      </c>
      <c r="AV114" s="12">
        <v>-1505</v>
      </c>
      <c r="AW114" s="12">
        <f>-3152-AV114</f>
        <v>-1647</v>
      </c>
      <c r="AX114" s="12">
        <f>-4336-AW114-AV114</f>
        <v>-1184</v>
      </c>
      <c r="AY114" s="12">
        <f>AZ114-AX114-AW114-AV114</f>
        <v>-1769</v>
      </c>
      <c r="AZ114" s="5">
        <v>-6105</v>
      </c>
      <c r="BA114" s="12">
        <v>-1721</v>
      </c>
      <c r="BB114" s="12">
        <f>-3442-BA114</f>
        <v>-1721</v>
      </c>
      <c r="BC114" s="12">
        <f>-5189-BB114-BA114</f>
        <v>-1747</v>
      </c>
      <c r="BD114" s="12">
        <f>BE114-BC114-BB114-BA114</f>
        <v>-1561</v>
      </c>
      <c r="BE114" s="5">
        <v>-6750</v>
      </c>
      <c r="BF114" s="12">
        <v>-1108</v>
      </c>
      <c r="BG114" s="12">
        <f>-2320-BF114</f>
        <v>-1212</v>
      </c>
      <c r="BH114" s="12">
        <f>-3512-BG114-BF114</f>
        <v>-1192</v>
      </c>
      <c r="BI114" s="12">
        <f>+BJ114-SUM(BF114:BH114)</f>
        <v>-1206</v>
      </c>
      <c r="BJ114" s="5">
        <v>-4718</v>
      </c>
      <c r="BK114" s="12">
        <v>-1319</v>
      </c>
      <c r="BL114" s="12">
        <f>-2927-BK114</f>
        <v>-1608</v>
      </c>
      <c r="BM114" s="12">
        <f>-4635-BL114-BK114</f>
        <v>-1708</v>
      </c>
      <c r="BN114" s="12">
        <f>-6294-BM114-BL114-BK114</f>
        <v>-1659</v>
      </c>
      <c r="BO114" s="5">
        <f>SUM(BK114:BN114)</f>
        <v>-6294</v>
      </c>
      <c r="BP114" s="12">
        <f>-Other!BP27</f>
        <v>-1585.386</v>
      </c>
      <c r="BQ114" s="12">
        <f>-Other!BQ27</f>
        <v>-1585.2384793146844</v>
      </c>
      <c r="BR114" s="12">
        <f>-Other!BR27</f>
        <v>-1585.2380962749394</v>
      </c>
      <c r="BS114" s="12">
        <f>-Other!BS27</f>
        <v>-1585.2380952803708</v>
      </c>
      <c r="BT114" s="5">
        <f>SUM(BP114:BS114)</f>
        <v>-6341.1006708699942</v>
      </c>
      <c r="BU114" s="12">
        <f>-Other!BU27</f>
        <v>-1585.238095277788</v>
      </c>
      <c r="BV114" s="12">
        <f>-Other!BV27</f>
        <v>-1585.2380952777817</v>
      </c>
      <c r="BW114" s="12">
        <f>-Other!BW27</f>
        <v>-1585.2380952777817</v>
      </c>
      <c r="BX114" s="12">
        <f>-Other!BX27</f>
        <v>-1585.2380952777817</v>
      </c>
      <c r="BY114" s="5">
        <f>SUM(BU114:BX114)</f>
        <v>-6340.9523811111339</v>
      </c>
      <c r="BZ114" s="12">
        <f>-Other!BZ27</f>
        <v>-1585.2380952777817</v>
      </c>
      <c r="CA114" s="12">
        <f>-Other!CA27</f>
        <v>-1585.2380952777817</v>
      </c>
      <c r="CB114" s="12">
        <f>-Other!CB27</f>
        <v>-1585.2380952777817</v>
      </c>
      <c r="CC114" s="12">
        <f>-Other!CC27</f>
        <v>-1585.2380952777817</v>
      </c>
      <c r="CD114" s="5">
        <f>SUM(BZ114:CC114)</f>
        <v>-6340.9523811111267</v>
      </c>
      <c r="CE114" s="5"/>
      <c r="CF114" s="5"/>
      <c r="CG114" s="5"/>
      <c r="CH114" s="5"/>
      <c r="CI114" s="5"/>
      <c r="CJ114" s="5"/>
    </row>
    <row r="115" spans="1:88">
      <c r="A115" s="137"/>
      <c r="B115" s="4" t="s">
        <v>1471</v>
      </c>
      <c r="C115" s="72"/>
      <c r="D115" s="72"/>
      <c r="E115" s="5">
        <v>-1999</v>
      </c>
      <c r="F115" s="5">
        <v>-7548</v>
      </c>
      <c r="G115" s="5">
        <v>-11597</v>
      </c>
      <c r="H115" s="5"/>
      <c r="I115" s="5"/>
      <c r="J115" s="5"/>
      <c r="K115" s="5"/>
      <c r="L115" s="5">
        <v>-15481</v>
      </c>
      <c r="M115" s="12"/>
      <c r="N115" s="12"/>
      <c r="O115" s="12"/>
      <c r="P115" s="12"/>
      <c r="Q115" s="5">
        <v>-7997</v>
      </c>
      <c r="R115" s="12"/>
      <c r="S115" s="12"/>
      <c r="T115" s="12"/>
      <c r="U115" s="12"/>
      <c r="V115" s="5">
        <v>-2414</v>
      </c>
      <c r="W115" s="73"/>
      <c r="X115" s="73"/>
      <c r="Y115" s="73"/>
      <c r="Z115" s="73"/>
      <c r="AA115" s="5">
        <v>0</v>
      </c>
      <c r="AB115" s="73"/>
      <c r="AC115" s="73"/>
      <c r="AD115" s="73"/>
      <c r="AE115" s="73"/>
      <c r="AF115" s="5">
        <v>0</v>
      </c>
      <c r="AG115" s="12">
        <v>0</v>
      </c>
      <c r="AH115" s="12">
        <v>0</v>
      </c>
      <c r="AI115" s="12">
        <v>0</v>
      </c>
      <c r="AJ115" s="12">
        <f>AK115-AI115-AH115-AG115</f>
        <v>0</v>
      </c>
      <c r="AK115" s="5">
        <v>0</v>
      </c>
      <c r="AL115" s="12">
        <v>0</v>
      </c>
      <c r="AM115" s="12">
        <v>0</v>
      </c>
      <c r="AN115" s="12">
        <f>Other!AN36</f>
        <v>0</v>
      </c>
      <c r="AO115" s="12">
        <f>Other!AO36</f>
        <v>0</v>
      </c>
      <c r="AP115" s="5">
        <f>SUM(AL115:AO115)</f>
        <v>0</v>
      </c>
      <c r="AQ115" s="12">
        <v>-850</v>
      </c>
      <c r="AR115" s="12">
        <f>-2469-AQ115</f>
        <v>-1619</v>
      </c>
      <c r="AS115" s="12">
        <f>-3963-AR115-AQ115</f>
        <v>-1494</v>
      </c>
      <c r="AT115" s="12">
        <f>AU115-AS115-AR115-AQ115</f>
        <v>-2960</v>
      </c>
      <c r="AU115" s="5">
        <v>-6923</v>
      </c>
      <c r="AV115" s="12">
        <v>-1026</v>
      </c>
      <c r="AW115" s="12">
        <f>-1527-AV115</f>
        <v>-501</v>
      </c>
      <c r="AX115" s="12">
        <f>-3147-AW115-AV115</f>
        <v>-1620</v>
      </c>
      <c r="AY115" s="12">
        <f>AZ115-AX115-AW115-AV115</f>
        <v>-219</v>
      </c>
      <c r="AZ115" s="5">
        <v>-3366</v>
      </c>
      <c r="BA115" s="12">
        <v>0</v>
      </c>
      <c r="BB115" s="12">
        <f ca="1">Other!BB36</f>
        <v>0</v>
      </c>
      <c r="BC115" s="12">
        <f ca="1">Other!BC36</f>
        <v>0</v>
      </c>
      <c r="BD115" s="12">
        <f ca="1">BE115-BC115-BB115-BA115</f>
        <v>0</v>
      </c>
      <c r="BE115" s="5">
        <v>0</v>
      </c>
      <c r="BF115" s="12">
        <v>0</v>
      </c>
      <c r="BG115" s="12">
        <f ca="1">Other!BG36</f>
        <v>0</v>
      </c>
      <c r="BH115" s="12">
        <f ca="1">Other!BH36</f>
        <v>0</v>
      </c>
      <c r="BI115" s="12">
        <v>0</v>
      </c>
      <c r="BJ115" s="5">
        <f ca="1">SUM(BF115:BI115)</f>
        <v>0</v>
      </c>
      <c r="BK115" s="12">
        <f ca="1">Other!BK36</f>
        <v>0</v>
      </c>
      <c r="BL115" s="12">
        <v>0</v>
      </c>
      <c r="BM115" s="12">
        <v>0</v>
      </c>
      <c r="BN115" s="12">
        <f ca="1">-343-BM115-BL115-BK115</f>
        <v>-343</v>
      </c>
      <c r="BO115" s="5">
        <f ca="1">SUM(BK115:BN115)</f>
        <v>-343</v>
      </c>
      <c r="BP115" s="209">
        <f>Other!BP36</f>
        <v>-357.11</v>
      </c>
      <c r="BQ115" s="209">
        <f>Other!BQ36</f>
        <v>-344.75514260482458</v>
      </c>
      <c r="BR115" s="209">
        <f>Other!BR36</f>
        <v>-344.72306302615851</v>
      </c>
      <c r="BS115" s="209">
        <f>Other!BS36</f>
        <v>-344.72297973103548</v>
      </c>
      <c r="BT115" s="5">
        <f>SUM(BP115:BS115)</f>
        <v>-1391.3111853620185</v>
      </c>
      <c r="BU115" s="209">
        <f>Other!BU36</f>
        <v>-344.72297951475838</v>
      </c>
      <c r="BV115" s="209">
        <f>Other!BV36</f>
        <v>-344.72297951419677</v>
      </c>
      <c r="BW115" s="209">
        <f>Other!BW36</f>
        <v>-344.72297951419534</v>
      </c>
      <c r="BX115" s="209">
        <f>Other!BX36</f>
        <v>-344.72297951419534</v>
      </c>
      <c r="BY115" s="5">
        <f>SUM(BU115:BX115)</f>
        <v>-1378.8919180573457</v>
      </c>
      <c r="BZ115" s="209">
        <f>Other!BZ36</f>
        <v>-344.72297951419534</v>
      </c>
      <c r="CA115" s="209">
        <f>Other!CA36</f>
        <v>-344.72297951419534</v>
      </c>
      <c r="CB115" s="209">
        <f>Other!CB36</f>
        <v>-344.72297951419534</v>
      </c>
      <c r="CC115" s="209">
        <f>Other!CC36</f>
        <v>-344.72297951419534</v>
      </c>
      <c r="CD115" s="5">
        <f>SUM(BZ115:CC115)</f>
        <v>-1378.8919180567814</v>
      </c>
      <c r="CE115" s="5"/>
      <c r="CF115" s="5"/>
      <c r="CG115" s="5"/>
      <c r="CH115" s="5"/>
      <c r="CI115" s="5"/>
      <c r="CJ115" s="5"/>
    </row>
    <row r="116" spans="1:88">
      <c r="A116" s="253"/>
      <c r="B116" s="121" t="s">
        <v>2202</v>
      </c>
      <c r="C116" s="72"/>
      <c r="D116" s="72"/>
      <c r="E116" s="5">
        <v>334</v>
      </c>
      <c r="F116" s="5">
        <v>730</v>
      </c>
      <c r="G116" s="5">
        <v>695</v>
      </c>
      <c r="H116" s="5"/>
      <c r="I116" s="5"/>
      <c r="J116" s="5"/>
      <c r="K116" s="5"/>
      <c r="L116" s="5">
        <v>747</v>
      </c>
      <c r="M116" s="12"/>
      <c r="N116" s="12"/>
      <c r="O116" s="12"/>
      <c r="P116" s="12"/>
      <c r="Q116" s="5">
        <v>804</v>
      </c>
      <c r="R116" s="12"/>
      <c r="S116" s="12"/>
      <c r="T116" s="12"/>
      <c r="U116" s="12"/>
      <c r="V116" s="5">
        <v>617</v>
      </c>
      <c r="W116" s="73"/>
      <c r="X116" s="73"/>
      <c r="Y116" s="73"/>
      <c r="Z116" s="73"/>
      <c r="AA116" s="5">
        <v>721</v>
      </c>
      <c r="AB116" s="73"/>
      <c r="AC116" s="73"/>
      <c r="AD116" s="73"/>
      <c r="AE116" s="73"/>
      <c r="AF116" s="5">
        <v>339</v>
      </c>
      <c r="AG116" s="12">
        <v>-110</v>
      </c>
      <c r="AH116" s="12">
        <f>25-AG116</f>
        <v>135</v>
      </c>
      <c r="AI116" s="12">
        <f>161-AH116-AG116</f>
        <v>136</v>
      </c>
      <c r="AJ116" s="12">
        <f>AK116-AI116-AH116-AG116</f>
        <v>-169</v>
      </c>
      <c r="AK116" s="5">
        <v>-8</v>
      </c>
      <c r="AL116" s="12">
        <v>59</v>
      </c>
      <c r="AM116" s="12">
        <f>177-AL116</f>
        <v>118</v>
      </c>
      <c r="AN116" s="12">
        <f>338-AM116-AL116</f>
        <v>161</v>
      </c>
      <c r="AO116" s="12">
        <f>284-AN116-AM116-AL116</f>
        <v>-54</v>
      </c>
      <c r="AP116" s="5">
        <f>SUM(AL116:AO116)</f>
        <v>284</v>
      </c>
      <c r="AQ116" s="12">
        <v>176</v>
      </c>
      <c r="AR116" s="12">
        <f>378-AQ116</f>
        <v>202</v>
      </c>
      <c r="AS116" s="12">
        <f>477-AR116-AQ116</f>
        <v>99</v>
      </c>
      <c r="AT116" s="12">
        <f>AU116-AS116-AR116-AQ116</f>
        <v>-4</v>
      </c>
      <c r="AU116" s="5">
        <v>473</v>
      </c>
      <c r="AV116" s="12">
        <v>327</v>
      </c>
      <c r="AW116" s="12">
        <f>576-AV116</f>
        <v>249</v>
      </c>
      <c r="AX116" s="12">
        <f>452-AW116-AV116</f>
        <v>-124</v>
      </c>
      <c r="AY116" s="12">
        <f>AZ116-AX116-AW116-AV116</f>
        <v>-267</v>
      </c>
      <c r="AZ116" s="5">
        <v>185</v>
      </c>
      <c r="BA116" s="12">
        <v>51</v>
      </c>
      <c r="BB116" s="12">
        <f>300-BA116</f>
        <v>249</v>
      </c>
      <c r="BC116" s="12">
        <f>486-BB116-BA116</f>
        <v>186</v>
      </c>
      <c r="BD116" s="12">
        <f>BE116-BC116-BB116-BA116</f>
        <v>170</v>
      </c>
      <c r="BE116" s="5">
        <v>656</v>
      </c>
      <c r="BF116" s="12">
        <v>265</v>
      </c>
      <c r="BG116" s="12">
        <f>447-BF116</f>
        <v>182</v>
      </c>
      <c r="BH116" s="12">
        <f>622-BG116-BF116</f>
        <v>175</v>
      </c>
      <c r="BI116" s="12">
        <f>+BJ116-SUM(BF116:BH116)</f>
        <v>2369</v>
      </c>
      <c r="BJ116" s="5">
        <v>2991</v>
      </c>
      <c r="BK116" s="12">
        <v>177</v>
      </c>
      <c r="BL116" s="12">
        <f>334-BK116</f>
        <v>157</v>
      </c>
      <c r="BM116" s="12">
        <f>514-BL116-BK116</f>
        <v>180</v>
      </c>
      <c r="BN116" s="12">
        <f>687-BM116-BL116-BK116</f>
        <v>173</v>
      </c>
      <c r="BO116" s="5">
        <f>SUM(BK116:BN116)</f>
        <v>687</v>
      </c>
      <c r="BP116" s="209">
        <v>0</v>
      </c>
      <c r="BQ116" s="209">
        <v>0</v>
      </c>
      <c r="BR116" s="209">
        <v>0</v>
      </c>
      <c r="BS116" s="209">
        <v>0</v>
      </c>
      <c r="BT116" s="5">
        <f>SUM(BP116:BS116)</f>
        <v>0</v>
      </c>
      <c r="BU116" s="209">
        <v>0</v>
      </c>
      <c r="BV116" s="209">
        <v>0</v>
      </c>
      <c r="BW116" s="209">
        <v>0</v>
      </c>
      <c r="BX116" s="209">
        <v>0</v>
      </c>
      <c r="BY116" s="5">
        <f>SUM(BU116:BX116)</f>
        <v>0</v>
      </c>
      <c r="BZ116" s="209">
        <v>0</v>
      </c>
      <c r="CA116" s="209">
        <v>0</v>
      </c>
      <c r="CB116" s="209">
        <v>0</v>
      </c>
      <c r="CC116" s="209">
        <v>0</v>
      </c>
      <c r="CD116" s="5">
        <f>SUM(BZ116:CC116)</f>
        <v>0</v>
      </c>
      <c r="CE116" s="5"/>
      <c r="CF116" s="5"/>
      <c r="CG116" s="5"/>
      <c r="CH116" s="5"/>
      <c r="CI116" s="5"/>
      <c r="CJ116" s="5"/>
    </row>
    <row r="117" spans="1:88">
      <c r="A117" s="253"/>
      <c r="B117" s="121" t="s">
        <v>1470</v>
      </c>
      <c r="C117" s="72"/>
      <c r="D117" s="72"/>
      <c r="E117" s="5">
        <v>0</v>
      </c>
      <c r="F117" s="5">
        <v>1250</v>
      </c>
      <c r="G117" s="5">
        <v>1250</v>
      </c>
      <c r="H117" s="5"/>
      <c r="I117" s="5"/>
      <c r="J117" s="5"/>
      <c r="K117" s="5"/>
      <c r="L117" s="5">
        <v>1250</v>
      </c>
      <c r="M117" s="12"/>
      <c r="N117" s="12"/>
      <c r="O117" s="12"/>
      <c r="P117" s="12"/>
      <c r="Q117" s="5">
        <v>0</v>
      </c>
      <c r="R117" s="12"/>
      <c r="S117" s="12"/>
      <c r="T117" s="12"/>
      <c r="U117" s="12"/>
      <c r="V117" s="5">
        <v>0</v>
      </c>
      <c r="W117" s="73"/>
      <c r="X117" s="73"/>
      <c r="Y117" s="73"/>
      <c r="Z117" s="73"/>
      <c r="AA117" s="5">
        <v>-43</v>
      </c>
      <c r="AB117" s="73"/>
      <c r="AC117" s="73"/>
      <c r="AD117" s="73"/>
      <c r="AE117" s="73"/>
      <c r="AF117" s="5">
        <v>0</v>
      </c>
      <c r="AG117" s="12">
        <v>0</v>
      </c>
      <c r="AH117" s="12">
        <v>0</v>
      </c>
      <c r="AI117" s="12">
        <v>0</v>
      </c>
      <c r="AJ117" s="12">
        <f>AK117-AI117-AH117-AG117</f>
        <v>0</v>
      </c>
      <c r="AK117" s="5">
        <v>0</v>
      </c>
      <c r="AL117" s="12">
        <v>0</v>
      </c>
      <c r="AM117" s="12">
        <v>0</v>
      </c>
      <c r="AN117" s="12">
        <v>0</v>
      </c>
      <c r="AO117" s="12">
        <v>0</v>
      </c>
      <c r="AP117" s="5">
        <f>SUM(AL117:AO117)</f>
        <v>0</v>
      </c>
      <c r="AQ117" s="12">
        <v>0</v>
      </c>
      <c r="AR117" s="12">
        <v>0</v>
      </c>
      <c r="AS117" s="12">
        <f>-761-AR117-AQ117</f>
        <v>-761</v>
      </c>
      <c r="AT117" s="12">
        <f>AU117-AS117-AR117-AQ117</f>
        <v>834</v>
      </c>
      <c r="AU117" s="5">
        <v>73</v>
      </c>
      <c r="AV117" s="12">
        <v>0</v>
      </c>
      <c r="AW117" s="12">
        <v>0</v>
      </c>
      <c r="AX117" s="12">
        <v>80</v>
      </c>
      <c r="AY117" s="12">
        <f>AZ117-AX117-AW117-AV117</f>
        <v>-7</v>
      </c>
      <c r="AZ117" s="5">
        <v>73</v>
      </c>
      <c r="BA117" s="12">
        <v>0</v>
      </c>
      <c r="BB117" s="12">
        <f>-3-BA117</f>
        <v>-3</v>
      </c>
      <c r="BC117" s="12">
        <f>-3-BB117-BA117</f>
        <v>0</v>
      </c>
      <c r="BD117" s="12">
        <f>BE117-BC117-BB117-BA117</f>
        <v>43</v>
      </c>
      <c r="BE117" s="5">
        <v>40</v>
      </c>
      <c r="BF117" s="12">
        <v>0</v>
      </c>
      <c r="BG117" s="12">
        <f>65-BF117</f>
        <v>65</v>
      </c>
      <c r="BH117" s="12">
        <f>49-BG117-BF117</f>
        <v>-16</v>
      </c>
      <c r="BI117" s="12">
        <f>BJ117-BH117-BG117-BF117</f>
        <v>57</v>
      </c>
      <c r="BJ117" s="5">
        <v>106</v>
      </c>
      <c r="BK117" s="12">
        <v>118</v>
      </c>
      <c r="BL117" s="12">
        <f>198-BK117</f>
        <v>80</v>
      </c>
      <c r="BM117" s="12">
        <f>206-BL117-BK117</f>
        <v>8</v>
      </c>
      <c r="BN117" s="12">
        <f>215-BM117-BL117-BK117</f>
        <v>9</v>
      </c>
      <c r="BO117" s="5">
        <f>SUM(BK117:BN117)</f>
        <v>215</v>
      </c>
      <c r="BP117" s="209">
        <v>0</v>
      </c>
      <c r="BQ117" s="209">
        <v>0</v>
      </c>
      <c r="BR117" s="209">
        <v>0</v>
      </c>
      <c r="BS117" s="209">
        <v>0</v>
      </c>
      <c r="BT117" s="5">
        <f>SUM(BP117:BS117)</f>
        <v>0</v>
      </c>
      <c r="BU117" s="209">
        <v>0</v>
      </c>
      <c r="BV117" s="209">
        <v>0</v>
      </c>
      <c r="BW117" s="209">
        <v>0</v>
      </c>
      <c r="BX117" s="209">
        <v>0</v>
      </c>
      <c r="BY117" s="5">
        <f>SUM(BU117:BX117)</f>
        <v>0</v>
      </c>
      <c r="BZ117" s="209">
        <v>0</v>
      </c>
      <c r="CA117" s="209">
        <v>0</v>
      </c>
      <c r="CB117" s="209">
        <v>0</v>
      </c>
      <c r="CC117" s="209">
        <v>0</v>
      </c>
      <c r="CD117" s="5">
        <f>SUM(BZ117:CC117)</f>
        <v>0</v>
      </c>
      <c r="CE117" s="5"/>
      <c r="CF117" s="5"/>
      <c r="CG117" s="5"/>
      <c r="CH117" s="5"/>
      <c r="CI117" s="5"/>
      <c r="CJ117" s="5"/>
    </row>
    <row r="118" spans="1:88">
      <c r="A118" s="253"/>
      <c r="B118" s="121" t="s">
        <v>2497</v>
      </c>
      <c r="C118" s="72"/>
      <c r="D118" s="72"/>
      <c r="E118" s="5">
        <v>317</v>
      </c>
      <c r="F118" s="5">
        <v>0</v>
      </c>
      <c r="G118" s="5">
        <v>0</v>
      </c>
      <c r="H118" s="5"/>
      <c r="I118" s="5"/>
      <c r="J118" s="5"/>
      <c r="K118" s="5"/>
      <c r="L118" s="5">
        <v>-19</v>
      </c>
      <c r="M118" s="12"/>
      <c r="N118" s="12"/>
      <c r="O118" s="12"/>
      <c r="P118" s="12"/>
      <c r="Q118" s="5">
        <v>0</v>
      </c>
      <c r="R118" s="12"/>
      <c r="S118" s="12"/>
      <c r="T118" s="12"/>
      <c r="U118" s="12"/>
      <c r="V118" s="5">
        <v>-165</v>
      </c>
      <c r="W118" s="73"/>
      <c r="X118" s="73"/>
      <c r="Y118" s="73"/>
      <c r="Z118" s="73"/>
      <c r="AA118" s="5">
        <v>-37</v>
      </c>
      <c r="AB118" s="73"/>
      <c r="AC118" s="73"/>
      <c r="AD118" s="73"/>
      <c r="AE118" s="73"/>
      <c r="AF118" s="5">
        <v>301</v>
      </c>
      <c r="AG118" s="12">
        <v>0</v>
      </c>
      <c r="AH118" s="12">
        <v>1</v>
      </c>
      <c r="AI118" s="12">
        <f>-51-AH118-AG118</f>
        <v>-52</v>
      </c>
      <c r="AJ118" s="12">
        <f>AK118-AI118-AH118-AG118</f>
        <v>-22</v>
      </c>
      <c r="AK118" s="5">
        <v>-73</v>
      </c>
      <c r="AL118" s="12">
        <v>11</v>
      </c>
      <c r="AM118" s="12">
        <f>25-AL118</f>
        <v>14</v>
      </c>
      <c r="AN118" s="12">
        <f>31-AM118-AL118</f>
        <v>6</v>
      </c>
      <c r="AO118" s="12">
        <f>33-AN118-AL118-AM118</f>
        <v>2</v>
      </c>
      <c r="AP118" s="5">
        <f>SUM(AL118:AO118)</f>
        <v>33</v>
      </c>
      <c r="AQ118" s="12">
        <f>19+119752-AP120</f>
        <v>151</v>
      </c>
      <c r="AR118" s="12">
        <f>119752-AP120+35-AQ118</f>
        <v>16</v>
      </c>
      <c r="AS118" s="12">
        <f>69-AR118-AQ118+119752-AP120</f>
        <v>34</v>
      </c>
      <c r="AT118" s="12">
        <f>AU118-AS118-AR118-AQ118</f>
        <v>7</v>
      </c>
      <c r="AU118" s="5">
        <f>76+119752-AP120</f>
        <v>208</v>
      </c>
      <c r="AV118" s="12">
        <v>2</v>
      </c>
      <c r="AW118" s="12">
        <f>3-AV118</f>
        <v>1</v>
      </c>
      <c r="AX118" s="12">
        <f>4-AW118-AV118</f>
        <v>1</v>
      </c>
      <c r="AY118" s="12">
        <f>AZ118-AX118-AW118-AV118</f>
        <v>156</v>
      </c>
      <c r="AZ118" s="5">
        <f>160+130407-AU120</f>
        <v>160</v>
      </c>
      <c r="BA118" s="12">
        <v>-3</v>
      </c>
      <c r="BB118" s="12">
        <f>-2-BA118</f>
        <v>1</v>
      </c>
      <c r="BC118" s="12">
        <f>23-BB118-BA118</f>
        <v>25</v>
      </c>
      <c r="BD118" s="12">
        <f>BE118-BC118-BB118-BA118</f>
        <v>-6</v>
      </c>
      <c r="BE118" s="5">
        <v>17</v>
      </c>
      <c r="BF118" s="12">
        <v>65</v>
      </c>
      <c r="BG118" s="12">
        <f>435-BF118</f>
        <v>370</v>
      </c>
      <c r="BH118" s="12">
        <f>759-BG118-BF118</f>
        <v>324</v>
      </c>
      <c r="BI118" s="12">
        <f>BJ118-BH118-BG118-BF118</f>
        <v>134</v>
      </c>
      <c r="BJ118" s="5">
        <v>893</v>
      </c>
      <c r="BK118" s="12">
        <v>38</v>
      </c>
      <c r="BL118" s="12">
        <f>90-BK118</f>
        <v>52</v>
      </c>
      <c r="BM118" s="12">
        <f>88-BL118-BK118</f>
        <v>-2</v>
      </c>
      <c r="BN118" s="12">
        <f>812-BM118-BL118-BK118</f>
        <v>724</v>
      </c>
      <c r="BO118" s="5">
        <f>SUM(BK118:BN118)</f>
        <v>812</v>
      </c>
      <c r="BP118" s="209">
        <v>0</v>
      </c>
      <c r="BQ118" s="209">
        <v>0</v>
      </c>
      <c r="BR118" s="209">
        <v>0</v>
      </c>
      <c r="BS118" s="209">
        <v>0</v>
      </c>
      <c r="BT118" s="5">
        <f>SUM(BP118:BS118)</f>
        <v>0</v>
      </c>
      <c r="BU118" s="209">
        <v>0</v>
      </c>
      <c r="BV118" s="209">
        <v>0</v>
      </c>
      <c r="BW118" s="209">
        <v>0</v>
      </c>
      <c r="BX118" s="209">
        <v>0</v>
      </c>
      <c r="BY118" s="5">
        <f>SUM(BU118:BX118)</f>
        <v>0</v>
      </c>
      <c r="BZ118" s="209">
        <v>0</v>
      </c>
      <c r="CA118" s="209">
        <v>0</v>
      </c>
      <c r="CB118" s="209">
        <v>0</v>
      </c>
      <c r="CC118" s="209">
        <v>0</v>
      </c>
      <c r="CD118" s="5">
        <f>SUM(BZ118:CC118)</f>
        <v>0</v>
      </c>
      <c r="CE118" s="5"/>
      <c r="CF118" s="5"/>
      <c r="CG118" s="5"/>
      <c r="CH118" s="5"/>
      <c r="CI118" s="5"/>
      <c r="CJ118" s="5"/>
    </row>
    <row r="119" spans="1:88">
      <c r="A119" s="253"/>
      <c r="B119" s="121" t="s">
        <v>1246</v>
      </c>
      <c r="C119" s="72"/>
      <c r="D119" s="72"/>
      <c r="E119" s="5">
        <v>117</v>
      </c>
      <c r="F119" s="5">
        <v>18</v>
      </c>
      <c r="G119" s="5">
        <v>-249</v>
      </c>
      <c r="H119" s="5"/>
      <c r="I119" s="5"/>
      <c r="J119" s="5"/>
      <c r="K119" s="5"/>
      <c r="L119" s="72"/>
      <c r="M119" s="93"/>
      <c r="N119" s="93"/>
      <c r="O119" s="93"/>
      <c r="P119" s="93"/>
      <c r="Q119" s="72"/>
      <c r="R119" s="93"/>
      <c r="S119" s="93"/>
      <c r="T119" s="93"/>
      <c r="U119" s="93"/>
      <c r="V119" s="72"/>
      <c r="W119" s="73"/>
      <c r="X119" s="73"/>
      <c r="Y119" s="73"/>
      <c r="Z119" s="73"/>
      <c r="AA119" s="72"/>
      <c r="AB119" s="73"/>
      <c r="AC119" s="73"/>
      <c r="AD119" s="73"/>
      <c r="AE119" s="73"/>
      <c r="AF119" s="72"/>
      <c r="AG119" s="93"/>
      <c r="AH119" s="93"/>
      <c r="AI119" s="93"/>
      <c r="AJ119" s="93"/>
      <c r="AK119" s="72"/>
      <c r="AL119" s="93"/>
      <c r="AM119" s="93"/>
      <c r="AN119" s="93"/>
      <c r="AO119" s="93"/>
      <c r="AP119" s="72"/>
      <c r="AQ119" s="93"/>
      <c r="AR119" s="93"/>
      <c r="AS119" s="93"/>
      <c r="AT119" s="93"/>
      <c r="AU119" s="72"/>
      <c r="AV119" s="93"/>
      <c r="AW119" s="93"/>
      <c r="AX119" s="93"/>
      <c r="AY119" s="93"/>
      <c r="AZ119" s="72"/>
      <c r="BA119" s="93"/>
      <c r="BB119" s="93"/>
      <c r="BC119" s="93"/>
      <c r="BD119" s="93"/>
      <c r="BE119" s="72"/>
      <c r="BF119" s="93"/>
      <c r="BG119" s="93"/>
      <c r="BH119" s="93"/>
      <c r="BI119" s="93"/>
      <c r="BJ119" s="72"/>
      <c r="BK119" s="93"/>
      <c r="BL119" s="93"/>
      <c r="BM119" s="93"/>
      <c r="BN119" s="93"/>
      <c r="BO119" s="72"/>
      <c r="BP119" s="72"/>
      <c r="BQ119" s="72"/>
      <c r="BR119" s="72"/>
      <c r="BS119" s="72"/>
      <c r="BT119" s="72"/>
      <c r="BU119" s="72"/>
      <c r="BV119" s="72"/>
      <c r="BW119" s="72"/>
      <c r="BX119" s="72"/>
      <c r="BY119" s="72"/>
      <c r="BZ119" s="72"/>
      <c r="CA119" s="72"/>
      <c r="CB119" s="72"/>
      <c r="CC119" s="72"/>
      <c r="CD119" s="72"/>
      <c r="CE119" s="5"/>
      <c r="CF119" s="5"/>
      <c r="CG119" s="5"/>
      <c r="CH119" s="5"/>
      <c r="CI119" s="5"/>
      <c r="CJ119" s="5"/>
    </row>
    <row r="120" spans="1:88">
      <c r="A120" s="148" t="s">
        <v>254</v>
      </c>
      <c r="B120" s="7"/>
      <c r="C120" s="72"/>
      <c r="D120" s="72"/>
      <c r="E120" s="8">
        <f>F112</f>
        <v>70264</v>
      </c>
      <c r="F120" s="8">
        <f>SUM(F112:F119)</f>
        <v>78235</v>
      </c>
      <c r="G120" s="8">
        <f>SUM(G112:G119)</f>
        <v>80765</v>
      </c>
      <c r="H120" s="8"/>
      <c r="I120" s="8"/>
      <c r="J120" s="8"/>
      <c r="K120" s="8"/>
      <c r="L120" s="8">
        <f>SUM(L112:L119)</f>
        <v>85465</v>
      </c>
      <c r="M120" s="66"/>
      <c r="N120" s="66"/>
      <c r="O120" s="66"/>
      <c r="P120" s="66"/>
      <c r="Q120" s="8">
        <f>V112</f>
        <v>94652</v>
      </c>
      <c r="R120" s="66"/>
      <c r="S120" s="66"/>
      <c r="T120" s="66"/>
      <c r="U120" s="66"/>
      <c r="V120" s="8">
        <f>'Balance sheet'!V65</f>
        <v>92109</v>
      </c>
      <c r="W120" s="66">
        <f>'Balance sheet'!W65</f>
        <v>91179</v>
      </c>
      <c r="X120" s="66">
        <f>'Balance sheet'!X65</f>
        <v>96949</v>
      </c>
      <c r="Y120" s="66">
        <f>'Balance sheet'!Y65</f>
        <v>100803</v>
      </c>
      <c r="Z120" s="66">
        <f>'Balance sheet'!Z65</f>
        <v>102113</v>
      </c>
      <c r="AA120" s="8">
        <f>'Balance sheet'!AA65</f>
        <v>102113</v>
      </c>
      <c r="AB120" s="66">
        <f>'Balance sheet'!AB65</f>
        <v>104978</v>
      </c>
      <c r="AC120" s="66">
        <f>'Balance sheet'!AC65</f>
        <v>86362</v>
      </c>
      <c r="AD120" s="66">
        <f>'Balance sheet'!AD65</f>
        <v>90366</v>
      </c>
      <c r="AE120" s="66">
        <f>'Balance sheet'!AE65</f>
        <v>95891</v>
      </c>
      <c r="AF120" s="8">
        <f>'Balance sheet'!AF65</f>
        <v>95891</v>
      </c>
      <c r="AG120" s="66">
        <f t="shared" ref="AG120:BM120" si="77">SUM(AG112:AG118)</f>
        <v>103313</v>
      </c>
      <c r="AH120" s="66">
        <f t="shared" si="77"/>
        <v>108636</v>
      </c>
      <c r="AI120" s="66">
        <f t="shared" si="77"/>
        <v>110659</v>
      </c>
      <c r="AJ120" s="66">
        <f t="shared" si="77"/>
        <v>112482</v>
      </c>
      <c r="AK120" s="8">
        <f t="shared" si="77"/>
        <v>112482</v>
      </c>
      <c r="AL120" s="66">
        <f t="shared" si="77"/>
        <v>119220</v>
      </c>
      <c r="AM120" s="66">
        <f t="shared" si="77"/>
        <v>113323</v>
      </c>
      <c r="AN120" s="66">
        <f t="shared" si="77"/>
        <v>118773</v>
      </c>
      <c r="AO120" s="66">
        <f t="shared" si="77"/>
        <v>119620</v>
      </c>
      <c r="AP120" s="8">
        <f t="shared" si="77"/>
        <v>119620</v>
      </c>
      <c r="AQ120" s="66">
        <f t="shared" si="77"/>
        <v>131085</v>
      </c>
      <c r="AR120" s="66">
        <f t="shared" si="77"/>
        <v>130133</v>
      </c>
      <c r="AS120" s="66">
        <f t="shared" si="77"/>
        <v>131251</v>
      </c>
      <c r="AT120" s="66">
        <f>SUM(AT112:AT118)</f>
        <v>130407</v>
      </c>
      <c r="AU120" s="8">
        <f t="shared" si="77"/>
        <v>130407</v>
      </c>
      <c r="AV120" s="66">
        <f t="shared" si="77"/>
        <v>130200</v>
      </c>
      <c r="AW120" s="66">
        <f t="shared" si="77"/>
        <v>132978</v>
      </c>
      <c r="AX120" s="66">
        <f t="shared" si="77"/>
        <v>126894</v>
      </c>
      <c r="AY120" s="66">
        <f t="shared" si="77"/>
        <v>112642</v>
      </c>
      <c r="AZ120" s="8">
        <f t="shared" si="77"/>
        <v>112642</v>
      </c>
      <c r="BA120" s="66">
        <f t="shared" si="77"/>
        <v>111509</v>
      </c>
      <c r="BB120" s="66">
        <f t="shared" ca="1" si="77"/>
        <v>107351</v>
      </c>
      <c r="BC120" s="66">
        <f ca="1">SUM(BC112:BC118)</f>
        <v>102599</v>
      </c>
      <c r="BD120" s="66">
        <f t="shared" ca="1" si="77"/>
        <v>98387</v>
      </c>
      <c r="BE120" s="8">
        <f t="shared" si="77"/>
        <v>98387</v>
      </c>
      <c r="BF120" s="66">
        <f>SUM(BF112:BF118)</f>
        <v>97289</v>
      </c>
      <c r="BG120" s="66">
        <f t="shared" ref="BG120" ca="1" si="78">SUM(BG112:BG118)</f>
        <v>94108</v>
      </c>
      <c r="BH120" s="66">
        <f t="shared" ca="1" si="77"/>
        <v>92797</v>
      </c>
      <c r="BI120" s="66">
        <f t="shared" ref="BI120" ca="1" si="79">SUM(BI112:BI118)</f>
        <v>96843</v>
      </c>
      <c r="BJ120" s="8">
        <f t="shared" ca="1" si="77"/>
        <v>96843</v>
      </c>
      <c r="BK120" s="66">
        <f t="shared" ca="1" si="77"/>
        <v>99282</v>
      </c>
      <c r="BL120" s="66">
        <f t="shared" ca="1" si="77"/>
        <v>98461</v>
      </c>
      <c r="BM120" s="66">
        <f t="shared" ca="1" si="77"/>
        <v>100138</v>
      </c>
      <c r="BN120" s="66">
        <f t="shared" ref="BN120:CD120" ca="1" si="80">SUM(BN112:BN118)</f>
        <v>100404</v>
      </c>
      <c r="BO120" s="8">
        <f t="shared" ca="1" si="80"/>
        <v>100404</v>
      </c>
      <c r="BP120" s="66">
        <f t="shared" ca="1" si="80"/>
        <v>100615.77084162632</v>
      </c>
      <c r="BQ120" s="66">
        <f t="shared" ca="1" si="80"/>
        <v>101752.54115988484</v>
      </c>
      <c r="BR120" s="66">
        <f t="shared" ca="1" si="80"/>
        <v>102932.71594621539</v>
      </c>
      <c r="BS120" s="66">
        <f t="shared" ca="1" si="80"/>
        <v>103714.63882824135</v>
      </c>
      <c r="BT120" s="8">
        <f t="shared" ca="1" si="80"/>
        <v>103714.63882824135</v>
      </c>
      <c r="BU120" s="66">
        <f t="shared" ca="1" si="80"/>
        <v>104543.17542125835</v>
      </c>
      <c r="BV120" s="66">
        <f t="shared" ca="1" si="80"/>
        <v>105343.43637413729</v>
      </c>
      <c r="BW120" s="66">
        <f t="shared" ca="1" si="80"/>
        <v>106264.86417412001</v>
      </c>
      <c r="BX120" s="66">
        <f t="shared" ca="1" si="80"/>
        <v>107076.11637349779</v>
      </c>
      <c r="BY120" s="8">
        <f t="shared" ca="1" si="80"/>
        <v>107076.11637349776</v>
      </c>
      <c r="BZ120" s="66">
        <f t="shared" ca="1" si="80"/>
        <v>108327.72135175778</v>
      </c>
      <c r="CA120" s="66">
        <f t="shared" ca="1" si="80"/>
        <v>109572.47641915335</v>
      </c>
      <c r="CB120" s="66">
        <f t="shared" ca="1" si="80"/>
        <v>110956.59586365925</v>
      </c>
      <c r="CC120" s="66">
        <f t="shared" ca="1" si="80"/>
        <v>112257.6651829981</v>
      </c>
      <c r="CD120" s="8">
        <f t="shared" ca="1" si="80"/>
        <v>112257.66518299807</v>
      </c>
      <c r="CE120" s="5"/>
      <c r="CF120" s="8"/>
      <c r="CG120" s="8"/>
      <c r="CH120" s="8"/>
      <c r="CI120" s="8"/>
      <c r="CJ120" s="8"/>
    </row>
    <row r="121" spans="1:88">
      <c r="A121" s="719"/>
      <c r="B121" s="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157"/>
      <c r="N121" s="157"/>
      <c r="O121" s="157"/>
      <c r="P121" s="157"/>
      <c r="Q121" s="29"/>
      <c r="R121" s="157"/>
      <c r="S121" s="157"/>
      <c r="T121" s="157"/>
      <c r="U121" s="157"/>
      <c r="V121" s="29"/>
      <c r="W121" s="157"/>
      <c r="X121" s="157"/>
      <c r="Y121" s="157"/>
      <c r="Z121" s="157"/>
      <c r="AA121" s="29"/>
      <c r="AB121" s="157"/>
      <c r="AC121" s="157"/>
      <c r="AD121" s="157"/>
      <c r="AE121" s="157"/>
      <c r="AF121" s="29"/>
      <c r="AG121" s="29"/>
      <c r="AH121" s="29"/>
      <c r="AI121" s="29"/>
      <c r="AJ121" s="29"/>
      <c r="AK121" s="29"/>
      <c r="AL121" s="92"/>
      <c r="AM121" s="92"/>
      <c r="AN121" s="92"/>
      <c r="AO121" s="92"/>
      <c r="AP121" s="92"/>
      <c r="AQ121" s="92"/>
      <c r="AR121" s="92"/>
      <c r="AS121" s="92"/>
      <c r="AT121" s="92"/>
      <c r="AU121" s="92"/>
      <c r="AV121" s="92"/>
      <c r="AW121" s="92"/>
      <c r="AX121" s="92"/>
      <c r="AY121" s="92"/>
      <c r="AZ121" s="92"/>
      <c r="BA121" s="92"/>
      <c r="BB121" s="92"/>
      <c r="BC121" s="92"/>
      <c r="BD121" s="92"/>
      <c r="BE121" s="92"/>
      <c r="BF121" s="92"/>
      <c r="BG121" s="92"/>
      <c r="BH121" s="92"/>
      <c r="BI121" s="92"/>
      <c r="BJ121" s="92">
        <f ca="1">-BJ120+'Balance sheet'!BJ65</f>
        <v>0</v>
      </c>
      <c r="BK121" s="92"/>
      <c r="BL121" s="92"/>
      <c r="BM121" s="92"/>
      <c r="BN121" s="92"/>
      <c r="BO121" s="92">
        <f>'Balance sheet'!BO65</f>
        <v>100404</v>
      </c>
      <c r="BP121" s="92"/>
      <c r="BQ121" s="92"/>
      <c r="BR121" s="92"/>
      <c r="BS121" s="92"/>
      <c r="BT121" s="92"/>
      <c r="BU121" s="92"/>
      <c r="BV121" s="92"/>
      <c r="BW121" s="92"/>
      <c r="BX121" s="92"/>
      <c r="BY121" s="92"/>
      <c r="BZ121" s="92"/>
      <c r="CA121" s="92"/>
      <c r="CB121" s="92"/>
      <c r="CC121" s="92"/>
      <c r="CD121" s="92"/>
      <c r="CE121" s="29"/>
      <c r="CF121" s="29"/>
      <c r="CG121" s="29"/>
      <c r="CH121" s="29"/>
      <c r="CI121" s="29"/>
      <c r="CJ121" s="29"/>
    </row>
    <row r="122" spans="1:88">
      <c r="A122" s="4"/>
      <c r="B122" s="4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12"/>
      <c r="AC122" s="12"/>
      <c r="AD122" s="12"/>
      <c r="AE122" s="12"/>
      <c r="AF122" s="5"/>
      <c r="AG122" s="12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>
        <f ca="1">BO121-BO120</f>
        <v>0</v>
      </c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</row>
    <row r="123" spans="1:88">
      <c r="A123" s="4"/>
      <c r="B123" s="4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12"/>
      <c r="AC123" s="12"/>
      <c r="AD123" s="12"/>
      <c r="AE123" s="12"/>
      <c r="AF123" s="5"/>
      <c r="AG123" s="12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</row>
    <row r="124" spans="1:88">
      <c r="A124" s="9" t="s">
        <v>1084</v>
      </c>
      <c r="B124" s="4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12"/>
      <c r="AC124" s="12"/>
      <c r="AD124" s="12"/>
      <c r="AE124" s="12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</row>
    <row r="125" spans="1:88" ht="12.75" customHeight="1">
      <c r="A125" s="10"/>
      <c r="B125" s="10"/>
      <c r="C125" s="31">
        <v>2001</v>
      </c>
      <c r="D125" s="32">
        <v>2002</v>
      </c>
      <c r="E125" s="32">
        <v>2003</v>
      </c>
      <c r="F125" s="32">
        <v>2004</v>
      </c>
      <c r="G125" s="31">
        <v>2005</v>
      </c>
      <c r="H125" s="33" t="s">
        <v>714</v>
      </c>
      <c r="I125" s="33" t="s">
        <v>715</v>
      </c>
      <c r="J125" s="33" t="s">
        <v>716</v>
      </c>
      <c r="K125" s="33" t="s">
        <v>717</v>
      </c>
      <c r="L125" s="31">
        <v>2006</v>
      </c>
      <c r="M125" s="33" t="s">
        <v>718</v>
      </c>
      <c r="N125" s="33" t="s">
        <v>719</v>
      </c>
      <c r="O125" s="33" t="s">
        <v>1970</v>
      </c>
      <c r="P125" s="33" t="s">
        <v>1971</v>
      </c>
      <c r="Q125" s="31">
        <v>2007</v>
      </c>
      <c r="R125" s="33" t="s">
        <v>1972</v>
      </c>
      <c r="S125" s="33" t="s">
        <v>1973</v>
      </c>
      <c r="T125" s="33" t="s">
        <v>1974</v>
      </c>
      <c r="U125" s="33" t="s">
        <v>1975</v>
      </c>
      <c r="V125" s="31">
        <v>2008</v>
      </c>
      <c r="W125" s="33" t="s">
        <v>1976</v>
      </c>
      <c r="X125" s="33" t="s">
        <v>1977</v>
      </c>
      <c r="Y125" s="33" t="s">
        <v>1978</v>
      </c>
      <c r="Z125" s="33" t="s">
        <v>1979</v>
      </c>
      <c r="AA125" s="31">
        <v>2009</v>
      </c>
      <c r="AB125" s="33" t="s">
        <v>1980</v>
      </c>
      <c r="AC125" s="33" t="s">
        <v>1981</v>
      </c>
      <c r="AD125" s="33" t="s">
        <v>1982</v>
      </c>
      <c r="AE125" s="33" t="s">
        <v>2392</v>
      </c>
      <c r="AF125" s="31">
        <v>2010</v>
      </c>
      <c r="AG125" s="33" t="s">
        <v>2393</v>
      </c>
      <c r="AH125" s="33" t="s">
        <v>2394</v>
      </c>
      <c r="AI125" s="33" t="s">
        <v>2395</v>
      </c>
      <c r="AJ125" s="33" t="s">
        <v>2396</v>
      </c>
      <c r="AK125" s="31">
        <v>2011</v>
      </c>
      <c r="AL125" s="368" t="s">
        <v>2397</v>
      </c>
      <c r="AM125" s="368" t="s">
        <v>2398</v>
      </c>
      <c r="AN125" s="368" t="s">
        <v>2399</v>
      </c>
      <c r="AO125" s="368" t="s">
        <v>2400</v>
      </c>
      <c r="AP125" s="31">
        <v>2012</v>
      </c>
      <c r="AQ125" s="368" t="s">
        <v>2401</v>
      </c>
      <c r="AR125" s="368" t="s">
        <v>2402</v>
      </c>
      <c r="AS125" s="368" t="s">
        <v>2403</v>
      </c>
      <c r="AT125" s="368" t="s">
        <v>2404</v>
      </c>
      <c r="AU125" s="31">
        <v>2013</v>
      </c>
      <c r="AV125" s="368" t="s">
        <v>2405</v>
      </c>
      <c r="AW125" s="368" t="s">
        <v>2406</v>
      </c>
      <c r="AX125" s="368" t="s">
        <v>2407</v>
      </c>
      <c r="AY125" s="368" t="s">
        <v>2408</v>
      </c>
      <c r="AZ125" s="31">
        <v>2014</v>
      </c>
      <c r="BA125" s="368" t="s">
        <v>2409</v>
      </c>
      <c r="BB125" s="368" t="s">
        <v>2410</v>
      </c>
      <c r="BC125" s="368" t="s">
        <v>2411</v>
      </c>
      <c r="BD125" s="368" t="s">
        <v>2412</v>
      </c>
      <c r="BE125" s="31">
        <v>2015</v>
      </c>
      <c r="BF125" s="368" t="s">
        <v>2413</v>
      </c>
      <c r="BG125" s="368" t="s">
        <v>2414</v>
      </c>
      <c r="BH125" s="368" t="s">
        <v>2415</v>
      </c>
      <c r="BI125" s="368" t="s">
        <v>2416</v>
      </c>
      <c r="BJ125" s="31">
        <v>2016</v>
      </c>
      <c r="BK125" s="368" t="s">
        <v>2417</v>
      </c>
      <c r="BL125" s="368" t="s">
        <v>2418</v>
      </c>
      <c r="BM125" s="368" t="s">
        <v>2419</v>
      </c>
      <c r="BN125" s="368" t="s">
        <v>2420</v>
      </c>
      <c r="BO125" s="31">
        <v>2017</v>
      </c>
      <c r="BP125" s="363" t="s">
        <v>2244</v>
      </c>
      <c r="BQ125" s="363" t="s">
        <v>2245</v>
      </c>
      <c r="BR125" s="363" t="s">
        <v>2508</v>
      </c>
      <c r="BS125" s="363" t="s">
        <v>2509</v>
      </c>
      <c r="BT125" s="364">
        <v>2018</v>
      </c>
      <c r="BU125" s="363" t="s">
        <v>2510</v>
      </c>
      <c r="BV125" s="363" t="s">
        <v>2511</v>
      </c>
      <c r="BW125" s="363" t="s">
        <v>3125</v>
      </c>
      <c r="BX125" s="363" t="s">
        <v>1405</v>
      </c>
      <c r="BY125" s="364">
        <v>2019</v>
      </c>
      <c r="BZ125" s="363" t="s">
        <v>1406</v>
      </c>
      <c r="CA125" s="363" t="s">
        <v>1407</v>
      </c>
      <c r="CB125" s="363" t="s">
        <v>1408</v>
      </c>
      <c r="CC125" s="363" t="s">
        <v>1409</v>
      </c>
      <c r="CD125" s="364">
        <v>2020</v>
      </c>
      <c r="CE125" s="11"/>
      <c r="CF125" s="11"/>
      <c r="CG125" s="11"/>
      <c r="CH125" s="11"/>
      <c r="CI125" s="11"/>
      <c r="CJ125" s="11"/>
    </row>
    <row r="126" spans="1:88">
      <c r="A126" s="4" t="s">
        <v>2282</v>
      </c>
      <c r="B126" s="4"/>
      <c r="C126" s="5">
        <f t="shared" ref="C126:AH126" si="81">C25-C20</f>
        <v>23345</v>
      </c>
      <c r="D126" s="5">
        <f t="shared" si="81"/>
        <v>21456</v>
      </c>
      <c r="E126" s="5">
        <f t="shared" si="81"/>
        <v>26852</v>
      </c>
      <c r="F126" s="5">
        <f t="shared" si="81"/>
        <v>34275</v>
      </c>
      <c r="G126" s="5">
        <f t="shared" si="81"/>
        <v>41453</v>
      </c>
      <c r="H126" s="12">
        <f t="shared" si="81"/>
        <v>11053</v>
      </c>
      <c r="I126" s="12">
        <f t="shared" si="81"/>
        <v>13122</v>
      </c>
      <c r="J126" s="12">
        <f t="shared" si="81"/>
        <v>13219</v>
      </c>
      <c r="K126" s="12">
        <f t="shared" si="81"/>
        <v>6892</v>
      </c>
      <c r="L126" s="5">
        <f t="shared" si="81"/>
        <v>44286</v>
      </c>
      <c r="M126" s="12">
        <f t="shared" si="81"/>
        <v>9876</v>
      </c>
      <c r="N126" s="12">
        <f t="shared" si="81"/>
        <v>13414</v>
      </c>
      <c r="O126" s="12">
        <f t="shared" si="81"/>
        <v>9314</v>
      </c>
      <c r="P126" s="12">
        <f t="shared" si="81"/>
        <v>10327</v>
      </c>
      <c r="Q126" s="5">
        <f t="shared" si="81"/>
        <v>42931</v>
      </c>
      <c r="R126" s="12">
        <f t="shared" si="81"/>
        <v>14432</v>
      </c>
      <c r="S126" s="12">
        <f t="shared" si="81"/>
        <v>17577</v>
      </c>
      <c r="T126" s="12">
        <f t="shared" si="81"/>
        <v>15178</v>
      </c>
      <c r="U126" s="12">
        <f t="shared" si="81"/>
        <v>-963</v>
      </c>
      <c r="V126" s="5">
        <f t="shared" si="81"/>
        <v>46224</v>
      </c>
      <c r="W126" s="12">
        <f t="shared" si="81"/>
        <v>7321</v>
      </c>
      <c r="X126" s="12">
        <f t="shared" si="81"/>
        <v>10185</v>
      </c>
      <c r="Y126" s="12">
        <f t="shared" si="81"/>
        <v>10892</v>
      </c>
      <c r="Z126" s="12">
        <f t="shared" si="81"/>
        <v>10134</v>
      </c>
      <c r="AA126" s="5">
        <f t="shared" si="81"/>
        <v>38532</v>
      </c>
      <c r="AB126" s="12">
        <f t="shared" si="81"/>
        <v>12602</v>
      </c>
      <c r="AC126" s="12">
        <f t="shared" si="81"/>
        <v>-21349</v>
      </c>
      <c r="AD126" s="12">
        <f t="shared" si="81"/>
        <v>4670</v>
      </c>
      <c r="AE126" s="12">
        <f t="shared" si="81"/>
        <v>11539</v>
      </c>
      <c r="AF126" s="5">
        <f t="shared" si="81"/>
        <v>7462</v>
      </c>
      <c r="AG126" s="12">
        <f t="shared" si="81"/>
        <v>14472</v>
      </c>
      <c r="AH126" s="12">
        <f t="shared" si="81"/>
        <v>11748</v>
      </c>
      <c r="AI126" s="12">
        <f t="shared" ref="AI126:BN126" si="82">AI25-AI20</f>
        <v>10371</v>
      </c>
      <c r="AJ126" s="12">
        <f t="shared" si="82"/>
        <v>14361</v>
      </c>
      <c r="AK126" s="5">
        <f t="shared" si="82"/>
        <v>50952</v>
      </c>
      <c r="AL126" s="12">
        <f t="shared" si="82"/>
        <v>12361</v>
      </c>
      <c r="AM126" s="12">
        <f t="shared" si="82"/>
        <v>1274</v>
      </c>
      <c r="AN126" s="12">
        <f t="shared" si="82"/>
        <v>11637</v>
      </c>
      <c r="AO126" s="12">
        <f t="shared" si="82"/>
        <v>6942</v>
      </c>
      <c r="AP126" s="5">
        <f t="shared" si="82"/>
        <v>32214</v>
      </c>
      <c r="AQ126" s="12">
        <f t="shared" si="82"/>
        <v>23335</v>
      </c>
      <c r="AR126" s="12">
        <f t="shared" si="82"/>
        <v>7647</v>
      </c>
      <c r="AS126" s="12">
        <f t="shared" si="82"/>
        <v>8984</v>
      </c>
      <c r="AT126" s="12">
        <f t="shared" si="82"/>
        <v>5313</v>
      </c>
      <c r="AU126" s="5">
        <f t="shared" si="82"/>
        <v>45279</v>
      </c>
      <c r="AV126" s="12">
        <f t="shared" si="82"/>
        <v>9227</v>
      </c>
      <c r="AW126" s="12">
        <f t="shared" si="82"/>
        <v>9254</v>
      </c>
      <c r="AX126" s="12">
        <f t="shared" si="82"/>
        <v>6925</v>
      </c>
      <c r="AY126" s="12">
        <f t="shared" si="82"/>
        <v>-3831</v>
      </c>
      <c r="AZ126" s="5">
        <f t="shared" si="82"/>
        <v>21575</v>
      </c>
      <c r="BA126" s="12">
        <f t="shared" si="82"/>
        <v>6470</v>
      </c>
      <c r="BB126" s="12">
        <f t="shared" si="82"/>
        <v>-4483</v>
      </c>
      <c r="BC126" s="12">
        <f t="shared" si="82"/>
        <v>5076</v>
      </c>
      <c r="BD126" s="12">
        <f t="shared" si="82"/>
        <v>238</v>
      </c>
      <c r="BE126" s="5">
        <f t="shared" si="82"/>
        <v>7301</v>
      </c>
      <c r="BF126" s="12">
        <f t="shared" si="82"/>
        <v>3305</v>
      </c>
      <c r="BG126" s="12">
        <f t="shared" si="82"/>
        <v>721</v>
      </c>
      <c r="BH126" s="12">
        <f t="shared" si="82"/>
        <v>5306</v>
      </c>
      <c r="BI126" s="12">
        <f t="shared" si="82"/>
        <v>4743</v>
      </c>
      <c r="BJ126" s="5">
        <f t="shared" si="82"/>
        <v>14075</v>
      </c>
      <c r="BK126" s="12">
        <f t="shared" si="82"/>
        <v>6470</v>
      </c>
      <c r="BL126" s="12">
        <f t="shared" si="82"/>
        <v>5262</v>
      </c>
      <c r="BM126" s="12">
        <f t="shared" si="82"/>
        <v>7425</v>
      </c>
      <c r="BN126" s="12">
        <f t="shared" si="82"/>
        <v>5901</v>
      </c>
      <c r="BO126" s="5">
        <f t="shared" ref="BO126:CD126" si="83">BO25-BO20</f>
        <v>25058</v>
      </c>
      <c r="BP126" s="12">
        <f t="shared" ca="1" si="83"/>
        <v>8207.8533348555629</v>
      </c>
      <c r="BQ126" s="12">
        <f t="shared" ca="1" si="83"/>
        <v>9670.2777512496523</v>
      </c>
      <c r="BR126" s="12">
        <f t="shared" ca="1" si="83"/>
        <v>9857.9506343981266</v>
      </c>
      <c r="BS126" s="12">
        <f t="shared" ca="1" si="83"/>
        <v>9335.9443023617569</v>
      </c>
      <c r="BT126" s="5">
        <f t="shared" ca="1" si="83"/>
        <v>37072.026022865102</v>
      </c>
      <c r="BU126" s="12">
        <f t="shared" ca="1" si="83"/>
        <v>9844.3668619530363</v>
      </c>
      <c r="BV126" s="12">
        <f t="shared" ca="1" si="83"/>
        <v>9698.3087899723741</v>
      </c>
      <c r="BW126" s="12">
        <f t="shared" ca="1" si="83"/>
        <v>9960.2828135890959</v>
      </c>
      <c r="BX126" s="12">
        <f t="shared" ca="1" si="83"/>
        <v>9695.8454101779407</v>
      </c>
      <c r="BY126" s="5">
        <f t="shared" ca="1" si="83"/>
        <v>39198.803875692451</v>
      </c>
      <c r="BZ126" s="12">
        <f t="shared" ca="1" si="83"/>
        <v>10501.637222971229</v>
      </c>
      <c r="CA126" s="12">
        <f t="shared" ca="1" si="83"/>
        <v>10425.497757716397</v>
      </c>
      <c r="CB126" s="12">
        <f t="shared" ca="1" si="83"/>
        <v>10747.416220950485</v>
      </c>
      <c r="CC126" s="12">
        <f t="shared" ca="1" si="83"/>
        <v>10549.978178230132</v>
      </c>
      <c r="CD126" s="5">
        <f t="shared" ca="1" si="83"/>
        <v>42224.529379868247</v>
      </c>
      <c r="CE126" s="5"/>
      <c r="CF126" s="5"/>
      <c r="CG126" s="5"/>
      <c r="CH126" s="5"/>
      <c r="CI126" s="5"/>
      <c r="CJ126" s="5"/>
    </row>
    <row r="127" spans="1:88">
      <c r="A127" s="4" t="s">
        <v>2283</v>
      </c>
      <c r="B127" s="4"/>
      <c r="C127" s="5">
        <f t="shared" ref="C127:AH127" si="84">C25</f>
        <v>14662</v>
      </c>
      <c r="D127" s="5">
        <f t="shared" si="84"/>
        <v>12329</v>
      </c>
      <c r="E127" s="5">
        <f t="shared" si="84"/>
        <v>18776</v>
      </c>
      <c r="F127" s="5">
        <f t="shared" si="84"/>
        <v>25746</v>
      </c>
      <c r="G127" s="5">
        <f t="shared" si="84"/>
        <v>32682</v>
      </c>
      <c r="H127" s="12">
        <f t="shared" si="84"/>
        <v>8869</v>
      </c>
      <c r="I127" s="12">
        <f t="shared" si="84"/>
        <v>10813</v>
      </c>
      <c r="J127" s="12">
        <f t="shared" si="84"/>
        <v>11025</v>
      </c>
      <c r="K127" s="12">
        <f t="shared" si="84"/>
        <v>4451</v>
      </c>
      <c r="L127" s="5">
        <f t="shared" si="84"/>
        <v>35158</v>
      </c>
      <c r="M127" s="12">
        <f t="shared" si="84"/>
        <v>7357</v>
      </c>
      <c r="N127" s="12">
        <f t="shared" si="84"/>
        <v>10879</v>
      </c>
      <c r="O127" s="12">
        <f t="shared" si="84"/>
        <v>6809</v>
      </c>
      <c r="P127" s="12">
        <f t="shared" si="84"/>
        <v>7307</v>
      </c>
      <c r="Q127" s="5">
        <f t="shared" si="84"/>
        <v>32352</v>
      </c>
      <c r="R127" s="12">
        <f t="shared" si="84"/>
        <v>11650</v>
      </c>
      <c r="S127" s="12">
        <f t="shared" si="84"/>
        <v>14727</v>
      </c>
      <c r="T127" s="12">
        <f t="shared" si="84"/>
        <v>12525</v>
      </c>
      <c r="U127" s="12">
        <f t="shared" si="84"/>
        <v>-3663</v>
      </c>
      <c r="V127" s="5">
        <f t="shared" si="84"/>
        <v>35239</v>
      </c>
      <c r="W127" s="12">
        <f t="shared" si="84"/>
        <v>4498</v>
      </c>
      <c r="X127" s="12">
        <f t="shared" si="84"/>
        <v>7093</v>
      </c>
      <c r="Y127" s="12">
        <f t="shared" si="84"/>
        <v>7901</v>
      </c>
      <c r="Z127" s="12">
        <f t="shared" si="84"/>
        <v>6934</v>
      </c>
      <c r="AA127" s="5">
        <f t="shared" si="84"/>
        <v>26426</v>
      </c>
      <c r="AB127" s="12">
        <f t="shared" si="84"/>
        <v>9606</v>
      </c>
      <c r="AC127" s="12">
        <f t="shared" si="84"/>
        <v>-24129</v>
      </c>
      <c r="AD127" s="12">
        <f t="shared" si="84"/>
        <v>1916</v>
      </c>
      <c r="AE127" s="12">
        <f t="shared" si="84"/>
        <v>8905</v>
      </c>
      <c r="AF127" s="5">
        <f t="shared" si="84"/>
        <v>-3702</v>
      </c>
      <c r="AG127" s="12">
        <f t="shared" si="84"/>
        <v>11637</v>
      </c>
      <c r="AH127" s="12">
        <f t="shared" si="84"/>
        <v>9077</v>
      </c>
      <c r="AI127" s="12">
        <f t="shared" ref="AI127:BN127" si="85">AI25</f>
        <v>7724</v>
      </c>
      <c r="AJ127" s="12">
        <f t="shared" si="85"/>
        <v>11379</v>
      </c>
      <c r="AK127" s="5">
        <f t="shared" si="85"/>
        <v>39817</v>
      </c>
      <c r="AL127" s="12">
        <f t="shared" si="85"/>
        <v>9153</v>
      </c>
      <c r="AM127" s="12">
        <f t="shared" si="85"/>
        <v>-1603</v>
      </c>
      <c r="AN127" s="12">
        <f t="shared" si="85"/>
        <v>8437</v>
      </c>
      <c r="AO127" s="12">
        <f t="shared" si="85"/>
        <v>3746</v>
      </c>
      <c r="AP127" s="5">
        <f t="shared" si="85"/>
        <v>19733</v>
      </c>
      <c r="AQ127" s="12">
        <f t="shared" si="85"/>
        <v>20138</v>
      </c>
      <c r="AR127" s="12">
        <f t="shared" si="85"/>
        <v>4485</v>
      </c>
      <c r="AS127" s="12">
        <f t="shared" si="85"/>
        <v>5569</v>
      </c>
      <c r="AT127" s="12">
        <f t="shared" si="85"/>
        <v>1577</v>
      </c>
      <c r="AU127" s="5">
        <f t="shared" si="85"/>
        <v>31769</v>
      </c>
      <c r="AV127" s="12">
        <f t="shared" si="85"/>
        <v>5637</v>
      </c>
      <c r="AW127" s="12">
        <f t="shared" si="85"/>
        <v>5503</v>
      </c>
      <c r="AX127" s="12">
        <f t="shared" si="85"/>
        <v>2969</v>
      </c>
      <c r="AY127" s="12">
        <f t="shared" si="85"/>
        <v>-7697</v>
      </c>
      <c r="AZ127" s="5">
        <f t="shared" si="85"/>
        <v>6412</v>
      </c>
      <c r="BA127" s="12">
        <f t="shared" si="85"/>
        <v>2634</v>
      </c>
      <c r="BB127" s="12">
        <f t="shared" si="85"/>
        <v>-8248</v>
      </c>
      <c r="BC127" s="12">
        <f t="shared" si="85"/>
        <v>1339</v>
      </c>
      <c r="BD127" s="12">
        <f t="shared" si="85"/>
        <v>-3643</v>
      </c>
      <c r="BE127" s="5">
        <f t="shared" si="85"/>
        <v>-7918</v>
      </c>
      <c r="BF127" s="12">
        <f t="shared" si="85"/>
        <v>-425</v>
      </c>
      <c r="BG127" s="12">
        <f t="shared" si="85"/>
        <v>-2916</v>
      </c>
      <c r="BH127" s="12">
        <f t="shared" si="85"/>
        <v>1810</v>
      </c>
      <c r="BI127" s="12">
        <f t="shared" si="85"/>
        <v>1101</v>
      </c>
      <c r="BJ127" s="5">
        <f t="shared" si="85"/>
        <v>-430</v>
      </c>
      <c r="BK127" s="12">
        <f t="shared" si="85"/>
        <v>2628</v>
      </c>
      <c r="BL127" s="12">
        <f t="shared" si="85"/>
        <v>1469</v>
      </c>
      <c r="BM127" s="12">
        <f t="shared" si="85"/>
        <v>3521</v>
      </c>
      <c r="BN127" s="12">
        <f t="shared" si="85"/>
        <v>1856</v>
      </c>
      <c r="BO127" s="5">
        <f t="shared" ref="BO127:CD127" si="86">BO25</f>
        <v>9474</v>
      </c>
      <c r="BP127" s="12">
        <f t="shared" ca="1" si="86"/>
        <v>4066.8349013367219</v>
      </c>
      <c r="BQ127" s="12">
        <f t="shared" ca="1" si="86"/>
        <v>5539.9263438247563</v>
      </c>
      <c r="BR127" s="12">
        <f t="shared" ca="1" si="86"/>
        <v>5709.4113620330272</v>
      </c>
      <c r="BS127" s="12">
        <f t="shared" ca="1" si="86"/>
        <v>5161.58889376978</v>
      </c>
      <c r="BT127" s="5">
        <f t="shared" ca="1" si="86"/>
        <v>20477.761500964283</v>
      </c>
      <c r="BU127" s="12">
        <f t="shared" ca="1" si="86"/>
        <v>5434.4331518955842</v>
      </c>
      <c r="BV127" s="12">
        <f t="shared" ca="1" si="86"/>
        <v>5292.7634776546383</v>
      </c>
      <c r="BW127" s="12">
        <f t="shared" ca="1" si="86"/>
        <v>5537.8027142795954</v>
      </c>
      <c r="BX127" s="12">
        <f t="shared" ca="1" si="86"/>
        <v>5242.041609903541</v>
      </c>
      <c r="BY127" s="5">
        <f t="shared" ca="1" si="86"/>
        <v>21507.040953733362</v>
      </c>
      <c r="BZ127" s="12">
        <f t="shared" ca="1" si="86"/>
        <v>5814.5915736829211</v>
      </c>
      <c r="CA127" s="12">
        <f t="shared" ca="1" si="86"/>
        <v>5793.7442128055718</v>
      </c>
      <c r="CB127" s="12">
        <f t="shared" ca="1" si="86"/>
        <v>6105.5223244768667</v>
      </c>
      <c r="CC127" s="12">
        <f t="shared" ca="1" si="86"/>
        <v>5866.7621543789792</v>
      </c>
      <c r="CD127" s="5">
        <f t="shared" ca="1" si="86"/>
        <v>23580.62026534434</v>
      </c>
      <c r="CE127" s="5"/>
      <c r="CF127" s="5"/>
      <c r="CG127" s="5"/>
      <c r="CH127" s="5"/>
      <c r="CI127" s="5"/>
      <c r="CJ127" s="5"/>
    </row>
    <row r="128" spans="1:88">
      <c r="A128" s="35" t="s">
        <v>3679</v>
      </c>
      <c r="C128" s="685">
        <v>0.3</v>
      </c>
      <c r="D128" s="685">
        <v>0.3</v>
      </c>
      <c r="E128" s="250">
        <f>Segments!E81</f>
        <v>0.28566668517798632</v>
      </c>
      <c r="F128" s="250">
        <f>Segments!F81</f>
        <v>0.29700555711030263</v>
      </c>
      <c r="G128" s="250">
        <f>Segments!G81</f>
        <v>0.3295656235404017</v>
      </c>
      <c r="H128" s="117">
        <f>Segments!H81</f>
        <v>0.33089294287085935</v>
      </c>
      <c r="I128" s="117">
        <f>Segments!I81</f>
        <v>0.33561427518686177</v>
      </c>
      <c r="J128" s="117">
        <f>Segments!J81</f>
        <v>0.41780964256026598</v>
      </c>
      <c r="K128" s="117">
        <f>Segments!K81</f>
        <v>0.31213768115942031</v>
      </c>
      <c r="L128" s="250">
        <f>Segments!L81</f>
        <v>0.35448066717210008</v>
      </c>
      <c r="M128" s="117">
        <f>Segments!M81</f>
        <v>0.34250988431688389</v>
      </c>
      <c r="N128" s="117">
        <f>Segments!N81</f>
        <v>0.30553827006845052</v>
      </c>
      <c r="O128" s="117">
        <f>Segments!O81</f>
        <v>0.32509983730217423</v>
      </c>
      <c r="P128" s="117">
        <f>Segments!P81</f>
        <v>0.37908847184986594</v>
      </c>
      <c r="Q128" s="250">
        <f>Segments!Q81</f>
        <v>0.33763108131339176</v>
      </c>
      <c r="R128" s="117">
        <f>Segments!R81</f>
        <v>0.36999206664022216</v>
      </c>
      <c r="S128" s="117">
        <f>Segments!S81</f>
        <v>0.35021827487580914</v>
      </c>
      <c r="T128" s="117">
        <f>Segments!T81</f>
        <v>0.3339979323585881</v>
      </c>
      <c r="U128" s="117">
        <f>Segments!U81</f>
        <v>0.44007337953526293</v>
      </c>
      <c r="V128" s="250">
        <f>Segments!V81</f>
        <v>0.36027547945860633</v>
      </c>
      <c r="W128" s="117">
        <f>Segments!W81</f>
        <v>0.37520898017673754</v>
      </c>
      <c r="X128" s="117">
        <f>Segments!X81</f>
        <v>0.34990189666448657</v>
      </c>
      <c r="Y128" s="117">
        <f>Segments!Y81</f>
        <v>0.29108761329305138</v>
      </c>
      <c r="Z128" s="117">
        <f>Segments!Z81</f>
        <v>0.25263510122134852</v>
      </c>
      <c r="AA128" s="250">
        <f>Segments!AA81</f>
        <v>0.30943802348977584</v>
      </c>
      <c r="AB128" s="117">
        <f>Segments!AB81</f>
        <v>0.34194580999199725</v>
      </c>
      <c r="AC128" s="117">
        <f>Segments!AC81</f>
        <v>0.34611425630468345</v>
      </c>
      <c r="AD128" s="117">
        <f>Segments!AD81</f>
        <v>0.24899759422614273</v>
      </c>
      <c r="AE128" s="117">
        <f>Segments!AE81</f>
        <v>0.33002854138500826</v>
      </c>
      <c r="AF128" s="250">
        <f>Segments!AF81</f>
        <v>0.31773109791897708</v>
      </c>
      <c r="AG128" s="117">
        <f>Segments!AG81</f>
        <v>0.37786472889882616</v>
      </c>
      <c r="AH128" s="117">
        <f>Segments!AH81</f>
        <v>0.33992456280717798</v>
      </c>
      <c r="AI128" s="117">
        <f>Segments!AI81</f>
        <v>0.29963988575686079</v>
      </c>
      <c r="AJ128" s="117">
        <f>Segments!AJ81</f>
        <v>0.26778242677824265</v>
      </c>
      <c r="AK128" s="250">
        <f>Segments!AK81</f>
        <v>0.3250810943142175</v>
      </c>
      <c r="AL128" s="117">
        <f>Segments!AL81</f>
        <v>0.32217573221757323</v>
      </c>
      <c r="AM128" s="117">
        <f>Segments!AM81</f>
        <v>0.34457916007731504</v>
      </c>
      <c r="AN128" s="117">
        <f>Segments!AN81</f>
        <v>0.33163135052335974</v>
      </c>
      <c r="AO128" s="117">
        <f>Segments!AO81</f>
        <v>0.16058091286307055</v>
      </c>
      <c r="AP128" s="250">
        <f>Segments!AP81</f>
        <v>0.2995492847344699</v>
      </c>
      <c r="AQ128" s="117">
        <f>Segments!AQ81</f>
        <v>0.38657142857142857</v>
      </c>
      <c r="AR128" s="117">
        <f>Segments!AR81</f>
        <v>0.44512800158761662</v>
      </c>
      <c r="AS128" s="117">
        <f>Segments!AS81</f>
        <v>0.30527476566807571</v>
      </c>
      <c r="AT128" s="117">
        <f>Segments!AT81</f>
        <v>0.24346448376023239</v>
      </c>
      <c r="AU128" s="250">
        <f>Segments!AU81</f>
        <v>0.35416372784125638</v>
      </c>
      <c r="AV128" s="117">
        <f>Segments!AV81</f>
        <v>0.32697381773898926</v>
      </c>
      <c r="AW128" s="117">
        <f>Segments!AW81</f>
        <v>0.33363357953521888</v>
      </c>
      <c r="AX128" s="117">
        <f>Segments!AX81</f>
        <v>0.41191114515511296</v>
      </c>
      <c r="AY128" s="117">
        <f>Segments!AY81</f>
        <v>0.38467785598267462</v>
      </c>
      <c r="AZ128" s="250">
        <f>Segments!AZ81</f>
        <v>0.36274105393420647</v>
      </c>
      <c r="BA128" s="117">
        <f>Segments!BA81</f>
        <v>0.21</v>
      </c>
      <c r="BB128" s="117">
        <f>Segments!BB81</f>
        <v>0.34795180722891567</v>
      </c>
      <c r="BC128" s="117">
        <f>Segments!BC81</f>
        <v>0.38706434316353888</v>
      </c>
      <c r="BD128" s="117">
        <f>Segments!BD81</f>
        <v>-0.20134228187919462</v>
      </c>
      <c r="BE128" s="250">
        <f>Segments!BE81</f>
        <v>0.31200677048070413</v>
      </c>
      <c r="BF128" s="117">
        <f ca="1">Segments!BF81</f>
        <v>0.17725258493353027</v>
      </c>
      <c r="BG128" s="117">
        <f ca="1">Segments!BG81</f>
        <v>0.21488469601677149</v>
      </c>
      <c r="BH128" s="117">
        <f>Segments!BH81</f>
        <v>-0.22589531680440772</v>
      </c>
      <c r="BI128" s="117">
        <f>Segments!BI81</f>
        <v>0.10261569416498995</v>
      </c>
      <c r="BJ128" s="250">
        <f ca="1">Segments!BJ81</f>
        <v>7.4281709880868962E-2</v>
      </c>
      <c r="BK128" s="117">
        <f>Segments!BK81</f>
        <v>0.32944732297063906</v>
      </c>
      <c r="BL128" s="117">
        <f>Segments!BL81</f>
        <v>0.60251284980011421</v>
      </c>
      <c r="BM128" s="117">
        <f>Segments!BM81</f>
        <v>0.39543230016313213</v>
      </c>
      <c r="BN128" s="117">
        <f ca="1">Segments!BN81</f>
        <v>0.26735042735042736</v>
      </c>
      <c r="BO128" s="250">
        <f ca="1">Segments!BO81</f>
        <v>0.37903947499254248</v>
      </c>
      <c r="BP128" s="117">
        <f ca="1">Segments!BP81</f>
        <v>0.38691011354839067</v>
      </c>
      <c r="BQ128" s="117">
        <f ca="1">Segments!BQ81</f>
        <v>0.38637437638356908</v>
      </c>
      <c r="BR128" s="117">
        <f ca="1">Segments!BR81</f>
        <v>0.399374087124163</v>
      </c>
      <c r="BS128" s="117">
        <f ca="1">Segments!BS81</f>
        <v>0.41439901188369366</v>
      </c>
      <c r="BT128" s="250">
        <f ca="1">Segments!BT81</f>
        <v>0.39721628175570556</v>
      </c>
      <c r="BU128" s="117">
        <f ca="1">Segments!BU81</f>
        <v>0.43555892074827085</v>
      </c>
      <c r="BV128" s="117">
        <f ca="1">Segments!BV81</f>
        <v>0.42578153493357263</v>
      </c>
      <c r="BW128" s="117">
        <f ca="1">Segments!BW81</f>
        <v>0.43175656991197836</v>
      </c>
      <c r="BX128" s="117">
        <f ca="1">Segments!BX81</f>
        <v>0.42109422797606338</v>
      </c>
      <c r="BY128" s="250">
        <f ca="1">Segments!BY81</f>
        <v>0.42864943218124674</v>
      </c>
      <c r="BZ128" s="117">
        <f ca="1">Segments!BZ81</f>
        <v>0.400079402639336</v>
      </c>
      <c r="CA128" s="117">
        <f ca="1">Segments!CA81</f>
        <v>0.39973575000891465</v>
      </c>
      <c r="CB128" s="117">
        <f ca="1">Segments!CB81</f>
        <v>0.41032485419273934</v>
      </c>
      <c r="CC128" s="117">
        <f ca="1">Segments!CC81</f>
        <v>0.40110708099977921</v>
      </c>
      <c r="CD128" s="250">
        <f ca="1">Segments!CD81</f>
        <v>0.40291237454161882</v>
      </c>
      <c r="CE128" s="5"/>
      <c r="CF128" s="5"/>
      <c r="CG128" s="5"/>
      <c r="CH128" s="5"/>
      <c r="CI128" s="5"/>
      <c r="CJ128" s="5"/>
    </row>
    <row r="129" spans="1:88">
      <c r="A129" s="4"/>
      <c r="B129" s="4"/>
      <c r="C129" s="5"/>
      <c r="D129" s="5"/>
      <c r="E129" s="5"/>
      <c r="F129" s="5"/>
      <c r="G129" s="5"/>
      <c r="H129" s="12"/>
      <c r="I129" s="12"/>
      <c r="J129" s="12"/>
      <c r="K129" s="12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</row>
    <row r="130" spans="1:88">
      <c r="A130" s="4"/>
      <c r="B130" s="4"/>
      <c r="C130" s="5"/>
      <c r="D130" s="5"/>
      <c r="E130" s="5"/>
      <c r="F130" s="5"/>
      <c r="G130" s="5"/>
      <c r="H130" s="12"/>
      <c r="I130" s="12"/>
      <c r="J130" s="12"/>
      <c r="K130" s="12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</row>
    <row r="131" spans="1:88">
      <c r="A131" s="4"/>
      <c r="B131" s="4"/>
      <c r="C131" s="5"/>
      <c r="D131" s="5"/>
      <c r="E131" s="5"/>
      <c r="F131" s="5"/>
      <c r="G131" s="5"/>
      <c r="H131" s="12"/>
      <c r="I131" s="12"/>
      <c r="J131" s="12"/>
      <c r="K131" s="12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</row>
    <row r="132" spans="1:88">
      <c r="A132" s="9" t="s">
        <v>2519</v>
      </c>
      <c r="B132" s="4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</row>
    <row r="133" spans="1:88" ht="12.75" customHeight="1">
      <c r="A133" s="10"/>
      <c r="B133" s="10"/>
      <c r="C133" s="31">
        <v>2001</v>
      </c>
      <c r="D133" s="32">
        <v>2002</v>
      </c>
      <c r="E133" s="32">
        <v>2003</v>
      </c>
      <c r="F133" s="32">
        <v>2004</v>
      </c>
      <c r="G133" s="31">
        <v>2005</v>
      </c>
      <c r="H133" s="33" t="s">
        <v>714</v>
      </c>
      <c r="I133" s="33" t="s">
        <v>715</v>
      </c>
      <c r="J133" s="33" t="s">
        <v>716</v>
      </c>
      <c r="K133" s="33" t="s">
        <v>717</v>
      </c>
      <c r="L133" s="31">
        <v>2006</v>
      </c>
      <c r="M133" s="33" t="s">
        <v>718</v>
      </c>
      <c r="N133" s="33" t="s">
        <v>719</v>
      </c>
      <c r="O133" s="33" t="s">
        <v>1970</v>
      </c>
      <c r="P133" s="33" t="s">
        <v>1971</v>
      </c>
      <c r="Q133" s="31">
        <v>2007</v>
      </c>
      <c r="R133" s="33" t="s">
        <v>1972</v>
      </c>
      <c r="S133" s="33" t="s">
        <v>1973</v>
      </c>
      <c r="T133" s="33" t="s">
        <v>1974</v>
      </c>
      <c r="U133" s="33" t="s">
        <v>1975</v>
      </c>
      <c r="V133" s="31">
        <v>2008</v>
      </c>
      <c r="W133" s="33" t="s">
        <v>1976</v>
      </c>
      <c r="X133" s="33" t="s">
        <v>1977</v>
      </c>
      <c r="Y133" s="33" t="s">
        <v>1978</v>
      </c>
      <c r="Z133" s="33" t="s">
        <v>1979</v>
      </c>
      <c r="AA133" s="31">
        <v>2009</v>
      </c>
      <c r="AB133" s="33" t="s">
        <v>1980</v>
      </c>
      <c r="AC133" s="33" t="s">
        <v>1981</v>
      </c>
      <c r="AD133" s="33" t="s">
        <v>1982</v>
      </c>
      <c r="AE133" s="33" t="s">
        <v>2392</v>
      </c>
      <c r="AF133" s="31">
        <v>2010</v>
      </c>
      <c r="AG133" s="33" t="s">
        <v>2393</v>
      </c>
      <c r="AH133" s="33" t="s">
        <v>2394</v>
      </c>
      <c r="AI133" s="33" t="s">
        <v>2395</v>
      </c>
      <c r="AJ133" s="33" t="s">
        <v>2396</v>
      </c>
      <c r="AK133" s="31">
        <v>2011</v>
      </c>
      <c r="AL133" s="368" t="s">
        <v>2397</v>
      </c>
      <c r="AM133" s="368" t="s">
        <v>2398</v>
      </c>
      <c r="AN133" s="368" t="s">
        <v>2399</v>
      </c>
      <c r="AO133" s="368" t="s">
        <v>2400</v>
      </c>
      <c r="AP133" s="31">
        <v>2012</v>
      </c>
      <c r="AQ133" s="368" t="s">
        <v>2401</v>
      </c>
      <c r="AR133" s="368" t="s">
        <v>2402</v>
      </c>
      <c r="AS133" s="368" t="s">
        <v>2403</v>
      </c>
      <c r="AT133" s="368" t="s">
        <v>2404</v>
      </c>
      <c r="AU133" s="31">
        <v>2013</v>
      </c>
      <c r="AV133" s="368" t="s">
        <v>2405</v>
      </c>
      <c r="AW133" s="368" t="s">
        <v>2406</v>
      </c>
      <c r="AX133" s="368" t="s">
        <v>2407</v>
      </c>
      <c r="AY133" s="368" t="s">
        <v>2408</v>
      </c>
      <c r="AZ133" s="31">
        <v>2014</v>
      </c>
      <c r="BA133" s="368" t="s">
        <v>2409</v>
      </c>
      <c r="BB133" s="368" t="s">
        <v>2410</v>
      </c>
      <c r="BC133" s="368" t="s">
        <v>2411</v>
      </c>
      <c r="BD133" s="368" t="s">
        <v>2412</v>
      </c>
      <c r="BE133" s="31">
        <v>2015</v>
      </c>
      <c r="BF133" s="368" t="s">
        <v>2413</v>
      </c>
      <c r="BG133" s="368" t="s">
        <v>2414</v>
      </c>
      <c r="BH133" s="368" t="s">
        <v>2415</v>
      </c>
      <c r="BI133" s="368" t="s">
        <v>2416</v>
      </c>
      <c r="BJ133" s="31">
        <v>2016</v>
      </c>
      <c r="BK133" s="368" t="s">
        <v>2417</v>
      </c>
      <c r="BL133" s="368" t="s">
        <v>2418</v>
      </c>
      <c r="BM133" s="368" t="s">
        <v>2419</v>
      </c>
      <c r="BN133" s="368" t="s">
        <v>2420</v>
      </c>
      <c r="BO133" s="31">
        <v>2017</v>
      </c>
      <c r="BP133" s="363" t="s">
        <v>2244</v>
      </c>
      <c r="BQ133" s="363" t="s">
        <v>2245</v>
      </c>
      <c r="BR133" s="363" t="s">
        <v>2508</v>
      </c>
      <c r="BS133" s="363" t="s">
        <v>2509</v>
      </c>
      <c r="BT133" s="364">
        <v>2018</v>
      </c>
      <c r="BU133" s="363" t="s">
        <v>2510</v>
      </c>
      <c r="BV133" s="363" t="s">
        <v>2511</v>
      </c>
      <c r="BW133" s="363" t="s">
        <v>3125</v>
      </c>
      <c r="BX133" s="363" t="s">
        <v>1405</v>
      </c>
      <c r="BY133" s="364">
        <v>2019</v>
      </c>
      <c r="BZ133" s="363" t="s">
        <v>1406</v>
      </c>
      <c r="CA133" s="363" t="s">
        <v>1407</v>
      </c>
      <c r="CB133" s="363" t="s">
        <v>1408</v>
      </c>
      <c r="CC133" s="363" t="s">
        <v>1409</v>
      </c>
      <c r="CD133" s="364">
        <v>2020</v>
      </c>
      <c r="CE133" s="11"/>
      <c r="CF133" s="11"/>
      <c r="CG133" s="11"/>
      <c r="CH133" s="11"/>
      <c r="CI133" s="11"/>
      <c r="CJ133" s="11"/>
    </row>
    <row r="134" spans="1:88">
      <c r="A134" s="137" t="s">
        <v>1481</v>
      </c>
      <c r="B134" s="137"/>
      <c r="C134" s="5">
        <f>SUM(C10,C13,C14)-Other!C54</f>
        <v>150185.02040435167</v>
      </c>
      <c r="D134" s="5">
        <f>SUM(D10,D13,D14)-Other!D54</f>
        <v>153154.98860103628</v>
      </c>
      <c r="E134" s="5">
        <f>SUM(E10,E13,E14)-Other!E54</f>
        <v>167232.43141677757</v>
      </c>
      <c r="F134" s="5">
        <f>SUM(F10,F13,F14)-Other!F54</f>
        <v>194290.91474370265</v>
      </c>
      <c r="G134" s="5">
        <f>SUM(G10,G13,G14)-Other!G54</f>
        <v>241880.03396208552</v>
      </c>
      <c r="H134" s="12">
        <f>SUM(H10,H13,H14)-Other!H54</f>
        <v>64053.225179038607</v>
      </c>
      <c r="I134" s="12">
        <f>SUM(I10,I13,I14)-Other!I54</f>
        <v>72747.602054523901</v>
      </c>
      <c r="J134" s="12">
        <f>SUM(J10,J13,J14)-Other!J54</f>
        <v>71001.342494714583</v>
      </c>
      <c r="K134" s="12">
        <f>SUM(K10,K13,K14)-Other!K54</f>
        <v>62396.018097901462</v>
      </c>
      <c r="L134" s="5">
        <f>SUM(L10,L13,L14)-Other!L54</f>
        <v>270198.18782617856</v>
      </c>
      <c r="M134" s="12">
        <f>SUM(M10,M13,M14)-Other!M54</f>
        <v>62188.479492228413</v>
      </c>
      <c r="N134" s="12">
        <f>SUM(N10,N13,N14)-Other!N54</f>
        <v>73278.296091150332</v>
      </c>
      <c r="O134" s="12">
        <f>SUM(O10,O13,O14)-Other!O54</f>
        <v>71699.247025449498</v>
      </c>
      <c r="P134" s="12">
        <f>SUM(P10,P13,P14)-Other!P54</f>
        <v>80299.713874578083</v>
      </c>
      <c r="Q134" s="5">
        <f>SUM(Q10,Q13,Q14)-Other!Q54</f>
        <v>287465.73648340633</v>
      </c>
      <c r="R134" s="12">
        <f>SUM(R10,R13,R14)-Other!R54</f>
        <v>88892.134677260488</v>
      </c>
      <c r="S134" s="12">
        <f>SUM(S10,S13,S14)-Other!S54</f>
        <v>108925.63081918082</v>
      </c>
      <c r="T134" s="12">
        <f>SUM(T10,T13,T14)-Other!T54</f>
        <v>103436.921352733</v>
      </c>
      <c r="U134" s="12">
        <f>SUM(U10,U13,U14)-Other!U54</f>
        <v>61716.971595343392</v>
      </c>
      <c r="V134" s="5">
        <f>SUM(V10,V13,V14)-Other!V54</f>
        <v>362971.6584445177</v>
      </c>
      <c r="W134" s="12">
        <f>SUM(W10,W13,W14)-Other!W54</f>
        <v>47502.459927542637</v>
      </c>
      <c r="X134" s="12">
        <f>SUM(X10,X13,X14)-Other!X54</f>
        <v>55423.104880318024</v>
      </c>
      <c r="Y134" s="12">
        <f>SUM(Y10,Y13,Y14)-Other!Y54</f>
        <v>66508.149502026237</v>
      </c>
      <c r="Z134" s="12">
        <f>SUM(Z10,Z13,Z14)-Other!Z54</f>
        <v>72525.490095810732</v>
      </c>
      <c r="AA134" s="5">
        <f>SUM(AA10,AA13,AA14)-Other!AA54</f>
        <v>241959.20440569764</v>
      </c>
      <c r="AB134" s="12">
        <f>SUM(AB10,AB13,AB14)-Other!AB54</f>
        <v>73196.899371069187</v>
      </c>
      <c r="AC134" s="12">
        <f>SUM(AC10,AC13,AC14)-Other!AC54</f>
        <v>74803.245612357132</v>
      </c>
      <c r="AD134" s="12">
        <f>SUM(AD10,AD13,AD14)-Other!AD54</f>
        <v>73350.199280035144</v>
      </c>
      <c r="AE134" s="12">
        <f>SUM(AE10,AE13,AE14)-Other!AE54</f>
        <v>82509.07037449452</v>
      </c>
      <c r="AF134" s="5">
        <f>SUM(AF10,AF13,AF14)-Other!AF54</f>
        <v>303859.41463795601</v>
      </c>
      <c r="AG134" s="12">
        <f>SUM(AG10,AG13,AG14)-Other!AG54</f>
        <v>86523.230857439587</v>
      </c>
      <c r="AH134" s="12">
        <f>SUM(AH10,AH13,AH14)-Other!AH54</f>
        <v>102170.78746063495</v>
      </c>
      <c r="AI134" s="12">
        <f>SUM(AI10,AI13,AI14)-Other!AI54</f>
        <v>96210.779599231886</v>
      </c>
      <c r="AJ134" s="12">
        <f>SUM(AJ10,AJ13,AJ14)-Other!AJ54</f>
        <v>94875.860552426922</v>
      </c>
      <c r="AK134" s="5">
        <f>SUM(AK10,AK13,AK14)-Other!AK54</f>
        <v>379780.65846973332</v>
      </c>
      <c r="AL134" s="12">
        <f>SUM(AL10,AL13,AL14)-Other!AL54</f>
        <v>95061.985609210111</v>
      </c>
      <c r="AM134" s="12">
        <f>SUM(AM10,AM13,AM14)-Other!AM54</f>
        <v>94178.050917860033</v>
      </c>
      <c r="AN134" s="12">
        <f>SUM(AN10,AN13,AN14)-Other!AN54</f>
        <v>91257.130175006983</v>
      </c>
      <c r="AO134" s="12">
        <f>SUM(AO10,AO13,AO14)-Other!AO54</f>
        <v>98293.186760528843</v>
      </c>
      <c r="AP134" s="5">
        <f>SUM(AP10,AP13,AP14)-Other!AP54</f>
        <v>378790.35346260597</v>
      </c>
      <c r="AQ134" s="12">
        <f>SUM(AQ10,AQ13,AQ14)-Other!AQ54</f>
        <v>106670.0968893743</v>
      </c>
      <c r="AR134" s="12">
        <f>SUM(AR10,AR13,AR14)-Other!AR54</f>
        <v>95008.947663651445</v>
      </c>
      <c r="AS134" s="12">
        <f>SUM(AS10,AS13,AS14)-Other!AS54</f>
        <v>96913.533277134688</v>
      </c>
      <c r="AT134" s="12">
        <f>SUM(AT10,AT13,AT14)-Other!AT54</f>
        <v>93865.581106056299</v>
      </c>
      <c r="AU134" s="5">
        <f>SUM(AU10,AU13,AU14)-Other!AU54</f>
        <v>392458.15893621673</v>
      </c>
      <c r="AV134" s="12">
        <f>SUM(AV10,AV13,AV14)-Other!AV54</f>
        <v>91953.800573732515</v>
      </c>
      <c r="AW134" s="12">
        <f>SUM(AW10,AW13,AW14)-Other!AW54</f>
        <v>94305.489783806697</v>
      </c>
      <c r="AX134" s="12">
        <f>SUM(AX10,AX13,AX14)-Other!AX54</f>
        <v>94225.650521987307</v>
      </c>
      <c r="AY134" s="12">
        <f>SUM(AY10,AY13,AY14)-Other!AY54</f>
        <v>74231.224301172231</v>
      </c>
      <c r="AZ134" s="5">
        <f>SUM(AZ10,AZ13,AZ14)-Other!AZ54</f>
        <v>354716.16518069874</v>
      </c>
      <c r="BA134" s="12">
        <f>SUM(BA10,BA13,BA14)-Other!BA54</f>
        <v>55624.017371252885</v>
      </c>
      <c r="BB134" s="12">
        <f>SUM(BB10,BB13,BB14)-Other!BB54</f>
        <v>62219.889423956112</v>
      </c>
      <c r="BC134" s="12">
        <f>SUM(BC10,BC13,BC14)-Other!BC54</f>
        <v>56311.109842894446</v>
      </c>
      <c r="BD134" s="12">
        <f>SUM(BD10,BD13,BD14)-Other!BD54</f>
        <v>49406.304079657784</v>
      </c>
      <c r="BE134" s="5">
        <f>SUM(BE10,BE13,BE14)-Other!BE54</f>
        <v>223561.32071776123</v>
      </c>
      <c r="BF134" s="12">
        <f>SUM(BF10,BF13,BF14)-Other!BF54</f>
        <v>38869.998152640415</v>
      </c>
      <c r="BG134" s="12">
        <f>SUM(BG10,BG13,BG14)-Other!BG54</f>
        <v>46498.518776369383</v>
      </c>
      <c r="BH134" s="12">
        <f>SUM(BH10,BH13,BH14)-Other!BH54</f>
        <v>47527.49529305115</v>
      </c>
      <c r="BI134" s="12">
        <f>SUM(BI10,BI13,BI14)-Other!BI54</f>
        <v>51239.906877413741</v>
      </c>
      <c r="BJ134" s="5">
        <f>SUM(BJ10,BJ13,BJ14)-Other!BJ54</f>
        <v>184135.9190994747</v>
      </c>
      <c r="BK134" s="12">
        <f>SUM(BK10,BK13,BK14)-Other!BK54</f>
        <v>55898.554157093866</v>
      </c>
      <c r="BL134" s="12">
        <f>SUM(BL10,BL13,BL14)-Other!BL54</f>
        <v>56697.015572431032</v>
      </c>
      <c r="BM134" s="12">
        <f>SUM(BM10,BM13,BM14)-Other!BM54</f>
        <v>60146.846057086063</v>
      </c>
      <c r="BN134" s="12">
        <f>SUM(BN10,BN13,BN14)-Other!BN54</f>
        <v>68719.113724091963</v>
      </c>
      <c r="BO134" s="5">
        <f>SUM(BO10,BO13,BO14)-Other!BO54</f>
        <v>241461.52951070291</v>
      </c>
      <c r="BP134" s="12">
        <f ca="1">SUM(BP10,BP13,BP14)-Other!BP54</f>
        <v>65686.129164646467</v>
      </c>
      <c r="BQ134" s="12">
        <f ca="1">SUM(BQ10,BQ13,BQ14)-Other!BQ54</f>
        <v>66110.089502695453</v>
      </c>
      <c r="BR134" s="12">
        <f ca="1">SUM(BR10,BR13,BR14)-Other!BR54</f>
        <v>65248.492686660393</v>
      </c>
      <c r="BS134" s="12">
        <f ca="1">SUM(BS10,BS13,BS14)-Other!BS54</f>
        <v>64530.495339964495</v>
      </c>
      <c r="BT134" s="5">
        <f ca="1">SUM(BT10,BT13,BT14)-Other!BT54</f>
        <v>261575.20669396679</v>
      </c>
      <c r="BU134" s="12">
        <f ca="1">SUM(BU10,BU13,BU14)-Other!BU54</f>
        <v>62964.577317170602</v>
      </c>
      <c r="BV134" s="12">
        <f ca="1">SUM(BV10,BV13,BV14)-Other!BV54</f>
        <v>62964.577317170602</v>
      </c>
      <c r="BW134" s="12">
        <f ca="1">SUM(BW10,BW13,BW14)-Other!BW54</f>
        <v>62964.577317170602</v>
      </c>
      <c r="BX134" s="12">
        <f ca="1">SUM(BX10,BX13,BX14)-Other!BX54</f>
        <v>62964.577317170602</v>
      </c>
      <c r="BY134" s="5">
        <f ca="1">SUM(BY10,BY13,BY14)-Other!BY54</f>
        <v>251858.30926868241</v>
      </c>
      <c r="BZ134" s="12">
        <f ca="1">SUM(BZ10,BZ13,BZ14)-Other!BZ54</f>
        <v>63231.126588016064</v>
      </c>
      <c r="CA134" s="12">
        <f ca="1">SUM(CA10,CA13,CA14)-Other!CA54</f>
        <v>63499.32639760452</v>
      </c>
      <c r="CB134" s="12">
        <f ca="1">SUM(CB10,CB13,CB14)-Other!CB54</f>
        <v>63769.186966478432</v>
      </c>
      <c r="CC134" s="12">
        <f ca="1">SUM(CC10,CC13,CC14)-Other!CC54</f>
        <v>64040.71857846839</v>
      </c>
      <c r="CD134" s="5">
        <f ca="1">SUM(CD10,CD13,CD14)-Other!CD54</f>
        <v>254540.35853056741</v>
      </c>
      <c r="CE134" s="5"/>
      <c r="CF134" s="5"/>
      <c r="CG134" s="5"/>
      <c r="CH134" s="5"/>
      <c r="CI134" s="5"/>
      <c r="CJ134" s="5"/>
    </row>
    <row r="135" spans="1:88">
      <c r="A135" s="137" t="s">
        <v>1482</v>
      </c>
      <c r="B135" s="137"/>
      <c r="C135" s="5">
        <f t="shared" ref="C135:AH135" si="87">SUM(C17:C24)</f>
        <v>-136859</v>
      </c>
      <c r="D135" s="5">
        <f t="shared" si="87"/>
        <v>-141883</v>
      </c>
      <c r="E135" s="5">
        <f t="shared" si="87"/>
        <v>-149732</v>
      </c>
      <c r="F135" s="5">
        <f t="shared" si="87"/>
        <v>-170858</v>
      </c>
      <c r="G135" s="5">
        <f t="shared" si="87"/>
        <v>-212804</v>
      </c>
      <c r="H135" s="12">
        <f t="shared" si="87"/>
        <v>-55902</v>
      </c>
      <c r="I135" s="12">
        <f t="shared" si="87"/>
        <v>-62898</v>
      </c>
      <c r="J135" s="12">
        <f t="shared" si="87"/>
        <v>-61977</v>
      </c>
      <c r="K135" s="12">
        <f t="shared" si="87"/>
        <v>-58381</v>
      </c>
      <c r="L135" s="5">
        <f t="shared" si="87"/>
        <v>-239158</v>
      </c>
      <c r="M135" s="12">
        <f t="shared" si="87"/>
        <v>-55359</v>
      </c>
      <c r="N135" s="12">
        <f t="shared" si="87"/>
        <v>-63513</v>
      </c>
      <c r="O135" s="12">
        <f t="shared" si="87"/>
        <v>-66029</v>
      </c>
      <c r="P135" s="12">
        <f t="shared" si="87"/>
        <v>-74185</v>
      </c>
      <c r="Q135" s="5">
        <f t="shared" si="87"/>
        <v>-259086</v>
      </c>
      <c r="R135" s="12">
        <f t="shared" si="87"/>
        <v>-78498</v>
      </c>
      <c r="S135" s="12">
        <f t="shared" si="87"/>
        <v>-96255</v>
      </c>
      <c r="T135" s="12">
        <f t="shared" si="87"/>
        <v>-92304</v>
      </c>
      <c r="U135" s="12">
        <f t="shared" si="87"/>
        <v>-64757</v>
      </c>
      <c r="V135" s="5">
        <f t="shared" si="87"/>
        <v>-331814</v>
      </c>
      <c r="W135" s="12">
        <f t="shared" si="87"/>
        <v>-43587</v>
      </c>
      <c r="X135" s="12">
        <f t="shared" si="87"/>
        <v>-49468</v>
      </c>
      <c r="Y135" s="12">
        <f t="shared" si="87"/>
        <v>-59955</v>
      </c>
      <c r="Z135" s="12">
        <f t="shared" si="87"/>
        <v>-66702</v>
      </c>
      <c r="AA135" s="5">
        <f t="shared" si="87"/>
        <v>-219712</v>
      </c>
      <c r="AB135" s="12">
        <f t="shared" si="87"/>
        <v>-64811</v>
      </c>
      <c r="AC135" s="12">
        <f t="shared" si="87"/>
        <v>-100000</v>
      </c>
      <c r="AD135" s="12">
        <f t="shared" si="87"/>
        <v>-72736</v>
      </c>
      <c r="AE135" s="12">
        <f t="shared" si="87"/>
        <v>-75083</v>
      </c>
      <c r="AF135" s="5">
        <f t="shared" si="87"/>
        <v>-312630</v>
      </c>
      <c r="AG135" s="12">
        <f t="shared" si="87"/>
        <v>-76805</v>
      </c>
      <c r="AH135" s="12">
        <f t="shared" si="87"/>
        <v>-94869</v>
      </c>
      <c r="AI135" s="12">
        <f t="shared" ref="AI135:BN135" si="88">SUM(AI17:AI24)</f>
        <v>-90008</v>
      </c>
      <c r="AJ135" s="12">
        <f t="shared" si="88"/>
        <v>-84964</v>
      </c>
      <c r="AK135" s="5">
        <f t="shared" si="88"/>
        <v>-346646</v>
      </c>
      <c r="AL135" s="12">
        <f t="shared" si="88"/>
        <v>-87545</v>
      </c>
      <c r="AM135" s="12">
        <f t="shared" si="88"/>
        <v>-96495</v>
      </c>
      <c r="AN135" s="12">
        <f t="shared" si="88"/>
        <v>-84684</v>
      </c>
      <c r="AO135" s="12">
        <f t="shared" si="88"/>
        <v>-95114</v>
      </c>
      <c r="AP135" s="5">
        <f t="shared" si="88"/>
        <v>-363838</v>
      </c>
      <c r="AQ135" s="12">
        <f t="shared" si="88"/>
        <v>-87076</v>
      </c>
      <c r="AR135" s="12">
        <f t="shared" si="88"/>
        <v>-91219</v>
      </c>
      <c r="AS135" s="12">
        <f t="shared" si="88"/>
        <v>-92634</v>
      </c>
      <c r="AT135" s="12">
        <f t="shared" si="88"/>
        <v>-93519</v>
      </c>
      <c r="AU135" s="5">
        <f t="shared" si="88"/>
        <v>-364448</v>
      </c>
      <c r="AV135" s="12">
        <f t="shared" si="88"/>
        <v>-87351</v>
      </c>
      <c r="AW135" s="12">
        <f t="shared" si="88"/>
        <v>-90324</v>
      </c>
      <c r="AX135" s="12">
        <f t="shared" si="88"/>
        <v>-91798</v>
      </c>
      <c r="AY135" s="12">
        <f t="shared" si="88"/>
        <v>-82793</v>
      </c>
      <c r="AZ135" s="5">
        <f t="shared" si="88"/>
        <v>-352266</v>
      </c>
      <c r="BA135" s="12">
        <f t="shared" si="88"/>
        <v>-53609</v>
      </c>
      <c r="BB135" s="12">
        <f t="shared" si="88"/>
        <v>-71453</v>
      </c>
      <c r="BC135" s="12">
        <f t="shared" si="88"/>
        <v>-55962</v>
      </c>
      <c r="BD135" s="12">
        <f t="shared" si="88"/>
        <v>-52876</v>
      </c>
      <c r="BE135" s="5">
        <f t="shared" si="88"/>
        <v>-233900</v>
      </c>
      <c r="BF135" s="12">
        <f t="shared" si="88"/>
        <v>-39591</v>
      </c>
      <c r="BG135" s="12">
        <f t="shared" si="88"/>
        <v>-50192</v>
      </c>
      <c r="BH135" s="12">
        <f t="shared" si="88"/>
        <v>-46233</v>
      </c>
      <c r="BI135" s="12">
        <f t="shared" si="88"/>
        <v>-51020</v>
      </c>
      <c r="BJ135" s="5">
        <f t="shared" si="88"/>
        <v>-187036</v>
      </c>
      <c r="BK135" s="12">
        <f t="shared" si="88"/>
        <v>-53758</v>
      </c>
      <c r="BL135" s="12">
        <f t="shared" si="88"/>
        <v>-55897</v>
      </c>
      <c r="BM135" s="12">
        <f t="shared" si="88"/>
        <v>-57287</v>
      </c>
      <c r="BN135" s="12">
        <f t="shared" si="88"/>
        <v>-68166</v>
      </c>
      <c r="BO135" s="5">
        <f t="shared" ref="BO135:CD135" si="89">SUM(BO17:BO24)</f>
        <v>-235108</v>
      </c>
      <c r="BP135" s="12">
        <f t="shared" ca="1" si="89"/>
        <v>-62634.430795903536</v>
      </c>
      <c r="BQ135" s="12">
        <f t="shared" ca="1" si="89"/>
        <v>-61585.299691464483</v>
      </c>
      <c r="BR135" s="12">
        <f t="shared" ca="1" si="89"/>
        <v>-60554.217857221178</v>
      </c>
      <c r="BS135" s="12">
        <f t="shared" ca="1" si="89"/>
        <v>-60384.042978788508</v>
      </c>
      <c r="BT135" s="5">
        <f t="shared" ca="1" si="89"/>
        <v>-245157.99132337776</v>
      </c>
      <c r="BU135" s="12">
        <f t="shared" ca="1" si="89"/>
        <v>-58533.473262416381</v>
      </c>
      <c r="BV135" s="12">
        <f t="shared" ca="1" si="89"/>
        <v>-58675.142936657328</v>
      </c>
      <c r="BW135" s="12">
        <f t="shared" ca="1" si="89"/>
        <v>-58430.103700032363</v>
      </c>
      <c r="BX135" s="12">
        <f t="shared" ca="1" si="89"/>
        <v>-58725.864804408426</v>
      </c>
      <c r="BY135" s="5">
        <f t="shared" ca="1" si="89"/>
        <v>-234364.5847035145</v>
      </c>
      <c r="BZ135" s="12">
        <f t="shared" ca="1" si="89"/>
        <v>-58803.526842298445</v>
      </c>
      <c r="CA135" s="12">
        <f t="shared" ca="1" si="89"/>
        <v>-59092.574012764249</v>
      </c>
      <c r="CB135" s="12">
        <f t="shared" ca="1" si="89"/>
        <v>-59050.65646996686</v>
      </c>
      <c r="CC135" s="12">
        <f t="shared" ca="1" si="89"/>
        <v>-59560.94825205471</v>
      </c>
      <c r="CD135" s="5">
        <f t="shared" ca="1" si="89"/>
        <v>-236507.70557708427</v>
      </c>
      <c r="CE135" s="5"/>
      <c r="CF135" s="5"/>
      <c r="CG135" s="5"/>
      <c r="CH135" s="5"/>
      <c r="CI135" s="5"/>
      <c r="CJ135" s="5"/>
    </row>
    <row r="136" spans="1:88">
      <c r="A136" s="137" t="s">
        <v>1483</v>
      </c>
      <c r="B136" s="137"/>
      <c r="C136" s="5">
        <f t="shared" ref="C136:L136" si="90">-SUM(C134:C135)*C128</f>
        <v>-3997.8061213055012</v>
      </c>
      <c r="D136" s="5">
        <f t="shared" si="90"/>
        <v>-3381.5965803108847</v>
      </c>
      <c r="E136" s="5">
        <f t="shared" si="90"/>
        <v>-4999.2902320155399</v>
      </c>
      <c r="F136" s="5">
        <f t="shared" si="90"/>
        <v>-6959.7058981716318</v>
      </c>
      <c r="G136" s="5">
        <f t="shared" si="90"/>
        <v>-9582.4612627966126</v>
      </c>
      <c r="H136" s="12">
        <f t="shared" si="90"/>
        <v>-2697.182887495132</v>
      </c>
      <c r="I136" s="12">
        <f t="shared" si="90"/>
        <v>-3305.6670544080634</v>
      </c>
      <c r="J136" s="12">
        <f t="shared" si="90"/>
        <v>-3770.457312058119</v>
      </c>
      <c r="K136" s="12">
        <f t="shared" si="90"/>
        <v>-1253.2384388920689</v>
      </c>
      <c r="L136" s="5">
        <f t="shared" si="90"/>
        <v>-11003.146489771076</v>
      </c>
      <c r="M136" s="12">
        <f t="shared" ref="M136:BX136" si="91">-SUM(M134:M135)*M128</f>
        <v>-2339.1642308276846</v>
      </c>
      <c r="N136" s="12">
        <f t="shared" si="91"/>
        <v>-2983.6716743962743</v>
      </c>
      <c r="O136" s="12">
        <f t="shared" si="91"/>
        <v>-1843.3963854367694</v>
      </c>
      <c r="P136" s="12">
        <f t="shared" si="91"/>
        <v>-2318.0175385129783</v>
      </c>
      <c r="Q136" s="5">
        <f t="shared" si="91"/>
        <v>-9581.8811162815946</v>
      </c>
      <c r="R136" s="12">
        <f t="shared" si="91"/>
        <v>-3845.7473701764065</v>
      </c>
      <c r="S136" s="12">
        <f t="shared" si="91"/>
        <v>-4437.4864670817669</v>
      </c>
      <c r="T136" s="12">
        <f t="shared" si="91"/>
        <v>-3718.3727129235976</v>
      </c>
      <c r="U136" s="12">
        <f t="shared" si="91"/>
        <v>1337.8355739204276</v>
      </c>
      <c r="V136" s="5">
        <f t="shared" si="91"/>
        <v>-11225.340334906108</v>
      </c>
      <c r="W136" s="12">
        <f t="shared" si="91"/>
        <v>-1469.1157263361556</v>
      </c>
      <c r="X136" s="12">
        <f t="shared" si="91"/>
        <v>-2083.702492459217</v>
      </c>
      <c r="Y136" s="12">
        <f t="shared" si="91"/>
        <v>-1907.5406480973656</v>
      </c>
      <c r="Z136" s="12">
        <f t="shared" si="91"/>
        <v>-1471.2180098166648</v>
      </c>
      <c r="AA136" s="5">
        <f t="shared" si="91"/>
        <v>-6884.1309594721124</v>
      </c>
      <c r="AB136" s="12">
        <f t="shared" si="91"/>
        <v>-2867.5231529516332</v>
      </c>
      <c r="AC136" s="12">
        <f t="shared" si="91"/>
        <v>8720.9559061707805</v>
      </c>
      <c r="AD136" s="12">
        <f t="shared" si="91"/>
        <v>-152.9341431041797</v>
      </c>
      <c r="AE136" s="12">
        <f t="shared" si="91"/>
        <v>-2450.8151739168484</v>
      </c>
      <c r="AF136" s="5">
        <f t="shared" si="91"/>
        <v>2786.6877164743455</v>
      </c>
      <c r="AG136" s="12">
        <f t="shared" si="91"/>
        <v>-3672.1766683226165</v>
      </c>
      <c r="AH136" s="12">
        <f t="shared" si="91"/>
        <v>-2482.0569102672698</v>
      </c>
      <c r="AI136" s="12">
        <f t="shared" si="91"/>
        <v>-1858.600170488829</v>
      </c>
      <c r="AJ136" s="12">
        <f t="shared" si="91"/>
        <v>-2654.2220726164142</v>
      </c>
      <c r="AK136" s="5">
        <f t="shared" si="91"/>
        <v>-10771.451035068761</v>
      </c>
      <c r="AL136" s="12">
        <f t="shared" si="91"/>
        <v>-2421.7903427162282</v>
      </c>
      <c r="AM136" s="12">
        <f t="shared" si="91"/>
        <v>798.37236866569572</v>
      </c>
      <c r="AN136" s="12">
        <f t="shared" si="91"/>
        <v>-2179.8560371034137</v>
      </c>
      <c r="AO136" s="12">
        <f t="shared" si="91"/>
        <v>-510.51671216790959</v>
      </c>
      <c r="AP136" s="5">
        <f t="shared" si="91"/>
        <v>-4478.9667848205927</v>
      </c>
      <c r="AQ136" s="12">
        <f t="shared" si="91"/>
        <v>-7574.5180260924071</v>
      </c>
      <c r="AR136" s="12">
        <f t="shared" si="91"/>
        <v>-1687.0118296428241</v>
      </c>
      <c r="AS136" s="12">
        <f t="shared" si="91"/>
        <v>-1306.4335183460239</v>
      </c>
      <c r="AT136" s="12">
        <f t="shared" si="91"/>
        <v>-84.380190067047224</v>
      </c>
      <c r="AU136" s="5">
        <f t="shared" si="91"/>
        <v>-9920.1823062765961</v>
      </c>
      <c r="AV136" s="12">
        <f t="shared" si="91"/>
        <v>-1504.9952758845304</v>
      </c>
      <c r="AW136" s="12">
        <f t="shared" si="91"/>
        <v>-1328.3586884543331</v>
      </c>
      <c r="AX136" s="12">
        <f t="shared" si="91"/>
        <v>-999.97630654819932</v>
      </c>
      <c r="AY136" s="12">
        <f>-SUM(AY134:AY135)*AY128</f>
        <v>3293.5255192296318</v>
      </c>
      <c r="AZ136" s="5">
        <f t="shared" si="91"/>
        <v>-888.77549995955485</v>
      </c>
      <c r="BA136" s="12">
        <f t="shared" si="91"/>
        <v>-423.15364796310581</v>
      </c>
      <c r="BB136" s="12">
        <f t="shared" si="91"/>
        <v>3212.6775112788855</v>
      </c>
      <c r="BC136" s="12">
        <f>-SUM(BC134:BC135)*BC128</f>
        <v>-135.127972031865</v>
      </c>
      <c r="BD136" s="12">
        <f t="shared" si="91"/>
        <v>-698.59649402863397</v>
      </c>
      <c r="BE136" s="5">
        <f>-SUM(BE134:BE135)*BE128</f>
        <v>3225.7379338870815</v>
      </c>
      <c r="BF136" s="12">
        <f ca="1">-SUM(BF134:BF135)*BF128</f>
        <v>127.79944118633701</v>
      </c>
      <c r="BG136" s="12">
        <f t="shared" ca="1" si="91"/>
        <v>793.67258998351838</v>
      </c>
      <c r="BH136" s="12">
        <f t="shared" si="91"/>
        <v>292.42042432560413</v>
      </c>
      <c r="BI136" s="12">
        <f t="shared" si="91"/>
        <v>-22.565896877466415</v>
      </c>
      <c r="BJ136" s="5">
        <f t="shared" ca="1" si="91"/>
        <v>215.42296808386922</v>
      </c>
      <c r="BK136" s="12">
        <f t="shared" si="91"/>
        <v>-705.19983672824685</v>
      </c>
      <c r="BL136" s="12">
        <f t="shared" si="91"/>
        <v>-482.01966242989056</v>
      </c>
      <c r="BM136" s="12">
        <f t="shared" si="91"/>
        <v>-1130.8755044660059</v>
      </c>
      <c r="BN136" s="12">
        <f t="shared" ca="1" si="91"/>
        <v>-147.87519050937277</v>
      </c>
      <c r="BO136" s="5">
        <f t="shared" ca="1" si="91"/>
        <v>-2408.2384900864558</v>
      </c>
      <c r="BP136" s="12">
        <f t="shared" ca="1" si="91"/>
        <v>-1180.7329623657661</v>
      </c>
      <c r="BQ136" s="12">
        <f t="shared" ca="1" si="91"/>
        <v>-1748.2628415810934</v>
      </c>
      <c r="BR136" s="12">
        <f t="shared" ca="1" si="91"/>
        <v>-1874.7717247172225</v>
      </c>
      <c r="BS136" s="12">
        <f t="shared" ca="1" si="91"/>
        <v>-1718.2857612941375</v>
      </c>
      <c r="BT136" s="5">
        <f t="shared" ca="1" si="91"/>
        <v>-6521.1852462879897</v>
      </c>
      <c r="BU136" s="12">
        <f t="shared" ca="1" si="91"/>
        <v>-1930.0068998120357</v>
      </c>
      <c r="BV136" s="12">
        <f t="shared" ca="1" si="91"/>
        <v>-1826.3619545317799</v>
      </c>
      <c r="BW136" s="12">
        <f t="shared" ca="1" si="91"/>
        <v>-1957.7887752919676</v>
      </c>
      <c r="BX136" s="12">
        <f t="shared" ca="1" si="91"/>
        <v>-1784.8973731740684</v>
      </c>
      <c r="BY136" s="5">
        <f t="shared" ref="BY136:CD136" ca="1" si="92">-SUM(BY134:BY135)*BY128</f>
        <v>-7498.6751015943528</v>
      </c>
      <c r="BZ136" s="12">
        <f t="shared" ca="1" si="92"/>
        <v>-1771.3914613927814</v>
      </c>
      <c r="CA136" s="12">
        <f t="shared" ca="1" si="92"/>
        <v>-1761.5364696576989</v>
      </c>
      <c r="CB136" s="12">
        <f t="shared" ca="1" si="92"/>
        <v>-1936.1303379851047</v>
      </c>
      <c r="CC136" s="12">
        <f t="shared" ca="1" si="92"/>
        <v>-1796.8675991772193</v>
      </c>
      <c r="CD136" s="5">
        <f t="shared" ca="1" si="92"/>
        <v>-7265.579020772826</v>
      </c>
      <c r="CE136" s="5"/>
      <c r="CF136" s="5"/>
      <c r="CG136" s="5"/>
      <c r="CH136" s="5"/>
      <c r="CI136" s="5"/>
      <c r="CJ136" s="5"/>
    </row>
    <row r="137" spans="1:88">
      <c r="A137" s="245" t="s">
        <v>2284</v>
      </c>
      <c r="B137" s="137"/>
      <c r="C137" s="5">
        <f t="shared" ref="C137:AH137" si="93">SUM(C11,C12,C34)</f>
        <v>1195</v>
      </c>
      <c r="D137" s="5">
        <f t="shared" si="93"/>
        <v>964</v>
      </c>
      <c r="E137" s="5">
        <f t="shared" si="93"/>
        <v>1151</v>
      </c>
      <c r="F137" s="5">
        <f t="shared" si="93"/>
        <v>1658</v>
      </c>
      <c r="G137" s="5">
        <f t="shared" si="93"/>
        <v>3727</v>
      </c>
      <c r="H137" s="12">
        <f t="shared" si="93"/>
        <v>585</v>
      </c>
      <c r="I137" s="12">
        <f t="shared" si="93"/>
        <v>1010</v>
      </c>
      <c r="J137" s="12">
        <f t="shared" si="93"/>
        <v>1966</v>
      </c>
      <c r="K137" s="12">
        <f t="shared" si="93"/>
        <v>409</v>
      </c>
      <c r="L137" s="5">
        <f t="shared" si="93"/>
        <v>3970</v>
      </c>
      <c r="M137" s="12">
        <f t="shared" si="93"/>
        <v>496</v>
      </c>
      <c r="N137" s="12">
        <f t="shared" si="93"/>
        <v>1083</v>
      </c>
      <c r="O137" s="12">
        <f t="shared" si="93"/>
        <v>1104</v>
      </c>
      <c r="P137" s="12">
        <f t="shared" si="93"/>
        <v>1149</v>
      </c>
      <c r="Q137" s="5">
        <f t="shared" si="93"/>
        <v>3832</v>
      </c>
      <c r="R137" s="12">
        <f t="shared" si="93"/>
        <v>1200</v>
      </c>
      <c r="S137" s="12">
        <f t="shared" si="93"/>
        <v>2003</v>
      </c>
      <c r="T137" s="12">
        <f t="shared" si="93"/>
        <v>1327</v>
      </c>
      <c r="U137" s="12">
        <f t="shared" si="93"/>
        <v>-709</v>
      </c>
      <c r="V137" s="5">
        <f t="shared" si="93"/>
        <v>3821</v>
      </c>
      <c r="W137" s="12">
        <f t="shared" si="93"/>
        <v>505</v>
      </c>
      <c r="X137" s="12">
        <f t="shared" si="93"/>
        <v>1071</v>
      </c>
      <c r="Y137" s="12">
        <f t="shared" si="93"/>
        <v>1279</v>
      </c>
      <c r="Z137" s="12">
        <f t="shared" si="93"/>
        <v>1046</v>
      </c>
      <c r="AA137" s="5">
        <f t="shared" si="93"/>
        <v>3901</v>
      </c>
      <c r="AB137" s="12">
        <f t="shared" si="93"/>
        <v>1166</v>
      </c>
      <c r="AC137" s="12">
        <f t="shared" si="93"/>
        <v>1017</v>
      </c>
      <c r="AD137" s="12">
        <f t="shared" si="93"/>
        <v>1216</v>
      </c>
      <c r="AE137" s="12">
        <f t="shared" si="93"/>
        <v>1358</v>
      </c>
      <c r="AF137" s="5">
        <f t="shared" si="93"/>
        <v>4757</v>
      </c>
      <c r="AG137" s="12">
        <f t="shared" si="93"/>
        <v>1801</v>
      </c>
      <c r="AH137" s="12">
        <f t="shared" si="93"/>
        <v>1656</v>
      </c>
      <c r="AI137" s="12">
        <f t="shared" ref="AI137:BN137" si="94">SUM(AI11,AI12,AI34)</f>
        <v>1408</v>
      </c>
      <c r="AJ137" s="12">
        <f t="shared" si="94"/>
        <v>1355</v>
      </c>
      <c r="AK137" s="5">
        <f t="shared" si="94"/>
        <v>6220</v>
      </c>
      <c r="AL137" s="12">
        <f t="shared" si="94"/>
        <v>1550</v>
      </c>
      <c r="AM137" s="12">
        <f t="shared" si="94"/>
        <v>633</v>
      </c>
      <c r="AN137" s="12">
        <f t="shared" si="94"/>
        <v>1783</v>
      </c>
      <c r="AO137" s="12">
        <f t="shared" si="94"/>
        <v>453</v>
      </c>
      <c r="AP137" s="5">
        <f t="shared" si="94"/>
        <v>4419</v>
      </c>
      <c r="AQ137" s="12">
        <f t="shared" si="94"/>
        <v>409</v>
      </c>
      <c r="AR137" s="12">
        <f t="shared" si="94"/>
        <v>550</v>
      </c>
      <c r="AS137" s="12">
        <f t="shared" si="94"/>
        <v>1129</v>
      </c>
      <c r="AT137" s="12">
        <f t="shared" si="94"/>
        <v>1101</v>
      </c>
      <c r="AU137" s="5">
        <f t="shared" si="94"/>
        <v>3189</v>
      </c>
      <c r="AV137" s="12">
        <f t="shared" si="94"/>
        <v>898</v>
      </c>
      <c r="AW137" s="12">
        <f t="shared" si="94"/>
        <v>1383</v>
      </c>
      <c r="AX137" s="12">
        <f t="shared" si="94"/>
        <v>391</v>
      </c>
      <c r="AY137" s="12">
        <f t="shared" si="94"/>
        <v>700</v>
      </c>
      <c r="AZ137" s="5">
        <f t="shared" si="94"/>
        <v>3372</v>
      </c>
      <c r="BA137" s="12">
        <f t="shared" si="94"/>
        <v>466</v>
      </c>
      <c r="BB137" s="12">
        <f t="shared" si="94"/>
        <v>826</v>
      </c>
      <c r="BC137" s="12">
        <f t="shared" si="94"/>
        <v>831</v>
      </c>
      <c r="BD137" s="12">
        <f t="shared" si="94"/>
        <v>-312</v>
      </c>
      <c r="BE137" s="5">
        <f t="shared" si="94"/>
        <v>1811</v>
      </c>
      <c r="BF137" s="12">
        <f t="shared" si="94"/>
        <v>171</v>
      </c>
      <c r="BG137" s="12">
        <f t="shared" si="94"/>
        <v>654</v>
      </c>
      <c r="BH137" s="12">
        <f t="shared" si="94"/>
        <v>383</v>
      </c>
      <c r="BI137" s="12">
        <f t="shared" si="94"/>
        <v>752</v>
      </c>
      <c r="BJ137" s="5">
        <f t="shared" si="94"/>
        <v>1960</v>
      </c>
      <c r="BK137" s="12">
        <f t="shared" si="94"/>
        <v>356</v>
      </c>
      <c r="BL137" s="12">
        <f t="shared" si="94"/>
        <v>531</v>
      </c>
      <c r="BM137" s="12">
        <f t="shared" si="94"/>
        <v>513</v>
      </c>
      <c r="BN137" s="12">
        <f t="shared" si="94"/>
        <v>1107</v>
      </c>
      <c r="BO137" s="5">
        <f t="shared" ref="BO137:CD137" si="95">SUM(BO11,BO12,BO34)</f>
        <v>2507</v>
      </c>
      <c r="BP137" s="12">
        <f t="shared" ca="1" si="95"/>
        <v>855.22403259380167</v>
      </c>
      <c r="BQ137" s="12">
        <f t="shared" ca="1" si="95"/>
        <v>855.22403259380155</v>
      </c>
      <c r="BR137" s="12">
        <f t="shared" ca="1" si="95"/>
        <v>855.22403259380167</v>
      </c>
      <c r="BS137" s="12">
        <f t="shared" ca="1" si="95"/>
        <v>855.22403259380189</v>
      </c>
      <c r="BT137" s="5">
        <f t="shared" ca="1" si="95"/>
        <v>3420.8961303752067</v>
      </c>
      <c r="BU137" s="12">
        <f t="shared" ca="1" si="95"/>
        <v>843.41659714137143</v>
      </c>
      <c r="BV137" s="12">
        <f t="shared" ca="1" si="95"/>
        <v>843.41659714137143</v>
      </c>
      <c r="BW137" s="12">
        <f t="shared" ca="1" si="95"/>
        <v>843.41659714137143</v>
      </c>
      <c r="BX137" s="12">
        <f t="shared" ca="1" si="95"/>
        <v>843.41659714137131</v>
      </c>
      <c r="BY137" s="5">
        <f t="shared" ca="1" si="95"/>
        <v>3373.6663885654857</v>
      </c>
      <c r="BZ137" s="12">
        <f t="shared" ca="1" si="95"/>
        <v>1227.0793279652999</v>
      </c>
      <c r="CA137" s="12">
        <f t="shared" ca="1" si="95"/>
        <v>1227.0793279652999</v>
      </c>
      <c r="CB137" s="12">
        <f t="shared" ca="1" si="95"/>
        <v>1227.0793279652999</v>
      </c>
      <c r="CC137" s="12">
        <f t="shared" ca="1" si="95"/>
        <v>1227.0793279652999</v>
      </c>
      <c r="CD137" s="5">
        <f t="shared" ca="1" si="95"/>
        <v>4908.3173118611994</v>
      </c>
      <c r="CE137" s="5"/>
      <c r="CF137" s="5"/>
      <c r="CG137" s="5"/>
      <c r="CH137" s="5"/>
      <c r="CI137" s="5"/>
      <c r="CJ137" s="5"/>
    </row>
    <row r="138" spans="1:88">
      <c r="A138" s="148" t="s">
        <v>1685</v>
      </c>
      <c r="B138" s="148"/>
      <c r="C138" s="8">
        <f t="shared" ref="C138:AK138" si="96">SUM(C134:C137)</f>
        <v>10523.214283046171</v>
      </c>
      <c r="D138" s="8">
        <f t="shared" si="96"/>
        <v>8854.3920207253977</v>
      </c>
      <c r="E138" s="8">
        <f t="shared" si="96"/>
        <v>13652.141184762033</v>
      </c>
      <c r="F138" s="8">
        <f t="shared" si="96"/>
        <v>18131.208845531022</v>
      </c>
      <c r="G138" s="8">
        <f t="shared" si="96"/>
        <v>23220.57269928891</v>
      </c>
      <c r="H138" s="66">
        <f t="shared" si="96"/>
        <v>6039.0422915434756</v>
      </c>
      <c r="I138" s="66">
        <f t="shared" si="96"/>
        <v>7553.9350001158373</v>
      </c>
      <c r="J138" s="66">
        <f t="shared" si="96"/>
        <v>7219.8851826564642</v>
      </c>
      <c r="K138" s="66">
        <f t="shared" si="96"/>
        <v>3170.7796590093931</v>
      </c>
      <c r="L138" s="8">
        <f t="shared" si="96"/>
        <v>24007.041336407485</v>
      </c>
      <c r="M138" s="66">
        <f t="shared" si="96"/>
        <v>4986.3152614007286</v>
      </c>
      <c r="N138" s="66">
        <f t="shared" si="96"/>
        <v>7864.6244167540581</v>
      </c>
      <c r="O138" s="66">
        <f t="shared" si="96"/>
        <v>4930.8506400127289</v>
      </c>
      <c r="P138" s="66">
        <f t="shared" si="96"/>
        <v>4945.6963360651043</v>
      </c>
      <c r="Q138" s="8">
        <f t="shared" si="96"/>
        <v>22629.855367124739</v>
      </c>
      <c r="R138" s="66">
        <f t="shared" si="96"/>
        <v>7748.3873070840818</v>
      </c>
      <c r="S138" s="66">
        <f t="shared" si="96"/>
        <v>10236.144352099054</v>
      </c>
      <c r="T138" s="66">
        <f t="shared" si="96"/>
        <v>8741.5486398094017</v>
      </c>
      <c r="U138" s="66">
        <f t="shared" si="96"/>
        <v>-2411.1928307361809</v>
      </c>
      <c r="V138" s="8">
        <f t="shared" si="96"/>
        <v>23753.318109611591</v>
      </c>
      <c r="W138" s="66">
        <f t="shared" si="96"/>
        <v>2951.3442012064816</v>
      </c>
      <c r="X138" s="66">
        <f t="shared" si="96"/>
        <v>4942.4023878588068</v>
      </c>
      <c r="Y138" s="66">
        <f t="shared" si="96"/>
        <v>5924.6088539288721</v>
      </c>
      <c r="Z138" s="66">
        <f t="shared" si="96"/>
        <v>5398.2720859940673</v>
      </c>
      <c r="AA138" s="8">
        <f t="shared" si="96"/>
        <v>19264.073446225531</v>
      </c>
      <c r="AB138" s="66">
        <f t="shared" si="96"/>
        <v>6684.3762181175534</v>
      </c>
      <c r="AC138" s="66">
        <f t="shared" si="96"/>
        <v>-15458.798481472088</v>
      </c>
      <c r="AD138" s="66">
        <f t="shared" si="96"/>
        <v>1677.2651369309638</v>
      </c>
      <c r="AE138" s="66">
        <f t="shared" si="96"/>
        <v>6333.2552005776724</v>
      </c>
      <c r="AF138" s="8">
        <f t="shared" si="96"/>
        <v>-1226.8976455696429</v>
      </c>
      <c r="AG138" s="66">
        <f t="shared" si="96"/>
        <v>7847.0541891169705</v>
      </c>
      <c r="AH138" s="66">
        <f t="shared" si="96"/>
        <v>6475.7305503676807</v>
      </c>
      <c r="AI138" s="66">
        <f t="shared" si="96"/>
        <v>5752.1794287430566</v>
      </c>
      <c r="AJ138" s="66">
        <f t="shared" si="96"/>
        <v>8612.6384798105082</v>
      </c>
      <c r="AK138" s="8">
        <f t="shared" si="96"/>
        <v>28583.207434664553</v>
      </c>
      <c r="AL138" s="66">
        <f t="shared" ref="AL138:BQ138" si="97">SUM(AL134:AL137)</f>
        <v>6645.1952664938826</v>
      </c>
      <c r="AM138" s="66">
        <f t="shared" si="97"/>
        <v>-885.57671347427095</v>
      </c>
      <c r="AN138" s="66">
        <f t="shared" si="97"/>
        <v>6176.2741379035697</v>
      </c>
      <c r="AO138" s="66">
        <f t="shared" si="97"/>
        <v>3121.6700483609329</v>
      </c>
      <c r="AP138" s="8">
        <f t="shared" si="97"/>
        <v>14892.386677785376</v>
      </c>
      <c r="AQ138" s="66">
        <f t="shared" si="97"/>
        <v>12428.578863281891</v>
      </c>
      <c r="AR138" s="66">
        <f t="shared" si="97"/>
        <v>2652.9358340086205</v>
      </c>
      <c r="AS138" s="66">
        <f t="shared" si="97"/>
        <v>4102.0997587886632</v>
      </c>
      <c r="AT138" s="66">
        <f t="shared" si="97"/>
        <v>1363.2009159892518</v>
      </c>
      <c r="AU138" s="8">
        <f t="shared" si="97"/>
        <v>21278.976629940131</v>
      </c>
      <c r="AV138" s="66">
        <f t="shared" si="97"/>
        <v>3995.8052978479845</v>
      </c>
      <c r="AW138" s="66">
        <f t="shared" si="97"/>
        <v>4036.1310953523644</v>
      </c>
      <c r="AX138" s="66">
        <f t="shared" si="97"/>
        <v>1818.6742154391077</v>
      </c>
      <c r="AY138" s="66">
        <f>SUM(AY134:AY137)</f>
        <v>-4568.250179598137</v>
      </c>
      <c r="AZ138" s="8">
        <f t="shared" si="97"/>
        <v>4933.3896807391811</v>
      </c>
      <c r="BA138" s="66">
        <f t="shared" si="97"/>
        <v>2057.863723289779</v>
      </c>
      <c r="BB138" s="66">
        <f t="shared" si="97"/>
        <v>-5194.4330647650022</v>
      </c>
      <c r="BC138" s="66">
        <f>SUM(BC134:BC137)</f>
        <v>1044.981870862581</v>
      </c>
      <c r="BD138" s="66">
        <f t="shared" si="97"/>
        <v>-4480.2924143708497</v>
      </c>
      <c r="BE138" s="8">
        <f>SUM(BE134:BE137)</f>
        <v>-5301.9413483516837</v>
      </c>
      <c r="BF138" s="66">
        <f ca="1">SUM(BF134:BF137)</f>
        <v>-422.2024061732476</v>
      </c>
      <c r="BG138" s="66">
        <f t="shared" ca="1" si="97"/>
        <v>-2245.8086336470988</v>
      </c>
      <c r="BH138" s="66">
        <f t="shared" si="97"/>
        <v>1969.9157173767539</v>
      </c>
      <c r="BI138" s="66">
        <f t="shared" si="97"/>
        <v>949.34098053627486</v>
      </c>
      <c r="BJ138" s="8">
        <f t="shared" ca="1" si="97"/>
        <v>-724.65793244142651</v>
      </c>
      <c r="BK138" s="66">
        <f t="shared" si="97"/>
        <v>1791.3543203656191</v>
      </c>
      <c r="BL138" s="66">
        <f t="shared" si="97"/>
        <v>848.99591000114106</v>
      </c>
      <c r="BM138" s="66">
        <f t="shared" si="97"/>
        <v>2241.9705526200569</v>
      </c>
      <c r="BN138" s="66">
        <f t="shared" ca="1" si="97"/>
        <v>1512.2385335825907</v>
      </c>
      <c r="BO138" s="8">
        <f t="shared" ca="1" si="97"/>
        <v>6452.2910206164524</v>
      </c>
      <c r="BP138" s="66">
        <f t="shared" ca="1" si="97"/>
        <v>2726.1894389709669</v>
      </c>
      <c r="BQ138" s="66">
        <f t="shared" ca="1" si="97"/>
        <v>3631.7510022436786</v>
      </c>
      <c r="BR138" s="66">
        <f t="shared" ref="BR138:CD138" ca="1" si="98">SUM(BR134:BR137)</f>
        <v>3674.7271373157946</v>
      </c>
      <c r="BS138" s="66">
        <f t="shared" ca="1" si="98"/>
        <v>3283.3906324756513</v>
      </c>
      <c r="BT138" s="8">
        <f t="shared" ca="1" si="98"/>
        <v>13316.92625467624</v>
      </c>
      <c r="BU138" s="66">
        <f t="shared" ca="1" si="98"/>
        <v>3344.5137520835569</v>
      </c>
      <c r="BV138" s="66">
        <f t="shared" ca="1" si="98"/>
        <v>3306.4890231228655</v>
      </c>
      <c r="BW138" s="66">
        <f t="shared" ca="1" si="98"/>
        <v>3420.1014389876427</v>
      </c>
      <c r="BX138" s="66">
        <f t="shared" ca="1" si="98"/>
        <v>3297.2317367294795</v>
      </c>
      <c r="BY138" s="8">
        <f t="shared" ca="1" si="98"/>
        <v>13368.715852139045</v>
      </c>
      <c r="BZ138" s="66">
        <f t="shared" ca="1" si="98"/>
        <v>3883.2876122901384</v>
      </c>
      <c r="CA138" s="66">
        <f t="shared" ca="1" si="98"/>
        <v>3872.2952431478716</v>
      </c>
      <c r="CB138" s="66">
        <f t="shared" ca="1" si="98"/>
        <v>4009.4794864917671</v>
      </c>
      <c r="CC138" s="66">
        <f t="shared" ca="1" si="98"/>
        <v>3909.9820552017604</v>
      </c>
      <c r="CD138" s="8">
        <f t="shared" ca="1" si="98"/>
        <v>15675.391244571509</v>
      </c>
      <c r="CE138" s="5"/>
      <c r="CF138" s="5"/>
      <c r="CG138" s="5"/>
      <c r="CH138" s="5"/>
      <c r="CI138" s="5"/>
      <c r="CJ138" s="5"/>
    </row>
    <row r="139" spans="1:88">
      <c r="A139" s="4"/>
      <c r="B139" s="4"/>
      <c r="C139" s="5"/>
      <c r="D139" s="5"/>
      <c r="E139" s="5"/>
      <c r="F139" s="5"/>
      <c r="G139" s="5"/>
      <c r="H139" s="12"/>
      <c r="I139" s="12"/>
      <c r="J139" s="12"/>
      <c r="K139" s="12"/>
      <c r="L139" s="5"/>
      <c r="M139" s="12"/>
      <c r="N139" s="12"/>
      <c r="O139" s="12"/>
      <c r="P139" s="12"/>
      <c r="Q139" s="5"/>
      <c r="R139" s="12"/>
      <c r="S139" s="12"/>
      <c r="T139" s="12"/>
      <c r="U139" s="12"/>
      <c r="V139" s="5"/>
      <c r="W139" s="12"/>
      <c r="X139" s="12"/>
      <c r="Y139" s="12"/>
      <c r="Z139" s="12"/>
      <c r="AA139" s="5"/>
      <c r="AB139" s="12"/>
      <c r="AC139" s="12"/>
      <c r="AD139" s="12"/>
      <c r="AE139" s="12"/>
      <c r="AF139" s="5"/>
      <c r="AG139" s="12"/>
      <c r="AH139" s="12"/>
      <c r="AI139" s="12"/>
      <c r="AJ139" s="12"/>
      <c r="AK139" s="5"/>
      <c r="AL139" s="12"/>
      <c r="AM139" s="12"/>
      <c r="AN139" s="12"/>
      <c r="AO139" s="12"/>
      <c r="AP139" s="5"/>
      <c r="AQ139" s="12"/>
      <c r="AR139" s="12"/>
      <c r="AS139" s="12"/>
      <c r="AT139" s="12"/>
      <c r="AU139" s="5"/>
      <c r="AV139" s="12"/>
      <c r="AW139" s="12"/>
      <c r="AX139" s="12"/>
      <c r="AY139" s="12"/>
      <c r="AZ139" s="5"/>
      <c r="BA139" s="12"/>
      <c r="BB139" s="12"/>
      <c r="BC139" s="12"/>
      <c r="BD139" s="12"/>
      <c r="BE139" s="5"/>
      <c r="BF139" s="12"/>
      <c r="BG139" s="12"/>
      <c r="BH139" s="12"/>
      <c r="BI139" s="12"/>
      <c r="BJ139" s="5"/>
      <c r="BK139" s="12"/>
      <c r="BL139" s="12"/>
      <c r="BM139" s="12"/>
      <c r="BN139" s="12"/>
      <c r="BO139" s="5"/>
      <c r="BP139" s="12"/>
      <c r="BQ139" s="12"/>
      <c r="BR139" s="12"/>
      <c r="BS139" s="12"/>
      <c r="BT139" s="5"/>
      <c r="BU139" s="12"/>
      <c r="BV139" s="12"/>
      <c r="BW139" s="12"/>
      <c r="BX139" s="12"/>
      <c r="BY139" s="5"/>
      <c r="BZ139" s="12"/>
      <c r="CA139" s="12"/>
      <c r="CB139" s="12"/>
      <c r="CC139" s="12"/>
      <c r="CD139" s="5"/>
      <c r="CE139" s="5"/>
      <c r="CF139" s="5"/>
      <c r="CG139" s="5"/>
      <c r="CH139" s="5"/>
      <c r="CI139" s="5"/>
      <c r="CJ139" s="5"/>
    </row>
    <row r="140" spans="1:88">
      <c r="A140" s="4" t="s">
        <v>1484</v>
      </c>
      <c r="B140" s="4"/>
      <c r="C140" s="5">
        <f t="shared" ref="C140:AH140" si="99">C27+MIN(C28,0)</f>
        <v>-1670</v>
      </c>
      <c r="D140" s="5">
        <f t="shared" si="99"/>
        <v>-1140</v>
      </c>
      <c r="E140" s="5">
        <f t="shared" si="99"/>
        <v>-1045</v>
      </c>
      <c r="F140" s="5">
        <f t="shared" si="99"/>
        <v>-780</v>
      </c>
      <c r="G140" s="5">
        <f t="shared" si="99"/>
        <v>-761</v>
      </c>
      <c r="H140" s="12">
        <f t="shared" si="99"/>
        <v>-191</v>
      </c>
      <c r="I140" s="12">
        <f t="shared" si="99"/>
        <v>-153</v>
      </c>
      <c r="J140" s="12">
        <f t="shared" si="99"/>
        <v>-169</v>
      </c>
      <c r="K140" s="12">
        <f t="shared" si="99"/>
        <v>-205</v>
      </c>
      <c r="L140" s="5">
        <f t="shared" si="99"/>
        <v>-718</v>
      </c>
      <c r="M140" s="12">
        <f t="shared" si="99"/>
        <v>-331</v>
      </c>
      <c r="N140" s="12">
        <f t="shared" si="99"/>
        <v>-317</v>
      </c>
      <c r="O140" s="12">
        <f t="shared" si="99"/>
        <v>-337</v>
      </c>
      <c r="P140" s="12">
        <f t="shared" si="99"/>
        <v>-408</v>
      </c>
      <c r="Q140" s="5">
        <f t="shared" si="99"/>
        <v>-1393</v>
      </c>
      <c r="R140" s="12">
        <f t="shared" si="99"/>
        <v>-406</v>
      </c>
      <c r="S140" s="12">
        <f t="shared" si="99"/>
        <v>-381</v>
      </c>
      <c r="T140" s="12">
        <f t="shared" si="99"/>
        <v>-391</v>
      </c>
      <c r="U140" s="12">
        <f t="shared" si="99"/>
        <v>-369</v>
      </c>
      <c r="V140" s="5">
        <f t="shared" si="99"/>
        <v>-1547</v>
      </c>
      <c r="W140" s="12">
        <f t="shared" si="99"/>
        <v>-368</v>
      </c>
      <c r="X140" s="12">
        <f t="shared" si="99"/>
        <v>-321</v>
      </c>
      <c r="Y140" s="12">
        <f t="shared" si="99"/>
        <v>-311</v>
      </c>
      <c r="Z140" s="12">
        <f t="shared" si="99"/>
        <v>-302</v>
      </c>
      <c r="AA140" s="5">
        <f t="shared" si="99"/>
        <v>-1302</v>
      </c>
      <c r="AB140" s="12">
        <f t="shared" si="99"/>
        <v>-238</v>
      </c>
      <c r="AC140" s="12">
        <f t="shared" si="99"/>
        <v>-225</v>
      </c>
      <c r="AD140" s="12">
        <f t="shared" si="99"/>
        <v>-348</v>
      </c>
      <c r="AE140" s="12">
        <f t="shared" si="99"/>
        <v>-359</v>
      </c>
      <c r="AF140" s="5">
        <f t="shared" si="99"/>
        <v>-1170</v>
      </c>
      <c r="AG140" s="12">
        <f t="shared" si="99"/>
        <v>-308</v>
      </c>
      <c r="AH140" s="12">
        <f t="shared" si="99"/>
        <v>-314</v>
      </c>
      <c r="AI140" s="12">
        <f t="shared" ref="AI140:BN140" si="100">AI27+MIN(AI28,0)</f>
        <v>-298</v>
      </c>
      <c r="AJ140" s="12">
        <f t="shared" si="100"/>
        <v>-326</v>
      </c>
      <c r="AK140" s="5">
        <f t="shared" si="100"/>
        <v>-1246</v>
      </c>
      <c r="AL140" s="12">
        <f t="shared" si="100"/>
        <v>-283</v>
      </c>
      <c r="AM140" s="12">
        <f t="shared" si="100"/>
        <v>-267</v>
      </c>
      <c r="AN140" s="12">
        <f t="shared" si="100"/>
        <v>-256</v>
      </c>
      <c r="AO140" s="12">
        <f t="shared" si="100"/>
        <v>-319</v>
      </c>
      <c r="AP140" s="5">
        <f t="shared" si="100"/>
        <v>-1125</v>
      </c>
      <c r="AQ140" s="12">
        <f t="shared" si="100"/>
        <v>-404</v>
      </c>
      <c r="AR140" s="12">
        <f t="shared" si="100"/>
        <v>-369</v>
      </c>
      <c r="AS140" s="12">
        <f t="shared" si="100"/>
        <v>-397</v>
      </c>
      <c r="AT140" s="12">
        <f t="shared" si="100"/>
        <v>-378</v>
      </c>
      <c r="AU140" s="5">
        <f t="shared" si="100"/>
        <v>-1548</v>
      </c>
      <c r="AV140" s="12">
        <f t="shared" si="100"/>
        <v>-367</v>
      </c>
      <c r="AW140" s="12">
        <f t="shared" si="100"/>
        <v>-356</v>
      </c>
      <c r="AX140" s="12">
        <f t="shared" si="100"/>
        <v>-358</v>
      </c>
      <c r="AY140" s="12">
        <f t="shared" si="100"/>
        <v>-381</v>
      </c>
      <c r="AZ140" s="5">
        <f t="shared" si="100"/>
        <v>-1462</v>
      </c>
      <c r="BA140" s="12">
        <f t="shared" si="100"/>
        <v>-358</v>
      </c>
      <c r="BB140" s="12">
        <f t="shared" si="100"/>
        <v>-364</v>
      </c>
      <c r="BC140" s="12">
        <f t="shared" si="100"/>
        <v>-474</v>
      </c>
      <c r="BD140" s="12">
        <f t="shared" si="100"/>
        <v>-457</v>
      </c>
      <c r="BE140" s="5">
        <f t="shared" si="100"/>
        <v>-1653</v>
      </c>
      <c r="BF140" s="12">
        <f t="shared" si="100"/>
        <v>-440</v>
      </c>
      <c r="BG140" s="12">
        <f t="shared" si="100"/>
        <v>-460</v>
      </c>
      <c r="BH140" s="12">
        <f t="shared" si="100"/>
        <v>-481</v>
      </c>
      <c r="BI140" s="12">
        <f t="shared" si="100"/>
        <v>-484</v>
      </c>
      <c r="BJ140" s="5">
        <f t="shared" si="100"/>
        <v>-1865</v>
      </c>
      <c r="BK140" s="12">
        <f t="shared" si="100"/>
        <v>-513</v>
      </c>
      <c r="BL140" s="12">
        <f t="shared" si="100"/>
        <v>-541</v>
      </c>
      <c r="BM140" s="12">
        <f t="shared" si="100"/>
        <v>-566</v>
      </c>
      <c r="BN140" s="12">
        <f t="shared" si="100"/>
        <v>-674</v>
      </c>
      <c r="BO140" s="5">
        <f t="shared" ref="BO140:CD140" si="101">BO27+MIN(BO28,0)</f>
        <v>-2294</v>
      </c>
      <c r="BP140" s="12">
        <f t="shared" ca="1" si="101"/>
        <v>-529.02343319693637</v>
      </c>
      <c r="BQ140" s="12">
        <f t="shared" ca="1" si="101"/>
        <v>-536.96412555422705</v>
      </c>
      <c r="BR140" s="12">
        <f t="shared" ca="1" si="101"/>
        <v>-526.88849070519177</v>
      </c>
      <c r="BS140" s="12">
        <f t="shared" ca="1" si="101"/>
        <v>-517.66395878876256</v>
      </c>
      <c r="BT140" s="5">
        <f t="shared" ca="1" si="101"/>
        <v>-2110.5400082451179</v>
      </c>
      <c r="BU140" s="12">
        <f t="shared" ca="1" si="101"/>
        <v>-521.63167038414042</v>
      </c>
      <c r="BV140" s="12">
        <f t="shared" ca="1" si="101"/>
        <v>-514.58721277719269</v>
      </c>
      <c r="BW140" s="12">
        <f t="shared" ca="1" si="101"/>
        <v>-500.85307483243662</v>
      </c>
      <c r="BX140" s="12">
        <f t="shared" ca="1" si="101"/>
        <v>-489.89366277451677</v>
      </c>
      <c r="BY140" s="5">
        <f t="shared" ca="1" si="101"/>
        <v>-2026.9656207682865</v>
      </c>
      <c r="BZ140" s="12">
        <f t="shared" ca="1" si="101"/>
        <v>-490.34189965646124</v>
      </c>
      <c r="CA140" s="12">
        <f t="shared" ca="1" si="101"/>
        <v>-483.67056099001593</v>
      </c>
      <c r="CB140" s="12">
        <f t="shared" ca="1" si="101"/>
        <v>-467.39751985695762</v>
      </c>
      <c r="CC140" s="12">
        <f t="shared" ca="1" si="101"/>
        <v>-454.86036066722886</v>
      </c>
      <c r="CD140" s="5">
        <f t="shared" ca="1" si="101"/>
        <v>-1896.2703411706636</v>
      </c>
      <c r="CE140" s="5"/>
      <c r="CF140" s="5"/>
      <c r="CG140" s="5"/>
      <c r="CH140" s="5"/>
      <c r="CI140" s="5"/>
      <c r="CJ140" s="5"/>
    </row>
    <row r="141" spans="1:88">
      <c r="A141" s="4" t="s">
        <v>1485</v>
      </c>
      <c r="B141" s="4"/>
      <c r="C141" s="5">
        <f>Other!C54+MAX(C28,0)</f>
        <v>140.97959564831675</v>
      </c>
      <c r="D141" s="5">
        <f>Other!D54+MAX(D28,0)</f>
        <v>93.011398963730571</v>
      </c>
      <c r="E141" s="5">
        <f>Other!E54+MAX(E28,0)</f>
        <v>61.568583222430249</v>
      </c>
      <c r="F141" s="5">
        <f>Other!F54+MAX(F28,0)</f>
        <v>33.085256297340145</v>
      </c>
      <c r="G141" s="5">
        <f>Other!G54+MAX(G28,0)</f>
        <v>62.966037914467613</v>
      </c>
      <c r="H141" s="12">
        <f>Other!H54+MAX(H28,0)</f>
        <v>77.774820961391086</v>
      </c>
      <c r="I141" s="12">
        <f>Other!I54+MAX(I28,0)</f>
        <v>77.397945476096396</v>
      </c>
      <c r="J141" s="12">
        <f>Other!J54+MAX(J28,0)</f>
        <v>86.657505285412256</v>
      </c>
      <c r="K141" s="12">
        <f>Other!K54+MAX(K28,0)</f>
        <v>82.981902098538072</v>
      </c>
      <c r="L141" s="5">
        <f>Other!L54+MAX(L28,0)</f>
        <v>324.8121738214378</v>
      </c>
      <c r="M141" s="12">
        <f>Other!M54+MAX(M28,0)</f>
        <v>191.52050777158658</v>
      </c>
      <c r="N141" s="12">
        <f>Other!N54+MAX(N28,0)</f>
        <v>192.70390884966935</v>
      </c>
      <c r="O141" s="12">
        <f>Other!O54+MAX(O28,0)</f>
        <v>198.75297455050102</v>
      </c>
      <c r="P141" s="12">
        <f>Other!P54+MAX(P28,0)</f>
        <v>209.28612542192218</v>
      </c>
      <c r="Q141" s="5">
        <f>Other!Q54+MAX(Q28,0)</f>
        <v>792.26351659367913</v>
      </c>
      <c r="R141" s="12">
        <f>Other!R54+MAX(R28,0)</f>
        <v>215.86532273951013</v>
      </c>
      <c r="S141" s="12">
        <f>Other!S54+MAX(S28,0)</f>
        <v>213.36918081918083</v>
      </c>
      <c r="T141" s="12">
        <f>Other!T54+MAX(T28,0)</f>
        <v>218.07864726700745</v>
      </c>
      <c r="U141" s="12">
        <f>Other!U54+MAX(U28,0)</f>
        <v>204.02840465660771</v>
      </c>
      <c r="V141" s="5">
        <f>Other!V54+MAX(V28,0)</f>
        <v>851.34155548230615</v>
      </c>
      <c r="W141" s="12">
        <f>Other!W54+MAX(W28,0)</f>
        <v>77.540072457365028</v>
      </c>
      <c r="X141" s="12">
        <f>Other!X54+MAX(X28,0)</f>
        <v>66.895119681975814</v>
      </c>
      <c r="Y141" s="12">
        <f>Other!Y54+MAX(Y28,0)</f>
        <v>68.850497973761932</v>
      </c>
      <c r="Z141" s="12">
        <f>Other!Z54+MAX(Z28,0)</f>
        <v>64.509904189261334</v>
      </c>
      <c r="AA141" s="5">
        <f>Other!AA54+MAX(AA28,0)</f>
        <v>277.79559430236407</v>
      </c>
      <c r="AB141" s="12">
        <f>Other!AB54+MAX(AB28,0)</f>
        <v>64.100628930817606</v>
      </c>
      <c r="AC141" s="12">
        <f>Other!AC54+MAX(AC28,0)</f>
        <v>61.754387642867393</v>
      </c>
      <c r="AD141" s="12">
        <f>Other!AD54+MAX(AD28,0)</f>
        <v>98.800719964852107</v>
      </c>
      <c r="AE141" s="12">
        <f>Other!AE54+MAX(AE28,0)</f>
        <v>133.92962550547969</v>
      </c>
      <c r="AF141" s="5">
        <f>Other!AF54+MAX(AF28,0)</f>
        <v>358.58536204401679</v>
      </c>
      <c r="AG141" s="12">
        <f>Other!AG54+MAX(AG28,0)</f>
        <v>186.76914256041886</v>
      </c>
      <c r="AH141" s="12">
        <f>Other!AH54+MAX(AH28,0)</f>
        <v>184.21253936505235</v>
      </c>
      <c r="AI141" s="12">
        <f>Other!AI54+MAX(AI28,0)</f>
        <v>177.22040076812084</v>
      </c>
      <c r="AJ141" s="12">
        <f>Other!AJ54+MAX(AJ28,0)</f>
        <v>177.13944757307587</v>
      </c>
      <c r="AK141" s="5">
        <f>Other!AK54+MAX(AK28,0)</f>
        <v>725.34153026666786</v>
      </c>
      <c r="AL141" s="12">
        <f>Other!AL54+MAX(AL28,0)</f>
        <v>139.01439078989446</v>
      </c>
      <c r="AM141" s="12">
        <f>Other!AM54+MAX(AM28,0)</f>
        <v>135.94908213997365</v>
      </c>
      <c r="AN141" s="12">
        <f>Other!AN54+MAX(AN28,0)</f>
        <v>138.86982499302246</v>
      </c>
      <c r="AO141" s="12">
        <f>Other!AO54+MAX(AO28,0)</f>
        <v>148.81323947115681</v>
      </c>
      <c r="AP141" s="5">
        <f>Other!AP54+MAX(AP28,0)</f>
        <v>562.6465373940473</v>
      </c>
      <c r="AQ141" s="12">
        <f>Other!AQ54+MAX(AQ28,0)</f>
        <v>134.90311062569575</v>
      </c>
      <c r="AR141" s="12">
        <f>Other!AR54+MAX(AR28,0)</f>
        <v>145.05233634855216</v>
      </c>
      <c r="AS141" s="12">
        <f>Other!AS54+MAX(AS28,0)</f>
        <v>160.4667228653083</v>
      </c>
      <c r="AT141" s="12">
        <f>Other!AT54+MAX(AT28,0)</f>
        <v>129.41889394370202</v>
      </c>
      <c r="AU141" s="5">
        <f>Other!AU54+MAX(AU28,0)</f>
        <v>569.84106378325828</v>
      </c>
      <c r="AV141" s="12">
        <f>Other!AV54+MAX(AV28,0)</f>
        <v>136.19942626748553</v>
      </c>
      <c r="AW141" s="12">
        <f>Other!AW54+MAX(AW28,0)</f>
        <v>138.51021619330226</v>
      </c>
      <c r="AX141" s="12">
        <f>Other!AX54+MAX(AX28,0)</f>
        <v>150.34947801269294</v>
      </c>
      <c r="AY141" s="12">
        <f>Other!AY54+MAX(AY28,0)</f>
        <v>164.77569882777277</v>
      </c>
      <c r="AZ141" s="5">
        <f>Other!AZ54+MAX(AZ28,0)</f>
        <v>589.83481930125345</v>
      </c>
      <c r="BA141" s="12">
        <f>Other!BA54+MAX(BA28,0)</f>
        <v>152.98262874711762</v>
      </c>
      <c r="BB141" s="12">
        <f>Other!BB54+MAX(BB28,0)</f>
        <v>159.11057604388904</v>
      </c>
      <c r="BC141" s="12">
        <f>Other!BC54+MAX(BC28,0)</f>
        <v>158.89015710555503</v>
      </c>
      <c r="BD141" s="12">
        <f>Other!BD54+MAX(BD28,0)</f>
        <v>138.69592034221736</v>
      </c>
      <c r="BE141" s="5">
        <f>Other!BE54+MAX(BE28,0)</f>
        <v>609.67928223877902</v>
      </c>
      <c r="BF141" s="12">
        <f>Other!BF54+MAX(BF28,0)</f>
        <v>125.00184735958202</v>
      </c>
      <c r="BG141" s="12">
        <f>Other!BG54+MAX(BG28,0)</f>
        <v>123.48122363061445</v>
      </c>
      <c r="BH141" s="12">
        <f>Other!BH54+MAX(BH28,0)</f>
        <v>132.50470694885115</v>
      </c>
      <c r="BI141" s="12">
        <f>Other!BI54+MAX(BI28,0)</f>
        <v>129.09312258625539</v>
      </c>
      <c r="BJ141" s="5">
        <f>Other!BJ54+MAX(BJ28,0)</f>
        <v>510.08090052530304</v>
      </c>
      <c r="BK141" s="12">
        <f>Other!BK54+MAX(BK28,0)</f>
        <v>131.44584290613656</v>
      </c>
      <c r="BL141" s="12">
        <f>Other!BL54+MAX(BL28,0)</f>
        <v>137.98442756897049</v>
      </c>
      <c r="BM141" s="12">
        <f>Other!BM54+MAX(BM28,0)</f>
        <v>148.15394291393608</v>
      </c>
      <c r="BN141" s="12">
        <f>Other!BN54+MAX(BN28,0)</f>
        <v>195.886275908041</v>
      </c>
      <c r="BO141" s="5">
        <f>Other!BO54+MAX(BO28,0)</f>
        <v>613.4704892970841</v>
      </c>
      <c r="BP141" s="12">
        <f ca="1">Other!BP54+MAX(BP28,0)</f>
        <v>159.91250000000002</v>
      </c>
      <c r="BQ141" s="12">
        <f ca="1">Other!BQ54+MAX(BQ28,0)</f>
        <v>159.91250000000002</v>
      </c>
      <c r="BR141" s="12">
        <f ca="1">Other!BR54+MAX(BR28,0)</f>
        <v>159.91250000000002</v>
      </c>
      <c r="BS141" s="12">
        <f ca="1">Other!BS54+MAX(BS28,0)</f>
        <v>159.91250000000002</v>
      </c>
      <c r="BT141" s="5">
        <f ca="1">Other!BT54+MAX(BT28,0)</f>
        <v>639.65000000000009</v>
      </c>
      <c r="BU141" s="12">
        <f ca="1">Other!BU54+MAX(BU28,0)</f>
        <v>159.91250000000002</v>
      </c>
      <c r="BV141" s="12">
        <f ca="1">Other!BV54+MAX(BV28,0)</f>
        <v>159.91250000000002</v>
      </c>
      <c r="BW141" s="12">
        <f ca="1">Other!BW54+MAX(BW28,0)</f>
        <v>159.91250000000002</v>
      </c>
      <c r="BX141" s="12">
        <f ca="1">Other!BX54+MAX(BX28,0)</f>
        <v>159.91250000000002</v>
      </c>
      <c r="BY141" s="5">
        <f ca="1">Other!BY54+MAX(BY28,0)</f>
        <v>639.65000000000009</v>
      </c>
      <c r="BZ141" s="12">
        <f ca="1">Other!BZ54+MAX(BZ28,0)</f>
        <v>159.91250000000002</v>
      </c>
      <c r="CA141" s="12">
        <f ca="1">Other!CA54+MAX(CA28,0)</f>
        <v>159.91250000000002</v>
      </c>
      <c r="CB141" s="12">
        <f ca="1">Other!CB54+MAX(CB28,0)</f>
        <v>159.91250000000002</v>
      </c>
      <c r="CC141" s="12">
        <f ca="1">Other!CC54+MAX(CC28,0)</f>
        <v>159.91250000000002</v>
      </c>
      <c r="CD141" s="5">
        <f ca="1">Other!CD54+MAX(CD28,0)</f>
        <v>639.65000000000009</v>
      </c>
      <c r="CE141" s="5"/>
      <c r="CF141" s="5"/>
      <c r="CG141" s="5"/>
      <c r="CH141" s="5"/>
      <c r="CI141" s="5"/>
      <c r="CJ141" s="5"/>
    </row>
    <row r="142" spans="1:88">
      <c r="A142" s="4" t="s">
        <v>1486</v>
      </c>
      <c r="B142" s="4"/>
      <c r="C142" s="5">
        <f t="shared" ref="C142:AK142" si="102">-SUM(C140:C141)*C$128</f>
        <v>458.70612130550495</v>
      </c>
      <c r="D142" s="5">
        <f t="shared" si="102"/>
        <v>314.09658031088082</v>
      </c>
      <c r="E142" s="5">
        <f t="shared" si="102"/>
        <v>280.93359293073911</v>
      </c>
      <c r="F142" s="5">
        <f t="shared" si="102"/>
        <v>221.83782956730738</v>
      </c>
      <c r="G142" s="5">
        <f t="shared" si="102"/>
        <v>230.0479979670956</v>
      </c>
      <c r="H142" s="12">
        <f t="shared" si="102"/>
        <v>37.465412699165242</v>
      </c>
      <c r="I142" s="12">
        <f t="shared" si="102"/>
        <v>25.373128731677511</v>
      </c>
      <c r="J142" s="12">
        <f t="shared" si="102"/>
        <v>34.403488284222497</v>
      </c>
      <c r="K142" s="12">
        <f t="shared" si="102"/>
        <v>38.086446138445453</v>
      </c>
      <c r="L142" s="5">
        <f t="shared" si="102"/>
        <v>139.37748294772445</v>
      </c>
      <c r="M142" s="12">
        <f t="shared" si="102"/>
        <v>47.773104747731587</v>
      </c>
      <c r="N142" s="12">
        <f t="shared" si="102"/>
        <v>37.977212666342467</v>
      </c>
      <c r="O142" s="12">
        <f t="shared" si="102"/>
        <v>44.944085481141656</v>
      </c>
      <c r="P142" s="12">
        <f t="shared" si="102"/>
        <v>75.330139049169446</v>
      </c>
      <c r="Q142" s="5">
        <f t="shared" si="102"/>
        <v>202.82730847688055</v>
      </c>
      <c r="R142" s="12">
        <f t="shared" si="102"/>
        <v>70.348322179580293</v>
      </c>
      <c r="S142" s="12">
        <f t="shared" si="102"/>
        <v>58.707376309525188</v>
      </c>
      <c r="T142" s="12">
        <f t="shared" si="102"/>
        <v>57.755374273469599</v>
      </c>
      <c r="U142" s="12">
        <f t="shared" si="102"/>
        <v>72.599607490090492</v>
      </c>
      <c r="V142" s="5">
        <f t="shared" si="102"/>
        <v>250.62867963804044</v>
      </c>
      <c r="W142" s="12">
        <f t="shared" si="102"/>
        <v>108.98317319548116</v>
      </c>
      <c r="X142" s="12">
        <f t="shared" si="102"/>
        <v>88.911779574979022</v>
      </c>
      <c r="Y142" s="12">
        <f t="shared" si="102"/>
        <v>70.486720604918546</v>
      </c>
      <c r="Z142" s="12">
        <f t="shared" si="102"/>
        <v>59.998334394213721</v>
      </c>
      <c r="AA142" s="5">
        <f t="shared" si="102"/>
        <v>316.92778694859703</v>
      </c>
      <c r="AB142" s="12">
        <f t="shared" si="102"/>
        <v>59.464161297350465</v>
      </c>
      <c r="AC142" s="12">
        <f t="shared" si="102"/>
        <v>56.501633715991595</v>
      </c>
      <c r="AD142" s="12">
        <f t="shared" si="102"/>
        <v>62.050021211638665</v>
      </c>
      <c r="AE142" s="12">
        <f t="shared" si="102"/>
        <v>74.279647403404098</v>
      </c>
      <c r="AF142" s="5">
        <f t="shared" si="102"/>
        <v>257.81166378528383</v>
      </c>
      <c r="AG142" s="12">
        <f t="shared" si="102"/>
        <v>45.808865080579572</v>
      </c>
      <c r="AH142" s="12">
        <f t="shared" si="102"/>
        <v>44.117945814188403</v>
      </c>
      <c r="AI142" s="12">
        <f t="shared" si="102"/>
        <v>36.190385315599706</v>
      </c>
      <c r="AJ142" s="12">
        <f t="shared" si="102"/>
        <v>39.862239980431561</v>
      </c>
      <c r="AK142" s="5">
        <f t="shared" si="102"/>
        <v>169.2562251048775</v>
      </c>
      <c r="AL142" s="12">
        <f t="shared" ref="AL142:BQ142" si="103">-SUM(AL140:AL141)*AL$128</f>
        <v>46.388669076059109</v>
      </c>
      <c r="AM142" s="12">
        <f t="shared" si="103"/>
        <v>45.15741520356908</v>
      </c>
      <c r="AN142" s="12">
        <f t="shared" si="103"/>
        <v>38.84403812460144</v>
      </c>
      <c r="AO142" s="12">
        <f t="shared" si="103"/>
        <v>27.328745362930423</v>
      </c>
      <c r="AP142" s="5">
        <f t="shared" si="103"/>
        <v>168.45257749156559</v>
      </c>
      <c r="AQ142" s="12">
        <f t="shared" si="103"/>
        <v>104.02516894955248</v>
      </c>
      <c r="AR142" s="12">
        <f t="shared" si="103"/>
        <v>99.685375981384709</v>
      </c>
      <c r="AS142" s="12">
        <f t="shared" si="103"/>
        <v>72.207640749995022</v>
      </c>
      <c r="AT142" s="12">
        <f t="shared" si="103"/>
        <v>60.520670658544162</v>
      </c>
      <c r="AU142" s="5">
        <f t="shared" si="103"/>
        <v>346.42841527175898</v>
      </c>
      <c r="AV142" s="12">
        <f t="shared" si="103"/>
        <v>75.465744729669339</v>
      </c>
      <c r="AW142" s="12">
        <f t="shared" si="103"/>
        <v>72.561895083769457</v>
      </c>
      <c r="AX142" s="12">
        <f t="shared" si="103"/>
        <v>85.533564303848607</v>
      </c>
      <c r="AY142" s="12">
        <f>-SUM(AY140:AY141)*AY$128</f>
        <v>83.176700586284483</v>
      </c>
      <c r="AZ142" s="5">
        <f t="shared" si="103"/>
        <v>316.37011685138094</v>
      </c>
      <c r="BA142" s="12">
        <f t="shared" si="103"/>
        <v>43.053647963105298</v>
      </c>
      <c r="BB142" s="12">
        <f t="shared" si="103"/>
        <v>71.291645347620303</v>
      </c>
      <c r="BC142" s="12">
        <f>-SUM(BC140:BC141)*BC$128</f>
        <v>121.96778436430426</v>
      </c>
      <c r="BD142" s="12">
        <f t="shared" si="103"/>
        <v>-64.088069729754878</v>
      </c>
      <c r="BE142" s="5">
        <f>-SUM(BE140:BE141)*BE$128</f>
        <v>325.52312772428877</v>
      </c>
      <c r="BF142" s="12">
        <f ca="1">-SUM(BF140:BF141)*BF$128</f>
        <v>55.834236804800817</v>
      </c>
      <c r="BG142" s="12">
        <f t="shared" ca="1" si="103"/>
        <v>72.312734964071311</v>
      </c>
      <c r="BH142" s="12">
        <f t="shared" si="103"/>
        <v>-78.723454628634173</v>
      </c>
      <c r="BI142" s="12">
        <f t="shared" si="103"/>
        <v>36.419015589740397</v>
      </c>
      <c r="BJ142" s="5">
        <f t="shared" ca="1" si="103"/>
        <v>100.64570745922767</v>
      </c>
      <c r="BK142" s="12">
        <f t="shared" si="103"/>
        <v>125.70199562289197</v>
      </c>
      <c r="BL142" s="12">
        <f t="shared" si="103"/>
        <v>242.82206105924394</v>
      </c>
      <c r="BM142" s="12">
        <f t="shared" si="103"/>
        <v>165.22982746763768</v>
      </c>
      <c r="BN142" s="12">
        <f t="shared" ca="1" si="103"/>
        <v>127.82390845808955</v>
      </c>
      <c r="BO142" s="5">
        <f t="shared" ca="1" si="103"/>
        <v>636.9870234463076</v>
      </c>
      <c r="BP142" s="12">
        <f t="shared" ca="1" si="103"/>
        <v>142.81275307517907</v>
      </c>
      <c r="BQ142" s="12">
        <f t="shared" ca="1" si="103"/>
        <v>145.68308668792548</v>
      </c>
      <c r="BR142" s="12">
        <f t="shared" ref="BR142:CD142" ca="1" si="104">-SUM(BR140:BR141)*BR$128</f>
        <v>146.56070128437128</v>
      </c>
      <c r="BS142" s="12">
        <f t="shared" ca="1" si="104"/>
        <v>148.25185102201314</v>
      </c>
      <c r="BT142" s="5">
        <f t="shared" ca="1" si="104"/>
        <v>584.26145994674482</v>
      </c>
      <c r="BU142" s="12">
        <f t="shared" ca="1" si="104"/>
        <v>157.55001146647609</v>
      </c>
      <c r="BV142" s="12">
        <f t="shared" ca="1" si="104"/>
        <v>151.01394360839708</v>
      </c>
      <c r="BW142" s="12">
        <f t="shared" ca="1" si="104"/>
        <v>147.20333313347101</v>
      </c>
      <c r="BX142" s="12">
        <f t="shared" ca="1" si="104"/>
        <v>138.95316298517884</v>
      </c>
      <c r="BY142" s="5">
        <f t="shared" ca="1" si="104"/>
        <v>594.67205309849976</v>
      </c>
      <c r="BZ142" s="12">
        <f t="shared" ca="1" si="104"/>
        <v>132.19799682903141</v>
      </c>
      <c r="CA142" s="12">
        <f t="shared" ca="1" si="104"/>
        <v>129.41767133127593</v>
      </c>
      <c r="CB142" s="12">
        <f t="shared" ca="1" si="104"/>
        <v>126.16874593925769</v>
      </c>
      <c r="CC142" s="12">
        <f t="shared" ca="1" si="104"/>
        <v>118.30567543936175</v>
      </c>
      <c r="CD142" s="5">
        <f t="shared" ca="1" si="104"/>
        <v>506.3078855583712</v>
      </c>
      <c r="CE142" s="5"/>
      <c r="CF142" s="5"/>
      <c r="CG142" s="5"/>
      <c r="CH142" s="5"/>
      <c r="CI142" s="5"/>
      <c r="CJ142" s="5"/>
    </row>
    <row r="143" spans="1:88">
      <c r="A143" s="7" t="s">
        <v>1686</v>
      </c>
      <c r="B143" s="7"/>
      <c r="C143" s="8">
        <f t="shared" ref="C143:AK143" si="105">SUM(C140:C142)</f>
        <v>-1070.3142830461784</v>
      </c>
      <c r="D143" s="8">
        <f t="shared" si="105"/>
        <v>-732.89202072538865</v>
      </c>
      <c r="E143" s="8">
        <f t="shared" si="105"/>
        <v>-702.49782384683067</v>
      </c>
      <c r="F143" s="8">
        <f t="shared" si="105"/>
        <v>-525.07691413535247</v>
      </c>
      <c r="G143" s="8">
        <f t="shared" si="105"/>
        <v>-467.98596411843675</v>
      </c>
      <c r="H143" s="66">
        <f t="shared" si="105"/>
        <v>-75.759766339443672</v>
      </c>
      <c r="I143" s="66">
        <f t="shared" si="105"/>
        <v>-50.228925792226093</v>
      </c>
      <c r="J143" s="66">
        <f t="shared" si="105"/>
        <v>-47.939006430365247</v>
      </c>
      <c r="K143" s="66">
        <f t="shared" si="105"/>
        <v>-83.931651763016475</v>
      </c>
      <c r="L143" s="8">
        <f t="shared" si="105"/>
        <v>-253.81034323083776</v>
      </c>
      <c r="M143" s="66">
        <f t="shared" si="105"/>
        <v>-91.706387480681826</v>
      </c>
      <c r="N143" s="66">
        <f t="shared" si="105"/>
        <v>-86.318878483988186</v>
      </c>
      <c r="O143" s="66">
        <f t="shared" si="105"/>
        <v>-93.302939968357322</v>
      </c>
      <c r="P143" s="66">
        <f t="shared" si="105"/>
        <v>-123.38373552890837</v>
      </c>
      <c r="Q143" s="8">
        <f t="shared" si="105"/>
        <v>-397.90917492944033</v>
      </c>
      <c r="R143" s="66">
        <f t="shared" si="105"/>
        <v>-119.78635508090957</v>
      </c>
      <c r="S143" s="66">
        <f t="shared" si="105"/>
        <v>-108.92344287129399</v>
      </c>
      <c r="T143" s="66">
        <f t="shared" si="105"/>
        <v>-115.16597845952295</v>
      </c>
      <c r="U143" s="66">
        <f t="shared" si="105"/>
        <v>-92.371987853301803</v>
      </c>
      <c r="V143" s="8">
        <f t="shared" si="105"/>
        <v>-445.02976487965338</v>
      </c>
      <c r="W143" s="66">
        <f t="shared" si="105"/>
        <v>-181.47675434715384</v>
      </c>
      <c r="X143" s="66">
        <f t="shared" si="105"/>
        <v>-165.19310074304516</v>
      </c>
      <c r="Y143" s="66">
        <f t="shared" si="105"/>
        <v>-171.66278142131949</v>
      </c>
      <c r="Z143" s="66">
        <f t="shared" si="105"/>
        <v>-177.49176141652495</v>
      </c>
      <c r="AA143" s="8">
        <f t="shared" si="105"/>
        <v>-707.27661874903902</v>
      </c>
      <c r="AB143" s="66">
        <f t="shared" si="105"/>
        <v>-114.43520977183192</v>
      </c>
      <c r="AC143" s="66">
        <f t="shared" si="105"/>
        <v>-106.74397864114101</v>
      </c>
      <c r="AD143" s="66">
        <f t="shared" si="105"/>
        <v>-187.14925882350923</v>
      </c>
      <c r="AE143" s="66">
        <f t="shared" si="105"/>
        <v>-150.7907270911162</v>
      </c>
      <c r="AF143" s="8">
        <f t="shared" si="105"/>
        <v>-553.60297417069933</v>
      </c>
      <c r="AG143" s="66">
        <f t="shared" si="105"/>
        <v>-75.421992359001564</v>
      </c>
      <c r="AH143" s="66">
        <f t="shared" si="105"/>
        <v>-85.669514820759247</v>
      </c>
      <c r="AI143" s="66">
        <f t="shared" si="105"/>
        <v>-84.589213916279448</v>
      </c>
      <c r="AJ143" s="66">
        <f t="shared" si="105"/>
        <v>-108.99831244649258</v>
      </c>
      <c r="AK143" s="8">
        <f t="shared" si="105"/>
        <v>-351.40224462845464</v>
      </c>
      <c r="AL143" s="66">
        <f t="shared" ref="AL143:BQ143" si="106">SUM(AL140:AL142)</f>
        <v>-97.596940134046434</v>
      </c>
      <c r="AM143" s="66">
        <f t="shared" si="106"/>
        <v>-85.893502656457258</v>
      </c>
      <c r="AN143" s="66">
        <f t="shared" si="106"/>
        <v>-78.286136882376098</v>
      </c>
      <c r="AO143" s="66">
        <f t="shared" si="106"/>
        <v>-142.85801516591278</v>
      </c>
      <c r="AP143" s="8">
        <f t="shared" si="106"/>
        <v>-393.90088511438711</v>
      </c>
      <c r="AQ143" s="66">
        <f t="shared" si="106"/>
        <v>-165.07172042475179</v>
      </c>
      <c r="AR143" s="66">
        <f t="shared" si="106"/>
        <v>-124.26228767006313</v>
      </c>
      <c r="AS143" s="66">
        <f t="shared" si="106"/>
        <v>-164.32563638469668</v>
      </c>
      <c r="AT143" s="66">
        <f t="shared" si="106"/>
        <v>-188.06043539775382</v>
      </c>
      <c r="AU143" s="8">
        <f t="shared" si="106"/>
        <v>-631.7305209449828</v>
      </c>
      <c r="AV143" s="66">
        <f t="shared" si="106"/>
        <v>-155.33482900284514</v>
      </c>
      <c r="AW143" s="66">
        <f t="shared" si="106"/>
        <v>-144.92788872292829</v>
      </c>
      <c r="AX143" s="66">
        <f t="shared" si="106"/>
        <v>-122.11695768345845</v>
      </c>
      <c r="AY143" s="66">
        <f>SUM(AY140:AY142)</f>
        <v>-133.04760058594275</v>
      </c>
      <c r="AZ143" s="8">
        <f t="shared" si="106"/>
        <v>-555.79506384736555</v>
      </c>
      <c r="BA143" s="66">
        <f t="shared" si="106"/>
        <v>-161.96372328977708</v>
      </c>
      <c r="BB143" s="66">
        <f t="shared" si="106"/>
        <v>-133.59777860849067</v>
      </c>
      <c r="BC143" s="66">
        <f>SUM(BC140:BC142)</f>
        <v>-193.1420585301407</v>
      </c>
      <c r="BD143" s="66">
        <f t="shared" si="106"/>
        <v>-382.39214938753747</v>
      </c>
      <c r="BE143" s="8">
        <f>SUM(BE140:BE142)</f>
        <v>-717.79759003693221</v>
      </c>
      <c r="BF143" s="66">
        <f ca="1">SUM(BF140:BF142)</f>
        <v>-259.16391583561716</v>
      </c>
      <c r="BG143" s="66">
        <f t="shared" ca="1" si="106"/>
        <v>-264.20604140531424</v>
      </c>
      <c r="BH143" s="66">
        <f t="shared" si="106"/>
        <v>-427.21874767978301</v>
      </c>
      <c r="BI143" s="66">
        <f t="shared" si="106"/>
        <v>-318.4878618240042</v>
      </c>
      <c r="BJ143" s="8">
        <f t="shared" ca="1" si="106"/>
        <v>-1254.2733920154692</v>
      </c>
      <c r="BK143" s="66">
        <f t="shared" si="106"/>
        <v>-255.85216147097145</v>
      </c>
      <c r="BL143" s="66">
        <f t="shared" si="106"/>
        <v>-160.19351137178558</v>
      </c>
      <c r="BM143" s="66">
        <f t="shared" si="106"/>
        <v>-252.61622961842625</v>
      </c>
      <c r="BN143" s="66">
        <f t="shared" ca="1" si="106"/>
        <v>-350.28981563386947</v>
      </c>
      <c r="BO143" s="8">
        <f t="shared" ca="1" si="106"/>
        <v>-1043.5424872566084</v>
      </c>
      <c r="BP143" s="66">
        <f t="shared" ca="1" si="106"/>
        <v>-226.29818012175727</v>
      </c>
      <c r="BQ143" s="66">
        <f t="shared" ca="1" si="106"/>
        <v>-231.36853886630155</v>
      </c>
      <c r="BR143" s="66">
        <f t="shared" ref="BR143:CD143" ca="1" si="107">SUM(BR140:BR142)</f>
        <v>-220.41528942082047</v>
      </c>
      <c r="BS143" s="66">
        <f t="shared" ca="1" si="107"/>
        <v>-209.49960776674939</v>
      </c>
      <c r="BT143" s="8">
        <f t="shared" ca="1" si="107"/>
        <v>-886.62854829837295</v>
      </c>
      <c r="BU143" s="66">
        <f t="shared" ca="1" si="107"/>
        <v>-204.1691589176643</v>
      </c>
      <c r="BV143" s="66">
        <f t="shared" ca="1" si="107"/>
        <v>-203.66076916879558</v>
      </c>
      <c r="BW143" s="66">
        <f t="shared" ca="1" si="107"/>
        <v>-193.73724169896559</v>
      </c>
      <c r="BX143" s="66">
        <f t="shared" ca="1" si="107"/>
        <v>-191.02799978933791</v>
      </c>
      <c r="BY143" s="8">
        <f t="shared" ca="1" si="107"/>
        <v>-792.64356766978665</v>
      </c>
      <c r="BZ143" s="66">
        <f t="shared" ca="1" si="107"/>
        <v>-198.2314028274298</v>
      </c>
      <c r="CA143" s="66">
        <f t="shared" ca="1" si="107"/>
        <v>-194.34038965873998</v>
      </c>
      <c r="CB143" s="66">
        <f t="shared" ca="1" si="107"/>
        <v>-181.3162739176999</v>
      </c>
      <c r="CC143" s="66">
        <f t="shared" ca="1" si="107"/>
        <v>-176.64218522786709</v>
      </c>
      <c r="CD143" s="8">
        <f t="shared" ca="1" si="107"/>
        <v>-750.3124556122923</v>
      </c>
      <c r="CE143" s="5"/>
      <c r="CF143" s="5"/>
      <c r="CG143" s="5"/>
      <c r="CH143" s="5"/>
      <c r="CI143" s="5"/>
      <c r="CJ143" s="5"/>
    </row>
    <row r="144" spans="1:88">
      <c r="A144" s="4"/>
      <c r="B144" s="4"/>
      <c r="C144" s="5"/>
      <c r="D144" s="5"/>
      <c r="E144" s="5"/>
      <c r="F144" s="5"/>
      <c r="G144" s="5"/>
      <c r="H144" s="12"/>
      <c r="I144" s="12"/>
      <c r="J144" s="12"/>
      <c r="K144" s="12"/>
      <c r="L144" s="5"/>
      <c r="M144" s="12"/>
      <c r="N144" s="12"/>
      <c r="O144" s="12"/>
      <c r="P144" s="12"/>
      <c r="Q144" s="5"/>
      <c r="R144" s="12"/>
      <c r="S144" s="12"/>
      <c r="T144" s="12"/>
      <c r="U144" s="12"/>
      <c r="V144" s="5"/>
      <c r="W144" s="12"/>
      <c r="X144" s="12"/>
      <c r="Y144" s="12"/>
      <c r="Z144" s="12"/>
      <c r="AA144" s="5"/>
      <c r="AB144" s="12"/>
      <c r="AC144" s="12"/>
      <c r="AD144" s="12"/>
      <c r="AE144" s="12"/>
      <c r="AF144" s="5"/>
      <c r="AG144" s="12"/>
      <c r="AH144" s="12"/>
      <c r="AI144" s="12"/>
      <c r="AJ144" s="12"/>
      <c r="AK144" s="5"/>
      <c r="AL144" s="12"/>
      <c r="AM144" s="12"/>
      <c r="AN144" s="12"/>
      <c r="AO144" s="12"/>
      <c r="AP144" s="5"/>
      <c r="AQ144" s="12"/>
      <c r="AR144" s="12"/>
      <c r="AS144" s="12"/>
      <c r="AT144" s="12"/>
      <c r="AU144" s="5"/>
      <c r="AV144" s="12"/>
      <c r="AW144" s="12"/>
      <c r="AX144" s="12"/>
      <c r="AY144" s="12"/>
      <c r="AZ144" s="5"/>
      <c r="BA144" s="12"/>
      <c r="BB144" s="12"/>
      <c r="BC144" s="12"/>
      <c r="BD144" s="12"/>
      <c r="BE144" s="5"/>
      <c r="BF144" s="12"/>
      <c r="BG144" s="12"/>
      <c r="BH144" s="12"/>
      <c r="BI144" s="12"/>
      <c r="BJ144" s="5"/>
      <c r="BK144" s="12"/>
      <c r="BL144" s="12"/>
      <c r="BM144" s="12"/>
      <c r="BN144" s="12"/>
      <c r="BO144" s="5"/>
      <c r="BP144" s="12"/>
      <c r="BQ144" s="12"/>
      <c r="BR144" s="12"/>
      <c r="BS144" s="12"/>
      <c r="BT144" s="5"/>
      <c r="BU144" s="12"/>
      <c r="BV144" s="12"/>
      <c r="BW144" s="12"/>
      <c r="BX144" s="12"/>
      <c r="BY144" s="5"/>
      <c r="BZ144" s="12"/>
      <c r="CA144" s="12"/>
      <c r="CB144" s="12"/>
      <c r="CC144" s="12"/>
      <c r="CD144" s="5"/>
      <c r="CE144" s="5"/>
      <c r="CF144" s="5"/>
      <c r="CG144" s="5"/>
      <c r="CH144" s="5"/>
      <c r="CI144" s="5"/>
      <c r="CJ144" s="5"/>
    </row>
    <row r="145" spans="1:88">
      <c r="A145" s="4" t="s">
        <v>1676</v>
      </c>
      <c r="B145" s="4"/>
      <c r="C145" s="5">
        <f t="shared" ref="C145:AH145" si="108">C35</f>
        <v>-61</v>
      </c>
      <c r="D145" s="5">
        <f t="shared" si="108"/>
        <v>-77</v>
      </c>
      <c r="E145" s="5">
        <f t="shared" si="108"/>
        <v>-170</v>
      </c>
      <c r="F145" s="5">
        <f t="shared" si="108"/>
        <v>-187</v>
      </c>
      <c r="G145" s="5">
        <f t="shared" si="108"/>
        <v>-291</v>
      </c>
      <c r="H145" s="12">
        <f t="shared" si="108"/>
        <v>-71</v>
      </c>
      <c r="I145" s="12">
        <f t="shared" si="108"/>
        <v>-77</v>
      </c>
      <c r="J145" s="12">
        <f t="shared" si="108"/>
        <v>-63</v>
      </c>
      <c r="K145" s="12">
        <f t="shared" si="108"/>
        <v>-75</v>
      </c>
      <c r="L145" s="5">
        <f t="shared" si="108"/>
        <v>-286</v>
      </c>
      <c r="M145" s="12">
        <f t="shared" si="108"/>
        <v>-82</v>
      </c>
      <c r="N145" s="12">
        <f t="shared" si="108"/>
        <v>-65</v>
      </c>
      <c r="O145" s="12">
        <f t="shared" si="108"/>
        <v>-72</v>
      </c>
      <c r="P145" s="12">
        <f t="shared" si="108"/>
        <v>-105</v>
      </c>
      <c r="Q145" s="5">
        <f t="shared" si="108"/>
        <v>-324</v>
      </c>
      <c r="R145" s="12">
        <f t="shared" si="108"/>
        <v>-118</v>
      </c>
      <c r="S145" s="12">
        <f t="shared" si="108"/>
        <v>-112</v>
      </c>
      <c r="T145" s="12">
        <f t="shared" si="108"/>
        <v>-137</v>
      </c>
      <c r="U145" s="12">
        <f t="shared" si="108"/>
        <v>-142</v>
      </c>
      <c r="V145" s="5">
        <f t="shared" si="108"/>
        <v>-509</v>
      </c>
      <c r="W145" s="12">
        <f t="shared" si="108"/>
        <v>-35</v>
      </c>
      <c r="X145" s="12">
        <f t="shared" si="108"/>
        <v>-44</v>
      </c>
      <c r="Y145" s="12">
        <f t="shared" si="108"/>
        <v>-19</v>
      </c>
      <c r="Z145" s="12">
        <f t="shared" si="108"/>
        <v>-83</v>
      </c>
      <c r="AA145" s="5">
        <f t="shared" si="108"/>
        <v>-181</v>
      </c>
      <c r="AB145" s="12">
        <f t="shared" si="108"/>
        <v>-109</v>
      </c>
      <c r="AC145" s="12">
        <f t="shared" si="108"/>
        <v>-102</v>
      </c>
      <c r="AD145" s="12">
        <f t="shared" si="108"/>
        <v>-88</v>
      </c>
      <c r="AE145" s="12">
        <f t="shared" si="108"/>
        <v>-96</v>
      </c>
      <c r="AF145" s="5">
        <f t="shared" si="108"/>
        <v>-395</v>
      </c>
      <c r="AG145" s="12">
        <f t="shared" si="108"/>
        <v>-61</v>
      </c>
      <c r="AH145" s="12">
        <f t="shared" si="108"/>
        <v>-70</v>
      </c>
      <c r="AI145" s="12">
        <f t="shared" ref="AI145:BN145" si="109">AI35</f>
        <v>-177</v>
      </c>
      <c r="AJ145" s="12">
        <f t="shared" si="109"/>
        <v>-89</v>
      </c>
      <c r="AK145" s="5">
        <f t="shared" si="109"/>
        <v>-397</v>
      </c>
      <c r="AL145" s="12">
        <f t="shared" si="109"/>
        <v>-61</v>
      </c>
      <c r="AM145" s="12">
        <f t="shared" si="109"/>
        <v>-45</v>
      </c>
      <c r="AN145" s="12">
        <f t="shared" si="109"/>
        <v>-66</v>
      </c>
      <c r="AO145" s="12">
        <f t="shared" si="109"/>
        <v>-62</v>
      </c>
      <c r="AP145" s="5">
        <f t="shared" si="109"/>
        <v>-234</v>
      </c>
      <c r="AQ145" s="12">
        <f t="shared" si="109"/>
        <v>-79</v>
      </c>
      <c r="AR145" s="12">
        <f t="shared" si="109"/>
        <v>-84</v>
      </c>
      <c r="AS145" s="12">
        <f t="shared" si="109"/>
        <v>-88</v>
      </c>
      <c r="AT145" s="12">
        <f t="shared" si="109"/>
        <v>-56</v>
      </c>
      <c r="AU145" s="5">
        <f t="shared" si="109"/>
        <v>-307</v>
      </c>
      <c r="AV145" s="12">
        <f t="shared" si="109"/>
        <v>-91</v>
      </c>
      <c r="AW145" s="12">
        <f t="shared" si="109"/>
        <v>-64</v>
      </c>
      <c r="AX145" s="12">
        <f t="shared" si="109"/>
        <v>-34</v>
      </c>
      <c r="AY145" s="12">
        <f t="shared" si="109"/>
        <v>-34</v>
      </c>
      <c r="AZ145" s="5">
        <f t="shared" si="109"/>
        <v>-223</v>
      </c>
      <c r="BA145" s="12">
        <f t="shared" si="109"/>
        <v>-49</v>
      </c>
      <c r="BB145" s="12">
        <f t="shared" si="109"/>
        <v>-40</v>
      </c>
      <c r="BC145" s="12">
        <f t="shared" si="109"/>
        <v>-10</v>
      </c>
      <c r="BD145" s="12">
        <f t="shared" si="109"/>
        <v>17</v>
      </c>
      <c r="BE145" s="5">
        <f t="shared" si="109"/>
        <v>-82</v>
      </c>
      <c r="BF145" s="12">
        <f t="shared" si="109"/>
        <v>-25</v>
      </c>
      <c r="BG145" s="12">
        <f t="shared" si="109"/>
        <v>-29</v>
      </c>
      <c r="BH145" s="12">
        <f t="shared" si="109"/>
        <v>43</v>
      </c>
      <c r="BI145" s="12">
        <f t="shared" si="109"/>
        <v>-46</v>
      </c>
      <c r="BJ145" s="5">
        <f t="shared" si="109"/>
        <v>-57</v>
      </c>
      <c r="BK145" s="12">
        <f t="shared" si="109"/>
        <v>-43</v>
      </c>
      <c r="BL145" s="12">
        <f t="shared" si="109"/>
        <v>-12</v>
      </c>
      <c r="BM145" s="12">
        <f t="shared" si="109"/>
        <v>12</v>
      </c>
      <c r="BN145" s="12">
        <f t="shared" si="109"/>
        <v>-36</v>
      </c>
      <c r="BO145" s="5">
        <f t="shared" ref="BO145:CD145" si="110">BO35</f>
        <v>-79</v>
      </c>
      <c r="BP145" s="12">
        <f t="shared" si="110"/>
        <v>-25</v>
      </c>
      <c r="BQ145" s="12">
        <f t="shared" si="110"/>
        <v>-25</v>
      </c>
      <c r="BR145" s="12">
        <f t="shared" si="110"/>
        <v>-25</v>
      </c>
      <c r="BS145" s="12">
        <f t="shared" si="110"/>
        <v>-25</v>
      </c>
      <c r="BT145" s="5">
        <f t="shared" si="110"/>
        <v>-100</v>
      </c>
      <c r="BU145" s="12">
        <f t="shared" si="110"/>
        <v>-25</v>
      </c>
      <c r="BV145" s="12">
        <f t="shared" si="110"/>
        <v>-25</v>
      </c>
      <c r="BW145" s="12">
        <f t="shared" si="110"/>
        <v>-25</v>
      </c>
      <c r="BX145" s="12">
        <f t="shared" si="110"/>
        <v>-25</v>
      </c>
      <c r="BY145" s="5">
        <f t="shared" si="110"/>
        <v>-100</v>
      </c>
      <c r="BZ145" s="12">
        <f t="shared" si="110"/>
        <v>-25</v>
      </c>
      <c r="CA145" s="12">
        <f t="shared" si="110"/>
        <v>-25</v>
      </c>
      <c r="CB145" s="12">
        <f t="shared" si="110"/>
        <v>-25</v>
      </c>
      <c r="CC145" s="12">
        <f t="shared" si="110"/>
        <v>-25</v>
      </c>
      <c r="CD145" s="5">
        <f t="shared" si="110"/>
        <v>-100</v>
      </c>
      <c r="CE145" s="5"/>
      <c r="CF145" s="5"/>
      <c r="CG145" s="5"/>
      <c r="CH145" s="5"/>
      <c r="CI145" s="5"/>
      <c r="CJ145" s="5"/>
    </row>
    <row r="146" spans="1:88">
      <c r="A146" s="14" t="s">
        <v>1487</v>
      </c>
      <c r="B146" s="14"/>
      <c r="C146" s="15">
        <f>C138+C143+C145</f>
        <v>9391.8999999999924</v>
      </c>
      <c r="D146" s="15">
        <f>D138+D143+D145</f>
        <v>8044.5000000000091</v>
      </c>
      <c r="E146" s="15">
        <f>E138+E143+E145</f>
        <v>12779.643360915203</v>
      </c>
      <c r="F146" s="15">
        <f>F138+F143+F145</f>
        <v>17419.13193139567</v>
      </c>
      <c r="G146" s="15">
        <f t="shared" ref="G146:BR146" si="111">G138+G143+G145</f>
        <v>22461.586735170473</v>
      </c>
      <c r="H146" s="67">
        <f t="shared" si="111"/>
        <v>5892.282525204032</v>
      </c>
      <c r="I146" s="67">
        <f t="shared" si="111"/>
        <v>7426.7060743236116</v>
      </c>
      <c r="J146" s="67">
        <f t="shared" si="111"/>
        <v>7108.9461762260989</v>
      </c>
      <c r="K146" s="67">
        <f t="shared" si="111"/>
        <v>3011.8480072463767</v>
      </c>
      <c r="L146" s="15">
        <f t="shared" si="111"/>
        <v>23467.230993176647</v>
      </c>
      <c r="M146" s="67">
        <f t="shared" si="111"/>
        <v>4812.6088739200468</v>
      </c>
      <c r="N146" s="67">
        <f t="shared" si="111"/>
        <v>7713.3055382700695</v>
      </c>
      <c r="O146" s="67">
        <f t="shared" si="111"/>
        <v>4765.5477000443716</v>
      </c>
      <c r="P146" s="67">
        <f t="shared" si="111"/>
        <v>4717.3126005361955</v>
      </c>
      <c r="Q146" s="15">
        <f t="shared" si="111"/>
        <v>21907.946192195297</v>
      </c>
      <c r="R146" s="67">
        <f t="shared" si="111"/>
        <v>7510.6009520031721</v>
      </c>
      <c r="S146" s="67">
        <f t="shared" si="111"/>
        <v>10015.220909227761</v>
      </c>
      <c r="T146" s="67">
        <f t="shared" si="111"/>
        <v>8489.3826613498786</v>
      </c>
      <c r="U146" s="67">
        <f t="shared" si="111"/>
        <v>-2645.5648185894829</v>
      </c>
      <c r="V146" s="15">
        <f t="shared" si="111"/>
        <v>22799.288344731936</v>
      </c>
      <c r="W146" s="67">
        <f t="shared" si="111"/>
        <v>2734.8674468593276</v>
      </c>
      <c r="X146" s="67">
        <f t="shared" si="111"/>
        <v>4733.209287115762</v>
      </c>
      <c r="Y146" s="67">
        <f t="shared" si="111"/>
        <v>5733.9460725075523</v>
      </c>
      <c r="Z146" s="67">
        <f t="shared" si="111"/>
        <v>5137.7803245775422</v>
      </c>
      <c r="AA146" s="15">
        <f t="shared" si="111"/>
        <v>18375.796827476493</v>
      </c>
      <c r="AB146" s="67">
        <f t="shared" si="111"/>
        <v>6460.9410083457215</v>
      </c>
      <c r="AC146" s="67">
        <f t="shared" si="111"/>
        <v>-15667.542460113229</v>
      </c>
      <c r="AD146" s="67">
        <f t="shared" si="111"/>
        <v>1402.1158781074546</v>
      </c>
      <c r="AE146" s="67">
        <f t="shared" si="111"/>
        <v>6086.464473486556</v>
      </c>
      <c r="AF146" s="15">
        <f t="shared" si="111"/>
        <v>-2175.5006197403422</v>
      </c>
      <c r="AG146" s="67">
        <f t="shared" si="111"/>
        <v>7710.6321967579688</v>
      </c>
      <c r="AH146" s="67">
        <f t="shared" si="111"/>
        <v>6320.0610355469216</v>
      </c>
      <c r="AI146" s="67">
        <f t="shared" si="111"/>
        <v>5490.5902148267769</v>
      </c>
      <c r="AJ146" s="67">
        <f t="shared" si="111"/>
        <v>8414.6401673640157</v>
      </c>
      <c r="AK146" s="15">
        <f t="shared" si="111"/>
        <v>27834.805190036099</v>
      </c>
      <c r="AL146" s="67">
        <f t="shared" si="111"/>
        <v>6486.5983263598364</v>
      </c>
      <c r="AM146" s="67">
        <f t="shared" si="111"/>
        <v>-1016.4702161307282</v>
      </c>
      <c r="AN146" s="67">
        <f t="shared" si="111"/>
        <v>6031.9880010211937</v>
      </c>
      <c r="AO146" s="67">
        <f t="shared" si="111"/>
        <v>2916.8120331950204</v>
      </c>
      <c r="AP146" s="15">
        <f t="shared" si="111"/>
        <v>14264.48579267099</v>
      </c>
      <c r="AQ146" s="67">
        <f t="shared" si="111"/>
        <v>12184.507142857139</v>
      </c>
      <c r="AR146" s="67">
        <f t="shared" si="111"/>
        <v>2444.6735463385576</v>
      </c>
      <c r="AS146" s="67">
        <f t="shared" si="111"/>
        <v>3849.7741224039664</v>
      </c>
      <c r="AT146" s="67">
        <f t="shared" si="111"/>
        <v>1119.1404805914981</v>
      </c>
      <c r="AU146" s="15">
        <f t="shared" si="111"/>
        <v>20340.246108995147</v>
      </c>
      <c r="AV146" s="67">
        <f t="shared" si="111"/>
        <v>3749.4704688451393</v>
      </c>
      <c r="AW146" s="67">
        <f t="shared" si="111"/>
        <v>3827.203206629436</v>
      </c>
      <c r="AX146" s="67">
        <f t="shared" si="111"/>
        <v>1662.5572577556493</v>
      </c>
      <c r="AY146" s="67">
        <f>AY138+AY143+AY145</f>
        <v>-4735.2977801840798</v>
      </c>
      <c r="AZ146" s="15">
        <f t="shared" si="111"/>
        <v>4154.5946168918153</v>
      </c>
      <c r="BA146" s="67">
        <f t="shared" si="111"/>
        <v>1846.9000000000019</v>
      </c>
      <c r="BB146" s="67">
        <f t="shared" si="111"/>
        <v>-5368.0308433734926</v>
      </c>
      <c r="BC146" s="67">
        <f>BC138+BC143+BC145</f>
        <v>841.83981233244026</v>
      </c>
      <c r="BD146" s="67">
        <f t="shared" si="111"/>
        <v>-4845.6845637583874</v>
      </c>
      <c r="BE146" s="15">
        <f>BE138+BE143+BE145</f>
        <v>-6101.7389383886157</v>
      </c>
      <c r="BF146" s="67">
        <f ca="1">BF138+BF143+BF145</f>
        <v>-706.3663220088647</v>
      </c>
      <c r="BG146" s="67">
        <f t="shared" ca="1" si="111"/>
        <v>-2539.0146750524132</v>
      </c>
      <c r="BH146" s="67">
        <f t="shared" si="111"/>
        <v>1585.6969696969709</v>
      </c>
      <c r="BI146" s="67">
        <f t="shared" si="111"/>
        <v>584.85311871227066</v>
      </c>
      <c r="BJ146" s="15">
        <f t="shared" ca="1" si="111"/>
        <v>-2035.9313244568957</v>
      </c>
      <c r="BK146" s="67">
        <f t="shared" si="111"/>
        <v>1492.5021588946477</v>
      </c>
      <c r="BL146" s="67">
        <f t="shared" si="111"/>
        <v>676.80239862935548</v>
      </c>
      <c r="BM146" s="67">
        <f t="shared" si="111"/>
        <v>2001.3543230016307</v>
      </c>
      <c r="BN146" s="67">
        <f t="shared" ca="1" si="111"/>
        <v>1125.9487179487212</v>
      </c>
      <c r="BO146" s="15">
        <f t="shared" ca="1" si="111"/>
        <v>5329.7485333598443</v>
      </c>
      <c r="BP146" s="67">
        <f t="shared" ca="1" si="111"/>
        <v>2474.8912588492094</v>
      </c>
      <c r="BQ146" s="67">
        <f t="shared" ca="1" si="111"/>
        <v>3375.382463377377</v>
      </c>
      <c r="BR146" s="67">
        <f t="shared" ca="1" si="111"/>
        <v>3429.3118478949741</v>
      </c>
      <c r="BS146" s="67">
        <f t="shared" ref="BS146:CD146" ca="1" si="112">BS138+BS143+BS145</f>
        <v>3048.891024708902</v>
      </c>
      <c r="BT146" s="15">
        <f t="shared" ca="1" si="112"/>
        <v>12330.297706377867</v>
      </c>
      <c r="BU146" s="67">
        <f t="shared" ca="1" si="112"/>
        <v>3115.3445931658925</v>
      </c>
      <c r="BV146" s="67">
        <f t="shared" ca="1" si="112"/>
        <v>3077.8282539540701</v>
      </c>
      <c r="BW146" s="67">
        <f t="shared" ca="1" si="112"/>
        <v>3201.3641972886771</v>
      </c>
      <c r="BX146" s="67">
        <f t="shared" ca="1" si="112"/>
        <v>3081.2037369401414</v>
      </c>
      <c r="BY146" s="15">
        <f t="shared" ca="1" si="112"/>
        <v>12476.072284469257</v>
      </c>
      <c r="BZ146" s="67">
        <f t="shared" ca="1" si="112"/>
        <v>3660.0562094627085</v>
      </c>
      <c r="CA146" s="67">
        <f t="shared" ca="1" si="112"/>
        <v>3652.9548534891314</v>
      </c>
      <c r="CB146" s="67">
        <f t="shared" ca="1" si="112"/>
        <v>3803.1632125740671</v>
      </c>
      <c r="CC146" s="67">
        <f t="shared" ca="1" si="112"/>
        <v>3708.3398699738932</v>
      </c>
      <c r="CD146" s="15">
        <f t="shared" ca="1" si="112"/>
        <v>14825.078788959216</v>
      </c>
      <c r="CE146" s="5"/>
      <c r="CF146" s="5"/>
      <c r="CG146" s="5"/>
      <c r="CH146" s="5"/>
      <c r="CI146" s="5"/>
      <c r="CJ146" s="5"/>
    </row>
  </sheetData>
  <phoneticPr fontId="14" type="noConversion"/>
  <pageMargins left="0.75" right="0.75" top="1" bottom="1" header="0.5" footer="0.5"/>
  <pageSetup paperSize="9" scale="56" fitToHeight="0" orientation="landscape" r:id="rId1"/>
  <headerFooter alignWithMargins="0"/>
  <rowBreaks count="2" manualBreakCount="2">
    <brk id="45" max="81" man="1"/>
    <brk id="123" max="81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8"/>
  </sheetPr>
  <dimension ref="A1:CL219"/>
  <sheetViews>
    <sheetView zoomScale="85" zoomScaleNormal="85" workbookViewId="0">
      <pane xSplit="2" ySplit="9" topLeftCell="AF10" activePane="bottomRight" state="frozen"/>
      <selection sqref="A1:IV65536"/>
      <selection pane="topRight" sqref="A1:IV65536"/>
      <selection pane="bottomLeft" sqref="A1:IV65536"/>
      <selection pane="bottomRight" sqref="A1:XFD1048576"/>
    </sheetView>
  </sheetViews>
  <sheetFormatPr defaultColWidth="9.7109375" defaultRowHeight="12.75" outlineLevelCol="1"/>
  <cols>
    <col min="1" max="1" width="3.7109375" customWidth="1"/>
    <col min="2" max="2" width="35.7109375" customWidth="1"/>
    <col min="3" max="7" width="9.7109375" customWidth="1"/>
    <col min="8" max="11" width="9.7109375" hidden="1" customWidth="1" outlineLevel="1"/>
    <col min="12" max="12" width="9.7109375" customWidth="1" collapsed="1"/>
    <col min="13" max="16" width="9.7109375" hidden="1" customWidth="1" outlineLevel="1"/>
    <col min="17" max="17" width="9.7109375" customWidth="1" collapsed="1"/>
    <col min="18" max="21" width="9.7109375" hidden="1" customWidth="1" outlineLevel="1"/>
    <col min="22" max="22" width="9.7109375" customWidth="1" collapsed="1"/>
    <col min="23" max="26" width="9.7109375" hidden="1" customWidth="1" outlineLevel="1"/>
    <col min="27" max="27" width="9.7109375" customWidth="1" collapsed="1"/>
    <col min="28" max="31" width="9.7109375" hidden="1" customWidth="1" outlineLevel="1"/>
    <col min="32" max="32" width="9.7109375" customWidth="1" collapsed="1"/>
    <col min="33" max="36" width="9.7109375" hidden="1" customWidth="1" outlineLevel="1"/>
    <col min="37" max="37" width="9.7109375" customWidth="1" collapsed="1"/>
    <col min="38" max="41" width="9.7109375" hidden="1" customWidth="1" outlineLevel="1"/>
    <col min="42" max="42" width="9.7109375" customWidth="1" collapsed="1"/>
    <col min="43" max="46" width="9.7109375" hidden="1" customWidth="1" outlineLevel="1"/>
    <col min="47" max="47" width="9.7109375" customWidth="1" collapsed="1"/>
    <col min="48" max="51" width="9.7109375" hidden="1" customWidth="1" outlineLevel="1"/>
    <col min="52" max="52" width="9.7109375" customWidth="1" collapsed="1"/>
    <col min="53" max="56" width="9.7109375" hidden="1" customWidth="1" outlineLevel="1"/>
    <col min="57" max="57" width="9.7109375" customWidth="1" collapsed="1"/>
    <col min="58" max="61" width="9.7109375" hidden="1" customWidth="1" outlineLevel="1"/>
    <col min="62" max="62" width="9.7109375" customWidth="1" collapsed="1"/>
    <col min="63" max="66" width="9.7109375" hidden="1" customWidth="1" outlineLevel="1"/>
    <col min="67" max="67" width="9.7109375" customWidth="1" collapsed="1"/>
    <col min="68" max="68" width="11.85546875" hidden="1" customWidth="1" outlineLevel="1"/>
    <col min="69" max="71" width="9.7109375" hidden="1" customWidth="1" outlineLevel="1"/>
    <col min="72" max="72" width="9.7109375" customWidth="1" collapsed="1"/>
    <col min="73" max="76" width="9.7109375" hidden="1" customWidth="1" outlineLevel="1"/>
    <col min="77" max="77" width="9.7109375" customWidth="1" collapsed="1"/>
    <col min="78" max="81" width="9.7109375" hidden="1" customWidth="1" outlineLevel="1"/>
    <col min="82" max="82" width="9.7109375" customWidth="1" collapsed="1"/>
    <col min="84" max="84" width="9.7109375" customWidth="1"/>
  </cols>
  <sheetData>
    <row r="1" spans="1:90" ht="12.75" customHeight="1">
      <c r="A1" s="1"/>
      <c r="B1" s="1"/>
      <c r="C1" s="1"/>
      <c r="D1" s="2"/>
      <c r="E1" s="2"/>
      <c r="F1" s="2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3"/>
      <c r="T1" s="3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 t="s">
        <v>3421</v>
      </c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</row>
    <row r="2" spans="1:90" ht="18" customHeight="1">
      <c r="A2" s="1"/>
      <c r="B2" s="20" t="s">
        <v>3369</v>
      </c>
      <c r="C2" s="1"/>
      <c r="D2" s="2"/>
      <c r="E2" s="2"/>
      <c r="F2" s="2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3"/>
      <c r="T2" s="3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 t="s">
        <v>3421</v>
      </c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</row>
    <row r="3" spans="1:90" ht="12.75" customHeight="1">
      <c r="A3" s="1"/>
      <c r="B3" s="21" t="s">
        <v>713</v>
      </c>
      <c r="C3" s="1"/>
      <c r="D3" s="2"/>
      <c r="E3" s="2"/>
      <c r="F3" s="2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3"/>
      <c r="T3" s="3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 t="s">
        <v>3421</v>
      </c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</row>
    <row r="4" spans="1:90" ht="12.75" customHeight="1">
      <c r="A4" s="1"/>
      <c r="B4" s="1"/>
      <c r="C4" s="1"/>
      <c r="D4" s="2"/>
      <c r="E4" s="2"/>
      <c r="F4" s="2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3"/>
      <c r="T4" s="3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 t="s">
        <v>3421</v>
      </c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</row>
    <row r="5" spans="1:90" ht="12.75" customHeight="1">
      <c r="A5" s="4"/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</row>
    <row r="6" spans="1:90" ht="12.75" customHeight="1">
      <c r="A6" s="6"/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</row>
    <row r="7" spans="1:90" ht="12.75" customHeight="1">
      <c r="A7" s="4"/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</row>
    <row r="8" spans="1:90" ht="12.75" customHeight="1">
      <c r="A8" s="9"/>
      <c r="B8" s="4"/>
      <c r="C8" s="5" t="s">
        <v>2345</v>
      </c>
      <c r="D8" s="5" t="s">
        <v>2345</v>
      </c>
      <c r="E8" s="5" t="s">
        <v>1523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</row>
    <row r="9" spans="1:90" ht="12.75" customHeight="1">
      <c r="A9" s="211" t="s">
        <v>2206</v>
      </c>
      <c r="B9" s="10"/>
      <c r="C9" s="31">
        <v>2001</v>
      </c>
      <c r="D9" s="32">
        <v>2002</v>
      </c>
      <c r="E9" s="32">
        <v>2003</v>
      </c>
      <c r="F9" s="32">
        <v>2004</v>
      </c>
      <c r="G9" s="31">
        <v>2005</v>
      </c>
      <c r="H9" s="33" t="s">
        <v>714</v>
      </c>
      <c r="I9" s="33" t="s">
        <v>715</v>
      </c>
      <c r="J9" s="33" t="s">
        <v>716</v>
      </c>
      <c r="K9" s="33" t="s">
        <v>717</v>
      </c>
      <c r="L9" s="31">
        <v>2006</v>
      </c>
      <c r="M9" s="33" t="s">
        <v>718</v>
      </c>
      <c r="N9" s="33" t="s">
        <v>719</v>
      </c>
      <c r="O9" s="33" t="s">
        <v>1970</v>
      </c>
      <c r="P9" s="33" t="s">
        <v>1971</v>
      </c>
      <c r="Q9" s="31">
        <v>2007</v>
      </c>
      <c r="R9" s="33" t="s">
        <v>1972</v>
      </c>
      <c r="S9" s="33" t="s">
        <v>1973</v>
      </c>
      <c r="T9" s="33" t="s">
        <v>1974</v>
      </c>
      <c r="U9" s="33" t="s">
        <v>1975</v>
      </c>
      <c r="V9" s="31">
        <v>2008</v>
      </c>
      <c r="W9" s="33" t="s">
        <v>1976</v>
      </c>
      <c r="X9" s="33" t="s">
        <v>1977</v>
      </c>
      <c r="Y9" s="33" t="s">
        <v>1978</v>
      </c>
      <c r="Z9" s="33" t="s">
        <v>1979</v>
      </c>
      <c r="AA9" s="31">
        <v>2009</v>
      </c>
      <c r="AB9" s="33" t="s">
        <v>1980</v>
      </c>
      <c r="AC9" s="33" t="s">
        <v>1981</v>
      </c>
      <c r="AD9" s="33" t="s">
        <v>1982</v>
      </c>
      <c r="AE9" s="33" t="s">
        <v>2392</v>
      </c>
      <c r="AF9" s="31">
        <v>2010</v>
      </c>
      <c r="AG9" s="33" t="s">
        <v>2393</v>
      </c>
      <c r="AH9" s="33" t="s">
        <v>2394</v>
      </c>
      <c r="AI9" s="33" t="s">
        <v>2395</v>
      </c>
      <c r="AJ9" s="368" t="s">
        <v>2396</v>
      </c>
      <c r="AK9" s="369">
        <v>2011</v>
      </c>
      <c r="AL9" s="368" t="s">
        <v>2397</v>
      </c>
      <c r="AM9" s="368" t="s">
        <v>2398</v>
      </c>
      <c r="AN9" s="368" t="s">
        <v>2399</v>
      </c>
      <c r="AO9" s="368" t="s">
        <v>2400</v>
      </c>
      <c r="AP9" s="369">
        <v>2012</v>
      </c>
      <c r="AQ9" s="368" t="s">
        <v>2401</v>
      </c>
      <c r="AR9" s="368" t="s">
        <v>2402</v>
      </c>
      <c r="AS9" s="368" t="s">
        <v>2403</v>
      </c>
      <c r="AT9" s="368" t="s">
        <v>2404</v>
      </c>
      <c r="AU9" s="369">
        <v>2013</v>
      </c>
      <c r="AV9" s="368" t="s">
        <v>2405</v>
      </c>
      <c r="AW9" s="368" t="s">
        <v>2406</v>
      </c>
      <c r="AX9" s="368" t="s">
        <v>2407</v>
      </c>
      <c r="AY9" s="368" t="s">
        <v>2408</v>
      </c>
      <c r="AZ9" s="369">
        <v>2014</v>
      </c>
      <c r="BA9" s="368" t="s">
        <v>2409</v>
      </c>
      <c r="BB9" s="368" t="s">
        <v>2410</v>
      </c>
      <c r="BC9" s="368" t="s">
        <v>2411</v>
      </c>
      <c r="BD9" s="368" t="s">
        <v>2412</v>
      </c>
      <c r="BE9" s="31">
        <v>2015</v>
      </c>
      <c r="BF9" s="368" t="s">
        <v>2413</v>
      </c>
      <c r="BG9" s="368" t="s">
        <v>2414</v>
      </c>
      <c r="BH9" s="368" t="s">
        <v>2415</v>
      </c>
      <c r="BI9" s="368" t="s">
        <v>2416</v>
      </c>
      <c r="BJ9" s="31">
        <v>2016</v>
      </c>
      <c r="BK9" s="368" t="s">
        <v>2417</v>
      </c>
      <c r="BL9" s="368" t="s">
        <v>2418</v>
      </c>
      <c r="BM9" s="368" t="s">
        <v>2419</v>
      </c>
      <c r="BN9" s="363" t="s">
        <v>2420</v>
      </c>
      <c r="BO9" s="31">
        <v>2017</v>
      </c>
      <c r="BP9" s="363" t="s">
        <v>2244</v>
      </c>
      <c r="BQ9" s="363" t="s">
        <v>2245</v>
      </c>
      <c r="BR9" s="363" t="s">
        <v>2508</v>
      </c>
      <c r="BS9" s="363" t="s">
        <v>2509</v>
      </c>
      <c r="BT9" s="364">
        <v>2018</v>
      </c>
      <c r="BU9" s="363" t="s">
        <v>2510</v>
      </c>
      <c r="BV9" s="363" t="s">
        <v>2511</v>
      </c>
      <c r="BW9" s="363" t="s">
        <v>3125</v>
      </c>
      <c r="BX9" s="363" t="s">
        <v>1405</v>
      </c>
      <c r="BY9" s="364">
        <v>2019</v>
      </c>
      <c r="BZ9" s="363" t="s">
        <v>1406</v>
      </c>
      <c r="CA9" s="363" t="s">
        <v>1407</v>
      </c>
      <c r="CB9" s="363" t="s">
        <v>1408</v>
      </c>
      <c r="CC9" s="363" t="s">
        <v>1409</v>
      </c>
      <c r="CD9" s="364">
        <v>2020</v>
      </c>
      <c r="CE9" s="5"/>
      <c r="CF9" s="249" t="s">
        <v>2882</v>
      </c>
      <c r="CG9" s="11"/>
      <c r="CH9" s="11"/>
      <c r="CI9" s="11"/>
      <c r="CJ9" s="11"/>
      <c r="CK9" s="11"/>
      <c r="CL9" s="11"/>
    </row>
    <row r="10" spans="1:90" ht="12.75" customHeight="1">
      <c r="A10" s="7" t="s">
        <v>2718</v>
      </c>
      <c r="B10" s="4"/>
      <c r="C10" s="5"/>
      <c r="D10" s="5"/>
      <c r="E10" s="5"/>
      <c r="F10" s="116"/>
      <c r="G10" s="116"/>
      <c r="H10" s="5"/>
      <c r="I10" s="5"/>
      <c r="J10" s="5"/>
      <c r="K10" s="5"/>
      <c r="L10" s="116"/>
      <c r="M10" s="12"/>
      <c r="N10" s="12"/>
      <c r="O10" s="12"/>
      <c r="P10" s="12"/>
      <c r="Q10" s="116"/>
      <c r="R10" s="12"/>
      <c r="S10" s="12"/>
      <c r="T10" s="12"/>
      <c r="U10" s="12"/>
      <c r="V10" s="116"/>
      <c r="W10" s="12"/>
      <c r="X10" s="12"/>
      <c r="Y10" s="12"/>
      <c r="Z10" s="12"/>
      <c r="AA10" s="116"/>
      <c r="AB10" s="12"/>
      <c r="AC10" s="12"/>
      <c r="AD10" s="12"/>
      <c r="AE10" s="12"/>
      <c r="AF10" s="116"/>
      <c r="AG10" s="12"/>
      <c r="AH10" s="12"/>
      <c r="AI10" s="12"/>
      <c r="AJ10" s="12"/>
      <c r="AK10" s="116"/>
      <c r="AL10" s="12"/>
      <c r="AM10" s="12"/>
      <c r="AN10" s="12"/>
      <c r="AO10" s="12"/>
      <c r="AP10" s="5"/>
      <c r="AQ10" s="12"/>
      <c r="AR10" s="12"/>
      <c r="AS10" s="12"/>
      <c r="AT10" s="12"/>
      <c r="AU10" s="5"/>
      <c r="AV10" s="12"/>
      <c r="AW10" s="12"/>
      <c r="AX10" s="12"/>
      <c r="AY10" s="12"/>
      <c r="AZ10" s="5"/>
      <c r="BA10" s="12"/>
      <c r="BB10" s="12"/>
      <c r="BC10" s="12"/>
      <c r="BD10" s="12"/>
      <c r="BE10" s="5"/>
      <c r="BF10" s="12"/>
      <c r="BG10" s="12"/>
      <c r="BH10" s="12"/>
      <c r="BI10" s="12"/>
      <c r="BJ10" s="5"/>
      <c r="BK10" s="12"/>
      <c r="BL10" s="12"/>
      <c r="BM10" s="181"/>
      <c r="BN10" s="181"/>
      <c r="BO10" s="5"/>
      <c r="BP10" s="12"/>
      <c r="BQ10" s="12"/>
      <c r="BR10" s="12"/>
      <c r="BS10" s="12"/>
      <c r="BT10" s="5"/>
      <c r="BU10" s="12"/>
      <c r="BV10" s="12"/>
      <c r="BW10" s="12"/>
      <c r="BX10" s="12"/>
      <c r="BY10" s="5"/>
      <c r="BZ10" s="12"/>
      <c r="CA10" s="12"/>
      <c r="CB10" s="12"/>
      <c r="CC10" s="12"/>
      <c r="CD10" s="116"/>
      <c r="CE10" s="5"/>
      <c r="CF10" s="5"/>
      <c r="CG10" s="5"/>
      <c r="CH10" s="11"/>
      <c r="CI10" s="11"/>
      <c r="CJ10" s="5"/>
      <c r="CK10" s="5"/>
      <c r="CL10" s="5"/>
    </row>
    <row r="11" spans="1:90" ht="12.75" customHeight="1">
      <c r="A11" s="202"/>
      <c r="B11" s="202" t="s">
        <v>1411</v>
      </c>
      <c r="C11" s="205">
        <v>77410</v>
      </c>
      <c r="D11" s="205">
        <v>87682</v>
      </c>
      <c r="E11" s="205">
        <v>88607</v>
      </c>
      <c r="F11" s="205">
        <v>93092</v>
      </c>
      <c r="G11" s="205">
        <v>85947</v>
      </c>
      <c r="H11" s="206">
        <v>85487</v>
      </c>
      <c r="I11" s="206">
        <v>85953</v>
      </c>
      <c r="J11" s="206">
        <v>87584</v>
      </c>
      <c r="K11" s="206">
        <v>90999</v>
      </c>
      <c r="L11" s="205">
        <f>K11</f>
        <v>90999</v>
      </c>
      <c r="M11" s="176">
        <v>92307</v>
      </c>
      <c r="N11" s="176">
        <v>95193</v>
      </c>
      <c r="O11" s="176">
        <v>96934</v>
      </c>
      <c r="P11" s="176">
        <v>97989</v>
      </c>
      <c r="Q11" s="175">
        <f>P11</f>
        <v>97989</v>
      </c>
      <c r="R11" s="176">
        <v>99512</v>
      </c>
      <c r="S11" s="176">
        <v>101787</v>
      </c>
      <c r="T11" s="176">
        <v>102889</v>
      </c>
      <c r="U11" s="176">
        <v>103200</v>
      </c>
      <c r="V11" s="175">
        <f>U11</f>
        <v>103200</v>
      </c>
      <c r="W11" s="176">
        <v>103316</v>
      </c>
      <c r="X11" s="176">
        <v>105779</v>
      </c>
      <c r="Y11" s="176">
        <v>106692</v>
      </c>
      <c r="Z11" s="176">
        <v>108275</v>
      </c>
      <c r="AA11" s="175">
        <f>Z11</f>
        <v>108275</v>
      </c>
      <c r="AB11" s="176">
        <v>108232</v>
      </c>
      <c r="AC11" s="176">
        <v>106494</v>
      </c>
      <c r="AD11" s="176">
        <v>107396</v>
      </c>
      <c r="AE11" s="176">
        <v>110163</v>
      </c>
      <c r="AF11" s="175">
        <f>AE11</f>
        <v>110163</v>
      </c>
      <c r="AG11" s="176">
        <v>111476</v>
      </c>
      <c r="AH11" s="176">
        <v>112205</v>
      </c>
      <c r="AI11" s="176">
        <v>114809</v>
      </c>
      <c r="AJ11" s="176">
        <v>119214</v>
      </c>
      <c r="AK11" s="175">
        <f t="shared" ref="AK11:AK22" si="0">AJ11</f>
        <v>119214</v>
      </c>
      <c r="AL11" s="176">
        <v>119991</v>
      </c>
      <c r="AM11" s="176">
        <v>117565</v>
      </c>
      <c r="AN11" s="176">
        <v>119687</v>
      </c>
      <c r="AO11" s="176">
        <v>120448</v>
      </c>
      <c r="AP11" s="175">
        <f>AO11</f>
        <v>120448</v>
      </c>
      <c r="AQ11" s="176">
        <v>126848</v>
      </c>
      <c r="AR11" s="176">
        <v>128370</v>
      </c>
      <c r="AS11" s="176">
        <v>130153</v>
      </c>
      <c r="AT11" s="176">
        <v>133690</v>
      </c>
      <c r="AU11" s="175">
        <f>AT11</f>
        <v>133690</v>
      </c>
      <c r="AV11" s="176">
        <v>133199</v>
      </c>
      <c r="AW11" s="176">
        <v>135854</v>
      </c>
      <c r="AX11" s="176">
        <v>134726</v>
      </c>
      <c r="AY11" s="176">
        <v>130692</v>
      </c>
      <c r="AZ11" s="175">
        <f>AY11</f>
        <v>130692</v>
      </c>
      <c r="BA11" s="176">
        <v>129113</v>
      </c>
      <c r="BB11" s="176">
        <v>130659</v>
      </c>
      <c r="BC11" s="176">
        <v>130124</v>
      </c>
      <c r="BD11" s="176">
        <v>129758</v>
      </c>
      <c r="BE11" s="175">
        <f>BD11</f>
        <v>129758</v>
      </c>
      <c r="BF11" s="176">
        <v>129253</v>
      </c>
      <c r="BG11" s="176">
        <v>125946</v>
      </c>
      <c r="BH11" s="176">
        <v>128262</v>
      </c>
      <c r="BI11" s="176">
        <v>129757</v>
      </c>
      <c r="BJ11" s="175">
        <f>BI11</f>
        <v>129757</v>
      </c>
      <c r="BK11" s="176">
        <v>129817</v>
      </c>
      <c r="BL11" s="176">
        <v>130715</v>
      </c>
      <c r="BM11" s="206">
        <v>130651</v>
      </c>
      <c r="BN11" s="206">
        <v>129471</v>
      </c>
      <c r="BO11" s="175">
        <f>BN11</f>
        <v>129471</v>
      </c>
      <c r="BP11" s="176">
        <f>Assets!BP32</f>
        <v>128704.66720285812</v>
      </c>
      <c r="BQ11" s="176">
        <f>Assets!BQ32</f>
        <v>127938.33440571625</v>
      </c>
      <c r="BR11" s="176">
        <f>Assets!BR32</f>
        <v>127172.00160857437</v>
      </c>
      <c r="BS11" s="176">
        <f>Assets!BS32</f>
        <v>126405.66881143249</v>
      </c>
      <c r="BT11" s="175">
        <f>BS11</f>
        <v>126405.66881143249</v>
      </c>
      <c r="BU11" s="176">
        <f>Assets!BU32</f>
        <v>125150.38641427606</v>
      </c>
      <c r="BV11" s="176">
        <f>Assets!BV32</f>
        <v>123895.10401711961</v>
      </c>
      <c r="BW11" s="176">
        <f>Assets!BW32</f>
        <v>122639.82161996316</v>
      </c>
      <c r="BX11" s="176">
        <f>Assets!BX32</f>
        <v>121384.53922280672</v>
      </c>
      <c r="BY11" s="175">
        <f>BX11</f>
        <v>121384.53922280672</v>
      </c>
      <c r="BZ11" s="176">
        <f>Assets!BZ32</f>
        <v>119971.71194417574</v>
      </c>
      <c r="CA11" s="176">
        <f>Assets!CA32</f>
        <v>118558.88466554477</v>
      </c>
      <c r="CB11" s="176">
        <f>Assets!CB32</f>
        <v>117146.0573869138</v>
      </c>
      <c r="CC11" s="176">
        <f>Assets!CC32</f>
        <v>115733.23010828282</v>
      </c>
      <c r="CD11" s="175">
        <f>CC11</f>
        <v>115733.23010828282</v>
      </c>
      <c r="CE11" s="5"/>
      <c r="CF11" s="314" t="s">
        <v>2883</v>
      </c>
      <c r="CG11" s="175"/>
      <c r="CH11" s="11"/>
      <c r="CI11" s="11"/>
      <c r="CJ11" s="175"/>
      <c r="CK11" s="175"/>
      <c r="CL11" s="175"/>
    </row>
    <row r="12" spans="1:90" ht="12.75" customHeight="1">
      <c r="A12" s="202"/>
      <c r="B12" s="202" t="s">
        <v>629</v>
      </c>
      <c r="C12" s="205">
        <v>9971</v>
      </c>
      <c r="D12" s="205">
        <v>10438</v>
      </c>
      <c r="E12" s="205">
        <v>10592</v>
      </c>
      <c r="F12" s="205">
        <v>10857</v>
      </c>
      <c r="G12" s="205">
        <v>10371</v>
      </c>
      <c r="H12" s="206">
        <v>10322</v>
      </c>
      <c r="I12" s="206">
        <v>10413</v>
      </c>
      <c r="J12" s="206">
        <v>10624</v>
      </c>
      <c r="K12" s="206">
        <v>10780</v>
      </c>
      <c r="L12" s="205">
        <f t="shared" ref="L12:L22" si="1">K12</f>
        <v>10780</v>
      </c>
      <c r="M12" s="176">
        <v>10991</v>
      </c>
      <c r="N12" s="176">
        <v>11055</v>
      </c>
      <c r="O12" s="176">
        <v>11138</v>
      </c>
      <c r="P12" s="176">
        <v>11006</v>
      </c>
      <c r="Q12" s="175">
        <f t="shared" ref="Q12:Q64" si="2">P12</f>
        <v>11006</v>
      </c>
      <c r="R12" s="176">
        <v>11012</v>
      </c>
      <c r="S12" s="176">
        <v>11016</v>
      </c>
      <c r="T12" s="176">
        <v>10566</v>
      </c>
      <c r="U12" s="176">
        <v>9878</v>
      </c>
      <c r="V12" s="175">
        <f t="shared" ref="V12:V64" si="3">U12</f>
        <v>9878</v>
      </c>
      <c r="W12" s="176">
        <v>9770</v>
      </c>
      <c r="X12" s="176">
        <v>10304</v>
      </c>
      <c r="Y12" s="176">
        <v>10203</v>
      </c>
      <c r="Z12" s="176">
        <v>8620</v>
      </c>
      <c r="AA12" s="175">
        <f t="shared" ref="AA12:AA64" si="4">Z12</f>
        <v>8620</v>
      </c>
      <c r="AB12" s="176">
        <v>8409</v>
      </c>
      <c r="AC12" s="176">
        <v>8250</v>
      </c>
      <c r="AD12" s="176">
        <v>8806</v>
      </c>
      <c r="AE12" s="176">
        <v>8598</v>
      </c>
      <c r="AF12" s="175">
        <f t="shared" ref="AF12:AF64" si="5">AE12</f>
        <v>8598</v>
      </c>
      <c r="AG12" s="176">
        <v>8764</v>
      </c>
      <c r="AH12" s="176">
        <v>9470</v>
      </c>
      <c r="AI12" s="176">
        <v>11139</v>
      </c>
      <c r="AJ12" s="176">
        <v>12100</v>
      </c>
      <c r="AK12" s="175">
        <f t="shared" si="0"/>
        <v>12100</v>
      </c>
      <c r="AL12" s="176">
        <v>12210</v>
      </c>
      <c r="AM12" s="176">
        <v>11831</v>
      </c>
      <c r="AN12" s="176">
        <v>11984</v>
      </c>
      <c r="AO12" s="176">
        <v>11861</v>
      </c>
      <c r="AP12" s="175">
        <f t="shared" ref="AP12:AP22" si="6">AO12</f>
        <v>11861</v>
      </c>
      <c r="AQ12" s="176">
        <v>11940</v>
      </c>
      <c r="AR12" s="176">
        <v>11936</v>
      </c>
      <c r="AS12" s="176">
        <v>12075</v>
      </c>
      <c r="AT12" s="176">
        <v>12181</v>
      </c>
      <c r="AU12" s="175">
        <f t="shared" ref="AU12:AU23" si="7">AT12</f>
        <v>12181</v>
      </c>
      <c r="AV12" s="176">
        <v>12168</v>
      </c>
      <c r="AW12" s="176">
        <v>12197</v>
      </c>
      <c r="AX12" s="176">
        <v>11971</v>
      </c>
      <c r="AY12" s="176">
        <v>11868</v>
      </c>
      <c r="AZ12" s="175">
        <f t="shared" ref="AZ12:AZ23" si="8">AY12</f>
        <v>11868</v>
      </c>
      <c r="BA12" s="176">
        <v>11633</v>
      </c>
      <c r="BB12" s="176">
        <v>11837</v>
      </c>
      <c r="BC12" s="176">
        <v>11692</v>
      </c>
      <c r="BD12" s="176">
        <v>11627</v>
      </c>
      <c r="BE12" s="175">
        <f t="shared" ref="BE12:BE23" si="9">BD12</f>
        <v>11627</v>
      </c>
      <c r="BF12" s="176">
        <v>11575</v>
      </c>
      <c r="BG12" s="176">
        <v>11288</v>
      </c>
      <c r="BH12" s="176">
        <v>11204</v>
      </c>
      <c r="BI12" s="176">
        <v>11194</v>
      </c>
      <c r="BJ12" s="175">
        <f t="shared" ref="BJ12:BJ23" si="10">BI12</f>
        <v>11194</v>
      </c>
      <c r="BK12" s="176">
        <v>11256</v>
      </c>
      <c r="BL12" s="176">
        <v>11395</v>
      </c>
      <c r="BM12" s="206">
        <v>11514</v>
      </c>
      <c r="BN12" s="206">
        <v>11551</v>
      </c>
      <c r="BO12" s="175">
        <f t="shared" ref="BO12:BO23" si="11">BN12</f>
        <v>11551</v>
      </c>
      <c r="BP12" s="176">
        <f t="shared" ref="BP12:CD12" si="12">BO12</f>
        <v>11551</v>
      </c>
      <c r="BQ12" s="176">
        <f t="shared" si="12"/>
        <v>11551</v>
      </c>
      <c r="BR12" s="176">
        <f t="shared" si="12"/>
        <v>11551</v>
      </c>
      <c r="BS12" s="176">
        <f t="shared" si="12"/>
        <v>11551</v>
      </c>
      <c r="BT12" s="175">
        <f t="shared" si="12"/>
        <v>11551</v>
      </c>
      <c r="BU12" s="176">
        <f t="shared" si="12"/>
        <v>11551</v>
      </c>
      <c r="BV12" s="176">
        <f t="shared" si="12"/>
        <v>11551</v>
      </c>
      <c r="BW12" s="176">
        <f t="shared" si="12"/>
        <v>11551</v>
      </c>
      <c r="BX12" s="176">
        <f t="shared" si="12"/>
        <v>11551</v>
      </c>
      <c r="BY12" s="175">
        <f t="shared" si="12"/>
        <v>11551</v>
      </c>
      <c r="BZ12" s="176">
        <f t="shared" si="12"/>
        <v>11551</v>
      </c>
      <c r="CA12" s="176">
        <f t="shared" si="12"/>
        <v>11551</v>
      </c>
      <c r="CB12" s="176">
        <f t="shared" si="12"/>
        <v>11551</v>
      </c>
      <c r="CC12" s="176">
        <f t="shared" si="12"/>
        <v>11551</v>
      </c>
      <c r="CD12" s="175">
        <f t="shared" si="12"/>
        <v>11551</v>
      </c>
      <c r="CE12" s="5"/>
      <c r="CF12" s="314" t="s">
        <v>2883</v>
      </c>
      <c r="CG12" s="175"/>
      <c r="CH12" s="11"/>
      <c r="CI12" s="11"/>
      <c r="CJ12" s="175"/>
      <c r="CK12" s="175"/>
      <c r="CL12" s="175"/>
    </row>
    <row r="13" spans="1:90" ht="12.75" customHeight="1">
      <c r="A13" s="202"/>
      <c r="B13" s="202" t="s">
        <v>1410</v>
      </c>
      <c r="C13" s="205">
        <v>6518</v>
      </c>
      <c r="D13" s="205">
        <v>5128</v>
      </c>
      <c r="E13" s="205">
        <v>4471</v>
      </c>
      <c r="F13" s="205">
        <v>4205</v>
      </c>
      <c r="G13" s="205">
        <v>4772</v>
      </c>
      <c r="H13" s="206">
        <v>4887</v>
      </c>
      <c r="I13" s="206">
        <v>5251</v>
      </c>
      <c r="J13" s="206">
        <v>5104</v>
      </c>
      <c r="K13" s="206">
        <v>5246</v>
      </c>
      <c r="L13" s="205">
        <f t="shared" si="1"/>
        <v>5246</v>
      </c>
      <c r="M13" s="176">
        <v>5667</v>
      </c>
      <c r="N13" s="176">
        <v>5735</v>
      </c>
      <c r="O13" s="176">
        <v>5971</v>
      </c>
      <c r="P13" s="176">
        <v>6652</v>
      </c>
      <c r="Q13" s="175">
        <f t="shared" si="2"/>
        <v>6652</v>
      </c>
      <c r="R13" s="176">
        <v>6729</v>
      </c>
      <c r="S13" s="176">
        <v>7386</v>
      </c>
      <c r="T13" s="176">
        <v>10040</v>
      </c>
      <c r="U13" s="176">
        <v>10260</v>
      </c>
      <c r="V13" s="175">
        <f t="shared" si="3"/>
        <v>10260</v>
      </c>
      <c r="W13" s="176">
        <v>10526</v>
      </c>
      <c r="X13" s="176">
        <v>10951</v>
      </c>
      <c r="Y13" s="176">
        <v>11246</v>
      </c>
      <c r="Z13" s="176">
        <v>11548</v>
      </c>
      <c r="AA13" s="175">
        <f t="shared" si="4"/>
        <v>11548</v>
      </c>
      <c r="AB13" s="176">
        <v>12675</v>
      </c>
      <c r="AC13" s="176">
        <v>14198</v>
      </c>
      <c r="AD13" s="176">
        <v>14822</v>
      </c>
      <c r="AE13" s="176">
        <v>14298</v>
      </c>
      <c r="AF13" s="175">
        <f t="shared" si="5"/>
        <v>14298</v>
      </c>
      <c r="AG13" s="176">
        <v>14439</v>
      </c>
      <c r="AH13" s="176">
        <v>16768</v>
      </c>
      <c r="AI13" s="176">
        <v>20426</v>
      </c>
      <c r="AJ13" s="176">
        <v>21102</v>
      </c>
      <c r="AK13" s="175">
        <f t="shared" si="0"/>
        <v>21102</v>
      </c>
      <c r="AL13" s="176">
        <v>22000</v>
      </c>
      <c r="AM13" s="176">
        <v>22345</v>
      </c>
      <c r="AN13" s="176">
        <v>23184</v>
      </c>
      <c r="AO13" s="176">
        <v>24041</v>
      </c>
      <c r="AP13" s="175">
        <f t="shared" si="6"/>
        <v>24041</v>
      </c>
      <c r="AQ13" s="176">
        <v>24962</v>
      </c>
      <c r="AR13" s="176">
        <v>25360</v>
      </c>
      <c r="AS13" s="176">
        <v>25822</v>
      </c>
      <c r="AT13" s="176">
        <v>22039</v>
      </c>
      <c r="AU13" s="175">
        <f t="shared" si="7"/>
        <v>22039</v>
      </c>
      <c r="AV13" s="176">
        <v>21696</v>
      </c>
      <c r="AW13" s="176">
        <v>21931</v>
      </c>
      <c r="AX13" s="176">
        <v>21483</v>
      </c>
      <c r="AY13" s="176">
        <v>20907</v>
      </c>
      <c r="AZ13" s="175">
        <f t="shared" si="8"/>
        <v>20907</v>
      </c>
      <c r="BA13" s="176">
        <v>20809</v>
      </c>
      <c r="BB13" s="176">
        <v>19411</v>
      </c>
      <c r="BC13" s="176">
        <v>19232</v>
      </c>
      <c r="BD13" s="176">
        <v>18660</v>
      </c>
      <c r="BE13" s="175">
        <f t="shared" si="9"/>
        <v>18660</v>
      </c>
      <c r="BF13" s="176">
        <v>18848</v>
      </c>
      <c r="BG13" s="176">
        <v>18444</v>
      </c>
      <c r="BH13" s="176">
        <v>17163</v>
      </c>
      <c r="BI13" s="176">
        <v>18183</v>
      </c>
      <c r="BJ13" s="175">
        <f t="shared" si="10"/>
        <v>18183</v>
      </c>
      <c r="BK13" s="176">
        <v>18366</v>
      </c>
      <c r="BL13" s="176">
        <v>17399</v>
      </c>
      <c r="BM13" s="206">
        <v>18586</v>
      </c>
      <c r="BN13" s="206">
        <v>18355</v>
      </c>
      <c r="BO13" s="175">
        <f t="shared" si="11"/>
        <v>18355</v>
      </c>
      <c r="BP13" s="176">
        <f t="shared" ref="BP13:CD13" si="13">BO13</f>
        <v>18355</v>
      </c>
      <c r="BQ13" s="176">
        <f t="shared" si="13"/>
        <v>18355</v>
      </c>
      <c r="BR13" s="176">
        <f t="shared" si="13"/>
        <v>18355</v>
      </c>
      <c r="BS13" s="176">
        <f t="shared" si="13"/>
        <v>18355</v>
      </c>
      <c r="BT13" s="175">
        <f t="shared" si="13"/>
        <v>18355</v>
      </c>
      <c r="BU13" s="176">
        <f t="shared" si="13"/>
        <v>18355</v>
      </c>
      <c r="BV13" s="176">
        <f t="shared" si="13"/>
        <v>18355</v>
      </c>
      <c r="BW13" s="176">
        <f t="shared" si="13"/>
        <v>18355</v>
      </c>
      <c r="BX13" s="176">
        <f t="shared" si="13"/>
        <v>18355</v>
      </c>
      <c r="BY13" s="175">
        <f t="shared" si="13"/>
        <v>18355</v>
      </c>
      <c r="BZ13" s="176">
        <f t="shared" si="13"/>
        <v>18355</v>
      </c>
      <c r="CA13" s="176">
        <f t="shared" si="13"/>
        <v>18355</v>
      </c>
      <c r="CB13" s="176">
        <f t="shared" si="13"/>
        <v>18355</v>
      </c>
      <c r="CC13" s="176">
        <f t="shared" si="13"/>
        <v>18355</v>
      </c>
      <c r="CD13" s="175">
        <f t="shared" si="13"/>
        <v>18355</v>
      </c>
      <c r="CE13" s="5"/>
      <c r="CF13" s="314" t="s">
        <v>2883</v>
      </c>
      <c r="CG13" s="175"/>
      <c r="CH13" s="11"/>
      <c r="CI13" s="11"/>
      <c r="CJ13" s="175"/>
      <c r="CK13" s="175"/>
      <c r="CL13" s="175"/>
    </row>
    <row r="14" spans="1:90" ht="12.75" customHeight="1">
      <c r="A14" s="202"/>
      <c r="B14" s="202" t="s">
        <v>630</v>
      </c>
      <c r="C14" s="205">
        <v>3861</v>
      </c>
      <c r="D14" s="205">
        <v>4031</v>
      </c>
      <c r="E14" s="205">
        <v>12909</v>
      </c>
      <c r="F14" s="205">
        <v>14556</v>
      </c>
      <c r="G14" s="205">
        <v>13556</v>
      </c>
      <c r="H14" s="206">
        <v>15007</v>
      </c>
      <c r="I14" s="206">
        <v>15711</v>
      </c>
      <c r="J14" s="206">
        <v>15343</v>
      </c>
      <c r="K14" s="206">
        <v>15074</v>
      </c>
      <c r="L14" s="205">
        <f t="shared" si="1"/>
        <v>15074</v>
      </c>
      <c r="M14" s="176">
        <v>15159</v>
      </c>
      <c r="N14" s="176">
        <v>15088</v>
      </c>
      <c r="O14" s="176">
        <v>15350</v>
      </c>
      <c r="P14" s="176">
        <v>18113</v>
      </c>
      <c r="Q14" s="175">
        <f t="shared" si="2"/>
        <v>18113</v>
      </c>
      <c r="R14" s="176">
        <v>22719</v>
      </c>
      <c r="S14" s="176">
        <v>24883</v>
      </c>
      <c r="T14" s="176">
        <v>24862</v>
      </c>
      <c r="U14" s="176">
        <v>23826</v>
      </c>
      <c r="V14" s="175">
        <f t="shared" si="3"/>
        <v>23826</v>
      </c>
      <c r="W14" s="176">
        <v>14846</v>
      </c>
      <c r="X14" s="176">
        <v>15266</v>
      </c>
      <c r="Y14" s="176">
        <v>15446</v>
      </c>
      <c r="Z14" s="176">
        <v>15296</v>
      </c>
      <c r="AA14" s="175">
        <f t="shared" si="4"/>
        <v>15296</v>
      </c>
      <c r="AB14" s="176">
        <v>15484</v>
      </c>
      <c r="AC14" s="176">
        <v>15256</v>
      </c>
      <c r="AD14" s="176">
        <v>14936</v>
      </c>
      <c r="AE14" s="176">
        <v>14927</v>
      </c>
      <c r="AF14" s="175">
        <f t="shared" si="5"/>
        <v>14927</v>
      </c>
      <c r="AG14" s="176">
        <v>15375</v>
      </c>
      <c r="AH14" s="176">
        <v>15352</v>
      </c>
      <c r="AI14" s="176">
        <v>15453</v>
      </c>
      <c r="AJ14" s="176">
        <v>15518</v>
      </c>
      <c r="AK14" s="175">
        <f t="shared" si="0"/>
        <v>15518</v>
      </c>
      <c r="AL14" s="176">
        <v>15862</v>
      </c>
      <c r="AM14" s="176">
        <v>15672</v>
      </c>
      <c r="AN14" s="176">
        <v>15920</v>
      </c>
      <c r="AO14" s="176">
        <v>15724</v>
      </c>
      <c r="AP14" s="175">
        <f t="shared" si="6"/>
        <v>15724</v>
      </c>
      <c r="AQ14" s="176">
        <v>8701</v>
      </c>
      <c r="AR14" s="176">
        <v>8719</v>
      </c>
      <c r="AS14" s="176">
        <v>8838</v>
      </c>
      <c r="AT14" s="176">
        <v>9199</v>
      </c>
      <c r="AU14" s="175">
        <f t="shared" si="7"/>
        <v>9199</v>
      </c>
      <c r="AV14" s="176">
        <v>9136</v>
      </c>
      <c r="AW14" s="176">
        <v>9173</v>
      </c>
      <c r="AX14" s="176">
        <v>9091</v>
      </c>
      <c r="AY14" s="176">
        <v>8753</v>
      </c>
      <c r="AZ14" s="175">
        <f t="shared" si="8"/>
        <v>8753</v>
      </c>
      <c r="BA14" s="176">
        <v>8871</v>
      </c>
      <c r="BB14" s="176">
        <v>9037</v>
      </c>
      <c r="BC14" s="176">
        <v>9129</v>
      </c>
      <c r="BD14" s="176">
        <v>8412</v>
      </c>
      <c r="BE14" s="175">
        <f t="shared" si="9"/>
        <v>8412</v>
      </c>
      <c r="BF14" s="176">
        <v>8289</v>
      </c>
      <c r="BG14" s="176">
        <v>8324</v>
      </c>
      <c r="BH14" s="176">
        <v>8240</v>
      </c>
      <c r="BI14" s="176">
        <v>8609</v>
      </c>
      <c r="BJ14" s="175">
        <f t="shared" si="10"/>
        <v>8609</v>
      </c>
      <c r="BK14" s="176">
        <v>8765</v>
      </c>
      <c r="BL14" s="176">
        <v>8550</v>
      </c>
      <c r="BM14" s="206">
        <v>6703</v>
      </c>
      <c r="BN14" s="206">
        <v>7994</v>
      </c>
      <c r="BO14" s="175">
        <f t="shared" si="11"/>
        <v>7994</v>
      </c>
      <c r="BP14" s="176">
        <f>BO14+(BT14-BO14)/4</f>
        <v>8073.5</v>
      </c>
      <c r="BQ14" s="176">
        <f>BP14+(BT14-BP14)/3</f>
        <v>8153</v>
      </c>
      <c r="BR14" s="176">
        <f>BQ14+(BT14-BQ14)/2</f>
        <v>8232.5</v>
      </c>
      <c r="BS14" s="176">
        <f>BT14</f>
        <v>8312</v>
      </c>
      <c r="BT14" s="175">
        <f>BO14+Capex!BT27</f>
        <v>8312</v>
      </c>
      <c r="BU14" s="176">
        <f>BT14+(BY14-BT14)/4</f>
        <v>8393.25</v>
      </c>
      <c r="BV14" s="176">
        <f>BU14+(BY14-BU14)/3</f>
        <v>8474.5</v>
      </c>
      <c r="BW14" s="176">
        <f>BV14+(BY14-BV14)/2</f>
        <v>8555.75</v>
      </c>
      <c r="BX14" s="176">
        <f>BY14</f>
        <v>8637</v>
      </c>
      <c r="BY14" s="175">
        <f>BT14+Capex!BY27</f>
        <v>8637</v>
      </c>
      <c r="BZ14" s="176">
        <f>BY14+(CD14-BY14)/4</f>
        <v>8718.25</v>
      </c>
      <c r="CA14" s="176">
        <f>BZ14+(CD14-BZ14)/3</f>
        <v>8799.5</v>
      </c>
      <c r="CB14" s="176">
        <f>CA14+(CD14-CA14)/2</f>
        <v>8880.75</v>
      </c>
      <c r="CC14" s="176">
        <f>CD14</f>
        <v>8962</v>
      </c>
      <c r="CD14" s="175">
        <f>BY14+Capex!CD27</f>
        <v>8962</v>
      </c>
      <c r="CE14" s="5"/>
      <c r="CF14" s="314" t="s">
        <v>3119</v>
      </c>
      <c r="CG14" s="175"/>
      <c r="CH14" s="11"/>
      <c r="CI14" s="11"/>
      <c r="CJ14" s="175"/>
      <c r="CK14" s="175"/>
      <c r="CL14" s="175"/>
    </row>
    <row r="15" spans="1:90" ht="12.75" customHeight="1">
      <c r="A15" s="202"/>
      <c r="B15" s="202" t="s">
        <v>631</v>
      </c>
      <c r="C15" s="205">
        <v>5433</v>
      </c>
      <c r="D15" s="205">
        <v>4626</v>
      </c>
      <c r="E15" s="205">
        <v>4868</v>
      </c>
      <c r="F15" s="205">
        <v>5486</v>
      </c>
      <c r="G15" s="205">
        <v>6217</v>
      </c>
      <c r="H15" s="206">
        <v>5371</v>
      </c>
      <c r="I15" s="206">
        <v>5736</v>
      </c>
      <c r="J15" s="206">
        <v>5717</v>
      </c>
      <c r="K15" s="206">
        <v>5975</v>
      </c>
      <c r="L15" s="205">
        <f t="shared" si="1"/>
        <v>5975</v>
      </c>
      <c r="M15" s="176">
        <v>6064</v>
      </c>
      <c r="N15" s="176">
        <v>5849</v>
      </c>
      <c r="O15" s="176">
        <v>5994</v>
      </c>
      <c r="P15" s="176">
        <v>4579</v>
      </c>
      <c r="Q15" s="175">
        <f t="shared" si="2"/>
        <v>4579</v>
      </c>
      <c r="R15" s="176">
        <v>4749</v>
      </c>
      <c r="S15" s="176">
        <v>4601</v>
      </c>
      <c r="T15" s="176">
        <v>4199</v>
      </c>
      <c r="U15" s="176">
        <v>4000</v>
      </c>
      <c r="V15" s="175">
        <f t="shared" si="3"/>
        <v>4000</v>
      </c>
      <c r="W15" s="176">
        <v>13033</v>
      </c>
      <c r="X15" s="176">
        <v>12929</v>
      </c>
      <c r="Y15" s="176">
        <v>13673</v>
      </c>
      <c r="Z15" s="176">
        <v>12963</v>
      </c>
      <c r="AA15" s="175">
        <f t="shared" si="4"/>
        <v>12963</v>
      </c>
      <c r="AB15" s="176">
        <v>13396</v>
      </c>
      <c r="AC15" s="176">
        <v>13474</v>
      </c>
      <c r="AD15" s="176">
        <v>13442</v>
      </c>
      <c r="AE15" s="176">
        <v>13335</v>
      </c>
      <c r="AF15" s="175">
        <f t="shared" si="5"/>
        <v>13335</v>
      </c>
      <c r="AG15" s="176">
        <v>14727</v>
      </c>
      <c r="AH15" s="176">
        <v>14093</v>
      </c>
      <c r="AI15" s="176">
        <v>13896</v>
      </c>
      <c r="AJ15" s="176">
        <v>13291</v>
      </c>
      <c r="AK15" s="175">
        <f t="shared" si="0"/>
        <v>13291</v>
      </c>
      <c r="AL15" s="176">
        <v>13824</v>
      </c>
      <c r="AM15" s="176">
        <v>13877</v>
      </c>
      <c r="AN15" s="176">
        <v>15273</v>
      </c>
      <c r="AO15" s="176">
        <v>2998</v>
      </c>
      <c r="AP15" s="175">
        <f t="shared" si="6"/>
        <v>2998</v>
      </c>
      <c r="AQ15" s="176">
        <v>16077</v>
      </c>
      <c r="AR15" s="176">
        <v>14924</v>
      </c>
      <c r="AS15" s="176">
        <v>15211</v>
      </c>
      <c r="AT15" s="176">
        <v>16636</v>
      </c>
      <c r="AU15" s="175">
        <f t="shared" si="7"/>
        <v>16636</v>
      </c>
      <c r="AV15" s="176">
        <v>16245</v>
      </c>
      <c r="AW15" s="176">
        <v>17370</v>
      </c>
      <c r="AX15" s="176">
        <v>15460</v>
      </c>
      <c r="AY15" s="176">
        <v>10403</v>
      </c>
      <c r="AZ15" s="175">
        <f t="shared" si="8"/>
        <v>10403</v>
      </c>
      <c r="BA15" s="176">
        <v>10312</v>
      </c>
      <c r="BB15" s="176">
        <v>11340</v>
      </c>
      <c r="BC15" s="176">
        <v>9804</v>
      </c>
      <c r="BD15" s="176">
        <v>9422</v>
      </c>
      <c r="BE15" s="175">
        <f t="shared" si="9"/>
        <v>9422</v>
      </c>
      <c r="BF15" s="176">
        <v>10450</v>
      </c>
      <c r="BG15" s="176">
        <v>11221</v>
      </c>
      <c r="BH15" s="176">
        <v>13326</v>
      </c>
      <c r="BI15" s="176">
        <v>14092</v>
      </c>
      <c r="BJ15" s="175">
        <f t="shared" si="10"/>
        <v>14092</v>
      </c>
      <c r="BK15" s="176">
        <v>15484</v>
      </c>
      <c r="BL15" s="176">
        <v>15408</v>
      </c>
      <c r="BM15" s="206">
        <v>15921</v>
      </c>
      <c r="BN15" s="206">
        <v>16991</v>
      </c>
      <c r="BO15" s="175">
        <f t="shared" si="11"/>
        <v>16991</v>
      </c>
      <c r="BP15" s="176">
        <f ca="1">Assets!BP79</f>
        <v>17157.098178349959</v>
      </c>
      <c r="BQ15" s="176">
        <f ca="1">Assets!BQ79</f>
        <v>17607.942388683099</v>
      </c>
      <c r="BR15" s="176">
        <f ca="1">Assets!BR79</f>
        <v>17839.231311526401</v>
      </c>
      <c r="BS15" s="176">
        <f ca="1">Assets!BS79</f>
        <v>18281.7127533823</v>
      </c>
      <c r="BT15" s="175">
        <f ca="1">BS15</f>
        <v>18281.7127533823</v>
      </c>
      <c r="BU15" s="176">
        <f ca="1">Assets!BU79</f>
        <v>18742.716845039766</v>
      </c>
      <c r="BV15" s="176">
        <f ca="1">Assets!BV79</f>
        <v>19211.167990134498</v>
      </c>
      <c r="BW15" s="176">
        <f ca="1">Assets!BW79</f>
        <v>19295.689310858488</v>
      </c>
      <c r="BX15" s="176">
        <f ca="1">Assets!BX79</f>
        <v>19755.712654951349</v>
      </c>
      <c r="BY15" s="175">
        <f ca="1">BX15</f>
        <v>19755.712654951349</v>
      </c>
      <c r="BZ15" s="176">
        <f ca="1">Assets!BZ79</f>
        <v>20596.3957943243</v>
      </c>
      <c r="CA15" s="176">
        <f ca="1">Assets!CA79</f>
        <v>21430.751283977381</v>
      </c>
      <c r="CB15" s="176">
        <f ca="1">Assets!CB79</f>
        <v>21792.419254640488</v>
      </c>
      <c r="CC15" s="176">
        <f ca="1">Assets!CC79</f>
        <v>22615.404334608014</v>
      </c>
      <c r="CD15" s="175">
        <f ca="1">CC15</f>
        <v>22615.404334608014</v>
      </c>
      <c r="CE15" s="5"/>
      <c r="CF15" s="314" t="s">
        <v>3119</v>
      </c>
      <c r="CG15" s="175"/>
      <c r="CH15" s="11"/>
      <c r="CI15" s="11"/>
      <c r="CJ15" s="175"/>
      <c r="CK15" s="175"/>
      <c r="CL15" s="175"/>
    </row>
    <row r="16" spans="1:90" ht="12.75" customHeight="1">
      <c r="A16" s="202"/>
      <c r="B16" s="202" t="s">
        <v>632</v>
      </c>
      <c r="C16" s="205">
        <v>2403</v>
      </c>
      <c r="D16" s="205">
        <v>1995</v>
      </c>
      <c r="E16" s="205">
        <v>1452</v>
      </c>
      <c r="F16" s="205">
        <v>394</v>
      </c>
      <c r="G16" s="205">
        <v>967</v>
      </c>
      <c r="H16" s="206">
        <v>700</v>
      </c>
      <c r="I16" s="206">
        <v>592</v>
      </c>
      <c r="J16" s="206">
        <v>1754</v>
      </c>
      <c r="K16" s="206">
        <v>1697</v>
      </c>
      <c r="L16" s="205">
        <f t="shared" si="1"/>
        <v>1697</v>
      </c>
      <c r="M16" s="176">
        <v>1595</v>
      </c>
      <c r="N16" s="176">
        <v>1657</v>
      </c>
      <c r="O16" s="176">
        <v>1650</v>
      </c>
      <c r="P16" s="176">
        <v>1830</v>
      </c>
      <c r="Q16" s="175">
        <f t="shared" si="2"/>
        <v>1830</v>
      </c>
      <c r="R16" s="176">
        <v>1666</v>
      </c>
      <c r="S16" s="176">
        <v>1981</v>
      </c>
      <c r="T16" s="176">
        <v>1250</v>
      </c>
      <c r="U16" s="176">
        <v>855</v>
      </c>
      <c r="V16" s="175">
        <f t="shared" si="3"/>
        <v>855</v>
      </c>
      <c r="W16" s="176">
        <v>915</v>
      </c>
      <c r="X16" s="176">
        <v>1138</v>
      </c>
      <c r="Y16" s="176">
        <v>1408</v>
      </c>
      <c r="Z16" s="176">
        <v>1567</v>
      </c>
      <c r="AA16" s="175">
        <f t="shared" si="4"/>
        <v>1567</v>
      </c>
      <c r="AB16" s="176">
        <v>1459</v>
      </c>
      <c r="AC16" s="176">
        <v>1071</v>
      </c>
      <c r="AD16" s="176">
        <v>1170</v>
      </c>
      <c r="AE16" s="176">
        <v>1191</v>
      </c>
      <c r="AF16" s="175">
        <f t="shared" si="5"/>
        <v>1191</v>
      </c>
      <c r="AG16" s="176">
        <v>1462</v>
      </c>
      <c r="AH16" s="176">
        <v>1366</v>
      </c>
      <c r="AI16" s="176">
        <v>2036</v>
      </c>
      <c r="AJ16" s="176">
        <v>2117</v>
      </c>
      <c r="AK16" s="175">
        <f t="shared" si="0"/>
        <v>2117</v>
      </c>
      <c r="AL16" s="176">
        <v>2066</v>
      </c>
      <c r="AM16" s="176">
        <v>1909</v>
      </c>
      <c r="AN16" s="176">
        <v>1831</v>
      </c>
      <c r="AO16" s="176">
        <v>2702</v>
      </c>
      <c r="AP16" s="175">
        <f t="shared" si="6"/>
        <v>2702</v>
      </c>
      <c r="AQ16" s="176">
        <v>1407</v>
      </c>
      <c r="AR16" s="176">
        <v>1732</v>
      </c>
      <c r="AS16" s="176">
        <v>1670</v>
      </c>
      <c r="AT16" s="176">
        <v>1565</v>
      </c>
      <c r="AU16" s="175">
        <f t="shared" si="7"/>
        <v>1565</v>
      </c>
      <c r="AV16" s="176">
        <v>1357</v>
      </c>
      <c r="AW16" s="176">
        <v>1270</v>
      </c>
      <c r="AX16" s="176">
        <v>1169</v>
      </c>
      <c r="AY16" s="176">
        <v>1228</v>
      </c>
      <c r="AZ16" s="175">
        <f t="shared" si="8"/>
        <v>1228</v>
      </c>
      <c r="BA16" s="176">
        <v>1133</v>
      </c>
      <c r="BB16" s="176">
        <v>1108</v>
      </c>
      <c r="BC16" s="176">
        <v>1019</v>
      </c>
      <c r="BD16" s="176">
        <v>1002</v>
      </c>
      <c r="BE16" s="175">
        <f t="shared" si="9"/>
        <v>1002</v>
      </c>
      <c r="BF16" s="176">
        <v>1014</v>
      </c>
      <c r="BG16" s="176">
        <v>1002</v>
      </c>
      <c r="BH16" s="176">
        <v>1005</v>
      </c>
      <c r="BI16" s="176">
        <v>1033</v>
      </c>
      <c r="BJ16" s="175">
        <f t="shared" si="10"/>
        <v>1033</v>
      </c>
      <c r="BK16" s="176">
        <v>1011</v>
      </c>
      <c r="BL16" s="176">
        <v>1048</v>
      </c>
      <c r="BM16" s="206">
        <v>1051</v>
      </c>
      <c r="BN16" s="206">
        <v>1245</v>
      </c>
      <c r="BO16" s="175">
        <f t="shared" si="11"/>
        <v>1245</v>
      </c>
      <c r="BP16" s="176">
        <f t="shared" ref="BP16:CD16" si="14">BO16</f>
        <v>1245</v>
      </c>
      <c r="BQ16" s="176">
        <f t="shared" si="14"/>
        <v>1245</v>
      </c>
      <c r="BR16" s="176">
        <f t="shared" si="14"/>
        <v>1245</v>
      </c>
      <c r="BS16" s="176">
        <f t="shared" si="14"/>
        <v>1245</v>
      </c>
      <c r="BT16" s="175">
        <f t="shared" si="14"/>
        <v>1245</v>
      </c>
      <c r="BU16" s="176">
        <f t="shared" si="14"/>
        <v>1245</v>
      </c>
      <c r="BV16" s="176">
        <f t="shared" si="14"/>
        <v>1245</v>
      </c>
      <c r="BW16" s="176">
        <f t="shared" si="14"/>
        <v>1245</v>
      </c>
      <c r="BX16" s="176">
        <f t="shared" si="14"/>
        <v>1245</v>
      </c>
      <c r="BY16" s="175">
        <f t="shared" si="14"/>
        <v>1245</v>
      </c>
      <c r="BZ16" s="176">
        <f t="shared" si="14"/>
        <v>1245</v>
      </c>
      <c r="CA16" s="176">
        <f t="shared" si="14"/>
        <v>1245</v>
      </c>
      <c r="CB16" s="176">
        <f t="shared" si="14"/>
        <v>1245</v>
      </c>
      <c r="CC16" s="176">
        <f t="shared" si="14"/>
        <v>1245</v>
      </c>
      <c r="CD16" s="175">
        <f t="shared" si="14"/>
        <v>1245</v>
      </c>
      <c r="CE16" s="5"/>
      <c r="CF16" s="314" t="s">
        <v>2879</v>
      </c>
      <c r="CG16" s="175"/>
      <c r="CH16" s="11"/>
      <c r="CI16" s="11"/>
      <c r="CJ16" s="175"/>
      <c r="CK16" s="175"/>
      <c r="CL16" s="175"/>
    </row>
    <row r="17" spans="1:90">
      <c r="A17" s="202"/>
      <c r="B17" s="202" t="s">
        <v>633</v>
      </c>
      <c r="C17" s="205">
        <v>4681</v>
      </c>
      <c r="D17" s="205">
        <v>2346</v>
      </c>
      <c r="E17" s="205">
        <v>852</v>
      </c>
      <c r="F17" s="205">
        <v>811</v>
      </c>
      <c r="G17" s="205">
        <v>821</v>
      </c>
      <c r="H17" s="206">
        <v>849</v>
      </c>
      <c r="I17" s="206">
        <v>854</v>
      </c>
      <c r="J17" s="206">
        <v>822</v>
      </c>
      <c r="K17" s="206">
        <v>817</v>
      </c>
      <c r="L17" s="205">
        <f t="shared" si="1"/>
        <v>817</v>
      </c>
      <c r="M17" s="176">
        <v>769</v>
      </c>
      <c r="N17" s="176">
        <v>864</v>
      </c>
      <c r="O17" s="176">
        <v>1016</v>
      </c>
      <c r="P17" s="176">
        <v>999</v>
      </c>
      <c r="Q17" s="175">
        <f t="shared" si="2"/>
        <v>999</v>
      </c>
      <c r="R17" s="176">
        <v>1017</v>
      </c>
      <c r="S17" s="176">
        <v>1057</v>
      </c>
      <c r="T17" s="176">
        <v>1151</v>
      </c>
      <c r="U17" s="176">
        <v>995</v>
      </c>
      <c r="V17" s="175">
        <f t="shared" si="3"/>
        <v>995</v>
      </c>
      <c r="W17" s="176">
        <v>1004</v>
      </c>
      <c r="X17" s="176">
        <v>1212</v>
      </c>
      <c r="Y17" s="176">
        <v>1139</v>
      </c>
      <c r="Z17" s="176">
        <v>1039</v>
      </c>
      <c r="AA17" s="175">
        <f t="shared" si="4"/>
        <v>1039</v>
      </c>
      <c r="AB17" s="176">
        <v>982</v>
      </c>
      <c r="AC17" s="176">
        <v>924</v>
      </c>
      <c r="AD17" s="176">
        <v>965</v>
      </c>
      <c r="AE17" s="176">
        <v>894</v>
      </c>
      <c r="AF17" s="175">
        <f t="shared" si="5"/>
        <v>894</v>
      </c>
      <c r="AG17" s="176">
        <v>882</v>
      </c>
      <c r="AH17" s="176">
        <v>868</v>
      </c>
      <c r="AI17" s="176">
        <v>874</v>
      </c>
      <c r="AJ17" s="176">
        <v>884</v>
      </c>
      <c r="AK17" s="175">
        <f t="shared" si="0"/>
        <v>884</v>
      </c>
      <c r="AL17" s="176">
        <v>870</v>
      </c>
      <c r="AM17" s="176">
        <v>832</v>
      </c>
      <c r="AN17" s="176">
        <v>696</v>
      </c>
      <c r="AO17" s="176">
        <v>695</v>
      </c>
      <c r="AP17" s="175">
        <f t="shared" si="6"/>
        <v>695</v>
      </c>
      <c r="AQ17" s="176">
        <v>586</v>
      </c>
      <c r="AR17" s="176">
        <v>604</v>
      </c>
      <c r="AS17" s="176">
        <v>644</v>
      </c>
      <c r="AT17" s="176">
        <v>763</v>
      </c>
      <c r="AU17" s="175">
        <f t="shared" si="7"/>
        <v>763</v>
      </c>
      <c r="AV17" s="176">
        <v>682</v>
      </c>
      <c r="AW17" s="176">
        <v>681</v>
      </c>
      <c r="AX17" s="176">
        <v>668</v>
      </c>
      <c r="AY17" s="176">
        <v>659</v>
      </c>
      <c r="AZ17" s="175">
        <f t="shared" si="8"/>
        <v>659</v>
      </c>
      <c r="BA17" s="176">
        <v>599</v>
      </c>
      <c r="BB17" s="176">
        <v>584</v>
      </c>
      <c r="BC17" s="176">
        <v>544</v>
      </c>
      <c r="BD17" s="176">
        <v>529</v>
      </c>
      <c r="BE17" s="175">
        <f t="shared" si="9"/>
        <v>529</v>
      </c>
      <c r="BF17" s="176">
        <v>505</v>
      </c>
      <c r="BG17" s="176">
        <v>500</v>
      </c>
      <c r="BH17" s="176">
        <v>497</v>
      </c>
      <c r="BI17" s="176">
        <v>532</v>
      </c>
      <c r="BJ17" s="175">
        <f t="shared" si="10"/>
        <v>532</v>
      </c>
      <c r="BK17" s="176">
        <v>550</v>
      </c>
      <c r="BL17" s="176">
        <v>540</v>
      </c>
      <c r="BM17" s="206">
        <v>553</v>
      </c>
      <c r="BN17" s="206">
        <v>646</v>
      </c>
      <c r="BO17" s="175">
        <f t="shared" si="11"/>
        <v>646</v>
      </c>
      <c r="BP17" s="176">
        <f t="shared" ref="BP17:CD22" si="15">BO17</f>
        <v>646</v>
      </c>
      <c r="BQ17" s="176">
        <f t="shared" si="15"/>
        <v>646</v>
      </c>
      <c r="BR17" s="176">
        <f t="shared" si="15"/>
        <v>646</v>
      </c>
      <c r="BS17" s="176">
        <f t="shared" si="15"/>
        <v>646</v>
      </c>
      <c r="BT17" s="175">
        <f t="shared" si="15"/>
        <v>646</v>
      </c>
      <c r="BU17" s="176">
        <f t="shared" si="15"/>
        <v>646</v>
      </c>
      <c r="BV17" s="176">
        <f t="shared" si="15"/>
        <v>646</v>
      </c>
      <c r="BW17" s="176">
        <f t="shared" si="15"/>
        <v>646</v>
      </c>
      <c r="BX17" s="176">
        <f t="shared" si="15"/>
        <v>646</v>
      </c>
      <c r="BY17" s="175">
        <f t="shared" si="15"/>
        <v>646</v>
      </c>
      <c r="BZ17" s="176">
        <f t="shared" si="15"/>
        <v>646</v>
      </c>
      <c r="CA17" s="176">
        <f t="shared" si="15"/>
        <v>646</v>
      </c>
      <c r="CB17" s="176">
        <f t="shared" si="15"/>
        <v>646</v>
      </c>
      <c r="CC17" s="176">
        <f t="shared" si="15"/>
        <v>646</v>
      </c>
      <c r="CD17" s="175">
        <f t="shared" si="15"/>
        <v>646</v>
      </c>
      <c r="CE17" s="5"/>
      <c r="CF17" s="314" t="s">
        <v>2879</v>
      </c>
      <c r="CG17" s="175"/>
      <c r="CH17" s="11"/>
      <c r="CI17" s="11"/>
      <c r="CJ17" s="175"/>
      <c r="CK17" s="175"/>
      <c r="CL17" s="175"/>
    </row>
    <row r="18" spans="1:90">
      <c r="A18" s="202"/>
      <c r="B18" s="202" t="s">
        <v>634</v>
      </c>
      <c r="C18" s="205">
        <v>0</v>
      </c>
      <c r="D18" s="205">
        <v>0</v>
      </c>
      <c r="E18" s="205">
        <v>495</v>
      </c>
      <c r="F18" s="205">
        <v>429</v>
      </c>
      <c r="G18" s="205">
        <v>770</v>
      </c>
      <c r="H18" s="206">
        <v>875</v>
      </c>
      <c r="I18" s="206">
        <v>842</v>
      </c>
      <c r="J18" s="206">
        <v>787</v>
      </c>
      <c r="K18" s="206">
        <v>862</v>
      </c>
      <c r="L18" s="205">
        <f t="shared" si="1"/>
        <v>862</v>
      </c>
      <c r="M18" s="176">
        <v>931</v>
      </c>
      <c r="N18" s="176">
        <v>926</v>
      </c>
      <c r="O18" s="176">
        <v>979</v>
      </c>
      <c r="P18" s="176">
        <v>968</v>
      </c>
      <c r="Q18" s="175">
        <f t="shared" si="2"/>
        <v>968</v>
      </c>
      <c r="R18" s="176">
        <v>983</v>
      </c>
      <c r="S18" s="176">
        <v>958</v>
      </c>
      <c r="T18" s="176">
        <v>896</v>
      </c>
      <c r="U18" s="176">
        <v>710</v>
      </c>
      <c r="V18" s="175">
        <f t="shared" si="3"/>
        <v>710</v>
      </c>
      <c r="W18" s="176">
        <v>746</v>
      </c>
      <c r="X18" s="176">
        <v>990</v>
      </c>
      <c r="Y18" s="176">
        <v>943</v>
      </c>
      <c r="Z18" s="176">
        <v>1729</v>
      </c>
      <c r="AA18" s="175">
        <f t="shared" si="4"/>
        <v>1729</v>
      </c>
      <c r="AB18" s="176">
        <v>2216</v>
      </c>
      <c r="AC18" s="176">
        <v>3905</v>
      </c>
      <c r="AD18" s="176">
        <v>2891</v>
      </c>
      <c r="AE18" s="176">
        <v>6298</v>
      </c>
      <c r="AF18" s="175">
        <f t="shared" si="5"/>
        <v>6298</v>
      </c>
      <c r="AG18" s="176">
        <v>6055</v>
      </c>
      <c r="AH18" s="176">
        <v>5804</v>
      </c>
      <c r="AI18" s="206">
        <v>5259</v>
      </c>
      <c r="AJ18" s="206">
        <v>4096</v>
      </c>
      <c r="AK18" s="175">
        <f t="shared" si="0"/>
        <v>4096</v>
      </c>
      <c r="AL18" s="176">
        <v>7587</v>
      </c>
      <c r="AM18" s="176">
        <v>6731</v>
      </c>
      <c r="AN18" s="176">
        <v>7213</v>
      </c>
      <c r="AO18" s="176">
        <v>5272</v>
      </c>
      <c r="AP18" s="175">
        <f t="shared" si="6"/>
        <v>5272</v>
      </c>
      <c r="AQ18" s="176">
        <v>5722</v>
      </c>
      <c r="AR18" s="176">
        <v>5538</v>
      </c>
      <c r="AS18" s="176">
        <v>5928</v>
      </c>
      <c r="AT18" s="176">
        <v>5985</v>
      </c>
      <c r="AU18" s="175">
        <f t="shared" si="7"/>
        <v>5985</v>
      </c>
      <c r="AV18" s="176">
        <v>5953</v>
      </c>
      <c r="AW18" s="176">
        <v>5782</v>
      </c>
      <c r="AX18" s="176">
        <v>6414</v>
      </c>
      <c r="AY18" s="176">
        <v>4787</v>
      </c>
      <c r="AZ18" s="175">
        <f t="shared" si="8"/>
        <v>4787</v>
      </c>
      <c r="BA18" s="176">
        <v>4334</v>
      </c>
      <c r="BB18" s="176">
        <v>2310</v>
      </c>
      <c r="BC18" s="176">
        <v>2282</v>
      </c>
      <c r="BD18" s="176">
        <v>2216</v>
      </c>
      <c r="BE18" s="175">
        <f t="shared" si="9"/>
        <v>2216</v>
      </c>
      <c r="BF18" s="176">
        <v>2241</v>
      </c>
      <c r="BG18" s="176">
        <v>2193</v>
      </c>
      <c r="BH18" s="176">
        <v>2146</v>
      </c>
      <c r="BI18" s="176">
        <v>1474</v>
      </c>
      <c r="BJ18" s="175">
        <f t="shared" si="10"/>
        <v>1474</v>
      </c>
      <c r="BK18" s="176">
        <v>1448</v>
      </c>
      <c r="BL18" s="176">
        <v>1425</v>
      </c>
      <c r="BM18" s="206">
        <v>1461</v>
      </c>
      <c r="BN18" s="206">
        <v>1434</v>
      </c>
      <c r="BO18" s="175">
        <f t="shared" si="11"/>
        <v>1434</v>
      </c>
      <c r="BP18" s="176">
        <f ca="1">BP177+BP153</f>
        <v>1434</v>
      </c>
      <c r="BQ18" s="176">
        <f ca="1">BQ177+BQ153</f>
        <v>1434</v>
      </c>
      <c r="BR18" s="176">
        <f ca="1">BR177+BR153</f>
        <v>1434</v>
      </c>
      <c r="BS18" s="176">
        <f ca="1">BS177+BS153</f>
        <v>1434</v>
      </c>
      <c r="BT18" s="175">
        <f ca="1">BS18</f>
        <v>1434</v>
      </c>
      <c r="BU18" s="176">
        <f ca="1">BU177+BU153</f>
        <v>1434</v>
      </c>
      <c r="BV18" s="176">
        <f ca="1">BV177+BV153</f>
        <v>1434</v>
      </c>
      <c r="BW18" s="176">
        <f ca="1">BW177+BW153</f>
        <v>1434</v>
      </c>
      <c r="BX18" s="176">
        <f ca="1">BX177+BX153</f>
        <v>1434</v>
      </c>
      <c r="BY18" s="175">
        <f ca="1">BX18</f>
        <v>1434</v>
      </c>
      <c r="BZ18" s="176">
        <f ca="1">BZ177+BZ153</f>
        <v>1434</v>
      </c>
      <c r="CA18" s="176">
        <f ca="1">CA177+CA153</f>
        <v>1434</v>
      </c>
      <c r="CB18" s="176">
        <f ca="1">CB177+CB153</f>
        <v>1434</v>
      </c>
      <c r="CC18" s="176">
        <f ca="1">CC177+CC153</f>
        <v>1434</v>
      </c>
      <c r="CD18" s="175">
        <f ca="1">CC18</f>
        <v>1434</v>
      </c>
      <c r="CE18" s="5"/>
      <c r="CF18" s="314"/>
      <c r="CG18" s="175"/>
      <c r="CH18" s="11"/>
      <c r="CI18" s="11"/>
      <c r="CJ18" s="175"/>
      <c r="CK18" s="175"/>
      <c r="CL18" s="175"/>
    </row>
    <row r="19" spans="1:90">
      <c r="A19" s="202"/>
      <c r="B19" s="202" t="s">
        <v>635</v>
      </c>
      <c r="C19" s="205">
        <v>0</v>
      </c>
      <c r="D19" s="205">
        <v>0</v>
      </c>
      <c r="E19" s="205">
        <v>534</v>
      </c>
      <c r="F19" s="205">
        <v>898</v>
      </c>
      <c r="G19" s="205">
        <v>3909</v>
      </c>
      <c r="H19" s="206">
        <v>3872</v>
      </c>
      <c r="I19" s="206">
        <v>4301</v>
      </c>
      <c r="J19" s="206">
        <v>3548</v>
      </c>
      <c r="K19" s="206">
        <v>3025</v>
      </c>
      <c r="L19" s="205">
        <f t="shared" si="1"/>
        <v>3025</v>
      </c>
      <c r="M19" s="176">
        <v>2486</v>
      </c>
      <c r="N19" s="176">
        <v>2950</v>
      </c>
      <c r="O19" s="176">
        <v>3105</v>
      </c>
      <c r="P19" s="176">
        <v>3741</v>
      </c>
      <c r="Q19" s="175">
        <f t="shared" si="2"/>
        <v>3741</v>
      </c>
      <c r="R19" s="176">
        <v>5606</v>
      </c>
      <c r="S19" s="176">
        <v>12077</v>
      </c>
      <c r="T19" s="176">
        <v>5309</v>
      </c>
      <c r="U19" s="176">
        <v>5054</v>
      </c>
      <c r="V19" s="175">
        <f t="shared" si="3"/>
        <v>5054</v>
      </c>
      <c r="W19" s="176">
        <v>5004</v>
      </c>
      <c r="X19" s="176">
        <v>4423</v>
      </c>
      <c r="Y19" s="176">
        <v>3941</v>
      </c>
      <c r="Z19" s="176">
        <v>3965</v>
      </c>
      <c r="AA19" s="175">
        <f t="shared" si="4"/>
        <v>3965</v>
      </c>
      <c r="AB19" s="176">
        <v>4770</v>
      </c>
      <c r="AC19" s="176">
        <v>4404</v>
      </c>
      <c r="AD19" s="176">
        <v>4889</v>
      </c>
      <c r="AE19" s="176">
        <v>4210</v>
      </c>
      <c r="AF19" s="175">
        <f t="shared" si="5"/>
        <v>4210</v>
      </c>
      <c r="AG19" s="176">
        <v>4309</v>
      </c>
      <c r="AH19" s="176">
        <v>4267</v>
      </c>
      <c r="AI19" s="176">
        <v>4735</v>
      </c>
      <c r="AJ19" s="176">
        <v>5038</v>
      </c>
      <c r="AK19" s="175">
        <f t="shared" si="0"/>
        <v>5038</v>
      </c>
      <c r="AL19" s="176">
        <v>5274</v>
      </c>
      <c r="AM19" s="176">
        <v>5142</v>
      </c>
      <c r="AN19" s="176">
        <v>4766</v>
      </c>
      <c r="AO19" s="176">
        <v>4294</v>
      </c>
      <c r="AP19" s="175">
        <f t="shared" si="6"/>
        <v>4294</v>
      </c>
      <c r="AQ19" s="176">
        <v>4340</v>
      </c>
      <c r="AR19" s="176">
        <v>3548</v>
      </c>
      <c r="AS19" s="176">
        <v>3583</v>
      </c>
      <c r="AT19" s="176">
        <v>3509</v>
      </c>
      <c r="AU19" s="175">
        <f t="shared" si="7"/>
        <v>3509</v>
      </c>
      <c r="AV19" s="176">
        <v>3395</v>
      </c>
      <c r="AW19" s="176">
        <v>3609</v>
      </c>
      <c r="AX19" s="176">
        <v>3536</v>
      </c>
      <c r="AY19" s="176">
        <v>4442</v>
      </c>
      <c r="AZ19" s="175">
        <f t="shared" si="8"/>
        <v>4442</v>
      </c>
      <c r="BA19" s="176">
        <v>4829</v>
      </c>
      <c r="BB19" s="176">
        <v>3965</v>
      </c>
      <c r="BC19" s="176">
        <v>4559</v>
      </c>
      <c r="BD19" s="176">
        <v>4409</v>
      </c>
      <c r="BE19" s="175">
        <f t="shared" si="9"/>
        <v>4409</v>
      </c>
      <c r="BF19" s="176">
        <v>5195</v>
      </c>
      <c r="BG19" s="176">
        <v>5286</v>
      </c>
      <c r="BH19" s="176">
        <v>5437</v>
      </c>
      <c r="BI19" s="176">
        <v>4359</v>
      </c>
      <c r="BJ19" s="175">
        <f t="shared" si="10"/>
        <v>4359</v>
      </c>
      <c r="BK19" s="176">
        <v>4189</v>
      </c>
      <c r="BL19" s="176">
        <v>4446</v>
      </c>
      <c r="BM19" s="206">
        <v>4470</v>
      </c>
      <c r="BN19" s="206">
        <v>4110</v>
      </c>
      <c r="BO19" s="175">
        <f t="shared" si="11"/>
        <v>4110</v>
      </c>
      <c r="BP19" s="176">
        <f t="shared" si="15"/>
        <v>4110</v>
      </c>
      <c r="BQ19" s="176">
        <f t="shared" si="15"/>
        <v>4110</v>
      </c>
      <c r="BR19" s="176">
        <f t="shared" si="15"/>
        <v>4110</v>
      </c>
      <c r="BS19" s="176">
        <f t="shared" si="15"/>
        <v>4110</v>
      </c>
      <c r="BT19" s="175">
        <f t="shared" si="15"/>
        <v>4110</v>
      </c>
      <c r="BU19" s="176">
        <f t="shared" si="15"/>
        <v>4110</v>
      </c>
      <c r="BV19" s="176">
        <f t="shared" si="15"/>
        <v>4110</v>
      </c>
      <c r="BW19" s="176">
        <f t="shared" si="15"/>
        <v>4110</v>
      </c>
      <c r="BX19" s="176">
        <f t="shared" si="15"/>
        <v>4110</v>
      </c>
      <c r="BY19" s="175">
        <f t="shared" si="15"/>
        <v>4110</v>
      </c>
      <c r="BZ19" s="176">
        <f t="shared" si="15"/>
        <v>4110</v>
      </c>
      <c r="CA19" s="176">
        <f t="shared" si="15"/>
        <v>4110</v>
      </c>
      <c r="CB19" s="176">
        <f t="shared" si="15"/>
        <v>4110</v>
      </c>
      <c r="CC19" s="176">
        <f t="shared" si="15"/>
        <v>4110</v>
      </c>
      <c r="CD19" s="175">
        <f t="shared" si="15"/>
        <v>4110</v>
      </c>
      <c r="CE19" s="5"/>
      <c r="CF19" s="314" t="s">
        <v>2883</v>
      </c>
      <c r="CG19" s="175"/>
      <c r="CH19" s="11"/>
      <c r="CI19" s="11"/>
      <c r="CJ19" s="175"/>
      <c r="CK19" s="175"/>
      <c r="CL19" s="175"/>
    </row>
    <row r="20" spans="1:90">
      <c r="A20" s="202"/>
      <c r="B20" s="202" t="s">
        <v>636</v>
      </c>
      <c r="C20" s="205">
        <v>0</v>
      </c>
      <c r="D20" s="205">
        <v>0</v>
      </c>
      <c r="E20" s="205">
        <v>957</v>
      </c>
      <c r="F20" s="205">
        <v>354</v>
      </c>
      <c r="G20" s="205">
        <v>1012</v>
      </c>
      <c r="H20" s="206">
        <v>930</v>
      </c>
      <c r="I20" s="206">
        <v>887</v>
      </c>
      <c r="J20" s="206">
        <v>986</v>
      </c>
      <c r="K20" s="206">
        <v>1034</v>
      </c>
      <c r="L20" s="205">
        <f t="shared" si="1"/>
        <v>1034</v>
      </c>
      <c r="M20" s="176">
        <v>1025</v>
      </c>
      <c r="N20" s="176">
        <v>1075</v>
      </c>
      <c r="O20" s="176">
        <v>1031</v>
      </c>
      <c r="P20" s="176">
        <v>1083</v>
      </c>
      <c r="Q20" s="175">
        <f t="shared" si="2"/>
        <v>1083</v>
      </c>
      <c r="R20" s="176">
        <v>1208</v>
      </c>
      <c r="S20" s="176">
        <v>1128</v>
      </c>
      <c r="T20" s="176">
        <v>1194</v>
      </c>
      <c r="U20" s="176">
        <v>1338</v>
      </c>
      <c r="V20" s="175">
        <f t="shared" si="3"/>
        <v>1338</v>
      </c>
      <c r="W20" s="176">
        <v>1282</v>
      </c>
      <c r="X20" s="176">
        <v>1303</v>
      </c>
      <c r="Y20" s="176">
        <v>1436</v>
      </c>
      <c r="Z20" s="176">
        <v>1407</v>
      </c>
      <c r="AA20" s="175">
        <f t="shared" si="4"/>
        <v>1407</v>
      </c>
      <c r="AB20" s="176">
        <v>1359</v>
      </c>
      <c r="AC20" s="176">
        <v>1292</v>
      </c>
      <c r="AD20" s="176">
        <v>1315</v>
      </c>
      <c r="AE20" s="176">
        <v>1432</v>
      </c>
      <c r="AF20" s="175">
        <f t="shared" si="5"/>
        <v>1432</v>
      </c>
      <c r="AG20" s="176">
        <v>1544</v>
      </c>
      <c r="AH20" s="176">
        <v>1521</v>
      </c>
      <c r="AI20" s="176">
        <v>1521</v>
      </c>
      <c r="AJ20" s="176">
        <v>1255</v>
      </c>
      <c r="AK20" s="175">
        <f t="shared" si="0"/>
        <v>1255</v>
      </c>
      <c r="AL20" s="176">
        <v>1338</v>
      </c>
      <c r="AM20" s="176">
        <v>1302</v>
      </c>
      <c r="AN20" s="176">
        <v>1374</v>
      </c>
      <c r="AO20" s="176">
        <v>809</v>
      </c>
      <c r="AP20" s="175">
        <f t="shared" si="6"/>
        <v>809</v>
      </c>
      <c r="AQ20" s="176">
        <v>924</v>
      </c>
      <c r="AR20" s="176">
        <v>859</v>
      </c>
      <c r="AS20" s="176">
        <v>887</v>
      </c>
      <c r="AT20" s="176">
        <v>922</v>
      </c>
      <c r="AU20" s="175">
        <f t="shared" si="7"/>
        <v>922</v>
      </c>
      <c r="AV20" s="176">
        <v>965</v>
      </c>
      <c r="AW20" s="176">
        <v>983</v>
      </c>
      <c r="AX20" s="176">
        <v>997</v>
      </c>
      <c r="AY20" s="176">
        <v>964</v>
      </c>
      <c r="AZ20" s="175">
        <f t="shared" si="8"/>
        <v>964</v>
      </c>
      <c r="BA20" s="176">
        <v>968</v>
      </c>
      <c r="BB20" s="176">
        <v>999</v>
      </c>
      <c r="BC20" s="176">
        <v>951</v>
      </c>
      <c r="BD20" s="176">
        <v>1003</v>
      </c>
      <c r="BE20" s="175">
        <f t="shared" si="9"/>
        <v>1003</v>
      </c>
      <c r="BF20" s="176">
        <v>1037</v>
      </c>
      <c r="BG20" s="176">
        <v>1020</v>
      </c>
      <c r="BH20" s="176">
        <v>1036</v>
      </c>
      <c r="BI20" s="176">
        <v>945</v>
      </c>
      <c r="BJ20" s="175">
        <f t="shared" si="10"/>
        <v>945</v>
      </c>
      <c r="BK20" s="176">
        <v>1022</v>
      </c>
      <c r="BL20" s="176">
        <v>1076</v>
      </c>
      <c r="BM20" s="206">
        <v>1094</v>
      </c>
      <c r="BN20" s="206">
        <v>1112</v>
      </c>
      <c r="BO20" s="175">
        <f t="shared" si="11"/>
        <v>1112</v>
      </c>
      <c r="BP20" s="176">
        <f t="shared" si="15"/>
        <v>1112</v>
      </c>
      <c r="BQ20" s="176">
        <f t="shared" si="15"/>
        <v>1112</v>
      </c>
      <c r="BR20" s="176">
        <f t="shared" si="15"/>
        <v>1112</v>
      </c>
      <c r="BS20" s="176">
        <f t="shared" si="15"/>
        <v>1112</v>
      </c>
      <c r="BT20" s="175">
        <f t="shared" si="15"/>
        <v>1112</v>
      </c>
      <c r="BU20" s="176">
        <f t="shared" si="15"/>
        <v>1112</v>
      </c>
      <c r="BV20" s="176">
        <f t="shared" si="15"/>
        <v>1112</v>
      </c>
      <c r="BW20" s="176">
        <f t="shared" si="15"/>
        <v>1112</v>
      </c>
      <c r="BX20" s="176">
        <f t="shared" si="15"/>
        <v>1112</v>
      </c>
      <c r="BY20" s="175">
        <f t="shared" si="15"/>
        <v>1112</v>
      </c>
      <c r="BZ20" s="176">
        <f t="shared" si="15"/>
        <v>1112</v>
      </c>
      <c r="CA20" s="176">
        <f t="shared" si="15"/>
        <v>1112</v>
      </c>
      <c r="CB20" s="176">
        <f t="shared" si="15"/>
        <v>1112</v>
      </c>
      <c r="CC20" s="176">
        <f t="shared" si="15"/>
        <v>1112</v>
      </c>
      <c r="CD20" s="175">
        <f t="shared" si="15"/>
        <v>1112</v>
      </c>
      <c r="CE20" s="5"/>
      <c r="CF20" s="314" t="s">
        <v>2883</v>
      </c>
      <c r="CG20" s="175"/>
      <c r="CH20" s="11"/>
      <c r="CI20" s="11"/>
      <c r="CJ20" s="175"/>
      <c r="CK20" s="175"/>
      <c r="CL20" s="175"/>
    </row>
    <row r="21" spans="1:90">
      <c r="A21" s="202"/>
      <c r="B21" s="202" t="s">
        <v>637</v>
      </c>
      <c r="C21" s="205">
        <v>0</v>
      </c>
      <c r="D21" s="205">
        <v>0</v>
      </c>
      <c r="E21" s="205">
        <v>0</v>
      </c>
      <c r="F21" s="205">
        <v>0</v>
      </c>
      <c r="G21" s="205">
        <v>0</v>
      </c>
      <c r="H21" s="206">
        <v>0</v>
      </c>
      <c r="I21" s="206">
        <v>0</v>
      </c>
      <c r="J21" s="206">
        <v>0</v>
      </c>
      <c r="K21" s="206">
        <v>0</v>
      </c>
      <c r="L21" s="205">
        <f t="shared" si="1"/>
        <v>0</v>
      </c>
      <c r="M21" s="176">
        <v>0</v>
      </c>
      <c r="N21" s="176">
        <v>0</v>
      </c>
      <c r="O21" s="176">
        <v>0</v>
      </c>
      <c r="P21" s="176">
        <v>0</v>
      </c>
      <c r="Q21" s="175">
        <f t="shared" si="2"/>
        <v>0</v>
      </c>
      <c r="R21" s="176">
        <v>0</v>
      </c>
      <c r="S21" s="176">
        <v>0</v>
      </c>
      <c r="T21" s="176">
        <v>0</v>
      </c>
      <c r="U21" s="176">
        <v>0</v>
      </c>
      <c r="V21" s="175">
        <f t="shared" si="3"/>
        <v>0</v>
      </c>
      <c r="W21" s="176">
        <v>0</v>
      </c>
      <c r="X21" s="176">
        <v>0</v>
      </c>
      <c r="Y21" s="176">
        <v>408</v>
      </c>
      <c r="Z21" s="176">
        <v>516</v>
      </c>
      <c r="AA21" s="175">
        <f t="shared" si="4"/>
        <v>516</v>
      </c>
      <c r="AB21" s="176">
        <v>464</v>
      </c>
      <c r="AC21" s="176">
        <v>421</v>
      </c>
      <c r="AD21" s="176">
        <v>427</v>
      </c>
      <c r="AE21" s="176">
        <v>528</v>
      </c>
      <c r="AF21" s="175">
        <f t="shared" si="5"/>
        <v>528</v>
      </c>
      <c r="AG21" s="176">
        <v>566</v>
      </c>
      <c r="AH21" s="176">
        <v>546</v>
      </c>
      <c r="AI21" s="176">
        <v>519</v>
      </c>
      <c r="AJ21" s="176">
        <v>611</v>
      </c>
      <c r="AK21" s="175">
        <f t="shared" si="0"/>
        <v>611</v>
      </c>
      <c r="AL21" s="176">
        <v>569</v>
      </c>
      <c r="AM21" s="176">
        <v>683</v>
      </c>
      <c r="AN21" s="176">
        <v>519</v>
      </c>
      <c r="AO21" s="176">
        <v>874</v>
      </c>
      <c r="AP21" s="175">
        <f t="shared" si="6"/>
        <v>874</v>
      </c>
      <c r="AQ21" s="176">
        <v>787</v>
      </c>
      <c r="AR21" s="176">
        <v>855</v>
      </c>
      <c r="AS21" s="176">
        <v>881</v>
      </c>
      <c r="AT21" s="176">
        <v>985</v>
      </c>
      <c r="AU21" s="175">
        <f t="shared" si="7"/>
        <v>985</v>
      </c>
      <c r="AV21" s="176">
        <v>1184</v>
      </c>
      <c r="AW21" s="176">
        <v>1308</v>
      </c>
      <c r="AX21" s="176">
        <v>1583</v>
      </c>
      <c r="AY21" s="176">
        <v>2309</v>
      </c>
      <c r="AZ21" s="175">
        <f t="shared" si="8"/>
        <v>2309</v>
      </c>
      <c r="BA21" s="176">
        <v>2349</v>
      </c>
      <c r="BB21" s="176">
        <v>2011</v>
      </c>
      <c r="BC21" s="176">
        <v>1850</v>
      </c>
      <c r="BD21" s="176">
        <v>1545</v>
      </c>
      <c r="BE21" s="175">
        <f t="shared" si="9"/>
        <v>1545</v>
      </c>
      <c r="BF21" s="176">
        <v>1820</v>
      </c>
      <c r="BG21" s="176">
        <v>4573</v>
      </c>
      <c r="BH21" s="176">
        <v>4797</v>
      </c>
      <c r="BI21" s="176">
        <v>4741</v>
      </c>
      <c r="BJ21" s="175">
        <f t="shared" si="10"/>
        <v>4741</v>
      </c>
      <c r="BK21" s="176">
        <v>4883</v>
      </c>
      <c r="BL21" s="176">
        <v>5114</v>
      </c>
      <c r="BM21" s="206">
        <v>4819</v>
      </c>
      <c r="BN21" s="206">
        <v>4469</v>
      </c>
      <c r="BO21" s="175">
        <f t="shared" si="11"/>
        <v>4469</v>
      </c>
      <c r="BP21" s="176">
        <f t="shared" ref="BP21:CD21" si="16">BO21</f>
        <v>4469</v>
      </c>
      <c r="BQ21" s="176">
        <f t="shared" si="16"/>
        <v>4469</v>
      </c>
      <c r="BR21" s="176">
        <f t="shared" si="16"/>
        <v>4469</v>
      </c>
      <c r="BS21" s="176">
        <f t="shared" si="16"/>
        <v>4469</v>
      </c>
      <c r="BT21" s="210">
        <f t="shared" si="16"/>
        <v>4469</v>
      </c>
      <c r="BU21" s="176">
        <f t="shared" si="16"/>
        <v>4469</v>
      </c>
      <c r="BV21" s="176">
        <f t="shared" si="16"/>
        <v>4469</v>
      </c>
      <c r="BW21" s="176">
        <f t="shared" si="16"/>
        <v>4469</v>
      </c>
      <c r="BX21" s="176">
        <f t="shared" si="16"/>
        <v>4469</v>
      </c>
      <c r="BY21" s="210">
        <f t="shared" si="16"/>
        <v>4469</v>
      </c>
      <c r="BZ21" s="176">
        <f t="shared" si="16"/>
        <v>4469</v>
      </c>
      <c r="CA21" s="176">
        <f t="shared" si="16"/>
        <v>4469</v>
      </c>
      <c r="CB21" s="176">
        <f t="shared" si="16"/>
        <v>4469</v>
      </c>
      <c r="CC21" s="176">
        <f t="shared" si="16"/>
        <v>4469</v>
      </c>
      <c r="CD21" s="210">
        <f t="shared" si="16"/>
        <v>4469</v>
      </c>
      <c r="CE21" s="5"/>
      <c r="CF21" s="314" t="s">
        <v>2883</v>
      </c>
      <c r="CG21" s="175"/>
      <c r="CH21" s="11"/>
      <c r="CI21" s="11"/>
      <c r="CJ21" s="175"/>
      <c r="CK21" s="175"/>
      <c r="CL21" s="175"/>
    </row>
    <row r="22" spans="1:90">
      <c r="A22" s="202"/>
      <c r="B22" s="202" t="s">
        <v>638</v>
      </c>
      <c r="C22" s="205">
        <v>0</v>
      </c>
      <c r="D22" s="205">
        <v>388</v>
      </c>
      <c r="E22" s="205">
        <v>1680</v>
      </c>
      <c r="F22" s="205">
        <v>2105</v>
      </c>
      <c r="G22" s="205">
        <v>3282</v>
      </c>
      <c r="H22" s="206">
        <v>3469</v>
      </c>
      <c r="I22" s="206">
        <v>3757</v>
      </c>
      <c r="J22" s="206">
        <v>4069</v>
      </c>
      <c r="K22" s="206">
        <v>6753</v>
      </c>
      <c r="L22" s="205">
        <f t="shared" si="1"/>
        <v>6753</v>
      </c>
      <c r="M22" s="176">
        <v>6950</v>
      </c>
      <c r="N22" s="176">
        <v>7298</v>
      </c>
      <c r="O22" s="176">
        <v>7596</v>
      </c>
      <c r="P22" s="176">
        <v>8914</v>
      </c>
      <c r="Q22" s="175">
        <f t="shared" si="2"/>
        <v>8914</v>
      </c>
      <c r="R22" s="176">
        <v>8951</v>
      </c>
      <c r="S22" s="176">
        <v>9086</v>
      </c>
      <c r="T22" s="176">
        <v>8494</v>
      </c>
      <c r="U22" s="176">
        <v>1738</v>
      </c>
      <c r="V22" s="175">
        <f t="shared" si="3"/>
        <v>1738</v>
      </c>
      <c r="W22" s="176">
        <v>1704</v>
      </c>
      <c r="X22" s="176">
        <v>1990</v>
      </c>
      <c r="Y22" s="176">
        <v>1931</v>
      </c>
      <c r="Z22" s="176">
        <v>1390</v>
      </c>
      <c r="AA22" s="175">
        <f t="shared" si="4"/>
        <v>1390</v>
      </c>
      <c r="AB22" s="176">
        <v>1494</v>
      </c>
      <c r="AC22" s="176">
        <v>1677</v>
      </c>
      <c r="AD22" s="176">
        <v>1794</v>
      </c>
      <c r="AE22" s="176">
        <v>2176</v>
      </c>
      <c r="AF22" s="175">
        <f t="shared" si="5"/>
        <v>2176</v>
      </c>
      <c r="AG22" s="176">
        <v>2430</v>
      </c>
      <c r="AH22" s="176">
        <v>2573</v>
      </c>
      <c r="AI22" s="176">
        <v>2682</v>
      </c>
      <c r="AJ22" s="176">
        <v>17</v>
      </c>
      <c r="AK22" s="175">
        <f t="shared" si="0"/>
        <v>17</v>
      </c>
      <c r="AL22" s="176">
        <v>19</v>
      </c>
      <c r="AM22" s="176">
        <v>22</v>
      </c>
      <c r="AN22" s="176">
        <v>25</v>
      </c>
      <c r="AO22" s="176">
        <v>12</v>
      </c>
      <c r="AP22" s="175">
        <f t="shared" si="6"/>
        <v>12</v>
      </c>
      <c r="AQ22" s="176">
        <v>13</v>
      </c>
      <c r="AR22" s="176">
        <v>11</v>
      </c>
      <c r="AS22" s="176">
        <v>13</v>
      </c>
      <c r="AT22" s="176">
        <v>1376</v>
      </c>
      <c r="AU22" s="175">
        <f t="shared" si="7"/>
        <v>1376</v>
      </c>
      <c r="AV22" s="176">
        <v>706</v>
      </c>
      <c r="AW22" s="176">
        <v>978</v>
      </c>
      <c r="AX22" s="176">
        <v>77</v>
      </c>
      <c r="AY22" s="176">
        <v>31</v>
      </c>
      <c r="AZ22" s="175">
        <f t="shared" si="8"/>
        <v>31</v>
      </c>
      <c r="BA22" s="176">
        <v>31</v>
      </c>
      <c r="BB22" s="176">
        <v>1223</v>
      </c>
      <c r="BC22" s="176">
        <v>571</v>
      </c>
      <c r="BD22" s="176">
        <v>2647</v>
      </c>
      <c r="BE22" s="175">
        <f t="shared" si="9"/>
        <v>2647</v>
      </c>
      <c r="BF22" s="176">
        <v>1850</v>
      </c>
      <c r="BG22" s="176">
        <v>774</v>
      </c>
      <c r="BH22" s="176">
        <v>96</v>
      </c>
      <c r="BI22" s="176">
        <v>584</v>
      </c>
      <c r="BJ22" s="175">
        <f t="shared" si="10"/>
        <v>584</v>
      </c>
      <c r="BK22" s="176">
        <v>1162</v>
      </c>
      <c r="BL22" s="176">
        <v>1281</v>
      </c>
      <c r="BM22" s="206">
        <v>2297</v>
      </c>
      <c r="BN22" s="206">
        <v>4169</v>
      </c>
      <c r="BO22" s="175">
        <f t="shared" si="11"/>
        <v>4169</v>
      </c>
      <c r="BP22" s="176">
        <f t="shared" si="15"/>
        <v>4169</v>
      </c>
      <c r="BQ22" s="176">
        <f t="shared" si="15"/>
        <v>4169</v>
      </c>
      <c r="BR22" s="176">
        <f t="shared" si="15"/>
        <v>4169</v>
      </c>
      <c r="BS22" s="176">
        <f t="shared" si="15"/>
        <v>4169</v>
      </c>
      <c r="BT22" s="175">
        <f t="shared" si="15"/>
        <v>4169</v>
      </c>
      <c r="BU22" s="176">
        <f t="shared" si="15"/>
        <v>4169</v>
      </c>
      <c r="BV22" s="176">
        <f t="shared" si="15"/>
        <v>4169</v>
      </c>
      <c r="BW22" s="176">
        <f t="shared" si="15"/>
        <v>4169</v>
      </c>
      <c r="BX22" s="176">
        <f t="shared" si="15"/>
        <v>4169</v>
      </c>
      <c r="BY22" s="175">
        <f t="shared" si="15"/>
        <v>4169</v>
      </c>
      <c r="BZ22" s="176">
        <f t="shared" si="15"/>
        <v>4169</v>
      </c>
      <c r="CA22" s="176">
        <f t="shared" si="15"/>
        <v>4169</v>
      </c>
      <c r="CB22" s="176">
        <f t="shared" si="15"/>
        <v>4169</v>
      </c>
      <c r="CC22" s="176">
        <f t="shared" si="15"/>
        <v>4169</v>
      </c>
      <c r="CD22" s="175">
        <f t="shared" si="15"/>
        <v>4169</v>
      </c>
      <c r="CE22" s="5"/>
      <c r="CF22" s="314" t="s">
        <v>2883</v>
      </c>
      <c r="CG22" s="175"/>
      <c r="CH22" s="11"/>
      <c r="CI22" s="11"/>
      <c r="CJ22" s="175"/>
      <c r="CK22" s="175"/>
      <c r="CL22" s="175"/>
    </row>
    <row r="23" spans="1:90">
      <c r="A23" s="202"/>
      <c r="B23" s="75"/>
      <c r="C23" s="264">
        <f>SUM(C11:C22)</f>
        <v>110277</v>
      </c>
      <c r="D23" s="264">
        <f>SUM(D11:D22)</f>
        <v>116634</v>
      </c>
      <c r="E23" s="264">
        <f>SUM(E11:E22)</f>
        <v>127417</v>
      </c>
      <c r="F23" s="264">
        <f t="shared" ref="F23:L23" si="17">SUM(F11:F22)</f>
        <v>133187</v>
      </c>
      <c r="G23" s="264">
        <f t="shared" si="17"/>
        <v>131624</v>
      </c>
      <c r="H23" s="265">
        <f t="shared" si="17"/>
        <v>131769</v>
      </c>
      <c r="I23" s="265">
        <f t="shared" si="17"/>
        <v>134297</v>
      </c>
      <c r="J23" s="265">
        <f t="shared" si="17"/>
        <v>136338</v>
      </c>
      <c r="K23" s="265">
        <f t="shared" si="17"/>
        <v>142262</v>
      </c>
      <c r="L23" s="264">
        <f t="shared" si="17"/>
        <v>142262</v>
      </c>
      <c r="M23" s="266">
        <v>143944</v>
      </c>
      <c r="N23" s="266">
        <v>147690</v>
      </c>
      <c r="O23" s="266">
        <v>150764</v>
      </c>
      <c r="P23" s="266">
        <v>155874</v>
      </c>
      <c r="Q23" s="76">
        <f>SUM(Q11:Q22)</f>
        <v>155874</v>
      </c>
      <c r="R23" s="266">
        <v>164152</v>
      </c>
      <c r="S23" s="266">
        <v>175960</v>
      </c>
      <c r="T23" s="266">
        <v>170850</v>
      </c>
      <c r="U23" s="266">
        <v>161854</v>
      </c>
      <c r="V23" s="76">
        <f>SUM(V11:V22)</f>
        <v>161854</v>
      </c>
      <c r="W23" s="266">
        <v>162146</v>
      </c>
      <c r="X23" s="266">
        <v>166285</v>
      </c>
      <c r="Y23" s="266">
        <v>168466</v>
      </c>
      <c r="Z23" s="266">
        <v>168315</v>
      </c>
      <c r="AA23" s="76">
        <f>SUM(AA11:AA22)</f>
        <v>168315</v>
      </c>
      <c r="AB23" s="266">
        <v>170940</v>
      </c>
      <c r="AC23" s="266">
        <v>171366</v>
      </c>
      <c r="AD23" s="266">
        <v>172853</v>
      </c>
      <c r="AE23" s="266">
        <f>SUM(AE11:AE22)</f>
        <v>178050</v>
      </c>
      <c r="AF23" s="76">
        <f>SUM(AF11:AF22)</f>
        <v>178050</v>
      </c>
      <c r="AG23" s="266">
        <f>SUM(AG11:AG22)</f>
        <v>182029</v>
      </c>
      <c r="AH23" s="266">
        <f>SUM(AH11:AH22)</f>
        <v>184833</v>
      </c>
      <c r="AI23" s="266">
        <f>SUM(AI11:AI22)</f>
        <v>193349</v>
      </c>
      <c r="AJ23" s="266">
        <f t="shared" ref="AJ23:BG23" si="18">SUM(AJ11:AJ22)</f>
        <v>195243</v>
      </c>
      <c r="AK23" s="76">
        <f t="shared" si="18"/>
        <v>195243</v>
      </c>
      <c r="AL23" s="266">
        <f t="shared" si="18"/>
        <v>201610</v>
      </c>
      <c r="AM23" s="266">
        <f t="shared" si="18"/>
        <v>197911</v>
      </c>
      <c r="AN23" s="266">
        <f t="shared" si="18"/>
        <v>202472</v>
      </c>
      <c r="AO23" s="266">
        <f t="shared" si="18"/>
        <v>189730</v>
      </c>
      <c r="AP23" s="76">
        <f t="shared" si="18"/>
        <v>189730</v>
      </c>
      <c r="AQ23" s="266">
        <f t="shared" si="18"/>
        <v>202307</v>
      </c>
      <c r="AR23" s="266">
        <f t="shared" si="18"/>
        <v>202456</v>
      </c>
      <c r="AS23" s="266">
        <f t="shared" si="18"/>
        <v>205705</v>
      </c>
      <c r="AT23" s="266">
        <f t="shared" si="18"/>
        <v>208850</v>
      </c>
      <c r="AU23" s="76">
        <f t="shared" si="7"/>
        <v>208850</v>
      </c>
      <c r="AV23" s="266">
        <f t="shared" si="18"/>
        <v>206686</v>
      </c>
      <c r="AW23" s="266">
        <f t="shared" si="18"/>
        <v>211136</v>
      </c>
      <c r="AX23" s="266">
        <f t="shared" si="18"/>
        <v>207175</v>
      </c>
      <c r="AY23" s="266">
        <f t="shared" si="18"/>
        <v>197043</v>
      </c>
      <c r="AZ23" s="76">
        <f t="shared" si="8"/>
        <v>197043</v>
      </c>
      <c r="BA23" s="266">
        <f t="shared" si="18"/>
        <v>194981</v>
      </c>
      <c r="BB23" s="266">
        <f t="shared" si="18"/>
        <v>194484</v>
      </c>
      <c r="BC23" s="266">
        <f t="shared" si="18"/>
        <v>191757</v>
      </c>
      <c r="BD23" s="266">
        <f t="shared" si="18"/>
        <v>191230</v>
      </c>
      <c r="BE23" s="76">
        <f t="shared" si="9"/>
        <v>191230</v>
      </c>
      <c r="BF23" s="266">
        <f t="shared" si="18"/>
        <v>192077</v>
      </c>
      <c r="BG23" s="266">
        <f t="shared" si="18"/>
        <v>190571</v>
      </c>
      <c r="BH23" s="266">
        <f t="shared" ref="BH23:CD23" si="19">SUM(BH11:BH22)</f>
        <v>193209</v>
      </c>
      <c r="BI23" s="266">
        <f t="shared" si="19"/>
        <v>195503</v>
      </c>
      <c r="BJ23" s="76">
        <f t="shared" si="10"/>
        <v>195503</v>
      </c>
      <c r="BK23" s="266">
        <f t="shared" si="19"/>
        <v>197953</v>
      </c>
      <c r="BL23" s="266">
        <f t="shared" si="19"/>
        <v>198397</v>
      </c>
      <c r="BM23" s="265">
        <f t="shared" si="19"/>
        <v>199120</v>
      </c>
      <c r="BN23" s="265">
        <f t="shared" si="19"/>
        <v>201547</v>
      </c>
      <c r="BO23" s="76">
        <f t="shared" si="11"/>
        <v>201547</v>
      </c>
      <c r="BP23" s="266">
        <f t="shared" ca="1" si="19"/>
        <v>201026.2653812081</v>
      </c>
      <c r="BQ23" s="266">
        <f t="shared" ca="1" si="19"/>
        <v>200790.27679439934</v>
      </c>
      <c r="BR23" s="266">
        <f t="shared" ca="1" si="19"/>
        <v>200334.73292010077</v>
      </c>
      <c r="BS23" s="266">
        <f t="shared" ca="1" si="19"/>
        <v>200090.3815648148</v>
      </c>
      <c r="BT23" s="76">
        <f t="shared" ca="1" si="19"/>
        <v>200090.3815648148</v>
      </c>
      <c r="BU23" s="266">
        <f t="shared" ca="1" si="19"/>
        <v>199377.35325931583</v>
      </c>
      <c r="BV23" s="266">
        <f t="shared" ca="1" si="19"/>
        <v>198671.77200725413</v>
      </c>
      <c r="BW23" s="266">
        <f t="shared" ca="1" si="19"/>
        <v>197582.26093082165</v>
      </c>
      <c r="BX23" s="266">
        <f t="shared" ca="1" si="19"/>
        <v>196868.25187775807</v>
      </c>
      <c r="BY23" s="76">
        <f t="shared" ca="1" si="19"/>
        <v>196868.25187775807</v>
      </c>
      <c r="BZ23" s="266">
        <f t="shared" ca="1" si="19"/>
        <v>196377.35773850005</v>
      </c>
      <c r="CA23" s="266">
        <f t="shared" ca="1" si="19"/>
        <v>195880.13594952217</v>
      </c>
      <c r="CB23" s="266">
        <f t="shared" ca="1" si="19"/>
        <v>194910.2266415543</v>
      </c>
      <c r="CC23" s="266">
        <f t="shared" ca="1" si="19"/>
        <v>194401.63444289082</v>
      </c>
      <c r="CD23" s="76">
        <f t="shared" ca="1" si="19"/>
        <v>194401.63444289082</v>
      </c>
      <c r="CE23" s="5"/>
      <c r="CF23" s="315"/>
      <c r="CG23" s="76"/>
      <c r="CH23" s="11"/>
      <c r="CI23" s="11"/>
      <c r="CJ23" s="76"/>
      <c r="CK23" s="76"/>
      <c r="CL23" s="76"/>
    </row>
    <row r="24" spans="1:90">
      <c r="A24" s="202"/>
      <c r="B24" s="75"/>
      <c r="C24" s="264"/>
      <c r="D24" s="264"/>
      <c r="E24" s="264"/>
      <c r="F24" s="264"/>
      <c r="G24" s="264"/>
      <c r="H24" s="265"/>
      <c r="I24" s="265"/>
      <c r="J24" s="265"/>
      <c r="K24" s="265"/>
      <c r="L24" s="264"/>
      <c r="M24" s="266"/>
      <c r="N24" s="266"/>
      <c r="O24" s="266"/>
      <c r="P24" s="266"/>
      <c r="Q24" s="76"/>
      <c r="R24" s="266"/>
      <c r="S24" s="266"/>
      <c r="T24" s="266"/>
      <c r="U24" s="266"/>
      <c r="V24" s="76"/>
      <c r="W24" s="266"/>
      <c r="X24" s="266"/>
      <c r="Y24" s="266"/>
      <c r="Z24" s="266"/>
      <c r="AA24" s="76"/>
      <c r="AB24" s="266"/>
      <c r="AC24" s="266"/>
      <c r="AD24" s="266"/>
      <c r="AE24" s="266"/>
      <c r="AF24" s="76"/>
      <c r="AG24" s="266"/>
      <c r="AH24" s="266"/>
      <c r="AI24" s="266"/>
      <c r="AJ24" s="266"/>
      <c r="AK24" s="76"/>
      <c r="AL24" s="266"/>
      <c r="AM24" s="266"/>
      <c r="AN24" s="266"/>
      <c r="AO24" s="266"/>
      <c r="AP24" s="76"/>
      <c r="AQ24" s="266"/>
      <c r="AR24" s="266"/>
      <c r="AS24" s="266"/>
      <c r="AT24" s="266"/>
      <c r="AU24" s="76"/>
      <c r="AV24" s="266"/>
      <c r="AW24" s="266"/>
      <c r="AX24" s="266"/>
      <c r="AY24" s="266"/>
      <c r="AZ24" s="76"/>
      <c r="BA24" s="266"/>
      <c r="BB24" s="266"/>
      <c r="BC24" s="266"/>
      <c r="BD24" s="266"/>
      <c r="BE24" s="76"/>
      <c r="BF24" s="266"/>
      <c r="BG24" s="266"/>
      <c r="BH24" s="266"/>
      <c r="BI24" s="266"/>
      <c r="BJ24" s="76"/>
      <c r="BK24" s="266"/>
      <c r="BL24" s="266"/>
      <c r="BM24" s="265"/>
      <c r="BN24" s="265"/>
      <c r="BO24" s="76"/>
      <c r="BP24" s="266"/>
      <c r="BQ24" s="266"/>
      <c r="BR24" s="266"/>
      <c r="BS24" s="266"/>
      <c r="BT24" s="76"/>
      <c r="BU24" s="266"/>
      <c r="BV24" s="266"/>
      <c r="BW24" s="266"/>
      <c r="BX24" s="266"/>
      <c r="BY24" s="76"/>
      <c r="BZ24" s="266"/>
      <c r="CA24" s="266"/>
      <c r="CB24" s="266"/>
      <c r="CC24" s="266"/>
      <c r="CD24" s="76"/>
      <c r="CE24" s="5"/>
      <c r="CF24" s="315"/>
      <c r="CG24" s="76"/>
      <c r="CH24" s="11"/>
      <c r="CI24" s="11"/>
      <c r="CJ24" s="76"/>
      <c r="CK24" s="76"/>
      <c r="CL24" s="76"/>
    </row>
    <row r="25" spans="1:90">
      <c r="A25" s="75" t="s">
        <v>2716</v>
      </c>
      <c r="B25" s="75"/>
      <c r="C25" s="264"/>
      <c r="D25" s="264"/>
      <c r="E25" s="264"/>
      <c r="F25" s="264"/>
      <c r="G25" s="264"/>
      <c r="H25" s="267"/>
      <c r="I25" s="267"/>
      <c r="J25" s="267"/>
      <c r="K25" s="267"/>
      <c r="L25" s="264"/>
      <c r="M25" s="266"/>
      <c r="N25" s="266"/>
      <c r="O25" s="266"/>
      <c r="P25" s="266"/>
      <c r="Q25" s="76"/>
      <c r="R25" s="266"/>
      <c r="S25" s="266"/>
      <c r="T25" s="266"/>
      <c r="U25" s="266"/>
      <c r="V25" s="76"/>
      <c r="W25" s="266"/>
      <c r="X25" s="266"/>
      <c r="Y25" s="266"/>
      <c r="Z25" s="266"/>
      <c r="AA25" s="76"/>
      <c r="AB25" s="266"/>
      <c r="AC25" s="266"/>
      <c r="AD25" s="266"/>
      <c r="AE25" s="266"/>
      <c r="AF25" s="76"/>
      <c r="AG25" s="266"/>
      <c r="AH25" s="266"/>
      <c r="AI25" s="266"/>
      <c r="AJ25" s="266"/>
      <c r="AK25" s="76"/>
      <c r="AL25" s="266"/>
      <c r="AM25" s="266"/>
      <c r="AN25" s="266"/>
      <c r="AO25" s="266"/>
      <c r="AP25" s="76"/>
      <c r="AQ25" s="266"/>
      <c r="AR25" s="266"/>
      <c r="AS25" s="266"/>
      <c r="AT25" s="266"/>
      <c r="AU25" s="76"/>
      <c r="AV25" s="266"/>
      <c r="AW25" s="266"/>
      <c r="AX25" s="266"/>
      <c r="AY25" s="266"/>
      <c r="AZ25" s="76"/>
      <c r="BA25" s="266"/>
      <c r="BB25" s="266"/>
      <c r="BC25" s="266"/>
      <c r="BD25" s="266"/>
      <c r="BE25" s="76"/>
      <c r="BF25" s="266"/>
      <c r="BG25" s="266"/>
      <c r="BH25" s="266"/>
      <c r="BI25" s="266"/>
      <c r="BJ25" s="76"/>
      <c r="BK25" s="266"/>
      <c r="BL25" s="266"/>
      <c r="BM25" s="265"/>
      <c r="BN25" s="265"/>
      <c r="BO25" s="76"/>
      <c r="BP25" s="266"/>
      <c r="BQ25" s="266"/>
      <c r="BR25" s="266"/>
      <c r="BS25" s="266"/>
      <c r="BT25" s="76"/>
      <c r="BU25" s="266"/>
      <c r="BV25" s="266"/>
      <c r="BW25" s="266"/>
      <c r="BX25" s="266"/>
      <c r="BY25" s="76"/>
      <c r="BZ25" s="266"/>
      <c r="CA25" s="266"/>
      <c r="CB25" s="266"/>
      <c r="CC25" s="266"/>
      <c r="CD25" s="76"/>
      <c r="CE25" s="5"/>
      <c r="CF25" s="315"/>
      <c r="CG25" s="76"/>
      <c r="CH25" s="11"/>
      <c r="CI25" s="11"/>
      <c r="CJ25" s="76"/>
      <c r="CK25" s="76"/>
      <c r="CL25" s="76"/>
    </row>
    <row r="26" spans="1:90">
      <c r="A26" s="202"/>
      <c r="B26" s="202" t="s">
        <v>633</v>
      </c>
      <c r="C26" s="205">
        <v>0</v>
      </c>
      <c r="D26" s="205">
        <v>0</v>
      </c>
      <c r="E26" s="205">
        <v>182</v>
      </c>
      <c r="F26" s="205">
        <v>193</v>
      </c>
      <c r="G26" s="205">
        <v>132</v>
      </c>
      <c r="H26" s="206">
        <v>125</v>
      </c>
      <c r="I26" s="206">
        <v>118</v>
      </c>
      <c r="J26" s="206">
        <v>129</v>
      </c>
      <c r="K26" s="206">
        <v>141</v>
      </c>
      <c r="L26" s="205">
        <f t="shared" ref="L26:L33" si="20">K26</f>
        <v>141</v>
      </c>
      <c r="M26" s="176">
        <v>175</v>
      </c>
      <c r="N26" s="176">
        <v>163</v>
      </c>
      <c r="O26" s="176">
        <v>166</v>
      </c>
      <c r="P26" s="176">
        <v>165</v>
      </c>
      <c r="Q26" s="175">
        <f t="shared" si="2"/>
        <v>165</v>
      </c>
      <c r="R26" s="176">
        <v>160</v>
      </c>
      <c r="S26" s="176">
        <v>173</v>
      </c>
      <c r="T26" s="176">
        <v>167</v>
      </c>
      <c r="U26" s="176">
        <v>168</v>
      </c>
      <c r="V26" s="175">
        <f t="shared" si="3"/>
        <v>168</v>
      </c>
      <c r="W26" s="176">
        <v>169</v>
      </c>
      <c r="X26" s="176">
        <v>185</v>
      </c>
      <c r="Y26" s="176">
        <v>208</v>
      </c>
      <c r="Z26" s="176">
        <v>249</v>
      </c>
      <c r="AA26" s="175">
        <f t="shared" si="4"/>
        <v>249</v>
      </c>
      <c r="AB26" s="176">
        <v>236</v>
      </c>
      <c r="AC26" s="176">
        <v>244</v>
      </c>
      <c r="AD26" s="176">
        <v>254</v>
      </c>
      <c r="AE26" s="176">
        <v>247</v>
      </c>
      <c r="AF26" s="175">
        <f t="shared" si="5"/>
        <v>247</v>
      </c>
      <c r="AG26" s="176">
        <v>254</v>
      </c>
      <c r="AH26" s="176">
        <v>256</v>
      </c>
      <c r="AI26" s="176">
        <v>242</v>
      </c>
      <c r="AJ26" s="176">
        <v>244</v>
      </c>
      <c r="AK26" s="175">
        <f t="shared" ref="AK26:AK33" si="21">AJ26</f>
        <v>244</v>
      </c>
      <c r="AL26" s="176">
        <v>255</v>
      </c>
      <c r="AM26" s="176">
        <v>242</v>
      </c>
      <c r="AN26" s="176">
        <v>235</v>
      </c>
      <c r="AO26" s="176">
        <v>247</v>
      </c>
      <c r="AP26" s="175">
        <f t="shared" ref="AP26:AP33" si="22">AO26</f>
        <v>247</v>
      </c>
      <c r="AQ26" s="176">
        <v>227</v>
      </c>
      <c r="AR26" s="176">
        <v>188</v>
      </c>
      <c r="AS26" s="176">
        <v>188</v>
      </c>
      <c r="AT26" s="176">
        <v>216</v>
      </c>
      <c r="AU26" s="175">
        <f>AT26</f>
        <v>216</v>
      </c>
      <c r="AV26" s="176">
        <v>410</v>
      </c>
      <c r="AW26" s="176">
        <v>334</v>
      </c>
      <c r="AX26" s="176">
        <v>421</v>
      </c>
      <c r="AY26" s="206">
        <v>333</v>
      </c>
      <c r="AZ26" s="175">
        <f t="shared" ref="AZ26:AZ33" si="23">AY26</f>
        <v>333</v>
      </c>
      <c r="BA26" s="206">
        <v>374</v>
      </c>
      <c r="BB26" s="206">
        <v>325</v>
      </c>
      <c r="BC26" s="206">
        <v>332</v>
      </c>
      <c r="BD26" s="206">
        <v>272</v>
      </c>
      <c r="BE26" s="175">
        <f t="shared" ref="BE26:BE33" si="24">BD26</f>
        <v>272</v>
      </c>
      <c r="BF26" s="206">
        <v>259</v>
      </c>
      <c r="BG26" s="206">
        <v>242</v>
      </c>
      <c r="BH26" s="206">
        <v>261</v>
      </c>
      <c r="BI26" s="206">
        <v>259</v>
      </c>
      <c r="BJ26" s="175">
        <f t="shared" ref="BJ26:BJ33" si="25">BI26</f>
        <v>259</v>
      </c>
      <c r="BK26" s="206">
        <v>259</v>
      </c>
      <c r="BL26" s="206">
        <v>268</v>
      </c>
      <c r="BM26" s="206">
        <v>267</v>
      </c>
      <c r="BN26" s="206">
        <v>190</v>
      </c>
      <c r="BO26" s="175">
        <f t="shared" ref="BO26:BO33" si="26">BN26</f>
        <v>190</v>
      </c>
      <c r="BP26" s="176">
        <f t="shared" ref="BP26:CD26" si="27">BO26</f>
        <v>190</v>
      </c>
      <c r="BQ26" s="176">
        <f t="shared" si="27"/>
        <v>190</v>
      </c>
      <c r="BR26" s="176">
        <f t="shared" si="27"/>
        <v>190</v>
      </c>
      <c r="BS26" s="176">
        <f t="shared" si="27"/>
        <v>190</v>
      </c>
      <c r="BT26" s="175">
        <f t="shared" si="27"/>
        <v>190</v>
      </c>
      <c r="BU26" s="176">
        <f t="shared" si="27"/>
        <v>190</v>
      </c>
      <c r="BV26" s="176">
        <f t="shared" si="27"/>
        <v>190</v>
      </c>
      <c r="BW26" s="176">
        <f t="shared" si="27"/>
        <v>190</v>
      </c>
      <c r="BX26" s="176">
        <f t="shared" si="27"/>
        <v>190</v>
      </c>
      <c r="BY26" s="175">
        <f t="shared" si="27"/>
        <v>190</v>
      </c>
      <c r="BZ26" s="176">
        <f t="shared" si="27"/>
        <v>190</v>
      </c>
      <c r="CA26" s="176">
        <f t="shared" si="27"/>
        <v>190</v>
      </c>
      <c r="CB26" s="176">
        <f t="shared" si="27"/>
        <v>190</v>
      </c>
      <c r="CC26" s="176">
        <f t="shared" si="27"/>
        <v>190</v>
      </c>
      <c r="CD26" s="175">
        <f t="shared" si="27"/>
        <v>190</v>
      </c>
      <c r="CE26" s="5"/>
      <c r="CF26" s="314" t="s">
        <v>2883</v>
      </c>
      <c r="CG26" s="175"/>
      <c r="CH26" s="11"/>
      <c r="CI26" s="11"/>
      <c r="CJ26" s="175"/>
      <c r="CK26" s="175"/>
      <c r="CL26" s="175"/>
    </row>
    <row r="27" spans="1:90">
      <c r="A27" s="202"/>
      <c r="B27" s="202" t="s">
        <v>3397</v>
      </c>
      <c r="C27" s="205">
        <v>7631</v>
      </c>
      <c r="D27" s="205">
        <v>10181</v>
      </c>
      <c r="E27" s="205">
        <v>11597</v>
      </c>
      <c r="F27" s="205">
        <v>15645</v>
      </c>
      <c r="G27" s="205">
        <v>19760</v>
      </c>
      <c r="H27" s="206">
        <v>18823</v>
      </c>
      <c r="I27" s="206">
        <v>20727</v>
      </c>
      <c r="J27" s="206">
        <v>19362</v>
      </c>
      <c r="K27" s="206">
        <v>18915</v>
      </c>
      <c r="L27" s="205">
        <f t="shared" si="20"/>
        <v>18915</v>
      </c>
      <c r="M27" s="176">
        <v>19812</v>
      </c>
      <c r="N27" s="176">
        <v>20645</v>
      </c>
      <c r="O27" s="176">
        <v>21784</v>
      </c>
      <c r="P27" s="176">
        <v>26554</v>
      </c>
      <c r="Q27" s="175">
        <f t="shared" si="2"/>
        <v>26554</v>
      </c>
      <c r="R27" s="176">
        <v>25999</v>
      </c>
      <c r="S27" s="176">
        <v>34411</v>
      </c>
      <c r="T27" s="176">
        <v>27277</v>
      </c>
      <c r="U27" s="176">
        <v>16821</v>
      </c>
      <c r="V27" s="175">
        <f t="shared" si="3"/>
        <v>16821</v>
      </c>
      <c r="W27" s="176">
        <v>15292</v>
      </c>
      <c r="X27" s="176">
        <v>18650</v>
      </c>
      <c r="Y27" s="176">
        <v>18988</v>
      </c>
      <c r="Z27" s="176">
        <v>22605</v>
      </c>
      <c r="AA27" s="175">
        <f t="shared" si="4"/>
        <v>22605</v>
      </c>
      <c r="AB27" s="176">
        <v>23221</v>
      </c>
      <c r="AC27" s="176">
        <v>22106</v>
      </c>
      <c r="AD27" s="176">
        <v>21957</v>
      </c>
      <c r="AE27" s="176">
        <v>26218</v>
      </c>
      <c r="AF27" s="175">
        <f t="shared" si="5"/>
        <v>26218</v>
      </c>
      <c r="AG27" s="176">
        <v>28657</v>
      </c>
      <c r="AH27" s="176">
        <v>27477</v>
      </c>
      <c r="AI27" s="176">
        <v>26601</v>
      </c>
      <c r="AJ27" s="176">
        <v>25661</v>
      </c>
      <c r="AK27" s="175">
        <f t="shared" si="21"/>
        <v>25661</v>
      </c>
      <c r="AL27" s="176">
        <v>30154</v>
      </c>
      <c r="AM27" s="176">
        <v>26434</v>
      </c>
      <c r="AN27" s="176">
        <v>28300</v>
      </c>
      <c r="AO27" s="176">
        <v>27867</v>
      </c>
      <c r="AP27" s="175">
        <f t="shared" si="22"/>
        <v>27867</v>
      </c>
      <c r="AQ27" s="176">
        <v>28628</v>
      </c>
      <c r="AR27" s="176">
        <v>28314</v>
      </c>
      <c r="AS27" s="176">
        <v>29389</v>
      </c>
      <c r="AT27" s="176">
        <v>29231</v>
      </c>
      <c r="AU27" s="175">
        <f t="shared" ref="AU27:AU33" si="28">AT27</f>
        <v>29231</v>
      </c>
      <c r="AV27" s="176">
        <v>28843</v>
      </c>
      <c r="AW27" s="176">
        <v>29442</v>
      </c>
      <c r="AX27" s="176">
        <v>26581</v>
      </c>
      <c r="AY27" s="206">
        <v>18373</v>
      </c>
      <c r="AZ27" s="175">
        <f t="shared" si="23"/>
        <v>18373</v>
      </c>
      <c r="BA27" s="206">
        <v>18925</v>
      </c>
      <c r="BB27" s="206">
        <v>20034</v>
      </c>
      <c r="BC27" s="206">
        <v>16933</v>
      </c>
      <c r="BD27" s="206">
        <v>14142</v>
      </c>
      <c r="BE27" s="175">
        <f t="shared" si="24"/>
        <v>14142</v>
      </c>
      <c r="BF27" s="206">
        <v>14277</v>
      </c>
      <c r="BG27" s="206">
        <v>16398</v>
      </c>
      <c r="BH27" s="206">
        <v>15897</v>
      </c>
      <c r="BI27" s="206">
        <v>17655</v>
      </c>
      <c r="BJ27" s="175">
        <f t="shared" si="25"/>
        <v>17655</v>
      </c>
      <c r="BK27" s="206">
        <v>17236</v>
      </c>
      <c r="BL27" s="206">
        <v>16449</v>
      </c>
      <c r="BM27" s="206">
        <v>18078</v>
      </c>
      <c r="BN27" s="206">
        <v>19011</v>
      </c>
      <c r="BO27" s="175">
        <f t="shared" si="26"/>
        <v>19011</v>
      </c>
      <c r="BP27" s="176">
        <f>$CL$168+'Key assumptions'!BP$12*'Balance sheet'!$CL$167</f>
        <v>20109.020671640501</v>
      </c>
      <c r="BQ27" s="176">
        <f>$CL$168+'Key assumptions'!BQ$12*'Balance sheet'!$CL$167</f>
        <v>20223.675021176859</v>
      </c>
      <c r="BR27" s="176">
        <f>$CL$168+'Key assumptions'!BR$12*'Balance sheet'!$CL$167</f>
        <v>19990.667794699744</v>
      </c>
      <c r="BS27" s="176">
        <f>$CL$168+'Key assumptions'!BS$12*'Balance sheet'!$CL$167</f>
        <v>19796.495105968817</v>
      </c>
      <c r="BT27" s="175">
        <f>BS27</f>
        <v>19796.495105968817</v>
      </c>
      <c r="BU27" s="176">
        <f>$CL$168+'Key assumptions'!BU$12*'Balance sheet'!$CL$167</f>
        <v>19373.013718165177</v>
      </c>
      <c r="BV27" s="176">
        <f>$CL$168+'Key assumptions'!BV$12*'Balance sheet'!$CL$167</f>
        <v>19373.013718165177</v>
      </c>
      <c r="BW27" s="176">
        <f>$CL$168+'Key assumptions'!BW$12*'Balance sheet'!$CL$167</f>
        <v>19373.013718165177</v>
      </c>
      <c r="BX27" s="176">
        <f>$CL$168+'Key assumptions'!BX$12*'Balance sheet'!$CL$167</f>
        <v>19373.013718165177</v>
      </c>
      <c r="BY27" s="175">
        <f>BX27</f>
        <v>19373.013718165177</v>
      </c>
      <c r="BZ27" s="176">
        <f>$CL$168+'Key assumptions'!BZ$12*'Balance sheet'!$CL$167</f>
        <v>19445.098369783329</v>
      </c>
      <c r="CA27" s="176">
        <f>$CL$168+'Key assumptions'!CA$12*'Balance sheet'!$CL$167</f>
        <v>19517.629387320601</v>
      </c>
      <c r="CB27" s="176">
        <f>$CL$168+'Key assumptions'!CB$12*'Balance sheet'!$CL$167</f>
        <v>19590.609534784708</v>
      </c>
      <c r="CC27" s="176">
        <f>$CL$168+'Key assumptions'!CC$12*'Balance sheet'!$CL$167</f>
        <v>19664.041593298796</v>
      </c>
      <c r="CD27" s="175">
        <f>CC27</f>
        <v>19664.041593298796</v>
      </c>
      <c r="CE27" s="5"/>
      <c r="CF27" s="314" t="s">
        <v>2883</v>
      </c>
      <c r="CG27" s="175"/>
      <c r="CH27" s="11"/>
      <c r="CI27" s="11"/>
      <c r="CJ27" s="175"/>
      <c r="CK27" s="175"/>
      <c r="CL27" s="175"/>
    </row>
    <row r="28" spans="1:90">
      <c r="A28" s="202"/>
      <c r="B28" s="202" t="s">
        <v>1412</v>
      </c>
      <c r="C28" s="205">
        <v>21653</v>
      </c>
      <c r="D28" s="205">
        <v>26811</v>
      </c>
      <c r="E28" s="205">
        <v>27881</v>
      </c>
      <c r="F28" s="205">
        <v>37099</v>
      </c>
      <c r="G28" s="205">
        <v>40902</v>
      </c>
      <c r="H28" s="206">
        <v>39757</v>
      </c>
      <c r="I28" s="206">
        <v>38639</v>
      </c>
      <c r="J28" s="206">
        <v>38570</v>
      </c>
      <c r="K28" s="206">
        <v>38692</v>
      </c>
      <c r="L28" s="205">
        <f t="shared" si="20"/>
        <v>38692</v>
      </c>
      <c r="M28" s="176">
        <v>38819</v>
      </c>
      <c r="N28" s="176">
        <v>39847</v>
      </c>
      <c r="O28" s="176">
        <v>39418</v>
      </c>
      <c r="P28" s="176">
        <v>38020</v>
      </c>
      <c r="Q28" s="175">
        <f t="shared" si="2"/>
        <v>38020</v>
      </c>
      <c r="R28" s="176">
        <v>43698</v>
      </c>
      <c r="S28" s="176">
        <v>48482</v>
      </c>
      <c r="T28" s="176">
        <v>39201</v>
      </c>
      <c r="U28" s="176">
        <v>29261</v>
      </c>
      <c r="V28" s="175">
        <f t="shared" si="3"/>
        <v>29261</v>
      </c>
      <c r="W28" s="176">
        <v>26234</v>
      </c>
      <c r="X28" s="176">
        <v>29246</v>
      </c>
      <c r="Y28" s="176">
        <v>28777</v>
      </c>
      <c r="Z28" s="176">
        <v>29531</v>
      </c>
      <c r="AA28" s="175">
        <f t="shared" si="4"/>
        <v>29531</v>
      </c>
      <c r="AB28" s="176">
        <v>31159</v>
      </c>
      <c r="AC28" s="176">
        <v>35708</v>
      </c>
      <c r="AD28" s="176">
        <v>33990</v>
      </c>
      <c r="AE28" s="176">
        <v>36549</v>
      </c>
      <c r="AF28" s="175">
        <f t="shared" si="5"/>
        <v>36549</v>
      </c>
      <c r="AG28" s="176">
        <v>42751</v>
      </c>
      <c r="AH28" s="176">
        <v>42922</v>
      </c>
      <c r="AI28" s="176">
        <v>40896</v>
      </c>
      <c r="AJ28" s="176">
        <v>41626</v>
      </c>
      <c r="AK28" s="175">
        <f t="shared" si="21"/>
        <v>41626</v>
      </c>
      <c r="AL28" s="176">
        <v>41392</v>
      </c>
      <c r="AM28" s="176">
        <v>38380</v>
      </c>
      <c r="AN28" s="176">
        <v>41288</v>
      </c>
      <c r="AO28" s="176">
        <v>37940</v>
      </c>
      <c r="AP28" s="175">
        <f t="shared" si="22"/>
        <v>37940</v>
      </c>
      <c r="AQ28" s="176">
        <v>41649</v>
      </c>
      <c r="AR28" s="176">
        <v>42381</v>
      </c>
      <c r="AS28" s="176">
        <v>40853</v>
      </c>
      <c r="AT28" s="176">
        <v>39831</v>
      </c>
      <c r="AU28" s="175">
        <f t="shared" si="28"/>
        <v>39831</v>
      </c>
      <c r="AV28" s="176">
        <v>40092</v>
      </c>
      <c r="AW28" s="176">
        <v>40056</v>
      </c>
      <c r="AX28" s="176">
        <v>38011</v>
      </c>
      <c r="AY28" s="206">
        <v>31038</v>
      </c>
      <c r="AZ28" s="175">
        <f t="shared" si="23"/>
        <v>31038</v>
      </c>
      <c r="BA28" s="206">
        <v>28756</v>
      </c>
      <c r="BB28" s="206">
        <v>31476</v>
      </c>
      <c r="BC28" s="206">
        <v>25862</v>
      </c>
      <c r="BD28" s="206">
        <v>22323</v>
      </c>
      <c r="BE28" s="175">
        <f t="shared" si="24"/>
        <v>22323</v>
      </c>
      <c r="BF28" s="206">
        <v>22251</v>
      </c>
      <c r="BG28" s="206">
        <v>22672</v>
      </c>
      <c r="BH28" s="206">
        <v>21230</v>
      </c>
      <c r="BI28" s="206">
        <v>20675</v>
      </c>
      <c r="BJ28" s="175">
        <f t="shared" si="25"/>
        <v>20675</v>
      </c>
      <c r="BK28" s="206">
        <v>21004</v>
      </c>
      <c r="BL28" s="206">
        <v>20350</v>
      </c>
      <c r="BM28" s="206">
        <v>21833</v>
      </c>
      <c r="BN28" s="206">
        <v>24849</v>
      </c>
      <c r="BO28" s="175">
        <f t="shared" si="26"/>
        <v>24849</v>
      </c>
      <c r="BP28" s="176">
        <f ca="1">SUM(BP144,BP168)</f>
        <v>23686.314755800595</v>
      </c>
      <c r="BQ28" s="176">
        <f ca="1">SUM(BQ144,BQ168)</f>
        <v>23816.59282429111</v>
      </c>
      <c r="BR28" s="176">
        <f ca="1">SUM(BR144,BR168)</f>
        <v>23551.834168971669</v>
      </c>
      <c r="BS28" s="176">
        <f ca="1">SUM(BS144,BS168)</f>
        <v>23331.201956205467</v>
      </c>
      <c r="BT28" s="175">
        <f ca="1">BS28</f>
        <v>23331.201956205467</v>
      </c>
      <c r="BU28" s="176">
        <f ca="1">SUM(BU144,BU168)</f>
        <v>22850.013606458229</v>
      </c>
      <c r="BV28" s="176">
        <f ca="1">SUM(BV144,BV168)</f>
        <v>22850.013606458229</v>
      </c>
      <c r="BW28" s="176">
        <f ca="1">SUM(BW144,BW168)</f>
        <v>22850.013606458229</v>
      </c>
      <c r="BX28" s="176">
        <f ca="1">SUM(BX144,BX168)</f>
        <v>22850.013606458229</v>
      </c>
      <c r="BY28" s="175">
        <f ca="1">BX28</f>
        <v>22850.013606458229</v>
      </c>
      <c r="BZ28" s="176">
        <f ca="1">SUM(BZ144,BZ168)</f>
        <v>22931.921089415489</v>
      </c>
      <c r="CA28" s="176">
        <f ca="1">SUM(CA144,CA168)</f>
        <v>23014.335763683135</v>
      </c>
      <c r="CB28" s="176">
        <f ca="1">SUM(CB144,CB168)</f>
        <v>23097.26076991469</v>
      </c>
      <c r="CC28" s="176">
        <f ca="1">SUM(CC144,CC168)</f>
        <v>23180.699268211385</v>
      </c>
      <c r="CD28" s="175">
        <f ca="1">CC28</f>
        <v>23180.699268211385</v>
      </c>
      <c r="CE28" s="5"/>
      <c r="CF28" s="72"/>
      <c r="CG28" s="175"/>
      <c r="CH28" s="11"/>
      <c r="CI28" s="11"/>
      <c r="CJ28" s="175"/>
      <c r="CK28" s="175"/>
      <c r="CL28" s="175"/>
    </row>
    <row r="29" spans="1:90">
      <c r="A29" s="202"/>
      <c r="B29" s="202" t="s">
        <v>635</v>
      </c>
      <c r="C29" s="205">
        <v>0</v>
      </c>
      <c r="D29" s="205">
        <v>0</v>
      </c>
      <c r="E29" s="205">
        <v>1891</v>
      </c>
      <c r="F29" s="205">
        <v>5317</v>
      </c>
      <c r="G29" s="205">
        <v>10056</v>
      </c>
      <c r="H29" s="206">
        <v>8730</v>
      </c>
      <c r="I29" s="206">
        <v>9365</v>
      </c>
      <c r="J29" s="206">
        <v>11785</v>
      </c>
      <c r="K29" s="206">
        <v>10373</v>
      </c>
      <c r="L29" s="205">
        <f t="shared" si="20"/>
        <v>10373</v>
      </c>
      <c r="M29" s="176">
        <v>7550</v>
      </c>
      <c r="N29" s="176">
        <v>7234</v>
      </c>
      <c r="O29" s="176">
        <v>7326</v>
      </c>
      <c r="P29" s="176">
        <v>6321</v>
      </c>
      <c r="Q29" s="175">
        <f t="shared" si="2"/>
        <v>6321</v>
      </c>
      <c r="R29" s="176">
        <v>8962</v>
      </c>
      <c r="S29" s="176">
        <v>16075</v>
      </c>
      <c r="T29" s="176">
        <v>8384</v>
      </c>
      <c r="U29" s="176">
        <v>8510</v>
      </c>
      <c r="V29" s="175">
        <f t="shared" si="3"/>
        <v>8510</v>
      </c>
      <c r="W29" s="176">
        <v>7753</v>
      </c>
      <c r="X29" s="176">
        <v>6760</v>
      </c>
      <c r="Y29" s="176">
        <v>5536</v>
      </c>
      <c r="Z29" s="176">
        <v>4967</v>
      </c>
      <c r="AA29" s="175">
        <f t="shared" si="4"/>
        <v>4967</v>
      </c>
      <c r="AB29" s="176">
        <v>5355</v>
      </c>
      <c r="AC29" s="176">
        <v>4479</v>
      </c>
      <c r="AD29" s="176">
        <v>4836</v>
      </c>
      <c r="AE29" s="176">
        <v>4356</v>
      </c>
      <c r="AF29" s="175">
        <f t="shared" si="5"/>
        <v>4356</v>
      </c>
      <c r="AG29" s="176">
        <v>4741</v>
      </c>
      <c r="AH29" s="176">
        <v>3796</v>
      </c>
      <c r="AI29" s="176">
        <v>3739</v>
      </c>
      <c r="AJ29" s="176">
        <v>3857</v>
      </c>
      <c r="AK29" s="175">
        <f t="shared" si="21"/>
        <v>3857</v>
      </c>
      <c r="AL29" s="176">
        <v>4424</v>
      </c>
      <c r="AM29" s="176">
        <v>3770</v>
      </c>
      <c r="AN29" s="176">
        <v>3231</v>
      </c>
      <c r="AO29" s="176">
        <v>4507</v>
      </c>
      <c r="AP29" s="175">
        <f t="shared" si="22"/>
        <v>4507</v>
      </c>
      <c r="AQ29" s="176">
        <v>2967</v>
      </c>
      <c r="AR29" s="176">
        <v>2748</v>
      </c>
      <c r="AS29" s="176">
        <v>2877</v>
      </c>
      <c r="AT29" s="176">
        <v>2675</v>
      </c>
      <c r="AU29" s="175">
        <f t="shared" si="28"/>
        <v>2675</v>
      </c>
      <c r="AV29" s="176">
        <v>2886</v>
      </c>
      <c r="AW29" s="176">
        <v>2852</v>
      </c>
      <c r="AX29" s="176">
        <v>2551</v>
      </c>
      <c r="AY29" s="206">
        <v>5165</v>
      </c>
      <c r="AZ29" s="175">
        <f t="shared" si="23"/>
        <v>5165</v>
      </c>
      <c r="BA29" s="206">
        <v>4103</v>
      </c>
      <c r="BB29" s="206">
        <v>3599</v>
      </c>
      <c r="BC29" s="206">
        <v>3824</v>
      </c>
      <c r="BD29" s="206">
        <v>4242</v>
      </c>
      <c r="BE29" s="175">
        <f t="shared" si="24"/>
        <v>4242</v>
      </c>
      <c r="BF29" s="206">
        <v>3962</v>
      </c>
      <c r="BG29" s="206">
        <v>2934</v>
      </c>
      <c r="BH29" s="206">
        <v>3012</v>
      </c>
      <c r="BI29" s="206">
        <v>3016</v>
      </c>
      <c r="BJ29" s="175">
        <f t="shared" si="25"/>
        <v>3016</v>
      </c>
      <c r="BK29" s="206">
        <v>2467</v>
      </c>
      <c r="BL29" s="206">
        <v>2218</v>
      </c>
      <c r="BM29" s="206">
        <v>2248</v>
      </c>
      <c r="BN29" s="206">
        <v>3032</v>
      </c>
      <c r="BO29" s="175">
        <f t="shared" si="26"/>
        <v>3032</v>
      </c>
      <c r="BP29" s="176">
        <f t="shared" ref="BP29:CD32" si="29">BO29</f>
        <v>3032</v>
      </c>
      <c r="BQ29" s="176">
        <f t="shared" si="29"/>
        <v>3032</v>
      </c>
      <c r="BR29" s="176">
        <f t="shared" si="29"/>
        <v>3032</v>
      </c>
      <c r="BS29" s="176">
        <f t="shared" si="29"/>
        <v>3032</v>
      </c>
      <c r="BT29" s="175">
        <f t="shared" si="29"/>
        <v>3032</v>
      </c>
      <c r="BU29" s="176">
        <f t="shared" si="29"/>
        <v>3032</v>
      </c>
      <c r="BV29" s="176">
        <f t="shared" si="29"/>
        <v>3032</v>
      </c>
      <c r="BW29" s="176">
        <f t="shared" si="29"/>
        <v>3032</v>
      </c>
      <c r="BX29" s="176">
        <f t="shared" si="29"/>
        <v>3032</v>
      </c>
      <c r="BY29" s="175">
        <f t="shared" si="29"/>
        <v>3032</v>
      </c>
      <c r="BZ29" s="176">
        <f t="shared" si="29"/>
        <v>3032</v>
      </c>
      <c r="CA29" s="176">
        <f t="shared" si="29"/>
        <v>3032</v>
      </c>
      <c r="CB29" s="176">
        <f t="shared" si="29"/>
        <v>3032</v>
      </c>
      <c r="CC29" s="176">
        <f t="shared" si="29"/>
        <v>3032</v>
      </c>
      <c r="CD29" s="175">
        <f t="shared" si="29"/>
        <v>3032</v>
      </c>
      <c r="CE29" s="5"/>
      <c r="CF29" s="314" t="s">
        <v>2883</v>
      </c>
      <c r="CG29" s="175"/>
      <c r="CH29" s="11"/>
      <c r="CI29" s="11"/>
      <c r="CJ29" s="175"/>
      <c r="CK29" s="175"/>
      <c r="CL29" s="175"/>
    </row>
    <row r="30" spans="1:90">
      <c r="A30" s="202"/>
      <c r="B30" s="202" t="s">
        <v>636</v>
      </c>
      <c r="C30" s="205">
        <v>0</v>
      </c>
      <c r="D30" s="205">
        <v>0</v>
      </c>
      <c r="E30" s="205">
        <v>1375</v>
      </c>
      <c r="F30" s="205">
        <v>1671</v>
      </c>
      <c r="G30" s="205">
        <v>1268</v>
      </c>
      <c r="H30" s="206">
        <v>3569</v>
      </c>
      <c r="I30" s="206">
        <v>2342</v>
      </c>
      <c r="J30" s="206">
        <v>2867</v>
      </c>
      <c r="K30" s="206">
        <v>3006</v>
      </c>
      <c r="L30" s="205">
        <f t="shared" si="20"/>
        <v>3006</v>
      </c>
      <c r="M30" s="176">
        <v>3392</v>
      </c>
      <c r="N30" s="176">
        <v>3494</v>
      </c>
      <c r="O30" s="176">
        <v>3497</v>
      </c>
      <c r="P30" s="176">
        <v>3589</v>
      </c>
      <c r="Q30" s="175">
        <f t="shared" si="2"/>
        <v>3589</v>
      </c>
      <c r="R30" s="176">
        <v>3771</v>
      </c>
      <c r="S30" s="176">
        <v>4153</v>
      </c>
      <c r="T30" s="176">
        <v>3769</v>
      </c>
      <c r="U30" s="176">
        <v>3050</v>
      </c>
      <c r="V30" s="175">
        <f t="shared" si="3"/>
        <v>3050</v>
      </c>
      <c r="W30" s="176">
        <v>2966</v>
      </c>
      <c r="X30" s="176">
        <v>2712</v>
      </c>
      <c r="Y30" s="176">
        <v>2460</v>
      </c>
      <c r="Z30" s="176">
        <v>1753</v>
      </c>
      <c r="AA30" s="175">
        <f t="shared" si="4"/>
        <v>1753</v>
      </c>
      <c r="AB30" s="176">
        <v>2647</v>
      </c>
      <c r="AC30" s="176">
        <v>2636</v>
      </c>
      <c r="AD30" s="176">
        <v>2148</v>
      </c>
      <c r="AE30" s="176">
        <v>1574</v>
      </c>
      <c r="AF30" s="175">
        <f t="shared" si="5"/>
        <v>1574</v>
      </c>
      <c r="AG30" s="176">
        <v>4291</v>
      </c>
      <c r="AH30" s="176">
        <v>3983</v>
      </c>
      <c r="AI30" s="176">
        <v>1671</v>
      </c>
      <c r="AJ30" s="176">
        <v>1286</v>
      </c>
      <c r="AK30" s="175">
        <f t="shared" si="21"/>
        <v>1286</v>
      </c>
      <c r="AL30" s="176">
        <v>1232</v>
      </c>
      <c r="AM30" s="176">
        <v>1354</v>
      </c>
      <c r="AN30" s="176">
        <v>1455</v>
      </c>
      <c r="AO30" s="176">
        <v>1058</v>
      </c>
      <c r="AP30" s="175">
        <f t="shared" si="22"/>
        <v>1058</v>
      </c>
      <c r="AQ30" s="176">
        <v>1262</v>
      </c>
      <c r="AR30" s="176">
        <v>1573</v>
      </c>
      <c r="AS30" s="176">
        <v>1832</v>
      </c>
      <c r="AT30" s="176">
        <v>1388</v>
      </c>
      <c r="AU30" s="175">
        <f t="shared" si="28"/>
        <v>1388</v>
      </c>
      <c r="AV30" s="176">
        <v>1554</v>
      </c>
      <c r="AW30" s="176">
        <v>1630</v>
      </c>
      <c r="AX30" s="176">
        <v>1614</v>
      </c>
      <c r="AY30" s="206">
        <v>1424</v>
      </c>
      <c r="AZ30" s="175">
        <f t="shared" si="23"/>
        <v>1424</v>
      </c>
      <c r="BA30" s="206">
        <v>1736</v>
      </c>
      <c r="BB30" s="206">
        <v>1899</v>
      </c>
      <c r="BC30" s="206">
        <v>2038</v>
      </c>
      <c r="BD30" s="206">
        <v>1838</v>
      </c>
      <c r="BE30" s="175">
        <f t="shared" si="24"/>
        <v>1838</v>
      </c>
      <c r="BF30" s="206">
        <v>1719</v>
      </c>
      <c r="BG30" s="206">
        <v>1941</v>
      </c>
      <c r="BH30" s="206">
        <v>1841</v>
      </c>
      <c r="BI30" s="206">
        <v>1486</v>
      </c>
      <c r="BJ30" s="175">
        <f t="shared" si="25"/>
        <v>1486</v>
      </c>
      <c r="BK30" s="206">
        <v>1092</v>
      </c>
      <c r="BL30" s="206">
        <v>1222</v>
      </c>
      <c r="BM30" s="206">
        <v>1441</v>
      </c>
      <c r="BN30" s="206">
        <v>1414</v>
      </c>
      <c r="BO30" s="175">
        <f t="shared" si="26"/>
        <v>1414</v>
      </c>
      <c r="BP30" s="176">
        <f t="shared" si="29"/>
        <v>1414</v>
      </c>
      <c r="BQ30" s="176">
        <f t="shared" si="29"/>
        <v>1414</v>
      </c>
      <c r="BR30" s="176">
        <f t="shared" si="29"/>
        <v>1414</v>
      </c>
      <c r="BS30" s="176">
        <f t="shared" si="29"/>
        <v>1414</v>
      </c>
      <c r="BT30" s="175">
        <f t="shared" si="29"/>
        <v>1414</v>
      </c>
      <c r="BU30" s="176">
        <f t="shared" si="29"/>
        <v>1414</v>
      </c>
      <c r="BV30" s="176">
        <f t="shared" si="29"/>
        <v>1414</v>
      </c>
      <c r="BW30" s="176">
        <f t="shared" si="29"/>
        <v>1414</v>
      </c>
      <c r="BX30" s="176">
        <f t="shared" si="29"/>
        <v>1414</v>
      </c>
      <c r="BY30" s="175">
        <f t="shared" si="29"/>
        <v>1414</v>
      </c>
      <c r="BZ30" s="176">
        <f t="shared" si="29"/>
        <v>1414</v>
      </c>
      <c r="CA30" s="176">
        <f t="shared" si="29"/>
        <v>1414</v>
      </c>
      <c r="CB30" s="176">
        <f t="shared" si="29"/>
        <v>1414</v>
      </c>
      <c r="CC30" s="176">
        <f t="shared" si="29"/>
        <v>1414</v>
      </c>
      <c r="CD30" s="175">
        <f t="shared" si="29"/>
        <v>1414</v>
      </c>
      <c r="CE30" s="5"/>
      <c r="CF30" s="314" t="s">
        <v>2883</v>
      </c>
      <c r="CG30" s="175"/>
      <c r="CH30" s="11"/>
      <c r="CI30" s="11"/>
      <c r="CJ30" s="175"/>
      <c r="CK30" s="175"/>
      <c r="CL30" s="175"/>
    </row>
    <row r="31" spans="1:90">
      <c r="A31" s="202"/>
      <c r="B31" s="202" t="s">
        <v>639</v>
      </c>
      <c r="C31" s="205">
        <v>335</v>
      </c>
      <c r="D31" s="205">
        <v>94</v>
      </c>
      <c r="E31" s="205">
        <v>92</v>
      </c>
      <c r="F31" s="205">
        <v>159</v>
      </c>
      <c r="G31" s="205">
        <v>212</v>
      </c>
      <c r="H31" s="206">
        <v>222</v>
      </c>
      <c r="I31" s="206">
        <v>218</v>
      </c>
      <c r="J31" s="206">
        <v>172</v>
      </c>
      <c r="K31" s="206">
        <v>544</v>
      </c>
      <c r="L31" s="205">
        <f t="shared" si="20"/>
        <v>544</v>
      </c>
      <c r="M31" s="176">
        <v>95</v>
      </c>
      <c r="N31" s="176">
        <v>178</v>
      </c>
      <c r="O31" s="176">
        <v>246</v>
      </c>
      <c r="P31" s="176">
        <v>705</v>
      </c>
      <c r="Q31" s="175">
        <f t="shared" si="2"/>
        <v>705</v>
      </c>
      <c r="R31" s="176">
        <v>250</v>
      </c>
      <c r="S31" s="176">
        <v>195</v>
      </c>
      <c r="T31" s="176">
        <v>332</v>
      </c>
      <c r="U31" s="176">
        <v>377</v>
      </c>
      <c r="V31" s="175">
        <f t="shared" si="3"/>
        <v>377</v>
      </c>
      <c r="W31" s="176">
        <v>283</v>
      </c>
      <c r="X31" s="176">
        <v>562</v>
      </c>
      <c r="Y31" s="176">
        <v>827</v>
      </c>
      <c r="Z31" s="176">
        <v>209</v>
      </c>
      <c r="AA31" s="175">
        <f t="shared" si="4"/>
        <v>209</v>
      </c>
      <c r="AB31" s="176">
        <v>238</v>
      </c>
      <c r="AC31" s="176">
        <v>139</v>
      </c>
      <c r="AD31" s="176">
        <v>155</v>
      </c>
      <c r="AE31" s="176">
        <v>693</v>
      </c>
      <c r="AF31" s="175">
        <f t="shared" si="5"/>
        <v>693</v>
      </c>
      <c r="AG31" s="176">
        <v>234</v>
      </c>
      <c r="AH31" s="176">
        <v>268</v>
      </c>
      <c r="AI31" s="176">
        <v>222</v>
      </c>
      <c r="AJ31" s="176">
        <v>235</v>
      </c>
      <c r="AK31" s="175">
        <f t="shared" si="21"/>
        <v>235</v>
      </c>
      <c r="AL31" s="176">
        <v>222</v>
      </c>
      <c r="AM31" s="176">
        <v>372</v>
      </c>
      <c r="AN31" s="176">
        <v>393</v>
      </c>
      <c r="AO31" s="176">
        <v>456</v>
      </c>
      <c r="AP31" s="175">
        <f t="shared" si="22"/>
        <v>456</v>
      </c>
      <c r="AQ31" s="176">
        <v>548</v>
      </c>
      <c r="AR31" s="176">
        <v>567</v>
      </c>
      <c r="AS31" s="176">
        <v>510</v>
      </c>
      <c r="AT31" s="176">
        <v>512</v>
      </c>
      <c r="AU31" s="175">
        <f t="shared" si="28"/>
        <v>512</v>
      </c>
      <c r="AV31" s="176">
        <v>523</v>
      </c>
      <c r="AW31" s="176">
        <v>648</v>
      </c>
      <c r="AX31" s="176">
        <v>930</v>
      </c>
      <c r="AY31" s="206">
        <v>837</v>
      </c>
      <c r="AZ31" s="175">
        <f t="shared" si="23"/>
        <v>837</v>
      </c>
      <c r="BA31" s="206">
        <v>793</v>
      </c>
      <c r="BB31" s="206">
        <v>731</v>
      </c>
      <c r="BC31" s="206">
        <v>607</v>
      </c>
      <c r="BD31" s="206">
        <v>599</v>
      </c>
      <c r="BE31" s="175">
        <f t="shared" si="24"/>
        <v>599</v>
      </c>
      <c r="BF31" s="206">
        <v>465</v>
      </c>
      <c r="BG31" s="206">
        <v>374</v>
      </c>
      <c r="BH31" s="206">
        <v>568</v>
      </c>
      <c r="BI31" s="206">
        <v>1194</v>
      </c>
      <c r="BJ31" s="175">
        <f t="shared" si="25"/>
        <v>1194</v>
      </c>
      <c r="BK31" s="206">
        <v>1115</v>
      </c>
      <c r="BL31" s="206">
        <v>864</v>
      </c>
      <c r="BM31" s="206">
        <v>746</v>
      </c>
      <c r="BN31" s="206">
        <v>761</v>
      </c>
      <c r="BO31" s="175">
        <f t="shared" si="26"/>
        <v>761</v>
      </c>
      <c r="BP31" s="176">
        <f t="shared" si="29"/>
        <v>761</v>
      </c>
      <c r="BQ31" s="176">
        <f t="shared" si="29"/>
        <v>761</v>
      </c>
      <c r="BR31" s="176">
        <f t="shared" si="29"/>
        <v>761</v>
      </c>
      <c r="BS31" s="176">
        <f t="shared" si="29"/>
        <v>761</v>
      </c>
      <c r="BT31" s="175">
        <f t="shared" si="29"/>
        <v>761</v>
      </c>
      <c r="BU31" s="176">
        <f t="shared" si="29"/>
        <v>761</v>
      </c>
      <c r="BV31" s="176">
        <f t="shared" si="29"/>
        <v>761</v>
      </c>
      <c r="BW31" s="176">
        <f t="shared" si="29"/>
        <v>761</v>
      </c>
      <c r="BX31" s="176">
        <f t="shared" si="29"/>
        <v>761</v>
      </c>
      <c r="BY31" s="175">
        <f t="shared" si="29"/>
        <v>761</v>
      </c>
      <c r="BZ31" s="176">
        <f t="shared" si="29"/>
        <v>761</v>
      </c>
      <c r="CA31" s="176">
        <f t="shared" si="29"/>
        <v>761</v>
      </c>
      <c r="CB31" s="176">
        <f t="shared" si="29"/>
        <v>761</v>
      </c>
      <c r="CC31" s="176">
        <f t="shared" si="29"/>
        <v>761</v>
      </c>
      <c r="CD31" s="175">
        <f t="shared" si="29"/>
        <v>761</v>
      </c>
      <c r="CE31" s="5"/>
      <c r="CF31" s="314" t="s">
        <v>2883</v>
      </c>
      <c r="CG31" s="175"/>
      <c r="CH31" s="11"/>
      <c r="CI31" s="11"/>
      <c r="CJ31" s="175"/>
      <c r="CK31" s="175"/>
      <c r="CL31" s="175"/>
    </row>
    <row r="32" spans="1:90">
      <c r="A32" s="202"/>
      <c r="B32" s="202" t="s">
        <v>632</v>
      </c>
      <c r="C32" s="205">
        <v>0</v>
      </c>
      <c r="D32" s="205">
        <v>0</v>
      </c>
      <c r="E32" s="205">
        <v>0</v>
      </c>
      <c r="F32" s="205">
        <v>0</v>
      </c>
      <c r="G32" s="205">
        <v>0</v>
      </c>
      <c r="H32" s="206">
        <v>0</v>
      </c>
      <c r="I32" s="206">
        <v>0</v>
      </c>
      <c r="J32" s="206">
        <v>0</v>
      </c>
      <c r="K32" s="206">
        <v>0</v>
      </c>
      <c r="L32" s="205">
        <f t="shared" si="20"/>
        <v>0</v>
      </c>
      <c r="M32" s="176">
        <v>0</v>
      </c>
      <c r="N32" s="176">
        <v>0</v>
      </c>
      <c r="O32" s="176">
        <v>0</v>
      </c>
      <c r="P32" s="176">
        <v>0</v>
      </c>
      <c r="Q32" s="175">
        <f t="shared" si="2"/>
        <v>0</v>
      </c>
      <c r="R32" s="176">
        <v>0</v>
      </c>
      <c r="S32" s="176">
        <v>0</v>
      </c>
      <c r="T32" s="176">
        <v>0</v>
      </c>
      <c r="U32" s="176">
        <v>0</v>
      </c>
      <c r="V32" s="175">
        <f t="shared" si="3"/>
        <v>0</v>
      </c>
      <c r="W32" s="176">
        <v>0</v>
      </c>
      <c r="X32" s="176">
        <v>0</v>
      </c>
      <c r="Y32" s="176">
        <v>0</v>
      </c>
      <c r="Z32" s="176">
        <v>0</v>
      </c>
      <c r="AA32" s="175">
        <f t="shared" si="4"/>
        <v>0</v>
      </c>
      <c r="AB32" s="176">
        <v>0</v>
      </c>
      <c r="AC32" s="176">
        <v>1654</v>
      </c>
      <c r="AD32" s="176">
        <v>1551</v>
      </c>
      <c r="AE32" s="176">
        <v>1532</v>
      </c>
      <c r="AF32" s="175">
        <f t="shared" si="5"/>
        <v>1532</v>
      </c>
      <c r="AG32" s="176">
        <v>1439</v>
      </c>
      <c r="AH32" s="176">
        <v>1413</v>
      </c>
      <c r="AI32" s="176">
        <v>287</v>
      </c>
      <c r="AJ32" s="176">
        <v>288</v>
      </c>
      <c r="AK32" s="175">
        <f t="shared" si="21"/>
        <v>288</v>
      </c>
      <c r="AL32" s="176">
        <v>303</v>
      </c>
      <c r="AM32" s="176">
        <v>304</v>
      </c>
      <c r="AN32" s="176">
        <v>318</v>
      </c>
      <c r="AO32" s="176">
        <v>319</v>
      </c>
      <c r="AP32" s="175">
        <f t="shared" si="22"/>
        <v>319</v>
      </c>
      <c r="AQ32" s="176">
        <v>596</v>
      </c>
      <c r="AR32" s="176">
        <v>712</v>
      </c>
      <c r="AS32" s="176">
        <v>536</v>
      </c>
      <c r="AT32" s="176">
        <v>467</v>
      </c>
      <c r="AU32" s="175">
        <f t="shared" si="28"/>
        <v>467</v>
      </c>
      <c r="AV32" s="176">
        <v>428</v>
      </c>
      <c r="AW32" s="176">
        <v>376</v>
      </c>
      <c r="AX32" s="176">
        <v>296</v>
      </c>
      <c r="AY32" s="206">
        <v>329</v>
      </c>
      <c r="AZ32" s="175">
        <f t="shared" si="23"/>
        <v>329</v>
      </c>
      <c r="BA32" s="206">
        <v>309</v>
      </c>
      <c r="BB32" s="206">
        <v>294</v>
      </c>
      <c r="BC32" s="206">
        <v>244</v>
      </c>
      <c r="BD32" s="206">
        <v>219</v>
      </c>
      <c r="BE32" s="175">
        <f t="shared" si="24"/>
        <v>219</v>
      </c>
      <c r="BF32" s="206">
        <v>148</v>
      </c>
      <c r="BG32" s="206">
        <v>107</v>
      </c>
      <c r="BH32" s="206">
        <v>46</v>
      </c>
      <c r="BI32" s="206">
        <v>44</v>
      </c>
      <c r="BJ32" s="175">
        <f t="shared" si="25"/>
        <v>44</v>
      </c>
      <c r="BK32" s="206">
        <v>39</v>
      </c>
      <c r="BL32" s="206">
        <v>77</v>
      </c>
      <c r="BM32" s="206">
        <v>84</v>
      </c>
      <c r="BN32" s="206">
        <v>125</v>
      </c>
      <c r="BO32" s="175">
        <f t="shared" si="26"/>
        <v>125</v>
      </c>
      <c r="BP32" s="176">
        <f t="shared" si="29"/>
        <v>125</v>
      </c>
      <c r="BQ32" s="176">
        <f t="shared" si="29"/>
        <v>125</v>
      </c>
      <c r="BR32" s="176">
        <f t="shared" si="29"/>
        <v>125</v>
      </c>
      <c r="BS32" s="176">
        <f t="shared" si="29"/>
        <v>125</v>
      </c>
      <c r="BT32" s="175">
        <f t="shared" si="29"/>
        <v>125</v>
      </c>
      <c r="BU32" s="176">
        <f t="shared" si="29"/>
        <v>125</v>
      </c>
      <c r="BV32" s="176">
        <f t="shared" si="29"/>
        <v>125</v>
      </c>
      <c r="BW32" s="176">
        <f t="shared" si="29"/>
        <v>125</v>
      </c>
      <c r="BX32" s="176">
        <f t="shared" si="29"/>
        <v>125</v>
      </c>
      <c r="BY32" s="175">
        <f t="shared" si="29"/>
        <v>125</v>
      </c>
      <c r="BZ32" s="176">
        <f t="shared" si="29"/>
        <v>125</v>
      </c>
      <c r="CA32" s="176">
        <f t="shared" si="29"/>
        <v>125</v>
      </c>
      <c r="CB32" s="176">
        <f t="shared" si="29"/>
        <v>125</v>
      </c>
      <c r="CC32" s="176">
        <f t="shared" si="29"/>
        <v>125</v>
      </c>
      <c r="CD32" s="175">
        <f t="shared" si="29"/>
        <v>125</v>
      </c>
      <c r="CE32" s="5"/>
      <c r="CF32" s="314" t="s">
        <v>2879</v>
      </c>
      <c r="CG32" s="175"/>
      <c r="CH32" s="11"/>
      <c r="CI32" s="11"/>
      <c r="CJ32" s="175"/>
      <c r="CK32" s="175"/>
      <c r="CL32" s="175"/>
    </row>
    <row r="33" spans="1:90">
      <c r="A33" s="202"/>
      <c r="B33" s="202" t="s">
        <v>3398</v>
      </c>
      <c r="C33" s="205">
        <v>1808</v>
      </c>
      <c r="D33" s="205">
        <v>1735</v>
      </c>
      <c r="E33" s="205">
        <v>2056</v>
      </c>
      <c r="F33" s="205">
        <v>1359</v>
      </c>
      <c r="G33" s="205">
        <v>2960</v>
      </c>
      <c r="H33" s="206">
        <v>2939</v>
      </c>
      <c r="I33" s="206">
        <v>4852</v>
      </c>
      <c r="J33" s="206">
        <v>3199</v>
      </c>
      <c r="K33" s="206">
        <v>2590</v>
      </c>
      <c r="L33" s="205">
        <f t="shared" si="20"/>
        <v>2590</v>
      </c>
      <c r="M33" s="176">
        <v>1956</v>
      </c>
      <c r="N33" s="176">
        <v>2643</v>
      </c>
      <c r="O33" s="176">
        <v>2410</v>
      </c>
      <c r="P33" s="176">
        <v>3562</v>
      </c>
      <c r="Q33" s="175">
        <f t="shared" si="2"/>
        <v>3562</v>
      </c>
      <c r="R33" s="176">
        <v>4820</v>
      </c>
      <c r="S33" s="176">
        <v>3593</v>
      </c>
      <c r="T33" s="176">
        <v>6142</v>
      </c>
      <c r="U33" s="176">
        <v>8197</v>
      </c>
      <c r="V33" s="175">
        <f t="shared" si="3"/>
        <v>8197</v>
      </c>
      <c r="W33" s="176">
        <v>8360</v>
      </c>
      <c r="X33" s="176">
        <v>8959</v>
      </c>
      <c r="Y33" s="176">
        <v>9883</v>
      </c>
      <c r="Z33" s="176">
        <v>8339</v>
      </c>
      <c r="AA33" s="175">
        <f t="shared" si="4"/>
        <v>8339</v>
      </c>
      <c r="AB33" s="176">
        <v>6841</v>
      </c>
      <c r="AC33" s="176">
        <v>7310</v>
      </c>
      <c r="AD33" s="176">
        <v>12803</v>
      </c>
      <c r="AE33" s="176">
        <v>18556</v>
      </c>
      <c r="AF33" s="175">
        <f t="shared" si="5"/>
        <v>18556</v>
      </c>
      <c r="AG33" s="176">
        <v>18726</v>
      </c>
      <c r="AH33" s="176">
        <v>18749</v>
      </c>
      <c r="AI33" s="176">
        <v>17997</v>
      </c>
      <c r="AJ33" s="176">
        <v>14067</v>
      </c>
      <c r="AK33" s="175">
        <f t="shared" si="21"/>
        <v>14067</v>
      </c>
      <c r="AL33" s="176">
        <v>14092</v>
      </c>
      <c r="AM33" s="176">
        <v>14881</v>
      </c>
      <c r="AN33" s="176">
        <v>16041</v>
      </c>
      <c r="AO33" s="176">
        <v>19548</v>
      </c>
      <c r="AP33" s="175">
        <f t="shared" si="22"/>
        <v>19548</v>
      </c>
      <c r="AQ33" s="176">
        <v>27679</v>
      </c>
      <c r="AR33" s="176">
        <v>28313</v>
      </c>
      <c r="AS33" s="176">
        <v>29499</v>
      </c>
      <c r="AT33" s="176">
        <v>22520</v>
      </c>
      <c r="AU33" s="175">
        <f t="shared" si="28"/>
        <v>22520</v>
      </c>
      <c r="AV33" s="176">
        <v>27358</v>
      </c>
      <c r="AW33" s="176">
        <v>27506</v>
      </c>
      <c r="AX33" s="176">
        <v>30729</v>
      </c>
      <c r="AY33" s="206">
        <v>29763</v>
      </c>
      <c r="AZ33" s="175">
        <f t="shared" si="23"/>
        <v>29763</v>
      </c>
      <c r="BA33" s="206">
        <v>32434</v>
      </c>
      <c r="BB33" s="206">
        <v>32589</v>
      </c>
      <c r="BC33" s="206">
        <v>31702</v>
      </c>
      <c r="BD33" s="206">
        <v>26389</v>
      </c>
      <c r="BE33" s="175">
        <f t="shared" si="24"/>
        <v>26389</v>
      </c>
      <c r="BF33" s="206">
        <v>23049</v>
      </c>
      <c r="BG33" s="206">
        <v>23517</v>
      </c>
      <c r="BH33" s="206">
        <v>25520</v>
      </c>
      <c r="BI33" s="206">
        <v>23484</v>
      </c>
      <c r="BJ33" s="175">
        <f t="shared" si="25"/>
        <v>23484</v>
      </c>
      <c r="BK33" s="206">
        <v>23794</v>
      </c>
      <c r="BL33" s="206">
        <v>23270</v>
      </c>
      <c r="BM33" s="206">
        <v>25780</v>
      </c>
      <c r="BN33" s="206">
        <v>25586</v>
      </c>
      <c r="BO33" s="175">
        <f t="shared" si="26"/>
        <v>25586</v>
      </c>
      <c r="BP33" s="176">
        <f ca="1">BP44+BP56-BP74</f>
        <v>25586</v>
      </c>
      <c r="BQ33" s="176">
        <f ca="1">BQ44+BQ56-BQ74</f>
        <v>25586</v>
      </c>
      <c r="BR33" s="176">
        <f ca="1">BR44+BR56-BR74</f>
        <v>25586</v>
      </c>
      <c r="BS33" s="176">
        <f ca="1">BS44+BS56-BS74</f>
        <v>25586</v>
      </c>
      <c r="BT33" s="175">
        <f ca="1">BS33</f>
        <v>25586</v>
      </c>
      <c r="BU33" s="176">
        <f ca="1">BU44+BU56-BU74</f>
        <v>25586</v>
      </c>
      <c r="BV33" s="176">
        <f ca="1">BV44+BV56-BV74</f>
        <v>25586</v>
      </c>
      <c r="BW33" s="176">
        <f ca="1">BW44+BW56-BW74</f>
        <v>25586</v>
      </c>
      <c r="BX33" s="176">
        <f ca="1">BX44+BX56-BX74</f>
        <v>25586</v>
      </c>
      <c r="BY33" s="175">
        <f ca="1">BX33</f>
        <v>25586</v>
      </c>
      <c r="BZ33" s="176">
        <f ca="1">BZ44+BZ56-BZ74</f>
        <v>25586</v>
      </c>
      <c r="CA33" s="176">
        <f ca="1">CA44+CA56-CA74</f>
        <v>25586</v>
      </c>
      <c r="CB33" s="176">
        <f ca="1">CB44+CB56-CB74</f>
        <v>25586</v>
      </c>
      <c r="CC33" s="176">
        <f ca="1">CC44+CC56-CC74</f>
        <v>25586</v>
      </c>
      <c r="CD33" s="175">
        <f ca="1">CC33</f>
        <v>25586</v>
      </c>
      <c r="CE33" s="5"/>
      <c r="CF33" s="314" t="s">
        <v>2879</v>
      </c>
      <c r="CG33" s="175"/>
      <c r="CH33" s="11"/>
      <c r="CI33" s="11"/>
      <c r="CJ33" s="175"/>
      <c r="CK33" s="175"/>
      <c r="CL33" s="175"/>
    </row>
    <row r="34" spans="1:90">
      <c r="A34" s="75"/>
      <c r="B34" s="75"/>
      <c r="C34" s="264">
        <f>SUM(C26:C33)</f>
        <v>31427</v>
      </c>
      <c r="D34" s="264">
        <f>SUM(D26:D33)</f>
        <v>38821</v>
      </c>
      <c r="E34" s="264">
        <f>SUM(E26:E33)</f>
        <v>45074</v>
      </c>
      <c r="F34" s="264">
        <f t="shared" ref="F34:L34" si="30">SUM(F26:F33)</f>
        <v>61443</v>
      </c>
      <c r="G34" s="264">
        <f t="shared" si="30"/>
        <v>75290</v>
      </c>
      <c r="H34" s="265">
        <f t="shared" si="30"/>
        <v>74165</v>
      </c>
      <c r="I34" s="265">
        <f t="shared" si="30"/>
        <v>76261</v>
      </c>
      <c r="J34" s="265">
        <f t="shared" si="30"/>
        <v>76084</v>
      </c>
      <c r="K34" s="265">
        <f t="shared" si="30"/>
        <v>74261</v>
      </c>
      <c r="L34" s="264">
        <f t="shared" si="30"/>
        <v>74261</v>
      </c>
      <c r="M34" s="266">
        <v>71799</v>
      </c>
      <c r="N34" s="266">
        <v>74204</v>
      </c>
      <c r="O34" s="266">
        <v>74847</v>
      </c>
      <c r="P34" s="266">
        <v>78916</v>
      </c>
      <c r="Q34" s="76">
        <f>SUM(Q26:Q33)</f>
        <v>78916</v>
      </c>
      <c r="R34" s="266">
        <v>87660</v>
      </c>
      <c r="S34" s="266">
        <v>107082</v>
      </c>
      <c r="T34" s="266">
        <v>85272</v>
      </c>
      <c r="U34" s="266">
        <v>66384</v>
      </c>
      <c r="V34" s="76">
        <f>SUM(V26:V33)</f>
        <v>66384</v>
      </c>
      <c r="W34" s="266">
        <v>61057</v>
      </c>
      <c r="X34" s="266">
        <v>67074</v>
      </c>
      <c r="Y34" s="266">
        <v>66679</v>
      </c>
      <c r="Z34" s="266">
        <v>67653</v>
      </c>
      <c r="AA34" s="76">
        <f>SUM(AA26:AA33)</f>
        <v>67653</v>
      </c>
      <c r="AB34" s="266">
        <v>69697</v>
      </c>
      <c r="AC34" s="266">
        <v>74276</v>
      </c>
      <c r="AD34" s="266">
        <v>77694</v>
      </c>
      <c r="AE34" s="266">
        <v>89725</v>
      </c>
      <c r="AF34" s="76">
        <f>SUM(AF26:AF33)</f>
        <v>89725</v>
      </c>
      <c r="AG34" s="266">
        <f>+SUM(AG26:AG33)</f>
        <v>101093</v>
      </c>
      <c r="AH34" s="266">
        <f>+SUM(AH26:AH33)</f>
        <v>98864</v>
      </c>
      <c r="AI34" s="266">
        <f>+SUM(AI26:AI33)</f>
        <v>91655</v>
      </c>
      <c r="AJ34" s="266">
        <f t="shared" ref="AJ34:BG34" si="31">SUM(AJ26:AJ33)</f>
        <v>87264</v>
      </c>
      <c r="AK34" s="76">
        <f t="shared" si="31"/>
        <v>87264</v>
      </c>
      <c r="AL34" s="266">
        <f t="shared" si="31"/>
        <v>92074</v>
      </c>
      <c r="AM34" s="266">
        <f t="shared" si="31"/>
        <v>85737</v>
      </c>
      <c r="AN34" s="266">
        <f t="shared" si="31"/>
        <v>91261</v>
      </c>
      <c r="AO34" s="266">
        <f t="shared" si="31"/>
        <v>91942</v>
      </c>
      <c r="AP34" s="76">
        <f t="shared" si="31"/>
        <v>91942</v>
      </c>
      <c r="AQ34" s="266">
        <f t="shared" si="31"/>
        <v>103556</v>
      </c>
      <c r="AR34" s="266">
        <f t="shared" si="31"/>
        <v>104796</v>
      </c>
      <c r="AS34" s="266">
        <f t="shared" si="31"/>
        <v>105684</v>
      </c>
      <c r="AT34" s="266">
        <f t="shared" si="31"/>
        <v>96840</v>
      </c>
      <c r="AU34" s="76">
        <f t="shared" si="31"/>
        <v>96840</v>
      </c>
      <c r="AV34" s="266">
        <f t="shared" si="31"/>
        <v>102094</v>
      </c>
      <c r="AW34" s="266">
        <f t="shared" si="31"/>
        <v>102844</v>
      </c>
      <c r="AX34" s="266">
        <f t="shared" si="31"/>
        <v>101133</v>
      </c>
      <c r="AY34" s="265">
        <f t="shared" si="31"/>
        <v>87262</v>
      </c>
      <c r="AZ34" s="76">
        <f>SUM(AZ26:AZ33)</f>
        <v>87262</v>
      </c>
      <c r="BA34" s="265">
        <f t="shared" si="31"/>
        <v>87430</v>
      </c>
      <c r="BB34" s="265">
        <f t="shared" si="31"/>
        <v>90947</v>
      </c>
      <c r="BC34" s="265">
        <f t="shared" si="31"/>
        <v>81542</v>
      </c>
      <c r="BD34" s="265">
        <f t="shared" si="31"/>
        <v>70024</v>
      </c>
      <c r="BE34" s="76">
        <f t="shared" si="31"/>
        <v>70024</v>
      </c>
      <c r="BF34" s="265">
        <f t="shared" si="31"/>
        <v>66130</v>
      </c>
      <c r="BG34" s="265">
        <f t="shared" si="31"/>
        <v>68185</v>
      </c>
      <c r="BH34" s="265">
        <f t="shared" ref="BH34:CD34" si="32">SUM(BH26:BH33)</f>
        <v>68375</v>
      </c>
      <c r="BI34" s="265">
        <f t="shared" si="32"/>
        <v>67813</v>
      </c>
      <c r="BJ34" s="76">
        <f t="shared" si="32"/>
        <v>67813</v>
      </c>
      <c r="BK34" s="265">
        <f t="shared" si="32"/>
        <v>67006</v>
      </c>
      <c r="BL34" s="265">
        <f t="shared" si="32"/>
        <v>64718</v>
      </c>
      <c r="BM34" s="265">
        <f t="shared" si="32"/>
        <v>70477</v>
      </c>
      <c r="BN34" s="265">
        <f t="shared" si="32"/>
        <v>74968</v>
      </c>
      <c r="BO34" s="76">
        <f t="shared" ref="BO34" si="33">SUM(BO26:BO33)</f>
        <v>74968</v>
      </c>
      <c r="BP34" s="266">
        <f t="shared" ca="1" si="32"/>
        <v>74903.335427441096</v>
      </c>
      <c r="BQ34" s="266">
        <f t="shared" ca="1" si="32"/>
        <v>75148.26784546797</v>
      </c>
      <c r="BR34" s="266">
        <f t="shared" ca="1" si="32"/>
        <v>74650.501963671413</v>
      </c>
      <c r="BS34" s="266">
        <f t="shared" ca="1" si="32"/>
        <v>74235.69706217428</v>
      </c>
      <c r="BT34" s="76">
        <f t="shared" ca="1" si="32"/>
        <v>74235.69706217428</v>
      </c>
      <c r="BU34" s="266">
        <f t="shared" ca="1" si="32"/>
        <v>73331.027324623399</v>
      </c>
      <c r="BV34" s="266">
        <f t="shared" ca="1" si="32"/>
        <v>73331.027324623399</v>
      </c>
      <c r="BW34" s="266">
        <f t="shared" ca="1" si="32"/>
        <v>73331.027324623399</v>
      </c>
      <c r="BX34" s="266">
        <f t="shared" ca="1" si="32"/>
        <v>73331.027324623399</v>
      </c>
      <c r="BY34" s="76">
        <f t="shared" ca="1" si="32"/>
        <v>73331.027324623399</v>
      </c>
      <c r="BZ34" s="266">
        <f t="shared" ca="1" si="32"/>
        <v>73485.019459198811</v>
      </c>
      <c r="CA34" s="266">
        <f t="shared" ca="1" si="32"/>
        <v>73639.965151003737</v>
      </c>
      <c r="CB34" s="266">
        <f t="shared" ca="1" si="32"/>
        <v>73795.870304699405</v>
      </c>
      <c r="CC34" s="266">
        <f t="shared" ca="1" si="32"/>
        <v>73952.740861510189</v>
      </c>
      <c r="CD34" s="76">
        <f t="shared" ca="1" si="32"/>
        <v>73952.740861510189</v>
      </c>
      <c r="CE34" s="5"/>
      <c r="CF34" s="76"/>
      <c r="CG34" s="76"/>
      <c r="CH34" s="11"/>
      <c r="CI34" s="11"/>
      <c r="CJ34" s="76"/>
      <c r="CK34" s="76"/>
      <c r="CL34" s="76"/>
    </row>
    <row r="35" spans="1:90">
      <c r="A35" s="202"/>
      <c r="B35" s="202"/>
      <c r="C35" s="205"/>
      <c r="D35" s="205"/>
      <c r="E35" s="205"/>
      <c r="F35" s="205"/>
      <c r="G35" s="205"/>
      <c r="H35" s="206"/>
      <c r="I35" s="206"/>
      <c r="J35" s="206"/>
      <c r="K35" s="206"/>
      <c r="L35" s="205"/>
      <c r="M35" s="176"/>
      <c r="N35" s="176"/>
      <c r="O35" s="176"/>
      <c r="P35" s="176"/>
      <c r="Q35" s="175"/>
      <c r="R35" s="176"/>
      <c r="S35" s="176"/>
      <c r="T35" s="176"/>
      <c r="U35" s="176"/>
      <c r="V35" s="175"/>
      <c r="W35" s="176"/>
      <c r="X35" s="176"/>
      <c r="Y35" s="176"/>
      <c r="Z35" s="176"/>
      <c r="AA35" s="175"/>
      <c r="AB35" s="176"/>
      <c r="AC35" s="176"/>
      <c r="AD35" s="176"/>
      <c r="AE35" s="176"/>
      <c r="AF35" s="175"/>
      <c r="AG35" s="176"/>
      <c r="AH35" s="176"/>
      <c r="AI35" s="176"/>
      <c r="AJ35" s="12"/>
      <c r="AK35" s="175"/>
      <c r="AL35" s="12"/>
      <c r="AM35" s="12"/>
      <c r="AN35" s="12"/>
      <c r="AO35" s="12"/>
      <c r="AP35" s="175"/>
      <c r="AQ35" s="12"/>
      <c r="AR35" s="176"/>
      <c r="AS35" s="176"/>
      <c r="AT35" s="176"/>
      <c r="AU35" s="175"/>
      <c r="AV35" s="176"/>
      <c r="AW35" s="176"/>
      <c r="AX35" s="176"/>
      <c r="AY35" s="206"/>
      <c r="AZ35" s="175"/>
      <c r="BA35" s="206"/>
      <c r="BB35" s="206"/>
      <c r="BC35" s="206"/>
      <c r="BD35" s="206"/>
      <c r="BE35" s="175"/>
      <c r="BF35" s="206"/>
      <c r="BG35" s="206"/>
      <c r="BH35" s="206"/>
      <c r="BI35" s="206"/>
      <c r="BJ35" s="175"/>
      <c r="BK35" s="206"/>
      <c r="BL35" s="206"/>
      <c r="BM35" s="206"/>
      <c r="BN35" s="206"/>
      <c r="BO35" s="175"/>
      <c r="BP35" s="176"/>
      <c r="BQ35" s="176"/>
      <c r="BR35" s="176"/>
      <c r="BS35" s="176"/>
      <c r="BT35" s="175"/>
      <c r="BU35" s="176"/>
      <c r="BV35" s="176"/>
      <c r="BW35" s="176"/>
      <c r="BX35" s="176"/>
      <c r="BY35" s="175"/>
      <c r="BZ35" s="176"/>
      <c r="CA35" s="176"/>
      <c r="CB35" s="176"/>
      <c r="CC35" s="176"/>
      <c r="CD35" s="175"/>
      <c r="CE35" s="5"/>
      <c r="CF35" s="175"/>
      <c r="CG35" s="175"/>
      <c r="CH35" s="11"/>
      <c r="CI35" s="11"/>
      <c r="CJ35" s="175"/>
      <c r="CK35" s="175"/>
      <c r="CL35" s="175"/>
    </row>
    <row r="36" spans="1:90">
      <c r="A36" s="4"/>
      <c r="B36" s="4" t="s">
        <v>640</v>
      </c>
      <c r="C36" s="138">
        <v>0</v>
      </c>
      <c r="D36" s="138">
        <v>0</v>
      </c>
      <c r="E36" s="138">
        <v>0</v>
      </c>
      <c r="F36" s="138">
        <v>0</v>
      </c>
      <c r="G36" s="138">
        <v>0</v>
      </c>
      <c r="H36" s="181">
        <v>1160</v>
      </c>
      <c r="I36" s="181">
        <v>1409</v>
      </c>
      <c r="J36" s="181">
        <v>1104</v>
      </c>
      <c r="K36" s="181">
        <v>1078</v>
      </c>
      <c r="L36" s="138">
        <f>K36</f>
        <v>1078</v>
      </c>
      <c r="M36" s="12">
        <v>1113</v>
      </c>
      <c r="N36" s="12">
        <v>0</v>
      </c>
      <c r="O36" s="12">
        <v>0</v>
      </c>
      <c r="P36" s="12">
        <v>1286</v>
      </c>
      <c r="Q36" s="5">
        <f t="shared" si="2"/>
        <v>1286</v>
      </c>
      <c r="R36" s="12">
        <v>0</v>
      </c>
      <c r="S36" s="12">
        <v>0</v>
      </c>
      <c r="T36" s="12">
        <v>0</v>
      </c>
      <c r="U36" s="12">
        <v>0</v>
      </c>
      <c r="V36" s="5">
        <f t="shared" si="3"/>
        <v>0</v>
      </c>
      <c r="W36" s="12">
        <v>0</v>
      </c>
      <c r="X36" s="12">
        <v>0</v>
      </c>
      <c r="Y36" s="12">
        <v>0</v>
      </c>
      <c r="Z36" s="12">
        <v>0</v>
      </c>
      <c r="AA36" s="5">
        <f t="shared" si="4"/>
        <v>0</v>
      </c>
      <c r="AB36" s="12">
        <v>0</v>
      </c>
      <c r="AC36" s="12">
        <v>2973</v>
      </c>
      <c r="AD36" s="12">
        <v>6566</v>
      </c>
      <c r="AE36" s="12">
        <v>4487</v>
      </c>
      <c r="AF36" s="5">
        <f t="shared" si="5"/>
        <v>4487</v>
      </c>
      <c r="AG36" s="12">
        <v>3600</v>
      </c>
      <c r="AH36" s="12">
        <v>7526</v>
      </c>
      <c r="AI36" s="12">
        <v>6091</v>
      </c>
      <c r="AJ36" s="12">
        <v>8420</v>
      </c>
      <c r="AK36" s="5">
        <f>AJ36</f>
        <v>8420</v>
      </c>
      <c r="AL36" s="12">
        <v>9860</v>
      </c>
      <c r="AM36" s="12">
        <v>8910</v>
      </c>
      <c r="AN36" s="12">
        <v>8525</v>
      </c>
      <c r="AO36" s="12">
        <v>19315</v>
      </c>
      <c r="AP36" s="5">
        <f>AO36</f>
        <v>19315</v>
      </c>
      <c r="AQ36" s="12">
        <v>4947</v>
      </c>
      <c r="AR36" s="12">
        <v>0</v>
      </c>
      <c r="AS36" s="12">
        <v>0</v>
      </c>
      <c r="AT36" s="12">
        <v>0</v>
      </c>
      <c r="AU36" s="5">
        <f>AT36</f>
        <v>0</v>
      </c>
      <c r="AV36" s="12">
        <v>1494</v>
      </c>
      <c r="AW36" s="12">
        <v>1475</v>
      </c>
      <c r="AX36" s="12">
        <v>1384</v>
      </c>
      <c r="AY36" s="181">
        <v>0</v>
      </c>
      <c r="AZ36" s="5">
        <f>AY36</f>
        <v>0</v>
      </c>
      <c r="BA36" s="181">
        <v>0</v>
      </c>
      <c r="BB36" s="181">
        <v>0</v>
      </c>
      <c r="BC36" s="181">
        <v>0</v>
      </c>
      <c r="BD36" s="181">
        <v>578</v>
      </c>
      <c r="BE36" s="5">
        <f>BD36</f>
        <v>578</v>
      </c>
      <c r="BF36" s="181">
        <v>641</v>
      </c>
      <c r="BG36" s="181">
        <v>4380</v>
      </c>
      <c r="BH36" s="181">
        <v>632</v>
      </c>
      <c r="BI36" s="181">
        <v>0</v>
      </c>
      <c r="BJ36" s="5">
        <f>BI36</f>
        <v>0</v>
      </c>
      <c r="BK36" s="181">
        <v>0</v>
      </c>
      <c r="BL36" s="181">
        <v>0</v>
      </c>
      <c r="BM36" s="181">
        <v>1892</v>
      </c>
      <c r="BN36" s="181">
        <v>0</v>
      </c>
      <c r="BO36" s="5">
        <f>BN36</f>
        <v>0</v>
      </c>
      <c r="BP36" s="209">
        <f>BN36</f>
        <v>0</v>
      </c>
      <c r="BQ36" s="209">
        <f>BP36</f>
        <v>0</v>
      </c>
      <c r="BR36" s="209">
        <f>BQ36</f>
        <v>0</v>
      </c>
      <c r="BS36" s="209">
        <f>BR36</f>
        <v>0</v>
      </c>
      <c r="BT36" s="5">
        <f>BS36</f>
        <v>0</v>
      </c>
      <c r="BU36" s="209">
        <f>BS36</f>
        <v>0</v>
      </c>
      <c r="BV36" s="209">
        <f>BU36</f>
        <v>0</v>
      </c>
      <c r="BW36" s="209">
        <f>BV36</f>
        <v>0</v>
      </c>
      <c r="BX36" s="209">
        <f>BW36</f>
        <v>0</v>
      </c>
      <c r="BY36" s="5">
        <f>BX36</f>
        <v>0</v>
      </c>
      <c r="BZ36" s="209">
        <f>BX36</f>
        <v>0</v>
      </c>
      <c r="CA36" s="209">
        <f>BZ36</f>
        <v>0</v>
      </c>
      <c r="CB36" s="209">
        <f>CA36</f>
        <v>0</v>
      </c>
      <c r="CC36" s="209">
        <f>CB36</f>
        <v>0</v>
      </c>
      <c r="CD36" s="5">
        <f>CC36</f>
        <v>0</v>
      </c>
      <c r="CE36" s="5"/>
      <c r="CF36" s="312" t="s">
        <v>2883</v>
      </c>
      <c r="CG36" s="175"/>
      <c r="CH36" s="11"/>
      <c r="CI36" s="11"/>
      <c r="CJ36" s="5"/>
      <c r="CK36" s="5"/>
      <c r="CL36" s="5"/>
    </row>
    <row r="37" spans="1:90">
      <c r="A37" s="4"/>
      <c r="B37" s="4"/>
      <c r="C37" s="5"/>
      <c r="D37" s="5"/>
      <c r="E37" s="5"/>
      <c r="F37" s="5"/>
      <c r="G37" s="138"/>
      <c r="H37" s="181"/>
      <c r="I37" s="181"/>
      <c r="J37" s="181"/>
      <c r="K37" s="181"/>
      <c r="L37" s="138"/>
      <c r="M37" s="12"/>
      <c r="N37" s="12"/>
      <c r="O37" s="12"/>
      <c r="P37" s="12"/>
      <c r="Q37" s="5"/>
      <c r="R37" s="12"/>
      <c r="S37" s="12"/>
      <c r="T37" s="12"/>
      <c r="U37" s="12"/>
      <c r="V37" s="5"/>
      <c r="W37" s="12"/>
      <c r="X37" s="12"/>
      <c r="Y37" s="12"/>
      <c r="Z37" s="12"/>
      <c r="AA37" s="5"/>
      <c r="AB37" s="12"/>
      <c r="AC37" s="12"/>
      <c r="AD37" s="12"/>
      <c r="AE37" s="12"/>
      <c r="AF37" s="5"/>
      <c r="AG37" s="12"/>
      <c r="AH37" s="12"/>
      <c r="AI37" s="12"/>
      <c r="AJ37" s="12"/>
      <c r="AK37" s="5"/>
      <c r="AL37" s="12"/>
      <c r="AM37" s="12"/>
      <c r="AN37" s="12"/>
      <c r="AO37" s="12"/>
      <c r="AP37" s="5"/>
      <c r="AQ37" s="12"/>
      <c r="AR37" s="12"/>
      <c r="AS37" s="12"/>
      <c r="AT37" s="12"/>
      <c r="AU37" s="5"/>
      <c r="AV37" s="12"/>
      <c r="AW37" s="12"/>
      <c r="AX37" s="12"/>
      <c r="AY37" s="181"/>
      <c r="AZ37" s="5"/>
      <c r="BA37" s="181"/>
      <c r="BB37" s="181"/>
      <c r="BC37" s="181"/>
      <c r="BD37" s="181"/>
      <c r="BE37" s="5"/>
      <c r="BF37" s="181"/>
      <c r="BG37" s="181"/>
      <c r="BH37" s="181"/>
      <c r="BI37" s="181"/>
      <c r="BJ37" s="5"/>
      <c r="BK37" s="181"/>
      <c r="BL37" s="181"/>
      <c r="BM37" s="181"/>
      <c r="BN37" s="181"/>
      <c r="BO37" s="5"/>
      <c r="BP37" s="12"/>
      <c r="BQ37" s="12"/>
      <c r="BR37" s="12"/>
      <c r="BS37" s="12"/>
      <c r="BT37" s="5"/>
      <c r="BU37" s="12"/>
      <c r="BV37" s="12"/>
      <c r="BW37" s="12"/>
      <c r="BX37" s="12"/>
      <c r="BY37" s="5"/>
      <c r="BZ37" s="12"/>
      <c r="CA37" s="12"/>
      <c r="CB37" s="12"/>
      <c r="CC37" s="12"/>
      <c r="CD37" s="5"/>
      <c r="CE37" s="5"/>
      <c r="CF37" s="5"/>
      <c r="CG37" s="5"/>
      <c r="CH37" s="11"/>
      <c r="CI37" s="11"/>
      <c r="CJ37" s="5"/>
      <c r="CK37" s="5"/>
      <c r="CL37" s="5"/>
    </row>
    <row r="38" spans="1:90">
      <c r="A38" s="14" t="s">
        <v>3367</v>
      </c>
      <c r="B38" s="14"/>
      <c r="C38" s="174">
        <f>SUM(C23,C34,C36)</f>
        <v>141704</v>
      </c>
      <c r="D38" s="174">
        <f>SUM(D23,D34,D36)</f>
        <v>155455</v>
      </c>
      <c r="E38" s="174">
        <f>SUM(E23,E34,E36)</f>
        <v>172491</v>
      </c>
      <c r="F38" s="174">
        <f>SUM(F23,F34,F36)</f>
        <v>194630</v>
      </c>
      <c r="G38" s="174">
        <f>SUM(G23,G34,G36)</f>
        <v>206914</v>
      </c>
      <c r="H38" s="177">
        <f>H23+H34+H36</f>
        <v>207094</v>
      </c>
      <c r="I38" s="177">
        <f>I23+I34+I36</f>
        <v>211967</v>
      </c>
      <c r="J38" s="177">
        <f>J23+J34+J36</f>
        <v>213526</v>
      </c>
      <c r="K38" s="177">
        <f>K23+K34+K36</f>
        <v>217601</v>
      </c>
      <c r="L38" s="174">
        <f>SUM(L23,L34,L36)</f>
        <v>217601</v>
      </c>
      <c r="M38" s="16">
        <v>216856</v>
      </c>
      <c r="N38" s="16">
        <v>221894</v>
      </c>
      <c r="O38" s="16">
        <v>225611</v>
      </c>
      <c r="P38" s="16">
        <v>236076</v>
      </c>
      <c r="Q38" s="15">
        <f>SUM(Q23,Q34,Q36)</f>
        <v>236076</v>
      </c>
      <c r="R38" s="16">
        <v>251812</v>
      </c>
      <c r="S38" s="16">
        <v>283042</v>
      </c>
      <c r="T38" s="16">
        <v>256122</v>
      </c>
      <c r="U38" s="16">
        <v>228238</v>
      </c>
      <c r="V38" s="15">
        <f>SUM(V23,V34,V36)</f>
        <v>228238</v>
      </c>
      <c r="W38" s="16">
        <v>223203</v>
      </c>
      <c r="X38" s="16">
        <v>233359</v>
      </c>
      <c r="Y38" s="16">
        <v>235145</v>
      </c>
      <c r="Z38" s="16">
        <v>235968</v>
      </c>
      <c r="AA38" s="15">
        <f>SUM(AA23,AA34,AA36)</f>
        <v>235968</v>
      </c>
      <c r="AB38" s="16">
        <v>240637</v>
      </c>
      <c r="AC38" s="16">
        <v>248615</v>
      </c>
      <c r="AD38" s="16">
        <v>257113</v>
      </c>
      <c r="AE38" s="16">
        <f>SUM(AE36,AE34,AE23)</f>
        <v>272262</v>
      </c>
      <c r="AF38" s="15">
        <f>SUM(AF36,AF34,AF23)</f>
        <v>272262</v>
      </c>
      <c r="AG38" s="16">
        <f>SUM(AG36,AG34,AG23)</f>
        <v>286722</v>
      </c>
      <c r="AH38" s="16">
        <f t="shared" ref="AH38:BG38" si="34">SUM(AH23,AH34,AH36)</f>
        <v>291223</v>
      </c>
      <c r="AI38" s="16">
        <f t="shared" si="34"/>
        <v>291095</v>
      </c>
      <c r="AJ38" s="16">
        <f t="shared" si="34"/>
        <v>290927</v>
      </c>
      <c r="AK38" s="15">
        <f t="shared" si="34"/>
        <v>290927</v>
      </c>
      <c r="AL38" s="16">
        <f t="shared" si="34"/>
        <v>303544</v>
      </c>
      <c r="AM38" s="16">
        <f t="shared" si="34"/>
        <v>292558</v>
      </c>
      <c r="AN38" s="16">
        <f t="shared" si="34"/>
        <v>302258</v>
      </c>
      <c r="AO38" s="16">
        <f t="shared" si="34"/>
        <v>300987</v>
      </c>
      <c r="AP38" s="15">
        <f t="shared" si="34"/>
        <v>300987</v>
      </c>
      <c r="AQ38" s="16">
        <f t="shared" si="34"/>
        <v>310810</v>
      </c>
      <c r="AR38" s="16">
        <f t="shared" si="34"/>
        <v>307252</v>
      </c>
      <c r="AS38" s="16">
        <f t="shared" si="34"/>
        <v>311389</v>
      </c>
      <c r="AT38" s="16">
        <f t="shared" si="34"/>
        <v>305690</v>
      </c>
      <c r="AU38" s="15">
        <f t="shared" si="34"/>
        <v>305690</v>
      </c>
      <c r="AV38" s="16">
        <f t="shared" si="34"/>
        <v>310274</v>
      </c>
      <c r="AW38" s="16">
        <f t="shared" si="34"/>
        <v>315455</v>
      </c>
      <c r="AX38" s="16">
        <f t="shared" si="34"/>
        <v>309692</v>
      </c>
      <c r="AY38" s="177">
        <f t="shared" si="34"/>
        <v>284305</v>
      </c>
      <c r="AZ38" s="15">
        <f>SUM(AZ23,AZ34,AZ36)</f>
        <v>284305</v>
      </c>
      <c r="BA38" s="177">
        <f t="shared" si="34"/>
        <v>282411</v>
      </c>
      <c r="BB38" s="177">
        <f t="shared" si="34"/>
        <v>285431</v>
      </c>
      <c r="BC38" s="177">
        <f t="shared" si="34"/>
        <v>273299</v>
      </c>
      <c r="BD38" s="177">
        <f t="shared" si="34"/>
        <v>261832</v>
      </c>
      <c r="BE38" s="15">
        <f t="shared" si="34"/>
        <v>261832</v>
      </c>
      <c r="BF38" s="177">
        <f t="shared" si="34"/>
        <v>258848</v>
      </c>
      <c r="BG38" s="177">
        <f t="shared" si="34"/>
        <v>263136</v>
      </c>
      <c r="BH38" s="177">
        <f t="shared" ref="BH38:CD38" si="35">SUM(BH23,BH34,BH36)</f>
        <v>262216</v>
      </c>
      <c r="BI38" s="177">
        <f t="shared" si="35"/>
        <v>263316</v>
      </c>
      <c r="BJ38" s="15">
        <f t="shared" si="35"/>
        <v>263316</v>
      </c>
      <c r="BK38" s="177">
        <f t="shared" si="35"/>
        <v>264959</v>
      </c>
      <c r="BL38" s="177">
        <f t="shared" si="35"/>
        <v>263115</v>
      </c>
      <c r="BM38" s="177">
        <f t="shared" si="35"/>
        <v>271489</v>
      </c>
      <c r="BN38" s="177">
        <f t="shared" si="35"/>
        <v>276515</v>
      </c>
      <c r="BO38" s="15">
        <f t="shared" ref="BO38" si="36">SUM(BO23,BO34,BO36)</f>
        <v>276515</v>
      </c>
      <c r="BP38" s="16">
        <f t="shared" ca="1" si="35"/>
        <v>275929.60080864921</v>
      </c>
      <c r="BQ38" s="16">
        <f t="shared" ca="1" si="35"/>
        <v>275938.54463986732</v>
      </c>
      <c r="BR38" s="16">
        <f t="shared" ca="1" si="35"/>
        <v>274985.23488377221</v>
      </c>
      <c r="BS38" s="16">
        <f t="shared" ca="1" si="35"/>
        <v>274326.0786269891</v>
      </c>
      <c r="BT38" s="15">
        <f t="shared" ca="1" si="35"/>
        <v>274326.0786269891</v>
      </c>
      <c r="BU38" s="16">
        <f t="shared" ca="1" si="35"/>
        <v>272708.38058393926</v>
      </c>
      <c r="BV38" s="16">
        <f t="shared" ca="1" si="35"/>
        <v>272002.7993318775</v>
      </c>
      <c r="BW38" s="16">
        <f t="shared" ca="1" si="35"/>
        <v>270913.28825544508</v>
      </c>
      <c r="BX38" s="16">
        <f t="shared" ca="1" si="35"/>
        <v>270199.2792023815</v>
      </c>
      <c r="BY38" s="15">
        <f t="shared" ca="1" si="35"/>
        <v>270199.2792023815</v>
      </c>
      <c r="BZ38" s="16">
        <f t="shared" ca="1" si="35"/>
        <v>269862.37719769886</v>
      </c>
      <c r="CA38" s="16">
        <f t="shared" ca="1" si="35"/>
        <v>269520.10110052594</v>
      </c>
      <c r="CB38" s="16">
        <f t="shared" ca="1" si="35"/>
        <v>268706.09694625367</v>
      </c>
      <c r="CC38" s="16">
        <f t="shared" ca="1" si="35"/>
        <v>268354.37530440104</v>
      </c>
      <c r="CD38" s="15">
        <f t="shared" ca="1" si="35"/>
        <v>268354.37530440104</v>
      </c>
      <c r="CE38" s="5"/>
      <c r="CF38" s="8"/>
      <c r="CG38" s="8"/>
      <c r="CH38" s="11"/>
      <c r="CI38" s="11"/>
      <c r="CJ38" s="8"/>
      <c r="CK38" s="8"/>
      <c r="CL38" s="8"/>
    </row>
    <row r="39" spans="1:90">
      <c r="A39" s="4"/>
      <c r="B39" s="4"/>
      <c r="C39" s="138"/>
      <c r="D39" s="138"/>
      <c r="E39" s="138"/>
      <c r="F39" s="138"/>
      <c r="G39" s="138"/>
      <c r="H39" s="181"/>
      <c r="I39" s="181"/>
      <c r="J39" s="181"/>
      <c r="K39" s="181"/>
      <c r="L39" s="138"/>
      <c r="M39" s="12"/>
      <c r="N39" s="12"/>
      <c r="O39" s="12"/>
      <c r="P39" s="12"/>
      <c r="Q39" s="5"/>
      <c r="R39" s="12"/>
      <c r="S39" s="12"/>
      <c r="T39" s="12"/>
      <c r="U39" s="12"/>
      <c r="V39" s="5"/>
      <c r="W39" s="12"/>
      <c r="X39" s="12"/>
      <c r="Y39" s="12"/>
      <c r="Z39" s="12"/>
      <c r="AA39" s="5"/>
      <c r="AB39" s="12"/>
      <c r="AC39" s="12"/>
      <c r="AD39" s="12"/>
      <c r="AE39" s="12"/>
      <c r="AF39" s="5"/>
      <c r="AG39" s="12"/>
      <c r="AH39" s="12"/>
      <c r="AI39" s="12"/>
      <c r="AJ39" s="12"/>
      <c r="AK39" s="5"/>
      <c r="AL39" s="12"/>
      <c r="AM39" s="12"/>
      <c r="AN39" s="12"/>
      <c r="AO39" s="12"/>
      <c r="AP39" s="5"/>
      <c r="AQ39" s="12"/>
      <c r="AR39" s="12"/>
      <c r="AS39" s="12"/>
      <c r="AT39" s="12"/>
      <c r="AU39" s="5"/>
      <c r="AV39" s="12"/>
      <c r="AW39" s="12"/>
      <c r="AX39" s="12"/>
      <c r="AY39" s="181"/>
      <c r="AZ39" s="5"/>
      <c r="BA39" s="181"/>
      <c r="BB39" s="181"/>
      <c r="BC39" s="181"/>
      <c r="BD39" s="181"/>
      <c r="BE39" s="5"/>
      <c r="BF39" s="181"/>
      <c r="BG39" s="181"/>
      <c r="BH39" s="181"/>
      <c r="BI39" s="181"/>
      <c r="BJ39" s="5"/>
      <c r="BK39" s="181"/>
      <c r="BL39" s="181"/>
      <c r="BM39" s="181"/>
      <c r="BN39" s="181"/>
      <c r="BO39" s="5"/>
      <c r="BP39" s="12"/>
      <c r="BQ39" s="12"/>
      <c r="BR39" s="12"/>
      <c r="BS39" s="12"/>
      <c r="BT39" s="5"/>
      <c r="BU39" s="12"/>
      <c r="BV39" s="12"/>
      <c r="BW39" s="12"/>
      <c r="BX39" s="12"/>
      <c r="BY39" s="5"/>
      <c r="BZ39" s="12"/>
      <c r="CA39" s="12"/>
      <c r="CB39" s="12"/>
      <c r="CC39" s="12"/>
      <c r="CD39" s="5"/>
      <c r="CE39" s="5"/>
      <c r="CF39" s="5"/>
      <c r="CG39" s="5"/>
      <c r="CH39" s="11"/>
      <c r="CI39" s="11"/>
      <c r="CJ39" s="5"/>
      <c r="CK39" s="5"/>
      <c r="CL39" s="5"/>
    </row>
    <row r="40" spans="1:90">
      <c r="A40" s="7" t="s">
        <v>2717</v>
      </c>
      <c r="B40" s="4"/>
      <c r="C40" s="138"/>
      <c r="D40" s="138"/>
      <c r="E40" s="138"/>
      <c r="F40" s="138"/>
      <c r="G40" s="138"/>
      <c r="H40" s="181"/>
      <c r="I40" s="181"/>
      <c r="J40" s="181"/>
      <c r="K40" s="181"/>
      <c r="L40" s="138"/>
      <c r="M40" s="12"/>
      <c r="N40" s="12"/>
      <c r="O40" s="12"/>
      <c r="P40" s="12"/>
      <c r="Q40" s="5"/>
      <c r="R40" s="12"/>
      <c r="S40" s="12"/>
      <c r="T40" s="12"/>
      <c r="U40" s="12"/>
      <c r="V40" s="5"/>
      <c r="W40" s="12"/>
      <c r="X40" s="12"/>
      <c r="Y40" s="12"/>
      <c r="Z40" s="12"/>
      <c r="AA40" s="5"/>
      <c r="AB40" s="12"/>
      <c r="AC40" s="12"/>
      <c r="AD40" s="12"/>
      <c r="AE40" s="12"/>
      <c r="AF40" s="5"/>
      <c r="AG40" s="12"/>
      <c r="AH40" s="12"/>
      <c r="AI40" s="12"/>
      <c r="AJ40" s="12"/>
      <c r="AK40" s="5"/>
      <c r="AL40" s="12"/>
      <c r="AM40" s="12"/>
      <c r="AN40" s="12"/>
      <c r="AO40" s="12"/>
      <c r="AP40" s="5"/>
      <c r="AQ40" s="12"/>
      <c r="AR40" s="12"/>
      <c r="AS40" s="12"/>
      <c r="AT40" s="12"/>
      <c r="AU40" s="5"/>
      <c r="AV40" s="12"/>
      <c r="AW40" s="12"/>
      <c r="AX40" s="12"/>
      <c r="AY40" s="181"/>
      <c r="AZ40" s="5"/>
      <c r="BA40" s="181"/>
      <c r="BB40" s="181"/>
      <c r="BC40" s="181"/>
      <c r="BD40" s="181"/>
      <c r="BE40" s="5"/>
      <c r="BF40" s="181"/>
      <c r="BG40" s="181"/>
      <c r="BH40" s="181"/>
      <c r="BI40" s="181"/>
      <c r="BJ40" s="5"/>
      <c r="BK40" s="181"/>
      <c r="BL40" s="181"/>
      <c r="BM40" s="181"/>
      <c r="BN40" s="181"/>
      <c r="BO40" s="5"/>
      <c r="BP40" s="12"/>
      <c r="BQ40" s="12"/>
      <c r="BR40" s="12"/>
      <c r="BS40" s="12"/>
      <c r="BT40" s="5"/>
      <c r="BU40" s="12"/>
      <c r="BV40" s="12"/>
      <c r="BW40" s="12"/>
      <c r="BX40" s="12"/>
      <c r="BY40" s="5"/>
      <c r="BZ40" s="12"/>
      <c r="CA40" s="12"/>
      <c r="CB40" s="12"/>
      <c r="CC40" s="12"/>
      <c r="CD40" s="5"/>
      <c r="CE40" s="5"/>
      <c r="CF40" s="5"/>
      <c r="CG40" s="5"/>
      <c r="CH40" s="11"/>
      <c r="CI40" s="11"/>
      <c r="CJ40" s="5"/>
      <c r="CK40" s="5"/>
      <c r="CL40" s="5"/>
    </row>
    <row r="41" spans="1:90">
      <c r="A41" s="4"/>
      <c r="B41" s="4" t="s">
        <v>3368</v>
      </c>
      <c r="C41" s="138">
        <v>25068</v>
      </c>
      <c r="D41" s="138">
        <v>32795</v>
      </c>
      <c r="E41" s="138">
        <v>29740</v>
      </c>
      <c r="F41" s="138">
        <v>38540</v>
      </c>
      <c r="G41" s="138">
        <v>42136</v>
      </c>
      <c r="H41" s="181">
        <v>42712</v>
      </c>
      <c r="I41" s="181">
        <v>43323</v>
      </c>
      <c r="J41" s="181">
        <v>40589</v>
      </c>
      <c r="K41" s="181">
        <v>42236</v>
      </c>
      <c r="L41" s="138">
        <f t="shared" ref="L41:L46" si="37">K41</f>
        <v>42236</v>
      </c>
      <c r="M41" s="12">
        <v>43681</v>
      </c>
      <c r="N41" s="12">
        <v>42634</v>
      </c>
      <c r="O41" s="12">
        <v>42649</v>
      </c>
      <c r="P41" s="12">
        <v>43152</v>
      </c>
      <c r="Q41" s="5">
        <f t="shared" si="2"/>
        <v>43152</v>
      </c>
      <c r="R41" s="12">
        <v>47546</v>
      </c>
      <c r="S41" s="12">
        <v>54029</v>
      </c>
      <c r="T41" s="12">
        <v>43948</v>
      </c>
      <c r="U41" s="12">
        <v>33644</v>
      </c>
      <c r="V41" s="5">
        <f t="shared" si="3"/>
        <v>33644</v>
      </c>
      <c r="W41" s="12">
        <v>31031</v>
      </c>
      <c r="X41" s="12">
        <v>34764</v>
      </c>
      <c r="Y41" s="12">
        <v>33597</v>
      </c>
      <c r="Z41" s="12">
        <v>35204</v>
      </c>
      <c r="AA41" s="5">
        <f t="shared" si="4"/>
        <v>35204</v>
      </c>
      <c r="AB41" s="12">
        <v>38146</v>
      </c>
      <c r="AC41" s="12">
        <v>45502</v>
      </c>
      <c r="AD41" s="12">
        <v>43890</v>
      </c>
      <c r="AE41" s="12">
        <v>46329</v>
      </c>
      <c r="AF41" s="5">
        <f t="shared" si="5"/>
        <v>46329</v>
      </c>
      <c r="AG41" s="12">
        <v>51345</v>
      </c>
      <c r="AH41" s="12">
        <v>51010</v>
      </c>
      <c r="AI41" s="12">
        <v>52736</v>
      </c>
      <c r="AJ41" s="12">
        <v>52405</v>
      </c>
      <c r="AK41" s="5">
        <f t="shared" ref="AK41:AK46" si="38">AJ41</f>
        <v>52405</v>
      </c>
      <c r="AL41" s="12">
        <v>53994</v>
      </c>
      <c r="AM41" s="12">
        <v>47149</v>
      </c>
      <c r="AN41" s="12">
        <v>48829</v>
      </c>
      <c r="AO41" s="12">
        <v>47154</v>
      </c>
      <c r="AP41" s="175">
        <f t="shared" ref="AP41:AP46" si="39">AO41</f>
        <v>47154</v>
      </c>
      <c r="AQ41" s="12">
        <v>49787</v>
      </c>
      <c r="AR41" s="12">
        <v>47831</v>
      </c>
      <c r="AS41" s="12">
        <v>48309</v>
      </c>
      <c r="AT41" s="12">
        <v>47159</v>
      </c>
      <c r="AU41" s="5">
        <f t="shared" ref="AU41:AU46" si="40">AT41</f>
        <v>47159</v>
      </c>
      <c r="AV41" s="12">
        <v>49637</v>
      </c>
      <c r="AW41" s="12">
        <v>50025</v>
      </c>
      <c r="AX41" s="12">
        <v>49394</v>
      </c>
      <c r="AY41" s="181">
        <v>40118</v>
      </c>
      <c r="AZ41" s="5">
        <f t="shared" ref="AZ41:AZ46" si="41">AY41</f>
        <v>40118</v>
      </c>
      <c r="BA41" s="181">
        <v>37817</v>
      </c>
      <c r="BB41" s="181">
        <v>40077</v>
      </c>
      <c r="BC41" s="181">
        <v>34700</v>
      </c>
      <c r="BD41" s="181">
        <v>31949</v>
      </c>
      <c r="BE41" s="5">
        <f t="shared" ref="BE41:BE46" si="42">BD41</f>
        <v>31949</v>
      </c>
      <c r="BF41" s="181">
        <v>33530</v>
      </c>
      <c r="BG41" s="181">
        <v>36561</v>
      </c>
      <c r="BH41" s="181">
        <v>34662</v>
      </c>
      <c r="BI41" s="181">
        <v>37915</v>
      </c>
      <c r="BJ41" s="5">
        <f t="shared" ref="BJ41:BJ46" si="43">BI41</f>
        <v>37915</v>
      </c>
      <c r="BK41" s="181">
        <v>37548</v>
      </c>
      <c r="BL41" s="181">
        <v>36642</v>
      </c>
      <c r="BM41" s="181">
        <v>39965</v>
      </c>
      <c r="BN41" s="181">
        <v>44209</v>
      </c>
      <c r="BO41" s="5">
        <f t="shared" ref="BO41:BO46" si="44">BN41</f>
        <v>44209</v>
      </c>
      <c r="BP41" s="12">
        <f t="shared" ref="BP41:CC41" si="45">BP171+BP147</f>
        <v>38683.186379128412</v>
      </c>
      <c r="BQ41" s="12">
        <f t="shared" si="45"/>
        <v>39119.824035225749</v>
      </c>
      <c r="BR41" s="12">
        <f t="shared" si="45"/>
        <v>38783.770347587801</v>
      </c>
      <c r="BS41" s="12">
        <f t="shared" si="45"/>
        <v>38491.389770776885</v>
      </c>
      <c r="BT41" s="5">
        <f t="shared" ref="BT41:BT46" si="46">BS41</f>
        <v>38491.389770776885</v>
      </c>
      <c r="BU41" s="12">
        <f t="shared" si="45"/>
        <v>37904.122361554175</v>
      </c>
      <c r="BV41" s="12">
        <f t="shared" si="45"/>
        <v>37796.060428447599</v>
      </c>
      <c r="BW41" s="12">
        <f t="shared" si="45"/>
        <v>37685.037894433997</v>
      </c>
      <c r="BX41" s="12">
        <f t="shared" si="45"/>
        <v>37574.015360420388</v>
      </c>
      <c r="BY41" s="5">
        <f t="shared" ref="BY41:BY46" si="47">BX41</f>
        <v>37574.015360420388</v>
      </c>
      <c r="BZ41" s="12">
        <f t="shared" si="45"/>
        <v>38213.999123930349</v>
      </c>
      <c r="CA41" s="12">
        <f t="shared" si="45"/>
        <v>37762.914174248101</v>
      </c>
      <c r="CB41" s="12">
        <f t="shared" si="45"/>
        <v>38022.47017269252</v>
      </c>
      <c r="CC41" s="12">
        <f t="shared" si="45"/>
        <v>38282.534387856256</v>
      </c>
      <c r="CD41" s="5">
        <f t="shared" ref="CD41:CD46" si="48">CC41</f>
        <v>38282.534387856256</v>
      </c>
      <c r="CE41" s="5"/>
      <c r="CF41" s="316"/>
      <c r="CG41" s="5"/>
      <c r="CH41" s="11"/>
      <c r="CI41" s="11"/>
      <c r="CJ41" s="5"/>
      <c r="CK41" s="5"/>
      <c r="CL41" s="5"/>
    </row>
    <row r="42" spans="1:90">
      <c r="A42" s="202"/>
      <c r="B42" s="202" t="s">
        <v>635</v>
      </c>
      <c r="C42" s="205">
        <v>0</v>
      </c>
      <c r="D42" s="205">
        <v>0</v>
      </c>
      <c r="E42" s="205">
        <v>4145</v>
      </c>
      <c r="F42" s="205">
        <v>5074</v>
      </c>
      <c r="G42" s="205">
        <v>10036</v>
      </c>
      <c r="H42" s="206">
        <v>8560</v>
      </c>
      <c r="I42" s="206">
        <v>9359</v>
      </c>
      <c r="J42" s="206">
        <v>10934</v>
      </c>
      <c r="K42" s="206">
        <v>9424</v>
      </c>
      <c r="L42" s="205">
        <f t="shared" si="37"/>
        <v>9424</v>
      </c>
      <c r="M42" s="176">
        <v>7508</v>
      </c>
      <c r="N42" s="176">
        <v>6736</v>
      </c>
      <c r="O42" s="176">
        <v>6954</v>
      </c>
      <c r="P42" s="176">
        <v>6405</v>
      </c>
      <c r="Q42" s="175">
        <f t="shared" si="2"/>
        <v>6405</v>
      </c>
      <c r="R42" s="176">
        <v>8356</v>
      </c>
      <c r="S42" s="176">
        <v>15593</v>
      </c>
      <c r="T42" s="176">
        <v>9187</v>
      </c>
      <c r="U42" s="176">
        <v>8977</v>
      </c>
      <c r="V42" s="175">
        <f t="shared" si="3"/>
        <v>8977</v>
      </c>
      <c r="W42" s="176">
        <v>7983</v>
      </c>
      <c r="X42" s="176">
        <v>6181</v>
      </c>
      <c r="Y42" s="176">
        <v>4828</v>
      </c>
      <c r="Z42" s="176">
        <v>4681</v>
      </c>
      <c r="AA42" s="175">
        <f t="shared" si="4"/>
        <v>4681</v>
      </c>
      <c r="AB42" s="176">
        <v>5530</v>
      </c>
      <c r="AC42" s="176">
        <v>4583</v>
      </c>
      <c r="AD42" s="176">
        <v>4198</v>
      </c>
      <c r="AE42" s="176">
        <v>3856</v>
      </c>
      <c r="AF42" s="175">
        <f t="shared" si="5"/>
        <v>3856</v>
      </c>
      <c r="AG42" s="176">
        <v>4309</v>
      </c>
      <c r="AH42" s="176">
        <v>3273</v>
      </c>
      <c r="AI42" s="176">
        <v>3523</v>
      </c>
      <c r="AJ42" s="176">
        <v>3220</v>
      </c>
      <c r="AK42" s="175">
        <f t="shared" si="38"/>
        <v>3220</v>
      </c>
      <c r="AL42" s="176">
        <v>3545</v>
      </c>
      <c r="AM42" s="176">
        <v>3417</v>
      </c>
      <c r="AN42" s="176">
        <v>3063</v>
      </c>
      <c r="AO42" s="176">
        <v>2658</v>
      </c>
      <c r="AP42" s="175">
        <f t="shared" si="39"/>
        <v>2658</v>
      </c>
      <c r="AQ42" s="176">
        <v>2503</v>
      </c>
      <c r="AR42" s="176">
        <v>2365</v>
      </c>
      <c r="AS42" s="176">
        <v>2296</v>
      </c>
      <c r="AT42" s="176">
        <v>2322</v>
      </c>
      <c r="AU42" s="175">
        <f t="shared" si="40"/>
        <v>2322</v>
      </c>
      <c r="AV42" s="176">
        <v>2280</v>
      </c>
      <c r="AW42" s="176">
        <v>2323</v>
      </c>
      <c r="AX42" s="176">
        <v>2140</v>
      </c>
      <c r="AY42" s="206">
        <v>3689</v>
      </c>
      <c r="AZ42" s="175">
        <f t="shared" si="41"/>
        <v>3689</v>
      </c>
      <c r="BA42" s="206">
        <v>3167</v>
      </c>
      <c r="BB42" s="206">
        <v>2863</v>
      </c>
      <c r="BC42" s="206">
        <v>2844</v>
      </c>
      <c r="BD42" s="206">
        <v>3239</v>
      </c>
      <c r="BE42" s="175">
        <f t="shared" si="42"/>
        <v>3239</v>
      </c>
      <c r="BF42" s="206">
        <v>2891</v>
      </c>
      <c r="BG42" s="206">
        <v>2139</v>
      </c>
      <c r="BH42" s="206">
        <v>2325</v>
      </c>
      <c r="BI42" s="206">
        <v>2991</v>
      </c>
      <c r="BJ42" s="175">
        <f t="shared" si="43"/>
        <v>2991</v>
      </c>
      <c r="BK42" s="206">
        <v>2330</v>
      </c>
      <c r="BL42" s="206">
        <v>2295</v>
      </c>
      <c r="BM42" s="206">
        <v>2154</v>
      </c>
      <c r="BN42" s="206">
        <v>2808</v>
      </c>
      <c r="BO42" s="175">
        <f t="shared" si="44"/>
        <v>2808</v>
      </c>
      <c r="BP42" s="176">
        <f t="shared" ref="BP42:BS43" si="49">BO42</f>
        <v>2808</v>
      </c>
      <c r="BQ42" s="176">
        <f t="shared" si="49"/>
        <v>2808</v>
      </c>
      <c r="BR42" s="176">
        <f t="shared" si="49"/>
        <v>2808</v>
      </c>
      <c r="BS42" s="176">
        <f t="shared" si="49"/>
        <v>2808</v>
      </c>
      <c r="BT42" s="175">
        <f t="shared" si="46"/>
        <v>2808</v>
      </c>
      <c r="BU42" s="176">
        <f t="shared" ref="BU42:BX43" si="50">BT42</f>
        <v>2808</v>
      </c>
      <c r="BV42" s="176">
        <f t="shared" si="50"/>
        <v>2808</v>
      </c>
      <c r="BW42" s="176">
        <f t="shared" si="50"/>
        <v>2808</v>
      </c>
      <c r="BX42" s="176">
        <f t="shared" si="50"/>
        <v>2808</v>
      </c>
      <c r="BY42" s="175">
        <f t="shared" si="47"/>
        <v>2808</v>
      </c>
      <c r="BZ42" s="176">
        <f t="shared" ref="BZ42:CC43" si="51">BY42</f>
        <v>2808</v>
      </c>
      <c r="CA42" s="176">
        <f t="shared" si="51"/>
        <v>2808</v>
      </c>
      <c r="CB42" s="176">
        <f t="shared" si="51"/>
        <v>2808</v>
      </c>
      <c r="CC42" s="176">
        <f t="shared" si="51"/>
        <v>2808</v>
      </c>
      <c r="CD42" s="175">
        <f t="shared" si="48"/>
        <v>2808</v>
      </c>
      <c r="CE42" s="5"/>
      <c r="CF42" s="314" t="s">
        <v>2884</v>
      </c>
      <c r="CG42" s="5"/>
      <c r="CH42" s="11"/>
      <c r="CI42" s="11"/>
      <c r="CJ42" s="175"/>
      <c r="CK42" s="175"/>
      <c r="CL42" s="175"/>
    </row>
    <row r="43" spans="1:90">
      <c r="A43" s="202"/>
      <c r="B43" s="202" t="s">
        <v>641</v>
      </c>
      <c r="C43" s="205">
        <v>0</v>
      </c>
      <c r="D43" s="205">
        <v>0</v>
      </c>
      <c r="E43" s="205">
        <v>2266</v>
      </c>
      <c r="F43" s="205">
        <v>4482</v>
      </c>
      <c r="G43" s="205">
        <v>5017</v>
      </c>
      <c r="H43" s="206">
        <v>5845</v>
      </c>
      <c r="I43" s="206">
        <v>5328</v>
      </c>
      <c r="J43" s="206">
        <v>5708</v>
      </c>
      <c r="K43" s="206">
        <v>6147</v>
      </c>
      <c r="L43" s="205">
        <f t="shared" si="37"/>
        <v>6147</v>
      </c>
      <c r="M43" s="176">
        <v>5467</v>
      </c>
      <c r="N43" s="176">
        <v>5803</v>
      </c>
      <c r="O43" s="176">
        <v>6522</v>
      </c>
      <c r="P43" s="176">
        <v>6640</v>
      </c>
      <c r="Q43" s="175">
        <f t="shared" si="2"/>
        <v>6640</v>
      </c>
      <c r="R43" s="176">
        <v>6466</v>
      </c>
      <c r="S43" s="176">
        <v>7019</v>
      </c>
      <c r="T43" s="176">
        <v>6825</v>
      </c>
      <c r="U43" s="176">
        <v>6743</v>
      </c>
      <c r="V43" s="175">
        <f t="shared" si="3"/>
        <v>6743</v>
      </c>
      <c r="W43" s="176">
        <v>5313</v>
      </c>
      <c r="X43" s="176">
        <v>5815</v>
      </c>
      <c r="Y43" s="176">
        <v>6205</v>
      </c>
      <c r="Z43" s="176">
        <v>6202</v>
      </c>
      <c r="AA43" s="175">
        <f t="shared" si="4"/>
        <v>6202</v>
      </c>
      <c r="AB43" s="176">
        <v>5482</v>
      </c>
      <c r="AC43" s="176">
        <v>5484</v>
      </c>
      <c r="AD43" s="176">
        <v>5596</v>
      </c>
      <c r="AE43" s="176">
        <v>5612</v>
      </c>
      <c r="AF43" s="175">
        <f t="shared" si="5"/>
        <v>5612</v>
      </c>
      <c r="AG43" s="176">
        <v>5273</v>
      </c>
      <c r="AH43" s="176">
        <v>6126</v>
      </c>
      <c r="AI43" s="176">
        <v>6181</v>
      </c>
      <c r="AJ43" s="176">
        <v>5932</v>
      </c>
      <c r="AK43" s="175">
        <f t="shared" si="38"/>
        <v>5932</v>
      </c>
      <c r="AL43" s="176">
        <v>5711</v>
      </c>
      <c r="AM43" s="176">
        <v>6185</v>
      </c>
      <c r="AN43" s="176">
        <v>7246</v>
      </c>
      <c r="AO43" s="176">
        <v>6810</v>
      </c>
      <c r="AP43" s="175">
        <f t="shared" si="39"/>
        <v>6810</v>
      </c>
      <c r="AQ43" s="176">
        <v>6688</v>
      </c>
      <c r="AR43" s="176">
        <v>6811</v>
      </c>
      <c r="AS43" s="176">
        <v>7495</v>
      </c>
      <c r="AT43" s="176">
        <v>8960</v>
      </c>
      <c r="AU43" s="175">
        <f t="shared" si="40"/>
        <v>8960</v>
      </c>
      <c r="AV43" s="176">
        <v>6770</v>
      </c>
      <c r="AW43" s="176">
        <v>7245</v>
      </c>
      <c r="AX43" s="176">
        <v>7223</v>
      </c>
      <c r="AY43" s="206">
        <v>7102</v>
      </c>
      <c r="AZ43" s="175">
        <f t="shared" si="41"/>
        <v>7102</v>
      </c>
      <c r="BA43" s="206">
        <v>5777</v>
      </c>
      <c r="BB43" s="206">
        <v>5770</v>
      </c>
      <c r="BC43" s="206">
        <v>5825</v>
      </c>
      <c r="BD43" s="206">
        <v>6261</v>
      </c>
      <c r="BE43" s="175">
        <f t="shared" si="42"/>
        <v>6261</v>
      </c>
      <c r="BF43" s="206">
        <v>5128</v>
      </c>
      <c r="BG43" s="206">
        <v>4918</v>
      </c>
      <c r="BH43" s="206">
        <v>5220</v>
      </c>
      <c r="BI43" s="206">
        <v>5136</v>
      </c>
      <c r="BJ43" s="175">
        <f t="shared" si="43"/>
        <v>5136</v>
      </c>
      <c r="BK43" s="206">
        <v>4096</v>
      </c>
      <c r="BL43" s="206">
        <v>4221</v>
      </c>
      <c r="BM43" s="206">
        <v>4797</v>
      </c>
      <c r="BN43" s="206">
        <v>4960</v>
      </c>
      <c r="BO43" s="175">
        <f t="shared" si="44"/>
        <v>4960</v>
      </c>
      <c r="BP43" s="176">
        <f t="shared" si="49"/>
        <v>4960</v>
      </c>
      <c r="BQ43" s="176">
        <f t="shared" si="49"/>
        <v>4960</v>
      </c>
      <c r="BR43" s="176">
        <f t="shared" si="49"/>
        <v>4960</v>
      </c>
      <c r="BS43" s="176">
        <f t="shared" si="49"/>
        <v>4960</v>
      </c>
      <c r="BT43" s="175">
        <f t="shared" si="46"/>
        <v>4960</v>
      </c>
      <c r="BU43" s="176">
        <f t="shared" si="50"/>
        <v>4960</v>
      </c>
      <c r="BV43" s="176">
        <f t="shared" si="50"/>
        <v>4960</v>
      </c>
      <c r="BW43" s="176">
        <f t="shared" si="50"/>
        <v>4960</v>
      </c>
      <c r="BX43" s="176">
        <f t="shared" si="50"/>
        <v>4960</v>
      </c>
      <c r="BY43" s="175">
        <f t="shared" si="47"/>
        <v>4960</v>
      </c>
      <c r="BZ43" s="176">
        <f t="shared" si="51"/>
        <v>4960</v>
      </c>
      <c r="CA43" s="176">
        <f t="shared" si="51"/>
        <v>4960</v>
      </c>
      <c r="CB43" s="176">
        <f t="shared" si="51"/>
        <v>4960</v>
      </c>
      <c r="CC43" s="176">
        <f t="shared" si="51"/>
        <v>4960</v>
      </c>
      <c r="CD43" s="175">
        <f t="shared" si="48"/>
        <v>4960</v>
      </c>
      <c r="CE43" s="5"/>
      <c r="CF43" s="314" t="s">
        <v>2884</v>
      </c>
      <c r="CG43" s="5"/>
      <c r="CH43" s="11"/>
      <c r="CI43" s="11"/>
      <c r="CJ43" s="175"/>
      <c r="CK43" s="175"/>
      <c r="CL43" s="175"/>
    </row>
    <row r="44" spans="1:90">
      <c r="A44" s="245"/>
      <c r="B44" s="245" t="s">
        <v>642</v>
      </c>
      <c r="C44" s="205">
        <v>9090</v>
      </c>
      <c r="D44" s="205">
        <v>10086</v>
      </c>
      <c r="E44" s="205">
        <v>9456</v>
      </c>
      <c r="F44" s="205">
        <v>10184</v>
      </c>
      <c r="G44" s="205">
        <v>8932</v>
      </c>
      <c r="H44" s="206">
        <v>9222</v>
      </c>
      <c r="I44" s="206">
        <v>9648</v>
      </c>
      <c r="J44" s="206">
        <v>9561</v>
      </c>
      <c r="K44" s="206">
        <v>12924</v>
      </c>
      <c r="L44" s="205">
        <f t="shared" si="37"/>
        <v>12924</v>
      </c>
      <c r="M44" s="206">
        <v>11597</v>
      </c>
      <c r="N44" s="206">
        <v>11566</v>
      </c>
      <c r="O44" s="206">
        <v>12789</v>
      </c>
      <c r="P44" s="206">
        <v>15394</v>
      </c>
      <c r="Q44" s="205">
        <f t="shared" si="2"/>
        <v>15394</v>
      </c>
      <c r="R44" s="206">
        <v>13820</v>
      </c>
      <c r="S44" s="206">
        <v>16638</v>
      </c>
      <c r="T44" s="206">
        <v>14258</v>
      </c>
      <c r="U44" s="206">
        <v>15740</v>
      </c>
      <c r="V44" s="205">
        <f t="shared" si="3"/>
        <v>15740</v>
      </c>
      <c r="W44" s="206">
        <v>15260</v>
      </c>
      <c r="X44" s="206">
        <v>12018</v>
      </c>
      <c r="Y44" s="206">
        <v>9487</v>
      </c>
      <c r="Z44" s="206">
        <v>9109</v>
      </c>
      <c r="AA44" s="205">
        <f t="shared" si="4"/>
        <v>9109</v>
      </c>
      <c r="AB44" s="206">
        <v>8356</v>
      </c>
      <c r="AC44" s="206">
        <v>8321</v>
      </c>
      <c r="AD44" s="206">
        <v>14022</v>
      </c>
      <c r="AE44" s="206">
        <v>14626</v>
      </c>
      <c r="AF44" s="205">
        <f t="shared" si="5"/>
        <v>14626</v>
      </c>
      <c r="AG44" s="176">
        <v>14255</v>
      </c>
      <c r="AH44" s="176">
        <v>12445</v>
      </c>
      <c r="AI44" s="176">
        <v>11516</v>
      </c>
      <c r="AJ44" s="176">
        <v>9044</v>
      </c>
      <c r="AK44" s="175">
        <f t="shared" si="38"/>
        <v>9044</v>
      </c>
      <c r="AL44" s="176">
        <v>7897</v>
      </c>
      <c r="AM44" s="176">
        <v>7213</v>
      </c>
      <c r="AN44" s="176">
        <v>7679</v>
      </c>
      <c r="AO44" s="176">
        <v>10030</v>
      </c>
      <c r="AP44" s="175">
        <f t="shared" si="39"/>
        <v>10030</v>
      </c>
      <c r="AQ44" s="176">
        <v>8901</v>
      </c>
      <c r="AR44" s="176">
        <v>8725</v>
      </c>
      <c r="AS44" s="176">
        <v>8620</v>
      </c>
      <c r="AT44" s="176">
        <v>7381</v>
      </c>
      <c r="AU44" s="175">
        <f t="shared" si="40"/>
        <v>7381</v>
      </c>
      <c r="AV44" s="176">
        <v>8663</v>
      </c>
      <c r="AW44" s="176">
        <v>7570</v>
      </c>
      <c r="AX44" s="176">
        <v>6453</v>
      </c>
      <c r="AY44" s="206">
        <v>6877</v>
      </c>
      <c r="AZ44" s="175">
        <f t="shared" si="41"/>
        <v>6877</v>
      </c>
      <c r="BA44" s="206">
        <v>8538</v>
      </c>
      <c r="BB44" s="206">
        <v>9110</v>
      </c>
      <c r="BC44" s="206">
        <v>8982</v>
      </c>
      <c r="BD44" s="206">
        <v>6944</v>
      </c>
      <c r="BE44" s="175">
        <f t="shared" si="42"/>
        <v>6944</v>
      </c>
      <c r="BF44" s="206">
        <v>4440</v>
      </c>
      <c r="BG44" s="206">
        <v>5120</v>
      </c>
      <c r="BH44" s="206">
        <v>5689</v>
      </c>
      <c r="BI44" s="206">
        <v>6634</v>
      </c>
      <c r="BJ44" s="175">
        <f t="shared" si="43"/>
        <v>6634</v>
      </c>
      <c r="BK44" s="206">
        <v>7360</v>
      </c>
      <c r="BL44" s="206">
        <v>7385</v>
      </c>
      <c r="BM44" s="206">
        <v>8891</v>
      </c>
      <c r="BN44" s="206">
        <v>7739</v>
      </c>
      <c r="BO44" s="175">
        <f t="shared" si="44"/>
        <v>7739</v>
      </c>
      <c r="BP44" s="206">
        <f ca="1">MAX(BO44+0.75*(BP74-BO74),0)</f>
        <v>11548.834557000155</v>
      </c>
      <c r="BQ44" s="176">
        <f ca="1">MAX(BP44+0.75*(BQ74-BP74),0)</f>
        <v>11203.025072493649</v>
      </c>
      <c r="BR44" s="176">
        <f ca="1">MAX(BQ44+0.75*(BR74-BQ74),0)</f>
        <v>9986.6388711911568</v>
      </c>
      <c r="BS44" s="176">
        <f ca="1">MAX(BR44+0.75*(BS74-BR74),0)</f>
        <v>9257.6409630762646</v>
      </c>
      <c r="BT44" s="175">
        <f ca="1">BS44</f>
        <v>9257.6409630762646</v>
      </c>
      <c r="BU44" s="176">
        <f ca="1">MAX(BT44+0.75*(BU74-BT74),0)</f>
        <v>7864.8294847944562</v>
      </c>
      <c r="BV44" s="176">
        <f ca="1">MAX(BU44+0.75*(BV74-BU74),0)</f>
        <v>7716.3281729364608</v>
      </c>
      <c r="BW44" s="176">
        <f ca="1">MAX(BV44+0.75*(BW74-BV74),0)</f>
        <v>6298.6779787246778</v>
      </c>
      <c r="BX44" s="176">
        <f ca="1">MAX(BW44+0.75*(BX74-BW74),0)</f>
        <v>5245.7851144790402</v>
      </c>
      <c r="BY44" s="175">
        <f ca="1">BX44</f>
        <v>5245.7851144790402</v>
      </c>
      <c r="BZ44" s="176">
        <f ca="1">MAX(BY44+0.75*(BZ74-BY74),0)</f>
        <v>3936.3148834159947</v>
      </c>
      <c r="CA44" s="176">
        <f ca="1">MAX(BZ44+0.75*(CA74-BZ74),0)</f>
        <v>3526.6891183741172</v>
      </c>
      <c r="CB44" s="176">
        <f ca="1">MAX(CA44+0.75*(CB74-CA74),0)</f>
        <v>1764.2996854687808</v>
      </c>
      <c r="CC44" s="176">
        <f ca="1">MAX(CB44+0.75*(CC74-CB74),0)</f>
        <v>410.19238531534211</v>
      </c>
      <c r="CD44" s="175">
        <f ca="1">CC44</f>
        <v>410.19238531534211</v>
      </c>
      <c r="CE44" s="5"/>
      <c r="CF44" s="317" t="s">
        <v>2878</v>
      </c>
      <c r="CG44" s="5"/>
      <c r="CH44" s="11"/>
      <c r="CI44" s="11"/>
      <c r="CJ44" s="205"/>
      <c r="CK44" s="205"/>
      <c r="CL44" s="205"/>
    </row>
    <row r="45" spans="1:90">
      <c r="A45" s="202"/>
      <c r="B45" s="202" t="s">
        <v>643</v>
      </c>
      <c r="C45" s="205">
        <v>3456</v>
      </c>
      <c r="D45" s="205">
        <v>3420</v>
      </c>
      <c r="E45" s="205">
        <v>3441</v>
      </c>
      <c r="F45" s="205">
        <v>4131</v>
      </c>
      <c r="G45" s="205">
        <v>4274</v>
      </c>
      <c r="H45" s="206">
        <v>3909</v>
      </c>
      <c r="I45" s="206">
        <v>5043</v>
      </c>
      <c r="J45" s="206">
        <v>4403</v>
      </c>
      <c r="K45" s="206">
        <v>2635</v>
      </c>
      <c r="L45" s="205">
        <f t="shared" si="37"/>
        <v>2635</v>
      </c>
      <c r="M45" s="176">
        <v>3322</v>
      </c>
      <c r="N45" s="176">
        <v>4637</v>
      </c>
      <c r="O45" s="176">
        <v>2995</v>
      </c>
      <c r="P45" s="176">
        <v>3282</v>
      </c>
      <c r="Q45" s="175">
        <f t="shared" si="2"/>
        <v>3282</v>
      </c>
      <c r="R45" s="176">
        <v>4798</v>
      </c>
      <c r="S45" s="176">
        <v>5681</v>
      </c>
      <c r="T45" s="176">
        <v>4013</v>
      </c>
      <c r="U45" s="176">
        <v>3144</v>
      </c>
      <c r="V45" s="175">
        <f t="shared" si="3"/>
        <v>3144</v>
      </c>
      <c r="W45" s="176">
        <v>2957</v>
      </c>
      <c r="X45" s="176">
        <v>2826</v>
      </c>
      <c r="Y45" s="176">
        <v>2825</v>
      </c>
      <c r="Z45" s="176">
        <v>2464</v>
      </c>
      <c r="AA45" s="175">
        <f t="shared" si="4"/>
        <v>2464</v>
      </c>
      <c r="AB45" s="176">
        <v>2624</v>
      </c>
      <c r="AC45" s="176">
        <v>2614</v>
      </c>
      <c r="AD45" s="176">
        <v>1735</v>
      </c>
      <c r="AE45" s="176">
        <v>2920</v>
      </c>
      <c r="AF45" s="175">
        <f t="shared" si="5"/>
        <v>2920</v>
      </c>
      <c r="AG45" s="176">
        <v>3490</v>
      </c>
      <c r="AH45" s="176">
        <v>3883</v>
      </c>
      <c r="AI45" s="176">
        <v>3180</v>
      </c>
      <c r="AJ45" s="176">
        <v>1941</v>
      </c>
      <c r="AK45" s="175">
        <f t="shared" si="38"/>
        <v>1941</v>
      </c>
      <c r="AL45" s="176">
        <v>2824</v>
      </c>
      <c r="AM45" s="176">
        <v>1880</v>
      </c>
      <c r="AN45" s="176">
        <v>2167</v>
      </c>
      <c r="AO45" s="176">
        <v>2501</v>
      </c>
      <c r="AP45" s="175">
        <f t="shared" si="39"/>
        <v>2501</v>
      </c>
      <c r="AQ45" s="176">
        <v>3083</v>
      </c>
      <c r="AR45" s="176">
        <v>2849</v>
      </c>
      <c r="AS45" s="176">
        <v>2509</v>
      </c>
      <c r="AT45" s="176">
        <v>1945</v>
      </c>
      <c r="AU45" s="175">
        <f t="shared" si="40"/>
        <v>1945</v>
      </c>
      <c r="AV45" s="176">
        <v>2194</v>
      </c>
      <c r="AW45" s="176">
        <v>2386</v>
      </c>
      <c r="AX45" s="176">
        <v>2413</v>
      </c>
      <c r="AY45" s="206">
        <v>2011</v>
      </c>
      <c r="AZ45" s="175">
        <f t="shared" si="41"/>
        <v>2011</v>
      </c>
      <c r="BA45" s="206">
        <v>1977</v>
      </c>
      <c r="BB45" s="206">
        <v>1881</v>
      </c>
      <c r="BC45" s="206">
        <v>1318</v>
      </c>
      <c r="BD45" s="206">
        <v>1080</v>
      </c>
      <c r="BE45" s="175">
        <f t="shared" si="42"/>
        <v>1080</v>
      </c>
      <c r="BF45" s="206">
        <v>1200</v>
      </c>
      <c r="BG45" s="206">
        <v>1310</v>
      </c>
      <c r="BH45" s="206">
        <v>1411</v>
      </c>
      <c r="BI45" s="206">
        <v>1666</v>
      </c>
      <c r="BJ45" s="175">
        <f t="shared" si="43"/>
        <v>1666</v>
      </c>
      <c r="BK45" s="206">
        <v>1821</v>
      </c>
      <c r="BL45" s="206">
        <v>1716</v>
      </c>
      <c r="BM45" s="206">
        <v>1455</v>
      </c>
      <c r="BN45" s="206">
        <v>1686</v>
      </c>
      <c r="BO45" s="175">
        <f t="shared" si="44"/>
        <v>1686</v>
      </c>
      <c r="BP45" s="176">
        <f t="shared" ref="BP45:CD45" si="52">BO45</f>
        <v>1686</v>
      </c>
      <c r="BQ45" s="176">
        <f t="shared" si="52"/>
        <v>1686</v>
      </c>
      <c r="BR45" s="176">
        <f t="shared" si="52"/>
        <v>1686</v>
      </c>
      <c r="BS45" s="176">
        <f t="shared" si="52"/>
        <v>1686</v>
      </c>
      <c r="BT45" s="175">
        <f t="shared" si="52"/>
        <v>1686</v>
      </c>
      <c r="BU45" s="176">
        <f t="shared" si="52"/>
        <v>1686</v>
      </c>
      <c r="BV45" s="176">
        <f t="shared" si="52"/>
        <v>1686</v>
      </c>
      <c r="BW45" s="176">
        <f t="shared" si="52"/>
        <v>1686</v>
      </c>
      <c r="BX45" s="176">
        <f t="shared" si="52"/>
        <v>1686</v>
      </c>
      <c r="BY45" s="175">
        <f t="shared" si="52"/>
        <v>1686</v>
      </c>
      <c r="BZ45" s="176">
        <f t="shared" si="52"/>
        <v>1686</v>
      </c>
      <c r="CA45" s="176">
        <f t="shared" si="52"/>
        <v>1686</v>
      </c>
      <c r="CB45" s="176">
        <f t="shared" si="52"/>
        <v>1686</v>
      </c>
      <c r="CC45" s="176">
        <f t="shared" si="52"/>
        <v>1686</v>
      </c>
      <c r="CD45" s="175">
        <f t="shared" si="52"/>
        <v>1686</v>
      </c>
      <c r="CE45" s="5"/>
      <c r="CF45" s="314" t="s">
        <v>2884</v>
      </c>
      <c r="CG45" s="5"/>
      <c r="CH45" s="11"/>
      <c r="CI45" s="11"/>
      <c r="CJ45" s="175"/>
      <c r="CK45" s="175"/>
      <c r="CL45" s="175"/>
    </row>
    <row r="46" spans="1:90">
      <c r="A46" s="202"/>
      <c r="B46" s="202" t="s">
        <v>644</v>
      </c>
      <c r="C46" s="205">
        <v>847</v>
      </c>
      <c r="D46" s="205">
        <v>716</v>
      </c>
      <c r="E46" s="205">
        <v>735</v>
      </c>
      <c r="F46" s="205">
        <v>715</v>
      </c>
      <c r="G46" s="205">
        <v>1102</v>
      </c>
      <c r="H46" s="206">
        <v>1097</v>
      </c>
      <c r="I46" s="206">
        <v>1282</v>
      </c>
      <c r="J46" s="206">
        <v>1218</v>
      </c>
      <c r="K46" s="206">
        <v>1932</v>
      </c>
      <c r="L46" s="205">
        <f t="shared" si="37"/>
        <v>1932</v>
      </c>
      <c r="M46" s="176">
        <v>1934</v>
      </c>
      <c r="N46" s="176">
        <v>1690</v>
      </c>
      <c r="O46" s="176">
        <v>1896</v>
      </c>
      <c r="P46" s="176">
        <v>2195</v>
      </c>
      <c r="Q46" s="175">
        <f t="shared" si="2"/>
        <v>2195</v>
      </c>
      <c r="R46" s="176">
        <v>1957</v>
      </c>
      <c r="S46" s="176">
        <v>2080</v>
      </c>
      <c r="T46" s="176">
        <v>2074</v>
      </c>
      <c r="U46" s="176">
        <v>1545</v>
      </c>
      <c r="V46" s="175">
        <f t="shared" si="3"/>
        <v>1545</v>
      </c>
      <c r="W46" s="176">
        <v>1350</v>
      </c>
      <c r="X46" s="176">
        <v>1403</v>
      </c>
      <c r="Y46" s="176">
        <v>1360</v>
      </c>
      <c r="Z46" s="176">
        <v>1660</v>
      </c>
      <c r="AA46" s="175">
        <f t="shared" si="4"/>
        <v>1660</v>
      </c>
      <c r="AB46" s="176">
        <v>1646</v>
      </c>
      <c r="AC46" s="176">
        <v>13439</v>
      </c>
      <c r="AD46" s="176">
        <v>12921</v>
      </c>
      <c r="AE46" s="176">
        <v>9489</v>
      </c>
      <c r="AF46" s="175">
        <f t="shared" si="5"/>
        <v>9489</v>
      </c>
      <c r="AG46" s="176">
        <v>9258</v>
      </c>
      <c r="AH46" s="176">
        <v>9060</v>
      </c>
      <c r="AI46" s="176">
        <v>9351</v>
      </c>
      <c r="AJ46" s="176">
        <v>9338</v>
      </c>
      <c r="AK46" s="175">
        <f t="shared" si="38"/>
        <v>9338</v>
      </c>
      <c r="AL46" s="176">
        <v>7479</v>
      </c>
      <c r="AM46" s="176">
        <v>7829</v>
      </c>
      <c r="AN46" s="176">
        <v>8111</v>
      </c>
      <c r="AO46" s="176">
        <v>7863</v>
      </c>
      <c r="AP46" s="175">
        <f t="shared" si="39"/>
        <v>7863</v>
      </c>
      <c r="AQ46" s="176">
        <v>6908</v>
      </c>
      <c r="AR46" s="176">
        <v>6893</v>
      </c>
      <c r="AS46" s="176">
        <v>5405</v>
      </c>
      <c r="AT46" s="176">
        <v>5045</v>
      </c>
      <c r="AU46" s="175">
        <f t="shared" si="40"/>
        <v>5045</v>
      </c>
      <c r="AV46" s="176">
        <v>4352</v>
      </c>
      <c r="AW46" s="176">
        <v>4454</v>
      </c>
      <c r="AX46" s="176">
        <v>4122</v>
      </c>
      <c r="AY46" s="206">
        <v>3818</v>
      </c>
      <c r="AZ46" s="175">
        <f t="shared" si="41"/>
        <v>3818</v>
      </c>
      <c r="BA46" s="206">
        <v>3495</v>
      </c>
      <c r="BB46" s="206">
        <v>5666</v>
      </c>
      <c r="BC46" s="206">
        <v>4494</v>
      </c>
      <c r="BD46" s="206">
        <v>5154</v>
      </c>
      <c r="BE46" s="175">
        <f t="shared" si="42"/>
        <v>5154</v>
      </c>
      <c r="BF46" s="206">
        <v>4271</v>
      </c>
      <c r="BG46" s="206">
        <v>5637</v>
      </c>
      <c r="BH46" s="206">
        <v>5586</v>
      </c>
      <c r="BI46" s="206">
        <v>4012</v>
      </c>
      <c r="BJ46" s="175">
        <f t="shared" si="43"/>
        <v>4012</v>
      </c>
      <c r="BK46" s="206">
        <v>2971</v>
      </c>
      <c r="BL46" s="206">
        <v>2583</v>
      </c>
      <c r="BM46" s="206">
        <v>2304</v>
      </c>
      <c r="BN46" s="206">
        <v>3324</v>
      </c>
      <c r="BO46" s="175">
        <f t="shared" si="44"/>
        <v>3324</v>
      </c>
      <c r="BP46" s="176">
        <f t="shared" ref="BP46:CC46" si="53">BP172+BP148</f>
        <v>2568.0582680181406</v>
      </c>
      <c r="BQ46" s="176">
        <f t="shared" si="53"/>
        <v>2780.0149054577664</v>
      </c>
      <c r="BR46" s="176">
        <f t="shared" si="53"/>
        <v>2729.0299281335033</v>
      </c>
      <c r="BS46" s="176">
        <f t="shared" si="53"/>
        <v>2678.0449508092402</v>
      </c>
      <c r="BT46" s="175">
        <f t="shared" si="46"/>
        <v>2678.0449508092402</v>
      </c>
      <c r="BU46" s="176">
        <f t="shared" si="53"/>
        <v>2601.5674848228455</v>
      </c>
      <c r="BV46" s="176">
        <f t="shared" si="53"/>
        <v>2527.1294179294218</v>
      </c>
      <c r="BW46" s="176">
        <f t="shared" si="53"/>
        <v>2450.6519519430271</v>
      </c>
      <c r="BX46" s="176">
        <f t="shared" si="53"/>
        <v>2374.1744859566325</v>
      </c>
      <c r="BY46" s="175">
        <f t="shared" si="47"/>
        <v>2374.1744859566325</v>
      </c>
      <c r="BZ46" s="176">
        <f t="shared" si="53"/>
        <v>2759.1829345032411</v>
      </c>
      <c r="CA46" s="176">
        <f t="shared" si="53"/>
        <v>2392.2669079402449</v>
      </c>
      <c r="CB46" s="176">
        <f t="shared" si="53"/>
        <v>2514.5253673338816</v>
      </c>
      <c r="CC46" s="176">
        <f t="shared" si="53"/>
        <v>2636.7838267275183</v>
      </c>
      <c r="CD46" s="175">
        <f t="shared" si="48"/>
        <v>2636.7838267275183</v>
      </c>
      <c r="CE46" s="5"/>
      <c r="CF46" s="316"/>
      <c r="CG46" s="5"/>
      <c r="CH46" s="11"/>
      <c r="CI46" s="11"/>
      <c r="CJ46" s="175"/>
      <c r="CK46" s="175"/>
      <c r="CL46" s="175"/>
    </row>
    <row r="47" spans="1:90">
      <c r="A47" s="75"/>
      <c r="B47" s="75"/>
      <c r="C47" s="264">
        <f>SUM(C41:C46)</f>
        <v>38461</v>
      </c>
      <c r="D47" s="264">
        <f>SUM(D41:D46)</f>
        <v>47017</v>
      </c>
      <c r="E47" s="264">
        <f>SUM(E41:E46)</f>
        <v>49783</v>
      </c>
      <c r="F47" s="264">
        <f t="shared" ref="F47:L47" si="54">SUM(F41:F46)</f>
        <v>63126</v>
      </c>
      <c r="G47" s="264">
        <f t="shared" si="54"/>
        <v>71497</v>
      </c>
      <c r="H47" s="265">
        <f t="shared" si="54"/>
        <v>71345</v>
      </c>
      <c r="I47" s="265">
        <f t="shared" si="54"/>
        <v>73983</v>
      </c>
      <c r="J47" s="265">
        <f t="shared" si="54"/>
        <v>72413</v>
      </c>
      <c r="K47" s="265">
        <f t="shared" si="54"/>
        <v>75298</v>
      </c>
      <c r="L47" s="264">
        <f t="shared" si="54"/>
        <v>75298</v>
      </c>
      <c r="M47" s="266">
        <v>73509</v>
      </c>
      <c r="N47" s="266">
        <v>73066</v>
      </c>
      <c r="O47" s="266">
        <v>73805</v>
      </c>
      <c r="P47" s="266">
        <v>77068</v>
      </c>
      <c r="Q47" s="76">
        <f>SUM(Q41:Q46)</f>
        <v>77068</v>
      </c>
      <c r="R47" s="266">
        <v>82943</v>
      </c>
      <c r="S47" s="266">
        <v>101040</v>
      </c>
      <c r="T47" s="266">
        <v>80305</v>
      </c>
      <c r="U47" s="266">
        <v>69793</v>
      </c>
      <c r="V47" s="76">
        <f>SUM(V41:V46)</f>
        <v>69793</v>
      </c>
      <c r="W47" s="266">
        <v>63894</v>
      </c>
      <c r="X47" s="266">
        <v>63007</v>
      </c>
      <c r="Y47" s="266">
        <v>58302</v>
      </c>
      <c r="Z47" s="266">
        <v>59320</v>
      </c>
      <c r="AA47" s="76">
        <f>SUM(AA41:AA46)</f>
        <v>59320</v>
      </c>
      <c r="AB47" s="266">
        <v>61784</v>
      </c>
      <c r="AC47" s="266">
        <v>79943</v>
      </c>
      <c r="AD47" s="266">
        <v>82362</v>
      </c>
      <c r="AE47" s="266">
        <v>82832</v>
      </c>
      <c r="AF47" s="76">
        <f>SUM(AF41:AF46)</f>
        <v>82832</v>
      </c>
      <c r="AG47" s="266">
        <v>87930</v>
      </c>
      <c r="AH47" s="266">
        <f t="shared" ref="AH47:BG47" si="55">SUM(AH41:AH46)</f>
        <v>85797</v>
      </c>
      <c r="AI47" s="266">
        <f t="shared" si="55"/>
        <v>86487</v>
      </c>
      <c r="AJ47" s="266">
        <f t="shared" si="55"/>
        <v>81880</v>
      </c>
      <c r="AK47" s="76">
        <f t="shared" si="55"/>
        <v>81880</v>
      </c>
      <c r="AL47" s="266">
        <f t="shared" si="55"/>
        <v>81450</v>
      </c>
      <c r="AM47" s="266">
        <f t="shared" si="55"/>
        <v>73673</v>
      </c>
      <c r="AN47" s="266">
        <f t="shared" si="55"/>
        <v>77095</v>
      </c>
      <c r="AO47" s="266">
        <f t="shared" si="55"/>
        <v>77016</v>
      </c>
      <c r="AP47" s="76">
        <f t="shared" si="55"/>
        <v>77016</v>
      </c>
      <c r="AQ47" s="266">
        <f t="shared" si="55"/>
        <v>77870</v>
      </c>
      <c r="AR47" s="266">
        <f t="shared" si="55"/>
        <v>75474</v>
      </c>
      <c r="AS47" s="266">
        <f>SUM(AS41:AS46)</f>
        <v>74634</v>
      </c>
      <c r="AT47" s="266">
        <f t="shared" si="55"/>
        <v>72812</v>
      </c>
      <c r="AU47" s="76">
        <f t="shared" si="55"/>
        <v>72812</v>
      </c>
      <c r="AV47" s="266">
        <f t="shared" si="55"/>
        <v>73896</v>
      </c>
      <c r="AW47" s="266">
        <f t="shared" si="55"/>
        <v>74003</v>
      </c>
      <c r="AX47" s="266">
        <f t="shared" si="55"/>
        <v>71745</v>
      </c>
      <c r="AY47" s="265">
        <f t="shared" si="55"/>
        <v>63615</v>
      </c>
      <c r="AZ47" s="76">
        <f>SUM(AZ41:AZ46)</f>
        <v>63615</v>
      </c>
      <c r="BA47" s="265">
        <f t="shared" si="55"/>
        <v>60771</v>
      </c>
      <c r="BB47" s="265">
        <f t="shared" si="55"/>
        <v>65367</v>
      </c>
      <c r="BC47" s="265">
        <f t="shared" si="55"/>
        <v>58163</v>
      </c>
      <c r="BD47" s="265">
        <f t="shared" si="55"/>
        <v>54627</v>
      </c>
      <c r="BE47" s="76">
        <f t="shared" si="55"/>
        <v>54627</v>
      </c>
      <c r="BF47" s="265">
        <f t="shared" si="55"/>
        <v>51460</v>
      </c>
      <c r="BG47" s="265">
        <f t="shared" si="55"/>
        <v>55685</v>
      </c>
      <c r="BH47" s="265">
        <f t="shared" ref="BH47:CD47" si="56">SUM(BH41:BH46)</f>
        <v>54893</v>
      </c>
      <c r="BI47" s="265">
        <f t="shared" si="56"/>
        <v>58354</v>
      </c>
      <c r="BJ47" s="76">
        <f t="shared" si="56"/>
        <v>58354</v>
      </c>
      <c r="BK47" s="265">
        <f t="shared" si="56"/>
        <v>56126</v>
      </c>
      <c r="BL47" s="265">
        <f t="shared" si="56"/>
        <v>54842</v>
      </c>
      <c r="BM47" s="265">
        <f t="shared" si="56"/>
        <v>59566</v>
      </c>
      <c r="BN47" s="265">
        <f t="shared" si="56"/>
        <v>64726</v>
      </c>
      <c r="BO47" s="76">
        <f t="shared" ref="BO47" si="57">SUM(BO41:BO46)</f>
        <v>64726</v>
      </c>
      <c r="BP47" s="266">
        <f t="shared" ca="1" si="56"/>
        <v>62254.079204146707</v>
      </c>
      <c r="BQ47" s="266">
        <f t="shared" ca="1" si="56"/>
        <v>62556.864013177161</v>
      </c>
      <c r="BR47" s="266">
        <f t="shared" ca="1" si="56"/>
        <v>60953.43914691246</v>
      </c>
      <c r="BS47" s="266">
        <f t="shared" ca="1" si="56"/>
        <v>59881.075684662392</v>
      </c>
      <c r="BT47" s="76">
        <f t="shared" ca="1" si="56"/>
        <v>59881.075684662392</v>
      </c>
      <c r="BU47" s="266">
        <f t="shared" ca="1" si="56"/>
        <v>57824.519331171476</v>
      </c>
      <c r="BV47" s="266">
        <f t="shared" ca="1" si="56"/>
        <v>57493.51801931348</v>
      </c>
      <c r="BW47" s="266">
        <f t="shared" ca="1" si="56"/>
        <v>55888.367825101705</v>
      </c>
      <c r="BX47" s="266">
        <f t="shared" ca="1" si="56"/>
        <v>54647.97496085606</v>
      </c>
      <c r="BY47" s="76">
        <f t="shared" ca="1" si="56"/>
        <v>54647.97496085606</v>
      </c>
      <c r="BZ47" s="266">
        <f t="shared" ca="1" si="56"/>
        <v>54363.496941849582</v>
      </c>
      <c r="CA47" s="266">
        <f t="shared" ca="1" si="56"/>
        <v>53135.870200562465</v>
      </c>
      <c r="CB47" s="266">
        <f t="shared" ca="1" si="56"/>
        <v>51755.295225495182</v>
      </c>
      <c r="CC47" s="266">
        <f t="shared" ca="1" si="56"/>
        <v>50783.51059989912</v>
      </c>
      <c r="CD47" s="76">
        <f t="shared" ca="1" si="56"/>
        <v>50783.51059989912</v>
      </c>
      <c r="CE47" s="5"/>
      <c r="CF47" s="315"/>
      <c r="CG47" s="76"/>
      <c r="CH47" s="11"/>
      <c r="CI47" s="11"/>
      <c r="CJ47" s="76"/>
      <c r="CK47" s="76"/>
      <c r="CL47" s="76"/>
    </row>
    <row r="48" spans="1:90">
      <c r="A48" s="202"/>
      <c r="B48" s="202"/>
      <c r="C48" s="205"/>
      <c r="D48" s="205"/>
      <c r="E48" s="205"/>
      <c r="F48" s="205"/>
      <c r="G48" s="205"/>
      <c r="H48" s="206"/>
      <c r="I48" s="206"/>
      <c r="J48" s="206"/>
      <c r="K48" s="206"/>
      <c r="L48" s="205"/>
      <c r="M48" s="176"/>
      <c r="N48" s="176"/>
      <c r="O48" s="176"/>
      <c r="P48" s="176"/>
      <c r="Q48" s="175"/>
      <c r="R48" s="176"/>
      <c r="S48" s="176"/>
      <c r="T48" s="176"/>
      <c r="U48" s="176"/>
      <c r="V48" s="175"/>
      <c r="W48" s="176"/>
      <c r="X48" s="176"/>
      <c r="Y48" s="176"/>
      <c r="Z48" s="176"/>
      <c r="AA48" s="175"/>
      <c r="AB48" s="176"/>
      <c r="AC48" s="176"/>
      <c r="AD48" s="176"/>
      <c r="AE48" s="176"/>
      <c r="AF48" s="175"/>
      <c r="AG48" s="176"/>
      <c r="AH48" s="176"/>
      <c r="AI48" s="176"/>
      <c r="AJ48" s="176"/>
      <c r="AK48" s="175"/>
      <c r="AL48" s="176"/>
      <c r="AM48" s="176"/>
      <c r="AN48" s="176"/>
      <c r="AO48" s="176"/>
      <c r="AP48" s="175"/>
      <c r="AQ48" s="176"/>
      <c r="AR48" s="176"/>
      <c r="AS48" s="176"/>
      <c r="AT48" s="176"/>
      <c r="AU48" s="175"/>
      <c r="AV48" s="176"/>
      <c r="AW48" s="176"/>
      <c r="AX48" s="176"/>
      <c r="AY48" s="206"/>
      <c r="AZ48" s="175"/>
      <c r="BA48" s="206"/>
      <c r="BB48" s="206"/>
      <c r="BC48" s="206"/>
      <c r="BD48" s="206"/>
      <c r="BE48" s="175"/>
      <c r="BF48" s="206"/>
      <c r="BG48" s="206"/>
      <c r="BH48" s="206"/>
      <c r="BI48" s="206"/>
      <c r="BJ48" s="175"/>
      <c r="BK48" s="206"/>
      <c r="BL48" s="206"/>
      <c r="BM48" s="206"/>
      <c r="BN48" s="206"/>
      <c r="BO48" s="175"/>
      <c r="BP48" s="176"/>
      <c r="BQ48" s="176"/>
      <c r="BR48" s="176"/>
      <c r="BS48" s="176"/>
      <c r="BT48" s="175"/>
      <c r="BU48" s="176"/>
      <c r="BV48" s="176"/>
      <c r="BW48" s="176"/>
      <c r="BX48" s="176"/>
      <c r="BY48" s="175"/>
      <c r="BZ48" s="176"/>
      <c r="CA48" s="176"/>
      <c r="CB48" s="176"/>
      <c r="CC48" s="176"/>
      <c r="CD48" s="175"/>
      <c r="CE48" s="5"/>
      <c r="CF48" s="314"/>
      <c r="CG48" s="175"/>
      <c r="CH48" s="11"/>
      <c r="CI48" s="11"/>
      <c r="CJ48" s="175"/>
      <c r="CK48" s="175"/>
      <c r="CL48" s="175"/>
    </row>
    <row r="49" spans="1:90">
      <c r="A49" s="202"/>
      <c r="B49" s="202" t="s">
        <v>257</v>
      </c>
      <c r="C49" s="205"/>
      <c r="D49" s="205"/>
      <c r="E49" s="205">
        <v>0</v>
      </c>
      <c r="F49" s="205">
        <v>0</v>
      </c>
      <c r="G49" s="205">
        <v>0</v>
      </c>
      <c r="H49" s="206">
        <v>399</v>
      </c>
      <c r="I49" s="206">
        <v>42</v>
      </c>
      <c r="J49" s="206">
        <v>0</v>
      </c>
      <c r="K49" s="206">
        <v>54</v>
      </c>
      <c r="L49" s="205">
        <f>K49</f>
        <v>54</v>
      </c>
      <c r="M49" s="176">
        <v>0</v>
      </c>
      <c r="N49" s="176">
        <v>0</v>
      </c>
      <c r="O49" s="176">
        <v>0</v>
      </c>
      <c r="P49" s="176">
        <v>163</v>
      </c>
      <c r="Q49" s="175">
        <f t="shared" si="2"/>
        <v>163</v>
      </c>
      <c r="R49" s="176">
        <v>0</v>
      </c>
      <c r="S49" s="176">
        <v>0</v>
      </c>
      <c r="T49" s="176">
        <v>0</v>
      </c>
      <c r="U49" s="176">
        <v>0</v>
      </c>
      <c r="V49" s="175">
        <f t="shared" si="3"/>
        <v>0</v>
      </c>
      <c r="W49" s="176">
        <v>0</v>
      </c>
      <c r="X49" s="176">
        <v>0</v>
      </c>
      <c r="Y49" s="176">
        <v>0</v>
      </c>
      <c r="Z49" s="176">
        <v>0</v>
      </c>
      <c r="AA49" s="175">
        <f t="shared" si="4"/>
        <v>0</v>
      </c>
      <c r="AB49" s="176">
        <v>0</v>
      </c>
      <c r="AC49" s="176">
        <v>363</v>
      </c>
      <c r="AD49" s="176">
        <v>1262</v>
      </c>
      <c r="AE49" s="176">
        <v>1047</v>
      </c>
      <c r="AF49" s="175">
        <f t="shared" si="5"/>
        <v>1047</v>
      </c>
      <c r="AG49" s="176">
        <v>1013</v>
      </c>
      <c r="AH49" s="176">
        <v>1127</v>
      </c>
      <c r="AI49" s="176">
        <v>738</v>
      </c>
      <c r="AJ49" s="176">
        <v>538</v>
      </c>
      <c r="AK49" s="5">
        <f>AJ49</f>
        <v>538</v>
      </c>
      <c r="AL49" s="176">
        <v>1404</v>
      </c>
      <c r="AM49" s="176">
        <v>2524</v>
      </c>
      <c r="AN49" s="176">
        <v>2559</v>
      </c>
      <c r="AO49" s="176">
        <v>846</v>
      </c>
      <c r="AP49" s="175">
        <f>AO49</f>
        <v>846</v>
      </c>
      <c r="AQ49" s="176">
        <v>722</v>
      </c>
      <c r="AR49" s="176">
        <v>0</v>
      </c>
      <c r="AS49" s="176">
        <v>0</v>
      </c>
      <c r="AT49" s="176">
        <v>0</v>
      </c>
      <c r="AU49" s="5">
        <f>AT49</f>
        <v>0</v>
      </c>
      <c r="AV49" s="176">
        <v>374</v>
      </c>
      <c r="AW49" s="176">
        <v>428</v>
      </c>
      <c r="AX49" s="176">
        <v>431</v>
      </c>
      <c r="AY49" s="206">
        <v>0</v>
      </c>
      <c r="AZ49" s="5">
        <f>AY49</f>
        <v>0</v>
      </c>
      <c r="BA49" s="206">
        <v>0</v>
      </c>
      <c r="BB49" s="206">
        <v>0</v>
      </c>
      <c r="BC49" s="206">
        <v>0</v>
      </c>
      <c r="BD49" s="206">
        <v>97</v>
      </c>
      <c r="BE49" s="5">
        <f>BD49</f>
        <v>97</v>
      </c>
      <c r="BF49" s="206">
        <v>153</v>
      </c>
      <c r="BG49" s="206">
        <v>2525</v>
      </c>
      <c r="BH49" s="206">
        <v>148</v>
      </c>
      <c r="BI49" s="206">
        <v>0</v>
      </c>
      <c r="BJ49" s="5">
        <f>BI49</f>
        <v>0</v>
      </c>
      <c r="BK49" s="206">
        <f>BI49</f>
        <v>0</v>
      </c>
      <c r="BL49" s="206">
        <f>BK49</f>
        <v>0</v>
      </c>
      <c r="BM49" s="206">
        <v>0</v>
      </c>
      <c r="BN49" s="206">
        <f>BM49</f>
        <v>0</v>
      </c>
      <c r="BO49" s="5">
        <f>BN49</f>
        <v>0</v>
      </c>
      <c r="BP49" s="209">
        <f>BN49</f>
        <v>0</v>
      </c>
      <c r="BQ49" s="209">
        <f>BP49</f>
        <v>0</v>
      </c>
      <c r="BR49" s="209">
        <f>BQ49</f>
        <v>0</v>
      </c>
      <c r="BS49" s="209">
        <f>BR49</f>
        <v>0</v>
      </c>
      <c r="BT49" s="5">
        <f>BS49</f>
        <v>0</v>
      </c>
      <c r="BU49" s="209">
        <f>BS49</f>
        <v>0</v>
      </c>
      <c r="BV49" s="209">
        <f>BU49</f>
        <v>0</v>
      </c>
      <c r="BW49" s="209">
        <f>BV49</f>
        <v>0</v>
      </c>
      <c r="BX49" s="209">
        <f>BW49</f>
        <v>0</v>
      </c>
      <c r="BY49" s="5">
        <f>BX49</f>
        <v>0</v>
      </c>
      <c r="BZ49" s="209">
        <f>BX49</f>
        <v>0</v>
      </c>
      <c r="CA49" s="209">
        <f>BZ49</f>
        <v>0</v>
      </c>
      <c r="CB49" s="209">
        <f>CA49</f>
        <v>0</v>
      </c>
      <c r="CC49" s="209">
        <f>CB49</f>
        <v>0</v>
      </c>
      <c r="CD49" s="5">
        <f>CC49</f>
        <v>0</v>
      </c>
      <c r="CE49" s="5"/>
      <c r="CF49" s="314" t="s">
        <v>2884</v>
      </c>
      <c r="CG49" s="5"/>
      <c r="CH49" s="11"/>
      <c r="CI49" s="11"/>
      <c r="CJ49" s="175"/>
      <c r="CK49" s="175"/>
      <c r="CL49" s="175"/>
    </row>
    <row r="50" spans="1:90">
      <c r="A50" s="75"/>
      <c r="B50" s="75"/>
      <c r="C50" s="264">
        <f>C47+C49</f>
        <v>38461</v>
      </c>
      <c r="D50" s="264">
        <f>D47+D49</f>
        <v>47017</v>
      </c>
      <c r="E50" s="264">
        <f>E47+E49</f>
        <v>49783</v>
      </c>
      <c r="F50" s="264">
        <f t="shared" ref="F50:L50" si="58">F47+F49</f>
        <v>63126</v>
      </c>
      <c r="G50" s="264">
        <f t="shared" si="58"/>
        <v>71497</v>
      </c>
      <c r="H50" s="265">
        <f t="shared" si="58"/>
        <v>71744</v>
      </c>
      <c r="I50" s="265">
        <f t="shared" si="58"/>
        <v>74025</v>
      </c>
      <c r="J50" s="265">
        <f t="shared" si="58"/>
        <v>72413</v>
      </c>
      <c r="K50" s="265">
        <f t="shared" si="58"/>
        <v>75352</v>
      </c>
      <c r="L50" s="264">
        <f t="shared" si="58"/>
        <v>75352</v>
      </c>
      <c r="M50" s="266">
        <v>73509</v>
      </c>
      <c r="N50" s="266">
        <v>73066</v>
      </c>
      <c r="O50" s="266">
        <v>73805</v>
      </c>
      <c r="P50" s="266">
        <v>77231</v>
      </c>
      <c r="Q50" s="76">
        <f>Q47+Q49</f>
        <v>77231</v>
      </c>
      <c r="R50" s="266">
        <v>82943</v>
      </c>
      <c r="S50" s="266">
        <v>101040</v>
      </c>
      <c r="T50" s="266">
        <v>80305</v>
      </c>
      <c r="U50" s="266">
        <v>69793</v>
      </c>
      <c r="V50" s="76">
        <f>V47+V49</f>
        <v>69793</v>
      </c>
      <c r="W50" s="266">
        <v>63894</v>
      </c>
      <c r="X50" s="266">
        <v>63007</v>
      </c>
      <c r="Y50" s="266">
        <v>58302</v>
      </c>
      <c r="Z50" s="266">
        <v>59320</v>
      </c>
      <c r="AA50" s="76">
        <f>AA47+AA49</f>
        <v>59320</v>
      </c>
      <c r="AB50" s="266">
        <v>61784</v>
      </c>
      <c r="AC50" s="266">
        <v>80306</v>
      </c>
      <c r="AD50" s="266">
        <v>83624</v>
      </c>
      <c r="AE50" s="266">
        <v>83879</v>
      </c>
      <c r="AF50" s="76">
        <f>AF47+AF49</f>
        <v>83879</v>
      </c>
      <c r="AG50" s="266">
        <v>88943</v>
      </c>
      <c r="AH50" s="266">
        <f t="shared" ref="AH50:BG50" si="59">AH47+AH49</f>
        <v>86924</v>
      </c>
      <c r="AI50" s="266">
        <f t="shared" si="59"/>
        <v>87225</v>
      </c>
      <c r="AJ50" s="266">
        <f t="shared" si="59"/>
        <v>82418</v>
      </c>
      <c r="AK50" s="76">
        <f t="shared" si="59"/>
        <v>82418</v>
      </c>
      <c r="AL50" s="266">
        <f t="shared" si="59"/>
        <v>82854</v>
      </c>
      <c r="AM50" s="266">
        <f t="shared" si="59"/>
        <v>76197</v>
      </c>
      <c r="AN50" s="266">
        <f t="shared" si="59"/>
        <v>79654</v>
      </c>
      <c r="AO50" s="266">
        <f t="shared" si="59"/>
        <v>77862</v>
      </c>
      <c r="AP50" s="76">
        <f t="shared" si="59"/>
        <v>77862</v>
      </c>
      <c r="AQ50" s="266">
        <f t="shared" si="59"/>
        <v>78592</v>
      </c>
      <c r="AR50" s="266">
        <f t="shared" si="59"/>
        <v>75474</v>
      </c>
      <c r="AS50" s="266">
        <f t="shared" si="59"/>
        <v>74634</v>
      </c>
      <c r="AT50" s="266">
        <f t="shared" si="59"/>
        <v>72812</v>
      </c>
      <c r="AU50" s="76">
        <f t="shared" si="59"/>
        <v>72812</v>
      </c>
      <c r="AV50" s="266">
        <f t="shared" si="59"/>
        <v>74270</v>
      </c>
      <c r="AW50" s="266">
        <f t="shared" si="59"/>
        <v>74431</v>
      </c>
      <c r="AX50" s="266">
        <f t="shared" si="59"/>
        <v>72176</v>
      </c>
      <c r="AY50" s="265">
        <f t="shared" si="59"/>
        <v>63615</v>
      </c>
      <c r="AZ50" s="76">
        <f>AZ47+AZ49</f>
        <v>63615</v>
      </c>
      <c r="BA50" s="265">
        <f t="shared" si="59"/>
        <v>60771</v>
      </c>
      <c r="BB50" s="265">
        <f t="shared" si="59"/>
        <v>65367</v>
      </c>
      <c r="BC50" s="265">
        <f t="shared" si="59"/>
        <v>58163</v>
      </c>
      <c r="BD50" s="265">
        <f t="shared" si="59"/>
        <v>54724</v>
      </c>
      <c r="BE50" s="76">
        <f t="shared" si="59"/>
        <v>54724</v>
      </c>
      <c r="BF50" s="265">
        <f t="shared" si="59"/>
        <v>51613</v>
      </c>
      <c r="BG50" s="265">
        <f t="shared" si="59"/>
        <v>58210</v>
      </c>
      <c r="BH50" s="265">
        <f t="shared" ref="BH50:CD50" si="60">BH47+BH49</f>
        <v>55041</v>
      </c>
      <c r="BI50" s="265">
        <f t="shared" si="60"/>
        <v>58354</v>
      </c>
      <c r="BJ50" s="76">
        <f t="shared" si="60"/>
        <v>58354</v>
      </c>
      <c r="BK50" s="265">
        <f t="shared" si="60"/>
        <v>56126</v>
      </c>
      <c r="BL50" s="265">
        <f t="shared" si="60"/>
        <v>54842</v>
      </c>
      <c r="BM50" s="265">
        <f t="shared" si="60"/>
        <v>59566</v>
      </c>
      <c r="BN50" s="265">
        <f t="shared" si="60"/>
        <v>64726</v>
      </c>
      <c r="BO50" s="76">
        <f t="shared" ref="BO50" si="61">BO47+BO49</f>
        <v>64726</v>
      </c>
      <c r="BP50" s="266">
        <f t="shared" ca="1" si="60"/>
        <v>62254.079204146707</v>
      </c>
      <c r="BQ50" s="266">
        <f t="shared" ca="1" si="60"/>
        <v>62556.864013177161</v>
      </c>
      <c r="BR50" s="266">
        <f t="shared" ca="1" si="60"/>
        <v>60953.43914691246</v>
      </c>
      <c r="BS50" s="266">
        <f t="shared" ca="1" si="60"/>
        <v>59881.075684662392</v>
      </c>
      <c r="BT50" s="76">
        <f t="shared" ca="1" si="60"/>
        <v>59881.075684662392</v>
      </c>
      <c r="BU50" s="266">
        <f t="shared" ca="1" si="60"/>
        <v>57824.519331171476</v>
      </c>
      <c r="BV50" s="266">
        <f t="shared" ca="1" si="60"/>
        <v>57493.51801931348</v>
      </c>
      <c r="BW50" s="266">
        <f t="shared" ca="1" si="60"/>
        <v>55888.367825101705</v>
      </c>
      <c r="BX50" s="266">
        <f t="shared" ca="1" si="60"/>
        <v>54647.97496085606</v>
      </c>
      <c r="BY50" s="76">
        <f t="shared" ca="1" si="60"/>
        <v>54647.97496085606</v>
      </c>
      <c r="BZ50" s="266">
        <f t="shared" ca="1" si="60"/>
        <v>54363.496941849582</v>
      </c>
      <c r="CA50" s="266">
        <f t="shared" ca="1" si="60"/>
        <v>53135.870200562465</v>
      </c>
      <c r="CB50" s="266">
        <f t="shared" ca="1" si="60"/>
        <v>51755.295225495182</v>
      </c>
      <c r="CC50" s="266">
        <f t="shared" ca="1" si="60"/>
        <v>50783.51059989912</v>
      </c>
      <c r="CD50" s="76">
        <f t="shared" ca="1" si="60"/>
        <v>50783.51059989912</v>
      </c>
      <c r="CE50" s="5"/>
      <c r="CF50" s="315"/>
      <c r="CG50" s="76"/>
      <c r="CH50" s="11"/>
      <c r="CI50" s="11"/>
      <c r="CJ50" s="76"/>
      <c r="CK50" s="76"/>
      <c r="CL50" s="76"/>
    </row>
    <row r="51" spans="1:90">
      <c r="A51" s="75"/>
      <c r="B51" s="75"/>
      <c r="C51" s="264"/>
      <c r="D51" s="264"/>
      <c r="E51" s="264"/>
      <c r="F51" s="264"/>
      <c r="G51" s="264"/>
      <c r="H51" s="265"/>
      <c r="I51" s="265"/>
      <c r="J51" s="265"/>
      <c r="K51" s="265"/>
      <c r="L51" s="264"/>
      <c r="M51" s="266"/>
      <c r="N51" s="266"/>
      <c r="O51" s="266"/>
      <c r="P51" s="266"/>
      <c r="Q51" s="76"/>
      <c r="R51" s="266"/>
      <c r="S51" s="266"/>
      <c r="T51" s="266"/>
      <c r="U51" s="266"/>
      <c r="V51" s="76"/>
      <c r="W51" s="266"/>
      <c r="X51" s="266"/>
      <c r="Y51" s="266"/>
      <c r="Z51" s="266"/>
      <c r="AA51" s="76"/>
      <c r="AB51" s="266"/>
      <c r="AC51" s="266"/>
      <c r="AD51" s="266"/>
      <c r="AE51" s="266"/>
      <c r="AF51" s="76"/>
      <c r="AG51" s="266"/>
      <c r="AH51" s="266"/>
      <c r="AI51" s="266"/>
      <c r="AJ51" s="266"/>
      <c r="AK51" s="76"/>
      <c r="AL51" s="266"/>
      <c r="AM51" s="266"/>
      <c r="AN51" s="266"/>
      <c r="AO51" s="266"/>
      <c r="AP51" s="76"/>
      <c r="AQ51" s="266"/>
      <c r="AR51" s="266"/>
      <c r="AS51" s="266"/>
      <c r="AT51" s="266"/>
      <c r="AU51" s="76"/>
      <c r="AV51" s="266"/>
      <c r="AW51" s="266"/>
      <c r="AX51" s="266"/>
      <c r="AY51" s="265"/>
      <c r="AZ51" s="76"/>
      <c r="BA51" s="265"/>
      <c r="BB51" s="265"/>
      <c r="BC51" s="265"/>
      <c r="BD51" s="265"/>
      <c r="BE51" s="76"/>
      <c r="BF51" s="265"/>
      <c r="BG51" s="265"/>
      <c r="BH51" s="265"/>
      <c r="BI51" s="265"/>
      <c r="BJ51" s="76"/>
      <c r="BK51" s="265"/>
      <c r="BL51" s="265"/>
      <c r="BM51" s="265"/>
      <c r="BN51" s="265"/>
      <c r="BO51" s="76"/>
      <c r="BP51" s="266"/>
      <c r="BQ51" s="266"/>
      <c r="BR51" s="266"/>
      <c r="BS51" s="266"/>
      <c r="BT51" s="76"/>
      <c r="BU51" s="266"/>
      <c r="BV51" s="266"/>
      <c r="BW51" s="266"/>
      <c r="BX51" s="266"/>
      <c r="BY51" s="76"/>
      <c r="BZ51" s="266"/>
      <c r="CA51" s="266"/>
      <c r="CB51" s="266"/>
      <c r="CC51" s="266"/>
      <c r="CD51" s="76"/>
      <c r="CE51" s="5"/>
      <c r="CF51" s="315"/>
      <c r="CG51" s="76"/>
      <c r="CH51" s="11"/>
      <c r="CI51" s="11"/>
      <c r="CJ51" s="76"/>
      <c r="CK51" s="76"/>
      <c r="CL51" s="76"/>
    </row>
    <row r="52" spans="1:90">
      <c r="A52" s="75" t="s">
        <v>767</v>
      </c>
      <c r="B52" s="202"/>
      <c r="C52" s="205"/>
      <c r="D52" s="205"/>
      <c r="E52" s="205"/>
      <c r="F52" s="205"/>
      <c r="G52" s="205"/>
      <c r="H52" s="206"/>
      <c r="I52" s="206"/>
      <c r="J52" s="206"/>
      <c r="K52" s="206"/>
      <c r="L52" s="205"/>
      <c r="M52" s="176"/>
      <c r="N52" s="176"/>
      <c r="O52" s="176"/>
      <c r="P52" s="176"/>
      <c r="Q52" s="175"/>
      <c r="R52" s="176"/>
      <c r="S52" s="176"/>
      <c r="T52" s="176"/>
      <c r="U52" s="176"/>
      <c r="V52" s="175"/>
      <c r="W52" s="176"/>
      <c r="X52" s="176"/>
      <c r="Y52" s="176"/>
      <c r="Z52" s="176"/>
      <c r="AA52" s="175"/>
      <c r="AB52" s="176"/>
      <c r="AC52" s="176"/>
      <c r="AD52" s="176"/>
      <c r="AE52" s="176"/>
      <c r="AF52" s="175"/>
      <c r="AG52" s="176"/>
      <c r="AH52" s="176"/>
      <c r="AI52" s="176"/>
      <c r="AJ52" s="176"/>
      <c r="AK52" s="175"/>
      <c r="AL52" s="176"/>
      <c r="AM52" s="176"/>
      <c r="AN52" s="176"/>
      <c r="AO52" s="176"/>
      <c r="AP52" s="175"/>
      <c r="AQ52" s="176"/>
      <c r="AR52" s="176"/>
      <c r="AS52" s="176"/>
      <c r="AT52" s="176"/>
      <c r="AU52" s="175"/>
      <c r="AV52" s="176"/>
      <c r="AW52" s="176"/>
      <c r="AX52" s="176"/>
      <c r="AY52" s="206"/>
      <c r="AZ52" s="175"/>
      <c r="BA52" s="206"/>
      <c r="BB52" s="206"/>
      <c r="BC52" s="206"/>
      <c r="BD52" s="206"/>
      <c r="BE52" s="175"/>
      <c r="BF52" s="206"/>
      <c r="BG52" s="206"/>
      <c r="BH52" s="206"/>
      <c r="BI52" s="206"/>
      <c r="BJ52" s="175"/>
      <c r="BK52" s="206"/>
      <c r="BL52" s="206"/>
      <c r="BM52" s="206"/>
      <c r="BN52" s="206"/>
      <c r="BO52" s="175"/>
      <c r="BP52" s="176"/>
      <c r="BQ52" s="176"/>
      <c r="BR52" s="176"/>
      <c r="BS52" s="176"/>
      <c r="BT52" s="175"/>
      <c r="BU52" s="176"/>
      <c r="BV52" s="176"/>
      <c r="BW52" s="176"/>
      <c r="BX52" s="176"/>
      <c r="BY52" s="175"/>
      <c r="BZ52" s="176"/>
      <c r="CA52" s="176"/>
      <c r="CB52" s="176"/>
      <c r="CC52" s="176"/>
      <c r="CD52" s="175"/>
      <c r="CE52" s="5"/>
      <c r="CF52" s="314"/>
      <c r="CG52" s="175"/>
      <c r="CH52" s="11"/>
      <c r="CI52" s="11"/>
      <c r="CJ52" s="175"/>
      <c r="CK52" s="175"/>
      <c r="CL52" s="175"/>
    </row>
    <row r="53" spans="1:90">
      <c r="A53" s="202"/>
      <c r="B53" s="202" t="s">
        <v>480</v>
      </c>
      <c r="C53" s="205">
        <v>3054</v>
      </c>
      <c r="D53" s="205">
        <v>3412</v>
      </c>
      <c r="E53" s="205">
        <v>4630</v>
      </c>
      <c r="F53" s="205">
        <v>3581</v>
      </c>
      <c r="G53" s="205">
        <v>1935</v>
      </c>
      <c r="H53" s="206">
        <v>1812</v>
      </c>
      <c r="I53" s="206">
        <v>1783</v>
      </c>
      <c r="J53" s="206">
        <v>1701</v>
      </c>
      <c r="K53" s="206">
        <v>1430</v>
      </c>
      <c r="L53" s="205">
        <f t="shared" ref="L53:L59" si="62">K53</f>
        <v>1430</v>
      </c>
      <c r="M53" s="176">
        <v>1319</v>
      </c>
      <c r="N53" s="176">
        <v>1240</v>
      </c>
      <c r="O53" s="176">
        <v>1176</v>
      </c>
      <c r="P53" s="176">
        <v>1251</v>
      </c>
      <c r="Q53" s="175">
        <f t="shared" si="2"/>
        <v>1251</v>
      </c>
      <c r="R53" s="176">
        <v>3032</v>
      </c>
      <c r="S53" s="176">
        <v>2821</v>
      </c>
      <c r="T53" s="176">
        <v>2809</v>
      </c>
      <c r="U53" s="176">
        <v>3080</v>
      </c>
      <c r="V53" s="175">
        <f t="shared" si="3"/>
        <v>3080</v>
      </c>
      <c r="W53" s="176">
        <v>3080</v>
      </c>
      <c r="X53" s="176">
        <v>3109</v>
      </c>
      <c r="Y53" s="176">
        <v>3158</v>
      </c>
      <c r="Z53" s="176">
        <v>3198</v>
      </c>
      <c r="AA53" s="175">
        <f t="shared" si="4"/>
        <v>3198</v>
      </c>
      <c r="AB53" s="176">
        <v>3206</v>
      </c>
      <c r="AC53" s="176">
        <v>16272</v>
      </c>
      <c r="AD53" s="176">
        <v>15125</v>
      </c>
      <c r="AE53" s="176">
        <v>14285</v>
      </c>
      <c r="AF53" s="175">
        <f t="shared" si="5"/>
        <v>14285</v>
      </c>
      <c r="AG53" s="176">
        <v>12672</v>
      </c>
      <c r="AH53" s="176">
        <v>10259</v>
      </c>
      <c r="AI53" s="176">
        <v>8611</v>
      </c>
      <c r="AJ53" s="176">
        <v>3437</v>
      </c>
      <c r="AK53" s="175">
        <f t="shared" ref="AK53:AK59" si="63">AJ53</f>
        <v>3437</v>
      </c>
      <c r="AL53" s="176">
        <v>2909</v>
      </c>
      <c r="AM53" s="176">
        <v>2627</v>
      </c>
      <c r="AN53" s="176">
        <v>2473</v>
      </c>
      <c r="AO53" s="176">
        <v>2102</v>
      </c>
      <c r="AP53" s="175">
        <f t="shared" ref="AP53:AP59" si="64">AO53</f>
        <v>2102</v>
      </c>
      <c r="AQ53" s="176">
        <v>4888</v>
      </c>
      <c r="AR53" s="176">
        <v>4841</v>
      </c>
      <c r="AS53" s="176">
        <v>4804</v>
      </c>
      <c r="AT53" s="176">
        <v>4756</v>
      </c>
      <c r="AU53" s="175">
        <f t="shared" ref="AU53:CD55" si="65">AT53</f>
        <v>4756</v>
      </c>
      <c r="AV53" s="176">
        <v>3655</v>
      </c>
      <c r="AW53" s="176">
        <v>3652</v>
      </c>
      <c r="AX53" s="176">
        <v>3668</v>
      </c>
      <c r="AY53" s="206">
        <v>3587</v>
      </c>
      <c r="AZ53" s="175">
        <f t="shared" si="65"/>
        <v>3587</v>
      </c>
      <c r="BA53" s="206">
        <v>2941</v>
      </c>
      <c r="BB53" s="206">
        <v>2942</v>
      </c>
      <c r="BC53" s="206">
        <v>2908</v>
      </c>
      <c r="BD53" s="206">
        <v>2910</v>
      </c>
      <c r="BE53" s="175">
        <f t="shared" si="65"/>
        <v>2910</v>
      </c>
      <c r="BF53" s="206">
        <v>14772</v>
      </c>
      <c r="BG53" s="206">
        <v>13870</v>
      </c>
      <c r="BH53" s="206">
        <v>14025</v>
      </c>
      <c r="BI53" s="206">
        <v>13946</v>
      </c>
      <c r="BJ53" s="175">
        <f t="shared" si="65"/>
        <v>13946</v>
      </c>
      <c r="BK53" s="206">
        <v>13067</v>
      </c>
      <c r="BL53" s="206">
        <v>12556</v>
      </c>
      <c r="BM53" s="206">
        <v>13805</v>
      </c>
      <c r="BN53" s="206">
        <v>13889</v>
      </c>
      <c r="BO53" s="175">
        <f t="shared" si="65"/>
        <v>13889</v>
      </c>
      <c r="BP53" s="176">
        <f t="shared" ref="BP53:CC53" si="66">BP180+BP156</f>
        <v>14293.805910542769</v>
      </c>
      <c r="BQ53" s="176">
        <f t="shared" si="66"/>
        <v>12978.464442640772</v>
      </c>
      <c r="BR53" s="176">
        <f t="shared" si="66"/>
        <v>12853.866833580611</v>
      </c>
      <c r="BS53" s="176">
        <f t="shared" si="66"/>
        <v>12728.150459726592</v>
      </c>
      <c r="BT53" s="175">
        <f t="shared" si="65"/>
        <v>12728.150459726592</v>
      </c>
      <c r="BU53" s="176">
        <f t="shared" si="66"/>
        <v>12802.742669911269</v>
      </c>
      <c r="BV53" s="176">
        <f t="shared" si="66"/>
        <v>11677.402214114583</v>
      </c>
      <c r="BW53" s="176">
        <f t="shared" si="66"/>
        <v>11744.163596648432</v>
      </c>
      <c r="BX53" s="176">
        <f t="shared" si="66"/>
        <v>11810.2594965346</v>
      </c>
      <c r="BY53" s="175">
        <f t="shared" si="65"/>
        <v>11810.2594965346</v>
      </c>
      <c r="BZ53" s="176">
        <f t="shared" si="66"/>
        <v>10942.720609619497</v>
      </c>
      <c r="CA53" s="176">
        <f t="shared" si="66"/>
        <v>10719.858108018721</v>
      </c>
      <c r="CB53" s="176">
        <f t="shared" si="66"/>
        <v>10489.772628609668</v>
      </c>
      <c r="CC53" s="176">
        <f t="shared" si="66"/>
        <v>10260.135393065295</v>
      </c>
      <c r="CD53" s="175">
        <f t="shared" si="65"/>
        <v>10260.135393065295</v>
      </c>
      <c r="CE53" s="5"/>
      <c r="CF53" s="316"/>
      <c r="CG53" s="5"/>
      <c r="CH53" s="11"/>
      <c r="CI53" s="11"/>
      <c r="CJ53" s="175"/>
      <c r="CK53" s="175"/>
      <c r="CL53" s="175"/>
    </row>
    <row r="54" spans="1:90">
      <c r="A54" s="202"/>
      <c r="B54" s="202" t="s">
        <v>635</v>
      </c>
      <c r="C54" s="205">
        <v>0</v>
      </c>
      <c r="D54" s="205">
        <v>0</v>
      </c>
      <c r="E54" s="205">
        <v>344</v>
      </c>
      <c r="F54" s="205">
        <v>158</v>
      </c>
      <c r="G54" s="205">
        <v>5871</v>
      </c>
      <c r="H54" s="206">
        <v>6093</v>
      </c>
      <c r="I54" s="206">
        <v>6380</v>
      </c>
      <c r="J54" s="206">
        <v>4782</v>
      </c>
      <c r="K54" s="206">
        <v>4203</v>
      </c>
      <c r="L54" s="205">
        <f t="shared" si="62"/>
        <v>4203</v>
      </c>
      <c r="M54" s="176">
        <v>3626</v>
      </c>
      <c r="N54" s="176">
        <v>3888</v>
      </c>
      <c r="O54" s="176">
        <v>3685</v>
      </c>
      <c r="P54" s="176">
        <v>5002</v>
      </c>
      <c r="Q54" s="175">
        <f t="shared" si="2"/>
        <v>5002</v>
      </c>
      <c r="R54" s="176">
        <v>7104</v>
      </c>
      <c r="S54" s="176">
        <v>15116</v>
      </c>
      <c r="T54" s="176">
        <v>7915</v>
      </c>
      <c r="U54" s="176">
        <v>6271</v>
      </c>
      <c r="V54" s="175">
        <f t="shared" si="3"/>
        <v>6271</v>
      </c>
      <c r="W54" s="176">
        <v>6054</v>
      </c>
      <c r="X54" s="176">
        <v>5039</v>
      </c>
      <c r="Y54" s="176">
        <v>3810</v>
      </c>
      <c r="Z54" s="176">
        <v>3474</v>
      </c>
      <c r="AA54" s="175">
        <f t="shared" si="4"/>
        <v>3474</v>
      </c>
      <c r="AB54" s="176">
        <v>3899</v>
      </c>
      <c r="AC54" s="176">
        <v>4181</v>
      </c>
      <c r="AD54" s="176">
        <v>3962</v>
      </c>
      <c r="AE54" s="176">
        <v>3677</v>
      </c>
      <c r="AF54" s="175">
        <f t="shared" si="5"/>
        <v>3677</v>
      </c>
      <c r="AG54" s="176">
        <v>4054</v>
      </c>
      <c r="AH54" s="176">
        <v>3705</v>
      </c>
      <c r="AI54" s="176">
        <v>3495</v>
      </c>
      <c r="AJ54" s="176">
        <v>3773</v>
      </c>
      <c r="AK54" s="175">
        <f t="shared" si="63"/>
        <v>3773</v>
      </c>
      <c r="AL54" s="176">
        <v>3742</v>
      </c>
      <c r="AM54" s="176">
        <v>3682</v>
      </c>
      <c r="AN54" s="176">
        <v>3119</v>
      </c>
      <c r="AO54" s="176">
        <v>2723</v>
      </c>
      <c r="AP54" s="175">
        <f t="shared" si="64"/>
        <v>2723</v>
      </c>
      <c r="AQ54" s="176">
        <v>2706</v>
      </c>
      <c r="AR54" s="176">
        <v>2483</v>
      </c>
      <c r="AS54" s="176">
        <v>2137</v>
      </c>
      <c r="AT54" s="176">
        <v>2225</v>
      </c>
      <c r="AU54" s="175">
        <f t="shared" si="65"/>
        <v>2225</v>
      </c>
      <c r="AV54" s="176">
        <v>1984</v>
      </c>
      <c r="AW54" s="176">
        <v>1765</v>
      </c>
      <c r="AX54" s="176">
        <v>2480</v>
      </c>
      <c r="AY54" s="206">
        <v>3199</v>
      </c>
      <c r="AZ54" s="175">
        <f t="shared" si="65"/>
        <v>3199</v>
      </c>
      <c r="BA54" s="206">
        <v>4425</v>
      </c>
      <c r="BB54" s="206">
        <v>3847</v>
      </c>
      <c r="BC54" s="206">
        <v>3908</v>
      </c>
      <c r="BD54" s="206">
        <v>4283</v>
      </c>
      <c r="BE54" s="175">
        <f t="shared" si="65"/>
        <v>4283</v>
      </c>
      <c r="BF54" s="206">
        <v>3506</v>
      </c>
      <c r="BG54" s="206">
        <v>4268</v>
      </c>
      <c r="BH54" s="206">
        <v>4322</v>
      </c>
      <c r="BI54" s="206">
        <v>5513</v>
      </c>
      <c r="BJ54" s="175">
        <f t="shared" si="65"/>
        <v>5513</v>
      </c>
      <c r="BK54" s="206">
        <v>5187</v>
      </c>
      <c r="BL54" s="206">
        <v>4210</v>
      </c>
      <c r="BM54" s="206">
        <v>3881</v>
      </c>
      <c r="BN54" s="206">
        <v>3761</v>
      </c>
      <c r="BO54" s="175">
        <f t="shared" si="65"/>
        <v>3761</v>
      </c>
      <c r="BP54" s="176">
        <f t="shared" si="65"/>
        <v>3761</v>
      </c>
      <c r="BQ54" s="176">
        <f t="shared" si="65"/>
        <v>3761</v>
      </c>
      <c r="BR54" s="176">
        <f t="shared" si="65"/>
        <v>3761</v>
      </c>
      <c r="BS54" s="176">
        <f t="shared" si="65"/>
        <v>3761</v>
      </c>
      <c r="BT54" s="175">
        <f t="shared" si="65"/>
        <v>3761</v>
      </c>
      <c r="BU54" s="176">
        <f t="shared" si="65"/>
        <v>3761</v>
      </c>
      <c r="BV54" s="176">
        <f t="shared" si="65"/>
        <v>3761</v>
      </c>
      <c r="BW54" s="176">
        <f t="shared" si="65"/>
        <v>3761</v>
      </c>
      <c r="BX54" s="176">
        <f t="shared" si="65"/>
        <v>3761</v>
      </c>
      <c r="BY54" s="175">
        <f t="shared" si="65"/>
        <v>3761</v>
      </c>
      <c r="BZ54" s="176">
        <f t="shared" si="65"/>
        <v>3761</v>
      </c>
      <c r="CA54" s="176">
        <f t="shared" si="65"/>
        <v>3761</v>
      </c>
      <c r="CB54" s="176">
        <f t="shared" si="65"/>
        <v>3761</v>
      </c>
      <c r="CC54" s="176">
        <f t="shared" si="65"/>
        <v>3761</v>
      </c>
      <c r="CD54" s="175">
        <f t="shared" si="65"/>
        <v>3761</v>
      </c>
      <c r="CE54" s="5"/>
      <c r="CF54" s="314" t="s">
        <v>2884</v>
      </c>
      <c r="CG54" s="5"/>
      <c r="CH54" s="11"/>
      <c r="CI54" s="11"/>
      <c r="CJ54" s="175"/>
      <c r="CK54" s="175"/>
      <c r="CL54" s="175"/>
    </row>
    <row r="55" spans="1:90">
      <c r="A55" s="202"/>
      <c r="B55" s="202" t="s">
        <v>641</v>
      </c>
      <c r="C55" s="205">
        <v>0</v>
      </c>
      <c r="D55" s="205">
        <v>0</v>
      </c>
      <c r="E55" s="205">
        <v>864</v>
      </c>
      <c r="F55" s="205">
        <v>699</v>
      </c>
      <c r="G55" s="205">
        <v>989</v>
      </c>
      <c r="H55" s="206">
        <v>1178</v>
      </c>
      <c r="I55" s="206">
        <v>1211</v>
      </c>
      <c r="J55" s="206">
        <v>1309</v>
      </c>
      <c r="K55" s="206">
        <v>961</v>
      </c>
      <c r="L55" s="205">
        <f t="shared" si="62"/>
        <v>961</v>
      </c>
      <c r="M55" s="176">
        <v>949</v>
      </c>
      <c r="N55" s="176">
        <v>1001</v>
      </c>
      <c r="O55" s="176">
        <v>988</v>
      </c>
      <c r="P55" s="176">
        <v>959</v>
      </c>
      <c r="Q55" s="175">
        <f t="shared" si="2"/>
        <v>959</v>
      </c>
      <c r="R55" s="176">
        <v>959</v>
      </c>
      <c r="S55" s="176">
        <v>882</v>
      </c>
      <c r="T55" s="176">
        <v>863</v>
      </c>
      <c r="U55" s="176">
        <v>784</v>
      </c>
      <c r="V55" s="175">
        <f t="shared" si="3"/>
        <v>784</v>
      </c>
      <c r="W55" s="176">
        <v>800</v>
      </c>
      <c r="X55" s="176">
        <v>713</v>
      </c>
      <c r="Y55" s="176">
        <v>729</v>
      </c>
      <c r="Z55" s="176">
        <v>703</v>
      </c>
      <c r="AA55" s="175">
        <f t="shared" si="4"/>
        <v>703</v>
      </c>
      <c r="AB55" s="176">
        <v>656</v>
      </c>
      <c r="AC55" s="176">
        <v>592</v>
      </c>
      <c r="AD55" s="176">
        <v>628</v>
      </c>
      <c r="AE55" s="176">
        <v>637</v>
      </c>
      <c r="AF55" s="175">
        <f t="shared" si="5"/>
        <v>637</v>
      </c>
      <c r="AG55" s="176">
        <v>426</v>
      </c>
      <c r="AH55" s="176">
        <v>391</v>
      </c>
      <c r="AI55" s="176">
        <v>430</v>
      </c>
      <c r="AJ55" s="176">
        <v>389</v>
      </c>
      <c r="AK55" s="175">
        <f t="shared" si="63"/>
        <v>389</v>
      </c>
      <c r="AL55" s="176">
        <v>478</v>
      </c>
      <c r="AM55" s="176">
        <v>460</v>
      </c>
      <c r="AN55" s="176">
        <v>493</v>
      </c>
      <c r="AO55" s="176">
        <v>448</v>
      </c>
      <c r="AP55" s="175">
        <f t="shared" si="64"/>
        <v>448</v>
      </c>
      <c r="AQ55" s="176">
        <v>498</v>
      </c>
      <c r="AR55" s="176">
        <v>505</v>
      </c>
      <c r="AS55" s="176">
        <v>432</v>
      </c>
      <c r="AT55" s="176">
        <v>547</v>
      </c>
      <c r="AU55" s="175">
        <f t="shared" si="65"/>
        <v>547</v>
      </c>
      <c r="AV55" s="176">
        <v>746</v>
      </c>
      <c r="AW55" s="176">
        <v>807</v>
      </c>
      <c r="AX55" s="176">
        <v>871</v>
      </c>
      <c r="AY55" s="206">
        <v>861</v>
      </c>
      <c r="AZ55" s="175">
        <f t="shared" si="65"/>
        <v>861</v>
      </c>
      <c r="BA55" s="206">
        <v>858</v>
      </c>
      <c r="BB55" s="206">
        <v>937</v>
      </c>
      <c r="BC55" s="206">
        <v>964</v>
      </c>
      <c r="BD55" s="206">
        <v>890</v>
      </c>
      <c r="BE55" s="175">
        <f t="shared" si="65"/>
        <v>890</v>
      </c>
      <c r="BF55" s="206">
        <v>683</v>
      </c>
      <c r="BG55" s="206">
        <v>502</v>
      </c>
      <c r="BH55" s="206">
        <v>483</v>
      </c>
      <c r="BI55" s="206">
        <v>469</v>
      </c>
      <c r="BJ55" s="175">
        <f t="shared" si="65"/>
        <v>469</v>
      </c>
      <c r="BK55" s="206">
        <v>451</v>
      </c>
      <c r="BL55" s="206">
        <v>489</v>
      </c>
      <c r="BM55" s="206">
        <v>501</v>
      </c>
      <c r="BN55" s="206">
        <v>505</v>
      </c>
      <c r="BO55" s="175">
        <f t="shared" si="65"/>
        <v>505</v>
      </c>
      <c r="BP55" s="176">
        <f t="shared" si="65"/>
        <v>505</v>
      </c>
      <c r="BQ55" s="176">
        <f t="shared" si="65"/>
        <v>505</v>
      </c>
      <c r="BR55" s="176">
        <f t="shared" si="65"/>
        <v>505</v>
      </c>
      <c r="BS55" s="176">
        <f t="shared" si="65"/>
        <v>505</v>
      </c>
      <c r="BT55" s="175">
        <f t="shared" si="65"/>
        <v>505</v>
      </c>
      <c r="BU55" s="176">
        <f t="shared" si="65"/>
        <v>505</v>
      </c>
      <c r="BV55" s="176">
        <f t="shared" si="65"/>
        <v>505</v>
      </c>
      <c r="BW55" s="176">
        <f t="shared" si="65"/>
        <v>505</v>
      </c>
      <c r="BX55" s="176">
        <f t="shared" si="65"/>
        <v>505</v>
      </c>
      <c r="BY55" s="175">
        <f t="shared" si="65"/>
        <v>505</v>
      </c>
      <c r="BZ55" s="176">
        <f t="shared" si="65"/>
        <v>505</v>
      </c>
      <c r="CA55" s="176">
        <f t="shared" si="65"/>
        <v>505</v>
      </c>
      <c r="CB55" s="176">
        <f t="shared" si="65"/>
        <v>505</v>
      </c>
      <c r="CC55" s="176">
        <f t="shared" si="65"/>
        <v>505</v>
      </c>
      <c r="CD55" s="175">
        <f t="shared" si="65"/>
        <v>505</v>
      </c>
      <c r="CE55" s="5"/>
      <c r="CF55" s="314" t="s">
        <v>2884</v>
      </c>
      <c r="CG55" s="5"/>
      <c r="CH55" s="11"/>
      <c r="CI55" s="11"/>
      <c r="CJ55" s="175"/>
      <c r="CK55" s="175"/>
      <c r="CL55" s="175"/>
    </row>
    <row r="56" spans="1:90">
      <c r="A56" s="245"/>
      <c r="B56" s="245" t="s">
        <v>642</v>
      </c>
      <c r="C56" s="205">
        <v>12327</v>
      </c>
      <c r="D56" s="205">
        <v>11922</v>
      </c>
      <c r="E56" s="205">
        <v>12869</v>
      </c>
      <c r="F56" s="205">
        <v>12907</v>
      </c>
      <c r="G56" s="205">
        <v>10230</v>
      </c>
      <c r="H56" s="206">
        <v>9457</v>
      </c>
      <c r="I56" s="206">
        <v>9638</v>
      </c>
      <c r="J56" s="206">
        <v>10412</v>
      </c>
      <c r="K56" s="206">
        <v>11086</v>
      </c>
      <c r="L56" s="205">
        <f t="shared" si="62"/>
        <v>11086</v>
      </c>
      <c r="M56" s="206">
        <v>12131</v>
      </c>
      <c r="N56" s="206">
        <v>12188</v>
      </c>
      <c r="O56" s="206">
        <v>12456</v>
      </c>
      <c r="P56" s="206">
        <v>15651</v>
      </c>
      <c r="Q56" s="205">
        <f t="shared" si="2"/>
        <v>15651</v>
      </c>
      <c r="R56" s="206">
        <v>16051</v>
      </c>
      <c r="S56" s="206">
        <v>13551</v>
      </c>
      <c r="T56" s="206">
        <v>14042</v>
      </c>
      <c r="U56" s="206">
        <v>17464</v>
      </c>
      <c r="V56" s="205">
        <f t="shared" si="3"/>
        <v>17464</v>
      </c>
      <c r="W56" s="206">
        <v>19438</v>
      </c>
      <c r="X56" s="206">
        <v>24222</v>
      </c>
      <c r="Y56" s="206">
        <v>27068</v>
      </c>
      <c r="Z56" s="206">
        <v>25518</v>
      </c>
      <c r="AA56" s="205">
        <f t="shared" si="4"/>
        <v>25518</v>
      </c>
      <c r="AB56" s="206">
        <v>23797</v>
      </c>
      <c r="AC56" s="206">
        <v>22259</v>
      </c>
      <c r="AD56" s="206">
        <v>25957</v>
      </c>
      <c r="AE56" s="206">
        <v>30710</v>
      </c>
      <c r="AF56" s="205">
        <f t="shared" si="5"/>
        <v>30710</v>
      </c>
      <c r="AG56" s="176">
        <v>32847</v>
      </c>
      <c r="AH56" s="176">
        <v>34445</v>
      </c>
      <c r="AI56" s="176">
        <v>33767</v>
      </c>
      <c r="AJ56" s="176">
        <v>35169</v>
      </c>
      <c r="AK56" s="175">
        <f t="shared" si="63"/>
        <v>35169</v>
      </c>
      <c r="AL56" s="176">
        <v>38573</v>
      </c>
      <c r="AM56" s="176">
        <v>40449</v>
      </c>
      <c r="AN56" s="176">
        <v>41398</v>
      </c>
      <c r="AO56" s="176">
        <v>38767</v>
      </c>
      <c r="AP56" s="175">
        <f t="shared" si="64"/>
        <v>38767</v>
      </c>
      <c r="AQ56" s="176">
        <v>37524</v>
      </c>
      <c r="AR56" s="176">
        <v>38265</v>
      </c>
      <c r="AS56" s="176">
        <v>41664</v>
      </c>
      <c r="AT56" s="176">
        <v>40811</v>
      </c>
      <c r="AU56" s="175">
        <f>AT56</f>
        <v>40811</v>
      </c>
      <c r="AV56" s="176">
        <v>44586</v>
      </c>
      <c r="AW56" s="176">
        <v>45336</v>
      </c>
      <c r="AX56" s="176">
        <v>47157</v>
      </c>
      <c r="AY56" s="206">
        <v>45977</v>
      </c>
      <c r="AZ56" s="175">
        <f>AY56</f>
        <v>45977</v>
      </c>
      <c r="BA56" s="206">
        <v>49193</v>
      </c>
      <c r="BB56" s="206">
        <v>47994</v>
      </c>
      <c r="BC56" s="206">
        <v>48423</v>
      </c>
      <c r="BD56" s="206">
        <v>46224</v>
      </c>
      <c r="BE56" s="175">
        <f>BD56</f>
        <v>46224</v>
      </c>
      <c r="BF56" s="206">
        <v>49572</v>
      </c>
      <c r="BG56" s="206">
        <v>50607</v>
      </c>
      <c r="BH56" s="206">
        <v>53308</v>
      </c>
      <c r="BI56" s="206">
        <v>51666</v>
      </c>
      <c r="BJ56" s="175">
        <f>BI56</f>
        <v>51666</v>
      </c>
      <c r="BK56" s="206">
        <v>54472</v>
      </c>
      <c r="BL56" s="206">
        <v>55619</v>
      </c>
      <c r="BM56" s="206">
        <v>56893</v>
      </c>
      <c r="BN56" s="206">
        <v>55491</v>
      </c>
      <c r="BO56" s="175">
        <f>BN56</f>
        <v>55491</v>
      </c>
      <c r="BP56" s="206">
        <f ca="1">MAX(BO56+0.25*(BP74-BO74),0)</f>
        <v>56760.944852333385</v>
      </c>
      <c r="BQ56" s="176">
        <f ca="1">MAX(BP56+0.25*(BQ74-BP74),0)</f>
        <v>56645.67502416455</v>
      </c>
      <c r="BR56" s="176">
        <f ca="1">MAX(BQ56+0.25*(BR74-BQ74),0)</f>
        <v>56240.212957063719</v>
      </c>
      <c r="BS56" s="176">
        <f ca="1">MAX(BR56+0.25*(BS74-BR74),0)</f>
        <v>55997.213654358755</v>
      </c>
      <c r="BT56" s="175">
        <f ca="1">BS56</f>
        <v>55997.213654358755</v>
      </c>
      <c r="BU56" s="176">
        <f ca="1">MAX(BT56+0.25*(BU74-BT74),0)</f>
        <v>55532.943161598152</v>
      </c>
      <c r="BV56" s="176">
        <f ca="1">MAX(BU56+0.25*(BV74-BU74),0)</f>
        <v>55483.442724312154</v>
      </c>
      <c r="BW56" s="176">
        <f ca="1">MAX(BV56+0.25*(BW74-BV74),0)</f>
        <v>55010.892659574893</v>
      </c>
      <c r="BX56" s="176">
        <f ca="1">MAX(BW56+0.25*(BX74-BW74),0)</f>
        <v>54659.928371493013</v>
      </c>
      <c r="BY56" s="175">
        <f ca="1">BX56</f>
        <v>54659.928371493013</v>
      </c>
      <c r="BZ56" s="176">
        <f ca="1">MAX(BY56+0.25*(BZ74-BY74),0)</f>
        <v>54223.438294471998</v>
      </c>
      <c r="CA56" s="176">
        <f ca="1">MAX(BZ56+0.25*(CA74-BZ74),0)</f>
        <v>54086.896372791372</v>
      </c>
      <c r="CB56" s="176">
        <f ca="1">MAX(CA56+0.25*(CB74-CA74),0)</f>
        <v>53499.433228489594</v>
      </c>
      <c r="CC56" s="176">
        <f ca="1">MAX(CB56+0.25*(CC74-CB74),0)</f>
        <v>53048.064128438447</v>
      </c>
      <c r="CD56" s="175">
        <f ca="1">CC56</f>
        <v>53048.064128438447</v>
      </c>
      <c r="CE56" s="5"/>
      <c r="CF56" s="317" t="s">
        <v>2878</v>
      </c>
      <c r="CG56" s="5"/>
      <c r="CH56" s="11"/>
      <c r="CI56" s="11"/>
      <c r="CJ56" s="205"/>
      <c r="CK56" s="205"/>
      <c r="CL56" s="205"/>
    </row>
    <row r="57" spans="1:90">
      <c r="A57" s="4"/>
      <c r="B57" s="4" t="s">
        <v>481</v>
      </c>
      <c r="C57" s="138">
        <v>11702</v>
      </c>
      <c r="D57" s="138">
        <v>13514</v>
      </c>
      <c r="E57" s="138">
        <v>16051</v>
      </c>
      <c r="F57" s="138">
        <v>16701</v>
      </c>
      <c r="G57" s="138">
        <v>16443</v>
      </c>
      <c r="H57" s="181">
        <v>17066</v>
      </c>
      <c r="I57" s="181">
        <v>16703</v>
      </c>
      <c r="J57" s="181">
        <v>17343</v>
      </c>
      <c r="K57" s="181">
        <v>18116</v>
      </c>
      <c r="L57" s="138">
        <f t="shared" si="62"/>
        <v>18116</v>
      </c>
      <c r="M57" s="12">
        <v>18593</v>
      </c>
      <c r="N57" s="12">
        <v>18582</v>
      </c>
      <c r="O57" s="12">
        <v>19072</v>
      </c>
      <c r="P57" s="12">
        <v>19215</v>
      </c>
      <c r="Q57" s="5">
        <f t="shared" si="2"/>
        <v>19215</v>
      </c>
      <c r="R57" s="12">
        <v>19947</v>
      </c>
      <c r="S57" s="12">
        <v>20653</v>
      </c>
      <c r="T57" s="12">
        <v>21573</v>
      </c>
      <c r="U57" s="12">
        <v>16198</v>
      </c>
      <c r="V57" s="5">
        <f t="shared" si="3"/>
        <v>16198</v>
      </c>
      <c r="W57" s="12">
        <v>16177</v>
      </c>
      <c r="X57" s="12">
        <v>16800</v>
      </c>
      <c r="Y57" s="12">
        <v>17796</v>
      </c>
      <c r="Z57" s="12">
        <v>18662</v>
      </c>
      <c r="AA57" s="5">
        <f t="shared" si="4"/>
        <v>18662</v>
      </c>
      <c r="AB57" s="12">
        <v>20156</v>
      </c>
      <c r="AC57" s="12">
        <v>11049</v>
      </c>
      <c r="AD57" s="12">
        <v>10339</v>
      </c>
      <c r="AE57" s="12">
        <v>10908</v>
      </c>
      <c r="AF57" s="5">
        <f t="shared" si="5"/>
        <v>10908</v>
      </c>
      <c r="AG57" s="12">
        <v>12419</v>
      </c>
      <c r="AH57" s="176">
        <v>13751</v>
      </c>
      <c r="AI57" s="176">
        <v>14582</v>
      </c>
      <c r="AJ57" s="176">
        <v>15078</v>
      </c>
      <c r="AK57" s="175">
        <f t="shared" si="63"/>
        <v>15078</v>
      </c>
      <c r="AL57" s="176">
        <v>16169</v>
      </c>
      <c r="AM57" s="176">
        <v>14322</v>
      </c>
      <c r="AN57" s="176">
        <v>14614</v>
      </c>
      <c r="AO57" s="176">
        <v>15064</v>
      </c>
      <c r="AP57" s="175">
        <f t="shared" si="64"/>
        <v>15064</v>
      </c>
      <c r="AQ57" s="176">
        <v>16044</v>
      </c>
      <c r="AR57" s="176">
        <v>17127</v>
      </c>
      <c r="AS57" s="176">
        <v>17407</v>
      </c>
      <c r="AT57" s="176">
        <v>17439</v>
      </c>
      <c r="AU57" s="175">
        <f>AT57</f>
        <v>17439</v>
      </c>
      <c r="AV57" s="176">
        <v>17907</v>
      </c>
      <c r="AW57" s="176">
        <v>18328</v>
      </c>
      <c r="AX57" s="176">
        <v>18366</v>
      </c>
      <c r="AY57" s="206">
        <v>13893</v>
      </c>
      <c r="AZ57" s="175">
        <f>AY57</f>
        <v>13893</v>
      </c>
      <c r="BA57" s="206">
        <v>12903</v>
      </c>
      <c r="BB57" s="206">
        <v>9975</v>
      </c>
      <c r="BC57" s="206">
        <v>9845</v>
      </c>
      <c r="BD57" s="206">
        <v>9599</v>
      </c>
      <c r="BE57" s="175">
        <f>BD57</f>
        <v>9599</v>
      </c>
      <c r="BF57" s="206">
        <v>8685</v>
      </c>
      <c r="BG57" s="206">
        <v>7797</v>
      </c>
      <c r="BH57" s="206">
        <v>6926</v>
      </c>
      <c r="BI57" s="206">
        <v>7238</v>
      </c>
      <c r="BJ57" s="175">
        <f>BI57</f>
        <v>7238</v>
      </c>
      <c r="BK57" s="206">
        <v>7295</v>
      </c>
      <c r="BL57" s="206">
        <v>7435</v>
      </c>
      <c r="BM57" s="206">
        <v>7619</v>
      </c>
      <c r="BN57" s="206">
        <v>7982</v>
      </c>
      <c r="BO57" s="175">
        <f>BN57</f>
        <v>7982</v>
      </c>
      <c r="BP57" s="176">
        <f ca="1">BP182+BP158</f>
        <v>7982</v>
      </c>
      <c r="BQ57" s="176">
        <f ca="1">BQ182+BQ158</f>
        <v>7982</v>
      </c>
      <c r="BR57" s="176">
        <f ca="1">BR182+BR158</f>
        <v>7982</v>
      </c>
      <c r="BS57" s="176">
        <f ca="1">BS182+BS158</f>
        <v>7982</v>
      </c>
      <c r="BT57" s="175">
        <f ca="1">BS57</f>
        <v>7982</v>
      </c>
      <c r="BU57" s="176">
        <f ca="1">BU182+BU158</f>
        <v>7982</v>
      </c>
      <c r="BV57" s="176">
        <f ca="1">BV182+BV158</f>
        <v>7982</v>
      </c>
      <c r="BW57" s="176">
        <f ca="1">BW182+BW158</f>
        <v>7982</v>
      </c>
      <c r="BX57" s="176">
        <f ca="1">BX182+BX158</f>
        <v>7982</v>
      </c>
      <c r="BY57" s="175">
        <f ca="1">BX57</f>
        <v>7982</v>
      </c>
      <c r="BZ57" s="176">
        <f ca="1">BZ182+BZ158</f>
        <v>7982</v>
      </c>
      <c r="CA57" s="176">
        <f ca="1">CA182+CA158</f>
        <v>7982</v>
      </c>
      <c r="CB57" s="176">
        <f ca="1">CB182+CB158</f>
        <v>7982</v>
      </c>
      <c r="CC57" s="176">
        <f ca="1">CC182+CC158</f>
        <v>7982</v>
      </c>
      <c r="CD57" s="175">
        <f ca="1">CC57</f>
        <v>7982</v>
      </c>
      <c r="CE57" s="5"/>
      <c r="CF57" s="316"/>
      <c r="CG57" s="5"/>
      <c r="CH57" s="11"/>
      <c r="CI57" s="11"/>
      <c r="CJ57" s="5"/>
      <c r="CK57" s="5"/>
      <c r="CL57" s="5"/>
    </row>
    <row r="58" spans="1:90">
      <c r="A58" s="4"/>
      <c r="B58" s="4" t="s">
        <v>644</v>
      </c>
      <c r="C58" s="138">
        <v>10419</v>
      </c>
      <c r="D58" s="138">
        <v>7120</v>
      </c>
      <c r="E58" s="138">
        <v>7864</v>
      </c>
      <c r="F58" s="138">
        <v>8884</v>
      </c>
      <c r="G58" s="138">
        <v>9954</v>
      </c>
      <c r="H58" s="181">
        <v>9527</v>
      </c>
      <c r="I58" s="181">
        <v>10395</v>
      </c>
      <c r="J58" s="181">
        <v>10934</v>
      </c>
      <c r="K58" s="181">
        <v>11712</v>
      </c>
      <c r="L58" s="138">
        <f t="shared" si="62"/>
        <v>11712</v>
      </c>
      <c r="M58" s="12">
        <v>11655</v>
      </c>
      <c r="N58" s="12">
        <v>13070</v>
      </c>
      <c r="O58" s="12">
        <v>13211</v>
      </c>
      <c r="P58" s="12">
        <v>12900</v>
      </c>
      <c r="Q58" s="5">
        <f t="shared" si="2"/>
        <v>12900</v>
      </c>
      <c r="R58" s="12">
        <v>13055</v>
      </c>
      <c r="S58" s="12">
        <v>13447</v>
      </c>
      <c r="T58" s="12">
        <v>12744</v>
      </c>
      <c r="U58" s="12">
        <v>12108</v>
      </c>
      <c r="V58" s="5">
        <f t="shared" si="3"/>
        <v>12108</v>
      </c>
      <c r="W58" s="12">
        <v>12417</v>
      </c>
      <c r="X58" s="12">
        <v>12999</v>
      </c>
      <c r="Y58" s="12">
        <v>12976</v>
      </c>
      <c r="Z58" s="12">
        <v>12970</v>
      </c>
      <c r="AA58" s="5">
        <f t="shared" si="4"/>
        <v>12970</v>
      </c>
      <c r="AB58" s="12">
        <v>12752</v>
      </c>
      <c r="AC58" s="12">
        <v>18588</v>
      </c>
      <c r="AD58" s="12">
        <v>17603</v>
      </c>
      <c r="AE58" s="12">
        <v>22418</v>
      </c>
      <c r="AF58" s="5">
        <f t="shared" si="5"/>
        <v>22418</v>
      </c>
      <c r="AG58" s="12">
        <v>22254</v>
      </c>
      <c r="AH58" s="176">
        <v>23287</v>
      </c>
      <c r="AI58" s="176">
        <v>22800</v>
      </c>
      <c r="AJ58" s="176">
        <v>26163</v>
      </c>
      <c r="AK58" s="175">
        <f t="shared" si="63"/>
        <v>26163</v>
      </c>
      <c r="AL58" s="176">
        <v>29000</v>
      </c>
      <c r="AM58" s="176">
        <v>29224</v>
      </c>
      <c r="AN58" s="176">
        <v>29504</v>
      </c>
      <c r="AO58" s="176">
        <v>30852</v>
      </c>
      <c r="AP58" s="175">
        <f t="shared" si="64"/>
        <v>30852</v>
      </c>
      <c r="AQ58" s="176">
        <v>26344</v>
      </c>
      <c r="AR58" s="176">
        <v>27398</v>
      </c>
      <c r="AS58" s="176">
        <v>28014</v>
      </c>
      <c r="AT58" s="176">
        <v>26915</v>
      </c>
      <c r="AU58" s="175">
        <f>AT58</f>
        <v>26915</v>
      </c>
      <c r="AV58" s="176">
        <v>26939</v>
      </c>
      <c r="AW58" s="176">
        <v>28204</v>
      </c>
      <c r="AX58" s="176">
        <v>28415</v>
      </c>
      <c r="AY58" s="206">
        <v>29080</v>
      </c>
      <c r="AZ58" s="175">
        <f>AY58</f>
        <v>29080</v>
      </c>
      <c r="BA58" s="206">
        <v>28569</v>
      </c>
      <c r="BB58" s="206">
        <v>37039</v>
      </c>
      <c r="BC58" s="206">
        <v>36578</v>
      </c>
      <c r="BD58" s="206">
        <v>35960</v>
      </c>
      <c r="BE58" s="175">
        <f>BD58</f>
        <v>35960</v>
      </c>
      <c r="BF58" s="206">
        <v>23085</v>
      </c>
      <c r="BG58" s="206">
        <v>23693</v>
      </c>
      <c r="BH58" s="206">
        <v>23039</v>
      </c>
      <c r="BI58" s="206">
        <v>20412</v>
      </c>
      <c r="BJ58" s="175">
        <f>BI58</f>
        <v>20412</v>
      </c>
      <c r="BK58" s="206">
        <v>20272</v>
      </c>
      <c r="BL58" s="206">
        <v>20501</v>
      </c>
      <c r="BM58" s="206">
        <v>20078</v>
      </c>
      <c r="BN58" s="206">
        <v>20620</v>
      </c>
      <c r="BO58" s="175">
        <f>BN58</f>
        <v>20620</v>
      </c>
      <c r="BP58" s="176">
        <f>BP181+BP157</f>
        <v>20620</v>
      </c>
      <c r="BQ58" s="176">
        <f>BQ181+BQ157</f>
        <v>20620</v>
      </c>
      <c r="BR58" s="176">
        <f>BR181+BR157</f>
        <v>20620</v>
      </c>
      <c r="BS58" s="176">
        <f>BS181+BS157</f>
        <v>20620</v>
      </c>
      <c r="BT58" s="175">
        <f>BS58</f>
        <v>20620</v>
      </c>
      <c r="BU58" s="176">
        <f>BU181+BU157</f>
        <v>20620</v>
      </c>
      <c r="BV58" s="176">
        <f>BV181+BV157</f>
        <v>20620</v>
      </c>
      <c r="BW58" s="176">
        <f>BW181+BW157</f>
        <v>20620</v>
      </c>
      <c r="BX58" s="176">
        <f>BX181+BX157</f>
        <v>20620</v>
      </c>
      <c r="BY58" s="175">
        <f>BX58</f>
        <v>20620</v>
      </c>
      <c r="BZ58" s="176">
        <f>BZ181+BZ157</f>
        <v>20620</v>
      </c>
      <c r="CA58" s="176">
        <f>CA181+CA157</f>
        <v>20620</v>
      </c>
      <c r="CB58" s="176">
        <f>CB181+CB157</f>
        <v>20620</v>
      </c>
      <c r="CC58" s="176">
        <f>CC181+CC157</f>
        <v>20620</v>
      </c>
      <c r="CD58" s="175">
        <f>CC58</f>
        <v>20620</v>
      </c>
      <c r="CE58" s="5"/>
      <c r="CF58" s="316"/>
      <c r="CG58" s="5"/>
      <c r="CH58" s="11"/>
      <c r="CI58" s="11"/>
      <c r="CJ58" s="5"/>
      <c r="CK58" s="5"/>
      <c r="CL58" s="5"/>
    </row>
    <row r="59" spans="1:90">
      <c r="A59" s="4"/>
      <c r="B59" s="4" t="s">
        <v>1237</v>
      </c>
      <c r="C59" s="138">
        <v>0</v>
      </c>
      <c r="D59" s="138">
        <v>7998</v>
      </c>
      <c r="E59" s="138">
        <v>9822</v>
      </c>
      <c r="F59" s="138">
        <v>10339</v>
      </c>
      <c r="G59" s="138">
        <v>9230</v>
      </c>
      <c r="H59" s="181">
        <v>9336</v>
      </c>
      <c r="I59" s="181">
        <v>9476</v>
      </c>
      <c r="J59" s="181">
        <v>9562</v>
      </c>
      <c r="K59" s="181">
        <v>9276</v>
      </c>
      <c r="L59" s="138">
        <f t="shared" si="62"/>
        <v>9276</v>
      </c>
      <c r="M59" s="12">
        <v>9325</v>
      </c>
      <c r="N59" s="12">
        <v>9436</v>
      </c>
      <c r="O59" s="12">
        <v>9724</v>
      </c>
      <c r="P59" s="12">
        <v>9215</v>
      </c>
      <c r="Q59" s="5">
        <f t="shared" si="2"/>
        <v>9215</v>
      </c>
      <c r="R59" s="12">
        <v>9556</v>
      </c>
      <c r="S59" s="12">
        <v>9567</v>
      </c>
      <c r="T59" s="12">
        <v>9081</v>
      </c>
      <c r="U59" s="12">
        <v>10431</v>
      </c>
      <c r="V59" s="5">
        <f t="shared" si="3"/>
        <v>10431</v>
      </c>
      <c r="W59" s="12">
        <v>10164</v>
      </c>
      <c r="X59" s="12">
        <v>10521</v>
      </c>
      <c r="Y59" s="12">
        <v>10503</v>
      </c>
      <c r="Z59" s="12">
        <v>10010</v>
      </c>
      <c r="AA59" s="5">
        <f t="shared" si="4"/>
        <v>10010</v>
      </c>
      <c r="AB59" s="12">
        <v>9409</v>
      </c>
      <c r="AC59" s="12">
        <v>9006</v>
      </c>
      <c r="AD59" s="12">
        <v>9509</v>
      </c>
      <c r="AE59" s="12">
        <v>9857</v>
      </c>
      <c r="AF59" s="5">
        <f t="shared" si="5"/>
        <v>9857</v>
      </c>
      <c r="AG59" s="12">
        <v>9794</v>
      </c>
      <c r="AH59" s="176">
        <v>9825</v>
      </c>
      <c r="AI59" s="176">
        <v>9526</v>
      </c>
      <c r="AJ59" s="176">
        <v>12018</v>
      </c>
      <c r="AK59" s="175">
        <f t="shared" si="63"/>
        <v>12018</v>
      </c>
      <c r="AL59" s="176">
        <v>10599</v>
      </c>
      <c r="AM59" s="176">
        <v>12274</v>
      </c>
      <c r="AN59" s="176">
        <v>12230</v>
      </c>
      <c r="AO59" s="176">
        <v>13549</v>
      </c>
      <c r="AP59" s="175">
        <f t="shared" si="64"/>
        <v>13549</v>
      </c>
      <c r="AQ59" s="176">
        <v>13129</v>
      </c>
      <c r="AR59" s="176">
        <v>11026</v>
      </c>
      <c r="AS59" s="176">
        <v>11046</v>
      </c>
      <c r="AT59" s="176">
        <v>9778</v>
      </c>
      <c r="AU59" s="175">
        <f>AT59</f>
        <v>9778</v>
      </c>
      <c r="AV59" s="176">
        <v>9987</v>
      </c>
      <c r="AW59" s="176">
        <v>9954</v>
      </c>
      <c r="AX59" s="176">
        <v>9665</v>
      </c>
      <c r="AY59" s="206">
        <v>11451</v>
      </c>
      <c r="AZ59" s="175">
        <f>AY59</f>
        <v>11451</v>
      </c>
      <c r="BA59" s="206">
        <v>11242</v>
      </c>
      <c r="BB59" s="206">
        <v>9979</v>
      </c>
      <c r="BC59" s="206">
        <v>9911</v>
      </c>
      <c r="BD59" s="206">
        <v>8855</v>
      </c>
      <c r="BE59" s="175">
        <f>BD59</f>
        <v>8855</v>
      </c>
      <c r="BF59" s="206">
        <v>9643</v>
      </c>
      <c r="BG59" s="206">
        <v>10081</v>
      </c>
      <c r="BH59" s="206">
        <v>12275</v>
      </c>
      <c r="BI59" s="206">
        <v>8875</v>
      </c>
      <c r="BJ59" s="175">
        <f>BI59</f>
        <v>8875</v>
      </c>
      <c r="BK59" s="206">
        <v>8807</v>
      </c>
      <c r="BL59" s="206">
        <v>9002</v>
      </c>
      <c r="BM59" s="206">
        <v>9008</v>
      </c>
      <c r="BN59" s="206">
        <v>9137</v>
      </c>
      <c r="BO59" s="175">
        <f>BN59</f>
        <v>9137</v>
      </c>
      <c r="BP59" s="176">
        <f>BO59</f>
        <v>9137</v>
      </c>
      <c r="BQ59" s="176">
        <f>BP59</f>
        <v>9137</v>
      </c>
      <c r="BR59" s="176">
        <f>BQ59</f>
        <v>9137</v>
      </c>
      <c r="BS59" s="176">
        <f>BR59</f>
        <v>9137</v>
      </c>
      <c r="BT59" s="175">
        <f>BS59</f>
        <v>9137</v>
      </c>
      <c r="BU59" s="176">
        <f>BT59</f>
        <v>9137</v>
      </c>
      <c r="BV59" s="176">
        <f>BU59</f>
        <v>9137</v>
      </c>
      <c r="BW59" s="176">
        <f>BV59</f>
        <v>9137</v>
      </c>
      <c r="BX59" s="176">
        <f>BW59</f>
        <v>9137</v>
      </c>
      <c r="BY59" s="175">
        <f>BX59</f>
        <v>9137</v>
      </c>
      <c r="BZ59" s="176">
        <f>BY59</f>
        <v>9137</v>
      </c>
      <c r="CA59" s="176">
        <f>BZ59</f>
        <v>9137</v>
      </c>
      <c r="CB59" s="176">
        <f>CA59</f>
        <v>9137</v>
      </c>
      <c r="CC59" s="176">
        <f>CB59</f>
        <v>9137</v>
      </c>
      <c r="CD59" s="175">
        <f>CC59</f>
        <v>9137</v>
      </c>
      <c r="CE59" s="5"/>
      <c r="CF59" s="312" t="s">
        <v>2884</v>
      </c>
      <c r="CG59" s="5"/>
      <c r="CH59" s="11"/>
      <c r="CI59" s="11"/>
      <c r="CJ59" s="5"/>
      <c r="CK59" s="5"/>
      <c r="CL59" s="5"/>
    </row>
    <row r="60" spans="1:90">
      <c r="A60" s="7"/>
      <c r="B60" s="7"/>
      <c r="C60" s="179">
        <f>SUM(C53:C59)</f>
        <v>37502</v>
      </c>
      <c r="D60" s="179">
        <f>SUM(D53:D59)</f>
        <v>43966</v>
      </c>
      <c r="E60" s="179">
        <f>SUM(E53:E59)</f>
        <v>52444</v>
      </c>
      <c r="F60" s="179">
        <f t="shared" ref="F60:L60" si="67">SUM(F53:F59)</f>
        <v>53269</v>
      </c>
      <c r="G60" s="179">
        <f t="shared" si="67"/>
        <v>54652</v>
      </c>
      <c r="H60" s="180">
        <f t="shared" si="67"/>
        <v>54469</v>
      </c>
      <c r="I60" s="180">
        <f t="shared" si="67"/>
        <v>55586</v>
      </c>
      <c r="J60" s="180">
        <f t="shared" si="67"/>
        <v>56043</v>
      </c>
      <c r="K60" s="180">
        <f t="shared" si="67"/>
        <v>56784</v>
      </c>
      <c r="L60" s="179">
        <f t="shared" si="67"/>
        <v>56784</v>
      </c>
      <c r="M60" s="19">
        <v>57598</v>
      </c>
      <c r="N60" s="19">
        <v>59405</v>
      </c>
      <c r="O60" s="19">
        <v>60312</v>
      </c>
      <c r="P60" s="19">
        <v>64193</v>
      </c>
      <c r="Q60" s="8">
        <f>SUM(Q53:Q59)</f>
        <v>64193</v>
      </c>
      <c r="R60" s="19">
        <v>69704</v>
      </c>
      <c r="S60" s="19">
        <v>76037</v>
      </c>
      <c r="T60" s="19">
        <v>69027</v>
      </c>
      <c r="U60" s="19">
        <v>66336</v>
      </c>
      <c r="V60" s="8">
        <f>SUM(V53:V59)</f>
        <v>66336</v>
      </c>
      <c r="W60" s="19">
        <v>68130</v>
      </c>
      <c r="X60" s="19">
        <v>73403</v>
      </c>
      <c r="Y60" s="19">
        <v>76040</v>
      </c>
      <c r="Z60" s="19">
        <v>74535</v>
      </c>
      <c r="AA60" s="8">
        <f>SUM(AA53:AA59)</f>
        <v>74535</v>
      </c>
      <c r="AB60" s="19">
        <v>73875</v>
      </c>
      <c r="AC60" s="19">
        <v>81947</v>
      </c>
      <c r="AD60" s="19">
        <v>83123</v>
      </c>
      <c r="AE60" s="19">
        <v>92492</v>
      </c>
      <c r="AF60" s="8">
        <f>SUM(AF53:AF59)</f>
        <v>92492</v>
      </c>
      <c r="AG60" s="19">
        <v>94466</v>
      </c>
      <c r="AH60" s="19">
        <f t="shared" ref="AH60:BG60" si="68">SUM(AH53:AH59)</f>
        <v>95663</v>
      </c>
      <c r="AI60" s="19">
        <f t="shared" si="68"/>
        <v>93211</v>
      </c>
      <c r="AJ60" s="19">
        <f t="shared" si="68"/>
        <v>96027</v>
      </c>
      <c r="AK60" s="8">
        <f t="shared" si="68"/>
        <v>96027</v>
      </c>
      <c r="AL60" s="19">
        <f t="shared" si="68"/>
        <v>101470</v>
      </c>
      <c r="AM60" s="19">
        <f t="shared" si="68"/>
        <v>103038</v>
      </c>
      <c r="AN60" s="19">
        <f t="shared" si="68"/>
        <v>103831</v>
      </c>
      <c r="AO60" s="19">
        <f t="shared" si="68"/>
        <v>103505</v>
      </c>
      <c r="AP60" s="8">
        <f t="shared" si="68"/>
        <v>103505</v>
      </c>
      <c r="AQ60" s="19">
        <f t="shared" si="68"/>
        <v>101133</v>
      </c>
      <c r="AR60" s="19">
        <f t="shared" si="68"/>
        <v>101645</v>
      </c>
      <c r="AS60" s="19">
        <f t="shared" si="68"/>
        <v>105504</v>
      </c>
      <c r="AT60" s="19">
        <f t="shared" si="68"/>
        <v>102471</v>
      </c>
      <c r="AU60" s="8">
        <f t="shared" si="68"/>
        <v>102471</v>
      </c>
      <c r="AV60" s="19">
        <f t="shared" si="68"/>
        <v>105804</v>
      </c>
      <c r="AW60" s="19">
        <f t="shared" si="68"/>
        <v>108046</v>
      </c>
      <c r="AX60" s="19">
        <f t="shared" si="68"/>
        <v>110622</v>
      </c>
      <c r="AY60" s="180">
        <f t="shared" si="68"/>
        <v>108048</v>
      </c>
      <c r="AZ60" s="8">
        <f>SUM(AZ53:AZ59)</f>
        <v>108048</v>
      </c>
      <c r="BA60" s="180">
        <f t="shared" si="68"/>
        <v>110131</v>
      </c>
      <c r="BB60" s="180">
        <f t="shared" si="68"/>
        <v>112713</v>
      </c>
      <c r="BC60" s="180">
        <f t="shared" si="68"/>
        <v>112537</v>
      </c>
      <c r="BD60" s="180">
        <f t="shared" si="68"/>
        <v>108721</v>
      </c>
      <c r="BE60" s="8">
        <f t="shared" si="68"/>
        <v>108721</v>
      </c>
      <c r="BF60" s="180">
        <f t="shared" si="68"/>
        <v>109946</v>
      </c>
      <c r="BG60" s="180">
        <f t="shared" si="68"/>
        <v>110818</v>
      </c>
      <c r="BH60" s="180">
        <f t="shared" ref="BH60:CD60" si="69">SUM(BH53:BH59)</f>
        <v>114378</v>
      </c>
      <c r="BI60" s="180">
        <f t="shared" si="69"/>
        <v>108119</v>
      </c>
      <c r="BJ60" s="8">
        <f t="shared" si="69"/>
        <v>108119</v>
      </c>
      <c r="BK60" s="180">
        <f t="shared" si="69"/>
        <v>109551</v>
      </c>
      <c r="BL60" s="180">
        <f t="shared" si="69"/>
        <v>109812</v>
      </c>
      <c r="BM60" s="180">
        <f t="shared" si="69"/>
        <v>111785</v>
      </c>
      <c r="BN60" s="180">
        <f t="shared" si="69"/>
        <v>111385</v>
      </c>
      <c r="BO60" s="8">
        <f t="shared" ref="BO60" si="70">SUM(BO53:BO59)</f>
        <v>111385</v>
      </c>
      <c r="BP60" s="19">
        <f t="shared" ca="1" si="69"/>
        <v>113059.75076287615</v>
      </c>
      <c r="BQ60" s="19">
        <f t="shared" ca="1" si="69"/>
        <v>111629.13946680533</v>
      </c>
      <c r="BR60" s="19">
        <f t="shared" ca="1" si="69"/>
        <v>111099.07979064433</v>
      </c>
      <c r="BS60" s="19">
        <f t="shared" ca="1" si="69"/>
        <v>110730.36411408534</v>
      </c>
      <c r="BT60" s="8">
        <f t="shared" ca="1" si="69"/>
        <v>110730.36411408534</v>
      </c>
      <c r="BU60" s="19">
        <f t="shared" ca="1" si="69"/>
        <v>110340.68583150941</v>
      </c>
      <c r="BV60" s="19">
        <f t="shared" ca="1" si="69"/>
        <v>109165.84493842674</v>
      </c>
      <c r="BW60" s="19">
        <f t="shared" ca="1" si="69"/>
        <v>108760.05625622332</v>
      </c>
      <c r="BX60" s="19">
        <f t="shared" ca="1" si="69"/>
        <v>108475.18786802761</v>
      </c>
      <c r="BY60" s="8">
        <f t="shared" ca="1" si="69"/>
        <v>108475.18786802761</v>
      </c>
      <c r="BZ60" s="19">
        <f t="shared" ca="1" si="69"/>
        <v>107171.1589040915</v>
      </c>
      <c r="CA60" s="19">
        <f t="shared" ca="1" si="69"/>
        <v>106811.75448081009</v>
      </c>
      <c r="CB60" s="19">
        <f t="shared" ca="1" si="69"/>
        <v>105994.20585709927</v>
      </c>
      <c r="CC60" s="19">
        <f t="shared" ca="1" si="69"/>
        <v>105313.19952150375</v>
      </c>
      <c r="CD60" s="8">
        <f t="shared" ca="1" si="69"/>
        <v>105313.19952150375</v>
      </c>
      <c r="CE60" s="5"/>
      <c r="CF60" s="313"/>
      <c r="CG60" s="5"/>
      <c r="CH60" s="11"/>
      <c r="CI60" s="11"/>
      <c r="CJ60" s="8"/>
      <c r="CK60" s="8"/>
      <c r="CL60" s="8"/>
    </row>
    <row r="61" spans="1:90">
      <c r="A61" s="4"/>
      <c r="B61" s="4"/>
      <c r="C61" s="5"/>
      <c r="D61" s="5"/>
      <c r="E61" s="5"/>
      <c r="F61" s="5"/>
      <c r="G61" s="5"/>
      <c r="H61" s="12"/>
      <c r="I61" s="12"/>
      <c r="J61" s="12"/>
      <c r="K61" s="12"/>
      <c r="L61" s="5"/>
      <c r="M61" s="12"/>
      <c r="N61" s="12"/>
      <c r="O61" s="12"/>
      <c r="P61" s="12"/>
      <c r="Q61" s="5"/>
      <c r="R61" s="12"/>
      <c r="S61" s="12"/>
      <c r="T61" s="12"/>
      <c r="U61" s="12"/>
      <c r="V61" s="5"/>
      <c r="W61" s="12"/>
      <c r="X61" s="12"/>
      <c r="Y61" s="12"/>
      <c r="Z61" s="12"/>
      <c r="AA61" s="5"/>
      <c r="AB61" s="12"/>
      <c r="AC61" s="12"/>
      <c r="AD61" s="12"/>
      <c r="AE61" s="12"/>
      <c r="AF61" s="5"/>
      <c r="AG61" s="12"/>
      <c r="AH61" s="12"/>
      <c r="AI61" s="12"/>
      <c r="AJ61" s="12"/>
      <c r="AK61" s="5"/>
      <c r="AL61" s="12"/>
      <c r="AM61" s="12"/>
      <c r="AN61" s="12"/>
      <c r="AO61" s="12"/>
      <c r="AP61" s="5"/>
      <c r="AQ61" s="12"/>
      <c r="AR61" s="12"/>
      <c r="AS61" s="12"/>
      <c r="AT61" s="12"/>
      <c r="AU61" s="5"/>
      <c r="AV61" s="12"/>
      <c r="AW61" s="12"/>
      <c r="AX61" s="12"/>
      <c r="AY61" s="181"/>
      <c r="AZ61" s="5"/>
      <c r="BA61" s="181"/>
      <c r="BB61" s="181"/>
      <c r="BC61" s="181"/>
      <c r="BD61" s="181"/>
      <c r="BE61" s="5"/>
      <c r="BF61" s="181"/>
      <c r="BG61" s="181"/>
      <c r="BH61" s="181"/>
      <c r="BI61" s="181"/>
      <c r="BJ61" s="5"/>
      <c r="BK61" s="181"/>
      <c r="BL61" s="181"/>
      <c r="BM61" s="181"/>
      <c r="BN61" s="181"/>
      <c r="BO61" s="5"/>
      <c r="BP61" s="12"/>
      <c r="BQ61" s="12"/>
      <c r="BR61" s="12"/>
      <c r="BS61" s="12"/>
      <c r="BT61" s="5"/>
      <c r="BU61" s="12"/>
      <c r="BV61" s="12"/>
      <c r="BW61" s="12"/>
      <c r="BX61" s="12"/>
      <c r="BY61" s="5"/>
      <c r="BZ61" s="12"/>
      <c r="CA61" s="12"/>
      <c r="CB61" s="12"/>
      <c r="CC61" s="12"/>
      <c r="CD61" s="5"/>
      <c r="CE61" s="5"/>
      <c r="CF61" s="312"/>
      <c r="CG61" s="5"/>
      <c r="CH61" s="11"/>
      <c r="CI61" s="11"/>
      <c r="CJ61" s="5"/>
      <c r="CK61" s="5"/>
      <c r="CL61" s="5"/>
    </row>
    <row r="62" spans="1:90">
      <c r="A62" s="8" t="s">
        <v>482</v>
      </c>
      <c r="B62" s="5"/>
      <c r="C62" s="5"/>
      <c r="D62" s="5"/>
      <c r="E62" s="5"/>
      <c r="F62" s="5"/>
      <c r="G62" s="5"/>
      <c r="H62" s="12"/>
      <c r="I62" s="12"/>
      <c r="J62" s="12"/>
      <c r="K62" s="12"/>
      <c r="L62" s="5"/>
      <c r="M62" s="12"/>
      <c r="N62" s="12"/>
      <c r="O62" s="12"/>
      <c r="P62" s="12"/>
      <c r="Q62" s="5"/>
      <c r="R62" s="12"/>
      <c r="S62" s="12"/>
      <c r="T62" s="12"/>
      <c r="U62" s="12"/>
      <c r="V62" s="5"/>
      <c r="W62" s="12"/>
      <c r="X62" s="12"/>
      <c r="Y62" s="12"/>
      <c r="Z62" s="12"/>
      <c r="AA62" s="5"/>
      <c r="AB62" s="12"/>
      <c r="AC62" s="12"/>
      <c r="AD62" s="12"/>
      <c r="AE62" s="12"/>
      <c r="AF62" s="5"/>
      <c r="AG62" s="12"/>
      <c r="AH62" s="12"/>
      <c r="AI62" s="12"/>
      <c r="AJ62" s="12"/>
      <c r="AK62" s="5"/>
      <c r="AL62" s="12"/>
      <c r="AM62" s="12"/>
      <c r="AN62" s="12"/>
      <c r="AO62" s="12"/>
      <c r="AP62" s="5"/>
      <c r="AQ62" s="12"/>
      <c r="AR62" s="12"/>
      <c r="AS62" s="12"/>
      <c r="AT62" s="12"/>
      <c r="AU62" s="5"/>
      <c r="AV62" s="12"/>
      <c r="AW62" s="12"/>
      <c r="AX62" s="12"/>
      <c r="AY62" s="181"/>
      <c r="AZ62" s="5"/>
      <c r="BA62" s="181"/>
      <c r="BB62" s="181"/>
      <c r="BC62" s="181"/>
      <c r="BD62" s="181"/>
      <c r="BE62" s="5"/>
      <c r="BF62" s="181"/>
      <c r="BG62" s="181"/>
      <c r="BH62" s="181"/>
      <c r="BI62" s="181"/>
      <c r="BJ62" s="5"/>
      <c r="BK62" s="181"/>
      <c r="BL62" s="181"/>
      <c r="BM62" s="181"/>
      <c r="BN62" s="181"/>
      <c r="BO62" s="5"/>
      <c r="BP62" s="12"/>
      <c r="BQ62" s="12"/>
      <c r="BR62" s="12"/>
      <c r="BS62" s="12"/>
      <c r="BT62" s="5"/>
      <c r="BU62" s="12"/>
      <c r="BV62" s="12"/>
      <c r="BW62" s="12"/>
      <c r="BX62" s="12"/>
      <c r="BY62" s="5"/>
      <c r="BZ62" s="12"/>
      <c r="CA62" s="12"/>
      <c r="CB62" s="12"/>
      <c r="CC62" s="12"/>
      <c r="CD62" s="5"/>
      <c r="CE62" s="5"/>
      <c r="CF62" s="312"/>
      <c r="CG62" s="5"/>
      <c r="CH62" s="11"/>
      <c r="CI62" s="11"/>
      <c r="CJ62" s="5"/>
      <c r="CK62" s="5"/>
      <c r="CL62" s="5"/>
    </row>
    <row r="63" spans="1:90">
      <c r="A63" s="5"/>
      <c r="B63" s="11" t="s">
        <v>483</v>
      </c>
      <c r="C63" s="5">
        <v>65143</v>
      </c>
      <c r="D63" s="5">
        <v>63834</v>
      </c>
      <c r="E63" s="5">
        <v>69139</v>
      </c>
      <c r="F63" s="5">
        <v>76892</v>
      </c>
      <c r="G63" s="5">
        <v>79976</v>
      </c>
      <c r="H63" s="12">
        <v>80148</v>
      </c>
      <c r="I63" s="12">
        <v>81586</v>
      </c>
      <c r="J63" s="12">
        <v>84278</v>
      </c>
      <c r="K63" s="12">
        <v>84624</v>
      </c>
      <c r="L63" s="5">
        <v>84624</v>
      </c>
      <c r="M63" s="12">
        <v>84874</v>
      </c>
      <c r="N63" s="12">
        <v>88549</v>
      </c>
      <c r="O63" s="12">
        <v>90541</v>
      </c>
      <c r="P63" s="12">
        <v>93690</v>
      </c>
      <c r="Q63" s="5">
        <f t="shared" si="2"/>
        <v>93690</v>
      </c>
      <c r="R63" s="12">
        <v>98117</v>
      </c>
      <c r="S63" s="12">
        <v>104892</v>
      </c>
      <c r="T63" s="12">
        <v>105704</v>
      </c>
      <c r="U63" s="12">
        <v>91303</v>
      </c>
      <c r="V63" s="5">
        <f t="shared" si="3"/>
        <v>91303</v>
      </c>
      <c r="W63" s="12">
        <v>90473</v>
      </c>
      <c r="X63" s="12">
        <v>96241</v>
      </c>
      <c r="Y63" s="12">
        <v>100225</v>
      </c>
      <c r="Z63" s="12">
        <v>101613</v>
      </c>
      <c r="AA63" s="5">
        <f t="shared" si="4"/>
        <v>101613</v>
      </c>
      <c r="AB63" s="12">
        <v>104079</v>
      </c>
      <c r="AC63" s="12">
        <v>85490</v>
      </c>
      <c r="AD63" s="12">
        <v>89454</v>
      </c>
      <c r="AE63" s="12">
        <v>94987</v>
      </c>
      <c r="AF63" s="5">
        <f t="shared" si="5"/>
        <v>94987</v>
      </c>
      <c r="AG63" s="12">
        <v>102208</v>
      </c>
      <c r="AH63" s="12">
        <f>AH65-AH64</f>
        <v>107722</v>
      </c>
      <c r="AI63" s="12">
        <f>AI65-AI64</f>
        <v>109640</v>
      </c>
      <c r="AJ63" s="12">
        <f>AJ65-AJ64</f>
        <v>111465</v>
      </c>
      <c r="AK63" s="5">
        <f>AJ63</f>
        <v>111465</v>
      </c>
      <c r="AL63" s="12">
        <f>AL65-AL64</f>
        <v>118126</v>
      </c>
      <c r="AM63" s="12">
        <f>AM65-AM64</f>
        <v>112232</v>
      </c>
      <c r="AN63" s="12">
        <f>AN65-AN64</f>
        <v>117619</v>
      </c>
      <c r="AO63" s="12">
        <f>AO65-AO64</f>
        <v>118414</v>
      </c>
      <c r="AP63" s="175">
        <f>AO63</f>
        <v>118414</v>
      </c>
      <c r="AQ63" s="12">
        <v>129851</v>
      </c>
      <c r="AR63" s="12">
        <f>AR65-AR64</f>
        <v>128991</v>
      </c>
      <c r="AS63" s="12">
        <f>AS65-AS64</f>
        <v>130074</v>
      </c>
      <c r="AT63" s="12">
        <f>AT65-AT64</f>
        <v>129302</v>
      </c>
      <c r="AU63" s="5">
        <f>AT63</f>
        <v>129302</v>
      </c>
      <c r="AV63" s="12">
        <f>AV65-AV64</f>
        <v>129080</v>
      </c>
      <c r="AW63" s="12">
        <f>AW65-AW64</f>
        <v>131861</v>
      </c>
      <c r="AX63" s="12">
        <v>125818</v>
      </c>
      <c r="AY63" s="181">
        <v>111441</v>
      </c>
      <c r="AZ63" s="5">
        <f>AY63</f>
        <v>111441</v>
      </c>
      <c r="BA63" s="181">
        <v>110296</v>
      </c>
      <c r="BB63" s="181">
        <v>106119</v>
      </c>
      <c r="BC63" s="181">
        <v>101383</v>
      </c>
      <c r="BD63" s="181">
        <v>97216</v>
      </c>
      <c r="BE63" s="5">
        <f>BD63</f>
        <v>97216</v>
      </c>
      <c r="BF63" s="181">
        <v>96030</v>
      </c>
      <c r="BG63" s="181">
        <v>92726</v>
      </c>
      <c r="BH63" s="181">
        <f ca="1">BH65-BH64</f>
        <v>91376</v>
      </c>
      <c r="BI63" s="181">
        <f ca="1">BI65-BI64</f>
        <v>95286</v>
      </c>
      <c r="BJ63" s="5">
        <f ca="1">BI63</f>
        <v>95286</v>
      </c>
      <c r="BK63" s="181">
        <f ca="1">BK65-BK64</f>
        <v>97640</v>
      </c>
      <c r="BL63" s="181">
        <f ca="1">BL65-BL64</f>
        <v>96803</v>
      </c>
      <c r="BM63" s="181">
        <f ca="1">BM65-BM64</f>
        <v>98521</v>
      </c>
      <c r="BN63" s="181">
        <f>BN65-BN64</f>
        <v>98491</v>
      </c>
      <c r="BO63" s="5">
        <f>BN63</f>
        <v>98491</v>
      </c>
      <c r="BP63" s="12">
        <f ca="1">BP65-BP64</f>
        <v>98702.770841626319</v>
      </c>
      <c r="BQ63" s="12">
        <f ca="1">BQ65-BQ64</f>
        <v>99839.541159884844</v>
      </c>
      <c r="BR63" s="12">
        <f ca="1">BR65-BR64</f>
        <v>101019.71594621539</v>
      </c>
      <c r="BS63" s="12">
        <f ca="1">BS65-BS64</f>
        <v>101801.63882824135</v>
      </c>
      <c r="BT63" s="5">
        <f ca="1">BS63</f>
        <v>101801.63882824135</v>
      </c>
      <c r="BU63" s="12">
        <f ca="1">BU65-BU64</f>
        <v>102630.17542125835</v>
      </c>
      <c r="BV63" s="12">
        <f ca="1">BV65-BV64</f>
        <v>103430.43637413729</v>
      </c>
      <c r="BW63" s="12">
        <f ca="1">BW65-BW64</f>
        <v>104351.86417412001</v>
      </c>
      <c r="BX63" s="12">
        <f ca="1">BX65-BX64</f>
        <v>105163.11637349779</v>
      </c>
      <c r="BY63" s="5">
        <f ca="1">BX63</f>
        <v>105163.11637349779</v>
      </c>
      <c r="BZ63" s="12">
        <f ca="1">BZ65-BZ64</f>
        <v>106414.72135175778</v>
      </c>
      <c r="CA63" s="12">
        <f ca="1">CA65-CA64</f>
        <v>107659.47641915335</v>
      </c>
      <c r="CB63" s="12">
        <f ca="1">CB65-CB64</f>
        <v>109043.59586365925</v>
      </c>
      <c r="CC63" s="12">
        <f ca="1">CC65-CC64</f>
        <v>110344.6651829981</v>
      </c>
      <c r="CD63" s="5">
        <f ca="1">CC63</f>
        <v>110344.6651829981</v>
      </c>
      <c r="CE63" s="5"/>
      <c r="CF63" s="312" t="s">
        <v>2881</v>
      </c>
      <c r="CG63" s="5"/>
      <c r="CH63" s="11"/>
      <c r="CI63" s="5"/>
      <c r="CJ63" s="116"/>
      <c r="CK63" s="5"/>
      <c r="CL63" s="5"/>
    </row>
    <row r="64" spans="1:90">
      <c r="A64" s="5"/>
      <c r="B64" s="11" t="s">
        <v>1676</v>
      </c>
      <c r="C64" s="5">
        <v>598</v>
      </c>
      <c r="D64" s="5">
        <v>638</v>
      </c>
      <c r="E64" s="5">
        <v>1125</v>
      </c>
      <c r="F64" s="5">
        <v>1343</v>
      </c>
      <c r="G64" s="5">
        <v>789</v>
      </c>
      <c r="H64" s="12">
        <v>733</v>
      </c>
      <c r="I64" s="12">
        <v>770</v>
      </c>
      <c r="J64" s="12">
        <v>792</v>
      </c>
      <c r="K64" s="12">
        <v>841</v>
      </c>
      <c r="L64" s="5">
        <v>841</v>
      </c>
      <c r="M64" s="12">
        <v>875</v>
      </c>
      <c r="N64" s="12">
        <v>874</v>
      </c>
      <c r="O64" s="12">
        <v>953</v>
      </c>
      <c r="P64" s="12">
        <v>962</v>
      </c>
      <c r="Q64" s="5">
        <f t="shared" si="2"/>
        <v>962</v>
      </c>
      <c r="R64" s="12">
        <v>1048</v>
      </c>
      <c r="S64" s="12">
        <v>1073</v>
      </c>
      <c r="T64" s="12">
        <v>1086</v>
      </c>
      <c r="U64" s="12">
        <v>806</v>
      </c>
      <c r="V64" s="5">
        <f t="shared" si="3"/>
        <v>806</v>
      </c>
      <c r="W64" s="12">
        <v>706</v>
      </c>
      <c r="X64" s="12">
        <v>708</v>
      </c>
      <c r="Y64" s="12">
        <v>578</v>
      </c>
      <c r="Z64" s="12">
        <v>500</v>
      </c>
      <c r="AA64" s="5">
        <f t="shared" si="4"/>
        <v>500</v>
      </c>
      <c r="AB64" s="12">
        <v>899</v>
      </c>
      <c r="AC64" s="12">
        <v>872</v>
      </c>
      <c r="AD64" s="12">
        <v>912</v>
      </c>
      <c r="AE64" s="12">
        <v>904</v>
      </c>
      <c r="AF64" s="5">
        <f t="shared" si="5"/>
        <v>904</v>
      </c>
      <c r="AG64" s="12">
        <v>975</v>
      </c>
      <c r="AH64" s="12">
        <v>914</v>
      </c>
      <c r="AI64" s="12">
        <v>1019</v>
      </c>
      <c r="AJ64" s="12">
        <v>1017</v>
      </c>
      <c r="AK64" s="5">
        <f>AJ64</f>
        <v>1017</v>
      </c>
      <c r="AL64" s="12">
        <v>1094</v>
      </c>
      <c r="AM64" s="12">
        <v>1091</v>
      </c>
      <c r="AN64" s="12">
        <v>1154</v>
      </c>
      <c r="AO64" s="12">
        <v>1206</v>
      </c>
      <c r="AP64" s="175">
        <f>AO64</f>
        <v>1206</v>
      </c>
      <c r="AQ64" s="12">
        <v>1234</v>
      </c>
      <c r="AR64" s="12">
        <v>1142</v>
      </c>
      <c r="AS64" s="12">
        <v>1177</v>
      </c>
      <c r="AT64" s="12">
        <v>1105</v>
      </c>
      <c r="AU64" s="5">
        <f>AT64</f>
        <v>1105</v>
      </c>
      <c r="AV64" s="12">
        <v>1120</v>
      </c>
      <c r="AW64" s="12">
        <v>1117</v>
      </c>
      <c r="AX64" s="12">
        <v>1076</v>
      </c>
      <c r="AY64" s="181">
        <v>1201</v>
      </c>
      <c r="AZ64" s="5">
        <f>AY64</f>
        <v>1201</v>
      </c>
      <c r="BA64" s="181">
        <v>1213</v>
      </c>
      <c r="BB64" s="181">
        <v>1232</v>
      </c>
      <c r="BC64" s="181">
        <v>1216</v>
      </c>
      <c r="BD64" s="181">
        <v>1171</v>
      </c>
      <c r="BE64" s="5">
        <f>BD64</f>
        <v>1171</v>
      </c>
      <c r="BF64" s="181">
        <v>1259</v>
      </c>
      <c r="BG64" s="181">
        <v>1382</v>
      </c>
      <c r="BH64" s="181">
        <v>1421</v>
      </c>
      <c r="BI64" s="181">
        <v>1557</v>
      </c>
      <c r="BJ64" s="5">
        <f>BI64</f>
        <v>1557</v>
      </c>
      <c r="BK64" s="181">
        <v>1642</v>
      </c>
      <c r="BL64" s="181">
        <v>1658</v>
      </c>
      <c r="BM64" s="181">
        <v>1617</v>
      </c>
      <c r="BN64" s="181">
        <v>1913</v>
      </c>
      <c r="BO64" s="5">
        <f>BN64</f>
        <v>1913</v>
      </c>
      <c r="BP64" s="12">
        <f>BO64</f>
        <v>1913</v>
      </c>
      <c r="BQ64" s="12">
        <f>BP64</f>
        <v>1913</v>
      </c>
      <c r="BR64" s="12">
        <f>BQ64</f>
        <v>1913</v>
      </c>
      <c r="BS64" s="12">
        <f>BR64</f>
        <v>1913</v>
      </c>
      <c r="BT64" s="5">
        <f>BS64</f>
        <v>1913</v>
      </c>
      <c r="BU64" s="12">
        <f>BT64</f>
        <v>1913</v>
      </c>
      <c r="BV64" s="12">
        <f>BU64</f>
        <v>1913</v>
      </c>
      <c r="BW64" s="12">
        <f>BV64</f>
        <v>1913</v>
      </c>
      <c r="BX64" s="12">
        <f>BW64</f>
        <v>1913</v>
      </c>
      <c r="BY64" s="5">
        <f>BX64</f>
        <v>1913</v>
      </c>
      <c r="BZ64" s="12">
        <f>BY64</f>
        <v>1913</v>
      </c>
      <c r="CA64" s="12">
        <f>BZ64</f>
        <v>1913</v>
      </c>
      <c r="CB64" s="12">
        <f>CA64</f>
        <v>1913</v>
      </c>
      <c r="CC64" s="12">
        <f>CB64</f>
        <v>1913</v>
      </c>
      <c r="CD64" s="5">
        <f>CC64</f>
        <v>1913</v>
      </c>
      <c r="CE64" s="5"/>
      <c r="CF64" s="312" t="s">
        <v>2880</v>
      </c>
      <c r="CG64" s="5"/>
      <c r="CH64" s="11"/>
      <c r="CI64" s="5"/>
      <c r="CJ64" s="5"/>
      <c r="CK64" s="5"/>
      <c r="CL64" s="5"/>
    </row>
    <row r="65" spans="1:90">
      <c r="A65" s="8"/>
      <c r="B65" s="8"/>
      <c r="C65" s="8">
        <f>SUM(C63:C64)</f>
        <v>65741</v>
      </c>
      <c r="D65" s="8">
        <f>SUM(D63:D64)</f>
        <v>64472</v>
      </c>
      <c r="E65" s="8">
        <f>SUM(E63:E64)</f>
        <v>70264</v>
      </c>
      <c r="F65" s="8">
        <f t="shared" ref="F65:K65" si="71">SUM(F63:F64)</f>
        <v>78235</v>
      </c>
      <c r="G65" s="8">
        <f t="shared" si="71"/>
        <v>80765</v>
      </c>
      <c r="H65" s="19">
        <f t="shared" si="71"/>
        <v>80881</v>
      </c>
      <c r="I65" s="19">
        <f t="shared" si="71"/>
        <v>82356</v>
      </c>
      <c r="J65" s="19">
        <f t="shared" si="71"/>
        <v>85070</v>
      </c>
      <c r="K65" s="19">
        <f t="shared" si="71"/>
        <v>85465</v>
      </c>
      <c r="L65" s="8">
        <f t="shared" ref="L65:Q65" si="72">SUM(L63:L64)</f>
        <v>85465</v>
      </c>
      <c r="M65" s="19">
        <f t="shared" si="72"/>
        <v>85749</v>
      </c>
      <c r="N65" s="19">
        <f t="shared" si="72"/>
        <v>89423</v>
      </c>
      <c r="O65" s="19">
        <f t="shared" si="72"/>
        <v>91494</v>
      </c>
      <c r="P65" s="19">
        <f t="shared" si="72"/>
        <v>94652</v>
      </c>
      <c r="Q65" s="8">
        <f t="shared" si="72"/>
        <v>94652</v>
      </c>
      <c r="R65" s="19">
        <v>99165</v>
      </c>
      <c r="S65" s="19">
        <v>105965</v>
      </c>
      <c r="T65" s="19">
        <v>106790</v>
      </c>
      <c r="U65" s="19">
        <v>92109</v>
      </c>
      <c r="V65" s="8">
        <f>SUM(V63:V64)</f>
        <v>92109</v>
      </c>
      <c r="W65" s="19">
        <v>91179</v>
      </c>
      <c r="X65" s="19">
        <v>96949</v>
      </c>
      <c r="Y65" s="19">
        <v>100803</v>
      </c>
      <c r="Z65" s="19">
        <v>102113</v>
      </c>
      <c r="AA65" s="8">
        <f>SUM(AA63:AA64)</f>
        <v>102113</v>
      </c>
      <c r="AB65" s="19">
        <v>104978</v>
      </c>
      <c r="AC65" s="19">
        <v>86362</v>
      </c>
      <c r="AD65" s="19">
        <v>90366</v>
      </c>
      <c r="AE65" s="19">
        <v>95891</v>
      </c>
      <c r="AF65" s="8">
        <f>SUM(AF63:AF64)</f>
        <v>95891</v>
      </c>
      <c r="AG65" s="19">
        <f>'Income statement'!AG120</f>
        <v>103313</v>
      </c>
      <c r="AH65" s="19">
        <f>'Income statement'!AH120</f>
        <v>108636</v>
      </c>
      <c r="AI65" s="19">
        <f>'Income statement'!AI120</f>
        <v>110659</v>
      </c>
      <c r="AJ65" s="19">
        <f>'Income statement'!AJ120</f>
        <v>112482</v>
      </c>
      <c r="AK65" s="8">
        <f>SUM(AK63:AK64)</f>
        <v>112482</v>
      </c>
      <c r="AL65" s="19">
        <f>'Income statement'!AL120</f>
        <v>119220</v>
      </c>
      <c r="AM65" s="19">
        <f>'Income statement'!AM120</f>
        <v>113323</v>
      </c>
      <c r="AN65" s="19">
        <f>'Income statement'!AN120</f>
        <v>118773</v>
      </c>
      <c r="AO65" s="19">
        <f>'Income statement'!AO120</f>
        <v>119620</v>
      </c>
      <c r="AP65" s="8">
        <f>SUM(AP63:AP64)</f>
        <v>119620</v>
      </c>
      <c r="AQ65" s="19">
        <f>'Income statement'!AQ120</f>
        <v>131085</v>
      </c>
      <c r="AR65" s="19">
        <f>'Income statement'!AR120</f>
        <v>130133</v>
      </c>
      <c r="AS65" s="19">
        <f>'Income statement'!AS120</f>
        <v>131251</v>
      </c>
      <c r="AT65" s="19">
        <f>'Income statement'!AT120</f>
        <v>130407</v>
      </c>
      <c r="AU65" s="8">
        <f>SUM(AU63:AU64)</f>
        <v>130407</v>
      </c>
      <c r="AV65" s="19">
        <f>'Income statement'!AV120</f>
        <v>130200</v>
      </c>
      <c r="AW65" s="19">
        <f>'Income statement'!AW120</f>
        <v>132978</v>
      </c>
      <c r="AX65" s="19">
        <f>'Income statement'!AX120</f>
        <v>126894</v>
      </c>
      <c r="AY65" s="180">
        <f>'Income statement'!AY120</f>
        <v>112642</v>
      </c>
      <c r="AZ65" s="8">
        <f>SUM(AZ63:AZ64)</f>
        <v>112642</v>
      </c>
      <c r="BA65" s="180">
        <f>'Income statement'!BA120</f>
        <v>111509</v>
      </c>
      <c r="BB65" s="180">
        <f ca="1">'Income statement'!BB120</f>
        <v>107351</v>
      </c>
      <c r="BC65" s="180">
        <f ca="1">'Income statement'!BC120</f>
        <v>102599</v>
      </c>
      <c r="BD65" s="180">
        <f ca="1">'Income statement'!BD120</f>
        <v>98387</v>
      </c>
      <c r="BE65" s="8">
        <f>SUM(BE63:BE64)</f>
        <v>98387</v>
      </c>
      <c r="BF65" s="180">
        <f>'Income statement'!BF120</f>
        <v>97289</v>
      </c>
      <c r="BG65" s="180">
        <f ca="1">'Income statement'!BG120</f>
        <v>94108</v>
      </c>
      <c r="BH65" s="180">
        <f ca="1">'Income statement'!BH120</f>
        <v>92797</v>
      </c>
      <c r="BI65" s="180">
        <f ca="1">'Income statement'!BI120</f>
        <v>96843</v>
      </c>
      <c r="BJ65" s="8">
        <f ca="1">SUM(BJ63:BJ64)</f>
        <v>96843</v>
      </c>
      <c r="BK65" s="180">
        <f ca="1">'Income statement'!BK120</f>
        <v>99282</v>
      </c>
      <c r="BL65" s="180">
        <f ca="1">'Income statement'!BL120</f>
        <v>98461</v>
      </c>
      <c r="BM65" s="180">
        <f ca="1">'Income statement'!BM120</f>
        <v>100138</v>
      </c>
      <c r="BN65" s="180">
        <v>100404</v>
      </c>
      <c r="BO65" s="8">
        <f>SUM(BO63:BO64)</f>
        <v>100404</v>
      </c>
      <c r="BP65" s="19">
        <f ca="1">'Income statement'!BP120</f>
        <v>100615.77084162632</v>
      </c>
      <c r="BQ65" s="19">
        <f ca="1">'Income statement'!BQ120</f>
        <v>101752.54115988484</v>
      </c>
      <c r="BR65" s="19">
        <f ca="1">'Income statement'!BR120</f>
        <v>102932.71594621539</v>
      </c>
      <c r="BS65" s="19">
        <f ca="1">'Income statement'!BS120</f>
        <v>103714.63882824135</v>
      </c>
      <c r="BT65" s="8">
        <f ca="1">SUM(BT63:BT64)</f>
        <v>103714.63882824135</v>
      </c>
      <c r="BU65" s="19">
        <f ca="1">'Income statement'!BU120</f>
        <v>104543.17542125835</v>
      </c>
      <c r="BV65" s="19">
        <f ca="1">'Income statement'!BV120</f>
        <v>105343.43637413729</v>
      </c>
      <c r="BW65" s="19">
        <f ca="1">'Income statement'!BW120</f>
        <v>106264.86417412001</v>
      </c>
      <c r="BX65" s="19">
        <f ca="1">'Income statement'!BX120</f>
        <v>107076.11637349779</v>
      </c>
      <c r="BY65" s="8">
        <f ca="1">SUM(BY63:BY64)</f>
        <v>107076.11637349779</v>
      </c>
      <c r="BZ65" s="19">
        <f ca="1">'Income statement'!BZ120</f>
        <v>108327.72135175778</v>
      </c>
      <c r="CA65" s="19">
        <f ca="1">'Income statement'!CA120</f>
        <v>109572.47641915335</v>
      </c>
      <c r="CB65" s="19">
        <f ca="1">'Income statement'!CB120</f>
        <v>110956.59586365925</v>
      </c>
      <c r="CC65" s="19">
        <f ca="1">'Income statement'!CC120</f>
        <v>112257.6651829981</v>
      </c>
      <c r="CD65" s="8">
        <f ca="1">SUM(CD63:CD64)</f>
        <v>112257.6651829981</v>
      </c>
      <c r="CE65" s="173"/>
      <c r="CF65" s="313"/>
      <c r="CG65" s="8"/>
      <c r="CH65" s="11"/>
      <c r="CI65" s="5"/>
      <c r="CJ65" s="8"/>
      <c r="CK65" s="8"/>
      <c r="CL65" s="8"/>
    </row>
    <row r="66" spans="1:90">
      <c r="A66" s="8"/>
      <c r="B66" s="8"/>
      <c r="C66" s="8"/>
      <c r="D66" s="8"/>
      <c r="E66" s="8"/>
      <c r="F66" s="8"/>
      <c r="G66" s="8"/>
      <c r="H66" s="66"/>
      <c r="I66" s="66"/>
      <c r="J66" s="66"/>
      <c r="K66" s="66"/>
      <c r="L66" s="8"/>
      <c r="M66" s="19"/>
      <c r="N66" s="19"/>
      <c r="O66" s="19"/>
      <c r="P66" s="19"/>
      <c r="Q66" s="8"/>
      <c r="R66" s="19"/>
      <c r="S66" s="19"/>
      <c r="T66" s="19"/>
      <c r="U66" s="19"/>
      <c r="V66" s="8"/>
      <c r="W66" s="19"/>
      <c r="X66" s="19"/>
      <c r="Y66" s="19"/>
      <c r="Z66" s="19"/>
      <c r="AA66" s="8"/>
      <c r="AB66" s="19"/>
      <c r="AC66" s="19"/>
      <c r="AD66" s="19"/>
      <c r="AE66" s="19"/>
      <c r="AF66" s="8"/>
      <c r="AG66" s="19"/>
      <c r="AH66" s="19"/>
      <c r="AI66" s="19"/>
      <c r="AJ66" s="19"/>
      <c r="AK66" s="8"/>
      <c r="AL66" s="19"/>
      <c r="AM66" s="19"/>
      <c r="AN66" s="19"/>
      <c r="AO66" s="19"/>
      <c r="AP66" s="8"/>
      <c r="AQ66" s="19"/>
      <c r="AR66" s="19"/>
      <c r="AS66" s="19"/>
      <c r="AT66" s="19"/>
      <c r="AU66" s="8"/>
      <c r="AV66" s="19"/>
      <c r="AW66" s="19"/>
      <c r="AX66" s="19"/>
      <c r="AY66" s="19"/>
      <c r="AZ66" s="8"/>
      <c r="BA66" s="19"/>
      <c r="BB66" s="19"/>
      <c r="BC66" s="19"/>
      <c r="BD66" s="19"/>
      <c r="BE66" s="8"/>
      <c r="BF66" s="19"/>
      <c r="BG66" s="19"/>
      <c r="BH66" s="19"/>
      <c r="BI66" s="19"/>
      <c r="BJ66" s="8"/>
      <c r="BK66" s="19"/>
      <c r="BL66" s="19"/>
      <c r="BM66" s="180"/>
      <c r="BN66" s="180"/>
      <c r="BO66" s="8"/>
      <c r="BP66" s="19"/>
      <c r="BQ66" s="19"/>
      <c r="BR66" s="19"/>
      <c r="BS66" s="19"/>
      <c r="BT66" s="8"/>
      <c r="BU66" s="19"/>
      <c r="BV66" s="19"/>
      <c r="BW66" s="19"/>
      <c r="BX66" s="19"/>
      <c r="BY66" s="8"/>
      <c r="BZ66" s="19"/>
      <c r="CA66" s="19"/>
      <c r="CB66" s="19"/>
      <c r="CC66" s="19"/>
      <c r="CD66" s="8"/>
      <c r="CE66" s="5"/>
      <c r="CF66" s="313"/>
      <c r="CG66" s="8"/>
      <c r="CH66" s="11"/>
      <c r="CI66" s="5"/>
      <c r="CJ66" s="8"/>
      <c r="CK66" s="8"/>
      <c r="CL66" s="8"/>
    </row>
    <row r="67" spans="1:90" ht="13.5" thickBot="1">
      <c r="A67" s="17" t="s">
        <v>1455</v>
      </c>
      <c r="B67" s="17"/>
      <c r="C67" s="17">
        <f>SUM(C50,C60,C65)</f>
        <v>141704</v>
      </c>
      <c r="D67" s="17">
        <f>SUM(D50,D60,D65)</f>
        <v>155455</v>
      </c>
      <c r="E67" s="17">
        <f>SUM(E50,E60,E65)</f>
        <v>172491</v>
      </c>
      <c r="F67" s="17">
        <f>SUM(F50,F60,F65)</f>
        <v>194630</v>
      </c>
      <c r="G67" s="17">
        <f t="shared" ref="G67:BF67" si="73">SUM(G50,G60,G65)</f>
        <v>206914</v>
      </c>
      <c r="H67" s="91">
        <f t="shared" si="73"/>
        <v>207094</v>
      </c>
      <c r="I67" s="91">
        <f t="shared" si="73"/>
        <v>211967</v>
      </c>
      <c r="J67" s="91">
        <f t="shared" si="73"/>
        <v>213526</v>
      </c>
      <c r="K67" s="91">
        <f t="shared" si="73"/>
        <v>217601</v>
      </c>
      <c r="L67" s="17">
        <f t="shared" si="73"/>
        <v>217601</v>
      </c>
      <c r="M67" s="91">
        <f t="shared" si="73"/>
        <v>216856</v>
      </c>
      <c r="N67" s="91">
        <f t="shared" si="73"/>
        <v>221894</v>
      </c>
      <c r="O67" s="91">
        <f t="shared" si="73"/>
        <v>225611</v>
      </c>
      <c r="P67" s="91">
        <f t="shared" si="73"/>
        <v>236076</v>
      </c>
      <c r="Q67" s="17">
        <f t="shared" si="73"/>
        <v>236076</v>
      </c>
      <c r="R67" s="18">
        <f t="shared" si="73"/>
        <v>251812</v>
      </c>
      <c r="S67" s="18">
        <f t="shared" si="73"/>
        <v>283042</v>
      </c>
      <c r="T67" s="18">
        <f t="shared" si="73"/>
        <v>256122</v>
      </c>
      <c r="U67" s="18">
        <f t="shared" si="73"/>
        <v>228238</v>
      </c>
      <c r="V67" s="17">
        <f t="shared" si="73"/>
        <v>228238</v>
      </c>
      <c r="W67" s="18">
        <f t="shared" si="73"/>
        <v>223203</v>
      </c>
      <c r="X67" s="18">
        <f t="shared" si="73"/>
        <v>233359</v>
      </c>
      <c r="Y67" s="18">
        <f t="shared" si="73"/>
        <v>235145</v>
      </c>
      <c r="Z67" s="18">
        <f t="shared" si="73"/>
        <v>235968</v>
      </c>
      <c r="AA67" s="17">
        <f t="shared" si="73"/>
        <v>235968</v>
      </c>
      <c r="AB67" s="18">
        <f t="shared" si="73"/>
        <v>240637</v>
      </c>
      <c r="AC67" s="18">
        <f t="shared" si="73"/>
        <v>248615</v>
      </c>
      <c r="AD67" s="18">
        <f t="shared" si="73"/>
        <v>257113</v>
      </c>
      <c r="AE67" s="18">
        <f t="shared" si="73"/>
        <v>272262</v>
      </c>
      <c r="AF67" s="17">
        <f t="shared" si="73"/>
        <v>272262</v>
      </c>
      <c r="AG67" s="18">
        <f t="shared" si="73"/>
        <v>286722</v>
      </c>
      <c r="AH67" s="18">
        <f t="shared" si="73"/>
        <v>291223</v>
      </c>
      <c r="AI67" s="18">
        <f t="shared" si="73"/>
        <v>291095</v>
      </c>
      <c r="AJ67" s="18">
        <f t="shared" si="73"/>
        <v>290927</v>
      </c>
      <c r="AK67" s="17">
        <f t="shared" si="73"/>
        <v>290927</v>
      </c>
      <c r="AL67" s="18">
        <f t="shared" si="73"/>
        <v>303544</v>
      </c>
      <c r="AM67" s="18">
        <f t="shared" si="73"/>
        <v>292558</v>
      </c>
      <c r="AN67" s="18">
        <f t="shared" si="73"/>
        <v>302258</v>
      </c>
      <c r="AO67" s="18">
        <f t="shared" si="73"/>
        <v>300987</v>
      </c>
      <c r="AP67" s="17">
        <f t="shared" si="73"/>
        <v>300987</v>
      </c>
      <c r="AQ67" s="18">
        <f t="shared" si="73"/>
        <v>310810</v>
      </c>
      <c r="AR67" s="18">
        <f t="shared" si="73"/>
        <v>307252</v>
      </c>
      <c r="AS67" s="18">
        <f t="shared" si="73"/>
        <v>311389</v>
      </c>
      <c r="AT67" s="18">
        <f t="shared" si="73"/>
        <v>305690</v>
      </c>
      <c r="AU67" s="17">
        <f t="shared" si="73"/>
        <v>305690</v>
      </c>
      <c r="AV67" s="18">
        <f t="shared" si="73"/>
        <v>310274</v>
      </c>
      <c r="AW67" s="18">
        <f t="shared" si="73"/>
        <v>315455</v>
      </c>
      <c r="AX67" s="18">
        <f t="shared" si="73"/>
        <v>309692</v>
      </c>
      <c r="AY67" s="18">
        <f t="shared" si="73"/>
        <v>284305</v>
      </c>
      <c r="AZ67" s="17">
        <f>SUM(AZ50,AZ60,AZ65)</f>
        <v>284305</v>
      </c>
      <c r="BA67" s="18">
        <f t="shared" si="73"/>
        <v>282411</v>
      </c>
      <c r="BB67" s="18">
        <f ca="1">SUM(BB50,BB60,BB65)</f>
        <v>285431</v>
      </c>
      <c r="BC67" s="18">
        <f ca="1">SUM(BC50,BC60,BC65)</f>
        <v>273299</v>
      </c>
      <c r="BD67" s="18">
        <f ca="1">SUM(BD50,BD60,BD65)</f>
        <v>261832</v>
      </c>
      <c r="BE67" s="17">
        <f>SUM(BE50,BE60,BE65)</f>
        <v>261832</v>
      </c>
      <c r="BF67" s="18">
        <f t="shared" si="73"/>
        <v>258848</v>
      </c>
      <c r="BG67" s="18">
        <f t="shared" ref="BG67:CD67" ca="1" si="74">SUM(BG50,BG60,BG65)</f>
        <v>263136</v>
      </c>
      <c r="BH67" s="18">
        <f t="shared" ca="1" si="74"/>
        <v>262216</v>
      </c>
      <c r="BI67" s="18">
        <f t="shared" ca="1" si="74"/>
        <v>263316</v>
      </c>
      <c r="BJ67" s="17">
        <f ca="1">SUM(BJ50,BJ60,BJ65)</f>
        <v>263316</v>
      </c>
      <c r="BK67" s="18">
        <f t="shared" ca="1" si="74"/>
        <v>264959</v>
      </c>
      <c r="BL67" s="18">
        <f t="shared" ca="1" si="74"/>
        <v>263115</v>
      </c>
      <c r="BM67" s="256">
        <f t="shared" ca="1" si="74"/>
        <v>271489</v>
      </c>
      <c r="BN67" s="256">
        <f t="shared" si="74"/>
        <v>276515</v>
      </c>
      <c r="BO67" s="17">
        <f>SUM(BO50,BO60,BO65)</f>
        <v>276515</v>
      </c>
      <c r="BP67" s="18">
        <f t="shared" ca="1" si="74"/>
        <v>275929.60080864921</v>
      </c>
      <c r="BQ67" s="18">
        <f t="shared" ca="1" si="74"/>
        <v>275938.54463986732</v>
      </c>
      <c r="BR67" s="18">
        <f t="shared" ca="1" si="74"/>
        <v>274985.23488377221</v>
      </c>
      <c r="BS67" s="18">
        <f t="shared" ca="1" si="74"/>
        <v>274326.0786269891</v>
      </c>
      <c r="BT67" s="17">
        <f t="shared" ca="1" si="74"/>
        <v>274326.0786269891</v>
      </c>
      <c r="BU67" s="18">
        <f t="shared" ca="1" si="74"/>
        <v>272708.38058393926</v>
      </c>
      <c r="BV67" s="18">
        <f t="shared" ca="1" si="74"/>
        <v>272002.7993318775</v>
      </c>
      <c r="BW67" s="18">
        <f t="shared" ca="1" si="74"/>
        <v>270913.28825544508</v>
      </c>
      <c r="BX67" s="18">
        <f t="shared" ca="1" si="74"/>
        <v>270199.2792023815</v>
      </c>
      <c r="BY67" s="17">
        <f t="shared" ca="1" si="74"/>
        <v>270199.2792023815</v>
      </c>
      <c r="BZ67" s="18">
        <f t="shared" ca="1" si="74"/>
        <v>269862.37719769886</v>
      </c>
      <c r="CA67" s="18">
        <f t="shared" ca="1" si="74"/>
        <v>269520.10110052588</v>
      </c>
      <c r="CB67" s="18">
        <f t="shared" ca="1" si="74"/>
        <v>268706.09694625367</v>
      </c>
      <c r="CC67" s="18">
        <f t="shared" ca="1" si="74"/>
        <v>268354.37530440098</v>
      </c>
      <c r="CD67" s="17">
        <f t="shared" ca="1" si="74"/>
        <v>268354.37530440098</v>
      </c>
      <c r="CE67" s="5"/>
      <c r="CF67" s="312"/>
      <c r="CG67" s="5"/>
      <c r="CH67" s="11"/>
      <c r="CI67" s="5"/>
      <c r="CJ67" s="5"/>
      <c r="CK67" s="5"/>
      <c r="CL67" s="5"/>
    </row>
    <row r="68" spans="1:90" ht="13.5" thickTop="1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71"/>
      <c r="AE68" s="71"/>
      <c r="AF68" s="71"/>
      <c r="AG68" s="71"/>
      <c r="AH68" s="71"/>
      <c r="AI68" s="71"/>
      <c r="AJ68" s="71"/>
      <c r="AK68" s="71"/>
      <c r="AL68" s="71"/>
      <c r="AM68" s="71"/>
      <c r="AN68" s="71"/>
      <c r="AO68" s="71"/>
      <c r="AP68" s="71"/>
      <c r="AQ68" s="71"/>
      <c r="AR68" s="71"/>
      <c r="AS68" s="71"/>
      <c r="AT68" s="71"/>
      <c r="AU68" s="71"/>
      <c r="AV68" s="71"/>
      <c r="AW68" s="71"/>
      <c r="AX68" s="71"/>
      <c r="AY68" s="71"/>
      <c r="AZ68" s="71"/>
      <c r="BA68" s="71"/>
      <c r="BB68" s="71"/>
      <c r="BC68" s="71"/>
      <c r="BD68" s="71"/>
      <c r="BE68" s="71"/>
      <c r="BF68" s="71"/>
      <c r="BG68" s="71"/>
      <c r="BH68" s="71"/>
      <c r="BI68" s="71"/>
      <c r="BJ68" s="71"/>
      <c r="BK68" s="71"/>
      <c r="BL68" s="71"/>
      <c r="BM68" s="721"/>
      <c r="BN68" s="721"/>
      <c r="BO68" s="71"/>
      <c r="BP68" s="71"/>
      <c r="BQ68" s="71"/>
      <c r="BR68" s="71"/>
      <c r="BS68" s="71"/>
      <c r="BT68" s="71"/>
      <c r="BU68" s="71"/>
      <c r="BV68" s="71"/>
      <c r="BW68" s="71"/>
      <c r="BX68" s="71"/>
      <c r="BY68" s="71"/>
      <c r="BZ68" s="71"/>
      <c r="CA68" s="71"/>
      <c r="CB68" s="71"/>
      <c r="CC68" s="71"/>
      <c r="CD68" s="71"/>
      <c r="CE68" s="5"/>
      <c r="CF68" s="71"/>
      <c r="CG68" s="71"/>
      <c r="CH68" s="11"/>
      <c r="CI68" s="5"/>
      <c r="CJ68" s="71"/>
      <c r="CK68" s="71"/>
      <c r="CL68" s="71"/>
    </row>
    <row r="69" spans="1:90">
      <c r="A69" s="5"/>
      <c r="B69" s="173" t="s">
        <v>897</v>
      </c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57"/>
      <c r="AZ69" s="5"/>
      <c r="BA69" s="557"/>
      <c r="BB69" s="557"/>
      <c r="BC69" s="557"/>
      <c r="BD69" s="557"/>
      <c r="BE69" s="557">
        <f>BE38-BE67</f>
        <v>0</v>
      </c>
      <c r="BF69" s="557">
        <f t="shared" ref="BF69:CD69" si="75">BF38-BF67</f>
        <v>0</v>
      </c>
      <c r="BG69" s="557">
        <f t="shared" ca="1" si="75"/>
        <v>0</v>
      </c>
      <c r="BH69" s="557">
        <f t="shared" ca="1" si="75"/>
        <v>0</v>
      </c>
      <c r="BI69" s="557">
        <f t="shared" ca="1" si="75"/>
        <v>0</v>
      </c>
      <c r="BJ69" s="557">
        <f t="shared" ca="1" si="75"/>
        <v>0</v>
      </c>
      <c r="BK69" s="557">
        <f t="shared" ca="1" si="75"/>
        <v>0</v>
      </c>
      <c r="BL69" s="557">
        <f t="shared" ca="1" si="75"/>
        <v>0</v>
      </c>
      <c r="BM69" s="722">
        <f t="shared" ca="1" si="75"/>
        <v>0</v>
      </c>
      <c r="BN69" s="722">
        <f t="shared" si="75"/>
        <v>0</v>
      </c>
      <c r="BO69" s="557">
        <f t="shared" si="75"/>
        <v>0</v>
      </c>
      <c r="BP69" s="557">
        <f t="shared" ca="1" si="75"/>
        <v>0</v>
      </c>
      <c r="BQ69" s="557">
        <f t="shared" ca="1" si="75"/>
        <v>0</v>
      </c>
      <c r="BR69" s="557">
        <f t="shared" ca="1" si="75"/>
        <v>0</v>
      </c>
      <c r="BS69" s="557">
        <f t="shared" ca="1" si="75"/>
        <v>0</v>
      </c>
      <c r="BT69" s="557">
        <f t="shared" ca="1" si="75"/>
        <v>0</v>
      </c>
      <c r="BU69" s="557">
        <f t="shared" ca="1" si="75"/>
        <v>0</v>
      </c>
      <c r="BV69" s="557">
        <f t="shared" ca="1" si="75"/>
        <v>0</v>
      </c>
      <c r="BW69" s="557">
        <f t="shared" ca="1" si="75"/>
        <v>0</v>
      </c>
      <c r="BX69" s="557">
        <f t="shared" ca="1" si="75"/>
        <v>0</v>
      </c>
      <c r="BY69" s="557">
        <f t="shared" ca="1" si="75"/>
        <v>0</v>
      </c>
      <c r="BZ69" s="557">
        <f t="shared" ca="1" si="75"/>
        <v>0</v>
      </c>
      <c r="CA69" s="557">
        <f t="shared" ca="1" si="75"/>
        <v>0</v>
      </c>
      <c r="CB69" s="557">
        <f t="shared" ca="1" si="75"/>
        <v>0</v>
      </c>
      <c r="CC69" s="557">
        <f t="shared" ca="1" si="75"/>
        <v>0</v>
      </c>
      <c r="CD69" s="557">
        <f t="shared" ca="1" si="75"/>
        <v>0</v>
      </c>
      <c r="CE69" s="5"/>
      <c r="CF69" s="5"/>
      <c r="CG69" s="5"/>
      <c r="CH69" s="11"/>
      <c r="CI69" s="5"/>
      <c r="CJ69" s="5"/>
      <c r="CK69" s="5"/>
      <c r="CL69" s="5"/>
    </row>
    <row r="70" spans="1:90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12"/>
      <c r="N70" s="12"/>
      <c r="O70" s="12"/>
      <c r="P70" s="12"/>
      <c r="Q70" s="5"/>
      <c r="R70" s="12"/>
      <c r="S70" s="12"/>
      <c r="T70" s="12"/>
      <c r="U70" s="12"/>
      <c r="V70" s="5"/>
      <c r="W70" s="12"/>
      <c r="X70" s="12"/>
      <c r="Y70" s="12"/>
      <c r="Z70" s="12"/>
      <c r="AA70" s="5"/>
      <c r="AB70" s="12"/>
      <c r="AC70" s="12"/>
      <c r="AD70" s="12"/>
      <c r="AE70" s="12"/>
      <c r="AF70" s="5"/>
      <c r="AG70" s="12"/>
      <c r="AH70" s="12"/>
      <c r="AI70" s="12"/>
      <c r="AJ70" s="12"/>
      <c r="AK70" s="5"/>
      <c r="AL70" s="12"/>
      <c r="AM70" s="12"/>
      <c r="AN70" s="12"/>
      <c r="AO70" s="12"/>
      <c r="AP70" s="5"/>
      <c r="AQ70" s="5"/>
      <c r="AR70" s="5"/>
      <c r="AS70" s="5"/>
      <c r="AT70" s="5"/>
      <c r="AU70" s="5"/>
      <c r="AV70" s="12"/>
      <c r="AW70" s="12"/>
      <c r="AX70" s="5"/>
      <c r="AY70" s="12"/>
      <c r="AZ70" s="5"/>
      <c r="BA70" s="12"/>
      <c r="BB70" s="12"/>
      <c r="BC70" s="12"/>
      <c r="BD70" s="12"/>
      <c r="BE70" s="5"/>
      <c r="BF70" s="12"/>
      <c r="BG70" s="12"/>
      <c r="BH70" s="12"/>
      <c r="BI70" s="12"/>
      <c r="BJ70" s="5"/>
      <c r="BK70" s="12"/>
      <c r="BL70" s="12"/>
      <c r="BM70" s="181"/>
      <c r="BN70" s="181"/>
      <c r="BO70" s="5"/>
      <c r="BP70" s="12"/>
      <c r="BQ70" s="12"/>
      <c r="BR70" s="12"/>
      <c r="BS70" s="12"/>
      <c r="BT70" s="5"/>
      <c r="BU70" s="12"/>
      <c r="BV70" s="12"/>
      <c r="BW70" s="12"/>
      <c r="BX70" s="12"/>
      <c r="BY70" s="5"/>
      <c r="BZ70" s="12"/>
      <c r="CA70" s="12"/>
      <c r="CB70" s="12"/>
      <c r="CC70" s="12"/>
      <c r="CD70" s="5"/>
      <c r="CE70" s="5"/>
      <c r="CF70" s="5"/>
      <c r="CG70" s="5"/>
      <c r="CH70" s="11"/>
      <c r="CI70" s="5"/>
      <c r="CJ70" s="5"/>
      <c r="CK70" s="5"/>
      <c r="CL70" s="5"/>
    </row>
    <row r="71" spans="1:90" ht="12.75" customHeight="1">
      <c r="A71" s="9" t="s">
        <v>910</v>
      </c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11"/>
      <c r="CI71" s="5"/>
      <c r="CJ71" s="5"/>
      <c r="CK71" s="5"/>
      <c r="CL71" s="5"/>
    </row>
    <row r="72" spans="1:90" ht="12.75" customHeight="1">
      <c r="A72" s="10"/>
      <c r="B72" s="10"/>
      <c r="C72" s="31">
        <v>2001</v>
      </c>
      <c r="D72" s="32">
        <v>2002</v>
      </c>
      <c r="E72" s="32">
        <v>2003</v>
      </c>
      <c r="F72" s="32">
        <v>2004</v>
      </c>
      <c r="G72" s="31">
        <v>2005</v>
      </c>
      <c r="H72" s="33" t="s">
        <v>714</v>
      </c>
      <c r="I72" s="33" t="s">
        <v>715</v>
      </c>
      <c r="J72" s="33" t="s">
        <v>716</v>
      </c>
      <c r="K72" s="33" t="s">
        <v>717</v>
      </c>
      <c r="L72" s="31">
        <v>2006</v>
      </c>
      <c r="M72" s="33" t="s">
        <v>718</v>
      </c>
      <c r="N72" s="33" t="s">
        <v>719</v>
      </c>
      <c r="O72" s="33" t="s">
        <v>1970</v>
      </c>
      <c r="P72" s="33" t="s">
        <v>1971</v>
      </c>
      <c r="Q72" s="31">
        <v>2007</v>
      </c>
      <c r="R72" s="33" t="s">
        <v>1972</v>
      </c>
      <c r="S72" s="33" t="s">
        <v>1973</v>
      </c>
      <c r="T72" s="33" t="s">
        <v>1974</v>
      </c>
      <c r="U72" s="33" t="s">
        <v>1975</v>
      </c>
      <c r="V72" s="31">
        <v>2008</v>
      </c>
      <c r="W72" s="33" t="s">
        <v>1976</v>
      </c>
      <c r="X72" s="33" t="s">
        <v>1977</v>
      </c>
      <c r="Y72" s="33" t="s">
        <v>1978</v>
      </c>
      <c r="Z72" s="33" t="s">
        <v>1979</v>
      </c>
      <c r="AA72" s="31">
        <v>2009</v>
      </c>
      <c r="AB72" s="33" t="s">
        <v>1980</v>
      </c>
      <c r="AC72" s="33" t="s">
        <v>1981</v>
      </c>
      <c r="AD72" s="33" t="s">
        <v>1982</v>
      </c>
      <c r="AE72" s="33" t="s">
        <v>2392</v>
      </c>
      <c r="AF72" s="31">
        <v>2010</v>
      </c>
      <c r="AG72" s="33" t="s">
        <v>2393</v>
      </c>
      <c r="AH72" s="33" t="s">
        <v>2394</v>
      </c>
      <c r="AI72" s="33" t="s">
        <v>2395</v>
      </c>
      <c r="AJ72" s="33" t="s">
        <v>2396</v>
      </c>
      <c r="AK72" s="31">
        <v>2011</v>
      </c>
      <c r="AL72" s="368" t="s">
        <v>2397</v>
      </c>
      <c r="AM72" s="368" t="s">
        <v>2398</v>
      </c>
      <c r="AN72" s="368" t="s">
        <v>2399</v>
      </c>
      <c r="AO72" s="368" t="s">
        <v>2400</v>
      </c>
      <c r="AP72" s="369">
        <v>2012</v>
      </c>
      <c r="AQ72" s="368" t="s">
        <v>2401</v>
      </c>
      <c r="AR72" s="368" t="s">
        <v>2402</v>
      </c>
      <c r="AS72" s="368" t="s">
        <v>2403</v>
      </c>
      <c r="AT72" s="368" t="s">
        <v>2404</v>
      </c>
      <c r="AU72" s="369">
        <v>2013</v>
      </c>
      <c r="AV72" s="368" t="s">
        <v>2405</v>
      </c>
      <c r="AW72" s="368" t="s">
        <v>2406</v>
      </c>
      <c r="AX72" s="368" t="s">
        <v>2407</v>
      </c>
      <c r="AY72" s="368" t="s">
        <v>2408</v>
      </c>
      <c r="AZ72" s="369">
        <v>2014</v>
      </c>
      <c r="BA72" s="368" t="s">
        <v>2409</v>
      </c>
      <c r="BB72" s="368" t="s">
        <v>2410</v>
      </c>
      <c r="BC72" s="368" t="s">
        <v>2411</v>
      </c>
      <c r="BD72" s="368" t="s">
        <v>2412</v>
      </c>
      <c r="BE72" s="31">
        <v>2015</v>
      </c>
      <c r="BF72" s="368" t="s">
        <v>2413</v>
      </c>
      <c r="BG72" s="368" t="s">
        <v>2414</v>
      </c>
      <c r="BH72" s="368" t="s">
        <v>2415</v>
      </c>
      <c r="BI72" s="368" t="s">
        <v>2416</v>
      </c>
      <c r="BJ72" s="31">
        <v>2016</v>
      </c>
      <c r="BK72" s="368" t="s">
        <v>2417</v>
      </c>
      <c r="BL72" s="368" t="s">
        <v>2418</v>
      </c>
      <c r="BM72" s="368" t="s">
        <v>2419</v>
      </c>
      <c r="BN72" s="363" t="s">
        <v>2420</v>
      </c>
      <c r="BO72" s="31">
        <v>2017</v>
      </c>
      <c r="BP72" s="363" t="s">
        <v>2244</v>
      </c>
      <c r="BQ72" s="363" t="s">
        <v>2245</v>
      </c>
      <c r="BR72" s="363" t="s">
        <v>2508</v>
      </c>
      <c r="BS72" s="363" t="s">
        <v>2509</v>
      </c>
      <c r="BT72" s="364">
        <v>2018</v>
      </c>
      <c r="BU72" s="363" t="s">
        <v>2510</v>
      </c>
      <c r="BV72" s="363" t="s">
        <v>2511</v>
      </c>
      <c r="BW72" s="363" t="s">
        <v>3125</v>
      </c>
      <c r="BX72" s="363" t="s">
        <v>1405</v>
      </c>
      <c r="BY72" s="364">
        <v>2019</v>
      </c>
      <c r="BZ72" s="363" t="s">
        <v>1406</v>
      </c>
      <c r="CA72" s="363" t="s">
        <v>1407</v>
      </c>
      <c r="CB72" s="363" t="s">
        <v>1408</v>
      </c>
      <c r="CC72" s="363" t="s">
        <v>1409</v>
      </c>
      <c r="CD72" s="364">
        <v>2020</v>
      </c>
      <c r="CE72" s="5"/>
      <c r="CF72" s="11"/>
      <c r="CG72" s="11"/>
      <c r="CH72" s="11"/>
      <c r="CI72" s="5"/>
      <c r="CJ72" s="11"/>
      <c r="CK72" s="11"/>
      <c r="CL72" s="11"/>
    </row>
    <row r="73" spans="1:90">
      <c r="A73" s="202" t="s">
        <v>1134</v>
      </c>
      <c r="B73" s="5"/>
      <c r="C73" s="5">
        <f>C44+C56</f>
        <v>21417</v>
      </c>
      <c r="D73" s="5">
        <f>D44+D56</f>
        <v>22008</v>
      </c>
      <c r="E73" s="5">
        <f>E44+E56</f>
        <v>22325</v>
      </c>
      <c r="F73" s="5">
        <f t="shared" ref="F73:BG73" si="76">F44+F56</f>
        <v>23091</v>
      </c>
      <c r="G73" s="5">
        <f t="shared" si="76"/>
        <v>19162</v>
      </c>
      <c r="H73" s="12">
        <f t="shared" si="76"/>
        <v>18679</v>
      </c>
      <c r="I73" s="12">
        <f t="shared" si="76"/>
        <v>19286</v>
      </c>
      <c r="J73" s="12">
        <f t="shared" si="76"/>
        <v>19973</v>
      </c>
      <c r="K73" s="12">
        <f t="shared" si="76"/>
        <v>24010</v>
      </c>
      <c r="L73" s="5">
        <f t="shared" si="76"/>
        <v>24010</v>
      </c>
      <c r="M73" s="12">
        <f t="shared" si="76"/>
        <v>23728</v>
      </c>
      <c r="N73" s="12">
        <f t="shared" si="76"/>
        <v>23754</v>
      </c>
      <c r="O73" s="12">
        <f t="shared" si="76"/>
        <v>25245</v>
      </c>
      <c r="P73" s="12">
        <f t="shared" si="76"/>
        <v>31045</v>
      </c>
      <c r="Q73" s="5">
        <f t="shared" si="76"/>
        <v>31045</v>
      </c>
      <c r="R73" s="12">
        <f t="shared" si="76"/>
        <v>29871</v>
      </c>
      <c r="S73" s="12">
        <f t="shared" si="76"/>
        <v>30189</v>
      </c>
      <c r="T73" s="12">
        <f t="shared" si="76"/>
        <v>28300</v>
      </c>
      <c r="U73" s="12">
        <f t="shared" si="76"/>
        <v>33204</v>
      </c>
      <c r="V73" s="5">
        <f t="shared" si="76"/>
        <v>33204</v>
      </c>
      <c r="W73" s="12">
        <f t="shared" si="76"/>
        <v>34698</v>
      </c>
      <c r="X73" s="12">
        <f t="shared" si="76"/>
        <v>36240</v>
      </c>
      <c r="Y73" s="12">
        <f t="shared" si="76"/>
        <v>36555</v>
      </c>
      <c r="Z73" s="12">
        <f t="shared" si="76"/>
        <v>34627</v>
      </c>
      <c r="AA73" s="5">
        <f t="shared" si="76"/>
        <v>34627</v>
      </c>
      <c r="AB73" s="12">
        <f t="shared" si="76"/>
        <v>32153</v>
      </c>
      <c r="AC73" s="12">
        <f t="shared" si="76"/>
        <v>30580</v>
      </c>
      <c r="AD73" s="12">
        <f t="shared" si="76"/>
        <v>39979</v>
      </c>
      <c r="AE73" s="12">
        <f t="shared" si="76"/>
        <v>45336</v>
      </c>
      <c r="AF73" s="5">
        <f t="shared" si="76"/>
        <v>45336</v>
      </c>
      <c r="AG73" s="12">
        <f t="shared" si="76"/>
        <v>47102</v>
      </c>
      <c r="AH73" s="176">
        <f t="shared" si="76"/>
        <v>46890</v>
      </c>
      <c r="AI73" s="176">
        <f t="shared" si="76"/>
        <v>45283</v>
      </c>
      <c r="AJ73" s="176">
        <f t="shared" si="76"/>
        <v>44213</v>
      </c>
      <c r="AK73" s="5">
        <f t="shared" si="76"/>
        <v>44213</v>
      </c>
      <c r="AL73" s="12">
        <f t="shared" si="76"/>
        <v>46470</v>
      </c>
      <c r="AM73" s="12">
        <f t="shared" si="76"/>
        <v>47662</v>
      </c>
      <c r="AN73" s="12">
        <f t="shared" si="76"/>
        <v>49077</v>
      </c>
      <c r="AO73" s="12">
        <f t="shared" si="76"/>
        <v>48797</v>
      </c>
      <c r="AP73" s="5">
        <f t="shared" si="76"/>
        <v>48797</v>
      </c>
      <c r="AQ73" s="12">
        <f t="shared" si="76"/>
        <v>46425</v>
      </c>
      <c r="AR73" s="12">
        <f t="shared" si="76"/>
        <v>46990</v>
      </c>
      <c r="AS73" s="12">
        <f t="shared" si="76"/>
        <v>50284</v>
      </c>
      <c r="AT73" s="12">
        <f t="shared" si="76"/>
        <v>48192</v>
      </c>
      <c r="AU73" s="5">
        <f t="shared" si="76"/>
        <v>48192</v>
      </c>
      <c r="AV73" s="12">
        <f t="shared" si="76"/>
        <v>53249</v>
      </c>
      <c r="AW73" s="12">
        <f t="shared" si="76"/>
        <v>52906</v>
      </c>
      <c r="AX73" s="12">
        <f t="shared" si="76"/>
        <v>53610</v>
      </c>
      <c r="AY73" s="12">
        <f>AY44+AY56</f>
        <v>52854</v>
      </c>
      <c r="AZ73" s="5">
        <f t="shared" si="76"/>
        <v>52854</v>
      </c>
      <c r="BA73" s="12">
        <f>BA44+BA56</f>
        <v>57731</v>
      </c>
      <c r="BB73" s="12">
        <f>BB44+BB56</f>
        <v>57104</v>
      </c>
      <c r="BC73" s="12">
        <f>BC44+BC56</f>
        <v>57405</v>
      </c>
      <c r="BD73" s="12">
        <f>BD44+BD56</f>
        <v>53168</v>
      </c>
      <c r="BE73" s="5">
        <f>BE44+BE56</f>
        <v>53168</v>
      </c>
      <c r="BF73" s="12">
        <f t="shared" si="76"/>
        <v>54012</v>
      </c>
      <c r="BG73" s="12">
        <f t="shared" si="76"/>
        <v>55727</v>
      </c>
      <c r="BH73" s="12">
        <f t="shared" ref="BH73:CD73" si="77">BH44+BH56</f>
        <v>58997</v>
      </c>
      <c r="BI73" s="12">
        <f t="shared" si="77"/>
        <v>58300</v>
      </c>
      <c r="BJ73" s="5">
        <f t="shared" si="77"/>
        <v>58300</v>
      </c>
      <c r="BK73" s="12">
        <f>BK44+BK56</f>
        <v>61832</v>
      </c>
      <c r="BL73" s="12">
        <f t="shared" si="77"/>
        <v>63004</v>
      </c>
      <c r="BM73" s="12">
        <f t="shared" si="77"/>
        <v>65784</v>
      </c>
      <c r="BN73" s="12">
        <f t="shared" si="77"/>
        <v>63230</v>
      </c>
      <c r="BO73" s="5">
        <f t="shared" ref="BO73" si="78">BO44+BO56</f>
        <v>63230</v>
      </c>
      <c r="BP73" s="12">
        <f t="shared" ca="1" si="77"/>
        <v>68309.77940933354</v>
      </c>
      <c r="BQ73" s="12">
        <f t="shared" ca="1" si="77"/>
        <v>67848.700096658198</v>
      </c>
      <c r="BR73" s="12">
        <f t="shared" ca="1" si="77"/>
        <v>66226.851828254876</v>
      </c>
      <c r="BS73" s="12">
        <f t="shared" ca="1" si="77"/>
        <v>65254.854617435019</v>
      </c>
      <c r="BT73" s="5">
        <f t="shared" ca="1" si="77"/>
        <v>65254.854617435019</v>
      </c>
      <c r="BU73" s="12">
        <f t="shared" ca="1" si="77"/>
        <v>63397.772646392608</v>
      </c>
      <c r="BV73" s="12">
        <f t="shared" ca="1" si="77"/>
        <v>63199.770897248614</v>
      </c>
      <c r="BW73" s="12">
        <f t="shared" ca="1" si="77"/>
        <v>61309.57063829957</v>
      </c>
      <c r="BX73" s="12">
        <f t="shared" ca="1" si="77"/>
        <v>59905.713485972054</v>
      </c>
      <c r="BY73" s="5">
        <f t="shared" ca="1" si="77"/>
        <v>59905.713485972054</v>
      </c>
      <c r="BZ73" s="12">
        <f t="shared" ca="1" si="77"/>
        <v>58159.753177887993</v>
      </c>
      <c r="CA73" s="12">
        <f t="shared" ca="1" si="77"/>
        <v>57613.58549116549</v>
      </c>
      <c r="CB73" s="12">
        <f t="shared" ca="1" si="77"/>
        <v>55263.732913958374</v>
      </c>
      <c r="CC73" s="12">
        <f t="shared" ca="1" si="77"/>
        <v>53458.256513753789</v>
      </c>
      <c r="CD73" s="5">
        <f t="shared" ca="1" si="77"/>
        <v>53458.256513753789</v>
      </c>
      <c r="CE73" s="5"/>
      <c r="CF73" s="12"/>
      <c r="CG73" s="5"/>
      <c r="CH73" s="11"/>
      <c r="CI73" s="5"/>
      <c r="CJ73" s="5"/>
      <c r="CK73" s="5"/>
      <c r="CL73" s="5"/>
    </row>
    <row r="74" spans="1:90">
      <c r="A74" s="202" t="s">
        <v>1135</v>
      </c>
      <c r="B74" s="5"/>
      <c r="C74" s="5">
        <f t="shared" ref="C74:AR74" si="79">C73-C33</f>
        <v>19609</v>
      </c>
      <c r="D74" s="5">
        <f t="shared" si="79"/>
        <v>20273</v>
      </c>
      <c r="E74" s="5">
        <f t="shared" si="79"/>
        <v>20269</v>
      </c>
      <c r="F74" s="5">
        <f t="shared" si="79"/>
        <v>21732</v>
      </c>
      <c r="G74" s="5">
        <f t="shared" si="79"/>
        <v>16202</v>
      </c>
      <c r="H74" s="12">
        <f t="shared" si="79"/>
        <v>15740</v>
      </c>
      <c r="I74" s="12">
        <f t="shared" si="79"/>
        <v>14434</v>
      </c>
      <c r="J74" s="12">
        <f t="shared" si="79"/>
        <v>16774</v>
      </c>
      <c r="K74" s="12">
        <f t="shared" si="79"/>
        <v>21420</v>
      </c>
      <c r="L74" s="5">
        <f t="shared" si="79"/>
        <v>21420</v>
      </c>
      <c r="M74" s="12">
        <f t="shared" si="79"/>
        <v>21772</v>
      </c>
      <c r="N74" s="12">
        <f t="shared" si="79"/>
        <v>21111</v>
      </c>
      <c r="O74" s="12">
        <f t="shared" si="79"/>
        <v>22835</v>
      </c>
      <c r="P74" s="12">
        <f t="shared" si="79"/>
        <v>27483</v>
      </c>
      <c r="Q74" s="5">
        <f t="shared" si="79"/>
        <v>27483</v>
      </c>
      <c r="R74" s="12">
        <f t="shared" si="79"/>
        <v>25051</v>
      </c>
      <c r="S74" s="12">
        <f t="shared" si="79"/>
        <v>26596</v>
      </c>
      <c r="T74" s="12">
        <f t="shared" si="79"/>
        <v>22158</v>
      </c>
      <c r="U74" s="12">
        <f t="shared" si="79"/>
        <v>25007</v>
      </c>
      <c r="V74" s="5">
        <f t="shared" si="79"/>
        <v>25007</v>
      </c>
      <c r="W74" s="12">
        <f t="shared" si="79"/>
        <v>26338</v>
      </c>
      <c r="X74" s="12">
        <f t="shared" si="79"/>
        <v>27281</v>
      </c>
      <c r="Y74" s="12">
        <f t="shared" si="79"/>
        <v>26672</v>
      </c>
      <c r="Z74" s="12">
        <f t="shared" si="79"/>
        <v>26288</v>
      </c>
      <c r="AA74" s="5">
        <f t="shared" si="79"/>
        <v>26288</v>
      </c>
      <c r="AB74" s="12">
        <f t="shared" si="79"/>
        <v>25312</v>
      </c>
      <c r="AC74" s="12">
        <f t="shared" si="79"/>
        <v>23270</v>
      </c>
      <c r="AD74" s="12">
        <f t="shared" si="79"/>
        <v>27176</v>
      </c>
      <c r="AE74" s="12">
        <f t="shared" si="79"/>
        <v>26780</v>
      </c>
      <c r="AF74" s="5">
        <f t="shared" si="79"/>
        <v>26780</v>
      </c>
      <c r="AG74" s="12">
        <f t="shared" si="79"/>
        <v>28376</v>
      </c>
      <c r="AH74" s="12">
        <f t="shared" si="79"/>
        <v>28141</v>
      </c>
      <c r="AI74" s="12">
        <f t="shared" si="79"/>
        <v>27286</v>
      </c>
      <c r="AJ74" s="12">
        <f t="shared" si="79"/>
        <v>30146</v>
      </c>
      <c r="AK74" s="5">
        <f>SUM(AK11:AK22,AK26:AK32,AK36)-SUM(AK41:AK43,AK45:AK46,AK49,AK53:AK55,AK57:AK59,AK63:AK64)</f>
        <v>30146</v>
      </c>
      <c r="AL74" s="12">
        <f t="shared" si="79"/>
        <v>32378</v>
      </c>
      <c r="AM74" s="12">
        <f t="shared" si="79"/>
        <v>32781</v>
      </c>
      <c r="AN74" s="12">
        <f t="shared" si="79"/>
        <v>33036</v>
      </c>
      <c r="AO74" s="12">
        <f t="shared" si="79"/>
        <v>29249</v>
      </c>
      <c r="AP74" s="5">
        <f>SUM(AP11:AP22,AP26:AP32,AP36)-SUM(AP41:AP43,AP45:AP46,AP49,AP53:AP55,AP57:AP59,AP63:AP64)</f>
        <v>29249</v>
      </c>
      <c r="AQ74" s="12">
        <f t="shared" si="79"/>
        <v>18746</v>
      </c>
      <c r="AR74" s="12">
        <f t="shared" si="79"/>
        <v>18677</v>
      </c>
      <c r="AS74" s="12">
        <f>SUM(AS11:AS22,AS26:AS32,AS36)-SUM(AS41:AS43,AS45:AS46,AS49,AS53:AS55,AS57:AS59,AS63:AS64)</f>
        <v>20785</v>
      </c>
      <c r="AT74" s="12">
        <f t="shared" ref="AT74:BD74" si="80">SUM(AT11:AT22,AT26:AT32,AT36)-SUM(AT41:AT43,AT45:AT46,AT49,AT53:AT55,AT57:AT59,AT63:AT64)</f>
        <v>25672</v>
      </c>
      <c r="AU74" s="5">
        <f t="shared" si="80"/>
        <v>25672</v>
      </c>
      <c r="AV74" s="12">
        <f t="shared" si="80"/>
        <v>25891</v>
      </c>
      <c r="AW74" s="12">
        <f t="shared" si="80"/>
        <v>25400</v>
      </c>
      <c r="AX74" s="12">
        <f t="shared" si="80"/>
        <v>22881</v>
      </c>
      <c r="AY74" s="12">
        <f>SUM(AY11:AY22,AY26:AY32,AY36)-SUM(AY41:AY43,AY45:AY46,AY49,AY53:AY55,AY57:AY59,AY63:AY64)</f>
        <v>23091</v>
      </c>
      <c r="AZ74" s="5">
        <f t="shared" si="80"/>
        <v>23091</v>
      </c>
      <c r="BA74" s="12">
        <f t="shared" si="80"/>
        <v>25297</v>
      </c>
      <c r="BB74" s="12">
        <f t="shared" si="80"/>
        <v>24515</v>
      </c>
      <c r="BC74" s="12">
        <f t="shared" si="80"/>
        <v>25703</v>
      </c>
      <c r="BD74" s="12">
        <f t="shared" si="80"/>
        <v>26779</v>
      </c>
      <c r="BE74" s="5">
        <f t="shared" ref="BE74:CE74" si="81">SUM(BE11:BE22,BE26:BE32,BE36)-SUM(BE41:BE43,BE45:BE46,BE49,BE53:BE55,BE57:BE59,BE63:BE64)</f>
        <v>26779</v>
      </c>
      <c r="BF74" s="12">
        <f t="shared" si="81"/>
        <v>30963</v>
      </c>
      <c r="BG74" s="12">
        <f t="shared" si="81"/>
        <v>32210</v>
      </c>
      <c r="BH74" s="12">
        <f ca="1">SUM(BH11:BH22,BH26:BH32,BH36)-SUM(BH41:BH43,BH45:BH46,BH49,BH53:BH55,BH57:BH59,BH63:BH64)</f>
        <v>33477</v>
      </c>
      <c r="BI74" s="12">
        <f t="shared" ca="1" si="81"/>
        <v>34816</v>
      </c>
      <c r="BJ74" s="5">
        <f t="shared" ca="1" si="81"/>
        <v>34816</v>
      </c>
      <c r="BK74" s="12">
        <f t="shared" ca="1" si="81"/>
        <v>38038</v>
      </c>
      <c r="BL74" s="12">
        <f t="shared" ca="1" si="81"/>
        <v>39734</v>
      </c>
      <c r="BM74" s="12">
        <f t="shared" ca="1" si="81"/>
        <v>40004</v>
      </c>
      <c r="BN74" s="12">
        <f>SUM(BN11:BN22,BN26:BN32,BN36)-SUM(BN41:BN43,BN45:BN46,BN49,BN53:BN55,BN57:BN59,BN63:BN64)</f>
        <v>37644</v>
      </c>
      <c r="BO74" s="5">
        <f t="shared" ref="BO74" si="82">SUM(BO11:BO22,BO26:BO32,BO36)-SUM(BO41:BO43,BO45:BO46,BO49,BO53:BO55,BO57:BO59,BO63:BO64)</f>
        <v>37644</v>
      </c>
      <c r="BP74" s="12">
        <f t="shared" ca="1" si="81"/>
        <v>42723.77940933354</v>
      </c>
      <c r="BQ74" s="12">
        <f t="shared" ca="1" si="81"/>
        <v>42262.700096658198</v>
      </c>
      <c r="BR74" s="12">
        <f t="shared" ca="1" si="81"/>
        <v>40640.851828254876</v>
      </c>
      <c r="BS74" s="12">
        <f t="shared" ca="1" si="81"/>
        <v>39668.854617435019</v>
      </c>
      <c r="BT74" s="5">
        <f t="shared" ca="1" si="81"/>
        <v>39668.854617435019</v>
      </c>
      <c r="BU74" s="12">
        <f t="shared" ca="1" si="81"/>
        <v>37811.772646392608</v>
      </c>
      <c r="BV74" s="12">
        <f t="shared" ca="1" si="81"/>
        <v>37613.770897248614</v>
      </c>
      <c r="BW74" s="12">
        <f t="shared" ca="1" si="81"/>
        <v>35723.57063829957</v>
      </c>
      <c r="BX74" s="12">
        <f t="shared" ca="1" si="81"/>
        <v>34319.713485972054</v>
      </c>
      <c r="BY74" s="5">
        <f t="shared" ca="1" si="81"/>
        <v>34319.713485972054</v>
      </c>
      <c r="BZ74" s="12">
        <f t="shared" ca="1" si="81"/>
        <v>32573.753177887993</v>
      </c>
      <c r="CA74" s="12">
        <f t="shared" ca="1" si="81"/>
        <v>32027.58549116549</v>
      </c>
      <c r="CB74" s="12">
        <f t="shared" ca="1" si="81"/>
        <v>29677.732913958374</v>
      </c>
      <c r="CC74" s="12">
        <f t="shared" ca="1" si="81"/>
        <v>27872.256513753789</v>
      </c>
      <c r="CD74" s="5">
        <f t="shared" ca="1" si="81"/>
        <v>27872.256513753789</v>
      </c>
      <c r="CE74" s="5">
        <f t="shared" si="81"/>
        <v>0</v>
      </c>
      <c r="CF74" s="5"/>
      <c r="CG74" s="5"/>
      <c r="CH74" s="11"/>
      <c r="CI74" s="5"/>
      <c r="CJ74" s="5"/>
      <c r="CK74" s="5"/>
      <c r="CL74" s="5"/>
    </row>
    <row r="75" spans="1:90">
      <c r="A75" s="202" t="s">
        <v>33</v>
      </c>
      <c r="B75" s="5"/>
      <c r="C75" s="116">
        <f t="shared" ref="C75:AH75" si="83">C74/C65</f>
        <v>0.29827657017690634</v>
      </c>
      <c r="D75" s="116">
        <f t="shared" si="83"/>
        <v>0.31444658146171983</v>
      </c>
      <c r="E75" s="116">
        <f t="shared" si="83"/>
        <v>0.28846920186724356</v>
      </c>
      <c r="F75" s="116">
        <f t="shared" si="83"/>
        <v>0.27777848788905224</v>
      </c>
      <c r="G75" s="116">
        <f t="shared" si="83"/>
        <v>0.20060669844610909</v>
      </c>
      <c r="H75" s="117">
        <f t="shared" si="83"/>
        <v>0.19460689160618685</v>
      </c>
      <c r="I75" s="117">
        <f t="shared" si="83"/>
        <v>0.17526349021322066</v>
      </c>
      <c r="J75" s="117">
        <f t="shared" si="83"/>
        <v>0.19717879393440696</v>
      </c>
      <c r="K75" s="117">
        <f t="shared" si="83"/>
        <v>0.25062891242028901</v>
      </c>
      <c r="L75" s="116">
        <f t="shared" si="83"/>
        <v>0.25062891242028901</v>
      </c>
      <c r="M75" s="117">
        <f t="shared" si="83"/>
        <v>0.25390383561324331</v>
      </c>
      <c r="N75" s="117">
        <f t="shared" si="83"/>
        <v>0.23608020307974459</v>
      </c>
      <c r="O75" s="117">
        <f t="shared" si="83"/>
        <v>0.24957920737971889</v>
      </c>
      <c r="P75" s="117">
        <f t="shared" si="83"/>
        <v>0.29035836538055193</v>
      </c>
      <c r="Q75" s="116">
        <f t="shared" si="83"/>
        <v>0.29035836538055193</v>
      </c>
      <c r="R75" s="117">
        <f t="shared" si="83"/>
        <v>0.25261937175414712</v>
      </c>
      <c r="S75" s="117">
        <f t="shared" si="83"/>
        <v>0.25098853394988913</v>
      </c>
      <c r="T75" s="117">
        <f t="shared" si="83"/>
        <v>0.20749133814027532</v>
      </c>
      <c r="U75" s="117">
        <f t="shared" si="83"/>
        <v>0.27149355654713436</v>
      </c>
      <c r="V75" s="116">
        <f t="shared" si="83"/>
        <v>0.27149355654713436</v>
      </c>
      <c r="W75" s="117">
        <f t="shared" si="83"/>
        <v>0.28886037355092731</v>
      </c>
      <c r="X75" s="117">
        <f t="shared" si="83"/>
        <v>0.2813953728248873</v>
      </c>
      <c r="Y75" s="117">
        <f t="shared" si="83"/>
        <v>0.26459529974306323</v>
      </c>
      <c r="Z75" s="117">
        <f t="shared" si="83"/>
        <v>0.25744028674115932</v>
      </c>
      <c r="AA75" s="116">
        <f t="shared" si="83"/>
        <v>0.25744028674115932</v>
      </c>
      <c r="AB75" s="117">
        <f t="shared" si="83"/>
        <v>0.24111718645811503</v>
      </c>
      <c r="AC75" s="117">
        <f t="shared" si="83"/>
        <v>0.26944721057872678</v>
      </c>
      <c r="AD75" s="117">
        <f t="shared" si="83"/>
        <v>0.30073257641148221</v>
      </c>
      <c r="AE75" s="117">
        <f t="shared" si="83"/>
        <v>0.27927542730808941</v>
      </c>
      <c r="AF75" s="125">
        <f t="shared" si="83"/>
        <v>0.27927542730808941</v>
      </c>
      <c r="AG75" s="199">
        <f t="shared" si="83"/>
        <v>0.27466049771083989</v>
      </c>
      <c r="AH75" s="638">
        <f t="shared" si="83"/>
        <v>0.25903936080120771</v>
      </c>
      <c r="AI75" s="638">
        <f t="shared" ref="AI75:BF75" si="84">AI74/AI65</f>
        <v>0.24657732312780706</v>
      </c>
      <c r="AJ75" s="638">
        <f t="shared" si="84"/>
        <v>0.26800732561654311</v>
      </c>
      <c r="AK75" s="125">
        <f t="shared" si="84"/>
        <v>0.26800732561654311</v>
      </c>
      <c r="AL75" s="199">
        <f t="shared" si="84"/>
        <v>0.27158194933735952</v>
      </c>
      <c r="AM75" s="199">
        <f t="shared" si="84"/>
        <v>0.28927049230959295</v>
      </c>
      <c r="AN75" s="199">
        <f t="shared" si="84"/>
        <v>0.27814402263140614</v>
      </c>
      <c r="AO75" s="199">
        <f t="shared" si="84"/>
        <v>0.24451596722956026</v>
      </c>
      <c r="AP75" s="125">
        <f t="shared" si="84"/>
        <v>0.24451596722956026</v>
      </c>
      <c r="AQ75" s="199">
        <f t="shared" si="84"/>
        <v>0.14300644619903116</v>
      </c>
      <c r="AR75" s="199">
        <f t="shared" si="84"/>
        <v>0.14352239631761352</v>
      </c>
      <c r="AS75" s="199">
        <f t="shared" si="84"/>
        <v>0.15836069820420415</v>
      </c>
      <c r="AT75" s="199">
        <f t="shared" si="84"/>
        <v>0.19686059797403513</v>
      </c>
      <c r="AU75" s="125">
        <f t="shared" si="84"/>
        <v>0.19686059797403513</v>
      </c>
      <c r="AV75" s="199">
        <f t="shared" si="84"/>
        <v>0.19885560675883257</v>
      </c>
      <c r="AW75" s="199">
        <f t="shared" si="84"/>
        <v>0.19100903908917263</v>
      </c>
      <c r="AX75" s="199">
        <f t="shared" si="84"/>
        <v>0.18031585417750248</v>
      </c>
      <c r="AY75" s="199">
        <f>AY74/AY65</f>
        <v>0.20499458461319933</v>
      </c>
      <c r="AZ75" s="125">
        <f t="shared" si="84"/>
        <v>0.20499458461319933</v>
      </c>
      <c r="BA75" s="199">
        <f>BA74/BA65</f>
        <v>0.22686061214789838</v>
      </c>
      <c r="BB75" s="199">
        <f ca="1">BB74/BB65</f>
        <v>0.22836303341375488</v>
      </c>
      <c r="BC75" s="199">
        <f ca="1">BC74/BC65</f>
        <v>0.25051901090653905</v>
      </c>
      <c r="BD75" s="199">
        <f ca="1">BD74/BD65</f>
        <v>0.27218026771829612</v>
      </c>
      <c r="BE75" s="125">
        <f>BE74/BE65</f>
        <v>0.27218026771829612</v>
      </c>
      <c r="BF75" s="199">
        <f t="shared" si="84"/>
        <v>0.31825797366608766</v>
      </c>
      <c r="BG75" s="199">
        <f t="shared" ref="BG75:CD75" ca="1" si="85">BG74/BG65</f>
        <v>0.34226633229906067</v>
      </c>
      <c r="BH75" s="199">
        <f t="shared" ca="1" si="85"/>
        <v>0.36075519682748364</v>
      </c>
      <c r="BI75" s="199">
        <f t="shared" ca="1" si="85"/>
        <v>0.35950972192104746</v>
      </c>
      <c r="BJ75" s="125">
        <f t="shared" ca="1" si="85"/>
        <v>0.35950972192104746</v>
      </c>
      <c r="BK75" s="199">
        <f t="shared" ca="1" si="85"/>
        <v>0.3831308797163635</v>
      </c>
      <c r="BL75" s="199">
        <f t="shared" ca="1" si="85"/>
        <v>0.40355064441758665</v>
      </c>
      <c r="BM75" s="199">
        <f t="shared" ca="1" si="85"/>
        <v>0.3994887055862909</v>
      </c>
      <c r="BN75" s="199">
        <f t="shared" si="85"/>
        <v>0.37492530178080552</v>
      </c>
      <c r="BO75" s="125">
        <f t="shared" ref="BO75" si="86">BO74/BO65</f>
        <v>0.37492530178080552</v>
      </c>
      <c r="BP75" s="199">
        <f t="shared" ca="1" si="85"/>
        <v>0.42462308892492273</v>
      </c>
      <c r="BQ75" s="199">
        <f t="shared" ca="1" si="85"/>
        <v>0.41534785878468006</v>
      </c>
      <c r="BR75" s="199">
        <f t="shared" ca="1" si="85"/>
        <v>0.39482929654251631</v>
      </c>
      <c r="BS75" s="199">
        <f t="shared" ca="1" si="85"/>
        <v>0.38248076708948869</v>
      </c>
      <c r="BT75" s="125">
        <f t="shared" ca="1" si="85"/>
        <v>0.38248076708948869</v>
      </c>
      <c r="BU75" s="199">
        <f t="shared" ca="1" si="85"/>
        <v>0.3616857101769626</v>
      </c>
      <c r="BV75" s="199">
        <f t="shared" ca="1" si="85"/>
        <v>0.35705851443520131</v>
      </c>
      <c r="BW75" s="199">
        <f t="shared" ca="1" si="85"/>
        <v>0.33617481108115671</v>
      </c>
      <c r="BX75" s="199">
        <f t="shared" ca="1" si="85"/>
        <v>0.32051698033443488</v>
      </c>
      <c r="BY75" s="125">
        <f t="shared" ca="1" si="85"/>
        <v>0.32051698033443488</v>
      </c>
      <c r="BZ75" s="199">
        <f t="shared" ca="1" si="85"/>
        <v>0.30069637551145106</v>
      </c>
      <c r="CA75" s="199">
        <f t="shared" ca="1" si="85"/>
        <v>0.29229589891396346</v>
      </c>
      <c r="CB75" s="199">
        <f t="shared" ca="1" si="85"/>
        <v>0.26747155212318918</v>
      </c>
      <c r="CC75" s="199">
        <f t="shared" ca="1" si="85"/>
        <v>0.24828822573779274</v>
      </c>
      <c r="CD75" s="125">
        <f t="shared" ca="1" si="85"/>
        <v>0.24828822573779274</v>
      </c>
      <c r="CE75" s="5"/>
      <c r="CF75" s="5"/>
      <c r="CG75" s="5"/>
      <c r="CH75" s="11"/>
      <c r="CI75" s="5"/>
      <c r="CJ75" s="5"/>
      <c r="CK75" s="5"/>
      <c r="CL75" s="5"/>
    </row>
    <row r="76" spans="1:90">
      <c r="A76" s="75" t="s">
        <v>2200</v>
      </c>
      <c r="B76" s="8"/>
      <c r="C76" s="172">
        <f t="shared" ref="C76:AH76" si="87">C74/(C74+C65)</f>
        <v>0.22974809607498536</v>
      </c>
      <c r="D76" s="172">
        <f t="shared" si="87"/>
        <v>0.23922355301197712</v>
      </c>
      <c r="E76" s="172">
        <f t="shared" si="87"/>
        <v>0.22388521312670517</v>
      </c>
      <c r="F76" s="172">
        <f t="shared" si="87"/>
        <v>0.21739173927396041</v>
      </c>
      <c r="G76" s="172">
        <f t="shared" si="87"/>
        <v>0.16708777212866233</v>
      </c>
      <c r="H76" s="203">
        <f t="shared" si="87"/>
        <v>0.16290454456070627</v>
      </c>
      <c r="I76" s="203">
        <f t="shared" si="87"/>
        <v>0.1491269759272652</v>
      </c>
      <c r="J76" s="203">
        <f t="shared" si="87"/>
        <v>0.1647028789128471</v>
      </c>
      <c r="K76" s="203">
        <f t="shared" si="87"/>
        <v>0.20040230153903729</v>
      </c>
      <c r="L76" s="172">
        <f t="shared" si="87"/>
        <v>0.20040230153903729</v>
      </c>
      <c r="M76" s="203">
        <f t="shared" si="87"/>
        <v>0.20249067623999031</v>
      </c>
      <c r="N76" s="203">
        <f t="shared" si="87"/>
        <v>0.19099100729187399</v>
      </c>
      <c r="O76" s="203">
        <f t="shared" si="87"/>
        <v>0.19973060203447945</v>
      </c>
      <c r="P76" s="203">
        <f t="shared" si="87"/>
        <v>0.22502149261063578</v>
      </c>
      <c r="Q76" s="172">
        <f t="shared" si="87"/>
        <v>0.22502149261063578</v>
      </c>
      <c r="R76" s="203">
        <f t="shared" si="87"/>
        <v>0.20167289238101371</v>
      </c>
      <c r="S76" s="203">
        <f t="shared" si="87"/>
        <v>0.20063216179721033</v>
      </c>
      <c r="T76" s="203">
        <f t="shared" si="87"/>
        <v>0.17183670937121939</v>
      </c>
      <c r="U76" s="203">
        <f t="shared" si="87"/>
        <v>0.2135233443765156</v>
      </c>
      <c r="V76" s="172">
        <f t="shared" si="87"/>
        <v>0.2135233443765156</v>
      </c>
      <c r="W76" s="203">
        <f t="shared" si="87"/>
        <v>0.22412076550626717</v>
      </c>
      <c r="X76" s="203">
        <f t="shared" si="87"/>
        <v>0.21960074056186107</v>
      </c>
      <c r="Y76" s="203">
        <f t="shared" si="87"/>
        <v>0.20923318297705432</v>
      </c>
      <c r="Z76" s="203">
        <f t="shared" si="87"/>
        <v>0.20473360799370721</v>
      </c>
      <c r="AA76" s="172">
        <f t="shared" si="87"/>
        <v>0.20473360799370721</v>
      </c>
      <c r="AB76" s="203">
        <f t="shared" si="87"/>
        <v>0.19427431115204544</v>
      </c>
      <c r="AC76" s="203">
        <f t="shared" si="87"/>
        <v>0.2122555458260362</v>
      </c>
      <c r="AD76" s="203">
        <f t="shared" si="87"/>
        <v>0.23120246380017356</v>
      </c>
      <c r="AE76" s="203">
        <f t="shared" si="87"/>
        <v>0.21830750544138386</v>
      </c>
      <c r="AF76" s="225">
        <f t="shared" si="87"/>
        <v>0.21830750544138386</v>
      </c>
      <c r="AG76" s="197">
        <f t="shared" si="87"/>
        <v>0.21547737472378103</v>
      </c>
      <c r="AH76" s="639">
        <f t="shared" si="87"/>
        <v>0.20574365573159231</v>
      </c>
      <c r="AI76" s="639">
        <f t="shared" ref="AI76:BF76" si="88">AI74/(AI74+AI65)</f>
        <v>0.19780347239841967</v>
      </c>
      <c r="AJ76" s="639">
        <f t="shared" si="88"/>
        <v>0.21136102308102195</v>
      </c>
      <c r="AK76" s="225">
        <f t="shared" si="88"/>
        <v>0.21136102308102195</v>
      </c>
      <c r="AL76" s="197">
        <f t="shared" si="88"/>
        <v>0.21357801554110212</v>
      </c>
      <c r="AM76" s="197">
        <f t="shared" si="88"/>
        <v>0.22436757378305863</v>
      </c>
      <c r="AN76" s="197">
        <f t="shared" si="88"/>
        <v>0.21761555638993735</v>
      </c>
      <c r="AO76" s="197">
        <f t="shared" si="88"/>
        <v>0.19647475297073266</v>
      </c>
      <c r="AP76" s="225">
        <f t="shared" si="88"/>
        <v>0.19647475297073266</v>
      </c>
      <c r="AQ76" s="197">
        <f t="shared" si="88"/>
        <v>0.12511429543952854</v>
      </c>
      <c r="AR76" s="197">
        <f t="shared" si="88"/>
        <v>0.12550903837107721</v>
      </c>
      <c r="AS76" s="197">
        <f t="shared" si="88"/>
        <v>0.13671104212160279</v>
      </c>
      <c r="AT76" s="197">
        <f t="shared" si="88"/>
        <v>0.16448080779605201</v>
      </c>
      <c r="AU76" s="225">
        <f t="shared" si="88"/>
        <v>0.16448080779605201</v>
      </c>
      <c r="AV76" s="197">
        <f t="shared" si="88"/>
        <v>0.16587119052347668</v>
      </c>
      <c r="AW76" s="197">
        <f t="shared" si="88"/>
        <v>0.16037580977155919</v>
      </c>
      <c r="AX76" s="197">
        <f>AX74/(AX74+AX65)</f>
        <v>0.15276915373059588</v>
      </c>
      <c r="AY76" s="197">
        <f>AY74/(AY74+AY65)</f>
        <v>0.17012075177001909</v>
      </c>
      <c r="AZ76" s="225">
        <f t="shared" si="88"/>
        <v>0.17012075177001909</v>
      </c>
      <c r="BA76" s="197">
        <f>BA74/(BA74+BA65)</f>
        <v>0.18491148049062175</v>
      </c>
      <c r="BB76" s="197">
        <f ca="1">BB74/(BB74+BB65)</f>
        <v>0.18590842218615869</v>
      </c>
      <c r="BC76" s="197">
        <f ca="1">BC74/(BC74+BC65)</f>
        <v>0.20033202911879783</v>
      </c>
      <c r="BD76" s="197">
        <f ca="1">BD74/(BD74+BD65)</f>
        <v>0.21394787721905309</v>
      </c>
      <c r="BE76" s="225">
        <f>BE74/(BE74+BE65)</f>
        <v>0.21394787721905309</v>
      </c>
      <c r="BF76" s="197">
        <f t="shared" si="88"/>
        <v>0.24142313570158749</v>
      </c>
      <c r="BG76" s="197">
        <f t="shared" ref="BG76:CD76" ca="1" si="89">BG74/(BG74+BG65)</f>
        <v>0.2549913709843411</v>
      </c>
      <c r="BH76" s="197">
        <f t="shared" ca="1" si="89"/>
        <v>0.26511395853461522</v>
      </c>
      <c r="BI76" s="197">
        <f t="shared" ca="1" si="89"/>
        <v>0.26444071426943849</v>
      </c>
      <c r="BJ76" s="225">
        <f t="shared" ca="1" si="89"/>
        <v>0.26444071426943849</v>
      </c>
      <c r="BK76" s="197">
        <f t="shared" ca="1" si="89"/>
        <v>0.27700262161374889</v>
      </c>
      <c r="BL76" s="197">
        <f t="shared" ca="1" si="89"/>
        <v>0.28752125619595498</v>
      </c>
      <c r="BM76" s="197">
        <f t="shared" ca="1" si="89"/>
        <v>0.28545332591228895</v>
      </c>
      <c r="BN76" s="197">
        <f t="shared" si="89"/>
        <v>0.27268776077885953</v>
      </c>
      <c r="BO76" s="225">
        <f t="shared" ref="BO76" si="90">BO74/(BO74+BO65)</f>
        <v>0.27268776077885953</v>
      </c>
      <c r="BP76" s="197">
        <f t="shared" ca="1" si="89"/>
        <v>0.29805995159418636</v>
      </c>
      <c r="BQ76" s="197">
        <f t="shared" ca="1" si="89"/>
        <v>0.29345991249199177</v>
      </c>
      <c r="BR76" s="197">
        <f t="shared" ca="1" si="89"/>
        <v>0.28306639208196571</v>
      </c>
      <c r="BS76" s="197">
        <f t="shared" ca="1" si="89"/>
        <v>0.27666263154945614</v>
      </c>
      <c r="BT76" s="225">
        <f t="shared" ca="1" si="89"/>
        <v>0.27666263154945614</v>
      </c>
      <c r="BU76" s="197">
        <f t="shared" ca="1" si="89"/>
        <v>0.26561614583585408</v>
      </c>
      <c r="BV76" s="197">
        <f t="shared" ca="1" si="89"/>
        <v>0.26311209917415146</v>
      </c>
      <c r="BW76" s="197">
        <f t="shared" ca="1" si="89"/>
        <v>0.2515949322597566</v>
      </c>
      <c r="BX76" s="197">
        <f t="shared" ca="1" si="89"/>
        <v>0.24272083214958778</v>
      </c>
      <c r="BY76" s="225">
        <f t="shared" ca="1" si="89"/>
        <v>0.24272083214958778</v>
      </c>
      <c r="BZ76" s="197">
        <f t="shared" ca="1" si="89"/>
        <v>0.2311810666753133</v>
      </c>
      <c r="CA76" s="197">
        <f t="shared" ca="1" si="89"/>
        <v>0.22618341446382897</v>
      </c>
      <c r="CB76" s="197">
        <f t="shared" ca="1" si="89"/>
        <v>0.21102765712976954</v>
      </c>
      <c r="CC76" s="197">
        <f t="shared" ca="1" si="89"/>
        <v>0.19890296216728598</v>
      </c>
      <c r="CD76" s="225">
        <f t="shared" ca="1" si="89"/>
        <v>0.19890296216728598</v>
      </c>
      <c r="CE76" s="5"/>
      <c r="CF76" s="8"/>
      <c r="CG76" s="8"/>
      <c r="CH76" s="11"/>
      <c r="CI76" s="5"/>
      <c r="CJ76" s="8"/>
      <c r="CK76" s="8"/>
      <c r="CL76" s="8"/>
    </row>
    <row r="77" spans="1:90">
      <c r="A77" s="75"/>
      <c r="B77" s="8"/>
      <c r="C77" s="172"/>
      <c r="D77" s="172"/>
      <c r="E77" s="172"/>
      <c r="F77" s="172"/>
      <c r="G77" s="172"/>
      <c r="H77" s="203"/>
      <c r="I77" s="203"/>
      <c r="J77" s="203"/>
      <c r="K77" s="203"/>
      <c r="L77" s="172"/>
      <c r="M77" s="203"/>
      <c r="N77" s="203"/>
      <c r="O77" s="203"/>
      <c r="P77" s="203"/>
      <c r="Q77" s="172"/>
      <c r="R77" s="203"/>
      <c r="S77" s="203"/>
      <c r="T77" s="203"/>
      <c r="U77" s="203"/>
      <c r="V77" s="172"/>
      <c r="W77" s="203"/>
      <c r="X77" s="203"/>
      <c r="Y77" s="203"/>
      <c r="Z77" s="203"/>
      <c r="AA77" s="172"/>
      <c r="AB77" s="203"/>
      <c r="AC77" s="203"/>
      <c r="AD77" s="203"/>
      <c r="AE77" s="203"/>
      <c r="AF77" s="172"/>
      <c r="AG77" s="203"/>
      <c r="AH77" s="268"/>
      <c r="AI77" s="268"/>
      <c r="AJ77" s="268"/>
      <c r="AK77" s="172"/>
      <c r="AL77" s="197"/>
      <c r="AM77" s="197"/>
      <c r="AN77" s="203"/>
      <c r="AO77" s="203"/>
      <c r="AP77" s="172"/>
      <c r="AQ77" s="203"/>
      <c r="AR77" s="203"/>
      <c r="AS77" s="203"/>
      <c r="AT77" s="203"/>
      <c r="AU77" s="172"/>
      <c r="AV77" s="203"/>
      <c r="AW77" s="203"/>
      <c r="AX77" s="203"/>
      <c r="AY77" s="203"/>
      <c r="AZ77" s="172"/>
      <c r="BA77" s="203"/>
      <c r="BB77" s="203"/>
      <c r="BC77" s="203"/>
      <c r="BD77" s="203"/>
      <c r="BE77" s="172"/>
      <c r="BF77" s="203"/>
      <c r="BG77" s="203"/>
      <c r="BH77" s="203"/>
      <c r="BI77" s="203"/>
      <c r="BJ77" s="172"/>
      <c r="BK77" s="203"/>
      <c r="BL77" s="203"/>
      <c r="BM77" s="203"/>
      <c r="BN77" s="203"/>
      <c r="BO77" s="172"/>
      <c r="BP77" s="203"/>
      <c r="BQ77" s="203"/>
      <c r="BR77" s="203"/>
      <c r="BS77" s="203"/>
      <c r="BT77" s="172"/>
      <c r="BU77" s="203"/>
      <c r="BV77" s="203"/>
      <c r="BW77" s="203"/>
      <c r="BX77" s="203"/>
      <c r="BY77" s="172"/>
      <c r="BZ77" s="203"/>
      <c r="CA77" s="203"/>
      <c r="CB77" s="203"/>
      <c r="CC77" s="203"/>
      <c r="CD77" s="172"/>
      <c r="CE77" s="5"/>
      <c r="CF77" s="8"/>
      <c r="CG77" s="8"/>
      <c r="CH77" s="11"/>
      <c r="CI77" s="11"/>
      <c r="CJ77" s="8"/>
      <c r="CK77" s="8"/>
      <c r="CL77" s="8"/>
    </row>
    <row r="78" spans="1:90">
      <c r="A78" s="202" t="s">
        <v>2201</v>
      </c>
      <c r="B78" s="5"/>
      <c r="C78" s="352">
        <f>C74/'Income statement'!C$126</f>
        <v>0.8399657314200043</v>
      </c>
      <c r="D78" s="352">
        <f>D74/'Income statement'!D$126</f>
        <v>0.9448639075316928</v>
      </c>
      <c r="E78" s="352">
        <f>E74/'Income statement'!E$126</f>
        <v>0.75484135259943397</v>
      </c>
      <c r="F78" s="352">
        <f>F74/'Income statement'!F$126</f>
        <v>0.63404814004376364</v>
      </c>
      <c r="G78" s="352">
        <f>G74/'Income statement'!G$126</f>
        <v>0.39085229054591947</v>
      </c>
      <c r="H78" s="626"/>
      <c r="I78" s="626"/>
      <c r="J78" s="626"/>
      <c r="K78" s="626"/>
      <c r="L78" s="352">
        <f>L74/'Income statement'!L$126</f>
        <v>0.48367429887549113</v>
      </c>
      <c r="M78" s="626"/>
      <c r="N78" s="626"/>
      <c r="O78" s="626"/>
      <c r="P78" s="626"/>
      <c r="Q78" s="352">
        <f>Q74/'Income statement'!Q$126</f>
        <v>0.64016677925042509</v>
      </c>
      <c r="R78" s="626"/>
      <c r="S78" s="626"/>
      <c r="T78" s="626"/>
      <c r="U78" s="626"/>
      <c r="V78" s="352">
        <f>V74/'Income statement'!V$126</f>
        <v>0.54099601938386987</v>
      </c>
      <c r="W78" s="626"/>
      <c r="X78" s="626"/>
      <c r="Y78" s="626"/>
      <c r="Z78" s="626"/>
      <c r="AA78" s="352">
        <f>AA74/'Income statement'!AA$126</f>
        <v>0.68223813972801828</v>
      </c>
      <c r="AB78" s="626"/>
      <c r="AC78" s="626"/>
      <c r="AD78" s="626"/>
      <c r="AE78" s="626"/>
      <c r="AF78" s="352">
        <f>AF74/'Income statement'!AF$126</f>
        <v>3.5888501742160277</v>
      </c>
      <c r="AG78" s="626"/>
      <c r="AH78" s="626"/>
      <c r="AI78" s="626"/>
      <c r="AJ78" s="626"/>
      <c r="AK78" s="352">
        <f>AK74/'Income statement'!AK$126</f>
        <v>0.59165489087768885</v>
      </c>
      <c r="AL78" s="626"/>
      <c r="AM78" s="626"/>
      <c r="AN78" s="626"/>
      <c r="AO78" s="626"/>
      <c r="AP78" s="352">
        <f>AP74/'Income statement'!AP$126</f>
        <v>0.90795927236605201</v>
      </c>
      <c r="AQ78" s="626"/>
      <c r="AR78" s="626"/>
      <c r="AS78" s="626"/>
      <c r="AT78" s="626"/>
      <c r="AU78" s="352">
        <f>AU74/'Income statement'!AU$126</f>
        <v>0.56697365224497009</v>
      </c>
      <c r="AV78" s="626"/>
      <c r="AW78" s="626"/>
      <c r="AX78" s="626"/>
      <c r="AY78" s="626"/>
      <c r="AZ78" s="352">
        <f>AZ74/'Income statement'!AZ$126</f>
        <v>1.0702665121668598</v>
      </c>
      <c r="BA78" s="626"/>
      <c r="BB78" s="626"/>
      <c r="BC78" s="626"/>
      <c r="BD78" s="626"/>
      <c r="BE78" s="352">
        <f>BE74/'Income statement'!BE$126</f>
        <v>3.6678537186686757</v>
      </c>
      <c r="BF78" s="626"/>
      <c r="BG78" s="626"/>
      <c r="BH78" s="626"/>
      <c r="BI78" s="626"/>
      <c r="BJ78" s="352">
        <f ca="1">BJ74/'Income statement'!BJ$126</f>
        <v>2.4736056838365896</v>
      </c>
      <c r="BK78" s="626"/>
      <c r="BL78" s="626"/>
      <c r="BM78" s="626"/>
      <c r="BN78" s="626"/>
      <c r="BO78" s="352">
        <f>BO74/'Income statement'!BO$126</f>
        <v>1.5022747226434672</v>
      </c>
      <c r="BP78" s="626"/>
      <c r="BQ78" s="626"/>
      <c r="BR78" s="626"/>
      <c r="BS78" s="626"/>
      <c r="BT78" s="352">
        <f ca="1">BT74/'Income statement'!BT$126</f>
        <v>1.0700481973380214</v>
      </c>
      <c r="BU78" s="626"/>
      <c r="BV78" s="626"/>
      <c r="BW78" s="626"/>
      <c r="BX78" s="626"/>
      <c r="BY78" s="352">
        <f ca="1">BY74/'Income statement'!BY$126</f>
        <v>0.87552961041380228</v>
      </c>
      <c r="BZ78" s="626"/>
      <c r="CA78" s="626"/>
      <c r="CB78" s="626"/>
      <c r="CC78" s="626"/>
      <c r="CD78" s="352">
        <f ca="1">CD74/'Income statement'!CD$126</f>
        <v>0.66009632133502683</v>
      </c>
      <c r="CE78" s="5"/>
      <c r="CF78" s="5"/>
      <c r="CG78" s="5"/>
      <c r="CH78" s="11"/>
      <c r="CI78" s="11"/>
      <c r="CJ78" s="5"/>
      <c r="CK78" s="5"/>
      <c r="CL78" s="5"/>
    </row>
    <row r="79" spans="1:90">
      <c r="A79" s="245" t="s">
        <v>3561</v>
      </c>
      <c r="B79" s="5"/>
      <c r="C79" s="626"/>
      <c r="D79" s="626"/>
      <c r="E79" s="626"/>
      <c r="F79" s="352">
        <f>F74/'Cash flow statement'!F10</f>
        <v>0.87445678416224049</v>
      </c>
      <c r="G79" s="352">
        <f>G74/'Cash flow statement'!G10</f>
        <v>0.57594824215278517</v>
      </c>
      <c r="H79" s="626"/>
      <c r="I79" s="626"/>
      <c r="J79" s="626"/>
      <c r="K79" s="626"/>
      <c r="L79" s="352">
        <f>L74/'Cash flow statement'!L10</f>
        <v>0.76970067196090408</v>
      </c>
      <c r="M79" s="626"/>
      <c r="N79" s="626"/>
      <c r="O79" s="626"/>
      <c r="P79" s="626"/>
      <c r="Q79" s="352">
        <f>Q74/'Cash flow statement'!Q10</f>
        <v>0.97679129940290021</v>
      </c>
      <c r="R79" s="626"/>
      <c r="S79" s="626"/>
      <c r="T79" s="626"/>
      <c r="U79" s="626"/>
      <c r="V79" s="352">
        <f>V74/'Cash flow statement'!V10</f>
        <v>0.67253852567033323</v>
      </c>
      <c r="W79" s="626"/>
      <c r="X79" s="626"/>
      <c r="Y79" s="626"/>
      <c r="Z79" s="626"/>
      <c r="AA79" s="352">
        <f>AA74/'Cash flow statement'!AA10</f>
        <v>0.91630938687301755</v>
      </c>
      <c r="AB79" s="626"/>
      <c r="AC79" s="626"/>
      <c r="AD79" s="626"/>
      <c r="AE79" s="626"/>
      <c r="AF79" s="352">
        <f>AF74/'Cash flow statement'!AF10</f>
        <v>2.3638449995586548</v>
      </c>
      <c r="AG79" s="626"/>
      <c r="AH79" s="626"/>
      <c r="AI79" s="626"/>
      <c r="AJ79" s="626"/>
      <c r="AK79" s="352">
        <f>AK74/'Cash flow statement'!AK10</f>
        <v>1.5160170983153129</v>
      </c>
      <c r="AL79" s="626"/>
      <c r="AM79" s="626"/>
      <c r="AN79" s="626"/>
      <c r="AO79" s="626"/>
      <c r="AP79" s="352">
        <f>AP74/'Cash flow statement'!AP10</f>
        <v>1.2969581411848172</v>
      </c>
      <c r="AQ79" s="626"/>
      <c r="AR79" s="626"/>
      <c r="AS79" s="626"/>
      <c r="AT79" s="626"/>
      <c r="AU79" s="352">
        <f>AU74/'Cash flow statement'!AU10</f>
        <v>0.99484596008525483</v>
      </c>
      <c r="AV79" s="626"/>
      <c r="AW79" s="626"/>
      <c r="AX79" s="626"/>
      <c r="AY79" s="626"/>
      <c r="AZ79" s="352">
        <f>AZ74/'Cash flow statement'!AZ10</f>
        <v>0.67134757959005664</v>
      </c>
      <c r="BA79" s="626"/>
      <c r="BB79" s="626"/>
      <c r="BC79" s="626"/>
      <c r="BD79" s="626"/>
      <c r="BE79" s="352">
        <f>BE74/'Cash flow statement'!BE10</f>
        <v>1.289497760870612</v>
      </c>
      <c r="BF79" s="626"/>
      <c r="BG79" s="626"/>
      <c r="BH79" s="626"/>
      <c r="BI79" s="626"/>
      <c r="BJ79" s="352">
        <f ca="1">BJ74/'Cash flow statement'!BJ10</f>
        <v>5.4742138364779871</v>
      </c>
      <c r="BK79" s="626"/>
      <c r="BL79" s="626"/>
      <c r="BM79" s="626"/>
      <c r="BN79" s="626"/>
      <c r="BO79" s="352">
        <f>BO74/'Cash flow statement'!BO10</f>
        <v>2.4126129590463372</v>
      </c>
      <c r="BP79" s="626"/>
      <c r="BQ79" s="626"/>
      <c r="BR79" s="626"/>
      <c r="BS79" s="626"/>
      <c r="BT79" s="352">
        <f ca="1">BT74/'Cash flow statement'!BT10</f>
        <v>1.6271978671678988</v>
      </c>
      <c r="BU79" s="626"/>
      <c r="BV79" s="626"/>
      <c r="BW79" s="626"/>
      <c r="BX79" s="626"/>
      <c r="BY79" s="352">
        <f ca="1">BY74/'Cash flow statement'!BY10</f>
        <v>1.3040117979447097</v>
      </c>
      <c r="BZ79" s="626"/>
      <c r="CA79" s="626"/>
      <c r="CB79" s="626"/>
      <c r="CC79" s="626"/>
      <c r="CD79" s="352">
        <f ca="1">CD74/'Cash flow statement'!CD10</f>
        <v>0.99049493523268328</v>
      </c>
      <c r="CE79" s="5"/>
      <c r="CF79" s="5"/>
      <c r="CG79" s="5"/>
      <c r="CH79" s="11"/>
      <c r="CI79" s="11"/>
      <c r="CJ79" s="5"/>
      <c r="CK79" s="5"/>
      <c r="CL79" s="5"/>
    </row>
    <row r="80" spans="1:90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11"/>
      <c r="CI80" s="11"/>
      <c r="CJ80" s="5"/>
      <c r="CK80" s="5"/>
      <c r="CL80" s="5"/>
    </row>
    <row r="81" spans="1:90">
      <c r="A81" s="640" t="s">
        <v>3567</v>
      </c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11"/>
      <c r="CI81" s="11"/>
      <c r="CJ81" s="5"/>
      <c r="CK81" s="5"/>
      <c r="CL81" s="5"/>
    </row>
    <row r="82" spans="1:90">
      <c r="A82" s="546" t="s">
        <v>3568</v>
      </c>
      <c r="B82" s="5"/>
      <c r="C82" s="626"/>
      <c r="D82" s="626"/>
      <c r="E82" s="626"/>
      <c r="F82" s="626"/>
      <c r="G82" s="626"/>
      <c r="H82" s="626"/>
      <c r="I82" s="626"/>
      <c r="J82" s="626"/>
      <c r="K82" s="626"/>
      <c r="L82" s="626"/>
      <c r="M82" s="626"/>
      <c r="N82" s="626"/>
      <c r="O82" s="626"/>
      <c r="P82" s="626"/>
      <c r="Q82" s="626"/>
      <c r="R82" s="626"/>
      <c r="S82" s="626"/>
      <c r="T82" s="626"/>
      <c r="U82" s="626"/>
      <c r="V82" s="626"/>
      <c r="W82" s="626"/>
      <c r="X82" s="626"/>
      <c r="Y82" s="626"/>
      <c r="Z82" s="626"/>
      <c r="AA82" s="626"/>
      <c r="AB82" s="626"/>
      <c r="AC82" s="626"/>
      <c r="AD82" s="626"/>
      <c r="AE82" s="626"/>
      <c r="AF82" s="626"/>
      <c r="AG82" s="626"/>
      <c r="AH82" s="626"/>
      <c r="AI82" s="626"/>
      <c r="AJ82" s="626"/>
      <c r="AK82" s="626"/>
      <c r="AL82" s="626"/>
      <c r="AM82" s="626"/>
      <c r="AN82" s="626"/>
      <c r="AO82" s="626"/>
      <c r="AP82" s="626"/>
      <c r="AQ82" s="626"/>
      <c r="AR82" s="626"/>
      <c r="AS82" s="626"/>
      <c r="AT82" s="626"/>
      <c r="AU82" s="626"/>
      <c r="AV82" s="626"/>
      <c r="AW82" s="626"/>
      <c r="AX82" s="626"/>
      <c r="AY82" s="12">
        <v>-445</v>
      </c>
      <c r="AZ82" s="5">
        <f>AY82</f>
        <v>-445</v>
      </c>
      <c r="BA82" s="12">
        <v>-174</v>
      </c>
      <c r="BB82" s="626"/>
      <c r="BC82" s="12">
        <v>-57</v>
      </c>
      <c r="BD82" s="12">
        <v>379</v>
      </c>
      <c r="BE82" s="5">
        <f>BD82</f>
        <v>379</v>
      </c>
      <c r="BF82" s="12">
        <v>-967</v>
      </c>
      <c r="BG82" s="12">
        <v>-1279</v>
      </c>
      <c r="BH82" s="12">
        <v>-1113</v>
      </c>
      <c r="BI82" s="12">
        <v>697</v>
      </c>
      <c r="BJ82" s="5">
        <f>BI82</f>
        <v>697</v>
      </c>
      <c r="BK82" s="12">
        <v>597</v>
      </c>
      <c r="BL82" s="12">
        <v>60</v>
      </c>
      <c r="BM82" s="12">
        <v>-227</v>
      </c>
      <c r="BN82" s="12">
        <v>175</v>
      </c>
      <c r="BO82" s="5">
        <f>BN82</f>
        <v>175</v>
      </c>
      <c r="BP82" s="626"/>
      <c r="BQ82" s="626"/>
      <c r="BR82" s="626"/>
      <c r="BS82" s="626"/>
      <c r="BT82" s="626"/>
      <c r="BU82" s="626"/>
      <c r="BV82" s="626"/>
      <c r="BW82" s="626"/>
      <c r="BX82" s="626"/>
      <c r="BY82" s="626"/>
      <c r="BZ82" s="626"/>
      <c r="CA82" s="626"/>
      <c r="CB82" s="626"/>
      <c r="CC82" s="626"/>
      <c r="CD82" s="626"/>
      <c r="CE82" s="5"/>
      <c r="CF82" s="5"/>
      <c r="CG82" s="5"/>
      <c r="CH82" s="11"/>
      <c r="CI82" s="11"/>
      <c r="CJ82" s="5"/>
      <c r="CK82" s="5"/>
      <c r="CL82" s="5"/>
    </row>
    <row r="83" spans="1:90">
      <c r="A83" s="202" t="s">
        <v>3569</v>
      </c>
      <c r="B83" s="5"/>
      <c r="C83" s="626"/>
      <c r="D83" s="626"/>
      <c r="E83" s="626"/>
      <c r="F83" s="626"/>
      <c r="G83" s="626"/>
      <c r="H83" s="626"/>
      <c r="I83" s="626"/>
      <c r="J83" s="626"/>
      <c r="K83" s="626"/>
      <c r="L83" s="626"/>
      <c r="M83" s="626"/>
      <c r="N83" s="626"/>
      <c r="O83" s="626"/>
      <c r="P83" s="626"/>
      <c r="Q83" s="626"/>
      <c r="R83" s="626"/>
      <c r="S83" s="626"/>
      <c r="T83" s="626"/>
      <c r="U83" s="626"/>
      <c r="V83" s="626"/>
      <c r="W83" s="626"/>
      <c r="X83" s="626"/>
      <c r="Y83" s="626"/>
      <c r="Z83" s="626"/>
      <c r="AA83" s="626"/>
      <c r="AB83" s="626"/>
      <c r="AC83" s="626"/>
      <c r="AD83" s="626"/>
      <c r="AE83" s="626"/>
      <c r="AF83" s="626"/>
      <c r="AG83" s="626"/>
      <c r="AH83" s="626"/>
      <c r="AI83" s="626"/>
      <c r="AJ83" s="626"/>
      <c r="AK83" s="626"/>
      <c r="AL83" s="626"/>
      <c r="AM83" s="626"/>
      <c r="AN83" s="626"/>
      <c r="AO83" s="626"/>
      <c r="AP83" s="626"/>
      <c r="AQ83" s="626"/>
      <c r="AR83" s="626"/>
      <c r="AS83" s="626"/>
      <c r="AT83" s="626"/>
      <c r="AU83" s="626"/>
      <c r="AV83" s="626"/>
      <c r="AW83" s="626"/>
      <c r="AX83" s="626"/>
      <c r="AY83" s="12">
        <f>AY74+AY82</f>
        <v>22646</v>
      </c>
      <c r="AZ83" s="5">
        <f>AY83</f>
        <v>22646</v>
      </c>
      <c r="BA83" s="12">
        <f>BA74+BA82</f>
        <v>25123</v>
      </c>
      <c r="BB83" s="626"/>
      <c r="BC83" s="12">
        <f>BC74+BC82</f>
        <v>25646</v>
      </c>
      <c r="BD83" s="12">
        <f>BD74+BD82</f>
        <v>27158</v>
      </c>
      <c r="BE83" s="5">
        <f>BD83</f>
        <v>27158</v>
      </c>
      <c r="BF83" s="12">
        <f>BF74+BF82</f>
        <v>29996</v>
      </c>
      <c r="BG83" s="12">
        <f>BG74+BG82</f>
        <v>30931</v>
      </c>
      <c r="BH83" s="12">
        <f ca="1">BH74+BH82</f>
        <v>32364</v>
      </c>
      <c r="BI83" s="12">
        <f ca="1">BI74+BI82</f>
        <v>35513</v>
      </c>
      <c r="BJ83" s="5">
        <f ca="1">BI83</f>
        <v>35513</v>
      </c>
      <c r="BK83" s="12">
        <f ca="1">BK74+BK82</f>
        <v>38635</v>
      </c>
      <c r="BL83" s="12">
        <f ca="1">BL74+BL82</f>
        <v>39794</v>
      </c>
      <c r="BM83" s="12">
        <f ca="1">BM74+BM82</f>
        <v>39777</v>
      </c>
      <c r="BN83" s="12">
        <f>BN74+BN82</f>
        <v>37819</v>
      </c>
      <c r="BO83" s="5">
        <f>BN83</f>
        <v>37819</v>
      </c>
      <c r="BP83" s="626"/>
      <c r="BQ83" s="626"/>
      <c r="BR83" s="626"/>
      <c r="BS83" s="626"/>
      <c r="BT83" s="626"/>
      <c r="BU83" s="626"/>
      <c r="BV83" s="626"/>
      <c r="BW83" s="626"/>
      <c r="BX83" s="626"/>
      <c r="BY83" s="626"/>
      <c r="BZ83" s="626"/>
      <c r="CA83" s="626"/>
      <c r="CB83" s="626"/>
      <c r="CC83" s="626"/>
      <c r="CD83" s="626"/>
      <c r="CE83" s="5"/>
      <c r="CF83" s="5"/>
      <c r="CG83" s="5"/>
      <c r="CH83" s="11"/>
      <c r="CI83" s="11"/>
      <c r="CJ83" s="5"/>
      <c r="CK83" s="5"/>
      <c r="CL83" s="5"/>
    </row>
    <row r="84" spans="1:90">
      <c r="A84" s="75" t="s">
        <v>3570</v>
      </c>
      <c r="B84" s="8"/>
      <c r="C84" s="626"/>
      <c r="D84" s="626"/>
      <c r="E84" s="626"/>
      <c r="F84" s="626"/>
      <c r="G84" s="626"/>
      <c r="H84" s="626"/>
      <c r="I84" s="626"/>
      <c r="J84" s="626"/>
      <c r="K84" s="626"/>
      <c r="L84" s="626"/>
      <c r="M84" s="626"/>
      <c r="N84" s="626"/>
      <c r="O84" s="626"/>
      <c r="P84" s="626"/>
      <c r="Q84" s="626"/>
      <c r="R84" s="626"/>
      <c r="S84" s="626"/>
      <c r="T84" s="626"/>
      <c r="U84" s="626"/>
      <c r="V84" s="626"/>
      <c r="W84" s="626"/>
      <c r="X84" s="626"/>
      <c r="Y84" s="626"/>
      <c r="Z84" s="626"/>
      <c r="AA84" s="626"/>
      <c r="AB84" s="626"/>
      <c r="AC84" s="626"/>
      <c r="AD84" s="626"/>
      <c r="AE84" s="626"/>
      <c r="AF84" s="626"/>
      <c r="AG84" s="626"/>
      <c r="AH84" s="626"/>
      <c r="AI84" s="626"/>
      <c r="AJ84" s="626"/>
      <c r="AK84" s="626"/>
      <c r="AL84" s="626"/>
      <c r="AM84" s="626"/>
      <c r="AN84" s="626"/>
      <c r="AO84" s="626"/>
      <c r="AP84" s="626"/>
      <c r="AQ84" s="626"/>
      <c r="AR84" s="626"/>
      <c r="AS84" s="626"/>
      <c r="AT84" s="626"/>
      <c r="AU84" s="626"/>
      <c r="AV84" s="626"/>
      <c r="AW84" s="626"/>
      <c r="AX84" s="626"/>
      <c r="AY84" s="197">
        <f>AY83/(AY83+AY65)</f>
        <v>0.16739104724735379</v>
      </c>
      <c r="AZ84" s="225">
        <f>AY84</f>
        <v>0.16739104724735379</v>
      </c>
      <c r="BA84" s="197">
        <f>BA83/(BA83+BA65)</f>
        <v>0.18387347034369694</v>
      </c>
      <c r="BB84" s="626"/>
      <c r="BC84" s="197">
        <f ca="1">BC83/(BC83+BC65)</f>
        <v>0.19997660727513744</v>
      </c>
      <c r="BD84" s="197">
        <f ca="1">BD83/(BD83+BD65)</f>
        <v>0.21632084113266159</v>
      </c>
      <c r="BE84" s="225">
        <f ca="1">BD84</f>
        <v>0.21632084113266159</v>
      </c>
      <c r="BF84" s="197">
        <f>BF83/(BF83+BF65)</f>
        <v>0.23566013277291117</v>
      </c>
      <c r="BG84" s="197">
        <f ca="1">BG83/(BG83+BG65)</f>
        <v>0.24737082030406513</v>
      </c>
      <c r="BH84" s="197">
        <f ca="1">BH83/(BH83+BH65)</f>
        <v>0.25857895031199812</v>
      </c>
      <c r="BI84" s="197">
        <f ca="1">BI83/(BI83+BI65)</f>
        <v>0.26831424340415244</v>
      </c>
      <c r="BJ84" s="225">
        <f ca="1">BI84</f>
        <v>0.26831424340415244</v>
      </c>
      <c r="BK84" s="197">
        <f ca="1">BK83/(BK83+BK65)</f>
        <v>0.28013225345678922</v>
      </c>
      <c r="BL84" s="197">
        <f ca="1">BL83/(BL83+BL65)</f>
        <v>0.28783045821127629</v>
      </c>
      <c r="BM84" s="197">
        <f ca="1">BM83/(BM83+BM65)</f>
        <v>0.28429403566451061</v>
      </c>
      <c r="BN84" s="197">
        <f>BN83/(BN83+BN65)</f>
        <v>0.2736085890191936</v>
      </c>
      <c r="BO84" s="225">
        <f>BN84</f>
        <v>0.2736085890191936</v>
      </c>
      <c r="BP84" s="626"/>
      <c r="BQ84" s="626"/>
      <c r="BR84" s="626"/>
      <c r="BS84" s="626"/>
      <c r="BT84" s="626"/>
      <c r="BU84" s="626"/>
      <c r="BV84" s="626"/>
      <c r="BW84" s="626"/>
      <c r="BX84" s="626"/>
      <c r="BY84" s="626"/>
      <c r="BZ84" s="626"/>
      <c r="CA84" s="626"/>
      <c r="CB84" s="626"/>
      <c r="CC84" s="626"/>
      <c r="CD84" s="626"/>
      <c r="CE84" s="5"/>
      <c r="CF84" s="8"/>
      <c r="CG84" s="8"/>
      <c r="CH84" s="11"/>
      <c r="CI84" s="11"/>
      <c r="CJ84" s="8"/>
      <c r="CK84" s="8"/>
      <c r="CL84" s="8"/>
    </row>
    <row r="85" spans="1:90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11"/>
      <c r="CI85" s="11"/>
      <c r="CJ85" s="5"/>
      <c r="CK85" s="5"/>
      <c r="CL85" s="5"/>
    </row>
    <row r="86" spans="1:90">
      <c r="A86" s="9" t="s">
        <v>2205</v>
      </c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</row>
    <row r="87" spans="1:90" ht="12.75" customHeight="1">
      <c r="A87" s="211" t="s">
        <v>2206</v>
      </c>
      <c r="B87" s="10"/>
      <c r="C87" s="31">
        <v>2001</v>
      </c>
      <c r="D87" s="32">
        <v>2002</v>
      </c>
      <c r="E87" s="32">
        <v>2003</v>
      </c>
      <c r="F87" s="32">
        <v>2004</v>
      </c>
      <c r="G87" s="31">
        <v>2005</v>
      </c>
      <c r="H87" s="33" t="s">
        <v>714</v>
      </c>
      <c r="I87" s="33" t="s">
        <v>715</v>
      </c>
      <c r="J87" s="33" t="s">
        <v>716</v>
      </c>
      <c r="K87" s="33" t="s">
        <v>717</v>
      </c>
      <c r="L87" s="31">
        <v>2006</v>
      </c>
      <c r="M87" s="33" t="s">
        <v>718</v>
      </c>
      <c r="N87" s="33" t="s">
        <v>719</v>
      </c>
      <c r="O87" s="33" t="s">
        <v>1970</v>
      </c>
      <c r="P87" s="33" t="s">
        <v>1971</v>
      </c>
      <c r="Q87" s="31">
        <v>2007</v>
      </c>
      <c r="R87" s="33" t="s">
        <v>1972</v>
      </c>
      <c r="S87" s="33" t="s">
        <v>1973</v>
      </c>
      <c r="T87" s="33" t="s">
        <v>1974</v>
      </c>
      <c r="U87" s="33" t="s">
        <v>1975</v>
      </c>
      <c r="V87" s="31">
        <v>2008</v>
      </c>
      <c r="W87" s="33" t="s">
        <v>1976</v>
      </c>
      <c r="X87" s="33" t="s">
        <v>1977</v>
      </c>
      <c r="Y87" s="33" t="s">
        <v>1978</v>
      </c>
      <c r="Z87" s="33" t="s">
        <v>1979</v>
      </c>
      <c r="AA87" s="31">
        <v>2009</v>
      </c>
      <c r="AB87" s="33" t="s">
        <v>1980</v>
      </c>
      <c r="AC87" s="33" t="s">
        <v>1981</v>
      </c>
      <c r="AD87" s="33" t="s">
        <v>1982</v>
      </c>
      <c r="AE87" s="33" t="s">
        <v>2392</v>
      </c>
      <c r="AF87" s="31">
        <v>2010</v>
      </c>
      <c r="AG87" s="33" t="s">
        <v>2393</v>
      </c>
      <c r="AH87" s="33" t="s">
        <v>2394</v>
      </c>
      <c r="AI87" s="33" t="s">
        <v>2395</v>
      </c>
      <c r="AJ87" s="33" t="s">
        <v>2396</v>
      </c>
      <c r="AK87" s="31">
        <v>2011</v>
      </c>
      <c r="AL87" s="368" t="s">
        <v>2397</v>
      </c>
      <c r="AM87" s="368" t="s">
        <v>2398</v>
      </c>
      <c r="AN87" s="368" t="s">
        <v>2399</v>
      </c>
      <c r="AO87" s="368" t="s">
        <v>2400</v>
      </c>
      <c r="AP87" s="369">
        <v>2012</v>
      </c>
      <c r="AQ87" s="368" t="s">
        <v>2401</v>
      </c>
      <c r="AR87" s="368" t="s">
        <v>2402</v>
      </c>
      <c r="AS87" s="368" t="s">
        <v>2403</v>
      </c>
      <c r="AT87" s="368" t="s">
        <v>2404</v>
      </c>
      <c r="AU87" s="369">
        <v>2013</v>
      </c>
      <c r="AV87" s="368" t="s">
        <v>2405</v>
      </c>
      <c r="AW87" s="368" t="s">
        <v>2406</v>
      </c>
      <c r="AX87" s="368" t="s">
        <v>2407</v>
      </c>
      <c r="AY87" s="368" t="s">
        <v>2408</v>
      </c>
      <c r="AZ87" s="369">
        <v>2014</v>
      </c>
      <c r="BA87" s="368" t="s">
        <v>2409</v>
      </c>
      <c r="BB87" s="368" t="s">
        <v>2410</v>
      </c>
      <c r="BC87" s="368" t="s">
        <v>2411</v>
      </c>
      <c r="BD87" s="368" t="s">
        <v>2412</v>
      </c>
      <c r="BE87" s="31">
        <v>2015</v>
      </c>
      <c r="BF87" s="368" t="s">
        <v>2413</v>
      </c>
      <c r="BG87" s="368" t="s">
        <v>2414</v>
      </c>
      <c r="BH87" s="368" t="s">
        <v>2415</v>
      </c>
      <c r="BI87" s="368" t="s">
        <v>2416</v>
      </c>
      <c r="BJ87" s="31">
        <v>2016</v>
      </c>
      <c r="BK87" s="368" t="s">
        <v>2417</v>
      </c>
      <c r="BL87" s="368" t="s">
        <v>2418</v>
      </c>
      <c r="BM87" s="368" t="s">
        <v>2419</v>
      </c>
      <c r="BN87" s="363" t="s">
        <v>2420</v>
      </c>
      <c r="BO87" s="31">
        <v>2017</v>
      </c>
      <c r="BP87" s="363" t="s">
        <v>2244</v>
      </c>
      <c r="BQ87" s="363" t="s">
        <v>2245</v>
      </c>
      <c r="BR87" s="363" t="s">
        <v>2508</v>
      </c>
      <c r="BS87" s="363" t="s">
        <v>2509</v>
      </c>
      <c r="BT87" s="364">
        <v>2018</v>
      </c>
      <c r="BU87" s="363" t="s">
        <v>2510</v>
      </c>
      <c r="BV87" s="363" t="s">
        <v>2511</v>
      </c>
      <c r="BW87" s="363" t="s">
        <v>3125</v>
      </c>
      <c r="BX87" s="363" t="s">
        <v>1405</v>
      </c>
      <c r="BY87" s="364">
        <v>2019</v>
      </c>
      <c r="BZ87" s="363" t="s">
        <v>1406</v>
      </c>
      <c r="CA87" s="363" t="s">
        <v>1407</v>
      </c>
      <c r="CB87" s="363" t="s">
        <v>1408</v>
      </c>
      <c r="CC87" s="363" t="s">
        <v>1409</v>
      </c>
      <c r="CD87" s="364">
        <v>2020</v>
      </c>
      <c r="CE87" s="11"/>
      <c r="CF87" s="11"/>
      <c r="CG87" s="11"/>
      <c r="CH87" s="11"/>
      <c r="CI87" s="11"/>
      <c r="CJ87" s="11"/>
      <c r="CK87" s="11"/>
      <c r="CL87" s="11"/>
    </row>
    <row r="88" spans="1:90">
      <c r="A88" s="7" t="s">
        <v>2207</v>
      </c>
      <c r="B88" s="4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</row>
    <row r="89" spans="1:90">
      <c r="A89" s="4"/>
      <c r="B89" s="4" t="s">
        <v>2208</v>
      </c>
      <c r="C89" s="5"/>
      <c r="D89" s="5">
        <f t="shared" ref="D89:K89" si="91">C90</f>
        <v>85350</v>
      </c>
      <c r="E89" s="5">
        <f t="shared" si="91"/>
        <v>84745</v>
      </c>
      <c r="F89" s="5">
        <f t="shared" si="91"/>
        <v>90533</v>
      </c>
      <c r="G89" s="5">
        <f t="shared" si="91"/>
        <v>99967</v>
      </c>
      <c r="H89" s="12">
        <f t="shared" si="91"/>
        <v>96967</v>
      </c>
      <c r="I89" s="12">
        <f t="shared" si="91"/>
        <v>96621</v>
      </c>
      <c r="J89" s="12">
        <f t="shared" si="91"/>
        <v>96790</v>
      </c>
      <c r="K89" s="12">
        <f t="shared" si="91"/>
        <v>101844</v>
      </c>
      <c r="L89" s="5">
        <f>G90</f>
        <v>96967</v>
      </c>
      <c r="M89" s="12">
        <f t="shared" ref="M89:BG89" si="92">L90</f>
        <v>106885</v>
      </c>
      <c r="N89" s="12">
        <f t="shared" si="92"/>
        <v>107521</v>
      </c>
      <c r="O89" s="12">
        <f t="shared" si="92"/>
        <v>110534</v>
      </c>
      <c r="P89" s="12">
        <f t="shared" si="92"/>
        <v>114329</v>
      </c>
      <c r="Q89" s="5">
        <f>L90</f>
        <v>106885</v>
      </c>
      <c r="R89" s="12">
        <f>Q90</f>
        <v>122135</v>
      </c>
      <c r="S89" s="12">
        <f t="shared" si="92"/>
        <v>124216</v>
      </c>
      <c r="T89" s="12">
        <f t="shared" si="92"/>
        <v>132561</v>
      </c>
      <c r="U89" s="12">
        <f t="shared" si="92"/>
        <v>128948</v>
      </c>
      <c r="V89" s="5">
        <f>Q90</f>
        <v>122135</v>
      </c>
      <c r="W89" s="12">
        <f>V90</f>
        <v>117116</v>
      </c>
      <c r="X89" s="12">
        <f t="shared" si="92"/>
        <v>117517</v>
      </c>
      <c r="Y89" s="12">
        <f t="shared" si="92"/>
        <v>124230</v>
      </c>
      <c r="Z89" s="12">
        <f t="shared" si="92"/>
        <v>127475</v>
      </c>
      <c r="AA89" s="5">
        <f>V90</f>
        <v>117116</v>
      </c>
      <c r="AB89" s="12">
        <f>AA90</f>
        <v>128401</v>
      </c>
      <c r="AC89" s="12">
        <f t="shared" si="92"/>
        <v>130290</v>
      </c>
      <c r="AD89" s="12">
        <f t="shared" si="92"/>
        <v>109632</v>
      </c>
      <c r="AE89" s="12">
        <f t="shared" si="92"/>
        <v>117542</v>
      </c>
      <c r="AF89" s="5">
        <f>AA90</f>
        <v>128401</v>
      </c>
      <c r="AG89" s="12">
        <f>AF90</f>
        <v>122671</v>
      </c>
      <c r="AH89" s="12">
        <f t="shared" si="92"/>
        <v>131689</v>
      </c>
      <c r="AI89" s="12">
        <f t="shared" si="92"/>
        <v>136777</v>
      </c>
      <c r="AJ89" s="12">
        <f t="shared" si="92"/>
        <v>137945</v>
      </c>
      <c r="AK89" s="5">
        <f>AF90</f>
        <v>122671</v>
      </c>
      <c r="AL89" s="12">
        <f>AK90</f>
        <v>142628</v>
      </c>
      <c r="AM89" s="12">
        <f t="shared" si="92"/>
        <v>151598</v>
      </c>
      <c r="AN89" s="12">
        <f t="shared" si="92"/>
        <v>146104</v>
      </c>
      <c r="AO89" s="12">
        <f t="shared" si="92"/>
        <v>151809</v>
      </c>
      <c r="AP89" s="5">
        <f>AK90</f>
        <v>142628</v>
      </c>
      <c r="AQ89" s="12">
        <f>AP90</f>
        <v>148869</v>
      </c>
      <c r="AR89" s="12">
        <f t="shared" si="92"/>
        <v>149831</v>
      </c>
      <c r="AS89" s="12">
        <f t="shared" si="92"/>
        <v>148810</v>
      </c>
      <c r="AT89" s="12">
        <f t="shared" si="92"/>
        <v>152036</v>
      </c>
      <c r="AU89" s="5">
        <f>AP90</f>
        <v>148869</v>
      </c>
      <c r="AV89" s="12">
        <f>AU90</f>
        <v>156079</v>
      </c>
      <c r="AW89" s="12">
        <f t="shared" si="92"/>
        <v>156091</v>
      </c>
      <c r="AX89" s="12">
        <f t="shared" si="92"/>
        <v>158378</v>
      </c>
      <c r="AY89" s="12">
        <f t="shared" si="92"/>
        <v>149775</v>
      </c>
      <c r="AZ89" s="5">
        <f>AU90</f>
        <v>156079</v>
      </c>
      <c r="BA89" s="12">
        <f>AZ90</f>
        <v>135733</v>
      </c>
      <c r="BB89" s="12">
        <f t="shared" si="92"/>
        <v>136806</v>
      </c>
      <c r="BC89" s="12">
        <f ca="1">BB90</f>
        <v>131866</v>
      </c>
      <c r="BD89" s="12">
        <f ca="1">BC90</f>
        <v>128302</v>
      </c>
      <c r="BE89" s="5">
        <f>AZ90</f>
        <v>135733</v>
      </c>
      <c r="BF89" s="12">
        <f>BE90</f>
        <v>125166</v>
      </c>
      <c r="BG89" s="12">
        <f t="shared" si="92"/>
        <v>128252</v>
      </c>
      <c r="BH89" s="12">
        <f ca="1">BG90</f>
        <v>126318</v>
      </c>
      <c r="BI89" s="12">
        <f ca="1">BH90</f>
        <v>126274</v>
      </c>
      <c r="BJ89" s="5">
        <f>BE90</f>
        <v>125166</v>
      </c>
      <c r="BK89" s="12">
        <f ca="1">BJ90</f>
        <v>131659</v>
      </c>
      <c r="BL89" s="12">
        <f ca="1">BK90</f>
        <v>137320</v>
      </c>
      <c r="BM89" s="12">
        <f ca="1">BL90</f>
        <v>138195</v>
      </c>
      <c r="BN89" s="12">
        <f ca="1">BM90</f>
        <v>140142</v>
      </c>
      <c r="BO89" s="5">
        <f ca="1">BJ90</f>
        <v>131659</v>
      </c>
      <c r="BP89" s="12">
        <f>BO90</f>
        <v>138048</v>
      </c>
      <c r="BQ89" s="12">
        <f ca="1">BP90</f>
        <v>143339.55025095987</v>
      </c>
      <c r="BR89" s="12">
        <f ca="1">BQ90</f>
        <v>144015.24125654303</v>
      </c>
      <c r="BS89" s="12">
        <f ca="1">BR90</f>
        <v>143573.56777447026</v>
      </c>
      <c r="BT89" s="5">
        <f>BO90</f>
        <v>138048</v>
      </c>
      <c r="BU89" s="12">
        <f ca="1">BT90</f>
        <v>143383.49344567637</v>
      </c>
      <c r="BV89" s="12">
        <f ca="1">BU90</f>
        <v>142354.94806765096</v>
      </c>
      <c r="BW89" s="12">
        <f ca="1">BV90</f>
        <v>142957.20727138591</v>
      </c>
      <c r="BX89" s="12">
        <f ca="1">BW90</f>
        <v>141988.43481241958</v>
      </c>
      <c r="BY89" s="5">
        <f ca="1">BT90</f>
        <v>143383.49344567637</v>
      </c>
      <c r="BZ89" s="12">
        <f ca="1">BY90</f>
        <v>141395.82985946984</v>
      </c>
      <c r="CA89" s="12">
        <f ca="1">BZ90</f>
        <v>140901.47452964575</v>
      </c>
      <c r="CB89" s="12">
        <f ca="1">CA90</f>
        <v>141600.06191031885</v>
      </c>
      <c r="CC89" s="12">
        <f ca="1">CB90</f>
        <v>140634.32877761763</v>
      </c>
      <c r="CD89" s="5">
        <f ca="1">BY90</f>
        <v>141395.82985946984</v>
      </c>
      <c r="CE89" s="5"/>
      <c r="CF89" s="5"/>
      <c r="CG89" s="5"/>
      <c r="CH89" s="5"/>
      <c r="CI89" s="5"/>
      <c r="CJ89" s="5"/>
      <c r="CK89" s="5"/>
      <c r="CL89" s="5"/>
    </row>
    <row r="90" spans="1:90">
      <c r="A90" s="4"/>
      <c r="B90" s="4" t="s">
        <v>2209</v>
      </c>
      <c r="C90" s="5">
        <f>C65+C74</f>
        <v>85350</v>
      </c>
      <c r="D90" s="5">
        <f t="shared" ref="D90:BO90" si="93">D65+D74</f>
        <v>84745</v>
      </c>
      <c r="E90" s="5">
        <f t="shared" si="93"/>
        <v>90533</v>
      </c>
      <c r="F90" s="5">
        <f t="shared" si="93"/>
        <v>99967</v>
      </c>
      <c r="G90" s="5">
        <f t="shared" si="93"/>
        <v>96967</v>
      </c>
      <c r="H90" s="12">
        <f t="shared" si="93"/>
        <v>96621</v>
      </c>
      <c r="I90" s="12">
        <f t="shared" si="93"/>
        <v>96790</v>
      </c>
      <c r="J90" s="12">
        <f t="shared" si="93"/>
        <v>101844</v>
      </c>
      <c r="K90" s="12">
        <f t="shared" si="93"/>
        <v>106885</v>
      </c>
      <c r="L90" s="5">
        <f t="shared" si="93"/>
        <v>106885</v>
      </c>
      <c r="M90" s="12">
        <f t="shared" si="93"/>
        <v>107521</v>
      </c>
      <c r="N90" s="12">
        <f t="shared" si="93"/>
        <v>110534</v>
      </c>
      <c r="O90" s="12">
        <f t="shared" si="93"/>
        <v>114329</v>
      </c>
      <c r="P90" s="12">
        <f t="shared" si="93"/>
        <v>122135</v>
      </c>
      <c r="Q90" s="5">
        <f t="shared" si="93"/>
        <v>122135</v>
      </c>
      <c r="R90" s="12">
        <f t="shared" si="93"/>
        <v>124216</v>
      </c>
      <c r="S90" s="12">
        <f t="shared" si="93"/>
        <v>132561</v>
      </c>
      <c r="T90" s="12">
        <f t="shared" si="93"/>
        <v>128948</v>
      </c>
      <c r="U90" s="12">
        <f t="shared" si="93"/>
        <v>117116</v>
      </c>
      <c r="V90" s="5">
        <f t="shared" si="93"/>
        <v>117116</v>
      </c>
      <c r="W90" s="12">
        <f t="shared" si="93"/>
        <v>117517</v>
      </c>
      <c r="X90" s="12">
        <f t="shared" si="93"/>
        <v>124230</v>
      </c>
      <c r="Y90" s="12">
        <f t="shared" si="93"/>
        <v>127475</v>
      </c>
      <c r="Z90" s="12">
        <f t="shared" si="93"/>
        <v>128401</v>
      </c>
      <c r="AA90" s="5">
        <f t="shared" si="93"/>
        <v>128401</v>
      </c>
      <c r="AB90" s="12">
        <f t="shared" si="93"/>
        <v>130290</v>
      </c>
      <c r="AC90" s="12">
        <f t="shared" si="93"/>
        <v>109632</v>
      </c>
      <c r="AD90" s="12">
        <f t="shared" si="93"/>
        <v>117542</v>
      </c>
      <c r="AE90" s="12">
        <f t="shared" si="93"/>
        <v>122671</v>
      </c>
      <c r="AF90" s="5">
        <f t="shared" si="93"/>
        <v>122671</v>
      </c>
      <c r="AG90" s="12">
        <f t="shared" si="93"/>
        <v>131689</v>
      </c>
      <c r="AH90" s="12">
        <f t="shared" si="93"/>
        <v>136777</v>
      </c>
      <c r="AI90" s="12">
        <f t="shared" si="93"/>
        <v>137945</v>
      </c>
      <c r="AJ90" s="12">
        <f t="shared" si="93"/>
        <v>142628</v>
      </c>
      <c r="AK90" s="5">
        <f t="shared" si="93"/>
        <v>142628</v>
      </c>
      <c r="AL90" s="12">
        <f t="shared" si="93"/>
        <v>151598</v>
      </c>
      <c r="AM90" s="12">
        <f t="shared" si="93"/>
        <v>146104</v>
      </c>
      <c r="AN90" s="12">
        <f t="shared" si="93"/>
        <v>151809</v>
      </c>
      <c r="AO90" s="12">
        <f t="shared" si="93"/>
        <v>148869</v>
      </c>
      <c r="AP90" s="5">
        <f t="shared" si="93"/>
        <v>148869</v>
      </c>
      <c r="AQ90" s="12">
        <f t="shared" si="93"/>
        <v>149831</v>
      </c>
      <c r="AR90" s="12">
        <f t="shared" si="93"/>
        <v>148810</v>
      </c>
      <c r="AS90" s="12">
        <f t="shared" si="93"/>
        <v>152036</v>
      </c>
      <c r="AT90" s="12">
        <f t="shared" si="93"/>
        <v>156079</v>
      </c>
      <c r="AU90" s="5">
        <f t="shared" si="93"/>
        <v>156079</v>
      </c>
      <c r="AV90" s="12">
        <f t="shared" si="93"/>
        <v>156091</v>
      </c>
      <c r="AW90" s="12">
        <f t="shared" si="93"/>
        <v>158378</v>
      </c>
      <c r="AX90" s="12">
        <f t="shared" si="93"/>
        <v>149775</v>
      </c>
      <c r="AY90" s="12">
        <f t="shared" si="93"/>
        <v>135733</v>
      </c>
      <c r="AZ90" s="5">
        <f t="shared" si="93"/>
        <v>135733</v>
      </c>
      <c r="BA90" s="12">
        <f t="shared" si="93"/>
        <v>136806</v>
      </c>
      <c r="BB90" s="12">
        <f t="shared" ca="1" si="93"/>
        <v>131866</v>
      </c>
      <c r="BC90" s="12">
        <f t="shared" ca="1" si="93"/>
        <v>128302</v>
      </c>
      <c r="BD90" s="12">
        <f t="shared" ca="1" si="93"/>
        <v>125166</v>
      </c>
      <c r="BE90" s="5">
        <f t="shared" si="93"/>
        <v>125166</v>
      </c>
      <c r="BF90" s="12">
        <f t="shared" si="93"/>
        <v>128252</v>
      </c>
      <c r="BG90" s="12">
        <f t="shared" ca="1" si="93"/>
        <v>126318</v>
      </c>
      <c r="BH90" s="12">
        <f t="shared" ca="1" si="93"/>
        <v>126274</v>
      </c>
      <c r="BI90" s="12">
        <f t="shared" ca="1" si="93"/>
        <v>131659</v>
      </c>
      <c r="BJ90" s="5">
        <f t="shared" ca="1" si="93"/>
        <v>131659</v>
      </c>
      <c r="BK90" s="12">
        <f t="shared" ca="1" si="93"/>
        <v>137320</v>
      </c>
      <c r="BL90" s="12">
        <f t="shared" ca="1" si="93"/>
        <v>138195</v>
      </c>
      <c r="BM90" s="12">
        <f t="shared" ca="1" si="93"/>
        <v>140142</v>
      </c>
      <c r="BN90" s="12">
        <f t="shared" si="93"/>
        <v>138048</v>
      </c>
      <c r="BO90" s="5">
        <f t="shared" si="93"/>
        <v>138048</v>
      </c>
      <c r="BP90" s="12">
        <f t="shared" ref="BP90:CD90" ca="1" si="94">BP65+BP74</f>
        <v>143339.55025095987</v>
      </c>
      <c r="BQ90" s="12">
        <f t="shared" ca="1" si="94"/>
        <v>144015.24125654303</v>
      </c>
      <c r="BR90" s="12">
        <f t="shared" ca="1" si="94"/>
        <v>143573.56777447026</v>
      </c>
      <c r="BS90" s="12">
        <f t="shared" ca="1" si="94"/>
        <v>143383.49344567637</v>
      </c>
      <c r="BT90" s="5">
        <f t="shared" ca="1" si="94"/>
        <v>143383.49344567637</v>
      </c>
      <c r="BU90" s="12">
        <f t="shared" ca="1" si="94"/>
        <v>142354.94806765096</v>
      </c>
      <c r="BV90" s="12">
        <f t="shared" ca="1" si="94"/>
        <v>142957.20727138591</v>
      </c>
      <c r="BW90" s="12">
        <f t="shared" ca="1" si="94"/>
        <v>141988.43481241958</v>
      </c>
      <c r="BX90" s="12">
        <f t="shared" ca="1" si="94"/>
        <v>141395.82985946984</v>
      </c>
      <c r="BY90" s="5">
        <f t="shared" ca="1" si="94"/>
        <v>141395.82985946984</v>
      </c>
      <c r="BZ90" s="12">
        <f t="shared" ca="1" si="94"/>
        <v>140901.47452964575</v>
      </c>
      <c r="CA90" s="12">
        <f t="shared" ca="1" si="94"/>
        <v>141600.06191031885</v>
      </c>
      <c r="CB90" s="12">
        <f t="shared" ca="1" si="94"/>
        <v>140634.32877761763</v>
      </c>
      <c r="CC90" s="12">
        <f t="shared" ca="1" si="94"/>
        <v>140129.9216967519</v>
      </c>
      <c r="CD90" s="5">
        <f t="shared" ca="1" si="94"/>
        <v>140129.9216967519</v>
      </c>
      <c r="CE90" s="5"/>
      <c r="CF90" s="5"/>
      <c r="CG90" s="5"/>
      <c r="CH90" s="5"/>
      <c r="CI90" s="5"/>
      <c r="CJ90" s="5"/>
      <c r="CK90" s="5"/>
      <c r="CL90" s="5"/>
    </row>
    <row r="91" spans="1:90">
      <c r="A91" s="4"/>
      <c r="B91" s="7" t="s">
        <v>2316</v>
      </c>
      <c r="C91" s="8">
        <f t="shared" ref="C91:L91" si="95">AVERAGE(C89:C90)</f>
        <v>85350</v>
      </c>
      <c r="D91" s="8">
        <f t="shared" si="95"/>
        <v>85047.5</v>
      </c>
      <c r="E91" s="8">
        <f t="shared" si="95"/>
        <v>87639</v>
      </c>
      <c r="F91" s="8">
        <f t="shared" si="95"/>
        <v>95250</v>
      </c>
      <c r="G91" s="8">
        <f t="shared" si="95"/>
        <v>98467</v>
      </c>
      <c r="H91" s="19">
        <f t="shared" si="95"/>
        <v>96794</v>
      </c>
      <c r="I91" s="19">
        <f t="shared" si="95"/>
        <v>96705.5</v>
      </c>
      <c r="J91" s="19">
        <f t="shared" si="95"/>
        <v>99317</v>
      </c>
      <c r="K91" s="19">
        <f t="shared" si="95"/>
        <v>104364.5</v>
      </c>
      <c r="L91" s="8">
        <f t="shared" si="95"/>
        <v>101926</v>
      </c>
      <c r="M91" s="19">
        <f t="shared" ref="M91:AR91" si="96">AVERAGE(M89:M90)</f>
        <v>107203</v>
      </c>
      <c r="N91" s="19">
        <f t="shared" si="96"/>
        <v>109027.5</v>
      </c>
      <c r="O91" s="19">
        <f t="shared" si="96"/>
        <v>112431.5</v>
      </c>
      <c r="P91" s="19">
        <f t="shared" si="96"/>
        <v>118232</v>
      </c>
      <c r="Q91" s="8">
        <f t="shared" si="96"/>
        <v>114510</v>
      </c>
      <c r="R91" s="19">
        <f t="shared" si="96"/>
        <v>123175.5</v>
      </c>
      <c r="S91" s="19">
        <f t="shared" si="96"/>
        <v>128388.5</v>
      </c>
      <c r="T91" s="19">
        <f t="shared" si="96"/>
        <v>130754.5</v>
      </c>
      <c r="U91" s="19">
        <f t="shared" si="96"/>
        <v>123032</v>
      </c>
      <c r="V91" s="8">
        <f t="shared" si="96"/>
        <v>119625.5</v>
      </c>
      <c r="W91" s="19">
        <f t="shared" si="96"/>
        <v>117316.5</v>
      </c>
      <c r="X91" s="19">
        <f t="shared" si="96"/>
        <v>120873.5</v>
      </c>
      <c r="Y91" s="19">
        <f t="shared" si="96"/>
        <v>125852.5</v>
      </c>
      <c r="Z91" s="19">
        <f t="shared" si="96"/>
        <v>127938</v>
      </c>
      <c r="AA91" s="8">
        <f t="shared" si="96"/>
        <v>122758.5</v>
      </c>
      <c r="AB91" s="19">
        <f t="shared" si="96"/>
        <v>129345.5</v>
      </c>
      <c r="AC91" s="19">
        <f t="shared" si="96"/>
        <v>119961</v>
      </c>
      <c r="AD91" s="19">
        <f t="shared" si="96"/>
        <v>113587</v>
      </c>
      <c r="AE91" s="19">
        <f t="shared" si="96"/>
        <v>120106.5</v>
      </c>
      <c r="AF91" s="8">
        <f t="shared" si="96"/>
        <v>125536</v>
      </c>
      <c r="AG91" s="19">
        <f t="shared" si="96"/>
        <v>127180</v>
      </c>
      <c r="AH91" s="19">
        <f t="shared" si="96"/>
        <v>134233</v>
      </c>
      <c r="AI91" s="19">
        <f t="shared" si="96"/>
        <v>137361</v>
      </c>
      <c r="AJ91" s="19">
        <f t="shared" si="96"/>
        <v>140286.5</v>
      </c>
      <c r="AK91" s="8">
        <f t="shared" si="96"/>
        <v>132649.5</v>
      </c>
      <c r="AL91" s="19">
        <f t="shared" si="96"/>
        <v>147113</v>
      </c>
      <c r="AM91" s="19">
        <f t="shared" si="96"/>
        <v>148851</v>
      </c>
      <c r="AN91" s="19">
        <f t="shared" si="96"/>
        <v>148956.5</v>
      </c>
      <c r="AO91" s="19">
        <f t="shared" si="96"/>
        <v>150339</v>
      </c>
      <c r="AP91" s="8">
        <f t="shared" si="96"/>
        <v>145748.5</v>
      </c>
      <c r="AQ91" s="19">
        <f t="shared" si="96"/>
        <v>149350</v>
      </c>
      <c r="AR91" s="19">
        <f t="shared" si="96"/>
        <v>149320.5</v>
      </c>
      <c r="AS91" s="19">
        <f t="shared" ref="AS91:BF91" si="97">AVERAGE(AS89:AS90)</f>
        <v>150423</v>
      </c>
      <c r="AT91" s="19">
        <f t="shared" si="97"/>
        <v>154057.5</v>
      </c>
      <c r="AU91" s="8">
        <f t="shared" si="97"/>
        <v>152474</v>
      </c>
      <c r="AV91" s="19">
        <f t="shared" si="97"/>
        <v>156085</v>
      </c>
      <c r="AW91" s="19">
        <f t="shared" si="97"/>
        <v>157234.5</v>
      </c>
      <c r="AX91" s="19">
        <f t="shared" si="97"/>
        <v>154076.5</v>
      </c>
      <c r="AY91" s="19">
        <f>AVERAGE(AY89:AY90)</f>
        <v>142754</v>
      </c>
      <c r="AZ91" s="8">
        <f t="shared" si="97"/>
        <v>145906</v>
      </c>
      <c r="BA91" s="19">
        <f t="shared" si="97"/>
        <v>136269.5</v>
      </c>
      <c r="BB91" s="19">
        <f ca="1">AVERAGE(BB89:BB90)</f>
        <v>134336</v>
      </c>
      <c r="BC91" s="19">
        <f ca="1">AVERAGE(BC89:BC90)</f>
        <v>130084</v>
      </c>
      <c r="BD91" s="19">
        <f ca="1">AVERAGE(BD89:BD90)</f>
        <v>126734</v>
      </c>
      <c r="BE91" s="8">
        <f>AVERAGE(BE89:BE90)</f>
        <v>130449.5</v>
      </c>
      <c r="BF91" s="19">
        <f t="shared" si="97"/>
        <v>126709</v>
      </c>
      <c r="BG91" s="19">
        <f t="shared" ref="BG91:CD91" ca="1" si="98">AVERAGE(BG89:BG90)</f>
        <v>127285</v>
      </c>
      <c r="BH91" s="19">
        <f t="shared" ca="1" si="98"/>
        <v>126296</v>
      </c>
      <c r="BI91" s="19">
        <f t="shared" ca="1" si="98"/>
        <v>128966.5</v>
      </c>
      <c r="BJ91" s="8">
        <f t="shared" ca="1" si="98"/>
        <v>128412.5</v>
      </c>
      <c r="BK91" s="19">
        <f t="shared" ca="1" si="98"/>
        <v>134489.5</v>
      </c>
      <c r="BL91" s="19">
        <f t="shared" ca="1" si="98"/>
        <v>137757.5</v>
      </c>
      <c r="BM91" s="19">
        <f t="shared" ca="1" si="98"/>
        <v>139168.5</v>
      </c>
      <c r="BN91" s="19">
        <f t="shared" ca="1" si="98"/>
        <v>139095</v>
      </c>
      <c r="BO91" s="8">
        <f t="shared" ca="1" si="98"/>
        <v>134853.5</v>
      </c>
      <c r="BP91" s="19">
        <f t="shared" ca="1" si="98"/>
        <v>140693.77512547994</v>
      </c>
      <c r="BQ91" s="19">
        <f t="shared" ca="1" si="98"/>
        <v>143677.39575375145</v>
      </c>
      <c r="BR91" s="19">
        <f t="shared" ca="1" si="98"/>
        <v>143794.40451550664</v>
      </c>
      <c r="BS91" s="19">
        <f t="shared" ca="1" si="98"/>
        <v>143478.5306100733</v>
      </c>
      <c r="BT91" s="8">
        <f t="shared" ca="1" si="98"/>
        <v>140715.7467228382</v>
      </c>
      <c r="BU91" s="19">
        <f t="shared" ca="1" si="98"/>
        <v>142869.22075666365</v>
      </c>
      <c r="BV91" s="19">
        <f t="shared" ca="1" si="98"/>
        <v>142656.07766951842</v>
      </c>
      <c r="BW91" s="19">
        <f t="shared" ca="1" si="98"/>
        <v>142472.82104190276</v>
      </c>
      <c r="BX91" s="19">
        <f t="shared" ca="1" si="98"/>
        <v>141692.13233594471</v>
      </c>
      <c r="BY91" s="8">
        <f t="shared" ca="1" si="98"/>
        <v>142389.66165257309</v>
      </c>
      <c r="BZ91" s="19">
        <f t="shared" ca="1" si="98"/>
        <v>141148.6521945578</v>
      </c>
      <c r="CA91" s="19">
        <f t="shared" ca="1" si="98"/>
        <v>141250.7682199823</v>
      </c>
      <c r="CB91" s="19">
        <f t="shared" ca="1" si="98"/>
        <v>141117.19534396823</v>
      </c>
      <c r="CC91" s="19">
        <f t="shared" ca="1" si="98"/>
        <v>140382.12523718475</v>
      </c>
      <c r="CD91" s="8">
        <f t="shared" ca="1" si="98"/>
        <v>140762.87577811087</v>
      </c>
      <c r="CE91" s="5"/>
      <c r="CF91" s="5"/>
      <c r="CG91" s="5"/>
      <c r="CH91" s="5"/>
      <c r="CI91" s="5"/>
      <c r="CJ91" s="5"/>
      <c r="CK91" s="5"/>
      <c r="CL91" s="5"/>
    </row>
    <row r="92" spans="1:90">
      <c r="A92" s="4"/>
      <c r="B92" s="4"/>
      <c r="C92" s="5"/>
      <c r="D92" s="5"/>
      <c r="E92" s="5"/>
      <c r="F92" s="5"/>
      <c r="G92" s="5"/>
      <c r="H92" s="12"/>
      <c r="I92" s="12"/>
      <c r="J92" s="12"/>
      <c r="K92" s="12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</row>
    <row r="93" spans="1:90">
      <c r="A93" s="7" t="s">
        <v>2210</v>
      </c>
      <c r="B93" s="4"/>
      <c r="C93" s="5"/>
      <c r="D93" s="5"/>
      <c r="E93" s="5"/>
      <c r="F93" s="5"/>
      <c r="G93" s="5"/>
      <c r="H93" s="12"/>
      <c r="I93" s="12"/>
      <c r="J93" s="12"/>
      <c r="K93" s="12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</row>
    <row r="94" spans="1:90">
      <c r="A94" s="4"/>
      <c r="B94" s="4" t="s">
        <v>2211</v>
      </c>
      <c r="C94" s="5">
        <f>'Income statement'!C32</f>
        <v>6617</v>
      </c>
      <c r="D94" s="5">
        <f>'Income statement'!D32</f>
        <v>6872</v>
      </c>
      <c r="E94" s="5">
        <f>'Income statement'!E32</f>
        <v>12681</v>
      </c>
      <c r="F94" s="5">
        <f>'Income statement'!F32</f>
        <v>17884</v>
      </c>
      <c r="G94" s="5">
        <f>'Income statement'!G32</f>
        <v>22448</v>
      </c>
      <c r="H94" s="12">
        <f>'Income statement'!H32</f>
        <v>5797</v>
      </c>
      <c r="I94" s="12">
        <f>'Income statement'!I32</f>
        <v>7265</v>
      </c>
      <c r="J94" s="12">
        <f>'Income statement'!J32</f>
        <v>6294</v>
      </c>
      <c r="K94" s="12">
        <f>'Income statement'!K32</f>
        <v>2955</v>
      </c>
      <c r="L94" s="5">
        <f>'Income statement'!L32</f>
        <v>22311</v>
      </c>
      <c r="M94" s="12">
        <f>'Income statement'!M32</f>
        <v>4746</v>
      </c>
      <c r="N94" s="12">
        <f>'Income statement'!N32</f>
        <v>7441</v>
      </c>
      <c r="O94" s="12">
        <f>'Income statement'!O32</f>
        <v>4478</v>
      </c>
      <c r="P94" s="12">
        <f>'Income statement'!P32</f>
        <v>4504</v>
      </c>
      <c r="Q94" s="5">
        <f>'Income statement'!Q32</f>
        <v>21169</v>
      </c>
      <c r="R94" s="12">
        <f>'Income statement'!R32</f>
        <v>7212</v>
      </c>
      <c r="S94" s="12">
        <f>'Income statement'!S32</f>
        <v>9470</v>
      </c>
      <c r="T94" s="12">
        <f>'Income statement'!T32</f>
        <v>8186</v>
      </c>
      <c r="U94" s="12">
        <f>'Income statement'!U32</f>
        <v>-3202</v>
      </c>
      <c r="V94" s="5">
        <f>'Income statement'!V32</f>
        <v>21666</v>
      </c>
      <c r="W94" s="12">
        <f>'Income statement'!W32</f>
        <v>2597</v>
      </c>
      <c r="X94" s="12">
        <f>'Income statement'!X32</f>
        <v>4429</v>
      </c>
      <c r="Y94" s="12">
        <f>'Income statement'!Y32</f>
        <v>5355</v>
      </c>
      <c r="Z94" s="12">
        <f>'Income statement'!Z32</f>
        <v>4378</v>
      </c>
      <c r="AA94" s="5">
        <f>'Income statement'!AA32</f>
        <v>16759</v>
      </c>
      <c r="AB94" s="12">
        <f>'Income statement'!AB32</f>
        <v>6188</v>
      </c>
      <c r="AC94" s="12">
        <f>'Income statement'!AC32</f>
        <v>-17048</v>
      </c>
      <c r="AD94" s="12">
        <f>'Income statement'!AD32</f>
        <v>1873</v>
      </c>
      <c r="AE94" s="12">
        <f>'Income statement'!AE32</f>
        <v>5663</v>
      </c>
      <c r="AF94" s="5">
        <f>'Income statement'!AF32</f>
        <v>-3324</v>
      </c>
      <c r="AG94" s="12">
        <f>'Income statement'!AG32</f>
        <v>7315</v>
      </c>
      <c r="AH94" s="12">
        <f>'Income statement'!AH32</f>
        <v>5788</v>
      </c>
      <c r="AI94" s="12">
        <f>'Income statement'!AI32</f>
        <v>5220</v>
      </c>
      <c r="AJ94" s="12">
        <f>'Income statement'!AJ32</f>
        <v>7774</v>
      </c>
      <c r="AK94" s="5">
        <f>'Income statement'!AK32</f>
        <v>26097</v>
      </c>
      <c r="AL94" s="12">
        <f>'Income statement'!AL32</f>
        <v>5976</v>
      </c>
      <c r="AM94" s="12">
        <f>'Income statement'!AM32</f>
        <v>-1340</v>
      </c>
      <c r="AN94" s="12">
        <f>'Income statement'!AN32</f>
        <v>5500</v>
      </c>
      <c r="AO94" s="12">
        <f>'Income statement'!AO32</f>
        <v>1680</v>
      </c>
      <c r="AP94" s="5">
        <f>'Income statement'!AP32</f>
        <v>11816</v>
      </c>
      <c r="AQ94" s="12">
        <f>'Income statement'!AQ32</f>
        <v>16942</v>
      </c>
      <c r="AR94" s="12">
        <f>'Income statement'!AR32</f>
        <v>2126</v>
      </c>
      <c r="AS94" s="12">
        <f>'Income statement'!AS32</f>
        <v>3592</v>
      </c>
      <c r="AT94" s="12">
        <f>'Income statement'!AT32</f>
        <v>1098</v>
      </c>
      <c r="AU94" s="5">
        <f>'Income statement'!AU32</f>
        <v>23758</v>
      </c>
      <c r="AV94" s="12">
        <f>'Income statement'!AV32</f>
        <v>3619</v>
      </c>
      <c r="AW94" s="12">
        <f>'Income statement'!AW32</f>
        <v>3433</v>
      </c>
      <c r="AX94" s="12">
        <f>'Income statement'!AX32</f>
        <v>1324</v>
      </c>
      <c r="AY94" s="12">
        <f>'Income statement'!AY32</f>
        <v>-4373</v>
      </c>
      <c r="AZ94" s="5">
        <f>'Income statement'!AZ32</f>
        <v>4003</v>
      </c>
      <c r="BA94" s="12">
        <f>'Income statement'!BA32</f>
        <v>2651</v>
      </c>
      <c r="BB94" s="12">
        <f>'Income statement'!BB32</f>
        <v>-5783</v>
      </c>
      <c r="BC94" s="12">
        <f>'Income statement'!BC32</f>
        <v>56</v>
      </c>
      <c r="BD94" s="12">
        <f>'Income statement'!BD32</f>
        <v>-3324</v>
      </c>
      <c r="BE94" s="5">
        <f>'Income statement'!BE32</f>
        <v>-6400</v>
      </c>
      <c r="BF94" s="12">
        <f>'Income statement'!BF32</f>
        <v>-558</v>
      </c>
      <c r="BG94" s="12">
        <f>'Income statement'!BG32</f>
        <v>-1390</v>
      </c>
      <c r="BH94" s="12">
        <f>'Income statement'!BH32</f>
        <v>1577</v>
      </c>
      <c r="BI94" s="12">
        <f>'Income statement'!BI32</f>
        <v>543</v>
      </c>
      <c r="BJ94" s="5">
        <f>'Income statement'!BJ32</f>
        <v>172</v>
      </c>
      <c r="BK94" s="12">
        <f>'Income statement'!BK32</f>
        <v>1492</v>
      </c>
      <c r="BL94" s="12">
        <f>'Income statement'!BL32</f>
        <v>156</v>
      </c>
      <c r="BM94" s="12">
        <f>'Income statement'!BM32</f>
        <v>1757</v>
      </c>
      <c r="BN94" s="12">
        <f ca="1">'Income statement'!BN32</f>
        <v>63</v>
      </c>
      <c r="BO94" s="5">
        <f ca="1">'Income statement'!BO32</f>
        <v>3468</v>
      </c>
      <c r="BP94" s="12">
        <f ca="1">'Income statement'!BP32</f>
        <v>2140.766841626325</v>
      </c>
      <c r="BQ94" s="12">
        <f ca="1">'Income statement'!BQ32</f>
        <v>3044.2639401780389</v>
      </c>
      <c r="BR94" s="12">
        <f ca="1">'Income statement'!BR32</f>
        <v>3087.63594563166</v>
      </c>
      <c r="BS94" s="12">
        <f ca="1">'Income statement'!BS32</f>
        <v>2693.8839570373516</v>
      </c>
      <c r="BT94" s="5">
        <f ca="1">'Income statement'!BT32</f>
        <v>10966.550684473375</v>
      </c>
      <c r="BU94" s="12">
        <f ca="1">'Income statement'!BU32</f>
        <v>2740.4976678095463</v>
      </c>
      <c r="BV94" s="12">
        <f ca="1">'Income statement'!BV32</f>
        <v>2712.2220276709086</v>
      </c>
      <c r="BW94" s="12">
        <f ca="1">'Income statement'!BW32</f>
        <v>2833.3888747746814</v>
      </c>
      <c r="BX94" s="12">
        <f ca="1">'Income statement'!BX32</f>
        <v>2723.2132741697442</v>
      </c>
      <c r="BY94" s="5">
        <f ca="1">'Income statement'!BY32</f>
        <v>11009.32184442488</v>
      </c>
      <c r="BZ94" s="12">
        <f ca="1">'Income statement'!BZ32</f>
        <v>3163.5660530519863</v>
      </c>
      <c r="CA94" s="12">
        <f ca="1">'Income statement'!CA32</f>
        <v>3156.7161421875321</v>
      </c>
      <c r="CB94" s="12">
        <f ca="1">'Income statement'!CB32</f>
        <v>3296.0805192978778</v>
      </c>
      <c r="CC94" s="12">
        <f ca="1">'Income statement'!CC32</f>
        <v>3213.0303941308075</v>
      </c>
      <c r="CD94" s="5">
        <f ca="1">'Income statement'!CD32</f>
        <v>12829.393108668206</v>
      </c>
      <c r="CE94" s="5"/>
      <c r="CF94" s="5"/>
      <c r="CG94" s="5"/>
      <c r="CH94" s="5"/>
      <c r="CI94" s="5"/>
      <c r="CJ94" s="5"/>
      <c r="CK94" s="5"/>
      <c r="CL94" s="5"/>
    </row>
    <row r="95" spans="1:90">
      <c r="A95" s="4"/>
      <c r="B95" s="4"/>
      <c r="C95" s="5"/>
      <c r="D95" s="5"/>
      <c r="E95" s="5"/>
      <c r="F95" s="5"/>
      <c r="G95" s="5"/>
      <c r="H95" s="12"/>
      <c r="I95" s="12"/>
      <c r="J95" s="12"/>
      <c r="K95" s="12"/>
      <c r="L95" s="5"/>
      <c r="M95" s="12"/>
      <c r="N95" s="12"/>
      <c r="O95" s="12"/>
      <c r="P95" s="12"/>
      <c r="Q95" s="5"/>
      <c r="R95" s="12"/>
      <c r="S95" s="12"/>
      <c r="T95" s="12"/>
      <c r="U95" s="12"/>
      <c r="V95" s="5"/>
      <c r="W95" s="12"/>
      <c r="X95" s="12"/>
      <c r="Y95" s="12"/>
      <c r="Z95" s="12"/>
      <c r="AA95" s="5"/>
      <c r="AB95" s="12"/>
      <c r="AC95" s="12"/>
      <c r="AD95" s="12"/>
      <c r="AE95" s="12"/>
      <c r="AF95" s="5"/>
      <c r="AG95" s="12"/>
      <c r="AH95" s="12"/>
      <c r="AI95" s="12"/>
      <c r="AJ95" s="12"/>
      <c r="AK95" s="5"/>
      <c r="AL95" s="12"/>
      <c r="AM95" s="12"/>
      <c r="AN95" s="12"/>
      <c r="AO95" s="12"/>
      <c r="AP95" s="5"/>
      <c r="AQ95" s="12"/>
      <c r="AR95" s="12"/>
      <c r="AS95" s="12"/>
      <c r="AT95" s="12"/>
      <c r="AU95" s="5"/>
      <c r="AV95" s="12"/>
      <c r="AW95" s="12"/>
      <c r="AX95" s="12"/>
      <c r="AY95" s="12"/>
      <c r="AZ95" s="5"/>
      <c r="BA95" s="12"/>
      <c r="BB95" s="12"/>
      <c r="BC95" s="12"/>
      <c r="BD95" s="12"/>
      <c r="BE95" s="5"/>
      <c r="BF95" s="12"/>
      <c r="BG95" s="12"/>
      <c r="BH95" s="12"/>
      <c r="BI95" s="12"/>
      <c r="BJ95" s="5"/>
      <c r="BK95" s="12"/>
      <c r="BL95" s="12"/>
      <c r="BM95" s="12"/>
      <c r="BN95" s="12"/>
      <c r="BO95" s="5"/>
      <c r="BP95" s="12"/>
      <c r="BQ95" s="12"/>
      <c r="BR95" s="12"/>
      <c r="BS95" s="12"/>
      <c r="BT95" s="5"/>
      <c r="BU95" s="12"/>
      <c r="BV95" s="12"/>
      <c r="BW95" s="12"/>
      <c r="BX95" s="12"/>
      <c r="BY95" s="5"/>
      <c r="BZ95" s="12"/>
      <c r="CA95" s="12"/>
      <c r="CB95" s="12"/>
      <c r="CC95" s="12"/>
      <c r="CD95" s="5"/>
      <c r="CE95" s="5"/>
      <c r="CF95" s="5"/>
      <c r="CG95" s="5"/>
      <c r="CH95" s="5"/>
      <c r="CI95" s="5"/>
      <c r="CJ95" s="5"/>
      <c r="CK95" s="5"/>
      <c r="CL95" s="5"/>
    </row>
    <row r="96" spans="1:90">
      <c r="A96" s="4"/>
      <c r="B96" s="4" t="s">
        <v>3394</v>
      </c>
      <c r="C96" s="5">
        <f>Other!C44</f>
        <v>1670</v>
      </c>
      <c r="D96" s="5">
        <f>Other!D44</f>
        <v>1140</v>
      </c>
      <c r="E96" s="5">
        <f>Other!E44</f>
        <v>720</v>
      </c>
      <c r="F96" s="5">
        <f>Other!F44</f>
        <v>440</v>
      </c>
      <c r="G96" s="5">
        <f>Other!G44</f>
        <v>616</v>
      </c>
      <c r="H96" s="12">
        <f>Other!H44</f>
        <v>191</v>
      </c>
      <c r="I96" s="12">
        <f>Other!I44</f>
        <v>153</v>
      </c>
      <c r="J96" s="12">
        <f>Other!J44</f>
        <v>169</v>
      </c>
      <c r="K96" s="12">
        <f>Other!K44</f>
        <v>205</v>
      </c>
      <c r="L96" s="5">
        <f>Other!L44</f>
        <v>718</v>
      </c>
      <c r="M96" s="12">
        <f>Other!M44</f>
        <v>331</v>
      </c>
      <c r="N96" s="12">
        <f>Other!N44</f>
        <v>317</v>
      </c>
      <c r="O96" s="12">
        <f>Other!O44</f>
        <v>337</v>
      </c>
      <c r="P96" s="12">
        <f>Other!P44</f>
        <v>408</v>
      </c>
      <c r="Q96" s="5">
        <f>Other!Q44</f>
        <v>1393</v>
      </c>
      <c r="R96" s="12">
        <f>Other!R44</f>
        <v>406</v>
      </c>
      <c r="S96" s="12">
        <f>Other!S44</f>
        <v>381</v>
      </c>
      <c r="T96" s="12">
        <f>Other!T44</f>
        <v>391</v>
      </c>
      <c r="U96" s="12">
        <f>Other!U44</f>
        <v>369</v>
      </c>
      <c r="V96" s="5">
        <f>Other!V44</f>
        <v>1547</v>
      </c>
      <c r="W96" s="12">
        <f>Other!W44</f>
        <v>318</v>
      </c>
      <c r="X96" s="12">
        <f>Other!X44</f>
        <v>274</v>
      </c>
      <c r="Y96" s="12">
        <f>Other!Y44</f>
        <v>266</v>
      </c>
      <c r="Z96" s="12">
        <f>Other!Z44</f>
        <v>252</v>
      </c>
      <c r="AA96" s="5">
        <f>Other!AA44</f>
        <v>1110</v>
      </c>
      <c r="AB96" s="12">
        <f>Other!AB44</f>
        <v>238</v>
      </c>
      <c r="AC96" s="12">
        <f>Other!AC44</f>
        <v>225</v>
      </c>
      <c r="AD96" s="12">
        <f>Other!AD44</f>
        <v>301</v>
      </c>
      <c r="AE96" s="12">
        <f>Other!AE44</f>
        <v>329</v>
      </c>
      <c r="AF96" s="5">
        <f>Other!AF44</f>
        <v>1093</v>
      </c>
      <c r="AG96" s="12">
        <f>Other!AG44</f>
        <v>292</v>
      </c>
      <c r="AH96" s="12">
        <f>Other!AH44</f>
        <v>299</v>
      </c>
      <c r="AI96" s="12">
        <f>Other!AI44</f>
        <v>284</v>
      </c>
      <c r="AJ96" s="12">
        <f>Other!AJ44</f>
        <v>313</v>
      </c>
      <c r="AK96" s="5">
        <f>Other!AK44</f>
        <v>1188</v>
      </c>
      <c r="AL96" s="12">
        <f>Other!AL44</f>
        <v>277</v>
      </c>
      <c r="AM96" s="12">
        <f>Other!AM44</f>
        <v>263</v>
      </c>
      <c r="AN96" s="12">
        <f>Other!AN44</f>
        <v>253</v>
      </c>
      <c r="AO96" s="12">
        <f>Other!AO44</f>
        <v>313</v>
      </c>
      <c r="AP96" s="5">
        <f>Other!AP44</f>
        <v>1106</v>
      </c>
      <c r="AQ96" s="12">
        <f>Other!AQ44</f>
        <v>272</v>
      </c>
      <c r="AR96" s="12">
        <f>Other!AR44</f>
        <v>242</v>
      </c>
      <c r="AS96" s="12">
        <f>Other!AS44</f>
        <v>270</v>
      </c>
      <c r="AT96" s="12">
        <f>Other!AT44</f>
        <v>245</v>
      </c>
      <c r="AU96" s="5">
        <f>Other!AU44</f>
        <v>1029</v>
      </c>
      <c r="AV96" s="12">
        <f>Other!AV44</f>
        <v>277</v>
      </c>
      <c r="AW96" s="12">
        <f>Other!AW44</f>
        <v>268</v>
      </c>
      <c r="AX96" s="12">
        <f>Other!AX44</f>
        <v>275</v>
      </c>
      <c r="AY96" s="12">
        <f>Other!AY44</f>
        <v>290</v>
      </c>
      <c r="AZ96" s="5">
        <f>Other!AZ44</f>
        <v>1110</v>
      </c>
      <c r="BA96" s="12">
        <f>Other!BA44</f>
        <v>272</v>
      </c>
      <c r="BB96" s="12">
        <f>Other!BB44</f>
        <v>281</v>
      </c>
      <c r="BC96" s="12">
        <f>Other!BC44</f>
        <v>283</v>
      </c>
      <c r="BD96" s="12">
        <f>Other!BD44</f>
        <v>264</v>
      </c>
      <c r="BE96" s="5">
        <f>Other!BE44</f>
        <v>1100</v>
      </c>
      <c r="BF96" s="12">
        <f>Other!BF44</f>
        <v>271</v>
      </c>
      <c r="BG96" s="12">
        <f>Other!BG44</f>
        <v>291</v>
      </c>
      <c r="BH96" s="12">
        <f>Other!BH44</f>
        <v>310</v>
      </c>
      <c r="BI96" s="12">
        <f>Other!BI44</f>
        <v>309</v>
      </c>
      <c r="BJ96" s="5">
        <f>Other!BJ44</f>
        <v>1181</v>
      </c>
      <c r="BK96" s="12">
        <f>Other!BK44</f>
        <v>334</v>
      </c>
      <c r="BL96" s="12">
        <f>Other!BL44</f>
        <v>366</v>
      </c>
      <c r="BM96" s="12">
        <f>Other!BM44</f>
        <v>389</v>
      </c>
      <c r="BN96" s="12">
        <f>Other!BN44</f>
        <v>492</v>
      </c>
      <c r="BO96" s="5">
        <f>Other!BO44</f>
        <v>1581</v>
      </c>
      <c r="BP96" s="12">
        <f ca="1">Other!BP44</f>
        <v>411.06181065416735</v>
      </c>
      <c r="BQ96" s="12">
        <f ca="1">Other!BQ44</f>
        <v>425.4952484562242</v>
      </c>
      <c r="BR96" s="12">
        <f ca="1">Other!BR44</f>
        <v>418.9860997653534</v>
      </c>
      <c r="BS96" s="12">
        <f ca="1">Other!BS44</f>
        <v>410.88033264278096</v>
      </c>
      <c r="BT96" s="5">
        <f ca="1">Other!BT44</f>
        <v>1666.4234915185259</v>
      </c>
      <c r="BU96" s="12">
        <f ca="1">Other!BU44</f>
        <v>402.03946019946136</v>
      </c>
      <c r="BV96" s="12">
        <f ca="1">Other!BV44</f>
        <v>395.61732357387882</v>
      </c>
      <c r="BW96" s="12">
        <f ca="1">Other!BW44</f>
        <v>389.0916922985881</v>
      </c>
      <c r="BX96" s="12">
        <f ca="1">Other!BX44</f>
        <v>378.79776288834887</v>
      </c>
      <c r="BY96" s="5">
        <f ca="1">Other!BY44</f>
        <v>1565.5462389602772</v>
      </c>
      <c r="BZ96" s="12">
        <f ca="1">Other!BZ44</f>
        <v>368.95458332456269</v>
      </c>
      <c r="CA96" s="12">
        <f ca="1">Other!CA44</f>
        <v>361.79168334079213</v>
      </c>
      <c r="CB96" s="12">
        <f ca="1">Other!CB44</f>
        <v>352.74162001601212</v>
      </c>
      <c r="CC96" s="12">
        <f ca="1">Other!CC44</f>
        <v>339.75621696160056</v>
      </c>
      <c r="CD96" s="5">
        <f ca="1">Other!CD44</f>
        <v>1423.2441036429675</v>
      </c>
      <c r="CE96" s="5"/>
      <c r="CF96" s="5"/>
      <c r="CG96" s="5"/>
      <c r="CH96" s="5"/>
      <c r="CI96" s="5"/>
      <c r="CJ96" s="5"/>
      <c r="CK96" s="5"/>
      <c r="CL96" s="5"/>
    </row>
    <row r="97" spans="1:90">
      <c r="A97" s="4"/>
      <c r="B97" s="212" t="s">
        <v>2143</v>
      </c>
      <c r="C97" s="5">
        <f t="shared" ref="C97:AK97" si="99">-C96*C118</f>
        <v>-584.5</v>
      </c>
      <c r="D97" s="5">
        <f t="shared" si="99"/>
        <v>-399</v>
      </c>
      <c r="E97" s="5">
        <f t="shared" si="99"/>
        <v>-251.99999999999997</v>
      </c>
      <c r="F97" s="5">
        <f t="shared" si="99"/>
        <v>-154</v>
      </c>
      <c r="G97" s="5">
        <f t="shared" si="99"/>
        <v>-215.6</v>
      </c>
      <c r="H97" s="12">
        <f t="shared" si="99"/>
        <v>-66.849999999999994</v>
      </c>
      <c r="I97" s="12">
        <f t="shared" si="99"/>
        <v>-53.55</v>
      </c>
      <c r="J97" s="12">
        <f t="shared" si="99"/>
        <v>-59.15</v>
      </c>
      <c r="K97" s="12">
        <f t="shared" si="99"/>
        <v>-71.75</v>
      </c>
      <c r="L97" s="5">
        <f t="shared" si="99"/>
        <v>-251.29999999999998</v>
      </c>
      <c r="M97" s="12">
        <f t="shared" si="99"/>
        <v>-115.85</v>
      </c>
      <c r="N97" s="12">
        <f t="shared" si="99"/>
        <v>-110.94999999999999</v>
      </c>
      <c r="O97" s="12">
        <f t="shared" si="99"/>
        <v>-117.94999999999999</v>
      </c>
      <c r="P97" s="12">
        <f t="shared" si="99"/>
        <v>-142.79999999999998</v>
      </c>
      <c r="Q97" s="5">
        <f t="shared" si="99"/>
        <v>-487.54999999999995</v>
      </c>
      <c r="R97" s="12">
        <f t="shared" si="99"/>
        <v>-142.1</v>
      </c>
      <c r="S97" s="12">
        <f t="shared" si="99"/>
        <v>-133.35</v>
      </c>
      <c r="T97" s="12">
        <f t="shared" si="99"/>
        <v>-136.85</v>
      </c>
      <c r="U97" s="12">
        <f t="shared" si="99"/>
        <v>-129.15</v>
      </c>
      <c r="V97" s="5">
        <f t="shared" si="99"/>
        <v>-541.44999999999993</v>
      </c>
      <c r="W97" s="12">
        <f t="shared" si="99"/>
        <v>-111.3</v>
      </c>
      <c r="X97" s="12">
        <f t="shared" si="99"/>
        <v>-95.899999999999991</v>
      </c>
      <c r="Y97" s="12">
        <f t="shared" si="99"/>
        <v>-93.1</v>
      </c>
      <c r="Z97" s="12">
        <f t="shared" si="99"/>
        <v>-88.199999999999989</v>
      </c>
      <c r="AA97" s="5">
        <f t="shared" si="99"/>
        <v>-388.5</v>
      </c>
      <c r="AB97" s="12">
        <f t="shared" si="99"/>
        <v>-83.3</v>
      </c>
      <c r="AC97" s="12">
        <f t="shared" si="99"/>
        <v>-78.75</v>
      </c>
      <c r="AD97" s="12">
        <f t="shared" si="99"/>
        <v>-105.35</v>
      </c>
      <c r="AE97" s="12">
        <f t="shared" si="99"/>
        <v>-115.14999999999999</v>
      </c>
      <c r="AF97" s="5">
        <f t="shared" si="99"/>
        <v>-382.54999999999995</v>
      </c>
      <c r="AG97" s="12">
        <f t="shared" si="99"/>
        <v>-102.19999999999999</v>
      </c>
      <c r="AH97" s="12">
        <f t="shared" si="99"/>
        <v>-104.64999999999999</v>
      </c>
      <c r="AI97" s="12">
        <f t="shared" si="99"/>
        <v>-99.399999999999991</v>
      </c>
      <c r="AJ97" s="12">
        <f t="shared" si="99"/>
        <v>-109.55</v>
      </c>
      <c r="AK97" s="5">
        <f t="shared" si="99"/>
        <v>-415.79999999999995</v>
      </c>
      <c r="AL97" s="12">
        <f t="shared" ref="AL97:BG97" si="100">-AL96*AL118</f>
        <v>-96.949999999999989</v>
      </c>
      <c r="AM97" s="12">
        <f t="shared" si="100"/>
        <v>-92.05</v>
      </c>
      <c r="AN97" s="12">
        <f t="shared" si="100"/>
        <v>-88.55</v>
      </c>
      <c r="AO97" s="12">
        <f t="shared" si="100"/>
        <v>-109.55</v>
      </c>
      <c r="AP97" s="5">
        <f t="shared" si="100"/>
        <v>-387.09999999999997</v>
      </c>
      <c r="AQ97" s="12">
        <f t="shared" si="100"/>
        <v>-95.199999999999989</v>
      </c>
      <c r="AR97" s="12">
        <f t="shared" si="100"/>
        <v>-84.699999999999989</v>
      </c>
      <c r="AS97" s="12">
        <f t="shared" si="100"/>
        <v>-94.5</v>
      </c>
      <c r="AT97" s="12">
        <f t="shared" si="100"/>
        <v>-85.75</v>
      </c>
      <c r="AU97" s="5">
        <f t="shared" si="100"/>
        <v>-360.15</v>
      </c>
      <c r="AV97" s="12">
        <f t="shared" si="100"/>
        <v>-96.949999999999989</v>
      </c>
      <c r="AW97" s="12">
        <f t="shared" si="100"/>
        <v>-93.8</v>
      </c>
      <c r="AX97" s="12">
        <f t="shared" si="100"/>
        <v>-96.25</v>
      </c>
      <c r="AY97" s="12">
        <f>-AY96*AY118</f>
        <v>-101.5</v>
      </c>
      <c r="AZ97" s="5">
        <f t="shared" si="100"/>
        <v>-388.5</v>
      </c>
      <c r="BA97" s="12">
        <f t="shared" si="100"/>
        <v>-95.199999999999989</v>
      </c>
      <c r="BB97" s="12">
        <f t="shared" si="100"/>
        <v>-98.35</v>
      </c>
      <c r="BC97" s="12">
        <f t="shared" si="100"/>
        <v>-99.05</v>
      </c>
      <c r="BD97" s="12">
        <f t="shared" si="100"/>
        <v>-92.399999999999991</v>
      </c>
      <c r="BE97" s="5">
        <f>-BE96*BE118</f>
        <v>-385</v>
      </c>
      <c r="BF97" s="12">
        <f t="shared" si="100"/>
        <v>-94.85</v>
      </c>
      <c r="BG97" s="12">
        <f t="shared" si="100"/>
        <v>-101.85</v>
      </c>
      <c r="BH97" s="12">
        <f t="shared" ref="BH97:CD97" si="101">-BH96*BH118</f>
        <v>-108.5</v>
      </c>
      <c r="BI97" s="12">
        <f t="shared" si="101"/>
        <v>-108.14999999999999</v>
      </c>
      <c r="BJ97" s="5">
        <f t="shared" si="101"/>
        <v>-413.34999999999997</v>
      </c>
      <c r="BK97" s="12">
        <f t="shared" si="101"/>
        <v>-116.89999999999999</v>
      </c>
      <c r="BL97" s="12">
        <f t="shared" si="101"/>
        <v>-128.1</v>
      </c>
      <c r="BM97" s="12">
        <f t="shared" si="101"/>
        <v>-136.14999999999998</v>
      </c>
      <c r="BN97" s="12">
        <f t="shared" si="101"/>
        <v>-172.2</v>
      </c>
      <c r="BO97" s="5">
        <f t="shared" si="101"/>
        <v>-553.34999999999991</v>
      </c>
      <c r="BP97" s="12">
        <f t="shared" ca="1" si="101"/>
        <v>-143.87163372895856</v>
      </c>
      <c r="BQ97" s="12">
        <f t="shared" ca="1" si="101"/>
        <v>-148.92333695967847</v>
      </c>
      <c r="BR97" s="12">
        <f t="shared" ca="1" si="101"/>
        <v>-146.64513491787369</v>
      </c>
      <c r="BS97" s="12">
        <f t="shared" ca="1" si="101"/>
        <v>-143.80811642497332</v>
      </c>
      <c r="BT97" s="5">
        <f t="shared" ca="1" si="101"/>
        <v>-583.24822203148403</v>
      </c>
      <c r="BU97" s="12">
        <f t="shared" ca="1" si="101"/>
        <v>-140.71381106981147</v>
      </c>
      <c r="BV97" s="12">
        <f t="shared" ca="1" si="101"/>
        <v>-138.46606325085759</v>
      </c>
      <c r="BW97" s="12">
        <f t="shared" ca="1" si="101"/>
        <v>-136.18209230450583</v>
      </c>
      <c r="BX97" s="12">
        <f t="shared" ca="1" si="101"/>
        <v>-132.57921701092209</v>
      </c>
      <c r="BY97" s="5">
        <f t="shared" ca="1" si="101"/>
        <v>-547.94118363609698</v>
      </c>
      <c r="BZ97" s="12">
        <f t="shared" ca="1" si="101"/>
        <v>-129.13410416359693</v>
      </c>
      <c r="CA97" s="12">
        <f t="shared" ca="1" si="101"/>
        <v>-126.62708916927724</v>
      </c>
      <c r="CB97" s="12">
        <f t="shared" ca="1" si="101"/>
        <v>-123.45956700560423</v>
      </c>
      <c r="CC97" s="12">
        <f t="shared" ca="1" si="101"/>
        <v>-118.91467593656019</v>
      </c>
      <c r="CD97" s="5">
        <f t="shared" ca="1" si="101"/>
        <v>-498.13543627503861</v>
      </c>
      <c r="CE97" s="5"/>
      <c r="CF97" s="5"/>
      <c r="CG97" s="5"/>
      <c r="CH97" s="5"/>
      <c r="CI97" s="5"/>
      <c r="CJ97" s="5"/>
      <c r="CK97" s="5"/>
      <c r="CL97" s="5"/>
    </row>
    <row r="98" spans="1:90">
      <c r="A98" s="4"/>
      <c r="B98" s="212" t="s">
        <v>2144</v>
      </c>
      <c r="C98" s="5">
        <f>C96+C97</f>
        <v>1085.5</v>
      </c>
      <c r="D98" s="5">
        <f>D96+D97</f>
        <v>741</v>
      </c>
      <c r="E98" s="5">
        <f>E96+E97</f>
        <v>468</v>
      </c>
      <c r="F98" s="5">
        <f>F96+F97</f>
        <v>286</v>
      </c>
      <c r="G98" s="5">
        <f t="shared" ref="G98:BG98" si="102">G96+G97</f>
        <v>400.4</v>
      </c>
      <c r="H98" s="12">
        <f t="shared" si="102"/>
        <v>124.15</v>
      </c>
      <c r="I98" s="12">
        <f t="shared" si="102"/>
        <v>99.45</v>
      </c>
      <c r="J98" s="12">
        <f t="shared" si="102"/>
        <v>109.85</v>
      </c>
      <c r="K98" s="12">
        <f t="shared" si="102"/>
        <v>133.25</v>
      </c>
      <c r="L98" s="5">
        <f t="shared" si="102"/>
        <v>466.70000000000005</v>
      </c>
      <c r="M98" s="12">
        <f t="shared" si="102"/>
        <v>215.15</v>
      </c>
      <c r="N98" s="12">
        <f t="shared" si="102"/>
        <v>206.05</v>
      </c>
      <c r="O98" s="12">
        <f t="shared" si="102"/>
        <v>219.05</v>
      </c>
      <c r="P98" s="12">
        <f t="shared" si="102"/>
        <v>265.20000000000005</v>
      </c>
      <c r="Q98" s="5">
        <f t="shared" si="102"/>
        <v>905.45</v>
      </c>
      <c r="R98" s="12">
        <f t="shared" si="102"/>
        <v>263.89999999999998</v>
      </c>
      <c r="S98" s="12">
        <f t="shared" si="102"/>
        <v>247.65</v>
      </c>
      <c r="T98" s="12">
        <f t="shared" si="102"/>
        <v>254.15</v>
      </c>
      <c r="U98" s="12">
        <f t="shared" si="102"/>
        <v>239.85</v>
      </c>
      <c r="V98" s="5">
        <f t="shared" si="102"/>
        <v>1005.5500000000001</v>
      </c>
      <c r="W98" s="12">
        <f t="shared" si="102"/>
        <v>206.7</v>
      </c>
      <c r="X98" s="12">
        <f t="shared" si="102"/>
        <v>178.10000000000002</v>
      </c>
      <c r="Y98" s="12">
        <f t="shared" si="102"/>
        <v>172.9</v>
      </c>
      <c r="Z98" s="12">
        <f t="shared" si="102"/>
        <v>163.80000000000001</v>
      </c>
      <c r="AA98" s="5">
        <f t="shared" si="102"/>
        <v>721.5</v>
      </c>
      <c r="AB98" s="12">
        <f t="shared" si="102"/>
        <v>154.69999999999999</v>
      </c>
      <c r="AC98" s="12">
        <f t="shared" si="102"/>
        <v>146.25</v>
      </c>
      <c r="AD98" s="12">
        <f t="shared" si="102"/>
        <v>195.65</v>
      </c>
      <c r="AE98" s="12">
        <f t="shared" si="102"/>
        <v>213.85000000000002</v>
      </c>
      <c r="AF98" s="5">
        <f t="shared" si="102"/>
        <v>710.45</v>
      </c>
      <c r="AG98" s="12">
        <f t="shared" si="102"/>
        <v>189.8</v>
      </c>
      <c r="AH98" s="12">
        <f t="shared" si="102"/>
        <v>194.35000000000002</v>
      </c>
      <c r="AI98" s="12">
        <f t="shared" si="102"/>
        <v>184.60000000000002</v>
      </c>
      <c r="AJ98" s="12">
        <f t="shared" si="102"/>
        <v>203.45</v>
      </c>
      <c r="AK98" s="5">
        <f t="shared" si="102"/>
        <v>772.2</v>
      </c>
      <c r="AL98" s="12">
        <f t="shared" si="102"/>
        <v>180.05</v>
      </c>
      <c r="AM98" s="12">
        <f t="shared" si="102"/>
        <v>170.95</v>
      </c>
      <c r="AN98" s="12">
        <f t="shared" si="102"/>
        <v>164.45</v>
      </c>
      <c r="AO98" s="12">
        <f t="shared" si="102"/>
        <v>203.45</v>
      </c>
      <c r="AP98" s="5">
        <f t="shared" si="102"/>
        <v>718.90000000000009</v>
      </c>
      <c r="AQ98" s="12">
        <f t="shared" si="102"/>
        <v>176.8</v>
      </c>
      <c r="AR98" s="12">
        <f t="shared" si="102"/>
        <v>157.30000000000001</v>
      </c>
      <c r="AS98" s="12">
        <f t="shared" si="102"/>
        <v>175.5</v>
      </c>
      <c r="AT98" s="12">
        <f t="shared" si="102"/>
        <v>159.25</v>
      </c>
      <c r="AU98" s="5">
        <f t="shared" si="102"/>
        <v>668.85</v>
      </c>
      <c r="AV98" s="12">
        <f t="shared" si="102"/>
        <v>180.05</v>
      </c>
      <c r="AW98" s="12">
        <f t="shared" si="102"/>
        <v>174.2</v>
      </c>
      <c r="AX98" s="12">
        <f t="shared" si="102"/>
        <v>178.75</v>
      </c>
      <c r="AY98" s="12">
        <f>AY96+AY97</f>
        <v>188.5</v>
      </c>
      <c r="AZ98" s="5">
        <f t="shared" si="102"/>
        <v>721.5</v>
      </c>
      <c r="BA98" s="12">
        <f t="shared" si="102"/>
        <v>176.8</v>
      </c>
      <c r="BB98" s="12">
        <f t="shared" si="102"/>
        <v>182.65</v>
      </c>
      <c r="BC98" s="12">
        <f t="shared" si="102"/>
        <v>183.95</v>
      </c>
      <c r="BD98" s="12">
        <f t="shared" si="102"/>
        <v>171.60000000000002</v>
      </c>
      <c r="BE98" s="5">
        <f>BE96+BE97</f>
        <v>715</v>
      </c>
      <c r="BF98" s="12">
        <f t="shared" si="102"/>
        <v>176.15</v>
      </c>
      <c r="BG98" s="12">
        <f t="shared" si="102"/>
        <v>189.15</v>
      </c>
      <c r="BH98" s="12">
        <f t="shared" ref="BH98:CD98" si="103">BH96+BH97</f>
        <v>201.5</v>
      </c>
      <c r="BI98" s="12">
        <f t="shared" si="103"/>
        <v>200.85000000000002</v>
      </c>
      <c r="BJ98" s="5">
        <f t="shared" si="103"/>
        <v>767.65000000000009</v>
      </c>
      <c r="BK98" s="12">
        <f t="shared" si="103"/>
        <v>217.10000000000002</v>
      </c>
      <c r="BL98" s="12">
        <f t="shared" si="103"/>
        <v>237.9</v>
      </c>
      <c r="BM98" s="12">
        <f t="shared" si="103"/>
        <v>252.85000000000002</v>
      </c>
      <c r="BN98" s="12">
        <f t="shared" si="103"/>
        <v>319.8</v>
      </c>
      <c r="BO98" s="5">
        <f t="shared" si="103"/>
        <v>1027.6500000000001</v>
      </c>
      <c r="BP98" s="12">
        <f t="shared" ca="1" si="103"/>
        <v>267.19017692520879</v>
      </c>
      <c r="BQ98" s="12">
        <f t="shared" ca="1" si="103"/>
        <v>276.57191149654574</v>
      </c>
      <c r="BR98" s="12">
        <f t="shared" ca="1" si="103"/>
        <v>272.34096484747971</v>
      </c>
      <c r="BS98" s="12">
        <f t="shared" ca="1" si="103"/>
        <v>267.07221621780764</v>
      </c>
      <c r="BT98" s="5">
        <f t="shared" ca="1" si="103"/>
        <v>1083.175269487042</v>
      </c>
      <c r="BU98" s="12">
        <f t="shared" ca="1" si="103"/>
        <v>261.32564912964989</v>
      </c>
      <c r="BV98" s="12">
        <f t="shared" ca="1" si="103"/>
        <v>257.15126032302123</v>
      </c>
      <c r="BW98" s="12">
        <f t="shared" ca="1" si="103"/>
        <v>252.90959999408227</v>
      </c>
      <c r="BX98" s="12">
        <f t="shared" ca="1" si="103"/>
        <v>246.21854587742678</v>
      </c>
      <c r="BY98" s="5">
        <f t="shared" ca="1" si="103"/>
        <v>1017.6050553241802</v>
      </c>
      <c r="BZ98" s="12">
        <f t="shared" ca="1" si="103"/>
        <v>239.82047916096576</v>
      </c>
      <c r="CA98" s="12">
        <f t="shared" ca="1" si="103"/>
        <v>235.16459417151489</v>
      </c>
      <c r="CB98" s="12">
        <f t="shared" ca="1" si="103"/>
        <v>229.28205301040788</v>
      </c>
      <c r="CC98" s="12">
        <f t="shared" ca="1" si="103"/>
        <v>220.84154102504039</v>
      </c>
      <c r="CD98" s="5">
        <f t="shared" ca="1" si="103"/>
        <v>925.10866736792889</v>
      </c>
      <c r="CE98" s="5"/>
      <c r="CF98" s="5"/>
      <c r="CG98" s="5"/>
      <c r="CH98" s="5"/>
      <c r="CI98" s="5"/>
      <c r="CJ98" s="5"/>
      <c r="CK98" s="5"/>
      <c r="CL98" s="5"/>
    </row>
    <row r="99" spans="1:90">
      <c r="A99" s="4"/>
      <c r="B99" s="4"/>
      <c r="C99" s="5"/>
      <c r="D99" s="5"/>
      <c r="E99" s="5"/>
      <c r="F99" s="5"/>
      <c r="G99" s="5"/>
      <c r="H99" s="12"/>
      <c r="I99" s="12"/>
      <c r="J99" s="12"/>
      <c r="K99" s="12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</row>
    <row r="100" spans="1:90">
      <c r="A100" s="4"/>
      <c r="B100" s="7" t="s">
        <v>2145</v>
      </c>
      <c r="C100" s="8">
        <f>C94+C98</f>
        <v>7702.5</v>
      </c>
      <c r="D100" s="8">
        <f>D94+D98</f>
        <v>7613</v>
      </c>
      <c r="E100" s="8">
        <f>E94+E98</f>
        <v>13149</v>
      </c>
      <c r="F100" s="8">
        <f t="shared" ref="F100:BG100" si="104">F94+F98</f>
        <v>18170</v>
      </c>
      <c r="G100" s="8">
        <f t="shared" si="104"/>
        <v>22848.400000000001</v>
      </c>
      <c r="H100" s="19">
        <f t="shared" si="104"/>
        <v>5921.15</v>
      </c>
      <c r="I100" s="19">
        <f t="shared" si="104"/>
        <v>7364.45</v>
      </c>
      <c r="J100" s="19">
        <f t="shared" si="104"/>
        <v>6403.85</v>
      </c>
      <c r="K100" s="19">
        <f t="shared" si="104"/>
        <v>3088.25</v>
      </c>
      <c r="L100" s="8">
        <f t="shared" si="104"/>
        <v>22777.7</v>
      </c>
      <c r="M100" s="19">
        <f t="shared" si="104"/>
        <v>4961.1499999999996</v>
      </c>
      <c r="N100" s="19">
        <f t="shared" si="104"/>
        <v>7647.05</v>
      </c>
      <c r="O100" s="19">
        <f t="shared" si="104"/>
        <v>4697.05</v>
      </c>
      <c r="P100" s="19">
        <f t="shared" si="104"/>
        <v>4769.2</v>
      </c>
      <c r="Q100" s="8">
        <f t="shared" si="104"/>
        <v>22074.45</v>
      </c>
      <c r="R100" s="19">
        <f t="shared" si="104"/>
        <v>7475.9</v>
      </c>
      <c r="S100" s="19">
        <f t="shared" si="104"/>
        <v>9717.65</v>
      </c>
      <c r="T100" s="19">
        <f t="shared" si="104"/>
        <v>8440.15</v>
      </c>
      <c r="U100" s="19">
        <f t="shared" si="104"/>
        <v>-2962.15</v>
      </c>
      <c r="V100" s="8">
        <f t="shared" si="104"/>
        <v>22671.55</v>
      </c>
      <c r="W100" s="19">
        <f t="shared" si="104"/>
        <v>2803.7</v>
      </c>
      <c r="X100" s="19">
        <f t="shared" si="104"/>
        <v>4607.1000000000004</v>
      </c>
      <c r="Y100" s="19">
        <f t="shared" si="104"/>
        <v>5527.9</v>
      </c>
      <c r="Z100" s="19">
        <f t="shared" si="104"/>
        <v>4541.8</v>
      </c>
      <c r="AA100" s="8">
        <f t="shared" si="104"/>
        <v>17480.5</v>
      </c>
      <c r="AB100" s="19">
        <f t="shared" si="104"/>
        <v>6342.7</v>
      </c>
      <c r="AC100" s="19">
        <f t="shared" si="104"/>
        <v>-16901.75</v>
      </c>
      <c r="AD100" s="19">
        <f t="shared" si="104"/>
        <v>2068.65</v>
      </c>
      <c r="AE100" s="19">
        <f t="shared" si="104"/>
        <v>5876.85</v>
      </c>
      <c r="AF100" s="8">
        <f t="shared" si="104"/>
        <v>-2613.5500000000002</v>
      </c>
      <c r="AG100" s="19">
        <f t="shared" si="104"/>
        <v>7504.8</v>
      </c>
      <c r="AH100" s="19">
        <f t="shared" si="104"/>
        <v>5982.35</v>
      </c>
      <c r="AI100" s="19">
        <f t="shared" si="104"/>
        <v>5404.6</v>
      </c>
      <c r="AJ100" s="19">
        <f t="shared" si="104"/>
        <v>7977.45</v>
      </c>
      <c r="AK100" s="8">
        <f t="shared" si="104"/>
        <v>26869.200000000001</v>
      </c>
      <c r="AL100" s="19">
        <f t="shared" si="104"/>
        <v>6156.05</v>
      </c>
      <c r="AM100" s="19">
        <f t="shared" si="104"/>
        <v>-1169.05</v>
      </c>
      <c r="AN100" s="19">
        <f t="shared" si="104"/>
        <v>5664.45</v>
      </c>
      <c r="AO100" s="19">
        <f t="shared" si="104"/>
        <v>1883.45</v>
      </c>
      <c r="AP100" s="8">
        <f t="shared" si="104"/>
        <v>12534.9</v>
      </c>
      <c r="AQ100" s="19">
        <f t="shared" si="104"/>
        <v>17118.8</v>
      </c>
      <c r="AR100" s="19">
        <f t="shared" si="104"/>
        <v>2283.3000000000002</v>
      </c>
      <c r="AS100" s="19">
        <f t="shared" si="104"/>
        <v>3767.5</v>
      </c>
      <c r="AT100" s="19">
        <f t="shared" si="104"/>
        <v>1257.25</v>
      </c>
      <c r="AU100" s="8">
        <f t="shared" si="104"/>
        <v>24426.85</v>
      </c>
      <c r="AV100" s="19">
        <f t="shared" si="104"/>
        <v>3799.05</v>
      </c>
      <c r="AW100" s="19">
        <f t="shared" si="104"/>
        <v>3607.2</v>
      </c>
      <c r="AX100" s="19">
        <f t="shared" si="104"/>
        <v>1502.75</v>
      </c>
      <c r="AY100" s="19">
        <f>AY94+AY98</f>
        <v>-4184.5</v>
      </c>
      <c r="AZ100" s="8">
        <f t="shared" si="104"/>
        <v>4724.5</v>
      </c>
      <c r="BA100" s="19">
        <f t="shared" si="104"/>
        <v>2827.8</v>
      </c>
      <c r="BB100" s="19">
        <f t="shared" si="104"/>
        <v>-5600.35</v>
      </c>
      <c r="BC100" s="19">
        <f t="shared" si="104"/>
        <v>239.95</v>
      </c>
      <c r="BD100" s="19">
        <f t="shared" si="104"/>
        <v>-3152.4</v>
      </c>
      <c r="BE100" s="8">
        <f>BE94+BE98</f>
        <v>-5685</v>
      </c>
      <c r="BF100" s="19">
        <f t="shared" si="104"/>
        <v>-381.85</v>
      </c>
      <c r="BG100" s="19">
        <f t="shared" si="104"/>
        <v>-1200.8499999999999</v>
      </c>
      <c r="BH100" s="19">
        <f t="shared" ref="BH100:CD100" si="105">BH94+BH98</f>
        <v>1778.5</v>
      </c>
      <c r="BI100" s="19">
        <f t="shared" si="105"/>
        <v>743.85</v>
      </c>
      <c r="BJ100" s="8">
        <f t="shared" si="105"/>
        <v>939.65000000000009</v>
      </c>
      <c r="BK100" s="19">
        <f t="shared" si="105"/>
        <v>1709.1</v>
      </c>
      <c r="BL100" s="19">
        <f t="shared" si="105"/>
        <v>393.9</v>
      </c>
      <c r="BM100" s="19">
        <f t="shared" si="105"/>
        <v>2009.85</v>
      </c>
      <c r="BN100" s="19">
        <f t="shared" ca="1" si="105"/>
        <v>382.8</v>
      </c>
      <c r="BO100" s="8">
        <f t="shared" ca="1" si="105"/>
        <v>4495.6499999999996</v>
      </c>
      <c r="BP100" s="19">
        <f t="shared" ca="1" si="105"/>
        <v>2407.957018551534</v>
      </c>
      <c r="BQ100" s="19">
        <f t="shared" ca="1" si="105"/>
        <v>3320.8358516745848</v>
      </c>
      <c r="BR100" s="19">
        <f t="shared" ca="1" si="105"/>
        <v>3359.9769104791399</v>
      </c>
      <c r="BS100" s="19">
        <f t="shared" ca="1" si="105"/>
        <v>2960.9561732551592</v>
      </c>
      <c r="BT100" s="8">
        <f t="shared" ca="1" si="105"/>
        <v>12049.725953960417</v>
      </c>
      <c r="BU100" s="19">
        <f t="shared" ca="1" si="105"/>
        <v>3001.823316939196</v>
      </c>
      <c r="BV100" s="19">
        <f t="shared" ca="1" si="105"/>
        <v>2969.3732879939298</v>
      </c>
      <c r="BW100" s="19">
        <f t="shared" ca="1" si="105"/>
        <v>3086.2984747687638</v>
      </c>
      <c r="BX100" s="19">
        <f t="shared" ca="1" si="105"/>
        <v>2969.4318200471707</v>
      </c>
      <c r="BY100" s="8">
        <f t="shared" ca="1" si="105"/>
        <v>12026.92689974906</v>
      </c>
      <c r="BZ100" s="19">
        <f t="shared" ca="1" si="105"/>
        <v>3403.3865322129523</v>
      </c>
      <c r="CA100" s="19">
        <f t="shared" ca="1" si="105"/>
        <v>3391.8807363590472</v>
      </c>
      <c r="CB100" s="19">
        <f t="shared" ca="1" si="105"/>
        <v>3525.3625723082855</v>
      </c>
      <c r="CC100" s="19">
        <f t="shared" ca="1" si="105"/>
        <v>3433.871935155848</v>
      </c>
      <c r="CD100" s="8">
        <f t="shared" ca="1" si="105"/>
        <v>13754.501776036135</v>
      </c>
      <c r="CE100" s="5"/>
      <c r="CF100" s="5"/>
      <c r="CG100" s="5"/>
      <c r="CH100" s="5"/>
      <c r="CI100" s="5"/>
      <c r="CJ100" s="5"/>
      <c r="CK100" s="5"/>
      <c r="CL100" s="5"/>
    </row>
    <row r="101" spans="1:90">
      <c r="A101" s="4"/>
      <c r="B101" s="7"/>
      <c r="C101" s="5"/>
      <c r="D101" s="5"/>
      <c r="E101" s="5"/>
      <c r="F101" s="5"/>
      <c r="G101" s="5"/>
      <c r="H101" s="12"/>
      <c r="I101" s="12"/>
      <c r="J101" s="12"/>
      <c r="K101" s="12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</row>
    <row r="102" spans="1:90">
      <c r="A102" s="4"/>
      <c r="B102" s="4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</row>
    <row r="103" spans="1:90">
      <c r="A103" s="7" t="s">
        <v>2146</v>
      </c>
      <c r="B103" s="7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</row>
    <row r="104" spans="1:90">
      <c r="A104" s="5"/>
      <c r="B104" s="4" t="s">
        <v>2147</v>
      </c>
      <c r="C104" s="224">
        <f>C100/C91</f>
        <v>9.0246045694200347E-2</v>
      </c>
      <c r="D104" s="224">
        <f>D100/D91</f>
        <v>8.9514682971280748E-2</v>
      </c>
      <c r="E104" s="224">
        <f>E100/E91</f>
        <v>0.15003594290213262</v>
      </c>
      <c r="F104" s="224">
        <f>F100/F91</f>
        <v>0.19076115485564304</v>
      </c>
      <c r="G104" s="224">
        <f t="shared" ref="G104:AA104" si="106">G100/G91</f>
        <v>0.23204119146516095</v>
      </c>
      <c r="H104" s="236">
        <f t="shared" si="106"/>
        <v>6.1172696654751321E-2</v>
      </c>
      <c r="I104" s="236">
        <f t="shared" si="106"/>
        <v>7.6153372869174965E-2</v>
      </c>
      <c r="J104" s="236">
        <f t="shared" si="106"/>
        <v>6.4478890824330184E-2</v>
      </c>
      <c r="K104" s="236">
        <f t="shared" si="106"/>
        <v>2.9591000771335082E-2</v>
      </c>
      <c r="L104" s="224">
        <f t="shared" si="106"/>
        <v>0.22347291172026765</v>
      </c>
      <c r="M104" s="236">
        <f t="shared" si="106"/>
        <v>4.6278089232577445E-2</v>
      </c>
      <c r="N104" s="236">
        <f t="shared" si="106"/>
        <v>7.013872646809291E-2</v>
      </c>
      <c r="O104" s="236">
        <f t="shared" si="106"/>
        <v>4.1776993102466839E-2</v>
      </c>
      <c r="P104" s="236">
        <f t="shared" si="106"/>
        <v>4.0337641247716355E-2</v>
      </c>
      <c r="Q104" s="224">
        <f t="shared" si="106"/>
        <v>0.19277312025150642</v>
      </c>
      <c r="R104" s="236">
        <f t="shared" si="106"/>
        <v>6.0693076139329651E-2</v>
      </c>
      <c r="S104" s="236">
        <f t="shared" si="106"/>
        <v>7.5689411434824772E-2</v>
      </c>
      <c r="T104" s="236">
        <f t="shared" si="106"/>
        <v>6.454959485142002E-2</v>
      </c>
      <c r="U104" s="236">
        <f t="shared" si="106"/>
        <v>-2.4076256583653033E-2</v>
      </c>
      <c r="V104" s="224">
        <f t="shared" si="106"/>
        <v>0.18952104693397309</v>
      </c>
      <c r="W104" s="236">
        <f t="shared" si="106"/>
        <v>2.3898599088789725E-2</v>
      </c>
      <c r="X104" s="236">
        <f t="shared" si="106"/>
        <v>3.8115054168200643E-2</v>
      </c>
      <c r="Y104" s="236">
        <f t="shared" si="106"/>
        <v>4.3923640769948945E-2</v>
      </c>
      <c r="Z104" s="236">
        <f t="shared" si="106"/>
        <v>3.5500007816286018E-2</v>
      </c>
      <c r="AA104" s="224">
        <f t="shared" si="106"/>
        <v>0.14239747145818824</v>
      </c>
      <c r="AB104" s="236">
        <f>4*AB100/AB91</f>
        <v>0.19614752735889535</v>
      </c>
      <c r="AC104" s="236">
        <f>4*AC100/AC91</f>
        <v>-0.56357482848592455</v>
      </c>
      <c r="AD104" s="236">
        <f>4*AD100/AD91</f>
        <v>7.2848125225597998E-2</v>
      </c>
      <c r="AE104" s="236">
        <f>4*AE100/AE91</f>
        <v>0.19572129734860313</v>
      </c>
      <c r="AF104" s="224">
        <f>AF100/AF91</f>
        <v>-2.0819127580932961E-2</v>
      </c>
      <c r="AG104" s="236">
        <f>4*AG100/AG91</f>
        <v>0.23603711275357761</v>
      </c>
      <c r="AH104" s="236">
        <f>4*AH100/AH91</f>
        <v>0.1782676391051381</v>
      </c>
      <c r="AI104" s="236">
        <f>4*AI100/AI91</f>
        <v>0.15738382801522996</v>
      </c>
      <c r="AJ104" s="236">
        <f>4*AJ100/AJ91</f>
        <v>0.22746165881962982</v>
      </c>
      <c r="AK104" s="224">
        <f>AK100/AK91</f>
        <v>0.2025578686689358</v>
      </c>
      <c r="AL104" s="236">
        <f>4*AL100/AL91</f>
        <v>0.16738289614106164</v>
      </c>
      <c r="AM104" s="236">
        <f>4*AM100/AM91</f>
        <v>-3.1415307925375037E-2</v>
      </c>
      <c r="AN104" s="236">
        <f>4*AN100/AN91</f>
        <v>0.15211017981759775</v>
      </c>
      <c r="AO104" s="236">
        <f>4*AO100/AO91</f>
        <v>5.0112080032459975E-2</v>
      </c>
      <c r="AP104" s="224">
        <f>AP100/AP91</f>
        <v>8.6003629539926657E-2</v>
      </c>
      <c r="AQ104" s="236">
        <f>4*AQ100/AQ91</f>
        <v>0.45848811516571808</v>
      </c>
      <c r="AR104" s="236">
        <f>4*AR100/AR91</f>
        <v>6.1165077802445081E-2</v>
      </c>
      <c r="AS104" s="236">
        <f>4*AS100/AS91</f>
        <v>0.10018414737108022</v>
      </c>
      <c r="AT104" s="236">
        <f>4*AT100/AT91</f>
        <v>3.2643655777875147E-2</v>
      </c>
      <c r="AU104" s="224">
        <f>AU100/AU91</f>
        <v>0.16020337893673675</v>
      </c>
      <c r="AV104" s="236">
        <f>4*AV100/AV91</f>
        <v>9.7358490566037736E-2</v>
      </c>
      <c r="AW104" s="236">
        <f>4*AW100/AW91</f>
        <v>9.176612003090924E-2</v>
      </c>
      <c r="AX104" s="236">
        <f>4*AX100/AX91</f>
        <v>3.9013087654509289E-2</v>
      </c>
      <c r="AY104" s="236">
        <f>4*AY100/AY91</f>
        <v>-0.11725065497289043</v>
      </c>
      <c r="AZ104" s="224">
        <f>AZ100/AZ91</f>
        <v>3.2380436719531752E-2</v>
      </c>
      <c r="BA104" s="236">
        <f>4*BA100/BA91</f>
        <v>8.3006101878997138E-2</v>
      </c>
      <c r="BB104" s="236">
        <f ca="1">4*BB100/BB91</f>
        <v>-0.16675649118627919</v>
      </c>
      <c r="BC104" s="236">
        <f ca="1">4*BC100/BC91</f>
        <v>7.3783094000799479E-3</v>
      </c>
      <c r="BD104" s="236">
        <f ca="1">4*BD100/BD91</f>
        <v>-9.9496583395142585E-2</v>
      </c>
      <c r="BE104" s="224">
        <f>BE100/BE91</f>
        <v>-4.3580082714000434E-2</v>
      </c>
      <c r="BF104" s="236">
        <f>4*BF100/BF91</f>
        <v>-1.2054392347820598E-2</v>
      </c>
      <c r="BG104" s="236">
        <f ca="1">4*BG100/BG91</f>
        <v>-3.7737361040185408E-2</v>
      </c>
      <c r="BH104" s="236">
        <f ca="1">4*BH100/BH91</f>
        <v>5.6327991385317036E-2</v>
      </c>
      <c r="BI104" s="236">
        <f ca="1">4*BI100/BI91</f>
        <v>2.3071107613217387E-2</v>
      </c>
      <c r="BJ104" s="224">
        <f ca="1">BJ100/BJ91</f>
        <v>7.3174340504234409E-3</v>
      </c>
      <c r="BK104" s="236">
        <f ca="1">4*BK100/BK91</f>
        <v>5.0832221102762663E-2</v>
      </c>
      <c r="BL104" s="236">
        <f ca="1">4*BL100/BL91</f>
        <v>1.1437489791844363E-2</v>
      </c>
      <c r="BM104" s="236">
        <f ca="1">4*BM100/BM91</f>
        <v>5.7767382705138016E-2</v>
      </c>
      <c r="BN104" s="236">
        <f ca="1">4*BN100/BN91</f>
        <v>1.1008303677342823E-2</v>
      </c>
      <c r="BO104" s="224">
        <f ca="1">BO100/BO91</f>
        <v>3.3337288242426037E-2</v>
      </c>
      <c r="BP104" s="236">
        <f ca="1">4*BP100/BP91</f>
        <v>6.8459518309291506E-2</v>
      </c>
      <c r="BQ104" s="236">
        <f ca="1">4*BQ100/BQ91</f>
        <v>9.2452562471724148E-2</v>
      </c>
      <c r="BR104" s="236">
        <f ca="1">4*BR100/BR91</f>
        <v>9.3466137901542706E-2</v>
      </c>
      <c r="BS104" s="236">
        <f ca="1">4*BS100/BS91</f>
        <v>8.2547713882073367E-2</v>
      </c>
      <c r="BT104" s="224">
        <f ca="1">BT100/BT91</f>
        <v>8.5631681134409554E-2</v>
      </c>
      <c r="BU104" s="236">
        <f ca="1">4*BU100/BU91</f>
        <v>8.404394735383719E-2</v>
      </c>
      <c r="BV104" s="236">
        <f ca="1">4*BV100/BV91</f>
        <v>8.3259636364680478E-2</v>
      </c>
      <c r="BW104" s="236">
        <f ca="1">4*BW100/BW91</f>
        <v>8.6649466254649393E-2</v>
      </c>
      <c r="BX104" s="236">
        <f ca="1">4*BX100/BX91</f>
        <v>8.3827712127496304E-2</v>
      </c>
      <c r="BY104" s="224">
        <f ca="1">BY100/BY91</f>
        <v>8.4464888533090518E-2</v>
      </c>
      <c r="BZ104" s="236">
        <f ca="1">4*BZ100/BZ91</f>
        <v>9.6448289921231709E-2</v>
      </c>
      <c r="CA104" s="236">
        <f ca="1">4*CA100/CA91</f>
        <v>9.6052737386222817E-2</v>
      </c>
      <c r="CB104" s="236">
        <f ca="1">4*CB100/CB91</f>
        <v>9.9927228959315342E-2</v>
      </c>
      <c r="CC104" s="236">
        <f ca="1">4*CC100/CC91</f>
        <v>9.7843566033897766E-2</v>
      </c>
      <c r="CD104" s="224">
        <f ca="1">CD100/CD91</f>
        <v>9.7713986731258654E-2</v>
      </c>
      <c r="CE104" s="5"/>
      <c r="CF104" s="5"/>
      <c r="CG104" s="5"/>
      <c r="CH104" s="5"/>
      <c r="CI104" s="5"/>
      <c r="CJ104" s="5"/>
      <c r="CK104" s="5"/>
      <c r="CL104" s="5"/>
    </row>
    <row r="105" spans="1:90">
      <c r="A105" s="5"/>
      <c r="B105" s="7" t="s">
        <v>2690</v>
      </c>
      <c r="C105" s="225">
        <f>C104</f>
        <v>9.0246045694200347E-2</v>
      </c>
      <c r="D105" s="225">
        <f>D104</f>
        <v>8.9514682971280748E-2</v>
      </c>
      <c r="E105" s="225">
        <f>E104</f>
        <v>0.15003594290213262</v>
      </c>
      <c r="F105" s="225">
        <f>F104</f>
        <v>0.19076115485564304</v>
      </c>
      <c r="G105" s="225">
        <f>G104</f>
        <v>0.23204119146516095</v>
      </c>
      <c r="H105" s="197">
        <f>SUM(H100)/AVERAGE(D100:F100,H90,D89)</f>
        <v>0.13402149359673701</v>
      </c>
      <c r="I105" s="197">
        <f>SUM(H100:I100)/AVERAGE(E100:F100,I90,E89)</f>
        <v>0.24966596822234957</v>
      </c>
      <c r="J105" s="197">
        <f>SUM(H100:J100)/AVERAGE(F100,J90,F89)</f>
        <v>0.28054709874754802</v>
      </c>
      <c r="K105" s="197">
        <f>SUM(H100:K100)/AVERAGE(K90,H89)</f>
        <v>0.22347291172026762</v>
      </c>
      <c r="L105" s="225">
        <f>L104</f>
        <v>0.22347291172026765</v>
      </c>
      <c r="M105" s="197">
        <f>SUM(M100)/AVERAGE(I100:K100,M90,I89)</f>
        <v>0.1122439491118833</v>
      </c>
      <c r="N105" s="197">
        <f>SUM(M100:N100)/AVERAGE(J100:K100,N90,J89)</f>
        <v>0.23260634242567779</v>
      </c>
      <c r="O105" s="197">
        <f>SUM(M100:O100)/AVERAGE(K100,O90,K89)</f>
        <v>0.23677576407139886</v>
      </c>
      <c r="P105" s="197">
        <f>SUM(M100:P100)/AVERAGE(P90,M89)</f>
        <v>0.19277312025150642</v>
      </c>
      <c r="Q105" s="225">
        <f>Q104</f>
        <v>0.19277312025150642</v>
      </c>
      <c r="R105" s="197">
        <f>SUM(R100)/AVERAGE(N100:P100,R90,N89)</f>
        <v>0.1502087801380991</v>
      </c>
      <c r="S105" s="197">
        <f>SUM(R100:S100)/AVERAGE(O100:P100,S90,O89)</f>
        <v>0.27230701463506374</v>
      </c>
      <c r="T105" s="197">
        <f>SUM(R100:T100)/AVERAGE(P100,T90,P89)</f>
        <v>0.31002732555467488</v>
      </c>
      <c r="U105" s="197">
        <f>SUM(R100:U100)/AVERAGE(U90,R89)</f>
        <v>0.18952104693397306</v>
      </c>
      <c r="V105" s="225">
        <f>V104</f>
        <v>0.18952104693397309</v>
      </c>
      <c r="W105" s="197">
        <f>SUM(W100)/AVERAGE(S100:U100,W90,S89)</f>
        <v>5.4561840417563401E-2</v>
      </c>
      <c r="X105" s="197">
        <f>SUM(W100:X100)/AVERAGE(T100:U100,X90,T89)</f>
        <v>0.11302593901681099</v>
      </c>
      <c r="Y105" s="197">
        <f>SUM(W100:Y100)/AVERAGE(U100,Y90,U89)</f>
        <v>0.15314436134811354</v>
      </c>
      <c r="Z105" s="197">
        <f>SUM(W100:Z100)/AVERAGE(Z90,W89)</f>
        <v>0.14239747145818824</v>
      </c>
      <c r="AA105" s="225">
        <f>AA104</f>
        <v>0.14239747145818824</v>
      </c>
      <c r="AB105" s="197">
        <f>SUM(AB100)/AVERAGE(X100:Z100,AB90,X89)</f>
        <v>0.12082078970206925</v>
      </c>
      <c r="AC105" s="197">
        <f>SUM(AB100:AC100)/AVERAGE(Y100:Z100,AC90,Y89)</f>
        <v>-0.1731476474767322</v>
      </c>
      <c r="AD105" s="197">
        <f>SUM(AB100:AD100)/AVERAGE(Z100,AD90,Z89)</f>
        <v>-0.10206492417818967</v>
      </c>
      <c r="AE105" s="197">
        <f>SUM(AB100:AE100)/AVERAGE(AE90,AB89)</f>
        <v>-2.0819127580932954E-2</v>
      </c>
      <c r="AF105" s="225">
        <f>AF104</f>
        <v>-2.0819127580932961E-2</v>
      </c>
      <c r="AG105" s="197">
        <f>SUM(AG100)/AVERAGE(AC100:AE100,AG90,AC89)</f>
        <v>0.14830286999884398</v>
      </c>
      <c r="AH105" s="197">
        <f>SUM(AG100:AH100)/AVERAGE(AD100:AE100,AH90,AD89)</f>
        <v>0.21210004147754416</v>
      </c>
      <c r="AI105" s="197">
        <f>SUM(AG100:AI100)/AVERAGE(AE100,AI90,AE89)</f>
        <v>0.21684425753599817</v>
      </c>
      <c r="AJ105" s="197">
        <f>SUM(AG100:AJ100)/AVERAGE(AJ90,AG89)</f>
        <v>0.2025578686689358</v>
      </c>
      <c r="AK105" s="225">
        <f>AK104</f>
        <v>0.2025578686689358</v>
      </c>
      <c r="AL105" s="197">
        <f>SUM(AL100)/AVERAGE(AH100:AJ100,AL90,AH89)</f>
        <v>0.10170199113567623</v>
      </c>
      <c r="AM105" s="197">
        <f>SUM(AL100:AM100)/AVERAGE(AI100:AJ100,AM90,AI89)</f>
        <v>6.7332055077405029E-2</v>
      </c>
      <c r="AN105" s="197">
        <f>SUM(AL100:AN100)/AVERAGE(AJ100,AN90,AJ89)</f>
        <v>0.10732608194398006</v>
      </c>
      <c r="AO105" s="197">
        <f>SUM(AL100:AO100)/AVERAGE(AO90,AL89)</f>
        <v>8.6003629539926671E-2</v>
      </c>
      <c r="AP105" s="225">
        <f>AP104</f>
        <v>8.6003629539926657E-2</v>
      </c>
      <c r="AQ105" s="197">
        <f>SUM(AQ100)/AVERAGE(AM100:AO100,AQ90,AM89)</f>
        <v>0.27807607895640091</v>
      </c>
      <c r="AR105" s="197">
        <f>SUM(AQ100:AR100)/AVERAGE(AN100:AO100,AR90,AN89)</f>
        <v>0.25658901170692899</v>
      </c>
      <c r="AS105" s="197">
        <f>SUM(AQ100:AS100)/AVERAGE(AO100,AS90,AO89)</f>
        <v>0.22735469989789955</v>
      </c>
      <c r="AT105" s="197">
        <f>SUM(AQ100:AT100)/AVERAGE(AT90,AQ89)</f>
        <v>0.16020337893673675</v>
      </c>
      <c r="AU105" s="225">
        <f>AU104</f>
        <v>0.16020337893673675</v>
      </c>
      <c r="AV105" s="197">
        <f>SUM(AV100)/AVERAGE(AR100:AT100,AV90,AR89)</f>
        <v>6.0643127950207848E-2</v>
      </c>
      <c r="AW105" s="197">
        <f>SUM(AV100:AW100)/AVERAGE(AS100:AT100,AW90,AS89)</f>
        <v>9.4887220332930025E-2</v>
      </c>
      <c r="AX105" s="197">
        <f>SUM(AV100:AX100)/AVERAGE(AT100,AX90,AT89)</f>
        <v>8.8188056650605931E-2</v>
      </c>
      <c r="AY105" s="197">
        <f>SUM(AW100:AY100)/AVERAGE(AU100,AY90,AU89)</f>
        <v>8.984112648382182E-3</v>
      </c>
      <c r="AZ105" s="225">
        <f>AZ104</f>
        <v>3.2380436719531752E-2</v>
      </c>
      <c r="BA105" s="197">
        <f>SUM(BA100)/AVERAGE(AW100:AY100,BA90,AW89)</f>
        <v>4.8120897501195026E-2</v>
      </c>
      <c r="BB105" s="197">
        <f ca="1">SUM(BA100:BB100)/AVERAGE(AX100:AY100,BB90,AX89)</f>
        <v>-3.856625826234146E-2</v>
      </c>
      <c r="BC105" s="197">
        <f ca="1">SUM(BA100:BC100)/AVERAGE(AY100,BC90,AY89)</f>
        <v>-2.7740080506037958E-2</v>
      </c>
      <c r="BD105" s="197">
        <f ca="1">SUM(BB100:BD100)/AVERAGE(AZ100,BD90,AZ89)</f>
        <v>-8.9304628640466913E-2</v>
      </c>
      <c r="BE105" s="225">
        <f>BE104</f>
        <v>-4.3580082714000434E-2</v>
      </c>
      <c r="BF105" s="197">
        <f>SUM(BF100)/AVERAGE(BB100:BD100,BF90,BB89)</f>
        <v>-7.4421583409083475E-3</v>
      </c>
      <c r="BG105" s="197">
        <f ca="1">SUM(BF100:BG100)/AVERAGE(BC100:BD100,BG90,BC89)</f>
        <v>-2.480025682454625E-2</v>
      </c>
      <c r="BH105" s="197">
        <f ca="1">SUM(BF100:BH100)/AVERAGE(BD100,BH90,BD89)</f>
        <v>2.3362961949474933E-3</v>
      </c>
      <c r="BI105" s="197">
        <f ca="1">SUM(BF100:BI100)/AVERAGE(BI90,BF89)</f>
        <v>7.3174340504234417E-3</v>
      </c>
      <c r="BJ105" s="225">
        <f ca="1">BJ104</f>
        <v>7.3174340504234409E-3</v>
      </c>
      <c r="BK105" s="197">
        <f ca="1">SUM(BK100)/AVERAGE(BG100:BI100,BK90,BG89)</f>
        <v>3.2018389357552732E-2</v>
      </c>
      <c r="BL105" s="197">
        <f ca="1">SUM(BK100:BL100)/AVERAGE(BH100:BI100,BL90,BH89)</f>
        <v>3.1501447280294539E-2</v>
      </c>
      <c r="BM105" s="197">
        <f ca="1">SUM(BK100:BM100)/AVERAGE(BI100,BM90,BI89)</f>
        <v>4.6184147805143634E-2</v>
      </c>
      <c r="BN105" s="197">
        <f ca="1">SUM(BK100:BN100)/AVERAGE(BN90,BK89)</f>
        <v>3.3337288242426044E-2</v>
      </c>
      <c r="BO105" s="225">
        <f ca="1">BO104</f>
        <v>3.3337288242426037E-2</v>
      </c>
      <c r="BP105" s="197">
        <f ca="1">SUM(BP100)/AVERAGE(BL100:BN100,BP90,BL89)</f>
        <v>4.2476453484799351E-2</v>
      </c>
      <c r="BQ105" s="197">
        <f ca="1">SUM(BP100:BQ100)/AVERAGE(BM100:BN100,BQ90,BM89)</f>
        <v>8.0516298972692385E-2</v>
      </c>
      <c r="BR105" s="197">
        <f ca="1">SUM(BP100:BR100)/AVERAGE(BN100,BR90,BN89)</f>
        <v>9.5974889105174196E-2</v>
      </c>
      <c r="BS105" s="197">
        <f ca="1">SUM(BP100:BS100)/AVERAGE(BS90,BP89)</f>
        <v>8.5631681134409568E-2</v>
      </c>
      <c r="BT105" s="225">
        <f ca="1">BT104</f>
        <v>8.5631681134409554E-2</v>
      </c>
      <c r="BU105" s="197">
        <f ca="1">SUM(BU100)/AVERAGE(BQ100:BS100,BU90,BQ89)</f>
        <v>5.0820431653206301E-2</v>
      </c>
      <c r="BV105" s="197">
        <f ca="1">SUM(BU100:BV100)/AVERAGE(BR100:BS100,BV90,BR89)</f>
        <v>8.1436499823092798E-2</v>
      </c>
      <c r="BW105" s="197">
        <f ca="1">SUM(BU100:BW100)/AVERAGE(BS100,BW90,BS89)</f>
        <v>9.4177896122626101E-2</v>
      </c>
      <c r="BX105" s="197">
        <f ca="1">SUM(BU100:BX100)/AVERAGE(BX90,BU89)</f>
        <v>8.4464888533090532E-2</v>
      </c>
      <c r="BY105" s="225">
        <f ca="1">BY104</f>
        <v>8.4464888533090518E-2</v>
      </c>
      <c r="BZ105" s="197">
        <f ca="1">SUM(BZ100)/AVERAGE(BV100:BX100,BZ90,BV89)</f>
        <v>5.8221033958125605E-2</v>
      </c>
      <c r="CA105" s="197">
        <f ca="1">SUM(BZ100:CA100)/AVERAGE(BW100:BX100,CA90,BW89)</f>
        <v>9.3530121237690944E-2</v>
      </c>
      <c r="CB105" s="197">
        <f ca="1">SUM(BZ100:CB100)/AVERAGE(BX100,CB90,BX89)</f>
        <v>0.10841293992009271</v>
      </c>
      <c r="CC105" s="197">
        <f ca="1">SUM(BZ100:CC100)/AVERAGE(CC90,BZ89)</f>
        <v>9.771398673125864E-2</v>
      </c>
      <c r="CD105" s="225">
        <f ca="1">CD104</f>
        <v>9.7713986731258654E-2</v>
      </c>
      <c r="CE105" s="5"/>
      <c r="CF105" s="5"/>
      <c r="CG105" s="5"/>
      <c r="CH105" s="5"/>
      <c r="CI105" s="5"/>
      <c r="CJ105" s="5"/>
      <c r="CK105" s="5"/>
      <c r="CL105" s="5"/>
    </row>
    <row r="106" spans="1:90">
      <c r="A106" s="5"/>
      <c r="B106" s="7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</row>
    <row r="107" spans="1:90">
      <c r="A107" s="4"/>
      <c r="B107" s="4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</row>
    <row r="108" spans="1:90">
      <c r="A108" s="7" t="s">
        <v>2691</v>
      </c>
      <c r="B108" s="4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12"/>
      <c r="X108" s="12"/>
      <c r="Y108" s="12"/>
      <c r="Z108" s="12"/>
      <c r="AA108" s="5"/>
      <c r="AB108" s="12"/>
      <c r="AC108" s="12"/>
      <c r="AD108" s="12"/>
      <c r="AE108" s="12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</row>
    <row r="109" spans="1:90">
      <c r="A109" s="4"/>
      <c r="B109" s="4" t="str">
        <f>Segments!A25</f>
        <v>Inventory holding gains (losses)</v>
      </c>
      <c r="C109" s="5"/>
      <c r="D109" s="5"/>
      <c r="E109" s="5"/>
      <c r="F109" s="5">
        <f>-SUM(Segments!F25:F26)</f>
        <v>-1643</v>
      </c>
      <c r="G109" s="5">
        <f>-SUM(Segments!G25:G26)</f>
        <v>-3027</v>
      </c>
      <c r="H109" s="12">
        <f>-SUM(Segments!H25:H26)</f>
        <v>-239</v>
      </c>
      <c r="I109" s="12">
        <f>-SUM(Segments!I25:I26)</f>
        <v>-948</v>
      </c>
      <c r="J109" s="12">
        <f>-SUM(Segments!J25:J26)</f>
        <v>534</v>
      </c>
      <c r="K109" s="12">
        <f>-SUM(Segments!K25:K26)</f>
        <v>690</v>
      </c>
      <c r="L109" s="5">
        <f>-SUM(Segments!L25:L26)</f>
        <v>37</v>
      </c>
      <c r="M109" s="12">
        <f>-SUM(Segments!M25:M26)</f>
        <v>-220</v>
      </c>
      <c r="N109" s="12">
        <f>-SUM(Segments!N25:N26)</f>
        <v>-888</v>
      </c>
      <c r="O109" s="12">
        <f>-SUM(Segments!O25:O26)</f>
        <v>-363</v>
      </c>
      <c r="P109" s="12">
        <f>-SUM(Segments!P25:P26)</f>
        <v>-1004</v>
      </c>
      <c r="Q109" s="5">
        <f>-SUM(Segments!Q25:Q26)</f>
        <v>-2475</v>
      </c>
      <c r="R109" s="12">
        <f>-SUM(Segments!R25:R26)</f>
        <v>-863</v>
      </c>
      <c r="S109" s="12">
        <f>-SUM(Segments!S25:S26)</f>
        <v>-2612</v>
      </c>
      <c r="T109" s="12">
        <f>-SUM(Segments!T25:T26)</f>
        <v>1980</v>
      </c>
      <c r="U109" s="12">
        <f>-SUM(Segments!U25:U26)</f>
        <v>5931</v>
      </c>
      <c r="V109" s="5">
        <f>-SUM(Segments!V25:V26)</f>
        <v>4436</v>
      </c>
      <c r="W109" s="12">
        <f>-SUM(Segments!W25:W26)</f>
        <v>-175</v>
      </c>
      <c r="X109" s="12">
        <f>-SUM(Segments!X25:X26)</f>
        <v>-1245</v>
      </c>
      <c r="Y109" s="12">
        <f>-SUM(Segments!Y25:Y26)</f>
        <v>-355</v>
      </c>
      <c r="Z109" s="12">
        <f>-SUM(Segments!Z25:Z26)</f>
        <v>-848</v>
      </c>
      <c r="AA109" s="5">
        <f>-SUM(Segments!AA25:AA26)</f>
        <v>-2623</v>
      </c>
      <c r="AB109" s="12">
        <f>-SUM(Segments!AB25:AB26)</f>
        <v>-481</v>
      </c>
      <c r="AC109" s="12">
        <f>-SUM(Segments!AC25:AC26)</f>
        <v>177</v>
      </c>
      <c r="AD109" s="12">
        <f>-SUM(Segments!AD25:AD26)</f>
        <v>62</v>
      </c>
      <c r="AE109" s="12">
        <f>-SUM(Segments!AE25:AE26)</f>
        <v>-953</v>
      </c>
      <c r="AF109" s="5">
        <f>-SUM(Segments!AF25:AF26)</f>
        <v>-1195</v>
      </c>
      <c r="AG109" s="12">
        <f>-SUM(Segments!AG25:AG26)</f>
        <v>-1643</v>
      </c>
      <c r="AH109" s="12">
        <f>-SUM(Segments!AH25:AH26)</f>
        <v>-311</v>
      </c>
      <c r="AI109" s="12">
        <f>-SUM(Segments!AI25:AI26)</f>
        <v>233</v>
      </c>
      <c r="AJ109" s="12">
        <f>-SUM(Segments!AJ25:AJ26)</f>
        <v>-79</v>
      </c>
      <c r="AK109" s="5">
        <f>-SUM(Segments!AK25:AK26)</f>
        <v>-1800</v>
      </c>
      <c r="AL109" s="12">
        <f>-SUM(Segments!AL25:AL26)</f>
        <v>-986</v>
      </c>
      <c r="AM109" s="12">
        <f>-SUM(Segments!AM25:AM26)</f>
        <v>1623</v>
      </c>
      <c r="AN109" s="12">
        <f>-SUM(Segments!AN25:AN26)</f>
        <v>-747</v>
      </c>
      <c r="AO109" s="12">
        <f>-SUM(Segments!AO25:AO26)</f>
        <v>521</v>
      </c>
      <c r="AP109" s="5">
        <f>-SUM(Segments!AP25:AP26)</f>
        <v>411</v>
      </c>
      <c r="AQ109" s="12">
        <f>-SUM(Segments!AQ25:AQ26)</f>
        <v>-267</v>
      </c>
      <c r="AR109" s="12">
        <f>-SUM(Segments!AR25:AR26)</f>
        <v>358</v>
      </c>
      <c r="AS109" s="12">
        <f>-SUM(Segments!AS25:AS26)</f>
        <v>-326</v>
      </c>
      <c r="AT109" s="12">
        <f>-SUM(Segments!AT25:AT26)</f>
        <v>465</v>
      </c>
      <c r="AU109" s="5">
        <f>-SUM(Segments!AU25:AU26)</f>
        <v>230</v>
      </c>
      <c r="AV109" s="12">
        <f>-SUM(Segments!AV25:AV26)</f>
        <v>-53</v>
      </c>
      <c r="AW109" s="12">
        <f>-SUM(Segments!AW25:AW26)</f>
        <v>-187</v>
      </c>
      <c r="AX109" s="12">
        <f>-SUM(Segments!AX25:AX26)</f>
        <v>1095</v>
      </c>
      <c r="AY109" s="12">
        <f>-SUM(Segments!AY25:AY26)</f>
        <v>3438</v>
      </c>
      <c r="AZ109" s="5">
        <f>-SUM(Segments!AZ25:AZ26)</f>
        <v>4293</v>
      </c>
      <c r="BA109" s="12">
        <f>-SUM(Segments!BA25:BA26)</f>
        <v>-499</v>
      </c>
      <c r="BB109" s="12">
        <f>-SUM(Segments!BB25:BB26)</f>
        <v>-443</v>
      </c>
      <c r="BC109" s="12">
        <f>-SUM(Segments!BC25:BC26)</f>
        <v>1188</v>
      </c>
      <c r="BD109" s="12">
        <f>-SUM(Segments!BD25:BD26)</f>
        <v>1074</v>
      </c>
      <c r="BE109" s="5">
        <f>-SUM(Segments!BE25:BE26)</f>
        <v>1320</v>
      </c>
      <c r="BF109" s="12">
        <f>-SUM(Segments!BF25:BF26)</f>
        <v>98</v>
      </c>
      <c r="BG109" s="12">
        <f>-SUM(Segments!BG25:BG26)</f>
        <v>-828</v>
      </c>
      <c r="BH109" s="12">
        <f>-SUM(Segments!BH25:BH26)</f>
        <v>41</v>
      </c>
      <c r="BI109" s="12">
        <f>-SUM(Segments!BI25:BI26)</f>
        <v>-425</v>
      </c>
      <c r="BJ109" s="5">
        <f>-SUM(Segments!BJ25:BJ26)</f>
        <v>-1114</v>
      </c>
      <c r="BK109" s="12">
        <f>-SUM(Segments!BK25:BK26)</f>
        <v>-37</v>
      </c>
      <c r="BL109" s="12">
        <f>-SUM(Segments!BL25:BL26)</f>
        <v>409</v>
      </c>
      <c r="BM109" s="12">
        <f>-SUM(Segments!BM25:BM26)</f>
        <v>-390</v>
      </c>
      <c r="BN109" s="12">
        <f>-SUM(Segments!BN25:BN26)</f>
        <v>-610</v>
      </c>
      <c r="BO109" s="5">
        <f>-SUM(Segments!BO25:BO26)</f>
        <v>-628</v>
      </c>
      <c r="BP109" s="12">
        <f>-SUM(Segments!BP25:BP26)</f>
        <v>0</v>
      </c>
      <c r="BQ109" s="12">
        <f>-SUM(Segments!BQ25:BQ26)</f>
        <v>0</v>
      </c>
      <c r="BR109" s="12">
        <f>-SUM(Segments!BR25:BR26)</f>
        <v>0</v>
      </c>
      <c r="BS109" s="12">
        <f>-SUM(Segments!BS25:BS26)</f>
        <v>0</v>
      </c>
      <c r="BT109" s="5">
        <f>-SUM(Segments!BT25:BT26)</f>
        <v>0</v>
      </c>
      <c r="BU109" s="12">
        <f>-SUM(Segments!BU25:BU26)</f>
        <v>0</v>
      </c>
      <c r="BV109" s="12">
        <f>-SUM(Segments!BV25:BV26)</f>
        <v>0</v>
      </c>
      <c r="BW109" s="12">
        <f>-SUM(Segments!BW25:BW26)</f>
        <v>0</v>
      </c>
      <c r="BX109" s="12">
        <f>-SUM(Segments!BX25:BX26)</f>
        <v>0</v>
      </c>
      <c r="BY109" s="5">
        <f>-SUM(Segments!BY25:BY26)</f>
        <v>0</v>
      </c>
      <c r="BZ109" s="12">
        <f>-SUM(Segments!BZ25:BZ26)</f>
        <v>0</v>
      </c>
      <c r="CA109" s="12">
        <f>-SUM(Segments!CA25:CA26)</f>
        <v>0</v>
      </c>
      <c r="CB109" s="12">
        <f>-SUM(Segments!CB25:CB26)</f>
        <v>0</v>
      </c>
      <c r="CC109" s="12">
        <f>-SUM(Segments!CC25:CC26)</f>
        <v>0</v>
      </c>
      <c r="CD109" s="5">
        <f>-SUM(Segments!CD25:CD26)</f>
        <v>0</v>
      </c>
      <c r="CE109" s="5"/>
      <c r="CF109" s="5"/>
      <c r="CG109" s="5"/>
      <c r="CH109" s="5"/>
      <c r="CI109" s="5"/>
      <c r="CJ109" s="5"/>
      <c r="CK109" s="5"/>
      <c r="CL109" s="5"/>
    </row>
    <row r="110" spans="1:90">
      <c r="A110" s="4"/>
      <c r="B110" s="4" t="s">
        <v>2945</v>
      </c>
      <c r="C110" s="5"/>
      <c r="D110" s="5"/>
      <c r="E110" s="5"/>
      <c r="F110" s="5">
        <f>-Segments!F45</f>
        <v>1061</v>
      </c>
      <c r="G110" s="5">
        <f>-Segments!G45</f>
        <v>1727</v>
      </c>
      <c r="H110" s="12">
        <f>-Segments!H45</f>
        <v>17</v>
      </c>
      <c r="I110" s="12">
        <f>-Segments!I45</f>
        <v>-6</v>
      </c>
      <c r="J110" s="12">
        <f>-Segments!J45</f>
        <v>-1225</v>
      </c>
      <c r="K110" s="12">
        <f>-Segments!K45</f>
        <v>152</v>
      </c>
      <c r="L110" s="5">
        <f>-Segments!L45</f>
        <v>-1062</v>
      </c>
      <c r="M110" s="12">
        <f>-Segments!M45</f>
        <v>-36</v>
      </c>
      <c r="N110" s="12">
        <f>-Segments!N45</f>
        <v>-973</v>
      </c>
      <c r="O110" s="12">
        <f>-Segments!O45</f>
        <v>448</v>
      </c>
      <c r="P110" s="12">
        <f>-Segments!P45</f>
        <v>1132</v>
      </c>
      <c r="Q110" s="5">
        <f>-Segments!Q45</f>
        <v>571</v>
      </c>
      <c r="R110" s="12">
        <f>-Segments!R45</f>
        <v>4</v>
      </c>
      <c r="S110" s="12">
        <f>-Segments!S45</f>
        <v>1775</v>
      </c>
      <c r="T110" s="12">
        <f>-Segments!T45</f>
        <v>-1147</v>
      </c>
      <c r="U110" s="12">
        <f>-Segments!U45</f>
        <v>18</v>
      </c>
      <c r="V110" s="5">
        <f>-Segments!V45</f>
        <v>650</v>
      </c>
      <c r="W110" s="12">
        <f>-Segments!W45</f>
        <v>194</v>
      </c>
      <c r="X110" s="12">
        <f>-Segments!X45</f>
        <v>-202</v>
      </c>
      <c r="Y110" s="12">
        <f>-Segments!Y45</f>
        <v>-307</v>
      </c>
      <c r="Z110" s="12">
        <f>-Segments!Z45</f>
        <v>937</v>
      </c>
      <c r="AA110" s="5">
        <f>-Segments!AA45</f>
        <v>622</v>
      </c>
      <c r="AB110" s="12">
        <f>-Segments!AB45</f>
        <v>49</v>
      </c>
      <c r="AC110" s="12">
        <f>-Segments!AC45</f>
        <v>21953</v>
      </c>
      <c r="AD110" s="12">
        <f>-Segments!AD45</f>
        <v>3684</v>
      </c>
      <c r="AE110" s="12">
        <f>-Segments!AE45</f>
        <v>-250</v>
      </c>
      <c r="AF110" s="5">
        <f>-Segments!AF45</f>
        <v>25436</v>
      </c>
      <c r="AG110" s="12">
        <f>-Segments!AG45</f>
        <v>-107</v>
      </c>
      <c r="AH110" s="12">
        <f>-Segments!AH45</f>
        <v>298</v>
      </c>
      <c r="AI110" s="12">
        <f>-Segments!AI45</f>
        <v>187</v>
      </c>
      <c r="AJ110" s="12">
        <f>-Segments!AJ45</f>
        <v>-2620</v>
      </c>
      <c r="AK110" s="5">
        <f>-Segments!AK45</f>
        <v>-2242</v>
      </c>
      <c r="AL110" s="12">
        <f>-Segments!AL45</f>
        <v>-130</v>
      </c>
      <c r="AM110" s="12">
        <f>-Segments!AM45</f>
        <v>3447</v>
      </c>
      <c r="AN110" s="12">
        <f>-Segments!AN45</f>
        <v>483</v>
      </c>
      <c r="AO110" s="12">
        <f>-Segments!AO45</f>
        <v>1845</v>
      </c>
      <c r="AP110" s="5">
        <f>-Segments!AP45</f>
        <v>5645</v>
      </c>
      <c r="AQ110" s="12">
        <f>-Segments!AQ45</f>
        <v>-12381</v>
      </c>
      <c r="AR110" s="12">
        <f>-Segments!AR45</f>
        <v>312</v>
      </c>
      <c r="AS110" s="12">
        <f>-Segments!AS45</f>
        <v>514</v>
      </c>
      <c r="AT110" s="12">
        <f>-Segments!AT45</f>
        <v>1302</v>
      </c>
      <c r="AU110" s="5">
        <f>-Segments!AU45</f>
        <v>-10253</v>
      </c>
      <c r="AV110" s="12">
        <f>-Segments!AV45</f>
        <v>-250</v>
      </c>
      <c r="AW110" s="12">
        <f>-Segments!AW45</f>
        <v>453</v>
      </c>
      <c r="AX110" s="12">
        <f>-Segments!AX45</f>
        <v>652</v>
      </c>
      <c r="AY110" s="12">
        <f>-Segments!AY45</f>
        <v>3208</v>
      </c>
      <c r="AZ110" s="5">
        <f>-Segments!AZ45</f>
        <v>4063</v>
      </c>
      <c r="BA110" s="12">
        <f>-Segments!BA45</f>
        <v>-432.17000000000007</v>
      </c>
      <c r="BB110" s="12">
        <f>-Segments!BB45</f>
        <v>7579</v>
      </c>
      <c r="BC110" s="12">
        <f>-Segments!BC45</f>
        <v>585</v>
      </c>
      <c r="BD110" s="12">
        <f>-Segments!BD45</f>
        <v>2429</v>
      </c>
      <c r="BE110" s="5">
        <f>-Segments!BE45</f>
        <v>10160.83</v>
      </c>
      <c r="BF110" s="12">
        <f ca="1">-Segments!BF45</f>
        <v>1017</v>
      </c>
      <c r="BG110" s="12">
        <f ca="1">-Segments!BG45</f>
        <v>2967</v>
      </c>
      <c r="BH110" s="12">
        <f>-Segments!BH45</f>
        <v>-728</v>
      </c>
      <c r="BI110" s="12">
        <f>-Segments!BI45</f>
        <v>328</v>
      </c>
      <c r="BJ110" s="5">
        <f ca="1">-Segments!BJ45</f>
        <v>3584</v>
      </c>
      <c r="BK110" s="12">
        <f>-Segments!BK45</f>
        <v>98</v>
      </c>
      <c r="BL110" s="12">
        <f>-Segments!BL45</f>
        <v>131</v>
      </c>
      <c r="BM110" s="12">
        <f>-Segments!BM45</f>
        <v>486</v>
      </c>
      <c r="BN110" s="12">
        <f>-Segments!BN45</f>
        <v>2690</v>
      </c>
      <c r="BO110" s="5">
        <f>-Segments!BO45</f>
        <v>3405</v>
      </c>
      <c r="BP110" s="12">
        <f>-Segments!BP45</f>
        <v>72.961622542768964</v>
      </c>
      <c r="BQ110" s="12">
        <f>-Segments!BQ45</f>
        <v>66.468877098002849</v>
      </c>
      <c r="BR110" s="12">
        <f>-Segments!BR45</f>
        <v>62.902390939838369</v>
      </c>
      <c r="BS110" s="12">
        <f>-Segments!BS45</f>
        <v>61.783626145981543</v>
      </c>
      <c r="BT110" s="5">
        <f>-Segments!BT45</f>
        <v>264.11651672659173</v>
      </c>
      <c r="BU110" s="12">
        <f>-Segments!BU45</f>
        <v>74.592210184679061</v>
      </c>
      <c r="BV110" s="12">
        <f>-Segments!BV45</f>
        <v>73.969889203313869</v>
      </c>
      <c r="BW110" s="12">
        <f>-Segments!BW45</f>
        <v>66.761382533848519</v>
      </c>
      <c r="BX110" s="12">
        <f>-Segments!BX45</f>
        <v>66.095899886167899</v>
      </c>
      <c r="BY110" s="5">
        <f>-Segments!BY45</f>
        <v>281.41938180800935</v>
      </c>
      <c r="BZ110" s="12">
        <f>-Segments!BZ45</f>
        <v>76.387316331898546</v>
      </c>
      <c r="CA110" s="12">
        <f>-Segments!CA45</f>
        <v>76.878877649223796</v>
      </c>
      <c r="CB110" s="12">
        <f>-Segments!CB45</f>
        <v>69.655899840945494</v>
      </c>
      <c r="CC110" s="12">
        <f>-Segments!CC45</f>
        <v>70.104143705628303</v>
      </c>
      <c r="CD110" s="5">
        <f>-Segments!CD45</f>
        <v>293.02623752769614</v>
      </c>
      <c r="CE110" s="5"/>
      <c r="CF110" s="5"/>
      <c r="CG110" s="5"/>
      <c r="CH110" s="5"/>
      <c r="CI110" s="5"/>
      <c r="CJ110" s="5"/>
      <c r="CK110" s="5"/>
      <c r="CL110" s="5"/>
    </row>
    <row r="111" spans="1:90">
      <c r="A111" s="4"/>
      <c r="B111" s="4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12"/>
      <c r="X111" s="12"/>
      <c r="Y111" s="12"/>
      <c r="Z111" s="12"/>
      <c r="AA111" s="5"/>
      <c r="AB111" s="12"/>
      <c r="AC111" s="12"/>
      <c r="AD111" s="12"/>
      <c r="AE111" s="12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</row>
    <row r="112" spans="1:90">
      <c r="A112" s="4"/>
      <c r="B112" s="4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</row>
    <row r="113" spans="1:90">
      <c r="A113" s="7" t="s">
        <v>2692</v>
      </c>
      <c r="B113" s="7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</row>
    <row r="114" spans="1:90">
      <c r="A114" s="5"/>
      <c r="B114" s="4" t="s">
        <v>2147</v>
      </c>
      <c r="C114" s="125">
        <f>C104+SUM(C109:C110)/C91</f>
        <v>9.0246045694200347E-2</v>
      </c>
      <c r="D114" s="125">
        <f>D104+SUM(D109:D110)/D91</f>
        <v>8.9514682971280748E-2</v>
      </c>
      <c r="E114" s="125">
        <f>E104+SUM(E109:E110)/E91</f>
        <v>0.15003594290213262</v>
      </c>
      <c r="F114" s="125">
        <f>F104+SUM(F109:F110)/F91</f>
        <v>0.18465091863517061</v>
      </c>
      <c r="G114" s="125">
        <f>G104+SUM(G109:G110)/G91</f>
        <v>0.2188387987853799</v>
      </c>
      <c r="H114" s="236">
        <f>4*(H100+H109+H110)/H91</f>
        <v>0.23551666425604892</v>
      </c>
      <c r="I114" s="236">
        <f>4*(I100+I109+I110)/I91</f>
        <v>0.26515348144624656</v>
      </c>
      <c r="J114" s="236">
        <f>4*(J100+J109+J110)/J91</f>
        <v>0.2300854838547278</v>
      </c>
      <c r="K114" s="236">
        <f>4*(K100+K109+K110)/K91</f>
        <v>0.1506355130336465</v>
      </c>
      <c r="L114" s="125">
        <f>L104+SUM(L109:L110)/L91</f>
        <v>0.21341659635421778</v>
      </c>
      <c r="M114" s="236">
        <f>4*(M100+M109+M110)/M91</f>
        <v>0.17556038543697469</v>
      </c>
      <c r="N114" s="236">
        <f>4*(N100+N109+N110)/N91</f>
        <v>0.21227855357593267</v>
      </c>
      <c r="O114" s="236">
        <f>4*(O100+O109+O110)/O91</f>
        <v>0.17013203595077891</v>
      </c>
      <c r="P114" s="236">
        <f>4*(P100+P109+P110)/P91</f>
        <v>0.16568103389945191</v>
      </c>
      <c r="Q114" s="125">
        <f>Q104+SUM(Q109:Q110)/Q91</f>
        <v>0.17614575146275435</v>
      </c>
      <c r="R114" s="236">
        <f>4*(R100+R109+R110)/R91</f>
        <v>0.21487714683520667</v>
      </c>
      <c r="S114" s="236">
        <f>4*(S100+S109+S110)/S91</f>
        <v>0.27668054381817686</v>
      </c>
      <c r="T114" s="236">
        <f>4*(T100+T109+T110)/T91</f>
        <v>0.28368124997610022</v>
      </c>
      <c r="U114" s="236">
        <f>4*(U100+U109+U110)/U91</f>
        <v>9.7108069445347556E-2</v>
      </c>
      <c r="V114" s="125">
        <f>V104+SUM(V109:V110)/V91</f>
        <v>0.23203706567579652</v>
      </c>
      <c r="W114" s="236">
        <f>4*(W100+W109+W110)/W91</f>
        <v>9.6242216568001943E-2</v>
      </c>
      <c r="X114" s="236">
        <f>4*(X100+X109+X110)/X91</f>
        <v>0.10457544457635463</v>
      </c>
      <c r="Y114" s="236">
        <f>4*(Y100+Y109+Y110)/Y91</f>
        <v>0.1546540593154685</v>
      </c>
      <c r="Z114" s="236">
        <f>4*(Z100+Z109+Z110)/Z91</f>
        <v>0.14478262908596351</v>
      </c>
      <c r="AA114" s="125">
        <f>AA104+SUM(AA109:AA110)/AA91</f>
        <v>0.126097174533739</v>
      </c>
      <c r="AB114" s="236">
        <f>4*(AB100+AB109+AB110)/AB91</f>
        <v>0.18278795938010986</v>
      </c>
      <c r="AC114" s="236">
        <f>4*(AC100+AC109+AC110)/AC91</f>
        <v>0.17433165778878135</v>
      </c>
      <c r="AD114" s="236">
        <f>4*(AD100+AD109+AD110)/AD91</f>
        <v>0.20476462975516563</v>
      </c>
      <c r="AE114" s="236">
        <f>4*(AE100+AE109+AE110)/AE91</f>
        <v>0.15565685454159434</v>
      </c>
      <c r="AF114" s="125">
        <f>AF104+SUM(AF109:AF110)/AF91</f>
        <v>0.17228085967371909</v>
      </c>
      <c r="AG114" s="236">
        <f>4*(AG100+AG109+AG110)/AG91</f>
        <v>0.18099701210882216</v>
      </c>
      <c r="AH114" s="236">
        <f>4*(AH100+AH109+AH110)/AH91</f>
        <v>0.17788025299293023</v>
      </c>
      <c r="AI114" s="236">
        <f>4*(AI100+AI109+AI110)/AI91</f>
        <v>0.16961437380333574</v>
      </c>
      <c r="AJ114" s="236">
        <f>4*(AJ100+AJ109+AJ110)/AJ91</f>
        <v>0.15050485969783264</v>
      </c>
      <c r="AK114" s="125">
        <f>AK104+SUM(AK109:AK110)/AK91</f>
        <v>0.17208658909381488</v>
      </c>
      <c r="AL114" s="236">
        <f>4*(AL100+AL109+AL110)/AL91</f>
        <v>0.13703887487849475</v>
      </c>
      <c r="AM114" s="236">
        <f>4*(AM100+AM109+AM110)/AM91</f>
        <v>0.10482831825113703</v>
      </c>
      <c r="AN114" s="236">
        <f>4*(AN100+AN109+AN110)/AN91</f>
        <v>0.14502086179522208</v>
      </c>
      <c r="AO114" s="236">
        <f>4*(AO100+AO109+AO110)/AO91</f>
        <v>0.11306314396131409</v>
      </c>
      <c r="AP114" s="125">
        <f>AP104+SUM(AP109:AP110)/AP91</f>
        <v>0.12755465750933973</v>
      </c>
      <c r="AQ114" s="236">
        <f>4*(AQ100+AQ109+AQ110)/AQ91</f>
        <v>0.11974020756611983</v>
      </c>
      <c r="AR114" s="236">
        <f>4*(AR100+AR109+AR110)/AR91</f>
        <v>7.9113048777629327E-2</v>
      </c>
      <c r="AS114" s="236">
        <f>4*(AS100+AS109+AS110)/AS91</f>
        <v>0.10518338286033385</v>
      </c>
      <c r="AT114" s="236">
        <f>4*(AT100+AT109+AT110)/AT91</f>
        <v>7.8522629537672625E-2</v>
      </c>
      <c r="AU114" s="125">
        <f>AU104+SUM(AU109:AU110)/AU91</f>
        <v>9.4467581358133185E-2</v>
      </c>
      <c r="AV114" s="236">
        <f>4*(AV100+AV109+AV110)/AV91</f>
        <v>8.9593490726206884E-2</v>
      </c>
      <c r="AW114" s="236">
        <f>4*(AW100+AW109+AW110)/AW91</f>
        <v>9.8533082752194967E-2</v>
      </c>
      <c r="AX114" s="236">
        <f>4*(AX100+AX109+AX110)/AX91</f>
        <v>8.4367181237891567E-2</v>
      </c>
      <c r="AY114" s="236">
        <f>4*(AY100+AY109+AY110)/AY91</f>
        <v>6.8971797637894558E-2</v>
      </c>
      <c r="AZ114" s="125">
        <f>AZ104+SUM(AZ109:AZ110)/AZ91</f>
        <v>8.965018573602182E-2</v>
      </c>
      <c r="BA114" s="236">
        <f>4*(BA100+BA109+BA110)/BA91</f>
        <v>5.567291286751621E-2</v>
      </c>
      <c r="BB114" s="236">
        <f ca="1">4*(BB100+BB109+BB110)/BB91</f>
        <v>4.5725643163411135E-2</v>
      </c>
      <c r="BC114" s="236">
        <f ca="1">4*(BC100+BC109+BC110)/BC91</f>
        <v>6.189692813874112E-2</v>
      </c>
      <c r="BD114" s="236">
        <f ca="1">4*(BD100+BD109+BD110)/BD91</f>
        <v>1.106569665598813E-2</v>
      </c>
      <c r="BE114" s="125">
        <f>BE104+SUM(BE109:BE110)/BE91</f>
        <v>4.4429683517376459E-2</v>
      </c>
      <c r="BF114" s="236">
        <f ca="1">4*(BF100+BF109+BF110)/BF91</f>
        <v>2.3144370171021788E-2</v>
      </c>
      <c r="BG114" s="236">
        <f ca="1">4*(BG100+BG109+BG110)/BG91</f>
        <v>2.9481871390973018E-2</v>
      </c>
      <c r="BH114" s="236">
        <f ca="1">4*(BH100+BH109+BH110)/BH91</f>
        <v>3.4569582567935644E-2</v>
      </c>
      <c r="BI114" s="236">
        <f ca="1">4*(BI100+BI109+BI110)/BI91</f>
        <v>2.0062574389473235E-2</v>
      </c>
      <c r="BJ114" s="125">
        <f ca="1">BJ104+SUM(BJ109:BJ110)/BJ91</f>
        <v>2.6552321619780005E-2</v>
      </c>
      <c r="BK114" s="236">
        <f ca="1">4*(BK100+BK109+BK110)/BK91</f>
        <v>5.2646489131121757E-2</v>
      </c>
      <c r="BL114" s="236">
        <f ca="1">4*(BL100+BL109+BL110)/BL91</f>
        <v>2.7117216848447451E-2</v>
      </c>
      <c r="BM114" s="236">
        <f ca="1">4*(BM100+BM109+BM110)/BM91</f>
        <v>6.0526627792927279E-2</v>
      </c>
      <c r="BN114" s="236">
        <f ca="1">4*(BN100+BN109+BN110)/BN91</f>
        <v>7.0823537869801223E-2</v>
      </c>
      <c r="BO114" s="125">
        <f ca="1">BO104+SUM(BO109:BO110)/BO91</f>
        <v>5.3930005524513637E-2</v>
      </c>
      <c r="BP114" s="236">
        <f ca="1">4*(BP100+BP109+BP110)/BP91</f>
        <v>7.0533856636703571E-2</v>
      </c>
      <c r="BQ114" s="236">
        <f ca="1">4*(BQ100+BQ109+BQ110)/BQ91</f>
        <v>9.430306586508809E-2</v>
      </c>
      <c r="BR114" s="236">
        <f ca="1">4*(BR100+BR109+BR110)/BR91</f>
        <v>9.5215924790727408E-2</v>
      </c>
      <c r="BS114" s="236">
        <f ca="1">4*(BS100+BS109+BS110)/BS91</f>
        <v>8.4270163251558172E-2</v>
      </c>
      <c r="BT114" s="125">
        <f ca="1">BT104+SUM(BT109:BT110)/BT91</f>
        <v>8.7508631816033064E-2</v>
      </c>
      <c r="BU114" s="236">
        <f ca="1">4*(BU100+BU109+BU110)/BU91</f>
        <v>8.6132352674160889E-2</v>
      </c>
      <c r="BV114" s="236">
        <f ca="1">4*(BV100+BV109+BV110)/BV91</f>
        <v>8.5333712433831213E-2</v>
      </c>
      <c r="BW114" s="236">
        <f ca="1">4*(BW100+BW109+BW110)/BW91</f>
        <v>8.8523827470932556E-2</v>
      </c>
      <c r="BX114" s="236">
        <f ca="1">4*(BX100+BX109+BX110)/BX91</f>
        <v>8.5693613890607825E-2</v>
      </c>
      <c r="BY114" s="125">
        <f ca="1">BY104+SUM(BY109:BY110)/BY91</f>
        <v>8.6441291725161198E-2</v>
      </c>
      <c r="BZ114" s="236">
        <f ca="1">4*(BZ100+BZ109+BZ110)/BZ91</f>
        <v>9.861302377151622E-2</v>
      </c>
      <c r="CA114" s="236">
        <f ca="1">4*(CA100+CA109+CA110)/CA91</f>
        <v>9.8229826505610643E-2</v>
      </c>
      <c r="CB114" s="236">
        <f ca="1">4*(CB100+CB109+CB110)/CB91</f>
        <v>0.10190164177757358</v>
      </c>
      <c r="CC114" s="236">
        <f ca="1">4*(CC100+CC109+CC110)/CC91</f>
        <v>9.9841089396282612E-2</v>
      </c>
      <c r="CD114" s="125">
        <f ca="1">CD104+SUM(CD109:CD110)/CD91</f>
        <v>9.9795687860962781E-2</v>
      </c>
      <c r="CE114" s="5"/>
      <c r="CF114" s="5"/>
      <c r="CG114" s="5"/>
      <c r="CH114" s="5"/>
      <c r="CI114" s="5"/>
      <c r="CJ114" s="5"/>
      <c r="CK114" s="5"/>
      <c r="CL114" s="5"/>
    </row>
    <row r="115" spans="1:90" ht="12.75" customHeight="1">
      <c r="A115" s="213"/>
      <c r="B115" s="14" t="s">
        <v>2690</v>
      </c>
      <c r="C115" s="237">
        <f>C114</f>
        <v>9.0246045694200347E-2</v>
      </c>
      <c r="D115" s="237">
        <f>D114</f>
        <v>8.9514682971280748E-2</v>
      </c>
      <c r="E115" s="237">
        <f>E114</f>
        <v>0.15003594290213262</v>
      </c>
      <c r="F115" s="237">
        <f>F114</f>
        <v>0.18465091863517061</v>
      </c>
      <c r="G115" s="237">
        <f>G114</f>
        <v>0.2188387987853799</v>
      </c>
      <c r="H115" s="238">
        <f>SUM(H100,D100:F100,H109:H110,D109:F110)/AVERAGE(H90,D89)</f>
        <v>0.48413373559523221</v>
      </c>
      <c r="I115" s="238">
        <f>SUM(H100:I100,E100:F100,H109:I110,E109:F110)/AVERAGE(I90,E89)</f>
        <v>0.47204781447103861</v>
      </c>
      <c r="J115" s="238">
        <f>SUM(H100:J100,F100,H109:J110,F109:F110)/AVERAGE(J90,F89)</f>
        <v>0.36813600378423611</v>
      </c>
      <c r="K115" s="238">
        <f>SUM(H100:K100,H109:K110)/AVERAGE(K90,H89)</f>
        <v>0.21341659635421772</v>
      </c>
      <c r="L115" s="237">
        <f>L114</f>
        <v>0.21341659635421778</v>
      </c>
      <c r="M115" s="238">
        <f>SUM(M100,I100:K100,M109:M110,I109:K110)/AVERAGE(M90,I89)</f>
        <v>0.20337510164493339</v>
      </c>
      <c r="N115" s="238">
        <f>SUM(M100:N100,J100:K100,M109:N110,J109:K110)/AVERAGE(N90,J89)</f>
        <v>0.19423028689394381</v>
      </c>
      <c r="O115" s="238">
        <f>SUM(M100:O100,K100,M109:O110,K109:K110)/AVERAGE(O90,K89)</f>
        <v>0.17766788636878797</v>
      </c>
      <c r="P115" s="238">
        <f>SUM(M100:P100,M109:P110)/AVERAGE(P90,M89)</f>
        <v>0.17614575146275435</v>
      </c>
      <c r="Q115" s="237">
        <f>Q114</f>
        <v>0.17614575146275435</v>
      </c>
      <c r="R115" s="238">
        <f>SUM(R100,N100:P100,R109:R110,N109:P110)/AVERAGE(R90,N89)</f>
        <v>0.19057983835123438</v>
      </c>
      <c r="S115" s="238">
        <f>SUM(R100:S100,O100:P100,R109:S110,O109:P110)/AVERAGE(S90,O89)</f>
        <v>0.2071354820132047</v>
      </c>
      <c r="T115" s="238">
        <f>SUM(R100:T100,P100,R109:T110,P109:P110)/AVERAGE(T90,P89)</f>
        <v>0.24390221845879387</v>
      </c>
      <c r="U115" s="238">
        <f>SUM(R100:U100,R109:U110)/AVERAGE(U90,R89)</f>
        <v>0.23203706567579652</v>
      </c>
      <c r="V115" s="237">
        <f>V114</f>
        <v>0.23203706567579652</v>
      </c>
      <c r="W115" s="238">
        <f>SUM(W100,S100:U100,W109:W110,S109:U110)/AVERAGE(W90,S89)</f>
        <v>0.19826295954627626</v>
      </c>
      <c r="X115" s="238">
        <f>SUM(W100:X100,T100:U100,W109:X110,T109:U110)/AVERAGE(X90,T89)</f>
        <v>0.14208286115946434</v>
      </c>
      <c r="Y115" s="238">
        <f>SUM(W100:Y100,U100,W109:Y110,U109:U110)/AVERAGE(Y90,U89)</f>
        <v>0.10791192677723918</v>
      </c>
      <c r="Z115" s="238">
        <f>SUM(W100:Z100,W109:Z110)/AVERAGE(Z90,W89)</f>
        <v>0.126097174533739</v>
      </c>
      <c r="AA115" s="237">
        <f>AA114</f>
        <v>0.126097174533739</v>
      </c>
      <c r="AB115" s="238">
        <f>SUM(AB100,X100:Z100,AB109:AB110,X109:Z110)/AVERAGE(AB90,X89)</f>
        <v>0.14985452388350609</v>
      </c>
      <c r="AC115" s="238">
        <f>SUM(AB100:AC100,Y100:Z100,AB109:AC110,Y109:Z110)/AVERAGE(AC90,Y89)</f>
        <v>0.17647715319290866</v>
      </c>
      <c r="AD115" s="238">
        <f>SUM(AB100:AD100,Z100,AB109:AD110,Z109:Z110)/AVERAGE(AD90,Z89)</f>
        <v>0.1761869584559439</v>
      </c>
      <c r="AE115" s="238">
        <f>SUM(AB100:AE100,AB109:AE110)/AVERAGE(AE90,AB89)</f>
        <v>0.17228085967371909</v>
      </c>
      <c r="AF115" s="237">
        <f>AF114</f>
        <v>0.17228085967371909</v>
      </c>
      <c r="AG115" s="238">
        <f>SUM(AG100,AC100:AE100,AG109:AG110,AC109:AE110)/AVERAGE(AG90,AC89)</f>
        <v>0.16391810030574969</v>
      </c>
      <c r="AH115" s="238">
        <f>SUM(AG100:AH100,AD100:AE100,AG109:AH110,AD109:AE110)/AVERAGE(AH90,AD89)</f>
        <v>0.18029089846555932</v>
      </c>
      <c r="AI115" s="238">
        <f>SUM(AG100:AI100,AE100,AG109:AI110,AE109:AE110)/AVERAGE(AI90,AE89)</f>
        <v>0.17396266737642227</v>
      </c>
      <c r="AJ115" s="238">
        <f>SUM(AG100:AJ100,AG109:AJ110)/AVERAGE(AJ90,AG89)</f>
        <v>0.17208658909381491</v>
      </c>
      <c r="AK115" s="237">
        <f>AK114</f>
        <v>0.17208658909381488</v>
      </c>
      <c r="AL115" s="238">
        <f>SUM(AL100,AH100:AJ100,AL109:AL110,AH109:AJ110)/AVERAGE(AL90,AH89)</f>
        <v>0.15611341148729027</v>
      </c>
      <c r="AM115" s="238">
        <f>SUM(AL100:AM100,AI100:AJ100,AL109:AM110,AI109:AJ110)/AVERAGE(AM90,AI89)</f>
        <v>0.14171365344438119</v>
      </c>
      <c r="AN115" s="238">
        <f>SUM(AL100:AN100,AJ100,AL109:AN110,AJ109:AJ110)/AVERAGE(AN90,AJ89)</f>
        <v>0.1354245325344948</v>
      </c>
      <c r="AO115" s="238">
        <f>SUM(AL100:AO100,AL109:AO110)/AVERAGE(AO90,AL89)</f>
        <v>0.12755465750933973</v>
      </c>
      <c r="AP115" s="237">
        <f>AP114</f>
        <v>0.12755465750933973</v>
      </c>
      <c r="AQ115" s="238">
        <f>SUM(AQ100,AM100:AO100,AQ109:AQ110,AM109:AO110)/AVERAGE(AQ90,AM89)</f>
        <v>0.11957475889844707</v>
      </c>
      <c r="AR115" s="238">
        <f>SUM(AQ100:AR100,AN100:AO100,AQ109:AR110,AN109:AO110)/AVERAGE(AR90,AN89)</f>
        <v>0.11578968784120117</v>
      </c>
      <c r="AS115" s="238">
        <f>SUM(AQ100:AS100,AO100,AQ109:AS110,AO109:AO110)/AVERAGE(AS90,AO89)</f>
        <v>0.10287515015879807</v>
      </c>
      <c r="AT115" s="238">
        <f>SUM(AQ100:AT100,AQ109:AT110)/AVERAGE(AT90,AQ89)</f>
        <v>9.4467581358133185E-2</v>
      </c>
      <c r="AU115" s="237">
        <f>AU114</f>
        <v>9.4467581358133185E-2</v>
      </c>
      <c r="AV115" s="238">
        <f>SUM(AV100,AR100:AT100,AV109:AV110,AR109:AT110)/AVERAGE(AV90,AR89)</f>
        <v>8.7794274357515967E-2</v>
      </c>
      <c r="AW115" s="238">
        <f>SUM(AV100:AW100,AS100:AT100,AV109:AW110,AS109:AT110)/AVERAGE(AW90,AS89)</f>
        <v>9.3421618031954368E-2</v>
      </c>
      <c r="AX115" s="238">
        <f>SUM(AV100:AX100,AT100,AV109:AX110,AT109:AT110)/AVERAGE(AX90,AT89)</f>
        <v>9.0409229617210776E-2</v>
      </c>
      <c r="AY115" s="238">
        <f>SUM(AW100:AY100,AV100,AW109:AY110,AV109:AV110)/AVERAGE(AY90,AV89)</f>
        <v>8.965018573602182E-2</v>
      </c>
      <c r="AZ115" s="237">
        <f>AZ114</f>
        <v>8.965018573602182E-2</v>
      </c>
      <c r="BA115" s="238">
        <f>SUM(BA100,AW100:AY100,BA109:BA110,AW109:AY110)/AVERAGE(BA90,AW89)</f>
        <v>7.8396706009279712E-2</v>
      </c>
      <c r="BB115" s="238">
        <f ca="1">SUM(BA100:BB100,AX100:AY100,BA109:BB110,AX109:AY110)/AVERAGE(BB90,AX89)</f>
        <v>6.3005815796364426E-2</v>
      </c>
      <c r="BC115" s="238">
        <f ca="1">SUM(BA100:BC100,AY100,BA109:BC110,AY109:AY110)/AVERAGE(BC90,AY89)</f>
        <v>5.6867198653610326E-2</v>
      </c>
      <c r="BD115" s="238">
        <f ca="1">SUM(BB100:BD100,BA100,BB109:BD110,BA109:BA110)/AVERAGE(BD90,BA89)</f>
        <v>4.4429683517376452E-2</v>
      </c>
      <c r="BE115" s="237">
        <f>BE114</f>
        <v>4.4429683517376459E-2</v>
      </c>
      <c r="BF115" s="238">
        <f ca="1">SUM(BF100,BB100:BD100,BF109:BF110,BB109:BD110)/AVERAGE(BF90,BB89)</f>
        <v>3.4953481879437698E-2</v>
      </c>
      <c r="BG115" s="238">
        <f ca="1">SUM(BF100:BG100,BC100:BD100,BF109:BG110,BC109:BD110)/AVERAGE(BG90,BC89)</f>
        <v>3.1255616149722679E-2</v>
      </c>
      <c r="BH115" s="238">
        <f ca="1">SUM(BF100:BH100,BD100,BF109:BH110,BD109:BD110)/AVERAGE(BH90,BD89)</f>
        <v>2.4459493432216706E-2</v>
      </c>
      <c r="BI115" s="238">
        <f ca="1">SUM(BF100:BI100,BF109:BI110)/AVERAGE(BI90,BF89)</f>
        <v>2.6552321619780005E-2</v>
      </c>
      <c r="BJ115" s="237">
        <f ca="1">BJ114</f>
        <v>2.6552321619780005E-2</v>
      </c>
      <c r="BK115" s="238">
        <f ca="1">SUM(BK100,BG100:BI100,BK109:BK110,BG109:BI110)/AVERAGE(BK90,BG89)</f>
        <v>3.3486963987167322E-2</v>
      </c>
      <c r="BL115" s="238">
        <f ca="1">SUM(BK100:BL100,BH100:BI100,BK109:BL110,BH109:BI110)/AVERAGE(BL90,BH89)</f>
        <v>3.3588897332078198E-2</v>
      </c>
      <c r="BM115" s="238">
        <f ca="1">SUM(BK100:BM100,BI100,BK109:BM110,BI109:BI110)/AVERAGE(BM90,BI89)</f>
        <v>4.0963755930574747E-2</v>
      </c>
      <c r="BN115" s="238">
        <f ca="1">SUM(BK100:BN100,BK109:BN110)/AVERAGE(BN90,BK89)</f>
        <v>5.3930005524513644E-2</v>
      </c>
      <c r="BO115" s="237">
        <f ca="1">BO114</f>
        <v>5.3930005524513637E-2</v>
      </c>
      <c r="BP115" s="238">
        <f ca="1">SUM(BP100,BL100:BN100,BP109:BP110,BL109:BN110)/AVERAGE(BP90,BL89)</f>
        <v>5.6890767721644628E-2</v>
      </c>
      <c r="BQ115" s="238">
        <f ca="1">SUM(BP100:BQ100,BM100:BN100,BP109:BQ110,BM109:BN110)/AVERAGE(BQ90,BM89)</f>
        <v>7.396523473702897E-2</v>
      </c>
      <c r="BR115" s="238">
        <f ca="1">SUM(BP100:BR100,BN100,BP109:BR110,BN109:BN110)/AVERAGE(BR90,BN89)</f>
        <v>8.2856945521080611E-2</v>
      </c>
      <c r="BS115" s="238">
        <f ca="1">SUM(BP100:BS100,BP109:BS110)/AVERAGE(BS90,BP89)</f>
        <v>8.7508631816033064E-2</v>
      </c>
      <c r="BT115" s="237">
        <f ca="1">BT114</f>
        <v>8.7508631816033064E-2</v>
      </c>
      <c r="BU115" s="238">
        <f ca="1">SUM(BU100,BQ100:BS100,BU109:BU110,BQ109:BS110)/AVERAGE(BU90,BQ89)</f>
        <v>9.0371634264513501E-2</v>
      </c>
      <c r="BV115" s="238">
        <f ca="1">SUM(BU100:BV100,BR100:BS100,BU109:BV110,BR109:BS110)/AVERAGE(BV90,BR89)</f>
        <v>8.7572015150564828E-2</v>
      </c>
      <c r="BW115" s="238">
        <f ca="1">SUM(BU100:BW100,BS100,BU109:BW110,BS109:BS110)/AVERAGE(BW90,BS89)</f>
        <v>8.6114806939579583E-2</v>
      </c>
      <c r="BX115" s="238">
        <f ca="1">SUM(BU100:BX100,BU109:BX110)/AVERAGE(BX90,BU89)</f>
        <v>8.6441291725161212E-2</v>
      </c>
      <c r="BY115" s="237">
        <f ca="1">BY114</f>
        <v>8.6441291725161198E-2</v>
      </c>
      <c r="BZ115" s="238">
        <f ca="1">SUM(BZ100,BV100:BX100,BZ109:BZ110,BV109:BX110)/AVERAGE(BZ90,BV89)</f>
        <v>8.9754043254653193E-2</v>
      </c>
      <c r="CA115" s="238">
        <f ca="1">SUM(BZ100:CA100,BW100:BX100,BZ109:CA110,BW109:BX110)/AVERAGE(CA90,BW89)</f>
        <v>9.2333758175057068E-2</v>
      </c>
      <c r="CB115" s="238">
        <f ca="1">SUM(BZ100:CB100,BX100,BZ109:CB110,BX109:BX110)/AVERAGE(CB90,BX89)</f>
        <v>9.6093318755689702E-2</v>
      </c>
      <c r="CC115" s="238">
        <f ca="1">SUM(BZ100:CC100,BZ109:CC110)/AVERAGE(CC90,BZ89)</f>
        <v>9.9795687860962767E-2</v>
      </c>
      <c r="CD115" s="237">
        <f ca="1">CD114</f>
        <v>9.9795687860962781E-2</v>
      </c>
      <c r="CE115" s="5"/>
      <c r="CF115" s="5"/>
      <c r="CG115" s="5"/>
      <c r="CH115" s="5"/>
      <c r="CI115" s="5"/>
      <c r="CJ115" s="5"/>
      <c r="CK115" s="5"/>
      <c r="CL115" s="5"/>
    </row>
    <row r="116" spans="1:90">
      <c r="A116" s="4"/>
      <c r="B116" s="4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</row>
    <row r="117" spans="1:90">
      <c r="A117" s="4"/>
      <c r="B117" s="4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</row>
    <row r="118" spans="1:90">
      <c r="A118" s="4" t="s">
        <v>2693</v>
      </c>
      <c r="B118" s="5"/>
      <c r="C118" s="116">
        <v>0.35</v>
      </c>
      <c r="D118" s="116">
        <v>0.35</v>
      </c>
      <c r="E118" s="116">
        <v>0.35</v>
      </c>
      <c r="F118" s="116">
        <v>0.35</v>
      </c>
      <c r="G118" s="116">
        <v>0.35</v>
      </c>
      <c r="H118" s="117">
        <v>0.35</v>
      </c>
      <c r="I118" s="117">
        <v>0.35</v>
      </c>
      <c r="J118" s="117">
        <v>0.35</v>
      </c>
      <c r="K118" s="117">
        <v>0.35</v>
      </c>
      <c r="L118" s="116">
        <v>0.35</v>
      </c>
      <c r="M118" s="117">
        <v>0.35</v>
      </c>
      <c r="N118" s="117">
        <v>0.35</v>
      </c>
      <c r="O118" s="117">
        <v>0.35</v>
      </c>
      <c r="P118" s="117">
        <v>0.35</v>
      </c>
      <c r="Q118" s="116">
        <v>0.35</v>
      </c>
      <c r="R118" s="117">
        <v>0.35</v>
      </c>
      <c r="S118" s="117">
        <v>0.35</v>
      </c>
      <c r="T118" s="117">
        <v>0.35</v>
      </c>
      <c r="U118" s="117">
        <v>0.35</v>
      </c>
      <c r="V118" s="116">
        <v>0.35</v>
      </c>
      <c r="W118" s="117">
        <v>0.35</v>
      </c>
      <c r="X118" s="117">
        <v>0.35</v>
      </c>
      <c r="Y118" s="117">
        <v>0.35</v>
      </c>
      <c r="Z118" s="117">
        <v>0.35</v>
      </c>
      <c r="AA118" s="116">
        <v>0.35</v>
      </c>
      <c r="AB118" s="117">
        <v>0.35</v>
      </c>
      <c r="AC118" s="117">
        <v>0.35</v>
      </c>
      <c r="AD118" s="117">
        <v>0.35</v>
      </c>
      <c r="AE118" s="117">
        <v>0.35</v>
      </c>
      <c r="AF118" s="116">
        <v>0.35</v>
      </c>
      <c r="AG118" s="117">
        <v>0.35</v>
      </c>
      <c r="AH118" s="117">
        <v>0.35</v>
      </c>
      <c r="AI118" s="117">
        <v>0.35</v>
      </c>
      <c r="AJ118" s="117">
        <v>0.35</v>
      </c>
      <c r="AK118" s="116">
        <v>0.35</v>
      </c>
      <c r="AL118" s="117">
        <v>0.35</v>
      </c>
      <c r="AM118" s="117">
        <v>0.35</v>
      </c>
      <c r="AN118" s="117">
        <v>0.35</v>
      </c>
      <c r="AO118" s="117">
        <v>0.35</v>
      </c>
      <c r="AP118" s="116">
        <v>0.35</v>
      </c>
      <c r="AQ118" s="117">
        <v>0.35</v>
      </c>
      <c r="AR118" s="117">
        <v>0.35</v>
      </c>
      <c r="AS118" s="117">
        <v>0.35</v>
      </c>
      <c r="AT118" s="117">
        <v>0.35</v>
      </c>
      <c r="AU118" s="116">
        <v>0.35</v>
      </c>
      <c r="AV118" s="117">
        <v>0.35</v>
      </c>
      <c r="AW118" s="117">
        <v>0.35</v>
      </c>
      <c r="AX118" s="117">
        <v>0.35</v>
      </c>
      <c r="AY118" s="117">
        <v>0.35</v>
      </c>
      <c r="AZ118" s="116">
        <v>0.35</v>
      </c>
      <c r="BA118" s="117">
        <v>0.35</v>
      </c>
      <c r="BB118" s="117">
        <v>0.35</v>
      </c>
      <c r="BC118" s="117">
        <v>0.35</v>
      </c>
      <c r="BD118" s="117">
        <v>0.35</v>
      </c>
      <c r="BE118" s="116">
        <v>0.35</v>
      </c>
      <c r="BF118" s="117">
        <v>0.35</v>
      </c>
      <c r="BG118" s="117">
        <v>0.35</v>
      </c>
      <c r="BH118" s="117">
        <v>0.35</v>
      </c>
      <c r="BI118" s="117">
        <v>0.35</v>
      </c>
      <c r="BJ118" s="116">
        <v>0.35</v>
      </c>
      <c r="BK118" s="117">
        <v>0.35</v>
      </c>
      <c r="BL118" s="720">
        <v>0.35</v>
      </c>
      <c r="BM118" s="720">
        <v>0.35</v>
      </c>
      <c r="BN118" s="720">
        <v>0.35</v>
      </c>
      <c r="BO118" s="116">
        <v>0.35</v>
      </c>
      <c r="BP118" s="117">
        <v>0.35</v>
      </c>
      <c r="BQ118" s="117">
        <v>0.35</v>
      </c>
      <c r="BR118" s="117">
        <v>0.35</v>
      </c>
      <c r="BS118" s="117">
        <v>0.35</v>
      </c>
      <c r="BT118" s="116">
        <v>0.35</v>
      </c>
      <c r="BU118" s="117">
        <v>0.35</v>
      </c>
      <c r="BV118" s="117">
        <v>0.35</v>
      </c>
      <c r="BW118" s="117">
        <v>0.35</v>
      </c>
      <c r="BX118" s="117">
        <v>0.35</v>
      </c>
      <c r="BY118" s="116">
        <v>0.35</v>
      </c>
      <c r="BZ118" s="117">
        <v>0.35</v>
      </c>
      <c r="CA118" s="117">
        <v>0.35</v>
      </c>
      <c r="CB118" s="117">
        <v>0.35</v>
      </c>
      <c r="CC118" s="117">
        <v>0.35</v>
      </c>
      <c r="CD118" s="116">
        <v>0.35</v>
      </c>
      <c r="CE118" s="5"/>
      <c r="CF118" s="5"/>
      <c r="CG118" s="5"/>
      <c r="CH118" s="5"/>
      <c r="CI118" s="5"/>
      <c r="CJ118" s="5"/>
      <c r="CK118" s="5"/>
      <c r="CL118" s="5"/>
    </row>
    <row r="119" spans="1:90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</row>
    <row r="120" spans="1:90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</row>
    <row r="121" spans="1:90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</row>
    <row r="122" spans="1:90">
      <c r="A122" s="9" t="s">
        <v>3456</v>
      </c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</row>
    <row r="123" spans="1:90" ht="12.75" customHeight="1">
      <c r="A123" s="211" t="s">
        <v>2206</v>
      </c>
      <c r="B123" s="10"/>
      <c r="C123" s="31">
        <v>2001</v>
      </c>
      <c r="D123" s="32">
        <v>2002</v>
      </c>
      <c r="E123" s="32">
        <v>2003</v>
      </c>
      <c r="F123" s="32">
        <v>2004</v>
      </c>
      <c r="G123" s="31">
        <v>2005</v>
      </c>
      <c r="H123" s="33" t="s">
        <v>714</v>
      </c>
      <c r="I123" s="33" t="s">
        <v>715</v>
      </c>
      <c r="J123" s="33" t="s">
        <v>716</v>
      </c>
      <c r="K123" s="33" t="s">
        <v>717</v>
      </c>
      <c r="L123" s="31">
        <v>2006</v>
      </c>
      <c r="M123" s="33" t="s">
        <v>718</v>
      </c>
      <c r="N123" s="33" t="s">
        <v>719</v>
      </c>
      <c r="O123" s="33" t="s">
        <v>1970</v>
      </c>
      <c r="P123" s="33" t="s">
        <v>1971</v>
      </c>
      <c r="Q123" s="31">
        <v>2007</v>
      </c>
      <c r="R123" s="33" t="s">
        <v>1972</v>
      </c>
      <c r="S123" s="33" t="s">
        <v>1973</v>
      </c>
      <c r="T123" s="33" t="s">
        <v>1974</v>
      </c>
      <c r="U123" s="33" t="s">
        <v>1975</v>
      </c>
      <c r="V123" s="31">
        <v>2008</v>
      </c>
      <c r="W123" s="33" t="s">
        <v>1976</v>
      </c>
      <c r="X123" s="33" t="s">
        <v>1977</v>
      </c>
      <c r="Y123" s="33" t="s">
        <v>1978</v>
      </c>
      <c r="Z123" s="33" t="s">
        <v>1979</v>
      </c>
      <c r="AA123" s="31">
        <v>2009</v>
      </c>
      <c r="AB123" s="33" t="s">
        <v>1980</v>
      </c>
      <c r="AC123" s="33" t="s">
        <v>1981</v>
      </c>
      <c r="AD123" s="33" t="s">
        <v>1982</v>
      </c>
      <c r="AE123" s="33" t="s">
        <v>2392</v>
      </c>
      <c r="AF123" s="31">
        <v>2010</v>
      </c>
      <c r="AG123" s="33" t="s">
        <v>2393</v>
      </c>
      <c r="AH123" s="33" t="s">
        <v>2394</v>
      </c>
      <c r="AI123" s="33" t="s">
        <v>2395</v>
      </c>
      <c r="AJ123" s="33" t="s">
        <v>2396</v>
      </c>
      <c r="AK123" s="31">
        <v>2011</v>
      </c>
      <c r="AL123" s="368" t="s">
        <v>2397</v>
      </c>
      <c r="AM123" s="368" t="s">
        <v>2398</v>
      </c>
      <c r="AN123" s="368" t="s">
        <v>2399</v>
      </c>
      <c r="AO123" s="368" t="s">
        <v>2400</v>
      </c>
      <c r="AP123" s="369">
        <v>2012</v>
      </c>
      <c r="AQ123" s="368" t="s">
        <v>2401</v>
      </c>
      <c r="AR123" s="368" t="s">
        <v>2402</v>
      </c>
      <c r="AS123" s="368" t="s">
        <v>2403</v>
      </c>
      <c r="AT123" s="368" t="s">
        <v>2404</v>
      </c>
      <c r="AU123" s="369">
        <v>2013</v>
      </c>
      <c r="AV123" s="368" t="s">
        <v>2405</v>
      </c>
      <c r="AW123" s="368" t="s">
        <v>2406</v>
      </c>
      <c r="AX123" s="368" t="s">
        <v>2407</v>
      </c>
      <c r="AY123" s="368" t="s">
        <v>2408</v>
      </c>
      <c r="AZ123" s="369">
        <v>2014</v>
      </c>
      <c r="BA123" s="368" t="s">
        <v>2409</v>
      </c>
      <c r="BB123" s="368" t="s">
        <v>2410</v>
      </c>
      <c r="BC123" s="368" t="s">
        <v>2411</v>
      </c>
      <c r="BD123" s="368" t="s">
        <v>2412</v>
      </c>
      <c r="BE123" s="31">
        <v>2015</v>
      </c>
      <c r="BF123" s="368" t="s">
        <v>2413</v>
      </c>
      <c r="BG123" s="368" t="s">
        <v>2414</v>
      </c>
      <c r="BH123" s="368" t="s">
        <v>2415</v>
      </c>
      <c r="BI123" s="368" t="s">
        <v>2416</v>
      </c>
      <c r="BJ123" s="31">
        <v>2016</v>
      </c>
      <c r="BK123" s="368" t="s">
        <v>2417</v>
      </c>
      <c r="BL123" s="368" t="s">
        <v>2418</v>
      </c>
      <c r="BM123" s="368" t="s">
        <v>2419</v>
      </c>
      <c r="BN123" s="363" t="s">
        <v>2420</v>
      </c>
      <c r="BO123" s="31">
        <v>2017</v>
      </c>
      <c r="BP123" s="363" t="s">
        <v>2244</v>
      </c>
      <c r="BQ123" s="363" t="s">
        <v>2245</v>
      </c>
      <c r="BR123" s="363" t="s">
        <v>2508</v>
      </c>
      <c r="BS123" s="363" t="s">
        <v>2509</v>
      </c>
      <c r="BT123" s="364">
        <v>2018</v>
      </c>
      <c r="BU123" s="363" t="s">
        <v>2510</v>
      </c>
      <c r="BV123" s="363" t="s">
        <v>2511</v>
      </c>
      <c r="BW123" s="363" t="s">
        <v>3125</v>
      </c>
      <c r="BX123" s="363" t="s">
        <v>1405</v>
      </c>
      <c r="BY123" s="364">
        <v>2019</v>
      </c>
      <c r="BZ123" s="363" t="s">
        <v>1406</v>
      </c>
      <c r="CA123" s="363" t="s">
        <v>1407</v>
      </c>
      <c r="CB123" s="363" t="s">
        <v>1408</v>
      </c>
      <c r="CC123" s="363" t="s">
        <v>1409</v>
      </c>
      <c r="CD123" s="364">
        <v>2020</v>
      </c>
      <c r="CE123" s="11"/>
      <c r="CF123" s="249" t="s">
        <v>2882</v>
      </c>
      <c r="CG123" s="11"/>
      <c r="CH123" s="11"/>
      <c r="CI123" s="11"/>
      <c r="CJ123" s="11"/>
      <c r="CK123" s="11"/>
      <c r="CL123" s="11"/>
    </row>
    <row r="124" spans="1:90">
      <c r="A124" s="4" t="s">
        <v>3457</v>
      </c>
      <c r="B124" s="5"/>
      <c r="C124" s="5">
        <f t="shared" ref="C124:AH124" si="107">SUMIF($CF$11:$CF$64,$CF124,C$11:C$64)+SUMIF($CF$144:$CF$158,$CF124,C$144:C$158)+SUMIF($CF$168:$CF$182,$CF124,C$168:C$182)</f>
        <v>123518</v>
      </c>
      <c r="D124" s="5">
        <f t="shared" si="107"/>
        <v>140722</v>
      </c>
      <c r="E124" s="5">
        <f t="shared" si="107"/>
        <v>150354</v>
      </c>
      <c r="F124" s="5">
        <f t="shared" si="107"/>
        <v>172024</v>
      </c>
      <c r="G124" s="5">
        <f t="shared" si="107"/>
        <v>182393</v>
      </c>
      <c r="H124" s="12">
        <f t="shared" si="107"/>
        <v>182228</v>
      </c>
      <c r="I124" s="12">
        <f t="shared" si="107"/>
        <v>184222</v>
      </c>
      <c r="J124" s="12">
        <f t="shared" si="107"/>
        <v>186691</v>
      </c>
      <c r="K124" s="12">
        <f t="shared" si="107"/>
        <v>191448</v>
      </c>
      <c r="L124" s="5">
        <f t="shared" si="107"/>
        <v>191448</v>
      </c>
      <c r="M124" s="12">
        <f t="shared" si="107"/>
        <v>191313</v>
      </c>
      <c r="N124" s="12">
        <f t="shared" si="107"/>
        <v>195793</v>
      </c>
      <c r="O124" s="12">
        <f t="shared" si="107"/>
        <v>199191</v>
      </c>
      <c r="P124" s="12">
        <f t="shared" si="107"/>
        <v>206993</v>
      </c>
      <c r="Q124" s="5">
        <f t="shared" si="107"/>
        <v>206993</v>
      </c>
      <c r="R124" s="12">
        <f t="shared" si="107"/>
        <v>216841</v>
      </c>
      <c r="S124" s="12">
        <f t="shared" si="107"/>
        <v>246927</v>
      </c>
      <c r="T124" s="12">
        <f t="shared" si="107"/>
        <v>218518</v>
      </c>
      <c r="U124" s="12">
        <f t="shared" si="107"/>
        <v>190365</v>
      </c>
      <c r="V124" s="5">
        <f t="shared" si="107"/>
        <v>190365</v>
      </c>
      <c r="W124" s="12">
        <f t="shared" si="107"/>
        <v>185045</v>
      </c>
      <c r="X124" s="12">
        <f t="shared" si="107"/>
        <v>193855</v>
      </c>
      <c r="Y124" s="12">
        <f t="shared" si="107"/>
        <v>193596</v>
      </c>
      <c r="Z124" s="12">
        <f t="shared" si="107"/>
        <v>196764</v>
      </c>
      <c r="AA124" s="5">
        <f t="shared" si="107"/>
        <v>196764</v>
      </c>
      <c r="AB124" s="12">
        <f t="shared" si="107"/>
        <v>202475</v>
      </c>
      <c r="AC124" s="12">
        <f t="shared" si="107"/>
        <v>201000</v>
      </c>
      <c r="AD124" s="12">
        <f t="shared" si="107"/>
        <v>205231</v>
      </c>
      <c r="AE124" s="12">
        <f t="shared" si="107"/>
        <v>212283</v>
      </c>
      <c r="AF124" s="5">
        <f t="shared" si="107"/>
        <v>212283</v>
      </c>
      <c r="AG124" s="12">
        <f t="shared" si="107"/>
        <v>224567</v>
      </c>
      <c r="AH124" s="12">
        <f t="shared" si="107"/>
        <v>229545</v>
      </c>
      <c r="AI124" s="12">
        <f t="shared" ref="AI124:BN124" si="108">SUMIF($CF$11:$CF$64,$CF124,AI$11:AI$64)+SUMIF($CF$144:$CF$158,$CF124,AI$144:AI$158)+SUMIF($CF$168:$CF$182,$CF124,AI$168:AI$182)</f>
        <v>232676</v>
      </c>
      <c r="AJ124" s="12">
        <f t="shared" si="108"/>
        <v>236774</v>
      </c>
      <c r="AK124" s="5">
        <f t="shared" si="108"/>
        <v>236774</v>
      </c>
      <c r="AL124" s="12">
        <f t="shared" si="108"/>
        <v>246661</v>
      </c>
      <c r="AM124" s="12">
        <f t="shared" si="108"/>
        <v>235793</v>
      </c>
      <c r="AN124" s="12">
        <f t="shared" si="108"/>
        <v>242512</v>
      </c>
      <c r="AO124" s="12">
        <f t="shared" si="108"/>
        <v>251704</v>
      </c>
      <c r="AP124" s="5">
        <f t="shared" si="108"/>
        <v>251704</v>
      </c>
      <c r="AQ124" s="12">
        <f t="shared" si="108"/>
        <v>249608</v>
      </c>
      <c r="AR124" s="12">
        <f t="shared" si="108"/>
        <v>245651</v>
      </c>
      <c r="AS124" s="12">
        <f t="shared" si="108"/>
        <v>249844</v>
      </c>
      <c r="AT124" s="12">
        <f t="shared" si="108"/>
        <v>249641</v>
      </c>
      <c r="AU124" s="5">
        <f t="shared" si="108"/>
        <v>249641</v>
      </c>
      <c r="AV124" s="12">
        <f t="shared" si="108"/>
        <v>250338</v>
      </c>
      <c r="AW124" s="12">
        <f t="shared" si="108"/>
        <v>254566</v>
      </c>
      <c r="AX124" s="12">
        <f t="shared" si="108"/>
        <v>247424</v>
      </c>
      <c r="AY124" s="12">
        <f t="shared" si="108"/>
        <v>229315</v>
      </c>
      <c r="AZ124" s="5">
        <f t="shared" si="108"/>
        <v>229315</v>
      </c>
      <c r="BA124" s="12">
        <f t="shared" si="108"/>
        <v>225370</v>
      </c>
      <c r="BB124" s="12">
        <f t="shared" si="108"/>
        <v>227638</v>
      </c>
      <c r="BC124" s="12">
        <f t="shared" si="108"/>
        <v>219429</v>
      </c>
      <c r="BD124" s="12">
        <f t="shared" si="108"/>
        <v>215173</v>
      </c>
      <c r="BE124" s="5">
        <f t="shared" si="108"/>
        <v>215173</v>
      </c>
      <c r="BF124" s="12">
        <f t="shared" si="108"/>
        <v>214880</v>
      </c>
      <c r="BG124" s="12">
        <f t="shared" si="108"/>
        <v>218101</v>
      </c>
      <c r="BH124" s="12">
        <f t="shared" si="108"/>
        <v>213248</v>
      </c>
      <c r="BI124" s="12">
        <f t="shared" si="108"/>
        <v>215328</v>
      </c>
      <c r="BJ124" s="5">
        <f t="shared" si="108"/>
        <v>215328</v>
      </c>
      <c r="BK124" s="12">
        <f t="shared" si="108"/>
        <v>215052</v>
      </c>
      <c r="BL124" s="12">
        <f t="shared" si="108"/>
        <v>214050</v>
      </c>
      <c r="BM124" s="12">
        <f t="shared" si="108"/>
        <v>221183</v>
      </c>
      <c r="BN124" s="12">
        <f t="shared" ca="1" si="108"/>
        <v>223676</v>
      </c>
      <c r="BO124" s="5">
        <f t="shared" ref="BO124:CD124" ca="1" si="109">SUMIF($CF$11:$CF$64,$CF124,BO$11:BO$64)+SUMIF($CF$144:$CF$158,$CF124,BO$144:BO$158)+SUMIF($CF$168:$CF$182,$CF124,BO$168:BO$182)</f>
        <v>223676</v>
      </c>
      <c r="BP124" s="12">
        <f t="shared" ca="1" si="109"/>
        <v>222845.00263029922</v>
      </c>
      <c r="BQ124" s="12">
        <f t="shared" ca="1" si="109"/>
        <v>222323.60225118423</v>
      </c>
      <c r="BR124" s="12">
        <f t="shared" ca="1" si="109"/>
        <v>221059.50357224577</v>
      </c>
      <c r="BS124" s="12">
        <f t="shared" ca="1" si="109"/>
        <v>219878.36587360679</v>
      </c>
      <c r="BT124" s="5">
        <f t="shared" ca="1" si="109"/>
        <v>219878.36587360679</v>
      </c>
      <c r="BU124" s="12">
        <f t="shared" ca="1" si="109"/>
        <v>217718.41373889946</v>
      </c>
      <c r="BV124" s="12">
        <f t="shared" ca="1" si="109"/>
        <v>216463.13134174302</v>
      </c>
      <c r="BW124" s="12">
        <f t="shared" ca="1" si="109"/>
        <v>215207.84894458656</v>
      </c>
      <c r="BX124" s="12">
        <f t="shared" ca="1" si="109"/>
        <v>213952.56654743012</v>
      </c>
      <c r="BY124" s="5">
        <f t="shared" ca="1" si="109"/>
        <v>213952.56654743012</v>
      </c>
      <c r="BZ124" s="12">
        <f t="shared" ca="1" si="109"/>
        <v>212693.73140337458</v>
      </c>
      <c r="CA124" s="12">
        <f t="shared" ca="1" si="109"/>
        <v>211435.84981654852</v>
      </c>
      <c r="CB124" s="12">
        <f t="shared" ca="1" si="109"/>
        <v>210178.92769161321</v>
      </c>
      <c r="CC124" s="12">
        <f t="shared" ca="1" si="109"/>
        <v>208922.97096979298</v>
      </c>
      <c r="CD124" s="5">
        <f t="shared" ca="1" si="109"/>
        <v>208922.97096979298</v>
      </c>
      <c r="CE124" s="5"/>
      <c r="CF124" s="312" t="s">
        <v>2883</v>
      </c>
      <c r="CG124" s="5"/>
      <c r="CH124" s="5"/>
      <c r="CI124" s="5"/>
      <c r="CJ124" s="5"/>
      <c r="CK124" s="5"/>
      <c r="CL124" s="5"/>
    </row>
    <row r="125" spans="1:90">
      <c r="A125" s="4" t="s">
        <v>3458</v>
      </c>
      <c r="B125" s="5"/>
      <c r="C125" s="5">
        <f t="shared" ref="C125:AH125" si="110">-(SUMIF($CF$11:$CF$64,$CF125,C$11:C$64)+SUMIF($CF$144:$CF$158,$CF125,C$144:C$158)+SUMIF($CF$168:$CF$182,$CF125,C$168:C$182))</f>
        <v>-54546</v>
      </c>
      <c r="D125" s="5">
        <f t="shared" si="110"/>
        <v>-68975</v>
      </c>
      <c r="E125" s="5">
        <f t="shared" si="110"/>
        <v>-79902</v>
      </c>
      <c r="F125" s="5">
        <f t="shared" si="110"/>
        <v>-93304</v>
      </c>
      <c r="G125" s="5">
        <f t="shared" si="110"/>
        <v>-106987</v>
      </c>
      <c r="H125" s="12">
        <f t="shared" si="110"/>
        <v>-107534</v>
      </c>
      <c r="I125" s="12">
        <f t="shared" si="110"/>
        <v>-110325</v>
      </c>
      <c r="J125" s="12">
        <f t="shared" si="110"/>
        <v>-108483</v>
      </c>
      <c r="K125" s="12">
        <f t="shared" si="110"/>
        <v>-108126</v>
      </c>
      <c r="L125" s="5">
        <f t="shared" si="110"/>
        <v>-108126</v>
      </c>
      <c r="M125" s="12">
        <f t="shared" si="110"/>
        <v>-107379</v>
      </c>
      <c r="N125" s="12">
        <f t="shared" si="110"/>
        <v>-108717</v>
      </c>
      <c r="O125" s="12">
        <f t="shared" si="110"/>
        <v>-108872</v>
      </c>
      <c r="P125" s="12">
        <f t="shared" si="110"/>
        <v>-110379</v>
      </c>
      <c r="Q125" s="5">
        <f t="shared" si="110"/>
        <v>-110379</v>
      </c>
      <c r="R125" s="12">
        <f t="shared" si="110"/>
        <v>-122776</v>
      </c>
      <c r="S125" s="12">
        <f t="shared" si="110"/>
        <v>-146888</v>
      </c>
      <c r="T125" s="12">
        <f t="shared" si="110"/>
        <v>-121032</v>
      </c>
      <c r="U125" s="12">
        <f t="shared" si="110"/>
        <v>-102925</v>
      </c>
      <c r="V125" s="5">
        <f t="shared" si="110"/>
        <v>-102925</v>
      </c>
      <c r="W125" s="12">
        <f t="shared" si="110"/>
        <v>-97326</v>
      </c>
      <c r="X125" s="12">
        <f t="shared" si="110"/>
        <v>-100170</v>
      </c>
      <c r="Y125" s="12">
        <f t="shared" si="110"/>
        <v>-97787</v>
      </c>
      <c r="Z125" s="12">
        <f t="shared" si="110"/>
        <v>-99228</v>
      </c>
      <c r="AA125" s="5">
        <f t="shared" si="110"/>
        <v>-99228</v>
      </c>
      <c r="AB125" s="12">
        <f t="shared" si="110"/>
        <v>-103506</v>
      </c>
      <c r="AC125" s="12">
        <f t="shared" si="110"/>
        <v>-103111</v>
      </c>
      <c r="AD125" s="12">
        <f t="shared" si="110"/>
        <v>-103069</v>
      </c>
      <c r="AE125" s="12">
        <f t="shared" si="110"/>
        <v>-109469</v>
      </c>
      <c r="AF125" s="5">
        <f t="shared" si="110"/>
        <v>-109469</v>
      </c>
      <c r="AG125" s="12">
        <f t="shared" si="110"/>
        <v>-117350</v>
      </c>
      <c r="AH125" s="12">
        <f t="shared" si="110"/>
        <v>-118713</v>
      </c>
      <c r="AI125" s="12">
        <f t="shared" ref="AI125:BG125" si="111">-(SUMIF($CF$11:$CF$64,$CF125,AI$11:AI$64)+SUMIF($CF$144:$CF$158,$CF125,AI$144:AI$158)+SUMIF($CF$168:$CF$182,$CF125,AI$168:AI$182))</f>
        <v>-120619</v>
      </c>
      <c r="AJ125" s="12">
        <f t="shared" si="111"/>
        <v>-123390</v>
      </c>
      <c r="AK125" s="5">
        <f t="shared" si="111"/>
        <v>-123390</v>
      </c>
      <c r="AL125" s="12">
        <f t="shared" si="111"/>
        <v>-126340</v>
      </c>
      <c r="AM125" s="12">
        <f t="shared" si="111"/>
        <v>-121559</v>
      </c>
      <c r="AN125" s="12">
        <f t="shared" si="111"/>
        <v>-124041</v>
      </c>
      <c r="AO125" s="12">
        <f t="shared" si="111"/>
        <v>-119881</v>
      </c>
      <c r="AP125" s="5">
        <f t="shared" si="111"/>
        <v>-119881</v>
      </c>
      <c r="AQ125" s="12">
        <f t="shared" si="111"/>
        <v>-122046</v>
      </c>
      <c r="AR125" s="12">
        <f t="shared" si="111"/>
        <v>-118125</v>
      </c>
      <c r="AS125" s="12">
        <f t="shared" si="111"/>
        <v>-119221</v>
      </c>
      <c r="AT125" s="12">
        <f t="shared" si="111"/>
        <v>-116477</v>
      </c>
      <c r="AU125" s="5">
        <f t="shared" si="111"/>
        <v>-116477</v>
      </c>
      <c r="AV125" s="12">
        <f t="shared" si="111"/>
        <v>-116935</v>
      </c>
      <c r="AW125" s="12">
        <f t="shared" si="111"/>
        <v>-119453</v>
      </c>
      <c r="AX125" s="12">
        <f t="shared" si="111"/>
        <v>-118688</v>
      </c>
      <c r="AY125" s="12">
        <f t="shared" si="111"/>
        <v>-108691</v>
      </c>
      <c r="AZ125" s="5">
        <f t="shared" si="111"/>
        <v>-108691</v>
      </c>
      <c r="BA125" s="12">
        <f t="shared" si="111"/>
        <v>-103996</v>
      </c>
      <c r="BB125" s="12">
        <f t="shared" si="111"/>
        <v>-105295</v>
      </c>
      <c r="BC125" s="12">
        <f t="shared" si="111"/>
        <v>-98710</v>
      </c>
      <c r="BD125" s="12">
        <f t="shared" si="111"/>
        <v>-95994</v>
      </c>
      <c r="BE125" s="5">
        <f t="shared" si="111"/>
        <v>-95994</v>
      </c>
      <c r="BF125" s="12">
        <f t="shared" si="111"/>
        <v>-93896</v>
      </c>
      <c r="BG125" s="12">
        <f t="shared" si="111"/>
        <v>-98501</v>
      </c>
      <c r="BH125" s="12">
        <f t="shared" ref="BH125:CD125" si="112">-(SUMIF($CF$11:$CF$64,$CF125,BH$11:BH$64)+SUMIF($CF$144:$CF$158,$CF125,BH$144:BH$158)+SUMIF($CF$168:$CF$182,$CF125,BH$168:BH$182))</f>
        <v>-97842</v>
      </c>
      <c r="BI125" s="12">
        <f t="shared" si="112"/>
        <v>-97245</v>
      </c>
      <c r="BJ125" s="5">
        <f t="shared" si="112"/>
        <v>-97245</v>
      </c>
      <c r="BK125" s="12">
        <f t="shared" si="112"/>
        <v>-95028</v>
      </c>
      <c r="BL125" s="12">
        <f t="shared" si="112"/>
        <v>-94637</v>
      </c>
      <c r="BM125" s="12">
        <f t="shared" si="112"/>
        <v>-98940</v>
      </c>
      <c r="BN125" s="12">
        <f t="shared" si="112"/>
        <v>-101660</v>
      </c>
      <c r="BO125" s="5">
        <f t="shared" si="112"/>
        <v>-101660</v>
      </c>
      <c r="BP125" s="12">
        <f t="shared" ca="1" si="112"/>
        <v>-97231.588935146545</v>
      </c>
      <c r="BQ125" s="12">
        <f t="shared" ca="1" si="112"/>
        <v>-97360.528595683514</v>
      </c>
      <c r="BR125" s="12">
        <f t="shared" ca="1" si="112"/>
        <v>-97098.489930721305</v>
      </c>
      <c r="BS125" s="12">
        <f t="shared" ca="1" si="112"/>
        <v>-96880.124376586115</v>
      </c>
      <c r="BT125" s="5">
        <f t="shared" ca="1" si="112"/>
        <v>-96880.124376586115</v>
      </c>
      <c r="BU125" s="12">
        <f t="shared" ca="1" si="112"/>
        <v>-96403.879501377029</v>
      </c>
      <c r="BV125" s="12">
        <f t="shared" ca="1" si="112"/>
        <v>-96403.879501377029</v>
      </c>
      <c r="BW125" s="12">
        <f t="shared" ca="1" si="112"/>
        <v>-96403.879501377029</v>
      </c>
      <c r="BX125" s="12">
        <f t="shared" ca="1" si="112"/>
        <v>-96403.879501377029</v>
      </c>
      <c r="BY125" s="5">
        <f t="shared" ca="1" si="112"/>
        <v>-96403.879501377029</v>
      </c>
      <c r="BZ125" s="12">
        <f t="shared" ca="1" si="112"/>
        <v>-96484.94551018659</v>
      </c>
      <c r="CA125" s="12">
        <f t="shared" ca="1" si="112"/>
        <v>-96566.513499691355</v>
      </c>
      <c r="CB125" s="12">
        <f t="shared" ca="1" si="112"/>
        <v>-96648.586578279399</v>
      </c>
      <c r="CC125" s="12">
        <f t="shared" ca="1" si="112"/>
        <v>-96731.167873586775</v>
      </c>
      <c r="CD125" s="5">
        <f t="shared" ca="1" si="112"/>
        <v>-96731.167873586775</v>
      </c>
      <c r="CE125" s="5"/>
      <c r="CF125" s="312" t="s">
        <v>2884</v>
      </c>
      <c r="CG125" s="5"/>
      <c r="CH125" s="5"/>
      <c r="CI125" s="5"/>
      <c r="CJ125" s="5"/>
      <c r="CK125" s="5"/>
      <c r="CL125" s="5"/>
    </row>
    <row r="126" spans="1:90">
      <c r="A126" s="202" t="s">
        <v>1169</v>
      </c>
      <c r="B126" s="5"/>
      <c r="C126" s="5">
        <f t="shared" ref="C126:AH126" si="113">SUMIF($CF$11:$CF$64,$CF126,C$11:C$64)+SUMIF($CF$144:$CF$158,$CF126,C$144:C$158)+SUMIF($CF$168:$CF$182,$CF126,C$168:C$182)</f>
        <v>9294</v>
      </c>
      <c r="D126" s="5">
        <f t="shared" si="113"/>
        <v>8657</v>
      </c>
      <c r="E126" s="5">
        <f t="shared" si="113"/>
        <v>17777</v>
      </c>
      <c r="F126" s="5">
        <f t="shared" si="113"/>
        <v>20042</v>
      </c>
      <c r="G126" s="5">
        <f t="shared" si="113"/>
        <v>19773</v>
      </c>
      <c r="H126" s="12">
        <f t="shared" si="113"/>
        <v>20378</v>
      </c>
      <c r="I126" s="12">
        <f t="shared" si="113"/>
        <v>21447</v>
      </c>
      <c r="J126" s="12">
        <f t="shared" si="113"/>
        <v>21060</v>
      </c>
      <c r="K126" s="12">
        <f t="shared" si="113"/>
        <v>21049</v>
      </c>
      <c r="L126" s="5">
        <f t="shared" si="113"/>
        <v>21049</v>
      </c>
      <c r="M126" s="12">
        <f t="shared" si="113"/>
        <v>21223</v>
      </c>
      <c r="N126" s="12">
        <f t="shared" si="113"/>
        <v>20937</v>
      </c>
      <c r="O126" s="12">
        <f t="shared" si="113"/>
        <v>21344</v>
      </c>
      <c r="P126" s="12">
        <f t="shared" si="113"/>
        <v>22692</v>
      </c>
      <c r="Q126" s="5">
        <f t="shared" si="113"/>
        <v>22692</v>
      </c>
      <c r="R126" s="12">
        <f t="shared" si="113"/>
        <v>27468</v>
      </c>
      <c r="S126" s="12">
        <f t="shared" si="113"/>
        <v>29484</v>
      </c>
      <c r="T126" s="12">
        <f t="shared" si="113"/>
        <v>29061</v>
      </c>
      <c r="U126" s="12">
        <f t="shared" si="113"/>
        <v>27826</v>
      </c>
      <c r="V126" s="5">
        <f t="shared" si="113"/>
        <v>27826</v>
      </c>
      <c r="W126" s="12">
        <f t="shared" si="113"/>
        <v>27879</v>
      </c>
      <c r="X126" s="12">
        <f t="shared" si="113"/>
        <v>28195</v>
      </c>
      <c r="Y126" s="12">
        <f t="shared" si="113"/>
        <v>29119</v>
      </c>
      <c r="Z126" s="12">
        <f t="shared" si="113"/>
        <v>28259</v>
      </c>
      <c r="AA126" s="5">
        <f t="shared" si="113"/>
        <v>28259</v>
      </c>
      <c r="AB126" s="12">
        <f t="shared" si="113"/>
        <v>28880</v>
      </c>
      <c r="AC126" s="12">
        <f t="shared" si="113"/>
        <v>28730</v>
      </c>
      <c r="AD126" s="12">
        <f t="shared" si="113"/>
        <v>28378</v>
      </c>
      <c r="AE126" s="12">
        <f t="shared" si="113"/>
        <v>28262</v>
      </c>
      <c r="AF126" s="5">
        <f t="shared" si="113"/>
        <v>28262</v>
      </c>
      <c r="AG126" s="12">
        <f t="shared" si="113"/>
        <v>30102</v>
      </c>
      <c r="AH126" s="12">
        <f t="shared" si="113"/>
        <v>29445</v>
      </c>
      <c r="AI126" s="12">
        <f t="shared" ref="AI126:BG126" si="114">SUMIF($CF$11:$CF$64,$CF126,AI$11:AI$64)+SUMIF($CF$144:$CF$158,$CF126,AI$144:AI$158)+SUMIF($CF$168:$CF$182,$CF126,AI$168:AI$182)</f>
        <v>29349</v>
      </c>
      <c r="AJ126" s="12">
        <f t="shared" si="114"/>
        <v>28809</v>
      </c>
      <c r="AK126" s="5">
        <f t="shared" si="114"/>
        <v>28809</v>
      </c>
      <c r="AL126" s="12">
        <f t="shared" si="114"/>
        <v>29686</v>
      </c>
      <c r="AM126" s="12">
        <f t="shared" si="114"/>
        <v>29549</v>
      </c>
      <c r="AN126" s="12">
        <f t="shared" si="114"/>
        <v>31193</v>
      </c>
      <c r="AO126" s="12">
        <f t="shared" si="114"/>
        <v>18722</v>
      </c>
      <c r="AP126" s="5">
        <f t="shared" si="114"/>
        <v>18722</v>
      </c>
      <c r="AQ126" s="12">
        <f t="shared" si="114"/>
        <v>24778</v>
      </c>
      <c r="AR126" s="12">
        <f t="shared" si="114"/>
        <v>23643</v>
      </c>
      <c r="AS126" s="12">
        <f t="shared" si="114"/>
        <v>24049</v>
      </c>
      <c r="AT126" s="12">
        <f t="shared" si="114"/>
        <v>25835</v>
      </c>
      <c r="AU126" s="5">
        <f t="shared" si="114"/>
        <v>25835</v>
      </c>
      <c r="AV126" s="12">
        <f t="shared" si="114"/>
        <v>25381</v>
      </c>
      <c r="AW126" s="12">
        <f t="shared" si="114"/>
        <v>26543</v>
      </c>
      <c r="AX126" s="12">
        <f t="shared" si="114"/>
        <v>24551</v>
      </c>
      <c r="AY126" s="12">
        <f t="shared" si="114"/>
        <v>19156</v>
      </c>
      <c r="AZ126" s="5">
        <f t="shared" si="114"/>
        <v>19156</v>
      </c>
      <c r="BA126" s="12">
        <f t="shared" si="114"/>
        <v>19183</v>
      </c>
      <c r="BB126" s="12">
        <f t="shared" si="114"/>
        <v>20377</v>
      </c>
      <c r="BC126" s="12">
        <f t="shared" si="114"/>
        <v>18933</v>
      </c>
      <c r="BD126" s="12">
        <f t="shared" si="114"/>
        <v>17834</v>
      </c>
      <c r="BE126" s="5">
        <f t="shared" si="114"/>
        <v>17834</v>
      </c>
      <c r="BF126" s="12">
        <f t="shared" si="114"/>
        <v>18739</v>
      </c>
      <c r="BG126" s="12">
        <f t="shared" si="114"/>
        <v>19545</v>
      </c>
      <c r="BH126" s="12">
        <f t="shared" ref="BH126:CD126" si="115">SUMIF($CF$11:$CF$64,$CF126,BH$11:BH$64)+SUMIF($CF$144:$CF$158,$CF126,BH$144:BH$158)+SUMIF($CF$168:$CF$182,$CF126,BH$168:BH$182)</f>
        <v>21566</v>
      </c>
      <c r="BI126" s="12">
        <f t="shared" si="115"/>
        <v>22701</v>
      </c>
      <c r="BJ126" s="5">
        <f t="shared" si="115"/>
        <v>22701</v>
      </c>
      <c r="BK126" s="12">
        <f t="shared" si="115"/>
        <v>24249</v>
      </c>
      <c r="BL126" s="12">
        <f t="shared" si="115"/>
        <v>23958</v>
      </c>
      <c r="BM126" s="12">
        <f t="shared" si="115"/>
        <v>22624</v>
      </c>
      <c r="BN126" s="12">
        <f t="shared" si="115"/>
        <v>24985</v>
      </c>
      <c r="BO126" s="5">
        <f t="shared" si="115"/>
        <v>24985</v>
      </c>
      <c r="BP126" s="12">
        <f t="shared" ca="1" si="115"/>
        <v>25230.598178349959</v>
      </c>
      <c r="BQ126" s="12">
        <f t="shared" ca="1" si="115"/>
        <v>25760.942388683099</v>
      </c>
      <c r="BR126" s="12">
        <f t="shared" ca="1" si="115"/>
        <v>26071.731311526401</v>
      </c>
      <c r="BS126" s="12">
        <f t="shared" ca="1" si="115"/>
        <v>26593.7127533823</v>
      </c>
      <c r="BT126" s="5">
        <f t="shared" ca="1" si="115"/>
        <v>26593.7127533823</v>
      </c>
      <c r="BU126" s="12">
        <f t="shared" ca="1" si="115"/>
        <v>27135.966845039766</v>
      </c>
      <c r="BV126" s="12">
        <f t="shared" ca="1" si="115"/>
        <v>27685.667990134498</v>
      </c>
      <c r="BW126" s="12">
        <f t="shared" ca="1" si="115"/>
        <v>27851.439310858488</v>
      </c>
      <c r="BX126" s="12">
        <f t="shared" ca="1" si="115"/>
        <v>28392.712654951349</v>
      </c>
      <c r="BY126" s="5">
        <f t="shared" ca="1" si="115"/>
        <v>28392.712654951349</v>
      </c>
      <c r="BZ126" s="12">
        <f t="shared" ca="1" si="115"/>
        <v>29314.6457943243</v>
      </c>
      <c r="CA126" s="12">
        <f t="shared" ca="1" si="115"/>
        <v>30230.251283977381</v>
      </c>
      <c r="CB126" s="12">
        <f t="shared" ca="1" si="115"/>
        <v>30673.169254640488</v>
      </c>
      <c r="CC126" s="12">
        <f t="shared" ca="1" si="115"/>
        <v>31577.404334608014</v>
      </c>
      <c r="CD126" s="5">
        <f t="shared" ca="1" si="115"/>
        <v>31577.404334608014</v>
      </c>
      <c r="CE126" s="5"/>
      <c r="CF126" s="312" t="s">
        <v>3119</v>
      </c>
      <c r="CG126" s="5"/>
      <c r="CH126" s="5"/>
      <c r="CI126" s="5"/>
      <c r="CJ126" s="5"/>
      <c r="CK126" s="5"/>
      <c r="CL126" s="5"/>
    </row>
    <row r="127" spans="1:90" ht="12.75" customHeight="1">
      <c r="A127" s="14" t="s">
        <v>1170</v>
      </c>
      <c r="B127" s="15"/>
      <c r="C127" s="15">
        <f t="shared" ref="C127:AH127" si="116">SUM(C124:C126)</f>
        <v>78266</v>
      </c>
      <c r="D127" s="15">
        <f t="shared" si="116"/>
        <v>80404</v>
      </c>
      <c r="E127" s="15">
        <f t="shared" si="116"/>
        <v>88229</v>
      </c>
      <c r="F127" s="15">
        <f t="shared" si="116"/>
        <v>98762</v>
      </c>
      <c r="G127" s="15">
        <f t="shared" si="116"/>
        <v>95179</v>
      </c>
      <c r="H127" s="67">
        <f t="shared" si="116"/>
        <v>95072</v>
      </c>
      <c r="I127" s="67">
        <f t="shared" si="116"/>
        <v>95344</v>
      </c>
      <c r="J127" s="67">
        <f t="shared" si="116"/>
        <v>99268</v>
      </c>
      <c r="K127" s="67">
        <f t="shared" si="116"/>
        <v>104371</v>
      </c>
      <c r="L127" s="15">
        <f t="shared" si="116"/>
        <v>104371</v>
      </c>
      <c r="M127" s="67">
        <f t="shared" si="116"/>
        <v>105157</v>
      </c>
      <c r="N127" s="67">
        <f t="shared" si="116"/>
        <v>108013</v>
      </c>
      <c r="O127" s="67">
        <f t="shared" si="116"/>
        <v>111663</v>
      </c>
      <c r="P127" s="67">
        <f t="shared" si="116"/>
        <v>119306</v>
      </c>
      <c r="Q127" s="15">
        <f t="shared" si="116"/>
        <v>119306</v>
      </c>
      <c r="R127" s="67">
        <f t="shared" si="116"/>
        <v>121533</v>
      </c>
      <c r="S127" s="67">
        <f t="shared" si="116"/>
        <v>129523</v>
      </c>
      <c r="T127" s="67">
        <f t="shared" si="116"/>
        <v>126547</v>
      </c>
      <c r="U127" s="67">
        <f t="shared" si="116"/>
        <v>115266</v>
      </c>
      <c r="V127" s="15">
        <f t="shared" si="116"/>
        <v>115266</v>
      </c>
      <c r="W127" s="67">
        <f t="shared" si="116"/>
        <v>115598</v>
      </c>
      <c r="X127" s="67">
        <f t="shared" si="116"/>
        <v>121880</v>
      </c>
      <c r="Y127" s="67">
        <f t="shared" si="116"/>
        <v>124928</v>
      </c>
      <c r="Z127" s="67">
        <f t="shared" si="116"/>
        <v>125795</v>
      </c>
      <c r="AA127" s="15">
        <f t="shared" si="116"/>
        <v>125795</v>
      </c>
      <c r="AB127" s="67">
        <f t="shared" si="116"/>
        <v>127849</v>
      </c>
      <c r="AC127" s="67">
        <f t="shared" si="116"/>
        <v>126619</v>
      </c>
      <c r="AD127" s="67">
        <f t="shared" si="116"/>
        <v>130540</v>
      </c>
      <c r="AE127" s="67">
        <f t="shared" si="116"/>
        <v>131076</v>
      </c>
      <c r="AF127" s="15">
        <f t="shared" si="116"/>
        <v>131076</v>
      </c>
      <c r="AG127" s="67">
        <f t="shared" si="116"/>
        <v>137319</v>
      </c>
      <c r="AH127" s="67">
        <f t="shared" si="116"/>
        <v>140277</v>
      </c>
      <c r="AI127" s="67">
        <f t="shared" ref="AI127:BG127" si="117">SUM(AI124:AI126)</f>
        <v>141406</v>
      </c>
      <c r="AJ127" s="67">
        <f t="shared" si="117"/>
        <v>142193</v>
      </c>
      <c r="AK127" s="15">
        <f t="shared" si="117"/>
        <v>142193</v>
      </c>
      <c r="AL127" s="67">
        <f t="shared" si="117"/>
        <v>150007</v>
      </c>
      <c r="AM127" s="67">
        <f t="shared" si="117"/>
        <v>143783</v>
      </c>
      <c r="AN127" s="67">
        <f t="shared" si="117"/>
        <v>149664</v>
      </c>
      <c r="AO127" s="67">
        <f t="shared" si="117"/>
        <v>150545</v>
      </c>
      <c r="AP127" s="15">
        <f t="shared" si="117"/>
        <v>150545</v>
      </c>
      <c r="AQ127" s="67">
        <f t="shared" si="117"/>
        <v>152340</v>
      </c>
      <c r="AR127" s="67">
        <f t="shared" si="117"/>
        <v>151169</v>
      </c>
      <c r="AS127" s="67">
        <f t="shared" si="117"/>
        <v>154672</v>
      </c>
      <c r="AT127" s="67">
        <f t="shared" si="117"/>
        <v>158999</v>
      </c>
      <c r="AU127" s="15">
        <f t="shared" si="117"/>
        <v>158999</v>
      </c>
      <c r="AV127" s="67">
        <f t="shared" si="117"/>
        <v>158784</v>
      </c>
      <c r="AW127" s="67">
        <f t="shared" si="117"/>
        <v>161656</v>
      </c>
      <c r="AX127" s="67">
        <f t="shared" si="117"/>
        <v>153287</v>
      </c>
      <c r="AY127" s="67">
        <f>SUM(AY124:AY126)</f>
        <v>139780</v>
      </c>
      <c r="AZ127" s="15">
        <f t="shared" si="117"/>
        <v>139780</v>
      </c>
      <c r="BA127" s="67">
        <f t="shared" si="117"/>
        <v>140557</v>
      </c>
      <c r="BB127" s="67">
        <f t="shared" si="117"/>
        <v>142720</v>
      </c>
      <c r="BC127" s="67">
        <f t="shared" si="117"/>
        <v>139652</v>
      </c>
      <c r="BD127" s="67">
        <f t="shared" si="117"/>
        <v>137013</v>
      </c>
      <c r="BE127" s="15">
        <f>SUM(BE124:BE126)</f>
        <v>137013</v>
      </c>
      <c r="BF127" s="67">
        <f t="shared" si="117"/>
        <v>139723</v>
      </c>
      <c r="BG127" s="67">
        <f t="shared" si="117"/>
        <v>139145</v>
      </c>
      <c r="BH127" s="67">
        <f t="shared" ref="BH127:CD127" si="118">SUM(BH124:BH126)</f>
        <v>136972</v>
      </c>
      <c r="BI127" s="67">
        <f t="shared" si="118"/>
        <v>140784</v>
      </c>
      <c r="BJ127" s="15">
        <f t="shared" si="118"/>
        <v>140784</v>
      </c>
      <c r="BK127" s="67">
        <f t="shared" si="118"/>
        <v>144273</v>
      </c>
      <c r="BL127" s="67">
        <f t="shared" si="118"/>
        <v>143371</v>
      </c>
      <c r="BM127" s="67">
        <f t="shared" si="118"/>
        <v>144867</v>
      </c>
      <c r="BN127" s="67">
        <f t="shared" ca="1" si="118"/>
        <v>147001</v>
      </c>
      <c r="BO127" s="15">
        <f t="shared" ca="1" si="118"/>
        <v>147001</v>
      </c>
      <c r="BP127" s="67">
        <f t="shared" ca="1" si="118"/>
        <v>150844.01187350263</v>
      </c>
      <c r="BQ127" s="67">
        <f t="shared" ca="1" si="118"/>
        <v>150724.01604418381</v>
      </c>
      <c r="BR127" s="67">
        <f t="shared" ca="1" si="118"/>
        <v>150032.74495305086</v>
      </c>
      <c r="BS127" s="67">
        <f t="shared" ca="1" si="118"/>
        <v>149591.95425040298</v>
      </c>
      <c r="BT127" s="15">
        <f t="shared" ca="1" si="118"/>
        <v>149591.95425040298</v>
      </c>
      <c r="BU127" s="67">
        <f t="shared" ca="1" si="118"/>
        <v>148450.5010825622</v>
      </c>
      <c r="BV127" s="67">
        <f t="shared" ca="1" si="118"/>
        <v>147744.9198305005</v>
      </c>
      <c r="BW127" s="67">
        <f t="shared" ca="1" si="118"/>
        <v>146655.40875406802</v>
      </c>
      <c r="BX127" s="67">
        <f t="shared" ca="1" si="118"/>
        <v>145941.39970100444</v>
      </c>
      <c r="BY127" s="15">
        <f t="shared" ca="1" si="118"/>
        <v>145941.39970100444</v>
      </c>
      <c r="BZ127" s="67">
        <f t="shared" ca="1" si="118"/>
        <v>145523.43168751229</v>
      </c>
      <c r="CA127" s="67">
        <f t="shared" ca="1" si="118"/>
        <v>145099.58760083455</v>
      </c>
      <c r="CB127" s="67">
        <f t="shared" ca="1" si="118"/>
        <v>144203.51036797429</v>
      </c>
      <c r="CC127" s="67">
        <f t="shared" ca="1" si="118"/>
        <v>143769.20743081422</v>
      </c>
      <c r="CD127" s="15">
        <f t="shared" ca="1" si="118"/>
        <v>143769.20743081422</v>
      </c>
      <c r="CE127" s="8"/>
      <c r="CF127" s="313"/>
      <c r="CG127" s="8"/>
      <c r="CH127" s="8"/>
      <c r="CI127" s="8"/>
      <c r="CJ127" s="8"/>
      <c r="CK127" s="8"/>
      <c r="CL127" s="8"/>
    </row>
    <row r="128" spans="1:90">
      <c r="A128" s="4"/>
      <c r="B128" s="5"/>
      <c r="C128" s="5"/>
      <c r="D128" s="5"/>
      <c r="E128" s="5"/>
      <c r="F128" s="5"/>
      <c r="G128" s="5"/>
      <c r="H128" s="12"/>
      <c r="I128" s="12"/>
      <c r="J128" s="12"/>
      <c r="K128" s="12"/>
      <c r="L128" s="5"/>
      <c r="M128" s="12"/>
      <c r="N128" s="12"/>
      <c r="O128" s="12"/>
      <c r="P128" s="12"/>
      <c r="Q128" s="5"/>
      <c r="R128" s="12"/>
      <c r="S128" s="12"/>
      <c r="T128" s="12"/>
      <c r="U128" s="12"/>
      <c r="V128" s="5"/>
      <c r="W128" s="12"/>
      <c r="X128" s="12"/>
      <c r="Y128" s="12"/>
      <c r="Z128" s="12"/>
      <c r="AA128" s="5"/>
      <c r="AB128" s="12"/>
      <c r="AC128" s="12"/>
      <c r="AD128" s="12"/>
      <c r="AE128" s="12"/>
      <c r="AF128" s="5"/>
      <c r="AG128" s="12"/>
      <c r="AH128" s="12"/>
      <c r="AI128" s="12"/>
      <c r="AJ128" s="12"/>
      <c r="AK128" s="5"/>
      <c r="AL128" s="12"/>
      <c r="AM128" s="12"/>
      <c r="AN128" s="12"/>
      <c r="AO128" s="12"/>
      <c r="AP128" s="5"/>
      <c r="AQ128" s="12"/>
      <c r="AR128" s="12"/>
      <c r="AS128" s="12"/>
      <c r="AT128" s="12"/>
      <c r="AU128" s="5"/>
      <c r="AV128" s="12"/>
      <c r="AW128" s="12"/>
      <c r="AX128" s="12"/>
      <c r="AY128" s="12"/>
      <c r="AZ128" s="5"/>
      <c r="BA128" s="12"/>
      <c r="BB128" s="12"/>
      <c r="BC128" s="12"/>
      <c r="BD128" s="12"/>
      <c r="BE128" s="5"/>
      <c r="BF128" s="12"/>
      <c r="BG128" s="12"/>
      <c r="BH128" s="12"/>
      <c r="BI128" s="12"/>
      <c r="BJ128" s="5"/>
      <c r="BK128" s="12"/>
      <c r="BL128" s="12"/>
      <c r="BM128" s="12"/>
      <c r="BN128" s="12"/>
      <c r="BO128" s="5"/>
      <c r="BP128" s="12"/>
      <c r="BQ128" s="12"/>
      <c r="BR128" s="12"/>
      <c r="BS128" s="12"/>
      <c r="BT128" s="5"/>
      <c r="BU128" s="12"/>
      <c r="BV128" s="12"/>
      <c r="BW128" s="12"/>
      <c r="BX128" s="12"/>
      <c r="BY128" s="5"/>
      <c r="BZ128" s="12"/>
      <c r="CA128" s="12"/>
      <c r="CB128" s="12"/>
      <c r="CC128" s="12"/>
      <c r="CD128" s="5"/>
      <c r="CE128" s="5"/>
      <c r="CF128" s="312"/>
      <c r="CG128" s="5"/>
      <c r="CH128" s="5"/>
      <c r="CI128" s="5"/>
      <c r="CJ128" s="5"/>
      <c r="CK128" s="5"/>
      <c r="CL128" s="5"/>
    </row>
    <row r="129" spans="1:90">
      <c r="A129" s="4" t="s">
        <v>619</v>
      </c>
      <c r="B129" s="5"/>
      <c r="C129" s="5">
        <f t="shared" ref="C129:AH129" si="119">SUMIF($CF$11:$CF$64,$CF129,C$11:C$64)+SUMIF($CF$144:$CF$158,$CF129,C$144:C$158)+SUMIF($CF$168:$CF$182,$CF129,C$168:C$182)</f>
        <v>21417</v>
      </c>
      <c r="D129" s="5">
        <f t="shared" si="119"/>
        <v>22008</v>
      </c>
      <c r="E129" s="5">
        <f t="shared" si="119"/>
        <v>22325</v>
      </c>
      <c r="F129" s="5">
        <f t="shared" si="119"/>
        <v>23091</v>
      </c>
      <c r="G129" s="5">
        <f t="shared" si="119"/>
        <v>19162</v>
      </c>
      <c r="H129" s="12">
        <f t="shared" si="119"/>
        <v>18679</v>
      </c>
      <c r="I129" s="12">
        <f t="shared" si="119"/>
        <v>19286</v>
      </c>
      <c r="J129" s="12">
        <f t="shared" si="119"/>
        <v>19973</v>
      </c>
      <c r="K129" s="12">
        <f t="shared" si="119"/>
        <v>24010</v>
      </c>
      <c r="L129" s="5">
        <f t="shared" si="119"/>
        <v>24010</v>
      </c>
      <c r="M129" s="12">
        <f t="shared" si="119"/>
        <v>23728</v>
      </c>
      <c r="N129" s="12">
        <f t="shared" si="119"/>
        <v>23754</v>
      </c>
      <c r="O129" s="12">
        <f t="shared" si="119"/>
        <v>25245</v>
      </c>
      <c r="P129" s="12">
        <f t="shared" si="119"/>
        <v>31045</v>
      </c>
      <c r="Q129" s="5">
        <f t="shared" si="119"/>
        <v>31045</v>
      </c>
      <c r="R129" s="12">
        <f t="shared" si="119"/>
        <v>29871</v>
      </c>
      <c r="S129" s="12">
        <f t="shared" si="119"/>
        <v>30189</v>
      </c>
      <c r="T129" s="12">
        <f t="shared" si="119"/>
        <v>28300</v>
      </c>
      <c r="U129" s="12">
        <f t="shared" si="119"/>
        <v>33204</v>
      </c>
      <c r="V129" s="5">
        <f t="shared" si="119"/>
        <v>33204</v>
      </c>
      <c r="W129" s="12">
        <f t="shared" si="119"/>
        <v>34698</v>
      </c>
      <c r="X129" s="12">
        <f t="shared" si="119"/>
        <v>36240</v>
      </c>
      <c r="Y129" s="12">
        <f t="shared" si="119"/>
        <v>36555</v>
      </c>
      <c r="Z129" s="12">
        <f t="shared" si="119"/>
        <v>34627</v>
      </c>
      <c r="AA129" s="5">
        <f t="shared" si="119"/>
        <v>34627</v>
      </c>
      <c r="AB129" s="12">
        <f t="shared" si="119"/>
        <v>32153</v>
      </c>
      <c r="AC129" s="12">
        <f t="shared" si="119"/>
        <v>59142</v>
      </c>
      <c r="AD129" s="12">
        <f t="shared" si="119"/>
        <v>63678</v>
      </c>
      <c r="AE129" s="12">
        <f t="shared" si="119"/>
        <v>66902</v>
      </c>
      <c r="AF129" s="5">
        <f t="shared" si="119"/>
        <v>66902</v>
      </c>
      <c r="AG129" s="12">
        <f t="shared" si="119"/>
        <v>66059</v>
      </c>
      <c r="AH129" s="12">
        <f t="shared" si="119"/>
        <v>63874</v>
      </c>
      <c r="AI129" s="12">
        <f t="shared" ref="AI129:BG129" si="120">SUMIF($CF$11:$CF$64,$CF129,AI$11:AI$64)+SUMIF($CF$144:$CF$158,$CF129,AI$144:AI$158)+SUMIF($CF$168:$CF$182,$CF129,AI$168:AI$182)</f>
        <v>59817</v>
      </c>
      <c r="AJ129" s="12">
        <f t="shared" si="120"/>
        <v>55055</v>
      </c>
      <c r="AK129" s="5">
        <f t="shared" si="120"/>
        <v>55055</v>
      </c>
      <c r="AL129" s="12">
        <f t="shared" si="120"/>
        <v>57984</v>
      </c>
      <c r="AM129" s="12">
        <f t="shared" si="120"/>
        <v>57676</v>
      </c>
      <c r="AN129" s="12">
        <f t="shared" si="120"/>
        <v>59444</v>
      </c>
      <c r="AO129" s="12">
        <f t="shared" si="120"/>
        <v>61486</v>
      </c>
      <c r="AP129" s="5">
        <f t="shared" si="120"/>
        <v>61486</v>
      </c>
      <c r="AQ129" s="12">
        <f t="shared" si="120"/>
        <v>57679</v>
      </c>
      <c r="AR129" s="12">
        <f t="shared" si="120"/>
        <v>58994</v>
      </c>
      <c r="AS129" s="12">
        <f t="shared" si="120"/>
        <v>60917</v>
      </c>
      <c r="AT129" s="12">
        <f t="shared" si="120"/>
        <v>58806</v>
      </c>
      <c r="AU129" s="5">
        <f t="shared" si="120"/>
        <v>58806</v>
      </c>
      <c r="AV129" s="12">
        <f t="shared" si="120"/>
        <v>63139</v>
      </c>
      <c r="AW129" s="12">
        <f t="shared" si="120"/>
        <v>63024</v>
      </c>
      <c r="AX129" s="12">
        <f t="shared" si="120"/>
        <v>64110</v>
      </c>
      <c r="AY129" s="12">
        <f t="shared" si="120"/>
        <v>62972</v>
      </c>
      <c r="AZ129" s="5">
        <f t="shared" si="120"/>
        <v>62972</v>
      </c>
      <c r="BA129" s="12">
        <f t="shared" si="120"/>
        <v>66906</v>
      </c>
      <c r="BB129" s="12">
        <f t="shared" si="120"/>
        <v>72785</v>
      </c>
      <c r="BC129" s="12">
        <f t="shared" si="120"/>
        <v>71990</v>
      </c>
      <c r="BD129" s="12">
        <f t="shared" si="120"/>
        <v>67451</v>
      </c>
      <c r="BE129" s="5">
        <f t="shared" si="120"/>
        <v>67451</v>
      </c>
      <c r="BF129" s="12">
        <f t="shared" si="120"/>
        <v>67663</v>
      </c>
      <c r="BG129" s="12">
        <f t="shared" si="120"/>
        <v>70527</v>
      </c>
      <c r="BH129" s="12">
        <f t="shared" ref="BH129:CD129" si="121">SUMIF($CF$11:$CF$64,$CF129,BH$11:BH$64)+SUMIF($CF$144:$CF$158,$CF129,BH$144:BH$158)+SUMIF($CF$168:$CF$182,$CF129,BH$168:BH$182)</f>
        <v>71577</v>
      </c>
      <c r="BI129" s="12">
        <f t="shared" si="121"/>
        <v>69228</v>
      </c>
      <c r="BJ129" s="5">
        <f t="shared" si="121"/>
        <v>69228</v>
      </c>
      <c r="BK129" s="12">
        <f t="shared" si="121"/>
        <v>70649</v>
      </c>
      <c r="BL129" s="12">
        <f t="shared" si="121"/>
        <v>70017</v>
      </c>
      <c r="BM129" s="12">
        <f t="shared" si="121"/>
        <v>72411</v>
      </c>
      <c r="BN129" s="12">
        <f t="shared" si="121"/>
        <v>74451</v>
      </c>
      <c r="BO129" s="5">
        <f t="shared" si="121"/>
        <v>74451</v>
      </c>
      <c r="BP129" s="12">
        <f t="shared" ca="1" si="121"/>
        <v>78082.241031876314</v>
      </c>
      <c r="BQ129" s="12">
        <f t="shared" ca="1" si="121"/>
        <v>76825.474884298965</v>
      </c>
      <c r="BR129" s="12">
        <f t="shared" ca="1" si="121"/>
        <v>74954.029006835481</v>
      </c>
      <c r="BS129" s="12">
        <f t="shared" ca="1" si="121"/>
        <v>73731.315422161613</v>
      </c>
      <c r="BT129" s="5">
        <f t="shared" ca="1" si="121"/>
        <v>73731.315422161613</v>
      </c>
      <c r="BU129" s="12">
        <f t="shared" ca="1" si="121"/>
        <v>71761.325661303883</v>
      </c>
      <c r="BV129" s="12">
        <f t="shared" ca="1" si="121"/>
        <v>70255.483456363203</v>
      </c>
      <c r="BW129" s="12">
        <f t="shared" ca="1" si="121"/>
        <v>68244.544579948008</v>
      </c>
      <c r="BX129" s="12">
        <f t="shared" ca="1" si="121"/>
        <v>66719.283327506651</v>
      </c>
      <c r="BY129" s="5">
        <f t="shared" ca="1" si="121"/>
        <v>66719.283327506651</v>
      </c>
      <c r="BZ129" s="12">
        <f t="shared" ca="1" si="121"/>
        <v>65049.710335754491</v>
      </c>
      <c r="CA129" s="12">
        <f t="shared" ca="1" si="121"/>
        <v>63381.111181681212</v>
      </c>
      <c r="CB129" s="12">
        <f t="shared" ca="1" si="121"/>
        <v>61100.914504315042</v>
      </c>
      <c r="CC129" s="12">
        <f t="shared" ca="1" si="121"/>
        <v>59365.542247816084</v>
      </c>
      <c r="CD129" s="5">
        <f t="shared" ca="1" si="121"/>
        <v>59365.542247816084</v>
      </c>
      <c r="CE129" s="5"/>
      <c r="CF129" s="312" t="s">
        <v>2878</v>
      </c>
      <c r="CG129" s="5"/>
      <c r="CH129" s="5"/>
      <c r="CI129" s="5"/>
      <c r="CJ129" s="5"/>
      <c r="CK129" s="5"/>
      <c r="CL129" s="5"/>
    </row>
    <row r="130" spans="1:90">
      <c r="A130" s="4" t="s">
        <v>2951</v>
      </c>
      <c r="B130" s="5"/>
      <c r="C130" s="5">
        <f t="shared" ref="C130:AH130" si="122">-(SUMIF($CF$11:$CF$64,$CF130,C$11:C$64)+SUMIF($CF$144:$CF$158,$CF130,C$144:C$158)+SUMIF($CF$168:$CF$182,$CF130,C$168:C$182))</f>
        <v>-8892</v>
      </c>
      <c r="D130" s="5">
        <f t="shared" si="122"/>
        <v>-6076</v>
      </c>
      <c r="E130" s="5">
        <f t="shared" si="122"/>
        <v>-4360</v>
      </c>
      <c r="F130" s="5">
        <f t="shared" si="122"/>
        <v>-2564</v>
      </c>
      <c r="G130" s="5">
        <f t="shared" si="122"/>
        <v>-4748</v>
      </c>
      <c r="H130" s="12">
        <f t="shared" si="122"/>
        <v>-4488</v>
      </c>
      <c r="I130" s="12">
        <f t="shared" si="122"/>
        <v>-6298</v>
      </c>
      <c r="J130" s="12">
        <f t="shared" si="122"/>
        <v>-5775</v>
      </c>
      <c r="K130" s="12">
        <f t="shared" si="122"/>
        <v>-5104</v>
      </c>
      <c r="L130" s="5">
        <f t="shared" si="122"/>
        <v>-5104</v>
      </c>
      <c r="M130" s="12">
        <f t="shared" si="122"/>
        <v>-4320</v>
      </c>
      <c r="N130" s="12">
        <f t="shared" si="122"/>
        <v>-5164</v>
      </c>
      <c r="O130" s="12">
        <f t="shared" si="122"/>
        <v>-5076</v>
      </c>
      <c r="P130" s="12">
        <f t="shared" si="122"/>
        <v>-6391</v>
      </c>
      <c r="Q130" s="5">
        <f t="shared" si="122"/>
        <v>-6391</v>
      </c>
      <c r="R130" s="12">
        <f t="shared" si="122"/>
        <v>-7503</v>
      </c>
      <c r="S130" s="12">
        <f t="shared" si="122"/>
        <v>-6631</v>
      </c>
      <c r="T130" s="12">
        <f t="shared" si="122"/>
        <v>-8543</v>
      </c>
      <c r="U130" s="12">
        <f t="shared" si="122"/>
        <v>-10047</v>
      </c>
      <c r="V130" s="5">
        <f t="shared" si="122"/>
        <v>-10047</v>
      </c>
      <c r="W130" s="12">
        <f t="shared" si="122"/>
        <v>-10279</v>
      </c>
      <c r="X130" s="12">
        <f t="shared" si="122"/>
        <v>-11309</v>
      </c>
      <c r="Y130" s="12">
        <f t="shared" si="122"/>
        <v>-12430</v>
      </c>
      <c r="Z130" s="12">
        <f t="shared" si="122"/>
        <v>-10945</v>
      </c>
      <c r="AA130" s="5">
        <f t="shared" si="122"/>
        <v>-10945</v>
      </c>
      <c r="AB130" s="12">
        <f t="shared" si="122"/>
        <v>-9282</v>
      </c>
      <c r="AC130" s="12">
        <f t="shared" si="122"/>
        <v>-18885</v>
      </c>
      <c r="AD130" s="12">
        <f t="shared" si="122"/>
        <v>-23504</v>
      </c>
      <c r="AE130" s="12">
        <f t="shared" si="122"/>
        <v>-31717</v>
      </c>
      <c r="AF130" s="5">
        <f t="shared" si="122"/>
        <v>-31717</v>
      </c>
      <c r="AG130" s="12">
        <f t="shared" si="122"/>
        <v>-32053</v>
      </c>
      <c r="AH130" s="12">
        <f t="shared" si="122"/>
        <v>-32233</v>
      </c>
      <c r="AI130" s="12">
        <f t="shared" ref="AI130:BG130" si="123">-(SUMIF($CF$11:$CF$64,$CF130,AI$11:AI$64)+SUMIF($CF$144:$CF$158,$CF130,AI$144:AI$158)+SUMIF($CF$168:$CF$182,$CF130,AI$168:AI$182))</f>
        <v>-29070</v>
      </c>
      <c r="AJ130" s="12">
        <f t="shared" si="123"/>
        <v>-25344</v>
      </c>
      <c r="AK130" s="5">
        <f t="shared" si="123"/>
        <v>-25344</v>
      </c>
      <c r="AL130" s="12">
        <f t="shared" si="123"/>
        <v>-27197</v>
      </c>
      <c r="AM130" s="12">
        <f t="shared" si="123"/>
        <v>-27216</v>
      </c>
      <c r="AN130" s="12">
        <f t="shared" si="123"/>
        <v>-28553</v>
      </c>
      <c r="AO130" s="12">
        <f t="shared" si="123"/>
        <v>-30561</v>
      </c>
      <c r="AP130" s="5">
        <f t="shared" si="123"/>
        <v>-30561</v>
      </c>
      <c r="AQ130" s="12">
        <f t="shared" si="123"/>
        <v>-36424</v>
      </c>
      <c r="AR130" s="12">
        <f t="shared" si="123"/>
        <v>-37958</v>
      </c>
      <c r="AS130" s="12">
        <f t="shared" si="123"/>
        <v>-37496</v>
      </c>
      <c r="AT130" s="12">
        <f t="shared" si="123"/>
        <v>-30214</v>
      </c>
      <c r="AU130" s="5">
        <f t="shared" si="123"/>
        <v>-30214</v>
      </c>
      <c r="AV130" s="12">
        <f t="shared" si="123"/>
        <v>-34555</v>
      </c>
      <c r="AW130" s="12">
        <f t="shared" si="123"/>
        <v>-34346</v>
      </c>
      <c r="AX130" s="12">
        <f t="shared" si="123"/>
        <v>-37717</v>
      </c>
      <c r="AY130" s="12">
        <f t="shared" si="123"/>
        <v>-35834</v>
      </c>
      <c r="AZ130" s="5">
        <f t="shared" si="123"/>
        <v>-35834</v>
      </c>
      <c r="BA130" s="12">
        <f t="shared" si="123"/>
        <v>-37858</v>
      </c>
      <c r="BB130" s="12">
        <f t="shared" si="123"/>
        <v>-37416</v>
      </c>
      <c r="BC130" s="12">
        <f t="shared" si="123"/>
        <v>-34937</v>
      </c>
      <c r="BD130" s="12">
        <f t="shared" si="123"/>
        <v>-28825</v>
      </c>
      <c r="BE130" s="5">
        <f t="shared" si="123"/>
        <v>-28825</v>
      </c>
      <c r="BF130" s="12">
        <f t="shared" si="123"/>
        <v>-25229</v>
      </c>
      <c r="BG130" s="12">
        <f t="shared" si="123"/>
        <v>-25490</v>
      </c>
      <c r="BH130" s="12">
        <f t="shared" ref="BH130:CD130" si="124">-(SUMIF($CF$11:$CF$64,$CF130,BH$11:BH$64)+SUMIF($CF$144:$CF$158,$CF130,BH$144:BH$158)+SUMIF($CF$168:$CF$182,$CF130,BH$168:BH$182))</f>
        <v>-27402</v>
      </c>
      <c r="BI130" s="12">
        <f t="shared" si="124"/>
        <v>-25287</v>
      </c>
      <c r="BJ130" s="5">
        <f t="shared" si="124"/>
        <v>-25287</v>
      </c>
      <c r="BK130" s="12">
        <f t="shared" si="124"/>
        <v>-25658</v>
      </c>
      <c r="BL130" s="12">
        <f t="shared" si="124"/>
        <v>-25107</v>
      </c>
      <c r="BM130" s="12">
        <f t="shared" si="124"/>
        <v>-27682</v>
      </c>
      <c r="BN130" s="12">
        <f t="shared" ca="1" si="124"/>
        <v>-27854</v>
      </c>
      <c r="BO130" s="5">
        <f t="shared" ca="1" si="124"/>
        <v>-27854</v>
      </c>
      <c r="BP130" s="12">
        <f t="shared" ca="1" si="124"/>
        <v>-27854</v>
      </c>
      <c r="BQ130" s="12">
        <f t="shared" ca="1" si="124"/>
        <v>-27854</v>
      </c>
      <c r="BR130" s="12">
        <f t="shared" ca="1" si="124"/>
        <v>-27854</v>
      </c>
      <c r="BS130" s="12">
        <f t="shared" ca="1" si="124"/>
        <v>-27854</v>
      </c>
      <c r="BT130" s="5">
        <f t="shared" ca="1" si="124"/>
        <v>-27854</v>
      </c>
      <c r="BU130" s="12">
        <f t="shared" ca="1" si="124"/>
        <v>-27854</v>
      </c>
      <c r="BV130" s="12">
        <f t="shared" ca="1" si="124"/>
        <v>-27854</v>
      </c>
      <c r="BW130" s="12">
        <f t="shared" ca="1" si="124"/>
        <v>-27854</v>
      </c>
      <c r="BX130" s="12">
        <f t="shared" ca="1" si="124"/>
        <v>-27854</v>
      </c>
      <c r="BY130" s="5">
        <f t="shared" ca="1" si="124"/>
        <v>-27854</v>
      </c>
      <c r="BZ130" s="12">
        <f t="shared" ca="1" si="124"/>
        <v>-27854</v>
      </c>
      <c r="CA130" s="12">
        <f t="shared" ca="1" si="124"/>
        <v>-27854</v>
      </c>
      <c r="CB130" s="12">
        <f t="shared" ca="1" si="124"/>
        <v>-27854</v>
      </c>
      <c r="CC130" s="12">
        <f t="shared" ca="1" si="124"/>
        <v>-27854</v>
      </c>
      <c r="CD130" s="5">
        <f t="shared" ca="1" si="124"/>
        <v>-27854</v>
      </c>
      <c r="CE130" s="5"/>
      <c r="CF130" s="312" t="s">
        <v>2879</v>
      </c>
      <c r="CG130" s="5"/>
      <c r="CH130" s="5"/>
      <c r="CI130" s="5"/>
      <c r="CJ130" s="5"/>
      <c r="CK130" s="5"/>
      <c r="CL130" s="5"/>
    </row>
    <row r="131" spans="1:90">
      <c r="A131" s="7" t="s">
        <v>2952</v>
      </c>
      <c r="B131" s="8"/>
      <c r="C131" s="8">
        <f t="shared" ref="C131:AH131" si="125">SUM(C129:C130)</f>
        <v>12525</v>
      </c>
      <c r="D131" s="8">
        <f t="shared" si="125"/>
        <v>15932</v>
      </c>
      <c r="E131" s="8">
        <f t="shared" si="125"/>
        <v>17965</v>
      </c>
      <c r="F131" s="8">
        <f t="shared" si="125"/>
        <v>20527</v>
      </c>
      <c r="G131" s="8">
        <f t="shared" si="125"/>
        <v>14414</v>
      </c>
      <c r="H131" s="66">
        <f t="shared" si="125"/>
        <v>14191</v>
      </c>
      <c r="I131" s="66">
        <f t="shared" si="125"/>
        <v>12988</v>
      </c>
      <c r="J131" s="66">
        <f t="shared" si="125"/>
        <v>14198</v>
      </c>
      <c r="K131" s="66">
        <f t="shared" si="125"/>
        <v>18906</v>
      </c>
      <c r="L131" s="8">
        <f t="shared" si="125"/>
        <v>18906</v>
      </c>
      <c r="M131" s="66">
        <f t="shared" si="125"/>
        <v>19408</v>
      </c>
      <c r="N131" s="66">
        <f t="shared" si="125"/>
        <v>18590</v>
      </c>
      <c r="O131" s="66">
        <f t="shared" si="125"/>
        <v>20169</v>
      </c>
      <c r="P131" s="66">
        <f t="shared" si="125"/>
        <v>24654</v>
      </c>
      <c r="Q131" s="8">
        <f t="shared" si="125"/>
        <v>24654</v>
      </c>
      <c r="R131" s="66">
        <f t="shared" si="125"/>
        <v>22368</v>
      </c>
      <c r="S131" s="66">
        <f t="shared" si="125"/>
        <v>23558</v>
      </c>
      <c r="T131" s="66">
        <f t="shared" si="125"/>
        <v>19757</v>
      </c>
      <c r="U131" s="66">
        <f t="shared" si="125"/>
        <v>23157</v>
      </c>
      <c r="V131" s="8">
        <f t="shared" si="125"/>
        <v>23157</v>
      </c>
      <c r="W131" s="66">
        <f t="shared" si="125"/>
        <v>24419</v>
      </c>
      <c r="X131" s="66">
        <f t="shared" si="125"/>
        <v>24931</v>
      </c>
      <c r="Y131" s="66">
        <f t="shared" si="125"/>
        <v>24125</v>
      </c>
      <c r="Z131" s="66">
        <f t="shared" si="125"/>
        <v>23682</v>
      </c>
      <c r="AA131" s="8">
        <f t="shared" si="125"/>
        <v>23682</v>
      </c>
      <c r="AB131" s="66">
        <f t="shared" si="125"/>
        <v>22871</v>
      </c>
      <c r="AC131" s="66">
        <f t="shared" si="125"/>
        <v>40257</v>
      </c>
      <c r="AD131" s="66">
        <f t="shared" si="125"/>
        <v>40174</v>
      </c>
      <c r="AE131" s="66">
        <f t="shared" si="125"/>
        <v>35185</v>
      </c>
      <c r="AF131" s="8">
        <f t="shared" si="125"/>
        <v>35185</v>
      </c>
      <c r="AG131" s="66">
        <f t="shared" si="125"/>
        <v>34006</v>
      </c>
      <c r="AH131" s="66">
        <f t="shared" si="125"/>
        <v>31641</v>
      </c>
      <c r="AI131" s="66">
        <f t="shared" ref="AI131:BG131" si="126">SUM(AI129:AI130)</f>
        <v>30747</v>
      </c>
      <c r="AJ131" s="66">
        <f t="shared" si="126"/>
        <v>29711</v>
      </c>
      <c r="AK131" s="8">
        <f t="shared" si="126"/>
        <v>29711</v>
      </c>
      <c r="AL131" s="66">
        <f t="shared" si="126"/>
        <v>30787</v>
      </c>
      <c r="AM131" s="66">
        <f t="shared" si="126"/>
        <v>30460</v>
      </c>
      <c r="AN131" s="66">
        <f t="shared" si="126"/>
        <v>30891</v>
      </c>
      <c r="AO131" s="66">
        <f t="shared" si="126"/>
        <v>30925</v>
      </c>
      <c r="AP131" s="8">
        <f t="shared" si="126"/>
        <v>30925</v>
      </c>
      <c r="AQ131" s="66">
        <f t="shared" si="126"/>
        <v>21255</v>
      </c>
      <c r="AR131" s="66">
        <f t="shared" si="126"/>
        <v>21036</v>
      </c>
      <c r="AS131" s="66">
        <f t="shared" si="126"/>
        <v>23421</v>
      </c>
      <c r="AT131" s="66">
        <f t="shared" si="126"/>
        <v>28592</v>
      </c>
      <c r="AU131" s="8">
        <f t="shared" si="126"/>
        <v>28592</v>
      </c>
      <c r="AV131" s="66">
        <f t="shared" si="126"/>
        <v>28584</v>
      </c>
      <c r="AW131" s="66">
        <f t="shared" si="126"/>
        <v>28678</v>
      </c>
      <c r="AX131" s="66">
        <f t="shared" si="126"/>
        <v>26393</v>
      </c>
      <c r="AY131" s="66">
        <f>SUM(AY129:AY130)</f>
        <v>27138</v>
      </c>
      <c r="AZ131" s="8">
        <f t="shared" si="126"/>
        <v>27138</v>
      </c>
      <c r="BA131" s="66">
        <f t="shared" si="126"/>
        <v>29048</v>
      </c>
      <c r="BB131" s="66">
        <f t="shared" si="126"/>
        <v>35369</v>
      </c>
      <c r="BC131" s="66">
        <f t="shared" si="126"/>
        <v>37053</v>
      </c>
      <c r="BD131" s="66">
        <f t="shared" si="126"/>
        <v>38626</v>
      </c>
      <c r="BE131" s="8">
        <f>SUM(BE129:BE130)</f>
        <v>38626</v>
      </c>
      <c r="BF131" s="66">
        <f t="shared" si="126"/>
        <v>42434</v>
      </c>
      <c r="BG131" s="66">
        <f t="shared" si="126"/>
        <v>45037</v>
      </c>
      <c r="BH131" s="66">
        <f t="shared" ref="BH131:CD131" si="127">SUM(BH129:BH130)</f>
        <v>44175</v>
      </c>
      <c r="BI131" s="66">
        <f t="shared" si="127"/>
        <v>43941</v>
      </c>
      <c r="BJ131" s="8">
        <f t="shared" si="127"/>
        <v>43941</v>
      </c>
      <c r="BK131" s="66">
        <f t="shared" si="127"/>
        <v>44991</v>
      </c>
      <c r="BL131" s="66">
        <f t="shared" si="127"/>
        <v>44910</v>
      </c>
      <c r="BM131" s="66">
        <f t="shared" si="127"/>
        <v>44729</v>
      </c>
      <c r="BN131" s="66">
        <f t="shared" ca="1" si="127"/>
        <v>46597</v>
      </c>
      <c r="BO131" s="8">
        <f t="shared" ca="1" si="127"/>
        <v>46597</v>
      </c>
      <c r="BP131" s="66">
        <f t="shared" ca="1" si="127"/>
        <v>50228.241031876314</v>
      </c>
      <c r="BQ131" s="66">
        <f t="shared" ca="1" si="127"/>
        <v>48971.474884298965</v>
      </c>
      <c r="BR131" s="66">
        <f t="shared" ca="1" si="127"/>
        <v>47100.029006835481</v>
      </c>
      <c r="BS131" s="66">
        <f t="shared" ca="1" si="127"/>
        <v>45877.315422161613</v>
      </c>
      <c r="BT131" s="8">
        <f t="shared" ca="1" si="127"/>
        <v>45877.315422161613</v>
      </c>
      <c r="BU131" s="66">
        <f t="shared" ca="1" si="127"/>
        <v>43907.325661303883</v>
      </c>
      <c r="BV131" s="66">
        <f t="shared" ca="1" si="127"/>
        <v>42401.483456363203</v>
      </c>
      <c r="BW131" s="66">
        <f t="shared" ca="1" si="127"/>
        <v>40390.544579948008</v>
      </c>
      <c r="BX131" s="66">
        <f t="shared" ca="1" si="127"/>
        <v>38865.283327506651</v>
      </c>
      <c r="BY131" s="8">
        <f t="shared" ca="1" si="127"/>
        <v>38865.283327506651</v>
      </c>
      <c r="BZ131" s="66">
        <f t="shared" ca="1" si="127"/>
        <v>37195.710335754491</v>
      </c>
      <c r="CA131" s="66">
        <f t="shared" ca="1" si="127"/>
        <v>35527.111181681212</v>
      </c>
      <c r="CB131" s="66">
        <f t="shared" ca="1" si="127"/>
        <v>33246.914504315042</v>
      </c>
      <c r="CC131" s="66">
        <f t="shared" ca="1" si="127"/>
        <v>31511.542247816084</v>
      </c>
      <c r="CD131" s="8">
        <f t="shared" ca="1" si="127"/>
        <v>31511.542247816084</v>
      </c>
      <c r="CE131" s="8"/>
      <c r="CF131" s="313"/>
      <c r="CG131" s="8"/>
      <c r="CH131" s="8"/>
      <c r="CI131" s="8"/>
      <c r="CJ131" s="8"/>
      <c r="CK131" s="8"/>
      <c r="CL131" s="8"/>
    </row>
    <row r="132" spans="1:90">
      <c r="A132" s="4"/>
      <c r="B132" s="5"/>
      <c r="C132" s="5"/>
      <c r="D132" s="5"/>
      <c r="E132" s="5"/>
      <c r="F132" s="5"/>
      <c r="G132" s="5"/>
      <c r="H132" s="12"/>
      <c r="I132" s="12"/>
      <c r="J132" s="12"/>
      <c r="K132" s="12"/>
      <c r="L132" s="5"/>
      <c r="M132" s="12"/>
      <c r="N132" s="12"/>
      <c r="O132" s="12"/>
      <c r="P132" s="12"/>
      <c r="Q132" s="5"/>
      <c r="R132" s="12"/>
      <c r="S132" s="12"/>
      <c r="T132" s="12"/>
      <c r="U132" s="12"/>
      <c r="V132" s="5"/>
      <c r="W132" s="12"/>
      <c r="X132" s="12"/>
      <c r="Y132" s="12"/>
      <c r="Z132" s="12"/>
      <c r="AA132" s="5"/>
      <c r="AB132" s="12"/>
      <c r="AC132" s="12"/>
      <c r="AD132" s="12"/>
      <c r="AE132" s="12"/>
      <c r="AF132" s="5"/>
      <c r="AG132" s="12"/>
      <c r="AH132" s="12"/>
      <c r="AI132" s="12"/>
      <c r="AJ132" s="12"/>
      <c r="AK132" s="5"/>
      <c r="AL132" s="12"/>
      <c r="AM132" s="12"/>
      <c r="AN132" s="12"/>
      <c r="AO132" s="12"/>
      <c r="AP132" s="5"/>
      <c r="AQ132" s="12"/>
      <c r="AR132" s="12"/>
      <c r="AS132" s="12"/>
      <c r="AT132" s="12"/>
      <c r="AU132" s="5"/>
      <c r="AV132" s="12"/>
      <c r="AW132" s="12"/>
      <c r="AX132" s="12"/>
      <c r="AY132" s="12"/>
      <c r="AZ132" s="5"/>
      <c r="BA132" s="12"/>
      <c r="BB132" s="12"/>
      <c r="BC132" s="12"/>
      <c r="BD132" s="12"/>
      <c r="BE132" s="5"/>
      <c r="BF132" s="12"/>
      <c r="BG132" s="12"/>
      <c r="BH132" s="12"/>
      <c r="BI132" s="12"/>
      <c r="BJ132" s="5"/>
      <c r="BK132" s="12"/>
      <c r="BL132" s="12"/>
      <c r="BM132" s="12"/>
      <c r="BN132" s="12"/>
      <c r="BO132" s="5"/>
      <c r="BP132" s="12"/>
      <c r="BQ132" s="12"/>
      <c r="BR132" s="12"/>
      <c r="BS132" s="12"/>
      <c r="BT132" s="5"/>
      <c r="BU132" s="12"/>
      <c r="BV132" s="12"/>
      <c r="BW132" s="12"/>
      <c r="BX132" s="12"/>
      <c r="BY132" s="5"/>
      <c r="BZ132" s="12"/>
      <c r="CA132" s="12"/>
      <c r="CB132" s="12"/>
      <c r="CC132" s="12"/>
      <c r="CD132" s="5"/>
      <c r="CE132" s="5"/>
      <c r="CF132" s="312"/>
      <c r="CG132" s="5"/>
      <c r="CH132" s="5"/>
      <c r="CI132" s="5"/>
      <c r="CJ132" s="5"/>
      <c r="CK132" s="5"/>
      <c r="CL132" s="5"/>
    </row>
    <row r="133" spans="1:90">
      <c r="A133" s="4" t="s">
        <v>1676</v>
      </c>
      <c r="B133" s="5"/>
      <c r="C133" s="5">
        <f t="shared" ref="C133:L134" si="128">SUMIF($CF$11:$CF$64,$CF133,C$11:C$64)+SUMIF($CF$144:$CF$158,$CF133,C$144:C$158)+SUMIF($CF$168:$CF$182,$CF133,C$168:C$182)</f>
        <v>598</v>
      </c>
      <c r="D133" s="5">
        <f t="shared" si="128"/>
        <v>638</v>
      </c>
      <c r="E133" s="5">
        <f t="shared" si="128"/>
        <v>1125</v>
      </c>
      <c r="F133" s="5">
        <f t="shared" si="128"/>
        <v>1343</v>
      </c>
      <c r="G133" s="5">
        <f t="shared" si="128"/>
        <v>789</v>
      </c>
      <c r="H133" s="12">
        <f t="shared" si="128"/>
        <v>733</v>
      </c>
      <c r="I133" s="12">
        <f t="shared" si="128"/>
        <v>770</v>
      </c>
      <c r="J133" s="12">
        <f t="shared" si="128"/>
        <v>792</v>
      </c>
      <c r="K133" s="12">
        <f t="shared" si="128"/>
        <v>841</v>
      </c>
      <c r="L133" s="5">
        <f t="shared" si="128"/>
        <v>841</v>
      </c>
      <c r="M133" s="12">
        <f t="shared" ref="M133:V134" si="129">SUMIF($CF$11:$CF$64,$CF133,M$11:M$64)+SUMIF($CF$144:$CF$158,$CF133,M$144:M$158)+SUMIF($CF$168:$CF$182,$CF133,M$168:M$182)</f>
        <v>875</v>
      </c>
      <c r="N133" s="12">
        <f t="shared" si="129"/>
        <v>874</v>
      </c>
      <c r="O133" s="12">
        <f t="shared" si="129"/>
        <v>953</v>
      </c>
      <c r="P133" s="12">
        <f t="shared" si="129"/>
        <v>962</v>
      </c>
      <c r="Q133" s="5">
        <f t="shared" si="129"/>
        <v>962</v>
      </c>
      <c r="R133" s="12">
        <f t="shared" si="129"/>
        <v>1048</v>
      </c>
      <c r="S133" s="12">
        <f t="shared" si="129"/>
        <v>1073</v>
      </c>
      <c r="T133" s="12">
        <f t="shared" si="129"/>
        <v>1086</v>
      </c>
      <c r="U133" s="12">
        <f t="shared" si="129"/>
        <v>806</v>
      </c>
      <c r="V133" s="5">
        <f t="shared" si="129"/>
        <v>806</v>
      </c>
      <c r="W133" s="12">
        <f t="shared" ref="W133:AF134" si="130">SUMIF($CF$11:$CF$64,$CF133,W$11:W$64)+SUMIF($CF$144:$CF$158,$CF133,W$144:W$158)+SUMIF($CF$168:$CF$182,$CF133,W$168:W$182)</f>
        <v>706</v>
      </c>
      <c r="X133" s="12">
        <f t="shared" si="130"/>
        <v>708</v>
      </c>
      <c r="Y133" s="12">
        <f t="shared" si="130"/>
        <v>578</v>
      </c>
      <c r="Z133" s="12">
        <f t="shared" si="130"/>
        <v>500</v>
      </c>
      <c r="AA133" s="5">
        <f t="shared" si="130"/>
        <v>500</v>
      </c>
      <c r="AB133" s="12">
        <f t="shared" si="130"/>
        <v>899</v>
      </c>
      <c r="AC133" s="12">
        <f t="shared" si="130"/>
        <v>872</v>
      </c>
      <c r="AD133" s="12">
        <f t="shared" si="130"/>
        <v>912</v>
      </c>
      <c r="AE133" s="12">
        <f t="shared" si="130"/>
        <v>904</v>
      </c>
      <c r="AF133" s="5">
        <f t="shared" si="130"/>
        <v>904</v>
      </c>
      <c r="AG133" s="12">
        <f t="shared" ref="AG133:AP134" si="131">SUMIF($CF$11:$CF$64,$CF133,AG$11:AG$64)+SUMIF($CF$144:$CF$158,$CF133,AG$144:AG$158)+SUMIF($CF$168:$CF$182,$CF133,AG$168:AG$182)</f>
        <v>975</v>
      </c>
      <c r="AH133" s="12">
        <f t="shared" si="131"/>
        <v>914</v>
      </c>
      <c r="AI133" s="12">
        <f t="shared" si="131"/>
        <v>1019</v>
      </c>
      <c r="AJ133" s="12">
        <f t="shared" si="131"/>
        <v>1017</v>
      </c>
      <c r="AK133" s="5">
        <f t="shared" si="131"/>
        <v>1017</v>
      </c>
      <c r="AL133" s="12">
        <f t="shared" si="131"/>
        <v>1094</v>
      </c>
      <c r="AM133" s="12">
        <f t="shared" si="131"/>
        <v>1091</v>
      </c>
      <c r="AN133" s="12">
        <f t="shared" si="131"/>
        <v>1154</v>
      </c>
      <c r="AO133" s="12">
        <f t="shared" si="131"/>
        <v>1206</v>
      </c>
      <c r="AP133" s="5">
        <f t="shared" si="131"/>
        <v>1206</v>
      </c>
      <c r="AQ133" s="12">
        <f t="shared" ref="AQ133:AZ134" si="132">SUMIF($CF$11:$CF$64,$CF133,AQ$11:AQ$64)+SUMIF($CF$144:$CF$158,$CF133,AQ$144:AQ$158)+SUMIF($CF$168:$CF$182,$CF133,AQ$168:AQ$182)</f>
        <v>1234</v>
      </c>
      <c r="AR133" s="12">
        <f t="shared" si="132"/>
        <v>1142</v>
      </c>
      <c r="AS133" s="12">
        <f t="shared" si="132"/>
        <v>1177</v>
      </c>
      <c r="AT133" s="12">
        <f t="shared" si="132"/>
        <v>1105</v>
      </c>
      <c r="AU133" s="5">
        <f t="shared" si="132"/>
        <v>1105</v>
      </c>
      <c r="AV133" s="12">
        <f t="shared" si="132"/>
        <v>1120</v>
      </c>
      <c r="AW133" s="12">
        <f t="shared" si="132"/>
        <v>1117</v>
      </c>
      <c r="AX133" s="12">
        <f t="shared" si="132"/>
        <v>1076</v>
      </c>
      <c r="AY133" s="12">
        <f t="shared" si="132"/>
        <v>1201</v>
      </c>
      <c r="AZ133" s="5">
        <f t="shared" si="132"/>
        <v>1201</v>
      </c>
      <c r="BA133" s="12">
        <f t="shared" ref="BA133:BJ134" si="133">SUMIF($CF$11:$CF$64,$CF133,BA$11:BA$64)+SUMIF($CF$144:$CF$158,$CF133,BA$144:BA$158)+SUMIF($CF$168:$CF$182,$CF133,BA$168:BA$182)</f>
        <v>1213</v>
      </c>
      <c r="BB133" s="12">
        <f t="shared" si="133"/>
        <v>1232</v>
      </c>
      <c r="BC133" s="12">
        <f t="shared" si="133"/>
        <v>1216</v>
      </c>
      <c r="BD133" s="12">
        <f t="shared" si="133"/>
        <v>1171</v>
      </c>
      <c r="BE133" s="5">
        <f t="shared" si="133"/>
        <v>1171</v>
      </c>
      <c r="BF133" s="12">
        <f t="shared" si="133"/>
        <v>1259</v>
      </c>
      <c r="BG133" s="12">
        <f t="shared" si="133"/>
        <v>1382</v>
      </c>
      <c r="BH133" s="12">
        <f t="shared" si="133"/>
        <v>1421</v>
      </c>
      <c r="BI133" s="12">
        <f t="shared" si="133"/>
        <v>1557</v>
      </c>
      <c r="BJ133" s="5">
        <f t="shared" si="133"/>
        <v>1557</v>
      </c>
      <c r="BK133" s="12">
        <f t="shared" ref="BK133:BT133" si="134">SUMIF($CF$11:$CF$64,$CF133,BK$11:BK$64)+SUMIF($CF$144:$CF$158,$CF133,BK$144:BK$158)+SUMIF($CF$168:$CF$182,$CF133,BK$168:BK$182)</f>
        <v>1642</v>
      </c>
      <c r="BL133" s="12">
        <f t="shared" si="134"/>
        <v>1658</v>
      </c>
      <c r="BM133" s="12">
        <f t="shared" si="134"/>
        <v>1617</v>
      </c>
      <c r="BN133" s="12">
        <f t="shared" si="134"/>
        <v>1913</v>
      </c>
      <c r="BO133" s="5">
        <f t="shared" si="134"/>
        <v>1913</v>
      </c>
      <c r="BP133" s="12">
        <f t="shared" si="134"/>
        <v>1913</v>
      </c>
      <c r="BQ133" s="12">
        <f t="shared" si="134"/>
        <v>1913</v>
      </c>
      <c r="BR133" s="12">
        <f t="shared" si="134"/>
        <v>1913</v>
      </c>
      <c r="BS133" s="12">
        <f t="shared" si="134"/>
        <v>1913</v>
      </c>
      <c r="BT133" s="5">
        <f t="shared" si="134"/>
        <v>1913</v>
      </c>
      <c r="BU133" s="12">
        <f t="shared" ref="BU133:CD133" si="135">SUMIF($CF$11:$CF$64,$CF133,BU$11:BU$64)+SUMIF($CF$144:$CF$158,$CF133,BU$144:BU$158)+SUMIF($CF$168:$CF$182,$CF133,BU$168:BU$182)</f>
        <v>1913</v>
      </c>
      <c r="BV133" s="12">
        <f t="shared" si="135"/>
        <v>1913</v>
      </c>
      <c r="BW133" s="12">
        <f t="shared" si="135"/>
        <v>1913</v>
      </c>
      <c r="BX133" s="12">
        <f t="shared" si="135"/>
        <v>1913</v>
      </c>
      <c r="BY133" s="5">
        <f t="shared" si="135"/>
        <v>1913</v>
      </c>
      <c r="BZ133" s="12">
        <f t="shared" si="135"/>
        <v>1913</v>
      </c>
      <c r="CA133" s="12">
        <f t="shared" si="135"/>
        <v>1913</v>
      </c>
      <c r="CB133" s="12">
        <f t="shared" si="135"/>
        <v>1913</v>
      </c>
      <c r="CC133" s="12">
        <f t="shared" si="135"/>
        <v>1913</v>
      </c>
      <c r="CD133" s="5">
        <f t="shared" si="135"/>
        <v>1913</v>
      </c>
      <c r="CE133" s="5"/>
      <c r="CF133" s="312" t="s">
        <v>2880</v>
      </c>
      <c r="CG133" s="5"/>
      <c r="CH133" s="5"/>
      <c r="CI133" s="5"/>
      <c r="CJ133" s="5"/>
      <c r="CK133" s="5"/>
      <c r="CL133" s="5"/>
    </row>
    <row r="134" spans="1:90">
      <c r="A134" s="4" t="s">
        <v>2953</v>
      </c>
      <c r="B134" s="5"/>
      <c r="C134" s="5">
        <f t="shared" si="128"/>
        <v>65143</v>
      </c>
      <c r="D134" s="5">
        <f t="shared" si="128"/>
        <v>63834</v>
      </c>
      <c r="E134" s="5">
        <f t="shared" si="128"/>
        <v>69139</v>
      </c>
      <c r="F134" s="5">
        <f t="shared" si="128"/>
        <v>76892</v>
      </c>
      <c r="G134" s="5">
        <f t="shared" si="128"/>
        <v>79976</v>
      </c>
      <c r="H134" s="12">
        <f t="shared" si="128"/>
        <v>80148</v>
      </c>
      <c r="I134" s="12">
        <f t="shared" si="128"/>
        <v>81586</v>
      </c>
      <c r="J134" s="12">
        <f t="shared" si="128"/>
        <v>84278</v>
      </c>
      <c r="K134" s="12">
        <f t="shared" si="128"/>
        <v>84624</v>
      </c>
      <c r="L134" s="5">
        <f t="shared" si="128"/>
        <v>84624</v>
      </c>
      <c r="M134" s="12">
        <f t="shared" si="129"/>
        <v>84874</v>
      </c>
      <c r="N134" s="12">
        <f t="shared" si="129"/>
        <v>88549</v>
      </c>
      <c r="O134" s="12">
        <f t="shared" si="129"/>
        <v>90541</v>
      </c>
      <c r="P134" s="12">
        <f t="shared" si="129"/>
        <v>93690</v>
      </c>
      <c r="Q134" s="5">
        <f t="shared" si="129"/>
        <v>93690</v>
      </c>
      <c r="R134" s="12">
        <f t="shared" si="129"/>
        <v>98117</v>
      </c>
      <c r="S134" s="12">
        <f t="shared" si="129"/>
        <v>104892</v>
      </c>
      <c r="T134" s="12">
        <f t="shared" si="129"/>
        <v>105704</v>
      </c>
      <c r="U134" s="12">
        <f t="shared" si="129"/>
        <v>91303</v>
      </c>
      <c r="V134" s="5">
        <f t="shared" si="129"/>
        <v>91303</v>
      </c>
      <c r="W134" s="12">
        <f t="shared" si="130"/>
        <v>90473</v>
      </c>
      <c r="X134" s="12">
        <f t="shared" si="130"/>
        <v>96241</v>
      </c>
      <c r="Y134" s="12">
        <f t="shared" si="130"/>
        <v>100225</v>
      </c>
      <c r="Z134" s="12">
        <f t="shared" si="130"/>
        <v>101613</v>
      </c>
      <c r="AA134" s="5">
        <f t="shared" si="130"/>
        <v>101613</v>
      </c>
      <c r="AB134" s="12">
        <f t="shared" si="130"/>
        <v>104079</v>
      </c>
      <c r="AC134" s="12">
        <f t="shared" si="130"/>
        <v>85490</v>
      </c>
      <c r="AD134" s="12">
        <f t="shared" si="130"/>
        <v>89454</v>
      </c>
      <c r="AE134" s="12">
        <f t="shared" si="130"/>
        <v>94987</v>
      </c>
      <c r="AF134" s="5">
        <f t="shared" si="130"/>
        <v>94987</v>
      </c>
      <c r="AG134" s="12">
        <f t="shared" si="131"/>
        <v>102208</v>
      </c>
      <c r="AH134" s="12">
        <f t="shared" si="131"/>
        <v>107722</v>
      </c>
      <c r="AI134" s="12">
        <f t="shared" si="131"/>
        <v>109640</v>
      </c>
      <c r="AJ134" s="12">
        <f t="shared" si="131"/>
        <v>111465</v>
      </c>
      <c r="AK134" s="5">
        <f t="shared" si="131"/>
        <v>111465</v>
      </c>
      <c r="AL134" s="12">
        <f t="shared" si="131"/>
        <v>118126</v>
      </c>
      <c r="AM134" s="12">
        <f t="shared" si="131"/>
        <v>112232</v>
      </c>
      <c r="AN134" s="12">
        <f t="shared" si="131"/>
        <v>117619</v>
      </c>
      <c r="AO134" s="12">
        <f t="shared" si="131"/>
        <v>118414</v>
      </c>
      <c r="AP134" s="5">
        <f t="shared" si="131"/>
        <v>118414</v>
      </c>
      <c r="AQ134" s="12">
        <f t="shared" si="132"/>
        <v>129851</v>
      </c>
      <c r="AR134" s="12">
        <f t="shared" si="132"/>
        <v>128991</v>
      </c>
      <c r="AS134" s="12">
        <f t="shared" si="132"/>
        <v>130074</v>
      </c>
      <c r="AT134" s="12">
        <f t="shared" si="132"/>
        <v>129302</v>
      </c>
      <c r="AU134" s="5">
        <f t="shared" si="132"/>
        <v>129302</v>
      </c>
      <c r="AV134" s="12">
        <f t="shared" si="132"/>
        <v>129080</v>
      </c>
      <c r="AW134" s="12">
        <f t="shared" si="132"/>
        <v>131861</v>
      </c>
      <c r="AX134" s="12">
        <f t="shared" si="132"/>
        <v>125818</v>
      </c>
      <c r="AY134" s="12">
        <f t="shared" si="132"/>
        <v>111441</v>
      </c>
      <c r="AZ134" s="5">
        <f t="shared" si="132"/>
        <v>111441</v>
      </c>
      <c r="BA134" s="12">
        <f t="shared" si="133"/>
        <v>110296</v>
      </c>
      <c r="BB134" s="12">
        <f t="shared" si="133"/>
        <v>106119</v>
      </c>
      <c r="BC134" s="12">
        <f t="shared" si="133"/>
        <v>101383</v>
      </c>
      <c r="BD134" s="12">
        <f t="shared" si="133"/>
        <v>97216</v>
      </c>
      <c r="BE134" s="5">
        <f t="shared" si="133"/>
        <v>97216</v>
      </c>
      <c r="BF134" s="12">
        <f t="shared" si="133"/>
        <v>96030</v>
      </c>
      <c r="BG134" s="12">
        <f t="shared" si="133"/>
        <v>92726</v>
      </c>
      <c r="BH134" s="12">
        <f t="shared" ref="BH134:CD134" ca="1" si="136">SUMIF($CF$11:$CF$64,$CF134,BH$11:BH$64)+SUMIF($CF$144:$CF$158,$CF134,BH$144:BH$158)+SUMIF($CF$168:$CF$182,$CF134,BH$168:BH$182)</f>
        <v>91376</v>
      </c>
      <c r="BI134" s="12">
        <f t="shared" ca="1" si="136"/>
        <v>95286</v>
      </c>
      <c r="BJ134" s="5">
        <f t="shared" ca="1" si="136"/>
        <v>95286</v>
      </c>
      <c r="BK134" s="12">
        <f t="shared" ca="1" si="136"/>
        <v>97640</v>
      </c>
      <c r="BL134" s="12">
        <f t="shared" ca="1" si="136"/>
        <v>96803</v>
      </c>
      <c r="BM134" s="12">
        <f t="shared" ca="1" si="136"/>
        <v>98521</v>
      </c>
      <c r="BN134" s="12">
        <f t="shared" si="136"/>
        <v>98491</v>
      </c>
      <c r="BO134" s="5">
        <f t="shared" si="136"/>
        <v>98491</v>
      </c>
      <c r="BP134" s="12">
        <f t="shared" ca="1" si="136"/>
        <v>98702.770841626319</v>
      </c>
      <c r="BQ134" s="12">
        <f t="shared" ca="1" si="136"/>
        <v>99839.541159884844</v>
      </c>
      <c r="BR134" s="12">
        <f t="shared" ca="1" si="136"/>
        <v>101019.71594621539</v>
      </c>
      <c r="BS134" s="12">
        <f t="shared" ca="1" si="136"/>
        <v>101801.63882824135</v>
      </c>
      <c r="BT134" s="5">
        <f t="shared" ca="1" si="136"/>
        <v>101801.63882824135</v>
      </c>
      <c r="BU134" s="12">
        <f t="shared" ca="1" si="136"/>
        <v>102630.17542125835</v>
      </c>
      <c r="BV134" s="12">
        <f t="shared" ca="1" si="136"/>
        <v>103430.43637413729</v>
      </c>
      <c r="BW134" s="12">
        <f t="shared" ca="1" si="136"/>
        <v>104351.86417412001</v>
      </c>
      <c r="BX134" s="12">
        <f t="shared" ca="1" si="136"/>
        <v>105163.11637349779</v>
      </c>
      <c r="BY134" s="5">
        <f t="shared" ca="1" si="136"/>
        <v>105163.11637349779</v>
      </c>
      <c r="BZ134" s="12">
        <f t="shared" ca="1" si="136"/>
        <v>106414.72135175778</v>
      </c>
      <c r="CA134" s="12">
        <f t="shared" ca="1" si="136"/>
        <v>107659.47641915335</v>
      </c>
      <c r="CB134" s="12">
        <f t="shared" ca="1" si="136"/>
        <v>109043.59586365925</v>
      </c>
      <c r="CC134" s="12">
        <f t="shared" ca="1" si="136"/>
        <v>110344.6651829981</v>
      </c>
      <c r="CD134" s="5">
        <f t="shared" ca="1" si="136"/>
        <v>110344.6651829981</v>
      </c>
      <c r="CE134" s="5"/>
      <c r="CF134" s="312" t="s">
        <v>2881</v>
      </c>
      <c r="CG134" s="5"/>
      <c r="CH134" s="5"/>
      <c r="CI134" s="5"/>
      <c r="CJ134" s="5"/>
      <c r="CK134" s="5"/>
      <c r="CL134" s="5"/>
    </row>
    <row r="135" spans="1:90" ht="12.75" customHeight="1">
      <c r="A135" s="14" t="s">
        <v>2207</v>
      </c>
      <c r="B135" s="213"/>
      <c r="C135" s="15">
        <f t="shared" ref="C135:AH135" si="137">SUM(C131,C133:C134)</f>
        <v>78266</v>
      </c>
      <c r="D135" s="15">
        <f t="shared" si="137"/>
        <v>80404</v>
      </c>
      <c r="E135" s="15">
        <f t="shared" si="137"/>
        <v>88229</v>
      </c>
      <c r="F135" s="15">
        <f t="shared" si="137"/>
        <v>98762</v>
      </c>
      <c r="G135" s="15">
        <f t="shared" si="137"/>
        <v>95179</v>
      </c>
      <c r="H135" s="67">
        <f t="shared" si="137"/>
        <v>95072</v>
      </c>
      <c r="I135" s="67">
        <f t="shared" si="137"/>
        <v>95344</v>
      </c>
      <c r="J135" s="67">
        <f t="shared" si="137"/>
        <v>99268</v>
      </c>
      <c r="K135" s="67">
        <f t="shared" si="137"/>
        <v>104371</v>
      </c>
      <c r="L135" s="15">
        <f t="shared" si="137"/>
        <v>104371</v>
      </c>
      <c r="M135" s="67">
        <f t="shared" si="137"/>
        <v>105157</v>
      </c>
      <c r="N135" s="67">
        <f t="shared" si="137"/>
        <v>108013</v>
      </c>
      <c r="O135" s="67">
        <f t="shared" si="137"/>
        <v>111663</v>
      </c>
      <c r="P135" s="67">
        <f t="shared" si="137"/>
        <v>119306</v>
      </c>
      <c r="Q135" s="15">
        <f t="shared" si="137"/>
        <v>119306</v>
      </c>
      <c r="R135" s="67">
        <f t="shared" si="137"/>
        <v>121533</v>
      </c>
      <c r="S135" s="67">
        <f t="shared" si="137"/>
        <v>129523</v>
      </c>
      <c r="T135" s="67">
        <f t="shared" si="137"/>
        <v>126547</v>
      </c>
      <c r="U135" s="67">
        <f t="shared" si="137"/>
        <v>115266</v>
      </c>
      <c r="V135" s="15">
        <f t="shared" si="137"/>
        <v>115266</v>
      </c>
      <c r="W135" s="67">
        <f t="shared" si="137"/>
        <v>115598</v>
      </c>
      <c r="X135" s="67">
        <f t="shared" si="137"/>
        <v>121880</v>
      </c>
      <c r="Y135" s="67">
        <f t="shared" si="137"/>
        <v>124928</v>
      </c>
      <c r="Z135" s="67">
        <f t="shared" si="137"/>
        <v>125795</v>
      </c>
      <c r="AA135" s="15">
        <f t="shared" si="137"/>
        <v>125795</v>
      </c>
      <c r="AB135" s="67">
        <f t="shared" si="137"/>
        <v>127849</v>
      </c>
      <c r="AC135" s="67">
        <f t="shared" si="137"/>
        <v>126619</v>
      </c>
      <c r="AD135" s="67">
        <f t="shared" si="137"/>
        <v>130540</v>
      </c>
      <c r="AE135" s="67">
        <f t="shared" si="137"/>
        <v>131076</v>
      </c>
      <c r="AF135" s="15">
        <f t="shared" si="137"/>
        <v>131076</v>
      </c>
      <c r="AG135" s="67">
        <f t="shared" si="137"/>
        <v>137189</v>
      </c>
      <c r="AH135" s="67">
        <f t="shared" si="137"/>
        <v>140277</v>
      </c>
      <c r="AI135" s="67">
        <f t="shared" ref="AI135:BG135" si="138">SUM(AI131,AI133:AI134)</f>
        <v>141406</v>
      </c>
      <c r="AJ135" s="67">
        <f t="shared" si="138"/>
        <v>142193</v>
      </c>
      <c r="AK135" s="15">
        <f t="shared" si="138"/>
        <v>142193</v>
      </c>
      <c r="AL135" s="67">
        <f t="shared" si="138"/>
        <v>150007</v>
      </c>
      <c r="AM135" s="67">
        <f t="shared" si="138"/>
        <v>143783</v>
      </c>
      <c r="AN135" s="67">
        <f t="shared" si="138"/>
        <v>149664</v>
      </c>
      <c r="AO135" s="67">
        <f t="shared" si="138"/>
        <v>150545</v>
      </c>
      <c r="AP135" s="15">
        <f t="shared" si="138"/>
        <v>150545</v>
      </c>
      <c r="AQ135" s="67">
        <f t="shared" si="138"/>
        <v>152340</v>
      </c>
      <c r="AR135" s="67">
        <f t="shared" si="138"/>
        <v>151169</v>
      </c>
      <c r="AS135" s="67">
        <f t="shared" si="138"/>
        <v>154672</v>
      </c>
      <c r="AT135" s="67">
        <f t="shared" si="138"/>
        <v>158999</v>
      </c>
      <c r="AU135" s="15">
        <f t="shared" si="138"/>
        <v>158999</v>
      </c>
      <c r="AV135" s="67">
        <f t="shared" si="138"/>
        <v>158784</v>
      </c>
      <c r="AW135" s="67">
        <f t="shared" si="138"/>
        <v>161656</v>
      </c>
      <c r="AX135" s="67">
        <f t="shared" si="138"/>
        <v>153287</v>
      </c>
      <c r="AY135" s="67">
        <f>SUM(AY131,AY133:AY134)</f>
        <v>139780</v>
      </c>
      <c r="AZ135" s="15">
        <f t="shared" si="138"/>
        <v>139780</v>
      </c>
      <c r="BA135" s="67">
        <f t="shared" si="138"/>
        <v>140557</v>
      </c>
      <c r="BB135" s="67">
        <f t="shared" si="138"/>
        <v>142720</v>
      </c>
      <c r="BC135" s="67">
        <f t="shared" si="138"/>
        <v>139652</v>
      </c>
      <c r="BD135" s="67">
        <f t="shared" si="138"/>
        <v>137013</v>
      </c>
      <c r="BE135" s="15">
        <f>SUM(BE131,BE133:BE134)</f>
        <v>137013</v>
      </c>
      <c r="BF135" s="67">
        <f t="shared" si="138"/>
        <v>139723</v>
      </c>
      <c r="BG135" s="67">
        <f t="shared" si="138"/>
        <v>139145</v>
      </c>
      <c r="BH135" s="67">
        <f t="shared" ref="BH135:CD135" ca="1" si="139">SUM(BH131,BH133:BH134)</f>
        <v>136972</v>
      </c>
      <c r="BI135" s="67">
        <f t="shared" ca="1" si="139"/>
        <v>140784</v>
      </c>
      <c r="BJ135" s="15">
        <f t="shared" ca="1" si="139"/>
        <v>140784</v>
      </c>
      <c r="BK135" s="67">
        <f t="shared" ca="1" si="139"/>
        <v>144273</v>
      </c>
      <c r="BL135" s="67">
        <f t="shared" ca="1" si="139"/>
        <v>143371</v>
      </c>
      <c r="BM135" s="67">
        <f t="shared" ca="1" si="139"/>
        <v>144867</v>
      </c>
      <c r="BN135" s="67">
        <f t="shared" ca="1" si="139"/>
        <v>147001</v>
      </c>
      <c r="BO135" s="15">
        <f t="shared" ca="1" si="139"/>
        <v>147001</v>
      </c>
      <c r="BP135" s="67">
        <f t="shared" ca="1" si="139"/>
        <v>150844.01187350263</v>
      </c>
      <c r="BQ135" s="67">
        <f t="shared" ca="1" si="139"/>
        <v>150724.01604418381</v>
      </c>
      <c r="BR135" s="67">
        <f t="shared" ca="1" si="139"/>
        <v>150032.74495305086</v>
      </c>
      <c r="BS135" s="67">
        <f t="shared" ca="1" si="139"/>
        <v>149591.95425040298</v>
      </c>
      <c r="BT135" s="15">
        <f t="shared" ca="1" si="139"/>
        <v>149591.95425040298</v>
      </c>
      <c r="BU135" s="67">
        <f t="shared" ca="1" si="139"/>
        <v>148450.50108256223</v>
      </c>
      <c r="BV135" s="67">
        <f t="shared" ca="1" si="139"/>
        <v>147744.9198305005</v>
      </c>
      <c r="BW135" s="67">
        <f t="shared" ca="1" si="139"/>
        <v>146655.40875406802</v>
      </c>
      <c r="BX135" s="67">
        <f t="shared" ca="1" si="139"/>
        <v>145941.39970100444</v>
      </c>
      <c r="BY135" s="15">
        <f t="shared" ca="1" si="139"/>
        <v>145941.39970100444</v>
      </c>
      <c r="BZ135" s="67">
        <f t="shared" ca="1" si="139"/>
        <v>145523.43168751226</v>
      </c>
      <c r="CA135" s="67">
        <f t="shared" ca="1" si="139"/>
        <v>145099.58760083455</v>
      </c>
      <c r="CB135" s="67">
        <f t="shared" ca="1" si="139"/>
        <v>144203.51036797429</v>
      </c>
      <c r="CC135" s="67">
        <f t="shared" ca="1" si="139"/>
        <v>143769.20743081419</v>
      </c>
      <c r="CD135" s="15">
        <f t="shared" ca="1" si="139"/>
        <v>143769.20743081419</v>
      </c>
      <c r="CE135" s="5"/>
      <c r="CF135" s="5"/>
      <c r="CG135" s="5"/>
      <c r="CH135" s="5"/>
      <c r="CI135" s="5"/>
      <c r="CJ135" s="5"/>
      <c r="CK135" s="5"/>
      <c r="CL135" s="5"/>
    </row>
    <row r="136" spans="1:90">
      <c r="A136" s="121"/>
      <c r="B136" s="5"/>
      <c r="C136" s="5"/>
      <c r="D136" s="5"/>
      <c r="E136" s="5"/>
      <c r="F136" s="5"/>
      <c r="G136" s="5"/>
      <c r="H136" s="12"/>
      <c r="I136" s="12"/>
      <c r="J136" s="12"/>
      <c r="K136" s="12"/>
      <c r="L136" s="5"/>
      <c r="M136" s="12"/>
      <c r="N136" s="12"/>
      <c r="O136" s="12"/>
      <c r="P136" s="12"/>
      <c r="Q136" s="5"/>
      <c r="R136" s="12"/>
      <c r="S136" s="12"/>
      <c r="T136" s="12"/>
      <c r="U136" s="12"/>
      <c r="V136" s="5"/>
      <c r="W136" s="12"/>
      <c r="X136" s="12"/>
      <c r="Y136" s="12"/>
      <c r="Z136" s="12"/>
      <c r="AA136" s="5"/>
      <c r="AB136" s="12"/>
      <c r="AC136" s="12"/>
      <c r="AD136" s="12"/>
      <c r="AE136" s="12"/>
      <c r="AF136" s="5"/>
      <c r="AG136" s="12"/>
      <c r="AH136" s="12"/>
      <c r="AI136" s="12"/>
      <c r="AJ136" s="12"/>
      <c r="AK136" s="5"/>
      <c r="AL136" s="12"/>
      <c r="AM136" s="12"/>
      <c r="AN136" s="12"/>
      <c r="AO136" s="12"/>
      <c r="AP136" s="5"/>
      <c r="AQ136" s="12"/>
      <c r="AR136" s="12"/>
      <c r="AS136" s="12"/>
      <c r="AT136" s="12"/>
      <c r="AU136" s="5"/>
      <c r="AV136" s="12"/>
      <c r="AW136" s="12"/>
      <c r="AX136" s="12"/>
      <c r="AY136" s="12"/>
      <c r="AZ136" s="5"/>
      <c r="BA136" s="12"/>
      <c r="BB136" s="12"/>
      <c r="BC136" s="12"/>
      <c r="BD136" s="12"/>
      <c r="BE136" s="5"/>
      <c r="BF136" s="12"/>
      <c r="BG136" s="12"/>
      <c r="BH136" s="12"/>
      <c r="BI136" s="12"/>
      <c r="BJ136" s="5"/>
      <c r="BK136" s="12"/>
      <c r="BL136" s="12"/>
      <c r="BM136" s="12"/>
      <c r="BN136" s="12"/>
      <c r="BO136" s="5"/>
      <c r="BP136" s="12"/>
      <c r="BQ136" s="12"/>
      <c r="BR136" s="12"/>
      <c r="BS136" s="12"/>
      <c r="BT136" s="5"/>
      <c r="BU136" s="12"/>
      <c r="BV136" s="12"/>
      <c r="BW136" s="12"/>
      <c r="BX136" s="12"/>
      <c r="BY136" s="5"/>
      <c r="BZ136" s="12"/>
      <c r="CA136" s="12"/>
      <c r="CB136" s="12"/>
      <c r="CC136" s="12"/>
      <c r="CD136" s="5"/>
      <c r="CE136" s="5"/>
      <c r="CF136" s="5"/>
      <c r="CG136" s="5"/>
      <c r="CH136" s="5"/>
      <c r="CI136" s="5"/>
      <c r="CJ136" s="5"/>
      <c r="CK136" s="5"/>
      <c r="CL136" s="5"/>
    </row>
    <row r="137" spans="1:90">
      <c r="A137" s="4" t="s">
        <v>2954</v>
      </c>
      <c r="B137" s="5"/>
      <c r="C137" s="104">
        <f>C134/'Income statement'!C61</f>
        <v>2.8857886768798684</v>
      </c>
      <c r="D137" s="104">
        <f>D134/'Income statement'!D61</f>
        <v>2.8365059209628249</v>
      </c>
      <c r="E137" s="104">
        <f>E134/'Income statement'!E61</f>
        <v>3.083306858311929</v>
      </c>
      <c r="F137" s="104">
        <f>F134/'Income statement'!F61</f>
        <v>3.4492262342875661</v>
      </c>
      <c r="G137" s="104">
        <f>G134/'Income statement'!G61</f>
        <v>3.7351982796865619</v>
      </c>
      <c r="H137" s="114"/>
      <c r="I137" s="114"/>
      <c r="J137" s="114"/>
      <c r="K137" s="114"/>
      <c r="L137" s="104">
        <f>L134/'Income statement'!L61</f>
        <v>4.1902491144295917</v>
      </c>
      <c r="M137" s="114">
        <f>M134/'Income statement'!M61</f>
        <v>4.3995402155280647</v>
      </c>
      <c r="N137" s="114">
        <f>N134/'Income statement'!N61</f>
        <v>4.6275947804811937</v>
      </c>
      <c r="O137" s="114">
        <f>O134/'Income statement'!O61</f>
        <v>4.7601546908052264</v>
      </c>
      <c r="P137" s="114">
        <f>P134/'Income statement'!P61</f>
        <v>4.950906455782631</v>
      </c>
      <c r="Q137" s="104">
        <f>Q134/'Income statement'!Q61</f>
        <v>4.8476538498851989</v>
      </c>
      <c r="R137" s="114">
        <f>R134/'Income statement'!R61</f>
        <v>5.1972741093215644</v>
      </c>
      <c r="S137" s="114">
        <f>S134/'Income statement'!S61</f>
        <v>5.5775513220843926</v>
      </c>
      <c r="T137" s="114">
        <f>T134/'Income statement'!T61</f>
        <v>5.6447460009630586</v>
      </c>
      <c r="U137" s="114">
        <f>U134/'Income statement'!U61</f>
        <v>4.8780497796678173</v>
      </c>
      <c r="V137" s="104">
        <f>V134/'Income statement'!V61</f>
        <v>4.8149198758793466</v>
      </c>
      <c r="W137" s="114">
        <f>W134/'Income statement'!W61</f>
        <v>4.7817408775606793</v>
      </c>
      <c r="X137" s="114">
        <f>X134/'Income statement'!X61</f>
        <v>5.0840652870876966</v>
      </c>
      <c r="Y137" s="114">
        <f>Y134/'Income statement'!Y61</f>
        <v>5.2926101854375363</v>
      </c>
      <c r="Z137" s="114">
        <f>Z134/'Income statement'!Z61</f>
        <v>5.3564574771983002</v>
      </c>
      <c r="AA137" s="104">
        <f>AA134/'Income statement'!AA61</f>
        <v>5.3662155767117241</v>
      </c>
      <c r="AB137" s="114">
        <f>AB134/'Income statement'!AB61</f>
        <v>5.4764758686517148</v>
      </c>
      <c r="AC137" s="114">
        <f>AC134/'Income statement'!AC61</f>
        <v>4.491986016361885</v>
      </c>
      <c r="AD137" s="114">
        <f>AD134/'Income statement'!AD61</f>
        <v>4.7030962181541804</v>
      </c>
      <c r="AE137" s="114">
        <f>AE134/'Income statement'!AE61</f>
        <v>4.9971304654190964</v>
      </c>
      <c r="AF137" s="104">
        <f>AF134/'Income statement'!AF61</f>
        <v>4.9998928823732127</v>
      </c>
      <c r="AG137" s="114">
        <f>AG134/'Income statement'!AG61</f>
        <v>5.3685220286781652</v>
      </c>
      <c r="AH137" s="114">
        <f>AH134/'Income statement'!AH61</f>
        <v>5.6343347010934242</v>
      </c>
      <c r="AI137" s="114">
        <f>AI134/'Income statement'!AI61</f>
        <v>5.7142854164650325</v>
      </c>
      <c r="AJ137" s="114">
        <f>AJ134/'Income statement'!AJ61</f>
        <v>5.8006819788920012</v>
      </c>
      <c r="AK137" s="104">
        <f>AK134/'Income statement'!AK61</f>
        <v>5.8006819788920012</v>
      </c>
      <c r="AL137" s="114">
        <f>AL134/'Income statement'!AL61</f>
        <v>6.1393190836850842</v>
      </c>
      <c r="AM137" s="114">
        <f>AM134/'Income statement'!AM61</f>
        <v>5.8198079959096649</v>
      </c>
      <c r="AN137" s="114">
        <f>AN134/'Income statement'!AN61</f>
        <v>6.1452478940513053</v>
      </c>
      <c r="AO137" s="114">
        <f>AO134/'Income statement'!AO61</f>
        <v>6.1745219391484163</v>
      </c>
      <c r="AP137" s="104">
        <f>AP134/'Income statement'!AP61</f>
        <v>6.1809527229723864</v>
      </c>
      <c r="AQ137" s="114">
        <f>AQ134/'Income statement'!AQ61</f>
        <v>6.7463227109399373</v>
      </c>
      <c r="AR137" s="114">
        <f>AR134/'Income statement'!AR61</f>
        <v>6.7503920210451085</v>
      </c>
      <c r="AS137" s="114">
        <f>AS134/'Income statement'!AS61</f>
        <v>6.8578424110266205</v>
      </c>
      <c r="AT137" s="114">
        <f>AT134/'Income statement'!AT61</f>
        <v>6.8770248482796479</v>
      </c>
      <c r="AU137" s="104">
        <f>AU134/'Income statement'!AU61</f>
        <v>6.7888703940681419</v>
      </c>
      <c r="AV137" s="114">
        <f>AV134/'Income statement'!AV61</f>
        <v>6.9418309202744597</v>
      </c>
      <c r="AW137" s="114">
        <f>AW134/'Income statement'!AW61</f>
        <v>7.1058090922950079</v>
      </c>
      <c r="AX137" s="114">
        <f>AX134/'Income statement'!AX61</f>
        <v>6.8011549498216297</v>
      </c>
      <c r="AY137" s="114">
        <f>AY134/'Income statement'!AY61</f>
        <v>6.079011935954278</v>
      </c>
      <c r="AZ137" s="104">
        <f>AZ134/'Income statement'!AZ61</f>
        <v>6.0247190751252582</v>
      </c>
      <c r="BA137" s="114">
        <f>BA134/'Income statement'!BA61</f>
        <v>6.023900953209032</v>
      </c>
      <c r="BB137" s="114">
        <f>BB134/'Income statement'!BB61</f>
        <v>5.7988914351719414</v>
      </c>
      <c r="BC137" s="114">
        <f>BC134/'Income statement'!BC61</f>
        <v>5.518446459045391</v>
      </c>
      <c r="BD137" s="114">
        <f>BD134/'Income statement'!BD61</f>
        <v>5.2923763562476571</v>
      </c>
      <c r="BE137" s="104">
        <f>BE134/'Income statement'!BE61</f>
        <v>5.3054943322960941</v>
      </c>
      <c r="BF137" s="114">
        <f>BF134/'Income statement'!BF61</f>
        <v>5.1996271299357737</v>
      </c>
      <c r="BG137" s="114">
        <f>BG134/'Income statement'!BG61</f>
        <v>4.9625374607998554</v>
      </c>
      <c r="BH137" s="114">
        <f ca="1">BH134/'Income statement'!BH61</f>
        <v>4.8293634770402285</v>
      </c>
      <c r="BI137" s="114">
        <f ca="1">BI134/'Income statement'!BI61</f>
        <v>4.9868117914762609</v>
      </c>
      <c r="BJ137" s="104">
        <f ca="1">BJ134/'Income statement'!BJ61</f>
        <v>5.0535342308448881</v>
      </c>
      <c r="BK137" s="114">
        <f ca="1">BK134/'Income statement'!BK61</f>
        <v>4.9761573566554276</v>
      </c>
      <c r="BL137" s="114">
        <f ca="1">BL134/'Income statement'!BL61</f>
        <v>4.8931061304069425</v>
      </c>
      <c r="BM137" s="114">
        <f ca="1">BM134/'Income statement'!BM61</f>
        <v>4.95909118479147</v>
      </c>
      <c r="BN137" s="114">
        <f>BN134/'Income statement'!BN61</f>
        <v>4.941932010363451</v>
      </c>
      <c r="BO137" s="104">
        <f>BO134/'Income statement'!BO61</f>
        <v>4.9741978417230763</v>
      </c>
      <c r="BP137" s="114">
        <f ca="1">BP134/'Income statement'!BP61</f>
        <v>4.9497090015291523</v>
      </c>
      <c r="BQ137" s="114">
        <f ca="1">BQ134/'Income statement'!BQ61</f>
        <v>5.0069474308989399</v>
      </c>
      <c r="BR137" s="114">
        <f ca="1">BR134/'Income statement'!BR61</f>
        <v>5.066133740544366</v>
      </c>
      <c r="BS137" s="114">
        <f ca="1">BS134/'Income statement'!BS61</f>
        <v>5.1053471358625266</v>
      </c>
      <c r="BT137" s="104">
        <f ca="1">BT134/'Income statement'!BT61</f>
        <v>5.1052876589972795</v>
      </c>
      <c r="BU137" s="114">
        <f ca="1">BU134/'Income statement'!BU61</f>
        <v>5.1468982048947112</v>
      </c>
      <c r="BV137" s="114">
        <f ca="1">BV134/'Income statement'!BV61</f>
        <v>5.1870312519728703</v>
      </c>
      <c r="BW137" s="114">
        <f ca="1">BW134/'Income statement'!BW61</f>
        <v>5.2332408104210071</v>
      </c>
      <c r="BX137" s="114">
        <f ca="1">BX134/'Income statement'!BX61</f>
        <v>5.2739250679656893</v>
      </c>
      <c r="BY137" s="104">
        <f ca="1">BY134/'Income statement'!BY61</f>
        <v>5.2739250679656857</v>
      </c>
      <c r="BZ137" s="114">
        <f ca="1">BZ134/'Income statement'!BZ61</f>
        <v>5.3366929955211289</v>
      </c>
      <c r="CA137" s="114">
        <f ca="1">CA134/'Income statement'!CA61</f>
        <v>5.3991174003866087</v>
      </c>
      <c r="CB137" s="114">
        <f ca="1">CB134/'Income statement'!CB61</f>
        <v>5.4685309218489495</v>
      </c>
      <c r="CC137" s="114">
        <f ca="1">CC134/'Income statement'!CC61</f>
        <v>5.5337794836550867</v>
      </c>
      <c r="CD137" s="104">
        <f ca="1">CD134/'Income statement'!CD61</f>
        <v>5.5337794836550867</v>
      </c>
      <c r="CE137" s="5"/>
      <c r="CF137" s="5"/>
      <c r="CG137" s="5"/>
      <c r="CH137" s="5"/>
      <c r="CI137" s="5"/>
      <c r="CJ137" s="5"/>
      <c r="CK137" s="5"/>
      <c r="CL137" s="5"/>
    </row>
    <row r="138" spans="1:90">
      <c r="A138" s="5"/>
      <c r="B138" s="5"/>
      <c r="C138" s="5"/>
      <c r="D138" s="5"/>
      <c r="E138" s="5"/>
      <c r="F138" s="5"/>
      <c r="G138" s="5"/>
      <c r="H138" s="12"/>
      <c r="I138" s="12"/>
      <c r="J138" s="12"/>
      <c r="K138" s="12"/>
      <c r="L138" s="5"/>
      <c r="M138" s="12"/>
      <c r="N138" s="12"/>
      <c r="O138" s="12"/>
      <c r="P138" s="12"/>
      <c r="Q138" s="5"/>
      <c r="R138" s="12"/>
      <c r="S138" s="12"/>
      <c r="T138" s="12"/>
      <c r="U138" s="12"/>
      <c r="V138" s="5"/>
      <c r="W138" s="12"/>
      <c r="X138" s="12"/>
      <c r="Y138" s="12"/>
      <c r="Z138" s="12"/>
      <c r="AA138" s="5"/>
      <c r="AB138" s="12"/>
      <c r="AC138" s="12"/>
      <c r="AD138" s="12"/>
      <c r="AE138" s="12"/>
      <c r="AF138" s="5"/>
      <c r="AG138" s="12"/>
      <c r="AH138" s="12"/>
      <c r="AI138" s="12"/>
      <c r="AJ138" s="12"/>
      <c r="AK138" s="5"/>
      <c r="AL138" s="12"/>
      <c r="AM138" s="12"/>
      <c r="AN138" s="12"/>
      <c r="AO138" s="12"/>
      <c r="AP138" s="5"/>
      <c r="AQ138" s="12"/>
      <c r="AR138" s="12"/>
      <c r="AS138" s="12"/>
      <c r="AT138" s="12"/>
      <c r="AU138" s="5"/>
      <c r="AV138" s="12"/>
      <c r="AW138" s="12"/>
      <c r="AX138" s="12"/>
      <c r="AY138" s="12"/>
      <c r="AZ138" s="5"/>
      <c r="BA138" s="12"/>
      <c r="BB138" s="12"/>
      <c r="BC138" s="12"/>
      <c r="BD138" s="12"/>
      <c r="BE138" s="5"/>
      <c r="BF138" s="12"/>
      <c r="BG138" s="12"/>
      <c r="BH138" s="12"/>
      <c r="BI138" s="12"/>
      <c r="BJ138" s="5"/>
      <c r="BK138" s="12"/>
      <c r="BL138" s="12"/>
      <c r="BM138" s="12"/>
      <c r="BN138" s="12"/>
      <c r="BO138" s="5"/>
      <c r="BP138" s="12"/>
      <c r="BQ138" s="12"/>
      <c r="BR138" s="12"/>
      <c r="BS138" s="12"/>
      <c r="BT138" s="5"/>
      <c r="BU138" s="12"/>
      <c r="BV138" s="12"/>
      <c r="BW138" s="12"/>
      <c r="BX138" s="12"/>
      <c r="BY138" s="5"/>
      <c r="BZ138" s="12"/>
      <c r="CA138" s="12"/>
      <c r="CB138" s="12"/>
      <c r="CC138" s="12"/>
      <c r="CD138" s="5"/>
      <c r="CE138" s="5"/>
      <c r="CF138" s="5"/>
      <c r="CG138" s="5"/>
      <c r="CH138" s="5"/>
      <c r="CI138" s="5"/>
      <c r="CJ138" s="5"/>
      <c r="CK138" s="5"/>
      <c r="CL138" s="5"/>
    </row>
    <row r="139" spans="1:90">
      <c r="A139" s="5"/>
      <c r="B139" s="5"/>
      <c r="C139" s="5"/>
      <c r="D139" s="5"/>
      <c r="E139" s="5"/>
      <c r="F139" s="5"/>
      <c r="G139" s="5"/>
      <c r="H139" s="12"/>
      <c r="I139" s="12"/>
      <c r="J139" s="12"/>
      <c r="K139" s="12"/>
      <c r="L139" s="5"/>
      <c r="M139" s="12"/>
      <c r="N139" s="12"/>
      <c r="O139" s="12"/>
      <c r="P139" s="12"/>
      <c r="Q139" s="5"/>
      <c r="R139" s="12"/>
      <c r="S139" s="12"/>
      <c r="T139" s="12"/>
      <c r="U139" s="12"/>
      <c r="V139" s="5"/>
      <c r="W139" s="12"/>
      <c r="X139" s="12"/>
      <c r="Y139" s="12"/>
      <c r="Z139" s="12"/>
      <c r="AA139" s="5"/>
      <c r="AB139" s="12"/>
      <c r="AC139" s="12"/>
      <c r="AD139" s="12"/>
      <c r="AE139" s="12"/>
      <c r="AF139" s="5"/>
      <c r="AG139" s="12"/>
      <c r="AH139" s="12"/>
      <c r="AI139" s="12"/>
      <c r="AJ139" s="12"/>
      <c r="AK139" s="5"/>
      <c r="AL139" s="12"/>
      <c r="AM139" s="12"/>
      <c r="AN139" s="12"/>
      <c r="AO139" s="12"/>
      <c r="AP139" s="5"/>
      <c r="AQ139" s="5"/>
      <c r="AR139" s="12"/>
      <c r="AS139" s="12"/>
      <c r="AT139" s="12"/>
      <c r="AU139" s="5"/>
      <c r="AV139" s="12"/>
      <c r="AW139" s="12"/>
      <c r="AX139" s="12"/>
      <c r="AY139" s="12"/>
      <c r="AZ139" s="5"/>
      <c r="BA139" s="12"/>
      <c r="BB139" s="12"/>
      <c r="BC139" s="12"/>
      <c r="BD139" s="12"/>
      <c r="BE139" s="5"/>
      <c r="BF139" s="12"/>
      <c r="BG139" s="12"/>
      <c r="BH139" s="12"/>
      <c r="BI139" s="12"/>
      <c r="BJ139" s="5"/>
      <c r="BK139" s="12"/>
      <c r="BL139" s="12"/>
      <c r="BM139" s="12"/>
      <c r="BN139" s="12"/>
      <c r="BO139" s="5"/>
      <c r="BP139" s="12"/>
      <c r="BQ139" s="12"/>
      <c r="BR139" s="12"/>
      <c r="BS139" s="12"/>
      <c r="BT139" s="5"/>
      <c r="BU139" s="12"/>
      <c r="BV139" s="12"/>
      <c r="BW139" s="12"/>
      <c r="BX139" s="12"/>
      <c r="BY139" s="5"/>
      <c r="BZ139" s="12"/>
      <c r="CA139" s="12"/>
      <c r="CB139" s="12"/>
      <c r="CC139" s="12"/>
      <c r="CD139" s="5"/>
      <c r="CE139" s="5"/>
      <c r="CF139" s="5"/>
      <c r="CG139" s="5"/>
      <c r="CH139" s="5"/>
      <c r="CI139" s="5"/>
      <c r="CJ139" s="5"/>
      <c r="CK139" s="5"/>
      <c r="CL139" s="5"/>
    </row>
    <row r="140" spans="1:90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</row>
    <row r="141" spans="1:90">
      <c r="A141" s="9" t="s">
        <v>1305</v>
      </c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12"/>
      <c r="N141" s="12"/>
      <c r="O141" s="12"/>
      <c r="P141" s="12"/>
      <c r="Q141" s="5"/>
      <c r="R141" s="12"/>
      <c r="S141" s="12"/>
      <c r="T141" s="12"/>
      <c r="U141" s="12"/>
      <c r="V141" s="5"/>
      <c r="W141" s="12"/>
      <c r="X141" s="12"/>
      <c r="Y141" s="12"/>
      <c r="Z141" s="12"/>
      <c r="AA141" s="5"/>
      <c r="AB141" s="12"/>
      <c r="AC141" s="12"/>
      <c r="AD141" s="12"/>
      <c r="AE141" s="12"/>
      <c r="AF141" s="5"/>
      <c r="AG141" s="12"/>
      <c r="AH141" s="12"/>
      <c r="AI141" s="12"/>
      <c r="AJ141" s="12"/>
      <c r="AK141" s="5"/>
      <c r="AL141" s="12"/>
      <c r="AM141" s="12"/>
      <c r="AN141" s="12"/>
      <c r="AO141" s="12"/>
      <c r="AP141" s="5"/>
      <c r="AQ141" s="12"/>
      <c r="AR141" s="12"/>
      <c r="AS141" s="12"/>
      <c r="AT141" s="12"/>
      <c r="AU141" s="5"/>
      <c r="AV141" s="12"/>
      <c r="AW141" s="12"/>
      <c r="AX141" s="12"/>
      <c r="AY141" s="12"/>
      <c r="AZ141" s="5"/>
      <c r="BA141" s="12"/>
      <c r="BB141" s="12"/>
      <c r="BC141" s="12"/>
      <c r="BD141" s="12"/>
      <c r="BE141" s="5"/>
      <c r="BF141" s="12"/>
      <c r="BG141" s="12"/>
      <c r="BH141" s="12"/>
      <c r="BI141" s="12"/>
      <c r="BJ141" s="5"/>
      <c r="BK141" s="12"/>
      <c r="BL141" s="12"/>
      <c r="BM141" s="12"/>
      <c r="BN141" s="12"/>
      <c r="BO141" s="5"/>
      <c r="BP141" s="12"/>
      <c r="BQ141" s="12"/>
      <c r="BR141" s="12"/>
      <c r="BS141" s="12"/>
      <c r="BT141" s="5"/>
      <c r="BU141" s="12"/>
      <c r="BV141" s="12"/>
      <c r="BW141" s="12"/>
      <c r="BX141" s="12"/>
      <c r="BY141" s="5"/>
      <c r="BZ141" s="12"/>
      <c r="CA141" s="12"/>
      <c r="CB141" s="12"/>
      <c r="CC141" s="12"/>
      <c r="CD141" s="5"/>
      <c r="CE141" s="5"/>
      <c r="CF141" s="5"/>
      <c r="CG141" s="5"/>
      <c r="CH141" s="5"/>
      <c r="CI141" s="5"/>
      <c r="CJ141" s="5"/>
      <c r="CK141" s="5"/>
      <c r="CL141" s="5"/>
    </row>
    <row r="142" spans="1:90" ht="12.75" customHeight="1">
      <c r="A142" s="211" t="s">
        <v>2206</v>
      </c>
      <c r="B142" s="10"/>
      <c r="C142" s="31">
        <v>2001</v>
      </c>
      <c r="D142" s="32">
        <v>2002</v>
      </c>
      <c r="E142" s="32">
        <v>2003</v>
      </c>
      <c r="F142" s="32">
        <v>2004</v>
      </c>
      <c r="G142" s="31">
        <v>2005</v>
      </c>
      <c r="H142" s="33" t="s">
        <v>714</v>
      </c>
      <c r="I142" s="33" t="s">
        <v>715</v>
      </c>
      <c r="J142" s="33" t="s">
        <v>716</v>
      </c>
      <c r="K142" s="33" t="s">
        <v>717</v>
      </c>
      <c r="L142" s="31">
        <v>2006</v>
      </c>
      <c r="M142" s="33" t="s">
        <v>718</v>
      </c>
      <c r="N142" s="33" t="s">
        <v>719</v>
      </c>
      <c r="O142" s="33" t="s">
        <v>1970</v>
      </c>
      <c r="P142" s="33" t="s">
        <v>1971</v>
      </c>
      <c r="Q142" s="31">
        <v>2007</v>
      </c>
      <c r="R142" s="33" t="s">
        <v>1972</v>
      </c>
      <c r="S142" s="33" t="s">
        <v>1973</v>
      </c>
      <c r="T142" s="33" t="s">
        <v>1974</v>
      </c>
      <c r="U142" s="33" t="s">
        <v>1975</v>
      </c>
      <c r="V142" s="31">
        <v>2008</v>
      </c>
      <c r="W142" s="33" t="s">
        <v>1976</v>
      </c>
      <c r="X142" s="33" t="s">
        <v>1977</v>
      </c>
      <c r="Y142" s="33" t="s">
        <v>1978</v>
      </c>
      <c r="Z142" s="33" t="s">
        <v>1979</v>
      </c>
      <c r="AA142" s="31">
        <v>2009</v>
      </c>
      <c r="AB142" s="33" t="s">
        <v>1980</v>
      </c>
      <c r="AC142" s="33" t="s">
        <v>1981</v>
      </c>
      <c r="AD142" s="33" t="s">
        <v>1982</v>
      </c>
      <c r="AE142" s="33" t="s">
        <v>2392</v>
      </c>
      <c r="AF142" s="31">
        <v>2010</v>
      </c>
      <c r="AG142" s="33" t="s">
        <v>2393</v>
      </c>
      <c r="AH142" s="33" t="s">
        <v>2394</v>
      </c>
      <c r="AI142" s="33" t="s">
        <v>2395</v>
      </c>
      <c r="AJ142" s="33" t="s">
        <v>2396</v>
      </c>
      <c r="AK142" s="31">
        <v>2011</v>
      </c>
      <c r="AL142" s="368" t="s">
        <v>2397</v>
      </c>
      <c r="AM142" s="368" t="s">
        <v>2398</v>
      </c>
      <c r="AN142" s="368" t="s">
        <v>2399</v>
      </c>
      <c r="AO142" s="368" t="s">
        <v>2400</v>
      </c>
      <c r="AP142" s="369">
        <v>2012</v>
      </c>
      <c r="AQ142" s="368" t="s">
        <v>2401</v>
      </c>
      <c r="AR142" s="368" t="s">
        <v>2402</v>
      </c>
      <c r="AS142" s="368" t="s">
        <v>2403</v>
      </c>
      <c r="AT142" s="368" t="s">
        <v>2404</v>
      </c>
      <c r="AU142" s="369">
        <v>2013</v>
      </c>
      <c r="AV142" s="368" t="s">
        <v>2405</v>
      </c>
      <c r="AW142" s="368" t="s">
        <v>2406</v>
      </c>
      <c r="AX142" s="368" t="s">
        <v>2407</v>
      </c>
      <c r="AY142" s="368" t="s">
        <v>2408</v>
      </c>
      <c r="AZ142" s="369">
        <v>2014</v>
      </c>
      <c r="BA142" s="368" t="s">
        <v>2409</v>
      </c>
      <c r="BB142" s="368" t="s">
        <v>2410</v>
      </c>
      <c r="BC142" s="368" t="s">
        <v>2411</v>
      </c>
      <c r="BD142" s="368" t="s">
        <v>2412</v>
      </c>
      <c r="BE142" s="31">
        <v>2015</v>
      </c>
      <c r="BF142" s="368" t="s">
        <v>2413</v>
      </c>
      <c r="BG142" s="368" t="s">
        <v>2414</v>
      </c>
      <c r="BH142" s="368" t="s">
        <v>2415</v>
      </c>
      <c r="BI142" s="368" t="s">
        <v>2416</v>
      </c>
      <c r="BJ142" s="31">
        <v>2016</v>
      </c>
      <c r="BK142" s="368" t="s">
        <v>2417</v>
      </c>
      <c r="BL142" s="368" t="s">
        <v>2418</v>
      </c>
      <c r="BM142" s="368" t="s">
        <v>2419</v>
      </c>
      <c r="BN142" s="363" t="s">
        <v>2420</v>
      </c>
      <c r="BO142" s="31">
        <v>2017</v>
      </c>
      <c r="BP142" s="363" t="s">
        <v>2244</v>
      </c>
      <c r="BQ142" s="363" t="s">
        <v>2245</v>
      </c>
      <c r="BR142" s="363" t="s">
        <v>2508</v>
      </c>
      <c r="BS142" s="363" t="s">
        <v>2509</v>
      </c>
      <c r="BT142" s="364">
        <v>2018</v>
      </c>
      <c r="BU142" s="363" t="s">
        <v>2510</v>
      </c>
      <c r="BV142" s="363" t="s">
        <v>2511</v>
      </c>
      <c r="BW142" s="363" t="s">
        <v>3125</v>
      </c>
      <c r="BX142" s="363" t="s">
        <v>1405</v>
      </c>
      <c r="BY142" s="364">
        <v>2019</v>
      </c>
      <c r="BZ142" s="363" t="s">
        <v>1406</v>
      </c>
      <c r="CA142" s="363" t="s">
        <v>1407</v>
      </c>
      <c r="CB142" s="363" t="s">
        <v>1408</v>
      </c>
      <c r="CC142" s="363" t="s">
        <v>1409</v>
      </c>
      <c r="CD142" s="364">
        <v>2020</v>
      </c>
      <c r="CE142" s="11"/>
      <c r="CF142" s="249" t="s">
        <v>2882</v>
      </c>
      <c r="CG142" s="5"/>
      <c r="CH142" s="5"/>
      <c r="CI142" s="5"/>
      <c r="CJ142" s="5"/>
      <c r="CK142" s="5"/>
      <c r="CL142" s="5"/>
    </row>
    <row r="143" spans="1:90">
      <c r="A143" s="7" t="s">
        <v>2716</v>
      </c>
      <c r="B143" s="4"/>
      <c r="C143" s="5"/>
      <c r="D143" s="5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5"/>
      <c r="AG143" s="12"/>
      <c r="AH143" s="12"/>
      <c r="AI143" s="12"/>
      <c r="AJ143" s="12"/>
      <c r="AK143" s="5"/>
      <c r="AL143" s="12"/>
      <c r="AM143" s="12"/>
      <c r="AN143" s="12"/>
      <c r="AO143" s="12"/>
      <c r="AP143" s="5"/>
      <c r="AQ143" s="12"/>
      <c r="AR143" s="12"/>
      <c r="AS143" s="12"/>
      <c r="AT143" s="12"/>
      <c r="AU143" s="5"/>
      <c r="AV143" s="12"/>
      <c r="AW143" s="12"/>
      <c r="AX143" s="12"/>
      <c r="AY143" s="12"/>
      <c r="AZ143" s="5"/>
      <c r="BA143" s="12"/>
      <c r="BB143" s="12"/>
      <c r="BC143" s="12"/>
      <c r="BD143" s="12"/>
      <c r="BE143" s="5"/>
      <c r="BF143" s="12"/>
      <c r="BG143" s="12"/>
      <c r="BH143" s="12"/>
      <c r="BI143" s="12"/>
      <c r="BJ143" s="5"/>
      <c r="BK143" s="12"/>
      <c r="BL143" s="12"/>
      <c r="BM143" s="12"/>
      <c r="BN143" s="12"/>
      <c r="BO143" s="5"/>
      <c r="BP143" s="12"/>
      <c r="BQ143" s="12"/>
      <c r="BR143" s="12"/>
      <c r="BS143" s="12"/>
      <c r="BT143" s="5"/>
      <c r="BU143" s="12"/>
      <c r="BV143" s="12"/>
      <c r="BW143" s="12"/>
      <c r="BX143" s="12"/>
      <c r="BY143" s="5"/>
      <c r="BZ143" s="12"/>
      <c r="CA143" s="12"/>
      <c r="CB143" s="12"/>
      <c r="CC143" s="12"/>
      <c r="CD143" s="5"/>
      <c r="CE143" s="5"/>
      <c r="CF143" s="5"/>
      <c r="CG143" s="5"/>
      <c r="CH143" s="5"/>
      <c r="CI143" s="5"/>
      <c r="CJ143" s="5"/>
      <c r="CK143" s="5"/>
      <c r="CL143" s="5"/>
    </row>
    <row r="144" spans="1:90">
      <c r="A144" s="4" t="s">
        <v>2697</v>
      </c>
      <c r="B144" s="4"/>
      <c r="C144" s="5"/>
      <c r="D144" s="5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  <c r="AA144" s="72"/>
      <c r="AB144" s="72"/>
      <c r="AC144" s="12">
        <f>'GoM oil spill'!AC23</f>
        <v>6233</v>
      </c>
      <c r="AD144" s="12">
        <f>'GoM oil spill'!AD23</f>
        <v>6663</v>
      </c>
      <c r="AE144" s="12">
        <f>'GoM oil spill'!AE23</f>
        <v>5943</v>
      </c>
      <c r="AF144" s="5">
        <f>'GoM oil spill'!AF23</f>
        <v>5943</v>
      </c>
      <c r="AG144" s="12">
        <f>'GoM oil spill'!AG23</f>
        <v>5981</v>
      </c>
      <c r="AH144" s="12">
        <f>'GoM oil spill'!AH23</f>
        <v>7170</v>
      </c>
      <c r="AI144" s="12">
        <f>'GoM oil spill'!AI23</f>
        <v>5598</v>
      </c>
      <c r="AJ144" s="12">
        <f>'GoM oil spill'!AJ23</f>
        <v>6587</v>
      </c>
      <c r="AK144" s="5">
        <f>'GoM oil spill'!AK23</f>
        <v>6587</v>
      </c>
      <c r="AL144" s="12">
        <f>'GoM oil spill'!AL23</f>
        <v>4985</v>
      </c>
      <c r="AM144" s="12">
        <f>'GoM oil spill'!AM23</f>
        <v>5109</v>
      </c>
      <c r="AN144" s="12">
        <f>'GoM oil spill'!AN23</f>
        <v>4913</v>
      </c>
      <c r="AO144" s="12">
        <f>'GoM oil spill'!AO23</f>
        <v>4515</v>
      </c>
      <c r="AP144" s="5">
        <f>'GoM oil spill'!AP23</f>
        <v>4515</v>
      </c>
      <c r="AQ144" s="12">
        <f>'GoM oil spill'!AQ23</f>
        <v>4082</v>
      </c>
      <c r="AR144" s="12">
        <f>'GoM oil spill'!AR23</f>
        <v>4530</v>
      </c>
      <c r="AS144" s="12">
        <f>'GoM oil spill'!AS23</f>
        <v>2861</v>
      </c>
      <c r="AT144" s="12">
        <f>'GoM oil spill'!AT23</f>
        <v>2457</v>
      </c>
      <c r="AU144" s="5">
        <f>'GoM oil spill'!AU23</f>
        <v>2457</v>
      </c>
      <c r="AV144" s="12">
        <f>'GoM oil spill'!AV23</f>
        <v>1931</v>
      </c>
      <c r="AW144" s="12">
        <f>'GoM oil spill'!AW23</f>
        <v>1944</v>
      </c>
      <c r="AX144" s="12">
        <f>'GoM oil spill'!AX23</f>
        <v>1566</v>
      </c>
      <c r="AY144" s="12">
        <f>'GoM oil spill'!AY23</f>
        <v>1154</v>
      </c>
      <c r="AZ144" s="5">
        <f>'GoM oil spill'!AZ23</f>
        <v>1154</v>
      </c>
      <c r="BA144" s="12">
        <f>'GoM oil spill'!BA23</f>
        <v>1079</v>
      </c>
      <c r="BB144" s="12">
        <f>'GoM oil spill'!BB23</f>
        <v>2638</v>
      </c>
      <c r="BC144" s="12">
        <f>'GoM oil spill'!BC23</f>
        <v>1205</v>
      </c>
      <c r="BD144" s="12">
        <f>'GoM oil spill'!BD23</f>
        <v>686</v>
      </c>
      <c r="BE144" s="5">
        <f>'GoM oil spill'!BE23</f>
        <v>686</v>
      </c>
      <c r="BF144" s="12">
        <f>'GoM oil spill'!BF23</f>
        <v>513</v>
      </c>
      <c r="BG144" s="12">
        <f>'GoM oil spill'!BG23</f>
        <v>364</v>
      </c>
      <c r="BH144" s="12">
        <f>'GoM oil spill'!BH23</f>
        <v>334</v>
      </c>
      <c r="BI144" s="12">
        <f>'GoM oil spill'!BI23</f>
        <v>194</v>
      </c>
      <c r="BJ144" s="5">
        <f>'GoM oil spill'!BJ23</f>
        <v>194</v>
      </c>
      <c r="BK144" s="12">
        <f>'GoM oil spill'!BK23</f>
        <v>264</v>
      </c>
      <c r="BL144" s="12">
        <f>'GoM oil spill'!BL23</f>
        <v>172</v>
      </c>
      <c r="BM144" s="12">
        <f>'GoM oil spill'!BM23</f>
        <v>214</v>
      </c>
      <c r="BN144" s="12">
        <f>'GoM oil spill'!BN23</f>
        <v>252</v>
      </c>
      <c r="BO144" s="5">
        <f>'GoM oil spill'!BO23</f>
        <v>252</v>
      </c>
      <c r="BP144" s="12">
        <f ca="1">'GoM oil spill'!BP23</f>
        <v>252</v>
      </c>
      <c r="BQ144" s="12">
        <f ca="1">'GoM oil spill'!BQ23</f>
        <v>252</v>
      </c>
      <c r="BR144" s="12">
        <f ca="1">'GoM oil spill'!BR23</f>
        <v>252</v>
      </c>
      <c r="BS144" s="12">
        <f ca="1">'GoM oil spill'!BS23</f>
        <v>252</v>
      </c>
      <c r="BT144" s="5">
        <f ca="1">'GoM oil spill'!BT23</f>
        <v>252</v>
      </c>
      <c r="BU144" s="12">
        <f ca="1">'GoM oil spill'!BU23</f>
        <v>252</v>
      </c>
      <c r="BV144" s="12">
        <f ca="1">'GoM oil spill'!BV23</f>
        <v>252</v>
      </c>
      <c r="BW144" s="12">
        <f ca="1">'GoM oil spill'!BW23</f>
        <v>252</v>
      </c>
      <c r="BX144" s="12">
        <f ca="1">'GoM oil spill'!BX23</f>
        <v>252</v>
      </c>
      <c r="BY144" s="5">
        <f ca="1">'GoM oil spill'!BY23</f>
        <v>252</v>
      </c>
      <c r="BZ144" s="12">
        <f ca="1">'GoM oil spill'!BZ23</f>
        <v>252</v>
      </c>
      <c r="CA144" s="12">
        <f ca="1">'GoM oil spill'!CA23</f>
        <v>252</v>
      </c>
      <c r="CB144" s="12">
        <f ca="1">'GoM oil spill'!CB23</f>
        <v>252</v>
      </c>
      <c r="CC144" s="12">
        <f ca="1">'GoM oil spill'!CC23</f>
        <v>252</v>
      </c>
      <c r="CD144" s="5">
        <f ca="1">'GoM oil spill'!CD23</f>
        <v>252</v>
      </c>
      <c r="CE144" s="5"/>
      <c r="CF144" s="312" t="s">
        <v>2879</v>
      </c>
      <c r="CG144" s="5"/>
      <c r="CH144" s="5"/>
      <c r="CI144" s="5"/>
      <c r="CJ144" s="5"/>
      <c r="CK144" s="5"/>
      <c r="CL144" s="5"/>
    </row>
    <row r="145" spans="1:90">
      <c r="A145" s="4"/>
      <c r="B145" s="4"/>
      <c r="C145" s="5"/>
      <c r="D145" s="5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5"/>
      <c r="AG145" s="12"/>
      <c r="AH145" s="12"/>
      <c r="AI145" s="12"/>
      <c r="AJ145" s="12"/>
      <c r="AK145" s="5"/>
      <c r="AL145" s="12"/>
      <c r="AM145" s="12"/>
      <c r="AN145" s="12"/>
      <c r="AO145" s="12"/>
      <c r="AP145" s="5"/>
      <c r="AQ145" s="12"/>
      <c r="AR145" s="12"/>
      <c r="AS145" s="12"/>
      <c r="AT145" s="12"/>
      <c r="AU145" s="5"/>
      <c r="AV145" s="12"/>
      <c r="AW145" s="12"/>
      <c r="AX145" s="12"/>
      <c r="AY145" s="12"/>
      <c r="AZ145" s="5"/>
      <c r="BA145" s="12"/>
      <c r="BB145" s="12"/>
      <c r="BC145" s="12"/>
      <c r="BD145" s="12"/>
      <c r="BE145" s="5"/>
      <c r="BF145" s="12"/>
      <c r="BG145" s="12"/>
      <c r="BH145" s="12"/>
      <c r="BI145" s="12"/>
      <c r="BJ145" s="5"/>
      <c r="BK145" s="12"/>
      <c r="BL145" s="12"/>
      <c r="BM145" s="12"/>
      <c r="BN145" s="12"/>
      <c r="BO145" s="5"/>
      <c r="BP145" s="12"/>
      <c r="BQ145" s="12"/>
      <c r="BR145" s="12"/>
      <c r="BS145" s="12"/>
      <c r="BT145" s="5"/>
      <c r="BU145" s="12"/>
      <c r="BV145" s="12"/>
      <c r="BW145" s="12"/>
      <c r="BX145" s="12"/>
      <c r="BY145" s="5"/>
      <c r="BZ145" s="12"/>
      <c r="CA145" s="12"/>
      <c r="CB145" s="12"/>
      <c r="CC145" s="12"/>
      <c r="CD145" s="5"/>
      <c r="CE145" s="5"/>
      <c r="CF145" s="312"/>
      <c r="CG145" s="5"/>
      <c r="CH145" s="5"/>
      <c r="CI145" s="5"/>
      <c r="CJ145" s="5"/>
      <c r="CK145" s="5"/>
      <c r="CL145" s="5"/>
    </row>
    <row r="146" spans="1:90">
      <c r="A146" s="7" t="s">
        <v>2717</v>
      </c>
      <c r="B146" s="4"/>
      <c r="C146" s="5"/>
      <c r="D146" s="5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5"/>
      <c r="AG146" s="12"/>
      <c r="AH146" s="12"/>
      <c r="AI146" s="12"/>
      <c r="AJ146" s="12"/>
      <c r="AK146" s="5"/>
      <c r="AL146" s="12"/>
      <c r="AM146" s="12"/>
      <c r="AN146" s="12"/>
      <c r="AO146" s="12"/>
      <c r="AP146" s="5"/>
      <c r="AQ146" s="12"/>
      <c r="AR146" s="12"/>
      <c r="AS146" s="12"/>
      <c r="AT146" s="12"/>
      <c r="AU146" s="5"/>
      <c r="AV146" s="12"/>
      <c r="AW146" s="12"/>
      <c r="AX146" s="12"/>
      <c r="AY146" s="12"/>
      <c r="AZ146" s="5"/>
      <c r="BA146" s="12"/>
      <c r="BB146" s="12"/>
      <c r="BC146" s="12"/>
      <c r="BD146" s="12"/>
      <c r="BE146" s="5"/>
      <c r="BF146" s="12"/>
      <c r="BG146" s="12"/>
      <c r="BH146" s="12"/>
      <c r="BI146" s="12"/>
      <c r="BJ146" s="5"/>
      <c r="BK146" s="12"/>
      <c r="BL146" s="12"/>
      <c r="BM146" s="12"/>
      <c r="BN146" s="12"/>
      <c r="BO146" s="5"/>
      <c r="BP146" s="12"/>
      <c r="BQ146" s="12"/>
      <c r="BR146" s="12"/>
      <c r="BS146" s="12"/>
      <c r="BT146" s="5"/>
      <c r="BU146" s="12"/>
      <c r="BV146" s="12"/>
      <c r="BW146" s="12"/>
      <c r="BX146" s="12"/>
      <c r="BY146" s="5"/>
      <c r="BZ146" s="12"/>
      <c r="CA146" s="12"/>
      <c r="CB146" s="12"/>
      <c r="CC146" s="12"/>
      <c r="CD146" s="5"/>
      <c r="CE146" s="5"/>
      <c r="CF146" s="312"/>
      <c r="CG146" s="5"/>
      <c r="CH146" s="5"/>
      <c r="CI146" s="5"/>
      <c r="CJ146" s="5"/>
      <c r="CK146" s="5"/>
      <c r="CL146" s="5"/>
    </row>
    <row r="147" spans="1:90">
      <c r="A147" s="4" t="s">
        <v>2698</v>
      </c>
      <c r="B147" s="4"/>
      <c r="C147" s="5"/>
      <c r="D147" s="5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  <c r="AA147" s="72"/>
      <c r="AB147" s="72"/>
      <c r="AC147" s="12">
        <f>-'GoM oil spill'!AC26</f>
        <v>8276</v>
      </c>
      <c r="AD147" s="12">
        <f>-'GoM oil spill'!AD26</f>
        <v>7272</v>
      </c>
      <c r="AE147" s="12">
        <f>-'GoM oil spill'!AE26</f>
        <v>6587</v>
      </c>
      <c r="AF147" s="5">
        <f>-'GoM oil spill'!AF26</f>
        <v>6587</v>
      </c>
      <c r="AG147" s="12">
        <f>-'GoM oil spill'!AG26</f>
        <v>6031</v>
      </c>
      <c r="AH147" s="12">
        <f>-'GoM oil spill'!AH26</f>
        <v>6796</v>
      </c>
      <c r="AI147" s="12">
        <f>-'GoM oil spill'!AI26</f>
        <v>5495</v>
      </c>
      <c r="AJ147" s="12">
        <f>-'GoM oil spill'!AJ26</f>
        <v>5425</v>
      </c>
      <c r="AK147" s="5">
        <f>-'GoM oil spill'!AK26</f>
        <v>5425</v>
      </c>
      <c r="AL147" s="12">
        <f>-'GoM oil spill'!AL26</f>
        <v>3800</v>
      </c>
      <c r="AM147" s="12">
        <f>-'GoM oil spill'!AM26</f>
        <v>2377</v>
      </c>
      <c r="AN147" s="12">
        <f>-'GoM oil spill'!AN26</f>
        <v>1118</v>
      </c>
      <c r="AO147" s="12">
        <f>-'GoM oil spill'!AO26</f>
        <v>522</v>
      </c>
      <c r="AP147" s="5">
        <f>-'GoM oil spill'!AP26</f>
        <v>522</v>
      </c>
      <c r="AQ147" s="12">
        <f>-'GoM oil spill'!AQ26</f>
        <v>1082</v>
      </c>
      <c r="AR147" s="12">
        <f>-'GoM oil spill'!AR26</f>
        <v>1063</v>
      </c>
      <c r="AS147" s="12">
        <f>-'GoM oil spill'!AS26</f>
        <v>1029</v>
      </c>
      <c r="AT147" s="12">
        <f>-'GoM oil spill'!AT26</f>
        <v>1030</v>
      </c>
      <c r="AU147" s="5">
        <f>-'GoM oil spill'!AU26</f>
        <v>1030</v>
      </c>
      <c r="AV147" s="12">
        <f>-'GoM oil spill'!AV26</f>
        <v>887</v>
      </c>
      <c r="AW147" s="12">
        <f>-'GoM oil spill'!AW26</f>
        <v>838</v>
      </c>
      <c r="AX147" s="12">
        <f>-'GoM oil spill'!AX26</f>
        <v>653</v>
      </c>
      <c r="AY147" s="12">
        <f>-'GoM oil spill'!AY26</f>
        <v>655</v>
      </c>
      <c r="AZ147" s="5">
        <f>-'GoM oil spill'!AZ26</f>
        <v>655</v>
      </c>
      <c r="BA147" s="12">
        <f>-'GoM oil spill'!BA26</f>
        <v>724</v>
      </c>
      <c r="BB147" s="12">
        <f>-'GoM oil spill'!BB26</f>
        <v>857</v>
      </c>
      <c r="BC147" s="12">
        <f>-'GoM oil spill'!BC26</f>
        <v>837</v>
      </c>
      <c r="BD147" s="12">
        <f>-'GoM oil spill'!BD26</f>
        <v>733</v>
      </c>
      <c r="BE147" s="5">
        <f>-'GoM oil spill'!BE26</f>
        <v>733</v>
      </c>
      <c r="BF147" s="12">
        <f>-'GoM oil spill'!BF26</f>
        <v>2137</v>
      </c>
      <c r="BG147" s="12">
        <f>-'GoM oil spill'!BG26</f>
        <v>2813</v>
      </c>
      <c r="BH147" s="12">
        <f>-'GoM oil spill'!BH26</f>
        <v>1979</v>
      </c>
      <c r="BI147" s="12">
        <f>-'GoM oil spill'!BI26</f>
        <v>3056</v>
      </c>
      <c r="BJ147" s="5">
        <f>-'GoM oil spill'!BJ26</f>
        <v>3056</v>
      </c>
      <c r="BK147" s="12">
        <f>-'GoM oil spill'!BK26</f>
        <v>2945</v>
      </c>
      <c r="BL147" s="12">
        <f>-'GoM oil spill'!BL26</f>
        <v>2202</v>
      </c>
      <c r="BM147" s="12">
        <f>-'GoM oil spill'!BM26</f>
        <v>2069</v>
      </c>
      <c r="BN147" s="12">
        <f>-'GoM oil spill'!BN26</f>
        <v>2089</v>
      </c>
      <c r="BO147" s="5">
        <f>-'GoM oil spill'!BO26</f>
        <v>2089</v>
      </c>
      <c r="BP147" s="12">
        <f>-'GoM oil spill'!BP26</f>
        <v>991.59744398185944</v>
      </c>
      <c r="BQ147" s="12">
        <f>-'GoM oil spill'!BQ26</f>
        <v>1299.2954395422337</v>
      </c>
      <c r="BR147" s="12">
        <f>-'GoM oil spill'!BR26</f>
        <v>1225.2804168664968</v>
      </c>
      <c r="BS147" s="12">
        <f>-'GoM oil spill'!BS26</f>
        <v>1151.2653941907599</v>
      </c>
      <c r="BT147" s="5">
        <f>-'GoM oil spill'!BT26</f>
        <v>1151.2653941907599</v>
      </c>
      <c r="BU147" s="12">
        <f>-'GoM oil spill'!BU26</f>
        <v>1040.2428601771544</v>
      </c>
      <c r="BV147" s="12">
        <f>-'GoM oil spill'!BV26</f>
        <v>932.18092707057838</v>
      </c>
      <c r="BW147" s="12">
        <f>-'GoM oil spill'!BW26</f>
        <v>821.15839305697295</v>
      </c>
      <c r="BX147" s="12">
        <f>-'GoM oil spill'!BX26</f>
        <v>710.13585904336753</v>
      </c>
      <c r="BY147" s="5">
        <f>-'GoM oil spill'!BY26</f>
        <v>710.13585904336753</v>
      </c>
      <c r="BZ147" s="12">
        <f>-'GoM oil spill'!BZ26</f>
        <v>1269.05361374376</v>
      </c>
      <c r="CA147" s="12">
        <f>-'GoM oil spill'!CA26</f>
        <v>736.40067455675592</v>
      </c>
      <c r="CB147" s="12">
        <f>-'GoM oil spill'!CB26</f>
        <v>913.88359441311934</v>
      </c>
      <c r="CC147" s="12">
        <f>-'GoM oil spill'!CC26</f>
        <v>1091.3665142694829</v>
      </c>
      <c r="CD147" s="5">
        <f>-'GoM oil spill'!CD26</f>
        <v>1091.3665142694829</v>
      </c>
      <c r="CE147" s="5"/>
      <c r="CF147" s="312" t="s">
        <v>2878</v>
      </c>
      <c r="CG147" s="5"/>
      <c r="CH147" s="5"/>
      <c r="CI147" s="5"/>
      <c r="CJ147" s="5"/>
      <c r="CK147" s="5"/>
      <c r="CL147" s="5"/>
    </row>
    <row r="148" spans="1:90">
      <c r="A148" s="4" t="s">
        <v>1295</v>
      </c>
      <c r="B148" s="4"/>
      <c r="C148" s="5"/>
      <c r="D148" s="5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  <c r="AA148" s="72"/>
      <c r="AB148" s="72"/>
      <c r="AC148" s="12">
        <f>-'GoM oil spill'!AC29</f>
        <v>11809</v>
      </c>
      <c r="AD148" s="12">
        <f>-'GoM oil spill'!AD29</f>
        <v>11343</v>
      </c>
      <c r="AE148" s="12">
        <f>-'GoM oil spill'!AE29</f>
        <v>7938</v>
      </c>
      <c r="AF148" s="5">
        <f>-'GoM oil spill'!AF29</f>
        <v>7938</v>
      </c>
      <c r="AG148" s="12">
        <f>-'GoM oil spill'!AG29</f>
        <v>7379</v>
      </c>
      <c r="AH148" s="12">
        <f>-'GoM oil spill'!AH29</f>
        <v>7414</v>
      </c>
      <c r="AI148" s="12">
        <f>-'GoM oil spill'!AI29</f>
        <v>7078</v>
      </c>
      <c r="AJ148" s="12">
        <f>-'GoM oil spill'!AJ29</f>
        <v>7537</v>
      </c>
      <c r="AK148" s="5">
        <f>-'GoM oil spill'!AK29</f>
        <v>7537</v>
      </c>
      <c r="AL148" s="12">
        <f>-'GoM oil spill'!AL29</f>
        <v>5877</v>
      </c>
      <c r="AM148" s="12">
        <f>-'GoM oil spill'!AM29</f>
        <v>6177</v>
      </c>
      <c r="AN148" s="12">
        <f>-'GoM oil spill'!AN29</f>
        <v>6181</v>
      </c>
      <c r="AO148" s="12">
        <f>-'GoM oil spill'!AO29</f>
        <v>5725</v>
      </c>
      <c r="AP148" s="5">
        <f>-'GoM oil spill'!AP29</f>
        <v>5725</v>
      </c>
      <c r="AQ148" s="12">
        <f>-'GoM oil spill'!AQ29</f>
        <v>4810</v>
      </c>
      <c r="AR148" s="12">
        <f>-'GoM oil spill'!AR29</f>
        <v>5183</v>
      </c>
      <c r="AS148" s="12">
        <f>-'GoM oil spill'!AS29</f>
        <v>3457</v>
      </c>
      <c r="AT148" s="12">
        <f>-'GoM oil spill'!AT29</f>
        <v>2951</v>
      </c>
      <c r="AU148" s="5">
        <f>-'GoM oil spill'!AU29</f>
        <v>2951</v>
      </c>
      <c r="AV148" s="12">
        <f>-'GoM oil spill'!AV29</f>
        <v>2375</v>
      </c>
      <c r="AW148" s="12">
        <f>-'GoM oil spill'!AW29</f>
        <v>2345</v>
      </c>
      <c r="AX148" s="12">
        <f>-'GoM oil spill'!AX29</f>
        <v>1942</v>
      </c>
      <c r="AY148" s="12">
        <f>-'GoM oil spill'!AY29</f>
        <v>1702</v>
      </c>
      <c r="AZ148" s="5">
        <f>-'GoM oil spill'!AZ29</f>
        <v>1702</v>
      </c>
      <c r="BA148" s="12">
        <f>-'GoM oil spill'!BA29</f>
        <v>1562</v>
      </c>
      <c r="BB148" s="12">
        <f>-'GoM oil spill'!BB29</f>
        <v>3569</v>
      </c>
      <c r="BC148" s="12">
        <f>-'GoM oil spill'!BC29</f>
        <v>2523</v>
      </c>
      <c r="BD148" s="12">
        <f>-'GoM oil spill'!BD29</f>
        <v>3076</v>
      </c>
      <c r="BE148" s="5">
        <f>-'GoM oil spill'!BE29</f>
        <v>3076</v>
      </c>
      <c r="BF148" s="12">
        <f>-'GoM oil spill'!BF29</f>
        <v>1980</v>
      </c>
      <c r="BG148" s="12">
        <f>-'GoM oil spill'!BG29</f>
        <v>3427</v>
      </c>
      <c r="BH148" s="12">
        <f>-'GoM oil spill'!BH29</f>
        <v>3348</v>
      </c>
      <c r="BI148" s="12">
        <f>-'GoM oil spill'!BI29</f>
        <v>2330</v>
      </c>
      <c r="BJ148" s="5">
        <f>-'GoM oil spill'!BJ29</f>
        <v>2330</v>
      </c>
      <c r="BK148" s="12">
        <f>-'GoM oil spill'!BK29</f>
        <v>1296</v>
      </c>
      <c r="BL148" s="12">
        <f>-'GoM oil spill'!BL29</f>
        <v>955</v>
      </c>
      <c r="BM148" s="12">
        <f>-'GoM oil spill'!BM29</f>
        <v>726</v>
      </c>
      <c r="BN148" s="12">
        <f>-'GoM oil spill'!BN29</f>
        <v>1439</v>
      </c>
      <c r="BO148" s="5">
        <f>-'GoM oil spill'!BO29</f>
        <v>1439</v>
      </c>
      <c r="BP148" s="12">
        <f>-'GoM oil spill'!BP29</f>
        <v>683.05826801814055</v>
      </c>
      <c r="BQ148" s="12">
        <f>-'GoM oil spill'!BQ29</f>
        <v>895.0149054577663</v>
      </c>
      <c r="BR148" s="12">
        <f>-'GoM oil spill'!BR29</f>
        <v>844.02992813350329</v>
      </c>
      <c r="BS148" s="12">
        <f>-'GoM oil spill'!BS29</f>
        <v>793.04495080924016</v>
      </c>
      <c r="BT148" s="5">
        <f>-'GoM oil spill'!BT29</f>
        <v>793.04495080924016</v>
      </c>
      <c r="BU148" s="12">
        <f>-'GoM oil spill'!BU29</f>
        <v>716.5674848228457</v>
      </c>
      <c r="BV148" s="12">
        <f>-'GoM oil spill'!BV29</f>
        <v>642.12941792942172</v>
      </c>
      <c r="BW148" s="12">
        <f>-'GoM oil spill'!BW29</f>
        <v>565.65195194302714</v>
      </c>
      <c r="BX148" s="12">
        <f>-'GoM oil spill'!BX29</f>
        <v>489.17448595663262</v>
      </c>
      <c r="BY148" s="5">
        <f>-'GoM oil spill'!BY29</f>
        <v>489.17448595663262</v>
      </c>
      <c r="BZ148" s="12">
        <f>-'GoM oil spill'!BZ29</f>
        <v>874.18293450324086</v>
      </c>
      <c r="CA148" s="12">
        <f>-'GoM oil spill'!CA29</f>
        <v>507.26690794024483</v>
      </c>
      <c r="CB148" s="12">
        <f>-'GoM oil spill'!CB29</f>
        <v>629.52536733388149</v>
      </c>
      <c r="CC148" s="12">
        <f>-'GoM oil spill'!CC29</f>
        <v>751.78382672751832</v>
      </c>
      <c r="CD148" s="5">
        <f>-'GoM oil spill'!CD29</f>
        <v>751.78382672751832</v>
      </c>
      <c r="CE148" s="5"/>
      <c r="CF148" s="312" t="s">
        <v>2878</v>
      </c>
      <c r="CG148" s="5"/>
      <c r="CH148" s="5"/>
      <c r="CI148" s="5"/>
      <c r="CJ148" s="5"/>
      <c r="CK148" s="5"/>
      <c r="CL148" s="5"/>
    </row>
    <row r="149" spans="1:90">
      <c r="A149" s="4"/>
      <c r="B149" s="4"/>
      <c r="C149" s="5"/>
      <c r="D149" s="5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5"/>
      <c r="AG149" s="12"/>
      <c r="AH149" s="12"/>
      <c r="AI149" s="12"/>
      <c r="AJ149" s="12"/>
      <c r="AK149" s="5"/>
      <c r="AL149" s="12"/>
      <c r="AM149" s="12"/>
      <c r="AN149" s="12"/>
      <c r="AO149" s="12"/>
      <c r="AP149" s="5"/>
      <c r="AQ149" s="12"/>
      <c r="AR149" s="12"/>
      <c r="AS149" s="12"/>
      <c r="AT149" s="12"/>
      <c r="AU149" s="5"/>
      <c r="AV149" s="12"/>
      <c r="AW149" s="12"/>
      <c r="AX149" s="12"/>
      <c r="AY149" s="12"/>
      <c r="AZ149" s="5"/>
      <c r="BA149" s="12"/>
      <c r="BB149" s="12"/>
      <c r="BC149" s="12"/>
      <c r="BD149" s="12"/>
      <c r="BE149" s="5"/>
      <c r="BF149" s="12"/>
      <c r="BG149" s="12"/>
      <c r="BH149" s="12"/>
      <c r="BI149" s="12"/>
      <c r="BJ149" s="5"/>
      <c r="BK149" s="12"/>
      <c r="BL149" s="12"/>
      <c r="BM149" s="12"/>
      <c r="BN149" s="12"/>
      <c r="BO149" s="5"/>
      <c r="BP149" s="12"/>
      <c r="BQ149" s="12"/>
      <c r="BR149" s="12"/>
      <c r="BS149" s="12"/>
      <c r="BT149" s="5"/>
      <c r="BU149" s="12"/>
      <c r="BV149" s="12"/>
      <c r="BW149" s="12"/>
      <c r="BX149" s="12"/>
      <c r="BY149" s="5"/>
      <c r="BZ149" s="12"/>
      <c r="CA149" s="12"/>
      <c r="CB149" s="12"/>
      <c r="CC149" s="12"/>
      <c r="CD149" s="5"/>
      <c r="CE149" s="5"/>
      <c r="CF149" s="312"/>
      <c r="CG149" s="5"/>
      <c r="CH149" s="5"/>
      <c r="CI149" s="5"/>
      <c r="CJ149" s="5"/>
      <c r="CK149" s="5"/>
      <c r="CL149" s="5"/>
    </row>
    <row r="150" spans="1:90">
      <c r="A150" s="14" t="s">
        <v>1296</v>
      </c>
      <c r="B150" s="14"/>
      <c r="C150" s="213"/>
      <c r="D150" s="213"/>
      <c r="E150" s="308"/>
      <c r="F150" s="308"/>
      <c r="G150" s="308"/>
      <c r="H150" s="308"/>
      <c r="I150" s="308"/>
      <c r="J150" s="308"/>
      <c r="K150" s="308"/>
      <c r="L150" s="308"/>
      <c r="M150" s="308"/>
      <c r="N150" s="308"/>
      <c r="O150" s="308"/>
      <c r="P150" s="308"/>
      <c r="Q150" s="308"/>
      <c r="R150" s="308"/>
      <c r="S150" s="308"/>
      <c r="T150" s="308"/>
      <c r="U150" s="308"/>
      <c r="V150" s="308"/>
      <c r="W150" s="308"/>
      <c r="X150" s="308"/>
      <c r="Y150" s="308"/>
      <c r="Z150" s="308"/>
      <c r="AA150" s="308"/>
      <c r="AB150" s="308"/>
      <c r="AC150" s="67">
        <f>'GoM oil spill'!AC31</f>
        <v>-13852</v>
      </c>
      <c r="AD150" s="67">
        <f>'GoM oil spill'!AD31</f>
        <v>-11952</v>
      </c>
      <c r="AE150" s="67">
        <f>'GoM oil spill'!AE31</f>
        <v>-8582</v>
      </c>
      <c r="AF150" s="15">
        <f>'GoM oil spill'!AF31</f>
        <v>-8582</v>
      </c>
      <c r="AG150" s="67">
        <f>'GoM oil spill'!AG31</f>
        <v>-7429</v>
      </c>
      <c r="AH150" s="67">
        <f>'GoM oil spill'!AH31</f>
        <v>-7040</v>
      </c>
      <c r="AI150" s="67">
        <f>'GoM oil spill'!AI31</f>
        <v>-6975</v>
      </c>
      <c r="AJ150" s="67">
        <f>'GoM oil spill'!AJ31</f>
        <v>-6375</v>
      </c>
      <c r="AK150" s="15">
        <f>'GoM oil spill'!AK31</f>
        <v>-6375</v>
      </c>
      <c r="AL150" s="67">
        <f>'GoM oil spill'!AL31</f>
        <v>-4692</v>
      </c>
      <c r="AM150" s="67">
        <f>'GoM oil spill'!AM31</f>
        <v>-3445</v>
      </c>
      <c r="AN150" s="67">
        <f>'GoM oil spill'!AN31</f>
        <v>-2386</v>
      </c>
      <c r="AO150" s="67">
        <f>'GoM oil spill'!AO31</f>
        <v>-1732</v>
      </c>
      <c r="AP150" s="15">
        <f>'GoM oil spill'!AP31</f>
        <v>-1732</v>
      </c>
      <c r="AQ150" s="67">
        <f>'GoM oil spill'!AQ31</f>
        <v>-1810</v>
      </c>
      <c r="AR150" s="67">
        <f>'GoM oil spill'!AR31</f>
        <v>-1716</v>
      </c>
      <c r="AS150" s="67">
        <f>'GoM oil spill'!AS31</f>
        <v>-1625</v>
      </c>
      <c r="AT150" s="67">
        <f>'GoM oil spill'!AT31</f>
        <v>-1524</v>
      </c>
      <c r="AU150" s="15">
        <f>'GoM oil spill'!AU31</f>
        <v>-1524</v>
      </c>
      <c r="AV150" s="67">
        <f>'GoM oil spill'!AV31</f>
        <v>-1331</v>
      </c>
      <c r="AW150" s="67">
        <f>'GoM oil spill'!AW31</f>
        <v>-1239</v>
      </c>
      <c r="AX150" s="67">
        <f>'GoM oil spill'!AX31</f>
        <v>-1029</v>
      </c>
      <c r="AY150" s="67">
        <f>'GoM oil spill'!AY31</f>
        <v>-1203</v>
      </c>
      <c r="AZ150" s="15">
        <f>'GoM oil spill'!AZ31</f>
        <v>-1203</v>
      </c>
      <c r="BA150" s="67">
        <f>'GoM oil spill'!BA31</f>
        <v>-1207</v>
      </c>
      <c r="BB150" s="67">
        <f>'GoM oil spill'!BB31</f>
        <v>-1788</v>
      </c>
      <c r="BC150" s="67">
        <f>'GoM oil spill'!BC31</f>
        <v>-2155</v>
      </c>
      <c r="BD150" s="67">
        <f>'GoM oil spill'!BD31</f>
        <v>-3123</v>
      </c>
      <c r="BE150" s="15">
        <f>'GoM oil spill'!BE31</f>
        <v>-3123</v>
      </c>
      <c r="BF150" s="67">
        <f>'GoM oil spill'!BF31</f>
        <v>-3604</v>
      </c>
      <c r="BG150" s="67">
        <f>'GoM oil spill'!BG31</f>
        <v>-5876</v>
      </c>
      <c r="BH150" s="67">
        <f>'GoM oil spill'!BH31</f>
        <v>-4993</v>
      </c>
      <c r="BI150" s="67">
        <f>'GoM oil spill'!BI31</f>
        <v>-5192</v>
      </c>
      <c r="BJ150" s="15">
        <f>'GoM oil spill'!BJ31</f>
        <v>-5192</v>
      </c>
      <c r="BK150" s="67">
        <f>'GoM oil spill'!BK31</f>
        <v>-3977</v>
      </c>
      <c r="BL150" s="67">
        <f>'GoM oil spill'!BL31</f>
        <v>-2985</v>
      </c>
      <c r="BM150" s="67">
        <f>'GoM oil spill'!BM31</f>
        <v>-2581</v>
      </c>
      <c r="BN150" s="67">
        <f>'GoM oil spill'!BN31</f>
        <v>-3276</v>
      </c>
      <c r="BO150" s="15">
        <f>'GoM oil spill'!BO31</f>
        <v>-3276</v>
      </c>
      <c r="BP150" s="67">
        <f ca="1">'GoM oil spill'!BP31</f>
        <v>-1422.655712</v>
      </c>
      <c r="BQ150" s="67">
        <f ca="1">'GoM oil spill'!BQ31</f>
        <v>-1942.3103449999999</v>
      </c>
      <c r="BR150" s="67">
        <f ca="1">'GoM oil spill'!BR31</f>
        <v>-1817.3103450000001</v>
      </c>
      <c r="BS150" s="67">
        <f ca="1">'GoM oil spill'!BS31</f>
        <v>-1692.3103450000001</v>
      </c>
      <c r="BT150" s="15">
        <f ca="1">'GoM oil spill'!BT31</f>
        <v>-1692.3103450000001</v>
      </c>
      <c r="BU150" s="67">
        <f ca="1">'GoM oil spill'!BU31</f>
        <v>-1504.8103450000001</v>
      </c>
      <c r="BV150" s="67">
        <f ca="1">'GoM oil spill'!BV31</f>
        <v>-1322.3103450000001</v>
      </c>
      <c r="BW150" s="67">
        <f ca="1">'GoM oil spill'!BW31</f>
        <v>-1134.8103450000001</v>
      </c>
      <c r="BX150" s="67">
        <f ca="1">'GoM oil spill'!BX31</f>
        <v>-947.3103450000001</v>
      </c>
      <c r="BY150" s="15">
        <f ca="1">'GoM oil spill'!BY31</f>
        <v>-947.3103450000001</v>
      </c>
      <c r="BZ150" s="67">
        <f ca="1">'GoM oil spill'!BZ31</f>
        <v>-1891.2365482470009</v>
      </c>
      <c r="CA150" s="67">
        <f ca="1">'GoM oil spill'!CA31</f>
        <v>-991.66758249700069</v>
      </c>
      <c r="CB150" s="67">
        <f ca="1">'GoM oil spill'!CB31</f>
        <v>-1291.4089617470008</v>
      </c>
      <c r="CC150" s="67">
        <f ca="1">'GoM oil spill'!CC31</f>
        <v>-1591.1503409970012</v>
      </c>
      <c r="CD150" s="15">
        <f ca="1">'GoM oil spill'!CD31</f>
        <v>-1591.1503409970012</v>
      </c>
      <c r="CE150" s="5"/>
      <c r="CF150" s="312"/>
      <c r="CG150" s="5"/>
      <c r="CH150" s="5"/>
      <c r="CI150" s="5"/>
      <c r="CJ150" s="5"/>
      <c r="CK150" s="5"/>
      <c r="CL150" s="5"/>
    </row>
    <row r="151" spans="1:90">
      <c r="A151" s="4"/>
      <c r="B151" s="4"/>
      <c r="C151" s="5"/>
      <c r="D151" s="5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5"/>
      <c r="AG151" s="12"/>
      <c r="AH151" s="12"/>
      <c r="AI151" s="12"/>
      <c r="AJ151" s="12"/>
      <c r="AK151" s="5"/>
      <c r="AL151" s="12"/>
      <c r="AM151" s="12"/>
      <c r="AN151" s="12"/>
      <c r="AO151" s="12"/>
      <c r="AP151" s="5"/>
      <c r="AQ151" s="12"/>
      <c r="AR151" s="12"/>
      <c r="AS151" s="12"/>
      <c r="AT151" s="12"/>
      <c r="AU151" s="5"/>
      <c r="AV151" s="12"/>
      <c r="AW151" s="12"/>
      <c r="AX151" s="12"/>
      <c r="AY151" s="12"/>
      <c r="AZ151" s="5"/>
      <c r="BA151" s="12"/>
      <c r="BB151" s="12"/>
      <c r="BC151" s="12"/>
      <c r="BD151" s="12"/>
      <c r="BE151" s="5"/>
      <c r="BF151" s="12"/>
      <c r="BG151" s="12"/>
      <c r="BH151" s="12"/>
      <c r="BI151" s="12"/>
      <c r="BJ151" s="5"/>
      <c r="BK151" s="12"/>
      <c r="BL151" s="12"/>
      <c r="BM151" s="12"/>
      <c r="BN151" s="12"/>
      <c r="BO151" s="5"/>
      <c r="BP151" s="12"/>
      <c r="BQ151" s="12"/>
      <c r="BR151" s="12"/>
      <c r="BS151" s="12"/>
      <c r="BT151" s="5"/>
      <c r="BU151" s="12"/>
      <c r="BV151" s="12"/>
      <c r="BW151" s="12"/>
      <c r="BX151" s="12"/>
      <c r="BY151" s="5"/>
      <c r="BZ151" s="12"/>
      <c r="CA151" s="12"/>
      <c r="CB151" s="12"/>
      <c r="CC151" s="12"/>
      <c r="CD151" s="5"/>
      <c r="CE151" s="5"/>
      <c r="CF151" s="312"/>
      <c r="CG151" s="5"/>
      <c r="CH151" s="5"/>
      <c r="CI151" s="5"/>
      <c r="CJ151" s="5"/>
      <c r="CK151" s="5"/>
      <c r="CL151" s="5"/>
    </row>
    <row r="152" spans="1:90">
      <c r="A152" s="7" t="s">
        <v>2718</v>
      </c>
      <c r="B152" s="4"/>
      <c r="C152" s="5"/>
      <c r="D152" s="5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5"/>
      <c r="AG152" s="12"/>
      <c r="AH152" s="12"/>
      <c r="AI152" s="12"/>
      <c r="AJ152" s="12"/>
      <c r="AK152" s="5"/>
      <c r="AL152" s="12"/>
      <c r="AM152" s="12"/>
      <c r="AN152" s="12"/>
      <c r="AO152" s="12"/>
      <c r="AP152" s="5"/>
      <c r="AQ152" s="12"/>
      <c r="AR152" s="12"/>
      <c r="AS152" s="12"/>
      <c r="AT152" s="12"/>
      <c r="AU152" s="5"/>
      <c r="AV152" s="12"/>
      <c r="AW152" s="12"/>
      <c r="AX152" s="12"/>
      <c r="AY152" s="12"/>
      <c r="AZ152" s="5"/>
      <c r="BA152" s="12"/>
      <c r="BB152" s="12"/>
      <c r="BC152" s="12"/>
      <c r="BD152" s="12"/>
      <c r="BE152" s="5"/>
      <c r="BF152" s="12"/>
      <c r="BG152" s="12"/>
      <c r="BH152" s="12"/>
      <c r="BI152" s="12"/>
      <c r="BJ152" s="5"/>
      <c r="BK152" s="12"/>
      <c r="BL152" s="12"/>
      <c r="BM152" s="12"/>
      <c r="BN152" s="12"/>
      <c r="BO152" s="5"/>
      <c r="BP152" s="12"/>
      <c r="BQ152" s="12"/>
      <c r="BR152" s="12"/>
      <c r="BS152" s="12"/>
      <c r="BT152" s="5"/>
      <c r="BU152" s="12"/>
      <c r="BV152" s="12"/>
      <c r="BW152" s="12"/>
      <c r="BX152" s="12"/>
      <c r="BY152" s="5"/>
      <c r="BZ152" s="12"/>
      <c r="CA152" s="12"/>
      <c r="CB152" s="12"/>
      <c r="CC152" s="12"/>
      <c r="CD152" s="5"/>
      <c r="CE152" s="5"/>
      <c r="CF152" s="312"/>
      <c r="CG152" s="5"/>
      <c r="CH152" s="5"/>
      <c r="CI152" s="5"/>
      <c r="CJ152" s="5"/>
      <c r="CK152" s="5"/>
      <c r="CL152" s="5"/>
    </row>
    <row r="153" spans="1:90">
      <c r="A153" s="4" t="s">
        <v>1297</v>
      </c>
      <c r="B153" s="4"/>
      <c r="C153" s="5"/>
      <c r="D153" s="5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  <c r="AA153" s="72"/>
      <c r="AB153" s="72"/>
      <c r="AC153" s="12">
        <f>'GoM oil spill'!AC34</f>
        <v>1693</v>
      </c>
      <c r="AD153" s="12">
        <f>'GoM oil spill'!AD34</f>
        <v>352</v>
      </c>
      <c r="AE153" s="12">
        <f>'GoM oil spill'!AE34</f>
        <v>3601</v>
      </c>
      <c r="AF153" s="5">
        <f>'GoM oil spill'!AF34</f>
        <v>3601</v>
      </c>
      <c r="AG153" s="12">
        <f>'GoM oil spill'!AG34</f>
        <v>3563</v>
      </c>
      <c r="AH153" s="12">
        <f>'GoM oil spill'!AH34</f>
        <v>2667</v>
      </c>
      <c r="AI153" s="12">
        <f>'GoM oil spill'!AI34</f>
        <v>2278</v>
      </c>
      <c r="AJ153" s="12">
        <f>'GoM oil spill'!AJ34</f>
        <v>1401</v>
      </c>
      <c r="AK153" s="5">
        <f>'GoM oil spill'!AK34</f>
        <v>1401</v>
      </c>
      <c r="AL153" s="12">
        <f>'GoM oil spill'!AL34</f>
        <v>4881</v>
      </c>
      <c r="AM153" s="12">
        <f>'GoM oil spill'!AM34</f>
        <v>4181</v>
      </c>
      <c r="AN153" s="12">
        <f>'GoM oil spill'!AN34</f>
        <v>4754</v>
      </c>
      <c r="AO153" s="12">
        <f>'GoM oil spill'!AO34</f>
        <v>2782</v>
      </c>
      <c r="AP153" s="5">
        <f>'GoM oil spill'!AP34</f>
        <v>2782</v>
      </c>
      <c r="AQ153" s="12">
        <f>'GoM oil spill'!AQ34</f>
        <v>2074</v>
      </c>
      <c r="AR153" s="12">
        <f>'GoM oil spill'!AR34</f>
        <v>2067</v>
      </c>
      <c r="AS153" s="12">
        <f>'GoM oil spill'!AS34</f>
        <v>2286</v>
      </c>
      <c r="AT153" s="12">
        <f>'GoM oil spill'!AT34</f>
        <v>2442</v>
      </c>
      <c r="AU153" s="5">
        <f>'GoM oil spill'!AU34</f>
        <v>2442</v>
      </c>
      <c r="AV153" s="12">
        <f>'GoM oil spill'!AV34</f>
        <v>2799</v>
      </c>
      <c r="AW153" s="12">
        <f>'GoM oil spill'!AW34</f>
        <v>2569</v>
      </c>
      <c r="AX153" s="12">
        <f>'GoM oil spill'!AX34</f>
        <v>3289</v>
      </c>
      <c r="AY153" s="12">
        <f>'GoM oil spill'!AY34</f>
        <v>2701</v>
      </c>
      <c r="AZ153" s="5">
        <f>'GoM oil spill'!AZ34</f>
        <v>2701</v>
      </c>
      <c r="BA153" s="12">
        <f>'GoM oil spill'!BA34</f>
        <v>2304</v>
      </c>
      <c r="BB153" s="12">
        <f>'GoM oil spill'!BB34</f>
        <v>203</v>
      </c>
      <c r="BC153" s="12">
        <f>'GoM oil spill'!BC34</f>
        <v>223</v>
      </c>
      <c r="BD153" s="12">
        <f>'GoM oil spill'!BD34</f>
        <v>0</v>
      </c>
      <c r="BE153" s="5">
        <f>'GoM oil spill'!BE34</f>
        <v>0</v>
      </c>
      <c r="BF153" s="12">
        <f>'GoM oil spill'!BF34</f>
        <v>0</v>
      </c>
      <c r="BG153" s="12">
        <f>'GoM oil spill'!BG34</f>
        <v>0</v>
      </c>
      <c r="BH153" s="12">
        <f>'GoM oil spill'!BH34</f>
        <v>0</v>
      </c>
      <c r="BI153" s="12">
        <f>'GoM oil spill'!BI34</f>
        <v>0</v>
      </c>
      <c r="BJ153" s="5">
        <f>'GoM oil spill'!BJ34</f>
        <v>0</v>
      </c>
      <c r="BK153" s="12">
        <f>'GoM oil spill'!BK34</f>
        <v>0</v>
      </c>
      <c r="BL153" s="12">
        <f>'GoM oil spill'!BL34</f>
        <v>0</v>
      </c>
      <c r="BM153" s="12">
        <f>'GoM oil spill'!BM34</f>
        <v>0</v>
      </c>
      <c r="BN153" s="12">
        <f ca="1">'GoM oil spill'!BN34</f>
        <v>0</v>
      </c>
      <c r="BO153" s="5">
        <f ca="1">'GoM oil spill'!BO34</f>
        <v>0</v>
      </c>
      <c r="BP153" s="12">
        <f ca="1">'GoM oil spill'!BP34</f>
        <v>0</v>
      </c>
      <c r="BQ153" s="12">
        <f ca="1">'GoM oil spill'!BQ34</f>
        <v>0</v>
      </c>
      <c r="BR153" s="12">
        <f ca="1">'GoM oil spill'!BR34</f>
        <v>0</v>
      </c>
      <c r="BS153" s="12">
        <f ca="1">'GoM oil spill'!BS34</f>
        <v>0</v>
      </c>
      <c r="BT153" s="5">
        <f ca="1">'GoM oil spill'!BT34</f>
        <v>0</v>
      </c>
      <c r="BU153" s="12">
        <f ca="1">'GoM oil spill'!BU34</f>
        <v>0</v>
      </c>
      <c r="BV153" s="12">
        <f ca="1">'GoM oil spill'!BV34</f>
        <v>0</v>
      </c>
      <c r="BW153" s="12">
        <f ca="1">'GoM oil spill'!BW34</f>
        <v>0</v>
      </c>
      <c r="BX153" s="12">
        <f ca="1">'GoM oil spill'!BX34</f>
        <v>0</v>
      </c>
      <c r="BY153" s="5">
        <f ca="1">'GoM oil spill'!BY34</f>
        <v>0</v>
      </c>
      <c r="BZ153" s="12">
        <f ca="1">'GoM oil spill'!BZ34</f>
        <v>0</v>
      </c>
      <c r="CA153" s="12">
        <f ca="1">'GoM oil spill'!CA34</f>
        <v>0</v>
      </c>
      <c r="CB153" s="12">
        <f ca="1">'GoM oil spill'!CB34</f>
        <v>0</v>
      </c>
      <c r="CC153" s="12">
        <f ca="1">'GoM oil spill'!CC34</f>
        <v>0</v>
      </c>
      <c r="CD153" s="5">
        <f ca="1">'GoM oil spill'!CD34</f>
        <v>0</v>
      </c>
      <c r="CE153" s="5"/>
      <c r="CF153" s="312" t="s">
        <v>2879</v>
      </c>
      <c r="CG153" s="5"/>
      <c r="CH153" s="5"/>
      <c r="CI153" s="5"/>
      <c r="CJ153" s="5"/>
      <c r="CK153" s="5"/>
      <c r="CL153" s="5"/>
    </row>
    <row r="154" spans="1:90">
      <c r="A154" s="4"/>
      <c r="B154" s="4"/>
      <c r="C154" s="5"/>
      <c r="D154" s="5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5"/>
      <c r="AG154" s="12"/>
      <c r="AH154" s="12"/>
      <c r="AI154" s="12"/>
      <c r="AJ154" s="12"/>
      <c r="AK154" s="5"/>
      <c r="AL154" s="12"/>
      <c r="AM154" s="12"/>
      <c r="AN154" s="12"/>
      <c r="AO154" s="12"/>
      <c r="AP154" s="5"/>
      <c r="AQ154" s="12"/>
      <c r="AR154" s="12"/>
      <c r="AS154" s="12"/>
      <c r="AT154" s="12"/>
      <c r="AU154" s="5"/>
      <c r="AV154" s="12"/>
      <c r="AW154" s="12"/>
      <c r="AX154" s="12"/>
      <c r="AY154" s="12"/>
      <c r="AZ154" s="5"/>
      <c r="BA154" s="12"/>
      <c r="BB154" s="12"/>
      <c r="BC154" s="12"/>
      <c r="BD154" s="12"/>
      <c r="BE154" s="5"/>
      <c r="BF154" s="12"/>
      <c r="BG154" s="12"/>
      <c r="BH154" s="12"/>
      <c r="BI154" s="12"/>
      <c r="BJ154" s="5"/>
      <c r="BK154" s="12"/>
      <c r="BL154" s="12"/>
      <c r="BM154" s="12"/>
      <c r="BN154" s="12"/>
      <c r="BO154" s="5"/>
      <c r="BP154" s="12"/>
      <c r="BQ154" s="12"/>
      <c r="BR154" s="12"/>
      <c r="BS154" s="12"/>
      <c r="BT154" s="5"/>
      <c r="BU154" s="12"/>
      <c r="BV154" s="12"/>
      <c r="BW154" s="12"/>
      <c r="BX154" s="12"/>
      <c r="BY154" s="5"/>
      <c r="BZ154" s="12"/>
      <c r="CA154" s="12"/>
      <c r="CB154" s="12"/>
      <c r="CC154" s="12"/>
      <c r="CD154" s="5"/>
      <c r="CE154" s="5"/>
      <c r="CF154" s="312"/>
      <c r="CG154" s="5"/>
      <c r="CH154" s="5"/>
      <c r="CI154" s="5"/>
      <c r="CJ154" s="5"/>
      <c r="CK154" s="5"/>
      <c r="CL154" s="5"/>
    </row>
    <row r="155" spans="1:90">
      <c r="A155" s="7" t="s">
        <v>1298</v>
      </c>
      <c r="B155" s="4"/>
      <c r="C155" s="5"/>
      <c r="D155" s="5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5"/>
      <c r="AG155" s="12"/>
      <c r="AH155" s="12"/>
      <c r="AI155" s="12"/>
      <c r="AJ155" s="12"/>
      <c r="AK155" s="5"/>
      <c r="AL155" s="12"/>
      <c r="AM155" s="12"/>
      <c r="AN155" s="12"/>
      <c r="AO155" s="12"/>
      <c r="AP155" s="5"/>
      <c r="AQ155" s="12"/>
      <c r="AR155" s="12"/>
      <c r="AS155" s="12"/>
      <c r="AT155" s="12"/>
      <c r="AU155" s="5"/>
      <c r="AV155" s="12"/>
      <c r="AW155" s="12"/>
      <c r="AX155" s="12"/>
      <c r="AY155" s="12"/>
      <c r="AZ155" s="5"/>
      <c r="BA155" s="12"/>
      <c r="BB155" s="12"/>
      <c r="BC155" s="12"/>
      <c r="BD155" s="12"/>
      <c r="BE155" s="5"/>
      <c r="BF155" s="12"/>
      <c r="BG155" s="12"/>
      <c r="BH155" s="12"/>
      <c r="BI155" s="12"/>
      <c r="BJ155" s="5"/>
      <c r="BK155" s="12"/>
      <c r="BL155" s="12"/>
      <c r="BM155" s="12"/>
      <c r="BN155" s="12"/>
      <c r="BO155" s="5"/>
      <c r="BP155" s="12"/>
      <c r="BQ155" s="12"/>
      <c r="BR155" s="12"/>
      <c r="BS155" s="12"/>
      <c r="BT155" s="5"/>
      <c r="BU155" s="12"/>
      <c r="BV155" s="12"/>
      <c r="BW155" s="12"/>
      <c r="BX155" s="12"/>
      <c r="BY155" s="5"/>
      <c r="BZ155" s="12"/>
      <c r="CA155" s="12"/>
      <c r="CB155" s="12"/>
      <c r="CC155" s="12"/>
      <c r="CD155" s="5"/>
      <c r="CE155" s="5"/>
      <c r="CF155" s="312"/>
      <c r="CG155" s="5"/>
      <c r="CH155" s="5"/>
      <c r="CI155" s="5"/>
      <c r="CJ155" s="5"/>
      <c r="CK155" s="5"/>
      <c r="CL155" s="5"/>
    </row>
    <row r="156" spans="1:90">
      <c r="A156" s="4" t="s">
        <v>1299</v>
      </c>
      <c r="B156" s="4"/>
      <c r="C156" s="5"/>
      <c r="D156" s="5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  <c r="AA156" s="72"/>
      <c r="AB156" s="72"/>
      <c r="AC156" s="12">
        <f>-'GoM oil spill'!AC37</f>
        <v>12080</v>
      </c>
      <c r="AD156" s="12">
        <f>-'GoM oil spill'!AD37</f>
        <v>11010</v>
      </c>
      <c r="AE156" s="12">
        <f>-'GoM oil spill'!AE37</f>
        <v>9899</v>
      </c>
      <c r="AF156" s="5">
        <f>-'GoM oil spill'!AF37</f>
        <v>9899</v>
      </c>
      <c r="AG156" s="12">
        <f>-'GoM oil spill'!AG37</f>
        <v>8667</v>
      </c>
      <c r="AH156" s="12">
        <f>-'GoM oil spill'!AH37</f>
        <v>6307</v>
      </c>
      <c r="AI156" s="12">
        <f>-'GoM oil spill'!AI37</f>
        <v>5071</v>
      </c>
      <c r="AJ156" s="12">
        <f>-'GoM oil spill'!AJ37</f>
        <v>0</v>
      </c>
      <c r="AK156" s="5">
        <f>-'GoM oil spill'!AK37</f>
        <v>0</v>
      </c>
      <c r="AL156" s="12">
        <f>-'GoM oil spill'!AL37</f>
        <v>0</v>
      </c>
      <c r="AM156" s="12">
        <f>-'GoM oil spill'!AM37</f>
        <v>0</v>
      </c>
      <c r="AN156" s="12">
        <f>-'GoM oil spill'!AN37</f>
        <v>0</v>
      </c>
      <c r="AO156" s="12">
        <f>-'GoM oil spill'!AO37</f>
        <v>175</v>
      </c>
      <c r="AP156" s="5">
        <f>-'GoM oil spill'!AP37</f>
        <v>175</v>
      </c>
      <c r="AQ156" s="12">
        <f>-'GoM oil spill'!AQ37</f>
        <v>3160</v>
      </c>
      <c r="AR156" s="12">
        <f>-'GoM oil spill'!AR37</f>
        <v>3144</v>
      </c>
      <c r="AS156" s="12">
        <f>-'GoM oil spill'!AS37</f>
        <v>2977</v>
      </c>
      <c r="AT156" s="12">
        <f>-'GoM oil spill'!AT37</f>
        <v>2986</v>
      </c>
      <c r="AU156" s="5">
        <f>-'GoM oil spill'!AU37</f>
        <v>2986</v>
      </c>
      <c r="AV156" s="12">
        <f>-'GoM oil spill'!AV37</f>
        <v>2404</v>
      </c>
      <c r="AW156" s="12">
        <f>-'GoM oil spill'!AW37</f>
        <v>2397</v>
      </c>
      <c r="AX156" s="12">
        <f>-'GoM oil spill'!AX37</f>
        <v>2406</v>
      </c>
      <c r="AY156" s="12">
        <f>-'GoM oil spill'!AY37</f>
        <v>2412</v>
      </c>
      <c r="AZ156" s="5">
        <f>-'GoM oil spill'!AZ37</f>
        <v>2412</v>
      </c>
      <c r="BA156" s="12">
        <f>-'GoM oil spill'!BA37</f>
        <v>2098</v>
      </c>
      <c r="BB156" s="12">
        <f>-'GoM oil spill'!BB37</f>
        <v>2077</v>
      </c>
      <c r="BC156" s="12">
        <f>-'GoM oil spill'!BC37</f>
        <v>2068</v>
      </c>
      <c r="BD156" s="12">
        <f>-'GoM oil spill'!BD37</f>
        <v>2057</v>
      </c>
      <c r="BE156" s="5">
        <f>-'GoM oil spill'!BE37</f>
        <v>2057</v>
      </c>
      <c r="BF156" s="12">
        <f>-'GoM oil spill'!BF37</f>
        <v>14096</v>
      </c>
      <c r="BG156" s="12">
        <f>-'GoM oil spill'!BG37</f>
        <v>13268</v>
      </c>
      <c r="BH156" s="12">
        <f>-'GoM oil spill'!BH37</f>
        <v>13293</v>
      </c>
      <c r="BI156" s="12">
        <f>-'GoM oil spill'!BI37</f>
        <v>13522</v>
      </c>
      <c r="BJ156" s="5">
        <f>-'GoM oil spill'!BJ37</f>
        <v>13522</v>
      </c>
      <c r="BK156" s="12">
        <f>-'GoM oil spill'!BK37</f>
        <v>12663</v>
      </c>
      <c r="BL156" s="12">
        <f>-'GoM oil spill'!BL37</f>
        <v>12151</v>
      </c>
      <c r="BM156" s="12">
        <f>-'GoM oil spill'!BM37</f>
        <v>12197</v>
      </c>
      <c r="BN156" s="12">
        <f>-'GoM oil spill'!BN37</f>
        <v>12253</v>
      </c>
      <c r="BO156" s="5">
        <f>-'GoM oil spill'!BO37</f>
        <v>12253</v>
      </c>
      <c r="BP156" s="12">
        <f>-'GoM oil spill'!BP37</f>
        <v>12657.805910542769</v>
      </c>
      <c r="BQ156" s="12">
        <f>-'GoM oil spill'!BQ37</f>
        <v>11342.464442640772</v>
      </c>
      <c r="BR156" s="12">
        <f>-'GoM oil spill'!BR37</f>
        <v>11217.866833580611</v>
      </c>
      <c r="BS156" s="12">
        <f>-'GoM oil spill'!BS37</f>
        <v>11092.150459726592</v>
      </c>
      <c r="BT156" s="5">
        <f>-'GoM oil spill'!BT37</f>
        <v>11092.150459726592</v>
      </c>
      <c r="BU156" s="12">
        <f>-'GoM oil spill'!BU37</f>
        <v>11166.742669911269</v>
      </c>
      <c r="BV156" s="12">
        <f>-'GoM oil spill'!BV37</f>
        <v>10041.402214114583</v>
      </c>
      <c r="BW156" s="12">
        <f>-'GoM oil spill'!BW37</f>
        <v>10108.163596648432</v>
      </c>
      <c r="BX156" s="12">
        <f>-'GoM oil spill'!BX37</f>
        <v>10174.2594965346</v>
      </c>
      <c r="BY156" s="5">
        <f>-'GoM oil spill'!BY37</f>
        <v>10174.2594965346</v>
      </c>
      <c r="BZ156" s="12">
        <f>-'GoM oil spill'!BZ37</f>
        <v>9306.7206096194968</v>
      </c>
      <c r="CA156" s="12">
        <f>-'GoM oil spill'!CA37</f>
        <v>9083.8581080187214</v>
      </c>
      <c r="CB156" s="12">
        <f>-'GoM oil spill'!CB37</f>
        <v>8853.7726286096677</v>
      </c>
      <c r="CC156" s="12">
        <f>-'GoM oil spill'!CC37</f>
        <v>8624.1353930652949</v>
      </c>
      <c r="CD156" s="5">
        <f>-'GoM oil spill'!CD37</f>
        <v>8624.1353930652949</v>
      </c>
      <c r="CE156" s="5"/>
      <c r="CF156" s="312" t="s">
        <v>2878</v>
      </c>
      <c r="CG156" s="5"/>
      <c r="CH156" s="5"/>
      <c r="CI156" s="5"/>
      <c r="CJ156" s="5"/>
      <c r="CK156" s="5"/>
      <c r="CL156" s="5"/>
    </row>
    <row r="157" spans="1:90">
      <c r="A157" s="4" t="s">
        <v>1295</v>
      </c>
      <c r="B157" s="4"/>
      <c r="C157" s="5"/>
      <c r="D157" s="5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  <c r="AA157" s="72"/>
      <c r="AB157" s="72"/>
      <c r="AC157" s="12">
        <f>-'GoM oil spill'!AC38</f>
        <v>5837</v>
      </c>
      <c r="AD157" s="12">
        <f>-'GoM oil spill'!AD38</f>
        <v>5062</v>
      </c>
      <c r="AE157" s="12">
        <f>-'GoM oil spill'!AE38</f>
        <v>8397</v>
      </c>
      <c r="AF157" s="5">
        <f>-'GoM oil spill'!AF38</f>
        <v>8397</v>
      </c>
      <c r="AG157" s="12">
        <f>-'GoM oil spill'!AG38</f>
        <v>8098</v>
      </c>
      <c r="AH157" s="12">
        <f>-'GoM oil spill'!AH38</f>
        <v>6964</v>
      </c>
      <c r="AI157" s="12">
        <f>-'GoM oil spill'!AI38</f>
        <v>6611</v>
      </c>
      <c r="AJ157" s="12">
        <f>-'GoM oil spill'!AJ38</f>
        <v>5655</v>
      </c>
      <c r="AK157" s="5">
        <f>-'GoM oil spill'!AK38</f>
        <v>5655</v>
      </c>
      <c r="AL157" s="12">
        <f>-'GoM oil spill'!AL38</f>
        <v>9048</v>
      </c>
      <c r="AM157" s="12">
        <f>-'GoM oil spill'!AM38</f>
        <v>8745</v>
      </c>
      <c r="AN157" s="12">
        <f>-'GoM oil spill'!AN38</f>
        <v>8909</v>
      </c>
      <c r="AO157" s="12">
        <f>-'GoM oil spill'!AO38</f>
        <v>10269</v>
      </c>
      <c r="AP157" s="5">
        <f>-'GoM oil spill'!AP38</f>
        <v>10269</v>
      </c>
      <c r="AQ157" s="12">
        <f>-'GoM oil spill'!AQ38</f>
        <v>5984</v>
      </c>
      <c r="AR157" s="12">
        <f>-'GoM oil spill'!AR38</f>
        <v>6057</v>
      </c>
      <c r="AS157" s="12">
        <f>-'GoM oil spill'!AS38</f>
        <v>6159</v>
      </c>
      <c r="AT157" s="12">
        <f>-'GoM oil spill'!AT38</f>
        <v>6395</v>
      </c>
      <c r="AU157" s="5">
        <f>-'GoM oil spill'!AU38</f>
        <v>6395</v>
      </c>
      <c r="AV157" s="12">
        <f>-'GoM oil spill'!AV38</f>
        <v>6862</v>
      </c>
      <c r="AW157" s="12">
        <f>-'GoM oil spill'!AW38</f>
        <v>6823</v>
      </c>
      <c r="AX157" s="12">
        <f>-'GoM oil spill'!AX38</f>
        <v>7494</v>
      </c>
      <c r="AY157" s="12">
        <f>-'GoM oil spill'!AY38</f>
        <v>7072</v>
      </c>
      <c r="AZ157" s="5">
        <f>-'GoM oil spill'!AZ38</f>
        <v>7072</v>
      </c>
      <c r="BA157" s="12">
        <f>-'GoM oil spill'!BA38</f>
        <v>6626</v>
      </c>
      <c r="BB157" s="12">
        <f>-'GoM oil spill'!BB38</f>
        <v>14614</v>
      </c>
      <c r="BC157" s="12">
        <f>-'GoM oil spill'!BC38</f>
        <v>14491</v>
      </c>
      <c r="BD157" s="12">
        <f>-'GoM oil spill'!BD38</f>
        <v>13617</v>
      </c>
      <c r="BE157" s="5">
        <f>-'GoM oil spill'!BE38</f>
        <v>13617</v>
      </c>
      <c r="BF157" s="12">
        <f>-'GoM oil spill'!BF38</f>
        <v>889</v>
      </c>
      <c r="BG157" s="12">
        <f>-'GoM oil spill'!BG38</f>
        <v>3063</v>
      </c>
      <c r="BH157" s="12">
        <f>-'GoM oil spill'!BH38</f>
        <v>1784</v>
      </c>
      <c r="BI157" s="12">
        <f>-'GoM oil spill'!BI38</f>
        <v>112</v>
      </c>
      <c r="BJ157" s="5">
        <f>-'GoM oil spill'!BJ38</f>
        <v>112</v>
      </c>
      <c r="BK157" s="12">
        <f>-'GoM oil spill'!BK38</f>
        <v>54</v>
      </c>
      <c r="BL157" s="12">
        <f>-'GoM oil spill'!BL38</f>
        <v>0</v>
      </c>
      <c r="BM157" s="12">
        <f>-'GoM oil spill'!BM38</f>
        <v>0</v>
      </c>
      <c r="BN157" s="12">
        <f>-'GoM oil spill'!BN38</f>
        <v>1141</v>
      </c>
      <c r="BO157" s="5">
        <f>-'GoM oil spill'!BO38</f>
        <v>1141</v>
      </c>
      <c r="BP157" s="12">
        <f>-'GoM oil spill'!BP38</f>
        <v>1141</v>
      </c>
      <c r="BQ157" s="12">
        <f>-'GoM oil spill'!BQ38</f>
        <v>1141</v>
      </c>
      <c r="BR157" s="12">
        <f>-'GoM oil spill'!BR38</f>
        <v>1141</v>
      </c>
      <c r="BS157" s="12">
        <f>-'GoM oil spill'!BS38</f>
        <v>1141</v>
      </c>
      <c r="BT157" s="5">
        <f>-'GoM oil spill'!BT38</f>
        <v>1141</v>
      </c>
      <c r="BU157" s="12">
        <f>-'GoM oil spill'!BU38</f>
        <v>1141</v>
      </c>
      <c r="BV157" s="12">
        <f>-'GoM oil spill'!BV38</f>
        <v>1141</v>
      </c>
      <c r="BW157" s="12">
        <f>-'GoM oil spill'!BW38</f>
        <v>1141</v>
      </c>
      <c r="BX157" s="12">
        <f>-'GoM oil spill'!BX38</f>
        <v>1141</v>
      </c>
      <c r="BY157" s="5">
        <f>-'GoM oil spill'!BY38</f>
        <v>1141</v>
      </c>
      <c r="BZ157" s="12">
        <f>-'GoM oil spill'!BZ38</f>
        <v>1141</v>
      </c>
      <c r="CA157" s="12">
        <f>-'GoM oil spill'!CA38</f>
        <v>1141</v>
      </c>
      <c r="CB157" s="12">
        <f>-'GoM oil spill'!CB38</f>
        <v>1141</v>
      </c>
      <c r="CC157" s="12">
        <f>-'GoM oil spill'!CC38</f>
        <v>1141</v>
      </c>
      <c r="CD157" s="5">
        <f>-'GoM oil spill'!CD38</f>
        <v>1141</v>
      </c>
      <c r="CE157" s="5"/>
      <c r="CF157" s="312" t="s">
        <v>2878</v>
      </c>
      <c r="CG157" s="5"/>
      <c r="CH157" s="5"/>
      <c r="CI157" s="5"/>
      <c r="CJ157" s="5"/>
      <c r="CK157" s="5"/>
      <c r="CL157" s="5"/>
    </row>
    <row r="158" spans="1:90">
      <c r="A158" s="4" t="s">
        <v>1300</v>
      </c>
      <c r="B158" s="4"/>
      <c r="C158" s="5"/>
      <c r="D158" s="5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  <c r="AA158" s="72"/>
      <c r="AB158" s="72"/>
      <c r="AC158" s="12">
        <f>-'GoM oil spill'!AC40</f>
        <v>-9440</v>
      </c>
      <c r="AD158" s="12">
        <f>-'GoM oil spill'!AD40</f>
        <v>-10988</v>
      </c>
      <c r="AE158" s="12">
        <f>-'GoM oil spill'!AE40</f>
        <v>-11255</v>
      </c>
      <c r="AF158" s="5">
        <f>-'GoM oil spill'!AF40</f>
        <v>-11255</v>
      </c>
      <c r="AG158" s="12">
        <f>-'GoM oil spill'!AG40</f>
        <v>-11218</v>
      </c>
      <c r="AH158" s="12">
        <f>-'GoM oil spill'!AH40</f>
        <v>-10497</v>
      </c>
      <c r="AI158" s="12">
        <f>-'GoM oil spill'!AI40</f>
        <v>-9721</v>
      </c>
      <c r="AJ158" s="12">
        <f>-'GoM oil spill'!AJ40</f>
        <v>-7775</v>
      </c>
      <c r="AK158" s="5">
        <f>-'GoM oil spill'!AK40</f>
        <v>-7775</v>
      </c>
      <c r="AL158" s="12">
        <f>-'GoM oil spill'!AL40</f>
        <v>-7211</v>
      </c>
      <c r="AM158" s="12">
        <f>-'GoM oil spill'!AM40</f>
        <v>-7285</v>
      </c>
      <c r="AN158" s="12">
        <f>-'GoM oil spill'!AN40</f>
        <v>-5841</v>
      </c>
      <c r="AO158" s="12">
        <f>-'GoM oil spill'!AO40</f>
        <v>-4002</v>
      </c>
      <c r="AP158" s="5">
        <f>-'GoM oil spill'!AP40</f>
        <v>-4002</v>
      </c>
      <c r="AQ158" s="12">
        <f>-'GoM oil spill'!AQ40</f>
        <v>-3782</v>
      </c>
      <c r="AR158" s="12">
        <f>-'GoM oil spill'!AR40</f>
        <v>-3443</v>
      </c>
      <c r="AS158" s="12">
        <f>-'GoM oil spill'!AS40</f>
        <v>-2989</v>
      </c>
      <c r="AT158" s="12">
        <f>-'GoM oil spill'!AT40</f>
        <v>-2748</v>
      </c>
      <c r="AU158" s="5">
        <f>-'GoM oil spill'!AU40</f>
        <v>-2748</v>
      </c>
      <c r="AV158" s="12">
        <f>-'GoM oil spill'!AV40</f>
        <v>-2638</v>
      </c>
      <c r="AW158" s="12">
        <f>-'GoM oil spill'!AW40</f>
        <v>-2285</v>
      </c>
      <c r="AX158" s="12">
        <f>-'GoM oil spill'!AX40</f>
        <v>-1995</v>
      </c>
      <c r="AY158" s="12">
        <f>-'GoM oil spill'!AY40</f>
        <v>-1723</v>
      </c>
      <c r="AZ158" s="5">
        <f>-'GoM oil spill'!AZ40</f>
        <v>-1723</v>
      </c>
      <c r="BA158" s="12">
        <f>-'GoM oil spill'!BA40</f>
        <v>-1835</v>
      </c>
      <c r="BB158" s="12">
        <f>-'GoM oil spill'!BB40</f>
        <v>-5436</v>
      </c>
      <c r="BC158" s="12">
        <f>-'GoM oil spill'!BC40</f>
        <v>-5334</v>
      </c>
      <c r="BD158" s="12">
        <f>-'GoM oil spill'!BD40</f>
        <v>-5200</v>
      </c>
      <c r="BE158" s="5">
        <f>-'GoM oil spill'!BE40</f>
        <v>-5200</v>
      </c>
      <c r="BF158" s="12">
        <f>-'GoM oil spill'!BF40</f>
        <v>-5451</v>
      </c>
      <c r="BG158" s="12">
        <f>-'GoM oil spill'!BG40</f>
        <v>-7771</v>
      </c>
      <c r="BH158" s="12">
        <f>-'GoM oil spill'!BH40</f>
        <v>-7824</v>
      </c>
      <c r="BI158" s="12">
        <f>-'GoM oil spill'!BI40</f>
        <v>-8092</v>
      </c>
      <c r="BJ158" s="5">
        <f>-'GoM oil spill'!BJ40</f>
        <v>-8092</v>
      </c>
      <c r="BK158" s="12">
        <f>-'GoM oil spill'!BK40</f>
        <v>-8141</v>
      </c>
      <c r="BL158" s="12">
        <f>-'GoM oil spill'!BL40</f>
        <v>-8295</v>
      </c>
      <c r="BM158" s="12">
        <f>-'GoM oil spill'!BM40</f>
        <v>-8365</v>
      </c>
      <c r="BN158" s="12">
        <f>-'GoM oil spill'!BN40</f>
        <v>-5701</v>
      </c>
      <c r="BO158" s="5">
        <f>-'GoM oil spill'!BO40</f>
        <v>-5701</v>
      </c>
      <c r="BP158" s="12">
        <f>-'GoM oil spill'!BP40</f>
        <v>-5701</v>
      </c>
      <c r="BQ158" s="12">
        <f>-'GoM oil spill'!BQ40</f>
        <v>-5701</v>
      </c>
      <c r="BR158" s="12">
        <f>-'GoM oil spill'!BR40</f>
        <v>-5701</v>
      </c>
      <c r="BS158" s="12">
        <f>-'GoM oil spill'!BS40</f>
        <v>-5701</v>
      </c>
      <c r="BT158" s="5">
        <f>-'GoM oil spill'!BT40</f>
        <v>-5701</v>
      </c>
      <c r="BU158" s="12">
        <f>-'GoM oil spill'!BU40</f>
        <v>-5701</v>
      </c>
      <c r="BV158" s="12">
        <f>-'GoM oil spill'!BV40</f>
        <v>-5701</v>
      </c>
      <c r="BW158" s="12">
        <f>-'GoM oil spill'!BW40</f>
        <v>-5701</v>
      </c>
      <c r="BX158" s="12">
        <f>-'GoM oil spill'!BX40</f>
        <v>-5701</v>
      </c>
      <c r="BY158" s="5">
        <f>-'GoM oil spill'!BY40</f>
        <v>-5701</v>
      </c>
      <c r="BZ158" s="12">
        <f>-'GoM oil spill'!BZ40</f>
        <v>-5701</v>
      </c>
      <c r="CA158" s="12">
        <f>-'GoM oil spill'!CA40</f>
        <v>-5701</v>
      </c>
      <c r="CB158" s="12">
        <f>-'GoM oil spill'!CB40</f>
        <v>-5701</v>
      </c>
      <c r="CC158" s="12">
        <f>-'GoM oil spill'!CC40</f>
        <v>-5701</v>
      </c>
      <c r="CD158" s="5">
        <f>-'GoM oil spill'!CD40</f>
        <v>-5701</v>
      </c>
      <c r="CE158" s="5"/>
      <c r="CF158" s="312" t="s">
        <v>2878</v>
      </c>
      <c r="CG158" s="5"/>
      <c r="CH158" s="5"/>
      <c r="CI158" s="5"/>
      <c r="CJ158" s="5"/>
      <c r="CK158" s="5"/>
      <c r="CL158" s="5"/>
    </row>
    <row r="159" spans="1:90">
      <c r="A159" s="14" t="s">
        <v>1301</v>
      </c>
      <c r="B159" s="14"/>
      <c r="C159" s="213"/>
      <c r="D159" s="213"/>
      <c r="E159" s="308"/>
      <c r="F159" s="308"/>
      <c r="G159" s="308"/>
      <c r="H159" s="308"/>
      <c r="I159" s="308"/>
      <c r="J159" s="308"/>
      <c r="K159" s="308"/>
      <c r="L159" s="308"/>
      <c r="M159" s="308"/>
      <c r="N159" s="308"/>
      <c r="O159" s="308"/>
      <c r="P159" s="308"/>
      <c r="Q159" s="308"/>
      <c r="R159" s="308"/>
      <c r="S159" s="308"/>
      <c r="T159" s="308"/>
      <c r="U159" s="308"/>
      <c r="V159" s="308"/>
      <c r="W159" s="308"/>
      <c r="X159" s="308"/>
      <c r="Y159" s="308"/>
      <c r="Z159" s="308"/>
      <c r="AA159" s="308"/>
      <c r="AB159" s="308"/>
      <c r="AC159" s="67">
        <f>'GoM oil spill'!AC42</f>
        <v>-6784</v>
      </c>
      <c r="AD159" s="67">
        <f>'GoM oil spill'!AD42</f>
        <v>-4732</v>
      </c>
      <c r="AE159" s="67">
        <f>'GoM oil spill'!AE42</f>
        <v>-3440</v>
      </c>
      <c r="AF159" s="15">
        <f>'GoM oil spill'!AF42</f>
        <v>-3440</v>
      </c>
      <c r="AG159" s="67">
        <f>'GoM oil spill'!AG42</f>
        <v>-1984</v>
      </c>
      <c r="AH159" s="67">
        <f>'GoM oil spill'!AH42</f>
        <v>-107</v>
      </c>
      <c r="AI159" s="67">
        <f>'GoM oil spill'!AI42</f>
        <v>317</v>
      </c>
      <c r="AJ159" s="67">
        <f>'GoM oil spill'!AJ42</f>
        <v>3521</v>
      </c>
      <c r="AK159" s="15">
        <f>'GoM oil spill'!AK42</f>
        <v>3521</v>
      </c>
      <c r="AL159" s="67">
        <f>'GoM oil spill'!AL42</f>
        <v>3044</v>
      </c>
      <c r="AM159" s="67">
        <f>'GoM oil spill'!AM42</f>
        <v>2721</v>
      </c>
      <c r="AN159" s="67">
        <f>'GoM oil spill'!AN42</f>
        <v>1686</v>
      </c>
      <c r="AO159" s="67">
        <f>'GoM oil spill'!AO42</f>
        <v>-3660</v>
      </c>
      <c r="AP159" s="15">
        <f>'GoM oil spill'!AP42</f>
        <v>-3660</v>
      </c>
      <c r="AQ159" s="67">
        <f>'GoM oil spill'!AQ42</f>
        <v>-3288</v>
      </c>
      <c r="AR159" s="67">
        <f>'GoM oil spill'!AR42</f>
        <v>-3691</v>
      </c>
      <c r="AS159" s="67">
        <f>'GoM oil spill'!AS42</f>
        <v>-3861</v>
      </c>
      <c r="AT159" s="67">
        <f>'GoM oil spill'!AT42</f>
        <v>-4191</v>
      </c>
      <c r="AU159" s="15">
        <f>'GoM oil spill'!AU42</f>
        <v>-4191</v>
      </c>
      <c r="AV159" s="67">
        <f>'GoM oil spill'!AV42</f>
        <v>-3829</v>
      </c>
      <c r="AW159" s="67">
        <f>'GoM oil spill'!AW42</f>
        <v>-4366</v>
      </c>
      <c r="AX159" s="67">
        <f>'GoM oil spill'!AX42</f>
        <v>-4616</v>
      </c>
      <c r="AY159" s="67">
        <f>'GoM oil spill'!AY42</f>
        <v>-5060</v>
      </c>
      <c r="AZ159" s="15">
        <f>'GoM oil spill'!AZ42</f>
        <v>-5060</v>
      </c>
      <c r="BA159" s="67">
        <f>'GoM oil spill'!BA42</f>
        <v>-4585</v>
      </c>
      <c r="BB159" s="67">
        <f>'GoM oil spill'!BB42</f>
        <v>-11052</v>
      </c>
      <c r="BC159" s="67">
        <f>'GoM oil spill'!BC42</f>
        <v>-11002</v>
      </c>
      <c r="BD159" s="67">
        <f>'GoM oil spill'!BD42</f>
        <v>-10474</v>
      </c>
      <c r="BE159" s="15">
        <f>'GoM oil spill'!BE42</f>
        <v>-10474</v>
      </c>
      <c r="BF159" s="67">
        <f>'GoM oil spill'!BF42</f>
        <v>-9534</v>
      </c>
      <c r="BG159" s="67">
        <f>'GoM oil spill'!BG42</f>
        <v>-8560</v>
      </c>
      <c r="BH159" s="67">
        <f>'GoM oil spill'!BH42</f>
        <v>-7253</v>
      </c>
      <c r="BI159" s="67">
        <f>'GoM oil spill'!BI42</f>
        <v>-5542</v>
      </c>
      <c r="BJ159" s="15">
        <f>'GoM oil spill'!BJ42</f>
        <v>-5542</v>
      </c>
      <c r="BK159" s="67">
        <f>'GoM oil spill'!BK42</f>
        <v>-4576</v>
      </c>
      <c r="BL159" s="67">
        <f>'GoM oil spill'!BL42</f>
        <v>-3856</v>
      </c>
      <c r="BM159" s="67">
        <f>'GoM oil spill'!BM42</f>
        <v>-3832</v>
      </c>
      <c r="BN159" s="67">
        <f ca="1">'GoM oil spill'!BN42</f>
        <v>-7693</v>
      </c>
      <c r="BO159" s="15">
        <f ca="1">'GoM oil spill'!BO42</f>
        <v>-7693</v>
      </c>
      <c r="BP159" s="67">
        <f ca="1">'GoM oil spill'!BP42</f>
        <v>-8097.8059105427692</v>
      </c>
      <c r="BQ159" s="67">
        <f ca="1">'GoM oil spill'!BQ42</f>
        <v>-6782.4644426407722</v>
      </c>
      <c r="BR159" s="67">
        <f ca="1">'GoM oil spill'!BR42</f>
        <v>-6657.8668335806105</v>
      </c>
      <c r="BS159" s="67">
        <f ca="1">'GoM oil spill'!BS42</f>
        <v>-6532.1504597265921</v>
      </c>
      <c r="BT159" s="15">
        <f ca="1">'GoM oil spill'!BT42</f>
        <v>-6532.1504597265921</v>
      </c>
      <c r="BU159" s="67">
        <f ca="1">'GoM oil spill'!BU42</f>
        <v>-6606.7426699112693</v>
      </c>
      <c r="BV159" s="67">
        <f ca="1">'GoM oil spill'!BV42</f>
        <v>-5481.4022141145833</v>
      </c>
      <c r="BW159" s="67">
        <f ca="1">'GoM oil spill'!BW42</f>
        <v>-5548.1635966484318</v>
      </c>
      <c r="BX159" s="67">
        <f ca="1">'GoM oil spill'!BX42</f>
        <v>-5614.2594965345997</v>
      </c>
      <c r="BY159" s="15">
        <f ca="1">'GoM oil spill'!BY42</f>
        <v>-5614.2594965345997</v>
      </c>
      <c r="BZ159" s="67">
        <f ca="1">'GoM oil spill'!BZ42</f>
        <v>-4746.7206096194968</v>
      </c>
      <c r="CA159" s="67">
        <f ca="1">'GoM oil spill'!CA42</f>
        <v>-4523.8581080187214</v>
      </c>
      <c r="CB159" s="67">
        <f ca="1">'GoM oil spill'!CB42</f>
        <v>-4293.7726286096677</v>
      </c>
      <c r="CC159" s="67">
        <f ca="1">'GoM oil spill'!CC42</f>
        <v>-4064.1353930652949</v>
      </c>
      <c r="CD159" s="15">
        <f ca="1">'GoM oil spill'!CD42</f>
        <v>-4064.1353930652949</v>
      </c>
      <c r="CE159" s="5"/>
      <c r="CF159" s="5"/>
      <c r="CG159" s="5"/>
      <c r="CH159" s="5"/>
      <c r="CI159" s="5"/>
      <c r="CJ159" s="5"/>
      <c r="CK159" s="5"/>
      <c r="CL159" s="5"/>
    </row>
    <row r="160" spans="1:90">
      <c r="A160" s="4"/>
      <c r="B160" s="4"/>
      <c r="C160" s="5"/>
      <c r="D160" s="5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5"/>
      <c r="AG160" s="12"/>
      <c r="AH160" s="12"/>
      <c r="AI160" s="12"/>
      <c r="AJ160" s="12"/>
      <c r="AK160" s="5"/>
      <c r="AL160" s="12"/>
      <c r="AM160" s="12"/>
      <c r="AN160" s="12"/>
      <c r="AO160" s="12"/>
      <c r="AP160" s="5"/>
      <c r="AQ160" s="12"/>
      <c r="AR160" s="12"/>
      <c r="AS160" s="12"/>
      <c r="AT160" s="12"/>
      <c r="AU160" s="5"/>
      <c r="AV160" s="12"/>
      <c r="AW160" s="12"/>
      <c r="AX160" s="12"/>
      <c r="AY160" s="12"/>
      <c r="AZ160" s="5"/>
      <c r="BA160" s="12"/>
      <c r="BB160" s="12"/>
      <c r="BC160" s="12"/>
      <c r="BD160" s="12"/>
      <c r="BE160" s="5"/>
      <c r="BF160" s="12"/>
      <c r="BG160" s="12"/>
      <c r="BH160" s="12"/>
      <c r="BI160" s="12"/>
      <c r="BJ160" s="5"/>
      <c r="BK160" s="12"/>
      <c r="BL160" s="12"/>
      <c r="BM160" s="12"/>
      <c r="BN160" s="12"/>
      <c r="BO160" s="5"/>
      <c r="BP160" s="12"/>
      <c r="BQ160" s="12"/>
      <c r="BR160" s="12"/>
      <c r="BS160" s="12"/>
      <c r="BT160" s="5"/>
      <c r="BU160" s="12"/>
      <c r="BV160" s="12"/>
      <c r="BW160" s="12"/>
      <c r="BX160" s="12"/>
      <c r="BY160" s="5"/>
      <c r="BZ160" s="12"/>
      <c r="CA160" s="12"/>
      <c r="CB160" s="12"/>
      <c r="CC160" s="12"/>
      <c r="CD160" s="5"/>
      <c r="CE160" s="5"/>
      <c r="CF160" s="5"/>
      <c r="CG160" s="5"/>
      <c r="CH160" s="5"/>
      <c r="CI160" s="5"/>
      <c r="CJ160" s="5"/>
      <c r="CK160" s="5"/>
      <c r="CL160" s="5"/>
    </row>
    <row r="161" spans="1:90" ht="13.5" thickBot="1">
      <c r="A161" s="241" t="s">
        <v>1302</v>
      </c>
      <c r="B161" s="241"/>
      <c r="C161" s="306"/>
      <c r="D161" s="306"/>
      <c r="E161" s="307"/>
      <c r="F161" s="307"/>
      <c r="G161" s="307"/>
      <c r="H161" s="307"/>
      <c r="I161" s="307"/>
      <c r="J161" s="307"/>
      <c r="K161" s="307"/>
      <c r="L161" s="307"/>
      <c r="M161" s="307"/>
      <c r="N161" s="307"/>
      <c r="O161" s="307"/>
      <c r="P161" s="307"/>
      <c r="Q161" s="307"/>
      <c r="R161" s="307"/>
      <c r="S161" s="307"/>
      <c r="T161" s="307"/>
      <c r="U161" s="307"/>
      <c r="V161" s="307"/>
      <c r="W161" s="307"/>
      <c r="X161" s="307"/>
      <c r="Y161" s="307"/>
      <c r="Z161" s="307"/>
      <c r="AA161" s="307"/>
      <c r="AB161" s="307"/>
      <c r="AC161" s="91">
        <f>'GoM oil spill'!AC44</f>
        <v>-20636</v>
      </c>
      <c r="AD161" s="91">
        <f>'GoM oil spill'!AD44</f>
        <v>-16684</v>
      </c>
      <c r="AE161" s="91">
        <f>'GoM oil spill'!AE44</f>
        <v>-12022</v>
      </c>
      <c r="AF161" s="17">
        <f>'GoM oil spill'!AF44</f>
        <v>-12022</v>
      </c>
      <c r="AG161" s="91">
        <f>'GoM oil spill'!AG44</f>
        <v>-9413</v>
      </c>
      <c r="AH161" s="91">
        <f>'GoM oil spill'!AH44</f>
        <v>-7147</v>
      </c>
      <c r="AI161" s="91">
        <f>'GoM oil spill'!AI44</f>
        <v>-6658</v>
      </c>
      <c r="AJ161" s="91">
        <f>'GoM oil spill'!AJ44</f>
        <v>-2854</v>
      </c>
      <c r="AK161" s="17">
        <f>'GoM oil spill'!AK44</f>
        <v>-2854</v>
      </c>
      <c r="AL161" s="91">
        <f>'GoM oil spill'!AL44</f>
        <v>-1648</v>
      </c>
      <c r="AM161" s="91">
        <f>'GoM oil spill'!AM44</f>
        <v>-724</v>
      </c>
      <c r="AN161" s="91">
        <f>'GoM oil spill'!AN44</f>
        <v>-700</v>
      </c>
      <c r="AO161" s="91">
        <f>'GoM oil spill'!AO44</f>
        <v>-5392</v>
      </c>
      <c r="AP161" s="17">
        <f>'GoM oil spill'!AP44</f>
        <v>-5392</v>
      </c>
      <c r="AQ161" s="91">
        <f>'GoM oil spill'!AQ44</f>
        <v>-5098</v>
      </c>
      <c r="AR161" s="91">
        <f>'GoM oil spill'!AR44</f>
        <v>-5407</v>
      </c>
      <c r="AS161" s="91">
        <f>'GoM oil spill'!AS44</f>
        <v>-5486</v>
      </c>
      <c r="AT161" s="91">
        <f>'GoM oil spill'!AT44</f>
        <v>-5715</v>
      </c>
      <c r="AU161" s="17">
        <f>'GoM oil spill'!AU44</f>
        <v>-5715</v>
      </c>
      <c r="AV161" s="91">
        <f>'GoM oil spill'!AV44</f>
        <v>-5160</v>
      </c>
      <c r="AW161" s="91">
        <f>'GoM oil spill'!AW44</f>
        <v>-5605</v>
      </c>
      <c r="AX161" s="91">
        <f>'GoM oil spill'!AX44</f>
        <v>-5645</v>
      </c>
      <c r="AY161" s="91">
        <f>'GoM oil spill'!AY44</f>
        <v>-6263</v>
      </c>
      <c r="AZ161" s="17">
        <f>'GoM oil spill'!AZ44</f>
        <v>-6263</v>
      </c>
      <c r="BA161" s="91">
        <f>'GoM oil spill'!BA44</f>
        <v>-5792</v>
      </c>
      <c r="BB161" s="91">
        <f>'GoM oil spill'!BB44</f>
        <v>-12840</v>
      </c>
      <c r="BC161" s="91">
        <f>'GoM oil spill'!BC44</f>
        <v>-13157</v>
      </c>
      <c r="BD161" s="91">
        <f>'GoM oil spill'!BD44</f>
        <v>-13597</v>
      </c>
      <c r="BE161" s="17">
        <f>'GoM oil spill'!BE44</f>
        <v>-13597</v>
      </c>
      <c r="BF161" s="91">
        <f>'GoM oil spill'!BF44</f>
        <v>-13138</v>
      </c>
      <c r="BG161" s="91">
        <f>'GoM oil spill'!BG44</f>
        <v>-14436</v>
      </c>
      <c r="BH161" s="91">
        <f>'GoM oil spill'!BH44</f>
        <v>-12246</v>
      </c>
      <c r="BI161" s="91">
        <f>'GoM oil spill'!BI44</f>
        <v>-10734</v>
      </c>
      <c r="BJ161" s="17">
        <f>'GoM oil spill'!BJ44</f>
        <v>-10734</v>
      </c>
      <c r="BK161" s="91">
        <f>'GoM oil spill'!BK44</f>
        <v>-8553</v>
      </c>
      <c r="BL161" s="91">
        <f>'GoM oil spill'!BL44</f>
        <v>-6841</v>
      </c>
      <c r="BM161" s="91">
        <f>'GoM oil spill'!BM44</f>
        <v>-6413</v>
      </c>
      <c r="BN161" s="91">
        <f ca="1">'GoM oil spill'!BN44</f>
        <v>-10969</v>
      </c>
      <c r="BO161" s="17">
        <f ca="1">'GoM oil spill'!BO44</f>
        <v>-10969</v>
      </c>
      <c r="BP161" s="91">
        <f ca="1">'GoM oil spill'!BP44</f>
        <v>-9520.461622542769</v>
      </c>
      <c r="BQ161" s="91">
        <f ca="1">'GoM oil spill'!BQ44</f>
        <v>-8724.774787640772</v>
      </c>
      <c r="BR161" s="91">
        <f ca="1">'GoM oil spill'!BR44</f>
        <v>-8475.1771785806104</v>
      </c>
      <c r="BS161" s="91">
        <f ca="1">'GoM oil spill'!BS44</f>
        <v>-8224.460804726592</v>
      </c>
      <c r="BT161" s="17">
        <f ca="1">'GoM oil spill'!BT44</f>
        <v>-8224.460804726592</v>
      </c>
      <c r="BU161" s="91">
        <f ca="1">'GoM oil spill'!BU44</f>
        <v>-8111.5530149112692</v>
      </c>
      <c r="BV161" s="91">
        <f ca="1">'GoM oil spill'!BV44</f>
        <v>-6803.7125591145832</v>
      </c>
      <c r="BW161" s="91">
        <f ca="1">'GoM oil spill'!BW44</f>
        <v>-6682.9739416484317</v>
      </c>
      <c r="BX161" s="91">
        <f ca="1">'GoM oil spill'!BX44</f>
        <v>-6561.5698415345996</v>
      </c>
      <c r="BY161" s="17">
        <f ca="1">'GoM oil spill'!BY44</f>
        <v>-6561.5698415345996</v>
      </c>
      <c r="BZ161" s="91">
        <f ca="1">'GoM oil spill'!BZ44</f>
        <v>-6637.9571578664982</v>
      </c>
      <c r="CA161" s="91">
        <f ca="1">'GoM oil spill'!CA44</f>
        <v>-5515.5256905157221</v>
      </c>
      <c r="CB161" s="91">
        <f ca="1">'GoM oil spill'!CB44</f>
        <v>-5585.1815903566685</v>
      </c>
      <c r="CC161" s="91">
        <f ca="1">'GoM oil spill'!CC44</f>
        <v>-5655.2857340622959</v>
      </c>
      <c r="CD161" s="17">
        <f ca="1">'GoM oil spill'!CD44</f>
        <v>-5655.2857340622959</v>
      </c>
      <c r="CE161" s="5"/>
      <c r="CF161" s="312"/>
      <c r="CG161" s="5"/>
      <c r="CH161" s="5"/>
      <c r="CI161" s="5"/>
      <c r="CJ161" s="5"/>
      <c r="CK161" s="5"/>
      <c r="CL161" s="5"/>
    </row>
    <row r="162" spans="1:90" ht="13.5" thickTop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12"/>
      <c r="N162" s="12"/>
      <c r="O162" s="12"/>
      <c r="P162" s="12"/>
      <c r="Q162" s="5"/>
      <c r="R162" s="12"/>
      <c r="S162" s="12"/>
      <c r="T162" s="12"/>
      <c r="U162" s="12"/>
      <c r="V162" s="5"/>
      <c r="W162" s="12"/>
      <c r="X162" s="12"/>
      <c r="Y162" s="12"/>
      <c r="Z162" s="12"/>
      <c r="AA162" s="5"/>
      <c r="AB162" s="12"/>
      <c r="AC162" s="12"/>
      <c r="AD162" s="12"/>
      <c r="AE162" s="12"/>
      <c r="AF162" s="5"/>
      <c r="AG162" s="12"/>
      <c r="AH162" s="12"/>
      <c r="AI162" s="12"/>
      <c r="AJ162" s="12"/>
      <c r="AK162" s="5"/>
      <c r="AL162" s="12"/>
      <c r="AM162" s="12"/>
      <c r="AN162" s="12"/>
      <c r="AO162" s="12"/>
      <c r="AP162" s="5"/>
      <c r="AQ162" s="12"/>
      <c r="AR162" s="12"/>
      <c r="AS162" s="12"/>
      <c r="AT162" s="12"/>
      <c r="AU162" s="5"/>
      <c r="AV162" s="12"/>
      <c r="AW162" s="12"/>
      <c r="AX162" s="12"/>
      <c r="AY162" s="12"/>
      <c r="AZ162" s="5"/>
      <c r="BA162" s="12"/>
      <c r="BB162" s="12"/>
      <c r="BC162" s="12"/>
      <c r="BD162" s="12"/>
      <c r="BE162" s="5"/>
      <c r="BF162" s="12"/>
      <c r="BG162" s="12"/>
      <c r="BH162" s="12"/>
      <c r="BI162" s="12"/>
      <c r="BJ162" s="5"/>
      <c r="BK162" s="12"/>
      <c r="BL162" s="12"/>
      <c r="BM162" s="12"/>
      <c r="BN162" s="12"/>
      <c r="BO162" s="5"/>
      <c r="BP162" s="12"/>
      <c r="BQ162" s="12"/>
      <c r="BR162" s="12"/>
      <c r="BS162" s="12"/>
      <c r="BT162" s="5"/>
      <c r="BU162" s="12"/>
      <c r="BV162" s="12"/>
      <c r="BW162" s="12"/>
      <c r="BX162" s="12"/>
      <c r="BY162" s="5"/>
      <c r="BZ162" s="12"/>
      <c r="CA162" s="12"/>
      <c r="CB162" s="12"/>
      <c r="CC162" s="12"/>
      <c r="CD162" s="5"/>
      <c r="CE162" s="5"/>
      <c r="CF162" s="5"/>
      <c r="CG162" s="5"/>
      <c r="CH162" s="5"/>
      <c r="CI162" s="5"/>
      <c r="CJ162" s="5"/>
      <c r="CK162" s="5"/>
      <c r="CL162" s="5"/>
    </row>
    <row r="163" spans="1:90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12"/>
      <c r="N163" s="12"/>
      <c r="O163" s="12"/>
      <c r="P163" s="12"/>
      <c r="Q163" s="5"/>
      <c r="R163" s="12"/>
      <c r="S163" s="12"/>
      <c r="T163" s="12"/>
      <c r="U163" s="12"/>
      <c r="V163" s="5"/>
      <c r="W163" s="12"/>
      <c r="X163" s="12"/>
      <c r="Y163" s="12"/>
      <c r="Z163" s="12"/>
      <c r="AA163" s="5"/>
      <c r="AB163" s="12"/>
      <c r="AC163" s="12"/>
      <c r="AD163" s="12"/>
      <c r="AE163" s="12"/>
      <c r="AF163" s="5"/>
      <c r="AG163" s="12"/>
      <c r="AH163" s="12"/>
      <c r="AI163" s="12"/>
      <c r="AJ163" s="12"/>
      <c r="AK163" s="5"/>
      <c r="AL163" s="12"/>
      <c r="AM163" s="12"/>
      <c r="AN163" s="12"/>
      <c r="AO163" s="12"/>
      <c r="AP163" s="5"/>
      <c r="AQ163" s="12"/>
      <c r="AR163" s="12"/>
      <c r="AS163" s="12"/>
      <c r="AT163" s="12"/>
      <c r="AU163" s="5"/>
      <c r="AV163" s="12"/>
      <c r="AW163" s="12"/>
      <c r="AX163" s="12"/>
      <c r="AY163" s="12"/>
      <c r="AZ163" s="5"/>
      <c r="BA163" s="12"/>
      <c r="BB163" s="12"/>
      <c r="BC163" s="12"/>
      <c r="BD163" s="12"/>
      <c r="BE163" s="5"/>
      <c r="BF163" s="12"/>
      <c r="BG163" s="12"/>
      <c r="BH163" s="12"/>
      <c r="BI163" s="12"/>
      <c r="BJ163" s="5"/>
      <c r="BK163" s="12"/>
      <c r="BL163" s="12"/>
      <c r="BM163" s="12"/>
      <c r="BN163" s="12"/>
      <c r="BO163" s="5"/>
      <c r="BP163" s="12"/>
      <c r="BQ163" s="12"/>
      <c r="BR163" s="12"/>
      <c r="BS163" s="12"/>
      <c r="BT163" s="5"/>
      <c r="BU163" s="12"/>
      <c r="BV163" s="12"/>
      <c r="BW163" s="12"/>
      <c r="BX163" s="12"/>
      <c r="BY163" s="5"/>
      <c r="BZ163" s="12"/>
      <c r="CA163" s="12"/>
      <c r="CB163" s="12"/>
      <c r="CC163" s="12"/>
      <c r="CD163" s="5"/>
      <c r="CE163" s="5"/>
      <c r="CF163" s="5"/>
      <c r="CG163" s="5"/>
      <c r="CH163" s="5"/>
      <c r="CI163" s="5"/>
      <c r="CJ163" s="562"/>
      <c r="CK163" s="562"/>
      <c r="CL163" s="562"/>
    </row>
    <row r="164" spans="1:90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12"/>
      <c r="N164" s="12"/>
      <c r="O164" s="12"/>
      <c r="P164" s="12"/>
      <c r="Q164" s="5"/>
      <c r="R164" s="12"/>
      <c r="S164" s="12"/>
      <c r="T164" s="12"/>
      <c r="U164" s="12"/>
      <c r="V164" s="5"/>
      <c r="W164" s="12"/>
      <c r="X164" s="12"/>
      <c r="Y164" s="12"/>
      <c r="Z164" s="12"/>
      <c r="AA164" s="5"/>
      <c r="AB164" s="12"/>
      <c r="AC164" s="12"/>
      <c r="AD164" s="12"/>
      <c r="AE164" s="12"/>
      <c r="AF164" s="5"/>
      <c r="AG164" s="12"/>
      <c r="AH164" s="12"/>
      <c r="AI164" s="12"/>
      <c r="AJ164" s="12"/>
      <c r="AK164" s="5"/>
      <c r="AL164" s="12"/>
      <c r="AM164" s="12"/>
      <c r="AN164" s="12"/>
      <c r="AO164" s="12"/>
      <c r="AP164" s="5"/>
      <c r="AQ164" s="12"/>
      <c r="AR164" s="12"/>
      <c r="AS164" s="12"/>
      <c r="AT164" s="12"/>
      <c r="AU164" s="5"/>
      <c r="AV164" s="12"/>
      <c r="AW164" s="12"/>
      <c r="AX164" s="12"/>
      <c r="AY164" s="12"/>
      <c r="AZ164" s="5"/>
      <c r="BA164" s="12"/>
      <c r="BB164" s="12"/>
      <c r="BC164" s="12"/>
      <c r="BD164" s="12"/>
      <c r="BE164" s="5"/>
      <c r="BF164" s="12"/>
      <c r="BG164" s="12"/>
      <c r="BH164" s="12"/>
      <c r="BI164" s="12"/>
      <c r="BJ164" s="5"/>
      <c r="BK164" s="12"/>
      <c r="BL164" s="12"/>
      <c r="BM164" s="12"/>
      <c r="BN164" s="12"/>
      <c r="BO164" s="5"/>
      <c r="BP164" s="12"/>
      <c r="BQ164" s="12"/>
      <c r="BR164" s="12"/>
      <c r="BS164" s="12"/>
      <c r="BT164" s="5"/>
      <c r="BU164" s="12"/>
      <c r="BV164" s="12"/>
      <c r="BW164" s="12"/>
      <c r="BX164" s="12"/>
      <c r="BY164" s="5"/>
      <c r="BZ164" s="12"/>
      <c r="CA164" s="12"/>
      <c r="CB164" s="12"/>
      <c r="CC164" s="12"/>
      <c r="CD164" s="5"/>
      <c r="CE164" s="5"/>
      <c r="CF164" s="5"/>
      <c r="CG164" s="5"/>
      <c r="CH164" s="5"/>
      <c r="CI164" s="5"/>
      <c r="CJ164" s="5"/>
      <c r="CK164" s="5"/>
      <c r="CL164" s="5"/>
    </row>
    <row r="165" spans="1:90">
      <c r="A165" s="9" t="s">
        <v>2877</v>
      </c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12"/>
      <c r="N165" s="12"/>
      <c r="O165" s="12"/>
      <c r="P165" s="12"/>
      <c r="Q165" s="5"/>
      <c r="R165" s="12"/>
      <c r="S165" s="12"/>
      <c r="T165" s="12"/>
      <c r="U165" s="12"/>
      <c r="V165" s="5"/>
      <c r="W165" s="12"/>
      <c r="X165" s="12"/>
      <c r="Y165" s="12"/>
      <c r="Z165" s="12"/>
      <c r="AA165" s="5"/>
      <c r="AB165" s="12"/>
      <c r="AC165" s="12"/>
      <c r="AD165" s="12"/>
      <c r="AE165" s="12"/>
      <c r="AF165" s="5"/>
      <c r="AG165" s="12"/>
      <c r="AH165" s="12"/>
      <c r="AI165" s="12"/>
      <c r="AJ165" s="12"/>
      <c r="AK165" s="5"/>
      <c r="AL165" s="12"/>
      <c r="AM165" s="12"/>
      <c r="AN165" s="12"/>
      <c r="AO165" s="12"/>
      <c r="AP165" s="5"/>
      <c r="AQ165" s="12"/>
      <c r="AR165" s="12"/>
      <c r="AS165" s="12"/>
      <c r="AT165" s="12"/>
      <c r="AU165" s="5"/>
      <c r="AV165" s="12"/>
      <c r="AW165" s="12"/>
      <c r="AX165" s="12"/>
      <c r="AY165" s="12"/>
      <c r="AZ165" s="5"/>
      <c r="BA165" s="12"/>
      <c r="BB165" s="12"/>
      <c r="BC165" s="12"/>
      <c r="BD165" s="12"/>
      <c r="BE165" s="5"/>
      <c r="BF165" s="12"/>
      <c r="BG165" s="12"/>
      <c r="BH165" s="12"/>
      <c r="BI165" s="12"/>
      <c r="BJ165" s="5"/>
      <c r="BK165" s="12"/>
      <c r="BL165" s="12"/>
      <c r="BM165" s="12"/>
      <c r="BN165" s="12"/>
      <c r="BO165" s="5"/>
      <c r="BP165" s="12"/>
      <c r="BQ165" s="12"/>
      <c r="BR165" s="12"/>
      <c r="BS165" s="12"/>
      <c r="BT165" s="5"/>
      <c r="BU165" s="12"/>
      <c r="BV165" s="12"/>
      <c r="BW165" s="12"/>
      <c r="BX165" s="12"/>
      <c r="BY165" s="5"/>
      <c r="BZ165" s="12"/>
      <c r="CA165" s="12"/>
      <c r="CB165" s="12"/>
      <c r="CC165" s="12"/>
      <c r="CD165" s="5"/>
      <c r="CE165" s="5"/>
      <c r="CF165" s="5"/>
      <c r="CG165" s="5"/>
      <c r="CH165" s="9" t="s">
        <v>2955</v>
      </c>
      <c r="CI165" s="5"/>
      <c r="CJ165" s="5"/>
      <c r="CK165" s="5"/>
      <c r="CL165" s="5"/>
    </row>
    <row r="166" spans="1:90" ht="12.75" customHeight="1">
      <c r="A166" s="211" t="s">
        <v>2206</v>
      </c>
      <c r="B166" s="10"/>
      <c r="C166" s="31">
        <v>2001</v>
      </c>
      <c r="D166" s="32">
        <v>2002</v>
      </c>
      <c r="E166" s="32">
        <v>2003</v>
      </c>
      <c r="F166" s="32">
        <v>2004</v>
      </c>
      <c r="G166" s="31">
        <v>2005</v>
      </c>
      <c r="H166" s="33" t="s">
        <v>714</v>
      </c>
      <c r="I166" s="33" t="s">
        <v>715</v>
      </c>
      <c r="J166" s="33" t="s">
        <v>716</v>
      </c>
      <c r="K166" s="33" t="s">
        <v>717</v>
      </c>
      <c r="L166" s="31">
        <v>2006</v>
      </c>
      <c r="M166" s="33" t="s">
        <v>718</v>
      </c>
      <c r="N166" s="33" t="s">
        <v>719</v>
      </c>
      <c r="O166" s="33" t="s">
        <v>1970</v>
      </c>
      <c r="P166" s="33" t="s">
        <v>1971</v>
      </c>
      <c r="Q166" s="31">
        <v>2007</v>
      </c>
      <c r="R166" s="33" t="s">
        <v>1972</v>
      </c>
      <c r="S166" s="33" t="s">
        <v>1973</v>
      </c>
      <c r="T166" s="33" t="s">
        <v>1974</v>
      </c>
      <c r="U166" s="33" t="s">
        <v>1975</v>
      </c>
      <c r="V166" s="31">
        <v>2008</v>
      </c>
      <c r="W166" s="33" t="s">
        <v>1976</v>
      </c>
      <c r="X166" s="33" t="s">
        <v>1977</v>
      </c>
      <c r="Y166" s="33" t="s">
        <v>1978</v>
      </c>
      <c r="Z166" s="33" t="s">
        <v>1979</v>
      </c>
      <c r="AA166" s="31">
        <v>2009</v>
      </c>
      <c r="AB166" s="33" t="s">
        <v>1980</v>
      </c>
      <c r="AC166" s="33" t="s">
        <v>1981</v>
      </c>
      <c r="AD166" s="33" t="s">
        <v>1982</v>
      </c>
      <c r="AE166" s="33" t="s">
        <v>2392</v>
      </c>
      <c r="AF166" s="31">
        <v>2010</v>
      </c>
      <c r="AG166" s="33" t="s">
        <v>2393</v>
      </c>
      <c r="AH166" s="33" t="s">
        <v>2394</v>
      </c>
      <c r="AI166" s="33" t="s">
        <v>2395</v>
      </c>
      <c r="AJ166" s="33" t="s">
        <v>2396</v>
      </c>
      <c r="AK166" s="31">
        <v>2011</v>
      </c>
      <c r="AL166" s="368" t="s">
        <v>2397</v>
      </c>
      <c r="AM166" s="368" t="s">
        <v>2398</v>
      </c>
      <c r="AN166" s="368" t="s">
        <v>2399</v>
      </c>
      <c r="AO166" s="368" t="s">
        <v>2400</v>
      </c>
      <c r="AP166" s="369">
        <v>2012</v>
      </c>
      <c r="AQ166" s="368" t="s">
        <v>2401</v>
      </c>
      <c r="AR166" s="368" t="s">
        <v>2402</v>
      </c>
      <c r="AS166" s="368" t="s">
        <v>2403</v>
      </c>
      <c r="AT166" s="368" t="s">
        <v>2404</v>
      </c>
      <c r="AU166" s="369">
        <v>2013</v>
      </c>
      <c r="AV166" s="368" t="s">
        <v>2405</v>
      </c>
      <c r="AW166" s="368" t="s">
        <v>2406</v>
      </c>
      <c r="AX166" s="368" t="s">
        <v>2407</v>
      </c>
      <c r="AY166" s="368" t="s">
        <v>2408</v>
      </c>
      <c r="AZ166" s="369">
        <v>2014</v>
      </c>
      <c r="BA166" s="368" t="s">
        <v>2409</v>
      </c>
      <c r="BB166" s="368" t="s">
        <v>2410</v>
      </c>
      <c r="BC166" s="368" t="s">
        <v>2411</v>
      </c>
      <c r="BD166" s="368" t="s">
        <v>2412</v>
      </c>
      <c r="BE166" s="31">
        <v>2015</v>
      </c>
      <c r="BF166" s="368" t="s">
        <v>2413</v>
      </c>
      <c r="BG166" s="368" t="s">
        <v>2414</v>
      </c>
      <c r="BH166" s="368" t="s">
        <v>2415</v>
      </c>
      <c r="BI166" s="368" t="s">
        <v>2416</v>
      </c>
      <c r="BJ166" s="31">
        <v>2016</v>
      </c>
      <c r="BK166" s="368" t="s">
        <v>2417</v>
      </c>
      <c r="BL166" s="368" t="s">
        <v>2418</v>
      </c>
      <c r="BM166" s="368" t="s">
        <v>2419</v>
      </c>
      <c r="BN166" s="363" t="s">
        <v>2420</v>
      </c>
      <c r="BO166" s="31">
        <v>2017</v>
      </c>
      <c r="BP166" s="363" t="s">
        <v>2244</v>
      </c>
      <c r="BQ166" s="363" t="s">
        <v>2245</v>
      </c>
      <c r="BR166" s="363" t="s">
        <v>2508</v>
      </c>
      <c r="BS166" s="363" t="s">
        <v>2509</v>
      </c>
      <c r="BT166" s="364">
        <v>2018</v>
      </c>
      <c r="BU166" s="363" t="s">
        <v>2510</v>
      </c>
      <c r="BV166" s="363" t="s">
        <v>2511</v>
      </c>
      <c r="BW166" s="363" t="s">
        <v>3125</v>
      </c>
      <c r="BX166" s="363" t="s">
        <v>1405</v>
      </c>
      <c r="BY166" s="364">
        <v>2019</v>
      </c>
      <c r="BZ166" s="363" t="s">
        <v>1406</v>
      </c>
      <c r="CA166" s="363" t="s">
        <v>1407</v>
      </c>
      <c r="CB166" s="363" t="s">
        <v>1408</v>
      </c>
      <c r="CC166" s="363" t="s">
        <v>1409</v>
      </c>
      <c r="CD166" s="364">
        <v>2020</v>
      </c>
      <c r="CE166" s="11"/>
      <c r="CF166" s="249" t="s">
        <v>2882</v>
      </c>
      <c r="CG166" s="11"/>
      <c r="CH166" s="153" t="s">
        <v>775</v>
      </c>
      <c r="CI166" s="153" t="s">
        <v>2956</v>
      </c>
      <c r="CJ166" s="154" t="s">
        <v>2957</v>
      </c>
      <c r="CK166" s="154" t="s">
        <v>3053</v>
      </c>
      <c r="CL166" s="154" t="s">
        <v>3054</v>
      </c>
    </row>
    <row r="167" spans="1:90">
      <c r="A167" s="7" t="s">
        <v>2716</v>
      </c>
      <c r="B167" s="4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12"/>
      <c r="N167" s="12"/>
      <c r="O167" s="12"/>
      <c r="P167" s="12"/>
      <c r="Q167" s="5"/>
      <c r="R167" s="12"/>
      <c r="S167" s="12"/>
      <c r="T167" s="12"/>
      <c r="U167" s="12"/>
      <c r="V167" s="5"/>
      <c r="W167" s="12"/>
      <c r="X167" s="12"/>
      <c r="Y167" s="12"/>
      <c r="Z167" s="12"/>
      <c r="AA167" s="5"/>
      <c r="AB167" s="12"/>
      <c r="AC167" s="12"/>
      <c r="AD167" s="12"/>
      <c r="AE167" s="12"/>
      <c r="AF167" s="5"/>
      <c r="AG167" s="12"/>
      <c r="AH167" s="12"/>
      <c r="AI167" s="12"/>
      <c r="AJ167" s="12"/>
      <c r="AK167" s="5"/>
      <c r="AL167" s="12"/>
      <c r="AM167" s="12"/>
      <c r="AN167" s="12"/>
      <c r="AO167" s="12"/>
      <c r="AP167" s="5"/>
      <c r="AQ167" s="12"/>
      <c r="AR167" s="12"/>
      <c r="AS167" s="12"/>
      <c r="AT167" s="12"/>
      <c r="AU167" s="5"/>
      <c r="AV167" s="12"/>
      <c r="AW167" s="12"/>
      <c r="AX167" s="12"/>
      <c r="AY167" s="12"/>
      <c r="AZ167" s="5"/>
      <c r="BA167" s="12"/>
      <c r="BB167" s="12"/>
      <c r="BC167" s="12"/>
      <c r="BD167" s="12"/>
      <c r="BE167" s="5"/>
      <c r="BF167" s="12"/>
      <c r="BG167" s="12"/>
      <c r="BH167" s="12"/>
      <c r="BI167" s="12"/>
      <c r="BJ167" s="5"/>
      <c r="BK167" s="12"/>
      <c r="BL167" s="12"/>
      <c r="BM167" s="12"/>
      <c r="BN167" s="12"/>
      <c r="BO167" s="5"/>
      <c r="BP167" s="12"/>
      <c r="BQ167" s="12"/>
      <c r="BR167" s="12"/>
      <c r="BS167" s="12"/>
      <c r="BT167" s="5"/>
      <c r="BU167" s="12"/>
      <c r="BV167" s="12"/>
      <c r="BW167" s="12"/>
      <c r="BX167" s="12"/>
      <c r="BY167" s="5"/>
      <c r="BZ167" s="12"/>
      <c r="CA167" s="12"/>
      <c r="CB167" s="12"/>
      <c r="CC167" s="12"/>
      <c r="CD167" s="5"/>
      <c r="CE167" s="5"/>
      <c r="CF167" s="5"/>
      <c r="CG167" s="5"/>
      <c r="CH167" s="4" t="s">
        <v>946</v>
      </c>
      <c r="CI167" s="175"/>
      <c r="CJ167" s="175">
        <f>COVAR(CJ183:CJ219,$CI$183:$CI$219)/VARP($CI$183:$CI$219)</f>
        <v>210.12591692019228</v>
      </c>
      <c r="CK167" s="175">
        <f>COVAR(CK183:CK219,$CI$183:$CI$219)/VARP($CI$183:$CI$219)</f>
        <v>207.96719441445489</v>
      </c>
      <c r="CL167" s="175">
        <f>COVAR(CL183:CL219,$CI$183:$CI$219)/VARP($CI$183:$CI$219)</f>
        <v>184.92637021993056</v>
      </c>
    </row>
    <row r="168" spans="1:90">
      <c r="A168" s="4" t="s">
        <v>2697</v>
      </c>
      <c r="B168" s="4"/>
      <c r="C168" s="173">
        <f t="shared" ref="C168:AB168" si="140">C28</f>
        <v>21653</v>
      </c>
      <c r="D168" s="173">
        <f t="shared" si="140"/>
        <v>26811</v>
      </c>
      <c r="E168" s="173">
        <f t="shared" si="140"/>
        <v>27881</v>
      </c>
      <c r="F168" s="173">
        <f t="shared" si="140"/>
        <v>37099</v>
      </c>
      <c r="G168" s="173">
        <f t="shared" si="140"/>
        <v>40902</v>
      </c>
      <c r="H168" s="12">
        <f t="shared" si="140"/>
        <v>39757</v>
      </c>
      <c r="I168" s="12">
        <f t="shared" si="140"/>
        <v>38639</v>
      </c>
      <c r="J168" s="12">
        <f t="shared" si="140"/>
        <v>38570</v>
      </c>
      <c r="K168" s="12">
        <f t="shared" si="140"/>
        <v>38692</v>
      </c>
      <c r="L168" s="173">
        <f t="shared" si="140"/>
        <v>38692</v>
      </c>
      <c r="M168" s="12">
        <f t="shared" si="140"/>
        <v>38819</v>
      </c>
      <c r="N168" s="12">
        <f t="shared" si="140"/>
        <v>39847</v>
      </c>
      <c r="O168" s="12">
        <f t="shared" si="140"/>
        <v>39418</v>
      </c>
      <c r="P168" s="12">
        <f t="shared" si="140"/>
        <v>38020</v>
      </c>
      <c r="Q168" s="173">
        <f t="shared" si="140"/>
        <v>38020</v>
      </c>
      <c r="R168" s="12">
        <f t="shared" si="140"/>
        <v>43698</v>
      </c>
      <c r="S168" s="12">
        <f t="shared" si="140"/>
        <v>48482</v>
      </c>
      <c r="T168" s="12">
        <f t="shared" si="140"/>
        <v>39201</v>
      </c>
      <c r="U168" s="12">
        <f t="shared" si="140"/>
        <v>29261</v>
      </c>
      <c r="V168" s="173">
        <f t="shared" si="140"/>
        <v>29261</v>
      </c>
      <c r="W168" s="12">
        <f t="shared" si="140"/>
        <v>26234</v>
      </c>
      <c r="X168" s="12">
        <f t="shared" si="140"/>
        <v>29246</v>
      </c>
      <c r="Y168" s="12">
        <f t="shared" si="140"/>
        <v>28777</v>
      </c>
      <c r="Z168" s="12">
        <f t="shared" si="140"/>
        <v>29531</v>
      </c>
      <c r="AA168" s="173">
        <f t="shared" si="140"/>
        <v>29531</v>
      </c>
      <c r="AB168" s="12">
        <f t="shared" si="140"/>
        <v>31159</v>
      </c>
      <c r="AC168" s="12">
        <f t="shared" ref="AC168:AJ168" si="141">AC28-AC144</f>
        <v>29475</v>
      </c>
      <c r="AD168" s="12">
        <f t="shared" si="141"/>
        <v>27327</v>
      </c>
      <c r="AE168" s="12">
        <f t="shared" si="141"/>
        <v>30606</v>
      </c>
      <c r="AF168" s="173">
        <f t="shared" si="141"/>
        <v>30606</v>
      </c>
      <c r="AG168" s="12">
        <f t="shared" si="141"/>
        <v>36770</v>
      </c>
      <c r="AH168" s="12">
        <f t="shared" si="141"/>
        <v>35752</v>
      </c>
      <c r="AI168" s="12">
        <f t="shared" si="141"/>
        <v>35298</v>
      </c>
      <c r="AJ168" s="12">
        <f t="shared" si="141"/>
        <v>35039</v>
      </c>
      <c r="AK168" s="173">
        <f>AJ168</f>
        <v>35039</v>
      </c>
      <c r="AL168" s="12">
        <f>AL28-AL144</f>
        <v>36407</v>
      </c>
      <c r="AM168" s="12">
        <f>AM28-AM144</f>
        <v>33271</v>
      </c>
      <c r="AN168" s="12">
        <f>AN28-AN144</f>
        <v>36375</v>
      </c>
      <c r="AO168" s="12">
        <f>AO28-AO144</f>
        <v>33425</v>
      </c>
      <c r="AP168" s="5">
        <f>AO168</f>
        <v>33425</v>
      </c>
      <c r="AQ168" s="12">
        <f>AQ28-AQ144</f>
        <v>37567</v>
      </c>
      <c r="AR168" s="12">
        <f>AR28-AR144</f>
        <v>37851</v>
      </c>
      <c r="AS168" s="12">
        <f>AS28-AS144</f>
        <v>37992</v>
      </c>
      <c r="AT168" s="12">
        <f>AT28-AT144</f>
        <v>37374</v>
      </c>
      <c r="AU168" s="5">
        <f>AT168</f>
        <v>37374</v>
      </c>
      <c r="AV168" s="12">
        <f>AV28-AV144</f>
        <v>38161</v>
      </c>
      <c r="AW168" s="12">
        <f>AW28-AW144</f>
        <v>38112</v>
      </c>
      <c r="AX168" s="12">
        <f>AX28-AX144</f>
        <v>36445</v>
      </c>
      <c r="AY168" s="12">
        <f>AY28-AY144</f>
        <v>29884</v>
      </c>
      <c r="AZ168" s="5">
        <f>AY168</f>
        <v>29884</v>
      </c>
      <c r="BA168" s="12">
        <f>BA28-BA144</f>
        <v>27677</v>
      </c>
      <c r="BB168" s="12">
        <f>BB28-BB144</f>
        <v>28838</v>
      </c>
      <c r="BC168" s="12">
        <f>BC28-BC144</f>
        <v>24657</v>
      </c>
      <c r="BD168" s="12">
        <f>BD28-BD144</f>
        <v>21637</v>
      </c>
      <c r="BE168" s="5">
        <f>BD168</f>
        <v>21637</v>
      </c>
      <c r="BF168" s="12">
        <f>BF28-BF144</f>
        <v>21738</v>
      </c>
      <c r="BG168" s="12">
        <f>BG28-BG144</f>
        <v>22308</v>
      </c>
      <c r="BH168" s="12">
        <f>BH28-BH144</f>
        <v>20896</v>
      </c>
      <c r="BI168" s="12">
        <f>BI28-BI144</f>
        <v>20481</v>
      </c>
      <c r="BJ168" s="5">
        <f>BI168</f>
        <v>20481</v>
      </c>
      <c r="BK168" s="12">
        <f>BK28-BK144</f>
        <v>20740</v>
      </c>
      <c r="BL168" s="12">
        <f>BL28-BL144</f>
        <v>20178</v>
      </c>
      <c r="BM168" s="12">
        <f>BM28-BM144</f>
        <v>21619</v>
      </c>
      <c r="BN168" s="12">
        <f>BN28-BN144</f>
        <v>24597</v>
      </c>
      <c r="BO168" s="5">
        <f>BN168</f>
        <v>24597</v>
      </c>
      <c r="BP168" s="12">
        <f>$CJ$168+$CJ$167*'Key assumptions'!BP12-$CJ$170</f>
        <v>23434.314755800595</v>
      </c>
      <c r="BQ168" s="12">
        <f>$CJ$168+$CJ$167*'Key assumptions'!BQ12-$CJ$170</f>
        <v>23564.59282429111</v>
      </c>
      <c r="BR168" s="12">
        <f>$CJ$168+$CJ$167*'Key assumptions'!BR12-$CJ$170</f>
        <v>23299.834168971669</v>
      </c>
      <c r="BS168" s="12">
        <f>$CJ$168+$CJ$167*'Key assumptions'!BS12-$CJ$170</f>
        <v>23079.201956205467</v>
      </c>
      <c r="BT168" s="5">
        <f>BS168</f>
        <v>23079.201956205467</v>
      </c>
      <c r="BU168" s="12">
        <f>$CJ$168+$CJ$167*'Key assumptions'!BU12-$CJ$170</f>
        <v>22598.013606458229</v>
      </c>
      <c r="BV168" s="12">
        <f>$CJ$168+$CJ$167*'Key assumptions'!BV12-$CJ$170</f>
        <v>22598.013606458229</v>
      </c>
      <c r="BW168" s="12">
        <f>$CJ$168+$CJ$167*'Key assumptions'!BW12-$CJ$170</f>
        <v>22598.013606458229</v>
      </c>
      <c r="BX168" s="12">
        <f>$CJ$168+$CJ$167*'Key assumptions'!BX12-$CJ$170</f>
        <v>22598.013606458229</v>
      </c>
      <c r="BY168" s="5">
        <f>BX168</f>
        <v>22598.013606458229</v>
      </c>
      <c r="BZ168" s="12">
        <f>$CJ$168+$CJ$167*'Key assumptions'!BZ12-$CJ$170</f>
        <v>22679.921089415489</v>
      </c>
      <c r="CA168" s="12">
        <f>$CJ$168+$CJ$167*'Key assumptions'!CA12-$CJ$170</f>
        <v>22762.335763683135</v>
      </c>
      <c r="CB168" s="12">
        <f>$CJ$168+$CJ$167*'Key assumptions'!CB12-$CJ$170</f>
        <v>22845.26076991469</v>
      </c>
      <c r="CC168" s="12">
        <f>$CJ$168+$CJ$167*'Key assumptions'!CC12-$CJ$170</f>
        <v>22928.699268211385</v>
      </c>
      <c r="CD168" s="5">
        <f t="shared" ref="CD168" si="142">CC168</f>
        <v>22928.699268211385</v>
      </c>
      <c r="CE168" s="5"/>
      <c r="CF168" s="312" t="s">
        <v>2883</v>
      </c>
      <c r="CG168" s="5"/>
      <c r="CH168" s="202" t="s">
        <v>947</v>
      </c>
      <c r="CI168" s="175"/>
      <c r="CJ168" s="175">
        <f>AVERAGE(CJ183:CJ219)-CJ167*AVERAGE($CI$183:$CI$219)</f>
        <v>13370.587136332124</v>
      </c>
      <c r="CK168" s="175">
        <f>AVERAGE(CK183:CK219)-CK167*AVERAGE($CI$183:$CI$219)</f>
        <v>23772.344612987086</v>
      </c>
      <c r="CL168" s="175">
        <f>AVERAGE(CL183:CL219)-CL167*AVERAGE($CI$183:$CI$219)</f>
        <v>7731.8987128205481</v>
      </c>
    </row>
    <row r="169" spans="1:90">
      <c r="A169" s="4"/>
      <c r="B169" s="4"/>
      <c r="C169" s="173"/>
      <c r="D169" s="173"/>
      <c r="E169" s="173"/>
      <c r="F169" s="173"/>
      <c r="G169" s="173"/>
      <c r="H169" s="12"/>
      <c r="I169" s="12"/>
      <c r="J169" s="12"/>
      <c r="K169" s="12"/>
      <c r="L169" s="173"/>
      <c r="M169" s="12"/>
      <c r="N169" s="12"/>
      <c r="O169" s="12"/>
      <c r="P169" s="12"/>
      <c r="Q169" s="173"/>
      <c r="R169" s="12"/>
      <c r="S169" s="12"/>
      <c r="T169" s="12"/>
      <c r="U169" s="12"/>
      <c r="V169" s="173"/>
      <c r="W169" s="12"/>
      <c r="X169" s="12"/>
      <c r="Y169" s="12"/>
      <c r="Z169" s="12"/>
      <c r="AA169" s="173"/>
      <c r="AB169" s="12"/>
      <c r="AC169" s="12"/>
      <c r="AD169" s="12"/>
      <c r="AE169" s="12"/>
      <c r="AF169" s="173"/>
      <c r="AG169" s="12"/>
      <c r="AH169" s="12"/>
      <c r="AI169" s="12"/>
      <c r="AJ169" s="12"/>
      <c r="AK169" s="5"/>
      <c r="AL169" s="12"/>
      <c r="AM169" s="12"/>
      <c r="AN169" s="12"/>
      <c r="AO169" s="12"/>
      <c r="AP169" s="5"/>
      <c r="AQ169" s="12"/>
      <c r="AR169" s="12"/>
      <c r="AS169" s="12"/>
      <c r="AT169" s="12"/>
      <c r="AU169" s="5"/>
      <c r="AV169" s="12"/>
      <c r="AW169" s="12"/>
      <c r="AX169" s="12"/>
      <c r="AY169" s="12"/>
      <c r="AZ169" s="5"/>
      <c r="BA169" s="12"/>
      <c r="BB169" s="12"/>
      <c r="BC169" s="12"/>
      <c r="BD169" s="12"/>
      <c r="BE169" s="5"/>
      <c r="BF169" s="12"/>
      <c r="BG169" s="12"/>
      <c r="BH169" s="12"/>
      <c r="BI169" s="12"/>
      <c r="BJ169" s="5"/>
      <c r="BK169" s="12"/>
      <c r="BL169" s="12"/>
      <c r="BM169" s="12"/>
      <c r="BN169" s="12"/>
      <c r="BO169" s="5"/>
      <c r="BP169" s="12"/>
      <c r="BQ169" s="12"/>
      <c r="BR169" s="12"/>
      <c r="BS169" s="12"/>
      <c r="BT169" s="5"/>
      <c r="BU169" s="12"/>
      <c r="BV169" s="12"/>
      <c r="BW169" s="12"/>
      <c r="BX169" s="12"/>
      <c r="BY169" s="5"/>
      <c r="BZ169" s="12"/>
      <c r="CA169" s="12"/>
      <c r="CB169" s="12"/>
      <c r="CC169" s="12"/>
      <c r="CD169" s="5"/>
      <c r="CE169" s="5"/>
      <c r="CF169" s="312"/>
      <c r="CG169" s="5"/>
      <c r="CH169" s="202" t="s">
        <v>948</v>
      </c>
      <c r="CI169" s="175"/>
      <c r="CJ169" s="261">
        <f>CORREL($CI$183:$CI$219,CJ183:CJ219)^2</f>
        <v>0.87442453447197466</v>
      </c>
      <c r="CK169" s="261">
        <f>CORREL($CI$183:$CI$219,CK183:CK219)^2</f>
        <v>0.87480524285438788</v>
      </c>
      <c r="CL169" s="261">
        <f>CORREL($CI$183:$CI$219,CL183:CL219)^2</f>
        <v>0.94198331259739854</v>
      </c>
    </row>
    <row r="170" spans="1:90">
      <c r="A170" s="7" t="s">
        <v>2717</v>
      </c>
      <c r="B170" s="4"/>
      <c r="C170" s="173"/>
      <c r="D170" s="173"/>
      <c r="E170" s="173"/>
      <c r="F170" s="173"/>
      <c r="G170" s="173"/>
      <c r="H170" s="12"/>
      <c r="I170" s="12"/>
      <c r="J170" s="12"/>
      <c r="K170" s="12"/>
      <c r="L170" s="173"/>
      <c r="M170" s="12"/>
      <c r="N170" s="12"/>
      <c r="O170" s="12"/>
      <c r="P170" s="12"/>
      <c r="Q170" s="173"/>
      <c r="R170" s="12"/>
      <c r="S170" s="12"/>
      <c r="T170" s="12"/>
      <c r="U170" s="12"/>
      <c r="V170" s="173"/>
      <c r="W170" s="12"/>
      <c r="X170" s="12"/>
      <c r="Y170" s="12"/>
      <c r="Z170" s="12"/>
      <c r="AA170" s="173"/>
      <c r="AB170" s="12"/>
      <c r="AC170" s="12"/>
      <c r="AD170" s="12"/>
      <c r="AE170" s="12"/>
      <c r="AF170" s="173"/>
      <c r="AG170" s="12"/>
      <c r="AH170" s="12"/>
      <c r="AI170" s="12"/>
      <c r="AJ170" s="12"/>
      <c r="AK170" s="5"/>
      <c r="AL170" s="12"/>
      <c r="AM170" s="12"/>
      <c r="AN170" s="12"/>
      <c r="AO170" s="12"/>
      <c r="AP170" s="5"/>
      <c r="AQ170" s="12"/>
      <c r="AR170" s="12"/>
      <c r="AS170" s="12"/>
      <c r="AT170" s="12"/>
      <c r="AU170" s="5"/>
      <c r="AV170" s="12"/>
      <c r="AW170" s="12"/>
      <c r="AX170" s="12"/>
      <c r="AY170" s="12"/>
      <c r="AZ170" s="5"/>
      <c r="BA170" s="12"/>
      <c r="BB170" s="12"/>
      <c r="BC170" s="12"/>
      <c r="BD170" s="12"/>
      <c r="BE170" s="5"/>
      <c r="BF170" s="12"/>
      <c r="BG170" s="12"/>
      <c r="BH170" s="12"/>
      <c r="BI170" s="12"/>
      <c r="BJ170" s="5"/>
      <c r="BK170" s="12"/>
      <c r="BL170" s="12"/>
      <c r="BM170" s="12"/>
      <c r="BN170" s="12"/>
      <c r="BO170" s="5"/>
      <c r="BP170" s="12"/>
      <c r="BQ170" s="12"/>
      <c r="BR170" s="12"/>
      <c r="BS170" s="12"/>
      <c r="BT170" s="5"/>
      <c r="BU170" s="12"/>
      <c r="BV170" s="12"/>
      <c r="BW170" s="12"/>
      <c r="BX170" s="12"/>
      <c r="BY170" s="5"/>
      <c r="BZ170" s="12"/>
      <c r="CA170" s="12"/>
      <c r="CB170" s="12"/>
      <c r="CC170" s="12"/>
      <c r="CD170" s="5"/>
      <c r="CE170" s="5"/>
      <c r="CF170" s="312"/>
      <c r="CG170" s="5"/>
      <c r="CH170" s="210" t="s">
        <v>3680</v>
      </c>
      <c r="CI170" s="175"/>
      <c r="CJ170" s="209">
        <v>4000</v>
      </c>
      <c r="CK170" s="175"/>
      <c r="CL170" s="175"/>
    </row>
    <row r="171" spans="1:90">
      <c r="A171" s="4" t="s">
        <v>2698</v>
      </c>
      <c r="B171" s="4"/>
      <c r="C171" s="173">
        <f t="shared" ref="C171:AB171" si="143">C41</f>
        <v>25068</v>
      </c>
      <c r="D171" s="173">
        <f t="shared" si="143"/>
        <v>32795</v>
      </c>
      <c r="E171" s="173">
        <f t="shared" si="143"/>
        <v>29740</v>
      </c>
      <c r="F171" s="173">
        <f t="shared" si="143"/>
        <v>38540</v>
      </c>
      <c r="G171" s="173">
        <f t="shared" si="143"/>
        <v>42136</v>
      </c>
      <c r="H171" s="12">
        <f t="shared" si="143"/>
        <v>42712</v>
      </c>
      <c r="I171" s="12">
        <f t="shared" si="143"/>
        <v>43323</v>
      </c>
      <c r="J171" s="12">
        <f t="shared" si="143"/>
        <v>40589</v>
      </c>
      <c r="K171" s="12">
        <f t="shared" si="143"/>
        <v>42236</v>
      </c>
      <c r="L171" s="173">
        <f t="shared" si="143"/>
        <v>42236</v>
      </c>
      <c r="M171" s="12">
        <f t="shared" si="143"/>
        <v>43681</v>
      </c>
      <c r="N171" s="12">
        <f t="shared" si="143"/>
        <v>42634</v>
      </c>
      <c r="O171" s="12">
        <f t="shared" si="143"/>
        <v>42649</v>
      </c>
      <c r="P171" s="12">
        <f t="shared" si="143"/>
        <v>43152</v>
      </c>
      <c r="Q171" s="173">
        <f t="shared" si="143"/>
        <v>43152</v>
      </c>
      <c r="R171" s="12">
        <f t="shared" si="143"/>
        <v>47546</v>
      </c>
      <c r="S171" s="12">
        <f t="shared" si="143"/>
        <v>54029</v>
      </c>
      <c r="T171" s="12">
        <f t="shared" si="143"/>
        <v>43948</v>
      </c>
      <c r="U171" s="12">
        <f t="shared" si="143"/>
        <v>33644</v>
      </c>
      <c r="V171" s="173">
        <f t="shared" si="143"/>
        <v>33644</v>
      </c>
      <c r="W171" s="12">
        <f t="shared" si="143"/>
        <v>31031</v>
      </c>
      <c r="X171" s="12">
        <f t="shared" si="143"/>
        <v>34764</v>
      </c>
      <c r="Y171" s="12">
        <f t="shared" si="143"/>
        <v>33597</v>
      </c>
      <c r="Z171" s="12">
        <f t="shared" si="143"/>
        <v>35204</v>
      </c>
      <c r="AA171" s="173">
        <f t="shared" si="143"/>
        <v>35204</v>
      </c>
      <c r="AB171" s="12">
        <f t="shared" si="143"/>
        <v>38146</v>
      </c>
      <c r="AC171" s="12">
        <f t="shared" ref="AC171:AJ171" si="144">AC41-AC147</f>
        <v>37226</v>
      </c>
      <c r="AD171" s="12">
        <f t="shared" si="144"/>
        <v>36618</v>
      </c>
      <c r="AE171" s="12">
        <f t="shared" si="144"/>
        <v>39742</v>
      </c>
      <c r="AF171" s="173">
        <f t="shared" si="144"/>
        <v>39742</v>
      </c>
      <c r="AG171" s="12">
        <f t="shared" si="144"/>
        <v>45314</v>
      </c>
      <c r="AH171" s="12">
        <f t="shared" si="144"/>
        <v>44214</v>
      </c>
      <c r="AI171" s="12">
        <f t="shared" si="144"/>
        <v>47241</v>
      </c>
      <c r="AJ171" s="12">
        <f t="shared" si="144"/>
        <v>46980</v>
      </c>
      <c r="AK171" s="5">
        <f>AJ171</f>
        <v>46980</v>
      </c>
      <c r="AL171" s="12">
        <f>AL41-AL147</f>
        <v>50194</v>
      </c>
      <c r="AM171" s="12">
        <f>AM41-AM147</f>
        <v>44772</v>
      </c>
      <c r="AN171" s="12">
        <f>AN41-AN147</f>
        <v>47711</v>
      </c>
      <c r="AO171" s="12">
        <f>AO41-AO147</f>
        <v>46632</v>
      </c>
      <c r="AP171" s="5">
        <f>AO171</f>
        <v>46632</v>
      </c>
      <c r="AQ171" s="12">
        <f>AQ41-AQ147</f>
        <v>48705</v>
      </c>
      <c r="AR171" s="12">
        <f>AR41-AR147</f>
        <v>46768</v>
      </c>
      <c r="AS171" s="12">
        <f>AS41-AS147</f>
        <v>47280</v>
      </c>
      <c r="AT171" s="12">
        <f>AT41-AT147</f>
        <v>46129</v>
      </c>
      <c r="AU171" s="5">
        <f>AT171</f>
        <v>46129</v>
      </c>
      <c r="AV171" s="12">
        <f>AV41-AV147</f>
        <v>48750</v>
      </c>
      <c r="AW171" s="12">
        <f>AW41-AW147</f>
        <v>49187</v>
      </c>
      <c r="AX171" s="12">
        <f>AX41-AX147</f>
        <v>48741</v>
      </c>
      <c r="AY171" s="12">
        <f>AY41-AY147</f>
        <v>39463</v>
      </c>
      <c r="AZ171" s="5">
        <f>AY171</f>
        <v>39463</v>
      </c>
      <c r="BA171" s="12">
        <f>BA41-BA147</f>
        <v>37093</v>
      </c>
      <c r="BB171" s="12">
        <f>BB41-BB147</f>
        <v>39220</v>
      </c>
      <c r="BC171" s="12">
        <f>BC41-BC147</f>
        <v>33863</v>
      </c>
      <c r="BD171" s="12">
        <f>BD41-BD147</f>
        <v>31216</v>
      </c>
      <c r="BE171" s="5">
        <f>BD171</f>
        <v>31216</v>
      </c>
      <c r="BF171" s="12">
        <f>BF41-BF147</f>
        <v>31393</v>
      </c>
      <c r="BG171" s="12">
        <f>BG41-BG147</f>
        <v>33748</v>
      </c>
      <c r="BH171" s="12">
        <f>BH41-BH147</f>
        <v>32683</v>
      </c>
      <c r="BI171" s="12">
        <f>BI41-BI147</f>
        <v>34859</v>
      </c>
      <c r="BJ171" s="5">
        <f>BI171</f>
        <v>34859</v>
      </c>
      <c r="BK171" s="12">
        <f>BK41-BK147</f>
        <v>34603</v>
      </c>
      <c r="BL171" s="12">
        <f>BL41-BL147</f>
        <v>34440</v>
      </c>
      <c r="BM171" s="12">
        <f>BM41-BM147</f>
        <v>37896</v>
      </c>
      <c r="BN171" s="12">
        <f>BN41-BN147</f>
        <v>42120</v>
      </c>
      <c r="BO171" s="5">
        <f>BN171</f>
        <v>42120</v>
      </c>
      <c r="BP171" s="12">
        <f>$CK$168+$CK$167*'Key assumptions'!BP12</f>
        <v>37691.588935146552</v>
      </c>
      <c r="BQ171" s="12">
        <f>$CK$168+$CK$167*'Key assumptions'!BQ12</f>
        <v>37820.528595683514</v>
      </c>
      <c r="BR171" s="12">
        <f>$CK$168+$CK$167*'Key assumptions'!BR12</f>
        <v>37558.489930721305</v>
      </c>
      <c r="BS171" s="12">
        <f>$CK$168+$CK$167*'Key assumptions'!BS12</f>
        <v>37340.124376586122</v>
      </c>
      <c r="BT171" s="5">
        <f>BS171</f>
        <v>37340.124376586122</v>
      </c>
      <c r="BU171" s="12">
        <f>$CK$168+$CK$167*'Key assumptions'!BU12</f>
        <v>36863.879501377021</v>
      </c>
      <c r="BV171" s="12">
        <f>$CK$168+$CK$167*'Key assumptions'!BV12</f>
        <v>36863.879501377021</v>
      </c>
      <c r="BW171" s="12">
        <f>$CK$168+$CK$167*'Key assumptions'!BW12</f>
        <v>36863.879501377021</v>
      </c>
      <c r="BX171" s="12">
        <f>$CK$168+$CK$167*'Key assumptions'!BX12</f>
        <v>36863.879501377021</v>
      </c>
      <c r="BY171" s="5">
        <f>BX171</f>
        <v>36863.879501377021</v>
      </c>
      <c r="BZ171" s="12">
        <f>$CK$168+$CK$167*'Key assumptions'!BZ12</f>
        <v>36944.94551018659</v>
      </c>
      <c r="CA171" s="12">
        <f>$CK$168+$CK$167*'Key assumptions'!CA12</f>
        <v>37026.513499691348</v>
      </c>
      <c r="CB171" s="12">
        <f>$CK$168+$CK$167*'Key assumptions'!CB12</f>
        <v>37108.586578279399</v>
      </c>
      <c r="CC171" s="12">
        <f>$CK$168+$CK$167*'Key assumptions'!CC12</f>
        <v>37191.167873586775</v>
      </c>
      <c r="CD171" s="5">
        <f>CC171</f>
        <v>37191.167873586775</v>
      </c>
      <c r="CE171" s="5"/>
      <c r="CF171" s="312" t="s">
        <v>2884</v>
      </c>
      <c r="CG171" s="5"/>
      <c r="CH171" s="175"/>
      <c r="CI171" s="175"/>
      <c r="CJ171" s="175"/>
      <c r="CK171" s="175"/>
      <c r="CL171" s="175"/>
    </row>
    <row r="172" spans="1:90">
      <c r="A172" s="4" t="s">
        <v>1295</v>
      </c>
      <c r="B172" s="4"/>
      <c r="C172" s="173">
        <f t="shared" ref="C172:AB172" si="145">C46</f>
        <v>847</v>
      </c>
      <c r="D172" s="173">
        <f t="shared" si="145"/>
        <v>716</v>
      </c>
      <c r="E172" s="173">
        <f t="shared" si="145"/>
        <v>735</v>
      </c>
      <c r="F172" s="173">
        <f t="shared" si="145"/>
        <v>715</v>
      </c>
      <c r="G172" s="173">
        <f t="shared" si="145"/>
        <v>1102</v>
      </c>
      <c r="H172" s="12">
        <f t="shared" si="145"/>
        <v>1097</v>
      </c>
      <c r="I172" s="12">
        <f t="shared" si="145"/>
        <v>1282</v>
      </c>
      <c r="J172" s="12">
        <f t="shared" si="145"/>
        <v>1218</v>
      </c>
      <c r="K172" s="12">
        <f t="shared" si="145"/>
        <v>1932</v>
      </c>
      <c r="L172" s="173">
        <f t="shared" si="145"/>
        <v>1932</v>
      </c>
      <c r="M172" s="12">
        <f t="shared" si="145"/>
        <v>1934</v>
      </c>
      <c r="N172" s="12">
        <f t="shared" si="145"/>
        <v>1690</v>
      </c>
      <c r="O172" s="12">
        <f t="shared" si="145"/>
        <v>1896</v>
      </c>
      <c r="P172" s="12">
        <f t="shared" si="145"/>
        <v>2195</v>
      </c>
      <c r="Q172" s="173">
        <f t="shared" si="145"/>
        <v>2195</v>
      </c>
      <c r="R172" s="12">
        <f t="shared" si="145"/>
        <v>1957</v>
      </c>
      <c r="S172" s="12">
        <f t="shared" si="145"/>
        <v>2080</v>
      </c>
      <c r="T172" s="12">
        <f t="shared" si="145"/>
        <v>2074</v>
      </c>
      <c r="U172" s="12">
        <f t="shared" si="145"/>
        <v>1545</v>
      </c>
      <c r="V172" s="173">
        <f t="shared" si="145"/>
        <v>1545</v>
      </c>
      <c r="W172" s="12">
        <f t="shared" si="145"/>
        <v>1350</v>
      </c>
      <c r="X172" s="12">
        <f t="shared" si="145"/>
        <v>1403</v>
      </c>
      <c r="Y172" s="12">
        <f t="shared" si="145"/>
        <v>1360</v>
      </c>
      <c r="Z172" s="12">
        <f t="shared" si="145"/>
        <v>1660</v>
      </c>
      <c r="AA172" s="173">
        <f t="shared" si="145"/>
        <v>1660</v>
      </c>
      <c r="AB172" s="12">
        <f t="shared" si="145"/>
        <v>1646</v>
      </c>
      <c r="AC172" s="12">
        <f t="shared" ref="AC172:AJ172" si="146">AC46-AC148</f>
        <v>1630</v>
      </c>
      <c r="AD172" s="12">
        <f t="shared" si="146"/>
        <v>1578</v>
      </c>
      <c r="AE172" s="12">
        <f t="shared" si="146"/>
        <v>1551</v>
      </c>
      <c r="AF172" s="173">
        <f t="shared" si="146"/>
        <v>1551</v>
      </c>
      <c r="AG172" s="12">
        <f t="shared" si="146"/>
        <v>1879</v>
      </c>
      <c r="AH172" s="12">
        <f t="shared" si="146"/>
        <v>1646</v>
      </c>
      <c r="AI172" s="12">
        <f t="shared" si="146"/>
        <v>2273</v>
      </c>
      <c r="AJ172" s="12">
        <f t="shared" si="146"/>
        <v>1801</v>
      </c>
      <c r="AK172" s="175">
        <f>AJ172</f>
        <v>1801</v>
      </c>
      <c r="AL172" s="12">
        <f>AL46-AL148</f>
        <v>1602</v>
      </c>
      <c r="AM172" s="12">
        <f>AM46-AM148</f>
        <v>1652</v>
      </c>
      <c r="AN172" s="12">
        <f>AN46-AN148</f>
        <v>1930</v>
      </c>
      <c r="AO172" s="12">
        <f>AO46-AO148</f>
        <v>2138</v>
      </c>
      <c r="AP172" s="175">
        <f>AO172</f>
        <v>2138</v>
      </c>
      <c r="AQ172" s="12">
        <f>AQ46-AQ148</f>
        <v>2098</v>
      </c>
      <c r="AR172" s="12">
        <f>AR46-AR148</f>
        <v>1710</v>
      </c>
      <c r="AS172" s="12">
        <f>AS46-AS148</f>
        <v>1948</v>
      </c>
      <c r="AT172" s="12">
        <f>AT46-AT148</f>
        <v>2094</v>
      </c>
      <c r="AU172" s="175">
        <f>AT172</f>
        <v>2094</v>
      </c>
      <c r="AV172" s="12">
        <f>AV46-AV148</f>
        <v>1977</v>
      </c>
      <c r="AW172" s="12">
        <f>AW46-AW148</f>
        <v>2109</v>
      </c>
      <c r="AX172" s="12">
        <f>AX46-AX148</f>
        <v>2180</v>
      </c>
      <c r="AY172" s="12">
        <f>AY46-AY148</f>
        <v>2116</v>
      </c>
      <c r="AZ172" s="175">
        <f t="shared" ref="AZ172:CD172" si="147">AY172</f>
        <v>2116</v>
      </c>
      <c r="BA172" s="12">
        <f>BA46-BA148</f>
        <v>1933</v>
      </c>
      <c r="BB172" s="12">
        <f>BB46-BB148</f>
        <v>2097</v>
      </c>
      <c r="BC172" s="12">
        <f>BC46-BC148</f>
        <v>1971</v>
      </c>
      <c r="BD172" s="12">
        <f>BD46-BD148</f>
        <v>2078</v>
      </c>
      <c r="BE172" s="175">
        <f t="shared" si="147"/>
        <v>2078</v>
      </c>
      <c r="BF172" s="12">
        <f>BF46-BF148</f>
        <v>2291</v>
      </c>
      <c r="BG172" s="12">
        <f>BG46-BG148</f>
        <v>2210</v>
      </c>
      <c r="BH172" s="12">
        <f>BH46-BH148</f>
        <v>2238</v>
      </c>
      <c r="BI172" s="12">
        <f>BI46-BI148</f>
        <v>1682</v>
      </c>
      <c r="BJ172" s="175">
        <f t="shared" si="147"/>
        <v>1682</v>
      </c>
      <c r="BK172" s="12">
        <f>BK46-BK148</f>
        <v>1675</v>
      </c>
      <c r="BL172" s="12">
        <f>BL46-BL148</f>
        <v>1628</v>
      </c>
      <c r="BM172" s="12">
        <f>BM46-BM148</f>
        <v>1578</v>
      </c>
      <c r="BN172" s="12">
        <f>BN46-BN148</f>
        <v>1885</v>
      </c>
      <c r="BO172" s="175">
        <f t="shared" si="147"/>
        <v>1885</v>
      </c>
      <c r="BP172" s="12">
        <f t="shared" si="147"/>
        <v>1885</v>
      </c>
      <c r="BQ172" s="12">
        <f t="shared" si="147"/>
        <v>1885</v>
      </c>
      <c r="BR172" s="176">
        <f t="shared" si="147"/>
        <v>1885</v>
      </c>
      <c r="BS172" s="176">
        <f t="shared" si="147"/>
        <v>1885</v>
      </c>
      <c r="BT172" s="175">
        <f t="shared" si="147"/>
        <v>1885</v>
      </c>
      <c r="BU172" s="12">
        <f t="shared" si="147"/>
        <v>1885</v>
      </c>
      <c r="BV172" s="12">
        <f t="shared" si="147"/>
        <v>1885</v>
      </c>
      <c r="BW172" s="176">
        <f t="shared" si="147"/>
        <v>1885</v>
      </c>
      <c r="BX172" s="176">
        <f t="shared" si="147"/>
        <v>1885</v>
      </c>
      <c r="BY172" s="175">
        <f t="shared" si="147"/>
        <v>1885</v>
      </c>
      <c r="BZ172" s="12">
        <f t="shared" si="147"/>
        <v>1885</v>
      </c>
      <c r="CA172" s="12">
        <f t="shared" si="147"/>
        <v>1885</v>
      </c>
      <c r="CB172" s="176">
        <f t="shared" si="147"/>
        <v>1885</v>
      </c>
      <c r="CC172" s="176">
        <f t="shared" si="147"/>
        <v>1885</v>
      </c>
      <c r="CD172" s="175">
        <f t="shared" si="147"/>
        <v>1885</v>
      </c>
      <c r="CE172" s="5"/>
      <c r="CF172" s="312" t="s">
        <v>2884</v>
      </c>
      <c r="CG172" s="5"/>
      <c r="CH172" s="262" t="s">
        <v>949</v>
      </c>
      <c r="CI172" s="262" t="s">
        <v>2956</v>
      </c>
      <c r="CJ172" s="263" t="s">
        <v>2957</v>
      </c>
      <c r="CK172" s="263" t="s">
        <v>3053</v>
      </c>
      <c r="CL172" s="263" t="s">
        <v>3054</v>
      </c>
    </row>
    <row r="173" spans="1:90">
      <c r="A173" s="4"/>
      <c r="B173" s="4"/>
      <c r="C173" s="173"/>
      <c r="D173" s="173"/>
      <c r="E173" s="173"/>
      <c r="F173" s="173"/>
      <c r="G173" s="173"/>
      <c r="H173" s="12"/>
      <c r="I173" s="12"/>
      <c r="J173" s="12"/>
      <c r="K173" s="12"/>
      <c r="L173" s="173"/>
      <c r="M173" s="12"/>
      <c r="N173" s="12"/>
      <c r="O173" s="12"/>
      <c r="P173" s="12"/>
      <c r="Q173" s="173"/>
      <c r="R173" s="12"/>
      <c r="S173" s="12"/>
      <c r="T173" s="12"/>
      <c r="U173" s="12"/>
      <c r="V173" s="173"/>
      <c r="W173" s="12"/>
      <c r="X173" s="12"/>
      <c r="Y173" s="12"/>
      <c r="Z173" s="12"/>
      <c r="AA173" s="173"/>
      <c r="AB173" s="12"/>
      <c r="AC173" s="12"/>
      <c r="AD173" s="12"/>
      <c r="AE173" s="12"/>
      <c r="AF173" s="173"/>
      <c r="AG173" s="12"/>
      <c r="AH173" s="12"/>
      <c r="AI173" s="12"/>
      <c r="AJ173" s="12"/>
      <c r="AK173" s="5"/>
      <c r="AL173" s="12"/>
      <c r="AM173" s="12"/>
      <c r="AN173" s="12"/>
      <c r="AO173" s="12"/>
      <c r="AP173" s="5"/>
      <c r="AQ173" s="12"/>
      <c r="AR173" s="12"/>
      <c r="AS173" s="12"/>
      <c r="AT173" s="12"/>
      <c r="AU173" s="5"/>
      <c r="AV173" s="12"/>
      <c r="AW173" s="12"/>
      <c r="AX173" s="12"/>
      <c r="AY173" s="12"/>
      <c r="AZ173" s="5"/>
      <c r="BA173" s="12"/>
      <c r="BB173" s="12"/>
      <c r="BC173" s="12"/>
      <c r="BD173" s="12"/>
      <c r="BE173" s="5"/>
      <c r="BF173" s="12"/>
      <c r="BG173" s="12"/>
      <c r="BH173" s="12"/>
      <c r="BI173" s="12"/>
      <c r="BJ173" s="5"/>
      <c r="BK173" s="12"/>
      <c r="BL173" s="12"/>
      <c r="BM173" s="12"/>
      <c r="BN173" s="12"/>
      <c r="BO173" s="5"/>
      <c r="BP173" s="12"/>
      <c r="BQ173" s="12"/>
      <c r="BR173" s="12"/>
      <c r="BS173" s="12"/>
      <c r="BT173" s="5"/>
      <c r="BU173" s="12"/>
      <c r="BV173" s="12"/>
      <c r="BW173" s="12"/>
      <c r="BX173" s="12"/>
      <c r="BY173" s="5"/>
      <c r="BZ173" s="12"/>
      <c r="CA173" s="12"/>
      <c r="CB173" s="12"/>
      <c r="CC173" s="12"/>
      <c r="CD173" s="5"/>
      <c r="CE173" s="5"/>
      <c r="CF173" s="312"/>
      <c r="CG173" s="5"/>
      <c r="CH173" s="202" t="s">
        <v>714</v>
      </c>
      <c r="CI173" s="175">
        <f>HLOOKUP(CH173,'Key assumptions'!$A$9:$CD$20,4,FALSE)</f>
        <v>61.79</v>
      </c>
      <c r="CJ173" s="175">
        <f t="shared" ref="CJ173:CJ196" si="148">HLOOKUP(CH173,$A$166:$CD$185,3,FALSE)</f>
        <v>39757</v>
      </c>
      <c r="CK173" s="175">
        <f t="shared" ref="CK173:CK196" si="149">HLOOKUP(CH173,$A$166:$CD$185,6,FALSE)</f>
        <v>42712</v>
      </c>
      <c r="CL173" s="175">
        <f t="shared" ref="CL173:CL186" si="150">HLOOKUP(CH173,$A$9:$CD$38,19,FALSE)</f>
        <v>18823</v>
      </c>
    </row>
    <row r="174" spans="1:90">
      <c r="A174" s="14" t="s">
        <v>1296</v>
      </c>
      <c r="B174" s="14"/>
      <c r="C174" s="310">
        <f>SUM(C171:C172)-C168</f>
        <v>4262</v>
      </c>
      <c r="D174" s="310">
        <f>SUM(D171:D172)-D168</f>
        <v>6700</v>
      </c>
      <c r="E174" s="310">
        <f t="shared" ref="E174:AU174" si="151">SUM(E171:E172)-E168</f>
        <v>2594</v>
      </c>
      <c r="F174" s="310">
        <f t="shared" si="151"/>
        <v>2156</v>
      </c>
      <c r="G174" s="310">
        <f t="shared" si="151"/>
        <v>2336</v>
      </c>
      <c r="H174" s="16">
        <f t="shared" si="151"/>
        <v>4052</v>
      </c>
      <c r="I174" s="16">
        <f t="shared" si="151"/>
        <v>5966</v>
      </c>
      <c r="J174" s="16">
        <f t="shared" si="151"/>
        <v>3237</v>
      </c>
      <c r="K174" s="16">
        <f t="shared" si="151"/>
        <v>5476</v>
      </c>
      <c r="L174" s="310">
        <f t="shared" si="151"/>
        <v>5476</v>
      </c>
      <c r="M174" s="16">
        <f t="shared" si="151"/>
        <v>6796</v>
      </c>
      <c r="N174" s="16">
        <f t="shared" si="151"/>
        <v>4477</v>
      </c>
      <c r="O174" s="16">
        <f t="shared" si="151"/>
        <v>5127</v>
      </c>
      <c r="P174" s="16">
        <f t="shared" si="151"/>
        <v>7327</v>
      </c>
      <c r="Q174" s="310">
        <f t="shared" si="151"/>
        <v>7327</v>
      </c>
      <c r="R174" s="16">
        <f t="shared" si="151"/>
        <v>5805</v>
      </c>
      <c r="S174" s="16">
        <f t="shared" si="151"/>
        <v>7627</v>
      </c>
      <c r="T174" s="16">
        <f t="shared" si="151"/>
        <v>6821</v>
      </c>
      <c r="U174" s="16">
        <f t="shared" si="151"/>
        <v>5928</v>
      </c>
      <c r="V174" s="310">
        <f t="shared" si="151"/>
        <v>5928</v>
      </c>
      <c r="W174" s="16">
        <f t="shared" si="151"/>
        <v>6147</v>
      </c>
      <c r="X174" s="16">
        <f t="shared" si="151"/>
        <v>6921</v>
      </c>
      <c r="Y174" s="16">
        <f t="shared" si="151"/>
        <v>6180</v>
      </c>
      <c r="Z174" s="16">
        <f t="shared" si="151"/>
        <v>7333</v>
      </c>
      <c r="AA174" s="310">
        <f t="shared" si="151"/>
        <v>7333</v>
      </c>
      <c r="AB174" s="16">
        <f t="shared" si="151"/>
        <v>8633</v>
      </c>
      <c r="AC174" s="16">
        <f t="shared" si="151"/>
        <v>9381</v>
      </c>
      <c r="AD174" s="16">
        <f t="shared" si="151"/>
        <v>10869</v>
      </c>
      <c r="AE174" s="16">
        <f t="shared" si="151"/>
        <v>10687</v>
      </c>
      <c r="AF174" s="310">
        <f t="shared" si="151"/>
        <v>10687</v>
      </c>
      <c r="AG174" s="16">
        <f t="shared" si="151"/>
        <v>10423</v>
      </c>
      <c r="AH174" s="16">
        <f t="shared" si="151"/>
        <v>10108</v>
      </c>
      <c r="AI174" s="16">
        <f>SUM(AI171:AI172)-AI168</f>
        <v>14216</v>
      </c>
      <c r="AJ174" s="16">
        <f t="shared" si="151"/>
        <v>13742</v>
      </c>
      <c r="AK174" s="310">
        <f t="shared" si="151"/>
        <v>13742</v>
      </c>
      <c r="AL174" s="16">
        <f>SUM(AL171:AL172)-AL168</f>
        <v>15389</v>
      </c>
      <c r="AM174" s="16">
        <f t="shared" si="151"/>
        <v>13153</v>
      </c>
      <c r="AN174" s="16">
        <f t="shared" si="151"/>
        <v>13266</v>
      </c>
      <c r="AO174" s="16">
        <f t="shared" si="151"/>
        <v>15345</v>
      </c>
      <c r="AP174" s="310">
        <f t="shared" si="151"/>
        <v>15345</v>
      </c>
      <c r="AQ174" s="16">
        <f>SUM(AQ171:AQ172)-AQ168</f>
        <v>13236</v>
      </c>
      <c r="AR174" s="16">
        <f>SUM(AR171:AR172)-AR168</f>
        <v>10627</v>
      </c>
      <c r="AS174" s="16">
        <f>SUM(AS171:AS172)-AS168</f>
        <v>11236</v>
      </c>
      <c r="AT174" s="16">
        <f>SUM(AT171:AT172)-AT168</f>
        <v>10849</v>
      </c>
      <c r="AU174" s="310">
        <f t="shared" si="151"/>
        <v>10849</v>
      </c>
      <c r="AV174" s="16">
        <f>SUM(AV171:AV172)-AV168</f>
        <v>12566</v>
      </c>
      <c r="AW174" s="16">
        <f>SUM(AW171:AW172)-AW168</f>
        <v>13184</v>
      </c>
      <c r="AX174" s="16">
        <f>SUM(AX171:AX172)-AX168</f>
        <v>14476</v>
      </c>
      <c r="AY174" s="16">
        <f>SUM(AY171:AY172)-AY168</f>
        <v>11695</v>
      </c>
      <c r="AZ174" s="310">
        <f t="shared" ref="AZ174:CD174" si="152">SUM(AZ171:AZ172)-AZ168</f>
        <v>11695</v>
      </c>
      <c r="BA174" s="16">
        <f t="shared" ref="BA174:BF174" si="153">SUM(BA171:BA172)-BA168</f>
        <v>11349</v>
      </c>
      <c r="BB174" s="16">
        <f t="shared" si="153"/>
        <v>12479</v>
      </c>
      <c r="BC174" s="16">
        <f t="shared" si="153"/>
        <v>11177</v>
      </c>
      <c r="BD174" s="16">
        <f t="shared" si="153"/>
        <v>11657</v>
      </c>
      <c r="BE174" s="310">
        <f t="shared" si="153"/>
        <v>11657</v>
      </c>
      <c r="BF174" s="16">
        <f t="shared" si="153"/>
        <v>11946</v>
      </c>
      <c r="BG174" s="16">
        <f t="shared" ref="BG174:BH174" si="154">SUM(BG171:BG172)-BG168</f>
        <v>13650</v>
      </c>
      <c r="BH174" s="16">
        <f t="shared" si="154"/>
        <v>14025</v>
      </c>
      <c r="BI174" s="16">
        <f t="shared" ref="BI174:BK174" si="155">SUM(BI171:BI172)-BI168</f>
        <v>16060</v>
      </c>
      <c r="BJ174" s="310">
        <f t="shared" si="152"/>
        <v>16060</v>
      </c>
      <c r="BK174" s="16">
        <f t="shared" si="155"/>
        <v>15538</v>
      </c>
      <c r="BL174" s="16">
        <f t="shared" ref="BL174:BM174" si="156">SUM(BL171:BL172)-BL168</f>
        <v>15890</v>
      </c>
      <c r="BM174" s="16">
        <f t="shared" si="156"/>
        <v>17855</v>
      </c>
      <c r="BN174" s="16">
        <f t="shared" ref="BN174" si="157">SUM(BN171:BN172)-BN168</f>
        <v>19408</v>
      </c>
      <c r="BO174" s="310">
        <f t="shared" si="152"/>
        <v>19408</v>
      </c>
      <c r="BP174" s="16">
        <f t="shared" si="152"/>
        <v>16142.274179345957</v>
      </c>
      <c r="BQ174" s="16">
        <f t="shared" si="152"/>
        <v>16140.935771392404</v>
      </c>
      <c r="BR174" s="16">
        <f t="shared" si="152"/>
        <v>16143.655761749636</v>
      </c>
      <c r="BS174" s="16">
        <f t="shared" si="152"/>
        <v>16145.922420380655</v>
      </c>
      <c r="BT174" s="310">
        <f t="shared" si="152"/>
        <v>16145.922420380655</v>
      </c>
      <c r="BU174" s="16">
        <f t="shared" si="152"/>
        <v>16150.865894918792</v>
      </c>
      <c r="BV174" s="16">
        <f t="shared" si="152"/>
        <v>16150.865894918792</v>
      </c>
      <c r="BW174" s="16">
        <f t="shared" si="152"/>
        <v>16150.865894918792</v>
      </c>
      <c r="BX174" s="16">
        <f t="shared" si="152"/>
        <v>16150.865894918792</v>
      </c>
      <c r="BY174" s="310">
        <f t="shared" si="152"/>
        <v>16150.865894918792</v>
      </c>
      <c r="BZ174" s="16">
        <f t="shared" si="152"/>
        <v>16150.0244207711</v>
      </c>
      <c r="CA174" s="16">
        <f t="shared" si="152"/>
        <v>16149.177736008212</v>
      </c>
      <c r="CB174" s="16">
        <f t="shared" si="152"/>
        <v>16148.325808364709</v>
      </c>
      <c r="CC174" s="16">
        <f t="shared" si="152"/>
        <v>16147.46860537539</v>
      </c>
      <c r="CD174" s="310">
        <f t="shared" si="152"/>
        <v>16147.46860537539</v>
      </c>
      <c r="CE174" s="5"/>
      <c r="CF174" s="312"/>
      <c r="CG174" s="5"/>
      <c r="CH174" s="202" t="s">
        <v>715</v>
      </c>
      <c r="CI174" s="175">
        <f>HLOOKUP(CH174,'Key assumptions'!$A$9:$CD$20,4,FALSE)</f>
        <v>69.59</v>
      </c>
      <c r="CJ174" s="175">
        <f t="shared" si="148"/>
        <v>38639</v>
      </c>
      <c r="CK174" s="175">
        <f t="shared" si="149"/>
        <v>43323</v>
      </c>
      <c r="CL174" s="175">
        <f t="shared" si="150"/>
        <v>20727</v>
      </c>
    </row>
    <row r="175" spans="1:90">
      <c r="A175" s="4"/>
      <c r="B175" s="4"/>
      <c r="C175" s="309"/>
      <c r="D175" s="309"/>
      <c r="E175" s="309"/>
      <c r="F175" s="309"/>
      <c r="G175" s="309"/>
      <c r="H175" s="12"/>
      <c r="I175" s="12"/>
      <c r="J175" s="12"/>
      <c r="K175" s="12"/>
      <c r="L175" s="309"/>
      <c r="M175" s="12"/>
      <c r="N175" s="12"/>
      <c r="O175" s="12"/>
      <c r="P175" s="12"/>
      <c r="Q175" s="309"/>
      <c r="R175" s="12"/>
      <c r="S175" s="12"/>
      <c r="T175" s="12"/>
      <c r="U175" s="12"/>
      <c r="V175" s="309"/>
      <c r="W175" s="12"/>
      <c r="X175" s="12"/>
      <c r="Y175" s="12"/>
      <c r="Z175" s="12"/>
      <c r="AA175" s="309"/>
      <c r="AB175" s="12"/>
      <c r="AC175" s="12"/>
      <c r="AD175" s="12"/>
      <c r="AE175" s="12"/>
      <c r="AF175" s="309"/>
      <c r="AG175" s="12"/>
      <c r="AH175" s="12"/>
      <c r="AI175" s="12"/>
      <c r="AJ175" s="12"/>
      <c r="AK175" s="5"/>
      <c r="AL175" s="12"/>
      <c r="AM175" s="12"/>
      <c r="AN175" s="12"/>
      <c r="AO175" s="12"/>
      <c r="AP175" s="5"/>
      <c r="AQ175" s="12"/>
      <c r="AR175" s="12"/>
      <c r="AS175" s="12"/>
      <c r="AT175" s="12"/>
      <c r="AU175" s="5"/>
      <c r="AV175" s="12"/>
      <c r="AW175" s="12"/>
      <c r="AX175" s="12"/>
      <c r="AY175" s="12"/>
      <c r="AZ175" s="5"/>
      <c r="BA175" s="12"/>
      <c r="BB175" s="12"/>
      <c r="BC175" s="12"/>
      <c r="BD175" s="12"/>
      <c r="BE175" s="5"/>
      <c r="BF175" s="12"/>
      <c r="BG175" s="12"/>
      <c r="BH175" s="12"/>
      <c r="BI175" s="12"/>
      <c r="BJ175" s="5"/>
      <c r="BK175" s="12"/>
      <c r="BL175" s="12"/>
      <c r="BM175" s="12"/>
      <c r="BN175" s="12"/>
      <c r="BO175" s="5"/>
      <c r="BP175" s="12"/>
      <c r="BQ175" s="12"/>
      <c r="BR175" s="12"/>
      <c r="BS175" s="12"/>
      <c r="BT175" s="5"/>
      <c r="BU175" s="12"/>
      <c r="BV175" s="12"/>
      <c r="BW175" s="12"/>
      <c r="BX175" s="12"/>
      <c r="BY175" s="5"/>
      <c r="BZ175" s="12"/>
      <c r="CA175" s="12"/>
      <c r="CB175" s="12"/>
      <c r="CC175" s="12"/>
      <c r="CD175" s="5"/>
      <c r="CE175" s="5"/>
      <c r="CF175" s="312"/>
      <c r="CG175" s="5"/>
      <c r="CH175" s="202" t="s">
        <v>716</v>
      </c>
      <c r="CI175" s="175">
        <f>HLOOKUP(CH175,'Key assumptions'!$A$9:$CD$20,4,FALSE)</f>
        <v>69.599999999999994</v>
      </c>
      <c r="CJ175" s="175">
        <f t="shared" si="148"/>
        <v>38570</v>
      </c>
      <c r="CK175" s="175">
        <f t="shared" si="149"/>
        <v>40589</v>
      </c>
      <c r="CL175" s="175">
        <f t="shared" si="150"/>
        <v>19362</v>
      </c>
    </row>
    <row r="176" spans="1:90">
      <c r="A176" s="7" t="s">
        <v>2718</v>
      </c>
      <c r="B176" s="4"/>
      <c r="C176" s="309"/>
      <c r="D176" s="309"/>
      <c r="E176" s="309"/>
      <c r="F176" s="309"/>
      <c r="G176" s="309"/>
      <c r="H176" s="12"/>
      <c r="I176" s="12"/>
      <c r="J176" s="12"/>
      <c r="K176" s="12"/>
      <c r="L176" s="309"/>
      <c r="M176" s="12"/>
      <c r="N176" s="12"/>
      <c r="O176" s="12"/>
      <c r="P176" s="12"/>
      <c r="Q176" s="309"/>
      <c r="R176" s="12"/>
      <c r="S176" s="12"/>
      <c r="T176" s="12"/>
      <c r="U176" s="12"/>
      <c r="V176" s="309"/>
      <c r="W176" s="12"/>
      <c r="X176" s="12"/>
      <c r="Y176" s="12"/>
      <c r="Z176" s="12"/>
      <c r="AA176" s="309"/>
      <c r="AB176" s="12"/>
      <c r="AC176" s="12"/>
      <c r="AD176" s="12"/>
      <c r="AE176" s="12"/>
      <c r="AF176" s="309"/>
      <c r="AG176" s="12"/>
      <c r="AH176" s="12"/>
      <c r="AI176" s="12"/>
      <c r="AJ176" s="12"/>
      <c r="AK176" s="5"/>
      <c r="AL176" s="12"/>
      <c r="AM176" s="12"/>
      <c r="AN176" s="12"/>
      <c r="AO176" s="12"/>
      <c r="AP176" s="5"/>
      <c r="AQ176" s="12"/>
      <c r="AR176" s="12"/>
      <c r="AS176" s="12"/>
      <c r="AT176" s="12"/>
      <c r="AU176" s="5"/>
      <c r="AV176" s="12"/>
      <c r="AW176" s="12"/>
      <c r="AX176" s="12"/>
      <c r="AY176" s="12"/>
      <c r="AZ176" s="5"/>
      <c r="BA176" s="12"/>
      <c r="BB176" s="12"/>
      <c r="BC176" s="12"/>
      <c r="BD176" s="12"/>
      <c r="BE176" s="5"/>
      <c r="BF176" s="12"/>
      <c r="BG176" s="12"/>
      <c r="BH176" s="12"/>
      <c r="BI176" s="12"/>
      <c r="BJ176" s="5"/>
      <c r="BK176" s="12"/>
      <c r="BL176" s="12"/>
      <c r="BM176" s="12"/>
      <c r="BN176" s="12"/>
      <c r="BO176" s="5"/>
      <c r="BP176" s="12"/>
      <c r="BQ176" s="12"/>
      <c r="BR176" s="12"/>
      <c r="BS176" s="12"/>
      <c r="BT176" s="5"/>
      <c r="BU176" s="12"/>
      <c r="BV176" s="12"/>
      <c r="BW176" s="12"/>
      <c r="BX176" s="12"/>
      <c r="BY176" s="5"/>
      <c r="BZ176" s="12"/>
      <c r="CA176" s="12"/>
      <c r="CB176" s="12"/>
      <c r="CC176" s="12"/>
      <c r="CD176" s="5"/>
      <c r="CE176" s="5"/>
      <c r="CF176" s="312"/>
      <c r="CG176" s="5"/>
      <c r="CH176" s="202" t="s">
        <v>717</v>
      </c>
      <c r="CI176" s="175">
        <f>HLOOKUP(CH176,'Key assumptions'!$A$9:$CD$20,4,FALSE)</f>
        <v>59.6</v>
      </c>
      <c r="CJ176" s="175">
        <f t="shared" si="148"/>
        <v>38692</v>
      </c>
      <c r="CK176" s="175">
        <f t="shared" si="149"/>
        <v>42236</v>
      </c>
      <c r="CL176" s="175">
        <f t="shared" si="150"/>
        <v>18915</v>
      </c>
    </row>
    <row r="177" spans="1:90">
      <c r="A177" s="4" t="s">
        <v>1297</v>
      </c>
      <c r="B177" s="4"/>
      <c r="C177" s="309">
        <f t="shared" ref="C177:AB177" si="158">C18</f>
        <v>0</v>
      </c>
      <c r="D177" s="309">
        <f t="shared" si="158"/>
        <v>0</v>
      </c>
      <c r="E177" s="309">
        <f t="shared" si="158"/>
        <v>495</v>
      </c>
      <c r="F177" s="309">
        <f t="shared" si="158"/>
        <v>429</v>
      </c>
      <c r="G177" s="309">
        <f t="shared" si="158"/>
        <v>770</v>
      </c>
      <c r="H177" s="12">
        <f t="shared" si="158"/>
        <v>875</v>
      </c>
      <c r="I177" s="12">
        <f t="shared" si="158"/>
        <v>842</v>
      </c>
      <c r="J177" s="12">
        <f t="shared" si="158"/>
        <v>787</v>
      </c>
      <c r="K177" s="12">
        <f t="shared" si="158"/>
        <v>862</v>
      </c>
      <c r="L177" s="309">
        <f t="shared" si="158"/>
        <v>862</v>
      </c>
      <c r="M177" s="12">
        <f t="shared" si="158"/>
        <v>931</v>
      </c>
      <c r="N177" s="12">
        <f t="shared" si="158"/>
        <v>926</v>
      </c>
      <c r="O177" s="12">
        <f t="shared" si="158"/>
        <v>979</v>
      </c>
      <c r="P177" s="12">
        <f t="shared" si="158"/>
        <v>968</v>
      </c>
      <c r="Q177" s="309">
        <f t="shared" si="158"/>
        <v>968</v>
      </c>
      <c r="R177" s="12">
        <f t="shared" si="158"/>
        <v>983</v>
      </c>
      <c r="S177" s="12">
        <f t="shared" si="158"/>
        <v>958</v>
      </c>
      <c r="T177" s="12">
        <f t="shared" si="158"/>
        <v>896</v>
      </c>
      <c r="U177" s="12">
        <f t="shared" si="158"/>
        <v>710</v>
      </c>
      <c r="V177" s="309">
        <f t="shared" si="158"/>
        <v>710</v>
      </c>
      <c r="W177" s="12">
        <f t="shared" si="158"/>
        <v>746</v>
      </c>
      <c r="X177" s="12">
        <f t="shared" si="158"/>
        <v>990</v>
      </c>
      <c r="Y177" s="12">
        <f t="shared" si="158"/>
        <v>943</v>
      </c>
      <c r="Z177" s="12">
        <f t="shared" si="158"/>
        <v>1729</v>
      </c>
      <c r="AA177" s="309">
        <f t="shared" si="158"/>
        <v>1729</v>
      </c>
      <c r="AB177" s="12">
        <f t="shared" si="158"/>
        <v>2216</v>
      </c>
      <c r="AC177" s="12">
        <f t="shared" ref="AC177:AJ177" si="159">AC18-AC153</f>
        <v>2212</v>
      </c>
      <c r="AD177" s="12">
        <f t="shared" si="159"/>
        <v>2539</v>
      </c>
      <c r="AE177" s="12">
        <f t="shared" si="159"/>
        <v>2697</v>
      </c>
      <c r="AF177" s="309">
        <f t="shared" si="159"/>
        <v>2697</v>
      </c>
      <c r="AG177" s="12">
        <f t="shared" si="159"/>
        <v>2492</v>
      </c>
      <c r="AH177" s="12">
        <f t="shared" si="159"/>
        <v>3137</v>
      </c>
      <c r="AI177" s="12">
        <f t="shared" si="159"/>
        <v>2981</v>
      </c>
      <c r="AJ177" s="12">
        <f t="shared" si="159"/>
        <v>2695</v>
      </c>
      <c r="AK177" s="175">
        <f>AJ177</f>
        <v>2695</v>
      </c>
      <c r="AL177" s="12">
        <f>AL18-AL153</f>
        <v>2706</v>
      </c>
      <c r="AM177" s="12">
        <f>AM18-AM153</f>
        <v>2550</v>
      </c>
      <c r="AN177" s="12">
        <f>AN18-AN153</f>
        <v>2459</v>
      </c>
      <c r="AO177" s="12">
        <f>AO18-AO153</f>
        <v>2490</v>
      </c>
      <c r="AP177" s="175">
        <f>AO177</f>
        <v>2490</v>
      </c>
      <c r="AQ177" s="12">
        <f>AQ18-AQ153</f>
        <v>3648</v>
      </c>
      <c r="AR177" s="12">
        <f>AR18-AR153</f>
        <v>3471</v>
      </c>
      <c r="AS177" s="12">
        <f>AS18-AS153</f>
        <v>3642</v>
      </c>
      <c r="AT177" s="12">
        <f>AT18-AT153</f>
        <v>3543</v>
      </c>
      <c r="AU177" s="175">
        <f>AT177</f>
        <v>3543</v>
      </c>
      <c r="AV177" s="12">
        <f>AV18-AV153</f>
        <v>3154</v>
      </c>
      <c r="AW177" s="12">
        <f>AW18-AW153</f>
        <v>3213</v>
      </c>
      <c r="AX177" s="12">
        <f>AX18-AX153</f>
        <v>3125</v>
      </c>
      <c r="AY177" s="12">
        <f>AY18-AY153</f>
        <v>2086</v>
      </c>
      <c r="AZ177" s="175">
        <f t="shared" ref="AZ177:CD177" si="160">AY177</f>
        <v>2086</v>
      </c>
      <c r="BA177" s="12">
        <f>BA18-BA153</f>
        <v>2030</v>
      </c>
      <c r="BB177" s="12">
        <f>BB18-BB153</f>
        <v>2107</v>
      </c>
      <c r="BC177" s="12">
        <f>BC18-BC153</f>
        <v>2059</v>
      </c>
      <c r="BD177" s="12">
        <f>BD18-BD153</f>
        <v>2216</v>
      </c>
      <c r="BE177" s="175">
        <f t="shared" si="160"/>
        <v>2216</v>
      </c>
      <c r="BF177" s="12">
        <f>BF18-BF153</f>
        <v>2241</v>
      </c>
      <c r="BG177" s="12">
        <f>BG18-BG153</f>
        <v>2193</v>
      </c>
      <c r="BH177" s="12">
        <f>BH18-BH153</f>
        <v>2146</v>
      </c>
      <c r="BI177" s="12">
        <f>BI18-BI153</f>
        <v>1474</v>
      </c>
      <c r="BJ177" s="175">
        <f t="shared" si="160"/>
        <v>1474</v>
      </c>
      <c r="BK177" s="12">
        <f>BK18-BK153</f>
        <v>1448</v>
      </c>
      <c r="BL177" s="12">
        <f>BL18-BL153</f>
        <v>1425</v>
      </c>
      <c r="BM177" s="12">
        <f>BM18-BM153</f>
        <v>1461</v>
      </c>
      <c r="BN177" s="12">
        <f ca="1">BN18-BN153</f>
        <v>1434</v>
      </c>
      <c r="BO177" s="175">
        <f t="shared" ca="1" si="160"/>
        <v>1434</v>
      </c>
      <c r="BP177" s="12">
        <f t="shared" ca="1" si="160"/>
        <v>1434</v>
      </c>
      <c r="BQ177" s="12">
        <f t="shared" ca="1" si="160"/>
        <v>1434</v>
      </c>
      <c r="BR177" s="176">
        <f t="shared" ca="1" si="160"/>
        <v>1434</v>
      </c>
      <c r="BS177" s="176">
        <f t="shared" ca="1" si="160"/>
        <v>1434</v>
      </c>
      <c r="BT177" s="175">
        <f t="shared" ca="1" si="160"/>
        <v>1434</v>
      </c>
      <c r="BU177" s="12">
        <f t="shared" ca="1" si="160"/>
        <v>1434</v>
      </c>
      <c r="BV177" s="12">
        <f t="shared" ca="1" si="160"/>
        <v>1434</v>
      </c>
      <c r="BW177" s="176">
        <f t="shared" ca="1" si="160"/>
        <v>1434</v>
      </c>
      <c r="BX177" s="176">
        <f t="shared" ca="1" si="160"/>
        <v>1434</v>
      </c>
      <c r="BY177" s="175">
        <f t="shared" ca="1" si="160"/>
        <v>1434</v>
      </c>
      <c r="BZ177" s="12">
        <f t="shared" ca="1" si="160"/>
        <v>1434</v>
      </c>
      <c r="CA177" s="12">
        <f t="shared" ca="1" si="160"/>
        <v>1434</v>
      </c>
      <c r="CB177" s="176">
        <f t="shared" ca="1" si="160"/>
        <v>1434</v>
      </c>
      <c r="CC177" s="176">
        <f t="shared" ca="1" si="160"/>
        <v>1434</v>
      </c>
      <c r="CD177" s="175">
        <f t="shared" ca="1" si="160"/>
        <v>1434</v>
      </c>
      <c r="CE177" s="5"/>
      <c r="CF177" s="312" t="s">
        <v>2883</v>
      </c>
      <c r="CG177" s="5"/>
      <c r="CH177" s="202" t="s">
        <v>718</v>
      </c>
      <c r="CI177" s="175">
        <f>HLOOKUP(CH177,'Key assumptions'!$A$9:$CD$20,4,FALSE)</f>
        <v>57.76</v>
      </c>
      <c r="CJ177" s="175">
        <f t="shared" si="148"/>
        <v>38819</v>
      </c>
      <c r="CK177" s="175">
        <f t="shared" si="149"/>
        <v>43681</v>
      </c>
      <c r="CL177" s="175">
        <f t="shared" si="150"/>
        <v>19812</v>
      </c>
    </row>
    <row r="178" spans="1:90">
      <c r="A178" s="4"/>
      <c r="B178" s="4"/>
      <c r="C178" s="309"/>
      <c r="D178" s="309"/>
      <c r="E178" s="309"/>
      <c r="F178" s="309"/>
      <c r="G178" s="309"/>
      <c r="H178" s="12"/>
      <c r="I178" s="12"/>
      <c r="J178" s="12"/>
      <c r="K178" s="12"/>
      <c r="L178" s="309"/>
      <c r="M178" s="12"/>
      <c r="N178" s="12"/>
      <c r="O178" s="12"/>
      <c r="P178" s="12"/>
      <c r="Q178" s="309"/>
      <c r="R178" s="12"/>
      <c r="S178" s="12"/>
      <c r="T178" s="12"/>
      <c r="U178" s="12"/>
      <c r="V178" s="309"/>
      <c r="W178" s="12"/>
      <c r="X178" s="12"/>
      <c r="Y178" s="12"/>
      <c r="Z178" s="12"/>
      <c r="AA178" s="309"/>
      <c r="AB178" s="12"/>
      <c r="AC178" s="12"/>
      <c r="AD178" s="12"/>
      <c r="AE178" s="12"/>
      <c r="AF178" s="309"/>
      <c r="AG178" s="12"/>
      <c r="AH178" s="12"/>
      <c r="AI178" s="12"/>
      <c r="AJ178" s="12"/>
      <c r="AK178" s="5"/>
      <c r="AL178" s="12"/>
      <c r="AM178" s="12"/>
      <c r="AN178" s="12"/>
      <c r="AO178" s="12"/>
      <c r="AP178" s="5"/>
      <c r="AQ178" s="12"/>
      <c r="AR178" s="12"/>
      <c r="AS178" s="12"/>
      <c r="AT178" s="12"/>
      <c r="AU178" s="5"/>
      <c r="AV178" s="12"/>
      <c r="AW178" s="12"/>
      <c r="AX178" s="12"/>
      <c r="AY178" s="12"/>
      <c r="AZ178" s="5"/>
      <c r="BA178" s="12"/>
      <c r="BB178" s="12"/>
      <c r="BC178" s="12"/>
      <c r="BD178" s="12"/>
      <c r="BE178" s="5"/>
      <c r="BF178" s="12"/>
      <c r="BG178" s="12"/>
      <c r="BH178" s="12"/>
      <c r="BI178" s="12"/>
      <c r="BJ178" s="5"/>
      <c r="BK178" s="12"/>
      <c r="BL178" s="12"/>
      <c r="BM178" s="12"/>
      <c r="BN178" s="12"/>
      <c r="BO178" s="5"/>
      <c r="BP178" s="12"/>
      <c r="BQ178" s="12"/>
      <c r="BR178" s="12"/>
      <c r="BS178" s="12"/>
      <c r="BT178" s="5"/>
      <c r="BU178" s="12"/>
      <c r="BV178" s="12"/>
      <c r="BW178" s="12"/>
      <c r="BX178" s="12"/>
      <c r="BY178" s="5"/>
      <c r="BZ178" s="12"/>
      <c r="CA178" s="12"/>
      <c r="CB178" s="12"/>
      <c r="CC178" s="12"/>
      <c r="CD178" s="5"/>
      <c r="CE178" s="5"/>
      <c r="CF178" s="312"/>
      <c r="CG178" s="5"/>
      <c r="CH178" s="202" t="s">
        <v>719</v>
      </c>
      <c r="CI178" s="175">
        <f>HLOOKUP(CH178,'Key assumptions'!$A$9:$CD$20,4,FALSE)</f>
        <v>68.760000000000005</v>
      </c>
      <c r="CJ178" s="175">
        <f t="shared" si="148"/>
        <v>39847</v>
      </c>
      <c r="CK178" s="175">
        <f t="shared" si="149"/>
        <v>42634</v>
      </c>
      <c r="CL178" s="175">
        <f t="shared" si="150"/>
        <v>20645</v>
      </c>
    </row>
    <row r="179" spans="1:90">
      <c r="A179" s="7" t="s">
        <v>1298</v>
      </c>
      <c r="B179" s="4"/>
      <c r="C179" s="309"/>
      <c r="D179" s="309"/>
      <c r="E179" s="309"/>
      <c r="F179" s="309"/>
      <c r="G179" s="309"/>
      <c r="H179" s="12"/>
      <c r="I179" s="12"/>
      <c r="J179" s="12"/>
      <c r="K179" s="12"/>
      <c r="L179" s="309"/>
      <c r="M179" s="12"/>
      <c r="N179" s="12"/>
      <c r="O179" s="12"/>
      <c r="P179" s="12"/>
      <c r="Q179" s="309"/>
      <c r="R179" s="12"/>
      <c r="S179" s="12"/>
      <c r="T179" s="12"/>
      <c r="U179" s="12"/>
      <c r="V179" s="309"/>
      <c r="W179" s="12"/>
      <c r="X179" s="12"/>
      <c r="Y179" s="12"/>
      <c r="Z179" s="12"/>
      <c r="AA179" s="309"/>
      <c r="AB179" s="12"/>
      <c r="AC179" s="12"/>
      <c r="AD179" s="12"/>
      <c r="AE179" s="12"/>
      <c r="AF179" s="309"/>
      <c r="AG179" s="12"/>
      <c r="AH179" s="12"/>
      <c r="AI179" s="12"/>
      <c r="AJ179" s="12"/>
      <c r="AK179" s="5"/>
      <c r="AL179" s="12"/>
      <c r="AM179" s="12"/>
      <c r="AN179" s="12"/>
      <c r="AO179" s="12"/>
      <c r="AP179" s="5"/>
      <c r="AQ179" s="12"/>
      <c r="AR179" s="12"/>
      <c r="AS179" s="12"/>
      <c r="AT179" s="12"/>
      <c r="AU179" s="5"/>
      <c r="AV179" s="12"/>
      <c r="AW179" s="12"/>
      <c r="AX179" s="12"/>
      <c r="AY179" s="12"/>
      <c r="AZ179" s="5"/>
      <c r="BA179" s="12"/>
      <c r="BB179" s="12"/>
      <c r="BC179" s="12"/>
      <c r="BD179" s="12"/>
      <c r="BE179" s="5"/>
      <c r="BF179" s="12"/>
      <c r="BG179" s="12"/>
      <c r="BH179" s="12"/>
      <c r="BI179" s="12"/>
      <c r="BJ179" s="5"/>
      <c r="BK179" s="12"/>
      <c r="BL179" s="12"/>
      <c r="BM179" s="12"/>
      <c r="BN179" s="12"/>
      <c r="BO179" s="5"/>
      <c r="BP179" s="12"/>
      <c r="BQ179" s="12"/>
      <c r="BR179" s="12"/>
      <c r="BS179" s="12"/>
      <c r="BT179" s="5"/>
      <c r="BU179" s="12"/>
      <c r="BV179" s="12"/>
      <c r="BW179" s="12"/>
      <c r="BX179" s="12"/>
      <c r="BY179" s="5"/>
      <c r="BZ179" s="12"/>
      <c r="CA179" s="12"/>
      <c r="CB179" s="12"/>
      <c r="CC179" s="12"/>
      <c r="CD179" s="5"/>
      <c r="CE179" s="5"/>
      <c r="CF179" s="312"/>
      <c r="CG179" s="5"/>
      <c r="CH179" s="202" t="s">
        <v>1970</v>
      </c>
      <c r="CI179" s="175">
        <f>HLOOKUP(CH179,'Key assumptions'!$A$9:$CD$20,4,FALSE)</f>
        <v>74.739999999999995</v>
      </c>
      <c r="CJ179" s="175">
        <f t="shared" si="148"/>
        <v>39418</v>
      </c>
      <c r="CK179" s="175">
        <f t="shared" si="149"/>
        <v>42649</v>
      </c>
      <c r="CL179" s="175">
        <f t="shared" si="150"/>
        <v>21784</v>
      </c>
    </row>
    <row r="180" spans="1:90">
      <c r="A180" s="4" t="s">
        <v>1299</v>
      </c>
      <c r="B180" s="4"/>
      <c r="C180" s="309">
        <f t="shared" ref="C180:AB180" si="161">C53</f>
        <v>3054</v>
      </c>
      <c r="D180" s="309">
        <f t="shared" si="161"/>
        <v>3412</v>
      </c>
      <c r="E180" s="309">
        <f t="shared" si="161"/>
        <v>4630</v>
      </c>
      <c r="F180" s="309">
        <f t="shared" si="161"/>
        <v>3581</v>
      </c>
      <c r="G180" s="309">
        <f t="shared" si="161"/>
        <v>1935</v>
      </c>
      <c r="H180" s="12">
        <f t="shared" si="161"/>
        <v>1812</v>
      </c>
      <c r="I180" s="12">
        <f t="shared" si="161"/>
        <v>1783</v>
      </c>
      <c r="J180" s="12">
        <f t="shared" si="161"/>
        <v>1701</v>
      </c>
      <c r="K180" s="12">
        <f t="shared" si="161"/>
        <v>1430</v>
      </c>
      <c r="L180" s="309">
        <f t="shared" si="161"/>
        <v>1430</v>
      </c>
      <c r="M180" s="12">
        <f t="shared" si="161"/>
        <v>1319</v>
      </c>
      <c r="N180" s="12">
        <f t="shared" si="161"/>
        <v>1240</v>
      </c>
      <c r="O180" s="12">
        <f t="shared" si="161"/>
        <v>1176</v>
      </c>
      <c r="P180" s="12">
        <f t="shared" si="161"/>
        <v>1251</v>
      </c>
      <c r="Q180" s="309">
        <f t="shared" si="161"/>
        <v>1251</v>
      </c>
      <c r="R180" s="12">
        <f t="shared" si="161"/>
        <v>3032</v>
      </c>
      <c r="S180" s="12">
        <f t="shared" si="161"/>
        <v>2821</v>
      </c>
      <c r="T180" s="12">
        <f t="shared" si="161"/>
        <v>2809</v>
      </c>
      <c r="U180" s="12">
        <f t="shared" si="161"/>
        <v>3080</v>
      </c>
      <c r="V180" s="309">
        <f t="shared" si="161"/>
        <v>3080</v>
      </c>
      <c r="W180" s="12">
        <f t="shared" si="161"/>
        <v>3080</v>
      </c>
      <c r="X180" s="12">
        <f t="shared" si="161"/>
        <v>3109</v>
      </c>
      <c r="Y180" s="12">
        <f t="shared" si="161"/>
        <v>3158</v>
      </c>
      <c r="Z180" s="12">
        <f t="shared" si="161"/>
        <v>3198</v>
      </c>
      <c r="AA180" s="309">
        <f t="shared" si="161"/>
        <v>3198</v>
      </c>
      <c r="AB180" s="12">
        <f t="shared" si="161"/>
        <v>3206</v>
      </c>
      <c r="AC180" s="12">
        <f t="shared" ref="AC180:AJ180" si="162">AC53-AC156</f>
        <v>4192</v>
      </c>
      <c r="AD180" s="12">
        <f t="shared" si="162"/>
        <v>4115</v>
      </c>
      <c r="AE180" s="12">
        <f t="shared" si="162"/>
        <v>4386</v>
      </c>
      <c r="AF180" s="173">
        <f t="shared" si="162"/>
        <v>4386</v>
      </c>
      <c r="AG180" s="12">
        <f t="shared" si="162"/>
        <v>4005</v>
      </c>
      <c r="AH180" s="12">
        <f t="shared" si="162"/>
        <v>3952</v>
      </c>
      <c r="AI180" s="12">
        <f t="shared" si="162"/>
        <v>3540</v>
      </c>
      <c r="AJ180" s="12">
        <f t="shared" si="162"/>
        <v>3437</v>
      </c>
      <c r="AK180" s="175">
        <f>AJ180</f>
        <v>3437</v>
      </c>
      <c r="AL180" s="12">
        <f>AL53-AL156</f>
        <v>2909</v>
      </c>
      <c r="AM180" s="12">
        <f>AM53-AM156</f>
        <v>2627</v>
      </c>
      <c r="AN180" s="12">
        <f>AN53-AN156</f>
        <v>2473</v>
      </c>
      <c r="AO180" s="12">
        <f>AO53-AO156</f>
        <v>1927</v>
      </c>
      <c r="AP180" s="175">
        <f>AO180</f>
        <v>1927</v>
      </c>
      <c r="AQ180" s="12">
        <f>AQ53-AQ156</f>
        <v>1728</v>
      </c>
      <c r="AR180" s="12">
        <f>AR53-AR156</f>
        <v>1697</v>
      </c>
      <c r="AS180" s="12">
        <f>AS53-AS156</f>
        <v>1827</v>
      </c>
      <c r="AT180" s="12">
        <f>AT53-AT156</f>
        <v>1770</v>
      </c>
      <c r="AU180" s="175">
        <f>AT180</f>
        <v>1770</v>
      </c>
      <c r="AV180" s="12">
        <f>AV53-AV156</f>
        <v>1251</v>
      </c>
      <c r="AW180" s="12">
        <f>AW53-AW156</f>
        <v>1255</v>
      </c>
      <c r="AX180" s="12">
        <f>AX53-AX156</f>
        <v>1262</v>
      </c>
      <c r="AY180" s="12">
        <f>AY53-AY156</f>
        <v>1175</v>
      </c>
      <c r="AZ180" s="175">
        <f t="shared" ref="AZ180:CD180" si="163">AY180</f>
        <v>1175</v>
      </c>
      <c r="BA180" s="12">
        <f>BA53-BA156</f>
        <v>843</v>
      </c>
      <c r="BB180" s="12">
        <f>BB53-BB156</f>
        <v>865</v>
      </c>
      <c r="BC180" s="12">
        <f>BC53-BC156</f>
        <v>840</v>
      </c>
      <c r="BD180" s="12">
        <f>BD53-BD156</f>
        <v>853</v>
      </c>
      <c r="BE180" s="175">
        <f t="shared" si="163"/>
        <v>853</v>
      </c>
      <c r="BF180" s="12">
        <f>BF53-BF156</f>
        <v>676</v>
      </c>
      <c r="BG180" s="12">
        <f>BG53-BG156</f>
        <v>602</v>
      </c>
      <c r="BH180" s="12">
        <f>BH53-BH156</f>
        <v>732</v>
      </c>
      <c r="BI180" s="12">
        <f>BI53-BI156</f>
        <v>424</v>
      </c>
      <c r="BJ180" s="175">
        <f t="shared" si="163"/>
        <v>424</v>
      </c>
      <c r="BK180" s="12">
        <f>BK53-BK156</f>
        <v>404</v>
      </c>
      <c r="BL180" s="12">
        <f>BL53-BL156</f>
        <v>405</v>
      </c>
      <c r="BM180" s="12">
        <f>BM53-BM156</f>
        <v>1608</v>
      </c>
      <c r="BN180" s="12">
        <f>BN53-BN156</f>
        <v>1636</v>
      </c>
      <c r="BO180" s="175">
        <f t="shared" si="163"/>
        <v>1636</v>
      </c>
      <c r="BP180" s="12">
        <f t="shared" si="163"/>
        <v>1636</v>
      </c>
      <c r="BQ180" s="12">
        <f t="shared" si="163"/>
        <v>1636</v>
      </c>
      <c r="BR180" s="176">
        <f t="shared" si="163"/>
        <v>1636</v>
      </c>
      <c r="BS180" s="176">
        <f t="shared" si="163"/>
        <v>1636</v>
      </c>
      <c r="BT180" s="175">
        <f t="shared" si="163"/>
        <v>1636</v>
      </c>
      <c r="BU180" s="12">
        <f t="shared" si="163"/>
        <v>1636</v>
      </c>
      <c r="BV180" s="12">
        <f t="shared" si="163"/>
        <v>1636</v>
      </c>
      <c r="BW180" s="176">
        <f t="shared" si="163"/>
        <v>1636</v>
      </c>
      <c r="BX180" s="176">
        <f t="shared" si="163"/>
        <v>1636</v>
      </c>
      <c r="BY180" s="175">
        <f t="shared" si="163"/>
        <v>1636</v>
      </c>
      <c r="BZ180" s="12">
        <f t="shared" si="163"/>
        <v>1636</v>
      </c>
      <c r="CA180" s="12">
        <f t="shared" si="163"/>
        <v>1636</v>
      </c>
      <c r="CB180" s="176">
        <f t="shared" si="163"/>
        <v>1636</v>
      </c>
      <c r="CC180" s="176">
        <f t="shared" si="163"/>
        <v>1636</v>
      </c>
      <c r="CD180" s="175">
        <f t="shared" si="163"/>
        <v>1636</v>
      </c>
      <c r="CE180" s="5"/>
      <c r="CF180" s="312" t="s">
        <v>2884</v>
      </c>
      <c r="CG180" s="5"/>
      <c r="CH180" s="202" t="s">
        <v>1971</v>
      </c>
      <c r="CI180" s="175">
        <f>HLOOKUP(CH180,'Key assumptions'!$A$9:$CD$20,4,FALSE)</f>
        <v>88.45</v>
      </c>
      <c r="CJ180" s="175">
        <f t="shared" si="148"/>
        <v>38020</v>
      </c>
      <c r="CK180" s="175">
        <f t="shared" si="149"/>
        <v>43152</v>
      </c>
      <c r="CL180" s="175">
        <f t="shared" si="150"/>
        <v>26554</v>
      </c>
    </row>
    <row r="181" spans="1:90">
      <c r="A181" s="4" t="s">
        <v>1295</v>
      </c>
      <c r="B181" s="4"/>
      <c r="C181" s="309">
        <f t="shared" ref="C181:AB181" si="164">C58</f>
        <v>10419</v>
      </c>
      <c r="D181" s="309">
        <f t="shared" si="164"/>
        <v>7120</v>
      </c>
      <c r="E181" s="309">
        <f t="shared" si="164"/>
        <v>7864</v>
      </c>
      <c r="F181" s="309">
        <f t="shared" si="164"/>
        <v>8884</v>
      </c>
      <c r="G181" s="309">
        <f t="shared" si="164"/>
        <v>9954</v>
      </c>
      <c r="H181" s="12">
        <f t="shared" si="164"/>
        <v>9527</v>
      </c>
      <c r="I181" s="12">
        <f t="shared" si="164"/>
        <v>10395</v>
      </c>
      <c r="J181" s="12">
        <f t="shared" si="164"/>
        <v>10934</v>
      </c>
      <c r="K181" s="12">
        <f t="shared" si="164"/>
        <v>11712</v>
      </c>
      <c r="L181" s="309">
        <f t="shared" si="164"/>
        <v>11712</v>
      </c>
      <c r="M181" s="12">
        <f t="shared" si="164"/>
        <v>11655</v>
      </c>
      <c r="N181" s="12">
        <f t="shared" si="164"/>
        <v>13070</v>
      </c>
      <c r="O181" s="12">
        <f t="shared" si="164"/>
        <v>13211</v>
      </c>
      <c r="P181" s="12">
        <f t="shared" si="164"/>
        <v>12900</v>
      </c>
      <c r="Q181" s="309">
        <f t="shared" si="164"/>
        <v>12900</v>
      </c>
      <c r="R181" s="12">
        <f t="shared" si="164"/>
        <v>13055</v>
      </c>
      <c r="S181" s="12">
        <f t="shared" si="164"/>
        <v>13447</v>
      </c>
      <c r="T181" s="12">
        <f t="shared" si="164"/>
        <v>12744</v>
      </c>
      <c r="U181" s="12">
        <f t="shared" si="164"/>
        <v>12108</v>
      </c>
      <c r="V181" s="309">
        <f t="shared" si="164"/>
        <v>12108</v>
      </c>
      <c r="W181" s="12">
        <f t="shared" si="164"/>
        <v>12417</v>
      </c>
      <c r="X181" s="12">
        <f t="shared" si="164"/>
        <v>12999</v>
      </c>
      <c r="Y181" s="12">
        <f t="shared" si="164"/>
        <v>12976</v>
      </c>
      <c r="Z181" s="12">
        <f t="shared" si="164"/>
        <v>12970</v>
      </c>
      <c r="AA181" s="309">
        <f t="shared" si="164"/>
        <v>12970</v>
      </c>
      <c r="AB181" s="12">
        <f t="shared" si="164"/>
        <v>12752</v>
      </c>
      <c r="AC181" s="12">
        <f t="shared" ref="AC181:AJ181" si="165">AC58-AC157</f>
        <v>12751</v>
      </c>
      <c r="AD181" s="12">
        <f t="shared" si="165"/>
        <v>12541</v>
      </c>
      <c r="AE181" s="12">
        <f t="shared" si="165"/>
        <v>14021</v>
      </c>
      <c r="AF181" s="173">
        <f t="shared" si="165"/>
        <v>14021</v>
      </c>
      <c r="AG181" s="12">
        <f t="shared" si="165"/>
        <v>14156</v>
      </c>
      <c r="AH181" s="12">
        <f t="shared" si="165"/>
        <v>16323</v>
      </c>
      <c r="AI181" s="12">
        <f t="shared" si="165"/>
        <v>16189</v>
      </c>
      <c r="AJ181" s="12">
        <f t="shared" si="165"/>
        <v>20508</v>
      </c>
      <c r="AK181" s="175">
        <f>AJ181</f>
        <v>20508</v>
      </c>
      <c r="AL181" s="12">
        <f>AL58-AL157</f>
        <v>19952</v>
      </c>
      <c r="AM181" s="12">
        <f>AM58-AM157</f>
        <v>20479</v>
      </c>
      <c r="AN181" s="12">
        <f>AN58-AN157</f>
        <v>20595</v>
      </c>
      <c r="AO181" s="12">
        <f>AO58-AO157</f>
        <v>20583</v>
      </c>
      <c r="AP181" s="175">
        <f>AO181</f>
        <v>20583</v>
      </c>
      <c r="AQ181" s="12">
        <f>AQ58-AQ157</f>
        <v>20360</v>
      </c>
      <c r="AR181" s="12">
        <f>AR58-AR157</f>
        <v>21341</v>
      </c>
      <c r="AS181" s="12">
        <f>AS58-AS157</f>
        <v>21855</v>
      </c>
      <c r="AT181" s="12">
        <f>AT58-AT157</f>
        <v>20520</v>
      </c>
      <c r="AU181" s="175">
        <f>AT181</f>
        <v>20520</v>
      </c>
      <c r="AV181" s="12">
        <f>AV58-AV157</f>
        <v>20077</v>
      </c>
      <c r="AW181" s="12">
        <f>AW58-AW157</f>
        <v>21381</v>
      </c>
      <c r="AX181" s="12">
        <f>AX58-AX157</f>
        <v>20921</v>
      </c>
      <c r="AY181" s="12">
        <f>AY58-AY157</f>
        <v>22008</v>
      </c>
      <c r="AZ181" s="175">
        <f t="shared" ref="AZ181:CD181" si="166">AY181</f>
        <v>22008</v>
      </c>
      <c r="BA181" s="12">
        <f>BA58-BA157</f>
        <v>21943</v>
      </c>
      <c r="BB181" s="12">
        <f>BB58-BB157</f>
        <v>22425</v>
      </c>
      <c r="BC181" s="12">
        <f>BC58-BC157</f>
        <v>22087</v>
      </c>
      <c r="BD181" s="12">
        <f>BD58-BD157</f>
        <v>22343</v>
      </c>
      <c r="BE181" s="175">
        <f t="shared" si="166"/>
        <v>22343</v>
      </c>
      <c r="BF181" s="12">
        <f>BF58-BF157</f>
        <v>22196</v>
      </c>
      <c r="BG181" s="12">
        <f>BG58-BG157</f>
        <v>20630</v>
      </c>
      <c r="BH181" s="12">
        <f>BH58-BH157</f>
        <v>21255</v>
      </c>
      <c r="BI181" s="12">
        <f>BI58-BI157</f>
        <v>20300</v>
      </c>
      <c r="BJ181" s="175">
        <f t="shared" si="166"/>
        <v>20300</v>
      </c>
      <c r="BK181" s="12">
        <f>BK58-BK157</f>
        <v>20218</v>
      </c>
      <c r="BL181" s="12">
        <f>BL58-BL157</f>
        <v>20501</v>
      </c>
      <c r="BM181" s="12">
        <f>BM58-BM157</f>
        <v>20078</v>
      </c>
      <c r="BN181" s="12">
        <f>BN58-BN157</f>
        <v>19479</v>
      </c>
      <c r="BO181" s="175">
        <f t="shared" si="166"/>
        <v>19479</v>
      </c>
      <c r="BP181" s="12">
        <f t="shared" si="166"/>
        <v>19479</v>
      </c>
      <c r="BQ181" s="12">
        <f t="shared" si="166"/>
        <v>19479</v>
      </c>
      <c r="BR181" s="176">
        <f t="shared" si="166"/>
        <v>19479</v>
      </c>
      <c r="BS181" s="176">
        <f t="shared" si="166"/>
        <v>19479</v>
      </c>
      <c r="BT181" s="175">
        <f t="shared" si="166"/>
        <v>19479</v>
      </c>
      <c r="BU181" s="12">
        <f t="shared" si="166"/>
        <v>19479</v>
      </c>
      <c r="BV181" s="12">
        <f t="shared" si="166"/>
        <v>19479</v>
      </c>
      <c r="BW181" s="176">
        <f t="shared" si="166"/>
        <v>19479</v>
      </c>
      <c r="BX181" s="176">
        <f t="shared" si="166"/>
        <v>19479</v>
      </c>
      <c r="BY181" s="175">
        <f t="shared" si="166"/>
        <v>19479</v>
      </c>
      <c r="BZ181" s="12">
        <f t="shared" si="166"/>
        <v>19479</v>
      </c>
      <c r="CA181" s="12">
        <f t="shared" si="166"/>
        <v>19479</v>
      </c>
      <c r="CB181" s="176">
        <f t="shared" si="166"/>
        <v>19479</v>
      </c>
      <c r="CC181" s="176">
        <f t="shared" si="166"/>
        <v>19479</v>
      </c>
      <c r="CD181" s="175">
        <f t="shared" si="166"/>
        <v>19479</v>
      </c>
      <c r="CE181" s="5"/>
      <c r="CF181" s="312" t="s">
        <v>2884</v>
      </c>
      <c r="CG181" s="5"/>
      <c r="CH181" s="202" t="s">
        <v>1972</v>
      </c>
      <c r="CI181" s="175">
        <f>HLOOKUP(CH181,'Key assumptions'!$A$9:$CD$20,4,FALSE)</f>
        <v>96.71</v>
      </c>
      <c r="CJ181" s="175">
        <f t="shared" si="148"/>
        <v>43698</v>
      </c>
      <c r="CK181" s="175">
        <f t="shared" si="149"/>
        <v>47546</v>
      </c>
      <c r="CL181" s="175">
        <f t="shared" si="150"/>
        <v>25999</v>
      </c>
    </row>
    <row r="182" spans="1:90">
      <c r="A182" s="4" t="s">
        <v>1300</v>
      </c>
      <c r="B182" s="4"/>
      <c r="C182" s="309">
        <f t="shared" ref="C182:AB182" si="167">C57</f>
        <v>11702</v>
      </c>
      <c r="D182" s="309">
        <f t="shared" si="167"/>
        <v>13514</v>
      </c>
      <c r="E182" s="309">
        <f t="shared" si="167"/>
        <v>16051</v>
      </c>
      <c r="F182" s="309">
        <f t="shared" si="167"/>
        <v>16701</v>
      </c>
      <c r="G182" s="309">
        <f t="shared" si="167"/>
        <v>16443</v>
      </c>
      <c r="H182" s="12">
        <f t="shared" si="167"/>
        <v>17066</v>
      </c>
      <c r="I182" s="12">
        <f t="shared" si="167"/>
        <v>16703</v>
      </c>
      <c r="J182" s="12">
        <f t="shared" si="167"/>
        <v>17343</v>
      </c>
      <c r="K182" s="12">
        <f t="shared" si="167"/>
        <v>18116</v>
      </c>
      <c r="L182" s="309">
        <f t="shared" si="167"/>
        <v>18116</v>
      </c>
      <c r="M182" s="12">
        <f t="shared" si="167"/>
        <v>18593</v>
      </c>
      <c r="N182" s="12">
        <f t="shared" si="167"/>
        <v>18582</v>
      </c>
      <c r="O182" s="12">
        <f t="shared" si="167"/>
        <v>19072</v>
      </c>
      <c r="P182" s="12">
        <f t="shared" si="167"/>
        <v>19215</v>
      </c>
      <c r="Q182" s="309">
        <f t="shared" si="167"/>
        <v>19215</v>
      </c>
      <c r="R182" s="12">
        <f t="shared" si="167"/>
        <v>19947</v>
      </c>
      <c r="S182" s="12">
        <f t="shared" si="167"/>
        <v>20653</v>
      </c>
      <c r="T182" s="12">
        <f t="shared" si="167"/>
        <v>21573</v>
      </c>
      <c r="U182" s="12">
        <f t="shared" si="167"/>
        <v>16198</v>
      </c>
      <c r="V182" s="309">
        <f t="shared" si="167"/>
        <v>16198</v>
      </c>
      <c r="W182" s="12">
        <f t="shared" si="167"/>
        <v>16177</v>
      </c>
      <c r="X182" s="12">
        <f t="shared" si="167"/>
        <v>16800</v>
      </c>
      <c r="Y182" s="12">
        <f t="shared" si="167"/>
        <v>17796</v>
      </c>
      <c r="Z182" s="12">
        <f t="shared" si="167"/>
        <v>18662</v>
      </c>
      <c r="AA182" s="309">
        <f t="shared" si="167"/>
        <v>18662</v>
      </c>
      <c r="AB182" s="12">
        <f t="shared" si="167"/>
        <v>20156</v>
      </c>
      <c r="AC182" s="12">
        <f t="shared" ref="AC182:AJ182" si="168">AC57-AC158</f>
        <v>20489</v>
      </c>
      <c r="AD182" s="12">
        <f t="shared" si="168"/>
        <v>21327</v>
      </c>
      <c r="AE182" s="12">
        <f t="shared" si="168"/>
        <v>22163</v>
      </c>
      <c r="AF182" s="173">
        <f t="shared" si="168"/>
        <v>22163</v>
      </c>
      <c r="AG182" s="12">
        <f t="shared" si="168"/>
        <v>23637</v>
      </c>
      <c r="AH182" s="12">
        <f t="shared" si="168"/>
        <v>24248</v>
      </c>
      <c r="AI182" s="12">
        <f t="shared" si="168"/>
        <v>24303</v>
      </c>
      <c r="AJ182" s="12">
        <f t="shared" si="168"/>
        <v>22853</v>
      </c>
      <c r="AK182" s="175">
        <f>AJ182</f>
        <v>22853</v>
      </c>
      <c r="AL182" s="12">
        <f>AL57-AL158</f>
        <v>23380</v>
      </c>
      <c r="AM182" s="12">
        <f>AM57-AM158</f>
        <v>21607</v>
      </c>
      <c r="AN182" s="12">
        <f>AN57-AN158</f>
        <v>20455</v>
      </c>
      <c r="AO182" s="12">
        <f>AO57-AO158</f>
        <v>19066</v>
      </c>
      <c r="AP182" s="175">
        <f>AO182</f>
        <v>19066</v>
      </c>
      <c r="AQ182" s="12">
        <f>AQ57-AQ158</f>
        <v>19826</v>
      </c>
      <c r="AR182" s="12">
        <f>AR57-AR158</f>
        <v>20570</v>
      </c>
      <c r="AS182" s="12">
        <f>AS57-AS158</f>
        <v>20396</v>
      </c>
      <c r="AT182" s="12">
        <f>AT57-AT158</f>
        <v>20187</v>
      </c>
      <c r="AU182" s="175">
        <f>AT182</f>
        <v>20187</v>
      </c>
      <c r="AV182" s="12">
        <f>AV57-AV158</f>
        <v>20545</v>
      </c>
      <c r="AW182" s="12">
        <f>AW57-AW158</f>
        <v>20613</v>
      </c>
      <c r="AX182" s="12">
        <f>AX57-AX158</f>
        <v>20361</v>
      </c>
      <c r="AY182" s="12">
        <f>AY57-AY158</f>
        <v>15616</v>
      </c>
      <c r="AZ182" s="175">
        <f>AY182</f>
        <v>15616</v>
      </c>
      <c r="BA182" s="12">
        <f>BA57-BA158</f>
        <v>14738</v>
      </c>
      <c r="BB182" s="12">
        <f>BB57-BB158</f>
        <v>15411</v>
      </c>
      <c r="BC182" s="12">
        <f>BC57-BC158</f>
        <v>15179</v>
      </c>
      <c r="BD182" s="12">
        <f>BD57-BD158</f>
        <v>14799</v>
      </c>
      <c r="BE182" s="175">
        <f>BD182</f>
        <v>14799</v>
      </c>
      <c r="BF182" s="12">
        <f>BF57-BF158</f>
        <v>14136</v>
      </c>
      <c r="BG182" s="12">
        <f>BG57-BG158</f>
        <v>15568</v>
      </c>
      <c r="BH182" s="12">
        <f>BH57-BH158</f>
        <v>14750</v>
      </c>
      <c r="BI182" s="12">
        <f>BI57-BI158</f>
        <v>15330</v>
      </c>
      <c r="BJ182" s="175">
        <f>BI182</f>
        <v>15330</v>
      </c>
      <c r="BK182" s="12">
        <f>BK57-BK158</f>
        <v>15436</v>
      </c>
      <c r="BL182" s="12">
        <f>BL57-BL158</f>
        <v>15730</v>
      </c>
      <c r="BM182" s="12">
        <f>BM57-BM158</f>
        <v>15984</v>
      </c>
      <c r="BN182" s="12">
        <f>BN57-BN158</f>
        <v>13683</v>
      </c>
      <c r="BO182" s="175">
        <f>BN182</f>
        <v>13683</v>
      </c>
      <c r="BP182" s="12">
        <f ca="1">BO182+Other!BP63-Other!BP64</f>
        <v>13683</v>
      </c>
      <c r="BQ182" s="12">
        <f ca="1">BP182+Other!BQ63-Other!BQ64</f>
        <v>13683</v>
      </c>
      <c r="BR182" s="176">
        <f ca="1">BQ182+Other!BR63-Other!BR64</f>
        <v>13683</v>
      </c>
      <c r="BS182" s="176">
        <f ca="1">BR182+Other!BS63-Other!BS64</f>
        <v>13683</v>
      </c>
      <c r="BT182" s="175">
        <f ca="1">BS182</f>
        <v>13683</v>
      </c>
      <c r="BU182" s="12">
        <f ca="1">BT182+Other!BU63-Other!BU64</f>
        <v>13683</v>
      </c>
      <c r="BV182" s="12">
        <f ca="1">BU182+Other!BV63-Other!BV64</f>
        <v>13683</v>
      </c>
      <c r="BW182" s="176">
        <f ca="1">BV182+Other!BW63-Other!BW64</f>
        <v>13683</v>
      </c>
      <c r="BX182" s="176">
        <f ca="1">BW182+Other!BX63-Other!BX64</f>
        <v>13683</v>
      </c>
      <c r="BY182" s="175">
        <f ca="1">BX182</f>
        <v>13683</v>
      </c>
      <c r="BZ182" s="12">
        <f ca="1">BY182+Other!BZ63-Other!BZ64</f>
        <v>13683</v>
      </c>
      <c r="CA182" s="12">
        <f ca="1">BZ182+Other!CA63-Other!CA64</f>
        <v>13683</v>
      </c>
      <c r="CB182" s="176">
        <f ca="1">CA182+Other!CB63-Other!CB64</f>
        <v>13683</v>
      </c>
      <c r="CC182" s="176">
        <f ca="1">CB182+Other!CC63-Other!CC64</f>
        <v>13683</v>
      </c>
      <c r="CD182" s="175">
        <f ca="1">CC182</f>
        <v>13683</v>
      </c>
      <c r="CE182" s="5"/>
      <c r="CF182" s="312" t="s">
        <v>2884</v>
      </c>
      <c r="CG182" s="5"/>
      <c r="CH182" s="202" t="s">
        <v>1973</v>
      </c>
      <c r="CI182" s="175">
        <f>HLOOKUP(CH182,'Key assumptions'!$A$9:$CD$20,4,FALSE)</f>
        <v>121.18</v>
      </c>
      <c r="CJ182" s="175">
        <f t="shared" si="148"/>
        <v>48482</v>
      </c>
      <c r="CK182" s="175">
        <f t="shared" si="149"/>
        <v>54029</v>
      </c>
      <c r="CL182" s="175">
        <f t="shared" si="150"/>
        <v>34411</v>
      </c>
    </row>
    <row r="183" spans="1:90">
      <c r="A183" s="14" t="s">
        <v>1301</v>
      </c>
      <c r="B183" s="14"/>
      <c r="C183" s="310">
        <f t="shared" ref="C183:AI183" si="169">SUM(C180:C182)-C177</f>
        <v>25175</v>
      </c>
      <c r="D183" s="310">
        <f t="shared" si="169"/>
        <v>24046</v>
      </c>
      <c r="E183" s="310">
        <f t="shared" si="169"/>
        <v>28050</v>
      </c>
      <c r="F183" s="310">
        <f t="shared" si="169"/>
        <v>28737</v>
      </c>
      <c r="G183" s="310">
        <f t="shared" si="169"/>
        <v>27562</v>
      </c>
      <c r="H183" s="16">
        <f t="shared" si="169"/>
        <v>27530</v>
      </c>
      <c r="I183" s="16">
        <f t="shared" si="169"/>
        <v>28039</v>
      </c>
      <c r="J183" s="16">
        <f t="shared" si="169"/>
        <v>29191</v>
      </c>
      <c r="K183" s="16">
        <f t="shared" si="169"/>
        <v>30396</v>
      </c>
      <c r="L183" s="310">
        <f t="shared" si="169"/>
        <v>30396</v>
      </c>
      <c r="M183" s="16">
        <f t="shared" si="169"/>
        <v>30636</v>
      </c>
      <c r="N183" s="16">
        <f t="shared" si="169"/>
        <v>31966</v>
      </c>
      <c r="O183" s="16">
        <f t="shared" si="169"/>
        <v>32480</v>
      </c>
      <c r="P183" s="16">
        <f t="shared" si="169"/>
        <v>32398</v>
      </c>
      <c r="Q183" s="310">
        <f t="shared" si="169"/>
        <v>32398</v>
      </c>
      <c r="R183" s="16">
        <f t="shared" si="169"/>
        <v>35051</v>
      </c>
      <c r="S183" s="16">
        <f t="shared" si="169"/>
        <v>35963</v>
      </c>
      <c r="T183" s="16">
        <f t="shared" si="169"/>
        <v>36230</v>
      </c>
      <c r="U183" s="16">
        <f t="shared" si="169"/>
        <v>30676</v>
      </c>
      <c r="V183" s="310">
        <f t="shared" si="169"/>
        <v>30676</v>
      </c>
      <c r="W183" s="16">
        <f t="shared" si="169"/>
        <v>30928</v>
      </c>
      <c r="X183" s="16">
        <f t="shared" si="169"/>
        <v>31918</v>
      </c>
      <c r="Y183" s="16">
        <f t="shared" si="169"/>
        <v>32987</v>
      </c>
      <c r="Z183" s="16">
        <f t="shared" si="169"/>
        <v>33101</v>
      </c>
      <c r="AA183" s="310">
        <f t="shared" si="169"/>
        <v>33101</v>
      </c>
      <c r="AB183" s="16">
        <f t="shared" si="169"/>
        <v>33898</v>
      </c>
      <c r="AC183" s="16">
        <f t="shared" si="169"/>
        <v>35220</v>
      </c>
      <c r="AD183" s="16">
        <f t="shared" si="169"/>
        <v>35444</v>
      </c>
      <c r="AE183" s="16">
        <f t="shared" si="169"/>
        <v>37873</v>
      </c>
      <c r="AF183" s="310">
        <f>SUM(AF180:AF182)-AF177</f>
        <v>37873</v>
      </c>
      <c r="AG183" s="16">
        <f t="shared" si="169"/>
        <v>39306</v>
      </c>
      <c r="AH183" s="16">
        <f t="shared" si="169"/>
        <v>41386</v>
      </c>
      <c r="AI183" s="16">
        <f t="shared" si="169"/>
        <v>41051</v>
      </c>
      <c r="AJ183" s="16">
        <f t="shared" ref="AJ183:AZ183" si="170">SUM(AJ180:AJ182)-AJ177</f>
        <v>44103</v>
      </c>
      <c r="AK183" s="310">
        <f t="shared" si="170"/>
        <v>44103</v>
      </c>
      <c r="AL183" s="16">
        <f t="shared" si="170"/>
        <v>43535</v>
      </c>
      <c r="AM183" s="16">
        <f t="shared" si="170"/>
        <v>42163</v>
      </c>
      <c r="AN183" s="16">
        <f t="shared" si="170"/>
        <v>41064</v>
      </c>
      <c r="AO183" s="16">
        <f t="shared" si="170"/>
        <v>39086</v>
      </c>
      <c r="AP183" s="310">
        <f t="shared" si="170"/>
        <v>39086</v>
      </c>
      <c r="AQ183" s="16">
        <f t="shared" si="170"/>
        <v>38266</v>
      </c>
      <c r="AR183" s="16">
        <f t="shared" si="170"/>
        <v>40137</v>
      </c>
      <c r="AS183" s="16">
        <f t="shared" si="170"/>
        <v>40436</v>
      </c>
      <c r="AT183" s="16">
        <f t="shared" si="170"/>
        <v>38934</v>
      </c>
      <c r="AU183" s="310">
        <f t="shared" si="170"/>
        <v>38934</v>
      </c>
      <c r="AV183" s="16">
        <f t="shared" si="170"/>
        <v>38719</v>
      </c>
      <c r="AW183" s="16">
        <f>SUM(AW180:AW182)-AW177</f>
        <v>40036</v>
      </c>
      <c r="AX183" s="16">
        <f>SUM(AX180:AX182)-AX177</f>
        <v>39419</v>
      </c>
      <c r="AY183" s="16">
        <f>SUM(AY180:AY182)-AY177</f>
        <v>36713</v>
      </c>
      <c r="AZ183" s="310">
        <f t="shared" si="170"/>
        <v>36713</v>
      </c>
      <c r="BA183" s="16">
        <f t="shared" ref="BA183:BF183" si="171">SUM(BA180:BA182)-BA177</f>
        <v>35494</v>
      </c>
      <c r="BB183" s="16">
        <f t="shared" si="171"/>
        <v>36594</v>
      </c>
      <c r="BC183" s="16">
        <f t="shared" si="171"/>
        <v>36047</v>
      </c>
      <c r="BD183" s="16">
        <f t="shared" si="171"/>
        <v>35779</v>
      </c>
      <c r="BE183" s="310">
        <f t="shared" si="171"/>
        <v>35779</v>
      </c>
      <c r="BF183" s="16">
        <f t="shared" si="171"/>
        <v>34767</v>
      </c>
      <c r="BG183" s="16">
        <f t="shared" ref="BG183:BH183" si="172">SUM(BG180:BG182)-BG177</f>
        <v>34607</v>
      </c>
      <c r="BH183" s="16">
        <f t="shared" si="172"/>
        <v>34591</v>
      </c>
      <c r="BI183" s="16">
        <f t="shared" ref="BI183:BK183" si="173">SUM(BI180:BI182)-BI177</f>
        <v>34580</v>
      </c>
      <c r="BJ183" s="310">
        <f t="shared" ref="BJ183:CD183" si="174">SUM(BJ180:BJ182)-BJ177</f>
        <v>34580</v>
      </c>
      <c r="BK183" s="16">
        <f t="shared" si="173"/>
        <v>34610</v>
      </c>
      <c r="BL183" s="16">
        <f t="shared" ref="BL183:BM183" si="175">SUM(BL180:BL182)-BL177</f>
        <v>35211</v>
      </c>
      <c r="BM183" s="16">
        <f t="shared" si="175"/>
        <v>36209</v>
      </c>
      <c r="BN183" s="16">
        <f t="shared" ref="BN183" ca="1" si="176">SUM(BN180:BN182)-BN177</f>
        <v>33364</v>
      </c>
      <c r="BO183" s="310">
        <f t="shared" ca="1" si="174"/>
        <v>33364</v>
      </c>
      <c r="BP183" s="16">
        <f t="shared" ca="1" si="174"/>
        <v>33364</v>
      </c>
      <c r="BQ183" s="16">
        <f t="shared" ca="1" si="174"/>
        <v>33364</v>
      </c>
      <c r="BR183" s="16">
        <f t="shared" ca="1" si="174"/>
        <v>33364</v>
      </c>
      <c r="BS183" s="16">
        <f t="shared" ca="1" si="174"/>
        <v>33364</v>
      </c>
      <c r="BT183" s="310">
        <f t="shared" ca="1" si="174"/>
        <v>33364</v>
      </c>
      <c r="BU183" s="16">
        <f t="shared" ca="1" si="174"/>
        <v>33364</v>
      </c>
      <c r="BV183" s="16">
        <f t="shared" ca="1" si="174"/>
        <v>33364</v>
      </c>
      <c r="BW183" s="16">
        <f t="shared" ca="1" si="174"/>
        <v>33364</v>
      </c>
      <c r="BX183" s="16">
        <f t="shared" ca="1" si="174"/>
        <v>33364</v>
      </c>
      <c r="BY183" s="310">
        <f t="shared" ca="1" si="174"/>
        <v>33364</v>
      </c>
      <c r="BZ183" s="16">
        <f t="shared" ca="1" si="174"/>
        <v>33364</v>
      </c>
      <c r="CA183" s="16">
        <f t="shared" ca="1" si="174"/>
        <v>33364</v>
      </c>
      <c r="CB183" s="16">
        <f t="shared" ca="1" si="174"/>
        <v>33364</v>
      </c>
      <c r="CC183" s="16">
        <f t="shared" ca="1" si="174"/>
        <v>33364</v>
      </c>
      <c r="CD183" s="310">
        <f t="shared" ca="1" si="174"/>
        <v>33364</v>
      </c>
      <c r="CE183" s="5"/>
      <c r="CF183" s="312"/>
      <c r="CG183" s="5"/>
      <c r="CH183" s="202" t="s">
        <v>1974</v>
      </c>
      <c r="CI183" s="175">
        <f>HLOOKUP(CH183,'Key assumptions'!$A$9:$CD$20,4,FALSE)</f>
        <v>115.09</v>
      </c>
      <c r="CJ183" s="175">
        <f t="shared" si="148"/>
        <v>39201</v>
      </c>
      <c r="CK183" s="175">
        <f t="shared" si="149"/>
        <v>43948</v>
      </c>
      <c r="CL183" s="175">
        <f t="shared" si="150"/>
        <v>27277</v>
      </c>
    </row>
    <row r="184" spans="1:90">
      <c r="A184" s="4"/>
      <c r="B184" s="4"/>
      <c r="C184" s="309"/>
      <c r="D184" s="309"/>
      <c r="E184" s="309"/>
      <c r="F184" s="309"/>
      <c r="G184" s="309"/>
      <c r="H184" s="12"/>
      <c r="I184" s="12"/>
      <c r="J184" s="12"/>
      <c r="K184" s="12"/>
      <c r="L184" s="309"/>
      <c r="M184" s="12"/>
      <c r="N184" s="12"/>
      <c r="O184" s="12"/>
      <c r="P184" s="12"/>
      <c r="Q184" s="309"/>
      <c r="R184" s="12"/>
      <c r="S184" s="12"/>
      <c r="T184" s="12"/>
      <c r="U184" s="12"/>
      <c r="V184" s="309"/>
      <c r="W184" s="12"/>
      <c r="X184" s="12"/>
      <c r="Y184" s="12"/>
      <c r="Z184" s="12"/>
      <c r="AA184" s="309"/>
      <c r="AB184" s="12"/>
      <c r="AC184" s="12"/>
      <c r="AD184" s="12"/>
      <c r="AE184" s="12"/>
      <c r="AF184" s="309"/>
      <c r="AG184" s="12"/>
      <c r="AH184" s="12"/>
      <c r="AI184" s="12"/>
      <c r="AJ184" s="12"/>
      <c r="AK184" s="309"/>
      <c r="AL184" s="12"/>
      <c r="AM184" s="12"/>
      <c r="AN184" s="12"/>
      <c r="AO184" s="12"/>
      <c r="AP184" s="309"/>
      <c r="AQ184" s="12"/>
      <c r="AR184" s="12"/>
      <c r="AS184" s="12"/>
      <c r="AT184" s="12"/>
      <c r="AU184" s="309"/>
      <c r="AV184" s="12"/>
      <c r="AW184" s="12"/>
      <c r="AX184" s="12"/>
      <c r="AY184" s="12"/>
      <c r="AZ184" s="309"/>
      <c r="BA184" s="12"/>
      <c r="BB184" s="12"/>
      <c r="BC184" s="12"/>
      <c r="BD184" s="12"/>
      <c r="BE184" s="309"/>
      <c r="BF184" s="12"/>
      <c r="BG184" s="12"/>
      <c r="BH184" s="12"/>
      <c r="BI184" s="12"/>
      <c r="BJ184" s="309"/>
      <c r="BK184" s="12"/>
      <c r="BL184" s="12"/>
      <c r="BM184" s="12"/>
      <c r="BN184" s="12"/>
      <c r="BO184" s="309"/>
      <c r="BP184" s="12"/>
      <c r="BQ184" s="12"/>
      <c r="BR184" s="12"/>
      <c r="BS184" s="12"/>
      <c r="BT184" s="309"/>
      <c r="BU184" s="12"/>
      <c r="BV184" s="12"/>
      <c r="BW184" s="12"/>
      <c r="BX184" s="12"/>
      <c r="BY184" s="309"/>
      <c r="BZ184" s="12"/>
      <c r="CA184" s="12"/>
      <c r="CB184" s="12"/>
      <c r="CC184" s="12"/>
      <c r="CD184" s="309"/>
      <c r="CE184" s="5"/>
      <c r="CF184" s="312"/>
      <c r="CG184" s="5"/>
      <c r="CH184" s="202" t="s">
        <v>1975</v>
      </c>
      <c r="CI184" s="175">
        <f>HLOOKUP(CH184,'Key assumptions'!$A$9:$CD$20,4,FALSE)</f>
        <v>55.48</v>
      </c>
      <c r="CJ184" s="175">
        <f t="shared" si="148"/>
        <v>29261</v>
      </c>
      <c r="CK184" s="175">
        <f t="shared" si="149"/>
        <v>33644</v>
      </c>
      <c r="CL184" s="175">
        <f t="shared" si="150"/>
        <v>16821</v>
      </c>
    </row>
    <row r="185" spans="1:90" ht="13.5" thickBot="1">
      <c r="A185" s="241" t="s">
        <v>1302</v>
      </c>
      <c r="B185" s="241"/>
      <c r="C185" s="311">
        <f t="shared" ref="C185:AJ185" si="177">SUM(C168,C177)-SUM(C171:C172,C180:C182)</f>
        <v>-29437</v>
      </c>
      <c r="D185" s="311">
        <f t="shared" si="177"/>
        <v>-30746</v>
      </c>
      <c r="E185" s="311">
        <f t="shared" si="177"/>
        <v>-30644</v>
      </c>
      <c r="F185" s="311">
        <f t="shared" si="177"/>
        <v>-30893</v>
      </c>
      <c r="G185" s="311">
        <f t="shared" si="177"/>
        <v>-29898</v>
      </c>
      <c r="H185" s="18">
        <f t="shared" si="177"/>
        <v>-31582</v>
      </c>
      <c r="I185" s="18">
        <f t="shared" si="177"/>
        <v>-34005</v>
      </c>
      <c r="J185" s="18">
        <f t="shared" si="177"/>
        <v>-32428</v>
      </c>
      <c r="K185" s="18">
        <f t="shared" si="177"/>
        <v>-35872</v>
      </c>
      <c r="L185" s="311">
        <f t="shared" si="177"/>
        <v>-35872</v>
      </c>
      <c r="M185" s="18">
        <f t="shared" si="177"/>
        <v>-37432</v>
      </c>
      <c r="N185" s="18">
        <f t="shared" si="177"/>
        <v>-36443</v>
      </c>
      <c r="O185" s="18">
        <f t="shared" si="177"/>
        <v>-37607</v>
      </c>
      <c r="P185" s="18">
        <f t="shared" si="177"/>
        <v>-39725</v>
      </c>
      <c r="Q185" s="311">
        <f t="shared" si="177"/>
        <v>-39725</v>
      </c>
      <c r="R185" s="18">
        <f t="shared" si="177"/>
        <v>-40856</v>
      </c>
      <c r="S185" s="18">
        <f t="shared" si="177"/>
        <v>-43590</v>
      </c>
      <c r="T185" s="18">
        <f t="shared" si="177"/>
        <v>-43051</v>
      </c>
      <c r="U185" s="18">
        <f t="shared" si="177"/>
        <v>-36604</v>
      </c>
      <c r="V185" s="311">
        <f t="shared" si="177"/>
        <v>-36604</v>
      </c>
      <c r="W185" s="18">
        <f t="shared" si="177"/>
        <v>-37075</v>
      </c>
      <c r="X185" s="18">
        <f t="shared" si="177"/>
        <v>-38839</v>
      </c>
      <c r="Y185" s="18">
        <f t="shared" si="177"/>
        <v>-39167</v>
      </c>
      <c r="Z185" s="18">
        <f t="shared" si="177"/>
        <v>-40434</v>
      </c>
      <c r="AA185" s="311">
        <f t="shared" si="177"/>
        <v>-40434</v>
      </c>
      <c r="AB185" s="18">
        <f t="shared" si="177"/>
        <v>-42531</v>
      </c>
      <c r="AC185" s="18">
        <f t="shared" si="177"/>
        <v>-44601</v>
      </c>
      <c r="AD185" s="18">
        <f t="shared" si="177"/>
        <v>-46313</v>
      </c>
      <c r="AE185" s="18">
        <f t="shared" si="177"/>
        <v>-48560</v>
      </c>
      <c r="AF185" s="311">
        <f t="shared" si="177"/>
        <v>-48560</v>
      </c>
      <c r="AG185" s="18">
        <f t="shared" si="177"/>
        <v>-49729</v>
      </c>
      <c r="AH185" s="18">
        <f t="shared" si="177"/>
        <v>-51494</v>
      </c>
      <c r="AI185" s="18">
        <f>SUM(AI168,AI177)-SUM(AI171:AI172,AI180:AI182)</f>
        <v>-55267</v>
      </c>
      <c r="AJ185" s="18">
        <f t="shared" si="177"/>
        <v>-57845</v>
      </c>
      <c r="AK185" s="311">
        <f t="shared" ref="AK185:AU185" si="178">SUM(AK168,AK177)-SUM(AK171:AK172,AK180:AK182)</f>
        <v>-57845</v>
      </c>
      <c r="AL185" s="18">
        <f t="shared" si="178"/>
        <v>-58924</v>
      </c>
      <c r="AM185" s="18">
        <f t="shared" si="178"/>
        <v>-55316</v>
      </c>
      <c r="AN185" s="18">
        <f t="shared" si="178"/>
        <v>-54330</v>
      </c>
      <c r="AO185" s="18">
        <f t="shared" si="178"/>
        <v>-54431</v>
      </c>
      <c r="AP185" s="311">
        <f t="shared" si="178"/>
        <v>-54431</v>
      </c>
      <c r="AQ185" s="18">
        <f>SUM(AQ168,AQ177)-SUM(AQ171:AQ172,AQ180:AQ182)</f>
        <v>-51502</v>
      </c>
      <c r="AR185" s="18">
        <f>SUM(AR168,AR177)-SUM(AR171:AR172,AR180:AR182)</f>
        <v>-50764</v>
      </c>
      <c r="AS185" s="18">
        <f>SUM(AS168,AS177)-SUM(AS171:AS172,AS180:AS182)</f>
        <v>-51672</v>
      </c>
      <c r="AT185" s="18">
        <f>SUM(AT168,AT177)-SUM(AT171:AT172,AT180:AT182)</f>
        <v>-49783</v>
      </c>
      <c r="AU185" s="311">
        <f t="shared" si="178"/>
        <v>-49783</v>
      </c>
      <c r="AV185" s="18">
        <f>SUM(AV168,AV177)-SUM(AV171:AV172,AV180:AV182)</f>
        <v>-51285</v>
      </c>
      <c r="AW185" s="18">
        <f>SUM(AW168,AW177)-SUM(AW171:AW172,AW180:AW182)</f>
        <v>-53220</v>
      </c>
      <c r="AX185" s="18">
        <f>SUM(AX168,AX177)-SUM(AX171:AX172,AX180:AX182)</f>
        <v>-53895</v>
      </c>
      <c r="AY185" s="18">
        <f>SUM(AY168,AY177)-SUM(AY171:AY172,AY180:AY182)</f>
        <v>-48408</v>
      </c>
      <c r="AZ185" s="311">
        <f t="shared" ref="AZ185" si="179">SUM(AZ168,AZ177)-SUM(AZ171:AZ172,AZ180:AZ182)</f>
        <v>-48408</v>
      </c>
      <c r="BA185" s="18">
        <f t="shared" ref="BA185:BF185" si="180">SUM(BA168,BA177)-SUM(BA171:BA172,BA180:BA182)</f>
        <v>-46843</v>
      </c>
      <c r="BB185" s="18">
        <f t="shared" si="180"/>
        <v>-49073</v>
      </c>
      <c r="BC185" s="18">
        <f t="shared" si="180"/>
        <v>-47224</v>
      </c>
      <c r="BD185" s="18">
        <f t="shared" si="180"/>
        <v>-47436</v>
      </c>
      <c r="BE185" s="311">
        <f t="shared" si="180"/>
        <v>-47436</v>
      </c>
      <c r="BF185" s="18">
        <f t="shared" si="180"/>
        <v>-46713</v>
      </c>
      <c r="BG185" s="18">
        <f t="shared" ref="BG185:BH185" si="181">SUM(BG168,BG177)-SUM(BG171:BG172,BG180:BG182)</f>
        <v>-48257</v>
      </c>
      <c r="BH185" s="18">
        <f t="shared" si="181"/>
        <v>-48616</v>
      </c>
      <c r="BI185" s="18">
        <f t="shared" ref="BI185:BK185" si="182">SUM(BI168,BI177)-SUM(BI171:BI172,BI180:BI182)</f>
        <v>-50640</v>
      </c>
      <c r="BJ185" s="311">
        <f t="shared" ref="BJ185:CD185" si="183">SUM(BJ168,BJ177)-SUM(BJ171:BJ172,BJ180:BJ182)</f>
        <v>-50640</v>
      </c>
      <c r="BK185" s="18">
        <f t="shared" si="182"/>
        <v>-50148</v>
      </c>
      <c r="BL185" s="18">
        <f t="shared" ref="BL185:BM185" si="184">SUM(BL168,BL177)-SUM(BL171:BL172,BL180:BL182)</f>
        <v>-51101</v>
      </c>
      <c r="BM185" s="18">
        <f t="shared" si="184"/>
        <v>-54064</v>
      </c>
      <c r="BN185" s="18">
        <f t="shared" ref="BN185" ca="1" si="185">SUM(BN168,BN177)-SUM(BN171:BN172,BN180:BN182)</f>
        <v>-52772</v>
      </c>
      <c r="BO185" s="311">
        <f t="shared" ca="1" si="183"/>
        <v>-52772</v>
      </c>
      <c r="BP185" s="18">
        <f t="shared" ca="1" si="183"/>
        <v>-49506.27417934595</v>
      </c>
      <c r="BQ185" s="18">
        <f t="shared" ca="1" si="183"/>
        <v>-49504.935771392404</v>
      </c>
      <c r="BR185" s="18">
        <f t="shared" ca="1" si="183"/>
        <v>-49507.655761749636</v>
      </c>
      <c r="BS185" s="18">
        <f t="shared" ca="1" si="183"/>
        <v>-49509.922420380652</v>
      </c>
      <c r="BT185" s="311">
        <f t="shared" ca="1" si="183"/>
        <v>-49509.922420380652</v>
      </c>
      <c r="BU185" s="18">
        <f t="shared" ca="1" si="183"/>
        <v>-49514.865894918796</v>
      </c>
      <c r="BV185" s="18">
        <f t="shared" ca="1" si="183"/>
        <v>-49514.865894918796</v>
      </c>
      <c r="BW185" s="18">
        <f t="shared" ca="1" si="183"/>
        <v>-49514.865894918796</v>
      </c>
      <c r="BX185" s="18">
        <f t="shared" ca="1" si="183"/>
        <v>-49514.865894918796</v>
      </c>
      <c r="BY185" s="311">
        <f t="shared" ca="1" si="183"/>
        <v>-49514.865894918796</v>
      </c>
      <c r="BZ185" s="18">
        <f t="shared" ca="1" si="183"/>
        <v>-49514.0244207711</v>
      </c>
      <c r="CA185" s="18">
        <f t="shared" ca="1" si="183"/>
        <v>-49513.17773600822</v>
      </c>
      <c r="CB185" s="18">
        <f t="shared" ca="1" si="183"/>
        <v>-49512.325808364709</v>
      </c>
      <c r="CC185" s="18">
        <f t="shared" ca="1" si="183"/>
        <v>-49511.46860537539</v>
      </c>
      <c r="CD185" s="311">
        <f t="shared" ca="1" si="183"/>
        <v>-49511.46860537539</v>
      </c>
      <c r="CE185" s="5"/>
      <c r="CF185" s="312"/>
      <c r="CG185" s="5"/>
      <c r="CH185" s="202" t="s">
        <v>1976</v>
      </c>
      <c r="CI185" s="175">
        <f>HLOOKUP(CH185,'Key assumptions'!$A$9:$CD$20,4,FALSE)</f>
        <v>44.46</v>
      </c>
      <c r="CJ185" s="175">
        <f t="shared" si="148"/>
        <v>26234</v>
      </c>
      <c r="CK185" s="175">
        <f t="shared" si="149"/>
        <v>31031</v>
      </c>
      <c r="CL185" s="175">
        <f t="shared" si="150"/>
        <v>15292</v>
      </c>
    </row>
    <row r="186" spans="1:90" ht="13.5" thickTop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12"/>
      <c r="N186" s="12"/>
      <c r="O186" s="12"/>
      <c r="P186" s="12"/>
      <c r="Q186" s="5"/>
      <c r="R186" s="12"/>
      <c r="S186" s="12"/>
      <c r="T186" s="12"/>
      <c r="U186" s="12"/>
      <c r="V186" s="5"/>
      <c r="W186" s="12"/>
      <c r="X186" s="12"/>
      <c r="Y186" s="12"/>
      <c r="Z186" s="12"/>
      <c r="AA186" s="5"/>
      <c r="AB186" s="12"/>
      <c r="AC186" s="12"/>
      <c r="AD186" s="12"/>
      <c r="AE186" s="12"/>
      <c r="AF186" s="5"/>
      <c r="AG186" s="12"/>
      <c r="AH186" s="12"/>
      <c r="AI186" s="12"/>
      <c r="AJ186" s="12"/>
      <c r="AK186" s="5"/>
      <c r="AL186" s="12"/>
      <c r="AM186" s="12"/>
      <c r="AN186" s="12"/>
      <c r="AO186" s="12"/>
      <c r="AP186" s="5"/>
      <c r="AQ186" s="12"/>
      <c r="AR186" s="12"/>
      <c r="AS186" s="12"/>
      <c r="AT186" s="12"/>
      <c r="AU186" s="5"/>
      <c r="AV186" s="12"/>
      <c r="AW186" s="12"/>
      <c r="AX186" s="12"/>
      <c r="AY186" s="12"/>
      <c r="AZ186" s="5"/>
      <c r="BA186" s="12"/>
      <c r="BB186" s="12"/>
      <c r="BC186" s="12"/>
      <c r="BD186" s="12"/>
      <c r="BE186" s="5"/>
      <c r="BF186" s="12"/>
      <c r="BG186" s="12"/>
      <c r="BH186" s="12"/>
      <c r="BI186" s="12"/>
      <c r="BJ186" s="5"/>
      <c r="BK186" s="12"/>
      <c r="BL186" s="12"/>
      <c r="BM186" s="12"/>
      <c r="BN186" s="12"/>
      <c r="BO186" s="5"/>
      <c r="BP186" s="12"/>
      <c r="BQ186" s="12"/>
      <c r="BR186" s="12"/>
      <c r="BS186" s="12"/>
      <c r="BT186" s="5"/>
      <c r="BU186" s="12"/>
      <c r="BV186" s="12"/>
      <c r="BW186" s="12"/>
      <c r="BX186" s="12"/>
      <c r="BY186" s="5"/>
      <c r="BZ186" s="12"/>
      <c r="CA186" s="12"/>
      <c r="CB186" s="12"/>
      <c r="CC186" s="12"/>
      <c r="CD186" s="5"/>
      <c r="CE186" s="5"/>
      <c r="CF186" s="5"/>
      <c r="CG186" s="5"/>
      <c r="CH186" s="202" t="s">
        <v>1977</v>
      </c>
      <c r="CI186" s="175">
        <f>HLOOKUP(CH186,'Key assumptions'!$A$9:$CD$20,4,FALSE)</f>
        <v>59.13</v>
      </c>
      <c r="CJ186" s="175">
        <f t="shared" si="148"/>
        <v>29246</v>
      </c>
      <c r="CK186" s="175">
        <f t="shared" si="149"/>
        <v>34764</v>
      </c>
      <c r="CL186" s="175">
        <f t="shared" si="150"/>
        <v>18650</v>
      </c>
    </row>
    <row r="187" spans="1:90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12"/>
      <c r="N187" s="12"/>
      <c r="O187" s="12"/>
      <c r="P187" s="12"/>
      <c r="Q187" s="5"/>
      <c r="R187" s="12"/>
      <c r="S187" s="12"/>
      <c r="T187" s="12"/>
      <c r="U187" s="12"/>
      <c r="V187" s="5"/>
      <c r="W187" s="12"/>
      <c r="X187" s="12"/>
      <c r="Y187" s="12"/>
      <c r="Z187" s="12"/>
      <c r="AA187" s="5"/>
      <c r="AB187" s="12"/>
      <c r="AC187" s="12"/>
      <c r="AD187" s="12"/>
      <c r="AE187" s="12"/>
      <c r="AF187" s="5"/>
      <c r="AG187" s="12"/>
      <c r="AH187" s="12"/>
      <c r="AI187" s="12"/>
      <c r="AJ187" s="12"/>
      <c r="AK187" s="5"/>
      <c r="AL187" s="12"/>
      <c r="AM187" s="12"/>
      <c r="AN187" s="12"/>
      <c r="AO187" s="12"/>
      <c r="AP187" s="5"/>
      <c r="AQ187" s="12"/>
      <c r="AR187" s="12"/>
      <c r="AS187" s="12"/>
      <c r="AT187" s="12"/>
      <c r="AU187" s="5"/>
      <c r="AV187" s="12"/>
      <c r="AW187" s="12"/>
      <c r="AX187" s="12"/>
      <c r="AY187" s="12"/>
      <c r="AZ187" s="5"/>
      <c r="BA187" s="12"/>
      <c r="BB187" s="12"/>
      <c r="BC187" s="12"/>
      <c r="BD187" s="12"/>
      <c r="BE187" s="5"/>
      <c r="BF187" s="12"/>
      <c r="BG187" s="12"/>
      <c r="BH187" s="12"/>
      <c r="BI187" s="12"/>
      <c r="BJ187" s="5"/>
      <c r="BK187" s="12"/>
      <c r="BL187" s="12"/>
      <c r="BM187" s="12"/>
      <c r="BN187" s="12"/>
      <c r="BO187" s="5"/>
      <c r="BP187" s="12"/>
      <c r="BQ187" s="12"/>
      <c r="BR187" s="12"/>
      <c r="BS187" s="12"/>
      <c r="BT187" s="5"/>
      <c r="BU187" s="12"/>
      <c r="BV187" s="12"/>
      <c r="BW187" s="12"/>
      <c r="BX187" s="12"/>
      <c r="BY187" s="5"/>
      <c r="BZ187" s="12"/>
      <c r="CA187" s="12"/>
      <c r="CB187" s="12"/>
      <c r="CC187" s="12"/>
      <c r="CD187" s="5"/>
      <c r="CE187" s="5"/>
      <c r="CF187" s="5"/>
      <c r="CG187" s="5"/>
      <c r="CH187" s="202" t="s">
        <v>1979</v>
      </c>
      <c r="CI187" s="175">
        <f>HLOOKUP(CH187,'Key assumptions'!$A$9:$CD$20,4,FALSE)</f>
        <v>74.53</v>
      </c>
      <c r="CJ187" s="175">
        <f t="shared" si="148"/>
        <v>29531</v>
      </c>
      <c r="CK187" s="175">
        <f t="shared" si="149"/>
        <v>35204</v>
      </c>
      <c r="CL187" s="175">
        <f t="shared" ref="CL187:CL196" si="186">HLOOKUP(CH187,$A$9:$CD$38,19,FALSE)</f>
        <v>22605</v>
      </c>
    </row>
    <row r="188" spans="1:90">
      <c r="CE188" s="5"/>
      <c r="CF188" s="5"/>
      <c r="CG188" s="5"/>
      <c r="CH188" s="202" t="s">
        <v>1980</v>
      </c>
      <c r="CI188" s="175">
        <f>HLOOKUP(CH188,'Key assumptions'!$A$9:$CD$20,4,FALSE)</f>
        <v>76.36</v>
      </c>
      <c r="CJ188" s="175">
        <f t="shared" si="148"/>
        <v>31159</v>
      </c>
      <c r="CK188" s="175">
        <f t="shared" si="149"/>
        <v>38146</v>
      </c>
      <c r="CL188" s="175">
        <f t="shared" si="186"/>
        <v>23221</v>
      </c>
    </row>
    <row r="189" spans="1:90" s="5" customFormat="1">
      <c r="CH189" s="202" t="s">
        <v>1981</v>
      </c>
      <c r="CI189" s="175">
        <f>HLOOKUP(CH189,'Key assumptions'!$A$9:$CD$20,4,FALSE)</f>
        <v>78.239999999999995</v>
      </c>
      <c r="CJ189" s="5">
        <f t="shared" si="148"/>
        <v>29475</v>
      </c>
      <c r="CK189" s="5">
        <f t="shared" si="149"/>
        <v>37226</v>
      </c>
      <c r="CL189" s="5">
        <f t="shared" si="186"/>
        <v>22106</v>
      </c>
    </row>
    <row r="190" spans="1:90" s="5" customFormat="1">
      <c r="CH190" s="202" t="s">
        <v>1982</v>
      </c>
      <c r="CI190" s="175">
        <f>HLOOKUP(CH190,'Key assumptions'!$A$9:$CD$20,4,FALSE)</f>
        <v>76.86</v>
      </c>
      <c r="CJ190" s="5">
        <f t="shared" si="148"/>
        <v>27327</v>
      </c>
      <c r="CK190" s="5">
        <f t="shared" si="149"/>
        <v>36618</v>
      </c>
      <c r="CL190" s="5">
        <f t="shared" si="186"/>
        <v>21957</v>
      </c>
    </row>
    <row r="191" spans="1:90" s="5" customFormat="1">
      <c r="CH191" s="202" t="s">
        <v>2392</v>
      </c>
      <c r="CI191" s="175">
        <f>HLOOKUP(CH191,'Key assumptions'!$A$9:$CD$20,4,FALSE)</f>
        <v>86.46</v>
      </c>
      <c r="CJ191" s="5">
        <f t="shared" si="148"/>
        <v>30606</v>
      </c>
      <c r="CK191" s="5">
        <f t="shared" si="149"/>
        <v>39742</v>
      </c>
      <c r="CL191" s="5">
        <f t="shared" si="186"/>
        <v>26218</v>
      </c>
    </row>
    <row r="192" spans="1:90" s="5" customFormat="1">
      <c r="CH192" s="202" t="s">
        <v>2393</v>
      </c>
      <c r="CI192" s="175">
        <f>HLOOKUP(CH192,'Key assumptions'!$A$9:$CD$20,4,FALSE)</f>
        <v>105.43</v>
      </c>
      <c r="CJ192" s="5">
        <f t="shared" si="148"/>
        <v>36770</v>
      </c>
      <c r="CK192" s="5">
        <f t="shared" si="149"/>
        <v>45314</v>
      </c>
      <c r="CL192" s="5">
        <f t="shared" si="186"/>
        <v>28657</v>
      </c>
    </row>
    <row r="193" spans="1:90" s="5" customFormat="1">
      <c r="CH193" s="202" t="s">
        <v>2394</v>
      </c>
      <c r="CI193" s="175">
        <f>HLOOKUP(CH193,'Key assumptions'!$A$9:$CD$20,4,FALSE)</f>
        <v>117.04</v>
      </c>
      <c r="CJ193" s="5">
        <f t="shared" si="148"/>
        <v>35752</v>
      </c>
      <c r="CK193" s="5">
        <f t="shared" si="149"/>
        <v>44214</v>
      </c>
      <c r="CL193" s="5">
        <f t="shared" si="186"/>
        <v>27477</v>
      </c>
    </row>
    <row r="194" spans="1:90" s="5" customFormat="1">
      <c r="A194" s="7"/>
      <c r="B194" s="4"/>
      <c r="H194" s="415"/>
      <c r="I194" s="415"/>
      <c r="J194" s="415"/>
      <c r="K194" s="415"/>
      <c r="L194" s="78"/>
      <c r="M194" s="415"/>
      <c r="N194" s="415"/>
      <c r="O194" s="415"/>
      <c r="P194" s="415"/>
      <c r="Q194" s="78"/>
      <c r="R194" s="415"/>
      <c r="S194" s="415"/>
      <c r="T194" s="415"/>
      <c r="U194" s="415"/>
      <c r="V194" s="78"/>
      <c r="W194" s="415"/>
      <c r="X194" s="415"/>
      <c r="Y194" s="415"/>
      <c r="Z194" s="415"/>
      <c r="AA194" s="78"/>
      <c r="AB194" s="415"/>
      <c r="AC194" s="415"/>
      <c r="AD194" s="415"/>
      <c r="AE194" s="415"/>
      <c r="AF194" s="78"/>
      <c r="AG194" s="415"/>
      <c r="AH194" s="415"/>
      <c r="AI194" s="415"/>
      <c r="AJ194" s="415"/>
      <c r="AK194" s="78"/>
      <c r="AL194" s="415"/>
      <c r="AM194" s="415"/>
      <c r="AN194" s="415"/>
      <c r="AO194" s="415"/>
      <c r="AP194" s="78"/>
      <c r="AQ194" s="415"/>
      <c r="AR194" s="415"/>
      <c r="AS194" s="415"/>
      <c r="AT194" s="415"/>
      <c r="AU194" s="78"/>
      <c r="AV194" s="19"/>
      <c r="AW194" s="19"/>
      <c r="AX194" s="415"/>
      <c r="AY194" s="19"/>
      <c r="AZ194" s="571"/>
      <c r="BA194" s="19"/>
      <c r="BB194" s="19"/>
      <c r="BC194" s="19"/>
      <c r="BD194" s="19"/>
      <c r="BE194" s="571"/>
      <c r="BF194" s="19"/>
      <c r="BG194" s="19"/>
      <c r="BH194" s="19"/>
      <c r="BI194" s="19"/>
      <c r="BJ194" s="78"/>
      <c r="BK194" s="19"/>
      <c r="BL194" s="19"/>
      <c r="BM194" s="19"/>
      <c r="BN194" s="19"/>
      <c r="BO194" s="571"/>
      <c r="BP194" s="19"/>
      <c r="BQ194" s="19"/>
      <c r="BR194" s="19"/>
      <c r="BS194" s="19"/>
      <c r="BT194" s="78"/>
      <c r="BU194" s="19"/>
      <c r="BV194" s="19"/>
      <c r="BW194" s="19"/>
      <c r="BX194" s="19"/>
      <c r="BY194" s="78"/>
      <c r="BZ194" s="19"/>
      <c r="CA194" s="19"/>
      <c r="CB194" s="19"/>
      <c r="CC194" s="19"/>
      <c r="CD194" s="78"/>
      <c r="CH194" s="202" t="s">
        <v>2395</v>
      </c>
      <c r="CI194" s="175">
        <f>HLOOKUP(CH194,'Key assumptions'!$A$9:$CD$20,4,FALSE)</f>
        <v>113.41</v>
      </c>
      <c r="CJ194" s="5">
        <f t="shared" si="148"/>
        <v>35298</v>
      </c>
      <c r="CK194" s="5">
        <f t="shared" si="149"/>
        <v>47241</v>
      </c>
      <c r="CL194" s="5">
        <f t="shared" si="186"/>
        <v>26601</v>
      </c>
    </row>
    <row r="195" spans="1:90" s="5" customFormat="1">
      <c r="A195" s="7"/>
      <c r="B195" s="4"/>
      <c r="H195" s="65"/>
      <c r="I195" s="65"/>
      <c r="J195" s="65"/>
      <c r="K195" s="65"/>
      <c r="L195" s="115"/>
      <c r="M195" s="65"/>
      <c r="N195" s="65"/>
      <c r="O195" s="65"/>
      <c r="P195" s="65"/>
      <c r="Q195" s="115"/>
      <c r="R195" s="65"/>
      <c r="S195" s="65"/>
      <c r="T195" s="65"/>
      <c r="U195" s="65"/>
      <c r="V195" s="115"/>
      <c r="W195" s="65"/>
      <c r="X195" s="65"/>
      <c r="Y195" s="65"/>
      <c r="Z195" s="65"/>
      <c r="AA195" s="115"/>
      <c r="AB195" s="65"/>
      <c r="AC195" s="65"/>
      <c r="AD195" s="65"/>
      <c r="AE195" s="65"/>
      <c r="AF195" s="115"/>
      <c r="AG195" s="65"/>
      <c r="AH195" s="65"/>
      <c r="AI195" s="65"/>
      <c r="AJ195" s="65"/>
      <c r="AK195" s="115"/>
      <c r="AL195" s="65"/>
      <c r="AM195" s="65"/>
      <c r="AN195" s="65"/>
      <c r="AO195" s="65"/>
      <c r="AP195" s="115"/>
      <c r="AQ195" s="65"/>
      <c r="AR195" s="65"/>
      <c r="AS195" s="65"/>
      <c r="AT195" s="65"/>
      <c r="AU195" s="115"/>
      <c r="AX195" s="65"/>
      <c r="AZ195" s="115"/>
      <c r="BE195" s="115"/>
      <c r="CH195" s="202" t="s">
        <v>2396</v>
      </c>
      <c r="CI195" s="175">
        <f>HLOOKUP(CH195,'Key assumptions'!$A$9:$CD$20,4,FALSE)</f>
        <v>109.35</v>
      </c>
      <c r="CJ195" s="5">
        <f t="shared" si="148"/>
        <v>35039</v>
      </c>
      <c r="CK195" s="5">
        <f t="shared" si="149"/>
        <v>46980</v>
      </c>
      <c r="CL195" s="5">
        <f t="shared" si="186"/>
        <v>25661</v>
      </c>
    </row>
    <row r="196" spans="1:90" s="5" customFormat="1">
      <c r="CH196" s="202" t="s">
        <v>2397</v>
      </c>
      <c r="CI196" s="175">
        <f>HLOOKUP(CH196,'Key assumptions'!$A$9:$CD$20,4,FALSE)</f>
        <v>118.6</v>
      </c>
      <c r="CJ196" s="5">
        <f t="shared" si="148"/>
        <v>36407</v>
      </c>
      <c r="CK196" s="5">
        <f t="shared" si="149"/>
        <v>50194</v>
      </c>
      <c r="CL196" s="5">
        <f t="shared" si="186"/>
        <v>30154</v>
      </c>
    </row>
    <row r="197" spans="1:90">
      <c r="CH197" s="202" t="s">
        <v>2398</v>
      </c>
      <c r="CI197" s="175">
        <f>HLOOKUP(CH197,'Key assumptions'!$A$9:$CD$20,4,FALSE)</f>
        <v>108.29</v>
      </c>
      <c r="CJ197" s="5">
        <f t="shared" ref="CJ197:CJ202" si="187">HLOOKUP(CH197,$A$166:$CD$185,3,FALSE)</f>
        <v>33271</v>
      </c>
      <c r="CK197" s="5">
        <f t="shared" ref="CK197:CK203" si="188">HLOOKUP(CH197,$A$166:$CD$185,6,FALSE)</f>
        <v>44772</v>
      </c>
      <c r="CL197" s="5">
        <f t="shared" ref="CL197:CL202" si="189">HLOOKUP(CH197,$A$9:$CD$38,19,FALSE)</f>
        <v>26434</v>
      </c>
    </row>
    <row r="198" spans="1:90">
      <c r="CH198" s="202" t="s">
        <v>2399</v>
      </c>
      <c r="CI198" s="175">
        <f>HLOOKUP(CH198,'Key assumptions'!$A$9:$CD$20,4,FALSE)</f>
        <v>109.5</v>
      </c>
      <c r="CJ198" s="5">
        <f t="shared" si="187"/>
        <v>36375</v>
      </c>
      <c r="CK198" s="5">
        <f t="shared" si="188"/>
        <v>47711</v>
      </c>
      <c r="CL198" s="5">
        <f t="shared" si="189"/>
        <v>28300</v>
      </c>
    </row>
    <row r="199" spans="1:90">
      <c r="CH199" s="202" t="s">
        <v>2400</v>
      </c>
      <c r="CI199" s="175">
        <f>HLOOKUP(CH199,'Key assumptions'!$A$9:$CD$20,4,FALSE)</f>
        <v>110.08</v>
      </c>
      <c r="CJ199" s="5">
        <f t="shared" si="187"/>
        <v>33425</v>
      </c>
      <c r="CK199" s="5">
        <f t="shared" si="188"/>
        <v>46632</v>
      </c>
      <c r="CL199" s="5">
        <f t="shared" si="189"/>
        <v>27867</v>
      </c>
    </row>
    <row r="200" spans="1:90">
      <c r="CH200" s="4" t="s">
        <v>2401</v>
      </c>
      <c r="CI200" s="175">
        <f>HLOOKUP(CH200,'Key assumptions'!$A$9:$CD$20,4,FALSE)</f>
        <v>112.57</v>
      </c>
      <c r="CJ200" s="5">
        <f t="shared" si="187"/>
        <v>37567</v>
      </c>
      <c r="CK200" s="5">
        <f t="shared" si="188"/>
        <v>48705</v>
      </c>
      <c r="CL200" s="5">
        <f t="shared" si="189"/>
        <v>28628</v>
      </c>
    </row>
    <row r="201" spans="1:90">
      <c r="CH201" s="4" t="s">
        <v>2402</v>
      </c>
      <c r="CI201" s="175">
        <f>HLOOKUP(CH201,'Key assumptions'!$A$9:$CD$20,4,FALSE)</f>
        <v>102.43</v>
      </c>
      <c r="CJ201" s="5">
        <f t="shared" si="187"/>
        <v>37851</v>
      </c>
      <c r="CK201" s="5">
        <f t="shared" si="188"/>
        <v>46768</v>
      </c>
      <c r="CL201" s="5">
        <f t="shared" si="189"/>
        <v>28314</v>
      </c>
    </row>
    <row r="202" spans="1:90">
      <c r="CH202" s="4" t="s">
        <v>2403</v>
      </c>
      <c r="CI202" s="175">
        <f>HLOOKUP(CH202,'Key assumptions'!$A$9:$CD$20,4,FALSE)</f>
        <v>110.29</v>
      </c>
      <c r="CJ202" s="5">
        <f t="shared" si="187"/>
        <v>37992</v>
      </c>
      <c r="CK202" s="5">
        <f t="shared" si="188"/>
        <v>47280</v>
      </c>
      <c r="CL202" s="5">
        <f t="shared" si="189"/>
        <v>29389</v>
      </c>
    </row>
    <row r="203" spans="1:90">
      <c r="CH203" s="4" t="s">
        <v>2404</v>
      </c>
      <c r="CI203" s="175">
        <f>HLOOKUP(CH203,'Key assumptions'!$A$9:$CD$20,4,FALSE)</f>
        <v>109.24</v>
      </c>
      <c r="CJ203" s="5">
        <f t="shared" ref="CJ203:CJ210" si="190">HLOOKUP(CH203,$A$166:$CD$185,3,FALSE)</f>
        <v>37374</v>
      </c>
      <c r="CK203" s="5">
        <f t="shared" si="188"/>
        <v>46129</v>
      </c>
      <c r="CL203" s="5">
        <f t="shared" ref="CL203:CL210" si="191">HLOOKUP(CH203,$A$9:$CD$38,19,FALSE)</f>
        <v>29231</v>
      </c>
    </row>
    <row r="204" spans="1:90">
      <c r="CH204" s="202" t="s">
        <v>2405</v>
      </c>
      <c r="CI204" s="175">
        <f>HLOOKUP(CH204,'Key assumptions'!$A$9:$CD$20,4,FALSE)</f>
        <v>108.21</v>
      </c>
      <c r="CJ204" s="5">
        <f t="shared" si="190"/>
        <v>38161</v>
      </c>
      <c r="CK204" s="5">
        <f t="shared" ref="CK204:CK210" si="192">HLOOKUP(CH204,$A$166:$CD$185,6,FALSE)</f>
        <v>48750</v>
      </c>
      <c r="CL204" s="5">
        <f t="shared" si="191"/>
        <v>28843</v>
      </c>
    </row>
    <row r="205" spans="1:90">
      <c r="CH205" s="202" t="s">
        <v>2406</v>
      </c>
      <c r="CI205" s="175">
        <f>HLOOKUP(CH205,'Key assumptions'!$A$9:$CD$20,4,FALSE)</f>
        <v>109.67</v>
      </c>
      <c r="CJ205" s="5">
        <f t="shared" si="190"/>
        <v>38112</v>
      </c>
      <c r="CK205" s="5">
        <f t="shared" si="192"/>
        <v>49187</v>
      </c>
      <c r="CL205" s="5">
        <f t="shared" si="191"/>
        <v>29442</v>
      </c>
    </row>
    <row r="206" spans="1:90">
      <c r="CH206" s="4" t="s">
        <v>2407</v>
      </c>
      <c r="CI206" s="175">
        <f>HLOOKUP(CH206,'Key assumptions'!$A$9:$CD$20,4,FALSE)</f>
        <v>101.93</v>
      </c>
      <c r="CJ206" s="5">
        <f t="shared" si="190"/>
        <v>36445</v>
      </c>
      <c r="CK206" s="5">
        <f t="shared" si="192"/>
        <v>48741</v>
      </c>
      <c r="CL206" s="5">
        <f t="shared" si="191"/>
        <v>26581</v>
      </c>
    </row>
    <row r="207" spans="1:90">
      <c r="CH207" s="202" t="s">
        <v>2408</v>
      </c>
      <c r="CI207" s="175">
        <f>HLOOKUP(CH207,'Key assumptions'!$A$9:$CD$20,4,FALSE)</f>
        <v>76.58</v>
      </c>
      <c r="CJ207" s="5">
        <f t="shared" si="190"/>
        <v>29884</v>
      </c>
      <c r="CK207" s="5">
        <f t="shared" si="192"/>
        <v>39463</v>
      </c>
      <c r="CL207" s="5">
        <f t="shared" si="191"/>
        <v>18373</v>
      </c>
    </row>
    <row r="208" spans="1:90">
      <c r="CH208" s="202" t="s">
        <v>2409</v>
      </c>
      <c r="CI208" s="175">
        <f>HLOOKUP(CH208,'Key assumptions'!$A$9:$CD$20,4,FALSE)</f>
        <v>53.94</v>
      </c>
      <c r="CJ208" s="5">
        <f t="shared" si="190"/>
        <v>27677</v>
      </c>
      <c r="CK208" s="5">
        <f t="shared" si="192"/>
        <v>37093</v>
      </c>
      <c r="CL208" s="5">
        <f t="shared" si="191"/>
        <v>18925</v>
      </c>
    </row>
    <row r="209" spans="86:90">
      <c r="CH209" s="4" t="s">
        <v>2410</v>
      </c>
      <c r="CI209" s="175">
        <f>HLOOKUP(CH209,'Key assumptions'!$A$9:$CD$20,4,FALSE)</f>
        <v>61.88</v>
      </c>
      <c r="CJ209" s="5">
        <f t="shared" si="190"/>
        <v>28838</v>
      </c>
      <c r="CK209" s="5">
        <f t="shared" si="192"/>
        <v>39220</v>
      </c>
      <c r="CL209" s="5">
        <f t="shared" si="191"/>
        <v>20034</v>
      </c>
    </row>
    <row r="210" spans="86:90">
      <c r="CH210" s="202" t="s">
        <v>2411</v>
      </c>
      <c r="CI210" s="175">
        <f>HLOOKUP(CH210,'Key assumptions'!$A$9:$CD$20,4,FALSE)</f>
        <v>50.47</v>
      </c>
      <c r="CJ210" s="5">
        <f t="shared" si="190"/>
        <v>24657</v>
      </c>
      <c r="CK210" s="5">
        <f t="shared" si="192"/>
        <v>33863</v>
      </c>
      <c r="CL210" s="5">
        <f t="shared" si="191"/>
        <v>16933</v>
      </c>
    </row>
    <row r="211" spans="86:90">
      <c r="CH211" s="4" t="s">
        <v>2412</v>
      </c>
      <c r="CI211" s="175">
        <f>HLOOKUP(CH211,'Key assumptions'!$A$9:$CD$20,4,FALSE)</f>
        <v>43.76</v>
      </c>
      <c r="CJ211" s="5">
        <f t="shared" ref="CJ211" si="193">HLOOKUP(CH211,$A$166:$CD$185,3,FALSE)</f>
        <v>21637</v>
      </c>
      <c r="CK211" s="5">
        <f t="shared" ref="CK211" si="194">HLOOKUP(CH211,$A$166:$CD$185,6,FALSE)</f>
        <v>31216</v>
      </c>
      <c r="CL211" s="5">
        <f t="shared" ref="CL211" si="195">HLOOKUP(CH211,$A$9:$CD$38,19,FALSE)</f>
        <v>14142</v>
      </c>
    </row>
    <row r="212" spans="86:90">
      <c r="CH212" s="202" t="s">
        <v>2413</v>
      </c>
      <c r="CI212" s="175">
        <f>HLOOKUP(CH212,'Key assumptions'!$A$9:$CD$20,4,FALSE)</f>
        <v>33.94</v>
      </c>
      <c r="CJ212" s="5">
        <f t="shared" ref="CJ212:CJ213" si="196">HLOOKUP(CH212,$A$166:$CD$185,3,FALSE)</f>
        <v>21738</v>
      </c>
      <c r="CK212" s="5">
        <f t="shared" ref="CK212:CK213" si="197">HLOOKUP(CH212,$A$166:$CD$185,6,FALSE)</f>
        <v>31393</v>
      </c>
      <c r="CL212" s="5">
        <f t="shared" ref="CL212:CL213" si="198">HLOOKUP(CH212,$A$9:$CD$38,19,FALSE)</f>
        <v>14277</v>
      </c>
    </row>
    <row r="213" spans="86:90">
      <c r="CH213" s="4" t="s">
        <v>2414</v>
      </c>
      <c r="CI213" s="175">
        <f>HLOOKUP(CH213,'Key assumptions'!$A$9:$CD$20,4,FALSE)</f>
        <v>45.59</v>
      </c>
      <c r="CJ213" s="5">
        <f t="shared" si="196"/>
        <v>22308</v>
      </c>
      <c r="CK213" s="5">
        <f t="shared" si="197"/>
        <v>33748</v>
      </c>
      <c r="CL213" s="5">
        <f t="shared" si="198"/>
        <v>16398</v>
      </c>
    </row>
    <row r="214" spans="86:90">
      <c r="CH214" s="202" t="s">
        <v>2415</v>
      </c>
      <c r="CI214" s="175">
        <f>HLOOKUP(CH214,'Key assumptions'!$A$9:$CD$20,4,FALSE)</f>
        <v>45.86</v>
      </c>
      <c r="CJ214" s="5">
        <f t="shared" ref="CJ214" si="199">HLOOKUP(CH214,$A$166:$CD$185,3,FALSE)</f>
        <v>20896</v>
      </c>
      <c r="CK214" s="5">
        <f t="shared" ref="CK214" si="200">HLOOKUP(CH214,$A$166:$CD$185,6,FALSE)</f>
        <v>32683</v>
      </c>
      <c r="CL214" s="5">
        <f t="shared" ref="CL214" si="201">HLOOKUP(CH214,$A$9:$CD$38,19,FALSE)</f>
        <v>15897</v>
      </c>
    </row>
    <row r="215" spans="86:90">
      <c r="CH215" s="4" t="s">
        <v>2416</v>
      </c>
      <c r="CI215" s="175">
        <f>HLOOKUP(CH215,'Key assumptions'!$A$9:$CD$20,4,FALSE)</f>
        <v>49.33</v>
      </c>
      <c r="CJ215" s="5">
        <f t="shared" ref="CJ215" si="202">HLOOKUP(CH215,$A$166:$CD$185,3,FALSE)</f>
        <v>20481</v>
      </c>
      <c r="CK215" s="5">
        <f t="shared" ref="CK215" si="203">HLOOKUP(CH215,$A$166:$CD$185,6,FALSE)</f>
        <v>34859</v>
      </c>
      <c r="CL215" s="5">
        <f t="shared" ref="CL215" si="204">HLOOKUP(CH215,$A$9:$CD$38,19,FALSE)</f>
        <v>17655</v>
      </c>
    </row>
    <row r="216" spans="86:90">
      <c r="CH216" s="202" t="s">
        <v>2417</v>
      </c>
      <c r="CI216" s="175">
        <f>HLOOKUP(CH216,'Key assumptions'!$A$9:$CD$20,4,FALSE)</f>
        <v>53.69</v>
      </c>
      <c r="CJ216" s="5">
        <f t="shared" ref="CJ216" si="205">HLOOKUP(CH216,$A$166:$CD$185,3,FALSE)</f>
        <v>20740</v>
      </c>
      <c r="CK216" s="5">
        <f t="shared" ref="CK216" si="206">HLOOKUP(CH216,$A$166:$CD$185,6,FALSE)</f>
        <v>34603</v>
      </c>
      <c r="CL216" s="5">
        <f t="shared" ref="CL216" si="207">HLOOKUP(CH216,$A$9:$CD$38,19,FALSE)</f>
        <v>17236</v>
      </c>
    </row>
    <row r="217" spans="86:90">
      <c r="CH217" s="4" t="s">
        <v>2418</v>
      </c>
      <c r="CI217" s="175">
        <f>HLOOKUP(CH217,'Key assumptions'!$A$9:$CD$20,4,FALSE)</f>
        <v>49.64</v>
      </c>
      <c r="CJ217" s="5">
        <f t="shared" ref="CJ217" si="208">HLOOKUP(CH217,$A$166:$CD$185,3,FALSE)</f>
        <v>20178</v>
      </c>
      <c r="CK217" s="5">
        <f t="shared" ref="CK217" si="209">HLOOKUP(CH217,$A$166:$CD$185,6,FALSE)</f>
        <v>34440</v>
      </c>
      <c r="CL217" s="5">
        <f t="shared" ref="CL217" si="210">HLOOKUP(CH217,$A$9:$CD$38,19,FALSE)</f>
        <v>16449</v>
      </c>
    </row>
    <row r="218" spans="86:90">
      <c r="CH218" s="202" t="s">
        <v>2419</v>
      </c>
      <c r="CI218" s="175">
        <f>HLOOKUP(CH218,'Key assumptions'!$A$9:$CD$20,4,FALSE)</f>
        <v>52.08</v>
      </c>
      <c r="CJ218" s="5">
        <f t="shared" ref="CJ218" si="211">HLOOKUP(CH218,$A$166:$CD$185,3,FALSE)</f>
        <v>21619</v>
      </c>
      <c r="CK218" s="5">
        <f t="shared" ref="CK218" si="212">HLOOKUP(CH218,$A$166:$CD$185,6,FALSE)</f>
        <v>37896</v>
      </c>
      <c r="CL218" s="5">
        <f t="shared" ref="CL218" si="213">HLOOKUP(CH218,$A$9:$CD$38,19,FALSE)</f>
        <v>18078</v>
      </c>
    </row>
    <row r="219" spans="86:90">
      <c r="CH219" s="4" t="s">
        <v>2420</v>
      </c>
      <c r="CI219" s="175">
        <f>HLOOKUP(CH219,'Key assumptions'!$A$9:$CD$20,4,FALSE)</f>
        <v>61.26</v>
      </c>
      <c r="CJ219" s="5">
        <f t="shared" ref="CJ219" si="214">HLOOKUP(CH219,$A$166:$CD$185,3,FALSE)</f>
        <v>24597</v>
      </c>
      <c r="CK219" s="5">
        <f t="shared" ref="CK219" si="215">HLOOKUP(CH219,$A$166:$CD$185,6,FALSE)</f>
        <v>42120</v>
      </c>
      <c r="CL219" s="5">
        <f t="shared" ref="CL219" si="216">HLOOKUP(CH219,$A$9:$CD$38,19,FALSE)</f>
        <v>19011</v>
      </c>
    </row>
  </sheetData>
  <phoneticPr fontId="14" type="noConversion"/>
  <pageMargins left="0.75" right="0.75" top="1" bottom="1" header="0.5" footer="0.5"/>
  <pageSetup paperSize="9" scale="52" fitToHeight="2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8"/>
    <pageSetUpPr fitToPage="1"/>
  </sheetPr>
  <dimension ref="A1:CW248"/>
  <sheetViews>
    <sheetView topLeftCell="A2" zoomScale="85" zoomScaleNormal="85" workbookViewId="0">
      <pane xSplit="2" ySplit="8" topLeftCell="AF10" activePane="bottomRight" state="frozen"/>
      <selection sqref="A1:IV65536"/>
      <selection pane="topRight" sqref="A1:IV65536"/>
      <selection pane="bottomLeft" sqref="A1:IV65536"/>
      <selection pane="bottomRight" activeCell="A2" sqref="A1:XFD1048576"/>
    </sheetView>
  </sheetViews>
  <sheetFormatPr defaultColWidth="9.7109375" defaultRowHeight="12.75" outlineLevelCol="1"/>
  <cols>
    <col min="1" max="1" width="3.7109375" customWidth="1"/>
    <col min="2" max="2" width="35.7109375" customWidth="1"/>
    <col min="3" max="5" width="9.7109375" hidden="1" customWidth="1"/>
    <col min="6" max="7" width="9.7109375" customWidth="1"/>
    <col min="8" max="11" width="9.7109375" hidden="1" customWidth="1" outlineLevel="1"/>
    <col min="12" max="12" width="9.7109375" customWidth="1" collapsed="1"/>
    <col min="13" max="16" width="9.7109375" hidden="1" customWidth="1" outlineLevel="1"/>
    <col min="17" max="17" width="9.7109375" customWidth="1" collapsed="1"/>
    <col min="18" max="21" width="9.7109375" hidden="1" customWidth="1" outlineLevel="1"/>
    <col min="22" max="22" width="9.7109375" customWidth="1" collapsed="1"/>
    <col min="23" max="26" width="9.7109375" hidden="1" customWidth="1" outlineLevel="1"/>
    <col min="27" max="27" width="9.7109375" customWidth="1" collapsed="1"/>
    <col min="28" max="31" width="9.7109375" hidden="1" customWidth="1" outlineLevel="1"/>
    <col min="32" max="32" width="9.7109375" customWidth="1" collapsed="1"/>
    <col min="33" max="36" width="9.7109375" hidden="1" customWidth="1" outlineLevel="1"/>
    <col min="37" max="37" width="9.7109375" customWidth="1" collapsed="1"/>
    <col min="38" max="41" width="9.7109375" hidden="1" customWidth="1" outlineLevel="1"/>
    <col min="42" max="42" width="9.7109375" customWidth="1" collapsed="1"/>
    <col min="43" max="46" width="9.7109375" hidden="1" customWidth="1" outlineLevel="1"/>
    <col min="47" max="47" width="9.7109375" customWidth="1" collapsed="1"/>
    <col min="48" max="51" width="9.7109375" hidden="1" customWidth="1" outlineLevel="1"/>
    <col min="52" max="52" width="9.7109375" customWidth="1" collapsed="1"/>
    <col min="53" max="56" width="9.7109375" hidden="1" customWidth="1" outlineLevel="1"/>
    <col min="57" max="57" width="9.7109375" customWidth="1" collapsed="1"/>
    <col min="58" max="61" width="9.7109375" hidden="1" customWidth="1" outlineLevel="1"/>
    <col min="62" max="62" width="9.7109375" customWidth="1" collapsed="1"/>
    <col min="63" max="66" width="9.7109375" hidden="1" customWidth="1" outlineLevel="1"/>
    <col min="67" max="67" width="9.7109375" customWidth="1" collapsed="1"/>
    <col min="68" max="71" width="9.7109375" hidden="1" customWidth="1" outlineLevel="1"/>
    <col min="72" max="72" width="9.7109375" customWidth="1" collapsed="1"/>
    <col min="73" max="76" width="9.7109375" hidden="1" customWidth="1" outlineLevel="1"/>
    <col min="77" max="77" width="9.7109375" customWidth="1" collapsed="1"/>
    <col min="78" max="81" width="9.7109375" hidden="1" customWidth="1" outlineLevel="1"/>
    <col min="82" max="82" width="9.7109375" customWidth="1" collapsed="1"/>
    <col min="83" max="83" width="9.7109375" style="632" customWidth="1"/>
    <col min="84" max="92" width="9.7109375" customWidth="1"/>
    <col min="93" max="93" width="24" customWidth="1"/>
  </cols>
  <sheetData>
    <row r="1" spans="1:101" ht="12.75" customHeight="1">
      <c r="A1" s="1"/>
      <c r="B1" s="1"/>
      <c r="C1" s="1"/>
      <c r="D1" s="2"/>
      <c r="E1" s="2"/>
      <c r="F1" s="2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3"/>
      <c r="T1" s="3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 t="s">
        <v>3421</v>
      </c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</row>
    <row r="2" spans="1:101" ht="18" customHeight="1">
      <c r="A2" s="1"/>
      <c r="B2" s="20" t="s">
        <v>3369</v>
      </c>
      <c r="C2" s="1"/>
      <c r="D2" s="2"/>
      <c r="E2" s="2"/>
      <c r="F2" s="2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3"/>
      <c r="T2" s="3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 t="s">
        <v>3421</v>
      </c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</row>
    <row r="3" spans="1:101" ht="12.75" customHeight="1">
      <c r="A3" s="1"/>
      <c r="B3" s="21" t="s">
        <v>2719</v>
      </c>
      <c r="C3" s="1"/>
      <c r="D3" s="2"/>
      <c r="E3" s="2"/>
      <c r="F3" s="2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3"/>
      <c r="T3" s="3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 t="s">
        <v>3421</v>
      </c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</row>
    <row r="4" spans="1:101" ht="12.75" customHeight="1">
      <c r="A4" s="1"/>
      <c r="B4" s="1"/>
      <c r="C4" s="1"/>
      <c r="D4" s="2"/>
      <c r="E4" s="2"/>
      <c r="F4" s="2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3"/>
      <c r="T4" s="3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 t="s">
        <v>3421</v>
      </c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</row>
    <row r="5" spans="1:101" ht="12.75" customHeight="1">
      <c r="A5" s="4"/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424"/>
      <c r="AQ5" s="424"/>
      <c r="AR5" s="424"/>
      <c r="AS5" s="424"/>
      <c r="AT5" s="424"/>
      <c r="AU5" s="424"/>
      <c r="AV5" s="424"/>
      <c r="AW5" s="424"/>
      <c r="AX5" s="424"/>
      <c r="AY5" s="424"/>
      <c r="AZ5" s="424"/>
      <c r="BA5" s="424"/>
      <c r="BB5" s="424"/>
      <c r="BC5" s="424"/>
      <c r="BD5" s="424"/>
      <c r="BE5" s="424"/>
      <c r="BF5" s="424"/>
      <c r="BG5" s="424"/>
      <c r="BH5" s="424"/>
      <c r="BI5" s="424"/>
      <c r="BJ5" s="424"/>
      <c r="BK5" s="424"/>
      <c r="BL5" s="424"/>
      <c r="BM5" s="424"/>
      <c r="BN5" s="424"/>
      <c r="BO5" s="424"/>
      <c r="BP5" s="424"/>
      <c r="BQ5" s="424"/>
      <c r="BR5" s="424"/>
      <c r="BS5" s="424"/>
      <c r="BT5" s="424"/>
      <c r="BU5" s="424"/>
      <c r="BV5" s="424"/>
      <c r="BW5" s="424"/>
      <c r="BX5" s="424"/>
      <c r="BY5" s="424"/>
      <c r="BZ5" s="424"/>
      <c r="CA5" s="424"/>
      <c r="CB5" s="424"/>
      <c r="CC5" s="424"/>
      <c r="CD5" s="424"/>
    </row>
    <row r="6" spans="1:101" ht="12.75" customHeight="1">
      <c r="A6" s="467" t="str">
        <f>'Key assumptions'!A7:B7&amp;" scenario"</f>
        <v>Forward Curve scenario</v>
      </c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BJ6" s="544"/>
      <c r="BN6" s="544"/>
      <c r="BO6" s="544"/>
      <c r="BP6" s="544"/>
      <c r="BQ6" s="544"/>
      <c r="BR6" s="544"/>
      <c r="BS6" s="544"/>
      <c r="BT6" s="544"/>
      <c r="BU6" s="544"/>
      <c r="BV6" s="544"/>
      <c r="BW6" s="544"/>
      <c r="BX6" s="544"/>
      <c r="BY6" s="544"/>
      <c r="BZ6" s="544"/>
      <c r="CA6" s="544"/>
      <c r="CB6" s="544"/>
      <c r="CC6" s="544"/>
      <c r="CD6" s="544"/>
    </row>
    <row r="7" spans="1:101" ht="12.75" customHeight="1">
      <c r="A7" s="4"/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BA7" s="318"/>
      <c r="BB7" s="318"/>
      <c r="BC7" s="318"/>
      <c r="BD7" s="318"/>
      <c r="BF7" s="318"/>
      <c r="BG7" s="318"/>
      <c r="BH7" s="318"/>
      <c r="BI7" s="318"/>
      <c r="BK7" s="318"/>
      <c r="BL7" s="318"/>
      <c r="BM7" s="318"/>
      <c r="BN7" s="545"/>
      <c r="BO7" s="604"/>
      <c r="BP7" s="562"/>
      <c r="BQ7" s="562"/>
      <c r="BR7" s="562"/>
      <c r="BS7" s="562"/>
      <c r="BT7" s="604"/>
      <c r="BU7" s="562"/>
      <c r="BV7" s="562"/>
      <c r="BW7" s="562"/>
      <c r="BX7" s="562"/>
      <c r="BY7" s="604"/>
      <c r="BZ7" s="562"/>
      <c r="CA7" s="562"/>
      <c r="CB7" s="562"/>
      <c r="CC7" s="562"/>
      <c r="CD7" s="604"/>
    </row>
    <row r="8" spans="1:101">
      <c r="A8" s="467" t="s">
        <v>2468</v>
      </c>
      <c r="BO8" s="604"/>
      <c r="BP8" s="604"/>
      <c r="BQ8" s="604"/>
      <c r="BR8" s="604"/>
      <c r="BS8" s="604"/>
      <c r="BT8" s="604"/>
      <c r="BU8" s="604"/>
      <c r="BV8" s="604"/>
      <c r="BW8" s="604"/>
      <c r="BX8" s="604"/>
      <c r="BY8" s="604"/>
      <c r="BZ8" s="604"/>
      <c r="CA8" s="604"/>
      <c r="CB8" s="604"/>
      <c r="CC8" s="604"/>
      <c r="CD8" s="604"/>
    </row>
    <row r="9" spans="1:101" ht="12.75" customHeight="1">
      <c r="A9" s="211" t="s">
        <v>2206</v>
      </c>
      <c r="B9" s="10"/>
      <c r="C9" s="31">
        <v>2001</v>
      </c>
      <c r="D9" s="32">
        <v>2002</v>
      </c>
      <c r="E9" s="32">
        <v>2003</v>
      </c>
      <c r="F9" s="32">
        <v>2004</v>
      </c>
      <c r="G9" s="31">
        <v>2005</v>
      </c>
      <c r="H9" s="33" t="s">
        <v>714</v>
      </c>
      <c r="I9" s="33" t="s">
        <v>715</v>
      </c>
      <c r="J9" s="33" t="s">
        <v>716</v>
      </c>
      <c r="K9" s="33" t="s">
        <v>717</v>
      </c>
      <c r="L9" s="31">
        <v>2006</v>
      </c>
      <c r="M9" s="33" t="s">
        <v>718</v>
      </c>
      <c r="N9" s="33" t="s">
        <v>719</v>
      </c>
      <c r="O9" s="33" t="s">
        <v>1970</v>
      </c>
      <c r="P9" s="33" t="s">
        <v>1971</v>
      </c>
      <c r="Q9" s="31">
        <v>2007</v>
      </c>
      <c r="R9" s="33" t="s">
        <v>1972</v>
      </c>
      <c r="S9" s="33" t="s">
        <v>1973</v>
      </c>
      <c r="T9" s="33" t="s">
        <v>1974</v>
      </c>
      <c r="U9" s="33" t="s">
        <v>1975</v>
      </c>
      <c r="V9" s="31">
        <v>2008</v>
      </c>
      <c r="W9" s="33" t="s">
        <v>1976</v>
      </c>
      <c r="X9" s="33" t="s">
        <v>1977</v>
      </c>
      <c r="Y9" s="33" t="s">
        <v>1978</v>
      </c>
      <c r="Z9" s="33" t="s">
        <v>1979</v>
      </c>
      <c r="AA9" s="31">
        <v>2009</v>
      </c>
      <c r="AB9" s="33" t="s">
        <v>1980</v>
      </c>
      <c r="AC9" s="33" t="s">
        <v>1981</v>
      </c>
      <c r="AD9" s="33" t="s">
        <v>1982</v>
      </c>
      <c r="AE9" s="33" t="s">
        <v>2392</v>
      </c>
      <c r="AF9" s="31">
        <v>2010</v>
      </c>
      <c r="AG9" s="33" t="s">
        <v>2393</v>
      </c>
      <c r="AH9" s="33" t="s">
        <v>2394</v>
      </c>
      <c r="AI9" s="33" t="s">
        <v>2395</v>
      </c>
      <c r="AJ9" s="368" t="s">
        <v>2396</v>
      </c>
      <c r="AK9" s="369">
        <v>2011</v>
      </c>
      <c r="AL9" s="368" t="s">
        <v>2397</v>
      </c>
      <c r="AM9" s="368" t="s">
        <v>2398</v>
      </c>
      <c r="AN9" s="33" t="s">
        <v>2399</v>
      </c>
      <c r="AO9" s="368" t="s">
        <v>2400</v>
      </c>
      <c r="AP9" s="369">
        <v>2012</v>
      </c>
      <c r="AQ9" s="368" t="s">
        <v>2401</v>
      </c>
      <c r="AR9" s="368" t="s">
        <v>2402</v>
      </c>
      <c r="AS9" s="368" t="s">
        <v>2403</v>
      </c>
      <c r="AT9" s="368" t="s">
        <v>2404</v>
      </c>
      <c r="AU9" s="369">
        <v>2013</v>
      </c>
      <c r="AV9" s="368" t="s">
        <v>2405</v>
      </c>
      <c r="AW9" s="368" t="s">
        <v>2406</v>
      </c>
      <c r="AX9" s="368" t="s">
        <v>2407</v>
      </c>
      <c r="AY9" s="368" t="s">
        <v>2408</v>
      </c>
      <c r="AZ9" s="369">
        <v>2014</v>
      </c>
      <c r="BA9" s="368" t="s">
        <v>2409</v>
      </c>
      <c r="BB9" s="368" t="s">
        <v>2410</v>
      </c>
      <c r="BC9" s="368" t="s">
        <v>2411</v>
      </c>
      <c r="BD9" s="368" t="s">
        <v>2412</v>
      </c>
      <c r="BE9" s="31">
        <v>2015</v>
      </c>
      <c r="BF9" s="368" t="s">
        <v>2413</v>
      </c>
      <c r="BG9" s="368" t="s">
        <v>2414</v>
      </c>
      <c r="BH9" s="368" t="s">
        <v>2415</v>
      </c>
      <c r="BI9" s="368" t="s">
        <v>2416</v>
      </c>
      <c r="BJ9" s="31">
        <v>2016</v>
      </c>
      <c r="BK9" s="368" t="s">
        <v>2417</v>
      </c>
      <c r="BL9" s="368" t="s">
        <v>2418</v>
      </c>
      <c r="BM9" s="368" t="s">
        <v>2419</v>
      </c>
      <c r="BN9" s="368" t="s">
        <v>2420</v>
      </c>
      <c r="BO9" s="31">
        <v>2017</v>
      </c>
      <c r="BP9" s="363" t="s">
        <v>2244</v>
      </c>
      <c r="BQ9" s="363" t="s">
        <v>2245</v>
      </c>
      <c r="BR9" s="363" t="s">
        <v>2508</v>
      </c>
      <c r="BS9" s="363" t="s">
        <v>2509</v>
      </c>
      <c r="BT9" s="364">
        <v>2018</v>
      </c>
      <c r="BU9" s="363" t="s">
        <v>2510</v>
      </c>
      <c r="BV9" s="363" t="s">
        <v>2511</v>
      </c>
      <c r="BW9" s="363" t="s">
        <v>3125</v>
      </c>
      <c r="BX9" s="363" t="s">
        <v>1405</v>
      </c>
      <c r="BY9" s="364">
        <v>2019</v>
      </c>
      <c r="BZ9" s="363" t="s">
        <v>1406</v>
      </c>
      <c r="CA9" s="363" t="s">
        <v>1407</v>
      </c>
      <c r="CB9" s="363" t="s">
        <v>1408</v>
      </c>
      <c r="CC9" s="363" t="s">
        <v>1409</v>
      </c>
      <c r="CD9" s="364">
        <v>2020</v>
      </c>
    </row>
    <row r="10" spans="1:101">
      <c r="A10" s="723" t="s">
        <v>3634</v>
      </c>
      <c r="D10" s="348"/>
      <c r="E10" s="348"/>
      <c r="F10" s="348">
        <f>F43-F39-'Income statement'!F38</f>
        <v>24852</v>
      </c>
      <c r="G10" s="348">
        <f>G43-G39-'Income statement'!G38</f>
        <v>28131</v>
      </c>
      <c r="H10" s="423">
        <f>H43-H39-'Income statement'!H38</f>
        <v>8589</v>
      </c>
      <c r="I10" s="423">
        <f>I43-I39-'Income statement'!I38</f>
        <v>8106</v>
      </c>
      <c r="J10" s="423">
        <f>J43-J39-'Income statement'!J38</f>
        <v>5569</v>
      </c>
      <c r="K10" s="423">
        <f>K43-K39-'Income statement'!K38</f>
        <v>5565</v>
      </c>
      <c r="L10" s="348">
        <f>L43-L39-'Income statement'!L38</f>
        <v>27829</v>
      </c>
      <c r="M10" s="423">
        <f>M43-M39-'Income statement'!M38</f>
        <v>9233.5</v>
      </c>
      <c r="N10" s="423">
        <f>N43-N39-'Income statement'!N38</f>
        <v>6673.5</v>
      </c>
      <c r="O10" s="423">
        <f>O43-O39-'Income statement'!O38</f>
        <v>7468.5</v>
      </c>
      <c r="P10" s="423">
        <f>P43-P39-'Income statement'!P38</f>
        <v>4760.5</v>
      </c>
      <c r="Q10" s="348">
        <f>Q43-Q39-'Income statement'!Q38</f>
        <v>28136</v>
      </c>
      <c r="R10" s="423">
        <f>R43-R39-'Income statement'!R38</f>
        <v>8694</v>
      </c>
      <c r="S10" s="423">
        <f>S43-S39-'Income statement'!S38</f>
        <v>2769</v>
      </c>
      <c r="T10" s="423">
        <f>T43-T39-'Income statement'!T38</f>
        <v>15507</v>
      </c>
      <c r="U10" s="423">
        <f>U43-U39-'Income statement'!U38</f>
        <v>10213</v>
      </c>
      <c r="V10" s="348">
        <f>V43-V39-'Income statement'!V38</f>
        <v>37183</v>
      </c>
      <c r="W10" s="423">
        <f>W43-W39-'Income statement'!W38</f>
        <v>6296</v>
      </c>
      <c r="X10" s="423">
        <f>X43-X39-'Income statement'!X38</f>
        <v>6411</v>
      </c>
      <c r="Y10" s="423">
        <f>Y43-Y39-'Income statement'!Y38</f>
        <v>8643</v>
      </c>
      <c r="Z10" s="423">
        <f>Z43-Z39-'Income statement'!Z38</f>
        <v>7339</v>
      </c>
      <c r="AA10" s="348">
        <f>AA43-AA39-'Income statement'!AA38</f>
        <v>28689</v>
      </c>
      <c r="AB10" s="423">
        <f>AB43-AB39-'Income statement'!AB38</f>
        <v>6939</v>
      </c>
      <c r="AC10" s="423">
        <f>AC43-AC39-'Income statement'!AC38</f>
        <v>6657</v>
      </c>
      <c r="AD10" s="423">
        <f>AD43-AD39-'Income statement'!AD38</f>
        <v>-863</v>
      </c>
      <c r="AE10" s="423">
        <f>AE43-AE39-'Income statement'!AE38</f>
        <v>-1404</v>
      </c>
      <c r="AF10" s="348">
        <f>AF43-AF39-'Income statement'!AF38</f>
        <v>11329</v>
      </c>
      <c r="AG10" s="423">
        <f>AG43-AG39-'Income statement'!AG38</f>
        <v>3953</v>
      </c>
      <c r="AH10" s="423">
        <f>AH43-AH39-'Income statement'!AH38</f>
        <v>7287</v>
      </c>
      <c r="AI10" s="423">
        <f>AI43-AI39-'Income statement'!AI38</f>
        <v>5991</v>
      </c>
      <c r="AJ10" s="423">
        <f>AJ43-AJ39-'Income statement'!AJ38</f>
        <v>2654</v>
      </c>
      <c r="AK10" s="348">
        <f>AK43-AK39-'Income statement'!AK38</f>
        <v>19885</v>
      </c>
      <c r="AL10" s="423">
        <f>AL43-AL39-'Income statement'!AL38</f>
        <v>5369</v>
      </c>
      <c r="AM10" s="423">
        <f>AM43-AM39-'Income statement'!AM38</f>
        <v>5554</v>
      </c>
      <c r="AN10" s="423">
        <f>AN43-AN39-'Income statement'!AN38</f>
        <v>5381</v>
      </c>
      <c r="AO10" s="423">
        <f>AO43-AO39-'Income statement'!AO38</f>
        <v>6248</v>
      </c>
      <c r="AP10" s="348">
        <f>AP43-AP39-'Income statement'!AP38</f>
        <v>22552</v>
      </c>
      <c r="AQ10" s="423">
        <f>AQ43-AQ39-'Income statement'!AQ38</f>
        <v>7779</v>
      </c>
      <c r="AR10" s="423">
        <f>AR43-AR39-'Income statement'!AR38</f>
        <v>6485</v>
      </c>
      <c r="AS10" s="423">
        <f>AS43-AS39-'Income statement'!AS38</f>
        <v>6378</v>
      </c>
      <c r="AT10" s="423">
        <f>AT43-AT39-'Income statement'!AT38</f>
        <v>5163</v>
      </c>
      <c r="AU10" s="348">
        <f>AU43-AU39-'Income statement'!AU38</f>
        <v>25805</v>
      </c>
      <c r="AV10" s="423">
        <f>AV43-AV39-'Income statement'!AV38</f>
        <v>7743</v>
      </c>
      <c r="AW10" s="423">
        <f>AW43-AW39-'Income statement'!AW38</f>
        <v>6738</v>
      </c>
      <c r="AX10" s="423">
        <f>AX43-AX39-'Income statement'!AX38</f>
        <v>9351</v>
      </c>
      <c r="AY10" s="423">
        <f>AY43-AY39-'Income statement'!AY38</f>
        <v>10563</v>
      </c>
      <c r="AZ10" s="348">
        <f>AZ43-AZ39-'Income statement'!AZ38</f>
        <v>34395</v>
      </c>
      <c r="BA10" s="423">
        <f>BA43-BA39-'Income statement'!BA38</f>
        <v>3866</v>
      </c>
      <c r="BB10" s="423">
        <f>BB43-BB39-'Income statement'!BB38</f>
        <v>4758</v>
      </c>
      <c r="BC10" s="423">
        <f>BC43-BC39-'Income statement'!BC38</f>
        <v>6731</v>
      </c>
      <c r="BD10" s="423">
        <f>BD43-BD39-'Income statement'!BD38</f>
        <v>5412</v>
      </c>
      <c r="BE10" s="348">
        <f>BE43-BE39-'Income statement'!BE38</f>
        <v>20767</v>
      </c>
      <c r="BF10" s="423">
        <f>BF43-BF39-'Income statement'!BF38</f>
        <v>2741</v>
      </c>
      <c r="BG10" s="423">
        <f>BG43-BG39-'Income statement'!BG38</f>
        <v>1759</v>
      </c>
      <c r="BH10" s="423">
        <f>BH43-BH39-'Income statement'!BH38</f>
        <v>1844</v>
      </c>
      <c r="BI10" s="423">
        <f>BI43-BI39-'Income statement'!BI38</f>
        <v>16</v>
      </c>
      <c r="BJ10" s="348">
        <f>BJ43-BJ39-'Income statement'!BJ38</f>
        <v>6360</v>
      </c>
      <c r="BK10" s="423">
        <f>BK43-BK39-'Income statement'!BK38</f>
        <v>3377</v>
      </c>
      <c r="BL10" s="423">
        <f>BL43-BL39-'Income statement'!BL38</f>
        <v>3899</v>
      </c>
      <c r="BM10" s="423">
        <f>BM43-BM39-'Income statement'!BM38</f>
        <v>4234</v>
      </c>
      <c r="BN10" s="423">
        <f>BN43-BN39-'Income statement'!BN38</f>
        <v>4093</v>
      </c>
      <c r="BO10" s="348">
        <f>BO43-BO39-'Income statement'!BO38</f>
        <v>15603</v>
      </c>
      <c r="BP10">
        <f t="shared" ref="BP10:BQ10" si="0">BP43-BP39</f>
        <v>0</v>
      </c>
      <c r="BQ10">
        <f t="shared" si="0"/>
        <v>0</v>
      </c>
      <c r="BR10">
        <f t="shared" ref="BR10:CD10" si="1">BR43-BR39</f>
        <v>0</v>
      </c>
      <c r="BS10">
        <f t="shared" si="1"/>
        <v>0</v>
      </c>
      <c r="BT10" s="348">
        <f t="shared" ca="1" si="1"/>
        <v>24378.629924385143</v>
      </c>
      <c r="BU10">
        <f t="shared" si="1"/>
        <v>0</v>
      </c>
      <c r="BV10">
        <f t="shared" si="1"/>
        <v>0</v>
      </c>
      <c r="BW10">
        <f t="shared" si="1"/>
        <v>0</v>
      </c>
      <c r="BX10">
        <f t="shared" si="1"/>
        <v>0</v>
      </c>
      <c r="BY10" s="348">
        <f t="shared" ca="1" si="1"/>
        <v>26318.560568289595</v>
      </c>
      <c r="BZ10">
        <f t="shared" si="1"/>
        <v>0</v>
      </c>
      <c r="CA10">
        <f t="shared" si="1"/>
        <v>0</v>
      </c>
      <c r="CB10">
        <f t="shared" si="1"/>
        <v>0</v>
      </c>
      <c r="CC10">
        <f t="shared" si="1"/>
        <v>0</v>
      </c>
      <c r="CD10" s="348">
        <f t="shared" ca="1" si="1"/>
        <v>28139.726436063145</v>
      </c>
      <c r="CR10" s="376"/>
    </row>
    <row r="11" spans="1:101">
      <c r="A11" s="724" t="s">
        <v>1153</v>
      </c>
      <c r="D11" s="348"/>
      <c r="E11" s="348"/>
      <c r="F11" s="348">
        <f>Capex!F14</f>
        <v>16651</v>
      </c>
      <c r="G11" s="348">
        <f>Capex!G14</f>
        <v>14149</v>
      </c>
      <c r="H11" s="423">
        <f>Capex!H14</f>
        <v>3258</v>
      </c>
      <c r="I11" s="423">
        <f>Capex!I14</f>
        <v>3712</v>
      </c>
      <c r="J11" s="423">
        <f>Capex!J14</f>
        <v>4824</v>
      </c>
      <c r="K11" s="423">
        <f>Capex!K14</f>
        <v>5437</v>
      </c>
      <c r="L11" s="348">
        <f>Capex!L14</f>
        <v>17231</v>
      </c>
      <c r="M11" s="423">
        <f>Capex!M14</f>
        <v>4760</v>
      </c>
      <c r="N11" s="423">
        <f>Capex!N14</f>
        <v>4696</v>
      </c>
      <c r="O11" s="423">
        <f>Capex!O14</f>
        <v>4572</v>
      </c>
      <c r="P11" s="423">
        <f>Capex!P14</f>
        <v>6613</v>
      </c>
      <c r="Q11" s="348">
        <f>Capex!Q14</f>
        <v>20641</v>
      </c>
      <c r="R11" s="423">
        <f>Capex!R14</f>
        <v>9045</v>
      </c>
      <c r="S11" s="423">
        <f>Capex!S14</f>
        <v>5802</v>
      </c>
      <c r="T11" s="423">
        <f>Capex!T14</f>
        <v>8858</v>
      </c>
      <c r="U11" s="423">
        <f>Capex!U14</f>
        <v>6995</v>
      </c>
      <c r="V11" s="348">
        <f>Capex!V14</f>
        <v>30700</v>
      </c>
      <c r="W11" s="423">
        <f>Capex!W14</f>
        <v>4595</v>
      </c>
      <c r="X11" s="423">
        <f>Capex!X14</f>
        <v>4818</v>
      </c>
      <c r="Y11" s="423">
        <f>Capex!Y14</f>
        <v>4983</v>
      </c>
      <c r="Z11" s="423">
        <f>Capex!Z14</f>
        <v>5913</v>
      </c>
      <c r="AA11" s="348">
        <f>Capex!AA14</f>
        <v>20309</v>
      </c>
      <c r="AB11" s="423">
        <f>Capex!AB14</f>
        <v>4687</v>
      </c>
      <c r="AC11" s="423">
        <f>Capex!AC14</f>
        <v>6212</v>
      </c>
      <c r="AD11" s="423">
        <f>Capex!AD14</f>
        <v>6656</v>
      </c>
      <c r="AE11" s="423">
        <f>Capex!AE14</f>
        <v>5461</v>
      </c>
      <c r="AF11" s="348">
        <f>Capex!AF14</f>
        <v>23016</v>
      </c>
      <c r="AG11" s="423">
        <f>Capex!AG14</f>
        <v>4021</v>
      </c>
      <c r="AH11" s="423">
        <f>Capex!AH14</f>
        <v>8194</v>
      </c>
      <c r="AI11" s="423">
        <f>Capex!AI14</f>
        <v>11658</v>
      </c>
      <c r="AJ11" s="423">
        <f>Capex!AJ14</f>
        <v>7645</v>
      </c>
      <c r="AK11" s="348">
        <f>Capex!AK14</f>
        <v>31518</v>
      </c>
      <c r="AL11" s="423">
        <f>Capex!AL14</f>
        <v>5648</v>
      </c>
      <c r="AM11" s="423">
        <f>Capex!AM14</f>
        <v>5431</v>
      </c>
      <c r="AN11" s="423">
        <f>Capex!AN14</f>
        <v>6125</v>
      </c>
      <c r="AO11" s="423">
        <f>Capex!AO14</f>
        <v>7138</v>
      </c>
      <c r="AP11" s="348">
        <f>Capex!AP14</f>
        <v>24342</v>
      </c>
      <c r="AQ11" s="423">
        <f>Capex!AQ19</f>
        <v>5710</v>
      </c>
      <c r="AR11" s="423">
        <f>Capex!AR19</f>
        <v>5820</v>
      </c>
      <c r="AS11" s="423">
        <f>Capex!AS19</f>
        <v>5922</v>
      </c>
      <c r="AT11" s="423">
        <f>Capex!AT19</f>
        <v>7148</v>
      </c>
      <c r="AU11" s="348">
        <f>Capex!AU19</f>
        <v>24600</v>
      </c>
      <c r="AV11" s="423">
        <f>Capex!AV19</f>
        <v>5407</v>
      </c>
      <c r="AW11" s="460">
        <f>Capex!AW19</f>
        <v>5603</v>
      </c>
      <c r="AX11" s="423">
        <f>Capex!AX19</f>
        <v>5325</v>
      </c>
      <c r="AY11" s="423">
        <f>Capex!AY19</f>
        <v>6557</v>
      </c>
      <c r="AZ11" s="348">
        <f>Capex!AZ19</f>
        <v>22892</v>
      </c>
      <c r="BA11" s="423">
        <f>Capex!BA19</f>
        <v>4437</v>
      </c>
      <c r="BB11" s="423">
        <f>Capex!BB19</f>
        <v>4493</v>
      </c>
      <c r="BC11" s="423">
        <f>Capex!BC19</f>
        <v>4286</v>
      </c>
      <c r="BD11" s="423">
        <f>Capex!BD19</f>
        <v>5532</v>
      </c>
      <c r="BE11" s="348">
        <f>Capex!BE19</f>
        <v>18748</v>
      </c>
      <c r="BF11" s="423">
        <f>Capex!BF19</f>
        <v>3944</v>
      </c>
      <c r="BG11" s="423">
        <f>Capex!BG19</f>
        <v>3919</v>
      </c>
      <c r="BH11" s="423">
        <f>Capex!BH19</f>
        <v>3622</v>
      </c>
      <c r="BI11" s="423">
        <f>Capex!BI19</f>
        <v>6955</v>
      </c>
      <c r="BJ11" s="348">
        <f>Capex!BJ19</f>
        <v>18440</v>
      </c>
      <c r="BK11" s="423">
        <f>Capex!BK19</f>
        <v>3538</v>
      </c>
      <c r="BL11" s="423">
        <f>Capex!BL19</f>
        <v>4348</v>
      </c>
      <c r="BM11" s="423">
        <f>Capex!BM19</f>
        <v>3993</v>
      </c>
      <c r="BN11" s="423">
        <f>Capex!BN19</f>
        <v>4622</v>
      </c>
      <c r="BO11" s="348">
        <f>Capex!BO19</f>
        <v>16501</v>
      </c>
      <c r="BT11" s="348">
        <f>Capex!BT19</f>
        <v>15900</v>
      </c>
      <c r="BY11" s="348">
        <f>Capex!BY19</f>
        <v>16250</v>
      </c>
      <c r="CD11" s="348">
        <f>Capex!CD19</f>
        <v>16250</v>
      </c>
      <c r="CI11" s="351"/>
    </row>
    <row r="12" spans="1:101">
      <c r="A12" s="724" t="s">
        <v>1079</v>
      </c>
      <c r="D12" s="348"/>
      <c r="E12" s="348"/>
      <c r="F12" s="348">
        <f t="shared" ref="F12:AV12" si="2">F10-F11</f>
        <v>8201</v>
      </c>
      <c r="G12" s="348">
        <f t="shared" si="2"/>
        <v>13982</v>
      </c>
      <c r="H12" s="423">
        <f t="shared" si="2"/>
        <v>5331</v>
      </c>
      <c r="I12" s="423">
        <f t="shared" si="2"/>
        <v>4394</v>
      </c>
      <c r="J12" s="423">
        <f t="shared" si="2"/>
        <v>745</v>
      </c>
      <c r="K12" s="423">
        <f t="shared" si="2"/>
        <v>128</v>
      </c>
      <c r="L12" s="348">
        <f t="shared" si="2"/>
        <v>10598</v>
      </c>
      <c r="M12" s="423">
        <f t="shared" si="2"/>
        <v>4473.5</v>
      </c>
      <c r="N12" s="423">
        <f t="shared" si="2"/>
        <v>1977.5</v>
      </c>
      <c r="O12" s="423">
        <f t="shared" si="2"/>
        <v>2896.5</v>
      </c>
      <c r="P12" s="423">
        <f t="shared" si="2"/>
        <v>-1852.5</v>
      </c>
      <c r="Q12" s="348">
        <f t="shared" si="2"/>
        <v>7495</v>
      </c>
      <c r="R12" s="423">
        <f t="shared" si="2"/>
        <v>-351</v>
      </c>
      <c r="S12" s="423">
        <f t="shared" si="2"/>
        <v>-3033</v>
      </c>
      <c r="T12" s="423">
        <f t="shared" si="2"/>
        <v>6649</v>
      </c>
      <c r="U12" s="423">
        <f t="shared" si="2"/>
        <v>3218</v>
      </c>
      <c r="V12" s="348">
        <f t="shared" si="2"/>
        <v>6483</v>
      </c>
      <c r="W12" s="423">
        <f t="shared" si="2"/>
        <v>1701</v>
      </c>
      <c r="X12" s="423">
        <f t="shared" si="2"/>
        <v>1593</v>
      </c>
      <c r="Y12" s="423">
        <f t="shared" si="2"/>
        <v>3660</v>
      </c>
      <c r="Z12" s="423">
        <f t="shared" si="2"/>
        <v>1426</v>
      </c>
      <c r="AA12" s="348">
        <f t="shared" si="2"/>
        <v>8380</v>
      </c>
      <c r="AB12" s="423">
        <f t="shared" si="2"/>
        <v>2252</v>
      </c>
      <c r="AC12" s="423">
        <f t="shared" si="2"/>
        <v>445</v>
      </c>
      <c r="AD12" s="423">
        <f t="shared" si="2"/>
        <v>-7519</v>
      </c>
      <c r="AE12" s="423">
        <f t="shared" si="2"/>
        <v>-6865</v>
      </c>
      <c r="AF12" s="348">
        <f t="shared" si="2"/>
        <v>-11687</v>
      </c>
      <c r="AG12" s="423">
        <f t="shared" si="2"/>
        <v>-68</v>
      </c>
      <c r="AH12" s="423">
        <f t="shared" si="2"/>
        <v>-907</v>
      </c>
      <c r="AI12" s="423">
        <f t="shared" si="2"/>
        <v>-5667</v>
      </c>
      <c r="AJ12" s="423">
        <f t="shared" si="2"/>
        <v>-4991</v>
      </c>
      <c r="AK12" s="348">
        <f t="shared" si="2"/>
        <v>-11633</v>
      </c>
      <c r="AL12" s="423">
        <f t="shared" si="2"/>
        <v>-279</v>
      </c>
      <c r="AM12" s="423">
        <f t="shared" si="2"/>
        <v>123</v>
      </c>
      <c r="AN12" s="423">
        <f t="shared" si="2"/>
        <v>-744</v>
      </c>
      <c r="AO12" s="423">
        <f t="shared" si="2"/>
        <v>-890</v>
      </c>
      <c r="AP12" s="348">
        <f t="shared" si="2"/>
        <v>-1790</v>
      </c>
      <c r="AQ12" s="423">
        <f t="shared" si="2"/>
        <v>2069</v>
      </c>
      <c r="AR12" s="423">
        <f t="shared" si="2"/>
        <v>665</v>
      </c>
      <c r="AS12" s="423">
        <f t="shared" si="2"/>
        <v>456</v>
      </c>
      <c r="AT12" s="423">
        <f t="shared" si="2"/>
        <v>-1985</v>
      </c>
      <c r="AU12" s="348">
        <f>AU10-AU11</f>
        <v>1205</v>
      </c>
      <c r="AV12" s="423">
        <f t="shared" si="2"/>
        <v>2336</v>
      </c>
      <c r="AW12" s="423">
        <f t="shared" ref="AW12:BF12" si="3">AW10-AW11</f>
        <v>1135</v>
      </c>
      <c r="AX12" s="423">
        <f t="shared" si="3"/>
        <v>4026</v>
      </c>
      <c r="AY12" s="423">
        <f t="shared" si="3"/>
        <v>4006</v>
      </c>
      <c r="AZ12" s="348">
        <f t="shared" si="3"/>
        <v>11503</v>
      </c>
      <c r="BA12" s="423">
        <f t="shared" si="3"/>
        <v>-571</v>
      </c>
      <c r="BB12" s="423">
        <f t="shared" si="3"/>
        <v>265</v>
      </c>
      <c r="BC12" s="423">
        <f t="shared" si="3"/>
        <v>2445</v>
      </c>
      <c r="BD12" s="423">
        <f t="shared" si="3"/>
        <v>-120</v>
      </c>
      <c r="BE12" s="348">
        <f t="shared" si="3"/>
        <v>2019</v>
      </c>
      <c r="BF12" s="423">
        <f t="shared" si="3"/>
        <v>-1203</v>
      </c>
      <c r="BG12" s="423">
        <f t="shared" ref="BG12:BH12" si="4">BG10-BG11</f>
        <v>-2160</v>
      </c>
      <c r="BH12" s="423">
        <f t="shared" si="4"/>
        <v>-1778</v>
      </c>
      <c r="BI12" s="423">
        <f t="shared" ref="BI12" si="5">BI10-BI11</f>
        <v>-6939</v>
      </c>
      <c r="BJ12" s="348">
        <f>BJ10-BJ11</f>
        <v>-12080</v>
      </c>
      <c r="BK12" s="423">
        <f t="shared" ref="BK12:BM12" si="6">BK10-BK11</f>
        <v>-161</v>
      </c>
      <c r="BL12" s="423">
        <f t="shared" si="6"/>
        <v>-449</v>
      </c>
      <c r="BM12" s="423">
        <f t="shared" si="6"/>
        <v>241</v>
      </c>
      <c r="BN12" s="423">
        <f t="shared" ref="BN12" si="7">BN10-BN11</f>
        <v>-529</v>
      </c>
      <c r="BO12" s="348">
        <f>BO10-BO11</f>
        <v>-898</v>
      </c>
      <c r="BT12" s="348">
        <f ca="1">BT10-BT11</f>
        <v>8478.6299243851427</v>
      </c>
      <c r="BY12" s="348">
        <f ca="1">BY10-BY11</f>
        <v>10068.560568289595</v>
      </c>
      <c r="CD12" s="348">
        <f ca="1">CD10-CD11</f>
        <v>11889.726436063145</v>
      </c>
      <c r="CR12" s="656"/>
      <c r="CS12" s="642"/>
      <c r="CT12" s="613"/>
      <c r="CW12" s="466"/>
    </row>
    <row r="13" spans="1:101">
      <c r="A13" s="724" t="s">
        <v>1152</v>
      </c>
      <c r="D13" s="348"/>
      <c r="E13" s="348"/>
      <c r="F13" s="348">
        <f>Other!F22</f>
        <v>5962.6959059999999</v>
      </c>
      <c r="G13" s="348">
        <f>Other!G22</f>
        <v>7198.9800845715008</v>
      </c>
      <c r="H13" s="316"/>
      <c r="I13" s="316"/>
      <c r="J13" s="316"/>
      <c r="K13" s="316"/>
      <c r="L13" s="348">
        <f>Other!L22</f>
        <v>7492.0306521600005</v>
      </c>
      <c r="M13" s="316"/>
      <c r="N13" s="316"/>
      <c r="O13" s="316"/>
      <c r="P13" s="316"/>
      <c r="Q13" s="348">
        <f>Other!Q22</f>
        <v>8004.3384779999997</v>
      </c>
      <c r="R13" s="469">
        <f>S13</f>
        <v>2575.8030227572499</v>
      </c>
      <c r="S13" s="469">
        <f>T13</f>
        <v>2575.8030227572499</v>
      </c>
      <c r="T13" s="469">
        <f>U13</f>
        <v>2575.8030227572499</v>
      </c>
      <c r="U13" s="469">
        <f>V13/4</f>
        <v>2575.8030227572499</v>
      </c>
      <c r="V13" s="348">
        <f>Other!V22</f>
        <v>10303.212091029</v>
      </c>
      <c r="W13" s="423">
        <f>Other!W22</f>
        <v>2621.4699000000001</v>
      </c>
      <c r="X13" s="423">
        <f>Other!X22</f>
        <v>2621.9428200000002</v>
      </c>
      <c r="Y13" s="423">
        <f>Other!Y22</f>
        <v>2623.5426000000002</v>
      </c>
      <c r="Z13" s="423">
        <f>Other!Z22</f>
        <v>2625.7529200000004</v>
      </c>
      <c r="AA13" s="348">
        <f>Other!AA22</f>
        <v>10503.01179816</v>
      </c>
      <c r="AB13" s="423">
        <f>Other!AB22</f>
        <v>2629.8105399999999</v>
      </c>
      <c r="AC13" s="423">
        <f>Other!AC22</f>
        <v>0</v>
      </c>
      <c r="AD13" s="423">
        <f>Other!AD22</f>
        <v>0</v>
      </c>
      <c r="AE13" s="423">
        <f>Other!AE22</f>
        <v>0</v>
      </c>
      <c r="AF13" s="348">
        <f>Other!AF22</f>
        <v>2631.5096863999997</v>
      </c>
      <c r="AG13" s="423">
        <f>Other!AG22</f>
        <v>1320.6572399999998</v>
      </c>
      <c r="AH13" s="423">
        <f>Other!AH22</f>
        <v>1325.8063</v>
      </c>
      <c r="AI13" s="423">
        <f>Other!AI22</f>
        <v>1327.0634299999999</v>
      </c>
      <c r="AJ13" s="423">
        <f>Other!AJ22</f>
        <v>1518.1771200000001</v>
      </c>
      <c r="AK13" s="348">
        <f>Other!AK22</f>
        <v>5503.3920600000001</v>
      </c>
      <c r="AL13" s="423">
        <f>Other!AL22</f>
        <v>1521.2966399999998</v>
      </c>
      <c r="AM13" s="423">
        <f>Other!AM22</f>
        <v>1521.2966399999998</v>
      </c>
      <c r="AN13" s="423">
        <f>Other!AN22</f>
        <v>1714.6680299999998</v>
      </c>
      <c r="AO13" s="423">
        <f>Other!AO22</f>
        <v>1720.7781300000001</v>
      </c>
      <c r="AP13" s="348">
        <f>Other!AP22</f>
        <v>6500.71738</v>
      </c>
      <c r="AQ13" s="423">
        <f>Other!AQ22</f>
        <v>1723.8227400000001</v>
      </c>
      <c r="AR13" s="423">
        <f>Other!AR22</f>
        <v>1704.2014799999999</v>
      </c>
      <c r="AS13" s="423">
        <f>Other!AS22</f>
        <v>1788.0155199999999</v>
      </c>
      <c r="AT13" s="423">
        <f>Other!AT22</f>
        <v>1768.0914550000002</v>
      </c>
      <c r="AU13" s="348">
        <f>Other!AU22</f>
        <v>6886.2509300000011</v>
      </c>
      <c r="AV13" s="423">
        <f>Other!AV22</f>
        <v>1799.5583774999998</v>
      </c>
      <c r="AW13" s="423">
        <f>Other!AW22</f>
        <v>1797.4384349999998</v>
      </c>
      <c r="AX13" s="423">
        <f>Other!AX22</f>
        <v>1831.1460999999999</v>
      </c>
      <c r="AY13" s="423">
        <f>Other!AY22</f>
        <v>1819.9882</v>
      </c>
      <c r="AZ13" s="348">
        <f>Other!AZ22</f>
        <v>7188.9533900000006</v>
      </c>
      <c r="BA13" s="423">
        <f>Other!BA22</f>
        <v>1824.9421999999997</v>
      </c>
      <c r="BB13" s="423">
        <f>Other!BB22</f>
        <v>1831.8924</v>
      </c>
      <c r="BC13" s="423">
        <f>Other!BC22</f>
        <v>1834.9963</v>
      </c>
      <c r="BD13" s="423">
        <f>Other!BD22</f>
        <v>1841.2391999999998</v>
      </c>
      <c r="BE13" s="348">
        <f>Other!BE22</f>
        <v>7364.956799999999</v>
      </c>
      <c r="BF13" s="423">
        <f>Other!BF22</f>
        <v>1863.5861000000002</v>
      </c>
      <c r="BG13" s="423">
        <f>Other!BG22</f>
        <v>1877.7156</v>
      </c>
      <c r="BH13" s="423">
        <f>Other!BH22</f>
        <v>1891.2989000000002</v>
      </c>
      <c r="BI13" s="423">
        <f>Other!BI22</f>
        <v>1943.8990000000003</v>
      </c>
      <c r="BJ13" s="348">
        <f>Other!BJ22</f>
        <v>7775.5960000000014</v>
      </c>
      <c r="BK13" s="423">
        <f>Other!BK22</f>
        <v>1966.4527999999998</v>
      </c>
      <c r="BL13" s="423">
        <f>Other!BL22</f>
        <v>1973.8565999999998</v>
      </c>
      <c r="BM13" s="423">
        <f>Other!BM22</f>
        <v>1979.7657000000002</v>
      </c>
      <c r="BN13" s="423">
        <f>Other!BN22</f>
        <v>1981.7325000000001</v>
      </c>
      <c r="BO13" s="348">
        <f>Other!BO22</f>
        <v>7926.93</v>
      </c>
      <c r="BT13" s="348">
        <f>Other!BT22</f>
        <v>7926.1904763889406</v>
      </c>
      <c r="BY13" s="348">
        <f>Other!BY22</f>
        <v>7926.1904763889079</v>
      </c>
      <c r="CD13" s="348">
        <f>Other!CD22</f>
        <v>7926.1904763889079</v>
      </c>
      <c r="CR13" s="656"/>
      <c r="CS13" s="642"/>
      <c r="CT13" s="613"/>
      <c r="CW13" s="466"/>
    </row>
    <row r="14" spans="1:101">
      <c r="A14" s="725" t="s">
        <v>1080</v>
      </c>
      <c r="B14" s="289"/>
      <c r="C14" s="289"/>
      <c r="D14" s="482"/>
      <c r="E14" s="482"/>
      <c r="F14" s="482">
        <f>F12/F13</f>
        <v>1.3753845792718848</v>
      </c>
      <c r="G14" s="482">
        <f>G12/G13</f>
        <v>1.9422195694033844</v>
      </c>
      <c r="H14" s="483"/>
      <c r="I14" s="483"/>
      <c r="J14" s="483"/>
      <c r="K14" s="483"/>
      <c r="L14" s="482">
        <f>L12/L13</f>
        <v>1.414569759794633</v>
      </c>
      <c r="M14" s="483"/>
      <c r="N14" s="483"/>
      <c r="O14" s="483"/>
      <c r="P14" s="483"/>
      <c r="Q14" s="482">
        <f t="shared" ref="Q14:AV14" si="8">Q12/Q13</f>
        <v>0.93636719893843556</v>
      </c>
      <c r="R14" s="484">
        <f t="shared" si="8"/>
        <v>-0.1362681839018399</v>
      </c>
      <c r="S14" s="484">
        <f t="shared" si="8"/>
        <v>-1.1774968711517959</v>
      </c>
      <c r="T14" s="484">
        <f t="shared" si="8"/>
        <v>2.5813309252516623</v>
      </c>
      <c r="U14" s="484">
        <f t="shared" si="8"/>
        <v>1.2493191333222813</v>
      </c>
      <c r="V14" s="482">
        <f t="shared" si="8"/>
        <v>0.62922125088007697</v>
      </c>
      <c r="W14" s="484">
        <f t="shared" si="8"/>
        <v>0.64887260387769474</v>
      </c>
      <c r="X14" s="484">
        <f t="shared" si="8"/>
        <v>0.60756473705250369</v>
      </c>
      <c r="Y14" s="484">
        <f t="shared" si="8"/>
        <v>1.3950602517374788</v>
      </c>
      <c r="Z14" s="484">
        <f t="shared" si="8"/>
        <v>0.54308232474516294</v>
      </c>
      <c r="AA14" s="482">
        <f t="shared" si="8"/>
        <v>0.79786637976242913</v>
      </c>
      <c r="AB14" s="484">
        <f t="shared" si="8"/>
        <v>0.85633545297145253</v>
      </c>
      <c r="AC14" s="676" t="s">
        <v>1026</v>
      </c>
      <c r="AD14" s="676" t="s">
        <v>1026</v>
      </c>
      <c r="AE14" s="676" t="s">
        <v>1026</v>
      </c>
      <c r="AF14" s="482">
        <f t="shared" si="8"/>
        <v>-4.4411768880806353</v>
      </c>
      <c r="AG14" s="484">
        <f t="shared" si="8"/>
        <v>-5.1489514417836391E-2</v>
      </c>
      <c r="AH14" s="484">
        <f t="shared" si="8"/>
        <v>-0.6841120003729052</v>
      </c>
      <c r="AI14" s="484">
        <f t="shared" si="8"/>
        <v>-4.2703309215596423</v>
      </c>
      <c r="AJ14" s="484">
        <f t="shared" si="8"/>
        <v>-3.2874952034582101</v>
      </c>
      <c r="AK14" s="482">
        <f t="shared" si="8"/>
        <v>-2.1137872557820274</v>
      </c>
      <c r="AL14" s="484">
        <f t="shared" si="8"/>
        <v>-0.18339618498072804</v>
      </c>
      <c r="AM14" s="484">
        <f t="shared" si="8"/>
        <v>8.0852081550643551E-2</v>
      </c>
      <c r="AN14" s="484">
        <f t="shared" si="8"/>
        <v>-0.43390323198596059</v>
      </c>
      <c r="AO14" s="484">
        <f t="shared" si="8"/>
        <v>-0.51720787502105225</v>
      </c>
      <c r="AP14" s="482">
        <f t="shared" si="8"/>
        <v>-0.27535422559779088</v>
      </c>
      <c r="AQ14" s="484">
        <f t="shared" si="8"/>
        <v>1.2002394167279635</v>
      </c>
      <c r="AR14" s="484">
        <f t="shared" si="8"/>
        <v>0.39021207750623477</v>
      </c>
      <c r="AS14" s="484">
        <f t="shared" si="8"/>
        <v>0.25503134335209798</v>
      </c>
      <c r="AT14" s="484">
        <f t="shared" si="8"/>
        <v>-1.1226794826628466</v>
      </c>
      <c r="AU14" s="482">
        <f>AU12/AU13</f>
        <v>0.17498636228174738</v>
      </c>
      <c r="AV14" s="484">
        <f t="shared" si="8"/>
        <v>1.2980962602865047</v>
      </c>
      <c r="AW14" s="484">
        <f t="shared" ref="AW14:BF14" si="9">AW12/AW13</f>
        <v>0.63145417272664484</v>
      </c>
      <c r="AX14" s="484">
        <f t="shared" si="9"/>
        <v>2.198623037233348</v>
      </c>
      <c r="AY14" s="484">
        <f t="shared" si="9"/>
        <v>2.2011131720524344</v>
      </c>
      <c r="AZ14" s="482">
        <f t="shared" si="9"/>
        <v>1.6000938350777092</v>
      </c>
      <c r="BA14" s="484">
        <f t="shared" si="9"/>
        <v>-0.31288662183383126</v>
      </c>
      <c r="BB14" s="484">
        <f t="shared" si="9"/>
        <v>0.14465915137810495</v>
      </c>
      <c r="BC14" s="484">
        <f t="shared" si="9"/>
        <v>1.3324277547589605</v>
      </c>
      <c r="BD14" s="484">
        <f t="shared" si="9"/>
        <v>-6.517349837001081E-2</v>
      </c>
      <c r="BE14" s="482">
        <f t="shared" si="9"/>
        <v>0.27413602751885796</v>
      </c>
      <c r="BF14" s="484">
        <f t="shared" si="9"/>
        <v>-0.64552960552775096</v>
      </c>
      <c r="BG14" s="484">
        <f t="shared" ref="BG14:BH14" si="10">BG12/BG13</f>
        <v>-1.150333948335946</v>
      </c>
      <c r="BH14" s="484">
        <f t="shared" si="10"/>
        <v>-0.94009466192784219</v>
      </c>
      <c r="BI14" s="484">
        <f t="shared" ref="BI14" si="11">BI12/BI13</f>
        <v>-3.5696299036112467</v>
      </c>
      <c r="BJ14" s="482">
        <f>BJ12/BJ13</f>
        <v>-1.5535786581504489</v>
      </c>
      <c r="BK14" s="484">
        <f t="shared" ref="BK14:BM14" si="12">BK12/BK13</f>
        <v>-8.1873310155219606E-2</v>
      </c>
      <c r="BL14" s="484">
        <f t="shared" si="12"/>
        <v>-0.22747346489101591</v>
      </c>
      <c r="BM14" s="484">
        <f t="shared" si="12"/>
        <v>0.12173157662040512</v>
      </c>
      <c r="BN14" s="484">
        <f t="shared" ref="BN14" si="13">BN12/BN13</f>
        <v>-0.26693814629371015</v>
      </c>
      <c r="BO14" s="482">
        <f>BO12/BO13</f>
        <v>-0.11328471425886187</v>
      </c>
      <c r="BP14" s="289"/>
      <c r="BQ14" s="289"/>
      <c r="BR14" s="289"/>
      <c r="BS14" s="289"/>
      <c r="BT14" s="482">
        <f ca="1">BT12/BT13</f>
        <v>1.0696979778169406</v>
      </c>
      <c r="BU14" s="289"/>
      <c r="BV14" s="289"/>
      <c r="BW14" s="289"/>
      <c r="BX14" s="289"/>
      <c r="BY14" s="482">
        <f ca="1">BY12/BY13</f>
        <v>1.2702900085838877</v>
      </c>
      <c r="BZ14" s="289"/>
      <c r="CA14" s="289"/>
      <c r="CB14" s="289"/>
      <c r="CC14" s="289"/>
      <c r="CD14" s="482">
        <f ca="1">CD12/CD13</f>
        <v>1.5000556031905992</v>
      </c>
      <c r="CR14" s="656"/>
      <c r="CW14" s="466"/>
    </row>
    <row r="15" spans="1:101" ht="12.75" customHeight="1">
      <c r="A15" s="137"/>
      <c r="B15" s="9" t="s">
        <v>3651</v>
      </c>
      <c r="C15" s="5"/>
      <c r="D15" s="5"/>
      <c r="E15" s="5"/>
      <c r="F15" s="674">
        <f>(F12-'GoM oil spill'!F97)/F13</f>
        <v>1.3753845792718848</v>
      </c>
      <c r="G15" s="674">
        <f>(G12-'GoM oil spill'!G97)/G13</f>
        <v>1.9422195694033844</v>
      </c>
      <c r="H15" s="483"/>
      <c r="I15" s="483"/>
      <c r="J15" s="483"/>
      <c r="K15" s="483"/>
      <c r="L15" s="674">
        <f>(L12-'GoM oil spill'!L97)/L13</f>
        <v>1.414569759794633</v>
      </c>
      <c r="M15" s="483"/>
      <c r="N15" s="483"/>
      <c r="O15" s="483"/>
      <c r="P15" s="483"/>
      <c r="Q15" s="674">
        <f>(Q12-'GoM oil spill'!Q97)/Q13</f>
        <v>0.93636719893843556</v>
      </c>
      <c r="R15" s="675">
        <f>(R12-'GoM oil spill'!R97)/R13</f>
        <v>-0.1362681839018399</v>
      </c>
      <c r="S15" s="675">
        <f>(S12-'GoM oil spill'!S97)/S13</f>
        <v>-1.1774968711517959</v>
      </c>
      <c r="T15" s="675">
        <f>(T12-'GoM oil spill'!T97)/T13</f>
        <v>2.5813309252516623</v>
      </c>
      <c r="U15" s="675">
        <f>(U12-'GoM oil spill'!U97)/U13</f>
        <v>1.2493191333222813</v>
      </c>
      <c r="V15" s="674">
        <f>(V12-'GoM oil spill'!V97)/V13</f>
        <v>0.62922125088007697</v>
      </c>
      <c r="W15" s="675">
        <f>(W12-'GoM oil spill'!W97)/W13</f>
        <v>0.64887260387769474</v>
      </c>
      <c r="X15" s="675">
        <f>(X12-'GoM oil spill'!X97)/X13</f>
        <v>0.60756473705250369</v>
      </c>
      <c r="Y15" s="675">
        <f>(Y12-'GoM oil spill'!Y97)/Y13</f>
        <v>1.3950602517374788</v>
      </c>
      <c r="Z15" s="675">
        <f>(Z12-'GoM oil spill'!Z97)/Z13</f>
        <v>0.54308232474516294</v>
      </c>
      <c r="AA15" s="674">
        <f>(AA12-'GoM oil spill'!AA97)/AA13</f>
        <v>0.79786637976242913</v>
      </c>
      <c r="AB15" s="675">
        <f>(AB12-'GoM oil spill'!AB97)/AB13</f>
        <v>0.85633545297145253</v>
      </c>
      <c r="AC15" s="677" t="s">
        <v>1026</v>
      </c>
      <c r="AD15" s="677" t="s">
        <v>1026</v>
      </c>
      <c r="AE15" s="677" t="s">
        <v>1026</v>
      </c>
      <c r="AF15" s="674">
        <f>(AF12-'GoM oil spill'!AF97)/AF13</f>
        <v>2.2690397192375693</v>
      </c>
      <c r="AG15" s="675">
        <f>(AG12-'GoM oil spill'!AG97)/AG13</f>
        <v>2.2549378520046583</v>
      </c>
      <c r="AH15" s="675">
        <f>(AH12-'GoM oil spill'!AH97)/AH13</f>
        <v>1.114793314830379</v>
      </c>
      <c r="AI15" s="675">
        <f>(AI12-'GoM oil spill'!AI97)/AI13</f>
        <v>-2.8988817814081429</v>
      </c>
      <c r="AJ15" s="675">
        <f>(AJ12-'GoM oil spill'!AJ97)/AJ13</f>
        <v>-2.1973720694723684</v>
      </c>
      <c r="AK15" s="674">
        <f>(AK12-'GoM oil spill'!AK97)/AK13</f>
        <v>-0.49551258029034551</v>
      </c>
      <c r="AL15" s="675">
        <f>(AL12-'GoM oil spill'!AL97)/AL13</f>
        <v>0.96430897264060234</v>
      </c>
      <c r="AM15" s="675">
        <f>(AM12-'GoM oil spill'!AM97)/AM13</f>
        <v>1.1963478733509858</v>
      </c>
      <c r="AN15" s="675">
        <f>(AN12-'GoM oil spill'!AN97)/AN13</f>
        <v>0.45664815946909565</v>
      </c>
      <c r="AO15" s="675">
        <f>(AO12-'GoM oil spill'!AO97)/AO13</f>
        <v>0.22606052065526888</v>
      </c>
      <c r="AP15" s="674">
        <f>(AP12-'GoM oil spill'!AP97)/AP13</f>
        <v>0.68592429717349135</v>
      </c>
      <c r="AQ15" s="675">
        <f>(AQ12-'GoM oil spill'!AQ97)/AQ13</f>
        <v>1.5169773198374212</v>
      </c>
      <c r="AR15" s="675">
        <f>(AR12-'GoM oil spill'!AR97)/AR13</f>
        <v>0.53045371137689656</v>
      </c>
      <c r="AS15" s="675">
        <f>(AS12-'GoM oil spill'!AS97)/AS13</f>
        <v>0.4865729577112396</v>
      </c>
      <c r="AT15" s="675">
        <f>(AT12-'GoM oil spill'!AT97)/AT13</f>
        <v>-1.0089975803881706</v>
      </c>
      <c r="AU15" s="674">
        <f>(AU12-'GoM oil spill'!AU97)/AU13</f>
        <v>0.37829001970452442</v>
      </c>
      <c r="AV15" s="675">
        <f>(AV12-'GoM oil spill'!AV97)/AV13</f>
        <v>1.6893033524276433</v>
      </c>
      <c r="AW15" s="675">
        <f>(AW12-'GoM oil spill'!AW97)/AW13</f>
        <v>0.72492051723596318</v>
      </c>
      <c r="AX15" s="675">
        <f>(AX12-'GoM oil spill'!AX97)/AX13</f>
        <v>2.3586321157006536</v>
      </c>
      <c r="AY15" s="675">
        <f>(AY12-'GoM oil spill'!AY97)/AY13</f>
        <v>2.2730916607041736</v>
      </c>
      <c r="AZ15" s="674">
        <f>(AZ12-'GoM oil spill'!AZ97)/AZ13</f>
        <v>1.7803704246856995</v>
      </c>
      <c r="BA15" s="675">
        <f>(BA12-'GoM oil spill'!BA97)/BA13</f>
        <v>6.5755507215516207E-2</v>
      </c>
      <c r="BB15" s="675">
        <f>(BB12-'GoM oil spill'!BB97)/BB13</f>
        <v>0.20252281192934696</v>
      </c>
      <c r="BC15" s="675">
        <f>(BC12-'GoM oil spill'!BC97)/BC13</f>
        <v>1.4392399592304355</v>
      </c>
      <c r="BD15" s="675">
        <f>(BD12-'GoM oil spill'!BD97)/BD13</f>
        <v>9.2329122690848649E-3</v>
      </c>
      <c r="BE15" s="674">
        <f>(BE12-'GoM oil spill'!BE97)/BE13</f>
        <v>0.42756530493159178</v>
      </c>
      <c r="BF15" s="675">
        <f>(BF12-'GoM oil spill'!BF97)/BF13</f>
        <v>-4.1854787390826743E-2</v>
      </c>
      <c r="BG15" s="675">
        <f>(BG12-'GoM oil spill'!BG97)/BG13</f>
        <v>-0.40581225399629212</v>
      </c>
      <c r="BH15" s="675">
        <f>(BH12-'GoM oil spill'!BH97)/BH13</f>
        <v>0.28974796104412681</v>
      </c>
      <c r="BI15" s="675">
        <f>(BI12-'GoM oil spill'!BI97)/BI13</f>
        <v>-2.5186493742730458</v>
      </c>
      <c r="BJ15" s="674">
        <f>(BJ12-'GoM oil spill'!BJ97)/BJ13</f>
        <v>-0.66721573497388487</v>
      </c>
      <c r="BK15" s="675">
        <f>(BK12-'GoM oil spill'!BK97)/BK13</f>
        <v>1.0846942270874746</v>
      </c>
      <c r="BL15" s="675">
        <f>(BL12-'GoM oil spill'!BL97)/BL13</f>
        <v>0.79843692799162824</v>
      </c>
      <c r="BM15" s="675">
        <f>(BM12-'GoM oil spill'!BM97)/BM13</f>
        <v>0.40661377252873909</v>
      </c>
      <c r="BN15" s="675">
        <f>(BN12-'GoM oil spill'!BN97)/BN13</f>
        <v>-3.8350281887187095E-2</v>
      </c>
      <c r="BO15" s="674">
        <f>(BO12-'GoM oil spill'!BO97)/BO13</f>
        <v>0.55986365465571164</v>
      </c>
      <c r="BP15" s="318"/>
      <c r="BQ15" s="318"/>
      <c r="BR15" s="318"/>
      <c r="BS15" s="318"/>
      <c r="BT15" s="674">
        <f ca="1">(BT12-'GoM oil spill'!BT97)/BT13</f>
        <v>1.4492820568221552</v>
      </c>
      <c r="BU15" s="318"/>
      <c r="BV15" s="318"/>
      <c r="BW15" s="318"/>
      <c r="BX15" s="318"/>
      <c r="BY15" s="674">
        <f ca="1">(BY12-'GoM oil spill'!BY97)/BY13</f>
        <v>1.5155920046426312</v>
      </c>
      <c r="BZ15" s="318"/>
      <c r="CA15" s="318"/>
      <c r="CB15" s="318"/>
      <c r="CC15" s="318"/>
      <c r="CD15" s="674">
        <f ca="1">(CD12-'GoM oil spill'!CD97)/CD13</f>
        <v>1.6513654094048946</v>
      </c>
      <c r="CR15" s="656"/>
    </row>
    <row r="16" spans="1:101" ht="12.75" customHeight="1">
      <c r="A16" s="137"/>
      <c r="B16" s="9" t="s">
        <v>3656</v>
      </c>
      <c r="C16" s="5"/>
      <c r="D16" s="5"/>
      <c r="E16" s="5"/>
      <c r="F16" s="674"/>
      <c r="G16" s="674"/>
      <c r="H16" s="483"/>
      <c r="I16" s="483"/>
      <c r="J16" s="483"/>
      <c r="K16" s="483"/>
      <c r="L16" s="674"/>
      <c r="M16" s="483"/>
      <c r="N16" s="483"/>
      <c r="O16" s="483"/>
      <c r="P16" s="483"/>
      <c r="Q16" s="674"/>
      <c r="R16" s="675"/>
      <c r="S16" s="675"/>
      <c r="T16" s="675"/>
      <c r="U16" s="675"/>
      <c r="V16" s="674"/>
      <c r="W16" s="675"/>
      <c r="X16" s="675"/>
      <c r="Y16" s="675"/>
      <c r="Z16" s="675"/>
      <c r="AA16" s="674"/>
      <c r="AB16" s="675"/>
      <c r="AC16" s="677"/>
      <c r="AD16" s="677"/>
      <c r="AE16" s="677"/>
      <c r="AF16" s="674"/>
      <c r="AG16" s="675"/>
      <c r="AH16" s="675"/>
      <c r="AI16" s="675"/>
      <c r="AJ16" s="675"/>
      <c r="AK16" s="674"/>
      <c r="AL16" s="675"/>
      <c r="AM16" s="675"/>
      <c r="AN16" s="675"/>
      <c r="AO16" s="675"/>
      <c r="AP16" s="674"/>
      <c r="AQ16" s="675"/>
      <c r="AR16" s="675"/>
      <c r="AS16" s="675"/>
      <c r="AT16" s="675"/>
      <c r="AU16" s="674"/>
      <c r="AV16" s="675"/>
      <c r="AW16" s="675"/>
      <c r="AX16" s="675"/>
      <c r="AY16" s="675"/>
      <c r="AZ16" s="674"/>
      <c r="BA16" s="675"/>
      <c r="BB16" s="675"/>
      <c r="BC16" s="675"/>
      <c r="BD16" s="675"/>
      <c r="BE16" s="674"/>
      <c r="BF16" s="674"/>
      <c r="BG16" s="674"/>
      <c r="BH16" s="674"/>
      <c r="BI16" s="674"/>
      <c r="BJ16" s="674">
        <f>(BJ12-'GoM oil spill'!BJ97+'GoM oil spill'!BJ44*3.5%)/BJ13</f>
        <v>-0.71553228845737349</v>
      </c>
      <c r="BK16" s="674"/>
      <c r="BL16" s="674"/>
      <c r="BM16" s="674"/>
      <c r="BN16" s="674"/>
      <c r="BO16" s="674">
        <f ca="1">(BO12-'GoM oil spill'!BO97+'GoM oil spill'!BO44*3.5%)/BO13</f>
        <v>0.51143191626518714</v>
      </c>
      <c r="BP16" s="318"/>
      <c r="BQ16" s="318"/>
      <c r="BR16" s="318"/>
      <c r="BS16" s="318"/>
      <c r="BT16" s="674">
        <f ca="1">(BT12-'GoM oil spill'!BT97+'GoM oil spill'!BT44*3.5%)/BT13</f>
        <v>1.4129649724645543</v>
      </c>
      <c r="BU16" s="318"/>
      <c r="BV16" s="318"/>
      <c r="BW16" s="318"/>
      <c r="BX16" s="318"/>
      <c r="BY16" s="674">
        <f ca="1">(BY12-'GoM oil spill'!BY97+'GoM oil spill'!BY44*3.5%)/BY13</f>
        <v>1.4866178151959073</v>
      </c>
      <c r="BZ16" s="318"/>
      <c r="CA16" s="318"/>
      <c r="CB16" s="318"/>
      <c r="CC16" s="318"/>
      <c r="CD16" s="674">
        <f ca="1">(CD12-'GoM oil spill'!CD97+'GoM oil spill'!CD44*3.5%)/CD13</f>
        <v>1.6263931353620487</v>
      </c>
      <c r="CR16" s="656"/>
    </row>
    <row r="17" spans="1:98" ht="12.75" customHeight="1">
      <c r="A17" s="137"/>
      <c r="B17" s="4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P17" s="49"/>
      <c r="AQ17" s="49"/>
      <c r="AR17" s="49"/>
      <c r="AS17" s="49"/>
      <c r="AT17" s="49"/>
      <c r="AU17" s="318"/>
      <c r="AV17" s="318"/>
      <c r="AW17" s="318"/>
      <c r="AX17" s="49"/>
      <c r="AY17" s="49"/>
      <c r="AZ17" s="318"/>
      <c r="BA17" s="318"/>
      <c r="BB17" s="318"/>
      <c r="BC17" s="318"/>
      <c r="BD17" s="318"/>
      <c r="BE17" s="318"/>
      <c r="BF17" s="318"/>
      <c r="BG17" s="318"/>
      <c r="BH17" s="318"/>
      <c r="BI17" s="318"/>
      <c r="BK17" s="318"/>
      <c r="BL17" s="318"/>
      <c r="BM17" s="318"/>
      <c r="BN17" s="318"/>
      <c r="BP17" s="318"/>
      <c r="BQ17" s="318"/>
      <c r="BR17" s="318"/>
      <c r="BS17" s="318"/>
      <c r="BT17" s="543"/>
      <c r="BU17" s="318"/>
      <c r="BV17" s="318"/>
      <c r="BW17" s="318"/>
      <c r="BX17" s="318"/>
      <c r="BY17" s="318"/>
      <c r="BZ17" s="318"/>
      <c r="CA17" s="318"/>
      <c r="CB17" s="318"/>
      <c r="CC17" s="318"/>
      <c r="CD17" s="318"/>
    </row>
    <row r="18" spans="1:98" ht="12.75" customHeight="1">
      <c r="A18" s="137" t="s">
        <v>3516</v>
      </c>
      <c r="B18" s="4"/>
      <c r="C18" s="5"/>
      <c r="D18" s="5"/>
      <c r="E18" s="5"/>
      <c r="F18" s="316"/>
      <c r="G18" s="316"/>
      <c r="H18" s="316"/>
      <c r="I18" s="316"/>
      <c r="J18" s="316"/>
      <c r="K18" s="316"/>
      <c r="L18" s="316"/>
      <c r="M18" s="316"/>
      <c r="N18" s="316"/>
      <c r="O18" s="316"/>
      <c r="P18" s="316"/>
      <c r="Q18" s="316"/>
      <c r="R18" s="316"/>
      <c r="S18" s="316"/>
      <c r="T18" s="316"/>
      <c r="U18" s="316"/>
      <c r="V18" s="316"/>
      <c r="W18" s="316"/>
      <c r="X18" s="316"/>
      <c r="Y18" s="316"/>
      <c r="Z18" s="316"/>
      <c r="AA18" s="316"/>
      <c r="AB18" s="316"/>
      <c r="AC18" s="316"/>
      <c r="AD18" s="316"/>
      <c r="AE18" s="316"/>
      <c r="AF18" s="316"/>
      <c r="AG18" s="423">
        <v>-4631</v>
      </c>
      <c r="AH18" s="423">
        <v>-3533</v>
      </c>
      <c r="AI18" s="423">
        <v>-1506</v>
      </c>
      <c r="AJ18" s="423">
        <v>-8326</v>
      </c>
      <c r="AK18" s="348">
        <f>SUM(AG18:AJ18)</f>
        <v>-17996</v>
      </c>
      <c r="AL18" s="423">
        <v>-3172</v>
      </c>
      <c r="AM18" s="423">
        <v>477</v>
      </c>
      <c r="AN18" s="423">
        <v>-3068</v>
      </c>
      <c r="AO18" s="423">
        <v>-138</v>
      </c>
      <c r="AP18" s="348">
        <f>SUM(AL18:AO18)</f>
        <v>-5901</v>
      </c>
      <c r="AQ18" s="423">
        <v>-1266</v>
      </c>
      <c r="AR18" s="423">
        <v>-1056</v>
      </c>
      <c r="AS18" s="423">
        <v>-440</v>
      </c>
      <c r="AT18" s="423">
        <v>394</v>
      </c>
      <c r="AU18" s="348">
        <f>SUM(AQ18:AT18)</f>
        <v>-2368</v>
      </c>
      <c r="AV18" s="423">
        <f>-74-98-578</f>
        <v>-750</v>
      </c>
      <c r="AW18" s="423">
        <f>-233-32-33</f>
        <v>-298</v>
      </c>
      <c r="AX18" s="423">
        <f>1560-113-846</f>
        <v>601</v>
      </c>
      <c r="AY18" s="423">
        <f>4904-187+3</f>
        <v>4720</v>
      </c>
      <c r="AZ18" s="348">
        <f>SUM(AV18:AY18)</f>
        <v>4273</v>
      </c>
      <c r="BA18" s="423">
        <f>BA156-BA19</f>
        <v>-1351</v>
      </c>
      <c r="BB18" s="423">
        <f>BB156-BB19</f>
        <v>-593</v>
      </c>
      <c r="BC18" s="423">
        <f>BC156-BC19</f>
        <v>1591</v>
      </c>
      <c r="BD18" s="423">
        <f>BD156-BD19</f>
        <v>1510</v>
      </c>
      <c r="BE18" s="348">
        <f>SUM(BA18:BD18)</f>
        <v>1157</v>
      </c>
      <c r="BF18" s="423">
        <f>BF156-BF19</f>
        <v>-956</v>
      </c>
      <c r="BG18" s="423">
        <f>BG156-BG19</f>
        <v>-2159</v>
      </c>
      <c r="BH18" s="423">
        <f>BH156-BH19</f>
        <v>-1706</v>
      </c>
      <c r="BI18" s="423">
        <f>BI156-BI19</f>
        <v>-1594</v>
      </c>
      <c r="BJ18" s="664">
        <f>SUM(BF18:BI18)</f>
        <v>-6415</v>
      </c>
      <c r="BK18" s="423">
        <f>BK156-BK19</f>
        <v>-2300</v>
      </c>
      <c r="BL18" s="423">
        <f>BL156-BL19</f>
        <v>-1397</v>
      </c>
      <c r="BM18" s="423">
        <f>BM156-BM19</f>
        <v>-1095</v>
      </c>
      <c r="BN18" s="423">
        <f>BN156-BN19</f>
        <v>-1260</v>
      </c>
      <c r="BO18" s="664">
        <f>SUM(BK18:BN18)</f>
        <v>-6052</v>
      </c>
      <c r="BP18" s="423">
        <v>0</v>
      </c>
      <c r="BQ18" s="423">
        <v>0</v>
      </c>
      <c r="BR18" s="423">
        <v>0</v>
      </c>
      <c r="BS18" s="423">
        <v>0</v>
      </c>
      <c r="BT18" s="664">
        <f t="shared" ref="BT18" si="14">SUM(BP18:BS18)</f>
        <v>0</v>
      </c>
      <c r="BU18" s="423">
        <v>0</v>
      </c>
      <c r="BV18" s="423">
        <v>0</v>
      </c>
      <c r="BW18" s="423">
        <v>0</v>
      </c>
      <c r="BX18" s="423">
        <v>0</v>
      </c>
      <c r="BY18" s="664">
        <f t="shared" ref="BY18" si="15">SUM(BU18:BX18)</f>
        <v>0</v>
      </c>
      <c r="BZ18" s="423">
        <v>0</v>
      </c>
      <c r="CA18" s="423">
        <v>0</v>
      </c>
      <c r="CB18" s="423">
        <v>0</v>
      </c>
      <c r="CC18" s="423">
        <v>0</v>
      </c>
      <c r="CD18" s="664">
        <f t="shared" ref="CD18" si="16">SUM(BZ18:CC18)</f>
        <v>0</v>
      </c>
    </row>
    <row r="19" spans="1:98" ht="12.75" customHeight="1">
      <c r="A19" s="137" t="s">
        <v>3517</v>
      </c>
      <c r="B19" s="4"/>
      <c r="C19" s="5"/>
      <c r="D19" s="5"/>
      <c r="E19" s="5"/>
      <c r="F19" s="348">
        <f>SUM(F153:F155)</f>
        <v>-3117</v>
      </c>
      <c r="G19" s="348">
        <f>SUM(G153:G155)</f>
        <v>-4437</v>
      </c>
      <c r="H19" s="316"/>
      <c r="I19" s="316"/>
      <c r="J19" s="316"/>
      <c r="K19" s="316"/>
      <c r="L19" s="348">
        <f>SUM(L153:L155)</f>
        <v>380</v>
      </c>
      <c r="M19" s="316"/>
      <c r="N19" s="316"/>
      <c r="O19" s="316"/>
      <c r="P19" s="316"/>
      <c r="Q19" s="348">
        <f>SUM(Q153:Q155)</f>
        <v>-5902</v>
      </c>
      <c r="R19" s="316"/>
      <c r="S19" s="316"/>
      <c r="T19" s="316"/>
      <c r="U19" s="316"/>
      <c r="V19" s="348">
        <f>SUM(V153:V155)</f>
        <v>5348</v>
      </c>
      <c r="W19" s="316"/>
      <c r="X19" s="316"/>
      <c r="Y19" s="316"/>
      <c r="Z19" s="316"/>
      <c r="AA19" s="348">
        <f>SUM(AA153:AA155)</f>
        <v>-3596</v>
      </c>
      <c r="AB19" s="316"/>
      <c r="AC19" s="316"/>
      <c r="AD19" s="316"/>
      <c r="AE19" s="316"/>
      <c r="AF19" s="348">
        <f>SUM(AF153:AF155)</f>
        <v>1092</v>
      </c>
      <c r="AG19" s="423">
        <f>AG156-AG18</f>
        <v>-3192</v>
      </c>
      <c r="AH19" s="423">
        <f>AH156-AH18</f>
        <v>250</v>
      </c>
      <c r="AI19" s="423">
        <f>AI156-AI18</f>
        <v>1134</v>
      </c>
      <c r="AJ19" s="423">
        <f>AJ156-AJ18</f>
        <v>2277</v>
      </c>
      <c r="AK19" s="348">
        <f>SUM(AG19:AJ19)</f>
        <v>469</v>
      </c>
      <c r="AL19" s="423">
        <f>AL156-AL18</f>
        <v>-2988</v>
      </c>
      <c r="AM19" s="423">
        <f>AM156-AM18</f>
        <v>472</v>
      </c>
      <c r="AN19" s="423">
        <f>AN156-AN18</f>
        <v>159</v>
      </c>
      <c r="AO19" s="423">
        <f>AO156-AO18</f>
        <v>613</v>
      </c>
      <c r="AP19" s="348">
        <f>SUM(AL19:AO19)</f>
        <v>-1744</v>
      </c>
      <c r="AQ19" s="423">
        <f>AQ156-AQ18</f>
        <v>-4079</v>
      </c>
      <c r="AR19" s="423">
        <f>AR156-AR18</f>
        <v>-740</v>
      </c>
      <c r="AS19" s="423">
        <f>AS156-AS18</f>
        <v>-372</v>
      </c>
      <c r="AT19" s="423">
        <f>AT156-AT18</f>
        <v>716</v>
      </c>
      <c r="AU19" s="348">
        <f>SUM(AQ19:AT19)</f>
        <v>-4475</v>
      </c>
      <c r="AV19" s="423">
        <f>AV156-AV18</f>
        <v>435</v>
      </c>
      <c r="AW19" s="423">
        <f>AW156-AW18</f>
        <v>952</v>
      </c>
      <c r="AX19" s="423">
        <f>AX156-AX18</f>
        <v>1143</v>
      </c>
      <c r="AY19" s="423">
        <f>AY156-AY18</f>
        <v>122</v>
      </c>
      <c r="AZ19" s="348">
        <f>SUM(AV19:AY19)</f>
        <v>2652</v>
      </c>
      <c r="BA19" s="423">
        <v>-2507</v>
      </c>
      <c r="BB19" s="423">
        <v>1085</v>
      </c>
      <c r="BC19" s="423">
        <v>-360</v>
      </c>
      <c r="BD19" s="423">
        <v>1468</v>
      </c>
      <c r="BE19" s="348">
        <f>SUM(BA19:BD19)</f>
        <v>-314</v>
      </c>
      <c r="BF19" s="423">
        <v>-771</v>
      </c>
      <c r="BG19" s="423">
        <v>1296</v>
      </c>
      <c r="BH19" s="423">
        <v>705</v>
      </c>
      <c r="BI19" s="423">
        <v>1987</v>
      </c>
      <c r="BJ19" s="348">
        <f>SUM(BF19:BI19)</f>
        <v>3217</v>
      </c>
      <c r="BK19" s="423">
        <v>-1300</v>
      </c>
      <c r="BL19" s="423">
        <v>1400</v>
      </c>
      <c r="BM19" s="423">
        <v>1400</v>
      </c>
      <c r="BN19" s="423">
        <v>1200</v>
      </c>
      <c r="BO19" s="348">
        <f>SUM(BK19:BN19)</f>
        <v>2700</v>
      </c>
      <c r="BP19" s="423">
        <v>0</v>
      </c>
      <c r="BQ19" s="423">
        <v>0</v>
      </c>
      <c r="BR19" s="423">
        <v>0</v>
      </c>
      <c r="BS19" s="423">
        <v>0</v>
      </c>
      <c r="BT19" s="664">
        <f t="shared" ref="BT19" si="17">SUM(BP19:BS19)</f>
        <v>0</v>
      </c>
      <c r="BU19" s="423">
        <v>0</v>
      </c>
      <c r="BV19" s="423">
        <v>0</v>
      </c>
      <c r="BW19" s="423">
        <v>0</v>
      </c>
      <c r="BX19" s="423">
        <v>0</v>
      </c>
      <c r="BY19" s="664">
        <f t="shared" ref="BY19" si="18">SUM(BU19:BX19)</f>
        <v>0</v>
      </c>
      <c r="BZ19" s="423">
        <v>0</v>
      </c>
      <c r="CA19" s="423">
        <v>0</v>
      </c>
      <c r="CB19" s="423">
        <v>0</v>
      </c>
      <c r="CC19" s="423">
        <v>0</v>
      </c>
      <c r="CD19" s="664">
        <f t="shared" ref="CD19" si="19">SUM(BZ19:CC19)</f>
        <v>0</v>
      </c>
    </row>
    <row r="20" spans="1:98" ht="12.75" customHeight="1">
      <c r="A20" s="4"/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P20" s="49"/>
      <c r="AQ20" s="49"/>
      <c r="AR20" s="49"/>
      <c r="AS20" s="49"/>
      <c r="AT20" s="49"/>
      <c r="AU20" s="318"/>
      <c r="AV20" s="318"/>
      <c r="AW20" s="318"/>
      <c r="AX20" s="49"/>
      <c r="AY20" s="49"/>
      <c r="AZ20" s="318"/>
      <c r="BA20" s="49"/>
      <c r="BB20" s="49"/>
      <c r="BC20" s="49"/>
      <c r="BD20" s="49"/>
      <c r="BE20" s="318"/>
      <c r="BF20" s="49"/>
      <c r="BG20" s="49"/>
      <c r="BH20" s="49"/>
      <c r="BI20" s="49"/>
      <c r="BJ20" s="318"/>
      <c r="BK20" s="49"/>
      <c r="BL20" s="49"/>
      <c r="BM20" s="49"/>
      <c r="BN20" s="49"/>
      <c r="BO20" s="318"/>
      <c r="BP20" s="318"/>
      <c r="BQ20" s="318"/>
      <c r="BR20" s="318"/>
      <c r="BS20" s="318"/>
      <c r="BT20" s="596"/>
      <c r="BU20" s="318"/>
      <c r="BV20" s="318"/>
      <c r="BW20" s="318"/>
      <c r="BX20" s="318"/>
      <c r="BY20" s="596"/>
      <c r="BZ20" s="318"/>
      <c r="CA20" s="318"/>
      <c r="CB20" s="318"/>
      <c r="CC20" s="318"/>
      <c r="CD20" s="596"/>
      <c r="CS20" s="642"/>
      <c r="CT20" s="643"/>
    </row>
    <row r="21" spans="1:98" ht="12.75" customHeight="1">
      <c r="A21" s="4"/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P21" s="49"/>
      <c r="AQ21" s="49"/>
      <c r="AR21" s="49"/>
      <c r="AS21" s="49"/>
      <c r="AT21" s="49"/>
      <c r="AU21" s="318"/>
      <c r="AV21" s="318"/>
      <c r="AW21" s="318"/>
      <c r="AX21" s="49"/>
      <c r="AY21" s="49"/>
      <c r="AZ21" s="318"/>
      <c r="BA21" s="49"/>
      <c r="BB21" s="49"/>
      <c r="BC21" s="49"/>
      <c r="BD21" s="49"/>
      <c r="BE21" s="318"/>
      <c r="BF21" s="49"/>
      <c r="BG21" s="49"/>
      <c r="BH21" s="49"/>
      <c r="BI21" s="49"/>
      <c r="BJ21" s="318"/>
      <c r="BK21" s="49"/>
      <c r="BL21" s="49"/>
      <c r="BM21" s="49"/>
      <c r="BN21" s="49"/>
      <c r="BO21" s="318"/>
      <c r="BP21" s="318"/>
      <c r="BQ21" s="318"/>
      <c r="BR21" s="318"/>
      <c r="BS21" s="318"/>
      <c r="BT21" s="597"/>
      <c r="BU21" s="318"/>
      <c r="BV21" s="318"/>
      <c r="BW21" s="318"/>
      <c r="BX21" s="318"/>
      <c r="BY21" s="597"/>
      <c r="BZ21" s="318"/>
      <c r="CA21" s="318"/>
      <c r="CB21" s="318"/>
      <c r="CC21" s="318"/>
      <c r="CD21" s="597"/>
      <c r="CR21" s="391"/>
      <c r="CS21" s="642"/>
      <c r="CT21" s="391"/>
    </row>
    <row r="22" spans="1:98">
      <c r="A22" s="467" t="s">
        <v>3538</v>
      </c>
      <c r="CR22" s="391"/>
      <c r="CS22" s="642"/>
      <c r="CT22" s="391"/>
    </row>
    <row r="23" spans="1:98" ht="12.75" customHeight="1">
      <c r="A23" s="211" t="s">
        <v>2206</v>
      </c>
      <c r="B23" s="10"/>
      <c r="C23" s="31">
        <v>2001</v>
      </c>
      <c r="D23" s="32">
        <v>2002</v>
      </c>
      <c r="E23" s="32">
        <v>2003</v>
      </c>
      <c r="F23" s="32">
        <v>2004</v>
      </c>
      <c r="G23" s="31">
        <v>2005</v>
      </c>
      <c r="H23" s="33" t="s">
        <v>714</v>
      </c>
      <c r="I23" s="33" t="s">
        <v>715</v>
      </c>
      <c r="J23" s="33" t="s">
        <v>716</v>
      </c>
      <c r="K23" s="33" t="s">
        <v>717</v>
      </c>
      <c r="L23" s="31">
        <v>2006</v>
      </c>
      <c r="M23" s="33" t="s">
        <v>718</v>
      </c>
      <c r="N23" s="33" t="s">
        <v>719</v>
      </c>
      <c r="O23" s="33" t="s">
        <v>1970</v>
      </c>
      <c r="P23" s="33" t="s">
        <v>1971</v>
      </c>
      <c r="Q23" s="31">
        <v>2007</v>
      </c>
      <c r="R23" s="33" t="s">
        <v>1972</v>
      </c>
      <c r="S23" s="33" t="s">
        <v>1973</v>
      </c>
      <c r="T23" s="33" t="s">
        <v>1974</v>
      </c>
      <c r="U23" s="33" t="s">
        <v>1975</v>
      </c>
      <c r="V23" s="31">
        <v>2008</v>
      </c>
      <c r="W23" s="33" t="s">
        <v>1976</v>
      </c>
      <c r="X23" s="33" t="s">
        <v>1977</v>
      </c>
      <c r="Y23" s="33" t="s">
        <v>1978</v>
      </c>
      <c r="Z23" s="33" t="s">
        <v>1979</v>
      </c>
      <c r="AA23" s="31">
        <v>2009</v>
      </c>
      <c r="AB23" s="33" t="s">
        <v>1980</v>
      </c>
      <c r="AC23" s="33" t="s">
        <v>1981</v>
      </c>
      <c r="AD23" s="33" t="s">
        <v>1982</v>
      </c>
      <c r="AE23" s="33" t="s">
        <v>2392</v>
      </c>
      <c r="AF23" s="31">
        <v>2010</v>
      </c>
      <c r="AG23" s="33" t="s">
        <v>2393</v>
      </c>
      <c r="AH23" s="33" t="s">
        <v>2394</v>
      </c>
      <c r="AI23" s="33" t="s">
        <v>2395</v>
      </c>
      <c r="AJ23" s="368" t="s">
        <v>2396</v>
      </c>
      <c r="AK23" s="369">
        <v>2011</v>
      </c>
      <c r="AL23" s="368" t="s">
        <v>2397</v>
      </c>
      <c r="AM23" s="368" t="s">
        <v>2398</v>
      </c>
      <c r="AN23" s="33" t="s">
        <v>2399</v>
      </c>
      <c r="AO23" s="368" t="s">
        <v>2400</v>
      </c>
      <c r="AP23" s="369">
        <v>2012</v>
      </c>
      <c r="AQ23" s="368" t="s">
        <v>2401</v>
      </c>
      <c r="AR23" s="368" t="s">
        <v>2402</v>
      </c>
      <c r="AS23" s="368" t="s">
        <v>2403</v>
      </c>
      <c r="AT23" s="368" t="s">
        <v>2404</v>
      </c>
      <c r="AU23" s="369">
        <v>2013</v>
      </c>
      <c r="AV23" s="368" t="s">
        <v>2405</v>
      </c>
      <c r="AW23" s="368" t="s">
        <v>2406</v>
      </c>
      <c r="AX23" s="368" t="s">
        <v>2407</v>
      </c>
      <c r="AY23" s="368" t="s">
        <v>2408</v>
      </c>
      <c r="AZ23" s="369">
        <v>2014</v>
      </c>
      <c r="BA23" s="368" t="s">
        <v>2409</v>
      </c>
      <c r="BB23" s="368" t="s">
        <v>2410</v>
      </c>
      <c r="BC23" s="368" t="s">
        <v>2411</v>
      </c>
      <c r="BD23" s="368" t="s">
        <v>2412</v>
      </c>
      <c r="BE23" s="31">
        <v>2015</v>
      </c>
      <c r="BF23" s="368" t="s">
        <v>2413</v>
      </c>
      <c r="BG23" s="368" t="s">
        <v>2414</v>
      </c>
      <c r="BH23" s="368" t="s">
        <v>2415</v>
      </c>
      <c r="BI23" s="368" t="s">
        <v>2416</v>
      </c>
      <c r="BJ23" s="31">
        <v>2016</v>
      </c>
      <c r="BK23" s="368" t="s">
        <v>2417</v>
      </c>
      <c r="BL23" s="368" t="s">
        <v>2418</v>
      </c>
      <c r="BM23" s="368" t="s">
        <v>2419</v>
      </c>
      <c r="BN23" s="368" t="s">
        <v>2420</v>
      </c>
      <c r="BO23" s="31">
        <v>2017</v>
      </c>
      <c r="BP23" s="363" t="s">
        <v>2244</v>
      </c>
      <c r="BQ23" s="363" t="s">
        <v>2245</v>
      </c>
      <c r="BR23" s="363" t="s">
        <v>2508</v>
      </c>
      <c r="BS23" s="363" t="s">
        <v>2509</v>
      </c>
      <c r="BT23" s="364">
        <v>2018</v>
      </c>
      <c r="BU23" s="363" t="s">
        <v>2510</v>
      </c>
      <c r="BV23" s="363" t="s">
        <v>2511</v>
      </c>
      <c r="BW23" s="363" t="s">
        <v>3125</v>
      </c>
      <c r="BX23" s="363" t="s">
        <v>1405</v>
      </c>
      <c r="BY23" s="364">
        <v>2019</v>
      </c>
      <c r="BZ23" s="363" t="s">
        <v>1406</v>
      </c>
      <c r="CA23" s="363" t="s">
        <v>1407</v>
      </c>
      <c r="CB23" s="363" t="s">
        <v>1408</v>
      </c>
      <c r="CC23" s="363" t="s">
        <v>1409</v>
      </c>
      <c r="CD23" s="364">
        <v>2020</v>
      </c>
    </row>
    <row r="24" spans="1:98" ht="12.75" customHeight="1">
      <c r="A24" s="406" t="s">
        <v>710</v>
      </c>
      <c r="B24" s="137"/>
      <c r="C24" s="5"/>
      <c r="D24" s="5"/>
      <c r="E24" s="5"/>
      <c r="F24" s="595">
        <f>'Income statement'!F32-'Income statement'!F20+Capex!F112-'Income statement'!F38+'Cash flow statement'!F141</f>
        <v>24475</v>
      </c>
      <c r="G24" s="595">
        <f>'Income statement'!G32-'Income statement'!G20+Capex!G112-'Income statement'!G38+'Cash flow statement'!G141</f>
        <v>27122</v>
      </c>
      <c r="H24" s="423">
        <f>'Income statement'!H32-'Income statement'!H20+Capex!H112-'Income statement'!H38+'Cash flow statement'!H141</f>
        <v>7168</v>
      </c>
      <c r="I24" s="423">
        <f>'Income statement'!I32-'Income statement'!I20+Capex!I112-'Income statement'!I38+'Cash flow statement'!I141</f>
        <v>8164</v>
      </c>
      <c r="J24" s="423">
        <f>'Income statement'!J32-'Income statement'!J20+Capex!J112-'Income statement'!J38+'Cash flow statement'!J141</f>
        <v>7133</v>
      </c>
      <c r="K24" s="423">
        <f>'Income statement'!K32-'Income statement'!K20+Capex!K112-'Income statement'!K38+'Cash flow statement'!K141</f>
        <v>5846</v>
      </c>
      <c r="L24" s="595">
        <f>'Income statement'!L32-'Income statement'!L20+Capex!L112-'Income statement'!L38+'Cash flow statement'!L141</f>
        <v>28935</v>
      </c>
      <c r="M24" s="423">
        <f>'Income statement'!M32-'Income statement'!M20+Capex!M112-'Income statement'!M38+'Cash flow statement'!M141</f>
        <v>6588</v>
      </c>
      <c r="N24" s="423">
        <f>'Income statement'!N32-'Income statement'!N20+Capex!N112-'Income statement'!N38+'Cash flow statement'!N141</f>
        <v>8234</v>
      </c>
      <c r="O24" s="423">
        <f>'Income statement'!O32-'Income statement'!O20+Capex!O112-'Income statement'!O38+'Cash flow statement'!O141</f>
        <v>6521</v>
      </c>
      <c r="P24" s="423">
        <f>'Income statement'!P32-'Income statement'!P20+Capex!P112-'Income statement'!P38+'Cash flow statement'!P141</f>
        <v>7122</v>
      </c>
      <c r="Q24" s="595">
        <f>'Income statement'!Q32-'Income statement'!Q20+Capex!Q112-'Income statement'!Q38+'Cash flow statement'!Q141</f>
        <v>28812</v>
      </c>
      <c r="R24" s="423">
        <f>'Income statement'!R32-'Income statement'!R20+Capex!R112-'Income statement'!R38+'Cash flow statement'!R141</f>
        <v>8246</v>
      </c>
      <c r="S24" s="423">
        <f>'Income statement'!S32-'Income statement'!S20+Capex!S112-'Income statement'!S38+'Cash flow statement'!S141</f>
        <v>9652</v>
      </c>
      <c r="T24" s="423">
        <f>'Income statement'!T32-'Income statement'!T20+Capex!T112-'Income statement'!T38+'Cash flow statement'!T141</f>
        <v>12680</v>
      </c>
      <c r="U24" s="423">
        <f>'Income statement'!U32-'Income statement'!U20+Capex!U112-'Income statement'!U38+'Cash flow statement'!U141</f>
        <v>6889</v>
      </c>
      <c r="V24" s="595">
        <f>'Income statement'!V32-'Income statement'!V20+Capex!V112-'Income statement'!V38+'Cash flow statement'!V141</f>
        <v>37852</v>
      </c>
      <c r="W24" s="423">
        <f>'Income statement'!W32-'Income statement'!W20+Capex!W112-'Income statement'!W38+'Cash flow statement'!W141</f>
        <v>5301</v>
      </c>
      <c r="X24" s="423">
        <f>'Income statement'!X32-'Income statement'!X20+Capex!X112-'Income statement'!X38+'Cash flow statement'!X141</f>
        <v>5970</v>
      </c>
      <c r="Y24" s="423">
        <f>'Income statement'!Y32-'Income statement'!Y20+Capex!Y112-'Income statement'!Y38+'Cash flow statement'!Y141</f>
        <v>7946</v>
      </c>
      <c r="Z24" s="423">
        <f>'Income statement'!Z32-'Income statement'!Z20+Capex!Z112-'Income statement'!Z38+'Cash flow statement'!Z141</f>
        <v>7185</v>
      </c>
      <c r="AA24" s="595">
        <f>'Income statement'!AA32-'Income statement'!AA20+Capex!AA112-'Income statement'!AA38+'Cash flow statement'!AA141</f>
        <v>26995</v>
      </c>
      <c r="AB24" s="423">
        <f>'Income statement'!AB32-'Income statement'!AB20+Capex!AB112-'Income statement'!AB38+'Cash flow statement'!AB141</f>
        <v>8829</v>
      </c>
      <c r="AC24" s="423">
        <f>'Income statement'!AC32-'Income statement'!AC20+Capex!AC112-'Income statement'!AC38+'Cash flow statement'!AC141</f>
        <v>-15118</v>
      </c>
      <c r="AD24" s="423">
        <f>'Income statement'!AD32-'Income statement'!AD20+Capex!AD112-'Income statement'!AD38+'Cash flow statement'!AD141</f>
        <v>2448</v>
      </c>
      <c r="AE24" s="423">
        <f>'Income statement'!AE32-'Income statement'!AE20+Capex!AE112-'Income statement'!AE38+'Cash flow statement'!AE141</f>
        <v>5792</v>
      </c>
      <c r="AF24" s="595">
        <f>'Income statement'!AF32-'Income statement'!AF20+Capex!AF112-'Income statement'!AF38+'Cash flow statement'!AF141</f>
        <v>2326</v>
      </c>
      <c r="AG24" s="423">
        <f>'Income statement'!AG32-'Income statement'!AG20+Capex!AG112-'Income statement'!AG38+'Cash flow statement'!AG141</f>
        <v>7378</v>
      </c>
      <c r="AH24" s="423">
        <f>'Income statement'!AH32-'Income statement'!AH20+Capex!AH112-'Income statement'!AH38+'Cash flow statement'!AH141</f>
        <v>8756</v>
      </c>
      <c r="AI24" s="423">
        <f>'Income statement'!AI32-'Income statement'!AI20+Capex!AI112-'Income statement'!AI38+'Cash flow statement'!AI141</f>
        <v>7521</v>
      </c>
      <c r="AJ24" s="423">
        <f>'Income statement'!AJ32-'Income statement'!AJ20+Capex!AJ112-'Income statement'!AJ38+'Cash flow statement'!AJ141</f>
        <v>9705</v>
      </c>
      <c r="AK24" s="595">
        <f>'Income statement'!AK32-'Income statement'!AK20+Capex!AK112-'Income statement'!AK38+'Cash flow statement'!AK141</f>
        <v>34384</v>
      </c>
      <c r="AL24" s="423">
        <f>'Income statement'!AL32-'Income statement'!AL20+Capex!AL112-'Income statement'!AL38+'Cash flow statement'!AL141</f>
        <v>7485</v>
      </c>
      <c r="AM24" s="423">
        <f>'Income statement'!AM32-'Income statement'!AM20+Capex!AM112-'Income statement'!AM38+'Cash flow statement'!AM141</f>
        <v>7631</v>
      </c>
      <c r="AN24" s="423">
        <f>'Income statement'!AN32-'Income statement'!AN20+Capex!AN112-'Income statement'!AN38+'Cash flow statement'!AN141</f>
        <v>7947</v>
      </c>
      <c r="AO24" s="423">
        <f>'Income statement'!AO32-'Income statement'!AO20+Capex!AO112-'Income statement'!AO38+'Cash flow statement'!AO141</f>
        <v>1969</v>
      </c>
      <c r="AP24" s="595">
        <f>'Income statement'!AP32-'Income statement'!AP20+Capex!AP112-'Income statement'!AP38+'Cash flow statement'!AP141</f>
        <v>25032</v>
      </c>
      <c r="AQ24" s="423">
        <f>'Income statement'!AQ32-'Income statement'!AQ20+Capex!AQ112-'Income statement'!AQ38+'Cash flow statement'!AQ141</f>
        <v>7613</v>
      </c>
      <c r="AR24" s="423">
        <f>'Income statement'!AR32-'Income statement'!AR20+Capex!AR112-'Income statement'!AR38+'Cash flow statement'!AR141</f>
        <v>6311</v>
      </c>
      <c r="AS24" s="423">
        <f>'Income statement'!AS32-'Income statement'!AS20+Capex!AS112-'Income statement'!AS38+'Cash flow statement'!AS141</f>
        <v>7503</v>
      </c>
      <c r="AT24" s="423">
        <f>'Income statement'!AT32-'Income statement'!AT20+Capex!AT112-'Income statement'!AT38+'Cash flow statement'!AT141</f>
        <v>7627</v>
      </c>
      <c r="AU24" s="595">
        <f>'Income statement'!AU32-'Income statement'!AU20+Capex!AU112-'Income statement'!AU38+'Cash flow statement'!AU141</f>
        <v>29054</v>
      </c>
      <c r="AV24" s="423">
        <f>'Income statement'!AV32-'Income statement'!AV20+Capex!AV112-'Income statement'!AV38+'Cash flow statement'!AV141</f>
        <v>8365</v>
      </c>
      <c r="AW24" s="423">
        <f>'Income statement'!AW32-'Income statement'!AW20+Capex!AW112-'Income statement'!AW38+'Cash flow statement'!AW141</f>
        <v>7643</v>
      </c>
      <c r="AX24" s="423">
        <f>'Income statement'!AX32-'Income statement'!AX20+Capex!AX112-'Income statement'!AX38+'Cash flow statement'!AX141</f>
        <v>7663</v>
      </c>
      <c r="AY24" s="423">
        <f>'Income statement'!AY32-'Income statement'!AY20+Capex!AY112-'Income statement'!AY38+'Cash flow statement'!AY141</f>
        <v>10887</v>
      </c>
      <c r="AZ24" s="595">
        <f>'Income statement'!AZ32-'Income statement'!AZ20+Capex!AZ112-'Income statement'!AZ38+'Cash flow statement'!AZ141</f>
        <v>34558</v>
      </c>
      <c r="BA24" s="423">
        <f>'Income statement'!BA32-'Income statement'!BA20+Capex!BA112-'Income statement'!BA38+'Cash flow statement'!BA141</f>
        <v>6139</v>
      </c>
      <c r="BB24" s="423">
        <f>'Income statement'!BB32-'Income statement'!BB20+Capex!BB112-'Income statement'!BB38+'Cash flow statement'!BB141</f>
        <v>-1502</v>
      </c>
      <c r="BC24" s="423">
        <f>'Income statement'!BC32-'Income statement'!BC20+Capex!BC112-'Income statement'!BC38+'Cash flow statement'!BC141</f>
        <v>5088</v>
      </c>
      <c r="BD24" s="423">
        <f>'Income statement'!BD32-'Income statement'!BD20+Capex!BD112-'Income statement'!BD38+'Cash flow statement'!BD141</f>
        <v>3486</v>
      </c>
      <c r="BE24" s="595">
        <f>'Income statement'!BE32-'Income statement'!BE20+Capex!BE112-'Income statement'!BE38+'Cash flow statement'!BE141</f>
        <v>13211</v>
      </c>
      <c r="BF24" s="423">
        <f>'Income statement'!BF32-'Income statement'!BF20+Capex!BF112-'Income statement'!BF38+'Cash flow statement'!BF141</f>
        <v>3106</v>
      </c>
      <c r="BG24" s="423">
        <f>'Income statement'!BG32-'Income statement'!BG20+Capex!BG112-'Income statement'!BG38+'Cash flow statement'!BG141</f>
        <v>1652</v>
      </c>
      <c r="BH24" s="423">
        <f>'Income statement'!BH32-'Income statement'!BH20+Capex!BH112-'Income statement'!BH38+'Cash flow statement'!BH141</f>
        <v>3910</v>
      </c>
      <c r="BI24" s="423">
        <f>'Income statement'!BI32-'Income statement'!BI20+Capex!BI112-'Income statement'!BI38+'Cash flow statement'!BI141</f>
        <v>3373</v>
      </c>
      <c r="BJ24" s="595">
        <f>'Income statement'!BJ32-'Income statement'!BJ20+Capex!BJ112-'Income statement'!BJ38+'Cash flow statement'!BJ141</f>
        <v>12041</v>
      </c>
      <c r="BK24" s="423">
        <f>'Income statement'!BK32-'Income statement'!BK20+Capex!BK112-'Income statement'!BK38+'Cash flow statement'!BK141</f>
        <v>5966</v>
      </c>
      <c r="BL24" s="423">
        <f>'Income statement'!BL32-'Income statement'!BL20+Capex!BL112-'Income statement'!BL38+'Cash flow statement'!BL141</f>
        <v>4965</v>
      </c>
      <c r="BM24" s="423">
        <f>'Income statement'!BM32-'Income statement'!BM20+Capex!BM112-'Income statement'!BM38+'Cash flow statement'!BM141</f>
        <v>5504</v>
      </c>
      <c r="BN24" s="423">
        <f ca="1">'Income statement'!BN32-'Income statement'!BN20+Capex!BN112-'Income statement'!BN38+'Cash flow statement'!BN141</f>
        <v>3598</v>
      </c>
      <c r="BO24" s="595">
        <f ca="1">'Income statement'!BO32-'Income statement'!BO20+Capex!BO112-'Income statement'!BO38+'Cash flow statement'!BO141</f>
        <v>20033</v>
      </c>
      <c r="BP24" s="316"/>
      <c r="BQ24" s="316"/>
      <c r="BR24" s="316"/>
      <c r="BS24" s="316"/>
      <c r="BT24" s="595">
        <f ca="1">'Income statement'!BT32-'Income statement'!BT20+Capex!BT112-'Income statement'!BT38+'Cash flow statement'!BT141</f>
        <v>28413.881873040857</v>
      </c>
      <c r="BU24" s="316"/>
      <c r="BV24" s="316"/>
      <c r="BW24" s="316"/>
      <c r="BX24" s="316"/>
      <c r="BY24" s="595">
        <f ca="1">'Income statement'!BY32-'Income statement'!BY20+Capex!BY112-'Income statement'!BY38+'Cash flow statement'!BY141</f>
        <v>29455.451433050632</v>
      </c>
      <c r="BZ24" s="316"/>
      <c r="CA24" s="316"/>
      <c r="CB24" s="316"/>
      <c r="CC24" s="316"/>
      <c r="CD24" s="595">
        <f ca="1">'Income statement'!CD32-'Income statement'!CD20+Capex!CD112-'Income statement'!CD38+'Cash flow statement'!CD141</f>
        <v>31905.702223192115</v>
      </c>
    </row>
    <row r="25" spans="1:98" ht="12.75" customHeight="1">
      <c r="A25" s="406" t="s">
        <v>1078</v>
      </c>
      <c r="B25" s="137"/>
      <c r="C25" s="5"/>
      <c r="D25" s="5"/>
      <c r="E25" s="5"/>
      <c r="F25" s="595">
        <f t="shared" ref="F25:BE25" si="20">F10</f>
        <v>24852</v>
      </c>
      <c r="G25" s="595">
        <f t="shared" si="20"/>
        <v>28131</v>
      </c>
      <c r="H25" s="423">
        <f t="shared" si="20"/>
        <v>8589</v>
      </c>
      <c r="I25" s="423">
        <f t="shared" si="20"/>
        <v>8106</v>
      </c>
      <c r="J25" s="423">
        <f t="shared" si="20"/>
        <v>5569</v>
      </c>
      <c r="K25" s="423">
        <f t="shared" si="20"/>
        <v>5565</v>
      </c>
      <c r="L25" s="595">
        <f t="shared" si="20"/>
        <v>27829</v>
      </c>
      <c r="M25" s="423">
        <f t="shared" si="20"/>
        <v>9233.5</v>
      </c>
      <c r="N25" s="423">
        <f t="shared" si="20"/>
        <v>6673.5</v>
      </c>
      <c r="O25" s="423">
        <f t="shared" si="20"/>
        <v>7468.5</v>
      </c>
      <c r="P25" s="423">
        <f t="shared" si="20"/>
        <v>4760.5</v>
      </c>
      <c r="Q25" s="595">
        <f t="shared" si="20"/>
        <v>28136</v>
      </c>
      <c r="R25" s="423">
        <f t="shared" si="20"/>
        <v>8694</v>
      </c>
      <c r="S25" s="423">
        <f t="shared" si="20"/>
        <v>2769</v>
      </c>
      <c r="T25" s="423">
        <f t="shared" si="20"/>
        <v>15507</v>
      </c>
      <c r="U25" s="423">
        <f t="shared" si="20"/>
        <v>10213</v>
      </c>
      <c r="V25" s="595">
        <f t="shared" si="20"/>
        <v>37183</v>
      </c>
      <c r="W25" s="423">
        <f t="shared" si="20"/>
        <v>6296</v>
      </c>
      <c r="X25" s="423">
        <f t="shared" si="20"/>
        <v>6411</v>
      </c>
      <c r="Y25" s="423">
        <f t="shared" si="20"/>
        <v>8643</v>
      </c>
      <c r="Z25" s="423">
        <f t="shared" si="20"/>
        <v>7339</v>
      </c>
      <c r="AA25" s="595">
        <f t="shared" si="20"/>
        <v>28689</v>
      </c>
      <c r="AB25" s="423">
        <f t="shared" si="20"/>
        <v>6939</v>
      </c>
      <c r="AC25" s="423">
        <f t="shared" si="20"/>
        <v>6657</v>
      </c>
      <c r="AD25" s="423">
        <f t="shared" si="20"/>
        <v>-863</v>
      </c>
      <c r="AE25" s="423">
        <f t="shared" si="20"/>
        <v>-1404</v>
      </c>
      <c r="AF25" s="595">
        <f t="shared" si="20"/>
        <v>11329</v>
      </c>
      <c r="AG25" s="423">
        <f t="shared" si="20"/>
        <v>3953</v>
      </c>
      <c r="AH25" s="423">
        <f t="shared" si="20"/>
        <v>7287</v>
      </c>
      <c r="AI25" s="423">
        <f t="shared" si="20"/>
        <v>5991</v>
      </c>
      <c r="AJ25" s="423">
        <f t="shared" si="20"/>
        <v>2654</v>
      </c>
      <c r="AK25" s="595">
        <f t="shared" si="20"/>
        <v>19885</v>
      </c>
      <c r="AL25" s="423">
        <f t="shared" si="20"/>
        <v>5369</v>
      </c>
      <c r="AM25" s="423">
        <f t="shared" si="20"/>
        <v>5554</v>
      </c>
      <c r="AN25" s="423">
        <f t="shared" si="20"/>
        <v>5381</v>
      </c>
      <c r="AO25" s="423">
        <f t="shared" si="20"/>
        <v>6248</v>
      </c>
      <c r="AP25" s="595">
        <f t="shared" si="20"/>
        <v>22552</v>
      </c>
      <c r="AQ25" s="423">
        <f t="shared" si="20"/>
        <v>7779</v>
      </c>
      <c r="AR25" s="423">
        <f t="shared" si="20"/>
        <v>6485</v>
      </c>
      <c r="AS25" s="423">
        <f t="shared" si="20"/>
        <v>6378</v>
      </c>
      <c r="AT25" s="423">
        <f t="shared" si="20"/>
        <v>5163</v>
      </c>
      <c r="AU25" s="595">
        <f t="shared" si="20"/>
        <v>25805</v>
      </c>
      <c r="AV25" s="423">
        <f t="shared" si="20"/>
        <v>7743</v>
      </c>
      <c r="AW25" s="423">
        <f t="shared" si="20"/>
        <v>6738</v>
      </c>
      <c r="AX25" s="423">
        <f t="shared" si="20"/>
        <v>9351</v>
      </c>
      <c r="AY25" s="423">
        <f t="shared" si="20"/>
        <v>10563</v>
      </c>
      <c r="AZ25" s="595">
        <f t="shared" si="20"/>
        <v>34395</v>
      </c>
      <c r="BA25" s="423">
        <f t="shared" si="20"/>
        <v>3866</v>
      </c>
      <c r="BB25" s="423">
        <f t="shared" si="20"/>
        <v>4758</v>
      </c>
      <c r="BC25" s="423">
        <f t="shared" si="20"/>
        <v>6731</v>
      </c>
      <c r="BD25" s="423">
        <f t="shared" si="20"/>
        <v>5412</v>
      </c>
      <c r="BE25" s="595">
        <f t="shared" si="20"/>
        <v>20767</v>
      </c>
      <c r="BF25" s="423">
        <f t="shared" ref="BF25:BH25" si="21">BF10</f>
        <v>2741</v>
      </c>
      <c r="BG25" s="423">
        <f t="shared" si="21"/>
        <v>1759</v>
      </c>
      <c r="BH25" s="423">
        <f t="shared" si="21"/>
        <v>1844</v>
      </c>
      <c r="BI25" s="423">
        <f t="shared" ref="BI25" si="22">BI10</f>
        <v>16</v>
      </c>
      <c r="BJ25" s="595">
        <f>BJ10</f>
        <v>6360</v>
      </c>
      <c r="BK25" s="423">
        <f t="shared" ref="BK25:BL25" si="23">BK10</f>
        <v>3377</v>
      </c>
      <c r="BL25" s="423">
        <f t="shared" si="23"/>
        <v>3899</v>
      </c>
      <c r="BM25" s="423">
        <f t="shared" ref="BM25:BN25" si="24">BM10</f>
        <v>4234</v>
      </c>
      <c r="BN25" s="423">
        <f t="shared" si="24"/>
        <v>4093</v>
      </c>
      <c r="BO25" s="595">
        <f>BO10</f>
        <v>15603</v>
      </c>
      <c r="BP25" s="316"/>
      <c r="BQ25" s="316"/>
      <c r="BR25" s="316"/>
      <c r="BS25" s="316"/>
      <c r="BT25" s="595">
        <f ca="1">BT10</f>
        <v>24378.629924385143</v>
      </c>
      <c r="BU25" s="316"/>
      <c r="BV25" s="316"/>
      <c r="BW25" s="316"/>
      <c r="BX25" s="316"/>
      <c r="BY25" s="595">
        <f ca="1">BY10</f>
        <v>26318.560568289595</v>
      </c>
      <c r="BZ25" s="316"/>
      <c r="CA25" s="316"/>
      <c r="CB25" s="316"/>
      <c r="CC25" s="316"/>
      <c r="CD25" s="595">
        <f ca="1">CD10</f>
        <v>28139.726436063145</v>
      </c>
    </row>
    <row r="26" spans="1:98" ht="12.75" customHeight="1">
      <c r="A26" s="432" t="s">
        <v>709</v>
      </c>
      <c r="B26" s="137"/>
      <c r="C26" s="5"/>
      <c r="D26" s="5"/>
      <c r="E26" s="5"/>
      <c r="F26" s="482">
        <f t="shared" ref="F26:L26" si="25">F25/F24</f>
        <v>1.0154034729315629</v>
      </c>
      <c r="G26" s="482">
        <f t="shared" si="25"/>
        <v>1.0372022712189366</v>
      </c>
      <c r="H26" s="484">
        <f t="shared" si="25"/>
        <v>1.1982421875</v>
      </c>
      <c r="I26" s="484">
        <f t="shared" si="25"/>
        <v>0.99289563939245473</v>
      </c>
      <c r="J26" s="484">
        <f t="shared" si="25"/>
        <v>0.78073741763633819</v>
      </c>
      <c r="K26" s="484">
        <f t="shared" si="25"/>
        <v>0.95193294560383168</v>
      </c>
      <c r="L26" s="482">
        <f t="shared" si="25"/>
        <v>0.96177639536893034</v>
      </c>
      <c r="M26" s="484">
        <f t="shared" ref="M26:BF26" si="26">M25/M24</f>
        <v>1.4015634486945963</v>
      </c>
      <c r="N26" s="484">
        <f t="shared" si="26"/>
        <v>0.81048093271799859</v>
      </c>
      <c r="O26" s="484">
        <f t="shared" si="26"/>
        <v>1.1452998006440729</v>
      </c>
      <c r="P26" s="484">
        <f t="shared" si="26"/>
        <v>0.66842179163156412</v>
      </c>
      <c r="Q26" s="482">
        <f t="shared" si="26"/>
        <v>0.976537553797029</v>
      </c>
      <c r="R26" s="484">
        <f t="shared" si="26"/>
        <v>1.0543293718166384</v>
      </c>
      <c r="S26" s="484">
        <f t="shared" si="26"/>
        <v>0.28688354745130545</v>
      </c>
      <c r="T26" s="484">
        <f t="shared" si="26"/>
        <v>1.2229495268138801</v>
      </c>
      <c r="U26" s="484">
        <f t="shared" si="26"/>
        <v>1.4825083466395703</v>
      </c>
      <c r="V26" s="482">
        <f t="shared" si="26"/>
        <v>0.98232590087710026</v>
      </c>
      <c r="W26" s="484">
        <f t="shared" si="26"/>
        <v>1.1877004338804</v>
      </c>
      <c r="X26" s="484">
        <f t="shared" si="26"/>
        <v>1.0738693467336684</v>
      </c>
      <c r="Y26" s="484">
        <f t="shared" si="26"/>
        <v>1.0877170903599296</v>
      </c>
      <c r="Z26" s="484">
        <f t="shared" si="26"/>
        <v>1.0214335421016005</v>
      </c>
      <c r="AA26" s="482">
        <f t="shared" si="26"/>
        <v>1.0627523615484349</v>
      </c>
      <c r="AB26" s="484">
        <f t="shared" si="26"/>
        <v>0.78593272171253825</v>
      </c>
      <c r="AC26" s="484">
        <f t="shared" si="26"/>
        <v>-0.44033602328350313</v>
      </c>
      <c r="AD26" s="484">
        <f t="shared" si="26"/>
        <v>-0.35253267973856212</v>
      </c>
      <c r="AE26" s="484">
        <f t="shared" si="26"/>
        <v>-0.24240331491712708</v>
      </c>
      <c r="AF26" s="482">
        <f t="shared" si="26"/>
        <v>4.8705932932072225</v>
      </c>
      <c r="AG26" s="484">
        <f t="shared" si="26"/>
        <v>0.53578205475738683</v>
      </c>
      <c r="AH26" s="484">
        <f t="shared" si="26"/>
        <v>0.83222932846048425</v>
      </c>
      <c r="AI26" s="484">
        <f t="shared" si="26"/>
        <v>0.79656960510570407</v>
      </c>
      <c r="AJ26" s="484">
        <f t="shared" si="26"/>
        <v>0.2734672849046883</v>
      </c>
      <c r="AK26" s="482">
        <f t="shared" si="26"/>
        <v>0.57832131223825034</v>
      </c>
      <c r="AL26" s="484">
        <f t="shared" si="26"/>
        <v>0.71730126920507686</v>
      </c>
      <c r="AM26" s="484">
        <f t="shared" si="26"/>
        <v>0.72782073122788626</v>
      </c>
      <c r="AN26" s="484">
        <f t="shared" si="26"/>
        <v>0.67711085944381533</v>
      </c>
      <c r="AO26" s="484">
        <f t="shared" si="26"/>
        <v>3.1731843575418996</v>
      </c>
      <c r="AP26" s="482">
        <f t="shared" si="26"/>
        <v>0.90092681367849148</v>
      </c>
      <c r="AQ26" s="484">
        <f t="shared" si="26"/>
        <v>1.0218048075660056</v>
      </c>
      <c r="AR26" s="484">
        <f t="shared" si="26"/>
        <v>1.02757090793852</v>
      </c>
      <c r="AS26" s="484">
        <f t="shared" si="26"/>
        <v>0.85005997600959615</v>
      </c>
      <c r="AT26" s="484">
        <f t="shared" si="26"/>
        <v>0.67693719680083908</v>
      </c>
      <c r="AU26" s="482">
        <f t="shared" si="26"/>
        <v>0.88817374543952643</v>
      </c>
      <c r="AV26" s="484">
        <f t="shared" si="26"/>
        <v>0.92564255827854158</v>
      </c>
      <c r="AW26" s="484">
        <f t="shared" si="26"/>
        <v>0.88159099829909726</v>
      </c>
      <c r="AX26" s="484">
        <f t="shared" si="26"/>
        <v>1.220279263995824</v>
      </c>
      <c r="AY26" s="484">
        <f t="shared" si="26"/>
        <v>0.97023973546431519</v>
      </c>
      <c r="AZ26" s="482">
        <f t="shared" si="26"/>
        <v>0.99528329185716768</v>
      </c>
      <c r="BA26" s="484">
        <f t="shared" si="26"/>
        <v>0.62974425802247924</v>
      </c>
      <c r="BB26" s="484">
        <f t="shared" si="26"/>
        <v>-3.1677762982689748</v>
      </c>
      <c r="BC26" s="484">
        <f t="shared" si="26"/>
        <v>1.3229166666666667</v>
      </c>
      <c r="BD26" s="484">
        <f t="shared" si="26"/>
        <v>1.5524956970740103</v>
      </c>
      <c r="BE26" s="482">
        <f t="shared" si="26"/>
        <v>1.571947619408069</v>
      </c>
      <c r="BF26" s="484">
        <f t="shared" si="26"/>
        <v>0.88248551191242752</v>
      </c>
      <c r="BG26" s="484">
        <f t="shared" ref="BG26:BH26" si="27">BG25/BG24</f>
        <v>1.0647699757869249</v>
      </c>
      <c r="BH26" s="484">
        <f t="shared" si="27"/>
        <v>0.47161125319693092</v>
      </c>
      <c r="BI26" s="484">
        <f t="shared" ref="BI26" si="28">BI25/BI24</f>
        <v>4.7435517343611027E-3</v>
      </c>
      <c r="BJ26" s="482">
        <f>BJ25/BJ24</f>
        <v>0.52819533261357032</v>
      </c>
      <c r="BK26" s="484">
        <f t="shared" ref="BK26:BL26" si="29">BK25/BK24</f>
        <v>0.56604089842440497</v>
      </c>
      <c r="BL26" s="484">
        <f t="shared" si="29"/>
        <v>0.78529707955689831</v>
      </c>
      <c r="BM26" s="484">
        <f t="shared" ref="BM26:BN26" si="30">BM25/BM24</f>
        <v>0.76925872093023251</v>
      </c>
      <c r="BN26" s="484">
        <f t="shared" ca="1" si="30"/>
        <v>1.1375764313507504</v>
      </c>
      <c r="BO26" s="482">
        <f ca="1">BO25/BO24</f>
        <v>0.77886487295961659</v>
      </c>
      <c r="BP26" s="483"/>
      <c r="BQ26" s="483"/>
      <c r="BR26" s="483"/>
      <c r="BS26" s="483"/>
      <c r="BT26" s="482">
        <f ca="1">BT25/BT24</f>
        <v>0.85798308141470914</v>
      </c>
      <c r="BU26" s="483"/>
      <c r="BV26" s="483"/>
      <c r="BW26" s="483"/>
      <c r="BX26" s="483"/>
      <c r="BY26" s="482">
        <f ca="1">BY25/BY24</f>
        <v>0.89350389445258094</v>
      </c>
      <c r="BZ26" s="483"/>
      <c r="CA26" s="483"/>
      <c r="CB26" s="483"/>
      <c r="CC26" s="483"/>
      <c r="CD26" s="482">
        <f ca="1">CD25/CD24</f>
        <v>0.88196543173428421</v>
      </c>
      <c r="CF26" s="406"/>
      <c r="CG26" s="406"/>
    </row>
    <row r="27" spans="1:98" ht="12.75" customHeight="1">
      <c r="A27" s="432"/>
      <c r="B27" s="137"/>
      <c r="C27" s="5"/>
      <c r="D27" s="5"/>
      <c r="E27" s="5"/>
      <c r="F27" s="482"/>
      <c r="G27" s="482"/>
      <c r="H27" s="482"/>
      <c r="I27" s="482"/>
      <c r="J27" s="482"/>
      <c r="K27" s="482"/>
      <c r="L27" s="482"/>
      <c r="M27" s="482"/>
      <c r="N27" s="482"/>
      <c r="O27" s="482"/>
      <c r="P27" s="482"/>
      <c r="Q27" s="482"/>
      <c r="R27" s="482"/>
      <c r="S27" s="482"/>
      <c r="T27" s="482"/>
      <c r="U27" s="482"/>
      <c r="V27" s="482"/>
      <c r="W27" s="482"/>
      <c r="X27" s="482"/>
      <c r="Y27" s="482"/>
      <c r="Z27" s="482"/>
      <c r="AA27" s="482"/>
      <c r="AB27" s="482"/>
      <c r="AC27" s="482"/>
      <c r="AD27" s="482"/>
      <c r="AE27" s="482"/>
      <c r="AF27" s="482"/>
      <c r="AG27" s="482"/>
      <c r="AH27" s="482"/>
      <c r="AI27" s="482"/>
      <c r="AJ27" s="482"/>
      <c r="AK27" s="482"/>
      <c r="AL27" s="482"/>
      <c r="AM27" s="482"/>
      <c r="AN27" s="482"/>
      <c r="AO27" s="482"/>
      <c r="AP27" s="482"/>
      <c r="AQ27" s="482"/>
      <c r="AR27" s="482"/>
      <c r="AS27" s="482"/>
      <c r="AT27" s="482"/>
      <c r="AU27" s="482"/>
      <c r="AV27" s="482"/>
      <c r="AW27" s="482"/>
      <c r="AX27" s="482"/>
      <c r="AY27" s="482"/>
      <c r="AZ27" s="482"/>
      <c r="BA27" s="482"/>
      <c r="BB27" s="482"/>
      <c r="BC27" s="482"/>
      <c r="BD27" s="482"/>
      <c r="BE27" s="482"/>
      <c r="BF27" s="599">
        <f>(BF25-'GoM oil spill'!BF97)/BF24</f>
        <v>1.2446877012234385</v>
      </c>
      <c r="BG27" s="599">
        <f>(BG25-'GoM oil spill'!BG97)/BG24</f>
        <v>1.9110169491525424</v>
      </c>
      <c r="BH27" s="599">
        <f>(BH25-'GoM oil spill'!BH97)/BH24</f>
        <v>1.0664961636828645</v>
      </c>
      <c r="BI27" s="599">
        <f>(BI25-'GoM oil spill'!BI97)/BI24</f>
        <v>0.61043581381559442</v>
      </c>
      <c r="BJ27" s="482"/>
      <c r="BK27" s="599">
        <f>(BK25-'GoM oil spill'!BK97)/BK24</f>
        <v>0.9505531344284277</v>
      </c>
      <c r="BL27" s="599">
        <f>(BL25-'GoM oil spill'!BL97)/BL24</f>
        <v>1.1931520644511582</v>
      </c>
      <c r="BM27" s="599">
        <f>(BM25-'GoM oil spill'!BM97)/BM24</f>
        <v>0.87172965116279066</v>
      </c>
      <c r="BN27" s="599">
        <f ca="1">(BN25-'GoM oil spill'!BN97)/BN24</f>
        <v>1.263479710950528</v>
      </c>
      <c r="BO27" s="482"/>
      <c r="BP27" s="482"/>
      <c r="BQ27" s="482"/>
      <c r="BR27" s="482"/>
      <c r="BS27" s="482"/>
      <c r="BT27" s="482"/>
      <c r="BU27" s="482"/>
      <c r="BV27" s="482"/>
      <c r="BW27" s="482"/>
      <c r="BX27" s="482"/>
      <c r="BY27" s="482"/>
      <c r="BZ27" s="482"/>
      <c r="CA27" s="482"/>
      <c r="CB27" s="482"/>
      <c r="CC27" s="482"/>
      <c r="CD27" s="665"/>
      <c r="CF27" s="406"/>
      <c r="CG27" s="406"/>
    </row>
    <row r="28" spans="1:98" ht="12.75" customHeight="1">
      <c r="A28" s="538" t="s">
        <v>3541</v>
      </c>
      <c r="B28" s="137"/>
      <c r="C28" s="5"/>
      <c r="D28" s="5"/>
      <c r="E28" s="5"/>
      <c r="F28" s="482"/>
      <c r="G28" s="482"/>
      <c r="H28" s="482"/>
      <c r="I28" s="482"/>
      <c r="J28" s="482"/>
      <c r="K28" s="482"/>
      <c r="L28" s="482"/>
      <c r="M28" s="482"/>
      <c r="N28" s="482"/>
      <c r="O28" s="482"/>
      <c r="P28" s="482"/>
      <c r="Q28" s="482"/>
      <c r="R28" s="482"/>
      <c r="S28" s="482"/>
      <c r="T28" s="482"/>
      <c r="U28" s="482"/>
      <c r="V28" s="482"/>
      <c r="W28" s="482"/>
      <c r="X28" s="482"/>
      <c r="Y28" s="482"/>
      <c r="Z28" s="482"/>
      <c r="AA28" s="482"/>
      <c r="AB28" s="482"/>
      <c r="AC28" s="482"/>
      <c r="AD28" s="482"/>
      <c r="AE28" s="482"/>
      <c r="AF28" s="482"/>
      <c r="AG28" s="482"/>
      <c r="AH28" s="482"/>
      <c r="AI28" s="482"/>
      <c r="AJ28" s="482"/>
      <c r="AK28" s="482"/>
      <c r="AL28" s="482"/>
      <c r="AM28" s="482"/>
      <c r="AN28" s="482"/>
      <c r="AO28" s="482"/>
      <c r="AP28" s="482"/>
      <c r="AQ28" s="482"/>
      <c r="AR28" s="482"/>
      <c r="AS28" s="482"/>
      <c r="AT28" s="482"/>
      <c r="AU28" s="482"/>
      <c r="AV28" s="482"/>
      <c r="AW28" s="482"/>
      <c r="AX28" s="482"/>
      <c r="AY28" s="482"/>
      <c r="AZ28" s="482"/>
      <c r="BA28" s="482"/>
      <c r="BB28" s="482"/>
      <c r="BC28" s="482"/>
      <c r="BD28" s="482"/>
      <c r="BE28" s="482"/>
      <c r="BF28" s="482"/>
      <c r="BG28" s="482"/>
      <c r="BH28" s="482"/>
      <c r="BI28" s="482"/>
      <c r="BJ28" s="482"/>
      <c r="BK28" s="482"/>
      <c r="BL28" s="482"/>
      <c r="BM28" s="482"/>
      <c r="BN28" s="482"/>
      <c r="BO28" s="482"/>
      <c r="BP28" s="482"/>
      <c r="BQ28" s="482"/>
      <c r="BR28" s="482"/>
      <c r="BS28" s="482"/>
      <c r="BT28" s="482"/>
      <c r="BU28" s="482"/>
      <c r="BV28" s="482"/>
      <c r="BW28" s="482"/>
      <c r="BX28" s="482"/>
      <c r="BY28" s="482"/>
      <c r="BZ28" s="482"/>
      <c r="CA28" s="482"/>
      <c r="CB28" s="482"/>
      <c r="CC28" s="482"/>
      <c r="CD28" s="482"/>
      <c r="CF28" s="406"/>
      <c r="CG28" s="406"/>
    </row>
    <row r="29" spans="1:98" ht="12.75" customHeight="1">
      <c r="A29" s="432"/>
      <c r="B29" s="361" t="s">
        <v>3650</v>
      </c>
      <c r="C29" s="5"/>
      <c r="D29" s="5"/>
      <c r="E29" s="5"/>
      <c r="F29" s="598">
        <f t="shared" ref="F29:AZ29" si="31">F25/(F24+F141+F41)</f>
        <v>1.0277915632754342</v>
      </c>
      <c r="G29" s="598">
        <f t="shared" si="31"/>
        <v>1.0798019345923537</v>
      </c>
      <c r="H29" s="599">
        <f t="shared" si="31"/>
        <v>1.302547770700637</v>
      </c>
      <c r="I29" s="599">
        <f t="shared" si="31"/>
        <v>1.0524539080758244</v>
      </c>
      <c r="J29" s="599">
        <f t="shared" si="31"/>
        <v>1.0619755911517925</v>
      </c>
      <c r="K29" s="599">
        <f t="shared" si="31"/>
        <v>0.99268640742062075</v>
      </c>
      <c r="L29" s="598">
        <f t="shared" si="31"/>
        <v>1.0798991074893287</v>
      </c>
      <c r="M29" s="599">
        <f t="shared" si="31"/>
        <v>1.5060349045832653</v>
      </c>
      <c r="N29" s="599">
        <f t="shared" si="31"/>
        <v>0.90426829268292686</v>
      </c>
      <c r="O29" s="599">
        <f t="shared" si="31"/>
        <v>1.1629554655870444</v>
      </c>
      <c r="P29" s="599">
        <f t="shared" si="31"/>
        <v>0.61632573795960643</v>
      </c>
      <c r="Q29" s="598">
        <f t="shared" si="31"/>
        <v>1.004713612341094</v>
      </c>
      <c r="R29" s="599">
        <f t="shared" si="31"/>
        <v>1.1810895258796359</v>
      </c>
      <c r="S29" s="599">
        <f t="shared" si="31"/>
        <v>0.28855773238849519</v>
      </c>
      <c r="T29" s="599">
        <f t="shared" si="31"/>
        <v>1.2365042660074954</v>
      </c>
      <c r="U29" s="599">
        <f t="shared" si="31"/>
        <v>1.2232602706911007</v>
      </c>
      <c r="V29" s="598">
        <f t="shared" si="31"/>
        <v>0.97256225151705378</v>
      </c>
      <c r="W29" s="599">
        <f t="shared" si="31"/>
        <v>1.1752846742579801</v>
      </c>
      <c r="X29" s="599">
        <f t="shared" si="31"/>
        <v>1.1318855932203389</v>
      </c>
      <c r="Y29" s="599">
        <f t="shared" si="31"/>
        <v>1.0939121630173396</v>
      </c>
      <c r="Z29" s="599">
        <f t="shared" si="31"/>
        <v>0.96060209424083765</v>
      </c>
      <c r="AA29" s="598">
        <f t="shared" si="31"/>
        <v>1.0564905174001105</v>
      </c>
      <c r="AB29" s="599">
        <f t="shared" si="31"/>
        <v>0.77487437185929653</v>
      </c>
      <c r="AC29" s="599">
        <f t="shared" si="31"/>
        <v>1.694755600814664</v>
      </c>
      <c r="AD29" s="599">
        <f t="shared" si="31"/>
        <v>0.17975421787127682</v>
      </c>
      <c r="AE29" s="599">
        <f t="shared" si="31"/>
        <v>3.1764705882352939</v>
      </c>
      <c r="AF29" s="598">
        <f t="shared" si="31"/>
        <v>1.4134747348721148</v>
      </c>
      <c r="AG29" s="599">
        <f t="shared" si="31"/>
        <v>1.1619635508524397</v>
      </c>
      <c r="AH29" s="599">
        <f t="shared" si="31"/>
        <v>1.1022538193919225</v>
      </c>
      <c r="AI29" s="599">
        <f t="shared" si="31"/>
        <v>1.0771305285868393</v>
      </c>
      <c r="AJ29" s="599">
        <f t="shared" si="31"/>
        <v>0.59613656783468105</v>
      </c>
      <c r="AK29" s="598">
        <f t="shared" si="31"/>
        <v>0.94461070732981811</v>
      </c>
      <c r="AL29" s="599">
        <f t="shared" si="31"/>
        <v>1.0850848827809216</v>
      </c>
      <c r="AM29" s="599">
        <f t="shared" si="31"/>
        <v>0.51626696411972484</v>
      </c>
      <c r="AN29" s="599">
        <f t="shared" si="31"/>
        <v>0.83999375585388703</v>
      </c>
      <c r="AO29" s="599">
        <f t="shared" si="31"/>
        <v>5.3401709401709399</v>
      </c>
      <c r="AP29" s="598">
        <f t="shared" si="31"/>
        <v>0.96864530538613525</v>
      </c>
      <c r="AQ29" s="599">
        <f t="shared" si="31"/>
        <v>-1.4602966022151305</v>
      </c>
      <c r="AR29" s="599">
        <f t="shared" si="31"/>
        <v>0.98064418569484346</v>
      </c>
      <c r="AS29" s="599">
        <f t="shared" si="31"/>
        <v>0.83437990580847721</v>
      </c>
      <c r="AT29" s="599">
        <f t="shared" si="31"/>
        <v>0.64812955059000754</v>
      </c>
      <c r="AU29" s="598">
        <f t="shared" si="31"/>
        <v>1.5272845643939394</v>
      </c>
      <c r="AV29" s="599">
        <f t="shared" si="31"/>
        <v>0.95983637039791747</v>
      </c>
      <c r="AW29" s="599">
        <f t="shared" si="31"/>
        <v>0.82827289489858635</v>
      </c>
      <c r="AX29" s="599">
        <f t="shared" si="31"/>
        <v>1.1674157303370787</v>
      </c>
      <c r="AY29" s="599">
        <f t="shared" si="31"/>
        <v>0.59755614640493293</v>
      </c>
      <c r="AZ29" s="598">
        <f t="shared" si="31"/>
        <v>0.82109861777554971</v>
      </c>
      <c r="BA29" s="599">
        <f>(BA25+BA41)/BA24</f>
        <v>0.55302166476624859</v>
      </c>
      <c r="BB29" s="599">
        <f>(BB25+BB41)/BB24</f>
        <v>-7.8601864181091878</v>
      </c>
      <c r="BC29" s="599">
        <f>(BC25+BC41)/BC24</f>
        <v>1.3852201257861636</v>
      </c>
      <c r="BD29" s="599">
        <f>(BD25+BD41)/BD24</f>
        <v>1.678714859437751</v>
      </c>
      <c r="BE29" s="598">
        <f>BE25/(BE24+BE141+BE41)</f>
        <v>0.95313934275748113</v>
      </c>
      <c r="BF29" s="599">
        <f>(BF25+BF41)/BF24</f>
        <v>0.73470701867353505</v>
      </c>
      <c r="BG29" s="599">
        <f>(BG25+BG41)/BG24</f>
        <v>1.8504842615012107</v>
      </c>
      <c r="BH29" s="599">
        <f>(BH25+BH41)/BH24</f>
        <v>-8.8491048593350385E-2</v>
      </c>
      <c r="BI29" s="599">
        <f>(BI25+BI41)/BI24</f>
        <v>-0.44352208716276315</v>
      </c>
      <c r="BJ29" s="598">
        <f>BJ25/(BJ24+BJ141+BJ41)</f>
        <v>0.99655280476339703</v>
      </c>
      <c r="BK29" s="599">
        <f>(BK25+BK41)/BK24</f>
        <v>0.20046932618169627</v>
      </c>
      <c r="BL29" s="599">
        <f>(BL25+BL41)/BL24</f>
        <v>0.44068479355488421</v>
      </c>
      <c r="BM29" s="599">
        <f>(BM25+BM41)/BM24</f>
        <v>0.69131540697674421</v>
      </c>
      <c r="BN29" s="599">
        <f ca="1">(BN25+BN41)/BN24</f>
        <v>2.3568649249583102</v>
      </c>
      <c r="BO29" s="598">
        <f ca="1">BO25/(BO24+BO141+BO41)</f>
        <v>0.77607560308380996</v>
      </c>
      <c r="BP29" s="483"/>
      <c r="BQ29" s="483"/>
      <c r="BR29" s="483"/>
      <c r="BS29" s="483"/>
      <c r="BT29" s="598">
        <f ca="1">BT25/(BT24+BT141+BT41)</f>
        <v>0.94971773256585146</v>
      </c>
      <c r="BU29" s="483"/>
      <c r="BV29" s="483"/>
      <c r="BW29" s="483"/>
      <c r="BX29" s="483"/>
      <c r="BY29" s="598">
        <f ca="1">BY25/(BY24+BY141+BY41)</f>
        <v>0.94696422795706015</v>
      </c>
      <c r="BZ29" s="483"/>
      <c r="CA29" s="483"/>
      <c r="CB29" s="483"/>
      <c r="CC29" s="483"/>
      <c r="CD29" s="598">
        <f ca="1">CD25/(CD24+CD141+CD41)</f>
        <v>0.90775014972921331</v>
      </c>
      <c r="CF29" s="406"/>
      <c r="CG29" s="406"/>
    </row>
    <row r="30" spans="1:98" ht="12.75" customHeight="1">
      <c r="A30" s="432"/>
      <c r="B30" s="137" t="s">
        <v>3542</v>
      </c>
      <c r="C30" s="5"/>
      <c r="D30" s="5"/>
      <c r="E30" s="5"/>
      <c r="F30" s="598">
        <f t="shared" ref="F30:AZ30" si="32">F25/(F24+F141+F41+F40)</f>
        <v>1.0312461097970871</v>
      </c>
      <c r="G30" s="598">
        <f t="shared" si="32"/>
        <v>1.1100544550548497</v>
      </c>
      <c r="H30" s="599">
        <f t="shared" si="32"/>
        <v>1.2783152254799821</v>
      </c>
      <c r="I30" s="599">
        <f t="shared" si="32"/>
        <v>1.0356458413185128</v>
      </c>
      <c r="J30" s="599">
        <f t="shared" si="32"/>
        <v>1.0372508847085118</v>
      </c>
      <c r="K30" s="599">
        <f t="shared" si="32"/>
        <v>0.97103472343395569</v>
      </c>
      <c r="L30" s="598">
        <f t="shared" si="32"/>
        <v>1.0593452607537115</v>
      </c>
      <c r="M30" s="599">
        <f t="shared" si="32"/>
        <v>1.5943880854737751</v>
      </c>
      <c r="N30" s="599">
        <f t="shared" si="32"/>
        <v>0.9479066794503036</v>
      </c>
      <c r="O30" s="599">
        <f t="shared" si="32"/>
        <v>1.2279173003411565</v>
      </c>
      <c r="P30" s="599">
        <f t="shared" si="32"/>
        <v>0.64468294004130411</v>
      </c>
      <c r="Q30" s="598">
        <f t="shared" si="32"/>
        <v>1.0559579658472509</v>
      </c>
      <c r="R30" s="599">
        <f t="shared" si="32"/>
        <v>1.1848318626281897</v>
      </c>
      <c r="S30" s="599">
        <f t="shared" si="32"/>
        <v>0.28925857251051162</v>
      </c>
      <c r="T30" s="599">
        <f t="shared" si="32"/>
        <v>1.2388009027181401</v>
      </c>
      <c r="U30" s="599">
        <f t="shared" si="32"/>
        <v>1.2266762754106237</v>
      </c>
      <c r="V30" s="598">
        <f t="shared" si="32"/>
        <v>0.97493379480321984</v>
      </c>
      <c r="W30" s="599">
        <f t="shared" si="32"/>
        <v>1.2266926449098881</v>
      </c>
      <c r="X30" s="599">
        <f t="shared" si="32"/>
        <v>1.1786009743542605</v>
      </c>
      <c r="Y30" s="599">
        <f t="shared" si="32"/>
        <v>1.1259037321696086</v>
      </c>
      <c r="Z30" s="599">
        <f t="shared" si="32"/>
        <v>0.98968377048074974</v>
      </c>
      <c r="AA30" s="598">
        <f t="shared" si="32"/>
        <v>1.0926229196023918</v>
      </c>
      <c r="AB30" s="599">
        <f t="shared" si="32"/>
        <v>0.80827023878858473</v>
      </c>
      <c r="AC30" s="599">
        <f t="shared" si="32"/>
        <v>1.8709949409780775</v>
      </c>
      <c r="AD30" s="599">
        <f t="shared" si="32"/>
        <v>0.16689228389093019</v>
      </c>
      <c r="AE30" s="599">
        <f t="shared" si="32"/>
        <v>1.729064039408867</v>
      </c>
      <c r="AF30" s="598">
        <f t="shared" si="32"/>
        <v>1.7335883703136954</v>
      </c>
      <c r="AG30" s="599">
        <f t="shared" si="32"/>
        <v>2.1648411829134719</v>
      </c>
      <c r="AH30" s="599">
        <f t="shared" si="32"/>
        <v>1.0150438779774342</v>
      </c>
      <c r="AI30" s="599">
        <f t="shared" si="32"/>
        <v>1.228923076923077</v>
      </c>
      <c r="AJ30" s="599">
        <f t="shared" si="32"/>
        <v>0.5</v>
      </c>
      <c r="AK30" s="598">
        <f t="shared" si="32"/>
        <v>0.98382149218286163</v>
      </c>
      <c r="AL30" s="599">
        <f t="shared" si="32"/>
        <v>1.2136075949367089</v>
      </c>
      <c r="AM30" s="599">
        <f t="shared" si="32"/>
        <v>0.52724511106891969</v>
      </c>
      <c r="AN30" s="599">
        <f t="shared" si="32"/>
        <v>1.0550980392156863</v>
      </c>
      <c r="AO30" s="599">
        <f t="shared" si="32"/>
        <v>6.155665024630542</v>
      </c>
      <c r="AP30" s="598">
        <f t="shared" si="32"/>
        <v>1.0701845964029801</v>
      </c>
      <c r="AQ30" s="599">
        <f t="shared" si="32"/>
        <v>-1.4074543151800254</v>
      </c>
      <c r="AR30" s="599">
        <f t="shared" si="32"/>
        <v>1.019814436232112</v>
      </c>
      <c r="AS30" s="599">
        <f t="shared" si="32"/>
        <v>0.89140461215932909</v>
      </c>
      <c r="AT30" s="599">
        <f t="shared" si="32"/>
        <v>0.7260582196596822</v>
      </c>
      <c r="AU30" s="598">
        <f t="shared" si="32"/>
        <v>1.7091667770565637</v>
      </c>
      <c r="AV30" s="599">
        <f t="shared" si="32"/>
        <v>1.048760666395774</v>
      </c>
      <c r="AW30" s="599">
        <f t="shared" si="32"/>
        <v>0.95506732813607376</v>
      </c>
      <c r="AX30" s="599">
        <f t="shared" si="32"/>
        <v>1.0953496544453556</v>
      </c>
      <c r="AY30" s="599">
        <f t="shared" si="32"/>
        <v>0.60522546267117405</v>
      </c>
      <c r="AZ30" s="598">
        <f t="shared" si="32"/>
        <v>0.85077174235678243</v>
      </c>
      <c r="BA30" s="599">
        <f>(BA25+BA41+BA40)/BA24</f>
        <v>0.50806320247597325</v>
      </c>
      <c r="BB30" s="599">
        <f>(BB25+BB41+BB40)/BB24</f>
        <v>-7.4247669773635154</v>
      </c>
      <c r="BC30" s="599">
        <f>(BC25+BC41+BC40)/BC24</f>
        <v>1.3272405660377358</v>
      </c>
      <c r="BD30" s="599">
        <f>(BD25+BD41+BD40)/BD24</f>
        <v>1.9736087205966724</v>
      </c>
      <c r="BE30" s="598">
        <f>BE25/(BE24+BE141+BE41+BE40)</f>
        <v>0.96183595016442036</v>
      </c>
      <c r="BF30" s="599">
        <f>(BF25+BF41+BF40)/BF24</f>
        <v>0.72698003863490024</v>
      </c>
      <c r="BG30" s="599">
        <f>(BG25+BG41+BG40)/BG24</f>
        <v>1.5569007263922519</v>
      </c>
      <c r="BH30" s="599">
        <f>(BH25+BH41+BH40)/BH24</f>
        <v>-2.2250639386189257E-2</v>
      </c>
      <c r="BI30" s="599">
        <f>(BI25+BI41+BI40)/BI24</f>
        <v>-0.62288763711829231</v>
      </c>
      <c r="BJ30" s="598">
        <f>BJ25/(BJ24+BJ141+BJ41+BJ40)</f>
        <v>1.150714673421386</v>
      </c>
      <c r="BK30" s="599">
        <f>(BK25+BK41+BK40)/BK24</f>
        <v>0.1635936976198458</v>
      </c>
      <c r="BL30" s="599">
        <f>(BL25+BL41+BL40)/BL24</f>
        <v>0.41993957703927492</v>
      </c>
      <c r="BM30" s="599">
        <f>(BM25+BM41+BM40)/BM24</f>
        <v>0.67114825581395354</v>
      </c>
      <c r="BN30" s="599">
        <f ca="1">(BN25+BN41+BN40)/BN24</f>
        <v>2.1289605336297943</v>
      </c>
      <c r="BO30" s="598">
        <f ca="1">BO25/(BO24+BO141+BO41+BO40)</f>
        <v>0.82770144819903457</v>
      </c>
      <c r="BP30" s="483"/>
      <c r="BQ30" s="483"/>
      <c r="BR30" s="483"/>
      <c r="BS30" s="483"/>
      <c r="BT30" s="598">
        <f ca="1">BT25/(BT24+BT141+BT41+BT40)</f>
        <v>1</v>
      </c>
      <c r="BU30" s="483"/>
      <c r="BV30" s="483"/>
      <c r="BW30" s="483"/>
      <c r="BX30" s="483"/>
      <c r="BY30" s="598">
        <f ca="1">BY25/(BY24+BY141+BY41+BY40)</f>
        <v>1.0000000000000002</v>
      </c>
      <c r="BZ30" s="483"/>
      <c r="CA30" s="483"/>
      <c r="CB30" s="483"/>
      <c r="CC30" s="483"/>
      <c r="CD30" s="598">
        <f ca="1">CD25/(CD24+CD141+CD41+CD40)</f>
        <v>1</v>
      </c>
      <c r="CF30" s="406"/>
      <c r="CG30" s="406"/>
    </row>
    <row r="31" spans="1:98" ht="12.75" customHeight="1">
      <c r="A31" s="289"/>
      <c r="B31" s="4"/>
      <c r="C31" s="5"/>
      <c r="D31" s="5"/>
      <c r="E31" s="5"/>
      <c r="F31" s="482"/>
      <c r="G31" s="482"/>
      <c r="H31" s="482"/>
      <c r="I31" s="482"/>
      <c r="J31" s="482"/>
      <c r="K31" s="482"/>
      <c r="L31" s="482"/>
      <c r="M31" s="482"/>
      <c r="N31" s="482"/>
      <c r="O31" s="482"/>
      <c r="P31" s="482"/>
      <c r="Q31" s="482"/>
      <c r="R31" s="482"/>
      <c r="S31" s="482"/>
      <c r="T31" s="482"/>
      <c r="U31" s="482"/>
      <c r="V31" s="482"/>
      <c r="W31" s="482"/>
      <c r="X31" s="482"/>
      <c r="Y31" s="482"/>
      <c r="Z31" s="482"/>
      <c r="AA31" s="482"/>
      <c r="AB31" s="482"/>
      <c r="AC31" s="482"/>
      <c r="AD31" s="482"/>
      <c r="AE31" s="482"/>
      <c r="AF31" s="482"/>
      <c r="AG31" s="482"/>
      <c r="AH31" s="482"/>
      <c r="AI31" s="482"/>
      <c r="AJ31" s="482"/>
      <c r="AK31" s="482"/>
      <c r="AL31" s="482"/>
      <c r="AM31" s="482"/>
      <c r="AN31" s="482"/>
      <c r="AO31" s="482"/>
      <c r="AP31" s="482"/>
      <c r="AQ31" s="482"/>
      <c r="AR31" s="482"/>
      <c r="AS31" s="482"/>
      <c r="AT31" s="482"/>
      <c r="AU31" s="482"/>
      <c r="AV31" s="482"/>
      <c r="AW31" s="482"/>
      <c r="AX31" s="482"/>
      <c r="AY31" s="482"/>
      <c r="AZ31" s="482"/>
      <c r="BA31" s="482"/>
      <c r="BB31" s="482"/>
      <c r="BC31" s="482"/>
      <c r="BD31" s="482"/>
      <c r="BE31" s="482"/>
      <c r="BF31" s="482"/>
      <c r="BG31" s="482"/>
      <c r="BH31" s="482"/>
      <c r="BI31" s="482"/>
      <c r="BJ31" s="482"/>
      <c r="BK31" s="482"/>
      <c r="BL31" s="482"/>
      <c r="BM31" s="482"/>
      <c r="BN31" s="482"/>
      <c r="BO31" s="482"/>
      <c r="BP31" s="482"/>
      <c r="BQ31" s="482"/>
      <c r="BR31" s="482"/>
      <c r="BS31" s="482"/>
      <c r="BT31" s="482"/>
      <c r="BU31" s="482"/>
      <c r="BV31" s="482"/>
      <c r="BW31" s="482"/>
      <c r="BX31" s="482"/>
      <c r="BY31" s="482"/>
      <c r="BZ31" s="482"/>
      <c r="CA31" s="482"/>
      <c r="CB31" s="482"/>
      <c r="CC31" s="482"/>
      <c r="CD31" s="482"/>
      <c r="CF31" s="406"/>
      <c r="CG31" s="406"/>
    </row>
    <row r="32" spans="1:98" ht="12.75" customHeight="1">
      <c r="A32" s="4"/>
      <c r="B32" s="4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P32" s="49"/>
      <c r="AQ32" s="49"/>
      <c r="AR32" s="49"/>
      <c r="AS32" s="49"/>
      <c r="AT32" s="49"/>
      <c r="AU32" s="318"/>
      <c r="AV32" s="318"/>
      <c r="AW32" s="318"/>
      <c r="AX32" s="49"/>
      <c r="AY32" s="49"/>
      <c r="AZ32" s="318"/>
      <c r="BA32" s="49"/>
      <c r="BB32" s="49"/>
      <c r="BC32" s="49"/>
      <c r="BD32" s="49"/>
      <c r="BE32" s="318"/>
      <c r="BF32" s="49"/>
      <c r="BG32" s="49"/>
      <c r="BH32" s="49"/>
      <c r="BI32" s="49"/>
      <c r="BJ32" s="318"/>
      <c r="BK32" s="49"/>
      <c r="BL32" s="49"/>
      <c r="BM32" s="49"/>
      <c r="BN32" s="318"/>
      <c r="BO32" s="318"/>
      <c r="BP32" s="318"/>
      <c r="BQ32" s="318"/>
      <c r="BR32" s="318"/>
      <c r="BS32" s="318"/>
      <c r="BT32" s="543"/>
      <c r="BU32" s="318"/>
      <c r="BV32" s="318"/>
      <c r="BW32" s="318"/>
      <c r="BX32" s="318"/>
      <c r="BY32" s="318"/>
      <c r="BZ32" s="318"/>
      <c r="CA32" s="318"/>
      <c r="CB32" s="318"/>
      <c r="CC32" s="318"/>
      <c r="CD32" s="318"/>
      <c r="CF32" s="406"/>
      <c r="CG32" s="406"/>
    </row>
    <row r="33" spans="1:85" ht="12.75" customHeight="1">
      <c r="A33" s="4"/>
      <c r="B33" s="4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V33" s="423"/>
      <c r="AW33" s="423"/>
      <c r="BA33" s="318"/>
      <c r="BB33" s="318"/>
      <c r="BC33" s="318"/>
      <c r="BD33" s="318"/>
      <c r="BF33" s="318"/>
      <c r="BG33" s="318"/>
      <c r="BH33" s="318"/>
      <c r="BI33" s="318"/>
      <c r="BJ33" s="543"/>
      <c r="BK33" s="318"/>
      <c r="BL33" s="318"/>
      <c r="BM33" s="318"/>
      <c r="BN33" s="318"/>
      <c r="BO33" s="543"/>
      <c r="BP33" s="318"/>
      <c r="BQ33" s="318"/>
      <c r="BR33" s="318"/>
      <c r="BS33" s="318"/>
      <c r="BT33" s="318"/>
      <c r="BU33" s="318"/>
      <c r="BV33" s="318"/>
      <c r="BW33" s="318"/>
      <c r="BX33" s="318"/>
      <c r="BY33" s="318"/>
      <c r="BZ33" s="318"/>
      <c r="CA33" s="318"/>
      <c r="CB33" s="318"/>
      <c r="CC33" s="318"/>
      <c r="CD33" s="318"/>
      <c r="CF33" s="406"/>
      <c r="CG33" s="406"/>
    </row>
    <row r="34" spans="1:85" ht="12.75" customHeight="1">
      <c r="A34" s="9" t="s">
        <v>1525</v>
      </c>
      <c r="B34" s="4"/>
      <c r="C34" s="508" t="s">
        <v>2345</v>
      </c>
      <c r="D34" s="508" t="s">
        <v>2345</v>
      </c>
      <c r="E34" s="508" t="s">
        <v>1523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F34" s="406"/>
    </row>
    <row r="35" spans="1:85" ht="12.75" customHeight="1">
      <c r="A35" s="211" t="s">
        <v>2206</v>
      </c>
      <c r="B35" s="10"/>
      <c r="C35" s="31">
        <v>2001</v>
      </c>
      <c r="D35" s="32">
        <v>2002</v>
      </c>
      <c r="E35" s="32">
        <v>2003</v>
      </c>
      <c r="F35" s="32">
        <v>2004</v>
      </c>
      <c r="G35" s="31">
        <v>2005</v>
      </c>
      <c r="H35" s="33" t="s">
        <v>714</v>
      </c>
      <c r="I35" s="33" t="s">
        <v>715</v>
      </c>
      <c r="J35" s="33" t="s">
        <v>716</v>
      </c>
      <c r="K35" s="33" t="s">
        <v>717</v>
      </c>
      <c r="L35" s="31">
        <v>2006</v>
      </c>
      <c r="M35" s="33" t="s">
        <v>718</v>
      </c>
      <c r="N35" s="33" t="s">
        <v>719</v>
      </c>
      <c r="O35" s="33" t="s">
        <v>1970</v>
      </c>
      <c r="P35" s="33" t="s">
        <v>1971</v>
      </c>
      <c r="Q35" s="31">
        <v>2007</v>
      </c>
      <c r="R35" s="33" t="s">
        <v>1972</v>
      </c>
      <c r="S35" s="33" t="s">
        <v>1973</v>
      </c>
      <c r="T35" s="33" t="s">
        <v>1974</v>
      </c>
      <c r="U35" s="33" t="s">
        <v>1975</v>
      </c>
      <c r="V35" s="31">
        <v>2008</v>
      </c>
      <c r="W35" s="33" t="s">
        <v>1976</v>
      </c>
      <c r="X35" s="33" t="s">
        <v>1977</v>
      </c>
      <c r="Y35" s="33" t="s">
        <v>1978</v>
      </c>
      <c r="Z35" s="33" t="s">
        <v>1979</v>
      </c>
      <c r="AA35" s="31">
        <v>2009</v>
      </c>
      <c r="AB35" s="33" t="s">
        <v>1980</v>
      </c>
      <c r="AC35" s="33" t="s">
        <v>1981</v>
      </c>
      <c r="AD35" s="33" t="s">
        <v>1982</v>
      </c>
      <c r="AE35" s="33" t="s">
        <v>2392</v>
      </c>
      <c r="AF35" s="31">
        <v>2010</v>
      </c>
      <c r="AG35" s="33" t="s">
        <v>2393</v>
      </c>
      <c r="AH35" s="33" t="s">
        <v>2394</v>
      </c>
      <c r="AI35" s="33" t="s">
        <v>2395</v>
      </c>
      <c r="AJ35" s="368" t="s">
        <v>2396</v>
      </c>
      <c r="AK35" s="369">
        <v>2011</v>
      </c>
      <c r="AL35" s="368" t="s">
        <v>2397</v>
      </c>
      <c r="AM35" s="368" t="s">
        <v>2398</v>
      </c>
      <c r="AN35" s="33" t="s">
        <v>2399</v>
      </c>
      <c r="AO35" s="368" t="s">
        <v>2400</v>
      </c>
      <c r="AP35" s="369">
        <v>2012</v>
      </c>
      <c r="AQ35" s="368" t="s">
        <v>2401</v>
      </c>
      <c r="AR35" s="368" t="s">
        <v>2402</v>
      </c>
      <c r="AS35" s="368" t="s">
        <v>2403</v>
      </c>
      <c r="AT35" s="368" t="s">
        <v>2404</v>
      </c>
      <c r="AU35" s="369">
        <v>2013</v>
      </c>
      <c r="AV35" s="368" t="s">
        <v>2405</v>
      </c>
      <c r="AW35" s="368" t="s">
        <v>2406</v>
      </c>
      <c r="AX35" s="368" t="s">
        <v>2407</v>
      </c>
      <c r="AY35" s="368" t="s">
        <v>2408</v>
      </c>
      <c r="AZ35" s="369">
        <v>2014</v>
      </c>
      <c r="BA35" s="368" t="s">
        <v>2409</v>
      </c>
      <c r="BB35" s="368" t="s">
        <v>2410</v>
      </c>
      <c r="BC35" s="368" t="s">
        <v>2411</v>
      </c>
      <c r="BD35" s="368" t="s">
        <v>2412</v>
      </c>
      <c r="BE35" s="31">
        <v>2015</v>
      </c>
      <c r="BF35" s="368" t="s">
        <v>2413</v>
      </c>
      <c r="BG35" s="368" t="s">
        <v>2414</v>
      </c>
      <c r="BH35" s="368" t="s">
        <v>2415</v>
      </c>
      <c r="BI35" s="368" t="s">
        <v>2416</v>
      </c>
      <c r="BJ35" s="31">
        <v>2016</v>
      </c>
      <c r="BK35" s="368" t="s">
        <v>2417</v>
      </c>
      <c r="BL35" s="368" t="s">
        <v>2418</v>
      </c>
      <c r="BM35" s="368" t="s">
        <v>2419</v>
      </c>
      <c r="BN35" s="363" t="s">
        <v>2420</v>
      </c>
      <c r="BO35" s="31">
        <v>2017</v>
      </c>
      <c r="BP35" s="363" t="s">
        <v>2244</v>
      </c>
      <c r="BQ35" s="363" t="s">
        <v>2245</v>
      </c>
      <c r="BR35" s="363" t="s">
        <v>2508</v>
      </c>
      <c r="BS35" s="363" t="s">
        <v>2509</v>
      </c>
      <c r="BT35" s="364">
        <v>2018</v>
      </c>
      <c r="BU35" s="363" t="s">
        <v>2510</v>
      </c>
      <c r="BV35" s="363" t="s">
        <v>2511</v>
      </c>
      <c r="BW35" s="363" t="s">
        <v>3125</v>
      </c>
      <c r="BX35" s="363" t="s">
        <v>1405</v>
      </c>
      <c r="BY35" s="364">
        <v>2019</v>
      </c>
      <c r="BZ35" s="363" t="s">
        <v>1406</v>
      </c>
      <c r="CA35" s="363" t="s">
        <v>1407</v>
      </c>
      <c r="CB35" s="363" t="s">
        <v>1408</v>
      </c>
      <c r="CC35" s="363" t="s">
        <v>1409</v>
      </c>
      <c r="CD35" s="364">
        <v>2020</v>
      </c>
      <c r="CF35" t="s">
        <v>2316</v>
      </c>
      <c r="CG35" s="381">
        <f>AVERAGE(CG40:CG80)</f>
        <v>1.0021704867962908</v>
      </c>
    </row>
    <row r="36" spans="1:85" ht="12.75" customHeight="1">
      <c r="A36" s="137"/>
      <c r="B36" s="137"/>
      <c r="C36" s="5"/>
      <c r="D36" s="5"/>
      <c r="E36" s="5"/>
      <c r="F36" s="5"/>
      <c r="G36" s="5"/>
      <c r="H36" s="5"/>
      <c r="I36" s="5"/>
      <c r="J36" s="5"/>
      <c r="K36" s="5"/>
      <c r="L36" s="5"/>
      <c r="M36" s="12"/>
      <c r="N36" s="12"/>
      <c r="O36" s="12"/>
      <c r="P36" s="12"/>
      <c r="Q36" s="5"/>
      <c r="R36" s="5"/>
      <c r="S36" s="5"/>
      <c r="T36" s="5"/>
      <c r="U36" s="5"/>
      <c r="V36" s="5"/>
      <c r="W36" s="12"/>
      <c r="X36" s="12"/>
      <c r="Y36" s="12"/>
      <c r="Z36" s="12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F36" t="s">
        <v>3540</v>
      </c>
      <c r="CG36" s="381">
        <f>MEDIAN(CG40:CG80)</f>
        <v>1.0372508847085118</v>
      </c>
    </row>
    <row r="37" spans="1:85" ht="12.75" customHeight="1">
      <c r="A37" s="148" t="s">
        <v>2211</v>
      </c>
      <c r="B37" s="148"/>
      <c r="C37" s="73"/>
      <c r="D37" s="179">
        <f>D137+D157</f>
        <v>8095</v>
      </c>
      <c r="E37" s="179">
        <f>E137+E157</f>
        <v>12927</v>
      </c>
      <c r="F37" s="179">
        <f>F137+F157</f>
        <v>18578</v>
      </c>
      <c r="G37" s="179">
        <f>G137+G157</f>
        <v>22893</v>
      </c>
      <c r="H37" s="305">
        <f>L37/4</f>
        <v>5571.5</v>
      </c>
      <c r="I37" s="305">
        <f>L37/4</f>
        <v>5571.5</v>
      </c>
      <c r="J37" s="305">
        <f>L37/4</f>
        <v>5571.5</v>
      </c>
      <c r="K37" s="305">
        <f>L37/4</f>
        <v>5571.5</v>
      </c>
      <c r="L37" s="8">
        <f>'Income statement'!L91</f>
        <v>22286</v>
      </c>
      <c r="M37" s="19">
        <f>'Income statement'!M91</f>
        <v>4746</v>
      </c>
      <c r="N37" s="19">
        <f>'Income statement'!N91</f>
        <v>7441</v>
      </c>
      <c r="O37" s="19">
        <f>'Income statement'!O91</f>
        <v>4478</v>
      </c>
      <c r="P37" s="19">
        <f>'Income statement'!P91</f>
        <v>4504</v>
      </c>
      <c r="Q37" s="8">
        <f>'Income statement'!Q91</f>
        <v>21169</v>
      </c>
      <c r="R37" s="19">
        <f>'Income statement'!R91</f>
        <v>7212</v>
      </c>
      <c r="S37" s="19">
        <f>'Income statement'!S91</f>
        <v>9470</v>
      </c>
      <c r="T37" s="19">
        <f>'Income statement'!T91</f>
        <v>8186</v>
      </c>
      <c r="U37" s="19">
        <f>'Income statement'!U91</f>
        <v>-3202</v>
      </c>
      <c r="V37" s="8">
        <f>'Income statement'!V91</f>
        <v>21666</v>
      </c>
      <c r="W37" s="19">
        <f>'Income statement'!W91</f>
        <v>2597</v>
      </c>
      <c r="X37" s="19">
        <f>'Income statement'!X91</f>
        <v>4429</v>
      </c>
      <c r="Y37" s="19">
        <f>'Income statement'!Y91</f>
        <v>5355</v>
      </c>
      <c r="Z37" s="19">
        <f>'Income statement'!Z91</f>
        <v>4378</v>
      </c>
      <c r="AA37" s="8">
        <f>'Income statement'!AA91</f>
        <v>16759</v>
      </c>
      <c r="AB37" s="19">
        <f>'Income statement'!AB91</f>
        <v>6188</v>
      </c>
      <c r="AC37" s="19">
        <f>'Income statement'!AC91</f>
        <v>-17048</v>
      </c>
      <c r="AD37" s="19">
        <f>'Income statement'!AD91</f>
        <v>1873</v>
      </c>
      <c r="AE37" s="19">
        <f>'Income statement'!AE91</f>
        <v>5663</v>
      </c>
      <c r="AF37" s="8">
        <f>'Income statement'!AF91</f>
        <v>-3324</v>
      </c>
      <c r="AG37" s="19">
        <f>'Income statement'!AG91</f>
        <v>7315</v>
      </c>
      <c r="AH37" s="19">
        <f>'Income statement'!AH91</f>
        <v>5788</v>
      </c>
      <c r="AI37" s="19">
        <f>'Income statement'!AI91</f>
        <v>5220</v>
      </c>
      <c r="AJ37" s="19">
        <f>'Income statement'!AJ91</f>
        <v>7774</v>
      </c>
      <c r="AK37" s="8">
        <f>'Income statement'!AK91</f>
        <v>26097</v>
      </c>
      <c r="AL37" s="19">
        <f>'Income statement'!AL91</f>
        <v>5976</v>
      </c>
      <c r="AM37" s="19">
        <f>'Income statement'!AM91</f>
        <v>-1340</v>
      </c>
      <c r="AN37" s="19">
        <f>'Income statement'!AN91</f>
        <v>5500</v>
      </c>
      <c r="AO37" s="19">
        <f>'Income statement'!AO91</f>
        <v>1680</v>
      </c>
      <c r="AP37" s="8">
        <f>'Income statement'!AP91</f>
        <v>11816</v>
      </c>
      <c r="AQ37" s="19">
        <f>'Income statement'!AQ91</f>
        <v>16942</v>
      </c>
      <c r="AR37" s="19">
        <f>'Income statement'!AR91</f>
        <v>2126</v>
      </c>
      <c r="AS37" s="19">
        <f>'Income statement'!AS91</f>
        <v>3592</v>
      </c>
      <c r="AT37" s="19">
        <f>'Income statement'!AT91</f>
        <v>1098</v>
      </c>
      <c r="AU37" s="8">
        <f>'Income statement'!AU91</f>
        <v>23758</v>
      </c>
      <c r="AV37" s="19">
        <f>'Income statement'!AV91</f>
        <v>3619</v>
      </c>
      <c r="AW37" s="19">
        <f>'Income statement'!AW91</f>
        <v>3433</v>
      </c>
      <c r="AX37" s="19">
        <f>'Income statement'!AX91</f>
        <v>1324</v>
      </c>
      <c r="AY37" s="19">
        <f>'Income statement'!AY91</f>
        <v>-4373</v>
      </c>
      <c r="AZ37" s="8">
        <f>'Income statement'!AZ91</f>
        <v>4003</v>
      </c>
      <c r="BA37" s="19">
        <f>'Income statement'!BA91</f>
        <v>2651</v>
      </c>
      <c r="BB37" s="19">
        <f>'Income statement'!BB91</f>
        <v>-5783</v>
      </c>
      <c r="BC37" s="19">
        <f>'Income statement'!BC91</f>
        <v>56</v>
      </c>
      <c r="BD37" s="19">
        <f>'Income statement'!BD91</f>
        <v>-3324</v>
      </c>
      <c r="BE37" s="8">
        <f>'Income statement'!BE91</f>
        <v>-6400</v>
      </c>
      <c r="BF37" s="19">
        <f>'Income statement'!BF91</f>
        <v>-558</v>
      </c>
      <c r="BG37" s="19">
        <f>'Income statement'!BG91</f>
        <v>-1390</v>
      </c>
      <c r="BH37" s="19">
        <f>'Income statement'!BH91</f>
        <v>1577</v>
      </c>
      <c r="BI37" s="19">
        <f>'Income statement'!BI91</f>
        <v>543</v>
      </c>
      <c r="BJ37" s="8">
        <f>'Income statement'!BJ91</f>
        <v>172</v>
      </c>
      <c r="BK37" s="19">
        <f>'Income statement'!BK91</f>
        <v>1492</v>
      </c>
      <c r="BL37" s="19">
        <f>'Income statement'!BL91</f>
        <v>156</v>
      </c>
      <c r="BM37" s="19">
        <f>'Income statement'!BM91</f>
        <v>1757</v>
      </c>
      <c r="BN37" s="19">
        <f ca="1">'Income statement'!BN91</f>
        <v>63</v>
      </c>
      <c r="BO37" s="8">
        <f ca="1">'Income statement'!BO91</f>
        <v>3468</v>
      </c>
      <c r="BP37" s="8"/>
      <c r="BQ37" s="8"/>
      <c r="BR37" s="8"/>
      <c r="BS37" s="8"/>
      <c r="BT37" s="8">
        <f ca="1">BT66</f>
        <v>10966.550684473375</v>
      </c>
      <c r="BU37" s="8"/>
      <c r="BV37" s="8"/>
      <c r="BW37" s="8"/>
      <c r="BX37" s="8"/>
      <c r="BY37" s="8">
        <f ca="1">BY66</f>
        <v>11009.32184442488</v>
      </c>
      <c r="BZ37" s="8"/>
      <c r="CA37" s="8"/>
      <c r="CB37" s="8"/>
      <c r="CC37" s="8"/>
      <c r="CD37" s="8">
        <f ca="1">CD66</f>
        <v>12829.393108668206</v>
      </c>
      <c r="CF37" t="s">
        <v>3539</v>
      </c>
      <c r="CG37" s="381">
        <f>STDEVP(CG40:CG80)/CG35</f>
        <v>0.55647937967514371</v>
      </c>
    </row>
    <row r="38" spans="1:85" ht="12.75" customHeight="1">
      <c r="A38" s="137" t="s">
        <v>2035</v>
      </c>
      <c r="B38" s="138"/>
      <c r="C38" s="243"/>
      <c r="D38" s="290">
        <f t="shared" ref="D38:AR38" si="33">D140+D139</f>
        <v>9512</v>
      </c>
      <c r="E38" s="290">
        <f t="shared" si="33"/>
        <v>8373</v>
      </c>
      <c r="F38" s="290">
        <f t="shared" si="33"/>
        <v>8803</v>
      </c>
      <c r="G38" s="290">
        <f t="shared" si="33"/>
        <v>9076</v>
      </c>
      <c r="H38" s="404">
        <f t="shared" si="33"/>
        <v>2298</v>
      </c>
      <c r="I38" s="404">
        <f t="shared" si="33"/>
        <v>2322</v>
      </c>
      <c r="J38" s="404">
        <f t="shared" si="33"/>
        <v>2426</v>
      </c>
      <c r="K38" s="404">
        <f t="shared" si="33"/>
        <v>2706</v>
      </c>
      <c r="L38" s="290">
        <f t="shared" si="33"/>
        <v>9752</v>
      </c>
      <c r="M38" s="404">
        <f t="shared" ref="M38:AA38" si="34">M140+M139</f>
        <v>2574</v>
      </c>
      <c r="N38" s="404">
        <f t="shared" si="34"/>
        <v>2595</v>
      </c>
      <c r="O38" s="404">
        <f t="shared" si="34"/>
        <v>2651</v>
      </c>
      <c r="P38" s="404">
        <f t="shared" si="34"/>
        <v>3106</v>
      </c>
      <c r="Q38" s="290">
        <f t="shared" si="34"/>
        <v>10926</v>
      </c>
      <c r="R38" s="404">
        <f t="shared" si="34"/>
        <v>2966</v>
      </c>
      <c r="S38" s="404">
        <f t="shared" si="34"/>
        <v>2894</v>
      </c>
      <c r="T38" s="404">
        <f t="shared" si="34"/>
        <v>2751</v>
      </c>
      <c r="U38" s="404">
        <f t="shared" si="34"/>
        <v>2759</v>
      </c>
      <c r="V38" s="290">
        <f t="shared" si="34"/>
        <v>11370</v>
      </c>
      <c r="W38" s="404">
        <f t="shared" si="34"/>
        <v>2849</v>
      </c>
      <c r="X38" s="404">
        <f t="shared" si="34"/>
        <v>3315</v>
      </c>
      <c r="Y38" s="404">
        <f t="shared" si="34"/>
        <v>3216</v>
      </c>
      <c r="Z38" s="404">
        <f t="shared" si="34"/>
        <v>3319</v>
      </c>
      <c r="AA38" s="290">
        <f t="shared" si="34"/>
        <v>12699</v>
      </c>
      <c r="AB38" s="404">
        <f t="shared" si="33"/>
        <v>3017</v>
      </c>
      <c r="AC38" s="404">
        <f t="shared" si="33"/>
        <v>2833</v>
      </c>
      <c r="AD38" s="404">
        <f t="shared" si="33"/>
        <v>2812</v>
      </c>
      <c r="AE38" s="404">
        <f t="shared" si="33"/>
        <v>2877</v>
      </c>
      <c r="AF38" s="290">
        <f t="shared" si="33"/>
        <v>11539</v>
      </c>
      <c r="AG38" s="404">
        <f>AG140+AG139</f>
        <v>3127</v>
      </c>
      <c r="AH38" s="404">
        <f>AH140+AH139</f>
        <v>3275</v>
      </c>
      <c r="AI38" s="404">
        <f>AI140+AI139</f>
        <v>2674</v>
      </c>
      <c r="AJ38" s="404">
        <f>AJ140+AJ139</f>
        <v>3083</v>
      </c>
      <c r="AK38" s="290">
        <f>AK140+AK139</f>
        <v>12159</v>
      </c>
      <c r="AL38" s="404">
        <f t="shared" si="33"/>
        <v>3288</v>
      </c>
      <c r="AM38" s="404">
        <f t="shared" si="33"/>
        <v>3269</v>
      </c>
      <c r="AN38" s="404">
        <f t="shared" si="33"/>
        <v>3318</v>
      </c>
      <c r="AO38" s="404">
        <f t="shared" si="33"/>
        <v>3351</v>
      </c>
      <c r="AP38" s="290">
        <f t="shared" si="33"/>
        <v>13226</v>
      </c>
      <c r="AQ38" s="404">
        <f t="shared" si="33"/>
        <v>3369</v>
      </c>
      <c r="AR38" s="404">
        <f t="shared" si="33"/>
        <v>3453</v>
      </c>
      <c r="AS38" s="404">
        <f t="shared" ref="AS38:BF38" si="35">AS140+AS139</f>
        <v>3765</v>
      </c>
      <c r="AT38" s="404">
        <f t="shared" si="35"/>
        <v>5633</v>
      </c>
      <c r="AU38" s="290">
        <f t="shared" si="35"/>
        <v>16220</v>
      </c>
      <c r="AV38" s="404">
        <f t="shared" si="35"/>
        <v>4422</v>
      </c>
      <c r="AW38" s="404">
        <f t="shared" si="35"/>
        <v>3953</v>
      </c>
      <c r="AX38" s="404">
        <f t="shared" si="35"/>
        <v>4602</v>
      </c>
      <c r="AY38" s="404">
        <f t="shared" si="35"/>
        <v>5215</v>
      </c>
      <c r="AZ38" s="290">
        <f t="shared" si="35"/>
        <v>18192</v>
      </c>
      <c r="BA38" s="404">
        <f t="shared" si="35"/>
        <v>3928</v>
      </c>
      <c r="BB38" s="404">
        <f t="shared" si="35"/>
        <v>4571</v>
      </c>
      <c r="BC38" s="404">
        <f t="shared" si="35"/>
        <v>3971</v>
      </c>
      <c r="BD38" s="404">
        <f t="shared" si="35"/>
        <v>4578</v>
      </c>
      <c r="BE38" s="290">
        <f t="shared" si="35"/>
        <v>17048</v>
      </c>
      <c r="BF38" s="404">
        <f t="shared" si="35"/>
        <v>3891</v>
      </c>
      <c r="BG38" s="404">
        <f t="shared" ref="BG38:BH38" si="36">BG140+BG139</f>
        <v>3897</v>
      </c>
      <c r="BH38" s="404">
        <f t="shared" si="36"/>
        <v>4183</v>
      </c>
      <c r="BI38" s="404">
        <f t="shared" ref="BI38:BK38" si="37">BI140+BI139</f>
        <v>3808</v>
      </c>
      <c r="BJ38" s="290">
        <f t="shared" si="37"/>
        <v>15779</v>
      </c>
      <c r="BK38" s="404">
        <f t="shared" si="37"/>
        <v>4103</v>
      </c>
      <c r="BL38" s="404">
        <f t="shared" ref="BL38:BM38" si="38">BL140+BL139</f>
        <v>4546</v>
      </c>
      <c r="BM38" s="404">
        <f t="shared" si="38"/>
        <v>4121</v>
      </c>
      <c r="BN38" s="404">
        <f t="shared" ref="BN38:BO38" si="39">BN140+BN139</f>
        <v>4417</v>
      </c>
      <c r="BO38" s="290">
        <f t="shared" si="39"/>
        <v>17187</v>
      </c>
      <c r="BP38" s="5"/>
      <c r="BQ38" s="5"/>
      <c r="BR38" s="5"/>
      <c r="BS38" s="5"/>
      <c r="BT38" s="13">
        <f>BT67</f>
        <v>17447.331188567481</v>
      </c>
      <c r="BU38" s="5"/>
      <c r="BV38" s="5"/>
      <c r="BW38" s="5"/>
      <c r="BX38" s="5"/>
      <c r="BY38" s="13">
        <f>BY67</f>
        <v>18446.129588625754</v>
      </c>
      <c r="BZ38" s="5"/>
      <c r="CA38" s="5"/>
      <c r="CB38" s="5"/>
      <c r="CC38" s="5"/>
      <c r="CD38" s="13">
        <f>CD67</f>
        <v>19076.309114523909</v>
      </c>
    </row>
    <row r="39" spans="1:85" ht="12.75" customHeight="1">
      <c r="A39" s="137" t="s">
        <v>1526</v>
      </c>
      <c r="B39" s="137"/>
      <c r="C39" s="72"/>
      <c r="D39" s="138">
        <f>+SUM(D153:D156)</f>
        <v>-991</v>
      </c>
      <c r="E39" s="138">
        <f>+SUM(E153:E156)</f>
        <v>-2063</v>
      </c>
      <c r="F39" s="138">
        <f>+SUM(F153:F156)</f>
        <v>-3117</v>
      </c>
      <c r="G39" s="138">
        <f>+SUM(G153:G156)</f>
        <v>-4437</v>
      </c>
      <c r="H39" s="305">
        <f>L39/4</f>
        <v>95</v>
      </c>
      <c r="I39" s="305">
        <f>L39/4</f>
        <v>95</v>
      </c>
      <c r="J39" s="305">
        <f>L39/4</f>
        <v>95</v>
      </c>
      <c r="K39" s="305">
        <f>L39/4</f>
        <v>95</v>
      </c>
      <c r="L39" s="138">
        <f>+SUM(L153:L156)</f>
        <v>380</v>
      </c>
      <c r="M39" s="305">
        <f>Q39/4</f>
        <v>-1475.5</v>
      </c>
      <c r="N39" s="305">
        <f>Q39/4</f>
        <v>-1475.5</v>
      </c>
      <c r="O39" s="305">
        <f>Q39/4</f>
        <v>-1475.5</v>
      </c>
      <c r="P39" s="305">
        <f>Q39/4</f>
        <v>-1475.5</v>
      </c>
      <c r="Q39" s="138">
        <f>+SUM(Q153:Q156)</f>
        <v>-5902</v>
      </c>
      <c r="R39" s="305">
        <f>V39/4</f>
        <v>1337</v>
      </c>
      <c r="S39" s="305">
        <f>V39/4</f>
        <v>1337</v>
      </c>
      <c r="T39" s="305">
        <f>V39/4</f>
        <v>1337</v>
      </c>
      <c r="U39" s="305">
        <f>V39/4</f>
        <v>1337</v>
      </c>
      <c r="V39" s="138">
        <f>+SUM(V153:V156)</f>
        <v>5348</v>
      </c>
      <c r="W39" s="305">
        <f>AA39/4</f>
        <v>-899</v>
      </c>
      <c r="X39" s="305">
        <f>AA39/4</f>
        <v>-899</v>
      </c>
      <c r="Y39" s="305">
        <f>AA39/4</f>
        <v>-899</v>
      </c>
      <c r="Z39" s="305">
        <f>AA39/4</f>
        <v>-899</v>
      </c>
      <c r="AA39" s="138">
        <f>+SUM(AA153:AA156)</f>
        <v>-3596</v>
      </c>
      <c r="AB39" s="305">
        <f>AF39/4</f>
        <v>273</v>
      </c>
      <c r="AC39" s="305">
        <f>AF39/4</f>
        <v>273</v>
      </c>
      <c r="AD39" s="305">
        <f>AF39/4</f>
        <v>273</v>
      </c>
      <c r="AE39" s="305">
        <f>AF39/4</f>
        <v>273</v>
      </c>
      <c r="AF39" s="138">
        <f>+SUM(AF153:AF156)</f>
        <v>1092</v>
      </c>
      <c r="AG39" s="404">
        <f t="shared" ref="AG39:BG39" si="40">AG19</f>
        <v>-3192</v>
      </c>
      <c r="AH39" s="404">
        <f t="shared" si="40"/>
        <v>250</v>
      </c>
      <c r="AI39" s="404">
        <f t="shared" si="40"/>
        <v>1134</v>
      </c>
      <c r="AJ39" s="404">
        <f t="shared" si="40"/>
        <v>2277</v>
      </c>
      <c r="AK39" s="138">
        <f t="shared" si="40"/>
        <v>469</v>
      </c>
      <c r="AL39" s="404">
        <f t="shared" si="40"/>
        <v>-2988</v>
      </c>
      <c r="AM39" s="404">
        <f t="shared" si="40"/>
        <v>472</v>
      </c>
      <c r="AN39" s="404">
        <f t="shared" si="40"/>
        <v>159</v>
      </c>
      <c r="AO39" s="404">
        <f t="shared" si="40"/>
        <v>613</v>
      </c>
      <c r="AP39" s="138">
        <f t="shared" si="40"/>
        <v>-1744</v>
      </c>
      <c r="AQ39" s="404">
        <f t="shared" si="40"/>
        <v>-4079</v>
      </c>
      <c r="AR39" s="404">
        <f t="shared" si="40"/>
        <v>-740</v>
      </c>
      <c r="AS39" s="404">
        <f t="shared" si="40"/>
        <v>-372</v>
      </c>
      <c r="AT39" s="404">
        <f t="shared" si="40"/>
        <v>716</v>
      </c>
      <c r="AU39" s="138">
        <f t="shared" si="40"/>
        <v>-4475</v>
      </c>
      <c r="AV39" s="404">
        <f t="shared" si="40"/>
        <v>435</v>
      </c>
      <c r="AW39" s="404">
        <f t="shared" si="40"/>
        <v>952</v>
      </c>
      <c r="AX39" s="404">
        <f t="shared" si="40"/>
        <v>1143</v>
      </c>
      <c r="AY39" s="404">
        <f t="shared" si="40"/>
        <v>122</v>
      </c>
      <c r="AZ39" s="138">
        <f t="shared" si="40"/>
        <v>2652</v>
      </c>
      <c r="BA39" s="404">
        <f t="shared" si="40"/>
        <v>-2507</v>
      </c>
      <c r="BB39" s="404">
        <f t="shared" si="40"/>
        <v>1085</v>
      </c>
      <c r="BC39" s="404">
        <f t="shared" si="40"/>
        <v>-360</v>
      </c>
      <c r="BD39" s="404">
        <f t="shared" si="40"/>
        <v>1468</v>
      </c>
      <c r="BE39" s="138">
        <f t="shared" si="40"/>
        <v>-314</v>
      </c>
      <c r="BF39" s="404">
        <f t="shared" si="40"/>
        <v>-771</v>
      </c>
      <c r="BG39" s="404">
        <f t="shared" si="40"/>
        <v>1296</v>
      </c>
      <c r="BH39" s="404">
        <f t="shared" ref="BH39:BK39" si="41">BH19</f>
        <v>705</v>
      </c>
      <c r="BI39" s="404">
        <f t="shared" si="41"/>
        <v>1987</v>
      </c>
      <c r="BJ39" s="138">
        <f t="shared" si="41"/>
        <v>3217</v>
      </c>
      <c r="BK39" s="404">
        <f t="shared" si="41"/>
        <v>-1300</v>
      </c>
      <c r="BL39" s="404">
        <f t="shared" ref="BL39:BM39" si="42">BL19</f>
        <v>1400</v>
      </c>
      <c r="BM39" s="404">
        <f t="shared" si="42"/>
        <v>1400</v>
      </c>
      <c r="BN39" s="404">
        <f t="shared" ref="BN39:BO39" si="43">BN19</f>
        <v>1200</v>
      </c>
      <c r="BO39" s="138">
        <f t="shared" si="43"/>
        <v>2700</v>
      </c>
      <c r="BP39" s="5"/>
      <c r="BQ39" s="5"/>
      <c r="BR39" s="5"/>
      <c r="BS39" s="5"/>
      <c r="BT39" s="5">
        <f ca="1">SUM(BT71,BT74,BT77,BT79,BT82,BT85)</f>
        <v>-4047.5726855881621</v>
      </c>
      <c r="BU39" s="5"/>
      <c r="BV39" s="5"/>
      <c r="BW39" s="5"/>
      <c r="BX39" s="5"/>
      <c r="BY39" s="5">
        <f ca="1">SUM(BY71,BY74,BY77,BY79,BY82,BY85)</f>
        <v>428.42486234177704</v>
      </c>
      <c r="BZ39" s="5"/>
      <c r="CA39" s="5"/>
      <c r="CB39" s="5"/>
      <c r="CC39" s="5"/>
      <c r="CD39" s="5">
        <f ca="1">SUM(CD71,CD74,CD77,CD79,CD82,CD85)</f>
        <v>-294.4251646770208</v>
      </c>
      <c r="CF39" s="364" t="s">
        <v>949</v>
      </c>
      <c r="CG39" s="364" t="s">
        <v>3537</v>
      </c>
    </row>
    <row r="40" spans="1:85" ht="12.75" customHeight="1">
      <c r="A40" s="137" t="s">
        <v>2199</v>
      </c>
      <c r="B40" s="137"/>
      <c r="C40" s="72"/>
      <c r="D40" s="138">
        <f>+D142+D143</f>
        <v>-400</v>
      </c>
      <c r="E40" s="138">
        <f>+E142+E143</f>
        <v>-666</v>
      </c>
      <c r="F40" s="138">
        <f>+F142+F143</f>
        <v>-81</v>
      </c>
      <c r="G40" s="138">
        <f>+G142+G143</f>
        <v>-710</v>
      </c>
      <c r="H40" s="305">
        <f>L40/4</f>
        <v>125</v>
      </c>
      <c r="I40" s="305">
        <f>L40/4</f>
        <v>125</v>
      </c>
      <c r="J40" s="305">
        <f>L40/4</f>
        <v>125</v>
      </c>
      <c r="K40" s="305">
        <f>L40/4</f>
        <v>125</v>
      </c>
      <c r="L40" s="138">
        <f>+L142+L143</f>
        <v>500</v>
      </c>
      <c r="M40" s="305">
        <f>Q40/4</f>
        <v>-339.75</v>
      </c>
      <c r="N40" s="305">
        <f>Q40/4</f>
        <v>-339.75</v>
      </c>
      <c r="O40" s="305">
        <f>Q40/4</f>
        <v>-339.75</v>
      </c>
      <c r="P40" s="305">
        <f>Q40/4</f>
        <v>-339.75</v>
      </c>
      <c r="Q40" s="138">
        <f>+Q142+Q143</f>
        <v>-1359</v>
      </c>
      <c r="R40" s="305">
        <f>V40/4</f>
        <v>-23.25</v>
      </c>
      <c r="S40" s="305">
        <f>V40/4</f>
        <v>-23.25</v>
      </c>
      <c r="T40" s="305">
        <f>V40/4</f>
        <v>-23.25</v>
      </c>
      <c r="U40" s="305">
        <f>V40/4</f>
        <v>-23.25</v>
      </c>
      <c r="V40" s="138">
        <f>+V142+V143</f>
        <v>-93</v>
      </c>
      <c r="W40" s="305">
        <f>AA40/4</f>
        <v>-224.5</v>
      </c>
      <c r="X40" s="305">
        <f>AA40/4</f>
        <v>-224.5</v>
      </c>
      <c r="Y40" s="305">
        <f>AA40/4</f>
        <v>-224.5</v>
      </c>
      <c r="Z40" s="305">
        <f>AA40/4</f>
        <v>-224.5</v>
      </c>
      <c r="AA40" s="138">
        <f>+AA142+AA143</f>
        <v>-898</v>
      </c>
      <c r="AB40" s="305">
        <f>AF40/4</f>
        <v>-370</v>
      </c>
      <c r="AC40" s="305">
        <f>AF40/4</f>
        <v>-370</v>
      </c>
      <c r="AD40" s="305">
        <f>AF40/4</f>
        <v>-370</v>
      </c>
      <c r="AE40" s="305">
        <f>AF40/4</f>
        <v>-370</v>
      </c>
      <c r="AF40" s="138">
        <f t="shared" ref="AF40:AS40" si="44">+AF142+AF143</f>
        <v>-1480</v>
      </c>
      <c r="AG40" s="404">
        <f t="shared" si="44"/>
        <v>-1576</v>
      </c>
      <c r="AH40" s="404">
        <f t="shared" si="44"/>
        <v>568</v>
      </c>
      <c r="AI40" s="404">
        <f t="shared" si="44"/>
        <v>-687</v>
      </c>
      <c r="AJ40" s="404">
        <f t="shared" si="44"/>
        <v>856</v>
      </c>
      <c r="AK40" s="138">
        <f t="shared" si="44"/>
        <v>-839</v>
      </c>
      <c r="AL40" s="404">
        <f t="shared" si="44"/>
        <v>-524</v>
      </c>
      <c r="AM40" s="404">
        <f t="shared" si="44"/>
        <v>-224</v>
      </c>
      <c r="AN40" s="404">
        <f t="shared" si="44"/>
        <v>-1306</v>
      </c>
      <c r="AO40" s="404">
        <f t="shared" si="44"/>
        <v>-155</v>
      </c>
      <c r="AP40" s="138">
        <f t="shared" si="44"/>
        <v>-2209</v>
      </c>
      <c r="AQ40" s="404">
        <f t="shared" si="44"/>
        <v>-200</v>
      </c>
      <c r="AR40" s="404">
        <f t="shared" si="44"/>
        <v>-254</v>
      </c>
      <c r="AS40" s="404">
        <f t="shared" si="44"/>
        <v>-489</v>
      </c>
      <c r="AT40" s="404">
        <f t="shared" ref="AT40:BF40" si="45">+AT142+AT143</f>
        <v>-855</v>
      </c>
      <c r="AU40" s="138">
        <f t="shared" si="45"/>
        <v>-1798</v>
      </c>
      <c r="AV40" s="404">
        <f t="shared" si="45"/>
        <v>-684</v>
      </c>
      <c r="AW40" s="404">
        <f t="shared" si="45"/>
        <v>-1080</v>
      </c>
      <c r="AX40" s="404">
        <f t="shared" si="45"/>
        <v>527</v>
      </c>
      <c r="AY40" s="404">
        <f t="shared" si="45"/>
        <v>-224</v>
      </c>
      <c r="AZ40" s="138">
        <f t="shared" si="45"/>
        <v>-1461</v>
      </c>
      <c r="BA40" s="404">
        <f t="shared" si="45"/>
        <v>-276</v>
      </c>
      <c r="BB40" s="404">
        <f t="shared" si="45"/>
        <v>-654</v>
      </c>
      <c r="BC40" s="404">
        <f t="shared" si="45"/>
        <v>-295</v>
      </c>
      <c r="BD40" s="404">
        <f t="shared" si="45"/>
        <v>1028</v>
      </c>
      <c r="BE40" s="138">
        <f t="shared" si="45"/>
        <v>-197</v>
      </c>
      <c r="BF40" s="404">
        <f t="shared" si="45"/>
        <v>-24</v>
      </c>
      <c r="BG40" s="404">
        <f t="shared" ref="BG40:BH40" si="46">+BG142+BG143</f>
        <v>-485</v>
      </c>
      <c r="BH40" s="404">
        <f t="shared" si="46"/>
        <v>259</v>
      </c>
      <c r="BI40" s="404">
        <f t="shared" ref="BI40:BK40" si="47">+BI142+BI143</f>
        <v>-605</v>
      </c>
      <c r="BJ40" s="138">
        <f t="shared" si="47"/>
        <v>-855</v>
      </c>
      <c r="BK40" s="404">
        <f t="shared" si="47"/>
        <v>-220</v>
      </c>
      <c r="BL40" s="404">
        <f t="shared" ref="BL40:BM40" si="48">+BL142+BL143</f>
        <v>-103</v>
      </c>
      <c r="BM40" s="404">
        <f t="shared" si="48"/>
        <v>-111</v>
      </c>
      <c r="BN40" s="404">
        <f t="shared" ref="BN40:BO40" si="49">+BN142+BN143</f>
        <v>-820</v>
      </c>
      <c r="BO40" s="138">
        <f t="shared" si="49"/>
        <v>-1254</v>
      </c>
      <c r="BP40" s="5"/>
      <c r="BQ40" s="5"/>
      <c r="BR40" s="5"/>
      <c r="BS40" s="5"/>
      <c r="BT40" s="138">
        <f ca="1">BT98</f>
        <v>-1290.7127533823041</v>
      </c>
      <c r="BU40" s="5"/>
      <c r="BV40" s="5"/>
      <c r="BW40" s="5"/>
      <c r="BX40" s="5"/>
      <c r="BY40" s="138">
        <f ca="1">BY98</f>
        <v>-1473.9999015690489</v>
      </c>
      <c r="BZ40" s="5"/>
      <c r="CA40" s="5"/>
      <c r="CB40" s="5"/>
      <c r="CC40" s="5"/>
      <c r="CD40" s="138">
        <f ca="1">CD98</f>
        <v>-2859.6916796566652</v>
      </c>
      <c r="CF40" s="581">
        <v>2004</v>
      </c>
      <c r="CG40" s="381">
        <f>INDEX($30:$30,MATCH(CF40,$23:$23,0))</f>
        <v>1.0312461097970871</v>
      </c>
    </row>
    <row r="41" spans="1:85" ht="12.75" customHeight="1">
      <c r="A41" s="361" t="s">
        <v>3649</v>
      </c>
      <c r="B41" s="137"/>
      <c r="C41" s="72"/>
      <c r="D41" s="138">
        <f>'GoM oil spill'!D94</f>
        <v>0</v>
      </c>
      <c r="E41" s="138">
        <f>'GoM oil spill'!E94</f>
        <v>0</v>
      </c>
      <c r="F41" s="138">
        <f>'GoM oil spill'!F99</f>
        <v>0</v>
      </c>
      <c r="G41" s="138">
        <f>'GoM oil spill'!G99</f>
        <v>0</v>
      </c>
      <c r="H41" s="404">
        <f>'GoM oil spill'!H99</f>
        <v>0</v>
      </c>
      <c r="I41" s="404">
        <f>'GoM oil spill'!I99</f>
        <v>0</v>
      </c>
      <c r="J41" s="404">
        <f>'GoM oil spill'!J99</f>
        <v>0</v>
      </c>
      <c r="K41" s="404">
        <f>'GoM oil spill'!K99</f>
        <v>0</v>
      </c>
      <c r="L41" s="290">
        <f>'GoM oil spill'!L99</f>
        <v>0</v>
      </c>
      <c r="M41" s="404">
        <f>'GoM oil spill'!M99</f>
        <v>0</v>
      </c>
      <c r="N41" s="404">
        <f>'GoM oil spill'!N99</f>
        <v>0</v>
      </c>
      <c r="O41" s="404">
        <f>'GoM oil spill'!O99</f>
        <v>0</v>
      </c>
      <c r="P41" s="404">
        <f>'GoM oil spill'!P99</f>
        <v>0</v>
      </c>
      <c r="Q41" s="290">
        <f>'GoM oil spill'!Q99</f>
        <v>0</v>
      </c>
      <c r="R41" s="404">
        <f>'GoM oil spill'!R99</f>
        <v>0</v>
      </c>
      <c r="S41" s="404">
        <f>'GoM oil spill'!S99</f>
        <v>0</v>
      </c>
      <c r="T41" s="404">
        <f>'GoM oil spill'!T99</f>
        <v>0</v>
      </c>
      <c r="U41" s="404">
        <f>'GoM oil spill'!U99</f>
        <v>0</v>
      </c>
      <c r="V41" s="290">
        <f>'GoM oil spill'!V99</f>
        <v>0</v>
      </c>
      <c r="W41" s="404">
        <f>'GoM oil spill'!W99</f>
        <v>0</v>
      </c>
      <c r="X41" s="404">
        <f>'GoM oil spill'!X99</f>
        <v>0</v>
      </c>
      <c r="Y41" s="404">
        <f>'GoM oil spill'!Y99</f>
        <v>0</v>
      </c>
      <c r="Z41" s="404">
        <f>'GoM oil spill'!Z99</f>
        <v>0</v>
      </c>
      <c r="AA41" s="290">
        <f>'GoM oil spill'!AA99</f>
        <v>0</v>
      </c>
      <c r="AB41" s="404">
        <f>'GoM oil spill'!AB99</f>
        <v>0</v>
      </c>
      <c r="AC41" s="404">
        <f>'GoM oil spill'!AC99</f>
        <v>20073</v>
      </c>
      <c r="AD41" s="404">
        <f>'GoM oil spill'!AD99</f>
        <v>-5008</v>
      </c>
      <c r="AE41" s="404">
        <f>'GoM oil spill'!AE99</f>
        <v>-4682</v>
      </c>
      <c r="AF41" s="290">
        <f>'GoM oil spill'!AF99</f>
        <v>10383</v>
      </c>
      <c r="AG41" s="404">
        <f>'GoM oil spill'!AG99</f>
        <v>-2847</v>
      </c>
      <c r="AH41" s="404">
        <f>'GoM oil spill'!AH99</f>
        <v>-2753</v>
      </c>
      <c r="AI41" s="404">
        <f>'GoM oil spill'!AI99</f>
        <v>-1380</v>
      </c>
      <c r="AJ41" s="404">
        <f>'GoM oil spill'!AJ99</f>
        <v>-4281</v>
      </c>
      <c r="AK41" s="290">
        <f>'GoM oil spill'!AK99</f>
        <v>-11261</v>
      </c>
      <c r="AL41" s="404">
        <f>'GoM oil spill'!AL99</f>
        <v>-1744</v>
      </c>
      <c r="AM41" s="404">
        <f>'GoM oil spill'!AM99</f>
        <v>-952</v>
      </c>
      <c r="AN41" s="404">
        <f>'GoM oil spill'!AN99</f>
        <v>-1417</v>
      </c>
      <c r="AO41" s="404">
        <f>'GoM oil spill'!AO99</f>
        <v>2784</v>
      </c>
      <c r="AP41" s="290">
        <f>'GoM oil spill'!AP99</f>
        <v>-1329</v>
      </c>
      <c r="AQ41" s="404">
        <f>'GoM oil spill'!AQ99</f>
        <v>-509</v>
      </c>
      <c r="AR41" s="404">
        <f>'GoM oil spill'!AR99</f>
        <v>-72</v>
      </c>
      <c r="AS41" s="404">
        <f>'GoM oil spill'!AS99</f>
        <v>-331</v>
      </c>
      <c r="AT41" s="404">
        <f>'GoM oil spill'!AT99</f>
        <v>-92</v>
      </c>
      <c r="AU41" s="290">
        <f>'GoM oil spill'!AU99</f>
        <v>-1004</v>
      </c>
      <c r="AV41" s="404">
        <f>'GoM oil spill'!AV99</f>
        <v>-675</v>
      </c>
      <c r="AW41" s="404">
        <f>'GoM oil spill'!AW99</f>
        <v>48</v>
      </c>
      <c r="AX41" s="404">
        <f>'GoM oil spill'!AX99</f>
        <v>-295</v>
      </c>
      <c r="AY41" s="404">
        <f>'GoM oil spill'!AY99</f>
        <v>183</v>
      </c>
      <c r="AZ41" s="290">
        <f>'GoM oil spill'!AZ99</f>
        <v>-739</v>
      </c>
      <c r="BA41" s="404">
        <f>'GoM oil spill'!BA99</f>
        <v>-471</v>
      </c>
      <c r="BB41" s="404">
        <f>'GoM oil spill'!BB99</f>
        <v>7048</v>
      </c>
      <c r="BC41" s="404">
        <f>'GoM oil spill'!BC99</f>
        <v>317</v>
      </c>
      <c r="BD41" s="404">
        <f>'GoM oil spill'!BD99</f>
        <v>440</v>
      </c>
      <c r="BE41" s="290">
        <f>'GoM oil spill'!BE99</f>
        <v>7334</v>
      </c>
      <c r="BF41" s="404">
        <f>'GoM oil spill'!BF99</f>
        <v>-459</v>
      </c>
      <c r="BG41" s="404">
        <f>'GoM oil spill'!BG99</f>
        <v>1298</v>
      </c>
      <c r="BH41" s="404">
        <f>'GoM oil spill'!BH99</f>
        <v>-2190</v>
      </c>
      <c r="BI41" s="404">
        <f>'GoM oil spill'!BI99</f>
        <v>-1512</v>
      </c>
      <c r="BJ41" s="290">
        <f>'GoM oil spill'!BJ99</f>
        <v>-2863</v>
      </c>
      <c r="BK41" s="404">
        <f>'GoM oil spill'!BK99</f>
        <v>-2181</v>
      </c>
      <c r="BL41" s="404">
        <f>'GoM oil spill'!BL99</f>
        <v>-1711</v>
      </c>
      <c r="BM41" s="404">
        <f>'GoM oil spill'!BM99</f>
        <v>-429</v>
      </c>
      <c r="BN41" s="404">
        <f>'GoM oil spill'!BN99</f>
        <v>4387</v>
      </c>
      <c r="BO41" s="290">
        <f>'GoM oil spill'!BO99</f>
        <v>66</v>
      </c>
      <c r="BP41" s="5"/>
      <c r="BQ41" s="5"/>
      <c r="BR41" s="5"/>
      <c r="BS41" s="5"/>
      <c r="BT41" s="138">
        <f ca="1">'GoM oil spill'!BT99</f>
        <v>-2744.539195273408</v>
      </c>
      <c r="BU41" s="5"/>
      <c r="BV41" s="5"/>
      <c r="BW41" s="5"/>
      <c r="BX41" s="5"/>
      <c r="BY41" s="138">
        <f ca="1">'GoM oil spill'!BY99-'GoM oil spill'!BY96</f>
        <v>-1662.8909631919923</v>
      </c>
      <c r="BZ41" s="5"/>
      <c r="CA41" s="5"/>
      <c r="CB41" s="5"/>
      <c r="CC41" s="5"/>
      <c r="CD41" s="138">
        <f ca="1">'GoM oil spill'!CD99-'GoM oil spill'!CD96</f>
        <v>-906.28410747230373</v>
      </c>
      <c r="CF41" s="581">
        <v>2005</v>
      </c>
      <c r="CG41" s="381">
        <f t="shared" ref="CG41:CG77" si="50">INDEX($30:$30,MATCH(CF41,$23:$23,0))</f>
        <v>1.1100544550548497</v>
      </c>
    </row>
    <row r="42" spans="1:85" ht="12.75" customHeight="1">
      <c r="A42" s="137" t="s">
        <v>1246</v>
      </c>
      <c r="B42" s="137"/>
      <c r="C42" s="72"/>
      <c r="D42" s="5">
        <f>D43-SUM(D37:D40)</f>
        <v>-273</v>
      </c>
      <c r="E42" s="5">
        <f>E43-SUM(E37:E40)</f>
        <v>-2268</v>
      </c>
      <c r="F42" s="5">
        <f>F43-SUM(F37:F40)</f>
        <v>-805</v>
      </c>
      <c r="G42" s="5">
        <f>G43-SUM(G37:G40)</f>
        <v>-101</v>
      </c>
      <c r="H42" s="107">
        <f t="shared" ref="H42:AU42" si="51">H43-SUM(H37:H41)</f>
        <v>833.5</v>
      </c>
      <c r="I42" s="107">
        <f t="shared" si="51"/>
        <v>1035.5</v>
      </c>
      <c r="J42" s="107">
        <f t="shared" si="51"/>
        <v>-3087.5</v>
      </c>
      <c r="K42" s="107">
        <f t="shared" si="51"/>
        <v>-3527.5</v>
      </c>
      <c r="L42" s="13">
        <f t="shared" si="51"/>
        <v>-4746</v>
      </c>
      <c r="M42" s="107">
        <f t="shared" si="51"/>
        <v>2473.25</v>
      </c>
      <c r="N42" s="107">
        <f t="shared" si="51"/>
        <v>-2134.75</v>
      </c>
      <c r="O42" s="107">
        <f t="shared" si="51"/>
        <v>1042.25</v>
      </c>
      <c r="P42" s="107">
        <f t="shared" si="51"/>
        <v>-1505.75</v>
      </c>
      <c r="Q42" s="13">
        <f t="shared" si="51"/>
        <v>-125</v>
      </c>
      <c r="R42" s="107">
        <f t="shared" si="51"/>
        <v>-597.75</v>
      </c>
      <c r="S42" s="107">
        <f t="shared" si="51"/>
        <v>-6959.75</v>
      </c>
      <c r="T42" s="107">
        <f t="shared" si="51"/>
        <v>2613.25</v>
      </c>
      <c r="U42" s="107">
        <f t="shared" si="51"/>
        <v>4748.25</v>
      </c>
      <c r="V42" s="13">
        <f t="shared" si="51"/>
        <v>-196</v>
      </c>
      <c r="W42" s="107">
        <f t="shared" si="51"/>
        <v>1249.5</v>
      </c>
      <c r="X42" s="107">
        <f t="shared" si="51"/>
        <v>136.5</v>
      </c>
      <c r="Y42" s="107">
        <f t="shared" si="51"/>
        <v>651.5</v>
      </c>
      <c r="Z42" s="107">
        <f t="shared" si="51"/>
        <v>714.5</v>
      </c>
      <c r="AA42" s="13">
        <f t="shared" si="51"/>
        <v>2752</v>
      </c>
      <c r="AB42" s="107">
        <f t="shared" si="51"/>
        <v>-1415</v>
      </c>
      <c r="AC42" s="107">
        <f t="shared" si="51"/>
        <v>992</v>
      </c>
      <c r="AD42" s="107">
        <f t="shared" si="51"/>
        <v>-232</v>
      </c>
      <c r="AE42" s="107">
        <f t="shared" si="51"/>
        <v>-3939</v>
      </c>
      <c r="AF42" s="13">
        <f t="shared" si="51"/>
        <v>-4594</v>
      </c>
      <c r="AG42" s="107">
        <f t="shared" si="51"/>
        <v>-423</v>
      </c>
      <c r="AH42" s="107">
        <f t="shared" si="51"/>
        <v>720</v>
      </c>
      <c r="AI42" s="107">
        <f t="shared" si="51"/>
        <v>-69</v>
      </c>
      <c r="AJ42" s="107">
        <f t="shared" si="51"/>
        <v>-4699</v>
      </c>
      <c r="AK42" s="13">
        <f t="shared" si="51"/>
        <v>-4471</v>
      </c>
      <c r="AL42" s="107">
        <f t="shared" si="51"/>
        <v>-641</v>
      </c>
      <c r="AM42" s="107">
        <f t="shared" si="51"/>
        <v>3178</v>
      </c>
      <c r="AN42" s="107">
        <f t="shared" si="51"/>
        <v>33</v>
      </c>
      <c r="AO42" s="107">
        <f t="shared" si="51"/>
        <v>-1933</v>
      </c>
      <c r="AP42" s="13">
        <f t="shared" si="51"/>
        <v>637</v>
      </c>
      <c r="AQ42" s="107">
        <f t="shared" si="51"/>
        <v>-11556</v>
      </c>
      <c r="AR42" s="107">
        <f t="shared" si="51"/>
        <v>874</v>
      </c>
      <c r="AS42" s="107">
        <f t="shared" si="51"/>
        <v>167</v>
      </c>
      <c r="AT42" s="107">
        <f t="shared" si="51"/>
        <v>-1086</v>
      </c>
      <c r="AU42" s="13">
        <f t="shared" si="51"/>
        <v>-11601</v>
      </c>
      <c r="AV42" s="107">
        <f t="shared" ref="AV42:BF42" si="52">AV43-SUM(AV37:AV41)</f>
        <v>1114</v>
      </c>
      <c r="AW42" s="107">
        <f t="shared" si="52"/>
        <v>571</v>
      </c>
      <c r="AX42" s="107">
        <f t="shared" si="52"/>
        <v>2098</v>
      </c>
      <c r="AY42" s="107">
        <f t="shared" si="52"/>
        <v>6324</v>
      </c>
      <c r="AZ42" s="13">
        <f t="shared" si="52"/>
        <v>10107</v>
      </c>
      <c r="BA42" s="107">
        <f t="shared" si="52"/>
        <v>-1467</v>
      </c>
      <c r="BB42" s="107">
        <f t="shared" si="52"/>
        <v>19</v>
      </c>
      <c r="BC42" s="107">
        <f t="shared" si="52"/>
        <v>1494</v>
      </c>
      <c r="BD42" s="107">
        <f t="shared" si="52"/>
        <v>1616</v>
      </c>
      <c r="BE42" s="13">
        <f t="shared" si="52"/>
        <v>1662</v>
      </c>
      <c r="BF42" s="107">
        <f t="shared" si="52"/>
        <v>-207</v>
      </c>
      <c r="BG42" s="107">
        <f t="shared" ref="BG42:BH42" si="53">BG43-SUM(BG37:BG41)</f>
        <v>-733</v>
      </c>
      <c r="BH42" s="107">
        <f t="shared" si="53"/>
        <v>-2026</v>
      </c>
      <c r="BI42" s="107">
        <f t="shared" ref="BI42:BK42" si="54">BI43-SUM(BI37:BI41)</f>
        <v>-1793</v>
      </c>
      <c r="BJ42" s="13">
        <f t="shared" si="54"/>
        <v>-4759</v>
      </c>
      <c r="BK42" s="107">
        <f t="shared" si="54"/>
        <v>220</v>
      </c>
      <c r="BL42" s="107">
        <f t="shared" ref="BL42:BM42" si="55">BL43-SUM(BL37:BL41)</f>
        <v>602</v>
      </c>
      <c r="BM42" s="107">
        <f t="shared" si="55"/>
        <v>-714</v>
      </c>
      <c r="BN42" s="107">
        <f t="shared" ref="BN42:BO42" ca="1" si="56">BN43-SUM(BN37:BN41)</f>
        <v>-3344</v>
      </c>
      <c r="BO42" s="13">
        <f t="shared" ca="1" si="56"/>
        <v>-3236</v>
      </c>
      <c r="BP42" s="5"/>
      <c r="BQ42" s="5"/>
      <c r="BR42" s="5"/>
      <c r="BS42" s="5"/>
      <c r="BT42" s="5">
        <f>SUM(BT68,BT96,BT78,BT89,BT91,BT92,BT93)</f>
        <v>0</v>
      </c>
      <c r="BU42" s="5"/>
      <c r="BV42" s="5"/>
      <c r="BW42" s="5"/>
      <c r="BX42" s="5"/>
      <c r="BY42" s="5">
        <f ca="1">SUM(BY68,BY96,BY78,BY90,BY91,BY92,BY93)</f>
        <v>0</v>
      </c>
      <c r="BZ42" s="5"/>
      <c r="CA42" s="5"/>
      <c r="CB42" s="5"/>
      <c r="CC42" s="5"/>
      <c r="CD42" s="5">
        <f ca="1">SUM(CD68,CD96,CD78,CD90,CD91,CD92,CD93)</f>
        <v>0</v>
      </c>
      <c r="CF42" s="581" t="s">
        <v>714</v>
      </c>
      <c r="CG42" s="381">
        <f t="shared" si="50"/>
        <v>1.2783152254799821</v>
      </c>
    </row>
    <row r="43" spans="1:85" ht="12.75" customHeight="1">
      <c r="A43" s="148" t="s">
        <v>1527</v>
      </c>
      <c r="B43" s="148"/>
      <c r="C43" s="73"/>
      <c r="D43" s="8">
        <f t="shared" ref="D43:AR43" si="57">D159</f>
        <v>15943</v>
      </c>
      <c r="E43" s="8">
        <f t="shared" si="57"/>
        <v>16303</v>
      </c>
      <c r="F43" s="8">
        <f t="shared" si="57"/>
        <v>23378</v>
      </c>
      <c r="G43" s="8">
        <f t="shared" si="57"/>
        <v>26721</v>
      </c>
      <c r="H43" s="19">
        <f t="shared" si="57"/>
        <v>8923</v>
      </c>
      <c r="I43" s="19">
        <f t="shared" si="57"/>
        <v>9149</v>
      </c>
      <c r="J43" s="19">
        <f t="shared" si="57"/>
        <v>5130</v>
      </c>
      <c r="K43" s="19">
        <f t="shared" si="57"/>
        <v>4970</v>
      </c>
      <c r="L43" s="8">
        <f t="shared" si="57"/>
        <v>28172</v>
      </c>
      <c r="M43" s="19">
        <f t="shared" ref="M43:AA43" si="58">M159</f>
        <v>7978</v>
      </c>
      <c r="N43" s="19">
        <f t="shared" si="58"/>
        <v>6086</v>
      </c>
      <c r="O43" s="19">
        <f t="shared" si="58"/>
        <v>6356</v>
      </c>
      <c r="P43" s="19">
        <f t="shared" si="58"/>
        <v>4289</v>
      </c>
      <c r="Q43" s="8">
        <f t="shared" si="58"/>
        <v>24709</v>
      </c>
      <c r="R43" s="19">
        <f t="shared" si="58"/>
        <v>10894</v>
      </c>
      <c r="S43" s="19">
        <f t="shared" si="58"/>
        <v>6718</v>
      </c>
      <c r="T43" s="19">
        <f t="shared" si="58"/>
        <v>14864</v>
      </c>
      <c r="U43" s="19">
        <f t="shared" si="58"/>
        <v>5619</v>
      </c>
      <c r="V43" s="8">
        <f t="shared" si="58"/>
        <v>38095</v>
      </c>
      <c r="W43" s="19">
        <f t="shared" si="58"/>
        <v>5572</v>
      </c>
      <c r="X43" s="19">
        <f t="shared" si="58"/>
        <v>6757</v>
      </c>
      <c r="Y43" s="19">
        <f t="shared" si="58"/>
        <v>8099</v>
      </c>
      <c r="Z43" s="19">
        <f t="shared" si="58"/>
        <v>7288</v>
      </c>
      <c r="AA43" s="8">
        <f t="shared" si="58"/>
        <v>27716</v>
      </c>
      <c r="AB43" s="19">
        <f t="shared" si="57"/>
        <v>7693</v>
      </c>
      <c r="AC43" s="19">
        <f t="shared" si="57"/>
        <v>6753</v>
      </c>
      <c r="AD43" s="19">
        <f t="shared" si="57"/>
        <v>-652</v>
      </c>
      <c r="AE43" s="19">
        <f t="shared" si="57"/>
        <v>-178</v>
      </c>
      <c r="AF43" s="8">
        <f t="shared" si="57"/>
        <v>13616</v>
      </c>
      <c r="AG43" s="19">
        <f>AG159</f>
        <v>2404</v>
      </c>
      <c r="AH43" s="19">
        <f>AH159</f>
        <v>7848</v>
      </c>
      <c r="AI43" s="19">
        <f>AI159</f>
        <v>6892</v>
      </c>
      <c r="AJ43" s="19">
        <f>AJ159</f>
        <v>5010</v>
      </c>
      <c r="AK43" s="8">
        <f>AK159</f>
        <v>22154</v>
      </c>
      <c r="AL43" s="19">
        <f t="shared" si="57"/>
        <v>3367</v>
      </c>
      <c r="AM43" s="19">
        <f t="shared" si="57"/>
        <v>4403</v>
      </c>
      <c r="AN43" s="19">
        <f t="shared" si="57"/>
        <v>6287</v>
      </c>
      <c r="AO43" s="19">
        <f t="shared" si="57"/>
        <v>6340</v>
      </c>
      <c r="AP43" s="8">
        <f t="shared" si="57"/>
        <v>20397</v>
      </c>
      <c r="AQ43" s="19">
        <f t="shared" si="57"/>
        <v>3967</v>
      </c>
      <c r="AR43" s="19">
        <f t="shared" si="57"/>
        <v>5387</v>
      </c>
      <c r="AS43" s="19">
        <f t="shared" ref="AS43:BF43" si="59">AS159</f>
        <v>6332</v>
      </c>
      <c r="AT43" s="19">
        <f t="shared" si="59"/>
        <v>5414</v>
      </c>
      <c r="AU43" s="8">
        <f t="shared" si="59"/>
        <v>21100</v>
      </c>
      <c r="AV43" s="19">
        <f t="shared" si="59"/>
        <v>8231</v>
      </c>
      <c r="AW43" s="19">
        <f t="shared" si="59"/>
        <v>7877</v>
      </c>
      <c r="AX43" s="19">
        <f t="shared" si="59"/>
        <v>9399</v>
      </c>
      <c r="AY43" s="19">
        <f t="shared" si="59"/>
        <v>7247</v>
      </c>
      <c r="AZ43" s="8">
        <f t="shared" si="59"/>
        <v>32754</v>
      </c>
      <c r="BA43" s="19">
        <f t="shared" si="59"/>
        <v>1858</v>
      </c>
      <c r="BB43" s="19">
        <f t="shared" si="59"/>
        <v>6286</v>
      </c>
      <c r="BC43" s="19">
        <f t="shared" si="59"/>
        <v>5183</v>
      </c>
      <c r="BD43" s="19">
        <f t="shared" si="59"/>
        <v>5806</v>
      </c>
      <c r="BE43" s="8">
        <f t="shared" si="59"/>
        <v>19133</v>
      </c>
      <c r="BF43" s="19">
        <f t="shared" si="59"/>
        <v>1872</v>
      </c>
      <c r="BG43" s="19">
        <f t="shared" ref="BG43:BH43" si="60">BG159</f>
        <v>3883</v>
      </c>
      <c r="BH43" s="19">
        <f t="shared" si="60"/>
        <v>2508</v>
      </c>
      <c r="BI43" s="19">
        <f t="shared" ref="BI43:BK43" si="61">BI159</f>
        <v>2428</v>
      </c>
      <c r="BJ43" s="8">
        <f t="shared" si="61"/>
        <v>10691</v>
      </c>
      <c r="BK43" s="19">
        <f t="shared" si="61"/>
        <v>2114</v>
      </c>
      <c r="BL43" s="19">
        <f t="shared" ref="BL43:BM43" si="62">BL159</f>
        <v>4890</v>
      </c>
      <c r="BM43" s="19">
        <f t="shared" si="62"/>
        <v>6024</v>
      </c>
      <c r="BN43" s="19">
        <f t="shared" ref="BN43:BO43" si="63">BN159</f>
        <v>5903</v>
      </c>
      <c r="BO43" s="8">
        <f t="shared" si="63"/>
        <v>18931</v>
      </c>
      <c r="BP43" s="8"/>
      <c r="BQ43" s="8"/>
      <c r="BR43" s="8"/>
      <c r="BS43" s="8"/>
      <c r="BT43" s="8">
        <f ca="1">SUM(BT37:BT42)</f>
        <v>20331.057238796981</v>
      </c>
      <c r="BU43" s="8"/>
      <c r="BV43" s="8"/>
      <c r="BW43" s="8"/>
      <c r="BX43" s="8"/>
      <c r="BY43" s="8">
        <f ca="1">SUM(BY37:BY42)</f>
        <v>26746.985430631372</v>
      </c>
      <c r="BZ43" s="8"/>
      <c r="CA43" s="8"/>
      <c r="CB43" s="8"/>
      <c r="CC43" s="8"/>
      <c r="CD43" s="8">
        <f ca="1">SUM(CD37:CD42)</f>
        <v>27845.301271386124</v>
      </c>
      <c r="CF43" s="581" t="s">
        <v>715</v>
      </c>
      <c r="CG43" s="381">
        <f t="shared" si="50"/>
        <v>1.0356458413185128</v>
      </c>
    </row>
    <row r="44" spans="1:85" ht="12.75" customHeight="1">
      <c r="A44" s="137"/>
      <c r="B44" s="137"/>
      <c r="C44" s="72"/>
      <c r="D44" s="5"/>
      <c r="E44" s="5"/>
      <c r="F44" s="5"/>
      <c r="G44" s="5"/>
      <c r="H44" s="107"/>
      <c r="I44" s="107"/>
      <c r="J44" s="107"/>
      <c r="K44" s="107"/>
      <c r="L44" s="5"/>
      <c r="M44" s="107"/>
      <c r="N44" s="107"/>
      <c r="O44" s="107"/>
      <c r="P44" s="107"/>
      <c r="Q44" s="5"/>
      <c r="R44" s="107"/>
      <c r="S44" s="107"/>
      <c r="T44" s="107"/>
      <c r="U44" s="107"/>
      <c r="V44" s="5"/>
      <c r="W44" s="107"/>
      <c r="X44" s="107"/>
      <c r="Y44" s="107"/>
      <c r="Z44" s="107"/>
      <c r="AA44" s="5"/>
      <c r="AB44" s="107"/>
      <c r="AC44" s="107"/>
      <c r="AD44" s="107"/>
      <c r="AE44" s="107"/>
      <c r="AF44" s="5"/>
      <c r="AG44" s="107"/>
      <c r="AH44" s="107"/>
      <c r="AI44" s="107"/>
      <c r="AJ44" s="107"/>
      <c r="AK44" s="5"/>
      <c r="AL44" s="107"/>
      <c r="AM44" s="107"/>
      <c r="AN44" s="107"/>
      <c r="AO44" s="107"/>
      <c r="AP44" s="5"/>
      <c r="AQ44" s="475"/>
      <c r="AR44" s="475"/>
      <c r="AS44" s="475"/>
      <c r="AT44" s="475"/>
      <c r="AU44" s="5"/>
      <c r="AV44" s="475"/>
      <c r="AW44" s="475"/>
      <c r="AX44" s="475"/>
      <c r="AY44" s="475"/>
      <c r="AZ44" s="5"/>
      <c r="BA44" s="475"/>
      <c r="BB44" s="475"/>
      <c r="BC44" s="475"/>
      <c r="BD44" s="475"/>
      <c r="BE44" s="5"/>
      <c r="BF44" s="475"/>
      <c r="BG44" s="475"/>
      <c r="BH44" s="475"/>
      <c r="BI44" s="475"/>
      <c r="BJ44" s="5"/>
      <c r="BK44" s="475"/>
      <c r="BL44" s="475"/>
      <c r="BM44" s="475"/>
      <c r="BN44" s="475"/>
      <c r="BO44" s="5"/>
      <c r="BP44" s="476"/>
      <c r="BQ44" s="476"/>
      <c r="BR44" s="476"/>
      <c r="BS44" s="476"/>
      <c r="BT44" s="477"/>
      <c r="BU44" s="476"/>
      <c r="BV44" s="476"/>
      <c r="BW44" s="476"/>
      <c r="BX44" s="476"/>
      <c r="BY44" s="476"/>
      <c r="BZ44" s="476"/>
      <c r="CA44" s="476"/>
      <c r="CB44" s="476"/>
      <c r="CC44" s="476"/>
      <c r="CD44" s="476"/>
      <c r="CF44" s="581" t="s">
        <v>716</v>
      </c>
      <c r="CG44" s="381">
        <f t="shared" si="50"/>
        <v>1.0372508847085118</v>
      </c>
    </row>
    <row r="45" spans="1:85" ht="12.75" customHeight="1">
      <c r="A45" s="137" t="s">
        <v>75</v>
      </c>
      <c r="B45" s="137"/>
      <c r="C45" s="72"/>
      <c r="D45" s="5">
        <f t="shared" ref="D45:AR45" si="64">D162+D163</f>
        <v>-16422</v>
      </c>
      <c r="E45" s="5">
        <f t="shared" si="64"/>
        <v>-12096</v>
      </c>
      <c r="F45" s="5">
        <f t="shared" si="64"/>
        <v>-13789</v>
      </c>
      <c r="G45" s="5">
        <f t="shared" si="64"/>
        <v>-12341</v>
      </c>
      <c r="H45" s="107">
        <f t="shared" si="64"/>
        <v>-3295</v>
      </c>
      <c r="I45" s="107">
        <f t="shared" si="64"/>
        <v>-3412</v>
      </c>
      <c r="J45" s="107">
        <f t="shared" si="64"/>
        <v>-4047</v>
      </c>
      <c r="K45" s="107">
        <f t="shared" si="64"/>
        <v>-4600</v>
      </c>
      <c r="L45" s="5">
        <f t="shared" si="64"/>
        <v>-15354</v>
      </c>
      <c r="M45" s="107">
        <f t="shared" si="64"/>
        <v>-4732</v>
      </c>
      <c r="N45" s="107">
        <f t="shared" si="64"/>
        <v>-4445</v>
      </c>
      <c r="O45" s="107">
        <f t="shared" si="64"/>
        <v>-4363</v>
      </c>
      <c r="P45" s="107">
        <f t="shared" si="64"/>
        <v>-5515</v>
      </c>
      <c r="Q45" s="5">
        <f t="shared" si="64"/>
        <v>-19055</v>
      </c>
      <c r="R45" s="107">
        <f t="shared" si="64"/>
        <v>-4435</v>
      </c>
      <c r="S45" s="107">
        <f t="shared" si="64"/>
        <v>-4922</v>
      </c>
      <c r="T45" s="107">
        <f t="shared" si="64"/>
        <v>-7748</v>
      </c>
      <c r="U45" s="107">
        <f t="shared" si="64"/>
        <v>-5948</v>
      </c>
      <c r="V45" s="5">
        <f t="shared" si="64"/>
        <v>-23053</v>
      </c>
      <c r="W45" s="107">
        <f t="shared" si="64"/>
        <v>-4817</v>
      </c>
      <c r="X45" s="107">
        <f t="shared" si="64"/>
        <v>-5219</v>
      </c>
      <c r="Y45" s="107">
        <f t="shared" si="64"/>
        <v>-4975</v>
      </c>
      <c r="Z45" s="107">
        <f t="shared" si="64"/>
        <v>-5638</v>
      </c>
      <c r="AA45" s="5">
        <f t="shared" si="64"/>
        <v>-20649</v>
      </c>
      <c r="AB45" s="107">
        <f t="shared" si="64"/>
        <v>-4289</v>
      </c>
      <c r="AC45" s="107">
        <f t="shared" si="64"/>
        <v>-5541</v>
      </c>
      <c r="AD45" s="107">
        <f t="shared" si="64"/>
        <v>-5933</v>
      </c>
      <c r="AE45" s="107">
        <f t="shared" si="64"/>
        <v>-5126</v>
      </c>
      <c r="AF45" s="5">
        <f t="shared" si="64"/>
        <v>-20889</v>
      </c>
      <c r="AG45" s="107">
        <f t="shared" si="64"/>
        <v>-5776</v>
      </c>
      <c r="AH45" s="107">
        <f t="shared" si="64"/>
        <v>-8173</v>
      </c>
      <c r="AI45" s="107">
        <f t="shared" si="64"/>
        <v>-6245</v>
      </c>
      <c r="AJ45" s="107">
        <f t="shared" si="64"/>
        <v>-8823</v>
      </c>
      <c r="AK45" s="5">
        <f t="shared" si="64"/>
        <v>-29017</v>
      </c>
      <c r="AL45" s="107">
        <f t="shared" si="64"/>
        <v>-5439</v>
      </c>
      <c r="AM45" s="107">
        <f t="shared" si="64"/>
        <v>-5067</v>
      </c>
      <c r="AN45" s="107">
        <f t="shared" si="64"/>
        <v>-5742</v>
      </c>
      <c r="AO45" s="107">
        <f t="shared" si="64"/>
        <v>-6946</v>
      </c>
      <c r="AP45" s="5">
        <f t="shared" si="64"/>
        <v>-23194</v>
      </c>
      <c r="AQ45" s="107">
        <f t="shared" si="64"/>
        <v>-5729</v>
      </c>
      <c r="AR45" s="107">
        <f t="shared" si="64"/>
        <v>-6111</v>
      </c>
      <c r="AS45" s="107">
        <f t="shared" ref="AS45:BE45" si="65">AS162+AS163</f>
        <v>-5882</v>
      </c>
      <c r="AT45" s="107">
        <f t="shared" si="65"/>
        <v>-6865</v>
      </c>
      <c r="AU45" s="5">
        <f t="shared" si="65"/>
        <v>-24587</v>
      </c>
      <c r="AV45" s="107">
        <f t="shared" si="65"/>
        <v>-5901</v>
      </c>
      <c r="AW45" s="107">
        <f t="shared" si="65"/>
        <v>-5499</v>
      </c>
      <c r="AX45" s="107">
        <f t="shared" si="65"/>
        <v>-5259</v>
      </c>
      <c r="AY45" s="107">
        <f t="shared" si="65"/>
        <v>-6018</v>
      </c>
      <c r="AZ45" s="5">
        <f t="shared" si="65"/>
        <v>-22677</v>
      </c>
      <c r="BA45" s="107">
        <f t="shared" si="65"/>
        <v>-4636</v>
      </c>
      <c r="BB45" s="107">
        <f t="shared" si="65"/>
        <v>-4529</v>
      </c>
      <c r="BC45" s="107">
        <f t="shared" si="65"/>
        <v>-4324</v>
      </c>
      <c r="BD45" s="107">
        <f t="shared" si="65"/>
        <v>-5136</v>
      </c>
      <c r="BE45" s="5">
        <f t="shared" si="65"/>
        <v>-18625</v>
      </c>
      <c r="BF45" s="107">
        <f t="shared" ref="BF45:BJ45" si="66">BF162+BF163</f>
        <v>-4381</v>
      </c>
      <c r="BG45" s="107">
        <f t="shared" si="66"/>
        <v>-4283</v>
      </c>
      <c r="BH45" s="107">
        <f t="shared" si="66"/>
        <v>-3379</v>
      </c>
      <c r="BI45" s="107">
        <f t="shared" si="66"/>
        <v>-4659</v>
      </c>
      <c r="BJ45" s="5">
        <f t="shared" si="66"/>
        <v>-16702</v>
      </c>
      <c r="BK45" s="107">
        <f t="shared" ref="BK45:BL45" si="67">BK162+BK163</f>
        <v>-3865</v>
      </c>
      <c r="BL45" s="107">
        <f t="shared" si="67"/>
        <v>-4304</v>
      </c>
      <c r="BM45" s="107">
        <f t="shared" ref="BM45:BO45" si="68">BM162+BM163</f>
        <v>-4282</v>
      </c>
      <c r="BN45" s="107">
        <f t="shared" si="68"/>
        <v>-4438</v>
      </c>
      <c r="BO45" s="5">
        <f t="shared" si="68"/>
        <v>-16889</v>
      </c>
      <c r="BP45" s="5"/>
      <c r="BQ45" s="5"/>
      <c r="BR45" s="5"/>
      <c r="BS45" s="5"/>
      <c r="BT45" s="5">
        <f>SUM(BT103:BT104,BT109)</f>
        <v>-17200</v>
      </c>
      <c r="BU45" s="5"/>
      <c r="BV45" s="5"/>
      <c r="BW45" s="5"/>
      <c r="BX45" s="5"/>
      <c r="BY45" s="5">
        <f>SUM(BY103:BY104,BY109)</f>
        <v>-16250</v>
      </c>
      <c r="BZ45" s="5"/>
      <c r="CA45" s="5"/>
      <c r="CB45" s="5"/>
      <c r="CC45" s="5"/>
      <c r="CD45" s="5">
        <f>SUM(CD103:CD104,CD109)</f>
        <v>-16250</v>
      </c>
      <c r="CF45" s="581" t="s">
        <v>717</v>
      </c>
      <c r="CG45" s="381">
        <f t="shared" si="50"/>
        <v>0.97103472343395569</v>
      </c>
    </row>
    <row r="46" spans="1:85" ht="12.75" customHeight="1">
      <c r="A46" s="137" t="s">
        <v>2279</v>
      </c>
      <c r="B46" s="137"/>
      <c r="C46" s="72"/>
      <c r="D46" s="5">
        <f t="shared" ref="D46:AR46" si="69">D165+D164</f>
        <v>-1325</v>
      </c>
      <c r="E46" s="5">
        <f t="shared" si="69"/>
        <v>-3617</v>
      </c>
      <c r="F46" s="5">
        <f t="shared" si="69"/>
        <v>-2590</v>
      </c>
      <c r="G46" s="5">
        <f t="shared" si="69"/>
        <v>-804</v>
      </c>
      <c r="H46" s="107">
        <f t="shared" si="69"/>
        <v>-157</v>
      </c>
      <c r="I46" s="107">
        <f t="shared" si="69"/>
        <v>-177</v>
      </c>
      <c r="J46" s="107">
        <f t="shared" si="69"/>
        <v>-159</v>
      </c>
      <c r="K46" s="107">
        <f t="shared" si="69"/>
        <v>-114</v>
      </c>
      <c r="L46" s="5">
        <f t="shared" si="69"/>
        <v>-607</v>
      </c>
      <c r="M46" s="107">
        <f t="shared" si="69"/>
        <v>-53</v>
      </c>
      <c r="N46" s="107">
        <f t="shared" si="69"/>
        <v>-77</v>
      </c>
      <c r="O46" s="107">
        <f t="shared" si="69"/>
        <v>-159</v>
      </c>
      <c r="P46" s="107">
        <f t="shared" si="69"/>
        <v>-326</v>
      </c>
      <c r="Q46" s="5">
        <f t="shared" si="69"/>
        <v>-615</v>
      </c>
      <c r="R46" s="107">
        <f t="shared" si="69"/>
        <v>-370</v>
      </c>
      <c r="S46" s="107">
        <f t="shared" si="69"/>
        <v>-250</v>
      </c>
      <c r="T46" s="107">
        <f t="shared" si="69"/>
        <v>-208</v>
      </c>
      <c r="U46" s="107">
        <f t="shared" si="69"/>
        <v>-262</v>
      </c>
      <c r="V46" s="5">
        <f t="shared" si="69"/>
        <v>-1090</v>
      </c>
      <c r="W46" s="107">
        <f t="shared" si="69"/>
        <v>-150</v>
      </c>
      <c r="X46" s="107">
        <f t="shared" si="69"/>
        <v>-150</v>
      </c>
      <c r="Y46" s="107">
        <f t="shared" si="69"/>
        <v>-200</v>
      </c>
      <c r="Z46" s="107">
        <f t="shared" si="69"/>
        <v>-242</v>
      </c>
      <c r="AA46" s="5">
        <f t="shared" si="69"/>
        <v>-742</v>
      </c>
      <c r="AB46" s="107">
        <f t="shared" si="69"/>
        <v>-88</v>
      </c>
      <c r="AC46" s="107">
        <f t="shared" si="69"/>
        <v>-119</v>
      </c>
      <c r="AD46" s="107">
        <f t="shared" si="69"/>
        <v>-118</v>
      </c>
      <c r="AE46" s="107">
        <f t="shared" si="69"/>
        <v>-201</v>
      </c>
      <c r="AF46" s="5">
        <f t="shared" si="69"/>
        <v>-526</v>
      </c>
      <c r="AG46" s="107">
        <f t="shared" si="69"/>
        <v>-100</v>
      </c>
      <c r="AH46" s="107">
        <f t="shared" si="69"/>
        <v>-85</v>
      </c>
      <c r="AI46" s="107">
        <f t="shared" si="69"/>
        <v>-83</v>
      </c>
      <c r="AJ46" s="107">
        <f t="shared" si="69"/>
        <v>-381</v>
      </c>
      <c r="AK46" s="5">
        <f t="shared" si="69"/>
        <v>-649</v>
      </c>
      <c r="AL46" s="107">
        <f t="shared" si="69"/>
        <v>-267</v>
      </c>
      <c r="AM46" s="107">
        <f t="shared" si="69"/>
        <v>-460</v>
      </c>
      <c r="AN46" s="107">
        <f t="shared" si="69"/>
        <v>-383</v>
      </c>
      <c r="AO46" s="107">
        <f t="shared" si="69"/>
        <v>-474</v>
      </c>
      <c r="AP46" s="5">
        <f t="shared" si="69"/>
        <v>-1584</v>
      </c>
      <c r="AQ46" s="107">
        <f t="shared" si="69"/>
        <v>-4934</v>
      </c>
      <c r="AR46" s="107">
        <f t="shared" si="69"/>
        <v>-55</v>
      </c>
      <c r="AS46" s="107">
        <f t="shared" ref="AS46:BE46" si="70">AS165+AS164</f>
        <v>-118</v>
      </c>
      <c r="AT46" s="107">
        <f t="shared" si="70"/>
        <v>-338</v>
      </c>
      <c r="AU46" s="5">
        <f t="shared" si="70"/>
        <v>-5445</v>
      </c>
      <c r="AV46" s="107">
        <f t="shared" si="70"/>
        <v>-121</v>
      </c>
      <c r="AW46" s="107">
        <f t="shared" si="70"/>
        <v>-50</v>
      </c>
      <c r="AX46" s="107">
        <f t="shared" si="70"/>
        <v>-151</v>
      </c>
      <c r="AY46" s="107">
        <f t="shared" si="70"/>
        <v>-193</v>
      </c>
      <c r="AZ46" s="5">
        <f t="shared" si="70"/>
        <v>-515</v>
      </c>
      <c r="BA46" s="107">
        <f t="shared" si="70"/>
        <v>-156</v>
      </c>
      <c r="BB46" s="107">
        <f t="shared" si="70"/>
        <v>-272</v>
      </c>
      <c r="BC46" s="107">
        <f t="shared" si="70"/>
        <v>-174</v>
      </c>
      <c r="BD46" s="107">
        <f t="shared" si="70"/>
        <v>-975</v>
      </c>
      <c r="BE46" s="5">
        <f t="shared" si="70"/>
        <v>-1577</v>
      </c>
      <c r="BF46" s="107">
        <f t="shared" ref="BF46:BJ46" si="71">BF165+BF164</f>
        <v>-97</v>
      </c>
      <c r="BG46" s="107">
        <f t="shared" si="71"/>
        <v>-204</v>
      </c>
      <c r="BH46" s="107">
        <f t="shared" si="71"/>
        <v>-186</v>
      </c>
      <c r="BI46" s="107">
        <f t="shared" si="71"/>
        <v>-263</v>
      </c>
      <c r="BJ46" s="5">
        <f t="shared" si="71"/>
        <v>-750</v>
      </c>
      <c r="BK46" s="107">
        <f t="shared" ref="BK46:BL46" si="72">BK165+BK164</f>
        <v>-203</v>
      </c>
      <c r="BL46" s="107">
        <f t="shared" si="72"/>
        <v>-184</v>
      </c>
      <c r="BM46" s="107">
        <f t="shared" ref="BM46:BO46" si="73">BM165+BM164</f>
        <v>-181</v>
      </c>
      <c r="BN46" s="107">
        <f t="shared" si="73"/>
        <v>-383</v>
      </c>
      <c r="BO46" s="5">
        <f t="shared" si="73"/>
        <v>-951</v>
      </c>
      <c r="BP46" s="5"/>
      <c r="BQ46" s="5"/>
      <c r="BR46" s="5"/>
      <c r="BS46" s="5"/>
      <c r="BT46" s="5">
        <f ca="1">+BT110</f>
        <v>3.637978807091713E-12</v>
      </c>
      <c r="BU46" s="5"/>
      <c r="BV46" s="5"/>
      <c r="BW46" s="5"/>
      <c r="BX46" s="5"/>
      <c r="BY46" s="5">
        <f ca="1">+BY110</f>
        <v>0</v>
      </c>
      <c r="BZ46" s="5"/>
      <c r="CA46" s="5"/>
      <c r="CB46" s="5"/>
      <c r="CC46" s="5"/>
      <c r="CD46" s="5">
        <f ca="1">+CD110</f>
        <v>0</v>
      </c>
      <c r="CF46" s="581" t="s">
        <v>718</v>
      </c>
      <c r="CG46" s="381">
        <f t="shared" si="50"/>
        <v>1.5943880854737751</v>
      </c>
    </row>
    <row r="47" spans="1:85" ht="12.75" customHeight="1">
      <c r="A47" s="137" t="s">
        <v>2278</v>
      </c>
      <c r="B47" s="137"/>
      <c r="C47" s="72"/>
      <c r="D47" s="5">
        <f t="shared" ref="D47:AR47" si="74">D166+D167+D168</f>
        <v>6782</v>
      </c>
      <c r="E47" s="5">
        <f t="shared" si="74"/>
        <v>6432</v>
      </c>
      <c r="F47" s="5">
        <f t="shared" si="74"/>
        <v>5048</v>
      </c>
      <c r="G47" s="5">
        <f t="shared" si="74"/>
        <v>11323</v>
      </c>
      <c r="H47" s="107">
        <f t="shared" si="74"/>
        <v>722</v>
      </c>
      <c r="I47" s="107">
        <f t="shared" si="74"/>
        <v>2047</v>
      </c>
      <c r="J47" s="107">
        <f t="shared" si="74"/>
        <v>2830</v>
      </c>
      <c r="K47" s="107">
        <f t="shared" si="74"/>
        <v>844</v>
      </c>
      <c r="L47" s="5">
        <f t="shared" si="74"/>
        <v>6443</v>
      </c>
      <c r="M47" s="107">
        <f t="shared" si="74"/>
        <v>963</v>
      </c>
      <c r="N47" s="107">
        <f t="shared" si="74"/>
        <v>2774</v>
      </c>
      <c r="O47" s="107">
        <f t="shared" si="74"/>
        <v>256</v>
      </c>
      <c r="P47" s="107">
        <f t="shared" si="74"/>
        <v>466</v>
      </c>
      <c r="Q47" s="5">
        <f t="shared" si="74"/>
        <v>4459</v>
      </c>
      <c r="R47" s="107">
        <f t="shared" si="74"/>
        <v>398</v>
      </c>
      <c r="S47" s="107">
        <f t="shared" si="74"/>
        <v>271</v>
      </c>
      <c r="T47" s="107">
        <f t="shared" si="74"/>
        <v>515</v>
      </c>
      <c r="U47" s="107">
        <f t="shared" si="74"/>
        <v>392</v>
      </c>
      <c r="V47" s="5">
        <f t="shared" si="74"/>
        <v>1576</v>
      </c>
      <c r="W47" s="107">
        <f t="shared" si="74"/>
        <v>428</v>
      </c>
      <c r="X47" s="107">
        <f t="shared" si="74"/>
        <v>793</v>
      </c>
      <c r="Y47" s="107">
        <f t="shared" si="74"/>
        <v>683</v>
      </c>
      <c r="Z47" s="107">
        <f t="shared" si="74"/>
        <v>1307</v>
      </c>
      <c r="AA47" s="5">
        <f t="shared" si="74"/>
        <v>3211</v>
      </c>
      <c r="AB47" s="107">
        <f t="shared" si="74"/>
        <v>164</v>
      </c>
      <c r="AC47" s="107">
        <f t="shared" si="74"/>
        <v>926</v>
      </c>
      <c r="AD47" s="107">
        <f t="shared" si="74"/>
        <v>8883</v>
      </c>
      <c r="AE47" s="107">
        <f t="shared" si="74"/>
        <v>7482</v>
      </c>
      <c r="AF47" s="5">
        <f t="shared" si="74"/>
        <v>17455</v>
      </c>
      <c r="AG47" s="107">
        <f t="shared" si="74"/>
        <v>1005</v>
      </c>
      <c r="AH47" s="107">
        <f t="shared" si="74"/>
        <v>1765</v>
      </c>
      <c r="AI47" s="107">
        <f t="shared" si="74"/>
        <v>2137</v>
      </c>
      <c r="AJ47" s="107">
        <f t="shared" si="74"/>
        <v>-1874</v>
      </c>
      <c r="AK47" s="5">
        <f t="shared" si="74"/>
        <v>3033</v>
      </c>
      <c r="AL47" s="107">
        <f t="shared" si="74"/>
        <v>1377</v>
      </c>
      <c r="AM47" s="107">
        <f t="shared" si="74"/>
        <v>2065</v>
      </c>
      <c r="AN47" s="107">
        <f t="shared" si="74"/>
        <v>1453</v>
      </c>
      <c r="AO47" s="107">
        <f t="shared" si="74"/>
        <v>6921</v>
      </c>
      <c r="AP47" s="5">
        <f t="shared" si="74"/>
        <v>11816</v>
      </c>
      <c r="AQ47" s="107">
        <f t="shared" si="74"/>
        <v>18303</v>
      </c>
      <c r="AR47" s="107">
        <f t="shared" si="74"/>
        <v>3008</v>
      </c>
      <c r="AS47" s="107">
        <f t="shared" ref="AS47:BE47" si="75">AS166+AS167+AS168</f>
        <v>437</v>
      </c>
      <c r="AT47" s="107">
        <f t="shared" si="75"/>
        <v>429</v>
      </c>
      <c r="AU47" s="5">
        <f t="shared" si="75"/>
        <v>22177</v>
      </c>
      <c r="AV47" s="107">
        <f t="shared" si="75"/>
        <v>1021</v>
      </c>
      <c r="AW47" s="107">
        <f t="shared" si="75"/>
        <v>851</v>
      </c>
      <c r="AX47" s="107">
        <f t="shared" si="75"/>
        <v>594</v>
      </c>
      <c r="AY47" s="107">
        <f t="shared" si="75"/>
        <v>1152</v>
      </c>
      <c r="AZ47" s="5">
        <f t="shared" si="75"/>
        <v>3618</v>
      </c>
      <c r="BA47" s="107">
        <f t="shared" si="75"/>
        <v>1743</v>
      </c>
      <c r="BB47" s="107">
        <f t="shared" si="75"/>
        <v>577</v>
      </c>
      <c r="BC47" s="107">
        <f t="shared" si="75"/>
        <v>349</v>
      </c>
      <c r="BD47" s="107">
        <f t="shared" si="75"/>
        <v>233</v>
      </c>
      <c r="BE47" s="5">
        <f t="shared" si="75"/>
        <v>2902</v>
      </c>
      <c r="BF47" s="107">
        <f t="shared" ref="BF47:BJ47" si="76">BF166+BF167+BF168</f>
        <v>1195</v>
      </c>
      <c r="BG47" s="107">
        <f t="shared" si="76"/>
        <v>450</v>
      </c>
      <c r="BH47" s="107">
        <f t="shared" si="76"/>
        <v>578</v>
      </c>
      <c r="BI47" s="107">
        <f t="shared" si="76"/>
        <v>476</v>
      </c>
      <c r="BJ47" s="5">
        <f t="shared" si="76"/>
        <v>2699</v>
      </c>
      <c r="BK47" s="107">
        <f t="shared" ref="BK47:BL47" si="77">BK166+BK167+BK168</f>
        <v>275</v>
      </c>
      <c r="BL47" s="107">
        <f t="shared" si="77"/>
        <v>471</v>
      </c>
      <c r="BM47" s="107">
        <f t="shared" ref="BM47:BO47" si="78">BM166+BM167+BM168</f>
        <v>549</v>
      </c>
      <c r="BN47" s="107">
        <f t="shared" si="78"/>
        <v>2468</v>
      </c>
      <c r="BO47" s="5">
        <f t="shared" si="78"/>
        <v>3763</v>
      </c>
      <c r="BP47" s="5"/>
      <c r="BQ47" s="5"/>
      <c r="BR47" s="5"/>
      <c r="BS47" s="5"/>
      <c r="BT47" s="5">
        <f>-Capex!BT21</f>
        <v>2500</v>
      </c>
      <c r="BU47" s="5"/>
      <c r="BV47" s="5"/>
      <c r="BW47" s="5"/>
      <c r="BX47" s="5"/>
      <c r="BY47" s="5">
        <f>-Capex!BY21</f>
        <v>2500</v>
      </c>
      <c r="BZ47" s="5"/>
      <c r="CA47" s="5"/>
      <c r="CB47" s="5"/>
      <c r="CC47" s="5"/>
      <c r="CD47" s="5">
        <f>-Capex!CD21</f>
        <v>2500</v>
      </c>
      <c r="CF47" s="581" t="s">
        <v>719</v>
      </c>
      <c r="CG47" s="381">
        <f t="shared" si="50"/>
        <v>0.9479066794503036</v>
      </c>
    </row>
    <row r="48" spans="1:85" ht="12.75" customHeight="1">
      <c r="A48" s="137" t="s">
        <v>735</v>
      </c>
      <c r="B48" s="137"/>
      <c r="C48" s="72"/>
      <c r="D48" s="5">
        <f t="shared" ref="D48:AU48" si="79">D49-SUM(D45:D47)</f>
        <v>0</v>
      </c>
      <c r="E48" s="5">
        <f t="shared" si="79"/>
        <v>0</v>
      </c>
      <c r="F48" s="5">
        <f t="shared" si="79"/>
        <v>0</v>
      </c>
      <c r="G48" s="5">
        <f t="shared" si="79"/>
        <v>93</v>
      </c>
      <c r="H48" s="107">
        <f t="shared" si="79"/>
        <v>0</v>
      </c>
      <c r="I48" s="107">
        <f t="shared" si="79"/>
        <v>0</v>
      </c>
      <c r="J48" s="107">
        <f t="shared" si="79"/>
        <v>0</v>
      </c>
      <c r="K48" s="107">
        <f t="shared" si="79"/>
        <v>0</v>
      </c>
      <c r="L48" s="5">
        <f t="shared" si="79"/>
        <v>0</v>
      </c>
      <c r="M48" s="107">
        <f t="shared" si="79"/>
        <v>0</v>
      </c>
      <c r="N48" s="107">
        <f t="shared" si="79"/>
        <v>374</v>
      </c>
      <c r="O48" s="107">
        <f t="shared" si="79"/>
        <v>0</v>
      </c>
      <c r="P48" s="107">
        <f t="shared" si="79"/>
        <v>0</v>
      </c>
      <c r="Q48" s="5">
        <f t="shared" si="79"/>
        <v>374</v>
      </c>
      <c r="R48" s="107">
        <f t="shared" si="79"/>
        <v>0</v>
      </c>
      <c r="S48" s="107">
        <f t="shared" si="79"/>
        <v>0</v>
      </c>
      <c r="T48" s="107">
        <f t="shared" si="79"/>
        <v>-200</v>
      </c>
      <c r="U48" s="107">
        <f t="shared" si="79"/>
        <v>0</v>
      </c>
      <c r="V48" s="5">
        <f t="shared" si="79"/>
        <v>-200</v>
      </c>
      <c r="W48" s="107">
        <f t="shared" si="79"/>
        <v>47</v>
      </c>
      <c r="X48" s="107">
        <f t="shared" si="79"/>
        <v>0</v>
      </c>
      <c r="Y48" s="107">
        <f t="shared" si="79"/>
        <v>0</v>
      </c>
      <c r="Z48" s="107">
        <f t="shared" si="79"/>
        <v>0</v>
      </c>
      <c r="AA48" s="5">
        <f t="shared" si="79"/>
        <v>47</v>
      </c>
      <c r="AB48" s="107">
        <f t="shared" si="79"/>
        <v>0</v>
      </c>
      <c r="AC48" s="107">
        <f t="shared" si="79"/>
        <v>0</v>
      </c>
      <c r="AD48" s="107">
        <f t="shared" si="79"/>
        <v>0</v>
      </c>
      <c r="AE48" s="107">
        <f t="shared" si="79"/>
        <v>0</v>
      </c>
      <c r="AF48" s="5">
        <f t="shared" si="79"/>
        <v>0</v>
      </c>
      <c r="AG48" s="107">
        <f t="shared" si="79"/>
        <v>0</v>
      </c>
      <c r="AH48" s="107">
        <f t="shared" si="79"/>
        <v>0</v>
      </c>
      <c r="AI48" s="107">
        <f t="shared" si="79"/>
        <v>0</v>
      </c>
      <c r="AJ48" s="107">
        <f t="shared" si="79"/>
        <v>0</v>
      </c>
      <c r="AK48" s="5">
        <f t="shared" si="79"/>
        <v>0</v>
      </c>
      <c r="AL48" s="107">
        <f t="shared" si="79"/>
        <v>0</v>
      </c>
      <c r="AM48" s="107">
        <f t="shared" si="79"/>
        <v>0</v>
      </c>
      <c r="AN48" s="107">
        <f t="shared" si="79"/>
        <v>0</v>
      </c>
      <c r="AO48" s="107">
        <f t="shared" si="79"/>
        <v>0</v>
      </c>
      <c r="AP48" s="5">
        <f t="shared" si="79"/>
        <v>0</v>
      </c>
      <c r="AQ48" s="107">
        <f t="shared" si="79"/>
        <v>0</v>
      </c>
      <c r="AR48" s="107">
        <f t="shared" si="79"/>
        <v>0</v>
      </c>
      <c r="AS48" s="107">
        <f t="shared" si="79"/>
        <v>0</v>
      </c>
      <c r="AT48" s="107">
        <f t="shared" si="79"/>
        <v>0</v>
      </c>
      <c r="AU48" s="5">
        <f t="shared" si="79"/>
        <v>0</v>
      </c>
      <c r="AV48" s="107">
        <f t="shared" ref="AV48:BE48" si="80">AV49-SUM(AV45:AV47)</f>
        <v>0</v>
      </c>
      <c r="AW48" s="107">
        <f t="shared" si="80"/>
        <v>0</v>
      </c>
      <c r="AX48" s="107">
        <f t="shared" si="80"/>
        <v>0</v>
      </c>
      <c r="AY48" s="107">
        <f t="shared" si="80"/>
        <v>0</v>
      </c>
      <c r="AZ48" s="5">
        <f t="shared" si="80"/>
        <v>0</v>
      </c>
      <c r="BA48" s="107">
        <f t="shared" si="80"/>
        <v>0</v>
      </c>
      <c r="BB48" s="107">
        <f t="shared" si="80"/>
        <v>0</v>
      </c>
      <c r="BC48" s="107">
        <f t="shared" si="80"/>
        <v>0</v>
      </c>
      <c r="BD48" s="107">
        <f t="shared" si="80"/>
        <v>0</v>
      </c>
      <c r="BE48" s="5">
        <f t="shared" si="80"/>
        <v>0</v>
      </c>
      <c r="BF48" s="107">
        <f t="shared" ref="BF48:BJ48" si="81">BF49-SUM(BF45:BF47)</f>
        <v>0</v>
      </c>
      <c r="BG48" s="107">
        <f t="shared" si="81"/>
        <v>0</v>
      </c>
      <c r="BH48" s="107">
        <f t="shared" si="81"/>
        <v>0</v>
      </c>
      <c r="BI48" s="107">
        <f t="shared" si="81"/>
        <v>0</v>
      </c>
      <c r="BJ48" s="5">
        <f t="shared" si="81"/>
        <v>0</v>
      </c>
      <c r="BK48" s="107">
        <f t="shared" ref="BK48:BL48" si="82">BK49-SUM(BK45:BK47)</f>
        <v>0</v>
      </c>
      <c r="BL48" s="107">
        <f t="shared" si="82"/>
        <v>0</v>
      </c>
      <c r="BM48" s="107">
        <f t="shared" ref="BM48:BO48" si="83">BM49-SUM(BM45:BM47)</f>
        <v>0</v>
      </c>
      <c r="BN48" s="107">
        <f t="shared" si="83"/>
        <v>0</v>
      </c>
      <c r="BO48" s="5">
        <f t="shared" si="83"/>
        <v>0</v>
      </c>
      <c r="BP48" s="5"/>
      <c r="BQ48" s="5"/>
      <c r="BR48" s="5"/>
      <c r="BS48" s="5"/>
      <c r="BT48" s="5">
        <f ca="1">+BT49-SUM(BT45:BT47)</f>
        <v>0</v>
      </c>
      <c r="BU48" s="5"/>
      <c r="BV48" s="5"/>
      <c r="BW48" s="5"/>
      <c r="BX48" s="5"/>
      <c r="BY48" s="5">
        <f ca="1">+BY49-SUM(BY45:BY47)</f>
        <v>0</v>
      </c>
      <c r="BZ48" s="5"/>
      <c r="CA48" s="5"/>
      <c r="CB48" s="5"/>
      <c r="CC48" s="5"/>
      <c r="CD48" s="5">
        <f ca="1">+CD49-SUM(CD45:CD47)</f>
        <v>0</v>
      </c>
      <c r="CF48" s="581" t="s">
        <v>1970</v>
      </c>
      <c r="CG48" s="381">
        <f t="shared" si="50"/>
        <v>1.2279173003411565</v>
      </c>
    </row>
    <row r="49" spans="1:85" ht="12.75" customHeight="1">
      <c r="A49" s="148" t="s">
        <v>1528</v>
      </c>
      <c r="B49" s="148"/>
      <c r="C49" s="73"/>
      <c r="D49" s="8">
        <f t="shared" ref="D49:AR49" si="84">D170</f>
        <v>-10965</v>
      </c>
      <c r="E49" s="8">
        <f t="shared" si="84"/>
        <v>-9281</v>
      </c>
      <c r="F49" s="8">
        <f t="shared" si="84"/>
        <v>-11331</v>
      </c>
      <c r="G49" s="8">
        <f t="shared" si="84"/>
        <v>-1729</v>
      </c>
      <c r="H49" s="19">
        <f t="shared" si="84"/>
        <v>-2730</v>
      </c>
      <c r="I49" s="19">
        <f t="shared" si="84"/>
        <v>-1542</v>
      </c>
      <c r="J49" s="19">
        <f t="shared" si="84"/>
        <v>-1376</v>
      </c>
      <c r="K49" s="19">
        <f t="shared" si="84"/>
        <v>-3870</v>
      </c>
      <c r="L49" s="8">
        <f t="shared" si="84"/>
        <v>-9518</v>
      </c>
      <c r="M49" s="19">
        <f t="shared" si="84"/>
        <v>-3822</v>
      </c>
      <c r="N49" s="19">
        <f t="shared" si="84"/>
        <v>-1374</v>
      </c>
      <c r="O49" s="19">
        <f t="shared" si="84"/>
        <v>-4266</v>
      </c>
      <c r="P49" s="19">
        <f t="shared" si="84"/>
        <v>-5375</v>
      </c>
      <c r="Q49" s="8">
        <f t="shared" si="84"/>
        <v>-14837</v>
      </c>
      <c r="R49" s="19">
        <f t="shared" si="84"/>
        <v>-4407</v>
      </c>
      <c r="S49" s="19">
        <f t="shared" si="84"/>
        <v>-4901</v>
      </c>
      <c r="T49" s="19">
        <f t="shared" si="84"/>
        <v>-7641</v>
      </c>
      <c r="U49" s="19">
        <f t="shared" si="84"/>
        <v>-5818</v>
      </c>
      <c r="V49" s="8">
        <f t="shared" si="84"/>
        <v>-22767</v>
      </c>
      <c r="W49" s="19">
        <f t="shared" si="84"/>
        <v>-4492</v>
      </c>
      <c r="X49" s="19">
        <f t="shared" si="84"/>
        <v>-4576</v>
      </c>
      <c r="Y49" s="19">
        <f t="shared" si="84"/>
        <v>-4492</v>
      </c>
      <c r="Z49" s="19">
        <f t="shared" si="84"/>
        <v>-4573</v>
      </c>
      <c r="AA49" s="8">
        <f t="shared" si="84"/>
        <v>-18133</v>
      </c>
      <c r="AB49" s="19">
        <f t="shared" si="84"/>
        <v>-4213</v>
      </c>
      <c r="AC49" s="19">
        <f t="shared" si="84"/>
        <v>-4734</v>
      </c>
      <c r="AD49" s="19">
        <f t="shared" si="84"/>
        <v>2832</v>
      </c>
      <c r="AE49" s="19">
        <f t="shared" si="84"/>
        <v>2155</v>
      </c>
      <c r="AF49" s="8">
        <f t="shared" si="84"/>
        <v>-3960</v>
      </c>
      <c r="AG49" s="19">
        <f t="shared" si="84"/>
        <v>-4871</v>
      </c>
      <c r="AH49" s="19">
        <f t="shared" si="84"/>
        <v>-6493</v>
      </c>
      <c r="AI49" s="19">
        <f t="shared" si="84"/>
        <v>-4191</v>
      </c>
      <c r="AJ49" s="19">
        <f t="shared" si="84"/>
        <v>-11078</v>
      </c>
      <c r="AK49" s="8">
        <f t="shared" si="84"/>
        <v>-26633</v>
      </c>
      <c r="AL49" s="19">
        <f t="shared" si="84"/>
        <v>-4329</v>
      </c>
      <c r="AM49" s="19">
        <f t="shared" si="84"/>
        <v>-3462</v>
      </c>
      <c r="AN49" s="19">
        <f t="shared" si="84"/>
        <v>-4672</v>
      </c>
      <c r="AO49" s="19">
        <f t="shared" si="84"/>
        <v>-499</v>
      </c>
      <c r="AP49" s="8">
        <f t="shared" si="84"/>
        <v>-12962</v>
      </c>
      <c r="AQ49" s="19">
        <f t="shared" si="84"/>
        <v>7640</v>
      </c>
      <c r="AR49" s="19">
        <f t="shared" si="84"/>
        <v>-3158</v>
      </c>
      <c r="AS49" s="19">
        <f t="shared" ref="AS49:BE49" si="85">AS170</f>
        <v>-5563</v>
      </c>
      <c r="AT49" s="19">
        <f t="shared" si="85"/>
        <v>-6774</v>
      </c>
      <c r="AU49" s="8">
        <f t="shared" si="85"/>
        <v>-7855</v>
      </c>
      <c r="AV49" s="19">
        <f t="shared" si="85"/>
        <v>-5001</v>
      </c>
      <c r="AW49" s="19">
        <f t="shared" si="85"/>
        <v>-4698</v>
      </c>
      <c r="AX49" s="19">
        <f t="shared" si="85"/>
        <v>-4816</v>
      </c>
      <c r="AY49" s="19">
        <f t="shared" si="85"/>
        <v>-5059</v>
      </c>
      <c r="AZ49" s="8">
        <f t="shared" si="85"/>
        <v>-19574</v>
      </c>
      <c r="BA49" s="19">
        <f t="shared" si="85"/>
        <v>-3049</v>
      </c>
      <c r="BB49" s="19">
        <f t="shared" si="85"/>
        <v>-4224</v>
      </c>
      <c r="BC49" s="19">
        <f t="shared" si="85"/>
        <v>-4149</v>
      </c>
      <c r="BD49" s="19">
        <f t="shared" si="85"/>
        <v>-5878</v>
      </c>
      <c r="BE49" s="8">
        <f t="shared" si="85"/>
        <v>-17300</v>
      </c>
      <c r="BF49" s="19">
        <f t="shared" ref="BF49:BJ49" si="86">BF170</f>
        <v>-3283</v>
      </c>
      <c r="BG49" s="19">
        <f t="shared" si="86"/>
        <v>-4037</v>
      </c>
      <c r="BH49" s="19">
        <f t="shared" si="86"/>
        <v>-2987</v>
      </c>
      <c r="BI49" s="19">
        <f t="shared" si="86"/>
        <v>-4446</v>
      </c>
      <c r="BJ49" s="8">
        <f t="shared" si="86"/>
        <v>-14753</v>
      </c>
      <c r="BK49" s="19">
        <f t="shared" ref="BK49:BL49" si="87">BK170</f>
        <v>-3793</v>
      </c>
      <c r="BL49" s="19">
        <f t="shared" si="87"/>
        <v>-4017</v>
      </c>
      <c r="BM49" s="19">
        <f t="shared" ref="BM49:BO49" si="88">BM170</f>
        <v>-3914</v>
      </c>
      <c r="BN49" s="19">
        <f t="shared" si="88"/>
        <v>-2353</v>
      </c>
      <c r="BO49" s="8">
        <f t="shared" si="88"/>
        <v>-14077</v>
      </c>
      <c r="BP49" s="8"/>
      <c r="BQ49" s="8"/>
      <c r="BR49" s="8"/>
      <c r="BS49" s="8"/>
      <c r="BT49" s="8">
        <f ca="1">BT114</f>
        <v>-14699.999999999996</v>
      </c>
      <c r="BU49" s="8"/>
      <c r="BV49" s="8"/>
      <c r="BW49" s="8"/>
      <c r="BX49" s="8"/>
      <c r="BY49" s="8">
        <f ca="1">BY114</f>
        <v>-13750</v>
      </c>
      <c r="BZ49" s="8"/>
      <c r="CA49" s="8"/>
      <c r="CB49" s="8"/>
      <c r="CC49" s="8"/>
      <c r="CD49" s="8">
        <f ca="1">CD114</f>
        <v>-13750</v>
      </c>
      <c r="CF49" s="581" t="s">
        <v>1971</v>
      </c>
      <c r="CG49" s="381">
        <f t="shared" si="50"/>
        <v>0.64468294004130411</v>
      </c>
    </row>
    <row r="50" spans="1:85" ht="12.75" customHeight="1">
      <c r="A50" s="148"/>
      <c r="B50" s="137"/>
      <c r="C50" s="72"/>
      <c r="D50" s="5"/>
      <c r="E50" s="5"/>
      <c r="F50" s="5"/>
      <c r="G50" s="5"/>
      <c r="H50" s="107"/>
      <c r="I50" s="107"/>
      <c r="J50" s="107"/>
      <c r="K50" s="107"/>
      <c r="L50" s="5"/>
      <c r="M50" s="107"/>
      <c r="N50" s="107"/>
      <c r="O50" s="107"/>
      <c r="P50" s="107"/>
      <c r="Q50" s="5"/>
      <c r="R50" s="107"/>
      <c r="S50" s="107"/>
      <c r="T50" s="107"/>
      <c r="U50" s="107"/>
      <c r="V50" s="5"/>
      <c r="W50" s="107"/>
      <c r="X50" s="107"/>
      <c r="Y50" s="107"/>
      <c r="Z50" s="107"/>
      <c r="AA50" s="5"/>
      <c r="AB50" s="107"/>
      <c r="AC50" s="107"/>
      <c r="AD50" s="107"/>
      <c r="AE50" s="107"/>
      <c r="AF50" s="5"/>
      <c r="AG50" s="107"/>
      <c r="AH50" s="107"/>
      <c r="AI50" s="107"/>
      <c r="AJ50" s="107"/>
      <c r="AK50" s="5"/>
      <c r="AL50" s="107"/>
      <c r="AM50" s="107"/>
      <c r="AN50" s="107"/>
      <c r="AO50" s="107"/>
      <c r="AP50" s="5"/>
      <c r="AQ50" s="107"/>
      <c r="AR50" s="107"/>
      <c r="AS50" s="107"/>
      <c r="AT50" s="107"/>
      <c r="AU50" s="5"/>
      <c r="AV50" s="107"/>
      <c r="AW50" s="107"/>
      <c r="AX50" s="107"/>
      <c r="AY50" s="107"/>
      <c r="AZ50" s="5"/>
      <c r="BA50" s="107"/>
      <c r="BB50" s="107"/>
      <c r="BC50" s="107"/>
      <c r="BD50" s="107"/>
      <c r="BE50" s="5"/>
      <c r="BF50" s="107"/>
      <c r="BG50" s="107"/>
      <c r="BH50" s="107"/>
      <c r="BI50" s="107"/>
      <c r="BJ50" s="5"/>
      <c r="BK50" s="107"/>
      <c r="BL50" s="107"/>
      <c r="BM50" s="107"/>
      <c r="BN50" s="107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F50" s="581" t="s">
        <v>1972</v>
      </c>
      <c r="CG50" s="381">
        <f t="shared" si="50"/>
        <v>1.1848318626281897</v>
      </c>
    </row>
    <row r="51" spans="1:85" ht="12.75" customHeight="1">
      <c r="A51" s="244" t="s">
        <v>1529</v>
      </c>
      <c r="B51" s="244"/>
      <c r="C51" s="74"/>
      <c r="D51" s="15">
        <f t="shared" ref="D51:AR51" si="89">SUM(D43,D49)</f>
        <v>4978</v>
      </c>
      <c r="E51" s="15">
        <f t="shared" si="89"/>
        <v>7022</v>
      </c>
      <c r="F51" s="15">
        <f t="shared" si="89"/>
        <v>12047</v>
      </c>
      <c r="G51" s="15">
        <f t="shared" si="89"/>
        <v>24992</v>
      </c>
      <c r="H51" s="16">
        <f t="shared" si="89"/>
        <v>6193</v>
      </c>
      <c r="I51" s="16">
        <f t="shared" si="89"/>
        <v>7607</v>
      </c>
      <c r="J51" s="16">
        <f t="shared" si="89"/>
        <v>3754</v>
      </c>
      <c r="K51" s="16">
        <f t="shared" si="89"/>
        <v>1100</v>
      </c>
      <c r="L51" s="15">
        <f t="shared" si="89"/>
        <v>18654</v>
      </c>
      <c r="M51" s="16">
        <f t="shared" si="89"/>
        <v>4156</v>
      </c>
      <c r="N51" s="16">
        <f t="shared" si="89"/>
        <v>4712</v>
      </c>
      <c r="O51" s="16">
        <f t="shared" si="89"/>
        <v>2090</v>
      </c>
      <c r="P51" s="16">
        <f t="shared" si="89"/>
        <v>-1086</v>
      </c>
      <c r="Q51" s="15">
        <f t="shared" si="89"/>
        <v>9872</v>
      </c>
      <c r="R51" s="16">
        <f t="shared" si="89"/>
        <v>6487</v>
      </c>
      <c r="S51" s="16">
        <f t="shared" si="89"/>
        <v>1817</v>
      </c>
      <c r="T51" s="16">
        <f t="shared" si="89"/>
        <v>7223</v>
      </c>
      <c r="U51" s="16">
        <f t="shared" si="89"/>
        <v>-199</v>
      </c>
      <c r="V51" s="15">
        <f t="shared" si="89"/>
        <v>15328</v>
      </c>
      <c r="W51" s="16">
        <f t="shared" si="89"/>
        <v>1080</v>
      </c>
      <c r="X51" s="16">
        <f t="shared" si="89"/>
        <v>2181</v>
      </c>
      <c r="Y51" s="16">
        <f t="shared" si="89"/>
        <v>3607</v>
      </c>
      <c r="Z51" s="16">
        <f t="shared" si="89"/>
        <v>2715</v>
      </c>
      <c r="AA51" s="15">
        <f t="shared" si="89"/>
        <v>9583</v>
      </c>
      <c r="AB51" s="16">
        <f t="shared" si="89"/>
        <v>3480</v>
      </c>
      <c r="AC51" s="16">
        <f t="shared" si="89"/>
        <v>2019</v>
      </c>
      <c r="AD51" s="16">
        <f t="shared" si="89"/>
        <v>2180</v>
      </c>
      <c r="AE51" s="16">
        <f t="shared" si="89"/>
        <v>1977</v>
      </c>
      <c r="AF51" s="15">
        <f t="shared" si="89"/>
        <v>9656</v>
      </c>
      <c r="AG51" s="16">
        <f t="shared" si="89"/>
        <v>-2467</v>
      </c>
      <c r="AH51" s="16">
        <f t="shared" si="89"/>
        <v>1355</v>
      </c>
      <c r="AI51" s="16">
        <f t="shared" si="89"/>
        <v>2701</v>
      </c>
      <c r="AJ51" s="16">
        <f t="shared" si="89"/>
        <v>-6068</v>
      </c>
      <c r="AK51" s="15">
        <f t="shared" si="89"/>
        <v>-4479</v>
      </c>
      <c r="AL51" s="16">
        <f t="shared" si="89"/>
        <v>-962</v>
      </c>
      <c r="AM51" s="16">
        <f t="shared" si="89"/>
        <v>941</v>
      </c>
      <c r="AN51" s="16">
        <f t="shared" si="89"/>
        <v>1615</v>
      </c>
      <c r="AO51" s="16">
        <f t="shared" si="89"/>
        <v>5841</v>
      </c>
      <c r="AP51" s="15">
        <f t="shared" si="89"/>
        <v>7435</v>
      </c>
      <c r="AQ51" s="16">
        <f t="shared" si="89"/>
        <v>11607</v>
      </c>
      <c r="AR51" s="16">
        <f t="shared" si="89"/>
        <v>2229</v>
      </c>
      <c r="AS51" s="16">
        <f t="shared" ref="AS51:BE51" si="90">SUM(AS43,AS49)</f>
        <v>769</v>
      </c>
      <c r="AT51" s="16">
        <f t="shared" si="90"/>
        <v>-1360</v>
      </c>
      <c r="AU51" s="15">
        <f t="shared" si="90"/>
        <v>13245</v>
      </c>
      <c r="AV51" s="16">
        <f t="shared" si="90"/>
        <v>3230</v>
      </c>
      <c r="AW51" s="16">
        <f t="shared" si="90"/>
        <v>3179</v>
      </c>
      <c r="AX51" s="16">
        <f t="shared" si="90"/>
        <v>4583</v>
      </c>
      <c r="AY51" s="16">
        <f t="shared" si="90"/>
        <v>2188</v>
      </c>
      <c r="AZ51" s="15">
        <f t="shared" si="90"/>
        <v>13180</v>
      </c>
      <c r="BA51" s="16">
        <f t="shared" si="90"/>
        <v>-1191</v>
      </c>
      <c r="BB51" s="16">
        <f t="shared" si="90"/>
        <v>2062</v>
      </c>
      <c r="BC51" s="16">
        <f t="shared" si="90"/>
        <v>1034</v>
      </c>
      <c r="BD51" s="16">
        <f t="shared" si="90"/>
        <v>-72</v>
      </c>
      <c r="BE51" s="15">
        <f t="shared" si="90"/>
        <v>1833</v>
      </c>
      <c r="BF51" s="16">
        <f t="shared" ref="BF51:BJ51" si="91">SUM(BF43,BF49)</f>
        <v>-1411</v>
      </c>
      <c r="BG51" s="16">
        <f t="shared" si="91"/>
        <v>-154</v>
      </c>
      <c r="BH51" s="16">
        <f t="shared" si="91"/>
        <v>-479</v>
      </c>
      <c r="BI51" s="16">
        <f t="shared" si="91"/>
        <v>-2018</v>
      </c>
      <c r="BJ51" s="15">
        <f t="shared" si="91"/>
        <v>-4062</v>
      </c>
      <c r="BK51" s="16">
        <f t="shared" ref="BK51:BL51" si="92">SUM(BK43,BK49)</f>
        <v>-1679</v>
      </c>
      <c r="BL51" s="16">
        <f t="shared" si="92"/>
        <v>873</v>
      </c>
      <c r="BM51" s="16">
        <f t="shared" ref="BM51:BO51" si="93">SUM(BM43,BM49)</f>
        <v>2110</v>
      </c>
      <c r="BN51" s="16">
        <f t="shared" si="93"/>
        <v>3550</v>
      </c>
      <c r="BO51" s="15">
        <f t="shared" si="93"/>
        <v>4854</v>
      </c>
      <c r="BP51" s="15"/>
      <c r="BQ51" s="15"/>
      <c r="BR51" s="15"/>
      <c r="BS51" s="15"/>
      <c r="BT51" s="15">
        <f ca="1">SUM(BT43,BT49)</f>
        <v>5631.0572387969842</v>
      </c>
      <c r="BU51" s="15"/>
      <c r="BV51" s="15"/>
      <c r="BW51" s="15"/>
      <c r="BX51" s="15"/>
      <c r="BY51" s="15">
        <f ca="1">SUM(BY43,BY49)</f>
        <v>12996.985430631372</v>
      </c>
      <c r="BZ51" s="15"/>
      <c r="CA51" s="15"/>
      <c r="CB51" s="15"/>
      <c r="CC51" s="15"/>
      <c r="CD51" s="15">
        <f ca="1">SUM(CD43,CD49)</f>
        <v>14095.301271386124</v>
      </c>
      <c r="CF51" s="581" t="s">
        <v>1973</v>
      </c>
      <c r="CG51" s="381">
        <f t="shared" si="50"/>
        <v>0.28925857251051162</v>
      </c>
    </row>
    <row r="52" spans="1:85" ht="12.75" customHeight="1">
      <c r="A52" s="137"/>
      <c r="B52" s="137"/>
      <c r="C52" s="72"/>
      <c r="D52" s="5"/>
      <c r="E52" s="5"/>
      <c r="F52" s="5"/>
      <c r="G52" s="5"/>
      <c r="H52" s="107"/>
      <c r="I52" s="107"/>
      <c r="J52" s="107"/>
      <c r="K52" s="107"/>
      <c r="L52" s="5"/>
      <c r="M52" s="107"/>
      <c r="N52" s="107"/>
      <c r="O52" s="107"/>
      <c r="P52" s="107"/>
      <c r="Q52" s="5"/>
      <c r="R52" s="107"/>
      <c r="S52" s="107"/>
      <c r="T52" s="107"/>
      <c r="U52" s="107"/>
      <c r="V52" s="5"/>
      <c r="W52" s="107"/>
      <c r="X52" s="107"/>
      <c r="Y52" s="107"/>
      <c r="Z52" s="107"/>
      <c r="AA52" s="5"/>
      <c r="AB52" s="107"/>
      <c r="AC52" s="107"/>
      <c r="AD52" s="107"/>
      <c r="AE52" s="107"/>
      <c r="AF52" s="5"/>
      <c r="AG52" s="107"/>
      <c r="AH52" s="107"/>
      <c r="AI52" s="107"/>
      <c r="AJ52" s="107"/>
      <c r="AK52" s="5"/>
      <c r="AL52" s="107"/>
      <c r="AM52" s="107"/>
      <c r="AN52" s="107"/>
      <c r="AO52" s="107"/>
      <c r="AP52" s="5"/>
      <c r="AQ52" s="421"/>
      <c r="AR52" s="421"/>
      <c r="AS52" s="421"/>
      <c r="AT52" s="421"/>
      <c r="AU52" s="5"/>
      <c r="AV52" s="421"/>
      <c r="AW52" s="421"/>
      <c r="AX52" s="421"/>
      <c r="AY52" s="421"/>
      <c r="AZ52" s="5"/>
      <c r="BA52" s="421"/>
      <c r="BB52" s="421"/>
      <c r="BC52" s="421"/>
      <c r="BD52" s="421"/>
      <c r="BE52" s="5"/>
      <c r="BF52" s="421"/>
      <c r="BG52" s="421"/>
      <c r="BH52" s="421"/>
      <c r="BI52" s="421"/>
      <c r="BJ52" s="421"/>
      <c r="BK52" s="421"/>
      <c r="BL52" s="421"/>
      <c r="BM52" s="421"/>
      <c r="BN52" s="421"/>
      <c r="BO52" s="421"/>
      <c r="BP52" s="421"/>
      <c r="BQ52" s="421"/>
      <c r="BR52" s="421"/>
      <c r="BS52" s="421"/>
      <c r="BT52" s="474"/>
      <c r="BU52" s="421"/>
      <c r="BV52" s="421"/>
      <c r="BW52" s="421"/>
      <c r="BX52" s="421"/>
      <c r="BY52" s="421"/>
      <c r="BZ52" s="421"/>
      <c r="CA52" s="421"/>
      <c r="CB52" s="421"/>
      <c r="CC52" s="421"/>
      <c r="CD52" s="421"/>
      <c r="CF52" s="581" t="s">
        <v>1974</v>
      </c>
      <c r="CG52" s="381">
        <f t="shared" si="50"/>
        <v>1.2388009027181401</v>
      </c>
    </row>
    <row r="53" spans="1:85" ht="12.75" customHeight="1">
      <c r="A53" s="137" t="s">
        <v>1530</v>
      </c>
      <c r="B53" s="137"/>
      <c r="C53" s="72"/>
      <c r="D53" s="5">
        <f t="shared" ref="D53:AR53" si="94">SUM(D174:D176)</f>
        <v>736</v>
      </c>
      <c r="E53" s="5">
        <f t="shared" si="94"/>
        <v>760</v>
      </c>
      <c r="F53" s="5">
        <f t="shared" si="94"/>
        <v>447</v>
      </c>
      <c r="G53" s="5">
        <f t="shared" si="94"/>
        <v>-3802</v>
      </c>
      <c r="H53" s="107">
        <f t="shared" si="94"/>
        <v>-379</v>
      </c>
      <c r="I53" s="107">
        <f t="shared" si="94"/>
        <v>735</v>
      </c>
      <c r="J53" s="107">
        <f t="shared" si="94"/>
        <v>4</v>
      </c>
      <c r="K53" s="107">
        <f t="shared" si="94"/>
        <v>3689</v>
      </c>
      <c r="L53" s="5">
        <f t="shared" si="94"/>
        <v>4049</v>
      </c>
      <c r="M53" s="107">
        <f t="shared" si="94"/>
        <v>-334</v>
      </c>
      <c r="N53" s="107">
        <f t="shared" si="94"/>
        <v>-79</v>
      </c>
      <c r="O53" s="107">
        <f t="shared" si="94"/>
        <v>1164</v>
      </c>
      <c r="P53" s="107">
        <f t="shared" si="94"/>
        <v>5660</v>
      </c>
      <c r="Q53" s="5">
        <f t="shared" si="94"/>
        <v>6411</v>
      </c>
      <c r="R53" s="107">
        <f t="shared" si="94"/>
        <v>-1784</v>
      </c>
      <c r="S53" s="107">
        <f t="shared" si="94"/>
        <v>517</v>
      </c>
      <c r="T53" s="107">
        <f t="shared" si="94"/>
        <v>-1048</v>
      </c>
      <c r="U53" s="107">
        <f t="shared" si="94"/>
        <v>5140</v>
      </c>
      <c r="V53" s="5">
        <f t="shared" si="94"/>
        <v>2825</v>
      </c>
      <c r="W53" s="107">
        <f t="shared" si="94"/>
        <v>1857</v>
      </c>
      <c r="X53" s="107">
        <f t="shared" si="94"/>
        <v>984</v>
      </c>
      <c r="Y53" s="107">
        <f t="shared" si="94"/>
        <v>-46</v>
      </c>
      <c r="Z53" s="107">
        <f t="shared" si="94"/>
        <v>-1654</v>
      </c>
      <c r="AA53" s="5">
        <f t="shared" si="94"/>
        <v>1141</v>
      </c>
      <c r="AB53" s="107">
        <f t="shared" si="94"/>
        <v>-2400</v>
      </c>
      <c r="AC53" s="107">
        <f t="shared" si="94"/>
        <v>-1291</v>
      </c>
      <c r="AD53" s="107">
        <f t="shared" si="94"/>
        <v>3271</v>
      </c>
      <c r="AE53" s="107">
        <f t="shared" si="94"/>
        <v>4033</v>
      </c>
      <c r="AF53" s="5">
        <f t="shared" si="94"/>
        <v>3613</v>
      </c>
      <c r="AG53" s="107">
        <f t="shared" si="94"/>
        <v>3244</v>
      </c>
      <c r="AH53" s="107">
        <f t="shared" si="94"/>
        <v>-563</v>
      </c>
      <c r="AI53" s="107">
        <f t="shared" si="94"/>
        <v>-1617</v>
      </c>
      <c r="AJ53" s="107">
        <f t="shared" si="94"/>
        <v>3661</v>
      </c>
      <c r="AK53" s="5">
        <f t="shared" si="94"/>
        <v>4725</v>
      </c>
      <c r="AL53" s="107">
        <f t="shared" si="94"/>
        <v>2061</v>
      </c>
      <c r="AM53" s="107">
        <f t="shared" si="94"/>
        <v>1679</v>
      </c>
      <c r="AN53" s="107">
        <f t="shared" si="94"/>
        <v>733</v>
      </c>
      <c r="AO53" s="107">
        <f t="shared" si="94"/>
        <v>-1237</v>
      </c>
      <c r="AP53" s="5">
        <f t="shared" si="94"/>
        <v>3236</v>
      </c>
      <c r="AQ53" s="107">
        <f t="shared" si="94"/>
        <v>-1716</v>
      </c>
      <c r="AR53" s="107">
        <f t="shared" si="94"/>
        <v>1766</v>
      </c>
      <c r="AS53" s="107">
        <f t="shared" ref="AS53:BF53" si="95">SUM(AS174:AS176)</f>
        <v>2799</v>
      </c>
      <c r="AT53" s="107">
        <f t="shared" si="95"/>
        <v>-2013</v>
      </c>
      <c r="AU53" s="5">
        <f t="shared" si="95"/>
        <v>836</v>
      </c>
      <c r="AV53" s="107">
        <f t="shared" si="95"/>
        <v>4819</v>
      </c>
      <c r="AW53" s="107">
        <f t="shared" si="95"/>
        <v>-921</v>
      </c>
      <c r="AX53" s="107">
        <f t="shared" si="95"/>
        <v>1865</v>
      </c>
      <c r="AY53" s="107">
        <f t="shared" si="95"/>
        <v>-344</v>
      </c>
      <c r="AZ53" s="5">
        <f t="shared" si="95"/>
        <v>5959</v>
      </c>
      <c r="BA53" s="107">
        <f t="shared" si="95"/>
        <v>6206</v>
      </c>
      <c r="BB53" s="107">
        <f t="shared" si="95"/>
        <v>-472</v>
      </c>
      <c r="BC53" s="107">
        <f t="shared" si="95"/>
        <v>-16</v>
      </c>
      <c r="BD53" s="107">
        <f t="shared" si="95"/>
        <v>-3498</v>
      </c>
      <c r="BE53" s="5">
        <f t="shared" si="95"/>
        <v>2220</v>
      </c>
      <c r="BF53" s="107">
        <f t="shared" si="95"/>
        <v>-933</v>
      </c>
      <c r="BG53" s="107">
        <f t="shared" ref="BG53:BH53" si="96">SUM(BG174:BG176)</f>
        <v>1692</v>
      </c>
      <c r="BH53" s="107">
        <f t="shared" si="96"/>
        <v>3338</v>
      </c>
      <c r="BI53" s="107">
        <f t="shared" ref="BI53:BK53" si="97">SUM(BI174:BI176)</f>
        <v>1711</v>
      </c>
      <c r="BJ53" s="5">
        <f t="shared" si="97"/>
        <v>5808</v>
      </c>
      <c r="BK53" s="107">
        <f t="shared" si="97"/>
        <v>3111</v>
      </c>
      <c r="BL53" s="107">
        <f t="shared" ref="BL53:BM53" si="98">SUM(BL174:BL176)</f>
        <v>-42</v>
      </c>
      <c r="BM53" s="107">
        <f t="shared" si="98"/>
        <v>1962</v>
      </c>
      <c r="BN53" s="107">
        <f t="shared" ref="BN53:BO53" si="99">SUM(BN174:BN176)</f>
        <v>-2753</v>
      </c>
      <c r="BO53" s="5">
        <f t="shared" si="99"/>
        <v>2278</v>
      </c>
      <c r="BP53" s="5"/>
      <c r="BQ53" s="5"/>
      <c r="BR53" s="5"/>
      <c r="BS53" s="5"/>
      <c r="BT53" s="5">
        <f ca="1">BT118</f>
        <v>2024.8546174350195</v>
      </c>
      <c r="BU53" s="5"/>
      <c r="BV53" s="5"/>
      <c r="BW53" s="5"/>
      <c r="BX53" s="5"/>
      <c r="BY53" s="5">
        <f ca="1">BY118</f>
        <v>-5349.1411314629659</v>
      </c>
      <c r="BZ53" s="5"/>
      <c r="CA53" s="5"/>
      <c r="CB53" s="5"/>
      <c r="CC53" s="5"/>
      <c r="CD53" s="5">
        <f ca="1">CD118</f>
        <v>-6447.4569722182641</v>
      </c>
      <c r="CF53" s="581" t="s">
        <v>1975</v>
      </c>
      <c r="CG53" s="381">
        <f t="shared" si="50"/>
        <v>1.2266762754106237</v>
      </c>
    </row>
    <row r="54" spans="1:85" ht="12.75" customHeight="1">
      <c r="A54" s="137" t="s">
        <v>1443</v>
      </c>
      <c r="B54" s="137"/>
      <c r="C54" s="72"/>
      <c r="D54" s="5">
        <f t="shared" ref="D54:AR54" si="100">D179+D180</f>
        <v>-5304</v>
      </c>
      <c r="E54" s="5">
        <f t="shared" si="100"/>
        <v>-5674</v>
      </c>
      <c r="F54" s="5">
        <f t="shared" si="100"/>
        <v>-6074</v>
      </c>
      <c r="G54" s="5">
        <f t="shared" si="100"/>
        <v>-8186</v>
      </c>
      <c r="H54" s="107">
        <f t="shared" si="100"/>
        <v>-1988</v>
      </c>
      <c r="I54" s="107">
        <f t="shared" si="100"/>
        <v>-1982</v>
      </c>
      <c r="J54" s="107">
        <f t="shared" si="100"/>
        <v>-2000</v>
      </c>
      <c r="K54" s="107">
        <f t="shared" si="100"/>
        <v>-1999</v>
      </c>
      <c r="L54" s="5">
        <f t="shared" si="100"/>
        <v>-7969</v>
      </c>
      <c r="M54" s="107">
        <f t="shared" si="100"/>
        <v>-2065</v>
      </c>
      <c r="N54" s="107">
        <f t="shared" si="100"/>
        <v>-2054</v>
      </c>
      <c r="O54" s="107">
        <f t="shared" si="100"/>
        <v>-2090</v>
      </c>
      <c r="P54" s="107">
        <f t="shared" si="100"/>
        <v>-2124</v>
      </c>
      <c r="Q54" s="5">
        <f t="shared" si="100"/>
        <v>-8333</v>
      </c>
      <c r="R54" s="107">
        <f t="shared" si="100"/>
        <v>-2590</v>
      </c>
      <c r="S54" s="107">
        <f t="shared" si="100"/>
        <v>-2631</v>
      </c>
      <c r="T54" s="107">
        <f t="shared" si="100"/>
        <v>-2734</v>
      </c>
      <c r="U54" s="107">
        <f t="shared" si="100"/>
        <v>-2812</v>
      </c>
      <c r="V54" s="5">
        <f t="shared" si="100"/>
        <v>-10767</v>
      </c>
      <c r="W54" s="107">
        <f t="shared" si="100"/>
        <v>-2730</v>
      </c>
      <c r="X54" s="107">
        <f t="shared" si="100"/>
        <v>-2694</v>
      </c>
      <c r="Y54" s="107">
        <f t="shared" si="100"/>
        <v>-2760</v>
      </c>
      <c r="Z54" s="107">
        <f t="shared" si="100"/>
        <v>-2715</v>
      </c>
      <c r="AA54" s="5">
        <f t="shared" si="100"/>
        <v>-10899</v>
      </c>
      <c r="AB54" s="107">
        <f t="shared" si="100"/>
        <v>-2629</v>
      </c>
      <c r="AC54" s="107">
        <f t="shared" si="100"/>
        <v>-128</v>
      </c>
      <c r="AD54" s="107">
        <f t="shared" si="100"/>
        <v>-68</v>
      </c>
      <c r="AE54" s="107">
        <f t="shared" si="100"/>
        <v>-117</v>
      </c>
      <c r="AF54" s="5">
        <f t="shared" si="100"/>
        <v>-2942</v>
      </c>
      <c r="AG54" s="107">
        <f t="shared" si="100"/>
        <v>-814</v>
      </c>
      <c r="AH54" s="107">
        <f t="shared" si="100"/>
        <v>-891</v>
      </c>
      <c r="AI54" s="107">
        <f t="shared" si="100"/>
        <v>-1305</v>
      </c>
      <c r="AJ54" s="107">
        <f t="shared" si="100"/>
        <v>-1307</v>
      </c>
      <c r="AK54" s="5">
        <f t="shared" si="100"/>
        <v>-4317</v>
      </c>
      <c r="AL54" s="107">
        <f t="shared" si="100"/>
        <v>-1213</v>
      </c>
      <c r="AM54" s="107">
        <f t="shared" si="100"/>
        <v>-1498</v>
      </c>
      <c r="AN54" s="107">
        <f t="shared" si="100"/>
        <v>-1438</v>
      </c>
      <c r="AO54" s="107">
        <f t="shared" si="100"/>
        <v>-1227</v>
      </c>
      <c r="AP54" s="5">
        <f t="shared" si="100"/>
        <v>-5376</v>
      </c>
      <c r="AQ54" s="107">
        <f t="shared" si="100"/>
        <v>-1653</v>
      </c>
      <c r="AR54" s="107">
        <f t="shared" si="100"/>
        <v>-1483</v>
      </c>
      <c r="AS54" s="107">
        <f t="shared" ref="AS54:BF54" si="101">AS179+AS180</f>
        <v>-1387</v>
      </c>
      <c r="AT54" s="107">
        <f t="shared" si="101"/>
        <v>-1387</v>
      </c>
      <c r="AU54" s="5">
        <f t="shared" si="101"/>
        <v>-5910</v>
      </c>
      <c r="AV54" s="107">
        <f t="shared" si="101"/>
        <v>-1440</v>
      </c>
      <c r="AW54" s="107">
        <f t="shared" si="101"/>
        <v>-1712</v>
      </c>
      <c r="AX54" s="107">
        <f t="shared" si="101"/>
        <v>-1184</v>
      </c>
      <c r="AY54" s="107">
        <f t="shared" si="101"/>
        <v>-1769</v>
      </c>
      <c r="AZ54" s="5">
        <f t="shared" si="101"/>
        <v>-6105</v>
      </c>
      <c r="BA54" s="107">
        <f t="shared" si="101"/>
        <v>-1721</v>
      </c>
      <c r="BB54" s="107">
        <f t="shared" si="101"/>
        <v>-1721</v>
      </c>
      <c r="BC54" s="107">
        <f t="shared" si="101"/>
        <v>-1747</v>
      </c>
      <c r="BD54" s="107">
        <f t="shared" si="101"/>
        <v>-1561</v>
      </c>
      <c r="BE54" s="5">
        <f t="shared" si="101"/>
        <v>-6750</v>
      </c>
      <c r="BF54" s="107">
        <f t="shared" si="101"/>
        <v>-1108</v>
      </c>
      <c r="BG54" s="107">
        <f t="shared" ref="BG54:BH54" si="102">BG179+BG180</f>
        <v>-1212</v>
      </c>
      <c r="BH54" s="107">
        <f t="shared" si="102"/>
        <v>-1192</v>
      </c>
      <c r="BI54" s="107">
        <f t="shared" ref="BI54:BK54" si="103">BI179+BI180</f>
        <v>-1206</v>
      </c>
      <c r="BJ54" s="5">
        <f t="shared" si="103"/>
        <v>-4718</v>
      </c>
      <c r="BK54" s="107">
        <f t="shared" si="103"/>
        <v>-1319</v>
      </c>
      <c r="BL54" s="107">
        <f t="shared" ref="BL54:BM54" si="104">BL179+BL180</f>
        <v>-1608</v>
      </c>
      <c r="BM54" s="107">
        <f t="shared" si="104"/>
        <v>-1708</v>
      </c>
      <c r="BN54" s="107">
        <f t="shared" ref="BN54:BO54" si="105">BN179+BN180</f>
        <v>-1659</v>
      </c>
      <c r="BO54" s="5">
        <f t="shared" si="105"/>
        <v>-6294</v>
      </c>
      <c r="BP54" s="5"/>
      <c r="BQ54" s="5"/>
      <c r="BR54" s="5"/>
      <c r="BS54" s="5"/>
      <c r="BT54" s="5">
        <f>BT119</f>
        <v>-6341.1006708699942</v>
      </c>
      <c r="BU54" s="5"/>
      <c r="BV54" s="5"/>
      <c r="BW54" s="5"/>
      <c r="BX54" s="5"/>
      <c r="BY54" s="5">
        <f>BY119</f>
        <v>-6340.9523811111339</v>
      </c>
      <c r="BZ54" s="5"/>
      <c r="CA54" s="5"/>
      <c r="CB54" s="5"/>
      <c r="CC54" s="5"/>
      <c r="CD54" s="5">
        <f>CD119</f>
        <v>-6340.9523811111267</v>
      </c>
      <c r="CF54" s="581" t="s">
        <v>1976</v>
      </c>
      <c r="CG54" s="381">
        <f t="shared" si="50"/>
        <v>1.2266926449098881</v>
      </c>
    </row>
    <row r="55" spans="1:85" ht="12.75" customHeight="1">
      <c r="A55" s="137" t="s">
        <v>1531</v>
      </c>
      <c r="B55" s="137"/>
      <c r="C55" s="72"/>
      <c r="D55" s="5">
        <f t="shared" ref="D55:AR55" si="106">D173</f>
        <v>-573</v>
      </c>
      <c r="E55" s="5">
        <f t="shared" si="106"/>
        <v>-1889</v>
      </c>
      <c r="F55" s="5">
        <f t="shared" si="106"/>
        <v>-7208</v>
      </c>
      <c r="G55" s="5">
        <f t="shared" si="106"/>
        <v>-11315</v>
      </c>
      <c r="H55" s="107">
        <f t="shared" si="106"/>
        <v>-3861</v>
      </c>
      <c r="I55" s="107">
        <f t="shared" si="106"/>
        <v>-4411</v>
      </c>
      <c r="J55" s="107">
        <f t="shared" si="106"/>
        <v>-3430</v>
      </c>
      <c r="K55" s="107">
        <f t="shared" si="106"/>
        <v>-3449</v>
      </c>
      <c r="L55" s="5">
        <f t="shared" si="106"/>
        <v>-15151</v>
      </c>
      <c r="M55" s="107">
        <f t="shared" si="106"/>
        <v>-2402</v>
      </c>
      <c r="N55" s="107">
        <f t="shared" si="106"/>
        <v>-1918</v>
      </c>
      <c r="O55" s="107">
        <f t="shared" si="106"/>
        <v>-1441</v>
      </c>
      <c r="P55" s="107">
        <f t="shared" si="106"/>
        <v>-1352</v>
      </c>
      <c r="Q55" s="5">
        <f t="shared" si="106"/>
        <v>-7113</v>
      </c>
      <c r="R55" s="107">
        <f t="shared" si="106"/>
        <v>-889</v>
      </c>
      <c r="S55" s="107">
        <f t="shared" si="106"/>
        <v>-928</v>
      </c>
      <c r="T55" s="107">
        <f t="shared" si="106"/>
        <v>-814</v>
      </c>
      <c r="U55" s="107">
        <f t="shared" si="106"/>
        <v>64</v>
      </c>
      <c r="V55" s="5">
        <f t="shared" si="106"/>
        <v>-2567</v>
      </c>
      <c r="W55" s="107">
        <f t="shared" si="106"/>
        <v>35</v>
      </c>
      <c r="X55" s="107">
        <f t="shared" si="106"/>
        <v>27</v>
      </c>
      <c r="Y55" s="107">
        <f t="shared" si="106"/>
        <v>63</v>
      </c>
      <c r="Z55" s="107">
        <f t="shared" si="106"/>
        <v>82</v>
      </c>
      <c r="AA55" s="5">
        <f t="shared" si="106"/>
        <v>207</v>
      </c>
      <c r="AB55" s="107">
        <f t="shared" si="106"/>
        <v>128</v>
      </c>
      <c r="AC55" s="107">
        <f t="shared" si="106"/>
        <v>31</v>
      </c>
      <c r="AD55" s="107">
        <f t="shared" si="106"/>
        <v>-21</v>
      </c>
      <c r="AE55" s="107">
        <f t="shared" si="106"/>
        <v>31</v>
      </c>
      <c r="AF55" s="5">
        <f t="shared" si="106"/>
        <v>169</v>
      </c>
      <c r="AG55" s="107">
        <f t="shared" si="106"/>
        <v>12</v>
      </c>
      <c r="AH55" s="107">
        <f t="shared" si="106"/>
        <v>18</v>
      </c>
      <c r="AI55" s="107">
        <f t="shared" si="106"/>
        <v>14</v>
      </c>
      <c r="AJ55" s="107">
        <f t="shared" si="106"/>
        <v>30</v>
      </c>
      <c r="AK55" s="5">
        <f t="shared" si="106"/>
        <v>74</v>
      </c>
      <c r="AL55" s="107">
        <f t="shared" si="106"/>
        <v>21</v>
      </c>
      <c r="AM55" s="107">
        <f t="shared" si="106"/>
        <v>17</v>
      </c>
      <c r="AN55" s="107">
        <f t="shared" si="106"/>
        <v>23</v>
      </c>
      <c r="AO55" s="107">
        <f t="shared" si="106"/>
        <v>61</v>
      </c>
      <c r="AP55" s="5">
        <f t="shared" si="106"/>
        <v>122</v>
      </c>
      <c r="AQ55" s="107">
        <f t="shared" si="106"/>
        <v>55</v>
      </c>
      <c r="AR55" s="107">
        <f t="shared" si="106"/>
        <v>-1890</v>
      </c>
      <c r="AS55" s="107">
        <f t="shared" ref="AS55:BF55" si="107">AS173</f>
        <v>-1258</v>
      </c>
      <c r="AT55" s="107">
        <f t="shared" si="107"/>
        <v>-2265</v>
      </c>
      <c r="AU55" s="5">
        <f t="shared" si="107"/>
        <v>-5358</v>
      </c>
      <c r="AV55" s="107">
        <f t="shared" si="107"/>
        <v>-1726</v>
      </c>
      <c r="AW55" s="107">
        <f t="shared" si="107"/>
        <v>-447</v>
      </c>
      <c r="AX55" s="107">
        <f t="shared" si="107"/>
        <v>-1623</v>
      </c>
      <c r="AY55" s="107">
        <f t="shared" si="107"/>
        <v>-793</v>
      </c>
      <c r="AZ55" s="5">
        <f t="shared" si="107"/>
        <v>-4589</v>
      </c>
      <c r="BA55" s="107">
        <f t="shared" si="107"/>
        <v>0</v>
      </c>
      <c r="BB55" s="107">
        <f t="shared" si="107"/>
        <v>0</v>
      </c>
      <c r="BC55" s="107">
        <f t="shared" si="107"/>
        <v>0</v>
      </c>
      <c r="BD55" s="107">
        <f t="shared" si="107"/>
        <v>0</v>
      </c>
      <c r="BE55" s="5">
        <f t="shared" si="107"/>
        <v>0</v>
      </c>
      <c r="BF55" s="107">
        <f t="shared" si="107"/>
        <v>0</v>
      </c>
      <c r="BG55" s="107">
        <f t="shared" ref="BG55:BH55" si="108">BG173</f>
        <v>0</v>
      </c>
      <c r="BH55" s="107">
        <f t="shared" si="108"/>
        <v>0</v>
      </c>
      <c r="BI55" s="107">
        <f t="shared" ref="BI55:BK55" si="109">BI173</f>
        <v>0</v>
      </c>
      <c r="BJ55" s="5">
        <f t="shared" si="109"/>
        <v>0</v>
      </c>
      <c r="BK55" s="107">
        <f t="shared" si="109"/>
        <v>0</v>
      </c>
      <c r="BL55" s="107">
        <f t="shared" ref="BL55:BM55" si="110">BL173</f>
        <v>0</v>
      </c>
      <c r="BM55" s="107">
        <f t="shared" si="110"/>
        <v>0</v>
      </c>
      <c r="BN55" s="107">
        <f t="shared" ref="BN55:BO55" si="111">BN173</f>
        <v>-343</v>
      </c>
      <c r="BO55" s="5">
        <f t="shared" si="111"/>
        <v>-343</v>
      </c>
      <c r="BP55" s="5"/>
      <c r="BQ55" s="5"/>
      <c r="BR55" s="5"/>
      <c r="BS55" s="5"/>
      <c r="BT55" s="5">
        <f>BT120</f>
        <v>-1391.3111853620185</v>
      </c>
      <c r="BU55" s="5"/>
      <c r="BV55" s="5"/>
      <c r="BW55" s="5"/>
      <c r="BX55" s="5"/>
      <c r="BY55" s="5">
        <f>BY120</f>
        <v>-1378.8919180573457</v>
      </c>
      <c r="BZ55" s="5"/>
      <c r="CA55" s="5"/>
      <c r="CB55" s="5"/>
      <c r="CC55" s="5"/>
      <c r="CD55" s="5">
        <f>CD120</f>
        <v>-1378.8919180567814</v>
      </c>
      <c r="CF55" s="581" t="s">
        <v>1977</v>
      </c>
      <c r="CG55" s="381">
        <f t="shared" si="50"/>
        <v>1.1786009743542605</v>
      </c>
    </row>
    <row r="56" spans="1:85" ht="12.75" customHeight="1">
      <c r="A56" s="137" t="s">
        <v>1246</v>
      </c>
      <c r="B56" s="137"/>
      <c r="C56" s="72"/>
      <c r="D56" s="5">
        <f t="shared" ref="D56:AU56" si="112">D57-SUM(D53:D55)</f>
        <v>0</v>
      </c>
      <c r="E56" s="5">
        <f t="shared" si="112"/>
        <v>0</v>
      </c>
      <c r="F56" s="5">
        <f t="shared" si="112"/>
        <v>0</v>
      </c>
      <c r="G56" s="5">
        <f t="shared" si="112"/>
        <v>0</v>
      </c>
      <c r="H56" s="107">
        <f t="shared" si="112"/>
        <v>0</v>
      </c>
      <c r="I56" s="107">
        <f t="shared" si="112"/>
        <v>0</v>
      </c>
      <c r="J56" s="107">
        <f t="shared" si="112"/>
        <v>0</v>
      </c>
      <c r="K56" s="107">
        <f t="shared" si="112"/>
        <v>0</v>
      </c>
      <c r="L56" s="5">
        <f t="shared" si="112"/>
        <v>0</v>
      </c>
      <c r="M56" s="107">
        <f t="shared" si="112"/>
        <v>0</v>
      </c>
      <c r="N56" s="107">
        <f t="shared" si="112"/>
        <v>0</v>
      </c>
      <c r="O56" s="107">
        <f t="shared" si="112"/>
        <v>0</v>
      </c>
      <c r="P56" s="107">
        <f t="shared" si="112"/>
        <v>0</v>
      </c>
      <c r="Q56" s="5">
        <f t="shared" si="112"/>
        <v>0</v>
      </c>
      <c r="R56" s="107">
        <f t="shared" si="112"/>
        <v>0</v>
      </c>
      <c r="S56" s="107">
        <f t="shared" si="112"/>
        <v>0</v>
      </c>
      <c r="T56" s="107">
        <f t="shared" si="112"/>
        <v>0</v>
      </c>
      <c r="U56" s="107">
        <f t="shared" si="112"/>
        <v>0</v>
      </c>
      <c r="V56" s="5">
        <f t="shared" si="112"/>
        <v>0</v>
      </c>
      <c r="W56" s="107">
        <f t="shared" si="112"/>
        <v>0</v>
      </c>
      <c r="X56" s="107">
        <f t="shared" si="112"/>
        <v>0</v>
      </c>
      <c r="Y56" s="107">
        <f t="shared" si="112"/>
        <v>0</v>
      </c>
      <c r="Z56" s="107">
        <f t="shared" si="112"/>
        <v>0</v>
      </c>
      <c r="AA56" s="5">
        <f t="shared" si="112"/>
        <v>0</v>
      </c>
      <c r="AB56" s="107">
        <f t="shared" si="112"/>
        <v>0</v>
      </c>
      <c r="AC56" s="107">
        <f t="shared" si="112"/>
        <v>0</v>
      </c>
      <c r="AD56" s="107">
        <f t="shared" si="112"/>
        <v>0</v>
      </c>
      <c r="AE56" s="107">
        <f t="shared" si="112"/>
        <v>0</v>
      </c>
      <c r="AF56" s="5">
        <f t="shared" si="112"/>
        <v>0</v>
      </c>
      <c r="AG56" s="107">
        <f t="shared" si="112"/>
        <v>0</v>
      </c>
      <c r="AH56" s="107">
        <f t="shared" si="112"/>
        <v>0</v>
      </c>
      <c r="AI56" s="107">
        <f t="shared" si="112"/>
        <v>0</v>
      </c>
      <c r="AJ56" s="107">
        <f t="shared" si="112"/>
        <v>0</v>
      </c>
      <c r="AK56" s="5">
        <f t="shared" si="112"/>
        <v>0</v>
      </c>
      <c r="AL56" s="107">
        <f t="shared" si="112"/>
        <v>0</v>
      </c>
      <c r="AM56" s="107">
        <f t="shared" si="112"/>
        <v>0</v>
      </c>
      <c r="AN56" s="107">
        <f t="shared" si="112"/>
        <v>0</v>
      </c>
      <c r="AO56" s="107">
        <f t="shared" si="112"/>
        <v>0</v>
      </c>
      <c r="AP56" s="5">
        <f t="shared" si="112"/>
        <v>0</v>
      </c>
      <c r="AQ56" s="107">
        <f t="shared" si="112"/>
        <v>0</v>
      </c>
      <c r="AR56" s="107">
        <f t="shared" si="112"/>
        <v>0</v>
      </c>
      <c r="AS56" s="107">
        <f t="shared" si="112"/>
        <v>29</v>
      </c>
      <c r="AT56" s="107">
        <f t="shared" si="112"/>
        <v>3</v>
      </c>
      <c r="AU56" s="5">
        <f t="shared" si="112"/>
        <v>32</v>
      </c>
      <c r="AV56" s="107">
        <f t="shared" ref="AV56:BF56" si="113">AV57-SUM(AV53:AV55)</f>
        <v>0</v>
      </c>
      <c r="AW56" s="107">
        <f t="shared" si="113"/>
        <v>0</v>
      </c>
      <c r="AX56" s="107">
        <f t="shared" si="113"/>
        <v>0</v>
      </c>
      <c r="AY56" s="107">
        <f t="shared" si="113"/>
        <v>9</v>
      </c>
      <c r="AZ56" s="5">
        <f t="shared" si="113"/>
        <v>-531</v>
      </c>
      <c r="BA56" s="107">
        <f t="shared" si="113"/>
        <v>0</v>
      </c>
      <c r="BB56" s="107">
        <f t="shared" si="113"/>
        <v>0</v>
      </c>
      <c r="BC56" s="107">
        <f t="shared" si="113"/>
        <v>0</v>
      </c>
      <c r="BD56" s="107">
        <f t="shared" si="113"/>
        <v>-5</v>
      </c>
      <c r="BE56" s="5">
        <f t="shared" si="113"/>
        <v>-5</v>
      </c>
      <c r="BF56" s="107">
        <f t="shared" si="113"/>
        <v>70</v>
      </c>
      <c r="BG56" s="107">
        <f t="shared" ref="BG56:BH56" si="114">BG57-SUM(BG53:BG55)</f>
        <v>368</v>
      </c>
      <c r="BH56" s="107">
        <f t="shared" si="114"/>
        <v>323</v>
      </c>
      <c r="BI56" s="107">
        <f t="shared" ref="BI56:BK56" si="115">BI57-SUM(BI53:BI55)</f>
        <v>126</v>
      </c>
      <c r="BJ56" s="5">
        <f t="shared" si="115"/>
        <v>887</v>
      </c>
      <c r="BK56" s="107">
        <f t="shared" si="115"/>
        <v>30</v>
      </c>
      <c r="BL56" s="107">
        <f t="shared" ref="BL56:BM56" si="116">BL57-SUM(BL53:BL55)</f>
        <v>51</v>
      </c>
      <c r="BM56" s="107">
        <f t="shared" si="116"/>
        <v>0</v>
      </c>
      <c r="BN56" s="107">
        <f t="shared" ref="BN56:BO56" si="117">BN57-SUM(BN53:BN55)</f>
        <v>982</v>
      </c>
      <c r="BO56" s="5">
        <f t="shared" si="117"/>
        <v>1063</v>
      </c>
      <c r="BP56" s="5"/>
      <c r="BQ56" s="5"/>
      <c r="BR56" s="5"/>
      <c r="BS56" s="5"/>
      <c r="BT56" s="5">
        <f>SUM(BT123:BT125)</f>
        <v>0</v>
      </c>
      <c r="BU56" s="5"/>
      <c r="BV56" s="5"/>
      <c r="BW56" s="5"/>
      <c r="BX56" s="5"/>
      <c r="BY56" s="5">
        <f>SUM(BY123:BY125)</f>
        <v>0</v>
      </c>
      <c r="BZ56" s="5"/>
      <c r="CA56" s="5"/>
      <c r="CB56" s="5"/>
      <c r="CC56" s="5"/>
      <c r="CD56" s="5">
        <f>SUM(CD123:CD125)</f>
        <v>0</v>
      </c>
      <c r="CF56" s="581" t="s">
        <v>1978</v>
      </c>
      <c r="CG56" s="381">
        <f t="shared" si="50"/>
        <v>1.1259037321696086</v>
      </c>
    </row>
    <row r="57" spans="1:85" ht="12.75" customHeight="1">
      <c r="A57" s="148" t="s">
        <v>1532</v>
      </c>
      <c r="B57" s="148"/>
      <c r="C57" s="73"/>
      <c r="D57" s="8">
        <f t="shared" ref="D57:AR57" si="118">D181</f>
        <v>-5141</v>
      </c>
      <c r="E57" s="8">
        <f t="shared" si="118"/>
        <v>-6803</v>
      </c>
      <c r="F57" s="8">
        <f t="shared" si="118"/>
        <v>-12835</v>
      </c>
      <c r="G57" s="8">
        <f t="shared" si="118"/>
        <v>-23303</v>
      </c>
      <c r="H57" s="19">
        <f t="shared" si="118"/>
        <v>-6228</v>
      </c>
      <c r="I57" s="19">
        <f t="shared" si="118"/>
        <v>-5658</v>
      </c>
      <c r="J57" s="19">
        <f t="shared" si="118"/>
        <v>-5426</v>
      </c>
      <c r="K57" s="19">
        <f t="shared" si="118"/>
        <v>-1759</v>
      </c>
      <c r="L57" s="8">
        <f t="shared" si="118"/>
        <v>-19071</v>
      </c>
      <c r="M57" s="19">
        <f t="shared" si="118"/>
        <v>-4801</v>
      </c>
      <c r="N57" s="19">
        <f t="shared" si="118"/>
        <v>-4051</v>
      </c>
      <c r="O57" s="19">
        <f t="shared" si="118"/>
        <v>-2367</v>
      </c>
      <c r="P57" s="19">
        <f t="shared" si="118"/>
        <v>2184</v>
      </c>
      <c r="Q57" s="8">
        <f t="shared" si="118"/>
        <v>-9035</v>
      </c>
      <c r="R57" s="19">
        <f t="shared" si="118"/>
        <v>-5263</v>
      </c>
      <c r="S57" s="19">
        <f t="shared" si="118"/>
        <v>-3042</v>
      </c>
      <c r="T57" s="19">
        <f t="shared" si="118"/>
        <v>-4596</v>
      </c>
      <c r="U57" s="19">
        <f t="shared" si="118"/>
        <v>2392</v>
      </c>
      <c r="V57" s="8">
        <f t="shared" si="118"/>
        <v>-10509</v>
      </c>
      <c r="W57" s="19">
        <f t="shared" si="118"/>
        <v>-838</v>
      </c>
      <c r="X57" s="19">
        <f t="shared" si="118"/>
        <v>-1683</v>
      </c>
      <c r="Y57" s="19">
        <f t="shared" si="118"/>
        <v>-2743</v>
      </c>
      <c r="Z57" s="19">
        <f t="shared" si="118"/>
        <v>-4287</v>
      </c>
      <c r="AA57" s="8">
        <f t="shared" si="118"/>
        <v>-9551</v>
      </c>
      <c r="AB57" s="19">
        <f t="shared" si="118"/>
        <v>-4901</v>
      </c>
      <c r="AC57" s="19">
        <f t="shared" si="118"/>
        <v>-1388</v>
      </c>
      <c r="AD57" s="19">
        <f t="shared" si="118"/>
        <v>3182</v>
      </c>
      <c r="AE57" s="19">
        <f t="shared" si="118"/>
        <v>3947</v>
      </c>
      <c r="AF57" s="8">
        <f t="shared" si="118"/>
        <v>840</v>
      </c>
      <c r="AG57" s="19">
        <f t="shared" si="118"/>
        <v>2442</v>
      </c>
      <c r="AH57" s="19">
        <f t="shared" si="118"/>
        <v>-1436</v>
      </c>
      <c r="AI57" s="19">
        <f t="shared" si="118"/>
        <v>-2908</v>
      </c>
      <c r="AJ57" s="19">
        <f t="shared" si="118"/>
        <v>2384</v>
      </c>
      <c r="AK57" s="8">
        <f t="shared" si="118"/>
        <v>482</v>
      </c>
      <c r="AL57" s="19">
        <f t="shared" si="118"/>
        <v>869</v>
      </c>
      <c r="AM57" s="19">
        <f t="shared" si="118"/>
        <v>198</v>
      </c>
      <c r="AN57" s="19">
        <f t="shared" si="118"/>
        <v>-682</v>
      </c>
      <c r="AO57" s="19">
        <f t="shared" si="118"/>
        <v>-2403</v>
      </c>
      <c r="AP57" s="8">
        <f t="shared" si="118"/>
        <v>-2018</v>
      </c>
      <c r="AQ57" s="19">
        <f t="shared" si="118"/>
        <v>-3314</v>
      </c>
      <c r="AR57" s="19">
        <f t="shared" si="118"/>
        <v>-1607</v>
      </c>
      <c r="AS57" s="19">
        <f t="shared" ref="AS57:BF57" si="119">AS181</f>
        <v>183</v>
      </c>
      <c r="AT57" s="19">
        <f t="shared" si="119"/>
        <v>-5662</v>
      </c>
      <c r="AU57" s="8">
        <f t="shared" si="119"/>
        <v>-10400</v>
      </c>
      <c r="AV57" s="19">
        <f t="shared" si="119"/>
        <v>1653</v>
      </c>
      <c r="AW57" s="19">
        <f t="shared" si="119"/>
        <v>-3080</v>
      </c>
      <c r="AX57" s="19">
        <f t="shared" si="119"/>
        <v>-942</v>
      </c>
      <c r="AY57" s="19">
        <f t="shared" si="119"/>
        <v>-2897</v>
      </c>
      <c r="AZ57" s="8">
        <f t="shared" si="119"/>
        <v>-5266</v>
      </c>
      <c r="BA57" s="19">
        <f t="shared" si="119"/>
        <v>4485</v>
      </c>
      <c r="BB57" s="19">
        <f t="shared" si="119"/>
        <v>-2193</v>
      </c>
      <c r="BC57" s="19">
        <f t="shared" si="119"/>
        <v>-1763</v>
      </c>
      <c r="BD57" s="19">
        <f t="shared" si="119"/>
        <v>-5064</v>
      </c>
      <c r="BE57" s="8">
        <f t="shared" si="119"/>
        <v>-4535</v>
      </c>
      <c r="BF57" s="19">
        <f t="shared" si="119"/>
        <v>-1971</v>
      </c>
      <c r="BG57" s="19">
        <f t="shared" ref="BG57:BH57" si="120">BG181</f>
        <v>848</v>
      </c>
      <c r="BH57" s="19">
        <f t="shared" si="120"/>
        <v>2469</v>
      </c>
      <c r="BI57" s="19">
        <f t="shared" ref="BI57:BK57" si="121">BI181</f>
        <v>631</v>
      </c>
      <c r="BJ57" s="8">
        <f t="shared" si="121"/>
        <v>1977</v>
      </c>
      <c r="BK57" s="19">
        <f t="shared" si="121"/>
        <v>1822</v>
      </c>
      <c r="BL57" s="19">
        <f t="shared" ref="BL57:BM57" si="122">BL181</f>
        <v>-1599</v>
      </c>
      <c r="BM57" s="19">
        <f t="shared" si="122"/>
        <v>254</v>
      </c>
      <c r="BN57" s="19">
        <f t="shared" ref="BN57:BO57" si="123">BN181</f>
        <v>-3773</v>
      </c>
      <c r="BO57" s="8">
        <f t="shared" si="123"/>
        <v>-3296</v>
      </c>
      <c r="BP57" s="8"/>
      <c r="BQ57" s="8"/>
      <c r="BR57" s="8"/>
      <c r="BS57" s="8"/>
      <c r="BT57" s="8">
        <f ca="1">SUM(BT53:BT56)</f>
        <v>-5707.5572387969933</v>
      </c>
      <c r="BU57" s="8"/>
      <c r="BV57" s="8"/>
      <c r="BW57" s="8"/>
      <c r="BX57" s="8"/>
      <c r="BY57" s="8">
        <f ca="1">SUM(BY53:BY56)</f>
        <v>-13068.985430631445</v>
      </c>
      <c r="BZ57" s="8"/>
      <c r="CA57" s="8"/>
      <c r="CB57" s="8"/>
      <c r="CC57" s="8"/>
      <c r="CD57" s="8">
        <f ca="1">SUM(CD53:CD56)</f>
        <v>-14167.301271386172</v>
      </c>
      <c r="CF57" s="581" t="s">
        <v>1979</v>
      </c>
      <c r="CG57" s="381">
        <f t="shared" si="50"/>
        <v>0.98968377048074974</v>
      </c>
    </row>
    <row r="58" spans="1:85" ht="12.75" customHeight="1">
      <c r="A58" s="137"/>
      <c r="B58" s="137"/>
      <c r="C58" s="72"/>
      <c r="D58" s="5"/>
      <c r="E58" s="5"/>
      <c r="F58" s="5"/>
      <c r="G58" s="5"/>
      <c r="H58" s="107"/>
      <c r="I58" s="107"/>
      <c r="J58" s="107"/>
      <c r="K58" s="107"/>
      <c r="L58" s="5"/>
      <c r="M58" s="107"/>
      <c r="N58" s="107"/>
      <c r="O58" s="107"/>
      <c r="P58" s="107"/>
      <c r="Q58" s="5"/>
      <c r="R58" s="107"/>
      <c r="S58" s="107"/>
      <c r="T58" s="107"/>
      <c r="U58" s="107"/>
      <c r="V58" s="5"/>
      <c r="W58" s="107"/>
      <c r="X58" s="107"/>
      <c r="Y58" s="107"/>
      <c r="Z58" s="107"/>
      <c r="AA58" s="5"/>
      <c r="AB58" s="107"/>
      <c r="AC58" s="107"/>
      <c r="AD58" s="107"/>
      <c r="AE58" s="107"/>
      <c r="AF58" s="5"/>
      <c r="AG58" s="107"/>
      <c r="AH58" s="107"/>
      <c r="AI58" s="107"/>
      <c r="AJ58" s="107"/>
      <c r="AK58" s="5"/>
      <c r="AL58" s="107"/>
      <c r="AM58" s="107"/>
      <c r="AN58" s="107"/>
      <c r="AO58" s="107"/>
      <c r="AP58" s="5"/>
      <c r="AQ58" s="107"/>
      <c r="AR58" s="107"/>
      <c r="AS58" s="107"/>
      <c r="AT58" s="107"/>
      <c r="AU58" s="5"/>
      <c r="AV58" s="107"/>
      <c r="AW58" s="107"/>
      <c r="AX58" s="107"/>
      <c r="AY58" s="107"/>
      <c r="AZ58" s="5"/>
      <c r="BA58" s="107"/>
      <c r="BB58" s="107"/>
      <c r="BC58" s="107"/>
      <c r="BD58" s="107"/>
      <c r="BE58" s="5"/>
      <c r="BF58" s="107"/>
      <c r="BG58" s="107"/>
      <c r="BH58" s="107"/>
      <c r="BI58" s="107"/>
      <c r="BJ58" s="5"/>
      <c r="BK58" s="107"/>
      <c r="BL58" s="107"/>
      <c r="BM58" s="107"/>
      <c r="BN58" s="107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F58" s="581" t="s">
        <v>1980</v>
      </c>
      <c r="CG58" s="381">
        <f t="shared" si="50"/>
        <v>0.80827023878858473</v>
      </c>
    </row>
    <row r="59" spans="1:85" ht="12.75" customHeight="1">
      <c r="A59" s="137" t="s">
        <v>1219</v>
      </c>
      <c r="B59" s="137"/>
      <c r="C59" s="72"/>
      <c r="D59" s="5">
        <f t="shared" ref="D59:AR59" si="124">D60-SUM(D51,D57)</f>
        <v>90</v>
      </c>
      <c r="E59" s="5">
        <f t="shared" si="124"/>
        <v>121</v>
      </c>
      <c r="F59" s="5">
        <f t="shared" si="124"/>
        <v>91</v>
      </c>
      <c r="G59" s="5">
        <f t="shared" si="124"/>
        <v>-88</v>
      </c>
      <c r="H59" s="107">
        <f t="shared" si="124"/>
        <v>14</v>
      </c>
      <c r="I59" s="107">
        <f t="shared" si="124"/>
        <v>-36</v>
      </c>
      <c r="J59" s="107">
        <f t="shared" si="124"/>
        <v>19</v>
      </c>
      <c r="K59" s="107">
        <f t="shared" si="124"/>
        <v>50</v>
      </c>
      <c r="L59" s="5">
        <f t="shared" si="124"/>
        <v>47</v>
      </c>
      <c r="M59" s="107">
        <f t="shared" si="124"/>
        <v>11</v>
      </c>
      <c r="N59" s="107">
        <f t="shared" si="124"/>
        <v>26</v>
      </c>
      <c r="O59" s="107">
        <f t="shared" si="124"/>
        <v>44</v>
      </c>
      <c r="P59" s="107">
        <f t="shared" si="124"/>
        <v>54</v>
      </c>
      <c r="Q59" s="5">
        <f t="shared" si="124"/>
        <v>135</v>
      </c>
      <c r="R59" s="107">
        <f t="shared" si="124"/>
        <v>34</v>
      </c>
      <c r="S59" s="107">
        <f t="shared" si="124"/>
        <v>-2</v>
      </c>
      <c r="T59" s="107">
        <f t="shared" si="124"/>
        <v>-78</v>
      </c>
      <c r="U59" s="107">
        <f t="shared" si="124"/>
        <v>-138</v>
      </c>
      <c r="V59" s="5">
        <f t="shared" si="124"/>
        <v>-184</v>
      </c>
      <c r="W59" s="107">
        <f t="shared" si="124"/>
        <v>-79</v>
      </c>
      <c r="X59" s="107">
        <f t="shared" si="124"/>
        <v>101</v>
      </c>
      <c r="Y59" s="107">
        <f t="shared" si="124"/>
        <v>60</v>
      </c>
      <c r="Z59" s="107">
        <f t="shared" si="124"/>
        <v>28</v>
      </c>
      <c r="AA59" s="5">
        <f t="shared" si="124"/>
        <v>110</v>
      </c>
      <c r="AB59" s="107">
        <f t="shared" si="124"/>
        <v>-77</v>
      </c>
      <c r="AC59" s="107">
        <f t="shared" si="124"/>
        <v>-162</v>
      </c>
      <c r="AD59" s="107">
        <f t="shared" si="124"/>
        <v>131</v>
      </c>
      <c r="AE59" s="107">
        <f t="shared" si="124"/>
        <v>-171</v>
      </c>
      <c r="AF59" s="5">
        <f t="shared" si="124"/>
        <v>-279</v>
      </c>
      <c r="AG59" s="107">
        <f t="shared" si="124"/>
        <v>195</v>
      </c>
      <c r="AH59" s="107">
        <f t="shared" si="124"/>
        <v>104</v>
      </c>
      <c r="AI59" s="107">
        <f t="shared" si="124"/>
        <v>-545</v>
      </c>
      <c r="AJ59" s="107">
        <f t="shared" si="124"/>
        <v>-246</v>
      </c>
      <c r="AK59" s="5">
        <f t="shared" si="124"/>
        <v>-492</v>
      </c>
      <c r="AL59" s="107">
        <f t="shared" si="124"/>
        <v>118</v>
      </c>
      <c r="AM59" s="107">
        <f t="shared" si="124"/>
        <v>-350</v>
      </c>
      <c r="AN59" s="107">
        <f t="shared" si="124"/>
        <v>227</v>
      </c>
      <c r="AO59" s="107">
        <f t="shared" si="124"/>
        <v>69</v>
      </c>
      <c r="AP59" s="5">
        <f t="shared" si="124"/>
        <v>64</v>
      </c>
      <c r="AQ59" s="107">
        <f t="shared" si="124"/>
        <v>-249</v>
      </c>
      <c r="AR59" s="107">
        <f t="shared" si="124"/>
        <v>12</v>
      </c>
      <c r="AS59" s="107">
        <f t="shared" ref="AS59:BF59" si="125">AS60-SUM(AS51,AS57)</f>
        <v>234</v>
      </c>
      <c r="AT59" s="107">
        <f t="shared" si="125"/>
        <v>43</v>
      </c>
      <c r="AU59" s="5">
        <f t="shared" si="125"/>
        <v>40</v>
      </c>
      <c r="AV59" s="107">
        <f t="shared" si="125"/>
        <v>-45</v>
      </c>
      <c r="AW59" s="107">
        <f t="shared" si="125"/>
        <v>49</v>
      </c>
      <c r="AX59" s="107">
        <f t="shared" si="125"/>
        <v>-418</v>
      </c>
      <c r="AY59" s="107">
        <f t="shared" si="125"/>
        <v>-257</v>
      </c>
      <c r="AZ59" s="5">
        <f t="shared" si="125"/>
        <v>-671</v>
      </c>
      <c r="BA59" s="107">
        <f t="shared" si="125"/>
        <v>-623</v>
      </c>
      <c r="BB59" s="107">
        <f t="shared" si="125"/>
        <v>286</v>
      </c>
      <c r="BC59" s="107">
        <f t="shared" si="125"/>
        <v>-158</v>
      </c>
      <c r="BD59" s="107">
        <f t="shared" si="125"/>
        <v>-177</v>
      </c>
      <c r="BE59" s="5">
        <f t="shared" si="125"/>
        <v>-672</v>
      </c>
      <c r="BF59" s="107">
        <f t="shared" si="125"/>
        <v>42</v>
      </c>
      <c r="BG59" s="107">
        <f t="shared" ref="BG59:BH59" si="126">BG60-SUM(BG51,BG57)</f>
        <v>-226</v>
      </c>
      <c r="BH59" s="107">
        <f t="shared" si="126"/>
        <v>13</v>
      </c>
      <c r="BI59" s="107">
        <f t="shared" ref="BI59:BK59" si="127">BI60-SUM(BI51,BI57)</f>
        <v>-649</v>
      </c>
      <c r="BJ59" s="5">
        <f t="shared" si="127"/>
        <v>-820</v>
      </c>
      <c r="BK59" s="107">
        <f t="shared" si="127"/>
        <v>167</v>
      </c>
      <c r="BL59" s="107">
        <f t="shared" ref="BL59:BM59" si="128">BL60-SUM(BL51,BL57)</f>
        <v>202</v>
      </c>
      <c r="BM59" s="107">
        <f t="shared" si="128"/>
        <v>146</v>
      </c>
      <c r="BN59" s="107">
        <f t="shared" ref="BN59:BO59" si="129">BN60-SUM(BN51,BN57)</f>
        <v>29</v>
      </c>
      <c r="BO59" s="5">
        <f t="shared" si="129"/>
        <v>544</v>
      </c>
      <c r="BP59" s="5"/>
      <c r="BQ59" s="5"/>
      <c r="BR59" s="5"/>
      <c r="BS59" s="5"/>
      <c r="BT59" s="5">
        <f>BT129</f>
        <v>76.5</v>
      </c>
      <c r="BU59" s="5"/>
      <c r="BV59" s="5"/>
      <c r="BW59" s="5"/>
      <c r="BX59" s="5"/>
      <c r="BY59" s="5">
        <f>BY129</f>
        <v>72</v>
      </c>
      <c r="BZ59" s="5"/>
      <c r="CA59" s="5"/>
      <c r="CB59" s="5"/>
      <c r="CC59" s="5"/>
      <c r="CD59" s="5">
        <f>CD129</f>
        <v>72</v>
      </c>
      <c r="CF59" s="581" t="s">
        <v>1981</v>
      </c>
      <c r="CG59" s="381">
        <f t="shared" si="50"/>
        <v>1.8709949409780775</v>
      </c>
    </row>
    <row r="60" spans="1:85" ht="12.75" customHeight="1">
      <c r="A60" s="244" t="s">
        <v>705</v>
      </c>
      <c r="B60" s="244"/>
      <c r="C60" s="74"/>
      <c r="D60" s="15">
        <f t="shared" ref="D60:AR60" si="130">D184</f>
        <v>-73</v>
      </c>
      <c r="E60" s="15">
        <f t="shared" si="130"/>
        <v>340</v>
      </c>
      <c r="F60" s="15">
        <f t="shared" si="130"/>
        <v>-697</v>
      </c>
      <c r="G60" s="15">
        <f t="shared" si="130"/>
        <v>1601</v>
      </c>
      <c r="H60" s="16">
        <f t="shared" si="130"/>
        <v>-21</v>
      </c>
      <c r="I60" s="16">
        <f t="shared" si="130"/>
        <v>1913</v>
      </c>
      <c r="J60" s="16">
        <f t="shared" si="130"/>
        <v>-1653</v>
      </c>
      <c r="K60" s="16">
        <f t="shared" si="130"/>
        <v>-609</v>
      </c>
      <c r="L60" s="15">
        <f t="shared" si="130"/>
        <v>-370</v>
      </c>
      <c r="M60" s="16">
        <f t="shared" si="130"/>
        <v>-634</v>
      </c>
      <c r="N60" s="16">
        <f t="shared" si="130"/>
        <v>687</v>
      </c>
      <c r="O60" s="16">
        <f t="shared" si="130"/>
        <v>-233</v>
      </c>
      <c r="P60" s="16">
        <f t="shared" si="130"/>
        <v>1152</v>
      </c>
      <c r="Q60" s="15">
        <f t="shared" si="130"/>
        <v>972</v>
      </c>
      <c r="R60" s="16">
        <f t="shared" si="130"/>
        <v>1258</v>
      </c>
      <c r="S60" s="16">
        <f t="shared" si="130"/>
        <v>-1227</v>
      </c>
      <c r="T60" s="16">
        <f t="shared" si="130"/>
        <v>2549</v>
      </c>
      <c r="U60" s="16">
        <f t="shared" si="130"/>
        <v>2055</v>
      </c>
      <c r="V60" s="15">
        <f t="shared" si="130"/>
        <v>4635</v>
      </c>
      <c r="W60" s="16">
        <f t="shared" si="130"/>
        <v>163</v>
      </c>
      <c r="X60" s="16">
        <f t="shared" si="130"/>
        <v>599</v>
      </c>
      <c r="Y60" s="16">
        <f t="shared" si="130"/>
        <v>924</v>
      </c>
      <c r="Z60" s="16">
        <f t="shared" si="130"/>
        <v>-1544</v>
      </c>
      <c r="AA60" s="15">
        <f t="shared" si="130"/>
        <v>142</v>
      </c>
      <c r="AB60" s="16">
        <f t="shared" si="130"/>
        <v>-1498</v>
      </c>
      <c r="AC60" s="16">
        <f t="shared" si="130"/>
        <v>469</v>
      </c>
      <c r="AD60" s="16">
        <f t="shared" si="130"/>
        <v>5493</v>
      </c>
      <c r="AE60" s="16">
        <f t="shared" si="130"/>
        <v>5753</v>
      </c>
      <c r="AF60" s="15">
        <f t="shared" si="130"/>
        <v>10217</v>
      </c>
      <c r="AG60" s="16">
        <f t="shared" si="130"/>
        <v>170</v>
      </c>
      <c r="AH60" s="16">
        <f t="shared" si="130"/>
        <v>23</v>
      </c>
      <c r="AI60" s="16">
        <f t="shared" si="130"/>
        <v>-752</v>
      </c>
      <c r="AJ60" s="16">
        <f t="shared" si="130"/>
        <v>-3930</v>
      </c>
      <c r="AK60" s="15">
        <f t="shared" si="130"/>
        <v>-4489</v>
      </c>
      <c r="AL60" s="16">
        <f t="shared" si="130"/>
        <v>25</v>
      </c>
      <c r="AM60" s="16">
        <f t="shared" si="130"/>
        <v>789</v>
      </c>
      <c r="AN60" s="16">
        <f t="shared" si="130"/>
        <v>1160</v>
      </c>
      <c r="AO60" s="16">
        <f t="shared" si="130"/>
        <v>3507</v>
      </c>
      <c r="AP60" s="15">
        <f t="shared" si="130"/>
        <v>5481</v>
      </c>
      <c r="AQ60" s="16">
        <f t="shared" si="130"/>
        <v>8044</v>
      </c>
      <c r="AR60" s="16">
        <f t="shared" si="130"/>
        <v>634</v>
      </c>
      <c r="AS60" s="16">
        <f t="shared" ref="AS60:BF60" si="131">AS184</f>
        <v>1186</v>
      </c>
      <c r="AT60" s="16">
        <f t="shared" si="131"/>
        <v>-6979</v>
      </c>
      <c r="AU60" s="15">
        <f t="shared" si="131"/>
        <v>2885</v>
      </c>
      <c r="AV60" s="16">
        <f t="shared" si="131"/>
        <v>4838</v>
      </c>
      <c r="AW60" s="16">
        <f t="shared" si="131"/>
        <v>148</v>
      </c>
      <c r="AX60" s="16">
        <f t="shared" si="131"/>
        <v>3223</v>
      </c>
      <c r="AY60" s="16">
        <f t="shared" si="131"/>
        <v>-966</v>
      </c>
      <c r="AZ60" s="15">
        <f t="shared" si="131"/>
        <v>7243</v>
      </c>
      <c r="BA60" s="16">
        <f t="shared" si="131"/>
        <v>2671</v>
      </c>
      <c r="BB60" s="16">
        <f t="shared" si="131"/>
        <v>155</v>
      </c>
      <c r="BC60" s="16">
        <f t="shared" si="131"/>
        <v>-887</v>
      </c>
      <c r="BD60" s="16">
        <f t="shared" si="131"/>
        <v>-5313</v>
      </c>
      <c r="BE60" s="15">
        <f t="shared" si="131"/>
        <v>-3374</v>
      </c>
      <c r="BF60" s="16">
        <f t="shared" si="131"/>
        <v>-3340</v>
      </c>
      <c r="BG60" s="16">
        <f t="shared" ref="BG60:BH60" si="132">BG184</f>
        <v>468</v>
      </c>
      <c r="BH60" s="16">
        <f t="shared" si="132"/>
        <v>2003</v>
      </c>
      <c r="BI60" s="16">
        <f t="shared" ref="BI60:BK60" si="133">BI184</f>
        <v>-2036</v>
      </c>
      <c r="BJ60" s="15">
        <f t="shared" si="133"/>
        <v>-2905</v>
      </c>
      <c r="BK60" s="16">
        <f t="shared" si="133"/>
        <v>310</v>
      </c>
      <c r="BL60" s="16">
        <f t="shared" ref="BL60:BM60" si="134">BL184</f>
        <v>-524</v>
      </c>
      <c r="BM60" s="16">
        <f t="shared" si="134"/>
        <v>2510</v>
      </c>
      <c r="BN60" s="16">
        <f t="shared" ref="BN60:BO60" si="135">BN184</f>
        <v>-194</v>
      </c>
      <c r="BO60" s="15">
        <f t="shared" si="135"/>
        <v>2102</v>
      </c>
      <c r="BP60" s="15"/>
      <c r="BQ60" s="15"/>
      <c r="BR60" s="15"/>
      <c r="BS60" s="15"/>
      <c r="BT60" s="15">
        <f ca="1">BT43+BT49+BT57+BT59</f>
        <v>-9.0949470177292824E-12</v>
      </c>
      <c r="BU60" s="15"/>
      <c r="BV60" s="15"/>
      <c r="BW60" s="15"/>
      <c r="BX60" s="15"/>
      <c r="BY60" s="15">
        <f ca="1">BY43+BY49+BY57+BY59</f>
        <v>-7.2759576141834259E-11</v>
      </c>
      <c r="BZ60" s="15"/>
      <c r="CA60" s="15"/>
      <c r="CB60" s="15"/>
      <c r="CC60" s="15"/>
      <c r="CD60" s="15">
        <f ca="1">CD43+CD49+CD57+CD59</f>
        <v>-4.7293724492192268E-11</v>
      </c>
      <c r="CF60" s="581" t="s">
        <v>1982</v>
      </c>
      <c r="CG60" s="381">
        <f t="shared" si="50"/>
        <v>0.16689228389093019</v>
      </c>
    </row>
    <row r="61" spans="1:85" ht="12.75" customHeight="1">
      <c r="A61" s="4"/>
      <c r="B61" s="4"/>
      <c r="C61" s="5"/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5"/>
      <c r="AM61" s="5"/>
      <c r="AN61" s="5"/>
      <c r="AO61" s="5"/>
      <c r="AP61" s="116"/>
      <c r="AQ61" s="5"/>
      <c r="AR61" s="5"/>
      <c r="AS61" s="5"/>
      <c r="AT61" s="5"/>
      <c r="AU61" s="116"/>
      <c r="AV61" s="5"/>
      <c r="AW61" s="5"/>
      <c r="AX61" s="5"/>
      <c r="AY61" s="5"/>
      <c r="AZ61" s="116"/>
      <c r="BA61" s="5"/>
      <c r="BB61" s="5"/>
      <c r="BC61" s="5"/>
      <c r="BD61" s="5"/>
      <c r="BE61" s="116"/>
      <c r="BF61" s="5"/>
      <c r="BG61" s="5"/>
      <c r="BH61" s="5"/>
      <c r="BI61" s="5"/>
      <c r="BJ61" s="116"/>
      <c r="BK61" s="5"/>
      <c r="BL61" s="5"/>
      <c r="BM61" s="5"/>
      <c r="BN61" s="5"/>
      <c r="BO61" s="116"/>
      <c r="BP61" s="5"/>
      <c r="BQ61" s="5"/>
      <c r="BR61" s="5"/>
      <c r="BS61" s="5"/>
      <c r="BT61" s="116"/>
      <c r="BU61" s="5"/>
      <c r="BV61" s="5"/>
      <c r="BW61" s="5"/>
      <c r="BX61" s="5"/>
      <c r="BY61" s="116"/>
      <c r="BZ61" s="5"/>
      <c r="CA61" s="5"/>
      <c r="CB61" s="5"/>
      <c r="CC61" s="5"/>
      <c r="CD61" s="116"/>
      <c r="CF61" s="581" t="s">
        <v>2392</v>
      </c>
      <c r="CG61" s="381">
        <f t="shared" si="50"/>
        <v>1.729064039408867</v>
      </c>
    </row>
    <row r="62" spans="1:85" ht="12.75" customHeight="1">
      <c r="A62" s="4"/>
      <c r="B62" s="4"/>
      <c r="C62" s="5"/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5"/>
      <c r="AM62" s="5"/>
      <c r="AN62" s="5"/>
      <c r="AO62" s="5"/>
      <c r="AP62" s="116"/>
      <c r="AQ62" s="5"/>
      <c r="AR62" s="5"/>
      <c r="AS62" s="5"/>
      <c r="AT62" s="5"/>
      <c r="AU62" s="116"/>
      <c r="AV62" s="5"/>
      <c r="AW62" s="5"/>
      <c r="AX62" s="5"/>
      <c r="AY62" s="5"/>
      <c r="AZ62" s="116"/>
      <c r="BA62" s="5"/>
      <c r="BB62" s="5"/>
      <c r="BC62" s="5"/>
      <c r="BD62" s="5"/>
      <c r="BE62" s="116"/>
      <c r="BF62" s="5"/>
      <c r="BG62" s="5"/>
      <c r="BH62" s="5"/>
      <c r="BI62" s="5"/>
      <c r="BJ62" s="116"/>
      <c r="BK62" s="5"/>
      <c r="BL62" s="5"/>
      <c r="BM62" s="5"/>
      <c r="BN62" s="5"/>
      <c r="BO62" s="116"/>
      <c r="BP62" s="5"/>
      <c r="BQ62" s="5"/>
      <c r="BR62" s="5"/>
      <c r="BS62" s="5"/>
      <c r="BT62" s="116"/>
      <c r="BU62" s="5"/>
      <c r="BV62" s="5"/>
      <c r="BW62" s="5"/>
      <c r="BX62" s="5"/>
      <c r="BY62" s="116"/>
      <c r="BZ62" s="5"/>
      <c r="CA62" s="5"/>
      <c r="CB62" s="5"/>
      <c r="CC62" s="5"/>
      <c r="CD62" s="116"/>
      <c r="CF62" s="581" t="s">
        <v>2393</v>
      </c>
      <c r="CG62" s="381">
        <f t="shared" si="50"/>
        <v>2.1648411829134719</v>
      </c>
    </row>
    <row r="63" spans="1:85" ht="13.5" customHeight="1">
      <c r="A63" s="4"/>
      <c r="B63" s="4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49"/>
      <c r="AL63" s="49"/>
      <c r="AM63" s="49"/>
      <c r="AN63" s="49"/>
      <c r="AO63" s="49"/>
      <c r="AP63" s="49"/>
      <c r="AQ63" s="49"/>
      <c r="AR63" s="49"/>
      <c r="AS63" s="49"/>
      <c r="AT63" s="49"/>
      <c r="AU63" s="49"/>
      <c r="AV63" s="49"/>
      <c r="AW63" s="49"/>
      <c r="AX63" s="49"/>
      <c r="AY63" s="49"/>
      <c r="AZ63" s="49"/>
      <c r="BA63" s="49"/>
      <c r="BB63" s="49"/>
      <c r="BC63" s="49"/>
      <c r="BD63" s="49"/>
      <c r="BE63" s="49"/>
      <c r="BF63" s="49"/>
      <c r="BG63" s="49"/>
      <c r="BH63" s="49"/>
      <c r="BI63" s="49"/>
      <c r="BJ63" s="49"/>
      <c r="BK63" s="49"/>
      <c r="BL63" s="49"/>
      <c r="BM63" s="49"/>
      <c r="BN63" s="49"/>
      <c r="BO63" s="49"/>
      <c r="BP63" s="49"/>
      <c r="BQ63" s="49"/>
      <c r="BR63" s="49"/>
      <c r="BS63" s="49"/>
      <c r="BT63" s="49"/>
      <c r="BU63" s="5"/>
      <c r="BV63" s="5"/>
      <c r="BW63" s="5"/>
      <c r="BX63" s="5"/>
      <c r="BY63" s="49"/>
      <c r="BZ63" s="5"/>
      <c r="CA63" s="5"/>
      <c r="CB63" s="5"/>
      <c r="CC63" s="5"/>
      <c r="CD63" s="49"/>
      <c r="CF63" s="581" t="s">
        <v>2394</v>
      </c>
      <c r="CG63" s="381">
        <f t="shared" si="50"/>
        <v>1.0150438779774342</v>
      </c>
    </row>
    <row r="64" spans="1:85" ht="12.75" customHeight="1">
      <c r="A64" s="9" t="s">
        <v>2327</v>
      </c>
      <c r="B64" s="4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49"/>
      <c r="AL64" s="49"/>
      <c r="AM64" s="49"/>
      <c r="AN64" s="49"/>
      <c r="AO64" s="49"/>
      <c r="AP64" s="49"/>
      <c r="AQ64" s="49"/>
      <c r="AR64" s="49"/>
      <c r="AS64" s="49"/>
      <c r="AT64" s="49"/>
      <c r="AU64" s="49"/>
      <c r="AV64" s="49"/>
      <c r="AW64" s="49"/>
      <c r="AX64" s="49"/>
      <c r="AY64" s="49"/>
      <c r="AZ64" s="49"/>
      <c r="BA64" s="49"/>
      <c r="BB64" s="49"/>
      <c r="BC64" s="49"/>
      <c r="BD64" s="49"/>
      <c r="BE64" s="49"/>
      <c r="BF64" s="49"/>
      <c r="BG64" s="49"/>
      <c r="BH64" s="49"/>
      <c r="BI64" s="49"/>
      <c r="BJ64" s="5"/>
      <c r="BK64" s="49"/>
      <c r="BL64" s="49"/>
      <c r="BM64" s="49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F64" s="581" t="s">
        <v>2395</v>
      </c>
      <c r="CG64" s="381">
        <f t="shared" si="50"/>
        <v>1.228923076923077</v>
      </c>
    </row>
    <row r="65" spans="1:85" ht="12.75" customHeight="1">
      <c r="A65" s="211" t="s">
        <v>2206</v>
      </c>
      <c r="B65" s="10"/>
      <c r="C65" s="31">
        <v>2001</v>
      </c>
      <c r="D65" s="32">
        <v>2002</v>
      </c>
      <c r="E65" s="32">
        <v>2003</v>
      </c>
      <c r="F65" s="32">
        <v>2004</v>
      </c>
      <c r="G65" s="31">
        <v>2005</v>
      </c>
      <c r="H65" s="33" t="s">
        <v>714</v>
      </c>
      <c r="I65" s="33" t="s">
        <v>715</v>
      </c>
      <c r="J65" s="33" t="s">
        <v>716</v>
      </c>
      <c r="K65" s="33" t="s">
        <v>717</v>
      </c>
      <c r="L65" s="31">
        <v>2006</v>
      </c>
      <c r="M65" s="33" t="s">
        <v>718</v>
      </c>
      <c r="N65" s="33" t="s">
        <v>719</v>
      </c>
      <c r="O65" s="33" t="s">
        <v>1970</v>
      </c>
      <c r="P65" s="33" t="s">
        <v>1971</v>
      </c>
      <c r="Q65" s="31">
        <v>2007</v>
      </c>
      <c r="R65" s="33" t="s">
        <v>1972</v>
      </c>
      <c r="S65" s="33" t="s">
        <v>1973</v>
      </c>
      <c r="T65" s="33" t="s">
        <v>1974</v>
      </c>
      <c r="U65" s="33" t="s">
        <v>1975</v>
      </c>
      <c r="V65" s="31">
        <v>2008</v>
      </c>
      <c r="W65" s="33" t="s">
        <v>1976</v>
      </c>
      <c r="X65" s="33" t="s">
        <v>1977</v>
      </c>
      <c r="Y65" s="33" t="s">
        <v>1978</v>
      </c>
      <c r="Z65" s="33" t="s">
        <v>1979</v>
      </c>
      <c r="AA65" s="31">
        <v>2009</v>
      </c>
      <c r="AB65" s="33" t="s">
        <v>1980</v>
      </c>
      <c r="AC65" s="33" t="s">
        <v>1981</v>
      </c>
      <c r="AD65" s="33" t="s">
        <v>1982</v>
      </c>
      <c r="AE65" s="33" t="s">
        <v>2392</v>
      </c>
      <c r="AF65" s="31">
        <v>2010</v>
      </c>
      <c r="AG65" s="33" t="s">
        <v>2393</v>
      </c>
      <c r="AH65" s="33" t="s">
        <v>2394</v>
      </c>
      <c r="AI65" s="33" t="s">
        <v>2395</v>
      </c>
      <c r="AJ65" s="33" t="s">
        <v>2396</v>
      </c>
      <c r="AK65" s="31">
        <v>2011</v>
      </c>
      <c r="AL65" s="368" t="s">
        <v>2397</v>
      </c>
      <c r="AM65" s="368" t="s">
        <v>2398</v>
      </c>
      <c r="AN65" s="368" t="s">
        <v>2399</v>
      </c>
      <c r="AO65" s="368" t="s">
        <v>2400</v>
      </c>
      <c r="AP65" s="369">
        <v>2012</v>
      </c>
      <c r="AQ65" s="368" t="s">
        <v>2401</v>
      </c>
      <c r="AR65" s="368" t="s">
        <v>2402</v>
      </c>
      <c r="AS65" s="368" t="s">
        <v>2403</v>
      </c>
      <c r="AT65" s="368" t="s">
        <v>2404</v>
      </c>
      <c r="AU65" s="369">
        <v>2013</v>
      </c>
      <c r="AV65" s="368" t="s">
        <v>2405</v>
      </c>
      <c r="AW65" s="368" t="s">
        <v>2406</v>
      </c>
      <c r="AX65" s="368" t="s">
        <v>2407</v>
      </c>
      <c r="AY65" s="368" t="s">
        <v>2408</v>
      </c>
      <c r="AZ65" s="369">
        <v>2014</v>
      </c>
      <c r="BA65" s="368" t="s">
        <v>2409</v>
      </c>
      <c r="BB65" s="368" t="s">
        <v>2410</v>
      </c>
      <c r="BC65" s="368" t="s">
        <v>2411</v>
      </c>
      <c r="BD65" s="368" t="s">
        <v>2412</v>
      </c>
      <c r="BE65" s="31">
        <v>2015</v>
      </c>
      <c r="BF65" s="368" t="s">
        <v>2413</v>
      </c>
      <c r="BG65" s="368" t="s">
        <v>2414</v>
      </c>
      <c r="BH65" s="368" t="s">
        <v>2415</v>
      </c>
      <c r="BI65" s="368" t="s">
        <v>2416</v>
      </c>
      <c r="BJ65" s="31">
        <v>2016</v>
      </c>
      <c r="BK65" s="368" t="s">
        <v>2417</v>
      </c>
      <c r="BL65" s="368" t="s">
        <v>2418</v>
      </c>
      <c r="BM65" s="368" t="s">
        <v>2419</v>
      </c>
      <c r="BN65" s="363" t="s">
        <v>2420</v>
      </c>
      <c r="BO65" s="31">
        <v>2017</v>
      </c>
      <c r="BP65" s="363" t="s">
        <v>2244</v>
      </c>
      <c r="BQ65" s="363" t="s">
        <v>2245</v>
      </c>
      <c r="BR65" s="363" t="s">
        <v>2508</v>
      </c>
      <c r="BS65" s="363" t="s">
        <v>2509</v>
      </c>
      <c r="BT65" s="364">
        <v>2018</v>
      </c>
      <c r="BU65" s="363" t="s">
        <v>2510</v>
      </c>
      <c r="BV65" s="363" t="s">
        <v>2511</v>
      </c>
      <c r="BW65" s="363" t="s">
        <v>3125</v>
      </c>
      <c r="BX65" s="363" t="s">
        <v>1405</v>
      </c>
      <c r="BY65" s="364">
        <v>2019</v>
      </c>
      <c r="BZ65" s="363" t="s">
        <v>1406</v>
      </c>
      <c r="CA65" s="363" t="s">
        <v>1407</v>
      </c>
      <c r="CB65" s="363" t="s">
        <v>1408</v>
      </c>
      <c r="CC65" s="363" t="s">
        <v>1409</v>
      </c>
      <c r="CD65" s="364">
        <v>2020</v>
      </c>
      <c r="CF65" s="581" t="s">
        <v>2396</v>
      </c>
      <c r="CG65" s="381">
        <f t="shared" si="50"/>
        <v>0.5</v>
      </c>
    </row>
    <row r="66" spans="1:85">
      <c r="A66" s="7" t="s">
        <v>2715</v>
      </c>
      <c r="B66" s="5"/>
      <c r="C66" s="295"/>
      <c r="D66" s="8">
        <f>'Income statement'!D91</f>
        <v>6872</v>
      </c>
      <c r="E66" s="8">
        <f>'Income statement'!E91</f>
        <v>12618</v>
      </c>
      <c r="F66" s="8">
        <f>'Income statement'!F91</f>
        <v>17262</v>
      </c>
      <c r="G66" s="8">
        <f>'Income statement'!G91</f>
        <v>22632</v>
      </c>
      <c r="H66" s="5"/>
      <c r="I66" s="5"/>
      <c r="J66" s="5"/>
      <c r="K66" s="5"/>
      <c r="L66" s="8">
        <f>'Income statement'!L91</f>
        <v>22286</v>
      </c>
      <c r="M66" s="5"/>
      <c r="N66" s="5"/>
      <c r="O66" s="5"/>
      <c r="P66" s="5"/>
      <c r="Q66" s="8">
        <f>'Income statement'!Q91</f>
        <v>21169</v>
      </c>
      <c r="R66" s="5"/>
      <c r="S66" s="5"/>
      <c r="T66" s="5"/>
      <c r="U66" s="5"/>
      <c r="V66" s="8">
        <f>'Income statement'!V91</f>
        <v>21666</v>
      </c>
      <c r="W66" s="5"/>
      <c r="X66" s="5"/>
      <c r="Y66" s="5"/>
      <c r="Z66" s="5"/>
      <c r="AA66" s="8">
        <f>'Income statement'!AA91</f>
        <v>16759</v>
      </c>
      <c r="AB66" s="5"/>
      <c r="AC66" s="5"/>
      <c r="AD66" s="5"/>
      <c r="AE66" s="5"/>
      <c r="AF66" s="8">
        <f>'Income statement'!AF91</f>
        <v>-3324</v>
      </c>
      <c r="AG66" s="5"/>
      <c r="AH66" s="5"/>
      <c r="AI66" s="5"/>
      <c r="AJ66" s="5"/>
      <c r="AK66" s="8">
        <f>'Income statement'!AK91</f>
        <v>26097</v>
      </c>
      <c r="AL66" s="5"/>
      <c r="AM66" s="5"/>
      <c r="AN66" s="5"/>
      <c r="AO66" s="5"/>
      <c r="AP66" s="8">
        <f>'Income statement'!AP91</f>
        <v>11816</v>
      </c>
      <c r="AQ66" s="5"/>
      <c r="AR66" s="5"/>
      <c r="AS66" s="5"/>
      <c r="AT66" s="5"/>
      <c r="AU66" s="8">
        <f>'Income statement'!AU91+$AQ$141</f>
        <v>11327</v>
      </c>
      <c r="AV66" s="5"/>
      <c r="AW66" s="5"/>
      <c r="AX66" s="5"/>
      <c r="AY66" s="5"/>
      <c r="AZ66" s="8">
        <f>'Income statement'!AZ91</f>
        <v>4003</v>
      </c>
      <c r="BA66" s="5"/>
      <c r="BB66" s="5"/>
      <c r="BC66" s="5"/>
      <c r="BD66" s="5"/>
      <c r="BE66" s="8">
        <f>'Income statement'!BE91</f>
        <v>-6400</v>
      </c>
      <c r="BF66" s="5"/>
      <c r="BG66" s="5"/>
      <c r="BH66" s="5"/>
      <c r="BI66" s="5"/>
      <c r="BJ66" s="8">
        <f>'Income statement'!BJ91</f>
        <v>172</v>
      </c>
      <c r="BK66" s="5"/>
      <c r="BL66" s="5"/>
      <c r="BM66" s="5"/>
      <c r="BN66" s="5"/>
      <c r="BO66" s="8">
        <f ca="1">'Income statement'!BO91</f>
        <v>3468</v>
      </c>
      <c r="BP66" s="5"/>
      <c r="BQ66" s="5"/>
      <c r="BR66" s="5"/>
      <c r="BS66" s="5"/>
      <c r="BT66" s="8">
        <f ca="1">'Income statement'!BT91</f>
        <v>10966.550684473375</v>
      </c>
      <c r="BU66" s="5"/>
      <c r="BV66" s="5"/>
      <c r="BW66" s="5"/>
      <c r="BX66" s="5"/>
      <c r="BY66" s="8">
        <f ca="1">'Income statement'!BY91</f>
        <v>11009.32184442488</v>
      </c>
      <c r="BZ66" s="5"/>
      <c r="CA66" s="5"/>
      <c r="CB66" s="5"/>
      <c r="CC66" s="5"/>
      <c r="CD66" s="8">
        <f ca="1">'Income statement'!CD91</f>
        <v>12829.393108668206</v>
      </c>
      <c r="CF66" s="581" t="s">
        <v>2397</v>
      </c>
      <c r="CG66" s="381">
        <f t="shared" si="50"/>
        <v>1.2136075949367089</v>
      </c>
    </row>
    <row r="67" spans="1:85">
      <c r="A67" s="4" t="s">
        <v>2277</v>
      </c>
      <c r="B67" s="5"/>
      <c r="C67" s="72"/>
      <c r="D67" s="138">
        <f>Assets!D25+Assets!D41</f>
        <v>9127</v>
      </c>
      <c r="E67" s="138">
        <f>Assets!E25+Assets!E41</f>
        <v>8076</v>
      </c>
      <c r="F67" s="138">
        <f>Assets!F25+Assets!F41</f>
        <v>8529</v>
      </c>
      <c r="G67" s="138">
        <f>Assets!G25+Assets!G41</f>
        <v>8771</v>
      </c>
      <c r="H67" s="5"/>
      <c r="I67" s="5"/>
      <c r="J67" s="5"/>
      <c r="K67" s="5"/>
      <c r="L67" s="5">
        <f>Assets!L25+Assets!L41</f>
        <v>9128</v>
      </c>
      <c r="M67" s="5"/>
      <c r="N67" s="5"/>
      <c r="O67" s="5"/>
      <c r="P67" s="5"/>
      <c r="Q67" s="5">
        <f>Assets!Q25+Assets!Q41</f>
        <v>10579</v>
      </c>
      <c r="R67" s="5"/>
      <c r="S67" s="5"/>
      <c r="T67" s="5"/>
      <c r="U67" s="5"/>
      <c r="V67" s="5">
        <f>Assets!V25+Assets!V41</f>
        <v>10985</v>
      </c>
      <c r="W67" s="5"/>
      <c r="X67" s="5"/>
      <c r="Y67" s="5"/>
      <c r="Z67" s="5"/>
      <c r="AA67" s="5">
        <f>Assets!AA25+Assets!AA41</f>
        <v>12106</v>
      </c>
      <c r="AB67" s="5"/>
      <c r="AC67" s="5"/>
      <c r="AD67" s="5"/>
      <c r="AE67" s="5"/>
      <c r="AF67" s="5">
        <f>Assets!AF25+Assets!AF41</f>
        <v>11164</v>
      </c>
      <c r="AG67" s="5"/>
      <c r="AH67" s="5"/>
      <c r="AI67" s="5"/>
      <c r="AJ67" s="5"/>
      <c r="AK67" s="5">
        <f>Assets!AK25+Assets!AK41</f>
        <v>11135</v>
      </c>
      <c r="AL67" s="5"/>
      <c r="AM67" s="5"/>
      <c r="AN67" s="5"/>
      <c r="AO67" s="5"/>
      <c r="AP67" s="5">
        <f>Assets!AP25+Capex!AP112</f>
        <v>12910</v>
      </c>
      <c r="AQ67" s="5"/>
      <c r="AR67" s="5"/>
      <c r="AS67" s="5"/>
      <c r="AT67" s="5"/>
      <c r="AU67" s="138">
        <f>Assets!AU25+Capex!AU112</f>
        <v>15953</v>
      </c>
      <c r="AV67" s="5"/>
      <c r="AW67" s="5"/>
      <c r="AX67" s="5"/>
      <c r="AY67" s="5"/>
      <c r="AZ67" s="138">
        <f>Assets!AZ25+Capex!AZ112</f>
        <v>17888</v>
      </c>
      <c r="BA67" s="5"/>
      <c r="BB67" s="5"/>
      <c r="BC67" s="5"/>
      <c r="BD67" s="5"/>
      <c r="BE67" s="138">
        <f>Assets!BE25+Capex!BE112</f>
        <v>16752</v>
      </c>
      <c r="BF67" s="5"/>
      <c r="BG67" s="5"/>
      <c r="BH67" s="5"/>
      <c r="BI67" s="5"/>
      <c r="BJ67" s="5">
        <f>Assets!BJ25+Capex!BJ112</f>
        <v>15428</v>
      </c>
      <c r="BK67" s="5"/>
      <c r="BL67" s="5"/>
      <c r="BM67" s="5"/>
      <c r="BN67" s="5"/>
      <c r="BO67" s="5">
        <f>Assets!BO25+Capex!BO112</f>
        <v>16852</v>
      </c>
      <c r="BP67" s="5"/>
      <c r="BQ67" s="5"/>
      <c r="BR67" s="5"/>
      <c r="BS67" s="5"/>
      <c r="BT67" s="5">
        <f>Assets!BT25+Capex!BT112</f>
        <v>17447.331188567481</v>
      </c>
      <c r="BU67" s="5"/>
      <c r="BV67" s="5"/>
      <c r="BW67" s="5"/>
      <c r="BX67" s="5"/>
      <c r="BY67" s="5">
        <f>Assets!BY25+Capex!BY112</f>
        <v>18446.129588625754</v>
      </c>
      <c r="BZ67" s="5"/>
      <c r="CA67" s="5"/>
      <c r="CB67" s="5"/>
      <c r="CC67" s="5"/>
      <c r="CD67" s="5">
        <f>Assets!CD25+Capex!CD112</f>
        <v>19076.309114523909</v>
      </c>
      <c r="CF67" s="581" t="s">
        <v>2398</v>
      </c>
      <c r="CG67" s="381">
        <f t="shared" si="50"/>
        <v>0.52724511106891969</v>
      </c>
    </row>
    <row r="68" spans="1:85">
      <c r="A68" s="4" t="s">
        <v>3237</v>
      </c>
      <c r="B68" s="5"/>
      <c r="C68" s="72"/>
      <c r="D68" s="138">
        <f>Assets!D26</f>
        <v>1204</v>
      </c>
      <c r="E68" s="138">
        <f>Assets!E26</f>
        <v>1013</v>
      </c>
      <c r="F68" s="138">
        <f>Assets!F26</f>
        <v>1165</v>
      </c>
      <c r="G68" s="138">
        <f>Assets!G26</f>
        <v>898</v>
      </c>
      <c r="H68" s="5"/>
      <c r="I68" s="5"/>
      <c r="J68" s="5"/>
      <c r="K68" s="5"/>
      <c r="L68" s="5">
        <f>Assets!L26</f>
        <v>-136</v>
      </c>
      <c r="M68" s="5"/>
      <c r="N68" s="5"/>
      <c r="O68" s="5"/>
      <c r="P68" s="5"/>
      <c r="Q68" s="5">
        <f>Assets!Q26</f>
        <v>1002</v>
      </c>
      <c r="R68" s="5"/>
      <c r="S68" s="5"/>
      <c r="T68" s="5"/>
      <c r="U68" s="5"/>
      <c r="V68" s="5">
        <f>Assets!V26</f>
        <v>552</v>
      </c>
      <c r="W68" s="5"/>
      <c r="X68" s="5"/>
      <c r="Y68" s="5"/>
      <c r="Z68" s="5"/>
      <c r="AA68" s="5">
        <f>Assets!AA26</f>
        <v>406</v>
      </c>
      <c r="AB68" s="5"/>
      <c r="AC68" s="5"/>
      <c r="AD68" s="5"/>
      <c r="AE68" s="5"/>
      <c r="AF68" s="5">
        <f>Assets!AF26</f>
        <v>1119</v>
      </c>
      <c r="AG68" s="5"/>
      <c r="AH68" s="5"/>
      <c r="AI68" s="5"/>
      <c r="AJ68" s="5"/>
      <c r="AK68" s="5">
        <f>Assets!AK26</f>
        <v>1563</v>
      </c>
      <c r="AL68" s="5"/>
      <c r="AM68" s="5"/>
      <c r="AN68" s="5"/>
      <c r="AO68" s="5"/>
      <c r="AP68" s="5">
        <f>Assets!AP26-Capex!AP112</f>
        <v>2598</v>
      </c>
      <c r="AQ68" s="5"/>
      <c r="AR68" s="5"/>
      <c r="AS68" s="5"/>
      <c r="AT68" s="5"/>
      <c r="AU68" s="138">
        <f>Assets!AU26-Capex!AU112</f>
        <v>-1575</v>
      </c>
      <c r="AV68" s="5"/>
      <c r="AW68" s="5"/>
      <c r="AX68" s="5"/>
      <c r="AY68" s="5"/>
      <c r="AZ68" s="138">
        <f>Assets!AZ26-Capex!AZ112</f>
        <v>4496</v>
      </c>
      <c r="BA68" s="5"/>
      <c r="BB68" s="5"/>
      <c r="BC68" s="5"/>
      <c r="BD68" s="5"/>
      <c r="BE68" s="138">
        <f>Assets!BE26-Capex!BE112</f>
        <v>-442</v>
      </c>
      <c r="BF68" s="5"/>
      <c r="BG68" s="5"/>
      <c r="BH68" s="5"/>
      <c r="BI68" s="5"/>
      <c r="BJ68" s="5">
        <f>Assets!BJ26-Capex!BJ112</f>
        <v>-3316</v>
      </c>
      <c r="BK68" s="5"/>
      <c r="BL68" s="5"/>
      <c r="BM68" s="5"/>
      <c r="BN68" s="5"/>
      <c r="BO68" s="5">
        <f>Assets!BO26-Capex!BO112</f>
        <v>-617</v>
      </c>
      <c r="BP68" s="5"/>
      <c r="BQ68" s="5"/>
      <c r="BR68" s="5"/>
      <c r="BS68" s="5"/>
      <c r="BT68" s="5">
        <f>Assets!BT26-Capex!BT112</f>
        <v>0</v>
      </c>
      <c r="BU68" s="5"/>
      <c r="BV68" s="5"/>
      <c r="BW68" s="5"/>
      <c r="BX68" s="5"/>
      <c r="BY68" s="5">
        <f>Assets!BY26-Capex!BY112</f>
        <v>0</v>
      </c>
      <c r="BZ68" s="5"/>
      <c r="CA68" s="5"/>
      <c r="CB68" s="5"/>
      <c r="CC68" s="5"/>
      <c r="CD68" s="5">
        <f>Assets!CD26-Capex!CD112</f>
        <v>0</v>
      </c>
      <c r="CF68" s="581" t="s">
        <v>2399</v>
      </c>
      <c r="CG68" s="381">
        <f t="shared" si="50"/>
        <v>1.0550980392156863</v>
      </c>
    </row>
    <row r="69" spans="1:85">
      <c r="A69" s="4"/>
      <c r="B69" s="5"/>
      <c r="C69" s="7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138"/>
      <c r="AV69" s="5"/>
      <c r="AW69" s="5"/>
      <c r="AX69" s="5"/>
      <c r="AY69" s="5"/>
      <c r="AZ69" s="138"/>
      <c r="BA69" s="5"/>
      <c r="BB69" s="5"/>
      <c r="BC69" s="5"/>
      <c r="BD69" s="5"/>
      <c r="BE69" s="138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F69" s="581" t="s">
        <v>2401</v>
      </c>
      <c r="CG69" s="381">
        <f t="shared" si="50"/>
        <v>-1.4074543151800254</v>
      </c>
    </row>
    <row r="70" spans="1:85">
      <c r="A70" s="5" t="s">
        <v>2328</v>
      </c>
      <c r="B70" s="5"/>
      <c r="C70" s="72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138"/>
      <c r="AV70" s="5"/>
      <c r="AW70" s="5"/>
      <c r="AX70" s="5"/>
      <c r="AY70" s="5"/>
      <c r="AZ70" s="138"/>
      <c r="BA70" s="5"/>
      <c r="BB70" s="5"/>
      <c r="BC70" s="5"/>
      <c r="BD70" s="5"/>
      <c r="BE70" s="138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F70" s="581" t="s">
        <v>2402</v>
      </c>
      <c r="CG70" s="381">
        <f t="shared" si="50"/>
        <v>1.019814436232112</v>
      </c>
    </row>
    <row r="71" spans="1:85">
      <c r="A71" s="202"/>
      <c r="B71" s="202" t="s">
        <v>3397</v>
      </c>
      <c r="C71" s="72"/>
      <c r="D71" s="5">
        <f>'Balance sheet'!C27-'Balance sheet'!D27</f>
        <v>-2550</v>
      </c>
      <c r="E71" s="5">
        <f>'Balance sheet'!D27-'Balance sheet'!E27</f>
        <v>-1416</v>
      </c>
      <c r="F71" s="5">
        <f>'Balance sheet'!E27-'Balance sheet'!F27</f>
        <v>-4048</v>
      </c>
      <c r="G71" s="5">
        <f>'Balance sheet'!F27-'Balance sheet'!G27</f>
        <v>-4115</v>
      </c>
      <c r="H71" s="5"/>
      <c r="I71" s="5"/>
      <c r="J71" s="5"/>
      <c r="K71" s="5"/>
      <c r="L71" s="5">
        <f>'Balance sheet'!G27-'Balance sheet'!L27</f>
        <v>845</v>
      </c>
      <c r="M71" s="5"/>
      <c r="N71" s="5"/>
      <c r="O71" s="5"/>
      <c r="P71" s="5"/>
      <c r="Q71" s="5">
        <f>'Balance sheet'!L27-'Balance sheet'!Q27</f>
        <v>-7639</v>
      </c>
      <c r="R71" s="5"/>
      <c r="S71" s="5"/>
      <c r="T71" s="5"/>
      <c r="U71" s="5"/>
      <c r="V71" s="5">
        <f>'Balance sheet'!Q27-'Balance sheet'!V27</f>
        <v>9733</v>
      </c>
      <c r="W71" s="5"/>
      <c r="X71" s="5"/>
      <c r="Y71" s="5"/>
      <c r="Z71" s="5"/>
      <c r="AA71" s="5">
        <f>'Balance sheet'!V27-'Balance sheet'!AA27</f>
        <v>-5784</v>
      </c>
      <c r="AB71" s="5"/>
      <c r="AC71" s="5"/>
      <c r="AD71" s="5"/>
      <c r="AE71" s="5"/>
      <c r="AF71" s="5">
        <f>'Balance sheet'!AA27-'Balance sheet'!AF27</f>
        <v>-3613</v>
      </c>
      <c r="AG71" s="5"/>
      <c r="AH71" s="5"/>
      <c r="AI71" s="5"/>
      <c r="AJ71" s="5"/>
      <c r="AK71" s="5">
        <f>'Balance sheet'!AF27-'Balance sheet'!AK27</f>
        <v>557</v>
      </c>
      <c r="AL71" s="5"/>
      <c r="AM71" s="5"/>
      <c r="AN71" s="5"/>
      <c r="AO71" s="5"/>
      <c r="AP71" s="5">
        <f>'Balance sheet'!AK27-'Balance sheet'!AP27</f>
        <v>-2206</v>
      </c>
      <c r="AQ71" s="5"/>
      <c r="AR71" s="5"/>
      <c r="AS71" s="5"/>
      <c r="AT71" s="5"/>
      <c r="AU71" s="138">
        <f>'Balance sheet'!AP27-'Balance sheet'!AU27</f>
        <v>-1364</v>
      </c>
      <c r="AV71" s="5"/>
      <c r="AW71" s="5"/>
      <c r="AX71" s="5"/>
      <c r="AY71" s="5"/>
      <c r="AZ71" s="138">
        <f>'Balance sheet'!AU27-'Balance sheet'!AZ27</f>
        <v>10858</v>
      </c>
      <c r="BA71" s="5"/>
      <c r="BB71" s="5"/>
      <c r="BC71" s="5"/>
      <c r="BD71" s="5"/>
      <c r="BE71" s="138">
        <f>'Balance sheet'!AZ27-'Balance sheet'!BE27</f>
        <v>4231</v>
      </c>
      <c r="BF71" s="5"/>
      <c r="BG71" s="5"/>
      <c r="BH71" s="5"/>
      <c r="BI71" s="5"/>
      <c r="BJ71" s="5">
        <f>'Balance sheet'!BE27-'Balance sheet'!BJ27</f>
        <v>-3513</v>
      </c>
      <c r="BK71" s="5"/>
      <c r="BL71" s="5"/>
      <c r="BM71" s="5"/>
      <c r="BN71" s="5"/>
      <c r="BO71" s="5">
        <f>'Balance sheet'!BJ27-'Balance sheet'!BO27</f>
        <v>-1356</v>
      </c>
      <c r="BP71" s="5"/>
      <c r="BQ71" s="5"/>
      <c r="BR71" s="5"/>
      <c r="BS71" s="5"/>
      <c r="BT71" s="5">
        <f>'Balance sheet'!BO27-'Balance sheet'!BT27</f>
        <v>-785.49510596881737</v>
      </c>
      <c r="BU71" s="5"/>
      <c r="BV71" s="5"/>
      <c r="BW71" s="5"/>
      <c r="BX71" s="5"/>
      <c r="BY71" s="5">
        <f>'Balance sheet'!BT27-'Balance sheet'!BY27</f>
        <v>423.48138780364025</v>
      </c>
      <c r="BZ71" s="5"/>
      <c r="CA71" s="5"/>
      <c r="CB71" s="5"/>
      <c r="CC71" s="5"/>
      <c r="CD71" s="5">
        <f>'Balance sheet'!BY27-'Balance sheet'!CD27</f>
        <v>-291.02787513361909</v>
      </c>
      <c r="CF71" s="581" t="s">
        <v>2403</v>
      </c>
      <c r="CG71" s="381">
        <f t="shared" si="50"/>
        <v>0.89140461215932909</v>
      </c>
    </row>
    <row r="72" spans="1:85">
      <c r="A72" s="4"/>
      <c r="B72" s="4" t="s">
        <v>3368</v>
      </c>
      <c r="C72" s="72"/>
      <c r="D72" s="5">
        <f>'Balance sheet'!D41-'Balance sheet'!C41</f>
        <v>7727</v>
      </c>
      <c r="E72" s="5">
        <f>'Balance sheet'!E41-'Balance sheet'!D41</f>
        <v>-3055</v>
      </c>
      <c r="F72" s="5">
        <f>'Balance sheet'!F41-'Balance sheet'!E41</f>
        <v>8800</v>
      </c>
      <c r="G72" s="5">
        <f>'Balance sheet'!G41-'Balance sheet'!F41</f>
        <v>3596</v>
      </c>
      <c r="H72" s="5"/>
      <c r="I72" s="5"/>
      <c r="J72" s="5"/>
      <c r="K72" s="5"/>
      <c r="L72" s="5">
        <f>'Balance sheet'!L41-'Balance sheet'!G41</f>
        <v>100</v>
      </c>
      <c r="M72" s="5"/>
      <c r="N72" s="5"/>
      <c r="O72" s="5"/>
      <c r="P72" s="5"/>
      <c r="Q72" s="5">
        <f>'Balance sheet'!Q41-'Balance sheet'!L41</f>
        <v>916</v>
      </c>
      <c r="R72" s="5"/>
      <c r="S72" s="5"/>
      <c r="T72" s="5"/>
      <c r="U72" s="5"/>
      <c r="V72" s="5">
        <f>'Balance sheet'!V41-'Balance sheet'!Q41</f>
        <v>-9508</v>
      </c>
      <c r="W72" s="5"/>
      <c r="X72" s="5"/>
      <c r="Y72" s="5"/>
      <c r="Z72" s="5"/>
      <c r="AA72" s="5">
        <f>'Balance sheet'!AA41-'Balance sheet'!V41</f>
        <v>1560</v>
      </c>
      <c r="AB72" s="5"/>
      <c r="AC72" s="5"/>
      <c r="AD72" s="5"/>
      <c r="AE72" s="5"/>
      <c r="AF72" s="5">
        <f>'Balance sheet'!AF41-'Balance sheet'!AA41</f>
        <v>11125</v>
      </c>
      <c r="AG72" s="5"/>
      <c r="AH72" s="5"/>
      <c r="AI72" s="5"/>
      <c r="AJ72" s="5"/>
      <c r="AK72" s="5">
        <f>'Balance sheet'!AK41-'Balance sheet'!AF41</f>
        <v>6076</v>
      </c>
      <c r="AL72" s="5"/>
      <c r="AM72" s="5"/>
      <c r="AN72" s="5"/>
      <c r="AO72" s="5"/>
      <c r="AP72" s="5">
        <f>'Balance sheet'!AP41-'Balance sheet'!AK41</f>
        <v>-5251</v>
      </c>
      <c r="AQ72" s="5"/>
      <c r="AR72" s="5"/>
      <c r="AS72" s="5"/>
      <c r="AT72" s="5"/>
      <c r="AU72" s="138">
        <f>'Balance sheet'!AU41-'Balance sheet'!AP41</f>
        <v>5</v>
      </c>
      <c r="AV72" s="5"/>
      <c r="AW72" s="5"/>
      <c r="AX72" s="5"/>
      <c r="AY72" s="5"/>
      <c r="AZ72" s="138">
        <f>'Balance sheet'!AZ41-'Balance sheet'!AU41</f>
        <v>-7041</v>
      </c>
      <c r="BA72" s="5"/>
      <c r="BB72" s="5"/>
      <c r="BC72" s="5"/>
      <c r="BD72" s="5"/>
      <c r="BE72" s="138">
        <f>'Balance sheet'!BE41-'Balance sheet'!AZ41</f>
        <v>-8169</v>
      </c>
      <c r="BF72" s="5"/>
      <c r="BG72" s="5"/>
      <c r="BH72" s="5"/>
      <c r="BI72" s="5"/>
      <c r="BJ72" s="5">
        <f>'Balance sheet'!BJ41-'Balance sheet'!BE41</f>
        <v>5966</v>
      </c>
      <c r="BK72" s="5"/>
      <c r="BL72" s="5"/>
      <c r="BM72" s="5"/>
      <c r="BN72" s="5"/>
      <c r="BO72" s="5">
        <f>'Balance sheet'!BO41-'Balance sheet'!BJ41</f>
        <v>6294</v>
      </c>
      <c r="BP72" s="5"/>
      <c r="BQ72" s="5"/>
      <c r="BR72" s="5"/>
      <c r="BS72" s="5"/>
      <c r="BT72" s="5">
        <f>'Balance sheet'!BT41-'Balance sheet'!BO41</f>
        <v>-5717.6102292231153</v>
      </c>
      <c r="BU72" s="5"/>
      <c r="BV72" s="5"/>
      <c r="BW72" s="5"/>
      <c r="BX72" s="5"/>
      <c r="BY72" s="5">
        <f>'Balance sheet'!BY41-'Balance sheet'!BT41</f>
        <v>-917.37441035649681</v>
      </c>
      <c r="BZ72" s="5"/>
      <c r="CA72" s="5"/>
      <c r="CB72" s="5"/>
      <c r="CC72" s="5"/>
      <c r="CD72" s="5">
        <f>'Balance sheet'!CD41-'Balance sheet'!BY41</f>
        <v>708.51902743586834</v>
      </c>
      <c r="CF72" s="581" t="s">
        <v>2404</v>
      </c>
      <c r="CG72" s="381">
        <f t="shared" si="50"/>
        <v>0.7260582196596822</v>
      </c>
    </row>
    <row r="73" spans="1:85" s="429" customFormat="1">
      <c r="A73" s="455"/>
      <c r="B73" s="453" t="s">
        <v>1073</v>
      </c>
      <c r="C73" s="93"/>
      <c r="D73" s="12">
        <v>0</v>
      </c>
      <c r="E73" s="12">
        <v>0</v>
      </c>
      <c r="F73" s="12">
        <v>0</v>
      </c>
      <c r="G73" s="12">
        <v>0</v>
      </c>
      <c r="H73" s="12"/>
      <c r="I73" s="12"/>
      <c r="J73" s="12"/>
      <c r="K73" s="12"/>
      <c r="L73" s="12">
        <f>'Balance sheet'!L147-'Balance sheet'!G147</f>
        <v>0</v>
      </c>
      <c r="M73" s="12"/>
      <c r="N73" s="12"/>
      <c r="O73" s="12"/>
      <c r="P73" s="12"/>
      <c r="Q73" s="12">
        <f>'Balance sheet'!Q147-'Balance sheet'!L147</f>
        <v>0</v>
      </c>
      <c r="R73" s="12"/>
      <c r="S73" s="12"/>
      <c r="T73" s="12"/>
      <c r="U73" s="12"/>
      <c r="V73" s="12">
        <f>'Balance sheet'!V147-'Balance sheet'!Q147</f>
        <v>0</v>
      </c>
      <c r="W73" s="12"/>
      <c r="X73" s="12"/>
      <c r="Y73" s="12"/>
      <c r="Z73" s="12"/>
      <c r="AA73" s="12">
        <f>'Balance sheet'!AA147-'Balance sheet'!V147</f>
        <v>0</v>
      </c>
      <c r="AB73" s="12"/>
      <c r="AC73" s="12"/>
      <c r="AD73" s="12"/>
      <c r="AE73" s="12"/>
      <c r="AF73" s="12">
        <f>'Balance sheet'!AF147-'Balance sheet'!AA147</f>
        <v>6587</v>
      </c>
      <c r="AG73" s="12"/>
      <c r="AH73" s="12"/>
      <c r="AI73" s="12"/>
      <c r="AJ73" s="12"/>
      <c r="AK73" s="12">
        <f>'Balance sheet'!AK147-'Balance sheet'!AF147</f>
        <v>-1162</v>
      </c>
      <c r="AL73" s="12"/>
      <c r="AM73" s="12"/>
      <c r="AN73" s="12"/>
      <c r="AO73" s="12"/>
      <c r="AP73" s="12">
        <f>'Balance sheet'!AP147-'Balance sheet'!AK147</f>
        <v>-4903</v>
      </c>
      <c r="AQ73" s="12"/>
      <c r="AR73" s="12"/>
      <c r="AS73" s="12"/>
      <c r="AT73" s="12"/>
      <c r="AU73" s="181">
        <f>'Balance sheet'!AU147-'Balance sheet'!AP147</f>
        <v>508</v>
      </c>
      <c r="AV73" s="12"/>
      <c r="AW73" s="12"/>
      <c r="AX73" s="12"/>
      <c r="AY73" s="12"/>
      <c r="AZ73" s="181">
        <f>'Balance sheet'!AZ147-'Balance sheet'!AU147</f>
        <v>-375</v>
      </c>
      <c r="BA73" s="12"/>
      <c r="BB73" s="12"/>
      <c r="BC73" s="12"/>
      <c r="BD73" s="12"/>
      <c r="BE73" s="181">
        <f>'Balance sheet'!BE147-'Balance sheet'!AZ147</f>
        <v>78</v>
      </c>
      <c r="BF73" s="12"/>
      <c r="BG73" s="12"/>
      <c r="BH73" s="12"/>
      <c r="BI73" s="12"/>
      <c r="BJ73" s="12">
        <f>'Balance sheet'!BJ147-'Balance sheet'!BE147</f>
        <v>2323</v>
      </c>
      <c r="BK73" s="12"/>
      <c r="BL73" s="12"/>
      <c r="BM73" s="12"/>
      <c r="BN73" s="12"/>
      <c r="BO73" s="12">
        <f>'Balance sheet'!BO147-'Balance sheet'!BJ147</f>
        <v>-967</v>
      </c>
      <c r="BP73" s="12"/>
      <c r="BQ73" s="12"/>
      <c r="BR73" s="12"/>
      <c r="BS73" s="12"/>
      <c r="BT73" s="12">
        <f>'Balance sheet'!BT147-'Balance sheet'!BO147</f>
        <v>-937.73460580924007</v>
      </c>
      <c r="BU73" s="12"/>
      <c r="BV73" s="12"/>
      <c r="BW73" s="12"/>
      <c r="BX73" s="12"/>
      <c r="BY73" s="12">
        <f>'Balance sheet'!BY147-'Balance sheet'!BT147</f>
        <v>-441.1295351473924</v>
      </c>
      <c r="BZ73" s="12"/>
      <c r="CA73" s="12"/>
      <c r="CB73" s="12"/>
      <c r="CC73" s="12"/>
      <c r="CD73" s="12">
        <f>'Balance sheet'!CD147-'Balance sheet'!BY147</f>
        <v>381.23065522611535</v>
      </c>
      <c r="CE73" s="632"/>
      <c r="CF73" s="581" t="s">
        <v>2405</v>
      </c>
      <c r="CG73" s="381">
        <f t="shared" si="50"/>
        <v>1.048760666395774</v>
      </c>
    </row>
    <row r="74" spans="1:85" s="429" customFormat="1">
      <c r="A74" s="455"/>
      <c r="B74" s="453" t="s">
        <v>1074</v>
      </c>
      <c r="C74" s="93"/>
      <c r="D74" s="12">
        <f>D72</f>
        <v>7727</v>
      </c>
      <c r="E74" s="12">
        <f>E72</f>
        <v>-3055</v>
      </c>
      <c r="F74" s="12">
        <f>F72</f>
        <v>8800</v>
      </c>
      <c r="G74" s="12">
        <f>G72</f>
        <v>3596</v>
      </c>
      <c r="H74" s="12"/>
      <c r="I74" s="12"/>
      <c r="J74" s="12"/>
      <c r="K74" s="12"/>
      <c r="L74" s="12">
        <f>'Balance sheet'!L171-'Balance sheet'!G171</f>
        <v>100</v>
      </c>
      <c r="M74" s="12"/>
      <c r="N74" s="12"/>
      <c r="O74" s="12"/>
      <c r="P74" s="12"/>
      <c r="Q74" s="12">
        <f>'Balance sheet'!Q171-'Balance sheet'!L171</f>
        <v>916</v>
      </c>
      <c r="R74" s="12"/>
      <c r="S74" s="12"/>
      <c r="T74" s="12"/>
      <c r="U74" s="12"/>
      <c r="V74" s="12">
        <f>'Balance sheet'!V171-'Balance sheet'!Q171</f>
        <v>-9508</v>
      </c>
      <c r="W74" s="12"/>
      <c r="X74" s="12"/>
      <c r="Y74" s="12"/>
      <c r="Z74" s="12"/>
      <c r="AA74" s="12">
        <f>'Balance sheet'!AA171-'Balance sheet'!V171</f>
        <v>1560</v>
      </c>
      <c r="AB74" s="12"/>
      <c r="AC74" s="12"/>
      <c r="AD74" s="12"/>
      <c r="AE74" s="12"/>
      <c r="AF74" s="12">
        <f>'Balance sheet'!AF171-'Balance sheet'!AA171</f>
        <v>4538</v>
      </c>
      <c r="AG74" s="12"/>
      <c r="AH74" s="12"/>
      <c r="AI74" s="12"/>
      <c r="AJ74" s="12"/>
      <c r="AK74" s="12">
        <f>'Balance sheet'!AK171-'Balance sheet'!AF171</f>
        <v>7238</v>
      </c>
      <c r="AL74" s="12"/>
      <c r="AM74" s="12"/>
      <c r="AN74" s="12"/>
      <c r="AO74" s="12"/>
      <c r="AP74" s="12">
        <f>'Balance sheet'!AP171-'Balance sheet'!AK171</f>
        <v>-348</v>
      </c>
      <c r="AQ74" s="12"/>
      <c r="AR74" s="12"/>
      <c r="AS74" s="12"/>
      <c r="AT74" s="12"/>
      <c r="AU74" s="181">
        <f>'Balance sheet'!AU171-'Balance sheet'!AP171</f>
        <v>-503</v>
      </c>
      <c r="AV74" s="12"/>
      <c r="AW74" s="12"/>
      <c r="AX74" s="12"/>
      <c r="AY74" s="12"/>
      <c r="AZ74" s="181">
        <f>'Balance sheet'!AZ171-'Balance sheet'!AU171</f>
        <v>-6666</v>
      </c>
      <c r="BA74" s="12"/>
      <c r="BB74" s="12"/>
      <c r="BC74" s="12"/>
      <c r="BD74" s="12"/>
      <c r="BE74" s="181">
        <f>'Balance sheet'!BE171-'Balance sheet'!AZ171</f>
        <v>-8247</v>
      </c>
      <c r="BF74" s="12"/>
      <c r="BG74" s="12"/>
      <c r="BH74" s="12"/>
      <c r="BI74" s="12"/>
      <c r="BJ74" s="12">
        <f>'Balance sheet'!BJ171-'Balance sheet'!BE171</f>
        <v>3643</v>
      </c>
      <c r="BK74" s="12"/>
      <c r="BL74" s="12"/>
      <c r="BM74" s="12"/>
      <c r="BN74" s="12"/>
      <c r="BO74" s="12">
        <f>'Balance sheet'!BO171-'Balance sheet'!BJ171</f>
        <v>7261</v>
      </c>
      <c r="BP74" s="12"/>
      <c r="BQ74" s="12"/>
      <c r="BR74" s="12"/>
      <c r="BS74" s="12"/>
      <c r="BT74" s="12">
        <f>'Balance sheet'!BT171-'Balance sheet'!BO171</f>
        <v>-4779.8756234138782</v>
      </c>
      <c r="BU74" s="12"/>
      <c r="BV74" s="12"/>
      <c r="BW74" s="12"/>
      <c r="BX74" s="12"/>
      <c r="BY74" s="12">
        <f>'Balance sheet'!BY171-'Balance sheet'!BT171</f>
        <v>-476.24487520910043</v>
      </c>
      <c r="BZ74" s="12"/>
      <c r="CA74" s="12"/>
      <c r="CB74" s="12"/>
      <c r="CC74" s="12"/>
      <c r="CD74" s="12">
        <f>'Balance sheet'!CD171-'Balance sheet'!BY171</f>
        <v>327.28837220975402</v>
      </c>
      <c r="CE74" s="632"/>
      <c r="CF74" s="581" t="s">
        <v>2406</v>
      </c>
      <c r="CG74" s="381">
        <f t="shared" si="50"/>
        <v>0.95506732813607376</v>
      </c>
    </row>
    <row r="75" spans="1:85">
      <c r="A75" s="202"/>
      <c r="B75" s="202" t="s">
        <v>1412</v>
      </c>
      <c r="C75" s="72"/>
      <c r="D75" s="5">
        <f>'Balance sheet'!C28-'Balance sheet'!D28</f>
        <v>-5158</v>
      </c>
      <c r="E75" s="5">
        <f>'Balance sheet'!D28-'Balance sheet'!E28</f>
        <v>-1070</v>
      </c>
      <c r="F75" s="5">
        <f>'Balance sheet'!E28-'Balance sheet'!F28</f>
        <v>-9218</v>
      </c>
      <c r="G75" s="5">
        <f>'Balance sheet'!F28-'Balance sheet'!G28</f>
        <v>-3803</v>
      </c>
      <c r="H75" s="5"/>
      <c r="I75" s="5"/>
      <c r="J75" s="5"/>
      <c r="K75" s="5"/>
      <c r="L75" s="5">
        <f>'Balance sheet'!G28-'Balance sheet'!L28</f>
        <v>2210</v>
      </c>
      <c r="M75" s="5"/>
      <c r="N75" s="5"/>
      <c r="O75" s="5"/>
      <c r="P75" s="5"/>
      <c r="Q75" s="5">
        <f>'Balance sheet'!L28-'Balance sheet'!Q28</f>
        <v>672</v>
      </c>
      <c r="R75" s="5"/>
      <c r="S75" s="5"/>
      <c r="T75" s="5"/>
      <c r="U75" s="5"/>
      <c r="V75" s="5">
        <f>'Balance sheet'!Q28-'Balance sheet'!V28</f>
        <v>8759</v>
      </c>
      <c r="W75" s="5"/>
      <c r="X75" s="5"/>
      <c r="Y75" s="5"/>
      <c r="Z75" s="5"/>
      <c r="AA75" s="5">
        <f>'Balance sheet'!V28-'Balance sheet'!AA28</f>
        <v>-270</v>
      </c>
      <c r="AB75" s="5"/>
      <c r="AC75" s="5"/>
      <c r="AD75" s="5"/>
      <c r="AE75" s="5"/>
      <c r="AF75" s="5">
        <f>'Balance sheet'!AA28-'Balance sheet'!AF28</f>
        <v>-7018</v>
      </c>
      <c r="AG75" s="5"/>
      <c r="AH75" s="5"/>
      <c r="AI75" s="5"/>
      <c r="AJ75" s="5"/>
      <c r="AK75" s="5">
        <f>'Balance sheet'!AF28-'Balance sheet'!AK28</f>
        <v>-5077</v>
      </c>
      <c r="AL75" s="5"/>
      <c r="AM75" s="5"/>
      <c r="AN75" s="5"/>
      <c r="AO75" s="5"/>
      <c r="AP75" s="5">
        <f>'Balance sheet'!AK28-'Balance sheet'!AP28</f>
        <v>3686</v>
      </c>
      <c r="AQ75" s="5"/>
      <c r="AR75" s="5"/>
      <c r="AS75" s="5"/>
      <c r="AT75" s="5"/>
      <c r="AU75" s="138">
        <f>'Balance sheet'!AP28-'Balance sheet'!AU28</f>
        <v>-1891</v>
      </c>
      <c r="AV75" s="5"/>
      <c r="AW75" s="5"/>
      <c r="AX75" s="5"/>
      <c r="AY75" s="5"/>
      <c r="AZ75" s="138">
        <f>'Balance sheet'!AU28-'Balance sheet'!AZ28</f>
        <v>8793</v>
      </c>
      <c r="BA75" s="5"/>
      <c r="BB75" s="5"/>
      <c r="BC75" s="5"/>
      <c r="BD75" s="5"/>
      <c r="BE75" s="138">
        <f>'Balance sheet'!AZ28-'Balance sheet'!BE28</f>
        <v>8715</v>
      </c>
      <c r="BF75" s="5"/>
      <c r="BG75" s="5"/>
      <c r="BH75" s="5"/>
      <c r="BI75" s="5"/>
      <c r="BJ75" s="5">
        <f>'Balance sheet'!BE28-'Balance sheet'!BJ28</f>
        <v>1648</v>
      </c>
      <c r="BK75" s="5"/>
      <c r="BL75" s="5"/>
      <c r="BM75" s="5"/>
      <c r="BN75" s="5"/>
      <c r="BO75" s="5">
        <f>'Balance sheet'!BJ28-'Balance sheet'!BO28</f>
        <v>-4174</v>
      </c>
      <c r="BP75" s="5"/>
      <c r="BQ75" s="5"/>
      <c r="BR75" s="5"/>
      <c r="BS75" s="5"/>
      <c r="BT75" s="5">
        <f ca="1">'Balance sheet'!BO28-'Balance sheet'!BT28</f>
        <v>1517.7980437945334</v>
      </c>
      <c r="BU75" s="5"/>
      <c r="BV75" s="5"/>
      <c r="BW75" s="5"/>
      <c r="BX75" s="5"/>
      <c r="BY75" s="5">
        <f ca="1">'Balance sheet'!BT28-'Balance sheet'!BY28</f>
        <v>481.18834974723723</v>
      </c>
      <c r="BZ75" s="5"/>
      <c r="CA75" s="5"/>
      <c r="CB75" s="5"/>
      <c r="CC75" s="5"/>
      <c r="CD75" s="5">
        <f ca="1">'Balance sheet'!BY28-'Balance sheet'!CD28</f>
        <v>-330.68566175315573</v>
      </c>
      <c r="CF75" s="581" t="s">
        <v>2407</v>
      </c>
      <c r="CG75" s="381">
        <f t="shared" si="50"/>
        <v>1.0953496544453556</v>
      </c>
    </row>
    <row r="76" spans="1:85" s="429" customFormat="1">
      <c r="A76" s="452"/>
      <c r="B76" s="453" t="s">
        <v>1073</v>
      </c>
      <c r="C76" s="93"/>
      <c r="D76" s="12">
        <v>0</v>
      </c>
      <c r="E76" s="12">
        <v>0</v>
      </c>
      <c r="F76" s="12">
        <v>0</v>
      </c>
      <c r="G76" s="12">
        <v>0</v>
      </c>
      <c r="H76" s="12"/>
      <c r="I76" s="12"/>
      <c r="J76" s="12"/>
      <c r="K76" s="12"/>
      <c r="L76" s="12">
        <f>'Balance sheet'!G144-'Balance sheet'!L144</f>
        <v>0</v>
      </c>
      <c r="M76" s="12"/>
      <c r="N76" s="12"/>
      <c r="O76" s="12"/>
      <c r="P76" s="12"/>
      <c r="Q76" s="12">
        <f>'Balance sheet'!L144-'Balance sheet'!Q144</f>
        <v>0</v>
      </c>
      <c r="R76" s="12"/>
      <c r="S76" s="12"/>
      <c r="T76" s="12"/>
      <c r="U76" s="12"/>
      <c r="V76" s="12">
        <f>'Balance sheet'!Q144-'Balance sheet'!V144</f>
        <v>0</v>
      </c>
      <c r="W76" s="12"/>
      <c r="X76" s="12"/>
      <c r="Y76" s="12"/>
      <c r="Z76" s="12"/>
      <c r="AA76" s="12">
        <f>'Balance sheet'!V144-'Balance sheet'!AA144</f>
        <v>0</v>
      </c>
      <c r="AB76" s="12"/>
      <c r="AC76" s="12"/>
      <c r="AD76" s="12"/>
      <c r="AE76" s="12"/>
      <c r="AF76" s="12">
        <f>'Balance sheet'!AA144-'Balance sheet'!AF144</f>
        <v>-5943</v>
      </c>
      <c r="AG76" s="12"/>
      <c r="AH76" s="12"/>
      <c r="AI76" s="12"/>
      <c r="AJ76" s="12"/>
      <c r="AK76" s="12">
        <f>'Balance sheet'!AF144-'Balance sheet'!AK144</f>
        <v>-644</v>
      </c>
      <c r="AL76" s="12"/>
      <c r="AM76" s="12"/>
      <c r="AN76" s="12"/>
      <c r="AO76" s="12"/>
      <c r="AP76" s="12">
        <f>'Balance sheet'!AK144-'Balance sheet'!AP144</f>
        <v>2072</v>
      </c>
      <c r="AQ76" s="12"/>
      <c r="AR76" s="12"/>
      <c r="AS76" s="12"/>
      <c r="AT76" s="12"/>
      <c r="AU76" s="181">
        <f>'Balance sheet'!AP144-'Balance sheet'!AU144</f>
        <v>2058</v>
      </c>
      <c r="AV76" s="12"/>
      <c r="AW76" s="12"/>
      <c r="AX76" s="12"/>
      <c r="AY76" s="12"/>
      <c r="AZ76" s="181">
        <f>'Balance sheet'!AU144-'Balance sheet'!AZ144</f>
        <v>1303</v>
      </c>
      <c r="BA76" s="12"/>
      <c r="BB76" s="12"/>
      <c r="BC76" s="12"/>
      <c r="BD76" s="12"/>
      <c r="BE76" s="181">
        <f>'Balance sheet'!AZ144-'Balance sheet'!BE144</f>
        <v>468</v>
      </c>
      <c r="BF76" s="12"/>
      <c r="BG76" s="12"/>
      <c r="BH76" s="12"/>
      <c r="BI76" s="12"/>
      <c r="BJ76" s="12">
        <f>'Balance sheet'!BE144-'Balance sheet'!BJ144</f>
        <v>492</v>
      </c>
      <c r="BK76" s="12"/>
      <c r="BL76" s="12"/>
      <c r="BM76" s="12"/>
      <c r="BN76" s="12"/>
      <c r="BO76" s="12">
        <f>'Balance sheet'!BJ144-'Balance sheet'!BO144</f>
        <v>-58</v>
      </c>
      <c r="BP76" s="12"/>
      <c r="BQ76" s="12"/>
      <c r="BR76" s="12"/>
      <c r="BS76" s="12"/>
      <c r="BT76" s="12">
        <f ca="1">'Balance sheet'!BO144-'Balance sheet'!BT144</f>
        <v>0</v>
      </c>
      <c r="BU76" s="12"/>
      <c r="BV76" s="12"/>
      <c r="BW76" s="12"/>
      <c r="BX76" s="12"/>
      <c r="BY76" s="12">
        <f ca="1">'Balance sheet'!BT144-'Balance sheet'!BY144</f>
        <v>0</v>
      </c>
      <c r="BZ76" s="12"/>
      <c r="CA76" s="12"/>
      <c r="CB76" s="12"/>
      <c r="CC76" s="12"/>
      <c r="CD76" s="12">
        <f ca="1">'Balance sheet'!BY144-'Balance sheet'!CD144</f>
        <v>0</v>
      </c>
      <c r="CE76" s="632"/>
      <c r="CF76" s="581" t="s">
        <v>2408</v>
      </c>
      <c r="CG76" s="381">
        <f t="shared" si="50"/>
        <v>0.60522546267117405</v>
      </c>
    </row>
    <row r="77" spans="1:85" s="429" customFormat="1">
      <c r="A77" s="452"/>
      <c r="B77" s="453" t="s">
        <v>1074</v>
      </c>
      <c r="C77" s="93"/>
      <c r="D77" s="12">
        <f>D75</f>
        <v>-5158</v>
      </c>
      <c r="E77" s="12">
        <f>E75</f>
        <v>-1070</v>
      </c>
      <c r="F77" s="12">
        <f>F75</f>
        <v>-9218</v>
      </c>
      <c r="G77" s="12">
        <f>G75</f>
        <v>-3803</v>
      </c>
      <c r="H77" s="12"/>
      <c r="I77" s="12"/>
      <c r="J77" s="12"/>
      <c r="K77" s="12"/>
      <c r="L77" s="12">
        <f>'Balance sheet'!G168-'Balance sheet'!L168</f>
        <v>2210</v>
      </c>
      <c r="M77" s="12"/>
      <c r="N77" s="12"/>
      <c r="O77" s="12"/>
      <c r="P77" s="12"/>
      <c r="Q77" s="12">
        <f>'Balance sheet'!L168-'Balance sheet'!Q168</f>
        <v>672</v>
      </c>
      <c r="R77" s="12"/>
      <c r="S77" s="12"/>
      <c r="T77" s="12"/>
      <c r="U77" s="12"/>
      <c r="V77" s="12">
        <f>'Balance sheet'!Q168-'Balance sheet'!V168</f>
        <v>8759</v>
      </c>
      <c r="W77" s="12"/>
      <c r="X77" s="12"/>
      <c r="Y77" s="12"/>
      <c r="Z77" s="12"/>
      <c r="AA77" s="12">
        <f>'Balance sheet'!V168-'Balance sheet'!AA168</f>
        <v>-270</v>
      </c>
      <c r="AB77" s="12"/>
      <c r="AC77" s="12"/>
      <c r="AD77" s="12"/>
      <c r="AE77" s="12"/>
      <c r="AF77" s="12">
        <f>'Balance sheet'!AA168-'Balance sheet'!AF168</f>
        <v>-1075</v>
      </c>
      <c r="AG77" s="12"/>
      <c r="AH77" s="12"/>
      <c r="AI77" s="12"/>
      <c r="AJ77" s="12"/>
      <c r="AK77" s="12">
        <f>'Balance sheet'!AF168-'Balance sheet'!AK168</f>
        <v>-4433</v>
      </c>
      <c r="AL77" s="12"/>
      <c r="AM77" s="12"/>
      <c r="AN77" s="12"/>
      <c r="AO77" s="12"/>
      <c r="AP77" s="12">
        <f>'Balance sheet'!AK168-'Balance sheet'!AP168</f>
        <v>1614</v>
      </c>
      <c r="AQ77" s="12"/>
      <c r="AR77" s="12"/>
      <c r="AS77" s="12"/>
      <c r="AT77" s="12"/>
      <c r="AU77" s="181">
        <f>'Balance sheet'!AP168-'Balance sheet'!AU168</f>
        <v>-3949</v>
      </c>
      <c r="AV77" s="12"/>
      <c r="AW77" s="12"/>
      <c r="AX77" s="12"/>
      <c r="AY77" s="12"/>
      <c r="AZ77" s="181">
        <f>'Balance sheet'!AU168-'Balance sheet'!AZ168</f>
        <v>7490</v>
      </c>
      <c r="BA77" s="12"/>
      <c r="BB77" s="12"/>
      <c r="BC77" s="12"/>
      <c r="BD77" s="12"/>
      <c r="BE77" s="181">
        <f>'Balance sheet'!AZ168-'Balance sheet'!BE168</f>
        <v>8247</v>
      </c>
      <c r="BF77" s="12"/>
      <c r="BG77" s="12"/>
      <c r="BH77" s="12"/>
      <c r="BI77" s="12"/>
      <c r="BJ77" s="12">
        <f>'Balance sheet'!BE168-'Balance sheet'!BJ168</f>
        <v>1156</v>
      </c>
      <c r="BK77" s="12"/>
      <c r="BL77" s="12"/>
      <c r="BM77" s="12"/>
      <c r="BN77" s="12"/>
      <c r="BO77" s="12">
        <f>'Balance sheet'!BJ168-'Balance sheet'!BO168</f>
        <v>-4116</v>
      </c>
      <c r="BP77" s="12"/>
      <c r="BQ77" s="12"/>
      <c r="BR77" s="12"/>
      <c r="BS77" s="12"/>
      <c r="BT77" s="12">
        <f>'Balance sheet'!BO168-'Balance sheet'!BT168</f>
        <v>1517.7980437945334</v>
      </c>
      <c r="BU77" s="12"/>
      <c r="BV77" s="12"/>
      <c r="BW77" s="12"/>
      <c r="BX77" s="12"/>
      <c r="BY77" s="12">
        <f>'Balance sheet'!BT168-'Balance sheet'!BY168</f>
        <v>481.18834974723723</v>
      </c>
      <c r="BZ77" s="12"/>
      <c r="CA77" s="12"/>
      <c r="CB77" s="12"/>
      <c r="CC77" s="12"/>
      <c r="CD77" s="12">
        <f>'Balance sheet'!BY168-'Balance sheet'!CD168</f>
        <v>-330.68566175315573</v>
      </c>
      <c r="CE77" s="632"/>
      <c r="CF77" s="581" t="s">
        <v>2409</v>
      </c>
      <c r="CG77" s="381">
        <f t="shared" si="50"/>
        <v>0.50806320247597325</v>
      </c>
    </row>
    <row r="78" spans="1:85">
      <c r="A78" s="202"/>
      <c r="B78" s="202" t="s">
        <v>643</v>
      </c>
      <c r="C78" s="72"/>
      <c r="D78" s="5">
        <f>'Balance sheet'!D45-'Balance sheet'!C45+'Balance sheet'!C31-'Balance sheet'!D31</f>
        <v>205</v>
      </c>
      <c r="E78" s="5">
        <f>'Balance sheet'!E45-'Balance sheet'!D45+'Balance sheet'!D31-'Balance sheet'!E31</f>
        <v>23</v>
      </c>
      <c r="F78" s="5">
        <f>'Balance sheet'!F45-'Balance sheet'!E45+'Balance sheet'!E31-'Balance sheet'!F31</f>
        <v>623</v>
      </c>
      <c r="G78" s="5">
        <f>'Balance sheet'!G45-'Balance sheet'!F45+'Balance sheet'!F31-'Balance sheet'!G31</f>
        <v>90</v>
      </c>
      <c r="H78" s="5"/>
      <c r="I78" s="5"/>
      <c r="J78" s="5"/>
      <c r="K78" s="5"/>
      <c r="L78" s="5">
        <f>'Balance sheet'!L45-'Balance sheet'!G45+'Balance sheet'!G31-'Balance sheet'!L31</f>
        <v>-1971</v>
      </c>
      <c r="M78" s="5"/>
      <c r="N78" s="5"/>
      <c r="O78" s="5"/>
      <c r="P78" s="5"/>
      <c r="Q78" s="5">
        <f>'Balance sheet'!Q45-'Balance sheet'!L45+'Balance sheet'!L31-'Balance sheet'!Q31</f>
        <v>486</v>
      </c>
      <c r="R78" s="5"/>
      <c r="S78" s="5"/>
      <c r="T78" s="5"/>
      <c r="U78" s="5"/>
      <c r="V78" s="5">
        <f>'Balance sheet'!V45-'Balance sheet'!Q45+'Balance sheet'!Q31-'Balance sheet'!V31</f>
        <v>190</v>
      </c>
      <c r="W78" s="5"/>
      <c r="X78" s="5"/>
      <c r="Y78" s="5"/>
      <c r="Z78" s="5"/>
      <c r="AA78" s="5">
        <f>'Balance sheet'!AA45-'Balance sheet'!V45+'Balance sheet'!V31-'Balance sheet'!AA31</f>
        <v>-512</v>
      </c>
      <c r="AB78" s="5"/>
      <c r="AC78" s="5"/>
      <c r="AD78" s="5"/>
      <c r="AE78" s="5"/>
      <c r="AF78" s="5">
        <f>'Balance sheet'!AF45-'Balance sheet'!AA45+'Balance sheet'!AA31-'Balance sheet'!AF31</f>
        <v>-28</v>
      </c>
      <c r="AG78" s="5"/>
      <c r="AH78" s="5"/>
      <c r="AI78" s="5"/>
      <c r="AJ78" s="5"/>
      <c r="AK78" s="5">
        <f>'Balance sheet'!AK45-'Balance sheet'!AF45+'Balance sheet'!AF31-'Balance sheet'!AK31</f>
        <v>-521</v>
      </c>
      <c r="AL78" s="5"/>
      <c r="AM78" s="5"/>
      <c r="AN78" s="5"/>
      <c r="AO78" s="5"/>
      <c r="AP78" s="5">
        <f>'Balance sheet'!AP45-'Balance sheet'!AK45+'Balance sheet'!AK31-'Balance sheet'!AP31</f>
        <v>339</v>
      </c>
      <c r="AQ78" s="5"/>
      <c r="AR78" s="5"/>
      <c r="AS78" s="5"/>
      <c r="AT78" s="5"/>
      <c r="AU78" s="138">
        <f>'Balance sheet'!AU45-'Balance sheet'!AP45+'Balance sheet'!AP31-'Balance sheet'!AU31</f>
        <v>-612</v>
      </c>
      <c r="AV78" s="5"/>
      <c r="AW78" s="5"/>
      <c r="AX78" s="5"/>
      <c r="AY78" s="5"/>
      <c r="AZ78" s="138">
        <f>'Balance sheet'!AZ45-'Balance sheet'!AU45+'Balance sheet'!AU31-'Balance sheet'!AZ31</f>
        <v>-259</v>
      </c>
      <c r="BA78" s="5"/>
      <c r="BB78" s="5"/>
      <c r="BC78" s="5"/>
      <c r="BD78" s="5"/>
      <c r="BE78" s="138">
        <f>'Balance sheet'!BE45-'Balance sheet'!AZ45+'Balance sheet'!AZ31-'Balance sheet'!BE31</f>
        <v>-693</v>
      </c>
      <c r="BF78" s="5"/>
      <c r="BG78" s="5"/>
      <c r="BH78" s="5"/>
      <c r="BI78" s="5"/>
      <c r="BJ78" s="5">
        <f>'Balance sheet'!BJ45-'Balance sheet'!BE45+'Balance sheet'!BE31-'Balance sheet'!BJ31</f>
        <v>-9</v>
      </c>
      <c r="BK78" s="5"/>
      <c r="BL78" s="5"/>
      <c r="BM78" s="5"/>
      <c r="BN78" s="5"/>
      <c r="BO78" s="5">
        <f>'Balance sheet'!BO45-'Balance sheet'!BJ45+'Balance sheet'!BJ31-'Balance sheet'!BO31</f>
        <v>453</v>
      </c>
      <c r="BP78" s="5"/>
      <c r="BQ78" s="5"/>
      <c r="BR78" s="5"/>
      <c r="BS78" s="5"/>
      <c r="BT78" s="5">
        <f>'Balance sheet'!BT45-'Balance sheet'!BO45+'Balance sheet'!BO31-'Balance sheet'!BT31</f>
        <v>0</v>
      </c>
      <c r="BU78" s="5"/>
      <c r="BV78" s="5"/>
      <c r="BW78" s="5"/>
      <c r="BX78" s="5"/>
      <c r="BY78" s="5">
        <f>'Balance sheet'!BY45-'Balance sheet'!BT45+'Balance sheet'!BT31-'Balance sheet'!BY31</f>
        <v>0</v>
      </c>
      <c r="BZ78" s="5"/>
      <c r="CA78" s="5"/>
      <c r="CB78" s="5"/>
      <c r="CC78" s="5"/>
      <c r="CD78" s="5">
        <f>'Balance sheet'!CD45-'Balance sheet'!BY45+'Balance sheet'!BY31-'Balance sheet'!CD31</f>
        <v>0</v>
      </c>
      <c r="CF78" s="581" t="s">
        <v>2411</v>
      </c>
      <c r="CG78" s="381">
        <f t="shared" ref="CG78:CG86" si="136">INDEX($30:$30,MATCH(CF78,$23:$23,0))</f>
        <v>1.3272405660377358</v>
      </c>
    </row>
    <row r="79" spans="1:85">
      <c r="A79" s="202"/>
      <c r="B79" s="202" t="s">
        <v>636</v>
      </c>
      <c r="C79" s="72"/>
      <c r="D79" s="5">
        <f>'Balance sheet'!C30-'Balance sheet'!D30+'Balance sheet'!C20-'Balance sheet'!D20</f>
        <v>0</v>
      </c>
      <c r="E79" s="5">
        <f>'Balance sheet'!D30-'Balance sheet'!E30+'Balance sheet'!D20-'Balance sheet'!E20</f>
        <v>-2332</v>
      </c>
      <c r="F79" s="5">
        <f>'Balance sheet'!E30-'Balance sheet'!F30+'Balance sheet'!E20-'Balance sheet'!F20</f>
        <v>307</v>
      </c>
      <c r="G79" s="5">
        <f>'Balance sheet'!F30-'Balance sheet'!G30+'Balance sheet'!F20-'Balance sheet'!G20</f>
        <v>-255</v>
      </c>
      <c r="H79" s="5"/>
      <c r="I79" s="5"/>
      <c r="J79" s="5"/>
      <c r="K79" s="5"/>
      <c r="L79" s="5">
        <f>'Balance sheet'!G30-'Balance sheet'!L30+'Balance sheet'!G20-'Balance sheet'!L20</f>
        <v>-1760</v>
      </c>
      <c r="M79" s="5"/>
      <c r="N79" s="5"/>
      <c r="O79" s="5"/>
      <c r="P79" s="5"/>
      <c r="Q79" s="5">
        <f>'Balance sheet'!L30-'Balance sheet'!Q30+'Balance sheet'!L20-'Balance sheet'!Q20</f>
        <v>-632</v>
      </c>
      <c r="R79" s="5"/>
      <c r="S79" s="5"/>
      <c r="T79" s="5"/>
      <c r="U79" s="5"/>
      <c r="V79" s="5">
        <f>'Balance sheet'!Q30-'Balance sheet'!V30+'Balance sheet'!Q20-'Balance sheet'!V20</f>
        <v>284</v>
      </c>
      <c r="W79" s="5"/>
      <c r="X79" s="5"/>
      <c r="Y79" s="5"/>
      <c r="Z79" s="5"/>
      <c r="AA79" s="5">
        <f>'Balance sheet'!V30-'Balance sheet'!AA30+'Balance sheet'!V20-'Balance sheet'!AA20</f>
        <v>1228</v>
      </c>
      <c r="AB79" s="5"/>
      <c r="AC79" s="5"/>
      <c r="AD79" s="5"/>
      <c r="AE79" s="5"/>
      <c r="AF79" s="5">
        <f>'Balance sheet'!AA30-'Balance sheet'!AF30+'Balance sheet'!AA20-'Balance sheet'!AF20</f>
        <v>154</v>
      </c>
      <c r="AG79" s="5"/>
      <c r="AH79" s="5"/>
      <c r="AI79" s="5"/>
      <c r="AJ79" s="5"/>
      <c r="AK79" s="5">
        <f>'Balance sheet'!AF30-'Balance sheet'!AK30+'Balance sheet'!AF20-'Balance sheet'!AK20</f>
        <v>465</v>
      </c>
      <c r="AL79" s="5"/>
      <c r="AM79" s="5"/>
      <c r="AN79" s="5"/>
      <c r="AO79" s="5"/>
      <c r="AP79" s="5">
        <f>'Balance sheet'!AK30-'Balance sheet'!AP30+'Balance sheet'!AK20-'Balance sheet'!AP20</f>
        <v>674</v>
      </c>
      <c r="AQ79" s="5"/>
      <c r="AR79" s="5"/>
      <c r="AS79" s="5"/>
      <c r="AT79" s="5"/>
      <c r="AU79" s="138">
        <f>'Balance sheet'!AP30-'Balance sheet'!AU30+'Balance sheet'!AP20-'Balance sheet'!AU20</f>
        <v>-443</v>
      </c>
      <c r="AV79" s="5"/>
      <c r="AW79" s="5"/>
      <c r="AX79" s="5"/>
      <c r="AY79" s="5"/>
      <c r="AZ79" s="138">
        <f>'Balance sheet'!AU30-'Balance sheet'!AZ30+'Balance sheet'!AU20-'Balance sheet'!AZ20</f>
        <v>-78</v>
      </c>
      <c r="BA79" s="5"/>
      <c r="BB79" s="5"/>
      <c r="BC79" s="5"/>
      <c r="BD79" s="5"/>
      <c r="BE79" s="138">
        <f>'Balance sheet'!AZ30-'Balance sheet'!BE30+'Balance sheet'!AZ20-'Balance sheet'!BE20</f>
        <v>-453</v>
      </c>
      <c r="BF79" s="5"/>
      <c r="BG79" s="5"/>
      <c r="BH79" s="5"/>
      <c r="BI79" s="5"/>
      <c r="BJ79" s="5">
        <f>'Balance sheet'!BE30-'Balance sheet'!BJ30+'Balance sheet'!BE20-'Balance sheet'!BJ20</f>
        <v>410</v>
      </c>
      <c r="BK79" s="5"/>
      <c r="BL79" s="5"/>
      <c r="BM79" s="5"/>
      <c r="BN79" s="5"/>
      <c r="BO79" s="5">
        <f>'Balance sheet'!BJ30-'Balance sheet'!BO30+'Balance sheet'!BJ20-'Balance sheet'!BO20</f>
        <v>-95</v>
      </c>
      <c r="BP79" s="5"/>
      <c r="BQ79" s="5"/>
      <c r="BR79" s="5"/>
      <c r="BS79" s="5"/>
      <c r="BT79" s="5">
        <f>'Balance sheet'!BO30-'Balance sheet'!BT30+'Balance sheet'!BO20-'Balance sheet'!BT20</f>
        <v>0</v>
      </c>
      <c r="BU79" s="5"/>
      <c r="BV79" s="5"/>
      <c r="BW79" s="5"/>
      <c r="BX79" s="5"/>
      <c r="BY79" s="5">
        <f>'Balance sheet'!BT30-'Balance sheet'!BY30+'Balance sheet'!BT20-'Balance sheet'!BY20</f>
        <v>0</v>
      </c>
      <c r="BZ79" s="5"/>
      <c r="CA79" s="5"/>
      <c r="CB79" s="5"/>
      <c r="CC79" s="5"/>
      <c r="CD79" s="5">
        <f>'Balance sheet'!BY30-'Balance sheet'!CD30+'Balance sheet'!BY20-'Balance sheet'!CD20</f>
        <v>0</v>
      </c>
      <c r="CF79" s="581" t="s">
        <v>2412</v>
      </c>
      <c r="CG79" s="381">
        <f t="shared" si="136"/>
        <v>1.9736087205966724</v>
      </c>
    </row>
    <row r="80" spans="1:85">
      <c r="A80" s="202"/>
      <c r="B80" s="202" t="s">
        <v>634</v>
      </c>
      <c r="C80" s="72"/>
      <c r="D80" s="5">
        <f>'Balance sheet'!C18-'Balance sheet'!D18</f>
        <v>0</v>
      </c>
      <c r="E80" s="5">
        <f>'Balance sheet'!D18-'Balance sheet'!E18</f>
        <v>-495</v>
      </c>
      <c r="F80" s="5">
        <f>'Balance sheet'!E18-'Balance sheet'!F18</f>
        <v>66</v>
      </c>
      <c r="G80" s="5">
        <f>'Balance sheet'!F18-'Balance sheet'!G18</f>
        <v>-341</v>
      </c>
      <c r="H80" s="5"/>
      <c r="I80" s="5"/>
      <c r="J80" s="5"/>
      <c r="K80" s="5"/>
      <c r="L80" s="5">
        <f>'Balance sheet'!G18-'Balance sheet'!L18</f>
        <v>-92</v>
      </c>
      <c r="M80" s="5"/>
      <c r="N80" s="5"/>
      <c r="O80" s="5"/>
      <c r="P80" s="5"/>
      <c r="Q80" s="5">
        <f>'Balance sheet'!L18-'Balance sheet'!Q18</f>
        <v>-106</v>
      </c>
      <c r="R80" s="5"/>
      <c r="S80" s="5"/>
      <c r="T80" s="5"/>
      <c r="U80" s="5"/>
      <c r="V80" s="5">
        <f>'Balance sheet'!Q18-'Balance sheet'!V18</f>
        <v>258</v>
      </c>
      <c r="W80" s="5"/>
      <c r="X80" s="5"/>
      <c r="Y80" s="5"/>
      <c r="Z80" s="5"/>
      <c r="AA80" s="5">
        <f>'Balance sheet'!V18-'Balance sheet'!AA18</f>
        <v>-1019</v>
      </c>
      <c r="AB80" s="5"/>
      <c r="AC80" s="5"/>
      <c r="AD80" s="5"/>
      <c r="AE80" s="5"/>
      <c r="AF80" s="5">
        <f>'Balance sheet'!AA18-'Balance sheet'!AF18</f>
        <v>-4569</v>
      </c>
      <c r="AG80" s="5"/>
      <c r="AH80" s="5"/>
      <c r="AI80" s="5"/>
      <c r="AJ80" s="5"/>
      <c r="AK80" s="5">
        <f>'Balance sheet'!AF18-'Balance sheet'!AK18</f>
        <v>2202</v>
      </c>
      <c r="AL80" s="5"/>
      <c r="AM80" s="5"/>
      <c r="AN80" s="5"/>
      <c r="AO80" s="5"/>
      <c r="AP80" s="5">
        <f>'Balance sheet'!AK18-'Balance sheet'!AP18</f>
        <v>-1176</v>
      </c>
      <c r="AQ80" s="5"/>
      <c r="AR80" s="5"/>
      <c r="AS80" s="5"/>
      <c r="AT80" s="5"/>
      <c r="AU80" s="138">
        <f>'Balance sheet'!AP18-'Balance sheet'!AU18</f>
        <v>-713</v>
      </c>
      <c r="AV80" s="5"/>
      <c r="AW80" s="5"/>
      <c r="AX80" s="5"/>
      <c r="AY80" s="5"/>
      <c r="AZ80" s="138">
        <f>'Balance sheet'!AU18-'Balance sheet'!AZ18</f>
        <v>1198</v>
      </c>
      <c r="BA80" s="5"/>
      <c r="BB80" s="5"/>
      <c r="BC80" s="5"/>
      <c r="BD80" s="5"/>
      <c r="BE80" s="138">
        <f>'Balance sheet'!AZ18-'Balance sheet'!BE18</f>
        <v>2571</v>
      </c>
      <c r="BF80" s="5"/>
      <c r="BG80" s="5"/>
      <c r="BH80" s="5"/>
      <c r="BI80" s="5"/>
      <c r="BJ80" s="5">
        <f>'Balance sheet'!BE18-'Balance sheet'!BJ18</f>
        <v>742</v>
      </c>
      <c r="BK80" s="5"/>
      <c r="BL80" s="5"/>
      <c r="BM80" s="5"/>
      <c r="BN80" s="5"/>
      <c r="BO80" s="5">
        <f>'Balance sheet'!BJ18-'Balance sheet'!BO18</f>
        <v>40</v>
      </c>
      <c r="BP80" s="5"/>
      <c r="BQ80" s="5"/>
      <c r="BR80" s="5"/>
      <c r="BS80" s="5"/>
      <c r="BT80" s="5">
        <f ca="1">'Balance sheet'!BO18-'Balance sheet'!BT18</f>
        <v>0</v>
      </c>
      <c r="BU80" s="5"/>
      <c r="BV80" s="5"/>
      <c r="BW80" s="5"/>
      <c r="BX80" s="5"/>
      <c r="BY80" s="5">
        <f ca="1">'Balance sheet'!BT18-'Balance sheet'!BY18</f>
        <v>0</v>
      </c>
      <c r="BZ80" s="5"/>
      <c r="CA80" s="5"/>
      <c r="CB80" s="5"/>
      <c r="CC80" s="5"/>
      <c r="CD80" s="5">
        <f ca="1">'Balance sheet'!BY18-'Balance sheet'!CD18</f>
        <v>0</v>
      </c>
      <c r="CF80" s="581" t="s">
        <v>2413</v>
      </c>
      <c r="CG80" s="381">
        <f t="shared" si="136"/>
        <v>0.72698003863490024</v>
      </c>
    </row>
    <row r="81" spans="1:86" s="429" customFormat="1">
      <c r="A81" s="452"/>
      <c r="B81" s="453" t="s">
        <v>1073</v>
      </c>
      <c r="C81" s="93"/>
      <c r="D81" s="12">
        <v>0</v>
      </c>
      <c r="E81" s="12">
        <v>0</v>
      </c>
      <c r="F81" s="12">
        <v>0</v>
      </c>
      <c r="G81" s="12">
        <v>0</v>
      </c>
      <c r="H81" s="12"/>
      <c r="I81" s="12"/>
      <c r="J81" s="12"/>
      <c r="K81" s="12"/>
      <c r="L81" s="12">
        <f>'Balance sheet'!G153-'Balance sheet'!L153</f>
        <v>0</v>
      </c>
      <c r="M81" s="12"/>
      <c r="N81" s="12"/>
      <c r="O81" s="12"/>
      <c r="P81" s="12"/>
      <c r="Q81" s="12">
        <f>'Balance sheet'!L153-'Balance sheet'!Q153</f>
        <v>0</v>
      </c>
      <c r="R81" s="12"/>
      <c r="S81" s="12"/>
      <c r="T81" s="12"/>
      <c r="U81" s="12"/>
      <c r="V81" s="12">
        <f>'Balance sheet'!Q153-'Balance sheet'!V153</f>
        <v>0</v>
      </c>
      <c r="W81" s="12"/>
      <c r="X81" s="12"/>
      <c r="Y81" s="12"/>
      <c r="Z81" s="12"/>
      <c r="AA81" s="12">
        <f>'Balance sheet'!V153-'Balance sheet'!AA153</f>
        <v>0</v>
      </c>
      <c r="AB81" s="12"/>
      <c r="AC81" s="12"/>
      <c r="AD81" s="12"/>
      <c r="AE81" s="12"/>
      <c r="AF81" s="12">
        <f>'Balance sheet'!AA153-'Balance sheet'!AF153</f>
        <v>-3601</v>
      </c>
      <c r="AG81" s="12"/>
      <c r="AH81" s="12"/>
      <c r="AI81" s="12"/>
      <c r="AJ81" s="12"/>
      <c r="AK81" s="12">
        <f>'Balance sheet'!AF153-'Balance sheet'!AK153</f>
        <v>2200</v>
      </c>
      <c r="AL81" s="12"/>
      <c r="AM81" s="12"/>
      <c r="AN81" s="12"/>
      <c r="AO81" s="12"/>
      <c r="AP81" s="12">
        <f>'Balance sheet'!AK153-'Balance sheet'!AP153</f>
        <v>-1381</v>
      </c>
      <c r="AQ81" s="12"/>
      <c r="AR81" s="12"/>
      <c r="AS81" s="12"/>
      <c r="AT81" s="12"/>
      <c r="AU81" s="181">
        <f>'Balance sheet'!AP153-'Balance sheet'!AU153</f>
        <v>340</v>
      </c>
      <c r="AV81" s="12"/>
      <c r="AW81" s="12"/>
      <c r="AX81" s="12"/>
      <c r="AY81" s="12"/>
      <c r="AZ81" s="181">
        <f>'Balance sheet'!AU153-'Balance sheet'!AZ153</f>
        <v>-259</v>
      </c>
      <c r="BA81" s="12"/>
      <c r="BB81" s="12"/>
      <c r="BC81" s="12"/>
      <c r="BD81" s="12"/>
      <c r="BE81" s="181">
        <f>'Balance sheet'!AZ153-'Balance sheet'!BE153</f>
        <v>2701</v>
      </c>
      <c r="BF81" s="12"/>
      <c r="BG81" s="12"/>
      <c r="BH81" s="12"/>
      <c r="BI81" s="12"/>
      <c r="BJ81" s="12">
        <f>'Balance sheet'!BE153-'Balance sheet'!BJ153</f>
        <v>0</v>
      </c>
      <c r="BK81" s="12"/>
      <c r="BL81" s="12"/>
      <c r="BM81" s="12"/>
      <c r="BN81" s="12"/>
      <c r="BO81" s="12">
        <f ca="1">'Balance sheet'!BJ153-'Balance sheet'!BO153</f>
        <v>0</v>
      </c>
      <c r="BP81" s="12"/>
      <c r="BQ81" s="12"/>
      <c r="BR81" s="12"/>
      <c r="BS81" s="12"/>
      <c r="BT81" s="12">
        <f ca="1">'Balance sheet'!BO153-'Balance sheet'!BT153</f>
        <v>0</v>
      </c>
      <c r="BU81" s="12"/>
      <c r="BV81" s="12"/>
      <c r="BW81" s="12"/>
      <c r="BX81" s="12"/>
      <c r="BY81" s="12">
        <f ca="1">'Balance sheet'!BT153-'Balance sheet'!BY153</f>
        <v>0</v>
      </c>
      <c r="BZ81" s="12"/>
      <c r="CA81" s="12"/>
      <c r="CB81" s="12"/>
      <c r="CC81" s="12"/>
      <c r="CD81" s="12">
        <f ca="1">'Balance sheet'!BY153-'Balance sheet'!CD153</f>
        <v>0</v>
      </c>
      <c r="CE81" s="632"/>
      <c r="CF81" s="581" t="s">
        <v>2414</v>
      </c>
      <c r="CG81" s="381">
        <f t="shared" si="136"/>
        <v>1.5569007263922519</v>
      </c>
    </row>
    <row r="82" spans="1:86" s="429" customFormat="1">
      <c r="A82" s="452"/>
      <c r="B82" s="453" t="s">
        <v>1074</v>
      </c>
      <c r="C82" s="93"/>
      <c r="D82" s="12">
        <f>D80</f>
        <v>0</v>
      </c>
      <c r="E82" s="12">
        <f>E80</f>
        <v>-495</v>
      </c>
      <c r="F82" s="12">
        <f>F80</f>
        <v>66</v>
      </c>
      <c r="G82" s="12">
        <f>G80</f>
        <v>-341</v>
      </c>
      <c r="H82" s="12"/>
      <c r="I82" s="12"/>
      <c r="J82" s="12"/>
      <c r="K82" s="12"/>
      <c r="L82" s="12">
        <f>'Balance sheet'!G177-'Balance sheet'!L177</f>
        <v>-92</v>
      </c>
      <c r="M82" s="12"/>
      <c r="N82" s="12"/>
      <c r="O82" s="12"/>
      <c r="P82" s="12"/>
      <c r="Q82" s="12">
        <f>'Balance sheet'!L177-'Balance sheet'!Q177</f>
        <v>-106</v>
      </c>
      <c r="R82" s="12"/>
      <c r="S82" s="12"/>
      <c r="T82" s="12"/>
      <c r="U82" s="12"/>
      <c r="V82" s="12">
        <f>'Balance sheet'!Q177-'Balance sheet'!V177</f>
        <v>258</v>
      </c>
      <c r="W82" s="12"/>
      <c r="X82" s="12"/>
      <c r="Y82" s="12"/>
      <c r="Z82" s="12"/>
      <c r="AA82" s="12">
        <f>'Balance sheet'!V177-'Balance sheet'!AA177</f>
        <v>-1019</v>
      </c>
      <c r="AB82" s="12"/>
      <c r="AC82" s="12"/>
      <c r="AD82" s="12"/>
      <c r="AE82" s="12"/>
      <c r="AF82" s="12">
        <f>'Balance sheet'!AA177-'Balance sheet'!AF177</f>
        <v>-968</v>
      </c>
      <c r="AG82" s="12"/>
      <c r="AH82" s="12"/>
      <c r="AI82" s="12"/>
      <c r="AJ82" s="12"/>
      <c r="AK82" s="12">
        <f>'Balance sheet'!AF177-'Balance sheet'!AK177</f>
        <v>2</v>
      </c>
      <c r="AL82" s="12"/>
      <c r="AM82" s="12"/>
      <c r="AN82" s="12"/>
      <c r="AO82" s="12"/>
      <c r="AP82" s="12">
        <f>'Balance sheet'!AK177-'Balance sheet'!AP177</f>
        <v>205</v>
      </c>
      <c r="AQ82" s="12"/>
      <c r="AR82" s="12"/>
      <c r="AS82" s="12"/>
      <c r="AT82" s="12"/>
      <c r="AU82" s="181">
        <f>'Balance sheet'!AP177-'Balance sheet'!AU177</f>
        <v>-1053</v>
      </c>
      <c r="AV82" s="12"/>
      <c r="AW82" s="12"/>
      <c r="AX82" s="12"/>
      <c r="AY82" s="12"/>
      <c r="AZ82" s="181">
        <f>'Balance sheet'!AU177-'Balance sheet'!AZ177</f>
        <v>1457</v>
      </c>
      <c r="BA82" s="12"/>
      <c r="BB82" s="12"/>
      <c r="BC82" s="12"/>
      <c r="BD82" s="12"/>
      <c r="BE82" s="181">
        <f>'Balance sheet'!AZ177-'Balance sheet'!BE177</f>
        <v>-130</v>
      </c>
      <c r="BF82" s="12"/>
      <c r="BG82" s="12"/>
      <c r="BH82" s="12"/>
      <c r="BI82" s="12"/>
      <c r="BJ82" s="12">
        <f>'Balance sheet'!BE177-'Balance sheet'!BJ177</f>
        <v>742</v>
      </c>
      <c r="BK82" s="12"/>
      <c r="BL82" s="12"/>
      <c r="BM82" s="12"/>
      <c r="BN82" s="12"/>
      <c r="BO82" s="12">
        <f ca="1">'Balance sheet'!BJ177-'Balance sheet'!BO177</f>
        <v>40</v>
      </c>
      <c r="BP82" s="12"/>
      <c r="BQ82" s="12"/>
      <c r="BR82" s="12"/>
      <c r="BS82" s="12"/>
      <c r="BT82" s="12">
        <f ca="1">'Balance sheet'!BO177-'Balance sheet'!BT177</f>
        <v>0</v>
      </c>
      <c r="BU82" s="12"/>
      <c r="BV82" s="12"/>
      <c r="BW82" s="12"/>
      <c r="BX82" s="12"/>
      <c r="BY82" s="12">
        <f ca="1">'Balance sheet'!BT177-'Balance sheet'!BY177</f>
        <v>0</v>
      </c>
      <c r="BZ82" s="12"/>
      <c r="CA82" s="12"/>
      <c r="CB82" s="12"/>
      <c r="CC82" s="12"/>
      <c r="CD82" s="12">
        <f ca="1">'Balance sheet'!BY177-'Balance sheet'!CD177</f>
        <v>0</v>
      </c>
      <c r="CE82" s="632"/>
      <c r="CF82" s="581" t="s">
        <v>2415</v>
      </c>
      <c r="CG82" s="381">
        <f t="shared" si="136"/>
        <v>-2.2250639386189257E-2</v>
      </c>
    </row>
    <row r="83" spans="1:86">
      <c r="A83" s="202"/>
      <c r="B83" s="202" t="s">
        <v>480</v>
      </c>
      <c r="C83" s="72"/>
      <c r="D83" s="5">
        <f>'Balance sheet'!D53-'Balance sheet'!C53</f>
        <v>358</v>
      </c>
      <c r="E83" s="5">
        <f>'Balance sheet'!E53-'Balance sheet'!D53</f>
        <v>1218</v>
      </c>
      <c r="F83" s="5">
        <f>'Balance sheet'!F53-'Balance sheet'!E53</f>
        <v>-1049</v>
      </c>
      <c r="G83" s="5">
        <f>'Balance sheet'!G53-'Balance sheet'!F53</f>
        <v>-1646</v>
      </c>
      <c r="H83" s="5"/>
      <c r="I83" s="5"/>
      <c r="J83" s="5"/>
      <c r="K83" s="5"/>
      <c r="L83" s="5">
        <f>'Balance sheet'!L53-'Balance sheet'!G53</f>
        <v>-505</v>
      </c>
      <c r="M83" s="5"/>
      <c r="N83" s="5"/>
      <c r="O83" s="5"/>
      <c r="P83" s="5"/>
      <c r="Q83" s="5">
        <f>'Balance sheet'!Q53-'Balance sheet'!L53</f>
        <v>-179</v>
      </c>
      <c r="R83" s="5"/>
      <c r="S83" s="5"/>
      <c r="T83" s="5"/>
      <c r="U83" s="5"/>
      <c r="V83" s="5">
        <f>'Balance sheet'!V53-'Balance sheet'!Q53</f>
        <v>1829</v>
      </c>
      <c r="W83" s="5"/>
      <c r="X83" s="5"/>
      <c r="Y83" s="5"/>
      <c r="Z83" s="5"/>
      <c r="AA83" s="5">
        <f>'Balance sheet'!AA53-'Balance sheet'!V53</f>
        <v>118</v>
      </c>
      <c r="AB83" s="5"/>
      <c r="AC83" s="5"/>
      <c r="AD83" s="5"/>
      <c r="AE83" s="5"/>
      <c r="AF83" s="5">
        <f>'Balance sheet'!AF53-'Balance sheet'!AA53</f>
        <v>11087</v>
      </c>
      <c r="AG83" s="5"/>
      <c r="AH83" s="5"/>
      <c r="AI83" s="5"/>
      <c r="AJ83" s="5"/>
      <c r="AK83" s="5">
        <f>'Balance sheet'!AK53-'Balance sheet'!AF53</f>
        <v>-10848</v>
      </c>
      <c r="AL83" s="5"/>
      <c r="AM83" s="5"/>
      <c r="AN83" s="5"/>
      <c r="AO83" s="5"/>
      <c r="AP83" s="5">
        <f>'Balance sheet'!AP53-'Balance sheet'!AK53</f>
        <v>-1335</v>
      </c>
      <c r="AQ83" s="5"/>
      <c r="AR83" s="5"/>
      <c r="AS83" s="5"/>
      <c r="AT83" s="5"/>
      <c r="AU83" s="138">
        <f>'Balance sheet'!AU53-'Balance sheet'!AP53</f>
        <v>2654</v>
      </c>
      <c r="AV83" s="5"/>
      <c r="AW83" s="5"/>
      <c r="AX83" s="5"/>
      <c r="AY83" s="5"/>
      <c r="AZ83" s="138">
        <f>'Balance sheet'!AZ53-'Balance sheet'!AU53</f>
        <v>-1169</v>
      </c>
      <c r="BA83" s="5"/>
      <c r="BB83" s="5"/>
      <c r="BC83" s="5"/>
      <c r="BD83" s="5"/>
      <c r="BE83" s="138">
        <f>'Balance sheet'!BE53-'Balance sheet'!AZ53</f>
        <v>-677</v>
      </c>
      <c r="BF83" s="5"/>
      <c r="BG83" s="5"/>
      <c r="BH83" s="5"/>
      <c r="BI83" s="5"/>
      <c r="BJ83" s="5">
        <f>'Balance sheet'!BJ53-'Balance sheet'!BE53</f>
        <v>11036</v>
      </c>
      <c r="BK83" s="5"/>
      <c r="BL83" s="5"/>
      <c r="BM83" s="5"/>
      <c r="BN83" s="5"/>
      <c r="BO83" s="5">
        <f>'Balance sheet'!BO53-'Balance sheet'!BJ53</f>
        <v>-57</v>
      </c>
      <c r="BP83" s="5"/>
      <c r="BQ83" s="5"/>
      <c r="BR83" s="5"/>
      <c r="BS83" s="5"/>
      <c r="BT83" s="5">
        <f>'Balance sheet'!BT53-'Balance sheet'!BO53</f>
        <v>-1160.8495402734079</v>
      </c>
      <c r="BU83" s="5"/>
      <c r="BV83" s="5"/>
      <c r="BW83" s="5"/>
      <c r="BX83" s="5"/>
      <c r="BY83" s="5">
        <f>'Balance sheet'!BY53-'Balance sheet'!BT53</f>
        <v>-917.89096319199234</v>
      </c>
      <c r="BZ83" s="5"/>
      <c r="CA83" s="5"/>
      <c r="CB83" s="5"/>
      <c r="CC83" s="5"/>
      <c r="CD83" s="5">
        <f>'Balance sheet'!CD53-'Balance sheet'!BY53</f>
        <v>-1550.1241034693048</v>
      </c>
      <c r="CF83" s="581" t="s">
        <v>2416</v>
      </c>
      <c r="CG83" s="381">
        <f t="shared" si="136"/>
        <v>-0.62288763711829231</v>
      </c>
    </row>
    <row r="84" spans="1:86" s="429" customFormat="1">
      <c r="A84" s="452"/>
      <c r="B84" s="453" t="s">
        <v>1073</v>
      </c>
      <c r="C84" s="93"/>
      <c r="D84" s="12">
        <v>0</v>
      </c>
      <c r="E84" s="12">
        <v>0</v>
      </c>
      <c r="F84" s="12">
        <v>0</v>
      </c>
      <c r="G84" s="12">
        <v>0</v>
      </c>
      <c r="H84" s="12"/>
      <c r="I84" s="12"/>
      <c r="J84" s="12"/>
      <c r="K84" s="12"/>
      <c r="L84" s="12">
        <f>'Balance sheet'!L156-'Balance sheet'!G156</f>
        <v>0</v>
      </c>
      <c r="M84" s="12"/>
      <c r="N84" s="12"/>
      <c r="O84" s="12"/>
      <c r="P84" s="12"/>
      <c r="Q84" s="12">
        <f>'Balance sheet'!Q156-'Balance sheet'!L156</f>
        <v>0</v>
      </c>
      <c r="R84" s="12"/>
      <c r="S84" s="12"/>
      <c r="T84" s="12"/>
      <c r="U84" s="12"/>
      <c r="V84" s="12">
        <f>'Balance sheet'!V156-'Balance sheet'!Q156</f>
        <v>0</v>
      </c>
      <c r="W84" s="12"/>
      <c r="X84" s="12"/>
      <c r="Y84" s="12"/>
      <c r="Z84" s="12"/>
      <c r="AA84" s="12">
        <f>'Balance sheet'!AA156-'Balance sheet'!V156</f>
        <v>0</v>
      </c>
      <c r="AB84" s="12"/>
      <c r="AC84" s="12"/>
      <c r="AD84" s="12"/>
      <c r="AE84" s="12"/>
      <c r="AF84" s="12">
        <f>'Balance sheet'!AF156-'Balance sheet'!AA156</f>
        <v>9899</v>
      </c>
      <c r="AG84" s="12"/>
      <c r="AH84" s="12"/>
      <c r="AI84" s="12"/>
      <c r="AJ84" s="12"/>
      <c r="AK84" s="12">
        <f>'Balance sheet'!AK156-'Balance sheet'!AF156</f>
        <v>-9899</v>
      </c>
      <c r="AL84" s="12"/>
      <c r="AM84" s="12"/>
      <c r="AN84" s="12"/>
      <c r="AO84" s="12"/>
      <c r="AP84" s="12">
        <f>'Balance sheet'!AP156-'Balance sheet'!AK156</f>
        <v>175</v>
      </c>
      <c r="AQ84" s="12"/>
      <c r="AR84" s="12"/>
      <c r="AS84" s="12"/>
      <c r="AT84" s="12"/>
      <c r="AU84" s="181">
        <f>'Balance sheet'!AU156-'Balance sheet'!AP156</f>
        <v>2811</v>
      </c>
      <c r="AV84" s="12"/>
      <c r="AW84" s="12"/>
      <c r="AX84" s="12"/>
      <c r="AY84" s="12"/>
      <c r="AZ84" s="181">
        <f>'Balance sheet'!AZ156-'Balance sheet'!AU156</f>
        <v>-574</v>
      </c>
      <c r="BA84" s="12"/>
      <c r="BB84" s="12"/>
      <c r="BC84" s="12"/>
      <c r="BD84" s="12"/>
      <c r="BE84" s="181">
        <f>'Balance sheet'!BE156-'Balance sheet'!AZ156</f>
        <v>-355</v>
      </c>
      <c r="BF84" s="12"/>
      <c r="BG84" s="12"/>
      <c r="BH84" s="12"/>
      <c r="BI84" s="12"/>
      <c r="BJ84" s="12">
        <f>'Balance sheet'!BJ156-'Balance sheet'!BE156</f>
        <v>11465</v>
      </c>
      <c r="BK84" s="12"/>
      <c r="BL84" s="12"/>
      <c r="BM84" s="12"/>
      <c r="BN84" s="12"/>
      <c r="BO84" s="12">
        <f>'Balance sheet'!BO156-'Balance sheet'!BJ156</f>
        <v>-1269</v>
      </c>
      <c r="BP84" s="12"/>
      <c r="BQ84" s="12"/>
      <c r="BR84" s="12"/>
      <c r="BS84" s="12"/>
      <c r="BT84" s="12">
        <f>'Balance sheet'!BT156-'Balance sheet'!BO156</f>
        <v>-1160.8495402734079</v>
      </c>
      <c r="BU84" s="12"/>
      <c r="BV84" s="12"/>
      <c r="BW84" s="12"/>
      <c r="BX84" s="12"/>
      <c r="BY84" s="12">
        <f>'Balance sheet'!BY156-'Balance sheet'!BT156</f>
        <v>-917.89096319199234</v>
      </c>
      <c r="BZ84" s="12"/>
      <c r="CA84" s="12"/>
      <c r="CB84" s="12"/>
      <c r="CC84" s="12"/>
      <c r="CD84" s="12">
        <f>'Balance sheet'!CD156-'Balance sheet'!BY156</f>
        <v>-1550.1241034693048</v>
      </c>
      <c r="CE84" s="632"/>
      <c r="CF84" s="581" t="s">
        <v>2417</v>
      </c>
      <c r="CG84" s="381">
        <f t="shared" si="136"/>
        <v>0.1635936976198458</v>
      </c>
      <c r="CH84" s="454"/>
    </row>
    <row r="85" spans="1:86" s="429" customFormat="1">
      <c r="A85" s="452"/>
      <c r="B85" s="453" t="s">
        <v>1074</v>
      </c>
      <c r="C85" s="93"/>
      <c r="D85" s="12">
        <f>D83</f>
        <v>358</v>
      </c>
      <c r="E85" s="12">
        <f>E83</f>
        <v>1218</v>
      </c>
      <c r="F85" s="12">
        <f>F83</f>
        <v>-1049</v>
      </c>
      <c r="G85" s="12">
        <f>G83</f>
        <v>-1646</v>
      </c>
      <c r="H85" s="12"/>
      <c r="I85" s="12"/>
      <c r="J85" s="12"/>
      <c r="K85" s="12"/>
      <c r="L85" s="12">
        <f>'Balance sheet'!L180-'Balance sheet'!G180</f>
        <v>-505</v>
      </c>
      <c r="M85" s="12"/>
      <c r="N85" s="12"/>
      <c r="O85" s="12"/>
      <c r="P85" s="12"/>
      <c r="Q85" s="12">
        <f>'Balance sheet'!Q180-'Balance sheet'!L180</f>
        <v>-179</v>
      </c>
      <c r="R85" s="12"/>
      <c r="S85" s="12"/>
      <c r="T85" s="12"/>
      <c r="U85" s="12"/>
      <c r="V85" s="12">
        <f>'Balance sheet'!V180-'Balance sheet'!Q180</f>
        <v>1829</v>
      </c>
      <c r="W85" s="12"/>
      <c r="X85" s="12"/>
      <c r="Y85" s="12"/>
      <c r="Z85" s="12"/>
      <c r="AA85" s="12">
        <f>'Balance sheet'!AA180-'Balance sheet'!V180</f>
        <v>118</v>
      </c>
      <c r="AB85" s="12"/>
      <c r="AC85" s="12"/>
      <c r="AD85" s="12"/>
      <c r="AE85" s="12"/>
      <c r="AF85" s="12">
        <f>'Balance sheet'!AF180-'Balance sheet'!AA180</f>
        <v>1188</v>
      </c>
      <c r="AG85" s="12"/>
      <c r="AH85" s="12"/>
      <c r="AI85" s="12"/>
      <c r="AJ85" s="12"/>
      <c r="AK85" s="12">
        <f>'Balance sheet'!AK180-'Balance sheet'!AF180</f>
        <v>-949</v>
      </c>
      <c r="AL85" s="12"/>
      <c r="AM85" s="12"/>
      <c r="AN85" s="12"/>
      <c r="AO85" s="12"/>
      <c r="AP85" s="12">
        <f>'Balance sheet'!AP180-'Balance sheet'!AK180</f>
        <v>-1510</v>
      </c>
      <c r="AQ85" s="12"/>
      <c r="AR85" s="12"/>
      <c r="AS85" s="12"/>
      <c r="AT85" s="12"/>
      <c r="AU85" s="181">
        <f>'Balance sheet'!AU180-'Balance sheet'!AP180</f>
        <v>-157</v>
      </c>
      <c r="AV85" s="12"/>
      <c r="AW85" s="12"/>
      <c r="AX85" s="12"/>
      <c r="AY85" s="12"/>
      <c r="AZ85" s="181">
        <f>'Balance sheet'!AZ180-'Balance sheet'!AU180</f>
        <v>-595</v>
      </c>
      <c r="BA85" s="12"/>
      <c r="BB85" s="12"/>
      <c r="BC85" s="12"/>
      <c r="BD85" s="12"/>
      <c r="BE85" s="181">
        <f>'Balance sheet'!BE180-'Balance sheet'!AZ180</f>
        <v>-322</v>
      </c>
      <c r="BF85" s="12"/>
      <c r="BG85" s="12"/>
      <c r="BH85" s="12"/>
      <c r="BI85" s="12"/>
      <c r="BJ85" s="12">
        <f>'Balance sheet'!BJ180-'Balance sheet'!BE180</f>
        <v>-429</v>
      </c>
      <c r="BK85" s="12"/>
      <c r="BL85" s="12"/>
      <c r="BM85" s="12"/>
      <c r="BN85" s="12"/>
      <c r="BO85" s="12">
        <f>'Balance sheet'!BO180-'Balance sheet'!BJ180</f>
        <v>1212</v>
      </c>
      <c r="BP85" s="12"/>
      <c r="BQ85" s="12"/>
      <c r="BR85" s="12"/>
      <c r="BS85" s="12"/>
      <c r="BT85" s="12">
        <f>'Balance sheet'!BT180-'Balance sheet'!BO180</f>
        <v>0</v>
      </c>
      <c r="BU85" s="12"/>
      <c r="BV85" s="12"/>
      <c r="BW85" s="12"/>
      <c r="BX85" s="12"/>
      <c r="BY85" s="12">
        <f>'Balance sheet'!BY180-'Balance sheet'!BT180</f>
        <v>0</v>
      </c>
      <c r="BZ85" s="12"/>
      <c r="CA85" s="12"/>
      <c r="CB85" s="12"/>
      <c r="CC85" s="12"/>
      <c r="CD85" s="12">
        <f>'Balance sheet'!CD180-'Balance sheet'!BY180</f>
        <v>0</v>
      </c>
      <c r="CE85" s="632"/>
      <c r="CF85" s="581" t="s">
        <v>2418</v>
      </c>
      <c r="CG85" s="381">
        <f t="shared" si="136"/>
        <v>0.41993957703927492</v>
      </c>
      <c r="CH85" s="454"/>
    </row>
    <row r="86" spans="1:86">
      <c r="A86" s="202"/>
      <c r="B86" s="202"/>
      <c r="C86" s="72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138"/>
      <c r="AV86" s="5"/>
      <c r="AW86" s="5"/>
      <c r="AX86" s="5"/>
      <c r="AY86" s="5"/>
      <c r="AZ86" s="138"/>
      <c r="BA86" s="5"/>
      <c r="BB86" s="5"/>
      <c r="BC86" s="5"/>
      <c r="BD86" s="5"/>
      <c r="BE86" s="138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F86" s="581" t="s">
        <v>2419</v>
      </c>
      <c r="CG86" s="381">
        <f t="shared" si="136"/>
        <v>0.67114825581395354</v>
      </c>
      <c r="CH86" s="50"/>
    </row>
    <row r="87" spans="1:86">
      <c r="A87" s="5" t="s">
        <v>2329</v>
      </c>
      <c r="B87" s="5"/>
      <c r="C87" s="72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138"/>
      <c r="AV87" s="5"/>
      <c r="AW87" s="5"/>
      <c r="AX87" s="5"/>
      <c r="AY87" s="5"/>
      <c r="AZ87" s="138"/>
      <c r="BA87" s="5"/>
      <c r="BB87" s="5"/>
      <c r="BC87" s="5"/>
      <c r="BD87" s="5"/>
      <c r="BE87" s="138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F87" s="581" t="s">
        <v>2420</v>
      </c>
      <c r="CG87" s="381">
        <f ca="1">INDEX($30:$30,MATCH(CF87,$23:$23,0))</f>
        <v>2.1289605336297943</v>
      </c>
      <c r="CH87" s="50"/>
    </row>
    <row r="88" spans="1:86">
      <c r="A88" s="202"/>
      <c r="B88" s="4" t="s">
        <v>1239</v>
      </c>
      <c r="C88" s="72"/>
      <c r="D88" s="5">
        <f>'Balance sheet'!D57-'Balance sheet'!C57+'Balance sheet'!C21-'Balance sheet'!D21</f>
        <v>1812</v>
      </c>
      <c r="E88" s="5">
        <f>'Balance sheet'!E57-'Balance sheet'!D57+'Balance sheet'!D21-'Balance sheet'!E21</f>
        <v>2537</v>
      </c>
      <c r="F88" s="5">
        <f>'Balance sheet'!F57-'Balance sheet'!E57+'Balance sheet'!E21-'Balance sheet'!F21</f>
        <v>650</v>
      </c>
      <c r="G88" s="5">
        <f>'Balance sheet'!G57-'Balance sheet'!F57+'Balance sheet'!F21-'Balance sheet'!G21</f>
        <v>-258</v>
      </c>
      <c r="H88" s="5"/>
      <c r="I88" s="5"/>
      <c r="J88" s="5"/>
      <c r="K88" s="5"/>
      <c r="L88" s="5">
        <f>'Balance sheet'!L57-'Balance sheet'!G57+'Balance sheet'!G21-'Balance sheet'!L21</f>
        <v>1673</v>
      </c>
      <c r="M88" s="5"/>
      <c r="N88" s="5"/>
      <c r="O88" s="5"/>
      <c r="P88" s="5"/>
      <c r="Q88" s="5">
        <f>'Balance sheet'!Q57-'Balance sheet'!L57+'Balance sheet'!L21-'Balance sheet'!Q21</f>
        <v>1099</v>
      </c>
      <c r="R88" s="5"/>
      <c r="S88" s="5"/>
      <c r="T88" s="5"/>
      <c r="U88" s="5"/>
      <c r="V88" s="5">
        <f>'Balance sheet'!V57-'Balance sheet'!Q57+'Balance sheet'!Q21-'Balance sheet'!V21</f>
        <v>-3017</v>
      </c>
      <c r="W88" s="5"/>
      <c r="X88" s="5"/>
      <c r="Y88" s="5"/>
      <c r="Z88" s="5"/>
      <c r="AA88" s="5">
        <f>'Balance sheet'!AA57-'Balance sheet'!V57+'Balance sheet'!V21-'Balance sheet'!AA21</f>
        <v>1948</v>
      </c>
      <c r="AB88" s="5"/>
      <c r="AC88" s="5"/>
      <c r="AD88" s="5"/>
      <c r="AE88" s="5"/>
      <c r="AF88" s="5">
        <f>'Balance sheet'!AF57-'Balance sheet'!AA57+'Balance sheet'!AA21-'Balance sheet'!AF21</f>
        <v>-7766</v>
      </c>
      <c r="AG88" s="5"/>
      <c r="AH88" s="5"/>
      <c r="AI88" s="5"/>
      <c r="AJ88" s="5"/>
      <c r="AK88" s="5">
        <f>'Balance sheet'!AK57-'Balance sheet'!AF57+'Balance sheet'!AF21-'Balance sheet'!AK21</f>
        <v>4087</v>
      </c>
      <c r="AL88" s="5"/>
      <c r="AM88" s="5"/>
      <c r="AN88" s="5"/>
      <c r="AO88" s="5"/>
      <c r="AP88" s="5">
        <f>'Balance sheet'!AP57-'Balance sheet'!AK57+'Balance sheet'!AK21-'Balance sheet'!AP21</f>
        <v>-277</v>
      </c>
      <c r="AQ88" s="5"/>
      <c r="AR88" s="5"/>
      <c r="AS88" s="5"/>
      <c r="AT88" s="5"/>
      <c r="AU88" s="138">
        <f>'Balance sheet'!AU57-'Balance sheet'!AP57+'Balance sheet'!AP21-'Balance sheet'!AU21</f>
        <v>2264</v>
      </c>
      <c r="AV88" s="5"/>
      <c r="AW88" s="5"/>
      <c r="AX88" s="5"/>
      <c r="AY88" s="5"/>
      <c r="AZ88" s="138">
        <f>'Balance sheet'!AZ57-'Balance sheet'!AU57+'Balance sheet'!AU21-'Balance sheet'!AZ21</f>
        <v>-4870</v>
      </c>
      <c r="BA88" s="5"/>
      <c r="BB88" s="5"/>
      <c r="BC88" s="5"/>
      <c r="BD88" s="5"/>
      <c r="BE88" s="138">
        <f>'Balance sheet'!BE57-'Balance sheet'!AZ57+'Balance sheet'!AZ21-'Balance sheet'!BE21</f>
        <v>-3530</v>
      </c>
      <c r="BF88" s="5"/>
      <c r="BG88" s="5"/>
      <c r="BH88" s="5"/>
      <c r="BI88" s="5"/>
      <c r="BJ88" s="5">
        <f>'Balance sheet'!BJ57-'Balance sheet'!BE57+'Balance sheet'!BE21-'Balance sheet'!BJ21</f>
        <v>-5557</v>
      </c>
      <c r="BK88" s="5"/>
      <c r="BL88" s="5"/>
      <c r="BM88" s="5"/>
      <c r="BN88" s="5"/>
      <c r="BO88" s="5">
        <f>'Balance sheet'!BO57-'Balance sheet'!BJ57+'Balance sheet'!BJ21-'Balance sheet'!BO21</f>
        <v>1016</v>
      </c>
      <c r="BP88" s="5"/>
      <c r="BQ88" s="5"/>
      <c r="BR88" s="5"/>
      <c r="BS88" s="5"/>
      <c r="BT88" s="5">
        <f ca="1">'Balance sheet'!BT57-'Balance sheet'!BO57+'Balance sheet'!BO21-'Balance sheet'!BT21</f>
        <v>0</v>
      </c>
      <c r="BU88" s="5"/>
      <c r="BV88" s="5"/>
      <c r="BW88" s="5"/>
      <c r="BX88" s="5"/>
      <c r="BY88" s="5">
        <f ca="1">'Balance sheet'!BY57-'Balance sheet'!BT57+'Balance sheet'!BT21-'Balance sheet'!BY21</f>
        <v>0</v>
      </c>
      <c r="BZ88" s="5"/>
      <c r="CA88" s="5"/>
      <c r="CB88" s="5"/>
      <c r="CC88" s="5"/>
      <c r="CD88" s="5">
        <f ca="1">'Balance sheet'!CD57-'Balance sheet'!BY57+'Balance sheet'!BY21-'Balance sheet'!CD21</f>
        <v>0</v>
      </c>
      <c r="CF88" s="175"/>
      <c r="CG88" s="50"/>
      <c r="CH88" s="50"/>
    </row>
    <row r="89" spans="1:86" s="429" customFormat="1">
      <c r="A89" s="452"/>
      <c r="B89" s="453" t="s">
        <v>1073</v>
      </c>
      <c r="C89" s="93"/>
      <c r="D89" s="12">
        <v>0</v>
      </c>
      <c r="E89" s="12">
        <v>0</v>
      </c>
      <c r="F89" s="12">
        <v>0</v>
      </c>
      <c r="G89" s="12">
        <v>0</v>
      </c>
      <c r="H89" s="12"/>
      <c r="I89" s="12"/>
      <c r="J89" s="12"/>
      <c r="K89" s="12"/>
      <c r="L89" s="12">
        <f>'Balance sheet'!L158-'Balance sheet'!G158</f>
        <v>0</v>
      </c>
      <c r="M89" s="12"/>
      <c r="N89" s="12"/>
      <c r="O89" s="12"/>
      <c r="P89" s="12"/>
      <c r="Q89" s="12">
        <f>'Balance sheet'!Q158-'Balance sheet'!L158</f>
        <v>0</v>
      </c>
      <c r="R89" s="12"/>
      <c r="S89" s="12"/>
      <c r="T89" s="12"/>
      <c r="U89" s="12"/>
      <c r="V89" s="12">
        <f>'Balance sheet'!V158-'Balance sheet'!Q158</f>
        <v>0</v>
      </c>
      <c r="W89" s="12"/>
      <c r="X89" s="12"/>
      <c r="Y89" s="12"/>
      <c r="Z89" s="12"/>
      <c r="AA89" s="12">
        <f>'Balance sheet'!AA158-'Balance sheet'!V158</f>
        <v>0</v>
      </c>
      <c r="AB89" s="12"/>
      <c r="AC89" s="12"/>
      <c r="AD89" s="12"/>
      <c r="AE89" s="12"/>
      <c r="AF89" s="12">
        <f>'Balance sheet'!AF158-'Balance sheet'!AA158</f>
        <v>-11255</v>
      </c>
      <c r="AG89" s="12"/>
      <c r="AH89" s="12"/>
      <c r="AI89" s="12"/>
      <c r="AJ89" s="12"/>
      <c r="AK89" s="12">
        <f>'Balance sheet'!AK158-'Balance sheet'!AF158</f>
        <v>3480</v>
      </c>
      <c r="AL89" s="12"/>
      <c r="AM89" s="12"/>
      <c r="AN89" s="12"/>
      <c r="AO89" s="12"/>
      <c r="AP89" s="12">
        <f>'Balance sheet'!AP158-'Balance sheet'!AK158</f>
        <v>3773</v>
      </c>
      <c r="AQ89" s="12"/>
      <c r="AR89" s="12"/>
      <c r="AS89" s="12"/>
      <c r="AT89" s="12"/>
      <c r="AU89" s="181">
        <f>'Balance sheet'!AU158-'Balance sheet'!AP158</f>
        <v>1254</v>
      </c>
      <c r="AV89" s="12"/>
      <c r="AW89" s="12"/>
      <c r="AX89" s="12"/>
      <c r="AY89" s="12"/>
      <c r="AZ89" s="181">
        <f>'Balance sheet'!AZ158-'Balance sheet'!AU158</f>
        <v>1025</v>
      </c>
      <c r="BA89" s="12"/>
      <c r="BB89" s="12"/>
      <c r="BC89" s="12"/>
      <c r="BD89" s="12"/>
      <c r="BE89" s="181">
        <f>'Balance sheet'!BE158-'Balance sheet'!AZ158</f>
        <v>-3477</v>
      </c>
      <c r="BF89" s="12"/>
      <c r="BG89" s="12"/>
      <c r="BH89" s="12"/>
      <c r="BI89" s="12"/>
      <c r="BJ89" s="12">
        <f>'Balance sheet'!BJ158-'Balance sheet'!BE158</f>
        <v>-2892</v>
      </c>
      <c r="BK89" s="12"/>
      <c r="BL89" s="12"/>
      <c r="BM89" s="12"/>
      <c r="BN89" s="12"/>
      <c r="BO89" s="12">
        <f>'Balance sheet'!BO158-'Balance sheet'!BJ158</f>
        <v>2391</v>
      </c>
      <c r="BP89" s="12"/>
      <c r="BQ89" s="12"/>
      <c r="BR89" s="12"/>
      <c r="BS89" s="12"/>
      <c r="BT89" s="12">
        <f>'Balance sheet'!BT158-'Balance sheet'!BO158</f>
        <v>0</v>
      </c>
      <c r="BU89" s="12"/>
      <c r="BV89" s="12"/>
      <c r="BW89" s="12"/>
      <c r="BX89" s="12"/>
      <c r="BY89" s="12">
        <f>'Balance sheet'!BY158-'Balance sheet'!BT158</f>
        <v>0</v>
      </c>
      <c r="BZ89" s="12"/>
      <c r="CA89" s="12"/>
      <c r="CB89" s="12"/>
      <c r="CC89" s="12"/>
      <c r="CD89" s="12">
        <f>'Balance sheet'!CD158-'Balance sheet'!BY158</f>
        <v>0</v>
      </c>
      <c r="CE89" s="632"/>
      <c r="CF89" s="176"/>
      <c r="CG89" s="454"/>
      <c r="CH89" s="454"/>
    </row>
    <row r="90" spans="1:86" s="429" customFormat="1">
      <c r="A90" s="452"/>
      <c r="B90" s="453" t="s">
        <v>1074</v>
      </c>
      <c r="C90" s="93"/>
      <c r="D90" s="12">
        <f>D88</f>
        <v>1812</v>
      </c>
      <c r="E90" s="12">
        <f>E88</f>
        <v>2537</v>
      </c>
      <c r="F90" s="12">
        <f>F88</f>
        <v>650</v>
      </c>
      <c r="G90" s="12">
        <f>G88</f>
        <v>-258</v>
      </c>
      <c r="H90" s="12"/>
      <c r="I90" s="12"/>
      <c r="J90" s="12"/>
      <c r="K90" s="12"/>
      <c r="L90" s="12">
        <f>'Balance sheet'!L182-'Balance sheet'!G182+'Balance sheet'!G21-'Balance sheet'!L21</f>
        <v>1673</v>
      </c>
      <c r="M90" s="12"/>
      <c r="N90" s="12"/>
      <c r="O90" s="12"/>
      <c r="P90" s="12"/>
      <c r="Q90" s="12">
        <f>'Balance sheet'!Q182-'Balance sheet'!L182+'Balance sheet'!L21-'Balance sheet'!Q21</f>
        <v>1099</v>
      </c>
      <c r="R90" s="12"/>
      <c r="S90" s="12"/>
      <c r="T90" s="12"/>
      <c r="U90" s="12"/>
      <c r="V90" s="12">
        <f>'Balance sheet'!V182-'Balance sheet'!Q182+'Balance sheet'!Q21-'Balance sheet'!V21</f>
        <v>-3017</v>
      </c>
      <c r="W90" s="12"/>
      <c r="X90" s="12"/>
      <c r="Y90" s="12"/>
      <c r="Z90" s="12"/>
      <c r="AA90" s="12">
        <f>'Balance sheet'!AA182-'Balance sheet'!V182+'Balance sheet'!V21-'Balance sheet'!AA21</f>
        <v>1948</v>
      </c>
      <c r="AB90" s="12"/>
      <c r="AC90" s="12"/>
      <c r="AD90" s="12"/>
      <c r="AE90" s="12"/>
      <c r="AF90" s="12">
        <f>'Balance sheet'!AF182-'Balance sheet'!AA182+'Balance sheet'!AA21-'Balance sheet'!AF21</f>
        <v>3489</v>
      </c>
      <c r="AG90" s="12"/>
      <c r="AH90" s="12"/>
      <c r="AI90" s="12"/>
      <c r="AJ90" s="12"/>
      <c r="AK90" s="12">
        <f>'Balance sheet'!AK182-'Balance sheet'!AF182+'Balance sheet'!AF21-'Balance sheet'!AK21</f>
        <v>607</v>
      </c>
      <c r="AL90" s="12"/>
      <c r="AM90" s="12"/>
      <c r="AN90" s="12"/>
      <c r="AO90" s="12"/>
      <c r="AP90" s="12">
        <f>'Balance sheet'!AP182-'Balance sheet'!AK182+'Balance sheet'!AK21-'Balance sheet'!AP21</f>
        <v>-4050</v>
      </c>
      <c r="AQ90" s="12"/>
      <c r="AR90" s="12"/>
      <c r="AS90" s="12"/>
      <c r="AT90" s="12"/>
      <c r="AU90" s="181">
        <f>'Balance sheet'!AU182-'Balance sheet'!AP182+'Balance sheet'!AP21-'Balance sheet'!AU21</f>
        <v>1010</v>
      </c>
      <c r="AV90" s="12"/>
      <c r="AW90" s="12"/>
      <c r="AX90" s="12"/>
      <c r="AY90" s="12"/>
      <c r="AZ90" s="181">
        <f>'Balance sheet'!AZ182-'Balance sheet'!AU182+'Balance sheet'!AU21-'Balance sheet'!AZ21</f>
        <v>-5895</v>
      </c>
      <c r="BA90" s="12"/>
      <c r="BB90" s="12"/>
      <c r="BC90" s="12"/>
      <c r="BD90" s="12"/>
      <c r="BE90" s="181">
        <f>'Balance sheet'!BE182-'Balance sheet'!AZ182+'Balance sheet'!AZ21-'Balance sheet'!BE21</f>
        <v>-53</v>
      </c>
      <c r="BF90" s="12"/>
      <c r="BG90" s="12"/>
      <c r="BH90" s="12"/>
      <c r="BI90" s="12"/>
      <c r="BJ90" s="12">
        <f>'Balance sheet'!BJ182-'Balance sheet'!BE182+'Balance sheet'!BE21-'Balance sheet'!BJ21</f>
        <v>-2665</v>
      </c>
      <c r="BK90" s="12"/>
      <c r="BL90" s="12"/>
      <c r="BM90" s="12"/>
      <c r="BN90" s="12"/>
      <c r="BO90" s="12">
        <f>'Balance sheet'!BO182-'Balance sheet'!BJ182+'Balance sheet'!BJ21-'Balance sheet'!BO21</f>
        <v>-1375</v>
      </c>
      <c r="BP90" s="12"/>
      <c r="BQ90" s="12"/>
      <c r="BR90" s="12"/>
      <c r="BS90" s="12"/>
      <c r="BT90" s="12">
        <f ca="1">'Balance sheet'!BT182-'Balance sheet'!BO182+'Balance sheet'!BO21-'Balance sheet'!BT21</f>
        <v>0</v>
      </c>
      <c r="BU90" s="12"/>
      <c r="BV90" s="12"/>
      <c r="BW90" s="12"/>
      <c r="BX90" s="12"/>
      <c r="BY90" s="12">
        <f ca="1">'Balance sheet'!BY182-'Balance sheet'!BT182+'Balance sheet'!BT21-'Balance sheet'!BY21</f>
        <v>0</v>
      </c>
      <c r="BZ90" s="12"/>
      <c r="CA90" s="12"/>
      <c r="CB90" s="12"/>
      <c r="CC90" s="12"/>
      <c r="CD90" s="12">
        <f ca="1">'Balance sheet'!CD182-'Balance sheet'!BY182+'Balance sheet'!BY21-'Balance sheet'!CD21</f>
        <v>0</v>
      </c>
      <c r="CE90" s="632"/>
      <c r="CF90" s="176"/>
      <c r="CG90" s="454"/>
      <c r="CH90" s="454"/>
    </row>
    <row r="91" spans="1:86">
      <c r="A91" s="202"/>
      <c r="B91" s="202" t="s">
        <v>638</v>
      </c>
      <c r="C91" s="72"/>
      <c r="D91" s="5">
        <f>'Balance sheet'!C22-'Balance sheet'!D22+'Balance sheet'!D59-'Balance sheet'!C59</f>
        <v>7610</v>
      </c>
      <c r="E91" s="5">
        <f>'Balance sheet'!D22-'Balance sheet'!E22+'Balance sheet'!E59-'Balance sheet'!D59</f>
        <v>532</v>
      </c>
      <c r="F91" s="5">
        <f>'Balance sheet'!E22-'Balance sheet'!F22+'Balance sheet'!F59-'Balance sheet'!E59</f>
        <v>92</v>
      </c>
      <c r="G91" s="5">
        <f>'Balance sheet'!F22-'Balance sheet'!G22+'Balance sheet'!G59-'Balance sheet'!F59</f>
        <v>-2286</v>
      </c>
      <c r="H91" s="5"/>
      <c r="I91" s="5"/>
      <c r="J91" s="5"/>
      <c r="K91" s="5"/>
      <c r="L91" s="5">
        <f>'Balance sheet'!G22-'Balance sheet'!L22+'Balance sheet'!L59-'Balance sheet'!G59</f>
        <v>-3425</v>
      </c>
      <c r="M91" s="5"/>
      <c r="N91" s="5"/>
      <c r="O91" s="5"/>
      <c r="P91" s="5"/>
      <c r="Q91" s="5">
        <f>'Balance sheet'!L22-'Balance sheet'!Q22+'Balance sheet'!Q59-'Balance sheet'!L59</f>
        <v>-2222</v>
      </c>
      <c r="R91" s="5"/>
      <c r="S91" s="5"/>
      <c r="T91" s="5"/>
      <c r="U91" s="5"/>
      <c r="V91" s="5">
        <f>'Balance sheet'!Q22-'Balance sheet'!V22+'Balance sheet'!V59-'Balance sheet'!Q59</f>
        <v>8392</v>
      </c>
      <c r="W91" s="5"/>
      <c r="X91" s="5"/>
      <c r="Y91" s="5"/>
      <c r="Z91" s="5"/>
      <c r="AA91" s="5">
        <f>'Balance sheet'!V22-'Balance sheet'!AA22+'Balance sheet'!AA59-'Balance sheet'!V59</f>
        <v>-73</v>
      </c>
      <c r="AB91" s="5"/>
      <c r="AC91" s="5"/>
      <c r="AD91" s="5"/>
      <c r="AE91" s="5"/>
      <c r="AF91" s="5">
        <f>'Balance sheet'!AA22-'Balance sheet'!AF22+'Balance sheet'!AF59-'Balance sheet'!AA59</f>
        <v>-939</v>
      </c>
      <c r="AG91" s="5"/>
      <c r="AH91" s="5"/>
      <c r="AI91" s="5"/>
      <c r="AJ91" s="5"/>
      <c r="AK91" s="5">
        <f>'Balance sheet'!AF22-'Balance sheet'!AK22+'Balance sheet'!AK59-'Balance sheet'!AF59</f>
        <v>4320</v>
      </c>
      <c r="AL91" s="5"/>
      <c r="AM91" s="5"/>
      <c r="AN91" s="5"/>
      <c r="AO91" s="5"/>
      <c r="AP91" s="5">
        <f>'Balance sheet'!AK22-'Balance sheet'!AP22+'Balance sheet'!AP59-'Balance sheet'!AK59</f>
        <v>1536</v>
      </c>
      <c r="AQ91" s="5"/>
      <c r="AR91" s="5"/>
      <c r="AS91" s="5"/>
      <c r="AT91" s="5"/>
      <c r="AU91" s="5">
        <f>'Balance sheet'!AP22-'Balance sheet'!AU22+'Balance sheet'!AU59-'Balance sheet'!AP59</f>
        <v>-5135</v>
      </c>
      <c r="AV91" s="5"/>
      <c r="AW91" s="5"/>
      <c r="AX91" s="5"/>
      <c r="AY91" s="5"/>
      <c r="AZ91" s="5">
        <f>'Balance sheet'!AU22-'Balance sheet'!AZ22+'Balance sheet'!AZ59-'Balance sheet'!AU59</f>
        <v>3018</v>
      </c>
      <c r="BA91" s="5"/>
      <c r="BB91" s="5"/>
      <c r="BC91" s="5"/>
      <c r="BD91" s="5"/>
      <c r="BE91" s="5">
        <f>'Balance sheet'!AZ22-'Balance sheet'!BE22+'Balance sheet'!BE59-'Balance sheet'!AZ59</f>
        <v>-5212</v>
      </c>
      <c r="BF91" s="5"/>
      <c r="BG91" s="5"/>
      <c r="BH91" s="5"/>
      <c r="BI91" s="5"/>
      <c r="BJ91" s="5">
        <f>'Balance sheet'!BE22-'Balance sheet'!BJ22+'Balance sheet'!BJ59-'Balance sheet'!BE59</f>
        <v>2083</v>
      </c>
      <c r="BK91" s="5"/>
      <c r="BL91" s="5"/>
      <c r="BM91" s="5"/>
      <c r="BN91" s="5"/>
      <c r="BO91" s="5">
        <f>'Balance sheet'!BJ22-'Balance sheet'!BO22+'Balance sheet'!BO59-'Balance sheet'!BJ59</f>
        <v>-3323</v>
      </c>
      <c r="BP91" s="5"/>
      <c r="BQ91" s="5"/>
      <c r="BR91" s="5"/>
      <c r="BS91" s="5"/>
      <c r="BT91" s="5">
        <f>'Balance sheet'!BO22-'Balance sheet'!BT22+'Balance sheet'!BT59-'Balance sheet'!BO59</f>
        <v>0</v>
      </c>
      <c r="BU91" s="5"/>
      <c r="BV91" s="5"/>
      <c r="BW91" s="5"/>
      <c r="BX91" s="5"/>
      <c r="BY91" s="5">
        <f>'Balance sheet'!BT22-'Balance sheet'!BY22+'Balance sheet'!BY59-'Balance sheet'!BT59</f>
        <v>0</v>
      </c>
      <c r="BZ91" s="5"/>
      <c r="CA91" s="5"/>
      <c r="CB91" s="5"/>
      <c r="CC91" s="5"/>
      <c r="CD91" s="5">
        <f>'Balance sheet'!BY22-'Balance sheet'!CD22+'Balance sheet'!CD59-'Balance sheet'!BY59</f>
        <v>0</v>
      </c>
      <c r="CF91" s="175"/>
      <c r="CG91" s="50"/>
      <c r="CH91" s="50"/>
    </row>
    <row r="92" spans="1:86">
      <c r="A92" s="202"/>
      <c r="B92" s="202" t="s">
        <v>635</v>
      </c>
      <c r="C92" s="72"/>
      <c r="D92" s="5">
        <f>'Balance sheet'!C29-'Balance sheet'!D29+'Balance sheet'!D54-'Balance sheet'!C54+'Balance sheet'!D42-'Balance sheet'!C42+'Balance sheet'!C19-'Balance sheet'!D19</f>
        <v>0</v>
      </c>
      <c r="E92" s="5">
        <f>'Balance sheet'!D29-'Balance sheet'!E29+'Balance sheet'!E54-'Balance sheet'!D54+'Balance sheet'!E42-'Balance sheet'!D42+'Balance sheet'!D19-'Balance sheet'!E19</f>
        <v>2064</v>
      </c>
      <c r="F92" s="5">
        <f>'Balance sheet'!E29-'Balance sheet'!F29+'Balance sheet'!F54-'Balance sheet'!E54+'Balance sheet'!F42-'Balance sheet'!E42+'Balance sheet'!E19-'Balance sheet'!F19</f>
        <v>-3047</v>
      </c>
      <c r="G92" s="5">
        <f>'Balance sheet'!F29-'Balance sheet'!G29+'Balance sheet'!G54-'Balance sheet'!F54+'Balance sheet'!G42-'Balance sheet'!F42+'Balance sheet'!F19-'Balance sheet'!G19</f>
        <v>2925</v>
      </c>
      <c r="H92" s="5"/>
      <c r="I92" s="5"/>
      <c r="J92" s="5"/>
      <c r="K92" s="5"/>
      <c r="L92" s="5">
        <f>'Balance sheet'!G29-'Balance sheet'!L29+'Balance sheet'!L54-'Balance sheet'!G54+'Balance sheet'!L42-'Balance sheet'!G42+'Balance sheet'!G19-'Balance sheet'!L19</f>
        <v>-1713</v>
      </c>
      <c r="M92" s="5"/>
      <c r="N92" s="5"/>
      <c r="O92" s="5"/>
      <c r="P92" s="5"/>
      <c r="Q92" s="5">
        <f>'Balance sheet'!L29-'Balance sheet'!Q29+'Balance sheet'!Q54-'Balance sheet'!L54+'Balance sheet'!Q42-'Balance sheet'!L42+'Balance sheet'!L19-'Balance sheet'!Q19</f>
        <v>1116</v>
      </c>
      <c r="R92" s="5"/>
      <c r="S92" s="5"/>
      <c r="T92" s="5"/>
      <c r="U92" s="5"/>
      <c r="V92" s="5">
        <f>'Balance sheet'!Q29-'Balance sheet'!V29+'Balance sheet'!V54-'Balance sheet'!Q54+'Balance sheet'!V42-'Balance sheet'!Q42+'Balance sheet'!Q19-'Balance sheet'!V19</f>
        <v>339</v>
      </c>
      <c r="W92" s="5"/>
      <c r="X92" s="5"/>
      <c r="Y92" s="5"/>
      <c r="Z92" s="5"/>
      <c r="AA92" s="5">
        <f>'Balance sheet'!V29-'Balance sheet'!AA29+'Balance sheet'!AA54-'Balance sheet'!V54+'Balance sheet'!AA42-'Balance sheet'!V42+'Balance sheet'!V19-'Balance sheet'!AA19</f>
        <v>-2461</v>
      </c>
      <c r="AB92" s="5"/>
      <c r="AC92" s="5"/>
      <c r="AD92" s="5"/>
      <c r="AE92" s="5"/>
      <c r="AF92" s="5">
        <f>'Balance sheet'!AA29-'Balance sheet'!AF29+'Balance sheet'!AF54-'Balance sheet'!AA54+'Balance sheet'!AF42-'Balance sheet'!AA42+'Balance sheet'!AA19-'Balance sheet'!AF19</f>
        <v>-256</v>
      </c>
      <c r="AG92" s="5"/>
      <c r="AH92" s="5"/>
      <c r="AI92" s="5"/>
      <c r="AJ92" s="5"/>
      <c r="AK92" s="5">
        <f>'Balance sheet'!AF29-'Balance sheet'!AK29+'Balance sheet'!AK54-'Balance sheet'!AF54+'Balance sheet'!AK42-'Balance sheet'!AF42+'Balance sheet'!AF19-'Balance sheet'!AK19</f>
        <v>-869</v>
      </c>
      <c r="AL92" s="5"/>
      <c r="AM92" s="5"/>
      <c r="AN92" s="5"/>
      <c r="AO92" s="5"/>
      <c r="AP92" s="5">
        <f>'Balance sheet'!AK29-'Balance sheet'!AP29+'Balance sheet'!AP54-'Balance sheet'!AK54+'Balance sheet'!AP42-'Balance sheet'!AK42+'Balance sheet'!AK19-'Balance sheet'!AP19</f>
        <v>-1518</v>
      </c>
      <c r="AQ92" s="5"/>
      <c r="AR92" s="5"/>
      <c r="AS92" s="5"/>
      <c r="AT92" s="5"/>
      <c r="AU92" s="138">
        <f>'Balance sheet'!AP29-'Balance sheet'!AU29+'Balance sheet'!AU54-'Balance sheet'!AP54+'Balance sheet'!AU42-'Balance sheet'!AP42+'Balance sheet'!AP19-'Balance sheet'!AU19</f>
        <v>1783</v>
      </c>
      <c r="AV92" s="5"/>
      <c r="AW92" s="5"/>
      <c r="AX92" s="5"/>
      <c r="AY92" s="5"/>
      <c r="AZ92" s="138">
        <f>'Balance sheet'!AU29-'Balance sheet'!AZ29+'Balance sheet'!AZ54-'Balance sheet'!AU54+'Balance sheet'!AZ42-'Balance sheet'!AU42+'Balance sheet'!AU19-'Balance sheet'!AZ19</f>
        <v>-1082</v>
      </c>
      <c r="BA92" s="5"/>
      <c r="BB92" s="5"/>
      <c r="BC92" s="5"/>
      <c r="BD92" s="5"/>
      <c r="BE92" s="138">
        <f>'Balance sheet'!AZ29-'Balance sheet'!BE29+'Balance sheet'!BE54-'Balance sheet'!AZ54+'Balance sheet'!BE42-'Balance sheet'!AZ42+'Balance sheet'!AZ19-'Balance sheet'!BE19</f>
        <v>1590</v>
      </c>
      <c r="BF92" s="5"/>
      <c r="BG92" s="5"/>
      <c r="BH92" s="5"/>
      <c r="BI92" s="5"/>
      <c r="BJ92" s="5">
        <f>'Balance sheet'!BE29-'Balance sheet'!BJ29+'Balance sheet'!BJ54-'Balance sheet'!BE54+'Balance sheet'!BJ42-'Balance sheet'!BE42+'Balance sheet'!BE19-'Balance sheet'!BJ19</f>
        <v>2258</v>
      </c>
      <c r="BK92" s="5"/>
      <c r="BL92" s="5"/>
      <c r="BM92" s="5"/>
      <c r="BN92" s="5"/>
      <c r="BO92" s="5">
        <f>'Balance sheet'!BJ29-'Balance sheet'!BO29+'Balance sheet'!BO54-'Balance sheet'!BJ54+'Balance sheet'!BO42-'Balance sheet'!BJ42+'Balance sheet'!BJ19-'Balance sheet'!BO19</f>
        <v>-1702</v>
      </c>
      <c r="BP92" s="5"/>
      <c r="BQ92" s="5"/>
      <c r="BR92" s="5"/>
      <c r="BS92" s="5"/>
      <c r="BT92" s="5">
        <f>'Balance sheet'!BO29-'Balance sheet'!BT29+'Balance sheet'!BT54-'Balance sheet'!BO54+'Balance sheet'!BT42-'Balance sheet'!BO42+'Balance sheet'!BO19-'Balance sheet'!BT19</f>
        <v>0</v>
      </c>
      <c r="BU92" s="5"/>
      <c r="BV92" s="5"/>
      <c r="BW92" s="5"/>
      <c r="BX92" s="5"/>
      <c r="BY92" s="5">
        <f>'Balance sheet'!BT29-'Balance sheet'!BY29+'Balance sheet'!BY54-'Balance sheet'!BT54+'Balance sheet'!BY42-'Balance sheet'!BT42+'Balance sheet'!BT19-'Balance sheet'!BY19</f>
        <v>0</v>
      </c>
      <c r="BZ92" s="5"/>
      <c r="CA92" s="5"/>
      <c r="CB92" s="5"/>
      <c r="CC92" s="5"/>
      <c r="CD92" s="5">
        <f>'Balance sheet'!BY29-'Balance sheet'!CD29+'Balance sheet'!CD54-'Balance sheet'!BY54+'Balance sheet'!CD42-'Balance sheet'!BY42+'Balance sheet'!BY19-'Balance sheet'!CD19</f>
        <v>0</v>
      </c>
      <c r="CF92" s="175"/>
      <c r="CG92" s="50"/>
      <c r="CH92" s="50"/>
    </row>
    <row r="93" spans="1:86">
      <c r="A93" s="202"/>
      <c r="B93" s="202" t="s">
        <v>641</v>
      </c>
      <c r="C93" s="72"/>
      <c r="D93" s="5">
        <f>'Balance sheet'!D43-'Balance sheet'!C43+'Balance sheet'!D55-'Balance sheet'!C55</f>
        <v>0</v>
      </c>
      <c r="E93" s="5">
        <f>'Balance sheet'!E43-'Balance sheet'!D43+'Balance sheet'!E55-'Balance sheet'!D55</f>
        <v>3130</v>
      </c>
      <c r="F93" s="5">
        <f>'Balance sheet'!F43-'Balance sheet'!E43+'Balance sheet'!F55-'Balance sheet'!E55</f>
        <v>2051</v>
      </c>
      <c r="G93" s="5">
        <f>'Balance sheet'!G43-'Balance sheet'!F43+'Balance sheet'!G55-'Balance sheet'!F55</f>
        <v>825</v>
      </c>
      <c r="H93" s="5"/>
      <c r="I93" s="5"/>
      <c r="J93" s="5"/>
      <c r="K93" s="5"/>
      <c r="L93" s="5">
        <f>'Balance sheet'!L43-'Balance sheet'!G43+'Balance sheet'!L55-'Balance sheet'!G55</f>
        <v>1102</v>
      </c>
      <c r="M93" s="5"/>
      <c r="N93" s="5"/>
      <c r="O93" s="5"/>
      <c r="P93" s="5"/>
      <c r="Q93" s="5">
        <f>'Balance sheet'!Q43-'Balance sheet'!L43+'Balance sheet'!Q55-'Balance sheet'!L55</f>
        <v>491</v>
      </c>
      <c r="R93" s="5"/>
      <c r="S93" s="5"/>
      <c r="T93" s="5"/>
      <c r="U93" s="5"/>
      <c r="V93" s="5">
        <f>'Balance sheet'!V43-'Balance sheet'!Q43+'Balance sheet'!V55-'Balance sheet'!Q55</f>
        <v>-72</v>
      </c>
      <c r="W93" s="5"/>
      <c r="X93" s="5"/>
      <c r="Y93" s="5"/>
      <c r="Z93" s="5"/>
      <c r="AA93" s="5">
        <f>'Balance sheet'!AA43-'Balance sheet'!V43+'Balance sheet'!AA55-'Balance sheet'!V55</f>
        <v>-622</v>
      </c>
      <c r="AB93" s="5"/>
      <c r="AC93" s="5"/>
      <c r="AD93" s="5"/>
      <c r="AE93" s="5"/>
      <c r="AF93" s="5">
        <f>'Balance sheet'!AF43-'Balance sheet'!AA43+'Balance sheet'!AF55-'Balance sheet'!AA55</f>
        <v>-656</v>
      </c>
      <c r="AG93" s="5"/>
      <c r="AH93" s="5"/>
      <c r="AI93" s="5"/>
      <c r="AJ93" s="5"/>
      <c r="AK93" s="5">
        <f>'Balance sheet'!AK43-'Balance sheet'!AF43+'Balance sheet'!AK55-'Balance sheet'!AF55</f>
        <v>72</v>
      </c>
      <c r="AL93" s="5"/>
      <c r="AM93" s="5"/>
      <c r="AN93" s="5"/>
      <c r="AO93" s="5"/>
      <c r="AP93" s="5">
        <f>'Balance sheet'!AP43-'Balance sheet'!AK43+'Balance sheet'!AP55-'Balance sheet'!AK55</f>
        <v>937</v>
      </c>
      <c r="AQ93" s="5"/>
      <c r="AR93" s="5"/>
      <c r="AS93" s="5"/>
      <c r="AT93" s="5"/>
      <c r="AU93" s="138">
        <f>'Balance sheet'!AU43-'Balance sheet'!AP43+'Balance sheet'!AU55-'Balance sheet'!AP55</f>
        <v>2249</v>
      </c>
      <c r="AV93" s="5"/>
      <c r="AW93" s="5"/>
      <c r="AX93" s="5"/>
      <c r="AY93" s="5"/>
      <c r="AZ93" s="138">
        <f>'Balance sheet'!AZ43-'Balance sheet'!AU43+'Balance sheet'!AZ55-'Balance sheet'!AU55</f>
        <v>-1544</v>
      </c>
      <c r="BA93" s="5"/>
      <c r="BB93" s="5"/>
      <c r="BC93" s="5"/>
      <c r="BD93" s="5"/>
      <c r="BE93" s="138">
        <f>'Balance sheet'!BE43-'Balance sheet'!AZ43+'Balance sheet'!BE55-'Balance sheet'!AZ55</f>
        <v>-812</v>
      </c>
      <c r="BF93" s="5"/>
      <c r="BG93" s="5"/>
      <c r="BH93" s="5"/>
      <c r="BI93" s="5"/>
      <c r="BJ93" s="5">
        <f>'Balance sheet'!BJ43-'Balance sheet'!BE43+'Balance sheet'!BJ55-'Balance sheet'!BE55</f>
        <v>-1546</v>
      </c>
      <c r="BK93" s="5"/>
      <c r="BL93" s="5"/>
      <c r="BM93" s="5"/>
      <c r="BN93" s="5"/>
      <c r="BO93" s="5">
        <f>'Balance sheet'!BO43-'Balance sheet'!BJ43+'Balance sheet'!BO55-'Balance sheet'!BJ55</f>
        <v>-140</v>
      </c>
      <c r="BP93" s="5"/>
      <c r="BQ93" s="5"/>
      <c r="BR93" s="5"/>
      <c r="BS93" s="5"/>
      <c r="BT93" s="5">
        <f>'Balance sheet'!BT43-'Balance sheet'!BO43+'Balance sheet'!BT55-'Balance sheet'!BO55</f>
        <v>0</v>
      </c>
      <c r="BU93" s="5"/>
      <c r="BV93" s="5"/>
      <c r="BW93" s="5"/>
      <c r="BX93" s="5"/>
      <c r="BY93" s="5">
        <f>'Balance sheet'!BY43-'Balance sheet'!BT43+'Balance sheet'!BY55-'Balance sheet'!BT55</f>
        <v>0</v>
      </c>
      <c r="BZ93" s="5"/>
      <c r="CA93" s="5"/>
      <c r="CB93" s="5"/>
      <c r="CC93" s="5"/>
      <c r="CD93" s="5">
        <f>'Balance sheet'!CD43-'Balance sheet'!BY43+'Balance sheet'!CD55-'Balance sheet'!BY55</f>
        <v>0</v>
      </c>
      <c r="CF93" s="175"/>
      <c r="CG93" s="50"/>
      <c r="CH93" s="50"/>
    </row>
    <row r="94" spans="1:86">
      <c r="A94" s="202"/>
      <c r="B94" s="202" t="s">
        <v>644</v>
      </c>
      <c r="C94" s="72"/>
      <c r="D94" s="5">
        <f>'Balance sheet'!D46-'Balance sheet'!C46+'Balance sheet'!D58-'Balance sheet'!C58</f>
        <v>-3430</v>
      </c>
      <c r="E94" s="5">
        <f>'Balance sheet'!E46-'Balance sheet'!D46+'Balance sheet'!E58-'Balance sheet'!D58</f>
        <v>763</v>
      </c>
      <c r="F94" s="5">
        <f>'Balance sheet'!F46-'Balance sheet'!E46+'Balance sheet'!F58-'Balance sheet'!E58</f>
        <v>1000</v>
      </c>
      <c r="G94" s="5">
        <f>'Balance sheet'!G46-'Balance sheet'!F46+'Balance sheet'!G58-'Balance sheet'!F58</f>
        <v>1457</v>
      </c>
      <c r="H94" s="5"/>
      <c r="I94" s="5"/>
      <c r="J94" s="5"/>
      <c r="K94" s="5"/>
      <c r="L94" s="5">
        <f>'Balance sheet'!L46-'Balance sheet'!G46+'Balance sheet'!L58-'Balance sheet'!G58</f>
        <v>2588</v>
      </c>
      <c r="M94" s="5"/>
      <c r="N94" s="5"/>
      <c r="O94" s="5"/>
      <c r="P94" s="5"/>
      <c r="Q94" s="5">
        <f>'Balance sheet'!Q46-'Balance sheet'!L46+'Balance sheet'!Q58-'Balance sheet'!L58</f>
        <v>1451</v>
      </c>
      <c r="R94" s="5"/>
      <c r="S94" s="5"/>
      <c r="T94" s="5"/>
      <c r="U94" s="5"/>
      <c r="V94" s="5">
        <f>'Balance sheet'!V46-'Balance sheet'!Q46+'Balance sheet'!V58-'Balance sheet'!Q58</f>
        <v>-1442</v>
      </c>
      <c r="W94" s="5"/>
      <c r="X94" s="5"/>
      <c r="Y94" s="5"/>
      <c r="Z94" s="5"/>
      <c r="AA94" s="5">
        <f>'Balance sheet'!AA46-'Balance sheet'!V46+'Balance sheet'!AA58-'Balance sheet'!V58</f>
        <v>977</v>
      </c>
      <c r="AB94" s="5"/>
      <c r="AC94" s="5"/>
      <c r="AD94" s="5"/>
      <c r="AE94" s="5"/>
      <c r="AF94" s="5">
        <f>'Balance sheet'!AF46-'Balance sheet'!AA46+'Balance sheet'!AF58-'Balance sheet'!AA58</f>
        <v>17277</v>
      </c>
      <c r="AG94" s="5"/>
      <c r="AH94" s="5"/>
      <c r="AI94" s="5"/>
      <c r="AJ94" s="5"/>
      <c r="AK94" s="5">
        <f>'Balance sheet'!AK46-'Balance sheet'!AF46+'Balance sheet'!AK58-'Balance sheet'!AF58</f>
        <v>3594</v>
      </c>
      <c r="AL94" s="5"/>
      <c r="AM94" s="5"/>
      <c r="AN94" s="5"/>
      <c r="AO94" s="5"/>
      <c r="AP94" s="5">
        <f>'Balance sheet'!AP46-'Balance sheet'!AK46+'Balance sheet'!AP58-'Balance sheet'!AK58</f>
        <v>3214</v>
      </c>
      <c r="AQ94" s="5"/>
      <c r="AR94" s="5"/>
      <c r="AS94" s="5"/>
      <c r="AT94" s="5"/>
      <c r="AU94" s="138">
        <f>'Balance sheet'!AU46-'Balance sheet'!AP46+'Balance sheet'!AU58-'Balance sheet'!AP58</f>
        <v>-6755</v>
      </c>
      <c r="AV94" s="5"/>
      <c r="AW94" s="5"/>
      <c r="AX94" s="5"/>
      <c r="AY94" s="5"/>
      <c r="AZ94" s="138">
        <f>'Balance sheet'!AZ46-'Balance sheet'!AU46+'Balance sheet'!AZ58-'Balance sheet'!AU58</f>
        <v>938</v>
      </c>
      <c r="BA94" s="5"/>
      <c r="BB94" s="5"/>
      <c r="BC94" s="5"/>
      <c r="BD94" s="5"/>
      <c r="BE94" s="138">
        <f>'Balance sheet'!BE46-'Balance sheet'!AZ46+'Balance sheet'!BE58-'Balance sheet'!AZ58</f>
        <v>8216</v>
      </c>
      <c r="BF94" s="5"/>
      <c r="BG94" s="5"/>
      <c r="BH94" s="5"/>
      <c r="BI94" s="5"/>
      <c r="BJ94" s="5">
        <f>'Balance sheet'!BJ46-'Balance sheet'!BE46+'Balance sheet'!BJ58-'Balance sheet'!BE58</f>
        <v>-16690</v>
      </c>
      <c r="BK94" s="5"/>
      <c r="BL94" s="5"/>
      <c r="BM94" s="5"/>
      <c r="BN94" s="5"/>
      <c r="BO94" s="5">
        <f>'Balance sheet'!BO46-'Balance sheet'!BJ46+'Balance sheet'!BO58-'Balance sheet'!BJ58</f>
        <v>-480</v>
      </c>
      <c r="BP94" s="5"/>
      <c r="BQ94" s="5"/>
      <c r="BR94" s="5"/>
      <c r="BS94" s="5"/>
      <c r="BT94" s="5">
        <f>'Balance sheet'!BT46-'Balance sheet'!BO46+'Balance sheet'!BT58-'Balance sheet'!BO58</f>
        <v>-645.9550491907612</v>
      </c>
      <c r="BU94" s="5"/>
      <c r="BV94" s="5"/>
      <c r="BW94" s="5"/>
      <c r="BX94" s="5"/>
      <c r="BY94" s="5">
        <f>'Balance sheet'!BY46-'Balance sheet'!BT46+'Balance sheet'!BY58-'Balance sheet'!BT58</f>
        <v>-303.87046485260726</v>
      </c>
      <c r="BZ94" s="5"/>
      <c r="CA94" s="5"/>
      <c r="CB94" s="5"/>
      <c r="CC94" s="5"/>
      <c r="CD94" s="5">
        <f>'Balance sheet'!CD46-'Balance sheet'!BY46+'Balance sheet'!CD58-'Balance sheet'!BY58</f>
        <v>262.60934077088677</v>
      </c>
      <c r="CF94" s="175"/>
      <c r="CG94" s="50"/>
      <c r="CH94" s="50"/>
    </row>
    <row r="95" spans="1:86" s="429" customFormat="1">
      <c r="A95" s="452"/>
      <c r="B95" s="453" t="s">
        <v>1073</v>
      </c>
      <c r="C95" s="93"/>
      <c r="D95" s="12">
        <v>0</v>
      </c>
      <c r="E95" s="12">
        <v>0</v>
      </c>
      <c r="F95" s="12">
        <v>0</v>
      </c>
      <c r="G95" s="12">
        <v>0</v>
      </c>
      <c r="H95" s="12"/>
      <c r="I95" s="12"/>
      <c r="J95" s="12"/>
      <c r="K95" s="12"/>
      <c r="L95" s="12">
        <f>'Balance sheet'!L148-'Balance sheet'!G148+'Balance sheet'!L157-'Balance sheet'!G157</f>
        <v>0</v>
      </c>
      <c r="M95" s="12"/>
      <c r="N95" s="12"/>
      <c r="O95" s="12"/>
      <c r="P95" s="12"/>
      <c r="Q95" s="12">
        <f>'Balance sheet'!Q148-'Balance sheet'!L148+'Balance sheet'!Q157-'Balance sheet'!L157</f>
        <v>0</v>
      </c>
      <c r="R95" s="12"/>
      <c r="S95" s="12"/>
      <c r="T95" s="12"/>
      <c r="U95" s="12"/>
      <c r="V95" s="12">
        <f>'Balance sheet'!V148-'Balance sheet'!Q148+'Balance sheet'!V157-'Balance sheet'!Q157</f>
        <v>0</v>
      </c>
      <c r="W95" s="12"/>
      <c r="X95" s="12"/>
      <c r="Y95" s="12"/>
      <c r="Z95" s="12"/>
      <c r="AA95" s="12">
        <f>'Balance sheet'!AA148-'Balance sheet'!V148+'Balance sheet'!AA157-'Balance sheet'!V157</f>
        <v>0</v>
      </c>
      <c r="AB95" s="12"/>
      <c r="AC95" s="12"/>
      <c r="AD95" s="12"/>
      <c r="AE95" s="12"/>
      <c r="AF95" s="12">
        <f>'Balance sheet'!AF148-'Balance sheet'!AA148+'Balance sheet'!AF157-'Balance sheet'!AA157</f>
        <v>16335</v>
      </c>
      <c r="AG95" s="12"/>
      <c r="AH95" s="12"/>
      <c r="AI95" s="12"/>
      <c r="AJ95" s="12"/>
      <c r="AK95" s="12">
        <f>'Balance sheet'!AK148-'Balance sheet'!AF148+'Balance sheet'!AK157-'Balance sheet'!AF157</f>
        <v>-3143</v>
      </c>
      <c r="AL95" s="12"/>
      <c r="AM95" s="12"/>
      <c r="AN95" s="12"/>
      <c r="AO95" s="12"/>
      <c r="AP95" s="12">
        <f>'Balance sheet'!AP148-'Balance sheet'!AK148+'Balance sheet'!AP157-'Balance sheet'!AK157</f>
        <v>2802</v>
      </c>
      <c r="AQ95" s="12"/>
      <c r="AR95" s="12"/>
      <c r="AS95" s="12"/>
      <c r="AT95" s="12"/>
      <c r="AU95" s="181">
        <f>'Balance sheet'!AU148-'Balance sheet'!AP148+'Balance sheet'!AU157-'Balance sheet'!AP157</f>
        <v>-6648</v>
      </c>
      <c r="AV95" s="12"/>
      <c r="AW95" s="12"/>
      <c r="AX95" s="12"/>
      <c r="AY95" s="12"/>
      <c r="AZ95" s="181">
        <f>'Balance sheet'!AZ148-'Balance sheet'!AU148+'Balance sheet'!AZ157-'Balance sheet'!AU157</f>
        <v>-572</v>
      </c>
      <c r="BA95" s="12"/>
      <c r="BB95" s="12"/>
      <c r="BC95" s="12"/>
      <c r="BD95" s="12"/>
      <c r="BE95" s="181">
        <f>'Balance sheet'!BE148-'Balance sheet'!AZ148+'Balance sheet'!BE157-'Balance sheet'!AZ157</f>
        <v>7919</v>
      </c>
      <c r="BF95" s="12"/>
      <c r="BG95" s="12"/>
      <c r="BH95" s="12"/>
      <c r="BI95" s="12"/>
      <c r="BJ95" s="12">
        <f>'Balance sheet'!BJ148-'Balance sheet'!BE148+'Balance sheet'!BJ157-'Balance sheet'!BE157</f>
        <v>-14251</v>
      </c>
      <c r="BK95" s="12"/>
      <c r="BL95" s="12"/>
      <c r="BM95" s="12"/>
      <c r="BN95" s="12"/>
      <c r="BO95" s="12">
        <f>'Balance sheet'!BO148-'Balance sheet'!BJ148+'Balance sheet'!BO157-'Balance sheet'!BJ157</f>
        <v>138</v>
      </c>
      <c r="BP95" s="12"/>
      <c r="BQ95" s="12"/>
      <c r="BR95" s="12"/>
      <c r="BS95" s="12"/>
      <c r="BT95" s="12">
        <f>'Balance sheet'!BT148-'Balance sheet'!BO148+'Balance sheet'!BT157-'Balance sheet'!BO157</f>
        <v>-645.95504919075984</v>
      </c>
      <c r="BU95" s="12"/>
      <c r="BV95" s="12"/>
      <c r="BW95" s="12"/>
      <c r="BX95" s="12"/>
      <c r="BY95" s="12">
        <f>'Balance sheet'!BY148-'Balance sheet'!BT148+'Balance sheet'!BY157-'Balance sheet'!BT157</f>
        <v>-303.87046485260748</v>
      </c>
      <c r="BZ95" s="12"/>
      <c r="CA95" s="12"/>
      <c r="CB95" s="12"/>
      <c r="CC95" s="12"/>
      <c r="CD95" s="12">
        <f>'Balance sheet'!CD148-'Balance sheet'!BY148+'Balance sheet'!CD157-'Balance sheet'!BY157</f>
        <v>262.60934077088564</v>
      </c>
      <c r="CE95" s="632"/>
      <c r="CF95" s="176"/>
      <c r="CG95" s="454"/>
      <c r="CH95" s="454"/>
    </row>
    <row r="96" spans="1:86" s="429" customFormat="1">
      <c r="A96" s="452"/>
      <c r="B96" s="453" t="s">
        <v>1074</v>
      </c>
      <c r="C96" s="93"/>
      <c r="D96" s="12">
        <f>D94</f>
        <v>-3430</v>
      </c>
      <c r="E96" s="12">
        <f>E94</f>
        <v>763</v>
      </c>
      <c r="F96" s="12">
        <f>F94</f>
        <v>1000</v>
      </c>
      <c r="G96" s="12">
        <f>G94</f>
        <v>1457</v>
      </c>
      <c r="H96" s="12"/>
      <c r="I96" s="12"/>
      <c r="J96" s="12"/>
      <c r="K96" s="12"/>
      <c r="L96" s="12">
        <f>'Balance sheet'!L172-'Balance sheet'!G172+'Balance sheet'!L181-'Balance sheet'!G181</f>
        <v>2588</v>
      </c>
      <c r="M96" s="12"/>
      <c r="N96" s="12"/>
      <c r="O96" s="12"/>
      <c r="P96" s="12"/>
      <c r="Q96" s="12">
        <f>'Balance sheet'!Q172-'Balance sheet'!L172+'Balance sheet'!Q181-'Balance sheet'!L181</f>
        <v>1451</v>
      </c>
      <c r="R96" s="12"/>
      <c r="S96" s="12"/>
      <c r="T96" s="12"/>
      <c r="U96" s="12"/>
      <c r="V96" s="12">
        <f>'Balance sheet'!V172-'Balance sheet'!Q172+'Balance sheet'!V181-'Balance sheet'!Q181</f>
        <v>-1442</v>
      </c>
      <c r="W96" s="12"/>
      <c r="X96" s="12"/>
      <c r="Y96" s="12"/>
      <c r="Z96" s="12"/>
      <c r="AA96" s="12">
        <f>'Balance sheet'!AA172-'Balance sheet'!V172+'Balance sheet'!AA181-'Balance sheet'!V181</f>
        <v>977</v>
      </c>
      <c r="AB96" s="12"/>
      <c r="AC96" s="12"/>
      <c r="AD96" s="12"/>
      <c r="AE96" s="12"/>
      <c r="AF96" s="12">
        <f>'Balance sheet'!AF172-'Balance sheet'!AA172+'Balance sheet'!AF181-'Balance sheet'!AA181</f>
        <v>942</v>
      </c>
      <c r="AG96" s="12"/>
      <c r="AH96" s="12"/>
      <c r="AI96" s="12"/>
      <c r="AJ96" s="12"/>
      <c r="AK96" s="12">
        <f>'Balance sheet'!AK172-'Balance sheet'!AF172+'Balance sheet'!AK181-'Balance sheet'!AF181</f>
        <v>6737</v>
      </c>
      <c r="AL96" s="12"/>
      <c r="AM96" s="12"/>
      <c r="AN96" s="12"/>
      <c r="AO96" s="12"/>
      <c r="AP96" s="12">
        <f>'Balance sheet'!AP172-'Balance sheet'!AK172+'Balance sheet'!AP181-'Balance sheet'!AK181</f>
        <v>412</v>
      </c>
      <c r="AQ96" s="12"/>
      <c r="AR96" s="12"/>
      <c r="AS96" s="12"/>
      <c r="AT96" s="12"/>
      <c r="AU96" s="181">
        <f>'Balance sheet'!AU172-'Balance sheet'!AP172+'Balance sheet'!AU181-'Balance sheet'!AP181</f>
        <v>-107</v>
      </c>
      <c r="AV96" s="12"/>
      <c r="AW96" s="12"/>
      <c r="AX96" s="12"/>
      <c r="AY96" s="12"/>
      <c r="AZ96" s="181">
        <f>'Balance sheet'!AZ172-'Balance sheet'!AU172+'Balance sheet'!AZ181-'Balance sheet'!AU181</f>
        <v>1510</v>
      </c>
      <c r="BA96" s="12"/>
      <c r="BB96" s="12"/>
      <c r="BC96" s="12"/>
      <c r="BD96" s="12"/>
      <c r="BE96" s="181">
        <f>'Balance sheet'!BE172-'Balance sheet'!AZ172+'Balance sheet'!BE181-'Balance sheet'!AZ181</f>
        <v>297</v>
      </c>
      <c r="BF96" s="12"/>
      <c r="BG96" s="12"/>
      <c r="BH96" s="12"/>
      <c r="BI96" s="12"/>
      <c r="BJ96" s="12">
        <f>'Balance sheet'!BJ172-'Balance sheet'!BE172+'Balance sheet'!BJ181-'Balance sheet'!BE181</f>
        <v>-2439</v>
      </c>
      <c r="BK96" s="12"/>
      <c r="BL96" s="12"/>
      <c r="BM96" s="12"/>
      <c r="BN96" s="12"/>
      <c r="BO96" s="12">
        <f>'Balance sheet'!BO172-'Balance sheet'!BJ172+'Balance sheet'!BO181-'Balance sheet'!BJ181</f>
        <v>-618</v>
      </c>
      <c r="BP96" s="12"/>
      <c r="BQ96" s="12"/>
      <c r="BR96" s="12"/>
      <c r="BS96" s="12"/>
      <c r="BT96" s="12">
        <f>'Balance sheet'!BT172-'Balance sheet'!BO172+'Balance sheet'!BT181-'Balance sheet'!BO181</f>
        <v>0</v>
      </c>
      <c r="BU96" s="12"/>
      <c r="BV96" s="12"/>
      <c r="BW96" s="12"/>
      <c r="BX96" s="12"/>
      <c r="BY96" s="12">
        <f>'Balance sheet'!BY172-'Balance sheet'!BT172+'Balance sheet'!BY181-'Balance sheet'!BT181</f>
        <v>0</v>
      </c>
      <c r="BZ96" s="12"/>
      <c r="CA96" s="12"/>
      <c r="CB96" s="12"/>
      <c r="CC96" s="12"/>
      <c r="CD96" s="12">
        <f>'Balance sheet'!CD172-'Balance sheet'!BY172+'Balance sheet'!CD181-'Balance sheet'!BY181</f>
        <v>0</v>
      </c>
      <c r="CE96" s="632"/>
      <c r="CF96" s="176"/>
      <c r="CG96" s="454"/>
      <c r="CH96" s="454"/>
    </row>
    <row r="97" spans="1:86">
      <c r="A97" s="202"/>
      <c r="B97" s="202"/>
      <c r="C97" s="72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138"/>
      <c r="AV97" s="5"/>
      <c r="AW97" s="5"/>
      <c r="AX97" s="5"/>
      <c r="AY97" s="5"/>
      <c r="AZ97" s="138"/>
      <c r="BA97" s="5"/>
      <c r="BB97" s="5"/>
      <c r="BC97" s="5"/>
      <c r="BD97" s="5"/>
      <c r="BE97" s="138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F97" s="50"/>
      <c r="CG97" s="50"/>
      <c r="CH97" s="50"/>
    </row>
    <row r="98" spans="1:86">
      <c r="A98" s="202" t="s">
        <v>2310</v>
      </c>
      <c r="B98" s="202"/>
      <c r="C98" s="72"/>
      <c r="D98" s="5"/>
      <c r="E98" s="5">
        <f>E142+E143</f>
        <v>-666</v>
      </c>
      <c r="F98" s="5">
        <f>F142+F143</f>
        <v>-81</v>
      </c>
      <c r="G98" s="5">
        <f>G142+G143</f>
        <v>-710</v>
      </c>
      <c r="H98" s="5"/>
      <c r="I98" s="5"/>
      <c r="J98" s="5"/>
      <c r="K98" s="5"/>
      <c r="L98" s="5">
        <f>L142+L143</f>
        <v>500</v>
      </c>
      <c r="M98" s="5"/>
      <c r="N98" s="5"/>
      <c r="O98" s="5"/>
      <c r="P98" s="5"/>
      <c r="Q98" s="5">
        <f>Q142+Q143</f>
        <v>-1359</v>
      </c>
      <c r="R98" s="5"/>
      <c r="S98" s="5"/>
      <c r="T98" s="5"/>
      <c r="U98" s="5"/>
      <c r="V98" s="5">
        <f>V142+V143</f>
        <v>-93</v>
      </c>
      <c r="W98" s="5"/>
      <c r="X98" s="5"/>
      <c r="Y98" s="5"/>
      <c r="Z98" s="5"/>
      <c r="AA98" s="5">
        <f>AA142+AA143</f>
        <v>-898</v>
      </c>
      <c r="AB98" s="5"/>
      <c r="AC98" s="5"/>
      <c r="AD98" s="5"/>
      <c r="AE98" s="5"/>
      <c r="AF98" s="5">
        <f>AF142+AF143</f>
        <v>-1480</v>
      </c>
      <c r="AG98" s="5"/>
      <c r="AH98" s="5"/>
      <c r="AI98" s="5"/>
      <c r="AJ98" s="5"/>
      <c r="AK98" s="5">
        <f>AK142+AK143</f>
        <v>-839</v>
      </c>
      <c r="AL98" s="5"/>
      <c r="AM98" s="5"/>
      <c r="AN98" s="5"/>
      <c r="AO98" s="5"/>
      <c r="AP98" s="5">
        <f>-Assets!AP72-Assets!AP73</f>
        <v>-1974</v>
      </c>
      <c r="AQ98" s="5"/>
      <c r="AR98" s="5"/>
      <c r="AS98" s="5"/>
      <c r="AT98" s="5"/>
      <c r="AU98" s="138">
        <f>-Assets!AU72-Assets!AU73</f>
        <v>-1697</v>
      </c>
      <c r="AV98" s="5"/>
      <c r="AW98" s="5"/>
      <c r="AX98" s="5"/>
      <c r="AY98" s="5"/>
      <c r="AZ98" s="138">
        <f>-Assets!AZ72-Assets!AZ73</f>
        <v>-1407</v>
      </c>
      <c r="BA98" s="5"/>
      <c r="BB98" s="5"/>
      <c r="BC98" s="5"/>
      <c r="BD98" s="5"/>
      <c r="BE98" s="138">
        <f>-Assets!BE72-Assets!BE73</f>
        <v>-1039</v>
      </c>
      <c r="BF98" s="5"/>
      <c r="BG98" s="5"/>
      <c r="BH98" s="5"/>
      <c r="BI98" s="5"/>
      <c r="BJ98" s="5">
        <f>-Assets!BJ72-Assets!BJ73</f>
        <v>-258</v>
      </c>
      <c r="BK98" s="5"/>
      <c r="BL98" s="5"/>
      <c r="BM98" s="5"/>
      <c r="BN98" s="5"/>
      <c r="BO98" s="5">
        <f>-Assets!BO72-Assets!BO73</f>
        <v>-522</v>
      </c>
      <c r="BP98" s="5"/>
      <c r="BQ98" s="5"/>
      <c r="BR98" s="5"/>
      <c r="BS98" s="5"/>
      <c r="BT98" s="5">
        <f ca="1">-Assets!BT72-Assets!BT73</f>
        <v>-1290.7127533823041</v>
      </c>
      <c r="BU98" s="5"/>
      <c r="BV98" s="5"/>
      <c r="BW98" s="5"/>
      <c r="BX98" s="5"/>
      <c r="BY98" s="5">
        <f ca="1">-Assets!BY72-Assets!BY73</f>
        <v>-1473.9999015690489</v>
      </c>
      <c r="BZ98" s="5"/>
      <c r="CA98" s="5"/>
      <c r="CB98" s="5"/>
      <c r="CC98" s="5"/>
      <c r="CD98" s="5">
        <f ca="1">-Assets!CD72-Assets!CD73</f>
        <v>-2859.6916796566652</v>
      </c>
      <c r="CF98" s="50"/>
      <c r="CG98" s="50"/>
      <c r="CH98" s="50"/>
    </row>
    <row r="99" spans="1:86">
      <c r="A99" s="4"/>
      <c r="B99" s="5"/>
      <c r="C99" s="72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F99" s="50"/>
      <c r="CG99" s="50"/>
      <c r="CH99" s="50"/>
    </row>
    <row r="100" spans="1:86">
      <c r="A100" s="75" t="s">
        <v>1527</v>
      </c>
      <c r="B100" s="202"/>
      <c r="C100" s="73"/>
      <c r="D100" s="8">
        <f>SUM(D66:D68,D71:D83,D88:D94)</f>
        <v>28158</v>
      </c>
      <c r="E100" s="8">
        <f>SUM(E66:E68,E71:E72,E88,E83,E78:E80,E75,E91:E94,E98)</f>
        <v>22940</v>
      </c>
      <c r="F100" s="8">
        <f>SUM(F66:F68,F71:F72,F88,F83,F78:F80,F75,F91:F94,F98)</f>
        <v>23102</v>
      </c>
      <c r="G100" s="8">
        <f>SUM(G66:G68,G71:G72,G88,G83,G78:G80,G75,G91:G94,G98)</f>
        <v>27780</v>
      </c>
      <c r="H100" s="5"/>
      <c r="I100" s="5"/>
      <c r="J100" s="5"/>
      <c r="K100" s="5"/>
      <c r="L100" s="8">
        <f>SUM(L66:L68,L71:L72,L88,L83,L78:L80,L75,L91:L94,L98)</f>
        <v>30830</v>
      </c>
      <c r="M100" s="5"/>
      <c r="N100" s="5"/>
      <c r="O100" s="5"/>
      <c r="P100" s="5"/>
      <c r="Q100" s="8">
        <f>SUM(Q66:Q68,Q71:Q72,Q88,Q83,Q78:Q80,Q75,Q91:Q94,Q98)</f>
        <v>26844</v>
      </c>
      <c r="R100" s="5"/>
      <c r="S100" s="5"/>
      <c r="T100" s="5"/>
      <c r="U100" s="5"/>
      <c r="V100" s="8">
        <f>SUM(V66:V68,V71:V72,V88,V83,V78:V80,V75,V91:V94,V98)</f>
        <v>48855</v>
      </c>
      <c r="W100" s="5"/>
      <c r="X100" s="5"/>
      <c r="Y100" s="5"/>
      <c r="Z100" s="5"/>
      <c r="AA100" s="8">
        <f>SUM(AA66:AA68,AA71:AA72,AA88,AA83,AA78:AA80,AA75,AA91:AA94,AA98)</f>
        <v>23463</v>
      </c>
      <c r="AB100" s="5"/>
      <c r="AC100" s="5"/>
      <c r="AD100" s="5"/>
      <c r="AE100" s="5"/>
      <c r="AF100" s="8">
        <f>SUM(AF66:AF68,AF71:AF72,AF88,AF83,AF78:AF80,AF75,AF91:AF94,AF98)</f>
        <v>22277</v>
      </c>
      <c r="AG100" s="5"/>
      <c r="AH100" s="5"/>
      <c r="AI100" s="5"/>
      <c r="AJ100" s="5"/>
      <c r="AK100" s="8">
        <f>SUM(AK66:AK68,AK71:AK72,AK88,AK83,AK78:AK80,AK75,AK91:AK94,AK98)</f>
        <v>42014</v>
      </c>
      <c r="AL100" s="5"/>
      <c r="AM100" s="5"/>
      <c r="AN100" s="5"/>
      <c r="AO100" s="5"/>
      <c r="AP100" s="8">
        <f>SUM(AP66:AP68,AP71:AP72,AP88,AP83,AP78:AP80,AP75,AP91:AP94,AP98)</f>
        <v>23973</v>
      </c>
      <c r="AQ100" s="5"/>
      <c r="AR100" s="5"/>
      <c r="AS100" s="5"/>
      <c r="AT100" s="5"/>
      <c r="AU100" s="8">
        <f>SUM(AU66:AU68,AU71:AU72,AU88,AU83,AU78:AU80,AU75,AU91:AU94,AU98)</f>
        <v>16050</v>
      </c>
      <c r="AV100" s="5"/>
      <c r="AW100" s="5"/>
      <c r="AX100" s="5"/>
      <c r="AY100" s="5"/>
      <c r="AZ100" s="8">
        <f>SUM(AZ66:AZ68,AZ71:AZ72,AZ88,AZ83,AZ78:AZ80,AZ75,AZ91:AZ94,AZ98)</f>
        <v>33742</v>
      </c>
      <c r="BA100" s="5"/>
      <c r="BB100" s="5"/>
      <c r="BC100" s="5"/>
      <c r="BD100" s="5"/>
      <c r="BE100" s="8">
        <f>SUM(BE66:BE68,BE71:BE72,BE88,BE83,BE78:BE80,BE75,BE91:BE94,BE98)</f>
        <v>14648</v>
      </c>
      <c r="BF100" s="5"/>
      <c r="BG100" s="5"/>
      <c r="BH100" s="5"/>
      <c r="BI100" s="5"/>
      <c r="BJ100" s="8">
        <f>SUM(BJ66:BJ68,BJ71:BJ72,BJ88,BJ83,BJ78:BJ80,BJ75,BJ91:BJ94,BJ98)</f>
        <v>8854</v>
      </c>
      <c r="BK100" s="5"/>
      <c r="BL100" s="5"/>
      <c r="BM100" s="5"/>
      <c r="BN100" s="5"/>
      <c r="BO100" s="8">
        <f ca="1">SUM(BO66:BO68,BO71:BO72,BO88,BO83,BO78:BO80,BO75,BO91:BO94,BO98)</f>
        <v>15657</v>
      </c>
      <c r="BP100" s="5"/>
      <c r="BQ100" s="5"/>
      <c r="BR100" s="5"/>
      <c r="BS100" s="5"/>
      <c r="BT100" s="8">
        <f ca="1">SUM(BT66:BT68,BT71:BT72,BT88,BT83,BT78:BT80,BT75,BT91:BT94,BT98)</f>
        <v>20331.057238796984</v>
      </c>
      <c r="BU100" s="5"/>
      <c r="BV100" s="5"/>
      <c r="BW100" s="5"/>
      <c r="BX100" s="5"/>
      <c r="BY100" s="8">
        <f ca="1">SUM(BY66:BY68,BY71:BY72,BY88,BY83,BY78:BY80,BY75,BY91:BY94,BY98)</f>
        <v>26746.985430631368</v>
      </c>
      <c r="BZ100" s="5"/>
      <c r="CA100" s="5"/>
      <c r="CB100" s="5"/>
      <c r="CC100" s="5"/>
      <c r="CD100" s="8">
        <f ca="1">SUM(CD66:CD68,CD71:CD72,CD88,CD83,CD78:CD80,CD75,CD91:CD94,CD98)</f>
        <v>27845.301271386124</v>
      </c>
      <c r="CF100" s="50"/>
      <c r="CG100" s="50"/>
      <c r="CH100" s="50"/>
    </row>
    <row r="101" spans="1:86">
      <c r="A101" s="5"/>
      <c r="B101" s="5"/>
      <c r="C101" s="72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F101" s="50"/>
      <c r="CG101" s="50"/>
      <c r="CH101" s="50"/>
    </row>
    <row r="102" spans="1:86">
      <c r="A102" s="5"/>
      <c r="B102" s="5"/>
      <c r="C102" s="72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F102" s="50"/>
      <c r="CG102" s="50"/>
      <c r="CH102" s="50"/>
    </row>
    <row r="103" spans="1:86">
      <c r="A103" s="4" t="s">
        <v>1238</v>
      </c>
      <c r="B103" s="5"/>
      <c r="C103" s="72"/>
      <c r="D103" s="5">
        <f>-Assets!D14</f>
        <v>-11966</v>
      </c>
      <c r="E103" s="5">
        <f>-Assets!E14</f>
        <v>-12808</v>
      </c>
      <c r="F103" s="5">
        <f>-Assets!F14</f>
        <v>-12394</v>
      </c>
      <c r="G103" s="5">
        <f>-Assets!G14</f>
        <v>-12788</v>
      </c>
      <c r="H103" s="5"/>
      <c r="I103" s="5"/>
      <c r="J103" s="5"/>
      <c r="K103" s="5"/>
      <c r="L103" s="5">
        <f>-Assets!L14</f>
        <v>-15653</v>
      </c>
      <c r="M103" s="5"/>
      <c r="N103" s="5"/>
      <c r="O103" s="5"/>
      <c r="P103" s="5"/>
      <c r="Q103" s="5">
        <f>-Assets!Q14</f>
        <v>-17308</v>
      </c>
      <c r="R103" s="5"/>
      <c r="S103" s="5"/>
      <c r="T103" s="5"/>
      <c r="U103" s="5"/>
      <c r="V103" s="5">
        <f>-Assets!V14</f>
        <v>-18529</v>
      </c>
      <c r="W103" s="5"/>
      <c r="X103" s="5"/>
      <c r="Y103" s="5"/>
      <c r="Z103" s="5"/>
      <c r="AA103" s="5">
        <f>-Assets!AA14</f>
        <v>-17042</v>
      </c>
      <c r="AB103" s="5"/>
      <c r="AC103" s="5"/>
      <c r="AD103" s="5"/>
      <c r="AE103" s="5"/>
      <c r="AF103" s="5">
        <f>-Assets!AF14</f>
        <v>-16510</v>
      </c>
      <c r="AG103" s="5"/>
      <c r="AH103" s="5"/>
      <c r="AI103" s="5"/>
      <c r="AJ103" s="5"/>
      <c r="AK103" s="5">
        <f>-Assets!AK14</f>
        <v>-23919</v>
      </c>
      <c r="AL103" s="5"/>
      <c r="AM103" s="5"/>
      <c r="AN103" s="5"/>
      <c r="AO103" s="5"/>
      <c r="AP103" s="5">
        <f>-Assets!AP14</f>
        <v>-22211</v>
      </c>
      <c r="AQ103" s="5"/>
      <c r="AR103" s="5"/>
      <c r="AS103" s="5"/>
      <c r="AT103" s="5"/>
      <c r="AU103" s="5">
        <f>-Assets!AU14</f>
        <v>-20039</v>
      </c>
      <c r="AV103" s="5"/>
      <c r="AW103" s="5"/>
      <c r="AX103" s="5"/>
      <c r="AY103" s="5"/>
      <c r="AZ103" s="5">
        <f>-Assets!AZ14</f>
        <v>-22367</v>
      </c>
      <c r="BA103" s="5"/>
      <c r="BB103" s="5"/>
      <c r="BC103" s="5"/>
      <c r="BD103" s="5"/>
      <c r="BE103" s="5">
        <f>-Assets!BE14</f>
        <v>-17079</v>
      </c>
      <c r="BF103" s="5"/>
      <c r="BG103" s="5"/>
      <c r="BH103" s="5"/>
      <c r="BI103" s="5"/>
      <c r="BJ103" s="5">
        <f>-Assets!BJ14</f>
        <v>-14781</v>
      </c>
      <c r="BK103" s="5"/>
      <c r="BL103" s="5"/>
      <c r="BM103" s="5"/>
      <c r="BN103" s="5"/>
      <c r="BO103" s="5">
        <f>-Assets!BO14</f>
        <v>-15776</v>
      </c>
      <c r="BP103" s="5"/>
      <c r="BQ103" s="5"/>
      <c r="BR103" s="5"/>
      <c r="BS103" s="5"/>
      <c r="BT103" s="5">
        <f>-Assets!BT14</f>
        <v>-15582</v>
      </c>
      <c r="BU103" s="5"/>
      <c r="BV103" s="5"/>
      <c r="BW103" s="5"/>
      <c r="BX103" s="5"/>
      <c r="BY103" s="5">
        <f>-Assets!BY14</f>
        <v>-15925</v>
      </c>
      <c r="BZ103" s="5"/>
      <c r="CA103" s="5"/>
      <c r="CB103" s="5"/>
      <c r="CC103" s="5"/>
      <c r="CD103" s="5">
        <f>-Assets!CD14</f>
        <v>-15925</v>
      </c>
      <c r="CF103" s="175"/>
      <c r="CG103" s="50"/>
      <c r="CH103" s="50"/>
    </row>
    <row r="104" spans="1:86">
      <c r="A104" s="4" t="s">
        <v>2722</v>
      </c>
      <c r="B104" s="5"/>
      <c r="C104" s="72"/>
      <c r="D104" s="5">
        <f>-Assets!D15</f>
        <v>-4945</v>
      </c>
      <c r="E104" s="5">
        <f>-Assets!E15</f>
        <v>-34</v>
      </c>
      <c r="F104" s="5">
        <f>-Assets!F15</f>
        <v>-1463</v>
      </c>
      <c r="G104" s="5">
        <f>-Assets!G15</f>
        <v>-23</v>
      </c>
      <c r="H104" s="5"/>
      <c r="I104" s="5"/>
      <c r="J104" s="5"/>
      <c r="K104" s="5"/>
      <c r="L104" s="5">
        <f>-Assets!L15</f>
        <v>-16</v>
      </c>
      <c r="M104" s="5"/>
      <c r="N104" s="5"/>
      <c r="O104" s="5"/>
      <c r="P104" s="5"/>
      <c r="Q104" s="5">
        <f>-Assets!Q15</f>
        <v>-910</v>
      </c>
      <c r="R104" s="5"/>
      <c r="S104" s="5"/>
      <c r="T104" s="5"/>
      <c r="U104" s="5"/>
      <c r="V104" s="5">
        <f>-Assets!V15</f>
        <v>-348</v>
      </c>
      <c r="W104" s="5"/>
      <c r="X104" s="5"/>
      <c r="Y104" s="5"/>
      <c r="Z104" s="5"/>
      <c r="AA104" s="5">
        <f>-Assets!AA15</f>
        <v>0</v>
      </c>
      <c r="AB104" s="5"/>
      <c r="AC104" s="5"/>
      <c r="AD104" s="5"/>
      <c r="AE104" s="5"/>
      <c r="AF104" s="5">
        <f>-Assets!AF15</f>
        <v>-1997</v>
      </c>
      <c r="AG104" s="5"/>
      <c r="AH104" s="5"/>
      <c r="AI104" s="5"/>
      <c r="AJ104" s="5"/>
      <c r="AK104" s="5">
        <f>-Assets!AK15</f>
        <v>-2867</v>
      </c>
      <c r="AL104" s="5"/>
      <c r="AM104" s="5"/>
      <c r="AN104" s="5"/>
      <c r="AO104" s="5"/>
      <c r="AP104" s="5">
        <f>-Assets!AP15</f>
        <v>-61</v>
      </c>
      <c r="AQ104" s="5"/>
      <c r="AR104" s="5"/>
      <c r="AS104" s="5"/>
      <c r="AT104" s="5"/>
      <c r="AU104" s="5">
        <f>-Assets!AU15</f>
        <v>-8</v>
      </c>
      <c r="AV104" s="5"/>
      <c r="AW104" s="5"/>
      <c r="AX104" s="5"/>
      <c r="AY104" s="5"/>
      <c r="AZ104" s="5">
        <f>-Assets!AZ15</f>
        <v>-308</v>
      </c>
      <c r="BA104" s="5"/>
      <c r="BB104" s="5"/>
      <c r="BC104" s="5"/>
      <c r="BD104" s="5"/>
      <c r="BE104" s="5">
        <f>-Assets!BE15</f>
        <v>-27</v>
      </c>
      <c r="BF104" s="5"/>
      <c r="BG104" s="5"/>
      <c r="BH104" s="5"/>
      <c r="BI104" s="5"/>
      <c r="BJ104" s="5">
        <f>-Assets!BJ15</f>
        <v>-839</v>
      </c>
      <c r="BK104" s="5"/>
      <c r="BL104" s="5"/>
      <c r="BM104" s="5"/>
      <c r="BN104" s="5"/>
      <c r="BO104" s="5">
        <f>-Assets!BO15</f>
        <v>-270</v>
      </c>
      <c r="BP104" s="5"/>
      <c r="BQ104" s="5"/>
      <c r="BR104" s="5"/>
      <c r="BS104" s="5"/>
      <c r="BT104" s="5">
        <f>-Assets!BT15</f>
        <v>-1300</v>
      </c>
      <c r="BU104" s="5"/>
      <c r="BV104" s="5"/>
      <c r="BW104" s="5"/>
      <c r="BX104" s="5"/>
      <c r="BY104" s="5">
        <f>-Assets!BY15</f>
        <v>0</v>
      </c>
      <c r="BZ104" s="5"/>
      <c r="CA104" s="5"/>
      <c r="CB104" s="5"/>
      <c r="CC104" s="5"/>
      <c r="CD104" s="5">
        <f>-Assets!CD15</f>
        <v>0</v>
      </c>
      <c r="CF104" s="175"/>
      <c r="CG104" s="50"/>
      <c r="CH104" s="50"/>
    </row>
    <row r="105" spans="1:86">
      <c r="A105" s="4"/>
      <c r="B105" s="5"/>
      <c r="C105" s="72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F105" s="175"/>
      <c r="CG105" s="50"/>
      <c r="CH105" s="50"/>
    </row>
    <row r="106" spans="1:86">
      <c r="A106" s="5" t="s">
        <v>2330</v>
      </c>
      <c r="B106" s="5"/>
      <c r="C106" s="72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F106" s="175"/>
      <c r="CG106" s="50"/>
      <c r="CH106" s="50"/>
    </row>
    <row r="107" spans="1:86">
      <c r="A107" s="202"/>
      <c r="B107" s="202" t="s">
        <v>629</v>
      </c>
      <c r="C107" s="72"/>
      <c r="D107" s="5">
        <f>'Balance sheet'!C12-'Balance sheet'!D12</f>
        <v>-467</v>
      </c>
      <c r="E107" s="5">
        <f>'Balance sheet'!D12-'Balance sheet'!E12</f>
        <v>-154</v>
      </c>
      <c r="F107" s="5">
        <f>'Balance sheet'!E12-'Balance sheet'!F12</f>
        <v>-265</v>
      </c>
      <c r="G107" s="5">
        <f>'Balance sheet'!F12-'Balance sheet'!G12</f>
        <v>486</v>
      </c>
      <c r="H107" s="5"/>
      <c r="I107" s="5"/>
      <c r="J107" s="5"/>
      <c r="K107" s="5"/>
      <c r="L107" s="5">
        <f>'Balance sheet'!G12-'Balance sheet'!L12</f>
        <v>-409</v>
      </c>
      <c r="M107" s="5"/>
      <c r="N107" s="5"/>
      <c r="O107" s="5"/>
      <c r="P107" s="5"/>
      <c r="Q107" s="5">
        <f>'Balance sheet'!L12-'Balance sheet'!Q12</f>
        <v>-226</v>
      </c>
      <c r="R107" s="5"/>
      <c r="S107" s="5"/>
      <c r="T107" s="5"/>
      <c r="U107" s="5"/>
      <c r="V107" s="5">
        <f>'Balance sheet'!Q12-'Balance sheet'!V12</f>
        <v>1128</v>
      </c>
      <c r="W107" s="5"/>
      <c r="X107" s="5"/>
      <c r="Y107" s="5"/>
      <c r="Z107" s="5"/>
      <c r="AA107" s="5">
        <f>'Balance sheet'!V12-'Balance sheet'!AA12</f>
        <v>1258</v>
      </c>
      <c r="AB107" s="5"/>
      <c r="AC107" s="5"/>
      <c r="AD107" s="5"/>
      <c r="AE107" s="5"/>
      <c r="AF107" s="5">
        <f>'Balance sheet'!AA12-'Balance sheet'!AF12</f>
        <v>22</v>
      </c>
      <c r="AG107" s="5"/>
      <c r="AH107" s="5"/>
      <c r="AI107" s="5"/>
      <c r="AJ107" s="5"/>
      <c r="AK107" s="5">
        <f>'Balance sheet'!AF12-'Balance sheet'!AK12</f>
        <v>-3502</v>
      </c>
      <c r="AL107" s="5"/>
      <c r="AM107" s="5"/>
      <c r="AN107" s="5"/>
      <c r="AO107" s="5"/>
      <c r="AP107" s="5">
        <f>'Balance sheet'!AK12-'Balance sheet'!AP12</f>
        <v>239</v>
      </c>
      <c r="AQ107" s="5"/>
      <c r="AR107" s="5"/>
      <c r="AS107" s="5"/>
      <c r="AT107" s="5"/>
      <c r="AU107" s="5">
        <f>'Balance sheet'!AP12-'Balance sheet'!AU12</f>
        <v>-320</v>
      </c>
      <c r="AV107" s="5"/>
      <c r="AW107" s="5"/>
      <c r="AX107" s="5"/>
      <c r="AY107" s="5"/>
      <c r="AZ107" s="5">
        <f>'Balance sheet'!AU12-'Balance sheet'!AZ12</f>
        <v>313</v>
      </c>
      <c r="BA107" s="5"/>
      <c r="BB107" s="5"/>
      <c r="BC107" s="5"/>
      <c r="BD107" s="5"/>
      <c r="BE107" s="5">
        <f>'Balance sheet'!AZ12-'Balance sheet'!BE12</f>
        <v>241</v>
      </c>
      <c r="BF107" s="5"/>
      <c r="BG107" s="5"/>
      <c r="BH107" s="5"/>
      <c r="BI107" s="5"/>
      <c r="BJ107" s="5">
        <f>'Balance sheet'!BE12-'Balance sheet'!BJ12</f>
        <v>433</v>
      </c>
      <c r="BK107" s="5"/>
      <c r="BL107" s="5"/>
      <c r="BM107" s="5"/>
      <c r="BN107" s="5"/>
      <c r="BO107" s="5">
        <f>'Balance sheet'!BJ12-'Balance sheet'!BO12</f>
        <v>-357</v>
      </c>
      <c r="BP107" s="5"/>
      <c r="BQ107" s="5"/>
      <c r="BR107" s="5"/>
      <c r="BS107" s="5"/>
      <c r="BT107" s="5">
        <f>'Balance sheet'!BO12-'Balance sheet'!BT12</f>
        <v>0</v>
      </c>
      <c r="BU107" s="5"/>
      <c r="BV107" s="5"/>
      <c r="BW107" s="5"/>
      <c r="BX107" s="5"/>
      <c r="BY107" s="5">
        <f>'Balance sheet'!BT12-'Balance sheet'!BY12</f>
        <v>0</v>
      </c>
      <c r="BZ107" s="5"/>
      <c r="CA107" s="5"/>
      <c r="CB107" s="5"/>
      <c r="CC107" s="5"/>
      <c r="CD107" s="5">
        <f>'Balance sheet'!BY12-'Balance sheet'!CD12</f>
        <v>0</v>
      </c>
      <c r="CF107" s="175"/>
      <c r="CG107" s="50"/>
      <c r="CH107" s="50"/>
    </row>
    <row r="108" spans="1:86">
      <c r="A108" s="202"/>
      <c r="B108" s="202" t="s">
        <v>1410</v>
      </c>
      <c r="C108" s="72"/>
      <c r="D108" s="5">
        <f>'Balance sheet'!C13-'Balance sheet'!D13</f>
        <v>1390</v>
      </c>
      <c r="E108" s="5">
        <f>'Balance sheet'!D13-'Balance sheet'!E13</f>
        <v>657</v>
      </c>
      <c r="F108" s="5">
        <f>'Balance sheet'!E13-'Balance sheet'!F13</f>
        <v>266</v>
      </c>
      <c r="G108" s="5">
        <f>'Balance sheet'!F13-'Balance sheet'!G13</f>
        <v>-567</v>
      </c>
      <c r="H108" s="5"/>
      <c r="I108" s="5"/>
      <c r="J108" s="5"/>
      <c r="K108" s="5"/>
      <c r="L108" s="5">
        <f>'Balance sheet'!G13-'Balance sheet'!L13</f>
        <v>-474</v>
      </c>
      <c r="M108" s="5"/>
      <c r="N108" s="5"/>
      <c r="O108" s="5"/>
      <c r="P108" s="5"/>
      <c r="Q108" s="5">
        <f>'Balance sheet'!L13-'Balance sheet'!Q13</f>
        <v>-1406</v>
      </c>
      <c r="R108" s="5"/>
      <c r="S108" s="5"/>
      <c r="T108" s="5"/>
      <c r="U108" s="5"/>
      <c r="V108" s="5">
        <f>'Balance sheet'!Q13-'Balance sheet'!V13</f>
        <v>-3608</v>
      </c>
      <c r="W108" s="5"/>
      <c r="X108" s="5"/>
      <c r="Y108" s="5"/>
      <c r="Z108" s="5"/>
      <c r="AA108" s="5">
        <f>'Balance sheet'!V13-'Balance sheet'!AA13</f>
        <v>-1288</v>
      </c>
      <c r="AB108" s="5"/>
      <c r="AC108" s="5"/>
      <c r="AD108" s="5"/>
      <c r="AE108" s="5"/>
      <c r="AF108" s="5">
        <f>'Balance sheet'!AA13-'Balance sheet'!AF13</f>
        <v>-2750</v>
      </c>
      <c r="AG108" s="5"/>
      <c r="AH108" s="5"/>
      <c r="AI108" s="5"/>
      <c r="AJ108" s="5"/>
      <c r="AK108" s="5">
        <f>'Balance sheet'!AF13-'Balance sheet'!AK13</f>
        <v>-6804</v>
      </c>
      <c r="AL108" s="5"/>
      <c r="AM108" s="5"/>
      <c r="AN108" s="5"/>
      <c r="AO108" s="5"/>
      <c r="AP108" s="5">
        <f>'Balance sheet'!AK13-'Balance sheet'!AP13</f>
        <v>-2939</v>
      </c>
      <c r="AQ108" s="5"/>
      <c r="AR108" s="5"/>
      <c r="AS108" s="5"/>
      <c r="AT108" s="5"/>
      <c r="AU108" s="5">
        <f>'Balance sheet'!AP13-'Balance sheet'!AU13</f>
        <v>2002</v>
      </c>
      <c r="AV108" s="5"/>
      <c r="AW108" s="5"/>
      <c r="AX108" s="5"/>
      <c r="AY108" s="5"/>
      <c r="AZ108" s="5">
        <f>'Balance sheet'!AU13-'Balance sheet'!AZ13</f>
        <v>1132</v>
      </c>
      <c r="BA108" s="5"/>
      <c r="BB108" s="5"/>
      <c r="BC108" s="5"/>
      <c r="BD108" s="5"/>
      <c r="BE108" s="5">
        <f>'Balance sheet'!AZ13-'Balance sheet'!BE13</f>
        <v>2247</v>
      </c>
      <c r="BF108" s="5"/>
      <c r="BG108" s="5"/>
      <c r="BH108" s="5"/>
      <c r="BI108" s="5"/>
      <c r="BJ108" s="5">
        <f>'Balance sheet'!BE13-'Balance sheet'!BJ13</f>
        <v>477</v>
      </c>
      <c r="BK108" s="5"/>
      <c r="BL108" s="5"/>
      <c r="BM108" s="5"/>
      <c r="BN108" s="5"/>
      <c r="BO108" s="5">
        <f>'Balance sheet'!BJ13-'Balance sheet'!BO13</f>
        <v>-172</v>
      </c>
      <c r="BP108" s="5"/>
      <c r="BQ108" s="5"/>
      <c r="BR108" s="5"/>
      <c r="BS108" s="5"/>
      <c r="BT108" s="5">
        <f>'Balance sheet'!BO13-'Balance sheet'!BT13</f>
        <v>0</v>
      </c>
      <c r="BU108" s="5"/>
      <c r="BV108" s="5"/>
      <c r="BW108" s="5"/>
      <c r="BX108" s="5"/>
      <c r="BY108" s="5">
        <f>'Balance sheet'!BT13-'Balance sheet'!BY13</f>
        <v>0</v>
      </c>
      <c r="BZ108" s="5"/>
      <c r="CA108" s="5"/>
      <c r="CB108" s="5"/>
      <c r="CC108" s="5"/>
      <c r="CD108" s="5">
        <f>'Balance sheet'!BY13-'Balance sheet'!CD13</f>
        <v>0</v>
      </c>
      <c r="CF108" s="175"/>
      <c r="CG108" s="50"/>
      <c r="CH108" s="50"/>
    </row>
    <row r="109" spans="1:86">
      <c r="A109" s="202"/>
      <c r="B109" s="202" t="s">
        <v>630</v>
      </c>
      <c r="C109" s="72"/>
      <c r="D109" s="5">
        <f>'Balance sheet'!C14-'Balance sheet'!D14</f>
        <v>-170</v>
      </c>
      <c r="E109" s="5">
        <f>'Balance sheet'!D14-'Balance sheet'!E14</f>
        <v>-8878</v>
      </c>
      <c r="F109" s="5">
        <f>'Balance sheet'!E14-'Balance sheet'!F14</f>
        <v>-1647</v>
      </c>
      <c r="G109" s="5">
        <f>'Balance sheet'!F14-'Balance sheet'!G14</f>
        <v>1000</v>
      </c>
      <c r="H109" s="5"/>
      <c r="I109" s="5"/>
      <c r="J109" s="5"/>
      <c r="K109" s="5"/>
      <c r="L109" s="5">
        <f>'Balance sheet'!G14-'Balance sheet'!L14</f>
        <v>-1518</v>
      </c>
      <c r="M109" s="5"/>
      <c r="N109" s="5"/>
      <c r="O109" s="5"/>
      <c r="P109" s="5"/>
      <c r="Q109" s="5">
        <f>'Balance sheet'!L14-'Balance sheet'!Q14</f>
        <v>-3039</v>
      </c>
      <c r="R109" s="5"/>
      <c r="S109" s="5"/>
      <c r="T109" s="5"/>
      <c r="U109" s="5"/>
      <c r="V109" s="5">
        <f>'Balance sheet'!Q14-'Balance sheet'!V14</f>
        <v>-5713</v>
      </c>
      <c r="W109" s="5"/>
      <c r="X109" s="5"/>
      <c r="Y109" s="5"/>
      <c r="Z109" s="5"/>
      <c r="AA109" s="5">
        <f>'Balance sheet'!V14-'Balance sheet'!AA14</f>
        <v>8530</v>
      </c>
      <c r="AB109" s="5"/>
      <c r="AC109" s="5"/>
      <c r="AD109" s="5"/>
      <c r="AE109" s="5"/>
      <c r="AF109" s="5">
        <f>'Balance sheet'!AA14-'Balance sheet'!AF14</f>
        <v>369</v>
      </c>
      <c r="AG109" s="5"/>
      <c r="AH109" s="5"/>
      <c r="AI109" s="5"/>
      <c r="AJ109" s="5"/>
      <c r="AK109" s="5">
        <f>'Balance sheet'!AF14-'Balance sheet'!AK14</f>
        <v>-591</v>
      </c>
      <c r="AL109" s="5"/>
      <c r="AM109" s="5"/>
      <c r="AN109" s="5"/>
      <c r="AO109" s="5"/>
      <c r="AP109" s="5">
        <f>'Balance sheet'!AK14-'Balance sheet'!AP14</f>
        <v>-206</v>
      </c>
      <c r="AQ109" s="5"/>
      <c r="AR109" s="5"/>
      <c r="AS109" s="5"/>
      <c r="AT109" s="5"/>
      <c r="AU109" s="5">
        <f>'Balance sheet'!AP14-'Balance sheet'!AU14</f>
        <v>6525</v>
      </c>
      <c r="AV109" s="5"/>
      <c r="AW109" s="5"/>
      <c r="AX109" s="5"/>
      <c r="AY109" s="5"/>
      <c r="AZ109" s="5">
        <f>'Balance sheet'!AU14-'Balance sheet'!AZ14</f>
        <v>446</v>
      </c>
      <c r="BA109" s="5"/>
      <c r="BB109" s="5"/>
      <c r="BC109" s="5"/>
      <c r="BD109" s="5"/>
      <c r="BE109" s="5">
        <f>'Balance sheet'!AZ14-'Balance sheet'!BE14</f>
        <v>341</v>
      </c>
      <c r="BF109" s="5"/>
      <c r="BG109" s="5"/>
      <c r="BH109" s="5"/>
      <c r="BI109" s="5"/>
      <c r="BJ109" s="5">
        <f>'Balance sheet'!BE14-'Balance sheet'!BJ14</f>
        <v>-197</v>
      </c>
      <c r="BK109" s="5"/>
      <c r="BL109" s="5"/>
      <c r="BM109" s="5"/>
      <c r="BN109" s="5"/>
      <c r="BO109" s="5">
        <f>'Balance sheet'!BJ14-'Balance sheet'!BO14</f>
        <v>615</v>
      </c>
      <c r="BP109" s="5"/>
      <c r="BQ109" s="5"/>
      <c r="BR109" s="5"/>
      <c r="BS109" s="5"/>
      <c r="BT109" s="5">
        <f>'Balance sheet'!BO14-'Balance sheet'!BT14</f>
        <v>-318</v>
      </c>
      <c r="BU109" s="5"/>
      <c r="BV109" s="5"/>
      <c r="BW109" s="5"/>
      <c r="BX109" s="5"/>
      <c r="BY109" s="5">
        <f>'Balance sheet'!BT14-'Balance sheet'!BY14</f>
        <v>-325</v>
      </c>
      <c r="BZ109" s="5"/>
      <c r="CA109" s="5"/>
      <c r="CB109" s="5"/>
      <c r="CC109" s="5"/>
      <c r="CD109" s="5">
        <f>'Balance sheet'!BY14-'Balance sheet'!CD14</f>
        <v>-325</v>
      </c>
      <c r="CF109" s="175"/>
      <c r="CG109" s="50"/>
      <c r="CH109" s="50"/>
    </row>
    <row r="110" spans="1:86">
      <c r="A110" s="202"/>
      <c r="B110" s="202" t="s">
        <v>631</v>
      </c>
      <c r="C110" s="72"/>
      <c r="D110" s="5">
        <f>'Balance sheet'!C15-'Balance sheet'!D15</f>
        <v>807</v>
      </c>
      <c r="E110" s="5">
        <f>'Balance sheet'!D15-'Balance sheet'!E15-E98</f>
        <v>424</v>
      </c>
      <c r="F110" s="5">
        <f>'Balance sheet'!E15-'Balance sheet'!F15-F98</f>
        <v>-537</v>
      </c>
      <c r="G110" s="5">
        <f>'Balance sheet'!F15-'Balance sheet'!G15-G98</f>
        <v>-21</v>
      </c>
      <c r="H110" s="5"/>
      <c r="I110" s="5"/>
      <c r="J110" s="5"/>
      <c r="K110" s="5"/>
      <c r="L110" s="5">
        <f>'Balance sheet'!G15-'Balance sheet'!L15-L98</f>
        <v>-258</v>
      </c>
      <c r="M110" s="5"/>
      <c r="N110" s="5"/>
      <c r="O110" s="5"/>
      <c r="P110" s="5"/>
      <c r="Q110" s="5">
        <f>'Balance sheet'!L15-'Balance sheet'!Q15-Q98</f>
        <v>2755</v>
      </c>
      <c r="R110" s="5"/>
      <c r="S110" s="5"/>
      <c r="T110" s="5"/>
      <c r="U110" s="5"/>
      <c r="V110" s="5">
        <f>'Balance sheet'!Q15-'Balance sheet'!V15-V98</f>
        <v>672</v>
      </c>
      <c r="W110" s="5"/>
      <c r="X110" s="5"/>
      <c r="Y110" s="5"/>
      <c r="Z110" s="5"/>
      <c r="AA110" s="5">
        <f>'Balance sheet'!V15-'Balance sheet'!AA15-AA98</f>
        <v>-8065</v>
      </c>
      <c r="AB110" s="5"/>
      <c r="AC110" s="5"/>
      <c r="AD110" s="5"/>
      <c r="AE110" s="5"/>
      <c r="AF110" s="5">
        <f>'Balance sheet'!AA15-'Balance sheet'!AF15-AF98</f>
        <v>1108</v>
      </c>
      <c r="AG110" s="5"/>
      <c r="AH110" s="5"/>
      <c r="AI110" s="5"/>
      <c r="AJ110" s="5"/>
      <c r="AK110" s="5">
        <f>'Balance sheet'!AF15-'Balance sheet'!AK15-AK98</f>
        <v>883</v>
      </c>
      <c r="AL110" s="5"/>
      <c r="AM110" s="5"/>
      <c r="AN110" s="5"/>
      <c r="AO110" s="5"/>
      <c r="AP110" s="5">
        <f>'Balance sheet'!AK15-'Balance sheet'!AP15-AP98</f>
        <v>12267</v>
      </c>
      <c r="AQ110" s="5"/>
      <c r="AR110" s="5"/>
      <c r="AS110" s="5"/>
      <c r="AT110" s="5"/>
      <c r="AU110" s="5">
        <f>'Balance sheet'!AP15-'Balance sheet'!AU15-AU98-Assets!AO74</f>
        <v>51</v>
      </c>
      <c r="AV110" s="5"/>
      <c r="AW110" s="5"/>
      <c r="AX110" s="5"/>
      <c r="AY110" s="5"/>
      <c r="AZ110" s="5">
        <f>'Balance sheet'!AU15-'Balance sheet'!AZ15-AZ98</f>
        <v>7640</v>
      </c>
      <c r="BA110" s="5"/>
      <c r="BB110" s="5"/>
      <c r="BC110" s="5"/>
      <c r="BD110" s="5"/>
      <c r="BE110" s="5">
        <f>'Balance sheet'!AZ15-'Balance sheet'!BE15-BE98</f>
        <v>2020</v>
      </c>
      <c r="BF110" s="5"/>
      <c r="BG110" s="5"/>
      <c r="BH110" s="5"/>
      <c r="BI110" s="5"/>
      <c r="BJ110" s="5">
        <f>'Balance sheet'!BE15-'Balance sheet'!BJ15-BJ98</f>
        <v>-4412</v>
      </c>
      <c r="BK110" s="5"/>
      <c r="BL110" s="5"/>
      <c r="BM110" s="5"/>
      <c r="BN110" s="5"/>
      <c r="BO110" s="5">
        <f>'Balance sheet'!BJ15-'Balance sheet'!BO15-BO98</f>
        <v>-2377</v>
      </c>
      <c r="BP110" s="5"/>
      <c r="BQ110" s="5"/>
      <c r="BR110" s="5"/>
      <c r="BS110" s="5"/>
      <c r="BT110" s="5">
        <f ca="1">'Balance sheet'!BO15-'Balance sheet'!BT15-BT98</f>
        <v>3.637978807091713E-12</v>
      </c>
      <c r="BU110" s="5"/>
      <c r="BV110" s="5"/>
      <c r="BW110" s="5"/>
      <c r="BX110" s="5"/>
      <c r="BY110" s="5">
        <f ca="1">'Balance sheet'!BT15-'Balance sheet'!BY15-BY98</f>
        <v>0</v>
      </c>
      <c r="BZ110" s="5"/>
      <c r="CA110" s="5"/>
      <c r="CB110" s="5"/>
      <c r="CC110" s="5"/>
      <c r="CD110" s="5">
        <f ca="1">'Balance sheet'!BY15-'Balance sheet'!CD15-CD98</f>
        <v>0</v>
      </c>
      <c r="CF110" s="175"/>
      <c r="CG110" s="50"/>
      <c r="CH110" s="50"/>
    </row>
    <row r="111" spans="1:86">
      <c r="A111" s="202"/>
      <c r="B111" s="202" t="s">
        <v>632</v>
      </c>
      <c r="C111" s="72"/>
      <c r="D111" s="5">
        <f>'Balance sheet'!C16-'Balance sheet'!D16+'Balance sheet'!C17-'Balance sheet'!D17+'Balance sheet'!C26-'Balance sheet'!D26+'Balance sheet'!C32-'Balance sheet'!D32</f>
        <v>2743</v>
      </c>
      <c r="E111" s="5">
        <f>'Balance sheet'!D16-'Balance sheet'!E16+'Balance sheet'!D17-'Balance sheet'!E17+'Balance sheet'!D26-'Balance sheet'!E26+'Balance sheet'!D32-'Balance sheet'!E32</f>
        <v>1855</v>
      </c>
      <c r="F111" s="5">
        <f>'Balance sheet'!E16-'Balance sheet'!F16+'Balance sheet'!E17-'Balance sheet'!F17+'Balance sheet'!E26-'Balance sheet'!F26+'Balance sheet'!E32-'Balance sheet'!F32</f>
        <v>1088</v>
      </c>
      <c r="G111" s="5">
        <f>'Balance sheet'!F16-'Balance sheet'!G16+'Balance sheet'!F17-'Balance sheet'!G17+'Balance sheet'!F26-'Balance sheet'!G26+'Balance sheet'!F32-'Balance sheet'!G32</f>
        <v>-522</v>
      </c>
      <c r="H111" s="5"/>
      <c r="I111" s="5"/>
      <c r="J111" s="5"/>
      <c r="K111" s="5"/>
      <c r="L111" s="5">
        <f>'Balance sheet'!G16-'Balance sheet'!L16+'Balance sheet'!G17-'Balance sheet'!L17+'Balance sheet'!G26-'Balance sheet'!L26+'Balance sheet'!G32-'Balance sheet'!L32</f>
        <v>-735</v>
      </c>
      <c r="M111" s="5"/>
      <c r="N111" s="5"/>
      <c r="O111" s="5"/>
      <c r="P111" s="5"/>
      <c r="Q111" s="5">
        <f>'Balance sheet'!L16-'Balance sheet'!Q16+'Balance sheet'!L17-'Balance sheet'!Q17+'Balance sheet'!L26-'Balance sheet'!Q26+'Balance sheet'!L32-'Balance sheet'!Q32</f>
        <v>-339</v>
      </c>
      <c r="R111" s="5"/>
      <c r="S111" s="5"/>
      <c r="T111" s="5"/>
      <c r="U111" s="5"/>
      <c r="V111" s="5">
        <f>'Balance sheet'!Q16-'Balance sheet'!V16+'Balance sheet'!Q17-'Balance sheet'!V17+'Balance sheet'!Q26-'Balance sheet'!V26+'Balance sheet'!Q32-'Balance sheet'!V32</f>
        <v>976</v>
      </c>
      <c r="W111" s="5"/>
      <c r="X111" s="5"/>
      <c r="Y111" s="5"/>
      <c r="Z111" s="5"/>
      <c r="AA111" s="5">
        <f>'Balance sheet'!V16-'Balance sheet'!AA16+'Balance sheet'!V17-'Balance sheet'!AA17+'Balance sheet'!V26-'Balance sheet'!AA26+'Balance sheet'!V32-'Balance sheet'!AA32</f>
        <v>-837</v>
      </c>
      <c r="AB111" s="5"/>
      <c r="AC111" s="5"/>
      <c r="AD111" s="5"/>
      <c r="AE111" s="5"/>
      <c r="AF111" s="5">
        <f>'Balance sheet'!AA16-'Balance sheet'!AF16+'Balance sheet'!AA17-'Balance sheet'!AF17+'Balance sheet'!AA26-'Balance sheet'!AF26+'Balance sheet'!AA32-'Balance sheet'!AF32</f>
        <v>-1009</v>
      </c>
      <c r="AG111" s="5"/>
      <c r="AH111" s="5"/>
      <c r="AI111" s="5"/>
      <c r="AJ111" s="5"/>
      <c r="AK111" s="5">
        <f>'Balance sheet'!AF16-'Balance sheet'!AK16+'Balance sheet'!AF17-'Balance sheet'!AK17+'Balance sheet'!AF26-'Balance sheet'!AK26+'Balance sheet'!AF32-'Balance sheet'!AK32</f>
        <v>331</v>
      </c>
      <c r="AL111" s="5"/>
      <c r="AM111" s="5"/>
      <c r="AN111" s="5"/>
      <c r="AO111" s="5"/>
      <c r="AP111" s="5">
        <f>'Balance sheet'!AK16-'Balance sheet'!AP16+'Balance sheet'!AK17-'Balance sheet'!AP17+'Balance sheet'!AK26-'Balance sheet'!AP26+'Balance sheet'!AK32-'Balance sheet'!AP32</f>
        <v>-430</v>
      </c>
      <c r="AQ111" s="5"/>
      <c r="AR111" s="5"/>
      <c r="AS111" s="5"/>
      <c r="AT111" s="5"/>
      <c r="AU111" s="5">
        <f>'Balance sheet'!AP16-'Balance sheet'!AU16+'Balance sheet'!AP17-'Balance sheet'!AU17+'Balance sheet'!AP26-'Balance sheet'!AU26+'Balance sheet'!AP32-'Balance sheet'!AU32</f>
        <v>952</v>
      </c>
      <c r="AV111" s="5"/>
      <c r="AW111" s="5"/>
      <c r="AX111" s="5"/>
      <c r="AY111" s="5"/>
      <c r="AZ111" s="5">
        <f>'Balance sheet'!AU16-'Balance sheet'!AZ16+'Balance sheet'!AU17-'Balance sheet'!AZ17+'Balance sheet'!AU26-'Balance sheet'!AZ26+'Balance sheet'!AU32-'Balance sheet'!AZ32</f>
        <v>462</v>
      </c>
      <c r="BA111" s="5"/>
      <c r="BB111" s="5"/>
      <c r="BC111" s="5"/>
      <c r="BD111" s="5"/>
      <c r="BE111" s="5">
        <f>'Balance sheet'!AZ16-'Balance sheet'!BE16+'Balance sheet'!AZ17-'Balance sheet'!BE17+'Balance sheet'!AZ26-'Balance sheet'!BE26+'Balance sheet'!AZ32-'Balance sheet'!BE32</f>
        <v>527</v>
      </c>
      <c r="BF111" s="5"/>
      <c r="BG111" s="5"/>
      <c r="BH111" s="5"/>
      <c r="BI111" s="5"/>
      <c r="BJ111" s="5">
        <f>'Balance sheet'!BE16-'Balance sheet'!BJ16+'Balance sheet'!BE17-'Balance sheet'!BJ17+'Balance sheet'!BE26-'Balance sheet'!BJ26+'Balance sheet'!BE32-'Balance sheet'!BJ32</f>
        <v>154</v>
      </c>
      <c r="BK111" s="5"/>
      <c r="BL111" s="5"/>
      <c r="BM111" s="5"/>
      <c r="BN111" s="5"/>
      <c r="BO111" s="5">
        <f>'Balance sheet'!BJ16-'Balance sheet'!BO16+'Balance sheet'!BJ17-'Balance sheet'!BO17+'Balance sheet'!BJ26-'Balance sheet'!BO26+'Balance sheet'!BJ32-'Balance sheet'!BO32</f>
        <v>-338</v>
      </c>
      <c r="BP111" s="5"/>
      <c r="BQ111" s="5"/>
      <c r="BR111" s="5"/>
      <c r="BS111" s="5"/>
      <c r="BT111" s="5">
        <f>'Balance sheet'!BO16-'Balance sheet'!BT16+'Balance sheet'!BO17-'Balance sheet'!BT17+'Balance sheet'!BO26-'Balance sheet'!BT26+'Balance sheet'!BO32-'Balance sheet'!BT32</f>
        <v>0</v>
      </c>
      <c r="BU111" s="5"/>
      <c r="BV111" s="5"/>
      <c r="BW111" s="5"/>
      <c r="BX111" s="5"/>
      <c r="BY111" s="5">
        <f>'Balance sheet'!BT16-'Balance sheet'!BY16+'Balance sheet'!BT17-'Balance sheet'!BY17+'Balance sheet'!BT26-'Balance sheet'!BY26+'Balance sheet'!BT32-'Balance sheet'!BY32</f>
        <v>0</v>
      </c>
      <c r="BZ111" s="5"/>
      <c r="CA111" s="5"/>
      <c r="CB111" s="5"/>
      <c r="CC111" s="5"/>
      <c r="CD111" s="5">
        <f>'Balance sheet'!BY16-'Balance sheet'!CD16+'Balance sheet'!BY17-'Balance sheet'!CD17+'Balance sheet'!BY26-'Balance sheet'!CD26+'Balance sheet'!BY32-'Balance sheet'!CD32</f>
        <v>0</v>
      </c>
      <c r="CF111" s="175"/>
      <c r="CG111" s="50"/>
      <c r="CH111" s="50"/>
    </row>
    <row r="112" spans="1:86">
      <c r="A112" s="5"/>
      <c r="B112" s="4" t="s">
        <v>2331</v>
      </c>
      <c r="C112" s="72"/>
      <c r="D112" s="5">
        <f>-Assets!D18+Assets!D29+'Balance sheet'!C36-'Balance sheet'!D36+'Balance sheet'!D49-'Balance sheet'!C49-Assets!D17+Assets!D27-Assets!D16+Assets!D28</f>
        <v>396</v>
      </c>
      <c r="E112" s="5">
        <f>-Assets!E18+Assets!E29+'Balance sheet'!D36-'Balance sheet'!E36+'Balance sheet'!E49-'Balance sheet'!D49-Assets!E17+Assets!E27-Assets!E16+Assets!E28</f>
        <v>4990</v>
      </c>
      <c r="F112" s="5">
        <f>-Assets!F18+Assets!F29+'Balance sheet'!E36-'Balance sheet'!F36+'Balance sheet'!F49-'Balance sheet'!E49-Assets!F17+Assets!F27-Assets!F16+Assets!F28</f>
        <v>1709</v>
      </c>
      <c r="G112" s="5">
        <f>-Assets!G18+Assets!G29+'Balance sheet'!F36-'Balance sheet'!G36+'Balance sheet'!G49-'Balance sheet'!F49-Assets!G17+Assets!G27-Assets!G16+Assets!G28</f>
        <v>7473</v>
      </c>
      <c r="H112" s="5"/>
      <c r="I112" s="5"/>
      <c r="J112" s="5"/>
      <c r="K112" s="5"/>
      <c r="L112" s="5">
        <f>-Assets!L18+Assets!L29+'Balance sheet'!G36-'Balance sheet'!L36+'Balance sheet'!L49-'Balance sheet'!G49-Assets!L17+Assets!L27-Assets!L16+Assets!L28</f>
        <v>2053</v>
      </c>
      <c r="M112" s="5"/>
      <c r="N112" s="5"/>
      <c r="O112" s="5"/>
      <c r="P112" s="5"/>
      <c r="Q112" s="5">
        <f>-Assets!Q18+Assets!Q29+'Balance sheet'!L36-'Balance sheet'!Q36+'Balance sheet'!Q49-'Balance sheet'!L49-Assets!Q17+Assets!Q27-Assets!Q16+Assets!Q28</f>
        <v>1298</v>
      </c>
      <c r="R112" s="5"/>
      <c r="S112" s="5"/>
      <c r="T112" s="5"/>
      <c r="U112" s="5"/>
      <c r="V112" s="5">
        <f>-Assets!V18+Assets!V29+'Balance sheet'!Q36-'Balance sheet'!V36+'Balance sheet'!V49-'Balance sheet'!Q49-Assets!V17+Assets!V27-Assets!V16+Assets!V28</f>
        <v>1731</v>
      </c>
      <c r="W112" s="5"/>
      <c r="X112" s="5"/>
      <c r="Y112" s="5"/>
      <c r="Z112" s="5"/>
      <c r="AA112" s="5">
        <f>-Assets!AA18+Assets!AA29+'Balance sheet'!V36-'Balance sheet'!AA36+'Balance sheet'!AA49-'Balance sheet'!V49-Assets!AA17+Assets!AA27-Assets!AA16+Assets!AA28</f>
        <v>844</v>
      </c>
      <c r="AB112" s="5"/>
      <c r="AC112" s="5"/>
      <c r="AD112" s="5"/>
      <c r="AE112" s="5"/>
      <c r="AF112" s="5">
        <f>-Assets!AF18+Assets!AF29+'Balance sheet'!AA36-'Balance sheet'!AF36+'Balance sheet'!AF49-'Balance sheet'!AA49-Assets!AF17+Assets!AF27-Assets!AF16+Assets!AF28</f>
        <v>1149</v>
      </c>
      <c r="AG112" s="5"/>
      <c r="AH112" s="5"/>
      <c r="AI112" s="5"/>
      <c r="AJ112" s="5"/>
      <c r="AK112" s="5">
        <f>-Assets!AK18+Assets!AK29+'Balance sheet'!AF36-'Balance sheet'!AK36+'Balance sheet'!AK49-'Balance sheet'!AF49-Assets!AK17+Assets!AK27-Assets!AK16+Assets!AK28</f>
        <v>554</v>
      </c>
      <c r="AL112" s="5"/>
      <c r="AM112" s="5"/>
      <c r="AN112" s="5"/>
      <c r="AO112" s="5"/>
      <c r="AP112" s="5">
        <f>-Assets!AP18+Assets!AP29+'Balance sheet'!AK36-'Balance sheet'!AP36+'Balance sheet'!AP49-'Balance sheet'!AK49-Assets!AP17+Assets!AP27-Assets!AP16+Assets!AP28</f>
        <v>-4800</v>
      </c>
      <c r="AQ112" s="5"/>
      <c r="AR112" s="5"/>
      <c r="AS112" s="5"/>
      <c r="AT112" s="5"/>
      <c r="AU112" s="5">
        <f>-Assets!AU18+Assets!AU29+'Balance sheet'!AP36-'Balance sheet'!AU36+'Balance sheet'!AU49-'Balance sheet'!AP49-Assets!AU17+Assets!AU27-Assets!AU16+Assets!AU28-Assets!AQ70+Assets!AO74-$AQ$141</f>
        <v>15963</v>
      </c>
      <c r="AV112" s="5"/>
      <c r="AW112" s="5"/>
      <c r="AX112" s="5"/>
      <c r="AY112" s="5"/>
      <c r="AZ112" s="5">
        <f>-Assets!AZ18+Assets!AZ29+'Balance sheet'!AU36-'Balance sheet'!AZ36+'Balance sheet'!AZ49-'Balance sheet'!AU49-Assets!AZ17+Assets!AZ27-Assets!AZ16+Assets!AZ28</f>
        <v>1828</v>
      </c>
      <c r="BA112" s="5"/>
      <c r="BB112" s="5"/>
      <c r="BC112" s="5"/>
      <c r="BD112" s="5"/>
      <c r="BE112" s="5">
        <f>-Assets!BE18+Assets!BE29+'Balance sheet'!AZ36-'Balance sheet'!BE36+'Balance sheet'!BE49-'Balance sheet'!AZ49-Assets!BE17+Assets!BE27-Assets!BE16+Assets!BE28</f>
        <v>-388</v>
      </c>
      <c r="BF112" s="5"/>
      <c r="BG112" s="5"/>
      <c r="BH112" s="5"/>
      <c r="BI112" s="5"/>
      <c r="BJ112" s="5">
        <f>-Assets!BJ18+Assets!BJ29+'Balance sheet'!BE36-'Balance sheet'!BJ36+'Balance sheet'!BJ49-'Balance sheet'!BE49-Assets!BJ17+Assets!BJ27-Assets!BJ16+Assets!BJ28</f>
        <v>3618</v>
      </c>
      <c r="BK112" s="5"/>
      <c r="BL112" s="5"/>
      <c r="BM112" s="5"/>
      <c r="BN112" s="5"/>
      <c r="BO112" s="5">
        <f>-Assets!BO18+Assets!BO29+'Balance sheet'!BJ36-'Balance sheet'!BO36+'Balance sheet'!BO49-'Balance sheet'!BJ49-Assets!BO17+Assets!BO27-Assets!BO16+Assets!BO28</f>
        <v>1286</v>
      </c>
      <c r="BP112" s="5"/>
      <c r="BQ112" s="5"/>
      <c r="BR112" s="5"/>
      <c r="BS112" s="5"/>
      <c r="BT112" s="5">
        <f>-Assets!BT18+Assets!BT29+'Balance sheet'!BO36-'Balance sheet'!BT36+'Balance sheet'!BT49-'Balance sheet'!BO49-Assets!BT17+Assets!BT27-Assets!BT16+Assets!BT28</f>
        <v>2500</v>
      </c>
      <c r="BU112" s="5"/>
      <c r="BV112" s="5"/>
      <c r="BW112" s="5"/>
      <c r="BX112" s="5"/>
      <c r="BY112" s="5">
        <f>-Assets!BY18+Assets!BY29+'Balance sheet'!BT36-'Balance sheet'!BY36+'Balance sheet'!BY49-'Balance sheet'!BT49-Assets!BY17+Assets!BY27-Assets!BY16+Assets!BY28</f>
        <v>2500</v>
      </c>
      <c r="BZ112" s="5"/>
      <c r="CA112" s="5"/>
      <c r="CB112" s="5"/>
      <c r="CC112" s="5"/>
      <c r="CD112" s="5">
        <f>-Assets!CD18+Assets!CD29+'Balance sheet'!BY36-'Balance sheet'!CD36+'Balance sheet'!CD49-'Balance sheet'!BY49-Assets!CD17+Assets!CD27-Assets!CD16+Assets!CD28</f>
        <v>2500</v>
      </c>
      <c r="CF112" s="175"/>
      <c r="CG112" s="50"/>
      <c r="CH112" s="50"/>
    </row>
    <row r="113" spans="1:86">
      <c r="A113" s="5"/>
      <c r="B113" s="5"/>
      <c r="C113" s="72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F113" s="175"/>
      <c r="CG113" s="50"/>
      <c r="CH113" s="50"/>
    </row>
    <row r="114" spans="1:86">
      <c r="A114" s="7" t="s">
        <v>1528</v>
      </c>
      <c r="B114" s="4"/>
      <c r="C114" s="73"/>
      <c r="D114" s="8">
        <f>SUM(D103:D104,D107:D112)</f>
        <v>-12212</v>
      </c>
      <c r="E114" s="8">
        <f>SUM(E103:E104,E107:E112)</f>
        <v>-13948</v>
      </c>
      <c r="F114" s="8">
        <f>SUM(F103:F104,F107:F112)</f>
        <v>-13243</v>
      </c>
      <c r="G114" s="8">
        <f>SUM(G103:G104,G107:G112)</f>
        <v>-4962</v>
      </c>
      <c r="H114" s="5"/>
      <c r="I114" s="5"/>
      <c r="J114" s="5"/>
      <c r="K114" s="5"/>
      <c r="L114" s="8">
        <f>SUM(L103:L104,L107:L112)</f>
        <v>-17010</v>
      </c>
      <c r="M114" s="5"/>
      <c r="N114" s="5"/>
      <c r="O114" s="5"/>
      <c r="P114" s="5"/>
      <c r="Q114" s="8">
        <f>SUM(Q103:Q104,Q107:Q112)</f>
        <v>-19175</v>
      </c>
      <c r="R114" s="5"/>
      <c r="S114" s="5"/>
      <c r="T114" s="5"/>
      <c r="U114" s="5"/>
      <c r="V114" s="8">
        <f>SUM(V103:V104,V107:V112)</f>
        <v>-23691</v>
      </c>
      <c r="W114" s="5"/>
      <c r="X114" s="5"/>
      <c r="Y114" s="5"/>
      <c r="Z114" s="5"/>
      <c r="AA114" s="8">
        <f>SUM(AA103:AA104,AA107:AA112)</f>
        <v>-16600</v>
      </c>
      <c r="AB114" s="5"/>
      <c r="AC114" s="5"/>
      <c r="AD114" s="5"/>
      <c r="AE114" s="5"/>
      <c r="AF114" s="8">
        <f>SUM(AF103:AF104,AF107:AF112)</f>
        <v>-19618</v>
      </c>
      <c r="AG114" s="5"/>
      <c r="AH114" s="5"/>
      <c r="AI114" s="5"/>
      <c r="AJ114" s="5"/>
      <c r="AK114" s="8">
        <f>SUM(AK103:AK104,AK107:AK112)</f>
        <v>-35915</v>
      </c>
      <c r="AL114" s="5"/>
      <c r="AM114" s="5"/>
      <c r="AN114" s="5"/>
      <c r="AO114" s="5"/>
      <c r="AP114" s="8">
        <f>SUM(AP103:AP104,AP107:AP112)</f>
        <v>-18141</v>
      </c>
      <c r="AQ114" s="5"/>
      <c r="AR114" s="5"/>
      <c r="AS114" s="5"/>
      <c r="AT114" s="5"/>
      <c r="AU114" s="8">
        <f>SUM(AU103:AU104,AU107:AU112)</f>
        <v>5126</v>
      </c>
      <c r="AV114" s="5"/>
      <c r="AW114" s="5"/>
      <c r="AX114" s="5"/>
      <c r="AY114" s="5"/>
      <c r="AZ114" s="8">
        <f>SUM(AZ103:AZ104,AZ107:AZ112)</f>
        <v>-10854</v>
      </c>
      <c r="BA114" s="5"/>
      <c r="BB114" s="5"/>
      <c r="BC114" s="5"/>
      <c r="BD114" s="5"/>
      <c r="BE114" s="8">
        <f>SUM(BE103:BE104,BE107:BE112)</f>
        <v>-12118</v>
      </c>
      <c r="BF114" s="5"/>
      <c r="BG114" s="5"/>
      <c r="BH114" s="5"/>
      <c r="BI114" s="5"/>
      <c r="BJ114" s="8">
        <f>SUM(BJ103:BJ104,BJ107:BJ112)</f>
        <v>-15547</v>
      </c>
      <c r="BK114" s="5"/>
      <c r="BL114" s="5"/>
      <c r="BM114" s="5"/>
      <c r="BN114" s="5"/>
      <c r="BO114" s="8">
        <f>SUM(BO103:BO104,BO107:BO112)</f>
        <v>-17389</v>
      </c>
      <c r="BP114" s="5"/>
      <c r="BQ114" s="5"/>
      <c r="BR114" s="5"/>
      <c r="BS114" s="5"/>
      <c r="BT114" s="8">
        <f ca="1">SUM(BT103:BT104,BT107:BT112)</f>
        <v>-14699.999999999996</v>
      </c>
      <c r="BU114" s="5"/>
      <c r="BV114" s="5"/>
      <c r="BW114" s="5"/>
      <c r="BX114" s="5"/>
      <c r="BY114" s="8">
        <f ca="1">SUM(BY103:BY104,BY107:BY112)</f>
        <v>-13750</v>
      </c>
      <c r="BZ114" s="5"/>
      <c r="CA114" s="5"/>
      <c r="CB114" s="5"/>
      <c r="CC114" s="5"/>
      <c r="CD114" s="8">
        <f ca="1">SUM(CD103:CD104,CD107:CD112)</f>
        <v>-13750</v>
      </c>
      <c r="CF114" s="76"/>
      <c r="CG114" s="50"/>
      <c r="CH114" s="50"/>
    </row>
    <row r="115" spans="1:86">
      <c r="A115" s="202"/>
      <c r="B115" s="202"/>
      <c r="C115" s="72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F115" s="50"/>
      <c r="CG115" s="50"/>
      <c r="CH115" s="50"/>
    </row>
    <row r="116" spans="1:86">
      <c r="A116" s="14" t="s">
        <v>1529</v>
      </c>
      <c r="B116" s="269"/>
      <c r="C116" s="74"/>
      <c r="D116" s="15">
        <f>SUM(D100,D114)</f>
        <v>15946</v>
      </c>
      <c r="E116" s="15">
        <f>SUM(E100,E114)</f>
        <v>8992</v>
      </c>
      <c r="F116" s="15">
        <f>SUM(F100,F114)</f>
        <v>9859</v>
      </c>
      <c r="G116" s="15">
        <f>SUM(G100,G114)</f>
        <v>22818</v>
      </c>
      <c r="H116" s="213"/>
      <c r="I116" s="213"/>
      <c r="J116" s="213"/>
      <c r="K116" s="213"/>
      <c r="L116" s="15">
        <f>SUM(L100,L114)</f>
        <v>13820</v>
      </c>
      <c r="M116" s="213"/>
      <c r="N116" s="213"/>
      <c r="O116" s="213"/>
      <c r="P116" s="213"/>
      <c r="Q116" s="15">
        <f>SUM(Q100,Q114)</f>
        <v>7669</v>
      </c>
      <c r="R116" s="213"/>
      <c r="S116" s="213"/>
      <c r="T116" s="213"/>
      <c r="U116" s="213"/>
      <c r="V116" s="15">
        <f>SUM(V100,V114)</f>
        <v>25164</v>
      </c>
      <c r="W116" s="213"/>
      <c r="X116" s="213"/>
      <c r="Y116" s="213"/>
      <c r="Z116" s="213"/>
      <c r="AA116" s="15">
        <f>SUM(AA100,AA114)</f>
        <v>6863</v>
      </c>
      <c r="AB116" s="213"/>
      <c r="AC116" s="213"/>
      <c r="AD116" s="213"/>
      <c r="AE116" s="213"/>
      <c r="AF116" s="15">
        <f>SUM(AF100,AF114)</f>
        <v>2659</v>
      </c>
      <c r="AG116" s="213"/>
      <c r="AH116" s="213"/>
      <c r="AI116" s="213"/>
      <c r="AJ116" s="213"/>
      <c r="AK116" s="15">
        <f>SUM(AK100,AK114)</f>
        <v>6099</v>
      </c>
      <c r="AL116" s="213"/>
      <c r="AM116" s="213"/>
      <c r="AN116" s="213"/>
      <c r="AO116" s="213"/>
      <c r="AP116" s="15">
        <f>SUM(AP100,AP114)</f>
        <v>5832</v>
      </c>
      <c r="AQ116" s="213"/>
      <c r="AR116" s="213"/>
      <c r="AS116" s="213"/>
      <c r="AT116" s="213"/>
      <c r="AU116" s="15">
        <f>SUM(AU100,AU114)</f>
        <v>21176</v>
      </c>
      <c r="AV116" s="213"/>
      <c r="AW116" s="213"/>
      <c r="AX116" s="213"/>
      <c r="AY116" s="213"/>
      <c r="AZ116" s="15">
        <f>SUM(AZ100,AZ114)</f>
        <v>22888</v>
      </c>
      <c r="BA116" s="213"/>
      <c r="BB116" s="213"/>
      <c r="BC116" s="213"/>
      <c r="BD116" s="213"/>
      <c r="BE116" s="15">
        <f>SUM(BE100,BE114)</f>
        <v>2530</v>
      </c>
      <c r="BF116" s="213"/>
      <c r="BG116" s="213"/>
      <c r="BH116" s="213"/>
      <c r="BI116" s="213"/>
      <c r="BJ116" s="15">
        <f>SUM(BJ100,BJ114)</f>
        <v>-6693</v>
      </c>
      <c r="BK116" s="213"/>
      <c r="BL116" s="213"/>
      <c r="BM116" s="213"/>
      <c r="BN116" s="213"/>
      <c r="BO116" s="15">
        <f ca="1">SUM(BO100,BO114)</f>
        <v>-1732</v>
      </c>
      <c r="BP116" s="213"/>
      <c r="BQ116" s="213"/>
      <c r="BR116" s="213"/>
      <c r="BS116" s="213"/>
      <c r="BT116" s="15">
        <f ca="1">SUM(BT100,BT114)</f>
        <v>5631.0572387969878</v>
      </c>
      <c r="BU116" s="213"/>
      <c r="BV116" s="213"/>
      <c r="BW116" s="213"/>
      <c r="BX116" s="213"/>
      <c r="BY116" s="15">
        <f ca="1">SUM(BY100,BY114)</f>
        <v>12996.985430631368</v>
      </c>
      <c r="BZ116" s="213"/>
      <c r="CA116" s="213"/>
      <c r="CB116" s="213"/>
      <c r="CC116" s="213"/>
      <c r="CD116" s="15">
        <f ca="1">SUM(CD100,CD114)</f>
        <v>14095.301271386124</v>
      </c>
      <c r="CF116" s="76"/>
      <c r="CG116" s="50"/>
      <c r="CH116" s="50"/>
    </row>
    <row r="117" spans="1:86">
      <c r="A117" s="5"/>
      <c r="B117" s="4"/>
      <c r="C117" s="72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F117" s="50"/>
      <c r="CG117" s="50"/>
      <c r="CH117" s="50"/>
    </row>
    <row r="118" spans="1:86">
      <c r="A118" s="245" t="s">
        <v>2723</v>
      </c>
      <c r="B118" s="5"/>
      <c r="C118" s="72"/>
      <c r="D118" s="5">
        <f>'Balance sheet'!D44-'Balance sheet'!C44+'Balance sheet'!D56-'Balance sheet'!C56</f>
        <v>591</v>
      </c>
      <c r="E118" s="5">
        <f>'Balance sheet'!E44-'Balance sheet'!D44+'Balance sheet'!E56-'Balance sheet'!D56</f>
        <v>317</v>
      </c>
      <c r="F118" s="5">
        <f>'Balance sheet'!F44-'Balance sheet'!E44+'Balance sheet'!F56-'Balance sheet'!E56</f>
        <v>766</v>
      </c>
      <c r="G118" s="5">
        <f>'Balance sheet'!G44-'Balance sheet'!F44+'Balance sheet'!G56-'Balance sheet'!F56</f>
        <v>-3929</v>
      </c>
      <c r="H118" s="5"/>
      <c r="I118" s="5"/>
      <c r="J118" s="5"/>
      <c r="K118" s="5"/>
      <c r="L118" s="5">
        <f>'Balance sheet'!L44-'Balance sheet'!G44+'Balance sheet'!L56-'Balance sheet'!G56</f>
        <v>4848</v>
      </c>
      <c r="M118" s="5"/>
      <c r="N118" s="5"/>
      <c r="O118" s="5"/>
      <c r="P118" s="5"/>
      <c r="Q118" s="5">
        <f>'Balance sheet'!Q44-'Balance sheet'!L44+'Balance sheet'!Q56-'Balance sheet'!L56</f>
        <v>7035</v>
      </c>
      <c r="R118" s="5"/>
      <c r="S118" s="5"/>
      <c r="T118" s="5"/>
      <c r="U118" s="5"/>
      <c r="V118" s="5">
        <f>'Balance sheet'!V44-'Balance sheet'!Q44+'Balance sheet'!V56-'Balance sheet'!Q56</f>
        <v>2159</v>
      </c>
      <c r="W118" s="5"/>
      <c r="X118" s="5"/>
      <c r="Y118" s="5"/>
      <c r="Z118" s="5"/>
      <c r="AA118" s="5">
        <f>'Balance sheet'!AA44-'Balance sheet'!V44+'Balance sheet'!AA56-'Balance sheet'!V56</f>
        <v>1423</v>
      </c>
      <c r="AB118" s="5"/>
      <c r="AC118" s="5"/>
      <c r="AD118" s="5"/>
      <c r="AE118" s="5"/>
      <c r="AF118" s="5">
        <f>'Balance sheet'!AF44-'Balance sheet'!AA44+'Balance sheet'!AF56-'Balance sheet'!AA56</f>
        <v>10709</v>
      </c>
      <c r="AG118" s="5"/>
      <c r="AH118" s="5"/>
      <c r="AI118" s="5"/>
      <c r="AJ118" s="5"/>
      <c r="AK118" s="5">
        <f>'Balance sheet'!AK44-'Balance sheet'!AF44+'Balance sheet'!AK56-'Balance sheet'!AF56</f>
        <v>-1123</v>
      </c>
      <c r="AL118" s="5"/>
      <c r="AM118" s="5"/>
      <c r="AN118" s="5"/>
      <c r="AO118" s="5"/>
      <c r="AP118" s="5">
        <f>'Balance sheet'!AP44-'Balance sheet'!AK44+'Balance sheet'!AP56-'Balance sheet'!AK56</f>
        <v>4584</v>
      </c>
      <c r="AQ118" s="5"/>
      <c r="AR118" s="5"/>
      <c r="AS118" s="5"/>
      <c r="AT118" s="5"/>
      <c r="AU118" s="5">
        <f>'Balance sheet'!AU44-'Balance sheet'!AP44+'Balance sheet'!AU56-'Balance sheet'!AP56</f>
        <v>-605</v>
      </c>
      <c r="AV118" s="5"/>
      <c r="AW118" s="5"/>
      <c r="AX118" s="5"/>
      <c r="AY118" s="5"/>
      <c r="AZ118" s="5">
        <f>'Balance sheet'!AZ44-'Balance sheet'!AU44+'Balance sheet'!AZ56-'Balance sheet'!AU56</f>
        <v>4662</v>
      </c>
      <c r="BA118" s="5"/>
      <c r="BB118" s="5"/>
      <c r="BC118" s="5"/>
      <c r="BD118" s="5"/>
      <c r="BE118" s="5">
        <f>'Balance sheet'!BE44-'Balance sheet'!AZ44+'Balance sheet'!BE56-'Balance sheet'!AZ56</f>
        <v>314</v>
      </c>
      <c r="BF118" s="5"/>
      <c r="BG118" s="5"/>
      <c r="BH118" s="5"/>
      <c r="BI118" s="5"/>
      <c r="BJ118" s="5">
        <f>'Balance sheet'!BJ44-'Balance sheet'!BE44+'Balance sheet'!BJ56-'Balance sheet'!BE56</f>
        <v>5132</v>
      </c>
      <c r="BK118" s="5"/>
      <c r="BL118" s="5"/>
      <c r="BM118" s="5"/>
      <c r="BN118" s="5"/>
      <c r="BO118" s="5">
        <f>'Balance sheet'!BO44-'Balance sheet'!BJ44+'Balance sheet'!BO56-'Balance sheet'!BJ56</f>
        <v>4930</v>
      </c>
      <c r="BP118" s="5"/>
      <c r="BQ118" s="5"/>
      <c r="BR118" s="5"/>
      <c r="BS118" s="5"/>
      <c r="BT118" s="5">
        <f ca="1">'Balance sheet'!BT44-'Balance sheet'!BO44+'Balance sheet'!BT56-'Balance sheet'!BO56</f>
        <v>2024.8546174350195</v>
      </c>
      <c r="BU118" s="5"/>
      <c r="BV118" s="5"/>
      <c r="BW118" s="5"/>
      <c r="BX118" s="5"/>
      <c r="BY118" s="5">
        <f ca="1">'Balance sheet'!BY44-'Balance sheet'!BT44+'Balance sheet'!BY56-'Balance sheet'!BT56</f>
        <v>-5349.1411314629659</v>
      </c>
      <c r="BZ118" s="5"/>
      <c r="CA118" s="5"/>
      <c r="CB118" s="5"/>
      <c r="CC118" s="5"/>
      <c r="CD118" s="5">
        <f ca="1">'Balance sheet'!CD44-'Balance sheet'!BY44+'Balance sheet'!CD56-'Balance sheet'!BY56</f>
        <v>-6447.4569722182641</v>
      </c>
      <c r="CF118" s="175"/>
      <c r="CG118" s="50"/>
      <c r="CH118" s="50"/>
    </row>
    <row r="119" spans="1:86">
      <c r="A119" s="4" t="s">
        <v>1152</v>
      </c>
      <c r="B119" s="5"/>
      <c r="C119" s="72"/>
      <c r="D119" s="5">
        <f>'Income statement'!D114</f>
        <v>0</v>
      </c>
      <c r="E119" s="5">
        <f>'Income statement'!E114</f>
        <v>-5674</v>
      </c>
      <c r="F119" s="5">
        <f>'Income statement'!F114</f>
        <v>-6074</v>
      </c>
      <c r="G119" s="5">
        <f>'Income statement'!G114</f>
        <v>-8186</v>
      </c>
      <c r="H119" s="5"/>
      <c r="I119" s="5"/>
      <c r="J119" s="5"/>
      <c r="K119" s="5"/>
      <c r="L119" s="5">
        <f>'Income statement'!L114</f>
        <v>-7969</v>
      </c>
      <c r="M119" s="5"/>
      <c r="N119" s="5"/>
      <c r="O119" s="5"/>
      <c r="P119" s="5"/>
      <c r="Q119" s="5">
        <f>'Income statement'!Q114</f>
        <v>-8333</v>
      </c>
      <c r="R119" s="5"/>
      <c r="S119" s="5"/>
      <c r="T119" s="5"/>
      <c r="U119" s="5"/>
      <c r="V119" s="5">
        <f>'Income statement'!V114</f>
        <v>-10767</v>
      </c>
      <c r="W119" s="5"/>
      <c r="X119" s="5"/>
      <c r="Y119" s="5"/>
      <c r="Z119" s="5"/>
      <c r="AA119" s="5">
        <f>'Income statement'!AA114</f>
        <v>-10899</v>
      </c>
      <c r="AB119" s="5"/>
      <c r="AC119" s="5"/>
      <c r="AD119" s="5"/>
      <c r="AE119" s="5"/>
      <c r="AF119" s="5">
        <f>'Income statement'!AF114</f>
        <v>-2942</v>
      </c>
      <c r="AG119" s="5"/>
      <c r="AH119" s="5"/>
      <c r="AI119" s="5"/>
      <c r="AJ119" s="5"/>
      <c r="AK119" s="5">
        <f>'Income statement'!AK114</f>
        <v>-4317</v>
      </c>
      <c r="AL119" s="5"/>
      <c r="AM119" s="5"/>
      <c r="AN119" s="5"/>
      <c r="AO119" s="5"/>
      <c r="AP119" s="5">
        <f>'Income statement'!AP114</f>
        <v>-5376</v>
      </c>
      <c r="AQ119" s="5"/>
      <c r="AR119" s="5"/>
      <c r="AS119" s="5"/>
      <c r="AT119" s="5"/>
      <c r="AU119" s="5">
        <f>'Income statement'!AU114</f>
        <v>-5910</v>
      </c>
      <c r="AV119" s="5"/>
      <c r="AW119" s="5"/>
      <c r="AX119" s="5"/>
      <c r="AY119" s="5"/>
      <c r="AZ119" s="5">
        <f>'Income statement'!AZ114</f>
        <v>-6105</v>
      </c>
      <c r="BA119" s="5"/>
      <c r="BB119" s="5"/>
      <c r="BC119" s="5"/>
      <c r="BD119" s="5"/>
      <c r="BE119" s="5">
        <f>'Income statement'!BE114</f>
        <v>-6750</v>
      </c>
      <c r="BF119" s="5"/>
      <c r="BG119" s="5"/>
      <c r="BH119" s="5"/>
      <c r="BI119" s="5"/>
      <c r="BJ119" s="5">
        <f>'Income statement'!BJ114</f>
        <v>-4718</v>
      </c>
      <c r="BK119" s="5"/>
      <c r="BL119" s="5"/>
      <c r="BM119" s="5"/>
      <c r="BN119" s="5"/>
      <c r="BO119" s="5">
        <f>'Income statement'!BO114</f>
        <v>-6294</v>
      </c>
      <c r="BP119" s="5"/>
      <c r="BQ119" s="5"/>
      <c r="BR119" s="5"/>
      <c r="BS119" s="5"/>
      <c r="BT119" s="5">
        <f>'Income statement'!BT114</f>
        <v>-6341.1006708699942</v>
      </c>
      <c r="BU119" s="5"/>
      <c r="BV119" s="5"/>
      <c r="BW119" s="5"/>
      <c r="BX119" s="5"/>
      <c r="BY119" s="5">
        <f>'Income statement'!BY114</f>
        <v>-6340.9523811111339</v>
      </c>
      <c r="BZ119" s="5"/>
      <c r="CA119" s="5"/>
      <c r="CB119" s="5"/>
      <c r="CC119" s="5"/>
      <c r="CD119" s="5">
        <f>'Income statement'!CD114</f>
        <v>-6340.9523811111267</v>
      </c>
      <c r="CF119" s="175"/>
      <c r="CG119" s="50"/>
      <c r="CH119" s="50"/>
    </row>
    <row r="120" spans="1:86">
      <c r="A120" s="4" t="s">
        <v>1471</v>
      </c>
      <c r="B120" s="5"/>
      <c r="C120" s="72"/>
      <c r="D120" s="5">
        <f>'Income statement'!D115</f>
        <v>0</v>
      </c>
      <c r="E120" s="5">
        <f>'Income statement'!E115</f>
        <v>-1999</v>
      </c>
      <c r="F120" s="5">
        <f>'Income statement'!F115</f>
        <v>-7548</v>
      </c>
      <c r="G120" s="5">
        <f>'Income statement'!G115</f>
        <v>-11597</v>
      </c>
      <c r="H120" s="5"/>
      <c r="I120" s="5"/>
      <c r="J120" s="5"/>
      <c r="K120" s="5"/>
      <c r="L120" s="5">
        <f>'Income statement'!L115</f>
        <v>-15481</v>
      </c>
      <c r="M120" s="5"/>
      <c r="N120" s="5"/>
      <c r="O120" s="5"/>
      <c r="P120" s="5"/>
      <c r="Q120" s="5">
        <f>'Income statement'!Q115</f>
        <v>-7997</v>
      </c>
      <c r="R120" s="5"/>
      <c r="S120" s="5"/>
      <c r="T120" s="5"/>
      <c r="U120" s="5"/>
      <c r="V120" s="5">
        <f>'Income statement'!V115</f>
        <v>-2414</v>
      </c>
      <c r="W120" s="5"/>
      <c r="X120" s="5"/>
      <c r="Y120" s="5"/>
      <c r="Z120" s="5"/>
      <c r="AA120" s="5">
        <f>'Income statement'!AA115</f>
        <v>0</v>
      </c>
      <c r="AB120" s="5"/>
      <c r="AC120" s="5"/>
      <c r="AD120" s="5"/>
      <c r="AE120" s="5"/>
      <c r="AF120" s="5">
        <f>'Income statement'!AF115</f>
        <v>0</v>
      </c>
      <c r="AG120" s="5"/>
      <c r="AH120" s="5"/>
      <c r="AI120" s="5"/>
      <c r="AJ120" s="5"/>
      <c r="AK120" s="5">
        <f>'Income statement'!AK115</f>
        <v>0</v>
      </c>
      <c r="AL120" s="5"/>
      <c r="AM120" s="5"/>
      <c r="AN120" s="5"/>
      <c r="AO120" s="5"/>
      <c r="AP120" s="5">
        <f>'Income statement'!AP115</f>
        <v>0</v>
      </c>
      <c r="AQ120" s="5"/>
      <c r="AR120" s="5"/>
      <c r="AS120" s="5"/>
      <c r="AT120" s="5"/>
      <c r="AU120" s="5">
        <f>'Income statement'!AU115</f>
        <v>-6923</v>
      </c>
      <c r="AV120" s="5"/>
      <c r="AW120" s="5"/>
      <c r="AX120" s="5"/>
      <c r="AY120" s="5"/>
      <c r="AZ120" s="5">
        <f>'Income statement'!AZ115</f>
        <v>-3366</v>
      </c>
      <c r="BA120" s="5"/>
      <c r="BB120" s="5"/>
      <c r="BC120" s="5"/>
      <c r="BD120" s="5"/>
      <c r="BE120" s="5">
        <f>'Income statement'!BE115</f>
        <v>0</v>
      </c>
      <c r="BF120" s="5"/>
      <c r="BG120" s="5"/>
      <c r="BH120" s="5"/>
      <c r="BI120" s="5"/>
      <c r="BJ120" s="5">
        <f ca="1">'Income statement'!BJ115</f>
        <v>0</v>
      </c>
      <c r="BK120" s="5"/>
      <c r="BL120" s="5"/>
      <c r="BM120" s="5"/>
      <c r="BN120" s="5"/>
      <c r="BO120" s="5">
        <f ca="1">'Income statement'!BO115</f>
        <v>-343</v>
      </c>
      <c r="BP120" s="5"/>
      <c r="BQ120" s="5"/>
      <c r="BR120" s="5"/>
      <c r="BS120" s="5"/>
      <c r="BT120" s="5">
        <f>'Income statement'!BT115</f>
        <v>-1391.3111853620185</v>
      </c>
      <c r="BU120" s="5"/>
      <c r="BV120" s="5"/>
      <c r="BW120" s="5"/>
      <c r="BX120" s="5"/>
      <c r="BY120" s="5">
        <f>'Income statement'!BY115</f>
        <v>-1378.8919180573457</v>
      </c>
      <c r="BZ120" s="5"/>
      <c r="CA120" s="5"/>
      <c r="CB120" s="5"/>
      <c r="CC120" s="5"/>
      <c r="CD120" s="5">
        <f>'Income statement'!CD115</f>
        <v>-1378.8919180567814</v>
      </c>
      <c r="CF120" s="175"/>
      <c r="CG120" s="50"/>
      <c r="CH120" s="50"/>
    </row>
    <row r="121" spans="1:86">
      <c r="A121" s="5"/>
      <c r="B121" s="5"/>
      <c r="C121" s="72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F121" s="175"/>
      <c r="CG121" s="50"/>
      <c r="CH121" s="50"/>
    </row>
    <row r="122" spans="1:86">
      <c r="A122" s="5" t="s">
        <v>2329</v>
      </c>
      <c r="B122" s="5"/>
      <c r="C122" s="72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F122" s="175"/>
      <c r="CG122" s="50"/>
      <c r="CH122" s="50"/>
    </row>
    <row r="123" spans="1:86">
      <c r="A123" s="5"/>
      <c r="B123" s="121" t="s">
        <v>2202</v>
      </c>
      <c r="C123" s="72"/>
      <c r="D123" s="5">
        <f>'Income statement'!D116</f>
        <v>0</v>
      </c>
      <c r="E123" s="5">
        <f>'Income statement'!E116</f>
        <v>334</v>
      </c>
      <c r="F123" s="5">
        <f>'Income statement'!F116</f>
        <v>730</v>
      </c>
      <c r="G123" s="5">
        <f>'Income statement'!G116</f>
        <v>695</v>
      </c>
      <c r="H123" s="5"/>
      <c r="I123" s="5"/>
      <c r="J123" s="5"/>
      <c r="K123" s="5"/>
      <c r="L123" s="5">
        <f>'Income statement'!L116</f>
        <v>747</v>
      </c>
      <c r="M123" s="5"/>
      <c r="N123" s="5"/>
      <c r="O123" s="5"/>
      <c r="P123" s="5"/>
      <c r="Q123" s="5">
        <f>'Income statement'!Q116</f>
        <v>804</v>
      </c>
      <c r="R123" s="5"/>
      <c r="S123" s="5"/>
      <c r="T123" s="5"/>
      <c r="U123" s="5"/>
      <c r="V123" s="5">
        <f>'Income statement'!V116</f>
        <v>617</v>
      </c>
      <c r="W123" s="5"/>
      <c r="X123" s="5"/>
      <c r="Y123" s="5"/>
      <c r="Z123" s="5"/>
      <c r="AA123" s="5">
        <f>'Income statement'!AA116</f>
        <v>721</v>
      </c>
      <c r="AB123" s="5"/>
      <c r="AC123" s="5"/>
      <c r="AD123" s="5"/>
      <c r="AE123" s="5"/>
      <c r="AF123" s="5">
        <f>'Income statement'!AF116</f>
        <v>339</v>
      </c>
      <c r="AG123" s="5"/>
      <c r="AH123" s="5"/>
      <c r="AI123" s="5"/>
      <c r="AJ123" s="5"/>
      <c r="AK123" s="5">
        <f>'Income statement'!AK116</f>
        <v>-8</v>
      </c>
      <c r="AL123" s="5"/>
      <c r="AM123" s="5"/>
      <c r="AN123" s="5"/>
      <c r="AO123" s="5"/>
      <c r="AP123" s="5">
        <f>'Income statement'!AP116</f>
        <v>284</v>
      </c>
      <c r="AQ123" s="5"/>
      <c r="AR123" s="5"/>
      <c r="AS123" s="5"/>
      <c r="AT123" s="5"/>
      <c r="AU123" s="5">
        <f>'Income statement'!AU116</f>
        <v>473</v>
      </c>
      <c r="AV123" s="5"/>
      <c r="AW123" s="5"/>
      <c r="AX123" s="5"/>
      <c r="AY123" s="5"/>
      <c r="AZ123" s="5">
        <f>'Income statement'!AZ116</f>
        <v>185</v>
      </c>
      <c r="BA123" s="5"/>
      <c r="BB123" s="5"/>
      <c r="BC123" s="5"/>
      <c r="BD123" s="5"/>
      <c r="BE123" s="5">
        <f>'Income statement'!BE116</f>
        <v>656</v>
      </c>
      <c r="BF123" s="5"/>
      <c r="BG123" s="5"/>
      <c r="BH123" s="5"/>
      <c r="BI123" s="5"/>
      <c r="BJ123" s="5">
        <f>'Income statement'!BJ116</f>
        <v>2991</v>
      </c>
      <c r="BK123" s="5"/>
      <c r="BL123" s="5"/>
      <c r="BM123" s="5"/>
      <c r="BN123" s="5"/>
      <c r="BO123" s="5">
        <f>'Income statement'!BO116</f>
        <v>687</v>
      </c>
      <c r="BP123" s="5"/>
      <c r="BQ123" s="5"/>
      <c r="BR123" s="5"/>
      <c r="BS123" s="5"/>
      <c r="BT123" s="5">
        <f>'Income statement'!BT116</f>
        <v>0</v>
      </c>
      <c r="BU123" s="5"/>
      <c r="BV123" s="5"/>
      <c r="BW123" s="5"/>
      <c r="BX123" s="5"/>
      <c r="BY123" s="5">
        <f>'Income statement'!BY116</f>
        <v>0</v>
      </c>
      <c r="BZ123" s="5"/>
      <c r="CA123" s="5"/>
      <c r="CB123" s="5"/>
      <c r="CC123" s="5"/>
      <c r="CD123" s="5">
        <f>'Income statement'!CD116</f>
        <v>0</v>
      </c>
      <c r="CF123" s="175"/>
      <c r="CG123" s="50"/>
      <c r="CH123" s="50"/>
    </row>
    <row r="124" spans="1:86">
      <c r="A124" s="5"/>
      <c r="B124" s="121" t="s">
        <v>1470</v>
      </c>
      <c r="C124" s="72"/>
      <c r="D124" s="5">
        <f>'Income statement'!D117</f>
        <v>0</v>
      </c>
      <c r="E124" s="5">
        <f>'Income statement'!E117</f>
        <v>0</v>
      </c>
      <c r="F124" s="5">
        <f>'Income statement'!F117</f>
        <v>1250</v>
      </c>
      <c r="G124" s="5">
        <f>'Income statement'!G117</f>
        <v>1250</v>
      </c>
      <c r="H124" s="5"/>
      <c r="I124" s="5"/>
      <c r="J124" s="5"/>
      <c r="K124" s="5"/>
      <c r="L124" s="5">
        <f>'Income statement'!L117</f>
        <v>1250</v>
      </c>
      <c r="M124" s="5"/>
      <c r="N124" s="5"/>
      <c r="O124" s="5"/>
      <c r="P124" s="5"/>
      <c r="Q124" s="5">
        <f>'Income statement'!Q117</f>
        <v>0</v>
      </c>
      <c r="R124" s="5"/>
      <c r="S124" s="5"/>
      <c r="T124" s="5"/>
      <c r="U124" s="5"/>
      <c r="V124" s="5">
        <f>'Income statement'!V117</f>
        <v>0</v>
      </c>
      <c r="W124" s="5"/>
      <c r="X124" s="5"/>
      <c r="Y124" s="5"/>
      <c r="Z124" s="5"/>
      <c r="AA124" s="5">
        <f>'Income statement'!AA117</f>
        <v>-43</v>
      </c>
      <c r="AB124" s="5"/>
      <c r="AC124" s="5"/>
      <c r="AD124" s="5"/>
      <c r="AE124" s="5"/>
      <c r="AF124" s="5">
        <f>'Income statement'!AF117</f>
        <v>0</v>
      </c>
      <c r="AG124" s="5"/>
      <c r="AH124" s="5"/>
      <c r="AI124" s="5"/>
      <c r="AJ124" s="5"/>
      <c r="AK124" s="5">
        <f>'Income statement'!AK117</f>
        <v>0</v>
      </c>
      <c r="AL124" s="5"/>
      <c r="AM124" s="5"/>
      <c r="AN124" s="5"/>
      <c r="AO124" s="5"/>
      <c r="AP124" s="5">
        <f>'Income statement'!AP117</f>
        <v>0</v>
      </c>
      <c r="AQ124" s="5"/>
      <c r="AR124" s="5"/>
      <c r="AS124" s="5"/>
      <c r="AT124" s="5"/>
      <c r="AU124" s="5">
        <f>'Income statement'!AU117</f>
        <v>73</v>
      </c>
      <c r="AV124" s="5"/>
      <c r="AW124" s="5"/>
      <c r="AX124" s="5"/>
      <c r="AY124" s="5"/>
      <c r="AZ124" s="5">
        <f>'Income statement'!AZ117</f>
        <v>73</v>
      </c>
      <c r="BA124" s="5"/>
      <c r="BB124" s="5"/>
      <c r="BC124" s="5"/>
      <c r="BD124" s="5"/>
      <c r="BE124" s="5">
        <f>'Income statement'!BE117</f>
        <v>40</v>
      </c>
      <c r="BF124" s="5"/>
      <c r="BG124" s="5"/>
      <c r="BH124" s="5"/>
      <c r="BI124" s="5"/>
      <c r="BJ124" s="5">
        <f>'Income statement'!BJ117</f>
        <v>106</v>
      </c>
      <c r="BK124" s="5"/>
      <c r="BL124" s="5"/>
      <c r="BM124" s="5"/>
      <c r="BN124" s="5"/>
      <c r="BO124" s="5">
        <f>'Income statement'!BO117</f>
        <v>215</v>
      </c>
      <c r="BP124" s="5"/>
      <c r="BQ124" s="5"/>
      <c r="BR124" s="5"/>
      <c r="BS124" s="5"/>
      <c r="BT124" s="5">
        <f>'Income statement'!BT117</f>
        <v>0</v>
      </c>
      <c r="BU124" s="5"/>
      <c r="BV124" s="5"/>
      <c r="BW124" s="5"/>
      <c r="BX124" s="5"/>
      <c r="BY124" s="5">
        <f>'Income statement'!BY117</f>
        <v>0</v>
      </c>
      <c r="BZ124" s="5"/>
      <c r="CA124" s="5"/>
      <c r="CB124" s="5"/>
      <c r="CC124" s="5"/>
      <c r="CD124" s="5">
        <f>'Income statement'!CD117</f>
        <v>0</v>
      </c>
      <c r="CF124" s="175"/>
      <c r="CG124" s="50"/>
      <c r="CH124" s="50"/>
    </row>
    <row r="125" spans="1:86">
      <c r="A125" s="5"/>
      <c r="B125" s="121" t="s">
        <v>2497</v>
      </c>
      <c r="C125" s="72"/>
      <c r="D125" s="5">
        <f>'Income statement'!D118</f>
        <v>0</v>
      </c>
      <c r="E125" s="5">
        <f>'Income statement'!E118</f>
        <v>317</v>
      </c>
      <c r="F125" s="5">
        <f>'Income statement'!F118</f>
        <v>0</v>
      </c>
      <c r="G125" s="5">
        <f>'Income statement'!G118</f>
        <v>0</v>
      </c>
      <c r="H125" s="5"/>
      <c r="I125" s="5"/>
      <c r="J125" s="5"/>
      <c r="K125" s="5"/>
      <c r="L125" s="5">
        <f>'Income statement'!L118</f>
        <v>-19</v>
      </c>
      <c r="M125" s="5"/>
      <c r="N125" s="5"/>
      <c r="O125" s="5"/>
      <c r="P125" s="5"/>
      <c r="Q125" s="5">
        <f>'Income statement'!Q118</f>
        <v>0</v>
      </c>
      <c r="R125" s="5"/>
      <c r="S125" s="5"/>
      <c r="T125" s="5"/>
      <c r="U125" s="5"/>
      <c r="V125" s="5">
        <f>'Income statement'!V118</f>
        <v>-165</v>
      </c>
      <c r="W125" s="5"/>
      <c r="X125" s="5"/>
      <c r="Y125" s="5"/>
      <c r="Z125" s="5"/>
      <c r="AA125" s="5">
        <f>'Income statement'!AA118</f>
        <v>-37</v>
      </c>
      <c r="AB125" s="5"/>
      <c r="AC125" s="5"/>
      <c r="AD125" s="5"/>
      <c r="AE125" s="5"/>
      <c r="AF125" s="5">
        <f>'Income statement'!AF118</f>
        <v>301</v>
      </c>
      <c r="AG125" s="5"/>
      <c r="AH125" s="5"/>
      <c r="AI125" s="5"/>
      <c r="AJ125" s="5"/>
      <c r="AK125" s="5">
        <f>'Income statement'!AK118</f>
        <v>-73</v>
      </c>
      <c r="AL125" s="5"/>
      <c r="AM125" s="5"/>
      <c r="AN125" s="5"/>
      <c r="AO125" s="5"/>
      <c r="AP125" s="5">
        <f>'Income statement'!AP118</f>
        <v>33</v>
      </c>
      <c r="AQ125" s="5"/>
      <c r="AR125" s="5"/>
      <c r="AS125" s="5"/>
      <c r="AT125" s="5"/>
      <c r="AU125" s="5">
        <f>'Income statement'!AU118</f>
        <v>208</v>
      </c>
      <c r="AV125" s="5"/>
      <c r="AW125" s="5"/>
      <c r="AX125" s="5"/>
      <c r="AY125" s="5"/>
      <c r="AZ125" s="5">
        <f>'Income statement'!AZ118</f>
        <v>160</v>
      </c>
      <c r="BA125" s="5"/>
      <c r="BB125" s="5"/>
      <c r="BC125" s="5"/>
      <c r="BD125" s="5"/>
      <c r="BE125" s="5">
        <f>'Income statement'!BE118</f>
        <v>17</v>
      </c>
      <c r="BF125" s="5"/>
      <c r="BG125" s="5"/>
      <c r="BH125" s="5"/>
      <c r="BI125" s="5"/>
      <c r="BJ125" s="5">
        <f>'Income statement'!BJ118</f>
        <v>893</v>
      </c>
      <c r="BK125" s="5"/>
      <c r="BL125" s="5"/>
      <c r="BM125" s="5"/>
      <c r="BN125" s="5"/>
      <c r="BO125" s="5">
        <f>'Income statement'!BO118</f>
        <v>812</v>
      </c>
      <c r="BP125" s="5"/>
      <c r="BQ125" s="5"/>
      <c r="BR125" s="5"/>
      <c r="BS125" s="5"/>
      <c r="BT125" s="5">
        <f>'Income statement'!BT118</f>
        <v>0</v>
      </c>
      <c r="BU125" s="5"/>
      <c r="BV125" s="5"/>
      <c r="BW125" s="5"/>
      <c r="BX125" s="5"/>
      <c r="BY125" s="5">
        <f>'Income statement'!BY118</f>
        <v>0</v>
      </c>
      <c r="BZ125" s="5"/>
      <c r="CA125" s="5"/>
      <c r="CB125" s="5"/>
      <c r="CC125" s="5"/>
      <c r="CD125" s="5">
        <f>'Income statement'!CD118</f>
        <v>0</v>
      </c>
      <c r="CF125" s="175"/>
      <c r="CG125" s="50"/>
      <c r="CH125" s="50"/>
    </row>
    <row r="126" spans="1:86">
      <c r="A126" s="5"/>
      <c r="B126" s="5"/>
      <c r="C126" s="72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F126" s="175"/>
      <c r="CG126" s="50"/>
      <c r="CH126" s="50"/>
    </row>
    <row r="127" spans="1:86">
      <c r="A127" s="8" t="s">
        <v>2725</v>
      </c>
      <c r="B127" s="5"/>
      <c r="C127" s="73"/>
      <c r="D127" s="8">
        <f>SUM(D118:D120,D123:D125)</f>
        <v>591</v>
      </c>
      <c r="E127" s="8">
        <f>SUM(E118:E120,E123:E125)</f>
        <v>-6705</v>
      </c>
      <c r="F127" s="8">
        <f>SUM(F118:F120,F123:F125)</f>
        <v>-10876</v>
      </c>
      <c r="G127" s="8">
        <f>SUM(G118:G120,G123:G125)</f>
        <v>-21767</v>
      </c>
      <c r="H127" s="5"/>
      <c r="I127" s="5"/>
      <c r="J127" s="5"/>
      <c r="K127" s="5"/>
      <c r="L127" s="8">
        <f>SUM(L118:L120,L123:L125)</f>
        <v>-16624</v>
      </c>
      <c r="M127" s="5"/>
      <c r="N127" s="5"/>
      <c r="O127" s="5"/>
      <c r="P127" s="5"/>
      <c r="Q127" s="8">
        <f>SUM(Q118:Q120,Q123:Q125)</f>
        <v>-8491</v>
      </c>
      <c r="R127" s="5"/>
      <c r="S127" s="5"/>
      <c r="T127" s="5"/>
      <c r="U127" s="5"/>
      <c r="V127" s="8">
        <f>SUM(V118:V120,V123:V125)</f>
        <v>-10570</v>
      </c>
      <c r="W127" s="5"/>
      <c r="X127" s="5"/>
      <c r="Y127" s="5"/>
      <c r="Z127" s="5"/>
      <c r="AA127" s="8">
        <f>SUM(AA118:AA120,AA123:AA125)</f>
        <v>-8835</v>
      </c>
      <c r="AB127" s="5"/>
      <c r="AC127" s="5"/>
      <c r="AD127" s="5"/>
      <c r="AE127" s="5"/>
      <c r="AF127" s="8">
        <f>SUM(AF118:AF120,AF123:AF125)</f>
        <v>8407</v>
      </c>
      <c r="AG127" s="5"/>
      <c r="AH127" s="5"/>
      <c r="AI127" s="5"/>
      <c r="AJ127" s="5"/>
      <c r="AK127" s="8">
        <f>SUM(AK118:AK120,AK123:AK125)</f>
        <v>-5521</v>
      </c>
      <c r="AL127" s="5"/>
      <c r="AM127" s="5"/>
      <c r="AN127" s="5"/>
      <c r="AO127" s="5"/>
      <c r="AP127" s="8">
        <f>SUM(AP118:AP120,AP123:AP125)</f>
        <v>-475</v>
      </c>
      <c r="AQ127" s="5"/>
      <c r="AR127" s="5"/>
      <c r="AS127" s="5"/>
      <c r="AT127" s="5"/>
      <c r="AU127" s="8">
        <f>SUM(AU118:AU120,AU123:AU125)</f>
        <v>-12684</v>
      </c>
      <c r="AV127" s="5"/>
      <c r="AW127" s="5"/>
      <c r="AX127" s="5"/>
      <c r="AY127" s="5"/>
      <c r="AZ127" s="8">
        <f>SUM(AZ118:AZ120,AZ123:AZ125)</f>
        <v>-4391</v>
      </c>
      <c r="BA127" s="5"/>
      <c r="BB127" s="5"/>
      <c r="BC127" s="5"/>
      <c r="BD127" s="5"/>
      <c r="BE127" s="8">
        <f>SUM(BE118:BE120,BE123:BE125)</f>
        <v>-5723</v>
      </c>
      <c r="BF127" s="5"/>
      <c r="BG127" s="5"/>
      <c r="BH127" s="5"/>
      <c r="BI127" s="5"/>
      <c r="BJ127" s="8">
        <f ca="1">SUM(BJ118:BJ120,BJ123:BJ125)</f>
        <v>4404</v>
      </c>
      <c r="BK127" s="5"/>
      <c r="BL127" s="5"/>
      <c r="BM127" s="5"/>
      <c r="BN127" s="5"/>
      <c r="BO127" s="8">
        <f ca="1">SUM(BO118:BO120,BO123:BO125)</f>
        <v>7</v>
      </c>
      <c r="BP127" s="5"/>
      <c r="BQ127" s="5"/>
      <c r="BR127" s="5"/>
      <c r="BS127" s="5"/>
      <c r="BT127" s="8">
        <f ca="1">SUM(BT118:BT120,BT123:BT125)</f>
        <v>-5707.5572387969933</v>
      </c>
      <c r="BU127" s="5"/>
      <c r="BV127" s="5"/>
      <c r="BW127" s="5"/>
      <c r="BX127" s="5"/>
      <c r="BY127" s="8">
        <f ca="1">SUM(BY118:BY120,BY123:BY125)</f>
        <v>-13068.985430631445</v>
      </c>
      <c r="BZ127" s="5"/>
      <c r="CA127" s="5"/>
      <c r="CB127" s="5"/>
      <c r="CC127" s="5"/>
      <c r="CD127" s="8">
        <f ca="1">SUM(CD118:CD120,CD123:CD125)</f>
        <v>-14167.301271386172</v>
      </c>
      <c r="CF127" s="76"/>
      <c r="CG127" s="50"/>
      <c r="CH127" s="50"/>
    </row>
    <row r="128" spans="1:86">
      <c r="A128" s="5"/>
      <c r="B128" s="5"/>
      <c r="C128" s="72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F128" s="175"/>
      <c r="CG128" s="50"/>
      <c r="CH128" s="50"/>
    </row>
    <row r="129" spans="1:86">
      <c r="A129" s="4" t="s">
        <v>2724</v>
      </c>
      <c r="B129" s="5"/>
      <c r="C129" s="72"/>
      <c r="D129" s="5">
        <f>'Income statement'!D93+'Income statement'!D94+'Income statement'!D95+'Income statement'!D96+'Income statement'!D97+'Income statement'!D98+'Income statement'!D99+'Income statement'!D100+'Income statement'!D101+-Assets!D13+Assets!D24-Assets!D41</f>
        <v>-4088</v>
      </c>
      <c r="E129" s="5">
        <f>'Income statement'!E93+'Income statement'!E94+'Income statement'!E95+'Income statement'!E96+'Income statement'!E97+'Income statement'!E98+'Income statement'!E99+'Income statement'!E100+'Income statement'!E101+-Assets!E13+Assets!E24-Assets!E41</f>
        <v>-1217</v>
      </c>
      <c r="F129" s="5">
        <f>'Income statement'!F93+'Income statement'!F94+'Income statement'!F95+'Income statement'!F96+'Income statement'!F97+'Income statement'!F98+'Income statement'!F99+'Income statement'!F100+'Income statement'!F101+-Assets!F13+Assets!F24-Assets!F41</f>
        <v>302</v>
      </c>
      <c r="G129" s="5">
        <f>'Income statement'!G93+'Income statement'!G94+'Income statement'!G95+'Income statement'!G96+'Income statement'!G97+'Income statement'!G98+'Income statement'!G99+'Income statement'!G100+'Income statement'!G101+-Assets!G13+Assets!G24-Assets!G41</f>
        <v>799</v>
      </c>
      <c r="H129" s="5"/>
      <c r="I129" s="5"/>
      <c r="J129" s="5"/>
      <c r="K129" s="5"/>
      <c r="L129" s="5">
        <f>'Income statement'!L93+'Income statement'!L94+'Income statement'!L95+'Income statement'!L96+'Income statement'!L97+'Income statement'!L98+'Income statement'!L99+'Income statement'!L100+'Income statement'!L101+-Assets!L13+Assets!L24-Assets!L41</f>
        <v>2434</v>
      </c>
      <c r="M129" s="5"/>
      <c r="N129" s="5"/>
      <c r="O129" s="5"/>
      <c r="P129" s="5"/>
      <c r="Q129" s="5">
        <f>'Income statement'!Q93+'Income statement'!Q94+'Income statement'!Q95+'Income statement'!Q96+'Income statement'!Q97+'Income statement'!Q98+'Income statement'!Q99+'Income statement'!Q100+'Income statement'!Q101+-Assets!Q13+Assets!Q24-Assets!Q41</f>
        <v>1794</v>
      </c>
      <c r="R129" s="5"/>
      <c r="S129" s="5"/>
      <c r="T129" s="5"/>
      <c r="U129" s="5"/>
      <c r="V129" s="5">
        <f>'Income statement'!V93+'Income statement'!V94+'Income statement'!V95+'Income statement'!V96+'Income statement'!V97+'Income statement'!V98+'Income statement'!V99+'Income statement'!V100+'Income statement'!V101+-Assets!V13+Assets!V24-Assets!V41</f>
        <v>-9959</v>
      </c>
      <c r="W129" s="5"/>
      <c r="X129" s="5"/>
      <c r="Y129" s="5"/>
      <c r="Z129" s="5"/>
      <c r="AA129" s="5">
        <f>'Income statement'!AA93+'Income statement'!AA94+'Income statement'!AA95+'Income statement'!AA96+'Income statement'!AA97+'Income statement'!AA98+'Income statement'!AA99+'Income statement'!AA100+'Income statement'!AA101+-Assets!AA13+Assets!AA24-Assets!AA41</f>
        <v>2114</v>
      </c>
      <c r="AB129" s="5"/>
      <c r="AC129" s="5"/>
      <c r="AD129" s="5"/>
      <c r="AE129" s="5"/>
      <c r="AF129" s="5">
        <f>'Income statement'!AF93+'Income statement'!AF94+'Income statement'!AF95+'Income statement'!AF96+'Income statement'!AF97+'Income statement'!AF98+'Income statement'!AF99+'Income statement'!AF100+'Income statement'!AF101+-Assets!AF13+Assets!AF24-Assets!AF41</f>
        <v>-849</v>
      </c>
      <c r="AG129" s="5"/>
      <c r="AH129" s="5"/>
      <c r="AI129" s="5"/>
      <c r="AJ129" s="5"/>
      <c r="AK129" s="5">
        <f>'Income statement'!AK93+'Income statement'!AK94+'Income statement'!AK95+'Income statement'!AK96+'Income statement'!AK97+'Income statement'!AK98+'Income statement'!AK99+'Income statement'!AK100+'Income statement'!AK101+-Assets!AK13+Assets!AK24-Assets!AK41</f>
        <v>-5067</v>
      </c>
      <c r="AL129" s="5"/>
      <c r="AM129" s="5"/>
      <c r="AN129" s="5"/>
      <c r="AO129" s="5"/>
      <c r="AP129" s="5">
        <f>'Income statement'!AP93+'Income statement'!AP94+'Income statement'!AP95+'Income statement'!AP96+'Income statement'!AP97+'Income statement'!AP98+'Income statement'!AP99+'Income statement'!AP100+'Income statement'!AP101+-Assets!AP13+Assets!AP24</f>
        <v>124</v>
      </c>
      <c r="AQ129" s="5"/>
      <c r="AR129" s="5"/>
      <c r="AS129" s="5"/>
      <c r="AT129" s="5"/>
      <c r="AU129" s="5">
        <f>'Income statement'!AU93+'Income statement'!AU94+'Income statement'!AU95+'Income statement'!AU96+'Income statement'!AU97+'Income statement'!AU98+'Income statement'!AU99+'Income statement'!AU100+'Income statement'!AU101+-Assets!AU13+Assets!AU24</f>
        <v>-5520</v>
      </c>
      <c r="AV129" s="5"/>
      <c r="AW129" s="5"/>
      <c r="AX129" s="5"/>
      <c r="AY129" s="5"/>
      <c r="AZ129" s="5">
        <f>'Income statement'!AZ93+'Income statement'!AZ94+'Income statement'!AZ95+'Income statement'!AZ96+'Income statement'!AZ97+'Income statement'!AZ98+'Income statement'!AZ99+'Income statement'!AZ100+'Income statement'!AZ101+-Assets!AZ13+Assets!AZ24</f>
        <v>-11254</v>
      </c>
      <c r="BA129" s="5"/>
      <c r="BB129" s="5"/>
      <c r="BC129" s="5"/>
      <c r="BD129" s="5"/>
      <c r="BE129" s="5">
        <f>'Income statement'!BE93+'Income statement'!BE94+'Income statement'!BE95+'Income statement'!BE96+'Income statement'!BE97+'Income statement'!BE98+'Income statement'!BE99+'Income statement'!BE100+'Income statement'!BE101+-Assets!BE13+Assets!BE24</f>
        <v>-181</v>
      </c>
      <c r="BF129" s="5"/>
      <c r="BG129" s="5"/>
      <c r="BH129" s="5"/>
      <c r="BI129" s="5"/>
      <c r="BJ129" s="5">
        <f>'Income statement'!BJ93+'Income statement'!BJ94+'Income statement'!BJ95+'Income statement'!BJ96+'Income statement'!BJ97+'Income statement'!BJ98+'Income statement'!BJ99+'Income statement'!BJ100+'Income statement'!BJ101+-Assets!BJ13+Assets!BJ24</f>
        <v>-616</v>
      </c>
      <c r="BK129" s="5"/>
      <c r="BL129" s="5"/>
      <c r="BM129" s="5"/>
      <c r="BN129" s="5"/>
      <c r="BO129" s="5">
        <f>'Income statement'!BO93+'Income statement'!BO94+'Income statement'!BO95+'Income statement'!BO96+'Income statement'!BO97+'Income statement'!BO98+'Income statement'!BO99+'Income statement'!BO100+'Income statement'!BO101+-Assets!BO13+Assets!BO24</f>
        <v>3827</v>
      </c>
      <c r="BP129" s="5"/>
      <c r="BQ129" s="5"/>
      <c r="BR129" s="5"/>
      <c r="BS129" s="5"/>
      <c r="BT129" s="5">
        <f>'Income statement'!BT93+'Income statement'!BT94+'Income statement'!BT95+'Income statement'!BT96+'Income statement'!BT97+'Income statement'!BT98+'Income statement'!BT99+'Income statement'!BT100+'Income statement'!BT101+-Assets!BT13+Assets!BT24</f>
        <v>76.5</v>
      </c>
      <c r="BU129" s="5"/>
      <c r="BV129" s="5"/>
      <c r="BW129" s="5"/>
      <c r="BX129" s="5"/>
      <c r="BY129" s="5">
        <f>'Income statement'!BY93+'Income statement'!BY94+'Income statement'!BY95+'Income statement'!BY96+'Income statement'!BY97+'Income statement'!BY98+'Income statement'!BY99+'Income statement'!BY100+'Income statement'!BY101+-Assets!BY13+Assets!BY24</f>
        <v>72</v>
      </c>
      <c r="BZ129" s="5"/>
      <c r="CA129" s="5"/>
      <c r="CB129" s="5"/>
      <c r="CC129" s="5"/>
      <c r="CD129" s="5">
        <f>'Income statement'!CD93+'Income statement'!CD94+'Income statement'!CD95+'Income statement'!CD96+'Income statement'!CD97+'Income statement'!CD98+'Income statement'!CD99+'Income statement'!CD100+'Income statement'!CD101+-Assets!CD13+Assets!CD24</f>
        <v>72</v>
      </c>
      <c r="CF129" s="175"/>
      <c r="CG129" s="50"/>
      <c r="CH129" s="50"/>
    </row>
    <row r="130" spans="1:86">
      <c r="A130" s="14" t="s">
        <v>705</v>
      </c>
      <c r="B130" s="213"/>
      <c r="C130" s="74"/>
      <c r="D130" s="15">
        <f>SUM(D100,D114,D127,D129)</f>
        <v>12449</v>
      </c>
      <c r="E130" s="15">
        <f>SUM(E100,E114,E127,E129)</f>
        <v>1070</v>
      </c>
      <c r="F130" s="15">
        <f>SUM(F100,F114,F127,F129)</f>
        <v>-715</v>
      </c>
      <c r="G130" s="15">
        <f>SUM(G100,G114,G127,G129)</f>
        <v>1850</v>
      </c>
      <c r="H130" s="213"/>
      <c r="I130" s="213"/>
      <c r="J130" s="213"/>
      <c r="K130" s="213"/>
      <c r="L130" s="15">
        <f>SUM(L100,L114,L127,L129)</f>
        <v>-370</v>
      </c>
      <c r="M130" s="213"/>
      <c r="N130" s="213"/>
      <c r="O130" s="213"/>
      <c r="P130" s="213"/>
      <c r="Q130" s="15">
        <f>SUM(Q100,Q114,Q127,Q129)</f>
        <v>972</v>
      </c>
      <c r="R130" s="213"/>
      <c r="S130" s="213"/>
      <c r="T130" s="213"/>
      <c r="U130" s="213"/>
      <c r="V130" s="15">
        <f>SUM(V100,V114,V127,V129)</f>
        <v>4635</v>
      </c>
      <c r="W130" s="213"/>
      <c r="X130" s="213"/>
      <c r="Y130" s="213"/>
      <c r="Z130" s="213"/>
      <c r="AA130" s="15">
        <f>SUM(AA100,AA114,AA127,AA129)</f>
        <v>142</v>
      </c>
      <c r="AB130" s="213"/>
      <c r="AC130" s="213"/>
      <c r="AD130" s="213"/>
      <c r="AE130" s="213"/>
      <c r="AF130" s="15">
        <f>SUM(AF100,AF114,AF127,AF129)</f>
        <v>10217</v>
      </c>
      <c r="AG130" s="213"/>
      <c r="AH130" s="213"/>
      <c r="AI130" s="213"/>
      <c r="AJ130" s="213"/>
      <c r="AK130" s="15">
        <f>SUM(AK100,AK114,AK127,AK129)</f>
        <v>-4489</v>
      </c>
      <c r="AL130" s="213"/>
      <c r="AM130" s="213"/>
      <c r="AN130" s="213"/>
      <c r="AO130" s="213"/>
      <c r="AP130" s="15">
        <f>SUM(AP100,AP114,AP127,AP129)</f>
        <v>5481</v>
      </c>
      <c r="AQ130" s="213"/>
      <c r="AR130" s="213"/>
      <c r="AS130" s="213"/>
      <c r="AT130" s="213"/>
      <c r="AU130" s="15">
        <f>SUM(AU100,AU114,AU127,AU129)</f>
        <v>2972</v>
      </c>
      <c r="AV130" s="213"/>
      <c r="AW130" s="213"/>
      <c r="AX130" s="213"/>
      <c r="AY130" s="213"/>
      <c r="AZ130" s="15">
        <f>SUM(AZ100,AZ114,AZ127,AZ129)</f>
        <v>7243</v>
      </c>
      <c r="BA130" s="213"/>
      <c r="BB130" s="213"/>
      <c r="BC130" s="213"/>
      <c r="BD130" s="213"/>
      <c r="BE130" s="15">
        <f>SUM(BE100,BE114,BE127,BE129)</f>
        <v>-3374</v>
      </c>
      <c r="BF130" s="213"/>
      <c r="BG130" s="213"/>
      <c r="BH130" s="213"/>
      <c r="BI130" s="213"/>
      <c r="BJ130" s="15">
        <f ca="1">SUM(BJ100,BJ114,BJ127,BJ129)</f>
        <v>-2905</v>
      </c>
      <c r="BK130" s="213"/>
      <c r="BL130" s="213"/>
      <c r="BM130" s="213"/>
      <c r="BN130" s="213"/>
      <c r="BO130" s="15">
        <f ca="1">SUM(BO100,BO114,BO127,BO129)</f>
        <v>2102</v>
      </c>
      <c r="BP130" s="213"/>
      <c r="BQ130" s="213"/>
      <c r="BR130" s="213"/>
      <c r="BS130" s="213"/>
      <c r="BT130" s="15">
        <f ca="1">SUM(BT100,BT114,BT127,BT129)</f>
        <v>-5.4569682106375694E-12</v>
      </c>
      <c r="BU130" s="213"/>
      <c r="BV130" s="213"/>
      <c r="BW130" s="213"/>
      <c r="BX130" s="213"/>
      <c r="BY130" s="15">
        <f ca="1">SUM(BY100,BY114,BY127,BY129)</f>
        <v>-7.6397554948925972E-11</v>
      </c>
      <c r="BZ130" s="213"/>
      <c r="CA130" s="213"/>
      <c r="CB130" s="213"/>
      <c r="CC130" s="213"/>
      <c r="CD130" s="15">
        <f ca="1">SUM(CD100,CD114,CD127,CD129)</f>
        <v>-4.7293724492192268E-11</v>
      </c>
      <c r="CF130" s="76"/>
      <c r="CG130" s="50"/>
      <c r="CH130" s="50"/>
    </row>
    <row r="131" spans="1:86">
      <c r="A131" s="245"/>
      <c r="B131" s="245"/>
      <c r="C131" s="322"/>
      <c r="D131" s="29">
        <f>'Balance sheet'!D33-'Balance sheet'!C33</f>
        <v>-73</v>
      </c>
      <c r="E131" s="29">
        <f>'Balance sheet'!E33-'Balance sheet'!D33</f>
        <v>321</v>
      </c>
      <c r="F131" s="29">
        <f>'Balance sheet'!F33-'Balance sheet'!E33</f>
        <v>-697</v>
      </c>
      <c r="G131" s="29">
        <f>'Balance sheet'!G33-'Balance sheet'!F33</f>
        <v>1601</v>
      </c>
      <c r="H131" s="322"/>
      <c r="I131" s="322"/>
      <c r="J131" s="322"/>
      <c r="K131" s="322"/>
      <c r="L131" s="29">
        <f>'Balance sheet'!L33-'Balance sheet'!G33</f>
        <v>-370</v>
      </c>
      <c r="M131" s="322"/>
      <c r="N131" s="322"/>
      <c r="O131" s="322"/>
      <c r="P131" s="322"/>
      <c r="Q131" s="29">
        <f>'Balance sheet'!Q33-'Balance sheet'!L33</f>
        <v>972</v>
      </c>
      <c r="R131" s="322"/>
      <c r="S131" s="322"/>
      <c r="T131" s="322"/>
      <c r="U131" s="322"/>
      <c r="V131" s="29">
        <f>'Balance sheet'!V33-'Balance sheet'!Q33</f>
        <v>4635</v>
      </c>
      <c r="W131" s="322"/>
      <c r="X131" s="322"/>
      <c r="Y131" s="322"/>
      <c r="Z131" s="322"/>
      <c r="AA131" s="29">
        <f>'Balance sheet'!AA33-'Balance sheet'!V33</f>
        <v>142</v>
      </c>
      <c r="AB131" s="29"/>
      <c r="AC131" s="29"/>
      <c r="AD131" s="29"/>
      <c r="AE131" s="29"/>
      <c r="AF131" s="29">
        <f>'Balance sheet'!AF33-'Balance sheet'!AA33</f>
        <v>10217</v>
      </c>
      <c r="AG131" s="29"/>
      <c r="AH131" s="29"/>
      <c r="AI131" s="29"/>
      <c r="AJ131" s="29"/>
      <c r="AK131" s="29">
        <f>'Balance sheet'!AK33-'Balance sheet'!AF33</f>
        <v>-4489</v>
      </c>
      <c r="AL131" s="29"/>
      <c r="AM131" s="29"/>
      <c r="AN131" s="29"/>
      <c r="AO131" s="29"/>
      <c r="AP131" s="29">
        <f>'Balance sheet'!AP33-'Balance sheet'!AK33</f>
        <v>5481</v>
      </c>
      <c r="AQ131" s="29"/>
      <c r="AR131" s="29"/>
      <c r="AS131" s="29"/>
      <c r="AT131" s="29"/>
      <c r="AU131" s="29">
        <f>'Balance sheet'!AU33-'Balance sheet'!AP33</f>
        <v>2972</v>
      </c>
      <c r="AV131" s="29"/>
      <c r="AW131" s="29"/>
      <c r="AX131" s="29"/>
      <c r="AY131" s="29"/>
      <c r="AZ131" s="29">
        <f>'Balance sheet'!AZ33-'Balance sheet'!AU33</f>
        <v>7243</v>
      </c>
      <c r="BA131" s="29"/>
      <c r="BB131" s="29"/>
      <c r="BC131" s="29"/>
      <c r="BD131" s="29"/>
      <c r="BE131" s="29">
        <f>'Balance sheet'!BE33-'Balance sheet'!AZ33</f>
        <v>-3374</v>
      </c>
      <c r="BF131" s="29"/>
      <c r="BG131" s="29"/>
      <c r="BH131" s="29"/>
      <c r="BI131" s="29"/>
      <c r="BJ131" s="29">
        <f>'Balance sheet'!BJ33-'Balance sheet'!BE33</f>
        <v>-2905</v>
      </c>
      <c r="BK131" s="29"/>
      <c r="BL131" s="29"/>
      <c r="BM131" s="29"/>
      <c r="BN131" s="29"/>
      <c r="BO131" s="29">
        <f>'Balance sheet'!BO33-'Balance sheet'!BJ33</f>
        <v>2102</v>
      </c>
      <c r="BP131" s="29"/>
      <c r="BQ131" s="29"/>
      <c r="BR131" s="29"/>
      <c r="BS131" s="29"/>
      <c r="BT131" s="29">
        <f ca="1">'Balance sheet'!BT33-'Balance sheet'!BO33</f>
        <v>0</v>
      </c>
      <c r="BU131" s="29"/>
      <c r="BV131" s="29"/>
      <c r="BW131" s="29"/>
      <c r="BX131" s="29"/>
      <c r="BY131" s="29">
        <f ca="1">'Balance sheet'!BY33-'Balance sheet'!BT33</f>
        <v>0</v>
      </c>
      <c r="BZ131" s="29"/>
      <c r="CA131" s="29"/>
      <c r="CB131" s="29"/>
      <c r="CC131" s="29"/>
      <c r="CD131" s="29">
        <f ca="1">'Balance sheet'!CD33-'Balance sheet'!BY33</f>
        <v>0</v>
      </c>
      <c r="CF131" s="433"/>
      <c r="CG131" s="50"/>
      <c r="CH131" s="50"/>
    </row>
    <row r="132" spans="1:86">
      <c r="A132" s="5"/>
      <c r="B132" s="4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F132" s="50"/>
      <c r="CG132" s="50"/>
      <c r="CH132" s="50"/>
    </row>
    <row r="133" spans="1:86">
      <c r="A133" s="5"/>
      <c r="B133" s="5"/>
      <c r="C133" s="5"/>
      <c r="D133" s="5"/>
      <c r="E133" s="116"/>
      <c r="F133" s="116"/>
      <c r="G133" s="116"/>
      <c r="H133" s="5"/>
      <c r="I133" s="5"/>
      <c r="J133" s="5"/>
      <c r="K133" s="5"/>
      <c r="L133" s="116"/>
      <c r="M133" s="5"/>
      <c r="N133" s="5"/>
      <c r="O133" s="5"/>
      <c r="P133" s="5"/>
      <c r="Q133" s="116"/>
      <c r="R133" s="49"/>
      <c r="S133" s="49"/>
      <c r="T133" s="49"/>
      <c r="U133" s="49"/>
      <c r="V133" s="49"/>
      <c r="W133" s="49"/>
      <c r="X133" s="49"/>
      <c r="Y133" s="49"/>
      <c r="Z133" s="49"/>
      <c r="AA133" s="49"/>
      <c r="AB133" s="49"/>
      <c r="AC133" s="49"/>
      <c r="AD133" s="49"/>
      <c r="AE133" s="49"/>
      <c r="AF133" s="49"/>
      <c r="AG133" s="49"/>
      <c r="AH133" s="49"/>
      <c r="AI133" s="49"/>
      <c r="AJ133" s="49"/>
      <c r="AK133" s="49"/>
      <c r="AL133" s="49"/>
      <c r="AM133" s="49"/>
      <c r="AN133" s="49"/>
      <c r="AO133" s="49"/>
      <c r="AP133" s="49"/>
      <c r="AQ133" s="49"/>
      <c r="AR133" s="49"/>
      <c r="AS133" s="49"/>
      <c r="AT133" s="5"/>
      <c r="AU133" s="5"/>
      <c r="AV133" s="5"/>
      <c r="AW133" s="5"/>
      <c r="AX133" s="49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F133" s="50"/>
      <c r="CG133" s="50"/>
      <c r="CH133" s="50"/>
    </row>
    <row r="134" spans="1:86" ht="12.75" customHeight="1">
      <c r="A134" s="9" t="s">
        <v>2241</v>
      </c>
      <c r="B134" s="4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49"/>
      <c r="S134" s="49"/>
      <c r="T134" s="49"/>
      <c r="U134" s="49"/>
      <c r="V134" s="49"/>
      <c r="W134" s="49"/>
      <c r="X134" s="49"/>
      <c r="Y134" s="49"/>
      <c r="Z134" s="49"/>
      <c r="AA134" s="49"/>
      <c r="AB134" s="49"/>
      <c r="AC134" s="49"/>
      <c r="AD134" s="49"/>
      <c r="AE134" s="49"/>
      <c r="AF134" s="49"/>
      <c r="AG134" s="49"/>
      <c r="AH134" s="49"/>
      <c r="AI134" s="49"/>
      <c r="AJ134" s="49"/>
      <c r="AK134" s="49"/>
      <c r="AL134" s="49"/>
      <c r="AM134" s="49"/>
      <c r="AN134" s="49"/>
      <c r="AO134" s="49"/>
      <c r="AP134" s="49"/>
      <c r="AQ134" s="49"/>
      <c r="AR134" s="49"/>
      <c r="AS134" s="49"/>
      <c r="AT134" s="5"/>
      <c r="AU134" s="5"/>
      <c r="AV134" s="5"/>
      <c r="AW134" s="5"/>
      <c r="AX134" s="49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F134" s="50"/>
      <c r="CG134" s="50"/>
      <c r="CH134" s="50"/>
    </row>
    <row r="135" spans="1:86" ht="12.75" customHeight="1">
      <c r="A135" s="10"/>
      <c r="B135" s="10"/>
      <c r="C135" s="31">
        <v>2001</v>
      </c>
      <c r="D135" s="32">
        <v>2002</v>
      </c>
      <c r="E135" s="32">
        <v>2003</v>
      </c>
      <c r="F135" s="32">
        <v>2004</v>
      </c>
      <c r="G135" s="31">
        <v>2005</v>
      </c>
      <c r="H135" s="33" t="s">
        <v>714</v>
      </c>
      <c r="I135" s="33" t="s">
        <v>715</v>
      </c>
      <c r="J135" s="33" t="s">
        <v>716</v>
      </c>
      <c r="K135" s="33" t="s">
        <v>717</v>
      </c>
      <c r="L135" s="31">
        <v>2006</v>
      </c>
      <c r="M135" s="33" t="s">
        <v>718</v>
      </c>
      <c r="N135" s="33" t="s">
        <v>719</v>
      </c>
      <c r="O135" s="33" t="s">
        <v>1970</v>
      </c>
      <c r="P135" s="33" t="s">
        <v>1971</v>
      </c>
      <c r="Q135" s="31">
        <v>2007</v>
      </c>
      <c r="R135" s="33" t="s">
        <v>1972</v>
      </c>
      <c r="S135" s="33" t="s">
        <v>1973</v>
      </c>
      <c r="T135" s="33" t="s">
        <v>1974</v>
      </c>
      <c r="U135" s="33" t="s">
        <v>1975</v>
      </c>
      <c r="V135" s="31">
        <v>2008</v>
      </c>
      <c r="W135" s="33" t="s">
        <v>1976</v>
      </c>
      <c r="X135" s="33" t="s">
        <v>1977</v>
      </c>
      <c r="Y135" s="33" t="s">
        <v>1978</v>
      </c>
      <c r="Z135" s="33" t="s">
        <v>1979</v>
      </c>
      <c r="AA135" s="31">
        <v>2009</v>
      </c>
      <c r="AB135" s="33" t="s">
        <v>1980</v>
      </c>
      <c r="AC135" s="33" t="s">
        <v>1981</v>
      </c>
      <c r="AD135" s="33" t="s">
        <v>1982</v>
      </c>
      <c r="AE135" s="33" t="s">
        <v>2392</v>
      </c>
      <c r="AF135" s="31">
        <v>2010</v>
      </c>
      <c r="AG135" s="33" t="s">
        <v>2393</v>
      </c>
      <c r="AH135" s="33" t="s">
        <v>2394</v>
      </c>
      <c r="AI135" s="33" t="s">
        <v>2395</v>
      </c>
      <c r="AJ135" s="33" t="s">
        <v>2396</v>
      </c>
      <c r="AK135" s="31">
        <v>2011</v>
      </c>
      <c r="AL135" s="33" t="s">
        <v>2397</v>
      </c>
      <c r="AM135" s="33" t="s">
        <v>2398</v>
      </c>
      <c r="AN135" s="33" t="s">
        <v>2399</v>
      </c>
      <c r="AO135" s="33" t="s">
        <v>2400</v>
      </c>
      <c r="AP135" s="31">
        <v>2012</v>
      </c>
      <c r="AQ135" s="33" t="s">
        <v>2401</v>
      </c>
      <c r="AR135" s="33" t="s">
        <v>2402</v>
      </c>
      <c r="AS135" s="33" t="s">
        <v>2403</v>
      </c>
      <c r="AT135" s="33" t="s">
        <v>2404</v>
      </c>
      <c r="AU135" s="31">
        <v>2013</v>
      </c>
      <c r="AV135" s="368" t="s">
        <v>2405</v>
      </c>
      <c r="AW135" s="368" t="s">
        <v>2406</v>
      </c>
      <c r="AX135" s="33" t="s">
        <v>2407</v>
      </c>
      <c r="AY135" s="33" t="s">
        <v>2408</v>
      </c>
      <c r="AZ135" s="31">
        <v>2014</v>
      </c>
      <c r="BA135" s="33" t="s">
        <v>2409</v>
      </c>
      <c r="BB135" s="33" t="s">
        <v>2410</v>
      </c>
      <c r="BC135" s="33" t="s">
        <v>2411</v>
      </c>
      <c r="BD135" s="33" t="s">
        <v>2412</v>
      </c>
      <c r="BE135" s="31">
        <v>2015</v>
      </c>
      <c r="BF135" s="33" t="s">
        <v>2413</v>
      </c>
      <c r="BG135" s="33" t="s">
        <v>2414</v>
      </c>
      <c r="BH135" s="33" t="s">
        <v>2415</v>
      </c>
      <c r="BI135" s="33" t="s">
        <v>2416</v>
      </c>
      <c r="BJ135" s="31">
        <v>2016</v>
      </c>
      <c r="BK135" s="33" t="s">
        <v>2417</v>
      </c>
      <c r="BL135" s="33" t="s">
        <v>2418</v>
      </c>
      <c r="BM135" s="33" t="s">
        <v>2419</v>
      </c>
      <c r="BN135" s="33" t="s">
        <v>2420</v>
      </c>
      <c r="BO135" s="31">
        <v>2017</v>
      </c>
      <c r="BP135" s="363" t="s">
        <v>2244</v>
      </c>
      <c r="BQ135" s="363" t="s">
        <v>2245</v>
      </c>
      <c r="BR135" s="363" t="s">
        <v>2508</v>
      </c>
      <c r="BS135" s="363" t="s">
        <v>2509</v>
      </c>
      <c r="BT135" s="364">
        <v>2018</v>
      </c>
      <c r="BU135" s="363" t="s">
        <v>2510</v>
      </c>
      <c r="BV135" s="363" t="s">
        <v>2511</v>
      </c>
      <c r="BW135" s="363" t="s">
        <v>3125</v>
      </c>
      <c r="BX135" s="363" t="s">
        <v>1405</v>
      </c>
      <c r="BY135" s="364">
        <v>2019</v>
      </c>
      <c r="BZ135" s="363" t="s">
        <v>1406</v>
      </c>
      <c r="CA135" s="363" t="s">
        <v>1407</v>
      </c>
      <c r="CB135" s="363" t="s">
        <v>1408</v>
      </c>
      <c r="CC135" s="363" t="s">
        <v>1409</v>
      </c>
      <c r="CD135" s="364">
        <v>2020</v>
      </c>
      <c r="CF135" s="50"/>
      <c r="CG135" s="50"/>
      <c r="CH135" s="50"/>
    </row>
    <row r="136" spans="1:86" ht="12.75" customHeight="1">
      <c r="A136" s="7" t="s">
        <v>1247</v>
      </c>
      <c r="B136" s="4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12"/>
      <c r="N136" s="12"/>
      <c r="O136" s="12"/>
      <c r="P136" s="12"/>
      <c r="Q136" s="5"/>
      <c r="R136" s="5"/>
      <c r="S136" s="5"/>
      <c r="T136" s="5"/>
      <c r="U136" s="5"/>
      <c r="V136" s="5"/>
      <c r="W136" s="12"/>
      <c r="X136" s="12"/>
      <c r="Y136" s="12"/>
      <c r="Z136" s="12"/>
      <c r="AA136" s="5"/>
      <c r="AB136" s="5"/>
      <c r="AC136" s="5"/>
      <c r="AD136" s="5"/>
      <c r="AE136" s="5"/>
      <c r="AF136" s="5"/>
      <c r="AG136" s="12"/>
      <c r="AH136" s="12"/>
      <c r="AI136" s="12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F136" s="50"/>
      <c r="CG136" s="50"/>
      <c r="CH136" s="50"/>
    </row>
    <row r="137" spans="1:86" ht="12.75" customHeight="1">
      <c r="A137" s="4" t="s">
        <v>2714</v>
      </c>
      <c r="B137" s="4"/>
      <c r="C137" s="5">
        <v>12992</v>
      </c>
      <c r="D137" s="5">
        <v>11189</v>
      </c>
      <c r="E137" s="5">
        <v>17731</v>
      </c>
      <c r="F137" s="5">
        <v>24966</v>
      </c>
      <c r="G137" s="5">
        <v>31921</v>
      </c>
      <c r="H137" s="12">
        <v>8726</v>
      </c>
      <c r="I137" s="12">
        <v>10706</v>
      </c>
      <c r="J137" s="12">
        <v>10908</v>
      </c>
      <c r="K137" s="12">
        <v>4302</v>
      </c>
      <c r="L137" s="5">
        <v>34642</v>
      </c>
      <c r="M137" s="12">
        <v>7186</v>
      </c>
      <c r="N137" s="12">
        <v>10724</v>
      </c>
      <c r="O137" s="12">
        <v>6636</v>
      </c>
      <c r="P137" s="12">
        <v>7065</v>
      </c>
      <c r="Q137" s="5">
        <v>31611</v>
      </c>
      <c r="R137" s="12">
        <v>11404</v>
      </c>
      <c r="S137" s="12">
        <v>14506</v>
      </c>
      <c r="T137" s="12">
        <v>12287</v>
      </c>
      <c r="U137" s="12">
        <v>-3914</v>
      </c>
      <c r="V137" s="5">
        <v>34283</v>
      </c>
      <c r="W137" s="12">
        <v>4130</v>
      </c>
      <c r="X137" s="12">
        <v>6772</v>
      </c>
      <c r="Y137" s="12">
        <v>7590</v>
      </c>
      <c r="Z137" s="12">
        <v>6632</v>
      </c>
      <c r="AA137" s="5">
        <v>25124</v>
      </c>
      <c r="AB137" s="12">
        <v>9378</v>
      </c>
      <c r="AC137" s="12">
        <v>-24343</v>
      </c>
      <c r="AD137" s="12">
        <v>1581</v>
      </c>
      <c r="AE137" s="12">
        <v>8559</v>
      </c>
      <c r="AF137" s="5">
        <v>-4825</v>
      </c>
      <c r="AG137" s="12">
        <v>11398</v>
      </c>
      <c r="AH137" s="12">
        <v>8828</v>
      </c>
      <c r="AI137" s="12">
        <v>7490</v>
      </c>
      <c r="AJ137" s="12">
        <v>11118</v>
      </c>
      <c r="AK137" s="5">
        <f>SUM(AG137:AJ137)</f>
        <v>38834</v>
      </c>
      <c r="AL137" s="12">
        <v>8923</v>
      </c>
      <c r="AM137" s="12">
        <v>-1815</v>
      </c>
      <c r="AN137" s="12">
        <v>8239</v>
      </c>
      <c r="AO137" s="12">
        <v>3462</v>
      </c>
      <c r="AP137" s="5">
        <f>SUM(AL137:AO137)</f>
        <v>18809</v>
      </c>
      <c r="AQ137" s="12">
        <v>19734</v>
      </c>
      <c r="AR137" s="12">
        <v>4116</v>
      </c>
      <c r="AS137" s="12">
        <v>5172</v>
      </c>
      <c r="AT137" s="12">
        <v>1199</v>
      </c>
      <c r="AU137" s="5">
        <v>30221</v>
      </c>
      <c r="AV137" s="12">
        <v>5270</v>
      </c>
      <c r="AW137" s="12">
        <v>5147</v>
      </c>
      <c r="AX137" s="12">
        <v>2611</v>
      </c>
      <c r="AY137" s="12">
        <v>-8078</v>
      </c>
      <c r="AZ137" s="5">
        <v>4950</v>
      </c>
      <c r="BA137" s="12">
        <v>2276</v>
      </c>
      <c r="BB137" s="12">
        <v>-8612</v>
      </c>
      <c r="BC137" s="12">
        <v>865</v>
      </c>
      <c r="BD137" s="12">
        <v>-4100</v>
      </c>
      <c r="BE137" s="5">
        <v>-9571</v>
      </c>
      <c r="BF137" s="12">
        <v>-865</v>
      </c>
      <c r="BG137" s="12">
        <v>-3376</v>
      </c>
      <c r="BH137" s="12">
        <v>1329</v>
      </c>
      <c r="BI137" s="12">
        <v>617</v>
      </c>
      <c r="BJ137" s="5">
        <f>+SUM(BF137:BI137)</f>
        <v>-2295</v>
      </c>
      <c r="BK137" s="12">
        <v>2115</v>
      </c>
      <c r="BL137" s="12">
        <v>928</v>
      </c>
      <c r="BM137" s="12">
        <v>2955</v>
      </c>
      <c r="BN137" s="12">
        <v>1182</v>
      </c>
      <c r="BO137" s="5">
        <f>+SUM(BK137:BN137)</f>
        <v>7180</v>
      </c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F137" s="50"/>
      <c r="CG137" s="50"/>
      <c r="CH137" s="50"/>
    </row>
    <row r="138" spans="1:86" ht="12.75" customHeight="1">
      <c r="A138" s="4" t="s">
        <v>2435</v>
      </c>
      <c r="B138" s="4"/>
      <c r="C138" s="5"/>
      <c r="D138" s="5"/>
      <c r="E138" s="5"/>
      <c r="F138" s="5"/>
      <c r="G138" s="5"/>
      <c r="H138" s="12"/>
      <c r="I138" s="12"/>
      <c r="J138" s="12"/>
      <c r="K138" s="12"/>
      <c r="L138" s="5"/>
      <c r="M138" s="12"/>
      <c r="N138" s="12"/>
      <c r="O138" s="12"/>
      <c r="P138" s="12"/>
      <c r="Q138" s="5"/>
      <c r="R138" s="12"/>
      <c r="S138" s="12"/>
      <c r="T138" s="12"/>
      <c r="U138" s="12"/>
      <c r="V138" s="5"/>
      <c r="W138" s="12"/>
      <c r="X138" s="12"/>
      <c r="Y138" s="12"/>
      <c r="Z138" s="12"/>
      <c r="AA138" s="5"/>
      <c r="AB138" s="12"/>
      <c r="AC138" s="12"/>
      <c r="AD138" s="12"/>
      <c r="AE138" s="12"/>
      <c r="AF138" s="5"/>
      <c r="AG138" s="12"/>
      <c r="AH138" s="12"/>
      <c r="AI138" s="12"/>
      <c r="AJ138" s="12"/>
      <c r="AK138" s="5"/>
      <c r="AL138" s="12"/>
      <c r="AM138" s="12"/>
      <c r="AN138" s="12"/>
      <c r="AO138" s="12"/>
      <c r="AP138" s="5"/>
      <c r="AQ138" s="12"/>
      <c r="AR138" s="12"/>
      <c r="AS138" s="12"/>
      <c r="AT138" s="12"/>
      <c r="AU138" s="5"/>
      <c r="AV138" s="12"/>
      <c r="AW138" s="12"/>
      <c r="AX138" s="12"/>
      <c r="AY138" s="12"/>
      <c r="AZ138" s="5"/>
      <c r="BA138" s="12"/>
      <c r="BB138" s="12"/>
      <c r="BC138" s="12"/>
      <c r="BD138" s="12"/>
      <c r="BE138" s="5"/>
      <c r="BF138" s="12"/>
      <c r="BG138" s="12"/>
      <c r="BH138" s="12"/>
      <c r="BI138" s="12"/>
      <c r="BJ138" s="5"/>
      <c r="BK138" s="12"/>
      <c r="BL138" s="12"/>
      <c r="BM138" s="12"/>
      <c r="BN138" s="12"/>
      <c r="BO138" s="5"/>
      <c r="BP138" s="12"/>
      <c r="BQ138" s="12"/>
      <c r="BR138" s="12"/>
      <c r="BS138" s="12"/>
      <c r="BT138" s="12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F138" s="50"/>
      <c r="CG138" s="50"/>
      <c r="CH138" s="50"/>
    </row>
    <row r="139" spans="1:86" ht="12.75" customHeight="1">
      <c r="A139" s="4"/>
      <c r="B139" s="4" t="s">
        <v>2056</v>
      </c>
      <c r="C139" s="5">
        <v>238</v>
      </c>
      <c r="D139" s="5">
        <v>385</v>
      </c>
      <c r="E139" s="5">
        <v>297</v>
      </c>
      <c r="F139" s="5">
        <v>274</v>
      </c>
      <c r="G139" s="5">
        <v>305</v>
      </c>
      <c r="H139" s="12">
        <v>114</v>
      </c>
      <c r="I139" s="12">
        <v>13</v>
      </c>
      <c r="J139" s="12">
        <v>232</v>
      </c>
      <c r="K139" s="12">
        <v>265</v>
      </c>
      <c r="L139" s="5">
        <v>624</v>
      </c>
      <c r="M139" s="12"/>
      <c r="N139" s="12"/>
      <c r="O139" s="12"/>
      <c r="P139" s="12"/>
      <c r="Q139" s="5">
        <v>347</v>
      </c>
      <c r="R139" s="12"/>
      <c r="S139" s="12"/>
      <c r="T139" s="12"/>
      <c r="U139" s="12"/>
      <c r="V139" s="5">
        <v>385</v>
      </c>
      <c r="W139" s="12"/>
      <c r="X139" s="12"/>
      <c r="Y139" s="12"/>
      <c r="Z139" s="12"/>
      <c r="AA139" s="5">
        <v>593</v>
      </c>
      <c r="AB139" s="12"/>
      <c r="AC139" s="12"/>
      <c r="AD139" s="12"/>
      <c r="AE139" s="12"/>
      <c r="AF139" s="5">
        <v>375</v>
      </c>
      <c r="AG139" s="12"/>
      <c r="AH139" s="12"/>
      <c r="AI139" s="12"/>
      <c r="AJ139" s="12"/>
      <c r="AK139" s="5">
        <v>1024</v>
      </c>
      <c r="AL139" s="12"/>
      <c r="AM139" s="12"/>
      <c r="AN139" s="12"/>
      <c r="AO139" s="12"/>
      <c r="AP139" s="5">
        <v>745</v>
      </c>
      <c r="AQ139" s="12"/>
      <c r="AR139" s="12"/>
      <c r="AS139" s="12"/>
      <c r="AT139" s="12"/>
      <c r="AU139" s="5">
        <v>2710</v>
      </c>
      <c r="AV139" s="542"/>
      <c r="AW139" s="12"/>
      <c r="AX139" s="12"/>
      <c r="AY139" s="12"/>
      <c r="AZ139" s="5">
        <v>3029</v>
      </c>
      <c r="BA139" s="12"/>
      <c r="BB139" s="12"/>
      <c r="BC139" s="12"/>
      <c r="BD139" s="12"/>
      <c r="BE139" s="5">
        <v>1829</v>
      </c>
      <c r="BF139" s="12"/>
      <c r="BG139" s="12"/>
      <c r="BH139" s="12"/>
      <c r="BI139" s="12"/>
      <c r="BJ139" s="5">
        <v>1274</v>
      </c>
      <c r="BK139" s="12"/>
      <c r="BL139" s="12"/>
      <c r="BM139" s="12"/>
      <c r="BN139" s="12"/>
      <c r="BO139" s="5">
        <v>1603</v>
      </c>
      <c r="BP139" s="12"/>
      <c r="BQ139" s="12"/>
      <c r="BR139" s="12"/>
      <c r="BS139" s="12"/>
      <c r="BT139" s="12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F139" s="50"/>
      <c r="CG139" s="50"/>
      <c r="CH139" s="50"/>
    </row>
    <row r="140" spans="1:86" ht="12.75" customHeight="1">
      <c r="A140" s="4"/>
      <c r="B140" s="4" t="s">
        <v>2154</v>
      </c>
      <c r="C140" s="5">
        <v>8683</v>
      </c>
      <c r="D140" s="5">
        <v>9127</v>
      </c>
      <c r="E140" s="5">
        <v>8076</v>
      </c>
      <c r="F140" s="5">
        <v>8529</v>
      </c>
      <c r="G140" s="5">
        <v>8771</v>
      </c>
      <c r="H140" s="12">
        <v>2184</v>
      </c>
      <c r="I140" s="12">
        <v>2309</v>
      </c>
      <c r="J140" s="12">
        <v>2194</v>
      </c>
      <c r="K140" s="12">
        <v>2441</v>
      </c>
      <c r="L140" s="5">
        <v>9128</v>
      </c>
      <c r="M140" s="12">
        <v>2574</v>
      </c>
      <c r="N140" s="12">
        <v>2595</v>
      </c>
      <c r="O140" s="12">
        <v>2651</v>
      </c>
      <c r="P140" s="12">
        <v>3106</v>
      </c>
      <c r="Q140" s="5">
        <v>10579</v>
      </c>
      <c r="R140" s="12">
        <v>2966</v>
      </c>
      <c r="S140" s="12">
        <v>2894</v>
      </c>
      <c r="T140" s="12">
        <v>2751</v>
      </c>
      <c r="U140" s="12">
        <v>2759</v>
      </c>
      <c r="V140" s="5">
        <v>10985</v>
      </c>
      <c r="W140" s="12">
        <v>2849</v>
      </c>
      <c r="X140" s="12">
        <v>3315</v>
      </c>
      <c r="Y140" s="12">
        <v>3216</v>
      </c>
      <c r="Z140" s="12">
        <v>3319</v>
      </c>
      <c r="AA140" s="5">
        <v>12106</v>
      </c>
      <c r="AB140" s="12">
        <v>3017</v>
      </c>
      <c r="AC140" s="12">
        <v>2833</v>
      </c>
      <c r="AD140" s="12">
        <v>2812</v>
      </c>
      <c r="AE140" s="12">
        <v>2877</v>
      </c>
      <c r="AF140" s="5">
        <v>11164</v>
      </c>
      <c r="AG140" s="12">
        <v>3127</v>
      </c>
      <c r="AH140" s="12">
        <v>3275</v>
      </c>
      <c r="AI140" s="12">
        <v>2674</v>
      </c>
      <c r="AJ140" s="12">
        <v>3083</v>
      </c>
      <c r="AK140" s="5">
        <v>11135</v>
      </c>
      <c r="AL140" s="12">
        <v>3288</v>
      </c>
      <c r="AM140" s="12">
        <v>3269</v>
      </c>
      <c r="AN140" s="12">
        <v>3318</v>
      </c>
      <c r="AO140" s="12">
        <v>3351</v>
      </c>
      <c r="AP140" s="5">
        <v>12481</v>
      </c>
      <c r="AQ140" s="12">
        <v>3369</v>
      </c>
      <c r="AR140" s="12">
        <v>3453</v>
      </c>
      <c r="AS140" s="12">
        <v>3765</v>
      </c>
      <c r="AT140" s="12">
        <v>5633</v>
      </c>
      <c r="AU140" s="5">
        <v>13510</v>
      </c>
      <c r="AV140" s="12">
        <v>4422</v>
      </c>
      <c r="AW140" s="12">
        <v>3953</v>
      </c>
      <c r="AX140" s="12">
        <v>4602</v>
      </c>
      <c r="AY140" s="12">
        <v>5215</v>
      </c>
      <c r="AZ140" s="5">
        <v>15163</v>
      </c>
      <c r="BA140" s="12">
        <v>3928</v>
      </c>
      <c r="BB140" s="12">
        <v>4571</v>
      </c>
      <c r="BC140" s="12">
        <v>3971</v>
      </c>
      <c r="BD140" s="12">
        <v>4578</v>
      </c>
      <c r="BE140" s="5">
        <v>15219</v>
      </c>
      <c r="BF140" s="12">
        <v>3891</v>
      </c>
      <c r="BG140" s="12">
        <v>3897</v>
      </c>
      <c r="BH140" s="12">
        <v>4183</v>
      </c>
      <c r="BI140" s="12">
        <v>3808</v>
      </c>
      <c r="BJ140" s="5">
        <v>14505</v>
      </c>
      <c r="BK140" s="12">
        <v>4103</v>
      </c>
      <c r="BL140" s="12">
        <v>4546</v>
      </c>
      <c r="BM140" s="12">
        <v>4121</v>
      </c>
      <c r="BN140" s="12">
        <v>4417</v>
      </c>
      <c r="BO140" s="5">
        <v>15584</v>
      </c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F140" s="50"/>
      <c r="CG140" s="5"/>
      <c r="CH140" s="50"/>
    </row>
    <row r="141" spans="1:86" ht="12.75" customHeight="1">
      <c r="A141" s="4"/>
      <c r="B141" s="4" t="s">
        <v>1004</v>
      </c>
      <c r="C141" s="5">
        <v>-362</v>
      </c>
      <c r="D141" s="5">
        <v>108</v>
      </c>
      <c r="E141" s="5">
        <v>-94</v>
      </c>
      <c r="F141" s="5">
        <v>-295</v>
      </c>
      <c r="G141" s="5">
        <v>-1070</v>
      </c>
      <c r="H141" s="12">
        <v>-574</v>
      </c>
      <c r="I141" s="12">
        <v>-462</v>
      </c>
      <c r="J141" s="12">
        <v>-1889</v>
      </c>
      <c r="K141" s="12">
        <v>-240</v>
      </c>
      <c r="L141" s="5">
        <v>-3165</v>
      </c>
      <c r="M141" s="12">
        <v>-457</v>
      </c>
      <c r="N141" s="12">
        <v>-854</v>
      </c>
      <c r="O141" s="12">
        <v>-99</v>
      </c>
      <c r="P141" s="12">
        <v>602</v>
      </c>
      <c r="Q141" s="5">
        <v>-808</v>
      </c>
      <c r="R141" s="12">
        <v>-885</v>
      </c>
      <c r="S141" s="12">
        <v>-56</v>
      </c>
      <c r="T141" s="12">
        <v>-139</v>
      </c>
      <c r="U141" s="12">
        <v>1460</v>
      </c>
      <c r="V141" s="5">
        <v>380</v>
      </c>
      <c r="W141" s="12">
        <v>56</v>
      </c>
      <c r="X141" s="12">
        <v>-306</v>
      </c>
      <c r="Y141" s="12">
        <v>-45</v>
      </c>
      <c r="Z141" s="12">
        <v>455</v>
      </c>
      <c r="AA141" s="5">
        <v>160</v>
      </c>
      <c r="AB141" s="12">
        <v>126</v>
      </c>
      <c r="AC141" s="12">
        <v>-1027</v>
      </c>
      <c r="AD141" s="12">
        <v>-2241</v>
      </c>
      <c r="AE141" s="12">
        <v>-1552</v>
      </c>
      <c r="AF141" s="5">
        <v>-4694</v>
      </c>
      <c r="AG141" s="12">
        <v>-1129</v>
      </c>
      <c r="AH141" s="12">
        <v>608</v>
      </c>
      <c r="AI141" s="12">
        <v>-579</v>
      </c>
      <c r="AJ141" s="12">
        <v>-972</v>
      </c>
      <c r="AK141" s="5">
        <v>-2072</v>
      </c>
      <c r="AL141" s="12">
        <v>-793</v>
      </c>
      <c r="AM141" s="12">
        <v>4079</v>
      </c>
      <c r="AN141" s="12">
        <v>-124</v>
      </c>
      <c r="AO141" s="12">
        <v>-3583</v>
      </c>
      <c r="AP141" s="5">
        <f>SUM(AL141:AO141)</f>
        <v>-421</v>
      </c>
      <c r="AQ141" s="12">
        <v>-12431</v>
      </c>
      <c r="AR141" s="12">
        <v>374</v>
      </c>
      <c r="AS141" s="12">
        <v>472</v>
      </c>
      <c r="AT141" s="12">
        <v>431</v>
      </c>
      <c r="AU141" s="5">
        <v>-11154</v>
      </c>
      <c r="AV141" s="12">
        <v>377</v>
      </c>
      <c r="AW141" s="12">
        <v>444</v>
      </c>
      <c r="AX141" s="12">
        <v>642</v>
      </c>
      <c r="AY141" s="12">
        <v>6607</v>
      </c>
      <c r="AZ141" s="5">
        <v>8070</v>
      </c>
      <c r="BA141" s="12">
        <v>59</v>
      </c>
      <c r="BB141" s="12">
        <v>153</v>
      </c>
      <c r="BC141" s="12">
        <v>-127</v>
      </c>
      <c r="BD141" s="12">
        <v>1158</v>
      </c>
      <c r="BE141" s="5">
        <v>1243</v>
      </c>
      <c r="BF141" s="12">
        <v>-325</v>
      </c>
      <c r="BG141" s="12">
        <v>-27</v>
      </c>
      <c r="BH141" s="12">
        <v>-1891</v>
      </c>
      <c r="BI141" s="12">
        <v>-553</v>
      </c>
      <c r="BJ141" s="5">
        <f t="shared" ref="BJ141" si="137">+SUM(BF141:BI141)</f>
        <v>-2796</v>
      </c>
      <c r="BK141" s="12">
        <v>408</v>
      </c>
      <c r="BL141" s="12">
        <v>-146</v>
      </c>
      <c r="BM141" s="12">
        <v>16</v>
      </c>
      <c r="BN141" s="12">
        <v>-272</v>
      </c>
      <c r="BO141" s="5">
        <v>6</v>
      </c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F141" s="50"/>
      <c r="CG141" s="50"/>
      <c r="CH141" s="50"/>
    </row>
    <row r="142" spans="1:86" ht="12.75" customHeight="1">
      <c r="A142" s="4"/>
      <c r="B142" s="4" t="s">
        <v>1451</v>
      </c>
      <c r="C142" s="5">
        <v>-1194</v>
      </c>
      <c r="D142" s="5">
        <v>-966</v>
      </c>
      <c r="E142" s="5">
        <v>-1214</v>
      </c>
      <c r="F142" s="5">
        <v>-2280</v>
      </c>
      <c r="G142" s="5">
        <v>-3543</v>
      </c>
      <c r="H142" s="12">
        <v>-688</v>
      </c>
      <c r="I142" s="12">
        <v>-932</v>
      </c>
      <c r="J142" s="12">
        <v>-1966</v>
      </c>
      <c r="K142" s="12">
        <v>-409</v>
      </c>
      <c r="L142" s="5">
        <v>-3995</v>
      </c>
      <c r="M142" s="12"/>
      <c r="N142" s="12"/>
      <c r="O142" s="12"/>
      <c r="P142" s="12"/>
      <c r="Q142" s="5">
        <v>-3832</v>
      </c>
      <c r="R142" s="12"/>
      <c r="S142" s="12"/>
      <c r="T142" s="12"/>
      <c r="U142" s="12"/>
      <c r="V142" s="5">
        <v>-3821</v>
      </c>
      <c r="W142" s="12"/>
      <c r="X142" s="12"/>
      <c r="Y142" s="12"/>
      <c r="Z142" s="12"/>
      <c r="AA142" s="5">
        <v>-3901</v>
      </c>
      <c r="AB142" s="12"/>
      <c r="AC142" s="12"/>
      <c r="AD142" s="12"/>
      <c r="AE142" s="12"/>
      <c r="AF142" s="5">
        <v>-4757</v>
      </c>
      <c r="AG142" s="12">
        <v>-1576</v>
      </c>
      <c r="AH142" s="12">
        <v>568</v>
      </c>
      <c r="AI142" s="12">
        <v>-687</v>
      </c>
      <c r="AJ142" s="12">
        <v>856</v>
      </c>
      <c r="AK142" s="5">
        <v>-6220</v>
      </c>
      <c r="AL142" s="12">
        <v>-524</v>
      </c>
      <c r="AM142" s="12">
        <v>-224</v>
      </c>
      <c r="AN142" s="12">
        <v>-1306</v>
      </c>
      <c r="AO142" s="12">
        <v>-155</v>
      </c>
      <c r="AP142" s="5">
        <v>-4419</v>
      </c>
      <c r="AQ142" s="12">
        <v>-200</v>
      </c>
      <c r="AR142" s="12">
        <v>-254</v>
      </c>
      <c r="AS142" s="12">
        <v>-489</v>
      </c>
      <c r="AT142" s="12">
        <v>-855</v>
      </c>
      <c r="AU142" s="5">
        <v>-3189</v>
      </c>
      <c r="AV142" s="12">
        <v>-684</v>
      </c>
      <c r="AW142" s="12">
        <v>-1080</v>
      </c>
      <c r="AX142" s="12">
        <v>527</v>
      </c>
      <c r="AY142" s="12">
        <v>-224</v>
      </c>
      <c r="AZ142" s="5">
        <v>-3372</v>
      </c>
      <c r="BA142" s="12">
        <v>-276</v>
      </c>
      <c r="BB142" s="12">
        <v>-654</v>
      </c>
      <c r="BC142" s="12">
        <v>-295</v>
      </c>
      <c r="BD142" s="12">
        <v>1028</v>
      </c>
      <c r="BE142" s="5">
        <v>-1811</v>
      </c>
      <c r="BF142" s="12">
        <v>-24</v>
      </c>
      <c r="BG142" s="12">
        <v>-485</v>
      </c>
      <c r="BH142" s="12">
        <v>259</v>
      </c>
      <c r="BI142" s="12">
        <v>-605</v>
      </c>
      <c r="BJ142" s="5">
        <v>-1960</v>
      </c>
      <c r="BK142" s="12">
        <v>-220</v>
      </c>
      <c r="BL142" s="12">
        <v>-103</v>
      </c>
      <c r="BM142" s="12">
        <v>-111</v>
      </c>
      <c r="BN142" s="12">
        <v>-820</v>
      </c>
      <c r="BO142" s="5">
        <v>-2507</v>
      </c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F142" s="50"/>
      <c r="CG142" s="5"/>
      <c r="CH142" s="50"/>
    </row>
    <row r="143" spans="1:86" ht="12.75" customHeight="1">
      <c r="A143" s="4"/>
      <c r="B143" s="4" t="s">
        <v>2057</v>
      </c>
      <c r="C143" s="5">
        <v>632</v>
      </c>
      <c r="D143" s="5">
        <v>566</v>
      </c>
      <c r="E143" s="5">
        <v>548</v>
      </c>
      <c r="F143" s="5">
        <v>2199</v>
      </c>
      <c r="G143" s="5">
        <v>2833</v>
      </c>
      <c r="H143" s="12">
        <v>1011</v>
      </c>
      <c r="I143" s="12">
        <v>268</v>
      </c>
      <c r="J143" s="12">
        <v>2407</v>
      </c>
      <c r="K143" s="12">
        <v>809</v>
      </c>
      <c r="L143" s="5">
        <v>4495</v>
      </c>
      <c r="M143" s="12"/>
      <c r="N143" s="12"/>
      <c r="O143" s="12"/>
      <c r="P143" s="12"/>
      <c r="Q143" s="5">
        <v>2473</v>
      </c>
      <c r="R143" s="12"/>
      <c r="S143" s="12"/>
      <c r="T143" s="12"/>
      <c r="U143" s="12"/>
      <c r="V143" s="5">
        <v>3728</v>
      </c>
      <c r="W143" s="12"/>
      <c r="X143" s="12"/>
      <c r="Y143" s="12"/>
      <c r="Z143" s="12"/>
      <c r="AA143" s="5">
        <v>3003</v>
      </c>
      <c r="AB143" s="12"/>
      <c r="AC143" s="12"/>
      <c r="AD143" s="12"/>
      <c r="AE143" s="12"/>
      <c r="AF143" s="5">
        <v>3277</v>
      </c>
      <c r="AG143" s="12"/>
      <c r="AH143" s="12"/>
      <c r="AI143" s="12"/>
      <c r="AJ143" s="12"/>
      <c r="AK143" s="5">
        <v>5381</v>
      </c>
      <c r="AL143" s="12"/>
      <c r="AM143" s="12"/>
      <c r="AN143" s="12"/>
      <c r="AO143" s="12"/>
      <c r="AP143" s="5">
        <v>2210</v>
      </c>
      <c r="AQ143" s="12"/>
      <c r="AR143" s="12"/>
      <c r="AS143" s="12"/>
      <c r="AT143" s="12"/>
      <c r="AU143" s="5">
        <v>1391</v>
      </c>
      <c r="AV143" s="12"/>
      <c r="AW143" s="12"/>
      <c r="AX143" s="12"/>
      <c r="AY143" s="12"/>
      <c r="AZ143" s="5">
        <v>1911</v>
      </c>
      <c r="BA143" s="12"/>
      <c r="BB143" s="12"/>
      <c r="BC143" s="12"/>
      <c r="BD143" s="12"/>
      <c r="BE143" s="5">
        <v>1614</v>
      </c>
      <c r="BF143" s="12"/>
      <c r="BG143" s="12"/>
      <c r="BH143" s="12"/>
      <c r="BI143" s="12"/>
      <c r="BJ143" s="5">
        <v>1105</v>
      </c>
      <c r="BK143" s="12"/>
      <c r="BL143" s="12"/>
      <c r="BM143" s="12"/>
      <c r="BN143" s="12"/>
      <c r="BO143" s="5">
        <v>1253</v>
      </c>
      <c r="BP143" s="12"/>
      <c r="BQ143" s="12"/>
      <c r="BR143" s="12"/>
      <c r="BS143" s="12"/>
      <c r="BT143" s="12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F143" s="50"/>
      <c r="CG143" s="50"/>
      <c r="CH143" s="50"/>
    </row>
    <row r="144" spans="1:86" ht="12.75" customHeight="1">
      <c r="A144" s="4"/>
      <c r="B144" s="4" t="s">
        <v>2058</v>
      </c>
      <c r="C144" s="5">
        <v>-346</v>
      </c>
      <c r="D144" s="5">
        <v>-256</v>
      </c>
      <c r="E144" s="5">
        <v>-212</v>
      </c>
      <c r="F144" s="5">
        <v>-284</v>
      </c>
      <c r="G144" s="5">
        <v>-479</v>
      </c>
      <c r="H144" s="12">
        <v>-130</v>
      </c>
      <c r="I144" s="12">
        <v>-122</v>
      </c>
      <c r="J144" s="12">
        <v>-141</v>
      </c>
      <c r="K144" s="12">
        <v>-80</v>
      </c>
      <c r="L144" s="5">
        <v>-473</v>
      </c>
      <c r="M144" s="12"/>
      <c r="N144" s="12"/>
      <c r="O144" s="12"/>
      <c r="P144" s="12"/>
      <c r="Q144" s="5">
        <v>-489</v>
      </c>
      <c r="R144" s="12"/>
      <c r="S144" s="12"/>
      <c r="T144" s="12"/>
      <c r="U144" s="12"/>
      <c r="V144" s="5">
        <v>-407</v>
      </c>
      <c r="W144" s="12"/>
      <c r="X144" s="12"/>
      <c r="Y144" s="12"/>
      <c r="Z144" s="12"/>
      <c r="AA144" s="5">
        <v>-258</v>
      </c>
      <c r="AB144" s="12"/>
      <c r="AC144" s="12"/>
      <c r="AD144" s="12"/>
      <c r="AE144" s="12"/>
      <c r="AF144" s="5">
        <v>-277</v>
      </c>
      <c r="AG144" s="12"/>
      <c r="AH144" s="12"/>
      <c r="AI144" s="12"/>
      <c r="AJ144" s="12"/>
      <c r="AK144" s="5">
        <v>-198</v>
      </c>
      <c r="AL144" s="12"/>
      <c r="AM144" s="12"/>
      <c r="AN144" s="12"/>
      <c r="AO144" s="12"/>
      <c r="AP144" s="13">
        <v>-295</v>
      </c>
      <c r="AQ144" s="12"/>
      <c r="AR144" s="12"/>
      <c r="AS144" s="12"/>
      <c r="AT144" s="12"/>
      <c r="AU144" s="5">
        <v>-314</v>
      </c>
      <c r="AV144" s="12"/>
      <c r="AW144" s="12"/>
      <c r="AX144" s="12"/>
      <c r="AY144" s="12"/>
      <c r="AZ144" s="5">
        <v>-276</v>
      </c>
      <c r="BA144" s="12"/>
      <c r="BB144" s="12"/>
      <c r="BC144" s="12"/>
      <c r="BD144" s="12"/>
      <c r="BE144" s="5">
        <v>-247</v>
      </c>
      <c r="BF144" s="12"/>
      <c r="BG144" s="12"/>
      <c r="BH144" s="12"/>
      <c r="BI144" s="12"/>
      <c r="BJ144" s="5">
        <v>-200</v>
      </c>
      <c r="BK144" s="12"/>
      <c r="BL144" s="12"/>
      <c r="BM144" s="12"/>
      <c r="BN144" s="12"/>
      <c r="BO144" s="5">
        <v>-304</v>
      </c>
      <c r="BP144" s="12"/>
      <c r="BQ144" s="12"/>
      <c r="BR144" s="12"/>
      <c r="BS144" s="12"/>
      <c r="BT144" s="12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F144" s="50"/>
      <c r="CG144" s="50"/>
      <c r="CH144" s="50"/>
    </row>
    <row r="145" spans="1:86" ht="12.75" customHeight="1">
      <c r="A145" s="4"/>
      <c r="B145" s="4" t="s">
        <v>1445</v>
      </c>
      <c r="C145" s="5">
        <v>256</v>
      </c>
      <c r="D145" s="5">
        <v>231</v>
      </c>
      <c r="E145" s="5">
        <v>186</v>
      </c>
      <c r="F145" s="5">
        <v>331</v>
      </c>
      <c r="G145" s="5">
        <v>401</v>
      </c>
      <c r="H145" s="12">
        <v>146</v>
      </c>
      <c r="I145" s="12">
        <v>145</v>
      </c>
      <c r="J145" s="12">
        <v>120</v>
      </c>
      <c r="K145" s="12">
        <v>89</v>
      </c>
      <c r="L145" s="5">
        <v>500</v>
      </c>
      <c r="M145" s="12"/>
      <c r="N145" s="12"/>
      <c r="O145" s="12"/>
      <c r="P145" s="12"/>
      <c r="Q145" s="5">
        <v>500</v>
      </c>
      <c r="R145" s="12"/>
      <c r="S145" s="12"/>
      <c r="T145" s="12"/>
      <c r="U145" s="12"/>
      <c r="V145" s="5">
        <v>385</v>
      </c>
      <c r="W145" s="12"/>
      <c r="X145" s="12"/>
      <c r="Y145" s="12"/>
      <c r="Z145" s="12"/>
      <c r="AA145" s="5">
        <v>203</v>
      </c>
      <c r="AB145" s="12"/>
      <c r="AC145" s="12"/>
      <c r="AD145" s="12"/>
      <c r="AE145" s="12"/>
      <c r="AF145" s="5">
        <v>205</v>
      </c>
      <c r="AG145" s="12"/>
      <c r="AH145" s="12"/>
      <c r="AI145" s="12"/>
      <c r="AJ145" s="12"/>
      <c r="AK145" s="5">
        <v>216</v>
      </c>
      <c r="AL145" s="12"/>
      <c r="AM145" s="12"/>
      <c r="AN145" s="12"/>
      <c r="AO145" s="12"/>
      <c r="AP145" s="13">
        <v>181</v>
      </c>
      <c r="AQ145" s="12"/>
      <c r="AR145" s="12"/>
      <c r="AS145" s="12"/>
      <c r="AT145" s="12"/>
      <c r="AU145" s="5">
        <v>173</v>
      </c>
      <c r="AV145" s="12"/>
      <c r="AW145" s="12"/>
      <c r="AX145" s="12"/>
      <c r="AY145" s="12"/>
      <c r="AZ145" s="5">
        <v>81</v>
      </c>
      <c r="BA145" s="12"/>
      <c r="BB145" s="12"/>
      <c r="BC145" s="12"/>
      <c r="BD145" s="12"/>
      <c r="BE145" s="5">
        <v>176</v>
      </c>
      <c r="BF145" s="12"/>
      <c r="BG145" s="12"/>
      <c r="BH145" s="12"/>
      <c r="BI145" s="12"/>
      <c r="BJ145" s="5">
        <v>267</v>
      </c>
      <c r="BK145" s="12"/>
      <c r="BL145" s="12"/>
      <c r="BM145" s="12"/>
      <c r="BN145" s="12"/>
      <c r="BO145" s="5">
        <v>375</v>
      </c>
      <c r="BP145" s="12"/>
      <c r="BQ145" s="12"/>
      <c r="BR145" s="12"/>
      <c r="BS145" s="12"/>
      <c r="BT145" s="12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F145" s="50"/>
      <c r="CG145" s="50"/>
      <c r="CH145" s="50"/>
    </row>
    <row r="146" spans="1:86" ht="12.75" customHeight="1">
      <c r="A146" s="4"/>
      <c r="B146" s="4" t="s">
        <v>350</v>
      </c>
      <c r="C146" s="5">
        <v>1432</v>
      </c>
      <c r="D146" s="5">
        <v>1067</v>
      </c>
      <c r="E146" s="5">
        <v>720</v>
      </c>
      <c r="F146" s="5">
        <v>440</v>
      </c>
      <c r="G146" s="5">
        <v>616</v>
      </c>
      <c r="H146" s="12">
        <v>191</v>
      </c>
      <c r="I146" s="12">
        <v>153</v>
      </c>
      <c r="J146" s="12">
        <v>169</v>
      </c>
      <c r="K146" s="12">
        <v>205</v>
      </c>
      <c r="L146" s="5">
        <v>718</v>
      </c>
      <c r="M146" s="12"/>
      <c r="N146" s="12"/>
      <c r="O146" s="12"/>
      <c r="P146" s="12"/>
      <c r="Q146" s="5">
        <v>1393</v>
      </c>
      <c r="R146" s="12"/>
      <c r="S146" s="12"/>
      <c r="T146" s="12"/>
      <c r="U146" s="12"/>
      <c r="V146" s="5">
        <v>1547</v>
      </c>
      <c r="W146" s="12"/>
      <c r="X146" s="12"/>
      <c r="Y146" s="12"/>
      <c r="Z146" s="12"/>
      <c r="AA146" s="5">
        <v>1110</v>
      </c>
      <c r="AB146" s="12"/>
      <c r="AC146" s="12"/>
      <c r="AD146" s="12"/>
      <c r="AE146" s="12"/>
      <c r="AF146" s="5">
        <v>1170</v>
      </c>
      <c r="AG146" s="12"/>
      <c r="AH146" s="12"/>
      <c r="AI146" s="12"/>
      <c r="AJ146" s="12"/>
      <c r="AK146" s="5">
        <v>1246</v>
      </c>
      <c r="AL146" s="12"/>
      <c r="AM146" s="12"/>
      <c r="AN146" s="12"/>
      <c r="AO146" s="12"/>
      <c r="AP146" s="13">
        <v>1125</v>
      </c>
      <c r="AQ146" s="12"/>
      <c r="AR146" s="12"/>
      <c r="AS146" s="12"/>
      <c r="AT146" s="12"/>
      <c r="AU146" s="5">
        <v>1068</v>
      </c>
      <c r="AV146" s="12"/>
      <c r="AW146" s="12"/>
      <c r="AX146" s="12"/>
      <c r="AY146" s="12"/>
      <c r="AZ146" s="5">
        <v>1148</v>
      </c>
      <c r="BA146" s="12"/>
      <c r="BB146" s="12"/>
      <c r="BC146" s="12"/>
      <c r="BD146" s="12"/>
      <c r="BE146" s="5">
        <v>1347</v>
      </c>
      <c r="BF146" s="12"/>
      <c r="BG146" s="12"/>
      <c r="BH146" s="12"/>
      <c r="BI146" s="12"/>
      <c r="BJ146" s="5">
        <v>1675</v>
      </c>
      <c r="BK146" s="12"/>
      <c r="BL146" s="12"/>
      <c r="BM146" s="12"/>
      <c r="BN146" s="12"/>
      <c r="BO146" s="5">
        <v>2074</v>
      </c>
      <c r="BP146" s="12"/>
      <c r="BQ146" s="12"/>
      <c r="BR146" s="12"/>
      <c r="BS146" s="12"/>
      <c r="BT146" s="12"/>
      <c r="BU146" s="5"/>
      <c r="BV146" s="5"/>
      <c r="BW146" s="5"/>
      <c r="BX146" s="5"/>
      <c r="BY146" s="5"/>
      <c r="BZ146" s="5"/>
      <c r="CA146" s="5"/>
      <c r="CB146" s="5"/>
      <c r="CC146" s="5"/>
      <c r="CD146" s="5"/>
    </row>
    <row r="147" spans="1:86" ht="12.75" customHeight="1">
      <c r="A147" s="4"/>
      <c r="B147" s="4" t="s">
        <v>1446</v>
      </c>
      <c r="C147" s="5">
        <v>-1282</v>
      </c>
      <c r="D147" s="5">
        <v>-1204</v>
      </c>
      <c r="E147" s="5">
        <v>-1007</v>
      </c>
      <c r="F147" s="5">
        <v>-698</v>
      </c>
      <c r="G147" s="5">
        <v>-1127</v>
      </c>
      <c r="H147" s="12">
        <v>-310</v>
      </c>
      <c r="I147" s="12">
        <v>-351</v>
      </c>
      <c r="J147" s="12">
        <v>-267</v>
      </c>
      <c r="K147" s="12">
        <v>-314</v>
      </c>
      <c r="L147" s="5">
        <v>-1242</v>
      </c>
      <c r="M147" s="12"/>
      <c r="N147" s="12"/>
      <c r="O147" s="12"/>
      <c r="P147" s="12"/>
      <c r="Q147" s="5">
        <v>-1363</v>
      </c>
      <c r="R147" s="12"/>
      <c r="S147" s="12"/>
      <c r="T147" s="12"/>
      <c r="U147" s="12"/>
      <c r="V147" s="5">
        <v>-1291</v>
      </c>
      <c r="W147" s="12"/>
      <c r="X147" s="12"/>
      <c r="Y147" s="12"/>
      <c r="Z147" s="12"/>
      <c r="AA147" s="5">
        <v>-909</v>
      </c>
      <c r="AB147" s="12"/>
      <c r="AC147" s="12"/>
      <c r="AD147" s="12"/>
      <c r="AE147" s="12"/>
      <c r="AF147" s="5">
        <v>-912</v>
      </c>
      <c r="AG147" s="12"/>
      <c r="AH147" s="12"/>
      <c r="AI147" s="12"/>
      <c r="AJ147" s="12"/>
      <c r="AK147" s="5">
        <v>-1110</v>
      </c>
      <c r="AL147" s="12"/>
      <c r="AM147" s="12"/>
      <c r="AN147" s="12"/>
      <c r="AO147" s="12"/>
      <c r="AP147" s="13">
        <v>-1154</v>
      </c>
      <c r="AQ147" s="12"/>
      <c r="AR147" s="12"/>
      <c r="AS147" s="12"/>
      <c r="AT147" s="12"/>
      <c r="AU147" s="5">
        <v>-1084</v>
      </c>
      <c r="AV147" s="12"/>
      <c r="AW147" s="12"/>
      <c r="AX147" s="12"/>
      <c r="AY147" s="12"/>
      <c r="AZ147" s="5">
        <v>-937</v>
      </c>
      <c r="BA147" s="12"/>
      <c r="BB147" s="12"/>
      <c r="BC147" s="12"/>
      <c r="BD147" s="12"/>
      <c r="BE147" s="5">
        <v>-1080</v>
      </c>
      <c r="BF147" s="12"/>
      <c r="BG147" s="12"/>
      <c r="BH147" s="12"/>
      <c r="BI147" s="12"/>
      <c r="BJ147" s="5">
        <v>-1137</v>
      </c>
      <c r="BK147" s="12"/>
      <c r="BL147" s="12"/>
      <c r="BM147" s="12"/>
      <c r="BN147" s="12"/>
      <c r="BO147" s="5">
        <v>-1572</v>
      </c>
      <c r="BP147" s="12"/>
      <c r="BQ147" s="12"/>
      <c r="BR147" s="12"/>
      <c r="BS147" s="12"/>
      <c r="BT147" s="12"/>
      <c r="BU147" s="5"/>
      <c r="BV147" s="5"/>
      <c r="BW147" s="5"/>
      <c r="BX147" s="5"/>
      <c r="BY147" s="5"/>
      <c r="BZ147" s="5"/>
      <c r="CA147" s="5"/>
      <c r="CB147" s="5"/>
      <c r="CC147" s="5"/>
      <c r="CD147" s="5"/>
    </row>
    <row r="148" spans="1:86" ht="12.75" customHeight="1">
      <c r="A148" s="4"/>
      <c r="B148" s="4" t="s">
        <v>2194</v>
      </c>
      <c r="C148" s="5"/>
      <c r="D148" s="5"/>
      <c r="E148" s="5"/>
      <c r="F148" s="5"/>
      <c r="G148" s="5"/>
      <c r="H148" s="12"/>
      <c r="I148" s="12"/>
      <c r="J148" s="12"/>
      <c r="K148" s="12"/>
      <c r="L148" s="5"/>
      <c r="M148" s="12"/>
      <c r="N148" s="12"/>
      <c r="O148" s="12"/>
      <c r="P148" s="12"/>
      <c r="Q148" s="5"/>
      <c r="R148" s="12"/>
      <c r="S148" s="12"/>
      <c r="T148" s="12"/>
      <c r="U148" s="12"/>
      <c r="V148" s="5"/>
      <c r="W148" s="12"/>
      <c r="X148" s="12"/>
      <c r="Y148" s="12"/>
      <c r="Z148" s="12"/>
      <c r="AA148" s="5"/>
      <c r="AB148" s="12"/>
      <c r="AC148" s="12"/>
      <c r="AD148" s="12"/>
      <c r="AE148" s="12"/>
      <c r="AF148" s="5"/>
      <c r="AG148" s="12">
        <v>51</v>
      </c>
      <c r="AH148" s="12">
        <v>-121</v>
      </c>
      <c r="AI148" s="12">
        <v>15</v>
      </c>
      <c r="AJ148" s="12">
        <v>-54</v>
      </c>
      <c r="AK148" s="5"/>
      <c r="AL148" s="12">
        <v>-14</v>
      </c>
      <c r="AM148" s="12">
        <v>-154</v>
      </c>
      <c r="AN148" s="12">
        <v>-33</v>
      </c>
      <c r="AO148" s="12">
        <v>-143</v>
      </c>
      <c r="AP148" s="5"/>
      <c r="AQ148" s="12">
        <v>172</v>
      </c>
      <c r="AR148" s="12">
        <v>21</v>
      </c>
      <c r="AS148" s="12">
        <v>170</v>
      </c>
      <c r="AT148" s="12">
        <v>-40</v>
      </c>
      <c r="AU148" s="5"/>
      <c r="AV148" s="12">
        <v>170</v>
      </c>
      <c r="AW148" s="12">
        <v>-3</v>
      </c>
      <c r="AX148" s="12">
        <v>114</v>
      </c>
      <c r="AY148" s="12">
        <v>49</v>
      </c>
      <c r="AZ148" s="5">
        <v>330</v>
      </c>
      <c r="BA148" s="12">
        <v>129</v>
      </c>
      <c r="BB148" s="12">
        <v>13</v>
      </c>
      <c r="BC148" s="12">
        <v>196</v>
      </c>
      <c r="BD148" s="12">
        <v>164</v>
      </c>
      <c r="BE148" s="5"/>
      <c r="BF148" s="12">
        <v>168</v>
      </c>
      <c r="BG148" s="12">
        <v>113</v>
      </c>
      <c r="BH148" s="12">
        <v>204</v>
      </c>
      <c r="BI148" s="12">
        <v>310</v>
      </c>
      <c r="BJ148" s="5"/>
      <c r="BK148" s="12">
        <v>252</v>
      </c>
      <c r="BL148" s="12">
        <v>84</v>
      </c>
      <c r="BM148" s="12">
        <v>163</v>
      </c>
      <c r="BN148" s="12">
        <v>294</v>
      </c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</row>
    <row r="149" spans="1:86" ht="12.75" customHeight="1">
      <c r="A149" s="4"/>
      <c r="B149" s="4" t="s">
        <v>1447</v>
      </c>
      <c r="C149" s="5">
        <v>238</v>
      </c>
      <c r="D149" s="5">
        <v>73</v>
      </c>
      <c r="E149" s="5">
        <v>325</v>
      </c>
      <c r="F149" s="5">
        <v>340</v>
      </c>
      <c r="G149" s="5">
        <v>145</v>
      </c>
      <c r="H149" s="12">
        <v>-48</v>
      </c>
      <c r="I149" s="12">
        <v>-46</v>
      </c>
      <c r="J149" s="12">
        <v>-52</v>
      </c>
      <c r="K149" s="12">
        <v>-56</v>
      </c>
      <c r="L149" s="5">
        <v>-202</v>
      </c>
      <c r="M149" s="12"/>
      <c r="N149" s="12"/>
      <c r="O149" s="12"/>
      <c r="P149" s="12"/>
      <c r="Q149" s="5">
        <v>-652</v>
      </c>
      <c r="R149" s="12"/>
      <c r="S149" s="12"/>
      <c r="T149" s="12"/>
      <c r="U149" s="12"/>
      <c r="V149" s="5">
        <v>-591</v>
      </c>
      <c r="W149" s="12"/>
      <c r="X149" s="12"/>
      <c r="Y149" s="12"/>
      <c r="Z149" s="12"/>
      <c r="AA149" s="5">
        <v>192</v>
      </c>
      <c r="AB149" s="12"/>
      <c r="AC149" s="12"/>
      <c r="AD149" s="12"/>
      <c r="AE149" s="12"/>
      <c r="AF149" s="5">
        <v>-47</v>
      </c>
      <c r="AG149" s="12"/>
      <c r="AH149" s="12"/>
      <c r="AI149" s="12"/>
      <c r="AJ149" s="12"/>
      <c r="AK149" s="5">
        <v>-263</v>
      </c>
      <c r="AL149" s="12"/>
      <c r="AM149" s="12"/>
      <c r="AN149" s="12"/>
      <c r="AO149" s="12"/>
      <c r="AP149" s="5">
        <v>-201</v>
      </c>
      <c r="AQ149" s="12"/>
      <c r="AR149" s="12"/>
      <c r="AS149" s="12"/>
      <c r="AT149" s="12"/>
      <c r="AU149" s="5">
        <v>480</v>
      </c>
      <c r="AV149" s="12"/>
      <c r="AW149" s="12"/>
      <c r="AX149" s="12"/>
      <c r="AY149" s="12"/>
      <c r="AZ149" s="5">
        <v>314</v>
      </c>
      <c r="BA149" s="12"/>
      <c r="BB149" s="12"/>
      <c r="BC149" s="12"/>
      <c r="BD149" s="12"/>
      <c r="BE149" s="5">
        <v>306</v>
      </c>
      <c r="BF149" s="12"/>
      <c r="BG149" s="12"/>
      <c r="BH149" s="12"/>
      <c r="BI149" s="12"/>
      <c r="BJ149" s="5">
        <v>190</v>
      </c>
      <c r="BK149" s="12"/>
      <c r="BL149" s="12"/>
      <c r="BM149" s="12"/>
      <c r="BN149" s="12"/>
      <c r="BO149" s="5">
        <v>220</v>
      </c>
      <c r="BP149" s="12"/>
      <c r="BQ149" s="12"/>
      <c r="BR149" s="12"/>
      <c r="BS149" s="12"/>
      <c r="BT149" s="12"/>
      <c r="BU149" s="5"/>
      <c r="BV149" s="5"/>
      <c r="BW149" s="5"/>
      <c r="BX149" s="5"/>
      <c r="BY149" s="5"/>
      <c r="BZ149" s="5"/>
      <c r="CA149" s="5"/>
      <c r="CB149" s="5"/>
      <c r="CC149" s="5"/>
      <c r="CD149" s="5"/>
    </row>
    <row r="150" spans="1:86">
      <c r="A150" s="5"/>
      <c r="B150" s="4" t="s">
        <v>1005</v>
      </c>
      <c r="C150" s="5">
        <v>0</v>
      </c>
      <c r="D150" s="5">
        <v>0</v>
      </c>
      <c r="E150" s="5">
        <v>208</v>
      </c>
      <c r="F150" s="5">
        <v>224</v>
      </c>
      <c r="G150" s="5">
        <v>278</v>
      </c>
      <c r="H150" s="12">
        <v>83</v>
      </c>
      <c r="I150" s="12">
        <v>122</v>
      </c>
      <c r="J150" s="12">
        <v>134</v>
      </c>
      <c r="K150" s="12">
        <v>77</v>
      </c>
      <c r="L150" s="5">
        <v>416</v>
      </c>
      <c r="M150" s="12">
        <v>75</v>
      </c>
      <c r="N150" s="12">
        <v>107</v>
      </c>
      <c r="O150" s="12">
        <v>129</v>
      </c>
      <c r="P150" s="12">
        <v>109</v>
      </c>
      <c r="Q150" s="5">
        <v>420</v>
      </c>
      <c r="R150" s="12">
        <v>65</v>
      </c>
      <c r="S150" s="12">
        <v>173</v>
      </c>
      <c r="T150" s="12">
        <v>128</v>
      </c>
      <c r="U150" s="12">
        <v>93</v>
      </c>
      <c r="V150" s="5">
        <v>459</v>
      </c>
      <c r="W150" s="12">
        <v>86</v>
      </c>
      <c r="X150" s="12">
        <v>101</v>
      </c>
      <c r="Y150" s="12">
        <v>135</v>
      </c>
      <c r="Z150" s="12">
        <v>128</v>
      </c>
      <c r="AA150" s="5">
        <v>450</v>
      </c>
      <c r="AB150" s="12">
        <v>-146</v>
      </c>
      <c r="AC150" s="12">
        <v>150</v>
      </c>
      <c r="AD150" s="12">
        <v>121</v>
      </c>
      <c r="AE150" s="12">
        <v>72</v>
      </c>
      <c r="AF150" s="5">
        <v>197</v>
      </c>
      <c r="AG150" s="12">
        <v>-124</v>
      </c>
      <c r="AH150" s="12">
        <v>113</v>
      </c>
      <c r="AI150" s="12">
        <v>128</v>
      </c>
      <c r="AJ150" s="12">
        <v>-205</v>
      </c>
      <c r="AK150" s="5">
        <v>-88</v>
      </c>
      <c r="AL150" s="12">
        <v>34</v>
      </c>
      <c r="AM150" s="12">
        <v>99</v>
      </c>
      <c r="AN150" s="12">
        <v>132</v>
      </c>
      <c r="AO150" s="12">
        <v>-109</v>
      </c>
      <c r="AP150" s="5">
        <v>156</v>
      </c>
      <c r="AQ150" s="12">
        <v>46</v>
      </c>
      <c r="AR150" s="12">
        <v>175</v>
      </c>
      <c r="AS150" s="12">
        <v>153</v>
      </c>
      <c r="AT150" s="12">
        <v>-77</v>
      </c>
      <c r="AU150" s="5">
        <v>297</v>
      </c>
      <c r="AV150" s="12">
        <v>106</v>
      </c>
      <c r="AW150" s="12">
        <v>178</v>
      </c>
      <c r="AX150" s="12">
        <v>153</v>
      </c>
      <c r="AY150" s="12">
        <v>-58</v>
      </c>
      <c r="AZ150" s="5">
        <v>379</v>
      </c>
      <c r="BA150" s="12">
        <v>-238</v>
      </c>
      <c r="BB150" s="12">
        <v>255</v>
      </c>
      <c r="BC150" s="12">
        <v>137</v>
      </c>
      <c r="BD150" s="12">
        <v>167</v>
      </c>
      <c r="BE150" s="5">
        <v>321</v>
      </c>
      <c r="BF150" s="12">
        <v>259</v>
      </c>
      <c r="BG150" s="12">
        <v>204</v>
      </c>
      <c r="BH150" s="12">
        <v>166</v>
      </c>
      <c r="BI150" s="12">
        <v>150</v>
      </c>
      <c r="BJ150" s="5">
        <f t="shared" ref="BJ150:BJ152" si="138">+SUM(BF150:BI150)</f>
        <v>779</v>
      </c>
      <c r="BK150" s="12">
        <v>162</v>
      </c>
      <c r="BL150" s="12">
        <v>156</v>
      </c>
      <c r="BM150" s="12">
        <v>177</v>
      </c>
      <c r="BN150" s="12">
        <v>166</v>
      </c>
      <c r="BO150" s="5">
        <v>661</v>
      </c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</row>
    <row r="151" spans="1:86">
      <c r="A151" s="5"/>
      <c r="B151" s="4" t="s">
        <v>2100</v>
      </c>
      <c r="C151" s="5">
        <v>0</v>
      </c>
      <c r="D151" s="5">
        <v>-39</v>
      </c>
      <c r="E151" s="5">
        <v>-2913</v>
      </c>
      <c r="F151" s="5">
        <v>-84</v>
      </c>
      <c r="G151" s="5">
        <v>-435</v>
      </c>
      <c r="H151" s="12">
        <v>-50</v>
      </c>
      <c r="I151" s="12">
        <v>-47</v>
      </c>
      <c r="J151" s="12">
        <v>-36</v>
      </c>
      <c r="K151" s="12">
        <v>-128</v>
      </c>
      <c r="L151" s="5">
        <v>-261</v>
      </c>
      <c r="M151" s="12">
        <v>-87</v>
      </c>
      <c r="N151" s="12">
        <v>-31</v>
      </c>
      <c r="O151" s="12">
        <v>-61</v>
      </c>
      <c r="P151" s="12">
        <v>-225</v>
      </c>
      <c r="Q151" s="5">
        <v>-404</v>
      </c>
      <c r="R151" s="12">
        <v>117</v>
      </c>
      <c r="S151" s="12">
        <v>46</v>
      </c>
      <c r="T151" s="12">
        <v>-14</v>
      </c>
      <c r="U151" s="12">
        <v>-322</v>
      </c>
      <c r="V151" s="5">
        <v>-173</v>
      </c>
      <c r="W151" s="12">
        <v>26</v>
      </c>
      <c r="X151" s="12">
        <v>-46</v>
      </c>
      <c r="Y151" s="12">
        <v>-261</v>
      </c>
      <c r="Z151" s="12">
        <v>-606</v>
      </c>
      <c r="AA151" s="5">
        <v>-887</v>
      </c>
      <c r="AB151" s="12">
        <v>-490</v>
      </c>
      <c r="AC151" s="12">
        <v>-171</v>
      </c>
      <c r="AD151" s="12">
        <v>0</v>
      </c>
      <c r="AE151" s="12">
        <v>-298</v>
      </c>
      <c r="AF151" s="5">
        <v>-959</v>
      </c>
      <c r="AG151" s="12">
        <v>-439</v>
      </c>
      <c r="AH151" s="12">
        <v>-159</v>
      </c>
      <c r="AI151" s="12">
        <v>-106</v>
      </c>
      <c r="AJ151" s="12">
        <v>-300</v>
      </c>
      <c r="AK151" s="5">
        <v>-1004</v>
      </c>
      <c r="AL151" s="12">
        <v>-160</v>
      </c>
      <c r="AM151" s="12">
        <v>-210</v>
      </c>
      <c r="AN151" s="12">
        <v>-53</v>
      </c>
      <c r="AO151" s="12">
        <v>-434</v>
      </c>
      <c r="AP151" s="5">
        <v>-857</v>
      </c>
      <c r="AQ151" s="12">
        <v>-284</v>
      </c>
      <c r="AR151" s="12">
        <v>-86</v>
      </c>
      <c r="AS151" s="12">
        <v>-67</v>
      </c>
      <c r="AT151" s="12">
        <v>-483</v>
      </c>
      <c r="AU151" s="5">
        <v>-920</v>
      </c>
      <c r="AV151" s="12">
        <v>-102</v>
      </c>
      <c r="AW151" s="12">
        <v>-105</v>
      </c>
      <c r="AX151" s="12">
        <v>-92</v>
      </c>
      <c r="AY151" s="12">
        <v>-664</v>
      </c>
      <c r="AZ151" s="5">
        <v>-963</v>
      </c>
      <c r="BA151" s="12">
        <v>-57</v>
      </c>
      <c r="BB151" s="12">
        <v>-30</v>
      </c>
      <c r="BC151" s="12">
        <v>-41</v>
      </c>
      <c r="BD151" s="12">
        <v>-464</v>
      </c>
      <c r="BE151" s="5">
        <v>-592</v>
      </c>
      <c r="BF151" s="12">
        <v>32</v>
      </c>
      <c r="BG151" s="12">
        <v>-56</v>
      </c>
      <c r="BH151" s="12">
        <v>-96</v>
      </c>
      <c r="BI151" s="12">
        <v>-347</v>
      </c>
      <c r="BJ151" s="5">
        <f t="shared" si="138"/>
        <v>-467</v>
      </c>
      <c r="BK151" s="12">
        <v>-73</v>
      </c>
      <c r="BL151" s="12">
        <v>54</v>
      </c>
      <c r="BM151" s="12">
        <v>-160</v>
      </c>
      <c r="BN151" s="12">
        <v>-215</v>
      </c>
      <c r="BO151" s="5">
        <f t="shared" ref="BO151:BO159" si="139">+SUM(BK151:BN151)</f>
        <v>-394</v>
      </c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</row>
    <row r="152" spans="1:86">
      <c r="A152" s="5"/>
      <c r="B152" s="4" t="s">
        <v>2720</v>
      </c>
      <c r="C152" s="5">
        <v>-191</v>
      </c>
      <c r="D152" s="5">
        <v>-253</v>
      </c>
      <c r="E152" s="5">
        <v>171</v>
      </c>
      <c r="F152" s="5">
        <v>-110</v>
      </c>
      <c r="G152" s="5">
        <v>600</v>
      </c>
      <c r="H152" s="12">
        <v>-207</v>
      </c>
      <c r="I152" s="12">
        <v>216</v>
      </c>
      <c r="J152" s="12">
        <v>-115</v>
      </c>
      <c r="K152" s="12">
        <v>446</v>
      </c>
      <c r="L152" s="5">
        <v>340</v>
      </c>
      <c r="M152" s="12">
        <v>-157</v>
      </c>
      <c r="N152" s="12">
        <v>-257</v>
      </c>
      <c r="O152" s="12">
        <v>362</v>
      </c>
      <c r="P152" s="12">
        <v>-40</v>
      </c>
      <c r="Q152" s="5">
        <v>-92</v>
      </c>
      <c r="R152" s="12">
        <v>-165</v>
      </c>
      <c r="S152" s="12">
        <v>-40</v>
      </c>
      <c r="T152" s="12">
        <v>92</v>
      </c>
      <c r="U152" s="12">
        <v>-185</v>
      </c>
      <c r="V152" s="5">
        <v>-298</v>
      </c>
      <c r="W152" s="12">
        <v>281</v>
      </c>
      <c r="X152" s="12">
        <v>-49</v>
      </c>
      <c r="Y152" s="12">
        <v>-36</v>
      </c>
      <c r="Z152" s="12">
        <v>454</v>
      </c>
      <c r="AA152" s="5">
        <v>650</v>
      </c>
      <c r="AB152" s="12">
        <v>-48</v>
      </c>
      <c r="AC152" s="12">
        <v>17739</v>
      </c>
      <c r="AD152" s="12">
        <v>-479</v>
      </c>
      <c r="AE152" s="12">
        <v>2005</v>
      </c>
      <c r="AF152" s="5">
        <v>19217</v>
      </c>
      <c r="AG152" s="12">
        <v>273</v>
      </c>
      <c r="AH152" s="12">
        <v>-64</v>
      </c>
      <c r="AI152" s="12">
        <v>555</v>
      </c>
      <c r="AJ152" s="12">
        <v>71</v>
      </c>
      <c r="AK152" s="5">
        <v>2976</v>
      </c>
      <c r="AL152" s="12">
        <v>165</v>
      </c>
      <c r="AM152" s="12">
        <v>265</v>
      </c>
      <c r="AN152" s="12">
        <v>971</v>
      </c>
      <c r="AO152" s="12">
        <v>4733</v>
      </c>
      <c r="AP152" s="5">
        <v>5340</v>
      </c>
      <c r="AQ152" s="12">
        <v>197</v>
      </c>
      <c r="AR152" s="12">
        <v>1308</v>
      </c>
      <c r="AS152" s="12">
        <v>-360</v>
      </c>
      <c r="AT152" s="12">
        <v>-84</v>
      </c>
      <c r="AU152" s="5">
        <v>1061</v>
      </c>
      <c r="AV152" s="12">
        <v>-193</v>
      </c>
      <c r="AW152" s="12">
        <v>56</v>
      </c>
      <c r="AX152" s="12">
        <v>705</v>
      </c>
      <c r="AY152" s="12">
        <v>551</v>
      </c>
      <c r="AZ152" s="5">
        <v>1119</v>
      </c>
      <c r="BA152" s="12">
        <v>388</v>
      </c>
      <c r="BB152" s="12">
        <v>10700</v>
      </c>
      <c r="BC152" s="12">
        <v>113</v>
      </c>
      <c r="BD152" s="12">
        <v>591</v>
      </c>
      <c r="BE152" s="5">
        <v>11792</v>
      </c>
      <c r="BF152" s="12">
        <v>735</v>
      </c>
      <c r="BG152" s="12">
        <v>4565</v>
      </c>
      <c r="BH152" s="12">
        <v>-184</v>
      </c>
      <c r="BI152" s="12">
        <v>-629</v>
      </c>
      <c r="BJ152" s="5">
        <f t="shared" si="138"/>
        <v>4487</v>
      </c>
      <c r="BK152" s="12">
        <v>-177</v>
      </c>
      <c r="BL152" s="12">
        <v>183</v>
      </c>
      <c r="BM152" s="12">
        <v>-144</v>
      </c>
      <c r="BN152" s="12">
        <v>2244</v>
      </c>
      <c r="BO152" s="5">
        <f t="shared" si="139"/>
        <v>2106</v>
      </c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</row>
    <row r="153" spans="1:86" ht="12.75" customHeight="1">
      <c r="A153" s="4"/>
      <c r="B153" s="4" t="s">
        <v>1448</v>
      </c>
      <c r="C153" s="5">
        <v>1490</v>
      </c>
      <c r="D153" s="5">
        <v>-1521</v>
      </c>
      <c r="E153" s="5">
        <v>-657</v>
      </c>
      <c r="F153" s="5">
        <v>-3182</v>
      </c>
      <c r="G153" s="5">
        <v>-6638</v>
      </c>
      <c r="H153" s="12">
        <v>1008</v>
      </c>
      <c r="I153" s="12">
        <v>-2351</v>
      </c>
      <c r="J153" s="12">
        <v>1477</v>
      </c>
      <c r="K153" s="12">
        <v>861</v>
      </c>
      <c r="L153" s="5">
        <v>995</v>
      </c>
      <c r="M153" s="12"/>
      <c r="N153" s="12"/>
      <c r="O153" s="12"/>
      <c r="P153" s="12"/>
      <c r="Q153" s="5">
        <v>-7255</v>
      </c>
      <c r="R153" s="12"/>
      <c r="S153" s="12"/>
      <c r="T153" s="12"/>
      <c r="U153" s="12"/>
      <c r="V153" s="5">
        <v>9010</v>
      </c>
      <c r="W153" s="12"/>
      <c r="X153" s="12"/>
      <c r="Y153" s="12"/>
      <c r="Z153" s="12"/>
      <c r="AA153" s="5">
        <v>-5363</v>
      </c>
      <c r="AB153" s="12"/>
      <c r="AC153" s="12"/>
      <c r="AD153" s="12"/>
      <c r="AE153" s="12"/>
      <c r="AF153" s="5">
        <v>-3895</v>
      </c>
      <c r="AG153" s="12"/>
      <c r="AH153" s="12"/>
      <c r="AI153" s="12"/>
      <c r="AJ153" s="12"/>
      <c r="AK153" s="5">
        <v>-3988</v>
      </c>
      <c r="AL153" s="12"/>
      <c r="AM153" s="12"/>
      <c r="AN153" s="12"/>
      <c r="AO153" s="12"/>
      <c r="AP153" s="5">
        <v>-1797</v>
      </c>
      <c r="AQ153" s="12"/>
      <c r="AR153" s="12"/>
      <c r="AS153" s="12"/>
      <c r="AT153" s="12"/>
      <c r="AU153" s="5">
        <v>-1193</v>
      </c>
      <c r="AV153" s="12"/>
      <c r="AW153" s="12"/>
      <c r="AX153" s="12"/>
      <c r="AY153" s="12"/>
      <c r="AZ153" s="5">
        <v>10169</v>
      </c>
      <c r="BA153" s="12"/>
      <c r="BB153" s="12"/>
      <c r="BC153" s="12"/>
      <c r="BD153" s="12"/>
      <c r="BE153" s="5">
        <v>3375</v>
      </c>
      <c r="BF153" s="12"/>
      <c r="BG153" s="12"/>
      <c r="BH153" s="12"/>
      <c r="BI153" s="12"/>
      <c r="BJ153" s="5">
        <v>-3681</v>
      </c>
      <c r="BK153" s="12"/>
      <c r="BL153" s="12"/>
      <c r="BM153" s="12"/>
      <c r="BN153" s="12"/>
      <c r="BO153" s="5">
        <v>-848</v>
      </c>
      <c r="BP153" s="12"/>
      <c r="BQ153" s="12"/>
      <c r="BR153" s="12"/>
      <c r="BS153" s="12"/>
      <c r="BT153" s="12"/>
      <c r="BU153" s="5"/>
      <c r="BV153" s="5"/>
      <c r="BW153" s="5"/>
      <c r="BX153" s="5"/>
      <c r="BY153" s="5"/>
      <c r="BZ153" s="5"/>
      <c r="CA153" s="5"/>
      <c r="CB153" s="5"/>
      <c r="CC153" s="5"/>
      <c r="CD153" s="5"/>
    </row>
    <row r="154" spans="1:86" ht="12.75" customHeight="1">
      <c r="A154" s="4"/>
      <c r="B154" s="4" t="s">
        <v>1449</v>
      </c>
      <c r="C154" s="5">
        <v>1989</v>
      </c>
      <c r="D154" s="5">
        <v>-2367</v>
      </c>
      <c r="E154" s="5">
        <v>-2981</v>
      </c>
      <c r="F154" s="5">
        <v>-10225</v>
      </c>
      <c r="G154" s="5">
        <v>-16427</v>
      </c>
      <c r="H154" s="12">
        <v>335</v>
      </c>
      <c r="I154" s="12">
        <v>2008</v>
      </c>
      <c r="J154" s="12">
        <v>-1616</v>
      </c>
      <c r="K154" s="12">
        <v>2869</v>
      </c>
      <c r="L154" s="5">
        <v>3596</v>
      </c>
      <c r="M154" s="12"/>
      <c r="N154" s="12"/>
      <c r="O154" s="12"/>
      <c r="P154" s="12"/>
      <c r="Q154" s="5">
        <v>5210</v>
      </c>
      <c r="R154" s="12"/>
      <c r="S154" s="12"/>
      <c r="T154" s="12"/>
      <c r="U154" s="12"/>
      <c r="V154" s="5">
        <v>2439</v>
      </c>
      <c r="W154" s="12"/>
      <c r="X154" s="12"/>
      <c r="Y154" s="12"/>
      <c r="Z154" s="12"/>
      <c r="AA154" s="5">
        <v>7595</v>
      </c>
      <c r="AB154" s="12"/>
      <c r="AC154" s="12"/>
      <c r="AD154" s="12"/>
      <c r="AE154" s="12"/>
      <c r="AF154" s="5">
        <v>-15620</v>
      </c>
      <c r="AG154" s="12"/>
      <c r="AH154" s="12"/>
      <c r="AI154" s="12"/>
      <c r="AJ154" s="12"/>
      <c r="AK154" s="5">
        <v>-9913</v>
      </c>
      <c r="AL154" s="12"/>
      <c r="AM154" s="12"/>
      <c r="AN154" s="12"/>
      <c r="AO154" s="12"/>
      <c r="AP154" s="5">
        <v>2968</v>
      </c>
      <c r="AQ154" s="12"/>
      <c r="AR154" s="12"/>
      <c r="AS154" s="12"/>
      <c r="AT154" s="12"/>
      <c r="AU154" s="5">
        <v>-2718</v>
      </c>
      <c r="AV154" s="12"/>
      <c r="AW154" s="12"/>
      <c r="AX154" s="12"/>
      <c r="AY154" s="12"/>
      <c r="AZ154" s="5">
        <v>3566</v>
      </c>
      <c r="BA154" s="12"/>
      <c r="BB154" s="12"/>
      <c r="BC154" s="12"/>
      <c r="BD154" s="12"/>
      <c r="BE154" s="5">
        <v>6796</v>
      </c>
      <c r="BF154" s="12"/>
      <c r="BG154" s="12"/>
      <c r="BH154" s="12"/>
      <c r="BI154" s="12"/>
      <c r="BJ154" s="5">
        <v>-1172</v>
      </c>
      <c r="BK154" s="12"/>
      <c r="BL154" s="12"/>
      <c r="BM154" s="12"/>
      <c r="BN154" s="12"/>
      <c r="BO154" s="5">
        <v>-4848</v>
      </c>
      <c r="BP154" s="12"/>
      <c r="BQ154" s="12"/>
      <c r="BR154" s="12"/>
      <c r="BS154" s="12"/>
      <c r="BT154" s="12"/>
      <c r="BU154" s="5"/>
      <c r="BV154" s="5"/>
      <c r="BW154" s="5"/>
      <c r="BX154" s="5"/>
      <c r="BY154" s="5"/>
      <c r="BZ154" s="5"/>
      <c r="CA154" s="5"/>
      <c r="CB154" s="5"/>
      <c r="CC154" s="5"/>
      <c r="CD154" s="5"/>
    </row>
    <row r="155" spans="1:86" ht="12.75" customHeight="1">
      <c r="A155" s="4"/>
      <c r="B155" s="4" t="s">
        <v>1450</v>
      </c>
      <c r="C155" s="5">
        <v>-2428</v>
      </c>
      <c r="D155" s="5">
        <v>2897</v>
      </c>
      <c r="E155" s="5">
        <v>1575</v>
      </c>
      <c r="F155" s="5">
        <v>10290</v>
      </c>
      <c r="G155" s="5">
        <v>18628</v>
      </c>
      <c r="H155" s="12">
        <v>-107</v>
      </c>
      <c r="I155" s="12">
        <v>135</v>
      </c>
      <c r="J155" s="12">
        <v>-1763</v>
      </c>
      <c r="K155" s="12">
        <v>-2476</v>
      </c>
      <c r="L155" s="5">
        <v>-4211</v>
      </c>
      <c r="M155" s="12"/>
      <c r="N155" s="12"/>
      <c r="O155" s="12"/>
      <c r="P155" s="12"/>
      <c r="Q155" s="5">
        <v>-3857</v>
      </c>
      <c r="R155" s="12"/>
      <c r="S155" s="12"/>
      <c r="T155" s="12"/>
      <c r="U155" s="12"/>
      <c r="V155" s="5">
        <v>-6101</v>
      </c>
      <c r="W155" s="12"/>
      <c r="X155" s="12"/>
      <c r="Y155" s="12"/>
      <c r="Z155" s="12"/>
      <c r="AA155" s="5">
        <v>-5828</v>
      </c>
      <c r="AB155" s="12"/>
      <c r="AC155" s="12"/>
      <c r="AD155" s="12"/>
      <c r="AE155" s="12"/>
      <c r="AF155" s="5">
        <v>20607</v>
      </c>
      <c r="AG155" s="12"/>
      <c r="AH155" s="12"/>
      <c r="AI155" s="12"/>
      <c r="AJ155" s="12"/>
      <c r="AK155" s="5">
        <v>-5767</v>
      </c>
      <c r="AL155" s="12"/>
      <c r="AM155" s="12"/>
      <c r="AN155" s="12"/>
      <c r="AO155" s="12"/>
      <c r="AP155" s="5">
        <v>-8022</v>
      </c>
      <c r="AQ155" s="12"/>
      <c r="AR155" s="12"/>
      <c r="AS155" s="12"/>
      <c r="AT155" s="12"/>
      <c r="AU155" s="5">
        <v>-2932</v>
      </c>
      <c r="AV155" s="12"/>
      <c r="AW155" s="12"/>
      <c r="AX155" s="12"/>
      <c r="AY155" s="12"/>
      <c r="AZ155" s="5">
        <v>-6810</v>
      </c>
      <c r="BA155" s="12"/>
      <c r="BB155" s="12"/>
      <c r="BC155" s="12"/>
      <c r="BD155" s="12"/>
      <c r="BE155" s="5">
        <v>-9328</v>
      </c>
      <c r="BF155" s="12"/>
      <c r="BG155" s="12"/>
      <c r="BH155" s="12"/>
      <c r="BI155" s="12"/>
      <c r="BJ155" s="5">
        <v>1655</v>
      </c>
      <c r="BK155" s="12"/>
      <c r="BL155" s="12"/>
      <c r="BM155" s="12"/>
      <c r="BN155" s="12"/>
      <c r="BO155" s="5">
        <v>2344</v>
      </c>
      <c r="BP155" s="12"/>
      <c r="BQ155" s="12"/>
      <c r="BR155" s="12"/>
      <c r="BS155" s="12"/>
      <c r="BT155" s="12"/>
      <c r="BU155" s="5"/>
      <c r="BV155" s="5"/>
      <c r="BW155" s="5"/>
      <c r="BX155" s="5"/>
      <c r="BY155" s="5"/>
      <c r="BZ155" s="5"/>
      <c r="CA155" s="5"/>
      <c r="CB155" s="5"/>
      <c r="CC155" s="5"/>
      <c r="CD155" s="5"/>
    </row>
    <row r="156" spans="1:86" ht="12.75" customHeight="1">
      <c r="A156" s="4"/>
      <c r="B156" s="4" t="s">
        <v>3459</v>
      </c>
      <c r="C156" s="5"/>
      <c r="D156" s="5"/>
      <c r="E156" s="5"/>
      <c r="F156" s="5"/>
      <c r="G156" s="5"/>
      <c r="H156" s="12"/>
      <c r="I156" s="12"/>
      <c r="J156" s="12"/>
      <c r="K156" s="12"/>
      <c r="L156" s="5"/>
      <c r="M156" s="12"/>
      <c r="N156" s="12"/>
      <c r="O156" s="12"/>
      <c r="P156" s="12"/>
      <c r="Q156" s="5"/>
      <c r="R156" s="12"/>
      <c r="S156" s="12"/>
      <c r="T156" s="12"/>
      <c r="U156" s="12"/>
      <c r="V156" s="5"/>
      <c r="W156" s="12"/>
      <c r="X156" s="12"/>
      <c r="Y156" s="12"/>
      <c r="Z156" s="12"/>
      <c r="AA156" s="5"/>
      <c r="AB156" s="12"/>
      <c r="AC156" s="12"/>
      <c r="AD156" s="12"/>
      <c r="AE156" s="12"/>
      <c r="AF156" s="5"/>
      <c r="AG156" s="12">
        <v>-7823</v>
      </c>
      <c r="AH156" s="12">
        <v>-3283</v>
      </c>
      <c r="AI156" s="12">
        <v>-372</v>
      </c>
      <c r="AJ156" s="12">
        <v>-6049</v>
      </c>
      <c r="AK156" s="5"/>
      <c r="AL156" s="12">
        <v>-6160</v>
      </c>
      <c r="AM156" s="12">
        <v>949</v>
      </c>
      <c r="AN156" s="12">
        <v>-2909</v>
      </c>
      <c r="AO156" s="12">
        <v>475</v>
      </c>
      <c r="AP156" s="5"/>
      <c r="AQ156" s="12">
        <v>-5345</v>
      </c>
      <c r="AR156" s="12">
        <v>-1796</v>
      </c>
      <c r="AS156" s="12">
        <v>-812</v>
      </c>
      <c r="AT156" s="12">
        <v>1110</v>
      </c>
      <c r="AU156" s="5"/>
      <c r="AV156" s="12">
        <v>-315</v>
      </c>
      <c r="AW156" s="12">
        <v>654</v>
      </c>
      <c r="AX156" s="12">
        <v>1744</v>
      </c>
      <c r="AY156" s="12">
        <v>4842</v>
      </c>
      <c r="AZ156" s="5">
        <v>6925</v>
      </c>
      <c r="BA156" s="12">
        <v>-3858</v>
      </c>
      <c r="BB156" s="12">
        <v>492</v>
      </c>
      <c r="BC156" s="12">
        <v>1231</v>
      </c>
      <c r="BD156" s="12">
        <v>2978</v>
      </c>
      <c r="BE156" s="5"/>
      <c r="BF156" s="12">
        <v>-1727</v>
      </c>
      <c r="BG156" s="12">
        <v>-863</v>
      </c>
      <c r="BH156" s="12">
        <v>-1001</v>
      </c>
      <c r="BI156" s="12">
        <v>393</v>
      </c>
      <c r="BJ156" s="5"/>
      <c r="BK156" s="12">
        <v>-3600</v>
      </c>
      <c r="BL156" s="12">
        <v>3</v>
      </c>
      <c r="BM156" s="12">
        <v>305</v>
      </c>
      <c r="BN156" s="12">
        <v>-60</v>
      </c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</row>
    <row r="157" spans="1:86">
      <c r="A157" s="5"/>
      <c r="B157" s="4" t="s">
        <v>2101</v>
      </c>
      <c r="C157" s="5">
        <v>-4660</v>
      </c>
      <c r="D157" s="5">
        <v>-3094</v>
      </c>
      <c r="E157" s="5">
        <v>-4804</v>
      </c>
      <c r="F157" s="5">
        <v>-6388</v>
      </c>
      <c r="G157" s="5">
        <v>-9028</v>
      </c>
      <c r="H157" s="12">
        <v>-2761</v>
      </c>
      <c r="I157" s="12">
        <v>-2615</v>
      </c>
      <c r="J157" s="12">
        <v>-4666</v>
      </c>
      <c r="K157" s="12">
        <v>-3691</v>
      </c>
      <c r="L157" s="5">
        <v>-13733</v>
      </c>
      <c r="M157" s="12">
        <v>-1208</v>
      </c>
      <c r="N157" s="12">
        <v>-2025</v>
      </c>
      <c r="O157" s="12">
        <v>-3138</v>
      </c>
      <c r="P157" s="12">
        <v>-2701</v>
      </c>
      <c r="Q157" s="5">
        <v>-9072</v>
      </c>
      <c r="R157" s="12">
        <v>-1960</v>
      </c>
      <c r="S157" s="12">
        <v>-3421</v>
      </c>
      <c r="T157" s="12">
        <v>-4528</v>
      </c>
      <c r="U157" s="12">
        <v>-2915</v>
      </c>
      <c r="V157" s="5">
        <v>-12824</v>
      </c>
      <c r="W157" s="12">
        <v>-1725</v>
      </c>
      <c r="X157" s="12">
        <v>-1725</v>
      </c>
      <c r="Y157" s="12">
        <v>-1910</v>
      </c>
      <c r="Z157" s="12">
        <v>-964</v>
      </c>
      <c r="AA157" s="5">
        <v>-6324</v>
      </c>
      <c r="AB157" s="12">
        <v>-1581</v>
      </c>
      <c r="AC157" s="12">
        <v>-1739</v>
      </c>
      <c r="AD157" s="12">
        <v>-1735</v>
      </c>
      <c r="AE157" s="12">
        <v>-1555</v>
      </c>
      <c r="AF157" s="5">
        <v>-6610</v>
      </c>
      <c r="AG157" s="12">
        <v>-1354</v>
      </c>
      <c r="AH157" s="12">
        <v>-1917</v>
      </c>
      <c r="AI157" s="12">
        <v>-2226</v>
      </c>
      <c r="AJ157" s="12">
        <v>-2538</v>
      </c>
      <c r="AK157" s="5">
        <f>SUM(AG157:AJ157)</f>
        <v>-8035</v>
      </c>
      <c r="AL157" s="12">
        <v>-1392</v>
      </c>
      <c r="AM157" s="12">
        <v>-1855</v>
      </c>
      <c r="AN157" s="12">
        <v>-1948</v>
      </c>
      <c r="AO157" s="12">
        <v>-1257</v>
      </c>
      <c r="AP157" s="5">
        <f>SUM(AL157:AO157)</f>
        <v>-6452</v>
      </c>
      <c r="AQ157" s="12">
        <v>-1291</v>
      </c>
      <c r="AR157" s="12">
        <v>-1924</v>
      </c>
      <c r="AS157" s="12">
        <v>-1672</v>
      </c>
      <c r="AT157" s="12">
        <v>-1420</v>
      </c>
      <c r="AU157" s="5">
        <v>-6307</v>
      </c>
      <c r="AV157" s="12">
        <v>-820</v>
      </c>
      <c r="AW157" s="12">
        <v>-1367</v>
      </c>
      <c r="AX157" s="12">
        <v>-1607</v>
      </c>
      <c r="AY157" s="12">
        <v>-993</v>
      </c>
      <c r="AZ157" s="5">
        <v>-4787</v>
      </c>
      <c r="BA157" s="12">
        <v>-493</v>
      </c>
      <c r="BB157" s="12">
        <v>-602</v>
      </c>
      <c r="BC157" s="12">
        <v>-867</v>
      </c>
      <c r="BD157" s="12">
        <v>-294</v>
      </c>
      <c r="BE157" s="5">
        <v>-2256</v>
      </c>
      <c r="BF157" s="12">
        <v>-272</v>
      </c>
      <c r="BG157" s="12">
        <v>-89</v>
      </c>
      <c r="BH157" s="12">
        <v>-461</v>
      </c>
      <c r="BI157" s="12">
        <v>-716</v>
      </c>
      <c r="BJ157" s="5">
        <f t="shared" ref="BJ157:BJ158" si="140">+SUM(BF157:BI157)</f>
        <v>-1538</v>
      </c>
      <c r="BK157" s="12">
        <v>-856</v>
      </c>
      <c r="BL157" s="12">
        <v>-815</v>
      </c>
      <c r="BM157" s="12">
        <v>-1298</v>
      </c>
      <c r="BN157" s="12">
        <v>-1033</v>
      </c>
      <c r="BO157" s="5">
        <f t="shared" si="139"/>
        <v>-4002</v>
      </c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</row>
    <row r="158" spans="1:86">
      <c r="A158" s="5"/>
      <c r="B158" s="207" t="s">
        <v>2204</v>
      </c>
      <c r="C158" s="5">
        <v>0</v>
      </c>
      <c r="D158" s="5">
        <v>0</v>
      </c>
      <c r="E158" s="5">
        <v>348</v>
      </c>
      <c r="F158" s="5">
        <v>-669</v>
      </c>
      <c r="G158" s="5">
        <v>970</v>
      </c>
      <c r="H158" s="12"/>
      <c r="I158" s="12"/>
      <c r="J158" s="12"/>
      <c r="K158" s="12"/>
      <c r="L158" s="5"/>
      <c r="M158" s="12"/>
      <c r="N158" s="12"/>
      <c r="O158" s="12"/>
      <c r="P158" s="12"/>
      <c r="Q158" s="5"/>
      <c r="R158" s="12"/>
      <c r="S158" s="12"/>
      <c r="T158" s="12"/>
      <c r="U158" s="12"/>
      <c r="V158" s="5"/>
      <c r="W158" s="12"/>
      <c r="X158" s="12"/>
      <c r="Y158" s="12"/>
      <c r="Z158" s="12"/>
      <c r="AA158" s="5"/>
      <c r="AB158" s="12"/>
      <c r="AC158" s="12"/>
      <c r="AD158" s="12"/>
      <c r="AE158" s="12"/>
      <c r="AF158" s="5"/>
      <c r="AG158" s="12"/>
      <c r="AH158" s="12"/>
      <c r="AI158" s="12"/>
      <c r="AJ158" s="12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>
        <f t="shared" si="140"/>
        <v>0</v>
      </c>
      <c r="BK158" s="5"/>
      <c r="BL158" s="5"/>
      <c r="BM158" s="5"/>
      <c r="BN158" s="138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</row>
    <row r="159" spans="1:86">
      <c r="A159" s="15" t="s">
        <v>2102</v>
      </c>
      <c r="B159" s="15"/>
      <c r="C159" s="15">
        <f>SUM(C137:C158)</f>
        <v>17487</v>
      </c>
      <c r="D159" s="15">
        <f>SUM(D137:D158)</f>
        <v>15943</v>
      </c>
      <c r="E159" s="15">
        <f>SUM(E137:E158)</f>
        <v>16303</v>
      </c>
      <c r="F159" s="15">
        <f>SUM(F137:F158)</f>
        <v>23378</v>
      </c>
      <c r="G159" s="15">
        <f>SUM(G137:G158)</f>
        <v>26721</v>
      </c>
      <c r="H159" s="67">
        <f>SUM(H137:H157)</f>
        <v>8923</v>
      </c>
      <c r="I159" s="67">
        <f>SUM(I137:I157)</f>
        <v>9149</v>
      </c>
      <c r="J159" s="67">
        <f>SUM(J137:J157)</f>
        <v>5130</v>
      </c>
      <c r="K159" s="67">
        <f>SUM(K137:K157)</f>
        <v>4970</v>
      </c>
      <c r="L159" s="15">
        <f>SUM(L137:L157)</f>
        <v>28172</v>
      </c>
      <c r="M159" s="67">
        <v>7978</v>
      </c>
      <c r="N159" s="67">
        <v>6086</v>
      </c>
      <c r="O159" s="67">
        <v>6356</v>
      </c>
      <c r="P159" s="67">
        <v>4289</v>
      </c>
      <c r="Q159" s="15">
        <f>SUM(Q137:Q157)</f>
        <v>24709</v>
      </c>
      <c r="R159" s="67">
        <v>10894</v>
      </c>
      <c r="S159" s="67">
        <v>6718</v>
      </c>
      <c r="T159" s="67">
        <v>14864</v>
      </c>
      <c r="U159" s="67">
        <v>5619</v>
      </c>
      <c r="V159" s="15">
        <f>SUM(V137:V157)</f>
        <v>38095</v>
      </c>
      <c r="W159" s="67">
        <v>5572</v>
      </c>
      <c r="X159" s="67">
        <v>6757</v>
      </c>
      <c r="Y159" s="67">
        <v>8099</v>
      </c>
      <c r="Z159" s="67">
        <v>7288</v>
      </c>
      <c r="AA159" s="15">
        <f>SUM(AA137:AA157)</f>
        <v>27716</v>
      </c>
      <c r="AB159" s="67">
        <v>7693</v>
      </c>
      <c r="AC159" s="67">
        <v>6753</v>
      </c>
      <c r="AD159" s="67">
        <v>-652</v>
      </c>
      <c r="AE159" s="67">
        <v>-178</v>
      </c>
      <c r="AF159" s="15">
        <f>SUM(AF137:AF157)</f>
        <v>13616</v>
      </c>
      <c r="AG159" s="67">
        <f>SUM(AG137,AG140,AG141,AG142,AG148,AG150,AG151,AG152,AG156,AG157)</f>
        <v>2404</v>
      </c>
      <c r="AH159" s="67">
        <f>SUM(AH137,AH140,AH141,AH142,AH148,AH150,AH151,AH152,AH156,AH157)</f>
        <v>7848</v>
      </c>
      <c r="AI159" s="67">
        <f>SUM(AI137,AI140,AI141,AI142,AI148,AI150,AI151,AI152,AI156,AI157)</f>
        <v>6892</v>
      </c>
      <c r="AJ159" s="67">
        <f>SUM(AJ137,AJ140,AJ141,AJ142,AJ148,AJ150,AJ151,AJ152,AJ156,AJ157)</f>
        <v>5010</v>
      </c>
      <c r="AK159" s="15">
        <f>SUM(AK137:AK157)</f>
        <v>22154</v>
      </c>
      <c r="AL159" s="67">
        <f>SUM(AL137,AL140,AL141,AL142,AL148,AL150,AL151,AL152,AL156,AL157)</f>
        <v>3367</v>
      </c>
      <c r="AM159" s="67">
        <f>SUM(AM137,AM140,AM141,AM142,AM148,AM150,AM151,AM152,AM156,AM157)</f>
        <v>4403</v>
      </c>
      <c r="AN159" s="67">
        <f>SUM(AN137,AN140,AN141,AN142,AN148,AN150,AN151,AN152,AN156,AN157)</f>
        <v>6287</v>
      </c>
      <c r="AO159" s="67">
        <f>SUM(AO137,AO140,AO141,AO142,AO148,AO150,AO151,AO152,AO156,AO157)</f>
        <v>6340</v>
      </c>
      <c r="AP159" s="15">
        <f>SUM(AL159:AO159)</f>
        <v>20397</v>
      </c>
      <c r="AQ159" s="67">
        <f>SUM(AQ137,AQ140,AQ141,AQ142,AQ148,AQ150,AQ151,AQ152,AQ156,AQ157)</f>
        <v>3967</v>
      </c>
      <c r="AR159" s="67">
        <f>SUM(AR137,AR140,AR141,AR142,AR148,AR150,AR151,AR152,AR156,AR157)</f>
        <v>5387</v>
      </c>
      <c r="AS159" s="67">
        <f>SUM(AS137,AS140,AS141,AS142,AS148,AS150,AS151,AS152,AS156,AS157)</f>
        <v>6332</v>
      </c>
      <c r="AT159" s="67">
        <f>SUM(AT137,AT140,AT141,AT142,AT148,AT150,AT151,AT152,AT156,AT157)</f>
        <v>5414</v>
      </c>
      <c r="AU159" s="15">
        <f>SUM(AQ159:AT159)</f>
        <v>21100</v>
      </c>
      <c r="AV159" s="67">
        <f>SUM(AV137,AV140,AV141,AV142,AV148,AV150,AV151,AV152,AV156,AV157)</f>
        <v>8231</v>
      </c>
      <c r="AW159" s="67">
        <f>SUM(AW137,AW140,AW141,AW142,AW148,AW150,AW151,AW152,AW156,AW157)</f>
        <v>7877</v>
      </c>
      <c r="AX159" s="67">
        <f>SUM(AX137,AX140,AX141,AX142,AX148,AX150,AX151,AX152,AX156,AX157)</f>
        <v>9399</v>
      </c>
      <c r="AY159" s="67">
        <f>SUM(AY137,AY140,AY141,AY142,AY148,AY150,AY151,AY152,AY156,AY157)</f>
        <v>7247</v>
      </c>
      <c r="AZ159" s="15">
        <f>SUM(AV159:AY159)</f>
        <v>32754</v>
      </c>
      <c r="BA159" s="67">
        <f>SUM(BA137,BA140,BA141,BA142,BA148,BA150,BA151,BA152,BA156,BA157)</f>
        <v>1858</v>
      </c>
      <c r="BB159" s="67">
        <f>SUM(BB137,BB140,BB141,BB142,BB148,BB150,BB151,BB152,BB156,BB157)</f>
        <v>6286</v>
      </c>
      <c r="BC159" s="67">
        <f>SUM(BC137,BC140,BC141,BC142,BC148,BC150,BC151,BC152,BC156,BC157)</f>
        <v>5183</v>
      </c>
      <c r="BD159" s="67">
        <f>SUM(BD137,BD140,BD141,BD142,BD148,BD150,BD151,BD152,BD156,BD157)</f>
        <v>5806</v>
      </c>
      <c r="BE159" s="15">
        <f>SUM(BA159:BD159)</f>
        <v>19133</v>
      </c>
      <c r="BF159" s="67">
        <f t="shared" ref="BF159:BN159" si="141">SUM(BF137,BF140,BF141,BF142,BF148,BF150,BF151,BF152,BF156,BF157)</f>
        <v>1872</v>
      </c>
      <c r="BG159" s="67">
        <f t="shared" si="141"/>
        <v>3883</v>
      </c>
      <c r="BH159" s="67">
        <f t="shared" si="141"/>
        <v>2508</v>
      </c>
      <c r="BI159" s="67">
        <f t="shared" si="141"/>
        <v>2428</v>
      </c>
      <c r="BJ159" s="15">
        <f>SUM(BF159:BI159)</f>
        <v>10691</v>
      </c>
      <c r="BK159" s="67">
        <f t="shared" si="141"/>
        <v>2114</v>
      </c>
      <c r="BL159" s="67">
        <f t="shared" si="141"/>
        <v>4890</v>
      </c>
      <c r="BM159" s="67">
        <f t="shared" si="141"/>
        <v>6024</v>
      </c>
      <c r="BN159" s="178">
        <f t="shared" si="141"/>
        <v>5903</v>
      </c>
      <c r="BO159" s="15">
        <f t="shared" si="139"/>
        <v>18931</v>
      </c>
      <c r="BP159" s="15"/>
      <c r="BQ159" s="15"/>
      <c r="BR159" s="15"/>
      <c r="BS159" s="15"/>
      <c r="BT159" s="15"/>
      <c r="BU159" s="15"/>
      <c r="BV159" s="15"/>
      <c r="BW159" s="15"/>
      <c r="BX159" s="15"/>
      <c r="BY159" s="15"/>
      <c r="BZ159" s="15"/>
      <c r="CA159" s="15"/>
      <c r="CB159" s="15"/>
      <c r="CC159" s="15"/>
      <c r="CD159" s="15"/>
    </row>
    <row r="160" spans="1:86">
      <c r="A160" s="207"/>
      <c r="B160" s="13"/>
      <c r="C160" s="207"/>
      <c r="D160" s="207"/>
      <c r="E160" s="207"/>
      <c r="F160" s="207"/>
      <c r="G160" s="207"/>
      <c r="H160" s="208"/>
      <c r="I160" s="208"/>
      <c r="J160" s="208"/>
      <c r="K160" s="208"/>
      <c r="L160" s="207"/>
      <c r="M160" s="208"/>
      <c r="N160" s="208"/>
      <c r="O160" s="208"/>
      <c r="P160" s="208"/>
      <c r="Q160" s="207"/>
      <c r="R160" s="208"/>
      <c r="S160" s="208"/>
      <c r="T160" s="208"/>
      <c r="U160" s="208"/>
      <c r="V160" s="207"/>
      <c r="W160" s="208"/>
      <c r="X160" s="208"/>
      <c r="Y160" s="208"/>
      <c r="Z160" s="208"/>
      <c r="AA160" s="207"/>
      <c r="AB160" s="208"/>
      <c r="AC160" s="208"/>
      <c r="AD160" s="208"/>
      <c r="AE160" s="208"/>
      <c r="AF160" s="207"/>
      <c r="AG160" s="208"/>
      <c r="AH160" s="208"/>
      <c r="AI160" s="208"/>
      <c r="AJ160" s="208"/>
      <c r="AK160" s="207"/>
      <c r="AL160" s="207"/>
      <c r="AM160" s="207"/>
      <c r="AN160" s="207"/>
      <c r="AO160" s="207"/>
      <c r="AP160" s="207"/>
      <c r="AQ160" s="207"/>
      <c r="AR160" s="207"/>
      <c r="AS160" s="207"/>
      <c r="AT160" s="207"/>
      <c r="AU160" s="207"/>
      <c r="AV160" s="207"/>
      <c r="AW160" s="207"/>
      <c r="AX160" s="207"/>
      <c r="AY160" s="207"/>
      <c r="AZ160" s="207"/>
      <c r="BA160" s="207"/>
      <c r="BB160" s="207"/>
      <c r="BC160" s="207"/>
      <c r="BD160" s="207"/>
      <c r="BE160" s="207"/>
      <c r="BF160" s="207"/>
      <c r="BG160" s="207"/>
      <c r="BH160" s="207"/>
      <c r="BI160" s="207"/>
      <c r="BJ160" s="207"/>
      <c r="BK160" s="207"/>
      <c r="BL160" s="207"/>
      <c r="BM160" s="207"/>
      <c r="BN160" s="586"/>
      <c r="BO160" s="207"/>
      <c r="BP160" s="207"/>
      <c r="BQ160" s="207"/>
      <c r="BR160" s="207"/>
      <c r="BS160" s="207"/>
      <c r="BT160" s="207"/>
      <c r="BU160" s="207"/>
      <c r="BV160" s="207"/>
      <c r="BW160" s="207"/>
      <c r="BX160" s="207"/>
      <c r="BY160" s="207"/>
      <c r="BZ160" s="207"/>
      <c r="CA160" s="207"/>
      <c r="CB160" s="207"/>
      <c r="CC160" s="207"/>
      <c r="CD160" s="207"/>
    </row>
    <row r="161" spans="1:82">
      <c r="A161" s="8" t="s">
        <v>3127</v>
      </c>
      <c r="B161" s="5"/>
      <c r="C161" s="5"/>
      <c r="D161" s="5"/>
      <c r="E161" s="5"/>
      <c r="F161" s="5"/>
      <c r="G161" s="5"/>
      <c r="H161" s="12"/>
      <c r="I161" s="12"/>
      <c r="J161" s="12"/>
      <c r="K161" s="12"/>
      <c r="L161" s="5"/>
      <c r="M161" s="12"/>
      <c r="N161" s="12"/>
      <c r="O161" s="12"/>
      <c r="P161" s="12"/>
      <c r="Q161" s="5"/>
      <c r="R161" s="12"/>
      <c r="S161" s="12"/>
      <c r="T161" s="12"/>
      <c r="U161" s="12"/>
      <c r="V161" s="5"/>
      <c r="W161" s="12"/>
      <c r="X161" s="12"/>
      <c r="Y161" s="12"/>
      <c r="Z161" s="12"/>
      <c r="AA161" s="5"/>
      <c r="AB161" s="12"/>
      <c r="AC161" s="12"/>
      <c r="AD161" s="12"/>
      <c r="AE161" s="12"/>
      <c r="AF161" s="5"/>
      <c r="AG161" s="12"/>
      <c r="AH161" s="12"/>
      <c r="AI161" s="12"/>
      <c r="AJ161" s="12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138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</row>
    <row r="162" spans="1:82">
      <c r="A162" s="5"/>
      <c r="B162" s="5" t="s">
        <v>1452</v>
      </c>
      <c r="C162" s="5">
        <v>-12181</v>
      </c>
      <c r="D162" s="5">
        <v>-12098</v>
      </c>
      <c r="E162" s="5">
        <v>-11885</v>
      </c>
      <c r="F162" s="5">
        <v>-12286</v>
      </c>
      <c r="G162" s="5">
        <v>-12281</v>
      </c>
      <c r="H162" s="12">
        <v>-3295</v>
      </c>
      <c r="I162" s="12">
        <v>-3412</v>
      </c>
      <c r="J162" s="12">
        <v>-3945</v>
      </c>
      <c r="K162" s="12">
        <v>-4473</v>
      </c>
      <c r="L162" s="5">
        <v>-15125</v>
      </c>
      <c r="M162" s="12">
        <v>-3645</v>
      </c>
      <c r="N162" s="12">
        <v>-4334</v>
      </c>
      <c r="O162" s="12">
        <v>-4336</v>
      </c>
      <c r="P162" s="12">
        <v>-5515</v>
      </c>
      <c r="Q162" s="5">
        <v>-17830</v>
      </c>
      <c r="R162" s="12">
        <v>-4435</v>
      </c>
      <c r="S162" s="12">
        <v>-4713</v>
      </c>
      <c r="T162" s="12">
        <v>-7748</v>
      </c>
      <c r="U162" s="12">
        <v>-5762</v>
      </c>
      <c r="V162" s="5">
        <v>-22658</v>
      </c>
      <c r="W162" s="12">
        <v>-4817</v>
      </c>
      <c r="X162" s="12">
        <v>-5211</v>
      </c>
      <c r="Y162" s="12">
        <v>-4975</v>
      </c>
      <c r="Z162" s="12">
        <v>-5647</v>
      </c>
      <c r="AA162" s="5">
        <v>-20650</v>
      </c>
      <c r="AB162" s="12">
        <v>-4289</v>
      </c>
      <c r="AC162" s="12">
        <v>-4273</v>
      </c>
      <c r="AD162" s="12">
        <v>-4741</v>
      </c>
      <c r="AE162" s="12">
        <v>-5118</v>
      </c>
      <c r="AF162" s="5">
        <v>-18421</v>
      </c>
      <c r="AG162" s="12">
        <v>-5774</v>
      </c>
      <c r="AH162" s="12">
        <v>-4289</v>
      </c>
      <c r="AI162" s="12">
        <v>-4240</v>
      </c>
      <c r="AJ162" s="12">
        <v>-5805</v>
      </c>
      <c r="AK162" s="5">
        <f t="shared" ref="AK162:AK170" si="142">SUM(AG162:AJ162)</f>
        <v>-20108</v>
      </c>
      <c r="AL162" s="12">
        <v>-5439</v>
      </c>
      <c r="AM162" s="12">
        <v>-4951</v>
      </c>
      <c r="AN162" s="12">
        <v>-5742</v>
      </c>
      <c r="AO162" s="12">
        <v>-6946</v>
      </c>
      <c r="AP162" s="5">
        <f t="shared" ref="AP162:AP168" si="143">SUM(AL162:AO162)</f>
        <v>-23078</v>
      </c>
      <c r="AQ162" s="12">
        <v>-5729</v>
      </c>
      <c r="AR162" s="12">
        <v>-6111</v>
      </c>
      <c r="AS162" s="12">
        <v>-5882</v>
      </c>
      <c r="AT162" s="12">
        <v>-6798</v>
      </c>
      <c r="AU162" s="5">
        <f t="shared" ref="AU162:AU168" si="144">SUM(AQ162:AT162)</f>
        <v>-24520</v>
      </c>
      <c r="AV162" s="12">
        <v>-5891</v>
      </c>
      <c r="AW162" s="12">
        <v>-5499</v>
      </c>
      <c r="AX162" s="12">
        <v>-5256</v>
      </c>
      <c r="AY162" s="12">
        <v>-5900</v>
      </c>
      <c r="AZ162" s="5">
        <v>-22546</v>
      </c>
      <c r="BA162" s="12">
        <v>-4636</v>
      </c>
      <c r="BB162" s="12">
        <v>-4529</v>
      </c>
      <c r="BC162" s="12">
        <v>-4357</v>
      </c>
      <c r="BD162" s="12">
        <v>-5126</v>
      </c>
      <c r="BE162" s="5">
        <v>-18648</v>
      </c>
      <c r="BF162" s="12">
        <v>-4381</v>
      </c>
      <c r="BG162" s="12">
        <v>-4283</v>
      </c>
      <c r="BH162" s="12">
        <v>-3379</v>
      </c>
      <c r="BI162" s="12">
        <v>-4658</v>
      </c>
      <c r="BJ162" s="5">
        <f t="shared" ref="BJ162:BJ169" si="145">+SUM(BF162:BI162)</f>
        <v>-16701</v>
      </c>
      <c r="BK162" s="12">
        <v>-3823</v>
      </c>
      <c r="BL162" s="12">
        <v>-4181</v>
      </c>
      <c r="BM162" s="12">
        <v>-4136</v>
      </c>
      <c r="BN162" s="12">
        <v>-4422</v>
      </c>
      <c r="BO162" s="5">
        <f t="shared" ref="BO162:BO170" si="146">+SUM(BK162:BN162)</f>
        <v>-16562</v>
      </c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</row>
    <row r="163" spans="1:82">
      <c r="A163" s="5"/>
      <c r="B163" s="5" t="s">
        <v>2688</v>
      </c>
      <c r="C163" s="5">
        <v>-1210</v>
      </c>
      <c r="D163" s="5">
        <v>-4324</v>
      </c>
      <c r="E163" s="5">
        <v>-211</v>
      </c>
      <c r="F163" s="5">
        <v>-1503</v>
      </c>
      <c r="G163" s="5">
        <v>-60</v>
      </c>
      <c r="H163" s="12">
        <v>0</v>
      </c>
      <c r="I163" s="12">
        <v>0</v>
      </c>
      <c r="J163" s="12">
        <v>-102</v>
      </c>
      <c r="K163" s="12">
        <v>-127</v>
      </c>
      <c r="L163" s="5">
        <v>-229</v>
      </c>
      <c r="M163" s="12">
        <v>-1087</v>
      </c>
      <c r="N163" s="12">
        <v>-111</v>
      </c>
      <c r="O163" s="12">
        <v>-27</v>
      </c>
      <c r="P163" s="12">
        <v>0</v>
      </c>
      <c r="Q163" s="5">
        <v>-1225</v>
      </c>
      <c r="R163" s="12">
        <v>0</v>
      </c>
      <c r="S163" s="12">
        <v>-209</v>
      </c>
      <c r="T163" s="12">
        <v>0</v>
      </c>
      <c r="U163" s="12">
        <v>-186</v>
      </c>
      <c r="V163" s="5">
        <v>-395</v>
      </c>
      <c r="W163" s="12">
        <v>0</v>
      </c>
      <c r="X163" s="12">
        <v>-8</v>
      </c>
      <c r="Y163" s="12">
        <v>0</v>
      </c>
      <c r="Z163" s="12">
        <v>9</v>
      </c>
      <c r="AA163" s="5">
        <v>1</v>
      </c>
      <c r="AB163" s="12">
        <v>0</v>
      </c>
      <c r="AC163" s="12">
        <v>-1268</v>
      </c>
      <c r="AD163" s="12">
        <v>-1192</v>
      </c>
      <c r="AE163" s="12">
        <v>-8</v>
      </c>
      <c r="AF163" s="5">
        <v>-2468</v>
      </c>
      <c r="AG163" s="12">
        <v>-2</v>
      </c>
      <c r="AH163" s="12">
        <v>-3884</v>
      </c>
      <c r="AI163" s="12">
        <v>-2005</v>
      </c>
      <c r="AJ163" s="12">
        <v>-3018</v>
      </c>
      <c r="AK163" s="5">
        <f t="shared" si="142"/>
        <v>-8909</v>
      </c>
      <c r="AL163" s="12">
        <v>0</v>
      </c>
      <c r="AM163" s="12">
        <v>-116</v>
      </c>
      <c r="AN163" s="12">
        <v>0</v>
      </c>
      <c r="AO163" s="12">
        <v>0</v>
      </c>
      <c r="AP163" s="5">
        <f t="shared" si="143"/>
        <v>-116</v>
      </c>
      <c r="AQ163" s="12">
        <v>0</v>
      </c>
      <c r="AR163" s="12">
        <v>0</v>
      </c>
      <c r="AS163" s="12">
        <v>0</v>
      </c>
      <c r="AT163" s="12">
        <v>-67</v>
      </c>
      <c r="AU163" s="5">
        <f t="shared" si="144"/>
        <v>-67</v>
      </c>
      <c r="AV163" s="12">
        <v>-10</v>
      </c>
      <c r="AW163" s="12">
        <v>0</v>
      </c>
      <c r="AX163" s="12">
        <v>-3</v>
      </c>
      <c r="AY163" s="12">
        <v>-118</v>
      </c>
      <c r="AZ163" s="5">
        <v>-131</v>
      </c>
      <c r="BA163" s="12">
        <v>0</v>
      </c>
      <c r="BB163" s="12">
        <v>0</v>
      </c>
      <c r="BC163" s="12">
        <v>33</v>
      </c>
      <c r="BD163" s="12">
        <v>-10</v>
      </c>
      <c r="BE163" s="5">
        <v>23</v>
      </c>
      <c r="BF163" s="12">
        <v>0</v>
      </c>
      <c r="BG163" s="12">
        <v>0</v>
      </c>
      <c r="BH163" s="12">
        <v>0</v>
      </c>
      <c r="BI163" s="12">
        <v>-1</v>
      </c>
      <c r="BJ163" s="5">
        <f t="shared" si="145"/>
        <v>-1</v>
      </c>
      <c r="BK163" s="12">
        <v>-42</v>
      </c>
      <c r="BL163" s="12">
        <v>-123</v>
      </c>
      <c r="BM163" s="12">
        <v>-146</v>
      </c>
      <c r="BN163" s="12">
        <v>-16</v>
      </c>
      <c r="BO163" s="5">
        <f t="shared" si="146"/>
        <v>-327</v>
      </c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</row>
    <row r="164" spans="1:82">
      <c r="A164" s="5"/>
      <c r="B164" s="5" t="s">
        <v>1677</v>
      </c>
      <c r="C164" s="5">
        <v>-497</v>
      </c>
      <c r="D164" s="5">
        <v>-354</v>
      </c>
      <c r="E164" s="5">
        <v>-2630</v>
      </c>
      <c r="F164" s="5">
        <v>-1648</v>
      </c>
      <c r="G164" s="5">
        <v>-185</v>
      </c>
      <c r="H164" s="12">
        <v>0</v>
      </c>
      <c r="I164" s="12">
        <v>-26</v>
      </c>
      <c r="J164" s="12">
        <v>0</v>
      </c>
      <c r="K164" s="12">
        <v>-11</v>
      </c>
      <c r="L164" s="5">
        <v>-37</v>
      </c>
      <c r="M164" s="12">
        <v>-9</v>
      </c>
      <c r="N164" s="12">
        <v>-12</v>
      </c>
      <c r="O164" s="12">
        <v>-122</v>
      </c>
      <c r="P164" s="12">
        <v>-285</v>
      </c>
      <c r="Q164" s="5">
        <v>-428</v>
      </c>
      <c r="R164" s="12">
        <v>-366</v>
      </c>
      <c r="S164" s="12">
        <v>-247</v>
      </c>
      <c r="T164" s="12">
        <v>-194</v>
      </c>
      <c r="U164" s="12">
        <v>-202</v>
      </c>
      <c r="V164" s="5">
        <v>-1009</v>
      </c>
      <c r="W164" s="12">
        <v>-103</v>
      </c>
      <c r="X164" s="12">
        <v>-110</v>
      </c>
      <c r="Y164" s="12">
        <v>-128</v>
      </c>
      <c r="Z164" s="12">
        <v>-237</v>
      </c>
      <c r="AA164" s="5">
        <v>-578</v>
      </c>
      <c r="AB164" s="12">
        <v>-82</v>
      </c>
      <c r="AC164" s="12">
        <v>-100</v>
      </c>
      <c r="AD164" s="12">
        <v>-105</v>
      </c>
      <c r="AE164" s="12">
        <v>-174</v>
      </c>
      <c r="AF164" s="5">
        <v>-461</v>
      </c>
      <c r="AG164" s="12">
        <v>-89</v>
      </c>
      <c r="AH164" s="12">
        <v>-66</v>
      </c>
      <c r="AI164" s="12">
        <v>-77</v>
      </c>
      <c r="AJ164" s="12">
        <v>-362</v>
      </c>
      <c r="AK164" s="5">
        <f t="shared" si="142"/>
        <v>-594</v>
      </c>
      <c r="AL164" s="12">
        <v>-244</v>
      </c>
      <c r="AM164" s="12">
        <v>-449</v>
      </c>
      <c r="AN164" s="12">
        <v>-380</v>
      </c>
      <c r="AO164" s="12">
        <v>-457</v>
      </c>
      <c r="AP164" s="5">
        <f t="shared" si="143"/>
        <v>-1530</v>
      </c>
      <c r="AQ164" s="12">
        <v>-51</v>
      </c>
      <c r="AR164" s="12">
        <v>-47</v>
      </c>
      <c r="AS164" s="12">
        <v>-54</v>
      </c>
      <c r="AT164" s="12">
        <v>-299</v>
      </c>
      <c r="AU164" s="5">
        <f t="shared" si="144"/>
        <v>-451</v>
      </c>
      <c r="AV164" s="12">
        <v>-33</v>
      </c>
      <c r="AW164" s="12">
        <v>-3</v>
      </c>
      <c r="AX164" s="12">
        <v>-78</v>
      </c>
      <c r="AY164" s="12">
        <v>-65</v>
      </c>
      <c r="AZ164" s="5">
        <v>-179</v>
      </c>
      <c r="BA164" s="12">
        <v>-69</v>
      </c>
      <c r="BB164" s="12">
        <v>-54</v>
      </c>
      <c r="BC164" s="12">
        <v>-55</v>
      </c>
      <c r="BD164" s="12">
        <v>-87</v>
      </c>
      <c r="BE164" s="5">
        <v>-265</v>
      </c>
      <c r="BF164" s="12">
        <v>-4</v>
      </c>
      <c r="BG164" s="12">
        <v>-8</v>
      </c>
      <c r="BH164" s="12">
        <v>-1</v>
      </c>
      <c r="BI164" s="12">
        <v>-37</v>
      </c>
      <c r="BJ164" s="5">
        <f t="shared" si="145"/>
        <v>-50</v>
      </c>
      <c r="BK164" s="12">
        <v>-20</v>
      </c>
      <c r="BL164" s="12">
        <v>-10</v>
      </c>
      <c r="BM164" s="12">
        <v>-5</v>
      </c>
      <c r="BN164" s="12">
        <v>-15</v>
      </c>
      <c r="BO164" s="5">
        <f t="shared" si="146"/>
        <v>-50</v>
      </c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</row>
    <row r="165" spans="1:82">
      <c r="A165" s="5"/>
      <c r="B165" s="5" t="s">
        <v>1678</v>
      </c>
      <c r="C165" s="5">
        <v>-586</v>
      </c>
      <c r="D165" s="5">
        <v>-971</v>
      </c>
      <c r="E165" s="5">
        <v>-987</v>
      </c>
      <c r="F165" s="5">
        <v>-942</v>
      </c>
      <c r="G165" s="5">
        <v>-619</v>
      </c>
      <c r="H165" s="12">
        <v>-157</v>
      </c>
      <c r="I165" s="12">
        <v>-151</v>
      </c>
      <c r="J165" s="12">
        <v>-159</v>
      </c>
      <c r="K165" s="12">
        <v>-103</v>
      </c>
      <c r="L165" s="5">
        <v>-570</v>
      </c>
      <c r="M165" s="12">
        <v>-44</v>
      </c>
      <c r="N165" s="12">
        <v>-65</v>
      </c>
      <c r="O165" s="12">
        <v>-37</v>
      </c>
      <c r="P165" s="12">
        <v>-41</v>
      </c>
      <c r="Q165" s="5">
        <v>-187</v>
      </c>
      <c r="R165" s="12">
        <v>-4</v>
      </c>
      <c r="S165" s="12">
        <v>-3</v>
      </c>
      <c r="T165" s="12">
        <v>-14</v>
      </c>
      <c r="U165" s="12">
        <v>-60</v>
      </c>
      <c r="V165" s="5">
        <v>-81</v>
      </c>
      <c r="W165" s="12">
        <v>-47</v>
      </c>
      <c r="X165" s="12">
        <v>-40</v>
      </c>
      <c r="Y165" s="12">
        <v>-72</v>
      </c>
      <c r="Z165" s="12">
        <v>-5</v>
      </c>
      <c r="AA165" s="5">
        <v>-164</v>
      </c>
      <c r="AB165" s="12">
        <v>-6</v>
      </c>
      <c r="AC165" s="12">
        <v>-19</v>
      </c>
      <c r="AD165" s="12">
        <v>-13</v>
      </c>
      <c r="AE165" s="12">
        <v>-27</v>
      </c>
      <c r="AF165" s="5">
        <v>-65</v>
      </c>
      <c r="AG165" s="12">
        <v>-11</v>
      </c>
      <c r="AH165" s="12">
        <v>-19</v>
      </c>
      <c r="AI165" s="12">
        <v>-6</v>
      </c>
      <c r="AJ165" s="12">
        <v>-19</v>
      </c>
      <c r="AK165" s="5">
        <f t="shared" si="142"/>
        <v>-55</v>
      </c>
      <c r="AL165" s="12">
        <v>-23</v>
      </c>
      <c r="AM165" s="12">
        <v>-11</v>
      </c>
      <c r="AN165" s="12">
        <v>-3</v>
      </c>
      <c r="AO165" s="12">
        <v>-17</v>
      </c>
      <c r="AP165" s="5">
        <f t="shared" si="143"/>
        <v>-54</v>
      </c>
      <c r="AQ165" s="12">
        <v>-4883</v>
      </c>
      <c r="AR165" s="12">
        <v>-8</v>
      </c>
      <c r="AS165" s="12">
        <v>-64</v>
      </c>
      <c r="AT165" s="12">
        <v>-39</v>
      </c>
      <c r="AU165" s="5">
        <f t="shared" si="144"/>
        <v>-4994</v>
      </c>
      <c r="AV165" s="12">
        <v>-88</v>
      </c>
      <c r="AW165" s="12">
        <v>-47</v>
      </c>
      <c r="AX165" s="12">
        <v>-73</v>
      </c>
      <c r="AY165" s="12">
        <v>-128</v>
      </c>
      <c r="AZ165" s="5">
        <v>-336</v>
      </c>
      <c r="BA165" s="12">
        <v>-87</v>
      </c>
      <c r="BB165" s="12">
        <v>-218</v>
      </c>
      <c r="BC165" s="12">
        <v>-119</v>
      </c>
      <c r="BD165" s="12">
        <v>-888</v>
      </c>
      <c r="BE165" s="5">
        <v>-1312</v>
      </c>
      <c r="BF165" s="12">
        <v>-93</v>
      </c>
      <c r="BG165" s="12">
        <v>-196</v>
      </c>
      <c r="BH165" s="12">
        <v>-185</v>
      </c>
      <c r="BI165" s="12">
        <v>-226</v>
      </c>
      <c r="BJ165" s="5">
        <f t="shared" si="145"/>
        <v>-700</v>
      </c>
      <c r="BK165" s="12">
        <v>-183</v>
      </c>
      <c r="BL165" s="12">
        <v>-174</v>
      </c>
      <c r="BM165" s="12">
        <v>-176</v>
      </c>
      <c r="BN165" s="12">
        <v>-368</v>
      </c>
      <c r="BO165" s="5">
        <f t="shared" si="146"/>
        <v>-901</v>
      </c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</row>
    <row r="166" spans="1:82">
      <c r="A166" s="5"/>
      <c r="B166" s="5" t="s">
        <v>1453</v>
      </c>
      <c r="C166" s="5">
        <v>2185</v>
      </c>
      <c r="D166" s="5">
        <v>2415</v>
      </c>
      <c r="E166" s="5">
        <v>6177</v>
      </c>
      <c r="F166" s="5">
        <v>4236</v>
      </c>
      <c r="G166" s="5">
        <v>2803</v>
      </c>
      <c r="H166" s="12">
        <v>484</v>
      </c>
      <c r="I166" s="12">
        <v>1899</v>
      </c>
      <c r="J166" s="12">
        <v>2662</v>
      </c>
      <c r="K166" s="12">
        <v>918</v>
      </c>
      <c r="L166" s="5">
        <v>5963</v>
      </c>
      <c r="M166" s="12">
        <v>310</v>
      </c>
      <c r="N166" s="12">
        <v>836</v>
      </c>
      <c r="O166" s="12">
        <v>211</v>
      </c>
      <c r="P166" s="12">
        <v>392</v>
      </c>
      <c r="Q166" s="5">
        <v>1749</v>
      </c>
      <c r="R166" s="12">
        <v>276</v>
      </c>
      <c r="S166" s="12">
        <v>59</v>
      </c>
      <c r="T166" s="12">
        <v>365</v>
      </c>
      <c r="U166" s="12">
        <v>218</v>
      </c>
      <c r="V166" s="5">
        <v>918</v>
      </c>
      <c r="W166" s="12">
        <v>311</v>
      </c>
      <c r="X166" s="12">
        <v>360</v>
      </c>
      <c r="Y166" s="12">
        <v>506</v>
      </c>
      <c r="Z166" s="12">
        <v>538</v>
      </c>
      <c r="AA166" s="5">
        <v>1715</v>
      </c>
      <c r="AB166" s="12">
        <v>108</v>
      </c>
      <c r="AC166" s="12">
        <v>636</v>
      </c>
      <c r="AD166" s="12">
        <v>4193</v>
      </c>
      <c r="AE166" s="12">
        <v>2555</v>
      </c>
      <c r="AF166" s="5">
        <v>7492</v>
      </c>
      <c r="AG166" s="12">
        <v>384</v>
      </c>
      <c r="AH166" s="12">
        <v>1273</v>
      </c>
      <c r="AI166" s="12">
        <v>447</v>
      </c>
      <c r="AJ166" s="12">
        <v>1396</v>
      </c>
      <c r="AK166" s="5">
        <f t="shared" si="142"/>
        <v>3500</v>
      </c>
      <c r="AL166" s="12">
        <v>1267</v>
      </c>
      <c r="AM166" s="12">
        <v>521</v>
      </c>
      <c r="AN166" s="12">
        <v>1400</v>
      </c>
      <c r="AO166" s="12">
        <v>6803</v>
      </c>
      <c r="AP166" s="5">
        <f t="shared" si="143"/>
        <v>9991</v>
      </c>
      <c r="AQ166" s="12">
        <v>16780</v>
      </c>
      <c r="AR166" s="12">
        <v>656</v>
      </c>
      <c r="AS166" s="12">
        <v>307</v>
      </c>
      <c r="AT166" s="12">
        <v>372</v>
      </c>
      <c r="AU166" s="5">
        <f t="shared" si="144"/>
        <v>18115</v>
      </c>
      <c r="AV166" s="12">
        <v>978</v>
      </c>
      <c r="AW166" s="12">
        <v>227</v>
      </c>
      <c r="AX166" s="12">
        <v>391</v>
      </c>
      <c r="AY166" s="12">
        <v>224</v>
      </c>
      <c r="AZ166" s="5">
        <v>1820</v>
      </c>
      <c r="BA166" s="12">
        <v>653</v>
      </c>
      <c r="BB166" s="12">
        <v>308</v>
      </c>
      <c r="BC166" s="12">
        <v>88</v>
      </c>
      <c r="BD166" s="12">
        <v>17</v>
      </c>
      <c r="BE166" s="5">
        <v>1066</v>
      </c>
      <c r="BF166" s="12">
        <v>238</v>
      </c>
      <c r="BG166" s="12">
        <v>153</v>
      </c>
      <c r="BH166" s="12">
        <v>590</v>
      </c>
      <c r="BI166" s="12">
        <v>391</v>
      </c>
      <c r="BJ166" s="5">
        <f t="shared" si="145"/>
        <v>1372</v>
      </c>
      <c r="BK166" s="12">
        <v>188</v>
      </c>
      <c r="BL166" s="12">
        <v>312</v>
      </c>
      <c r="BM166" s="12">
        <v>149</v>
      </c>
      <c r="BN166" s="12">
        <v>2287</v>
      </c>
      <c r="BO166" s="5">
        <f t="shared" si="146"/>
        <v>2936</v>
      </c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</row>
    <row r="167" spans="1:82">
      <c r="A167" s="5"/>
      <c r="B167" s="5" t="s">
        <v>1454</v>
      </c>
      <c r="C167" s="5">
        <v>538</v>
      </c>
      <c r="D167" s="5">
        <v>4312</v>
      </c>
      <c r="E167" s="5">
        <v>179</v>
      </c>
      <c r="F167" s="5">
        <v>725</v>
      </c>
      <c r="G167" s="5">
        <v>8397</v>
      </c>
      <c r="H167" s="12">
        <v>166</v>
      </c>
      <c r="I167" s="12">
        <v>90</v>
      </c>
      <c r="J167" s="12">
        <v>135</v>
      </c>
      <c r="K167" s="12">
        <v>-100</v>
      </c>
      <c r="L167" s="5">
        <v>291</v>
      </c>
      <c r="M167" s="12">
        <v>608</v>
      </c>
      <c r="N167" s="12">
        <v>1905</v>
      </c>
      <c r="O167" s="12">
        <v>0</v>
      </c>
      <c r="P167" s="12">
        <v>5</v>
      </c>
      <c r="Q167" s="5">
        <v>2518</v>
      </c>
      <c r="R167" s="12">
        <v>0</v>
      </c>
      <c r="S167" s="12">
        <v>0</v>
      </c>
      <c r="T167" s="12">
        <v>0</v>
      </c>
      <c r="U167" s="12">
        <v>11</v>
      </c>
      <c r="V167" s="5">
        <v>11</v>
      </c>
      <c r="W167" s="12">
        <v>0</v>
      </c>
      <c r="X167" s="12">
        <v>337</v>
      </c>
      <c r="Y167" s="12">
        <v>98</v>
      </c>
      <c r="Z167" s="12">
        <v>531</v>
      </c>
      <c r="AA167" s="5">
        <v>966</v>
      </c>
      <c r="AB167" s="12">
        <v>0</v>
      </c>
      <c r="AC167" s="12">
        <v>87</v>
      </c>
      <c r="AD167" s="12">
        <v>4557</v>
      </c>
      <c r="AE167" s="12">
        <v>4818</v>
      </c>
      <c r="AF167" s="5">
        <v>9462</v>
      </c>
      <c r="AG167" s="12">
        <v>586</v>
      </c>
      <c r="AH167" s="12">
        <v>376</v>
      </c>
      <c r="AI167" s="12">
        <v>1627</v>
      </c>
      <c r="AJ167" s="12">
        <v>-3357</v>
      </c>
      <c r="AK167" s="5">
        <f t="shared" si="142"/>
        <v>-768</v>
      </c>
      <c r="AL167" s="12">
        <v>45</v>
      </c>
      <c r="AM167" s="12">
        <v>1402</v>
      </c>
      <c r="AN167" s="12">
        <v>-4</v>
      </c>
      <c r="AO167" s="12">
        <v>12</v>
      </c>
      <c r="AP167" s="5">
        <f t="shared" si="143"/>
        <v>1455</v>
      </c>
      <c r="AQ167" s="12">
        <v>1501</v>
      </c>
      <c r="AR167" s="12">
        <v>2284</v>
      </c>
      <c r="AS167" s="12">
        <v>94</v>
      </c>
      <c r="AT167" s="12">
        <v>5</v>
      </c>
      <c r="AU167" s="5">
        <f t="shared" si="144"/>
        <v>3884</v>
      </c>
      <c r="AV167" s="12">
        <v>26</v>
      </c>
      <c r="AW167" s="12">
        <v>571</v>
      </c>
      <c r="AX167" s="12">
        <v>194</v>
      </c>
      <c r="AY167" s="12">
        <v>880</v>
      </c>
      <c r="AZ167" s="5">
        <v>1671</v>
      </c>
      <c r="BA167" s="12">
        <v>1087</v>
      </c>
      <c r="BB167" s="12">
        <v>224</v>
      </c>
      <c r="BC167" s="12">
        <v>200</v>
      </c>
      <c r="BD167" s="12">
        <v>215</v>
      </c>
      <c r="BE167" s="5">
        <v>1726</v>
      </c>
      <c r="BF167" s="12">
        <v>911</v>
      </c>
      <c r="BG167" s="12">
        <v>291</v>
      </c>
      <c r="BH167" s="12">
        <v>-21</v>
      </c>
      <c r="BI167" s="12">
        <v>78</v>
      </c>
      <c r="BJ167" s="5">
        <f t="shared" si="145"/>
        <v>1259</v>
      </c>
      <c r="BK167" s="12">
        <v>73</v>
      </c>
      <c r="BL167" s="12">
        <v>140</v>
      </c>
      <c r="BM167" s="12">
        <v>92</v>
      </c>
      <c r="BN167" s="12">
        <v>173</v>
      </c>
      <c r="BO167" s="5">
        <f t="shared" si="146"/>
        <v>478</v>
      </c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</row>
    <row r="168" spans="1:82">
      <c r="A168" s="5"/>
      <c r="B168" s="5" t="s">
        <v>2689</v>
      </c>
      <c r="C168" s="5">
        <v>180</v>
      </c>
      <c r="D168" s="5">
        <v>55</v>
      </c>
      <c r="E168" s="5">
        <v>76</v>
      </c>
      <c r="F168" s="5">
        <v>87</v>
      </c>
      <c r="G168" s="5">
        <v>123</v>
      </c>
      <c r="H168" s="12">
        <v>72</v>
      </c>
      <c r="I168" s="12">
        <v>58</v>
      </c>
      <c r="J168" s="12">
        <v>33</v>
      </c>
      <c r="K168" s="12">
        <v>26</v>
      </c>
      <c r="L168" s="5">
        <v>189</v>
      </c>
      <c r="M168" s="12">
        <v>45</v>
      </c>
      <c r="N168" s="12">
        <v>33</v>
      </c>
      <c r="O168" s="12">
        <v>45</v>
      </c>
      <c r="P168" s="12">
        <v>69</v>
      </c>
      <c r="Q168" s="5">
        <v>192</v>
      </c>
      <c r="R168" s="12">
        <v>122</v>
      </c>
      <c r="S168" s="12">
        <v>212</v>
      </c>
      <c r="T168" s="12">
        <v>150</v>
      </c>
      <c r="U168" s="12">
        <v>163</v>
      </c>
      <c r="V168" s="5">
        <v>647</v>
      </c>
      <c r="W168" s="12">
        <v>117</v>
      </c>
      <c r="X168" s="12">
        <v>96</v>
      </c>
      <c r="Y168" s="12">
        <v>79</v>
      </c>
      <c r="Z168" s="12">
        <v>238</v>
      </c>
      <c r="AA168" s="5">
        <v>530</v>
      </c>
      <c r="AB168" s="12">
        <v>56</v>
      </c>
      <c r="AC168" s="12">
        <v>203</v>
      </c>
      <c r="AD168" s="12">
        <v>133</v>
      </c>
      <c r="AE168" s="12">
        <v>109</v>
      </c>
      <c r="AF168" s="5">
        <v>501</v>
      </c>
      <c r="AG168" s="12">
        <v>35</v>
      </c>
      <c r="AH168" s="12">
        <v>116</v>
      </c>
      <c r="AI168" s="12">
        <v>63</v>
      </c>
      <c r="AJ168" s="12">
        <v>87</v>
      </c>
      <c r="AK168" s="5">
        <f t="shared" si="142"/>
        <v>301</v>
      </c>
      <c r="AL168" s="12">
        <v>65</v>
      </c>
      <c r="AM168" s="12">
        <v>142</v>
      </c>
      <c r="AN168" s="12">
        <v>57</v>
      </c>
      <c r="AO168" s="12">
        <v>106</v>
      </c>
      <c r="AP168" s="5">
        <f t="shared" si="143"/>
        <v>370</v>
      </c>
      <c r="AQ168" s="12">
        <v>22</v>
      </c>
      <c r="AR168" s="12">
        <v>68</v>
      </c>
      <c r="AS168" s="12">
        <v>36</v>
      </c>
      <c r="AT168" s="12">
        <v>52</v>
      </c>
      <c r="AU168" s="5">
        <f t="shared" si="144"/>
        <v>178</v>
      </c>
      <c r="AV168" s="12">
        <v>17</v>
      </c>
      <c r="AW168" s="12">
        <v>53</v>
      </c>
      <c r="AX168" s="12">
        <v>9</v>
      </c>
      <c r="AY168" s="12">
        <v>48</v>
      </c>
      <c r="AZ168" s="5">
        <v>127</v>
      </c>
      <c r="BA168" s="12">
        <v>3</v>
      </c>
      <c r="BB168" s="12">
        <v>45</v>
      </c>
      <c r="BC168" s="12">
        <v>61</v>
      </c>
      <c r="BD168" s="12">
        <v>1</v>
      </c>
      <c r="BE168" s="5">
        <v>110</v>
      </c>
      <c r="BF168" s="12">
        <v>46</v>
      </c>
      <c r="BG168" s="12">
        <v>6</v>
      </c>
      <c r="BH168" s="12">
        <v>9</v>
      </c>
      <c r="BI168" s="12">
        <v>7</v>
      </c>
      <c r="BJ168" s="5">
        <f t="shared" si="145"/>
        <v>68</v>
      </c>
      <c r="BK168" s="12">
        <v>14</v>
      </c>
      <c r="BL168" s="12">
        <v>19</v>
      </c>
      <c r="BM168" s="12">
        <v>308</v>
      </c>
      <c r="BN168" s="12">
        <v>8</v>
      </c>
      <c r="BO168" s="5">
        <f t="shared" si="146"/>
        <v>349</v>
      </c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</row>
    <row r="169" spans="1:82">
      <c r="A169" s="5"/>
      <c r="B169" s="5" t="s">
        <v>1246</v>
      </c>
      <c r="C169" s="5">
        <v>0</v>
      </c>
      <c r="D169" s="5">
        <v>0</v>
      </c>
      <c r="E169" s="5">
        <v>0</v>
      </c>
      <c r="F169" s="5"/>
      <c r="G169" s="5">
        <v>93</v>
      </c>
      <c r="H169" s="12">
        <v>0</v>
      </c>
      <c r="I169" s="12">
        <v>0</v>
      </c>
      <c r="J169" s="12">
        <v>0</v>
      </c>
      <c r="K169" s="12">
        <v>0</v>
      </c>
      <c r="L169" s="5">
        <v>0</v>
      </c>
      <c r="M169" s="12">
        <v>0</v>
      </c>
      <c r="N169" s="12">
        <v>374</v>
      </c>
      <c r="O169" s="12">
        <v>0</v>
      </c>
      <c r="P169" s="12">
        <v>0</v>
      </c>
      <c r="Q169" s="5">
        <v>374</v>
      </c>
      <c r="R169" s="12">
        <v>0</v>
      </c>
      <c r="S169" s="12">
        <v>0</v>
      </c>
      <c r="T169" s="12">
        <v>-200</v>
      </c>
      <c r="U169" s="12">
        <v>0</v>
      </c>
      <c r="V169" s="5">
        <v>-200</v>
      </c>
      <c r="W169" s="12">
        <v>47</v>
      </c>
      <c r="X169" s="12">
        <v>0</v>
      </c>
      <c r="Y169" s="12">
        <v>0</v>
      </c>
      <c r="Z169" s="12">
        <v>0</v>
      </c>
      <c r="AA169" s="5">
        <v>47</v>
      </c>
      <c r="AB169" s="12">
        <v>0</v>
      </c>
      <c r="AC169" s="12">
        <v>0</v>
      </c>
      <c r="AD169" s="12">
        <v>0</v>
      </c>
      <c r="AE169" s="12">
        <v>0</v>
      </c>
      <c r="AF169" s="5">
        <v>0</v>
      </c>
      <c r="AG169" s="12">
        <v>0</v>
      </c>
      <c r="AH169" s="12">
        <v>0</v>
      </c>
      <c r="AI169" s="12">
        <v>0</v>
      </c>
      <c r="AJ169" s="12"/>
      <c r="AK169" s="5">
        <f t="shared" si="142"/>
        <v>0</v>
      </c>
      <c r="AL169" s="12"/>
      <c r="AM169" s="12"/>
      <c r="AN169" s="12"/>
      <c r="AO169" s="12"/>
      <c r="AP169" s="5"/>
      <c r="AQ169" s="12"/>
      <c r="AR169" s="12"/>
      <c r="AS169" s="12"/>
      <c r="AT169" s="12"/>
      <c r="AU169" s="5"/>
      <c r="AV169" s="12"/>
      <c r="AW169" s="12"/>
      <c r="AX169" s="12"/>
      <c r="AY169" s="12"/>
      <c r="AZ169" s="5"/>
      <c r="BA169" s="12"/>
      <c r="BB169" s="12"/>
      <c r="BC169" s="12"/>
      <c r="BD169" s="12"/>
      <c r="BE169" s="5"/>
      <c r="BF169" s="12"/>
      <c r="BG169" s="12"/>
      <c r="BH169" s="12"/>
      <c r="BI169" s="12"/>
      <c r="BJ169" s="5">
        <f t="shared" si="145"/>
        <v>0</v>
      </c>
      <c r="BK169" s="12"/>
      <c r="BL169" s="12"/>
      <c r="BM169" s="12"/>
      <c r="BN169" s="12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</row>
    <row r="170" spans="1:82">
      <c r="A170" s="15" t="s">
        <v>3077</v>
      </c>
      <c r="B170" s="15"/>
      <c r="C170" s="15">
        <f>SUM(C162:C169)</f>
        <v>-11571</v>
      </c>
      <c r="D170" s="15">
        <f>SUM(D162:D169)</f>
        <v>-10965</v>
      </c>
      <c r="E170" s="15">
        <f t="shared" ref="E170:L170" si="147">SUM(E162:E169)</f>
        <v>-9281</v>
      </c>
      <c r="F170" s="15">
        <f t="shared" si="147"/>
        <v>-11331</v>
      </c>
      <c r="G170" s="15">
        <f t="shared" si="147"/>
        <v>-1729</v>
      </c>
      <c r="H170" s="67">
        <f t="shared" si="147"/>
        <v>-2730</v>
      </c>
      <c r="I170" s="67">
        <f t="shared" si="147"/>
        <v>-1542</v>
      </c>
      <c r="J170" s="67">
        <f t="shared" si="147"/>
        <v>-1376</v>
      </c>
      <c r="K170" s="67">
        <f t="shared" si="147"/>
        <v>-3870</v>
      </c>
      <c r="L170" s="15">
        <f t="shared" si="147"/>
        <v>-9518</v>
      </c>
      <c r="M170" s="67">
        <v>-3822</v>
      </c>
      <c r="N170" s="67">
        <v>-1374</v>
      </c>
      <c r="O170" s="67">
        <v>-4266</v>
      </c>
      <c r="P170" s="67">
        <v>-5375</v>
      </c>
      <c r="Q170" s="15">
        <f>SUM(Q162:Q169)</f>
        <v>-14837</v>
      </c>
      <c r="R170" s="67">
        <v>-4407</v>
      </c>
      <c r="S170" s="67">
        <v>-4901</v>
      </c>
      <c r="T170" s="67">
        <v>-7641</v>
      </c>
      <c r="U170" s="67">
        <v>-5818</v>
      </c>
      <c r="V170" s="15">
        <f>SUM(V162:V169)</f>
        <v>-22767</v>
      </c>
      <c r="W170" s="67">
        <v>-4492</v>
      </c>
      <c r="X170" s="67">
        <v>-4576</v>
      </c>
      <c r="Y170" s="67">
        <v>-4492</v>
      </c>
      <c r="Z170" s="67">
        <v>-4573</v>
      </c>
      <c r="AA170" s="15">
        <f>SUM(AA162:AA169)</f>
        <v>-18133</v>
      </c>
      <c r="AB170" s="67">
        <v>-4213</v>
      </c>
      <c r="AC170" s="67">
        <v>-4734</v>
      </c>
      <c r="AD170" s="67">
        <v>2832</v>
      </c>
      <c r="AE170" s="67">
        <v>2155</v>
      </c>
      <c r="AF170" s="15">
        <f>SUM(AF162:AF169)</f>
        <v>-3960</v>
      </c>
      <c r="AG170" s="67">
        <f>SUM(AG162:AG169)</f>
        <v>-4871</v>
      </c>
      <c r="AH170" s="67">
        <f>SUM(AH162:AH169)</f>
        <v>-6493</v>
      </c>
      <c r="AI170" s="67">
        <f>SUM(AI162:AI169)</f>
        <v>-4191</v>
      </c>
      <c r="AJ170" s="67">
        <f>SUM(AJ162:AJ169)</f>
        <v>-11078</v>
      </c>
      <c r="AK170" s="15">
        <f t="shared" si="142"/>
        <v>-26633</v>
      </c>
      <c r="AL170" s="67">
        <f>SUM(AL162:AL169)</f>
        <v>-4329</v>
      </c>
      <c r="AM170" s="67">
        <f>SUM(AM162:AM169)</f>
        <v>-3462</v>
      </c>
      <c r="AN170" s="67">
        <f>SUM(AN162:AN169)</f>
        <v>-4672</v>
      </c>
      <c r="AO170" s="67">
        <f>SUM(AO162:AO169)</f>
        <v>-499</v>
      </c>
      <c r="AP170" s="15">
        <f>SUM(AL170:AO170)</f>
        <v>-12962</v>
      </c>
      <c r="AQ170" s="67">
        <f>SUM(AQ162:AQ169)</f>
        <v>7640</v>
      </c>
      <c r="AR170" s="67">
        <f>SUM(AR162:AR169)</f>
        <v>-3158</v>
      </c>
      <c r="AS170" s="67">
        <f>SUM(AS162:AS169)</f>
        <v>-5563</v>
      </c>
      <c r="AT170" s="67">
        <f>SUM(AT162:AT169)</f>
        <v>-6774</v>
      </c>
      <c r="AU170" s="15">
        <f>SUM(AQ170:AT170)</f>
        <v>-7855</v>
      </c>
      <c r="AV170" s="67">
        <f>SUM(AV162:AV169)</f>
        <v>-5001</v>
      </c>
      <c r="AW170" s="67">
        <f>SUM(AW162:AW169)</f>
        <v>-4698</v>
      </c>
      <c r="AX170" s="67">
        <f>SUM(AX162:AX169)</f>
        <v>-4816</v>
      </c>
      <c r="AY170" s="67">
        <f t="shared" ref="AY170:BN170" si="148">SUM(AY162:AY169)</f>
        <v>-5059</v>
      </c>
      <c r="AZ170" s="15">
        <f t="shared" si="148"/>
        <v>-19574</v>
      </c>
      <c r="BA170" s="67">
        <f t="shared" si="148"/>
        <v>-3049</v>
      </c>
      <c r="BB170" s="67">
        <f t="shared" si="148"/>
        <v>-4224</v>
      </c>
      <c r="BC170" s="67">
        <f t="shared" si="148"/>
        <v>-4149</v>
      </c>
      <c r="BD170" s="67">
        <f t="shared" si="148"/>
        <v>-5878</v>
      </c>
      <c r="BE170" s="15">
        <f t="shared" si="148"/>
        <v>-17300</v>
      </c>
      <c r="BF170" s="67">
        <f t="shared" si="148"/>
        <v>-3283</v>
      </c>
      <c r="BG170" s="67">
        <f t="shared" si="148"/>
        <v>-4037</v>
      </c>
      <c r="BH170" s="67">
        <f t="shared" si="148"/>
        <v>-2987</v>
      </c>
      <c r="BI170" s="67">
        <f t="shared" si="148"/>
        <v>-4446</v>
      </c>
      <c r="BJ170" s="15">
        <f t="shared" si="148"/>
        <v>-14753</v>
      </c>
      <c r="BK170" s="67">
        <f t="shared" si="148"/>
        <v>-3793</v>
      </c>
      <c r="BL170" s="67">
        <f t="shared" si="148"/>
        <v>-4017</v>
      </c>
      <c r="BM170" s="67">
        <f t="shared" si="148"/>
        <v>-3914</v>
      </c>
      <c r="BN170" s="67">
        <f t="shared" si="148"/>
        <v>-2353</v>
      </c>
      <c r="BO170" s="15">
        <f t="shared" si="146"/>
        <v>-14077</v>
      </c>
      <c r="BP170" s="15"/>
      <c r="BQ170" s="15"/>
      <c r="BR170" s="15"/>
      <c r="BS170" s="15"/>
      <c r="BT170" s="15"/>
      <c r="BU170" s="15"/>
      <c r="BV170" s="15"/>
      <c r="BW170" s="15"/>
      <c r="BX170" s="15"/>
      <c r="BY170" s="15"/>
      <c r="BZ170" s="15"/>
      <c r="CA170" s="15"/>
      <c r="CB170" s="15"/>
      <c r="CC170" s="15"/>
      <c r="CD170" s="15"/>
    </row>
    <row r="171" spans="1:82">
      <c r="A171" s="5"/>
      <c r="B171" s="5"/>
      <c r="C171" s="5"/>
      <c r="D171" s="5"/>
      <c r="E171" s="5"/>
      <c r="F171" s="5"/>
      <c r="G171" s="5"/>
      <c r="H171" s="12"/>
      <c r="I171" s="12"/>
      <c r="J171" s="12"/>
      <c r="K171" s="12"/>
      <c r="L171" s="5"/>
      <c r="M171" s="12"/>
      <c r="N171" s="12"/>
      <c r="O171" s="12"/>
      <c r="P171" s="12"/>
      <c r="Q171" s="5"/>
      <c r="R171" s="12"/>
      <c r="S171" s="12"/>
      <c r="T171" s="12"/>
      <c r="U171" s="12"/>
      <c r="V171" s="5"/>
      <c r="W171" s="12"/>
      <c r="X171" s="12"/>
      <c r="Y171" s="12"/>
      <c r="Z171" s="12"/>
      <c r="AA171" s="5"/>
      <c r="AB171" s="12"/>
      <c r="AC171" s="12"/>
      <c r="AD171" s="12"/>
      <c r="AE171" s="12"/>
      <c r="AF171" s="5"/>
      <c r="AG171" s="12"/>
      <c r="AH171" s="12"/>
      <c r="AI171" s="12"/>
      <c r="AJ171" s="12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</row>
    <row r="172" spans="1:82">
      <c r="A172" s="8" t="s">
        <v>3078</v>
      </c>
      <c r="B172" s="5"/>
      <c r="C172" s="5"/>
      <c r="D172" s="5"/>
      <c r="E172" s="5"/>
      <c r="F172" s="5"/>
      <c r="G172" s="5"/>
      <c r="H172" s="12"/>
      <c r="I172" s="12"/>
      <c r="J172" s="12"/>
      <c r="K172" s="12"/>
      <c r="L172" s="5"/>
      <c r="M172" s="12"/>
      <c r="N172" s="12"/>
      <c r="O172" s="12"/>
      <c r="P172" s="12"/>
      <c r="Q172" s="5"/>
      <c r="R172" s="12"/>
      <c r="S172" s="12"/>
      <c r="T172" s="12"/>
      <c r="U172" s="12"/>
      <c r="V172" s="5"/>
      <c r="W172" s="12"/>
      <c r="X172" s="12"/>
      <c r="Y172" s="12"/>
      <c r="Z172" s="12"/>
      <c r="AA172" s="5"/>
      <c r="AB172" s="12"/>
      <c r="AC172" s="12"/>
      <c r="AD172" s="12"/>
      <c r="AE172" s="12"/>
      <c r="AF172" s="5"/>
      <c r="AG172" s="12"/>
      <c r="AH172" s="12"/>
      <c r="AI172" s="12"/>
      <c r="AJ172" s="12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138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</row>
    <row r="173" spans="1:82">
      <c r="A173" s="5"/>
      <c r="B173" s="5" t="s">
        <v>3079</v>
      </c>
      <c r="C173" s="5">
        <v>-1133</v>
      </c>
      <c r="D173" s="5">
        <v>-573</v>
      </c>
      <c r="E173" s="5">
        <v>-1889</v>
      </c>
      <c r="F173" s="5">
        <v>-7208</v>
      </c>
      <c r="G173" s="5">
        <v>-11315</v>
      </c>
      <c r="H173" s="12">
        <v>-3861</v>
      </c>
      <c r="I173" s="12">
        <v>-4411</v>
      </c>
      <c r="J173" s="12">
        <v>-3430</v>
      </c>
      <c r="K173" s="12">
        <v>-3449</v>
      </c>
      <c r="L173" s="5">
        <v>-15151</v>
      </c>
      <c r="M173" s="12">
        <v>-2402</v>
      </c>
      <c r="N173" s="12">
        <v>-1918</v>
      </c>
      <c r="O173" s="12">
        <v>-1441</v>
      </c>
      <c r="P173" s="12">
        <v>-1352</v>
      </c>
      <c r="Q173" s="5">
        <v>-7113</v>
      </c>
      <c r="R173" s="12">
        <v>-889</v>
      </c>
      <c r="S173" s="12">
        <v>-928</v>
      </c>
      <c r="T173" s="12">
        <v>-814</v>
      </c>
      <c r="U173" s="12">
        <v>64</v>
      </c>
      <c r="V173" s="5">
        <v>-2567</v>
      </c>
      <c r="W173" s="12">
        <v>35</v>
      </c>
      <c r="X173" s="12">
        <v>27</v>
      </c>
      <c r="Y173" s="12">
        <v>63</v>
      </c>
      <c r="Z173" s="12">
        <v>82</v>
      </c>
      <c r="AA173" s="5">
        <v>207</v>
      </c>
      <c r="AB173" s="12">
        <v>128</v>
      </c>
      <c r="AC173" s="12">
        <v>31</v>
      </c>
      <c r="AD173" s="12">
        <v>-21</v>
      </c>
      <c r="AE173" s="12">
        <v>31</v>
      </c>
      <c r="AF173" s="5">
        <v>169</v>
      </c>
      <c r="AG173" s="12">
        <v>12</v>
      </c>
      <c r="AH173" s="12">
        <v>18</v>
      </c>
      <c r="AI173" s="12">
        <v>14</v>
      </c>
      <c r="AJ173" s="12">
        <v>30</v>
      </c>
      <c r="AK173" s="5">
        <f t="shared" ref="AK173:AK181" si="149">SUM(AG173:AJ173)</f>
        <v>74</v>
      </c>
      <c r="AL173" s="12">
        <v>21</v>
      </c>
      <c r="AM173" s="12">
        <v>17</v>
      </c>
      <c r="AN173" s="12">
        <v>23</v>
      </c>
      <c r="AO173" s="12">
        <v>61</v>
      </c>
      <c r="AP173" s="5">
        <f>SUM(AL173:AO173)</f>
        <v>122</v>
      </c>
      <c r="AQ173" s="12">
        <v>55</v>
      </c>
      <c r="AR173" s="12">
        <v>-1890</v>
      </c>
      <c r="AS173" s="12">
        <v>-1258</v>
      </c>
      <c r="AT173" s="12">
        <v>-2265</v>
      </c>
      <c r="AU173" s="5">
        <f>SUM(AQ173:AT173)</f>
        <v>-5358</v>
      </c>
      <c r="AV173" s="12">
        <v>-1726</v>
      </c>
      <c r="AW173" s="12">
        <v>-447</v>
      </c>
      <c r="AX173" s="12">
        <v>-1623</v>
      </c>
      <c r="AY173" s="12">
        <v>-793</v>
      </c>
      <c r="AZ173" s="5">
        <v>-4589</v>
      </c>
      <c r="BA173" s="12">
        <v>0</v>
      </c>
      <c r="BB173" s="12">
        <v>0</v>
      </c>
      <c r="BC173" s="12">
        <v>0</v>
      </c>
      <c r="BD173" s="12">
        <v>0</v>
      </c>
      <c r="BE173" s="5">
        <v>0</v>
      </c>
      <c r="BF173" s="12">
        <v>0</v>
      </c>
      <c r="BG173" s="12">
        <v>0</v>
      </c>
      <c r="BH173" s="12">
        <v>0</v>
      </c>
      <c r="BI173" s="12">
        <v>0</v>
      </c>
      <c r="BJ173" s="5">
        <f t="shared" ref="BJ173:BJ183" si="150">+SUM(BF173:BI173)</f>
        <v>0</v>
      </c>
      <c r="BK173" s="12">
        <v>0</v>
      </c>
      <c r="BL173" s="12">
        <v>0</v>
      </c>
      <c r="BM173" s="12">
        <v>0</v>
      </c>
      <c r="BN173" s="138">
        <v>-343</v>
      </c>
      <c r="BO173" s="5">
        <f t="shared" ref="BO173:BO184" si="151">+SUM(BK173:BN173)</f>
        <v>-343</v>
      </c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</row>
    <row r="174" spans="1:82">
      <c r="A174" s="5"/>
      <c r="B174" s="5" t="s">
        <v>3080</v>
      </c>
      <c r="C174" s="5">
        <v>1296</v>
      </c>
      <c r="D174" s="5">
        <v>3707</v>
      </c>
      <c r="E174" s="5">
        <v>4322</v>
      </c>
      <c r="F174" s="5">
        <v>2675</v>
      </c>
      <c r="G174" s="5">
        <v>2475</v>
      </c>
      <c r="H174" s="12">
        <v>396</v>
      </c>
      <c r="I174" s="12">
        <v>514</v>
      </c>
      <c r="J174" s="12">
        <v>706</v>
      </c>
      <c r="K174" s="12">
        <v>2215</v>
      </c>
      <c r="L174" s="5">
        <v>3831</v>
      </c>
      <c r="M174" s="12">
        <v>1358</v>
      </c>
      <c r="N174" s="12">
        <v>1513</v>
      </c>
      <c r="O174" s="12">
        <v>107</v>
      </c>
      <c r="P174" s="12">
        <v>5131</v>
      </c>
      <c r="Q174" s="5">
        <v>8109</v>
      </c>
      <c r="R174" s="12">
        <v>2177</v>
      </c>
      <c r="S174" s="12">
        <v>655</v>
      </c>
      <c r="T174" s="12">
        <v>397</v>
      </c>
      <c r="U174" s="12">
        <v>4732</v>
      </c>
      <c r="V174" s="5">
        <v>7961</v>
      </c>
      <c r="W174" s="12">
        <v>4619</v>
      </c>
      <c r="X174" s="12">
        <v>4441</v>
      </c>
      <c r="Y174" s="12">
        <v>2367</v>
      </c>
      <c r="Z174" s="12">
        <v>140</v>
      </c>
      <c r="AA174" s="5">
        <v>11567</v>
      </c>
      <c r="AB174" s="12">
        <v>342</v>
      </c>
      <c r="AC174" s="12">
        <v>756</v>
      </c>
      <c r="AD174" s="12">
        <v>4307</v>
      </c>
      <c r="AE174" s="12">
        <v>6529</v>
      </c>
      <c r="AF174" s="5">
        <v>11934</v>
      </c>
      <c r="AG174" s="12">
        <v>4917</v>
      </c>
      <c r="AH174" s="12">
        <v>2696</v>
      </c>
      <c r="AI174" s="12">
        <v>391</v>
      </c>
      <c r="AJ174" s="12">
        <v>3596</v>
      </c>
      <c r="AK174" s="5">
        <f t="shared" si="149"/>
        <v>11600</v>
      </c>
      <c r="AL174" s="12">
        <v>3813</v>
      </c>
      <c r="AM174" s="12">
        <v>3037</v>
      </c>
      <c r="AN174" s="12">
        <v>1206</v>
      </c>
      <c r="AO174" s="12">
        <v>3031</v>
      </c>
      <c r="AP174" s="5">
        <f>SUM(AL174:AO174)</f>
        <v>11087</v>
      </c>
      <c r="AQ174" s="12">
        <v>63</v>
      </c>
      <c r="AR174" s="12">
        <v>3039</v>
      </c>
      <c r="AS174" s="12">
        <v>3245</v>
      </c>
      <c r="AT174" s="12">
        <v>2467</v>
      </c>
      <c r="AU174" s="5">
        <f>SUM(AQ174:AT174)</f>
        <v>8814</v>
      </c>
      <c r="AV174" s="12">
        <v>5979</v>
      </c>
      <c r="AW174" s="12">
        <v>856</v>
      </c>
      <c r="AX174" s="12">
        <v>2780</v>
      </c>
      <c r="AY174" s="12">
        <v>2779</v>
      </c>
      <c r="AZ174" s="5">
        <v>12934</v>
      </c>
      <c r="BA174" s="12">
        <v>7788</v>
      </c>
      <c r="BB174" s="12">
        <v>83</v>
      </c>
      <c r="BC174" s="12">
        <v>117</v>
      </c>
      <c r="BD174" s="12">
        <v>185</v>
      </c>
      <c r="BE174" s="5">
        <v>8173</v>
      </c>
      <c r="BF174" s="12">
        <v>2738</v>
      </c>
      <c r="BG174" s="12">
        <v>2710</v>
      </c>
      <c r="BH174" s="12">
        <v>3925</v>
      </c>
      <c r="BI174" s="12">
        <v>3069</v>
      </c>
      <c r="BJ174" s="5">
        <f t="shared" si="150"/>
        <v>12442</v>
      </c>
      <c r="BK174" s="12">
        <v>3713</v>
      </c>
      <c r="BL174" s="12">
        <v>1720</v>
      </c>
      <c r="BM174" s="12">
        <v>3078</v>
      </c>
      <c r="BN174" s="138">
        <v>201</v>
      </c>
      <c r="BO174" s="5">
        <f t="shared" si="151"/>
        <v>8712</v>
      </c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</row>
    <row r="175" spans="1:82">
      <c r="A175" s="5"/>
      <c r="B175" s="5" t="s">
        <v>1386</v>
      </c>
      <c r="C175" s="5">
        <v>-2602</v>
      </c>
      <c r="D175" s="5">
        <v>-2369</v>
      </c>
      <c r="E175" s="5">
        <v>-3560</v>
      </c>
      <c r="F175" s="5">
        <v>-2204</v>
      </c>
      <c r="G175" s="5">
        <v>-4820</v>
      </c>
      <c r="H175" s="12">
        <v>-65</v>
      </c>
      <c r="I175" s="12">
        <v>-720</v>
      </c>
      <c r="J175" s="12">
        <v>-996</v>
      </c>
      <c r="K175" s="12">
        <v>-1874</v>
      </c>
      <c r="L175" s="5">
        <v>-3655</v>
      </c>
      <c r="M175" s="12">
        <v>-1134</v>
      </c>
      <c r="N175" s="12">
        <v>-93</v>
      </c>
      <c r="O175" s="12">
        <v>-369</v>
      </c>
      <c r="P175" s="12">
        <v>-1596</v>
      </c>
      <c r="Q175" s="5">
        <v>-3192</v>
      </c>
      <c r="R175" s="12">
        <v>-537</v>
      </c>
      <c r="S175" s="12">
        <v>-1654</v>
      </c>
      <c r="T175" s="12">
        <v>-65</v>
      </c>
      <c r="U175" s="12">
        <v>-1565</v>
      </c>
      <c r="V175" s="5">
        <v>-3821</v>
      </c>
      <c r="W175" s="12">
        <v>-2580</v>
      </c>
      <c r="X175" s="12">
        <v>-1597</v>
      </c>
      <c r="Y175" s="12">
        <v>-607</v>
      </c>
      <c r="Z175" s="12">
        <v>-1237</v>
      </c>
      <c r="AA175" s="5">
        <v>-6021</v>
      </c>
      <c r="AB175" s="12">
        <v>-2495</v>
      </c>
      <c r="AC175" s="12">
        <v>-192</v>
      </c>
      <c r="AD175" s="12">
        <v>-52</v>
      </c>
      <c r="AE175" s="12">
        <v>-1963</v>
      </c>
      <c r="AF175" s="5">
        <v>-4702</v>
      </c>
      <c r="AG175" s="12">
        <v>-2622</v>
      </c>
      <c r="AH175" s="12">
        <v>-3102</v>
      </c>
      <c r="AI175" s="12">
        <v>-1863</v>
      </c>
      <c r="AJ175" s="12">
        <v>-1515</v>
      </c>
      <c r="AK175" s="5">
        <f t="shared" si="149"/>
        <v>-9102</v>
      </c>
      <c r="AL175" s="12">
        <v>-2416</v>
      </c>
      <c r="AM175" s="12">
        <v>-613</v>
      </c>
      <c r="AN175" s="12">
        <v>-556</v>
      </c>
      <c r="AO175" s="12">
        <v>-3592</v>
      </c>
      <c r="AP175" s="5">
        <f>SUM(AL175:AO175)</f>
        <v>-7177</v>
      </c>
      <c r="AQ175" s="12">
        <v>-288</v>
      </c>
      <c r="AR175" s="12">
        <v>-891</v>
      </c>
      <c r="AS175" s="12">
        <v>-568</v>
      </c>
      <c r="AT175" s="12">
        <v>-4212</v>
      </c>
      <c r="AU175" s="5">
        <f>SUM(AQ175:AT175)</f>
        <v>-5959</v>
      </c>
      <c r="AV175" s="12">
        <v>-1237</v>
      </c>
      <c r="AW175" s="12">
        <v>-1720</v>
      </c>
      <c r="AX175" s="12">
        <v>-388</v>
      </c>
      <c r="AY175" s="12">
        <v>-2937</v>
      </c>
      <c r="AZ175" s="5">
        <v>-6282</v>
      </c>
      <c r="BA175" s="12">
        <v>-2307</v>
      </c>
      <c r="BB175" s="12">
        <v>-542</v>
      </c>
      <c r="BC175" s="12">
        <v>-18</v>
      </c>
      <c r="BD175" s="12">
        <v>-3559</v>
      </c>
      <c r="BE175" s="5">
        <v>-6426</v>
      </c>
      <c r="BF175" s="12">
        <v>-3559</v>
      </c>
      <c r="BG175" s="12">
        <v>-1318</v>
      </c>
      <c r="BH175" s="12">
        <v>-75</v>
      </c>
      <c r="BI175" s="12">
        <v>-1733</v>
      </c>
      <c r="BJ175" s="5">
        <f t="shared" si="150"/>
        <v>-6685</v>
      </c>
      <c r="BK175" s="12">
        <v>-917</v>
      </c>
      <c r="BL175" s="12">
        <v>-1463</v>
      </c>
      <c r="BM175" s="12">
        <v>-1239</v>
      </c>
      <c r="BN175" s="138">
        <v>-2657</v>
      </c>
      <c r="BO175" s="5">
        <f t="shared" si="151"/>
        <v>-6276</v>
      </c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</row>
    <row r="176" spans="1:82">
      <c r="A176" s="5"/>
      <c r="B176" s="5" t="s">
        <v>1442</v>
      </c>
      <c r="C176" s="5">
        <v>1434</v>
      </c>
      <c r="D176" s="5">
        <v>-602</v>
      </c>
      <c r="E176" s="5">
        <v>-2</v>
      </c>
      <c r="F176" s="5">
        <v>-24</v>
      </c>
      <c r="G176" s="5">
        <v>-1457</v>
      </c>
      <c r="H176" s="12">
        <v>-710</v>
      </c>
      <c r="I176" s="12">
        <v>941</v>
      </c>
      <c r="J176" s="12">
        <v>294</v>
      </c>
      <c r="K176" s="12">
        <v>3348</v>
      </c>
      <c r="L176" s="5">
        <v>3873</v>
      </c>
      <c r="M176" s="12">
        <v>-558</v>
      </c>
      <c r="N176" s="12">
        <v>-1499</v>
      </c>
      <c r="O176" s="12">
        <v>1426</v>
      </c>
      <c r="P176" s="12">
        <v>2125</v>
      </c>
      <c r="Q176" s="5">
        <v>1494</v>
      </c>
      <c r="R176" s="12">
        <v>-3424</v>
      </c>
      <c r="S176" s="12">
        <v>1516</v>
      </c>
      <c r="T176" s="12">
        <v>-1380</v>
      </c>
      <c r="U176" s="12">
        <v>1973</v>
      </c>
      <c r="V176" s="5">
        <v>-1315</v>
      </c>
      <c r="W176" s="12">
        <v>-182</v>
      </c>
      <c r="X176" s="12">
        <v>-1860</v>
      </c>
      <c r="Y176" s="12">
        <v>-1806</v>
      </c>
      <c r="Z176" s="12">
        <v>-557</v>
      </c>
      <c r="AA176" s="5">
        <v>-4405</v>
      </c>
      <c r="AB176" s="12">
        <v>-247</v>
      </c>
      <c r="AC176" s="12">
        <v>-1855</v>
      </c>
      <c r="AD176" s="12">
        <v>-984</v>
      </c>
      <c r="AE176" s="12">
        <v>-533</v>
      </c>
      <c r="AF176" s="5">
        <v>-3619</v>
      </c>
      <c r="AG176" s="12">
        <v>949</v>
      </c>
      <c r="AH176" s="12">
        <v>-157</v>
      </c>
      <c r="AI176" s="12">
        <v>-145</v>
      </c>
      <c r="AJ176" s="12">
        <v>1580</v>
      </c>
      <c r="AK176" s="5">
        <f t="shared" si="149"/>
        <v>2227</v>
      </c>
      <c r="AL176" s="12">
        <v>664</v>
      </c>
      <c r="AM176" s="12">
        <v>-745</v>
      </c>
      <c r="AN176" s="12">
        <v>83</v>
      </c>
      <c r="AO176" s="12">
        <v>-676</v>
      </c>
      <c r="AP176" s="5">
        <f>SUM(AL176:AO176)</f>
        <v>-674</v>
      </c>
      <c r="AQ176" s="12">
        <v>-1491</v>
      </c>
      <c r="AR176" s="12">
        <v>-382</v>
      </c>
      <c r="AS176" s="12">
        <v>122</v>
      </c>
      <c r="AT176" s="12">
        <v>-268</v>
      </c>
      <c r="AU176" s="5">
        <f>SUM(AQ176:AT176)</f>
        <v>-2019</v>
      </c>
      <c r="AV176" s="12">
        <v>77</v>
      </c>
      <c r="AW176" s="12">
        <v>-57</v>
      </c>
      <c r="AX176" s="12">
        <v>-527</v>
      </c>
      <c r="AY176" s="12">
        <v>-186</v>
      </c>
      <c r="AZ176" s="5">
        <v>-693</v>
      </c>
      <c r="BA176" s="12">
        <v>725</v>
      </c>
      <c r="BB176" s="12">
        <v>-13</v>
      </c>
      <c r="BC176" s="12">
        <v>-115</v>
      </c>
      <c r="BD176" s="12">
        <v>-124</v>
      </c>
      <c r="BE176" s="5">
        <v>473</v>
      </c>
      <c r="BF176" s="12">
        <v>-112</v>
      </c>
      <c r="BG176" s="12">
        <v>300</v>
      </c>
      <c r="BH176" s="12">
        <v>-512</v>
      </c>
      <c r="BI176" s="12">
        <v>375</v>
      </c>
      <c r="BJ176" s="5">
        <f t="shared" si="150"/>
        <v>51</v>
      </c>
      <c r="BK176" s="12">
        <v>315</v>
      </c>
      <c r="BL176" s="12">
        <v>-299</v>
      </c>
      <c r="BM176" s="12">
        <v>123</v>
      </c>
      <c r="BN176" s="138">
        <v>-297</v>
      </c>
      <c r="BO176" s="5">
        <f t="shared" si="151"/>
        <v>-158</v>
      </c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</row>
    <row r="177" spans="1:82">
      <c r="A177" s="5"/>
      <c r="B177" s="5" t="s">
        <v>2872</v>
      </c>
      <c r="C177" s="5"/>
      <c r="D177" s="5"/>
      <c r="E177" s="5"/>
      <c r="F177" s="5"/>
      <c r="G177" s="5"/>
      <c r="H177" s="12"/>
      <c r="I177" s="12"/>
      <c r="J177" s="12"/>
      <c r="K177" s="12"/>
      <c r="L177" s="5"/>
      <c r="M177" s="12"/>
      <c r="N177" s="12"/>
      <c r="O177" s="12"/>
      <c r="P177" s="12"/>
      <c r="Q177" s="5"/>
      <c r="R177" s="12"/>
      <c r="S177" s="12"/>
      <c r="T177" s="12"/>
      <c r="U177" s="12"/>
      <c r="V177" s="5"/>
      <c r="W177" s="12"/>
      <c r="X177" s="12"/>
      <c r="Y177" s="12"/>
      <c r="Z177" s="12"/>
      <c r="AA177" s="5"/>
      <c r="AB177" s="12"/>
      <c r="AC177" s="12"/>
      <c r="AD177" s="12"/>
      <c r="AE177" s="12"/>
      <c r="AF177" s="5"/>
      <c r="AG177" s="12"/>
      <c r="AH177" s="12"/>
      <c r="AI177" s="12"/>
      <c r="AJ177" s="12"/>
      <c r="AK177" s="5"/>
      <c r="AL177" s="12"/>
      <c r="AM177" s="12"/>
      <c r="AN177" s="12"/>
      <c r="AO177" s="12"/>
      <c r="AP177" s="5"/>
      <c r="AQ177" s="12"/>
      <c r="AR177" s="12"/>
      <c r="AS177" s="12">
        <v>29</v>
      </c>
      <c r="AT177" s="12">
        <v>3</v>
      </c>
      <c r="AU177" s="5">
        <f>SUM(AQ177:AT177)</f>
        <v>32</v>
      </c>
      <c r="AV177" s="12">
        <v>0</v>
      </c>
      <c r="AW177" s="12">
        <v>0</v>
      </c>
      <c r="AX177" s="12">
        <v>0</v>
      </c>
      <c r="AY177" s="12">
        <v>9</v>
      </c>
      <c r="AZ177" s="5">
        <v>9</v>
      </c>
      <c r="BA177" s="12">
        <v>0</v>
      </c>
      <c r="BB177" s="12">
        <v>0</v>
      </c>
      <c r="BC177" s="12">
        <v>0</v>
      </c>
      <c r="BD177" s="12">
        <v>-5</v>
      </c>
      <c r="BE177" s="5">
        <v>-5</v>
      </c>
      <c r="BF177" s="12">
        <v>70</v>
      </c>
      <c r="BG177" s="12">
        <v>368</v>
      </c>
      <c r="BH177" s="12">
        <v>323</v>
      </c>
      <c r="BI177" s="12">
        <v>126</v>
      </c>
      <c r="BJ177" s="5">
        <f t="shared" si="150"/>
        <v>887</v>
      </c>
      <c r="BK177" s="12">
        <v>30</v>
      </c>
      <c r="BL177" s="12">
        <v>51</v>
      </c>
      <c r="BM177" s="12">
        <v>0</v>
      </c>
      <c r="BN177" s="138">
        <v>982</v>
      </c>
      <c r="BO177" s="5">
        <f t="shared" si="151"/>
        <v>1063</v>
      </c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</row>
    <row r="178" spans="1:82">
      <c r="A178" s="5"/>
      <c r="B178" s="29" t="s">
        <v>1168</v>
      </c>
      <c r="C178" s="5"/>
      <c r="D178" s="5"/>
      <c r="E178" s="5"/>
      <c r="F178" s="5"/>
      <c r="G178" s="5"/>
      <c r="H178" s="12"/>
      <c r="I178" s="12"/>
      <c r="J178" s="12"/>
      <c r="K178" s="12"/>
      <c r="L178" s="5"/>
      <c r="M178" s="12"/>
      <c r="N178" s="12"/>
      <c r="O178" s="12"/>
      <c r="P178" s="12"/>
      <c r="Q178" s="5"/>
      <c r="R178" s="12"/>
      <c r="S178" s="12"/>
      <c r="T178" s="12"/>
      <c r="U178" s="12"/>
      <c r="V178" s="5"/>
      <c r="W178" s="12"/>
      <c r="X178" s="12"/>
      <c r="Y178" s="12"/>
      <c r="Z178" s="12"/>
      <c r="AA178" s="5"/>
      <c r="AB178" s="12"/>
      <c r="AC178" s="12"/>
      <c r="AD178" s="12"/>
      <c r="AE178" s="12"/>
      <c r="AF178" s="5"/>
      <c r="AG178" s="12"/>
      <c r="AH178" s="12"/>
      <c r="AI178" s="12"/>
      <c r="AJ178" s="12"/>
      <c r="AK178" s="5">
        <f t="shared" si="149"/>
        <v>0</v>
      </c>
      <c r="AL178" s="12"/>
      <c r="AM178" s="12"/>
      <c r="AN178" s="12"/>
      <c r="AO178" s="12"/>
      <c r="AP178" s="5"/>
      <c r="AQ178" s="12"/>
      <c r="AR178" s="12"/>
      <c r="AU178" s="5"/>
      <c r="AZ178" s="5"/>
      <c r="BE178" s="5"/>
      <c r="BJ178" s="5">
        <f t="shared" si="150"/>
        <v>0</v>
      </c>
      <c r="BN178" s="138"/>
      <c r="BO178" s="5">
        <f t="shared" si="151"/>
        <v>0</v>
      </c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</row>
    <row r="179" spans="1:82">
      <c r="A179" s="5"/>
      <c r="B179" s="5" t="s">
        <v>351</v>
      </c>
      <c r="C179" s="5">
        <v>-4827</v>
      </c>
      <c r="D179" s="5">
        <v>-5264</v>
      </c>
      <c r="E179" s="5">
        <v>-5654</v>
      </c>
      <c r="F179" s="5">
        <v>-6041</v>
      </c>
      <c r="G179" s="5">
        <v>-7359</v>
      </c>
      <c r="H179" s="12">
        <v>-1922</v>
      </c>
      <c r="I179" s="12">
        <v>-1894</v>
      </c>
      <c r="J179" s="12">
        <v>-1943</v>
      </c>
      <c r="K179" s="12">
        <v>-1927</v>
      </c>
      <c r="L179" s="5">
        <v>-7686</v>
      </c>
      <c r="M179" s="12">
        <v>-2001</v>
      </c>
      <c r="N179" s="12">
        <v>-1983</v>
      </c>
      <c r="O179" s="12">
        <v>-2066</v>
      </c>
      <c r="P179" s="12">
        <v>-2056</v>
      </c>
      <c r="Q179" s="5">
        <v>-8106</v>
      </c>
      <c r="R179" s="12">
        <v>-2554</v>
      </c>
      <c r="S179" s="12">
        <v>-2545</v>
      </c>
      <c r="T179" s="12">
        <v>-2624</v>
      </c>
      <c r="U179" s="12">
        <v>-2619</v>
      </c>
      <c r="V179" s="5">
        <v>-10342</v>
      </c>
      <c r="W179" s="12">
        <v>-2619</v>
      </c>
      <c r="X179" s="12">
        <v>-2620</v>
      </c>
      <c r="Y179" s="12">
        <v>-2621</v>
      </c>
      <c r="Z179" s="12">
        <v>-2623</v>
      </c>
      <c r="AA179" s="5">
        <v>-10483</v>
      </c>
      <c r="AB179" s="12">
        <v>-2626</v>
      </c>
      <c r="AC179" s="12">
        <v>0</v>
      </c>
      <c r="AD179" s="12">
        <v>-1</v>
      </c>
      <c r="AE179" s="12">
        <v>0</v>
      </c>
      <c r="AF179" s="5">
        <v>-2627</v>
      </c>
      <c r="AG179" s="12">
        <v>-808</v>
      </c>
      <c r="AH179" s="12">
        <v>-795</v>
      </c>
      <c r="AI179" s="12">
        <v>-1225</v>
      </c>
      <c r="AJ179" s="12">
        <v>-1244</v>
      </c>
      <c r="AK179" s="5">
        <f t="shared" si="149"/>
        <v>-4072</v>
      </c>
      <c r="AL179" s="12">
        <v>-1212</v>
      </c>
      <c r="AM179" s="12">
        <v>-1447</v>
      </c>
      <c r="AN179" s="12">
        <v>-1418</v>
      </c>
      <c r="AO179" s="12">
        <v>-1217</v>
      </c>
      <c r="AP179" s="5">
        <f>SUM(AL179:AO179)</f>
        <v>-5294</v>
      </c>
      <c r="AQ179" s="12">
        <v>-1622</v>
      </c>
      <c r="AR179" s="12">
        <v>-1398</v>
      </c>
      <c r="AS179" s="12">
        <v>-1247</v>
      </c>
      <c r="AT179" s="12">
        <v>-1174</v>
      </c>
      <c r="AU179" s="5">
        <f>SUM(AQ179:AT179)</f>
        <v>-5441</v>
      </c>
      <c r="AV179" s="12">
        <v>-1427</v>
      </c>
      <c r="AW179" s="12">
        <v>-1572</v>
      </c>
      <c r="AX179" s="12">
        <v>-1122</v>
      </c>
      <c r="AY179" s="12">
        <v>-1729</v>
      </c>
      <c r="AZ179" s="5">
        <v>-5850</v>
      </c>
      <c r="BA179" s="12">
        <v>-1709</v>
      </c>
      <c r="BB179" s="12">
        <v>-1691</v>
      </c>
      <c r="BC179" s="12">
        <v>-1718</v>
      </c>
      <c r="BD179" s="12">
        <v>-1541</v>
      </c>
      <c r="BE179" s="5">
        <v>-6659</v>
      </c>
      <c r="BF179" s="12">
        <v>-1099</v>
      </c>
      <c r="BG179" s="12">
        <v>-1169</v>
      </c>
      <c r="BH179" s="12">
        <v>-1161</v>
      </c>
      <c r="BI179" s="12">
        <v>-1182</v>
      </c>
      <c r="BJ179" s="5">
        <f t="shared" si="150"/>
        <v>-4611</v>
      </c>
      <c r="BK179" s="12">
        <v>-1304</v>
      </c>
      <c r="BL179" s="12">
        <v>-1546</v>
      </c>
      <c r="BM179" s="12">
        <v>-1676</v>
      </c>
      <c r="BN179" s="138">
        <v>-1627</v>
      </c>
      <c r="BO179" s="5">
        <f t="shared" si="151"/>
        <v>-6153</v>
      </c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</row>
    <row r="180" spans="1:82">
      <c r="A180" s="5"/>
      <c r="B180" s="5" t="s">
        <v>1676</v>
      </c>
      <c r="C180" s="5">
        <v>-54</v>
      </c>
      <c r="D180" s="5">
        <v>-40</v>
      </c>
      <c r="E180" s="5">
        <v>-20</v>
      </c>
      <c r="F180" s="5">
        <v>-33</v>
      </c>
      <c r="G180" s="5">
        <v>-827</v>
      </c>
      <c r="H180" s="12">
        <v>-66</v>
      </c>
      <c r="I180" s="12">
        <v>-88</v>
      </c>
      <c r="J180" s="12">
        <v>-57</v>
      </c>
      <c r="K180" s="12">
        <v>-72</v>
      </c>
      <c r="L180" s="5">
        <v>-283</v>
      </c>
      <c r="M180" s="12">
        <v>-64</v>
      </c>
      <c r="N180" s="12">
        <v>-71</v>
      </c>
      <c r="O180" s="12">
        <v>-24</v>
      </c>
      <c r="P180" s="12">
        <v>-68</v>
      </c>
      <c r="Q180" s="5">
        <v>-227</v>
      </c>
      <c r="R180" s="12">
        <v>-36</v>
      </c>
      <c r="S180" s="12">
        <v>-86</v>
      </c>
      <c r="T180" s="12">
        <v>-110</v>
      </c>
      <c r="U180" s="12">
        <v>-193</v>
      </c>
      <c r="V180" s="5">
        <v>-425</v>
      </c>
      <c r="W180" s="12">
        <v>-111</v>
      </c>
      <c r="X180" s="12">
        <v>-74</v>
      </c>
      <c r="Y180" s="12">
        <v>-139</v>
      </c>
      <c r="Z180" s="12">
        <v>-92</v>
      </c>
      <c r="AA180" s="5">
        <v>-416</v>
      </c>
      <c r="AB180" s="12">
        <v>-3</v>
      </c>
      <c r="AC180" s="12">
        <v>-128</v>
      </c>
      <c r="AD180" s="12">
        <v>-67</v>
      </c>
      <c r="AE180" s="12">
        <v>-117</v>
      </c>
      <c r="AF180" s="5">
        <v>-315</v>
      </c>
      <c r="AG180" s="12">
        <v>-6</v>
      </c>
      <c r="AH180" s="12">
        <v>-96</v>
      </c>
      <c r="AI180" s="12">
        <v>-80</v>
      </c>
      <c r="AJ180" s="12">
        <v>-63</v>
      </c>
      <c r="AK180" s="5">
        <f t="shared" si="149"/>
        <v>-245</v>
      </c>
      <c r="AL180" s="12">
        <v>-1</v>
      </c>
      <c r="AM180" s="12">
        <v>-51</v>
      </c>
      <c r="AN180" s="12">
        <v>-20</v>
      </c>
      <c r="AO180" s="12">
        <v>-10</v>
      </c>
      <c r="AP180" s="5">
        <f>SUM(AL180:AO180)</f>
        <v>-82</v>
      </c>
      <c r="AQ180" s="12">
        <v>-31</v>
      </c>
      <c r="AR180" s="12">
        <v>-85</v>
      </c>
      <c r="AS180" s="12">
        <v>-140</v>
      </c>
      <c r="AT180" s="12">
        <v>-213</v>
      </c>
      <c r="AU180" s="5">
        <f>SUM(AQ180:AT180)</f>
        <v>-469</v>
      </c>
      <c r="AV180" s="12">
        <v>-13</v>
      </c>
      <c r="AW180" s="12">
        <v>-140</v>
      </c>
      <c r="AX180" s="12">
        <v>-62</v>
      </c>
      <c r="AY180" s="12">
        <v>-40</v>
      </c>
      <c r="AZ180" s="5">
        <v>-255</v>
      </c>
      <c r="BA180" s="12">
        <v>-12</v>
      </c>
      <c r="BB180" s="12">
        <v>-30</v>
      </c>
      <c r="BC180" s="12">
        <v>-29</v>
      </c>
      <c r="BD180" s="12">
        <v>-20</v>
      </c>
      <c r="BE180" s="5">
        <v>-91</v>
      </c>
      <c r="BF180" s="12">
        <v>-9</v>
      </c>
      <c r="BG180" s="12">
        <v>-43</v>
      </c>
      <c r="BH180" s="12">
        <v>-31</v>
      </c>
      <c r="BI180" s="12">
        <v>-24</v>
      </c>
      <c r="BJ180" s="5">
        <f t="shared" si="150"/>
        <v>-107</v>
      </c>
      <c r="BK180" s="12">
        <v>-15</v>
      </c>
      <c r="BL180" s="12">
        <v>-62</v>
      </c>
      <c r="BM180" s="12">
        <v>-32</v>
      </c>
      <c r="BN180" s="138">
        <v>-32</v>
      </c>
      <c r="BO180" s="5">
        <f t="shared" si="151"/>
        <v>-141</v>
      </c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</row>
    <row r="181" spans="1:82">
      <c r="A181" s="15" t="s">
        <v>3428</v>
      </c>
      <c r="B181" s="15"/>
      <c r="C181" s="15">
        <f>SUM(C173:C180)</f>
        <v>-5886</v>
      </c>
      <c r="D181" s="15">
        <f>SUM(D173:D180)</f>
        <v>-5141</v>
      </c>
      <c r="E181" s="15">
        <f t="shared" ref="E181:L181" si="152">SUM(E173:E180)</f>
        <v>-6803</v>
      </c>
      <c r="F181" s="15">
        <f t="shared" si="152"/>
        <v>-12835</v>
      </c>
      <c r="G181" s="15">
        <f t="shared" si="152"/>
        <v>-23303</v>
      </c>
      <c r="H181" s="67">
        <f t="shared" si="152"/>
        <v>-6228</v>
      </c>
      <c r="I181" s="67">
        <f t="shared" si="152"/>
        <v>-5658</v>
      </c>
      <c r="J181" s="67">
        <f t="shared" si="152"/>
        <v>-5426</v>
      </c>
      <c r="K181" s="67">
        <f t="shared" si="152"/>
        <v>-1759</v>
      </c>
      <c r="L181" s="15">
        <f t="shared" si="152"/>
        <v>-19071</v>
      </c>
      <c r="M181" s="67">
        <v>-4801</v>
      </c>
      <c r="N181" s="67">
        <v>-4051</v>
      </c>
      <c r="O181" s="67">
        <v>-2367</v>
      </c>
      <c r="P181" s="67">
        <v>2184</v>
      </c>
      <c r="Q181" s="15">
        <f>SUM(Q173:Q180)</f>
        <v>-9035</v>
      </c>
      <c r="R181" s="67">
        <v>-5263</v>
      </c>
      <c r="S181" s="67">
        <v>-3042</v>
      </c>
      <c r="T181" s="67">
        <v>-4596</v>
      </c>
      <c r="U181" s="67">
        <v>2392</v>
      </c>
      <c r="V181" s="15">
        <f>SUM(V173:V180)</f>
        <v>-10509</v>
      </c>
      <c r="W181" s="67">
        <v>-838</v>
      </c>
      <c r="X181" s="67">
        <v>-1683</v>
      </c>
      <c r="Y181" s="67">
        <v>-2743</v>
      </c>
      <c r="Z181" s="67">
        <v>-4287</v>
      </c>
      <c r="AA181" s="15">
        <f>SUM(AA173:AA180)</f>
        <v>-9551</v>
      </c>
      <c r="AB181" s="67">
        <v>-4901</v>
      </c>
      <c r="AC181" s="67">
        <v>-1388</v>
      </c>
      <c r="AD181" s="67">
        <v>3182</v>
      </c>
      <c r="AE181" s="67">
        <v>3947</v>
      </c>
      <c r="AF181" s="15">
        <f>SUM(AF173:AF180)</f>
        <v>840</v>
      </c>
      <c r="AG181" s="67">
        <f>SUM(AG173:AG180)</f>
        <v>2442</v>
      </c>
      <c r="AH181" s="67">
        <f>SUM(AH173:AH180)</f>
        <v>-1436</v>
      </c>
      <c r="AI181" s="67">
        <f>SUM(AI173:AI180)</f>
        <v>-2908</v>
      </c>
      <c r="AJ181" s="67">
        <f>SUM(AJ173:AJ180)</f>
        <v>2384</v>
      </c>
      <c r="AK181" s="15">
        <f t="shared" si="149"/>
        <v>482</v>
      </c>
      <c r="AL181" s="67">
        <f>SUM(AL173:AL180)</f>
        <v>869</v>
      </c>
      <c r="AM181" s="67">
        <f>SUM(AM173:AM180)</f>
        <v>198</v>
      </c>
      <c r="AN181" s="67">
        <f>SUM(AN173:AN180)</f>
        <v>-682</v>
      </c>
      <c r="AO181" s="67">
        <f>SUM(AO173:AO180)</f>
        <v>-2403</v>
      </c>
      <c r="AP181" s="15">
        <f>SUM(AL181:AO181)</f>
        <v>-2018</v>
      </c>
      <c r="AQ181" s="67">
        <f>SUM(AQ173:AQ180)</f>
        <v>-3314</v>
      </c>
      <c r="AR181" s="67">
        <f>SUM(AR173:AR180)</f>
        <v>-1607</v>
      </c>
      <c r="AS181" s="67">
        <f>SUM(AS173:AS180)</f>
        <v>183</v>
      </c>
      <c r="AT181" s="67">
        <f>SUM(AT173:AT180)</f>
        <v>-5662</v>
      </c>
      <c r="AU181" s="15">
        <f>SUM(AQ181:AT181)</f>
        <v>-10400</v>
      </c>
      <c r="AV181" s="67">
        <f>SUM(AV173:AV180)</f>
        <v>1653</v>
      </c>
      <c r="AW181" s="67">
        <f>SUM(AW173:AW180)</f>
        <v>-3080</v>
      </c>
      <c r="AX181" s="67">
        <f>SUM(AX173:AX180)</f>
        <v>-942</v>
      </c>
      <c r="AY181" s="67">
        <f>SUM(AY173:AY180)</f>
        <v>-2897</v>
      </c>
      <c r="AZ181" s="15">
        <f>SUM(AV181:AY181)</f>
        <v>-5266</v>
      </c>
      <c r="BA181" s="67">
        <f>SUM(BA173:BA180)</f>
        <v>4485</v>
      </c>
      <c r="BB181" s="67">
        <f>SUM(BB173:BB180)</f>
        <v>-2193</v>
      </c>
      <c r="BC181" s="67">
        <f>SUM(BC173:BC180)</f>
        <v>-1763</v>
      </c>
      <c r="BD181" s="67">
        <f>SUM(BD173:BD180)</f>
        <v>-5064</v>
      </c>
      <c r="BE181" s="15">
        <f>SUM(BA181:BD181)</f>
        <v>-4535</v>
      </c>
      <c r="BF181" s="67">
        <f>SUM(BF173:BF180)</f>
        <v>-1971</v>
      </c>
      <c r="BG181" s="67">
        <f>SUM(BG173:BG180)</f>
        <v>848</v>
      </c>
      <c r="BH181" s="67">
        <f>SUM(BH173:BH180)</f>
        <v>2469</v>
      </c>
      <c r="BI181" s="67">
        <f>SUM(BI173:BI180)</f>
        <v>631</v>
      </c>
      <c r="BJ181" s="15">
        <f t="shared" ref="BJ181:BN181" si="153">SUM(BJ173:BJ180)</f>
        <v>1977</v>
      </c>
      <c r="BK181" s="67">
        <f t="shared" si="153"/>
        <v>1822</v>
      </c>
      <c r="BL181" s="67">
        <f t="shared" si="153"/>
        <v>-1599</v>
      </c>
      <c r="BM181" s="67">
        <f t="shared" si="153"/>
        <v>254</v>
      </c>
      <c r="BN181" s="178">
        <f t="shared" si="153"/>
        <v>-3773</v>
      </c>
      <c r="BO181" s="15">
        <f t="shared" si="151"/>
        <v>-3296</v>
      </c>
      <c r="BP181" s="15"/>
      <c r="BQ181" s="15"/>
      <c r="BR181" s="15"/>
      <c r="BS181" s="15"/>
      <c r="BT181" s="15"/>
      <c r="BU181" s="15"/>
      <c r="BV181" s="15"/>
      <c r="BW181" s="15"/>
      <c r="BX181" s="15"/>
      <c r="BY181" s="15"/>
      <c r="BZ181" s="15"/>
      <c r="CA181" s="15"/>
      <c r="CB181" s="15"/>
      <c r="CC181" s="15"/>
      <c r="CD181" s="15"/>
    </row>
    <row r="182" spans="1:82">
      <c r="A182" s="5"/>
      <c r="B182" s="5"/>
      <c r="C182" s="5"/>
      <c r="D182" s="5"/>
      <c r="E182" s="5"/>
      <c r="F182" s="5"/>
      <c r="G182" s="5"/>
      <c r="H182" s="12"/>
      <c r="I182" s="12"/>
      <c r="J182" s="12"/>
      <c r="K182" s="12"/>
      <c r="L182" s="5"/>
      <c r="M182" s="12"/>
      <c r="N182" s="12"/>
      <c r="O182" s="12"/>
      <c r="P182" s="12"/>
      <c r="Q182" s="5"/>
      <c r="R182" s="12"/>
      <c r="S182" s="12"/>
      <c r="T182" s="12"/>
      <c r="U182" s="12"/>
      <c r="V182" s="5"/>
      <c r="W182" s="12"/>
      <c r="X182" s="12"/>
      <c r="Y182" s="12"/>
      <c r="Z182" s="12"/>
      <c r="AA182" s="5"/>
      <c r="AB182" s="12"/>
      <c r="AC182" s="12"/>
      <c r="AD182" s="12"/>
      <c r="AE182" s="12"/>
      <c r="AF182" s="5"/>
      <c r="AG182" s="12"/>
      <c r="AH182" s="12"/>
      <c r="AI182" s="12"/>
      <c r="AJ182" s="12"/>
      <c r="AK182" s="5"/>
      <c r="AL182" s="12"/>
      <c r="AM182" s="12"/>
      <c r="AN182" s="12"/>
      <c r="AO182" s="12"/>
      <c r="AP182" s="5"/>
      <c r="AQ182" s="12"/>
      <c r="AR182" s="12"/>
      <c r="AS182" s="12"/>
      <c r="AT182" s="12"/>
      <c r="AU182" s="5"/>
      <c r="AV182" s="12"/>
      <c r="AW182" s="12"/>
      <c r="AX182" s="12"/>
      <c r="AY182" s="12"/>
      <c r="AZ182" s="5"/>
      <c r="BA182" s="12"/>
      <c r="BB182" s="12"/>
      <c r="BC182" s="12"/>
      <c r="BD182" s="12"/>
      <c r="BE182" s="5"/>
      <c r="BF182" s="12"/>
      <c r="BG182" s="12"/>
      <c r="BH182" s="12"/>
      <c r="BI182" s="12"/>
      <c r="BJ182" s="5">
        <f t="shared" si="150"/>
        <v>0</v>
      </c>
      <c r="BK182" s="12"/>
      <c r="BL182" s="12"/>
      <c r="BM182" s="12"/>
      <c r="BN182" s="181"/>
      <c r="BO182" s="5"/>
      <c r="BP182" s="12"/>
      <c r="BQ182" s="12"/>
      <c r="BR182" s="12"/>
      <c r="BS182" s="12"/>
      <c r="BT182" s="12"/>
      <c r="BU182" s="12"/>
      <c r="BV182" s="12"/>
      <c r="BW182" s="12"/>
      <c r="BX182" s="12"/>
      <c r="BY182" s="12"/>
      <c r="BZ182" s="12"/>
      <c r="CA182" s="12"/>
      <c r="CB182" s="12"/>
      <c r="CC182" s="12"/>
      <c r="CD182" s="5"/>
    </row>
    <row r="183" spans="1:82">
      <c r="A183" s="5" t="s">
        <v>3429</v>
      </c>
      <c r="B183" s="5"/>
      <c r="C183" s="5">
        <v>-53</v>
      </c>
      <c r="D183" s="5">
        <v>90</v>
      </c>
      <c r="E183" s="5">
        <v>121</v>
      </c>
      <c r="F183" s="5">
        <v>91</v>
      </c>
      <c r="G183" s="5">
        <v>-88</v>
      </c>
      <c r="H183" s="12">
        <v>14</v>
      </c>
      <c r="I183" s="12">
        <v>-36</v>
      </c>
      <c r="J183" s="12">
        <v>19</v>
      </c>
      <c r="K183" s="12">
        <v>50</v>
      </c>
      <c r="L183" s="5">
        <v>47</v>
      </c>
      <c r="M183" s="12">
        <v>11</v>
      </c>
      <c r="N183" s="12">
        <v>26</v>
      </c>
      <c r="O183" s="12">
        <v>44</v>
      </c>
      <c r="P183" s="12">
        <v>54</v>
      </c>
      <c r="Q183" s="5">
        <v>135</v>
      </c>
      <c r="R183" s="12">
        <v>34</v>
      </c>
      <c r="S183" s="12">
        <v>-2</v>
      </c>
      <c r="T183" s="12">
        <v>-78</v>
      </c>
      <c r="U183" s="12">
        <v>-138</v>
      </c>
      <c r="V183" s="5">
        <v>-184</v>
      </c>
      <c r="W183" s="12">
        <v>-79</v>
      </c>
      <c r="X183" s="12">
        <v>101</v>
      </c>
      <c r="Y183" s="12">
        <v>60</v>
      </c>
      <c r="Z183" s="12">
        <v>28</v>
      </c>
      <c r="AA183" s="5">
        <v>110</v>
      </c>
      <c r="AB183" s="12">
        <v>-77</v>
      </c>
      <c r="AC183" s="12">
        <v>-162</v>
      </c>
      <c r="AD183" s="12">
        <v>131</v>
      </c>
      <c r="AE183" s="12">
        <v>-171</v>
      </c>
      <c r="AF183" s="5">
        <v>-279</v>
      </c>
      <c r="AG183" s="12">
        <v>195</v>
      </c>
      <c r="AH183" s="12">
        <v>104</v>
      </c>
      <c r="AI183" s="12">
        <v>-545</v>
      </c>
      <c r="AJ183" s="12">
        <v>-246</v>
      </c>
      <c r="AK183" s="5">
        <f>SUM(AG183:AJ183)</f>
        <v>-492</v>
      </c>
      <c r="AL183" s="12">
        <v>118</v>
      </c>
      <c r="AM183" s="12">
        <v>-350</v>
      </c>
      <c r="AN183" s="12">
        <v>227</v>
      </c>
      <c r="AO183" s="12">
        <v>69</v>
      </c>
      <c r="AP183" s="5">
        <f>SUM(AL183:AO183)</f>
        <v>64</v>
      </c>
      <c r="AQ183" s="12">
        <v>-249</v>
      </c>
      <c r="AR183" s="12">
        <v>12</v>
      </c>
      <c r="AS183" s="12">
        <v>234</v>
      </c>
      <c r="AT183" s="12">
        <v>43</v>
      </c>
      <c r="AU183" s="5">
        <f>SUM(AQ183:AT183)</f>
        <v>40</v>
      </c>
      <c r="AV183" s="12">
        <v>-45</v>
      </c>
      <c r="AW183" s="12">
        <v>49</v>
      </c>
      <c r="AX183" s="12">
        <v>-418</v>
      </c>
      <c r="AY183" s="12">
        <v>-257</v>
      </c>
      <c r="AZ183" s="138">
        <v>-671</v>
      </c>
      <c r="BA183" s="181">
        <v>-623</v>
      </c>
      <c r="BB183" s="181">
        <v>286</v>
      </c>
      <c r="BC183" s="181">
        <v>-158</v>
      </c>
      <c r="BD183" s="181">
        <v>-177</v>
      </c>
      <c r="BE183" s="138">
        <v>-672</v>
      </c>
      <c r="BF183" s="181">
        <v>42</v>
      </c>
      <c r="BG183" s="181">
        <v>-226</v>
      </c>
      <c r="BH183" s="181">
        <v>13</v>
      </c>
      <c r="BI183" s="181">
        <v>-649</v>
      </c>
      <c r="BJ183" s="138">
        <f t="shared" si="150"/>
        <v>-820</v>
      </c>
      <c r="BK183" s="181">
        <v>167</v>
      </c>
      <c r="BL183" s="181">
        <v>202</v>
      </c>
      <c r="BM183" s="181">
        <v>146</v>
      </c>
      <c r="BN183" s="138">
        <v>29</v>
      </c>
      <c r="BO183" s="138">
        <f t="shared" si="151"/>
        <v>544</v>
      </c>
      <c r="BP183" s="138"/>
      <c r="BQ183" s="138"/>
      <c r="BR183" s="138"/>
      <c r="BS183" s="138"/>
      <c r="BT183" s="138"/>
      <c r="BU183" s="5"/>
      <c r="BV183" s="5"/>
      <c r="BW183" s="5"/>
      <c r="BX183" s="5"/>
      <c r="BY183" s="5"/>
      <c r="BZ183" s="5"/>
      <c r="CA183" s="5"/>
      <c r="CB183" s="5"/>
      <c r="CC183" s="5"/>
      <c r="CD183" s="5"/>
    </row>
    <row r="184" spans="1:82" ht="13.5" thickBot="1">
      <c r="A184" s="17" t="s">
        <v>3017</v>
      </c>
      <c r="B184" s="17"/>
      <c r="C184" s="17">
        <f>SUM(C159,C170,C181,C183)</f>
        <v>-23</v>
      </c>
      <c r="D184" s="17">
        <f>SUM(D159,D170,D181,D183)</f>
        <v>-73</v>
      </c>
      <c r="E184" s="17">
        <f>SUM(E159,E170,E181,E183)</f>
        <v>340</v>
      </c>
      <c r="F184" s="17">
        <f t="shared" ref="F184:L184" si="154">SUM(F159,F170,F181,F183)</f>
        <v>-697</v>
      </c>
      <c r="G184" s="17">
        <f t="shared" si="154"/>
        <v>1601</v>
      </c>
      <c r="H184" s="91">
        <f t="shared" si="154"/>
        <v>-21</v>
      </c>
      <c r="I184" s="91">
        <f t="shared" si="154"/>
        <v>1913</v>
      </c>
      <c r="J184" s="91">
        <f t="shared" si="154"/>
        <v>-1653</v>
      </c>
      <c r="K184" s="91">
        <f t="shared" si="154"/>
        <v>-609</v>
      </c>
      <c r="L184" s="17">
        <f t="shared" si="154"/>
        <v>-370</v>
      </c>
      <c r="M184" s="91">
        <v>-634</v>
      </c>
      <c r="N184" s="91">
        <v>687</v>
      </c>
      <c r="O184" s="91">
        <v>-233</v>
      </c>
      <c r="P184" s="91">
        <v>1152</v>
      </c>
      <c r="Q184" s="17">
        <f>SUM(Q159,Q170,Q181,Q183)</f>
        <v>972</v>
      </c>
      <c r="R184" s="91">
        <v>1258</v>
      </c>
      <c r="S184" s="91">
        <v>-1227</v>
      </c>
      <c r="T184" s="91">
        <v>2549</v>
      </c>
      <c r="U184" s="91">
        <v>2055</v>
      </c>
      <c r="V184" s="17">
        <f>SUM(V159,V170,V181,V183)</f>
        <v>4635</v>
      </c>
      <c r="W184" s="91">
        <v>163</v>
      </c>
      <c r="X184" s="91">
        <v>599</v>
      </c>
      <c r="Y184" s="91">
        <v>924</v>
      </c>
      <c r="Z184" s="91">
        <v>-1544</v>
      </c>
      <c r="AA184" s="17">
        <f>SUM(AA159,AA170,AA181,AA183)</f>
        <v>142</v>
      </c>
      <c r="AB184" s="91">
        <v>-1498</v>
      </c>
      <c r="AC184" s="91">
        <v>469</v>
      </c>
      <c r="AD184" s="91">
        <v>5493</v>
      </c>
      <c r="AE184" s="91">
        <v>5753</v>
      </c>
      <c r="AF184" s="17">
        <f>SUM(AF159,AF170,AF181,AF183)</f>
        <v>10217</v>
      </c>
      <c r="AG184" s="91">
        <f>SUM(AG159,AG170,AG181,AG183)</f>
        <v>170</v>
      </c>
      <c r="AH184" s="91">
        <f>SUM(AH159,AH170,AH181,AH183)</f>
        <v>23</v>
      </c>
      <c r="AI184" s="91">
        <f>SUM(AI159,AI170,AI181,AI183)</f>
        <v>-752</v>
      </c>
      <c r="AJ184" s="91">
        <f>SUM(AJ159,AJ170,AJ181,AJ183)</f>
        <v>-3930</v>
      </c>
      <c r="AK184" s="17">
        <f>SUM(AG184:AJ184)</f>
        <v>-4489</v>
      </c>
      <c r="AL184" s="91">
        <f>SUM(AL159,AL170,AL181,AL183)</f>
        <v>25</v>
      </c>
      <c r="AM184" s="91">
        <f>SUM(AM159,AM170,AM181,AM183)</f>
        <v>789</v>
      </c>
      <c r="AN184" s="91">
        <f>SUM(AN159,AN170,AN181,AN183)</f>
        <v>1160</v>
      </c>
      <c r="AO184" s="91">
        <f>SUM(AO159,AO170,AO181,AO183)</f>
        <v>3507</v>
      </c>
      <c r="AP184" s="17">
        <f>SUM(AL184:AO184)</f>
        <v>5481</v>
      </c>
      <c r="AQ184" s="91">
        <f>SUM(AQ159,AQ170,AQ181,AQ183)</f>
        <v>8044</v>
      </c>
      <c r="AR184" s="91">
        <f>SUM(AR159,AR170,AR181,AR183)</f>
        <v>634</v>
      </c>
      <c r="AS184" s="91">
        <f>SUM(AS159,AS170,AS181,AS183)</f>
        <v>1186</v>
      </c>
      <c r="AT184" s="91">
        <f>SUM(AT159,AT170,AT181,AT183)</f>
        <v>-6979</v>
      </c>
      <c r="AU184" s="17">
        <f>SUM(AQ184:AT184)</f>
        <v>2885</v>
      </c>
      <c r="AV184" s="91">
        <f>SUM(AV159,AV170,AV181,AV183)</f>
        <v>4838</v>
      </c>
      <c r="AW184" s="91">
        <v>148</v>
      </c>
      <c r="AX184" s="91">
        <v>3223</v>
      </c>
      <c r="AY184" s="91">
        <v>-966</v>
      </c>
      <c r="AZ184" s="254">
        <v>7243</v>
      </c>
      <c r="BA184" s="255">
        <f>SUM(BA159,BA170,BA181,BA183)</f>
        <v>2671</v>
      </c>
      <c r="BB184" s="255">
        <f>SUM(BB159,BB170,BB181,BB183)</f>
        <v>155</v>
      </c>
      <c r="BC184" s="255">
        <f>SUM(BC159,BC170,BC181,BC183)</f>
        <v>-887</v>
      </c>
      <c r="BD184" s="255">
        <f>SUM(BD159,BD170,BD181,BD183)</f>
        <v>-5313</v>
      </c>
      <c r="BE184" s="254">
        <v>-3374</v>
      </c>
      <c r="BF184" s="255">
        <f t="shared" ref="BF184:BN184" si="155">SUM(BF159,BF170,BF181,BF183)</f>
        <v>-3340</v>
      </c>
      <c r="BG184" s="255">
        <f t="shared" si="155"/>
        <v>468</v>
      </c>
      <c r="BH184" s="255">
        <f t="shared" si="155"/>
        <v>2003</v>
      </c>
      <c r="BI184" s="255">
        <f t="shared" si="155"/>
        <v>-2036</v>
      </c>
      <c r="BJ184" s="254">
        <f t="shared" si="155"/>
        <v>-2905</v>
      </c>
      <c r="BK184" s="255">
        <f t="shared" si="155"/>
        <v>310</v>
      </c>
      <c r="BL184" s="255">
        <f t="shared" si="155"/>
        <v>-524</v>
      </c>
      <c r="BM184" s="255">
        <f t="shared" si="155"/>
        <v>2510</v>
      </c>
      <c r="BN184" s="255">
        <f t="shared" si="155"/>
        <v>-194</v>
      </c>
      <c r="BO184" s="254">
        <f t="shared" si="151"/>
        <v>2102</v>
      </c>
      <c r="BP184" s="254"/>
      <c r="BQ184" s="254"/>
      <c r="BR184" s="254"/>
      <c r="BS184" s="254"/>
      <c r="BT184" s="254"/>
      <c r="BU184" s="17"/>
      <c r="BV184" s="17"/>
      <c r="BW184" s="17"/>
      <c r="BX184" s="17"/>
      <c r="BY184" s="17"/>
      <c r="BZ184" s="17"/>
      <c r="CA184" s="17"/>
      <c r="CB184" s="17"/>
      <c r="CC184" s="17"/>
      <c r="CD184" s="17"/>
    </row>
    <row r="185" spans="1:82" ht="13.5" thickTop="1">
      <c r="A185" s="5"/>
      <c r="B185" s="5"/>
      <c r="C185" s="5"/>
      <c r="D185" s="5"/>
      <c r="E185" s="5"/>
      <c r="F185" s="5"/>
      <c r="G185" s="5"/>
      <c r="H185" s="12"/>
      <c r="I185" s="12"/>
      <c r="J185" s="12"/>
      <c r="K185" s="12"/>
      <c r="L185" s="5"/>
      <c r="M185" s="12"/>
      <c r="N185" s="12"/>
      <c r="O185" s="12"/>
      <c r="P185" s="12"/>
      <c r="Q185" s="5"/>
      <c r="R185" s="12"/>
      <c r="S185" s="12"/>
      <c r="T185" s="12"/>
      <c r="U185" s="12"/>
      <c r="V185" s="5"/>
      <c r="W185" s="12"/>
      <c r="X185" s="12"/>
      <c r="Y185" s="12"/>
      <c r="Z185" s="12"/>
      <c r="AA185" s="5"/>
      <c r="AB185" s="12"/>
      <c r="AC185" s="12"/>
      <c r="AD185" s="12"/>
      <c r="AE185" s="12"/>
      <c r="AF185" s="5"/>
      <c r="AG185" s="12"/>
      <c r="AH185" s="12"/>
      <c r="AI185" s="12"/>
      <c r="AJ185" s="12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138"/>
      <c r="BA185" s="138"/>
      <c r="BB185" s="138"/>
      <c r="BC185" s="138"/>
      <c r="BD185" s="138"/>
      <c r="BE185" s="138"/>
      <c r="BF185" s="138"/>
      <c r="BG185" s="138"/>
      <c r="BH185" s="138"/>
      <c r="BI185" s="138"/>
      <c r="BJ185" s="138"/>
      <c r="BK185" s="138"/>
      <c r="BL185" s="138"/>
      <c r="BM185" s="138"/>
      <c r="BN185" s="138"/>
      <c r="BO185" s="138"/>
      <c r="BP185" s="138"/>
      <c r="BQ185" s="138"/>
      <c r="BR185" s="138"/>
      <c r="BS185" s="138"/>
      <c r="BT185" s="138"/>
      <c r="BU185" s="5"/>
      <c r="BV185" s="5"/>
      <c r="BW185" s="5"/>
      <c r="BX185" s="5"/>
      <c r="BY185" s="5"/>
      <c r="BZ185" s="5"/>
      <c r="CA185" s="5"/>
      <c r="CB185" s="5"/>
      <c r="CC185" s="5"/>
      <c r="CD185" s="5"/>
    </row>
    <row r="186" spans="1:82">
      <c r="A186" s="468" t="s">
        <v>91</v>
      </c>
      <c r="B186" s="5"/>
      <c r="C186" s="5">
        <v>1831</v>
      </c>
      <c r="D186" s="5">
        <v>1808</v>
      </c>
      <c r="E186" s="5">
        <v>1716</v>
      </c>
      <c r="F186" s="5">
        <v>2056</v>
      </c>
      <c r="G186" s="5">
        <v>1359</v>
      </c>
      <c r="H186" s="12">
        <v>2960</v>
      </c>
      <c r="I186" s="12">
        <v>2939</v>
      </c>
      <c r="J186" s="12">
        <v>4852</v>
      </c>
      <c r="K186" s="12">
        <v>3199</v>
      </c>
      <c r="L186" s="5">
        <v>2960</v>
      </c>
      <c r="M186" s="12">
        <v>2590</v>
      </c>
      <c r="N186" s="12">
        <v>1956</v>
      </c>
      <c r="O186" s="12">
        <v>2643</v>
      </c>
      <c r="P186" s="12">
        <v>2410</v>
      </c>
      <c r="Q186" s="5">
        <v>2590</v>
      </c>
      <c r="R186" s="12">
        <v>3562</v>
      </c>
      <c r="S186" s="12">
        <v>4820</v>
      </c>
      <c r="T186" s="12">
        <v>3593</v>
      </c>
      <c r="U186" s="12">
        <v>6142</v>
      </c>
      <c r="V186" s="5">
        <v>3562</v>
      </c>
      <c r="W186" s="12">
        <v>8197</v>
      </c>
      <c r="X186" s="12">
        <v>8360</v>
      </c>
      <c r="Y186" s="12">
        <v>8959</v>
      </c>
      <c r="Z186" s="12">
        <v>9883</v>
      </c>
      <c r="AA186" s="5">
        <v>8197</v>
      </c>
      <c r="AB186" s="12">
        <v>8339</v>
      </c>
      <c r="AC186" s="12">
        <v>6841</v>
      </c>
      <c r="AD186" s="12">
        <v>7310</v>
      </c>
      <c r="AE186" s="12">
        <v>12803</v>
      </c>
      <c r="AF186" s="5">
        <v>8339</v>
      </c>
      <c r="AG186" s="12">
        <v>18556</v>
      </c>
      <c r="AH186" s="12">
        <f>AG187</f>
        <v>18726</v>
      </c>
      <c r="AI186" s="12">
        <f>AH187</f>
        <v>18749</v>
      </c>
      <c r="AJ186" s="12">
        <f>AI187</f>
        <v>17997</v>
      </c>
      <c r="AK186" s="5">
        <f>AF187</f>
        <v>18556</v>
      </c>
      <c r="AL186" s="12">
        <f>+AK187</f>
        <v>14067</v>
      </c>
      <c r="AM186" s="12">
        <f>+AL187</f>
        <v>14092</v>
      </c>
      <c r="AN186" s="12">
        <f>+AM187</f>
        <v>14881</v>
      </c>
      <c r="AO186" s="12">
        <f>+AN187</f>
        <v>16041</v>
      </c>
      <c r="AP186" s="5">
        <f>AK187</f>
        <v>14067</v>
      </c>
      <c r="AQ186" s="12">
        <v>19635</v>
      </c>
      <c r="AR186" s="12">
        <f>AQ187</f>
        <v>27679</v>
      </c>
      <c r="AS186" s="12">
        <f>+AR187</f>
        <v>28313</v>
      </c>
      <c r="AT186" s="12">
        <f>+AS187</f>
        <v>29499</v>
      </c>
      <c r="AU186" s="5">
        <f>AQ186</f>
        <v>19635</v>
      </c>
      <c r="AV186" s="12">
        <f>+AU187</f>
        <v>22520</v>
      </c>
      <c r="AW186" s="12">
        <f>+AV187</f>
        <v>27358</v>
      </c>
      <c r="AX186" s="12">
        <f>+AW187</f>
        <v>27506</v>
      </c>
      <c r="AY186" s="12">
        <f>+AX187</f>
        <v>30729</v>
      </c>
      <c r="AZ186" s="138">
        <f>AV186</f>
        <v>22520</v>
      </c>
      <c r="BA186" s="181">
        <f>+AZ187</f>
        <v>29763</v>
      </c>
      <c r="BB186" s="181">
        <f>+BA187</f>
        <v>32434</v>
      </c>
      <c r="BC186" s="181">
        <f>+BB187</f>
        <v>32589</v>
      </c>
      <c r="BD186" s="181">
        <f>+BC187</f>
        <v>31702</v>
      </c>
      <c r="BE186" s="138">
        <f>BA186</f>
        <v>29763</v>
      </c>
      <c r="BF186" s="181">
        <f>+BE187</f>
        <v>26389</v>
      </c>
      <c r="BG186" s="181">
        <f>+BF187</f>
        <v>23049</v>
      </c>
      <c r="BH186" s="181">
        <f>+BG187</f>
        <v>23517</v>
      </c>
      <c r="BI186" s="181">
        <f>+BH187</f>
        <v>25520</v>
      </c>
      <c r="BJ186" s="138">
        <f>BF186</f>
        <v>26389</v>
      </c>
      <c r="BK186" s="181">
        <f>+BJ187</f>
        <v>23484</v>
      </c>
      <c r="BL186" s="181">
        <f>+BK187</f>
        <v>23794</v>
      </c>
      <c r="BM186" s="181">
        <f>+BL187</f>
        <v>23270</v>
      </c>
      <c r="BN186" s="181">
        <f>+BM187</f>
        <v>25780</v>
      </c>
      <c r="BO186" s="138">
        <f>BJ187</f>
        <v>23484</v>
      </c>
      <c r="BP186" s="138"/>
      <c r="BQ186" s="138"/>
      <c r="BR186" s="138"/>
      <c r="BS186" s="138"/>
      <c r="BT186" s="138"/>
      <c r="BU186" s="5"/>
      <c r="BV186" s="5"/>
      <c r="BW186" s="5"/>
      <c r="BX186" s="5"/>
      <c r="BY186" s="5"/>
      <c r="BZ186" s="5"/>
      <c r="CA186" s="5"/>
      <c r="CB186" s="5"/>
      <c r="CC186" s="5"/>
      <c r="CD186" s="5"/>
    </row>
    <row r="187" spans="1:82">
      <c r="A187" s="468" t="s">
        <v>628</v>
      </c>
      <c r="B187" s="5"/>
      <c r="C187" s="5">
        <v>1808</v>
      </c>
      <c r="D187" s="5">
        <v>1735</v>
      </c>
      <c r="E187" s="5">
        <v>2056</v>
      </c>
      <c r="F187" s="5">
        <v>1359</v>
      </c>
      <c r="G187" s="5">
        <v>2960</v>
      </c>
      <c r="H187" s="12">
        <v>2939</v>
      </c>
      <c r="I187" s="12">
        <v>4852</v>
      </c>
      <c r="J187" s="12">
        <v>3199</v>
      </c>
      <c r="K187" s="12">
        <v>2590</v>
      </c>
      <c r="L187" s="5">
        <v>2590</v>
      </c>
      <c r="M187" s="12">
        <v>1956</v>
      </c>
      <c r="N187" s="12">
        <v>2643</v>
      </c>
      <c r="O187" s="12">
        <v>2410</v>
      </c>
      <c r="P187" s="12">
        <v>3562</v>
      </c>
      <c r="Q187" s="5">
        <v>3562</v>
      </c>
      <c r="R187" s="12">
        <v>4820</v>
      </c>
      <c r="S187" s="12">
        <v>3593</v>
      </c>
      <c r="T187" s="12">
        <v>6142</v>
      </c>
      <c r="U187" s="12">
        <v>8197</v>
      </c>
      <c r="V187" s="5">
        <v>8197</v>
      </c>
      <c r="W187" s="12">
        <v>8360</v>
      </c>
      <c r="X187" s="12">
        <v>8959</v>
      </c>
      <c r="Y187" s="12">
        <v>9883</v>
      </c>
      <c r="Z187" s="12">
        <v>8339</v>
      </c>
      <c r="AA187" s="5">
        <v>8339</v>
      </c>
      <c r="AB187" s="12">
        <v>6841</v>
      </c>
      <c r="AC187" s="12">
        <v>7310</v>
      </c>
      <c r="AD187" s="12">
        <v>12803</v>
      </c>
      <c r="AE187" s="12">
        <v>18556</v>
      </c>
      <c r="AF187" s="5">
        <v>18556</v>
      </c>
      <c r="AG187" s="12">
        <v>18726</v>
      </c>
      <c r="AH187" s="12">
        <f t="shared" ref="AH187:AX187" si="156">AH186+AH184</f>
        <v>18749</v>
      </c>
      <c r="AI187" s="12">
        <f t="shared" si="156"/>
        <v>17997</v>
      </c>
      <c r="AJ187" s="12">
        <f t="shared" si="156"/>
        <v>14067</v>
      </c>
      <c r="AK187" s="5">
        <f t="shared" si="156"/>
        <v>14067</v>
      </c>
      <c r="AL187" s="12">
        <f t="shared" si="156"/>
        <v>14092</v>
      </c>
      <c r="AM187" s="12">
        <f t="shared" si="156"/>
        <v>14881</v>
      </c>
      <c r="AN187" s="12">
        <f t="shared" si="156"/>
        <v>16041</v>
      </c>
      <c r="AO187" s="12">
        <f t="shared" si="156"/>
        <v>19548</v>
      </c>
      <c r="AP187" s="5">
        <f t="shared" si="156"/>
        <v>19548</v>
      </c>
      <c r="AQ187" s="12">
        <f t="shared" si="156"/>
        <v>27679</v>
      </c>
      <c r="AR187" s="12">
        <f t="shared" si="156"/>
        <v>28313</v>
      </c>
      <c r="AS187" s="12">
        <f t="shared" si="156"/>
        <v>29499</v>
      </c>
      <c r="AT187" s="12">
        <f t="shared" si="156"/>
        <v>22520</v>
      </c>
      <c r="AU187" s="5">
        <f t="shared" si="156"/>
        <v>22520</v>
      </c>
      <c r="AV187" s="12">
        <f t="shared" si="156"/>
        <v>27358</v>
      </c>
      <c r="AW187" s="12">
        <f t="shared" si="156"/>
        <v>27506</v>
      </c>
      <c r="AX187" s="12">
        <f t="shared" si="156"/>
        <v>30729</v>
      </c>
      <c r="AY187" s="12">
        <f t="shared" ref="AY187:BD187" si="157">AY186+AY184</f>
        <v>29763</v>
      </c>
      <c r="AZ187" s="138">
        <f t="shared" si="157"/>
        <v>29763</v>
      </c>
      <c r="BA187" s="181">
        <f t="shared" si="157"/>
        <v>32434</v>
      </c>
      <c r="BB187" s="181">
        <f t="shared" si="157"/>
        <v>32589</v>
      </c>
      <c r="BC187" s="181">
        <f t="shared" si="157"/>
        <v>31702</v>
      </c>
      <c r="BD187" s="181">
        <f t="shared" si="157"/>
        <v>26389</v>
      </c>
      <c r="BE187" s="138">
        <f t="shared" ref="BE187:BJ187" si="158">BE186+BE184</f>
        <v>26389</v>
      </c>
      <c r="BF187" s="181">
        <f t="shared" si="158"/>
        <v>23049</v>
      </c>
      <c r="BG187" s="181">
        <f t="shared" si="158"/>
        <v>23517</v>
      </c>
      <c r="BH187" s="181">
        <f t="shared" si="158"/>
        <v>25520</v>
      </c>
      <c r="BI187" s="181">
        <f t="shared" si="158"/>
        <v>23484</v>
      </c>
      <c r="BJ187" s="138">
        <f t="shared" si="158"/>
        <v>23484</v>
      </c>
      <c r="BK187" s="181">
        <f t="shared" ref="BK187:BL187" si="159">BK186+BK184</f>
        <v>23794</v>
      </c>
      <c r="BL187" s="181">
        <f t="shared" si="159"/>
        <v>23270</v>
      </c>
      <c r="BM187" s="181">
        <f t="shared" ref="BM187:BO187" si="160">BM186+BM184</f>
        <v>25780</v>
      </c>
      <c r="BN187" s="181">
        <f t="shared" si="160"/>
        <v>25586</v>
      </c>
      <c r="BO187" s="138">
        <f t="shared" si="160"/>
        <v>25586</v>
      </c>
      <c r="BP187" s="138"/>
      <c r="BQ187" s="138"/>
      <c r="BR187" s="138"/>
      <c r="BS187" s="138"/>
      <c r="BT187" s="138"/>
      <c r="BU187" s="5"/>
      <c r="BV187" s="5"/>
      <c r="BW187" s="5"/>
      <c r="BX187" s="5"/>
      <c r="BY187" s="5"/>
      <c r="BZ187" s="5"/>
      <c r="CA187" s="5"/>
      <c r="CB187" s="5"/>
      <c r="CC187" s="5"/>
      <c r="CD187" s="5"/>
    </row>
    <row r="188" spans="1:82">
      <c r="A188" s="468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</row>
    <row r="189" spans="1:82">
      <c r="A189" s="481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19"/>
      <c r="AH189" s="19"/>
      <c r="AI189" s="19"/>
      <c r="AJ189" s="19"/>
      <c r="AK189" s="8"/>
      <c r="AL189" s="19"/>
      <c r="AM189" s="19"/>
      <c r="AN189" s="19"/>
      <c r="AO189" s="19"/>
      <c r="AP189" s="8"/>
      <c r="AQ189" s="19"/>
      <c r="AR189" s="19"/>
      <c r="AS189" s="19"/>
      <c r="AT189" s="19"/>
      <c r="AU189" s="8"/>
      <c r="AV189" s="19"/>
      <c r="AW189" s="19"/>
      <c r="AX189" s="19"/>
      <c r="AY189" s="19"/>
      <c r="AZ189" s="8"/>
      <c r="BA189" s="19"/>
      <c r="BB189" s="19"/>
      <c r="BC189" s="19"/>
      <c r="BD189" s="19"/>
      <c r="BE189" s="8"/>
      <c r="BF189" s="19"/>
      <c r="BG189" s="19"/>
      <c r="BH189" s="19"/>
      <c r="BI189" s="19"/>
      <c r="BJ189" s="8"/>
      <c r="BK189" s="19"/>
      <c r="BL189" s="19"/>
      <c r="BM189" s="19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</row>
    <row r="191" spans="1:82">
      <c r="A191" s="376" t="s">
        <v>3641</v>
      </c>
    </row>
    <row r="192" spans="1:82">
      <c r="A192" s="211" t="s">
        <v>2206</v>
      </c>
      <c r="B192" s="10"/>
      <c r="C192" s="31">
        <v>2001</v>
      </c>
      <c r="D192" s="32">
        <v>2002</v>
      </c>
      <c r="E192" s="32">
        <v>2003</v>
      </c>
      <c r="F192" s="32">
        <v>2004</v>
      </c>
      <c r="G192" s="31">
        <v>2005</v>
      </c>
      <c r="H192" s="33" t="s">
        <v>714</v>
      </c>
      <c r="I192" s="33" t="s">
        <v>715</v>
      </c>
      <c r="J192" s="33" t="s">
        <v>716</v>
      </c>
      <c r="K192" s="33" t="s">
        <v>717</v>
      </c>
      <c r="L192" s="31">
        <v>2006</v>
      </c>
      <c r="M192" s="33" t="s">
        <v>718</v>
      </c>
      <c r="N192" s="33" t="s">
        <v>719</v>
      </c>
      <c r="O192" s="33" t="s">
        <v>1970</v>
      </c>
      <c r="P192" s="33" t="s">
        <v>1971</v>
      </c>
      <c r="Q192" s="31">
        <v>2007</v>
      </c>
      <c r="R192" s="33" t="s">
        <v>1972</v>
      </c>
      <c r="S192" s="33" t="s">
        <v>1973</v>
      </c>
      <c r="T192" s="33" t="s">
        <v>1974</v>
      </c>
      <c r="U192" s="33" t="s">
        <v>1975</v>
      </c>
      <c r="V192" s="31">
        <v>2008</v>
      </c>
      <c r="W192" s="33" t="s">
        <v>1976</v>
      </c>
      <c r="X192" s="33" t="s">
        <v>1977</v>
      </c>
      <c r="Y192" s="33" t="s">
        <v>1978</v>
      </c>
      <c r="Z192" s="33" t="s">
        <v>1979</v>
      </c>
      <c r="AA192" s="31">
        <v>2009</v>
      </c>
      <c r="AB192" s="33" t="s">
        <v>1980</v>
      </c>
      <c r="AC192" s="33" t="s">
        <v>1981</v>
      </c>
      <c r="AD192" s="33" t="s">
        <v>1982</v>
      </c>
      <c r="AE192" s="33" t="s">
        <v>2392</v>
      </c>
      <c r="AF192" s="31">
        <v>2010</v>
      </c>
      <c r="AG192" s="33" t="s">
        <v>2393</v>
      </c>
      <c r="AH192" s="33" t="s">
        <v>2394</v>
      </c>
      <c r="AI192" s="33" t="s">
        <v>2395</v>
      </c>
      <c r="AJ192" s="368" t="s">
        <v>2396</v>
      </c>
      <c r="AK192" s="369">
        <v>2011</v>
      </c>
      <c r="AL192" s="368" t="s">
        <v>2397</v>
      </c>
      <c r="AM192" s="368" t="s">
        <v>2398</v>
      </c>
      <c r="AN192" s="33" t="s">
        <v>2399</v>
      </c>
      <c r="AO192" s="368" t="s">
        <v>2400</v>
      </c>
      <c r="AP192" s="369">
        <v>2012</v>
      </c>
      <c r="AQ192" s="368" t="s">
        <v>2401</v>
      </c>
      <c r="AR192" s="368" t="s">
        <v>2402</v>
      </c>
      <c r="AS192" s="368" t="s">
        <v>2403</v>
      </c>
      <c r="AT192" s="368" t="s">
        <v>2404</v>
      </c>
      <c r="AU192" s="369">
        <v>2013</v>
      </c>
      <c r="AV192" s="368" t="s">
        <v>2405</v>
      </c>
      <c r="AW192" s="368" t="s">
        <v>2406</v>
      </c>
      <c r="AX192" s="368" t="s">
        <v>2407</v>
      </c>
      <c r="AY192" s="368" t="s">
        <v>2408</v>
      </c>
      <c r="AZ192" s="369">
        <v>2014</v>
      </c>
      <c r="BA192" s="368" t="s">
        <v>2409</v>
      </c>
      <c r="BB192" s="368" t="s">
        <v>2410</v>
      </c>
      <c r="BC192" s="368" t="s">
        <v>2411</v>
      </c>
      <c r="BD192" s="368" t="s">
        <v>2412</v>
      </c>
      <c r="BE192" s="31">
        <v>2015</v>
      </c>
      <c r="BF192" s="368" t="s">
        <v>2413</v>
      </c>
      <c r="BG192" s="368" t="s">
        <v>2414</v>
      </c>
      <c r="BH192" s="368" t="s">
        <v>2415</v>
      </c>
      <c r="BI192" s="368" t="s">
        <v>2416</v>
      </c>
      <c r="BJ192" s="31">
        <v>2016</v>
      </c>
      <c r="BK192" s="368" t="s">
        <v>2417</v>
      </c>
      <c r="BL192" s="368" t="s">
        <v>2418</v>
      </c>
      <c r="BM192" s="368" t="s">
        <v>2419</v>
      </c>
      <c r="BN192" s="363" t="s">
        <v>2420</v>
      </c>
      <c r="BO192" s="31">
        <v>2017</v>
      </c>
      <c r="BP192" s="363" t="s">
        <v>2244</v>
      </c>
      <c r="BQ192" s="363" t="s">
        <v>2245</v>
      </c>
      <c r="BR192" s="363" t="s">
        <v>2508</v>
      </c>
      <c r="BS192" s="363" t="s">
        <v>2509</v>
      </c>
      <c r="BT192" s="364">
        <v>2018</v>
      </c>
      <c r="BU192" s="363" t="s">
        <v>2510</v>
      </c>
      <c r="BV192" s="363" t="s">
        <v>2511</v>
      </c>
      <c r="BW192" s="363" t="s">
        <v>3125</v>
      </c>
      <c r="BX192" s="363" t="s">
        <v>1405</v>
      </c>
      <c r="BY192" s="364">
        <v>2019</v>
      </c>
      <c r="BZ192" s="363" t="s">
        <v>1406</v>
      </c>
      <c r="CA192" s="363" t="s">
        <v>1407</v>
      </c>
      <c r="CB192" s="363" t="s">
        <v>1408</v>
      </c>
      <c r="CC192" s="363" t="s">
        <v>1409</v>
      </c>
      <c r="CD192" s="364">
        <v>2020</v>
      </c>
    </row>
    <row r="193" spans="1:67">
      <c r="A193" s="361" t="s">
        <v>2705</v>
      </c>
      <c r="B193" s="406"/>
      <c r="F193" s="316"/>
      <c r="G193" s="316"/>
      <c r="H193" s="316"/>
      <c r="I193" s="316"/>
      <c r="J193" s="316"/>
      <c r="K193" s="316"/>
      <c r="L193">
        <f>'Income statement'!L32</f>
        <v>22311</v>
      </c>
      <c r="M193" s="316"/>
      <c r="N193" s="316"/>
      <c r="O193" s="316"/>
      <c r="P193" s="316"/>
      <c r="Q193">
        <f>'Income statement'!Q32</f>
        <v>21169</v>
      </c>
      <c r="R193" s="316"/>
      <c r="S193" s="316"/>
      <c r="T193" s="316"/>
      <c r="U193" s="316"/>
      <c r="V193">
        <f>'Income statement'!V32</f>
        <v>21666</v>
      </c>
      <c r="W193" s="316"/>
      <c r="X193" s="316"/>
      <c r="Y193" s="316"/>
      <c r="Z193" s="316"/>
      <c r="AA193">
        <f>'Income statement'!AA32</f>
        <v>16759</v>
      </c>
      <c r="AB193" s="316"/>
      <c r="AC193" s="316"/>
      <c r="AD193" s="316"/>
      <c r="AE193" s="316"/>
      <c r="AF193">
        <f>'Income statement'!AF32</f>
        <v>-3324</v>
      </c>
      <c r="AG193" s="316"/>
      <c r="AH193" s="316"/>
      <c r="AI193" s="316"/>
      <c r="AJ193" s="316"/>
      <c r="AK193">
        <f>'Income statement'!AK32</f>
        <v>26097</v>
      </c>
      <c r="AL193" s="316"/>
      <c r="AM193" s="316"/>
      <c r="AN193" s="316"/>
      <c r="AO193" s="316"/>
      <c r="AP193">
        <f>'Income statement'!AP32</f>
        <v>11816</v>
      </c>
      <c r="AQ193" s="316"/>
      <c r="AR193" s="316"/>
      <c r="AS193" s="316"/>
      <c r="AT193" s="316"/>
      <c r="AU193">
        <f>'Income statement'!AU32</f>
        <v>23758</v>
      </c>
      <c r="AV193" s="316"/>
      <c r="AW193" s="316"/>
      <c r="AX193" s="316"/>
      <c r="AY193" s="316"/>
      <c r="AZ193">
        <f>'Income statement'!AZ32</f>
        <v>4003</v>
      </c>
      <c r="BA193" s="316"/>
      <c r="BB193" s="316"/>
      <c r="BC193" s="316"/>
      <c r="BD193" s="316"/>
      <c r="BE193">
        <f>'Income statement'!BE32</f>
        <v>-6400</v>
      </c>
      <c r="BF193" s="505">
        <f>'Income statement'!BF32</f>
        <v>-558</v>
      </c>
      <c r="BG193" s="505">
        <f>'Income statement'!BG32</f>
        <v>-1390</v>
      </c>
      <c r="BH193" s="505">
        <f>'Income statement'!BH32</f>
        <v>1577</v>
      </c>
      <c r="BI193" s="505">
        <f>'Income statement'!BI32</f>
        <v>543</v>
      </c>
      <c r="BJ193">
        <f>'Income statement'!BJ32</f>
        <v>172</v>
      </c>
      <c r="BK193" s="505">
        <f>'Income statement'!BK32</f>
        <v>1492</v>
      </c>
      <c r="BL193" s="505">
        <f>'Income statement'!BL32</f>
        <v>156</v>
      </c>
      <c r="BM193" s="505">
        <f>'Income statement'!BM32</f>
        <v>1757</v>
      </c>
      <c r="BN193" s="505">
        <f ca="1">'Income statement'!BN32</f>
        <v>63</v>
      </c>
    </row>
    <row r="194" spans="1:67">
      <c r="A194" s="245" t="s">
        <v>2151</v>
      </c>
      <c r="B194" s="406"/>
      <c r="F194" s="316"/>
      <c r="G194" s="316"/>
      <c r="H194" s="316"/>
      <c r="I194" s="316"/>
      <c r="J194" s="316"/>
      <c r="K194" s="316"/>
      <c r="L194">
        <f>-'Income statement'!L20</f>
        <v>9128</v>
      </c>
      <c r="M194" s="316"/>
      <c r="N194" s="316"/>
      <c r="O194" s="316"/>
      <c r="P194" s="316"/>
      <c r="Q194">
        <f>-'Income statement'!Q20</f>
        <v>10579</v>
      </c>
      <c r="R194" s="316"/>
      <c r="S194" s="316"/>
      <c r="T194" s="316"/>
      <c r="U194" s="316"/>
      <c r="V194">
        <f>-'Income statement'!V20</f>
        <v>10985</v>
      </c>
      <c r="W194" s="316"/>
      <c r="X194" s="316"/>
      <c r="Y194" s="316"/>
      <c r="Z194" s="316"/>
      <c r="AA194">
        <f>-'Income statement'!AA20</f>
        <v>12106</v>
      </c>
      <c r="AB194" s="316"/>
      <c r="AC194" s="316"/>
      <c r="AD194" s="316"/>
      <c r="AE194" s="316"/>
      <c r="AF194">
        <f>-'Income statement'!AF20</f>
        <v>11164</v>
      </c>
      <c r="AG194" s="316"/>
      <c r="AH194" s="316"/>
      <c r="AI194" s="316"/>
      <c r="AJ194" s="316"/>
      <c r="AK194">
        <f>-'Income statement'!AK20</f>
        <v>11135</v>
      </c>
      <c r="AL194" s="316"/>
      <c r="AM194" s="316"/>
      <c r="AN194" s="316"/>
      <c r="AO194" s="316"/>
      <c r="AP194">
        <f>-'Income statement'!AP20</f>
        <v>12481</v>
      </c>
      <c r="AQ194" s="316"/>
      <c r="AR194" s="316"/>
      <c r="AS194" s="316"/>
      <c r="AT194" s="316"/>
      <c r="AU194">
        <f>-'Income statement'!AU20</f>
        <v>13510</v>
      </c>
      <c r="AV194" s="316"/>
      <c r="AW194" s="316"/>
      <c r="AX194" s="316"/>
      <c r="AY194" s="316"/>
      <c r="AZ194">
        <f>-'Income statement'!AZ20</f>
        <v>15163</v>
      </c>
      <c r="BA194" s="316"/>
      <c r="BB194" s="316"/>
      <c r="BC194" s="316"/>
      <c r="BD194" s="316"/>
      <c r="BE194">
        <f>-'Income statement'!BE20</f>
        <v>15219</v>
      </c>
      <c r="BF194" s="505">
        <f>-'Income statement'!BF20</f>
        <v>3730</v>
      </c>
      <c r="BG194" s="505">
        <f>-'Income statement'!BG20</f>
        <v>3637</v>
      </c>
      <c r="BH194" s="505">
        <f>-'Income statement'!BH20</f>
        <v>3496</v>
      </c>
      <c r="BI194" s="505">
        <f>-'Income statement'!BI20</f>
        <v>3642</v>
      </c>
      <c r="BJ194">
        <f>-'Income statement'!BJ20</f>
        <v>14505</v>
      </c>
      <c r="BK194" s="505">
        <f>-'Income statement'!BK20</f>
        <v>3842</v>
      </c>
      <c r="BL194" s="505">
        <f>-'Income statement'!BL20</f>
        <v>3793</v>
      </c>
      <c r="BM194" s="505">
        <f>-'Income statement'!BM20</f>
        <v>3904</v>
      </c>
      <c r="BN194" s="505">
        <f>-'Income statement'!BN20</f>
        <v>4045</v>
      </c>
    </row>
    <row r="195" spans="1:67">
      <c r="A195" s="538" t="s">
        <v>2616</v>
      </c>
      <c r="B195" s="406"/>
      <c r="F195" s="316"/>
      <c r="G195" s="316"/>
      <c r="H195" s="316"/>
      <c r="I195" s="316"/>
      <c r="J195" s="316"/>
      <c r="K195" s="316"/>
      <c r="L195">
        <f>Capex!L112</f>
        <v>624</v>
      </c>
      <c r="M195" s="316"/>
      <c r="N195" s="316"/>
      <c r="O195" s="316"/>
      <c r="P195" s="316"/>
      <c r="Q195">
        <f>Capex!Q112</f>
        <v>347</v>
      </c>
      <c r="R195" s="316"/>
      <c r="S195" s="316"/>
      <c r="T195" s="316"/>
      <c r="U195" s="316"/>
      <c r="V195">
        <f>Capex!V112</f>
        <v>385</v>
      </c>
      <c r="W195" s="316"/>
      <c r="X195" s="316"/>
      <c r="Y195" s="316"/>
      <c r="Z195" s="316"/>
      <c r="AA195">
        <f>Capex!AA112</f>
        <v>593</v>
      </c>
      <c r="AB195" s="316"/>
      <c r="AC195" s="316"/>
      <c r="AD195" s="316"/>
      <c r="AE195" s="316"/>
      <c r="AF195">
        <f>Capex!AF112</f>
        <v>375</v>
      </c>
      <c r="AG195" s="316"/>
      <c r="AH195" s="316"/>
      <c r="AI195" s="316"/>
      <c r="AJ195" s="316"/>
      <c r="AK195">
        <f>Capex!AK112</f>
        <v>1024</v>
      </c>
      <c r="AL195" s="316"/>
      <c r="AM195" s="316"/>
      <c r="AN195" s="316"/>
      <c r="AO195" s="316"/>
      <c r="AP195">
        <f>Capex!AP112</f>
        <v>745</v>
      </c>
      <c r="AQ195" s="316"/>
      <c r="AR195" s="316"/>
      <c r="AS195" s="316"/>
      <c r="AT195" s="316"/>
      <c r="AU195">
        <f>Capex!AU112</f>
        <v>2710</v>
      </c>
      <c r="AV195" s="316"/>
      <c r="AW195" s="316"/>
      <c r="AX195" s="316"/>
      <c r="AY195" s="316"/>
      <c r="AZ195">
        <f>Capex!AZ112</f>
        <v>3029</v>
      </c>
      <c r="BA195" s="316"/>
      <c r="BB195" s="316"/>
      <c r="BC195" s="316"/>
      <c r="BD195" s="316"/>
      <c r="BE195">
        <f>Capex!BE112</f>
        <v>1829</v>
      </c>
      <c r="BF195" s="505">
        <f>Capex!BF112</f>
        <v>161</v>
      </c>
      <c r="BG195" s="505">
        <f>Capex!BG112</f>
        <v>260</v>
      </c>
      <c r="BH195" s="505">
        <f>Capex!BH112</f>
        <v>687</v>
      </c>
      <c r="BI195" s="505">
        <f>Capex!BI112</f>
        <v>166</v>
      </c>
      <c r="BJ195">
        <f>Capex!BJ112</f>
        <v>1274</v>
      </c>
      <c r="BK195" s="505">
        <f>Capex!BK112</f>
        <v>261</v>
      </c>
      <c r="BL195" s="505">
        <f>Capex!BL112</f>
        <v>753</v>
      </c>
      <c r="BM195" s="505">
        <f>Capex!BM112</f>
        <v>217</v>
      </c>
      <c r="BN195" s="505">
        <f>Capex!BN112</f>
        <v>372</v>
      </c>
    </row>
    <row r="196" spans="1:67">
      <c r="A196" s="137" t="s">
        <v>3626</v>
      </c>
      <c r="B196" s="406"/>
      <c r="F196" s="316"/>
      <c r="G196" s="316"/>
      <c r="H196" s="316"/>
      <c r="I196" s="316"/>
      <c r="J196" s="316"/>
      <c r="K196" s="316"/>
      <c r="L196">
        <f>L141</f>
        <v>-3165</v>
      </c>
      <c r="M196" s="316"/>
      <c r="N196" s="316"/>
      <c r="O196" s="316"/>
      <c r="P196" s="316"/>
      <c r="Q196">
        <f>Q141</f>
        <v>-808</v>
      </c>
      <c r="R196" s="316"/>
      <c r="S196" s="316"/>
      <c r="T196" s="316"/>
      <c r="U196" s="316"/>
      <c r="V196">
        <f>V141</f>
        <v>380</v>
      </c>
      <c r="W196" s="316"/>
      <c r="X196" s="316"/>
      <c r="Y196" s="316"/>
      <c r="Z196" s="316"/>
      <c r="AA196">
        <f>AA141</f>
        <v>160</v>
      </c>
      <c r="AB196" s="316"/>
      <c r="AC196" s="316"/>
      <c r="AD196" s="316"/>
      <c r="AE196" s="316"/>
      <c r="AF196">
        <f>AF141</f>
        <v>-4694</v>
      </c>
      <c r="AG196" s="316"/>
      <c r="AH196" s="316"/>
      <c r="AI196" s="316"/>
      <c r="AJ196" s="316"/>
      <c r="AK196">
        <f>AK141</f>
        <v>-2072</v>
      </c>
      <c r="AL196" s="316"/>
      <c r="AM196" s="316"/>
      <c r="AN196" s="316"/>
      <c r="AO196" s="316"/>
      <c r="AP196">
        <f>AP141</f>
        <v>-421</v>
      </c>
      <c r="AQ196" s="316"/>
      <c r="AR196" s="316"/>
      <c r="AS196" s="316"/>
      <c r="AT196" s="316"/>
      <c r="AU196">
        <f>AU141</f>
        <v>-11154</v>
      </c>
      <c r="AV196" s="316"/>
      <c r="AW196" s="316"/>
      <c r="AX196" s="316"/>
      <c r="AY196" s="316"/>
      <c r="AZ196">
        <f>AZ141</f>
        <v>8070</v>
      </c>
      <c r="BA196" s="316"/>
      <c r="BB196" s="316"/>
      <c r="BC196" s="316"/>
      <c r="BD196" s="316"/>
      <c r="BE196">
        <f t="shared" ref="BE196:BJ196" si="161">BE141</f>
        <v>1243</v>
      </c>
      <c r="BF196" s="505">
        <f t="shared" si="161"/>
        <v>-325</v>
      </c>
      <c r="BG196" s="505">
        <f t="shared" si="161"/>
        <v>-27</v>
      </c>
      <c r="BH196" s="505">
        <f t="shared" ref="BH196" si="162">BH141</f>
        <v>-1891</v>
      </c>
      <c r="BI196" s="505">
        <f t="shared" si="161"/>
        <v>-553</v>
      </c>
      <c r="BJ196">
        <f t="shared" si="161"/>
        <v>-2796</v>
      </c>
      <c r="BK196" s="505">
        <f t="shared" ref="BK196:BL196" si="163">BK141</f>
        <v>408</v>
      </c>
      <c r="BL196" s="505">
        <f t="shared" si="163"/>
        <v>-146</v>
      </c>
      <c r="BM196" s="505">
        <f t="shared" ref="BM196:BN196" si="164">BM141</f>
        <v>16</v>
      </c>
      <c r="BN196" s="505">
        <f t="shared" si="164"/>
        <v>-272</v>
      </c>
    </row>
    <row r="197" spans="1:67">
      <c r="A197" s="726" t="s">
        <v>3627</v>
      </c>
      <c r="B197" s="406"/>
      <c r="F197" s="316"/>
      <c r="G197" s="316"/>
      <c r="H197" s="316"/>
      <c r="I197" s="316"/>
      <c r="J197" s="316"/>
      <c r="K197" s="316"/>
      <c r="L197">
        <f>-'Income statement'!L38</f>
        <v>37</v>
      </c>
      <c r="M197" s="316"/>
      <c r="N197" s="316"/>
      <c r="O197" s="316"/>
      <c r="P197" s="316"/>
      <c r="Q197">
        <f>-'Income statement'!Q38</f>
        <v>-2475</v>
      </c>
      <c r="R197" s="316"/>
      <c r="S197" s="316"/>
      <c r="T197" s="316"/>
      <c r="U197" s="316"/>
      <c r="V197">
        <f>-'Income statement'!V38</f>
        <v>4436</v>
      </c>
      <c r="W197" s="316"/>
      <c r="X197" s="316"/>
      <c r="Y197" s="316"/>
      <c r="Z197" s="316"/>
      <c r="AA197">
        <f>-'Income statement'!AA38</f>
        <v>-2623</v>
      </c>
      <c r="AB197" s="316"/>
      <c r="AC197" s="316"/>
      <c r="AD197" s="316"/>
      <c r="AE197" s="316"/>
      <c r="AF197">
        <f>-'Income statement'!AF38</f>
        <v>-1195</v>
      </c>
      <c r="AG197" s="316"/>
      <c r="AH197" s="316"/>
      <c r="AI197" s="316"/>
      <c r="AJ197" s="316"/>
      <c r="AK197">
        <f>-'Income statement'!AK38</f>
        <v>-1800</v>
      </c>
      <c r="AL197" s="316"/>
      <c r="AM197" s="316"/>
      <c r="AN197" s="316"/>
      <c r="AO197" s="316"/>
      <c r="AP197">
        <f>-'Income statement'!AP38</f>
        <v>411</v>
      </c>
      <c r="AQ197" s="316"/>
      <c r="AR197" s="316"/>
      <c r="AS197" s="316"/>
      <c r="AT197" s="316"/>
      <c r="AU197">
        <f>-'Income statement'!AU38</f>
        <v>230</v>
      </c>
      <c r="AV197" s="316"/>
      <c r="AW197" s="316"/>
      <c r="AX197" s="316"/>
      <c r="AY197" s="316"/>
      <c r="AZ197">
        <f>-'Income statement'!AZ38</f>
        <v>4293</v>
      </c>
      <c r="BA197" s="316"/>
      <c r="BB197" s="316"/>
      <c r="BC197" s="316"/>
      <c r="BD197" s="316"/>
      <c r="BE197">
        <f>-'Income statement'!BE38</f>
        <v>1320</v>
      </c>
      <c r="BF197" s="505">
        <f>-'Income statement'!BF38</f>
        <v>98</v>
      </c>
      <c r="BG197" s="505">
        <f>-'Income statement'!BG38</f>
        <v>-828</v>
      </c>
      <c r="BH197" s="505">
        <f>-'Income statement'!BH38</f>
        <v>41</v>
      </c>
      <c r="BI197" s="505">
        <f>-'Income statement'!BI38</f>
        <v>-425</v>
      </c>
      <c r="BJ197">
        <f>-'Income statement'!BJ38</f>
        <v>-1114</v>
      </c>
      <c r="BK197" s="505">
        <f>-'Income statement'!BK38</f>
        <v>-37</v>
      </c>
      <c r="BL197" s="505">
        <f>-'Income statement'!BL38</f>
        <v>409</v>
      </c>
      <c r="BM197" s="505">
        <f>-'Income statement'!BM38</f>
        <v>-390</v>
      </c>
      <c r="BN197" s="505">
        <f>-'Income statement'!BN38</f>
        <v>-610</v>
      </c>
    </row>
    <row r="198" spans="1:67">
      <c r="A198" s="432" t="s">
        <v>710</v>
      </c>
      <c r="B198" s="406"/>
      <c r="F198" s="316"/>
      <c r="G198" s="316"/>
      <c r="H198" s="316"/>
      <c r="I198" s="316"/>
      <c r="J198" s="316"/>
      <c r="K198" s="316"/>
      <c r="L198" s="289">
        <f>SUM(L193:L197)</f>
        <v>28935</v>
      </c>
      <c r="M198" s="316"/>
      <c r="N198" s="316"/>
      <c r="O198" s="316"/>
      <c r="P198" s="316"/>
      <c r="Q198" s="289">
        <f>SUM(Q193:Q197)</f>
        <v>28812</v>
      </c>
      <c r="R198" s="316"/>
      <c r="S198" s="316"/>
      <c r="T198" s="316"/>
      <c r="U198" s="316"/>
      <c r="V198" s="289">
        <f>SUM(V193:V197)</f>
        <v>37852</v>
      </c>
      <c r="W198" s="316"/>
      <c r="X198" s="316"/>
      <c r="Y198" s="316"/>
      <c r="Z198" s="316"/>
      <c r="AA198" s="289">
        <f>SUM(AA193:AA197)</f>
        <v>26995</v>
      </c>
      <c r="AB198" s="316"/>
      <c r="AC198" s="316"/>
      <c r="AD198" s="316"/>
      <c r="AE198" s="316"/>
      <c r="AF198" s="289">
        <f>SUM(AF193:AF197)</f>
        <v>2326</v>
      </c>
      <c r="AG198" s="316"/>
      <c r="AH198" s="316"/>
      <c r="AI198" s="316"/>
      <c r="AJ198" s="316"/>
      <c r="AK198" s="289">
        <f>SUM(AK193:AK197)</f>
        <v>34384</v>
      </c>
      <c r="AL198" s="316"/>
      <c r="AM198" s="316"/>
      <c r="AN198" s="316"/>
      <c r="AO198" s="316"/>
      <c r="AP198" s="289">
        <f>SUM(AP193:AP197)</f>
        <v>25032</v>
      </c>
      <c r="AQ198" s="316"/>
      <c r="AR198" s="316"/>
      <c r="AS198" s="316"/>
      <c r="AT198" s="316"/>
      <c r="AU198" s="289">
        <f>SUM(AU193:AU197)</f>
        <v>29054</v>
      </c>
      <c r="AV198" s="316"/>
      <c r="AW198" s="316"/>
      <c r="AX198" s="316"/>
      <c r="AY198" s="316"/>
      <c r="AZ198" s="289">
        <f>SUM(AZ193:AZ197)</f>
        <v>34558</v>
      </c>
      <c r="BA198" s="316"/>
      <c r="BB198" s="316"/>
      <c r="BC198" s="316"/>
      <c r="BD198" s="316"/>
      <c r="BE198" s="289">
        <f t="shared" ref="BE198:BJ198" si="165">SUM(BE193:BE197)</f>
        <v>13211</v>
      </c>
      <c r="BF198" s="663">
        <f t="shared" si="165"/>
        <v>3106</v>
      </c>
      <c r="BG198" s="663">
        <f t="shared" si="165"/>
        <v>1652</v>
      </c>
      <c r="BH198" s="663">
        <f t="shared" ref="BH198" si="166">SUM(BH193:BH197)</f>
        <v>3910</v>
      </c>
      <c r="BI198" s="663">
        <f t="shared" si="165"/>
        <v>3373</v>
      </c>
      <c r="BJ198" s="289">
        <f t="shared" si="165"/>
        <v>12041</v>
      </c>
      <c r="BK198" s="663">
        <f t="shared" ref="BK198:BL198" si="167">SUM(BK193:BK197)</f>
        <v>5966</v>
      </c>
      <c r="BL198" s="663">
        <f t="shared" si="167"/>
        <v>4965</v>
      </c>
      <c r="BM198" s="663">
        <f t="shared" ref="BM198:BN198" si="168">SUM(BM193:BM197)</f>
        <v>5504</v>
      </c>
      <c r="BN198" s="663">
        <f t="shared" ca="1" si="168"/>
        <v>3598</v>
      </c>
      <c r="BO198" s="289"/>
    </row>
    <row r="199" spans="1:67">
      <c r="A199" s="406"/>
      <c r="B199" s="406"/>
      <c r="BF199" s="505"/>
      <c r="BG199" s="505"/>
      <c r="BH199" s="505"/>
      <c r="BI199" s="505"/>
      <c r="BK199" s="505"/>
      <c r="BL199" s="505"/>
      <c r="BM199" s="505"/>
      <c r="BN199" s="505"/>
    </row>
    <row r="200" spans="1:67">
      <c r="A200" s="538" t="s">
        <v>3635</v>
      </c>
      <c r="B200" s="406"/>
      <c r="F200" s="316"/>
      <c r="G200" s="316"/>
      <c r="H200" s="316"/>
      <c r="I200" s="316"/>
      <c r="J200" s="316"/>
      <c r="K200" s="316"/>
      <c r="L200">
        <f>SUM(L215:L216)</f>
        <v>500</v>
      </c>
      <c r="M200" s="316"/>
      <c r="N200" s="316"/>
      <c r="O200" s="316"/>
      <c r="P200" s="316"/>
      <c r="Q200">
        <f>SUM(Q215:Q216)</f>
        <v>-1359</v>
      </c>
      <c r="R200" s="316"/>
      <c r="S200" s="316"/>
      <c r="T200" s="316"/>
      <c r="U200" s="316"/>
      <c r="V200">
        <f>SUM(V215:V216)</f>
        <v>-93</v>
      </c>
      <c r="W200" s="316"/>
      <c r="X200" s="316"/>
      <c r="Y200" s="316"/>
      <c r="Z200" s="316"/>
      <c r="AA200">
        <f>SUM(AA215:AA216)</f>
        <v>-898</v>
      </c>
      <c r="AB200" s="316"/>
      <c r="AC200" s="316"/>
      <c r="AD200" s="316"/>
      <c r="AE200" s="316"/>
      <c r="AF200">
        <f>SUM(AF215:AF216)</f>
        <v>-1480</v>
      </c>
      <c r="AG200" s="316"/>
      <c r="AH200" s="316"/>
      <c r="AI200" s="316"/>
      <c r="AJ200" s="316"/>
      <c r="AK200">
        <f>SUM(AK215:AK216)</f>
        <v>-839</v>
      </c>
      <c r="AL200" s="316"/>
      <c r="AM200" s="316"/>
      <c r="AN200" s="316"/>
      <c r="AO200" s="316"/>
      <c r="AP200">
        <f>SUM(AP215:AP216)</f>
        <v>-2209</v>
      </c>
      <c r="AQ200" s="316"/>
      <c r="AR200" s="316"/>
      <c r="AS200" s="316"/>
      <c r="AT200" s="316"/>
      <c r="AU200">
        <f>SUM(AU215:AU216)</f>
        <v>-1798</v>
      </c>
      <c r="AV200" s="316"/>
      <c r="AW200" s="316"/>
      <c r="AX200" s="316"/>
      <c r="AY200" s="316"/>
      <c r="AZ200">
        <f>SUM(AZ215:AZ216)</f>
        <v>-1461</v>
      </c>
      <c r="BA200" s="316"/>
      <c r="BB200" s="316"/>
      <c r="BC200" s="316"/>
      <c r="BD200" s="316"/>
      <c r="BE200">
        <f t="shared" ref="BE200:BJ200" si="169">SUM(BE215:BE216)</f>
        <v>-197</v>
      </c>
      <c r="BF200" s="505">
        <f t="shared" si="169"/>
        <v>-24</v>
      </c>
      <c r="BG200" s="505">
        <f t="shared" si="169"/>
        <v>-485</v>
      </c>
      <c r="BH200" s="505">
        <f t="shared" si="169"/>
        <v>259</v>
      </c>
      <c r="BI200" s="505">
        <f t="shared" si="169"/>
        <v>-605</v>
      </c>
      <c r="BJ200">
        <f t="shared" si="169"/>
        <v>-855</v>
      </c>
      <c r="BK200" s="505">
        <f t="shared" ref="BK200:BL200" si="170">SUM(BK215:BK216)</f>
        <v>-220</v>
      </c>
      <c r="BL200" s="505">
        <f t="shared" si="170"/>
        <v>-103</v>
      </c>
      <c r="BM200" s="505">
        <f t="shared" ref="BM200:BN200" si="171">SUM(BM215:BM216)</f>
        <v>-111</v>
      </c>
      <c r="BN200" s="505">
        <f t="shared" si="171"/>
        <v>-820</v>
      </c>
    </row>
    <row r="201" spans="1:67">
      <c r="A201" s="538" t="s">
        <v>3637</v>
      </c>
      <c r="B201" s="406"/>
      <c r="F201" s="316"/>
      <c r="G201" s="316"/>
      <c r="H201" s="316"/>
      <c r="I201" s="316"/>
      <c r="J201" s="316"/>
      <c r="K201" s="316"/>
      <c r="L201">
        <f>SUM(L217:L218)</f>
        <v>27</v>
      </c>
      <c r="M201" s="316"/>
      <c r="N201" s="316"/>
      <c r="O201" s="316"/>
      <c r="P201" s="316"/>
      <c r="Q201">
        <f>SUM(Q217:Q218)</f>
        <v>11</v>
      </c>
      <c r="R201" s="316"/>
      <c r="S201" s="316"/>
      <c r="T201" s="316"/>
      <c r="U201" s="316"/>
      <c r="V201">
        <f>SUM(V217:V218)</f>
        <v>-22</v>
      </c>
      <c r="W201" s="316"/>
      <c r="X201" s="316"/>
      <c r="Y201" s="316"/>
      <c r="Z201" s="316"/>
      <c r="AA201">
        <f>SUM(AA217:AA218)</f>
        <v>-55</v>
      </c>
      <c r="AB201" s="316"/>
      <c r="AC201" s="316"/>
      <c r="AD201" s="316"/>
      <c r="AE201" s="316"/>
      <c r="AF201">
        <f>SUM(AF217:AF218)</f>
        <v>-72</v>
      </c>
      <c r="AG201" s="316"/>
      <c r="AH201" s="316"/>
      <c r="AI201" s="316"/>
      <c r="AJ201" s="316"/>
      <c r="AK201">
        <f>SUM(AK217:AK218)</f>
        <v>18</v>
      </c>
      <c r="AL201" s="316"/>
      <c r="AM201" s="316"/>
      <c r="AN201" s="316"/>
      <c r="AO201" s="316"/>
      <c r="AP201">
        <f>SUM(AP217:AP218)</f>
        <v>-114</v>
      </c>
      <c r="AQ201" s="316"/>
      <c r="AR201" s="316"/>
      <c r="AS201" s="316"/>
      <c r="AT201" s="316"/>
      <c r="AU201">
        <f>SUM(AU217:AU218)</f>
        <v>-141</v>
      </c>
      <c r="AV201" s="316"/>
      <c r="AW201" s="316"/>
      <c r="AX201" s="316"/>
      <c r="AY201" s="316"/>
      <c r="AZ201">
        <f>SUM(AZ217:AZ218)</f>
        <v>-195</v>
      </c>
      <c r="BA201" s="316"/>
      <c r="BB201" s="316"/>
      <c r="BC201" s="316"/>
      <c r="BD201" s="316"/>
      <c r="BE201">
        <f t="shared" ref="BE201:BJ201" si="172">SUM(BE217:BE218)</f>
        <v>-71</v>
      </c>
      <c r="BF201" s="505">
        <f t="shared" si="172"/>
        <v>0</v>
      </c>
      <c r="BG201" s="505">
        <f t="shared" si="172"/>
        <v>0</v>
      </c>
      <c r="BH201" s="505">
        <f t="shared" si="172"/>
        <v>0</v>
      </c>
      <c r="BI201" s="505">
        <f t="shared" si="172"/>
        <v>0</v>
      </c>
      <c r="BJ201">
        <f t="shared" si="172"/>
        <v>67</v>
      </c>
      <c r="BK201" s="505">
        <f t="shared" ref="BK201:BL201" si="173">SUM(BK217:BK218)</f>
        <v>0</v>
      </c>
      <c r="BL201" s="505">
        <f t="shared" si="173"/>
        <v>0</v>
      </c>
      <c r="BM201" s="505">
        <f t="shared" ref="BM201:BN201" si="174">SUM(BM217:BM218)</f>
        <v>0</v>
      </c>
      <c r="BN201" s="505">
        <f t="shared" si="174"/>
        <v>0</v>
      </c>
    </row>
    <row r="202" spans="1:67">
      <c r="A202" s="538" t="s">
        <v>3636</v>
      </c>
      <c r="B202" s="406"/>
      <c r="F202" s="316"/>
      <c r="G202" s="316"/>
      <c r="H202" s="316"/>
      <c r="I202" s="316"/>
      <c r="J202" s="316"/>
      <c r="K202" s="316"/>
      <c r="L202">
        <f>SUM(L219:L220)</f>
        <v>-524</v>
      </c>
      <c r="M202" s="316"/>
      <c r="N202" s="316"/>
      <c r="O202" s="316"/>
      <c r="P202" s="316"/>
      <c r="Q202">
        <f>SUM(Q219:Q220)</f>
        <v>30</v>
      </c>
      <c r="R202" s="316"/>
      <c r="S202" s="316"/>
      <c r="T202" s="316"/>
      <c r="U202" s="316"/>
      <c r="V202">
        <f>SUM(V219:V220)</f>
        <v>256</v>
      </c>
      <c r="W202" s="316"/>
      <c r="X202" s="316"/>
      <c r="Y202" s="316"/>
      <c r="Z202" s="316"/>
      <c r="AA202">
        <f>SUM(AA219:AA220)</f>
        <v>201</v>
      </c>
      <c r="AB202" s="316"/>
      <c r="AC202" s="316"/>
      <c r="AD202" s="316"/>
      <c r="AE202" s="316"/>
      <c r="AF202">
        <f>SUM(AF219:AF220)</f>
        <v>258</v>
      </c>
      <c r="AG202" s="316"/>
      <c r="AH202" s="316"/>
      <c r="AI202" s="316"/>
      <c r="AJ202" s="316"/>
      <c r="AK202">
        <f>SUM(AK219:AK220)</f>
        <v>136</v>
      </c>
      <c r="AL202" s="316"/>
      <c r="AM202" s="316"/>
      <c r="AN202" s="316"/>
      <c r="AO202" s="316"/>
      <c r="AP202">
        <f>SUM(AP219:AP220)</f>
        <v>-29</v>
      </c>
      <c r="AQ202" s="316"/>
      <c r="AR202" s="316"/>
      <c r="AS202" s="316"/>
      <c r="AT202" s="316"/>
      <c r="AU202">
        <f>SUM(AU219:AU220)</f>
        <v>-16</v>
      </c>
      <c r="AV202" s="316"/>
      <c r="AW202" s="316"/>
      <c r="AX202" s="316"/>
      <c r="AY202" s="316"/>
      <c r="AZ202">
        <f>SUM(AZ219:AZ220)</f>
        <v>211</v>
      </c>
      <c r="BA202" s="316"/>
      <c r="BB202" s="316"/>
      <c r="BC202" s="316"/>
      <c r="BD202" s="316"/>
      <c r="BE202">
        <f t="shared" ref="BE202:BJ202" si="175">SUM(BE219:BE220)</f>
        <v>267</v>
      </c>
      <c r="BF202" s="505">
        <f t="shared" si="175"/>
        <v>0</v>
      </c>
      <c r="BG202" s="505">
        <f t="shared" si="175"/>
        <v>0</v>
      </c>
      <c r="BH202" s="505">
        <f t="shared" si="175"/>
        <v>0</v>
      </c>
      <c r="BI202" s="505">
        <f t="shared" si="175"/>
        <v>0</v>
      </c>
      <c r="BJ202">
        <f t="shared" si="175"/>
        <v>538</v>
      </c>
      <c r="BK202" s="505">
        <f t="shared" ref="BK202:BL202" si="176">SUM(BK219:BK220)</f>
        <v>0</v>
      </c>
      <c r="BL202" s="505">
        <f t="shared" si="176"/>
        <v>0</v>
      </c>
      <c r="BM202" s="505">
        <f t="shared" ref="BM202:BN202" si="177">SUM(BM219:BM220)</f>
        <v>0</v>
      </c>
      <c r="BN202" s="505">
        <f t="shared" si="177"/>
        <v>0</v>
      </c>
    </row>
    <row r="203" spans="1:67">
      <c r="A203" s="137" t="s">
        <v>2720</v>
      </c>
      <c r="B203" s="406"/>
      <c r="F203" s="316"/>
      <c r="G203" s="316"/>
      <c r="H203" s="316"/>
      <c r="I203" s="316"/>
      <c r="J203" s="316"/>
      <c r="K203" s="316"/>
      <c r="L203">
        <f>L227</f>
        <v>340</v>
      </c>
      <c r="M203" s="316"/>
      <c r="N203" s="316"/>
      <c r="O203" s="316"/>
      <c r="P203" s="316"/>
      <c r="Q203">
        <f>Q227</f>
        <v>-92</v>
      </c>
      <c r="R203" s="316"/>
      <c r="S203" s="316"/>
      <c r="T203" s="316"/>
      <c r="U203" s="316"/>
      <c r="V203">
        <f>V227</f>
        <v>-298</v>
      </c>
      <c r="W203" s="316"/>
      <c r="X203" s="316"/>
      <c r="Y203" s="316"/>
      <c r="Z203" s="316"/>
      <c r="AA203">
        <f>AA227</f>
        <v>650</v>
      </c>
      <c r="AB203" s="316"/>
      <c r="AC203" s="316"/>
      <c r="AD203" s="316"/>
      <c r="AE203" s="316"/>
      <c r="AF203">
        <f>AF227</f>
        <v>19217</v>
      </c>
      <c r="AG203" s="316"/>
      <c r="AH203" s="316"/>
      <c r="AI203" s="316"/>
      <c r="AJ203" s="316"/>
      <c r="AK203">
        <f>AK227</f>
        <v>2976</v>
      </c>
      <c r="AL203" s="316"/>
      <c r="AM203" s="316"/>
      <c r="AN203" s="316"/>
      <c r="AO203" s="316"/>
      <c r="AP203">
        <f>AP227</f>
        <v>5340</v>
      </c>
      <c r="AQ203" s="316"/>
      <c r="AR203" s="316"/>
      <c r="AS203" s="316"/>
      <c r="AT203" s="316"/>
      <c r="AU203">
        <f>AU227</f>
        <v>1061</v>
      </c>
      <c r="AV203" s="316"/>
      <c r="AW203" s="316"/>
      <c r="AX203" s="316"/>
      <c r="AY203" s="316"/>
      <c r="AZ203">
        <f>AZ227</f>
        <v>1119</v>
      </c>
      <c r="BA203" s="316"/>
      <c r="BB203" s="316"/>
      <c r="BC203" s="316"/>
      <c r="BD203" s="316"/>
      <c r="BE203">
        <f t="shared" ref="BE203:BJ203" si="178">BE227</f>
        <v>11792</v>
      </c>
      <c r="BF203" s="505">
        <f t="shared" si="178"/>
        <v>735</v>
      </c>
      <c r="BG203" s="505">
        <f t="shared" si="178"/>
        <v>4565</v>
      </c>
      <c r="BH203" s="505">
        <f t="shared" si="178"/>
        <v>-184</v>
      </c>
      <c r="BI203" s="505">
        <f t="shared" si="178"/>
        <v>-629</v>
      </c>
      <c r="BJ203">
        <f t="shared" si="178"/>
        <v>4487</v>
      </c>
      <c r="BK203" s="505">
        <f t="shared" ref="BK203:BL203" si="179">BK227</f>
        <v>-177</v>
      </c>
      <c r="BL203" s="505">
        <f t="shared" si="179"/>
        <v>183</v>
      </c>
      <c r="BM203" s="505">
        <f t="shared" ref="BM203:BN203" si="180">BM227</f>
        <v>-144</v>
      </c>
      <c r="BN203" s="505">
        <f t="shared" si="180"/>
        <v>2244</v>
      </c>
    </row>
    <row r="204" spans="1:67">
      <c r="A204" s="538" t="s">
        <v>1246</v>
      </c>
      <c r="B204" s="406"/>
      <c r="F204" s="316"/>
      <c r="G204" s="316"/>
      <c r="H204" s="316"/>
      <c r="I204" s="316"/>
      <c r="J204" s="316"/>
      <c r="K204" s="316"/>
      <c r="L204">
        <f>SUM(L222:L225)</f>
        <v>-47</v>
      </c>
      <c r="M204" s="316"/>
      <c r="N204" s="316"/>
      <c r="O204" s="316"/>
      <c r="P204" s="316"/>
      <c r="Q204">
        <f>SUM(Q222:Q225)</f>
        <v>-636</v>
      </c>
      <c r="R204" s="316"/>
      <c r="S204" s="316"/>
      <c r="T204" s="316"/>
      <c r="U204" s="316"/>
      <c r="V204">
        <f>SUM(V222:V225)</f>
        <v>-305</v>
      </c>
      <c r="W204" s="316"/>
      <c r="X204" s="316"/>
      <c r="Y204" s="316"/>
      <c r="Z204" s="316"/>
      <c r="AA204">
        <f>SUM(AA222:AA225)</f>
        <v>-245</v>
      </c>
      <c r="AB204" s="316"/>
      <c r="AC204" s="316"/>
      <c r="AD204" s="316"/>
      <c r="AE204" s="316"/>
      <c r="AF204">
        <f>SUM(AF222:AF225)</f>
        <v>-809</v>
      </c>
      <c r="AG204" s="316"/>
      <c r="AH204" s="316"/>
      <c r="AI204" s="316"/>
      <c r="AJ204" s="316"/>
      <c r="AK204">
        <f>SUM(AK222:AK225)</f>
        <v>-1355</v>
      </c>
      <c r="AL204" s="316"/>
      <c r="AM204" s="316"/>
      <c r="AN204" s="316"/>
      <c r="AO204" s="316"/>
      <c r="AP204">
        <f>SUM(AP222:AP225)</f>
        <v>-902</v>
      </c>
      <c r="AQ204" s="316"/>
      <c r="AR204" s="316"/>
      <c r="AS204" s="316"/>
      <c r="AT204" s="316"/>
      <c r="AU204">
        <f>SUM(AU222:AU225)</f>
        <v>-143</v>
      </c>
      <c r="AV204" s="316"/>
      <c r="AW204" s="316"/>
      <c r="AX204" s="316"/>
      <c r="AY204" s="316"/>
      <c r="AZ204">
        <f>SUM(AZ222:AZ225)</f>
        <v>60</v>
      </c>
      <c r="BA204" s="316"/>
      <c r="BB204" s="316"/>
      <c r="BC204" s="316"/>
      <c r="BD204" s="316"/>
      <c r="BE204">
        <f t="shared" ref="BE204:BJ204" si="181">SUM(BE222:BE225)</f>
        <v>35</v>
      </c>
      <c r="BF204" s="505">
        <f t="shared" si="181"/>
        <v>459</v>
      </c>
      <c r="BG204" s="505">
        <f t="shared" si="181"/>
        <v>261</v>
      </c>
      <c r="BH204" s="505">
        <f t="shared" si="181"/>
        <v>274</v>
      </c>
      <c r="BI204" s="505">
        <f t="shared" si="181"/>
        <v>113</v>
      </c>
      <c r="BJ204">
        <f t="shared" si="181"/>
        <v>502</v>
      </c>
      <c r="BK204" s="505">
        <f t="shared" ref="BK204:BL204" si="182">SUM(BK222:BK225)</f>
        <v>341</v>
      </c>
      <c r="BL204" s="505">
        <f t="shared" si="182"/>
        <v>294</v>
      </c>
      <c r="BM204" s="505">
        <f t="shared" ref="BM204:BN204" si="183">SUM(BM222:BM225)</f>
        <v>180</v>
      </c>
      <c r="BN204" s="505">
        <f t="shared" si="183"/>
        <v>245</v>
      </c>
    </row>
    <row r="205" spans="1:67">
      <c r="A205" s="538" t="s">
        <v>3638</v>
      </c>
      <c r="B205" s="406"/>
      <c r="F205" s="316"/>
      <c r="G205" s="316"/>
      <c r="H205" s="316"/>
      <c r="I205" s="316"/>
      <c r="J205" s="316"/>
      <c r="K205" s="316"/>
      <c r="L205">
        <f>SUM(L229:L232)+L209</f>
        <v>0</v>
      </c>
      <c r="M205" s="316"/>
      <c r="N205" s="316"/>
      <c r="O205" s="316"/>
      <c r="P205" s="316"/>
      <c r="Q205">
        <f>SUM(Q229:Q232)+Q209</f>
        <v>0</v>
      </c>
      <c r="R205" s="316"/>
      <c r="S205" s="316"/>
      <c r="T205" s="316"/>
      <c r="U205" s="316"/>
      <c r="V205">
        <f>SUM(V229:V232)+V209</f>
        <v>0</v>
      </c>
      <c r="W205" s="316"/>
      <c r="X205" s="316"/>
      <c r="Y205" s="316"/>
      <c r="Z205" s="316"/>
      <c r="AA205">
        <f>SUM(AA229:AA232)+AA209</f>
        <v>0</v>
      </c>
      <c r="AB205" s="316"/>
      <c r="AC205" s="316"/>
      <c r="AD205" s="316"/>
      <c r="AE205" s="316"/>
      <c r="AF205">
        <f>SUM(AF229:AF232)+AF209</f>
        <v>0</v>
      </c>
      <c r="AG205" s="316"/>
      <c r="AH205" s="316"/>
      <c r="AI205" s="316"/>
      <c r="AJ205" s="316"/>
      <c r="AK205">
        <f>SUM(AK229:AK232)+AK209</f>
        <v>-20137</v>
      </c>
      <c r="AL205" s="316"/>
      <c r="AM205" s="316"/>
      <c r="AN205" s="316"/>
      <c r="AO205" s="316"/>
      <c r="AP205">
        <f>SUM(AP229:AP232)+AP209</f>
        <v>-5107</v>
      </c>
      <c r="AQ205" s="316"/>
      <c r="AR205" s="316"/>
      <c r="AS205" s="316"/>
      <c r="AT205" s="316"/>
      <c r="AU205">
        <f>SUM(AU229:AU232)+AU209</f>
        <v>-2368</v>
      </c>
      <c r="AV205" s="316"/>
      <c r="AW205" s="316"/>
      <c r="AX205" s="316"/>
      <c r="AY205" s="316"/>
      <c r="AZ205">
        <f>SUM(AZ229:AZ232)+AZ209</f>
        <v>11198</v>
      </c>
      <c r="BA205" s="316"/>
      <c r="BB205" s="316"/>
      <c r="BC205" s="316"/>
      <c r="BD205" s="316"/>
      <c r="BE205">
        <f t="shared" ref="BE205:BJ205" si="184">SUM(BE229:BE232)+BE209</f>
        <v>1157</v>
      </c>
      <c r="BF205" s="505">
        <f t="shared" si="184"/>
        <v>-956</v>
      </c>
      <c r="BG205" s="505">
        <f t="shared" si="184"/>
        <v>-2159</v>
      </c>
      <c r="BH205" s="505">
        <f t="shared" si="184"/>
        <v>-1706</v>
      </c>
      <c r="BI205" s="505">
        <f t="shared" si="184"/>
        <v>-1594</v>
      </c>
      <c r="BJ205">
        <f t="shared" si="184"/>
        <v>-6415</v>
      </c>
      <c r="BK205" s="505">
        <f t="shared" ref="BK205:BL205" si="185">SUM(BK229:BK232)+BK209</f>
        <v>-2300</v>
      </c>
      <c r="BL205" s="505">
        <f t="shared" si="185"/>
        <v>-1397</v>
      </c>
      <c r="BM205" s="505">
        <f t="shared" ref="BM205:BN205" si="186">SUM(BM229:BM232)+BM209</f>
        <v>-1095</v>
      </c>
      <c r="BN205" s="505">
        <f t="shared" si="186"/>
        <v>-1260</v>
      </c>
    </row>
    <row r="206" spans="1:67">
      <c r="A206" s="538" t="s">
        <v>3640</v>
      </c>
      <c r="B206" s="406"/>
      <c r="F206" s="316"/>
      <c r="G206" s="316"/>
      <c r="H206" s="316"/>
      <c r="I206" s="316"/>
      <c r="J206" s="316"/>
      <c r="K206" s="316"/>
      <c r="L206">
        <f>-L235+L234</f>
        <v>-1402</v>
      </c>
      <c r="M206" s="316"/>
      <c r="N206" s="316"/>
      <c r="O206" s="316"/>
      <c r="P206" s="316"/>
      <c r="Q206">
        <f>-Q235+Q234</f>
        <v>1370</v>
      </c>
      <c r="R206" s="316"/>
      <c r="S206" s="316"/>
      <c r="T206" s="316"/>
      <c r="U206" s="316"/>
      <c r="V206">
        <f>-V235+V234</f>
        <v>-207</v>
      </c>
      <c r="W206" s="316"/>
      <c r="X206" s="316"/>
      <c r="Y206" s="316"/>
      <c r="Z206" s="316"/>
      <c r="AA206">
        <f>-AA235+AA234</f>
        <v>2041</v>
      </c>
      <c r="AB206" s="316"/>
      <c r="AC206" s="316"/>
      <c r="AD206" s="316"/>
      <c r="AE206" s="316"/>
      <c r="AF206">
        <f>-AF235+AF234</f>
        <v>-8111</v>
      </c>
      <c r="AG206" s="316"/>
      <c r="AH206" s="316"/>
      <c r="AI206" s="316"/>
      <c r="AJ206" s="316"/>
      <c r="AK206">
        <f>-AK235+AK234</f>
        <v>4702</v>
      </c>
      <c r="AL206" s="316"/>
      <c r="AM206" s="316"/>
      <c r="AN206" s="316"/>
      <c r="AO206" s="316"/>
      <c r="AP206">
        <f>-AP235+AP234</f>
        <v>541</v>
      </c>
      <c r="AQ206" s="316"/>
      <c r="AR206" s="316"/>
      <c r="AS206" s="316"/>
      <c r="AT206" s="316"/>
      <c r="AU206">
        <f>-AU235+AU234</f>
        <v>156</v>
      </c>
      <c r="AV206" s="316"/>
      <c r="AW206" s="316"/>
      <c r="AX206" s="316"/>
      <c r="AY206" s="316"/>
      <c r="AZ206">
        <f>-AZ235+AZ234</f>
        <v>-3840</v>
      </c>
      <c r="BA206" s="316"/>
      <c r="BB206" s="316"/>
      <c r="BC206" s="316"/>
      <c r="BD206" s="316"/>
      <c r="BE206">
        <f t="shared" ref="BE206:BJ206" si="187">-BE235+BE234</f>
        <v>-5427</v>
      </c>
      <c r="BF206" s="505">
        <f t="shared" si="187"/>
        <v>-579</v>
      </c>
      <c r="BG206" s="505">
        <f t="shared" si="187"/>
        <v>-2075</v>
      </c>
      <c r="BH206" s="505">
        <f t="shared" si="187"/>
        <v>-709</v>
      </c>
      <c r="BI206" s="505">
        <f t="shared" si="187"/>
        <v>-642</v>
      </c>
      <c r="BJ206">
        <f t="shared" si="187"/>
        <v>-4005</v>
      </c>
      <c r="BK206" s="505">
        <f t="shared" ref="BK206:BL206" si="188">-BK235+BK234</f>
        <v>-233</v>
      </c>
      <c r="BL206" s="505">
        <f t="shared" si="188"/>
        <v>-43</v>
      </c>
      <c r="BM206" s="505">
        <f t="shared" ref="BM206:BN206" si="189">-BM235+BM234</f>
        <v>-100</v>
      </c>
      <c r="BN206" s="505">
        <f t="shared" si="189"/>
        <v>86</v>
      </c>
    </row>
    <row r="207" spans="1:67">
      <c r="A207" s="406"/>
      <c r="B207" s="406"/>
      <c r="BF207" s="505"/>
      <c r="BG207" s="505"/>
      <c r="BH207" s="505"/>
      <c r="BI207" s="505"/>
      <c r="BK207" s="505"/>
      <c r="BL207" s="505"/>
      <c r="BM207" s="505"/>
      <c r="BN207" s="505"/>
    </row>
    <row r="208" spans="1:67">
      <c r="A208" s="406" t="s">
        <v>3631</v>
      </c>
      <c r="B208" s="406"/>
      <c r="F208" s="316"/>
      <c r="G208" s="316"/>
      <c r="H208" s="316"/>
      <c r="I208" s="316"/>
      <c r="J208" s="316"/>
      <c r="K208" s="316"/>
      <c r="L208">
        <f>L159</f>
        <v>28172</v>
      </c>
      <c r="M208" s="316"/>
      <c r="N208" s="316"/>
      <c r="O208" s="316"/>
      <c r="P208" s="316"/>
      <c r="Q208">
        <f>Q159</f>
        <v>24709</v>
      </c>
      <c r="R208" s="316"/>
      <c r="S208" s="316"/>
      <c r="T208" s="316"/>
      <c r="U208" s="316"/>
      <c r="V208">
        <f>V159</f>
        <v>38095</v>
      </c>
      <c r="W208" s="316"/>
      <c r="X208" s="316"/>
      <c r="Y208" s="316"/>
      <c r="Z208" s="316"/>
      <c r="AA208">
        <f>AA159</f>
        <v>27716</v>
      </c>
      <c r="AB208" s="316"/>
      <c r="AC208" s="316"/>
      <c r="AD208" s="316"/>
      <c r="AE208" s="316"/>
      <c r="AF208">
        <f>AF159</f>
        <v>13616</v>
      </c>
      <c r="AG208" s="316"/>
      <c r="AH208" s="316"/>
      <c r="AI208" s="316"/>
      <c r="AJ208" s="316"/>
      <c r="AK208">
        <f>AK159</f>
        <v>22154</v>
      </c>
      <c r="AL208" s="316"/>
      <c r="AM208" s="316"/>
      <c r="AN208" s="316"/>
      <c r="AO208" s="316"/>
      <c r="AP208">
        <f>AP159</f>
        <v>20397</v>
      </c>
      <c r="AQ208" s="316"/>
      <c r="AR208" s="316"/>
      <c r="AS208" s="316"/>
      <c r="AT208" s="316"/>
      <c r="AU208">
        <f>AU159</f>
        <v>21100</v>
      </c>
      <c r="AV208" s="316"/>
      <c r="AW208" s="316"/>
      <c r="AX208" s="316"/>
      <c r="AY208" s="316"/>
      <c r="AZ208">
        <f>AZ159</f>
        <v>32754</v>
      </c>
      <c r="BA208" s="316"/>
      <c r="BB208" s="316"/>
      <c r="BC208" s="316"/>
      <c r="BD208" s="316"/>
      <c r="BE208">
        <f t="shared" ref="BE208:BJ208" si="190">BE159</f>
        <v>19133</v>
      </c>
      <c r="BF208" s="505">
        <f t="shared" si="190"/>
        <v>1872</v>
      </c>
      <c r="BG208" s="505">
        <f t="shared" si="190"/>
        <v>3883</v>
      </c>
      <c r="BH208" s="505">
        <f t="shared" si="190"/>
        <v>2508</v>
      </c>
      <c r="BI208" s="505">
        <f t="shared" si="190"/>
        <v>2428</v>
      </c>
      <c r="BJ208">
        <f t="shared" si="190"/>
        <v>10691</v>
      </c>
      <c r="BK208" s="505">
        <f t="shared" ref="BK208:BL208" si="191">BK159</f>
        <v>2114</v>
      </c>
      <c r="BL208" s="505">
        <f t="shared" si="191"/>
        <v>4890</v>
      </c>
      <c r="BM208" s="505">
        <f t="shared" ref="BM208:BN208" si="192">BM159</f>
        <v>6024</v>
      </c>
      <c r="BN208" s="505">
        <f t="shared" si="192"/>
        <v>5903</v>
      </c>
    </row>
    <row r="209" spans="1:67">
      <c r="A209" s="406" t="s">
        <v>3632</v>
      </c>
      <c r="B209" s="406"/>
      <c r="F209" s="316"/>
      <c r="G209" s="316"/>
      <c r="H209" s="316"/>
      <c r="I209" s="316"/>
      <c r="J209" s="316"/>
      <c r="K209" s="316"/>
      <c r="L209">
        <f>-L19</f>
        <v>-380</v>
      </c>
      <c r="M209" s="316"/>
      <c r="N209" s="316"/>
      <c r="O209" s="316"/>
      <c r="P209" s="316"/>
      <c r="Q209">
        <f>-Q19</f>
        <v>5902</v>
      </c>
      <c r="R209" s="316"/>
      <c r="S209" s="316"/>
      <c r="T209" s="316"/>
      <c r="U209" s="316"/>
      <c r="V209">
        <f>-V19</f>
        <v>-5348</v>
      </c>
      <c r="W209" s="316"/>
      <c r="X209" s="316"/>
      <c r="Y209" s="316"/>
      <c r="Z209" s="316"/>
      <c r="AA209">
        <f>-AA19</f>
        <v>3596</v>
      </c>
      <c r="AB209" s="316"/>
      <c r="AC209" s="316"/>
      <c r="AD209" s="316"/>
      <c r="AE209" s="316"/>
      <c r="AF209">
        <f>-AF19</f>
        <v>-1092</v>
      </c>
      <c r="AG209" s="316"/>
      <c r="AH209" s="316"/>
      <c r="AI209" s="316"/>
      <c r="AJ209" s="316"/>
      <c r="AK209">
        <f>-AK19</f>
        <v>-469</v>
      </c>
      <c r="AL209" s="316"/>
      <c r="AM209" s="316"/>
      <c r="AN209" s="316"/>
      <c r="AO209" s="316"/>
      <c r="AP209">
        <f>-AP19</f>
        <v>1744</v>
      </c>
      <c r="AQ209" s="316"/>
      <c r="AR209" s="316"/>
      <c r="AS209" s="316"/>
      <c r="AT209" s="316"/>
      <c r="AU209">
        <f>-AU19</f>
        <v>4475</v>
      </c>
      <c r="AV209" s="316"/>
      <c r="AW209" s="316"/>
      <c r="AX209" s="316"/>
      <c r="AY209" s="316"/>
      <c r="AZ209">
        <f>-AZ19</f>
        <v>-2652</v>
      </c>
      <c r="BA209" s="316"/>
      <c r="BB209" s="316"/>
      <c r="BC209" s="316"/>
      <c r="BD209" s="316"/>
      <c r="BE209">
        <f t="shared" ref="BE209:BJ209" si="193">-BE19</f>
        <v>314</v>
      </c>
      <c r="BF209" s="505">
        <f t="shared" si="193"/>
        <v>771</v>
      </c>
      <c r="BG209" s="505">
        <f t="shared" si="193"/>
        <v>-1296</v>
      </c>
      <c r="BH209" s="505">
        <f t="shared" si="193"/>
        <v>-705</v>
      </c>
      <c r="BI209" s="505">
        <f t="shared" si="193"/>
        <v>-1987</v>
      </c>
      <c r="BJ209">
        <f t="shared" si="193"/>
        <v>-3217</v>
      </c>
      <c r="BK209" s="505">
        <f t="shared" ref="BK209:BL209" si="194">-BK19</f>
        <v>1300</v>
      </c>
      <c r="BL209" s="505">
        <f t="shared" si="194"/>
        <v>-1400</v>
      </c>
      <c r="BM209" s="505">
        <f t="shared" ref="BM209:BN209" si="195">-BM19</f>
        <v>-1400</v>
      </c>
      <c r="BN209" s="505">
        <f t="shared" si="195"/>
        <v>-1200</v>
      </c>
    </row>
    <row r="210" spans="1:67">
      <c r="A210" s="726" t="s">
        <v>3627</v>
      </c>
      <c r="B210" s="406"/>
      <c r="F210" s="316"/>
      <c r="G210" s="316"/>
      <c r="H210" s="316"/>
      <c r="I210" s="316"/>
      <c r="J210" s="316"/>
      <c r="K210" s="316"/>
      <c r="L210">
        <f>-'Income statement'!L38</f>
        <v>37</v>
      </c>
      <c r="M210" s="316"/>
      <c r="N210" s="316"/>
      <c r="O210" s="316"/>
      <c r="P210" s="316"/>
      <c r="Q210">
        <f>-'Income statement'!Q38</f>
        <v>-2475</v>
      </c>
      <c r="R210" s="316"/>
      <c r="S210" s="316"/>
      <c r="T210" s="316"/>
      <c r="U210" s="316"/>
      <c r="V210">
        <f>-'Income statement'!V38</f>
        <v>4436</v>
      </c>
      <c r="W210" s="316"/>
      <c r="X210" s="316"/>
      <c r="Y210" s="316"/>
      <c r="Z210" s="316"/>
      <c r="AA210">
        <f>-'Income statement'!AA38</f>
        <v>-2623</v>
      </c>
      <c r="AB210" s="316"/>
      <c r="AC210" s="316"/>
      <c r="AD210" s="316"/>
      <c r="AE210" s="316"/>
      <c r="AF210">
        <f>-'Income statement'!AF38</f>
        <v>-1195</v>
      </c>
      <c r="AG210" s="316"/>
      <c r="AH210" s="316"/>
      <c r="AI210" s="316"/>
      <c r="AJ210" s="316"/>
      <c r="AK210">
        <f>-'Income statement'!AK38</f>
        <v>-1800</v>
      </c>
      <c r="AL210" s="316"/>
      <c r="AM210" s="316"/>
      <c r="AN210" s="316"/>
      <c r="AO210" s="316"/>
      <c r="AP210">
        <f>-'Income statement'!AP38</f>
        <v>411</v>
      </c>
      <c r="AQ210" s="316"/>
      <c r="AR210" s="316"/>
      <c r="AS210" s="316"/>
      <c r="AT210" s="316"/>
      <c r="AU210">
        <f>-'Income statement'!AU38</f>
        <v>230</v>
      </c>
      <c r="AV210" s="316"/>
      <c r="AW210" s="316"/>
      <c r="AX210" s="316"/>
      <c r="AY210" s="316"/>
      <c r="AZ210">
        <f>-'Income statement'!AZ38</f>
        <v>4293</v>
      </c>
      <c r="BA210" s="316"/>
      <c r="BB210" s="316"/>
      <c r="BC210" s="316"/>
      <c r="BD210" s="316"/>
      <c r="BE210">
        <f>-'Income statement'!BE38</f>
        <v>1320</v>
      </c>
      <c r="BF210" s="505">
        <f>-'Income statement'!BF38</f>
        <v>98</v>
      </c>
      <c r="BG210" s="505">
        <f>-'Income statement'!BG38</f>
        <v>-828</v>
      </c>
      <c r="BH210" s="505">
        <f>-'Income statement'!BH38</f>
        <v>41</v>
      </c>
      <c r="BI210" s="505">
        <f>-'Income statement'!BI38</f>
        <v>-425</v>
      </c>
      <c r="BJ210">
        <f>-'Income statement'!BJ38</f>
        <v>-1114</v>
      </c>
      <c r="BK210" s="505">
        <f>-'Income statement'!BK38</f>
        <v>-37</v>
      </c>
      <c r="BL210" s="505">
        <f>-'Income statement'!BL38</f>
        <v>409</v>
      </c>
      <c r="BM210" s="505">
        <f>-'Income statement'!BM38</f>
        <v>-390</v>
      </c>
      <c r="BN210" s="505">
        <f>-'Income statement'!BN38</f>
        <v>-610</v>
      </c>
    </row>
    <row r="211" spans="1:67">
      <c r="A211" s="432" t="s">
        <v>3633</v>
      </c>
      <c r="B211" s="406"/>
      <c r="F211" s="316"/>
      <c r="G211" s="316"/>
      <c r="H211" s="316"/>
      <c r="I211" s="316"/>
      <c r="J211" s="316"/>
      <c r="K211" s="316"/>
      <c r="L211" s="289">
        <f>SUM(L208:L210)</f>
        <v>27829</v>
      </c>
      <c r="M211" s="316"/>
      <c r="N211" s="316"/>
      <c r="O211" s="316"/>
      <c r="P211" s="316"/>
      <c r="Q211" s="289">
        <f>SUM(Q208:Q210)</f>
        <v>28136</v>
      </c>
      <c r="R211" s="316"/>
      <c r="S211" s="316"/>
      <c r="T211" s="316"/>
      <c r="U211" s="316"/>
      <c r="V211" s="289">
        <f>SUM(V208:V210)</f>
        <v>37183</v>
      </c>
      <c r="W211" s="316"/>
      <c r="X211" s="316"/>
      <c r="Y211" s="316"/>
      <c r="Z211" s="316"/>
      <c r="AA211" s="289">
        <f>SUM(AA208:AA210)</f>
        <v>28689</v>
      </c>
      <c r="AB211" s="316"/>
      <c r="AC211" s="316"/>
      <c r="AD211" s="316"/>
      <c r="AE211" s="316"/>
      <c r="AF211" s="289">
        <f>SUM(AF208:AF210)</f>
        <v>11329</v>
      </c>
      <c r="AG211" s="316"/>
      <c r="AH211" s="316"/>
      <c r="AI211" s="316"/>
      <c r="AJ211" s="316"/>
      <c r="AK211" s="289">
        <f>SUM(AK208:AK210)</f>
        <v>19885</v>
      </c>
      <c r="AL211" s="316"/>
      <c r="AM211" s="316"/>
      <c r="AN211" s="316"/>
      <c r="AO211" s="316"/>
      <c r="AP211" s="289">
        <f>SUM(AP208:AP210)</f>
        <v>22552</v>
      </c>
      <c r="AQ211" s="316"/>
      <c r="AR211" s="316"/>
      <c r="AS211" s="316"/>
      <c r="AT211" s="316"/>
      <c r="AU211" s="289">
        <f>SUM(AU208:AU210)</f>
        <v>25805</v>
      </c>
      <c r="AV211" s="316"/>
      <c r="AW211" s="316"/>
      <c r="AX211" s="316"/>
      <c r="AY211" s="316"/>
      <c r="AZ211" s="289">
        <f>SUM(AZ208:AZ210)</f>
        <v>34395</v>
      </c>
      <c r="BA211" s="316"/>
      <c r="BB211" s="316"/>
      <c r="BC211" s="316"/>
      <c r="BD211" s="316"/>
      <c r="BE211" s="289">
        <f t="shared" ref="BE211:BJ211" si="196">SUM(BE208:BE210)</f>
        <v>20767</v>
      </c>
      <c r="BF211" s="663">
        <f t="shared" si="196"/>
        <v>2741</v>
      </c>
      <c r="BG211" s="663">
        <f t="shared" si="196"/>
        <v>1759</v>
      </c>
      <c r="BH211" s="663">
        <f t="shared" si="196"/>
        <v>1844</v>
      </c>
      <c r="BI211" s="663">
        <f t="shared" si="196"/>
        <v>16</v>
      </c>
      <c r="BJ211" s="289">
        <f t="shared" si="196"/>
        <v>6360</v>
      </c>
      <c r="BK211" s="663">
        <f t="shared" ref="BK211:BL211" si="197">SUM(BK208:BK210)</f>
        <v>3377</v>
      </c>
      <c r="BL211" s="663">
        <f t="shared" si="197"/>
        <v>3899</v>
      </c>
      <c r="BM211" s="663">
        <f t="shared" ref="BM211:BN211" si="198">SUM(BM208:BM210)</f>
        <v>4234</v>
      </c>
      <c r="BN211" s="663">
        <f t="shared" si="198"/>
        <v>4093</v>
      </c>
      <c r="BO211" s="289"/>
    </row>
    <row r="212" spans="1:67">
      <c r="A212" s="406"/>
      <c r="B212" s="406"/>
    </row>
    <row r="213" spans="1:67">
      <c r="A213" s="406"/>
      <c r="B213" s="406"/>
    </row>
    <row r="214" spans="1:67">
      <c r="A214" s="406"/>
      <c r="B214" s="406"/>
    </row>
    <row r="215" spans="1:67">
      <c r="A215" s="727" t="s">
        <v>1451</v>
      </c>
      <c r="B215" s="728"/>
      <c r="C215" s="662"/>
      <c r="D215" s="662"/>
      <c r="E215" s="662"/>
      <c r="F215" s="662"/>
      <c r="G215" s="662"/>
      <c r="H215" s="662"/>
      <c r="I215" s="662"/>
      <c r="J215" s="662"/>
      <c r="K215" s="662"/>
      <c r="L215" s="662">
        <f t="shared" ref="L215:L220" si="199">L142</f>
        <v>-3995</v>
      </c>
      <c r="M215" s="662"/>
      <c r="N215" s="662"/>
      <c r="O215" s="662"/>
      <c r="P215" s="662"/>
      <c r="Q215" s="662">
        <f t="shared" ref="Q215:Q220" si="200">Q142</f>
        <v>-3832</v>
      </c>
      <c r="R215" s="662"/>
      <c r="S215" s="662"/>
      <c r="T215" s="662"/>
      <c r="U215" s="662"/>
      <c r="V215" s="662">
        <f t="shared" ref="V215:V220" si="201">V142</f>
        <v>-3821</v>
      </c>
      <c r="W215" s="662"/>
      <c r="X215" s="662"/>
      <c r="Y215" s="662"/>
      <c r="Z215" s="662"/>
      <c r="AA215" s="662">
        <f t="shared" ref="AA215:AA220" si="202">AA142</f>
        <v>-3901</v>
      </c>
      <c r="AB215" s="662"/>
      <c r="AC215" s="662"/>
      <c r="AD215" s="662"/>
      <c r="AE215" s="662"/>
      <c r="AF215" s="662">
        <f t="shared" ref="AF215:AF220" si="203">AF142</f>
        <v>-4757</v>
      </c>
      <c r="AG215" s="662"/>
      <c r="AH215" s="662"/>
      <c r="AI215" s="662"/>
      <c r="AJ215" s="662"/>
      <c r="AK215" s="662">
        <f t="shared" ref="AK215:AK220" si="204">AK142</f>
        <v>-6220</v>
      </c>
      <c r="AL215" s="662"/>
      <c r="AM215" s="662"/>
      <c r="AN215" s="662"/>
      <c r="AO215" s="662"/>
      <c r="AP215" s="662">
        <f t="shared" ref="AP215:AP220" si="205">AP142</f>
        <v>-4419</v>
      </c>
      <c r="AQ215" s="662"/>
      <c r="AR215" s="662"/>
      <c r="AS215" s="662"/>
      <c r="AT215" s="662"/>
      <c r="AU215" s="662">
        <f t="shared" ref="AU215:AU220" si="206">AU142</f>
        <v>-3189</v>
      </c>
      <c r="AV215" s="662"/>
      <c r="AW215" s="662"/>
      <c r="AX215" s="662"/>
      <c r="AY215" s="662"/>
      <c r="AZ215" s="662">
        <f t="shared" ref="AZ215:AZ220" si="207">AZ142</f>
        <v>-3372</v>
      </c>
      <c r="BA215" s="662"/>
      <c r="BB215" s="662"/>
      <c r="BC215" s="662"/>
      <c r="BD215" s="662"/>
      <c r="BE215" s="662">
        <f t="shared" ref="BE215:BG220" si="208">BE142</f>
        <v>-1811</v>
      </c>
      <c r="BF215" s="662">
        <f t="shared" si="208"/>
        <v>-24</v>
      </c>
      <c r="BG215" s="662">
        <f t="shared" si="208"/>
        <v>-485</v>
      </c>
      <c r="BH215" s="662">
        <f t="shared" ref="BH215:BK215" si="209">BH142</f>
        <v>259</v>
      </c>
      <c r="BI215" s="662">
        <f t="shared" si="209"/>
        <v>-605</v>
      </c>
      <c r="BJ215" s="662">
        <f t="shared" si="209"/>
        <v>-1960</v>
      </c>
      <c r="BK215" s="662">
        <f t="shared" si="209"/>
        <v>-220</v>
      </c>
      <c r="BL215" s="662">
        <f t="shared" ref="BL215:BM215" si="210">BL142</f>
        <v>-103</v>
      </c>
      <c r="BM215" s="662">
        <f t="shared" si="210"/>
        <v>-111</v>
      </c>
      <c r="BN215" s="662">
        <f t="shared" ref="BN215" si="211">BN142</f>
        <v>-820</v>
      </c>
      <c r="BO215" s="662"/>
    </row>
    <row r="216" spans="1:67">
      <c r="A216" s="727" t="s">
        <v>2057</v>
      </c>
      <c r="B216" s="728"/>
      <c r="C216" s="662"/>
      <c r="D216" s="662"/>
      <c r="E216" s="662"/>
      <c r="F216" s="662"/>
      <c r="G216" s="662"/>
      <c r="H216" s="662"/>
      <c r="I216" s="662"/>
      <c r="J216" s="662"/>
      <c r="K216" s="662"/>
      <c r="L216" s="662">
        <f t="shared" si="199"/>
        <v>4495</v>
      </c>
      <c r="M216" s="662"/>
      <c r="N216" s="662"/>
      <c r="O216" s="662"/>
      <c r="P216" s="662"/>
      <c r="Q216" s="662">
        <f t="shared" si="200"/>
        <v>2473</v>
      </c>
      <c r="R216" s="662"/>
      <c r="S216" s="662"/>
      <c r="T216" s="662"/>
      <c r="U216" s="662"/>
      <c r="V216" s="662">
        <f t="shared" si="201"/>
        <v>3728</v>
      </c>
      <c r="W216" s="662"/>
      <c r="X216" s="662"/>
      <c r="Y216" s="662"/>
      <c r="Z216" s="662"/>
      <c r="AA216" s="662">
        <f t="shared" si="202"/>
        <v>3003</v>
      </c>
      <c r="AB216" s="662"/>
      <c r="AC216" s="662"/>
      <c r="AD216" s="662"/>
      <c r="AE216" s="662"/>
      <c r="AF216" s="662">
        <f t="shared" si="203"/>
        <v>3277</v>
      </c>
      <c r="AG216" s="662"/>
      <c r="AH216" s="662"/>
      <c r="AI216" s="662"/>
      <c r="AJ216" s="662"/>
      <c r="AK216" s="662">
        <f t="shared" si="204"/>
        <v>5381</v>
      </c>
      <c r="AL216" s="662"/>
      <c r="AM216" s="662"/>
      <c r="AN216" s="662"/>
      <c r="AO216" s="662"/>
      <c r="AP216" s="662">
        <f t="shared" si="205"/>
        <v>2210</v>
      </c>
      <c r="AQ216" s="662"/>
      <c r="AR216" s="662"/>
      <c r="AS216" s="662"/>
      <c r="AT216" s="662"/>
      <c r="AU216" s="662">
        <f t="shared" si="206"/>
        <v>1391</v>
      </c>
      <c r="AV216" s="662"/>
      <c r="AW216" s="662"/>
      <c r="AX216" s="662"/>
      <c r="AY216" s="662"/>
      <c r="AZ216" s="662">
        <f t="shared" si="207"/>
        <v>1911</v>
      </c>
      <c r="BA216" s="662"/>
      <c r="BB216" s="662"/>
      <c r="BC216" s="662"/>
      <c r="BD216" s="662"/>
      <c r="BE216" s="662">
        <f t="shared" si="208"/>
        <v>1614</v>
      </c>
      <c r="BF216" s="662">
        <f t="shared" si="208"/>
        <v>0</v>
      </c>
      <c r="BG216" s="662">
        <f t="shared" si="208"/>
        <v>0</v>
      </c>
      <c r="BH216" s="662">
        <f t="shared" ref="BH216:BK216" si="212">BH143</f>
        <v>0</v>
      </c>
      <c r="BI216" s="662">
        <f t="shared" si="212"/>
        <v>0</v>
      </c>
      <c r="BJ216" s="662">
        <f t="shared" si="212"/>
        <v>1105</v>
      </c>
      <c r="BK216" s="662">
        <f t="shared" si="212"/>
        <v>0</v>
      </c>
      <c r="BL216" s="662">
        <f t="shared" ref="BL216:BM216" si="213">BL143</f>
        <v>0</v>
      </c>
      <c r="BM216" s="662">
        <f t="shared" si="213"/>
        <v>0</v>
      </c>
      <c r="BN216" s="662">
        <f t="shared" ref="BN216" si="214">BN143</f>
        <v>0</v>
      </c>
      <c r="BO216" s="662"/>
    </row>
    <row r="217" spans="1:67">
      <c r="A217" s="727" t="s">
        <v>2058</v>
      </c>
      <c r="B217" s="728"/>
      <c r="C217" s="662"/>
      <c r="D217" s="662"/>
      <c r="E217" s="662"/>
      <c r="F217" s="662"/>
      <c r="G217" s="662"/>
      <c r="H217" s="662"/>
      <c r="I217" s="662"/>
      <c r="J217" s="662"/>
      <c r="K217" s="662"/>
      <c r="L217" s="662">
        <f t="shared" si="199"/>
        <v>-473</v>
      </c>
      <c r="M217" s="662"/>
      <c r="N217" s="662"/>
      <c r="O217" s="662"/>
      <c r="P217" s="662"/>
      <c r="Q217" s="662">
        <f t="shared" si="200"/>
        <v>-489</v>
      </c>
      <c r="R217" s="662"/>
      <c r="S217" s="662"/>
      <c r="T217" s="662"/>
      <c r="U217" s="662"/>
      <c r="V217" s="662">
        <f t="shared" si="201"/>
        <v>-407</v>
      </c>
      <c r="W217" s="662"/>
      <c r="X217" s="662"/>
      <c r="Y217" s="662"/>
      <c r="Z217" s="662"/>
      <c r="AA217" s="662">
        <f t="shared" si="202"/>
        <v>-258</v>
      </c>
      <c r="AB217" s="662"/>
      <c r="AC217" s="662"/>
      <c r="AD217" s="662"/>
      <c r="AE217" s="662"/>
      <c r="AF217" s="662">
        <f t="shared" si="203"/>
        <v>-277</v>
      </c>
      <c r="AG217" s="662"/>
      <c r="AH217" s="662"/>
      <c r="AI217" s="662"/>
      <c r="AJ217" s="662"/>
      <c r="AK217" s="662">
        <f t="shared" si="204"/>
        <v>-198</v>
      </c>
      <c r="AL217" s="662"/>
      <c r="AM217" s="662"/>
      <c r="AN217" s="662"/>
      <c r="AO217" s="662"/>
      <c r="AP217" s="662">
        <f t="shared" si="205"/>
        <v>-295</v>
      </c>
      <c r="AQ217" s="662"/>
      <c r="AR217" s="662"/>
      <c r="AS217" s="662"/>
      <c r="AT217" s="662"/>
      <c r="AU217" s="662">
        <f t="shared" si="206"/>
        <v>-314</v>
      </c>
      <c r="AV217" s="662"/>
      <c r="AW217" s="662"/>
      <c r="AX217" s="662"/>
      <c r="AY217" s="662"/>
      <c r="AZ217" s="662">
        <f t="shared" si="207"/>
        <v>-276</v>
      </c>
      <c r="BA217" s="662"/>
      <c r="BB217" s="662"/>
      <c r="BC217" s="662"/>
      <c r="BD217" s="662"/>
      <c r="BE217" s="662">
        <f t="shared" si="208"/>
        <v>-247</v>
      </c>
      <c r="BF217" s="662">
        <f t="shared" si="208"/>
        <v>0</v>
      </c>
      <c r="BG217" s="662">
        <f t="shared" si="208"/>
        <v>0</v>
      </c>
      <c r="BH217" s="662">
        <f t="shared" ref="BH217:BK217" si="215">BH144</f>
        <v>0</v>
      </c>
      <c r="BI217" s="662">
        <f t="shared" si="215"/>
        <v>0</v>
      </c>
      <c r="BJ217" s="662">
        <f t="shared" si="215"/>
        <v>-200</v>
      </c>
      <c r="BK217" s="662">
        <f t="shared" si="215"/>
        <v>0</v>
      </c>
      <c r="BL217" s="662">
        <f t="shared" ref="BL217:BM217" si="216">BL144</f>
        <v>0</v>
      </c>
      <c r="BM217" s="662">
        <f t="shared" si="216"/>
        <v>0</v>
      </c>
      <c r="BN217" s="662">
        <f t="shared" ref="BN217" si="217">BN144</f>
        <v>0</v>
      </c>
      <c r="BO217" s="662"/>
    </row>
    <row r="218" spans="1:67">
      <c r="A218" s="727" t="s">
        <v>1445</v>
      </c>
      <c r="B218" s="728"/>
      <c r="C218" s="662"/>
      <c r="D218" s="662"/>
      <c r="E218" s="662"/>
      <c r="F218" s="662"/>
      <c r="G218" s="662"/>
      <c r="H218" s="662"/>
      <c r="I218" s="662"/>
      <c r="J218" s="662"/>
      <c r="K218" s="662"/>
      <c r="L218" s="662">
        <f t="shared" si="199"/>
        <v>500</v>
      </c>
      <c r="M218" s="662"/>
      <c r="N218" s="662"/>
      <c r="O218" s="662"/>
      <c r="P218" s="662"/>
      <c r="Q218" s="662">
        <f t="shared" si="200"/>
        <v>500</v>
      </c>
      <c r="R218" s="662"/>
      <c r="S218" s="662"/>
      <c r="T218" s="662"/>
      <c r="U218" s="662"/>
      <c r="V218" s="662">
        <f t="shared" si="201"/>
        <v>385</v>
      </c>
      <c r="W218" s="662"/>
      <c r="X218" s="662"/>
      <c r="Y218" s="662"/>
      <c r="Z218" s="662"/>
      <c r="AA218" s="662">
        <f t="shared" si="202"/>
        <v>203</v>
      </c>
      <c r="AB218" s="662"/>
      <c r="AC218" s="662"/>
      <c r="AD218" s="662"/>
      <c r="AE218" s="662"/>
      <c r="AF218" s="662">
        <f t="shared" si="203"/>
        <v>205</v>
      </c>
      <c r="AG218" s="662"/>
      <c r="AH218" s="662"/>
      <c r="AI218" s="662"/>
      <c r="AJ218" s="662"/>
      <c r="AK218" s="662">
        <f t="shared" si="204"/>
        <v>216</v>
      </c>
      <c r="AL218" s="662"/>
      <c r="AM218" s="662"/>
      <c r="AN218" s="662"/>
      <c r="AO218" s="662"/>
      <c r="AP218" s="662">
        <f t="shared" si="205"/>
        <v>181</v>
      </c>
      <c r="AQ218" s="662"/>
      <c r="AR218" s="662"/>
      <c r="AS218" s="662"/>
      <c r="AT218" s="662"/>
      <c r="AU218" s="662">
        <f t="shared" si="206"/>
        <v>173</v>
      </c>
      <c r="AV218" s="662"/>
      <c r="AW218" s="662"/>
      <c r="AX218" s="662"/>
      <c r="AY218" s="662"/>
      <c r="AZ218" s="662">
        <f t="shared" si="207"/>
        <v>81</v>
      </c>
      <c r="BA218" s="662"/>
      <c r="BB218" s="662"/>
      <c r="BC218" s="662"/>
      <c r="BD218" s="662"/>
      <c r="BE218" s="662">
        <f t="shared" si="208"/>
        <v>176</v>
      </c>
      <c r="BF218" s="662">
        <f t="shared" si="208"/>
        <v>0</v>
      </c>
      <c r="BG218" s="662">
        <f t="shared" si="208"/>
        <v>0</v>
      </c>
      <c r="BH218" s="662">
        <f t="shared" ref="BH218:BK218" si="218">BH145</f>
        <v>0</v>
      </c>
      <c r="BI218" s="662">
        <f t="shared" si="218"/>
        <v>0</v>
      </c>
      <c r="BJ218" s="662">
        <f t="shared" si="218"/>
        <v>267</v>
      </c>
      <c r="BK218" s="662">
        <f t="shared" si="218"/>
        <v>0</v>
      </c>
      <c r="BL218" s="662">
        <f t="shared" ref="BL218:BM218" si="219">BL145</f>
        <v>0</v>
      </c>
      <c r="BM218" s="662">
        <f t="shared" si="219"/>
        <v>0</v>
      </c>
      <c r="BN218" s="662">
        <f t="shared" ref="BN218" si="220">BN145</f>
        <v>0</v>
      </c>
      <c r="BO218" s="662"/>
    </row>
    <row r="219" spans="1:67">
      <c r="A219" s="727" t="s">
        <v>350</v>
      </c>
      <c r="B219" s="728"/>
      <c r="C219" s="662"/>
      <c r="D219" s="662"/>
      <c r="E219" s="662"/>
      <c r="F219" s="662"/>
      <c r="G219" s="662"/>
      <c r="H219" s="662"/>
      <c r="I219" s="662"/>
      <c r="J219" s="662"/>
      <c r="K219" s="662"/>
      <c r="L219" s="662">
        <f t="shared" si="199"/>
        <v>718</v>
      </c>
      <c r="M219" s="662"/>
      <c r="N219" s="662"/>
      <c r="O219" s="662"/>
      <c r="P219" s="662"/>
      <c r="Q219" s="662">
        <f t="shared" si="200"/>
        <v>1393</v>
      </c>
      <c r="R219" s="662"/>
      <c r="S219" s="662"/>
      <c r="T219" s="662"/>
      <c r="U219" s="662"/>
      <c r="V219" s="662">
        <f t="shared" si="201"/>
        <v>1547</v>
      </c>
      <c r="W219" s="662"/>
      <c r="X219" s="662"/>
      <c r="Y219" s="662"/>
      <c r="Z219" s="662"/>
      <c r="AA219" s="662">
        <f t="shared" si="202"/>
        <v>1110</v>
      </c>
      <c r="AB219" s="662"/>
      <c r="AC219" s="662"/>
      <c r="AD219" s="662"/>
      <c r="AE219" s="662"/>
      <c r="AF219" s="662">
        <f t="shared" si="203"/>
        <v>1170</v>
      </c>
      <c r="AG219" s="662"/>
      <c r="AH219" s="662"/>
      <c r="AI219" s="662"/>
      <c r="AJ219" s="662"/>
      <c r="AK219" s="662">
        <f t="shared" si="204"/>
        <v>1246</v>
      </c>
      <c r="AL219" s="662"/>
      <c r="AM219" s="662"/>
      <c r="AN219" s="662"/>
      <c r="AO219" s="662"/>
      <c r="AP219" s="662">
        <f t="shared" si="205"/>
        <v>1125</v>
      </c>
      <c r="AQ219" s="662"/>
      <c r="AR219" s="662"/>
      <c r="AS219" s="662"/>
      <c r="AT219" s="662"/>
      <c r="AU219" s="662">
        <f t="shared" si="206"/>
        <v>1068</v>
      </c>
      <c r="AV219" s="662"/>
      <c r="AW219" s="662"/>
      <c r="AX219" s="662"/>
      <c r="AY219" s="662"/>
      <c r="AZ219" s="662">
        <f t="shared" si="207"/>
        <v>1148</v>
      </c>
      <c r="BA219" s="662"/>
      <c r="BB219" s="662"/>
      <c r="BC219" s="662"/>
      <c r="BD219" s="662"/>
      <c r="BE219" s="662">
        <f t="shared" si="208"/>
        <v>1347</v>
      </c>
      <c r="BF219" s="662">
        <f t="shared" si="208"/>
        <v>0</v>
      </c>
      <c r="BG219" s="662">
        <f t="shared" si="208"/>
        <v>0</v>
      </c>
      <c r="BH219" s="662">
        <f t="shared" ref="BH219:BK219" si="221">BH146</f>
        <v>0</v>
      </c>
      <c r="BI219" s="662">
        <f t="shared" si="221"/>
        <v>0</v>
      </c>
      <c r="BJ219" s="662">
        <f t="shared" si="221"/>
        <v>1675</v>
      </c>
      <c r="BK219" s="662">
        <f t="shared" si="221"/>
        <v>0</v>
      </c>
      <c r="BL219" s="662">
        <f t="shared" ref="BL219:BM219" si="222">BL146</f>
        <v>0</v>
      </c>
      <c r="BM219" s="662">
        <f t="shared" si="222"/>
        <v>0</v>
      </c>
      <c r="BN219" s="662">
        <f t="shared" ref="BN219" si="223">BN146</f>
        <v>0</v>
      </c>
      <c r="BO219" s="662"/>
    </row>
    <row r="220" spans="1:67">
      <c r="A220" s="727" t="s">
        <v>1446</v>
      </c>
      <c r="B220" s="728"/>
      <c r="C220" s="662"/>
      <c r="D220" s="662"/>
      <c r="E220" s="662"/>
      <c r="F220" s="662"/>
      <c r="G220" s="662"/>
      <c r="H220" s="662"/>
      <c r="I220" s="662"/>
      <c r="J220" s="662"/>
      <c r="K220" s="662"/>
      <c r="L220" s="662">
        <f t="shared" si="199"/>
        <v>-1242</v>
      </c>
      <c r="M220" s="662"/>
      <c r="N220" s="662"/>
      <c r="O220" s="662"/>
      <c r="P220" s="662"/>
      <c r="Q220" s="662">
        <f t="shared" si="200"/>
        <v>-1363</v>
      </c>
      <c r="R220" s="662"/>
      <c r="S220" s="662"/>
      <c r="T220" s="662"/>
      <c r="U220" s="662"/>
      <c r="V220" s="662">
        <f t="shared" si="201"/>
        <v>-1291</v>
      </c>
      <c r="W220" s="662"/>
      <c r="X220" s="662"/>
      <c r="Y220" s="662"/>
      <c r="Z220" s="662"/>
      <c r="AA220" s="662">
        <f t="shared" si="202"/>
        <v>-909</v>
      </c>
      <c r="AB220" s="662"/>
      <c r="AC220" s="662"/>
      <c r="AD220" s="662"/>
      <c r="AE220" s="662"/>
      <c r="AF220" s="662">
        <f t="shared" si="203"/>
        <v>-912</v>
      </c>
      <c r="AG220" s="662"/>
      <c r="AH220" s="662"/>
      <c r="AI220" s="662"/>
      <c r="AJ220" s="662"/>
      <c r="AK220" s="662">
        <f t="shared" si="204"/>
        <v>-1110</v>
      </c>
      <c r="AL220" s="662"/>
      <c r="AM220" s="662"/>
      <c r="AN220" s="662"/>
      <c r="AO220" s="662"/>
      <c r="AP220" s="662">
        <f t="shared" si="205"/>
        <v>-1154</v>
      </c>
      <c r="AQ220" s="662"/>
      <c r="AR220" s="662"/>
      <c r="AS220" s="662"/>
      <c r="AT220" s="662"/>
      <c r="AU220" s="662">
        <f t="shared" si="206"/>
        <v>-1084</v>
      </c>
      <c r="AV220" s="662"/>
      <c r="AW220" s="662"/>
      <c r="AX220" s="662"/>
      <c r="AY220" s="662"/>
      <c r="AZ220" s="662">
        <f t="shared" si="207"/>
        <v>-937</v>
      </c>
      <c r="BA220" s="662"/>
      <c r="BB220" s="662"/>
      <c r="BC220" s="662"/>
      <c r="BD220" s="662"/>
      <c r="BE220" s="662">
        <f t="shared" si="208"/>
        <v>-1080</v>
      </c>
      <c r="BF220" s="662">
        <f t="shared" si="208"/>
        <v>0</v>
      </c>
      <c r="BG220" s="662">
        <f t="shared" si="208"/>
        <v>0</v>
      </c>
      <c r="BH220" s="662">
        <f t="shared" ref="BH220:BK220" si="224">BH147</f>
        <v>0</v>
      </c>
      <c r="BI220" s="662">
        <f t="shared" si="224"/>
        <v>0</v>
      </c>
      <c r="BJ220" s="662">
        <f t="shared" si="224"/>
        <v>-1137</v>
      </c>
      <c r="BK220" s="662">
        <f t="shared" si="224"/>
        <v>0</v>
      </c>
      <c r="BL220" s="662">
        <f t="shared" ref="BL220:BM220" si="225">BL147</f>
        <v>0</v>
      </c>
      <c r="BM220" s="662">
        <f t="shared" si="225"/>
        <v>0</v>
      </c>
      <c r="BN220" s="662">
        <f t="shared" ref="BN220" si="226">BN147</f>
        <v>0</v>
      </c>
      <c r="BO220" s="662"/>
    </row>
    <row r="221" spans="1:67">
      <c r="A221" s="727"/>
      <c r="B221" s="728"/>
      <c r="C221" s="662"/>
      <c r="D221" s="662"/>
      <c r="E221" s="662"/>
      <c r="F221" s="662"/>
      <c r="G221" s="662"/>
      <c r="H221" s="662"/>
      <c r="I221" s="662"/>
      <c r="J221" s="662"/>
      <c r="K221" s="662"/>
      <c r="L221" s="662"/>
      <c r="M221" s="662"/>
      <c r="N221" s="662"/>
      <c r="O221" s="662"/>
      <c r="P221" s="662"/>
      <c r="Q221" s="662"/>
      <c r="R221" s="662"/>
      <c r="S221" s="662"/>
      <c r="T221" s="662"/>
      <c r="U221" s="662"/>
      <c r="V221" s="662"/>
      <c r="W221" s="662"/>
      <c r="X221" s="662"/>
      <c r="Y221" s="662"/>
      <c r="Z221" s="662"/>
      <c r="AA221" s="662"/>
      <c r="AB221" s="662"/>
      <c r="AC221" s="662"/>
      <c r="AD221" s="662"/>
      <c r="AE221" s="662"/>
      <c r="AF221" s="662"/>
      <c r="AG221" s="662"/>
      <c r="AH221" s="662"/>
      <c r="AI221" s="662"/>
      <c r="AJ221" s="662"/>
      <c r="AK221" s="662"/>
      <c r="AL221" s="662"/>
      <c r="AM221" s="662"/>
      <c r="AN221" s="662"/>
      <c r="AO221" s="662"/>
      <c r="AP221" s="662"/>
      <c r="AQ221" s="662"/>
      <c r="AR221" s="662"/>
      <c r="AS221" s="662"/>
      <c r="AT221" s="662"/>
      <c r="AU221" s="662"/>
      <c r="AV221" s="662"/>
      <c r="AW221" s="662"/>
      <c r="AX221" s="662"/>
      <c r="AY221" s="662"/>
      <c r="AZ221" s="662"/>
      <c r="BA221" s="662"/>
      <c r="BB221" s="662"/>
      <c r="BC221" s="662"/>
      <c r="BD221" s="662"/>
      <c r="BE221" s="662"/>
      <c r="BF221" s="662"/>
      <c r="BG221" s="662"/>
      <c r="BH221" s="662"/>
      <c r="BI221" s="662"/>
      <c r="BJ221" s="662"/>
      <c r="BK221" s="662"/>
      <c r="BL221" s="662"/>
      <c r="BM221" s="662"/>
      <c r="BN221" s="662"/>
      <c r="BO221" s="662"/>
    </row>
    <row r="222" spans="1:67">
      <c r="A222" s="727" t="s">
        <v>2194</v>
      </c>
      <c r="B222" s="728"/>
      <c r="C222" s="662"/>
      <c r="D222" s="662"/>
      <c r="E222" s="662"/>
      <c r="F222" s="662"/>
      <c r="G222" s="662"/>
      <c r="H222" s="662"/>
      <c r="I222" s="662"/>
      <c r="J222" s="662"/>
      <c r="K222" s="662"/>
      <c r="L222" s="662">
        <f>L148</f>
        <v>0</v>
      </c>
      <c r="M222" s="662"/>
      <c r="N222" s="662"/>
      <c r="O222" s="662"/>
      <c r="P222" s="662"/>
      <c r="Q222" s="662">
        <f>Q148</f>
        <v>0</v>
      </c>
      <c r="R222" s="662"/>
      <c r="S222" s="662"/>
      <c r="T222" s="662"/>
      <c r="U222" s="662"/>
      <c r="V222" s="662">
        <f>V148</f>
        <v>0</v>
      </c>
      <c r="W222" s="662"/>
      <c r="X222" s="662"/>
      <c r="Y222" s="662"/>
      <c r="Z222" s="662"/>
      <c r="AA222" s="662">
        <f>AA148</f>
        <v>0</v>
      </c>
      <c r="AB222" s="662"/>
      <c r="AC222" s="662"/>
      <c r="AD222" s="662"/>
      <c r="AE222" s="662"/>
      <c r="AF222" s="662">
        <f>AF148</f>
        <v>0</v>
      </c>
      <c r="AG222" s="662"/>
      <c r="AH222" s="662"/>
      <c r="AI222" s="662"/>
      <c r="AJ222" s="662"/>
      <c r="AK222" s="662">
        <f>AK148</f>
        <v>0</v>
      </c>
      <c r="AL222" s="662"/>
      <c r="AM222" s="662"/>
      <c r="AN222" s="662"/>
      <c r="AO222" s="662"/>
      <c r="AP222" s="662">
        <f>AP148</f>
        <v>0</v>
      </c>
      <c r="AQ222" s="662"/>
      <c r="AR222" s="662"/>
      <c r="AS222" s="662"/>
      <c r="AT222" s="662"/>
      <c r="AU222" s="662">
        <f>AU148</f>
        <v>0</v>
      </c>
      <c r="AV222" s="662"/>
      <c r="AW222" s="662"/>
      <c r="AX222" s="662"/>
      <c r="AY222" s="662"/>
      <c r="AZ222" s="662">
        <f>AZ148</f>
        <v>330</v>
      </c>
      <c r="BA222" s="662"/>
      <c r="BB222" s="662"/>
      <c r="BC222" s="662"/>
      <c r="BD222" s="662"/>
      <c r="BE222" s="662">
        <f t="shared" ref="BE222:BG225" si="227">BE148</f>
        <v>0</v>
      </c>
      <c r="BF222" s="662">
        <f t="shared" si="227"/>
        <v>168</v>
      </c>
      <c r="BG222" s="662">
        <f t="shared" si="227"/>
        <v>113</v>
      </c>
      <c r="BH222" s="662">
        <f t="shared" ref="BH222:BK222" si="228">BH148</f>
        <v>204</v>
      </c>
      <c r="BI222" s="662">
        <f t="shared" si="228"/>
        <v>310</v>
      </c>
      <c r="BJ222" s="662">
        <f t="shared" si="228"/>
        <v>0</v>
      </c>
      <c r="BK222" s="662">
        <f t="shared" si="228"/>
        <v>252</v>
      </c>
      <c r="BL222" s="662">
        <f t="shared" ref="BL222:BM222" si="229">BL148</f>
        <v>84</v>
      </c>
      <c r="BM222" s="662">
        <f t="shared" si="229"/>
        <v>163</v>
      </c>
      <c r="BN222" s="662">
        <f t="shared" ref="BN222" si="230">BN148</f>
        <v>294</v>
      </c>
      <c r="BO222" s="662"/>
    </row>
    <row r="223" spans="1:67">
      <c r="A223" s="727" t="s">
        <v>1447</v>
      </c>
      <c r="B223" s="728"/>
      <c r="C223" s="662"/>
      <c r="D223" s="662"/>
      <c r="E223" s="662"/>
      <c r="F223" s="662"/>
      <c r="G223" s="662"/>
      <c r="H223" s="662"/>
      <c r="I223" s="662"/>
      <c r="J223" s="662"/>
      <c r="K223" s="662"/>
      <c r="L223" s="662">
        <f>L149</f>
        <v>-202</v>
      </c>
      <c r="M223" s="662"/>
      <c r="N223" s="662"/>
      <c r="O223" s="662"/>
      <c r="P223" s="662"/>
      <c r="Q223" s="662">
        <f>Q149</f>
        <v>-652</v>
      </c>
      <c r="R223" s="662"/>
      <c r="S223" s="662"/>
      <c r="T223" s="662"/>
      <c r="U223" s="662"/>
      <c r="V223" s="662">
        <f>V149</f>
        <v>-591</v>
      </c>
      <c r="W223" s="662"/>
      <c r="X223" s="662"/>
      <c r="Y223" s="662"/>
      <c r="Z223" s="662"/>
      <c r="AA223" s="662">
        <f>AA149</f>
        <v>192</v>
      </c>
      <c r="AB223" s="662"/>
      <c r="AC223" s="662"/>
      <c r="AD223" s="662"/>
      <c r="AE223" s="662"/>
      <c r="AF223" s="662">
        <f>AF149</f>
        <v>-47</v>
      </c>
      <c r="AG223" s="662"/>
      <c r="AH223" s="662"/>
      <c r="AI223" s="662"/>
      <c r="AJ223" s="662"/>
      <c r="AK223" s="662">
        <f>AK149</f>
        <v>-263</v>
      </c>
      <c r="AL223" s="662"/>
      <c r="AM223" s="662"/>
      <c r="AN223" s="662"/>
      <c r="AO223" s="662"/>
      <c r="AP223" s="662">
        <f>AP149</f>
        <v>-201</v>
      </c>
      <c r="AQ223" s="662"/>
      <c r="AR223" s="662"/>
      <c r="AS223" s="662"/>
      <c r="AT223" s="662"/>
      <c r="AU223" s="662">
        <f>AU149</f>
        <v>480</v>
      </c>
      <c r="AV223" s="662"/>
      <c r="AW223" s="662"/>
      <c r="AX223" s="662"/>
      <c r="AY223" s="662"/>
      <c r="AZ223" s="662">
        <f>AZ149</f>
        <v>314</v>
      </c>
      <c r="BA223" s="662"/>
      <c r="BB223" s="662"/>
      <c r="BC223" s="662"/>
      <c r="BD223" s="662"/>
      <c r="BE223" s="662">
        <f t="shared" si="227"/>
        <v>306</v>
      </c>
      <c r="BF223" s="662">
        <f t="shared" si="227"/>
        <v>0</v>
      </c>
      <c r="BG223" s="662">
        <f t="shared" si="227"/>
        <v>0</v>
      </c>
      <c r="BH223" s="662">
        <f t="shared" ref="BH223:BK223" si="231">BH149</f>
        <v>0</v>
      </c>
      <c r="BI223" s="662">
        <f t="shared" si="231"/>
        <v>0</v>
      </c>
      <c r="BJ223" s="662">
        <f t="shared" si="231"/>
        <v>190</v>
      </c>
      <c r="BK223" s="662">
        <f t="shared" si="231"/>
        <v>0</v>
      </c>
      <c r="BL223" s="662">
        <f t="shared" ref="BL223:BM223" si="232">BL149</f>
        <v>0</v>
      </c>
      <c r="BM223" s="662">
        <f t="shared" si="232"/>
        <v>0</v>
      </c>
      <c r="BN223" s="662">
        <f t="shared" ref="BN223" si="233">BN149</f>
        <v>0</v>
      </c>
      <c r="BO223" s="662"/>
    </row>
    <row r="224" spans="1:67">
      <c r="A224" s="727" t="s">
        <v>1005</v>
      </c>
      <c r="B224" s="728"/>
      <c r="C224" s="662"/>
      <c r="D224" s="662"/>
      <c r="E224" s="662"/>
      <c r="F224" s="662"/>
      <c r="G224" s="662"/>
      <c r="H224" s="662"/>
      <c r="I224" s="662"/>
      <c r="J224" s="662"/>
      <c r="K224" s="662"/>
      <c r="L224" s="662">
        <f>L150</f>
        <v>416</v>
      </c>
      <c r="M224" s="662"/>
      <c r="N224" s="662"/>
      <c r="O224" s="662"/>
      <c r="P224" s="662"/>
      <c r="Q224" s="662">
        <f>Q150</f>
        <v>420</v>
      </c>
      <c r="R224" s="662"/>
      <c r="S224" s="662"/>
      <c r="T224" s="662"/>
      <c r="U224" s="662"/>
      <c r="V224" s="662">
        <f>V150</f>
        <v>459</v>
      </c>
      <c r="W224" s="662"/>
      <c r="X224" s="662"/>
      <c r="Y224" s="662"/>
      <c r="Z224" s="662"/>
      <c r="AA224" s="662">
        <f>AA150</f>
        <v>450</v>
      </c>
      <c r="AB224" s="662"/>
      <c r="AC224" s="662"/>
      <c r="AD224" s="662"/>
      <c r="AE224" s="662"/>
      <c r="AF224" s="662">
        <f>AF150</f>
        <v>197</v>
      </c>
      <c r="AG224" s="662"/>
      <c r="AH224" s="662"/>
      <c r="AI224" s="662"/>
      <c r="AJ224" s="662"/>
      <c r="AK224" s="662">
        <f>AK150</f>
        <v>-88</v>
      </c>
      <c r="AL224" s="662"/>
      <c r="AM224" s="662"/>
      <c r="AN224" s="662"/>
      <c r="AO224" s="662"/>
      <c r="AP224" s="662">
        <f>AP150</f>
        <v>156</v>
      </c>
      <c r="AQ224" s="662"/>
      <c r="AR224" s="662"/>
      <c r="AS224" s="662"/>
      <c r="AT224" s="662"/>
      <c r="AU224" s="662">
        <f>AU150</f>
        <v>297</v>
      </c>
      <c r="AV224" s="662"/>
      <c r="AW224" s="662"/>
      <c r="AX224" s="662"/>
      <c r="AY224" s="662"/>
      <c r="AZ224" s="662">
        <f>AZ150</f>
        <v>379</v>
      </c>
      <c r="BA224" s="662"/>
      <c r="BB224" s="662"/>
      <c r="BC224" s="662"/>
      <c r="BD224" s="662"/>
      <c r="BE224" s="662">
        <f t="shared" si="227"/>
        <v>321</v>
      </c>
      <c r="BF224" s="662">
        <f t="shared" si="227"/>
        <v>259</v>
      </c>
      <c r="BG224" s="662">
        <f t="shared" si="227"/>
        <v>204</v>
      </c>
      <c r="BH224" s="662">
        <f t="shared" ref="BH224:BK224" si="234">BH150</f>
        <v>166</v>
      </c>
      <c r="BI224" s="662">
        <f t="shared" si="234"/>
        <v>150</v>
      </c>
      <c r="BJ224" s="662">
        <f t="shared" si="234"/>
        <v>779</v>
      </c>
      <c r="BK224" s="662">
        <f t="shared" si="234"/>
        <v>162</v>
      </c>
      <c r="BL224" s="662">
        <f t="shared" ref="BL224:BM224" si="235">BL150</f>
        <v>156</v>
      </c>
      <c r="BM224" s="662">
        <f t="shared" si="235"/>
        <v>177</v>
      </c>
      <c r="BN224" s="662">
        <f t="shared" ref="BN224" si="236">BN150</f>
        <v>166</v>
      </c>
      <c r="BO224" s="662"/>
    </row>
    <row r="225" spans="1:67">
      <c r="A225" s="727" t="s">
        <v>2100</v>
      </c>
      <c r="B225" s="728"/>
      <c r="C225" s="662"/>
      <c r="D225" s="662"/>
      <c r="E225" s="662"/>
      <c r="F225" s="662"/>
      <c r="G225" s="662"/>
      <c r="H225" s="662"/>
      <c r="I225" s="662"/>
      <c r="J225" s="662"/>
      <c r="K225" s="662"/>
      <c r="L225" s="662">
        <f>L151</f>
        <v>-261</v>
      </c>
      <c r="M225" s="662"/>
      <c r="N225" s="662"/>
      <c r="O225" s="662"/>
      <c r="P225" s="662"/>
      <c r="Q225" s="662">
        <f>Q151</f>
        <v>-404</v>
      </c>
      <c r="R225" s="662"/>
      <c r="S225" s="662"/>
      <c r="T225" s="662"/>
      <c r="U225" s="662"/>
      <c r="V225" s="662">
        <f>V151</f>
        <v>-173</v>
      </c>
      <c r="W225" s="662"/>
      <c r="X225" s="662"/>
      <c r="Y225" s="662"/>
      <c r="Z225" s="662"/>
      <c r="AA225" s="662">
        <f>AA151</f>
        <v>-887</v>
      </c>
      <c r="AB225" s="662"/>
      <c r="AC225" s="662"/>
      <c r="AD225" s="662"/>
      <c r="AE225" s="662"/>
      <c r="AF225" s="662">
        <f>AF151</f>
        <v>-959</v>
      </c>
      <c r="AG225" s="662"/>
      <c r="AH225" s="662"/>
      <c r="AI225" s="662"/>
      <c r="AJ225" s="662"/>
      <c r="AK225" s="662">
        <f>AK151</f>
        <v>-1004</v>
      </c>
      <c r="AL225" s="662"/>
      <c r="AM225" s="662"/>
      <c r="AN225" s="662"/>
      <c r="AO225" s="662"/>
      <c r="AP225" s="662">
        <f>AP151</f>
        <v>-857</v>
      </c>
      <c r="AQ225" s="662"/>
      <c r="AR225" s="662"/>
      <c r="AS225" s="662"/>
      <c r="AT225" s="662"/>
      <c r="AU225" s="662">
        <f>AU151</f>
        <v>-920</v>
      </c>
      <c r="AV225" s="662"/>
      <c r="AW225" s="662"/>
      <c r="AX225" s="662"/>
      <c r="AY225" s="662"/>
      <c r="AZ225" s="662">
        <f>AZ151</f>
        <v>-963</v>
      </c>
      <c r="BA225" s="662"/>
      <c r="BB225" s="662"/>
      <c r="BC225" s="662"/>
      <c r="BD225" s="662"/>
      <c r="BE225" s="662">
        <f t="shared" si="227"/>
        <v>-592</v>
      </c>
      <c r="BF225" s="662">
        <f t="shared" si="227"/>
        <v>32</v>
      </c>
      <c r="BG225" s="662">
        <f t="shared" si="227"/>
        <v>-56</v>
      </c>
      <c r="BH225" s="662">
        <f t="shared" ref="BH225:BK225" si="237">BH151</f>
        <v>-96</v>
      </c>
      <c r="BI225" s="662">
        <f t="shared" si="237"/>
        <v>-347</v>
      </c>
      <c r="BJ225" s="662">
        <f t="shared" si="237"/>
        <v>-467</v>
      </c>
      <c r="BK225" s="662">
        <f t="shared" si="237"/>
        <v>-73</v>
      </c>
      <c r="BL225" s="662">
        <f t="shared" ref="BL225:BM225" si="238">BL151</f>
        <v>54</v>
      </c>
      <c r="BM225" s="662">
        <f t="shared" si="238"/>
        <v>-160</v>
      </c>
      <c r="BN225" s="662">
        <f t="shared" ref="BN225" si="239">BN151</f>
        <v>-215</v>
      </c>
      <c r="BO225" s="662"/>
    </row>
    <row r="226" spans="1:67">
      <c r="A226" s="727"/>
      <c r="B226" s="728"/>
      <c r="C226" s="662"/>
      <c r="D226" s="662"/>
      <c r="E226" s="662"/>
      <c r="F226" s="662"/>
      <c r="G226" s="662"/>
      <c r="H226" s="662"/>
      <c r="I226" s="662"/>
      <c r="J226" s="662"/>
      <c r="K226" s="662"/>
      <c r="L226" s="662"/>
      <c r="M226" s="662"/>
      <c r="N226" s="662"/>
      <c r="O226" s="662"/>
      <c r="P226" s="662"/>
      <c r="Q226" s="662"/>
      <c r="R226" s="662"/>
      <c r="S226" s="662"/>
      <c r="T226" s="662"/>
      <c r="U226" s="662"/>
      <c r="V226" s="662"/>
      <c r="W226" s="662"/>
      <c r="X226" s="662"/>
      <c r="Y226" s="662"/>
      <c r="Z226" s="662"/>
      <c r="AA226" s="662"/>
      <c r="AB226" s="662"/>
      <c r="AC226" s="662"/>
      <c r="AD226" s="662"/>
      <c r="AE226" s="662"/>
      <c r="AF226" s="662"/>
      <c r="AG226" s="662"/>
      <c r="AH226" s="662"/>
      <c r="AI226" s="662"/>
      <c r="AJ226" s="662"/>
      <c r="AK226" s="662"/>
      <c r="AL226" s="662"/>
      <c r="AM226" s="662"/>
      <c r="AN226" s="662"/>
      <c r="AO226" s="662"/>
      <c r="AP226" s="662"/>
      <c r="AQ226" s="662"/>
      <c r="AR226" s="662"/>
      <c r="AS226" s="662"/>
      <c r="AT226" s="662"/>
      <c r="AU226" s="662"/>
      <c r="AV226" s="662"/>
      <c r="AW226" s="662"/>
      <c r="AX226" s="662"/>
      <c r="AY226" s="662"/>
      <c r="AZ226" s="662"/>
      <c r="BA226" s="662"/>
      <c r="BB226" s="662"/>
      <c r="BC226" s="662"/>
      <c r="BD226" s="662"/>
      <c r="BE226" s="662"/>
      <c r="BF226" s="662"/>
      <c r="BG226" s="662"/>
      <c r="BH226" s="662"/>
      <c r="BI226" s="662"/>
      <c r="BJ226" s="662"/>
      <c r="BK226" s="662"/>
      <c r="BL226" s="662"/>
      <c r="BM226" s="662"/>
      <c r="BN226" s="662"/>
      <c r="BO226" s="662"/>
    </row>
    <row r="227" spans="1:67">
      <c r="A227" s="727" t="s">
        <v>2720</v>
      </c>
      <c r="B227" s="728"/>
      <c r="C227" s="662"/>
      <c r="D227" s="662"/>
      <c r="E227" s="662"/>
      <c r="F227" s="662"/>
      <c r="G227" s="662"/>
      <c r="H227" s="662"/>
      <c r="I227" s="662"/>
      <c r="J227" s="662"/>
      <c r="K227" s="662"/>
      <c r="L227" s="662">
        <f>L152</f>
        <v>340</v>
      </c>
      <c r="M227" s="662"/>
      <c r="N227" s="662"/>
      <c r="O227" s="662"/>
      <c r="P227" s="662"/>
      <c r="Q227" s="662">
        <f>Q152</f>
        <v>-92</v>
      </c>
      <c r="R227" s="662"/>
      <c r="S227" s="662"/>
      <c r="T227" s="662"/>
      <c r="U227" s="662"/>
      <c r="V227" s="662">
        <f>V152</f>
        <v>-298</v>
      </c>
      <c r="W227" s="662"/>
      <c r="X227" s="662"/>
      <c r="Y227" s="662"/>
      <c r="Z227" s="662"/>
      <c r="AA227" s="662">
        <f>AA152</f>
        <v>650</v>
      </c>
      <c r="AB227" s="662"/>
      <c r="AC227" s="662"/>
      <c r="AD227" s="662"/>
      <c r="AE227" s="662"/>
      <c r="AF227" s="662">
        <f>AF152</f>
        <v>19217</v>
      </c>
      <c r="AG227" s="662"/>
      <c r="AH227" s="662"/>
      <c r="AI227" s="662"/>
      <c r="AJ227" s="662"/>
      <c r="AK227" s="662">
        <f>AK152</f>
        <v>2976</v>
      </c>
      <c r="AL227" s="662"/>
      <c r="AM227" s="662"/>
      <c r="AN227" s="662"/>
      <c r="AO227" s="662"/>
      <c r="AP227" s="662">
        <f>AP152</f>
        <v>5340</v>
      </c>
      <c r="AQ227" s="662"/>
      <c r="AR227" s="662"/>
      <c r="AS227" s="662"/>
      <c r="AT227" s="662"/>
      <c r="AU227" s="662">
        <f>AU152</f>
        <v>1061</v>
      </c>
      <c r="AV227" s="662"/>
      <c r="AW227" s="662"/>
      <c r="AX227" s="662"/>
      <c r="AY227" s="662"/>
      <c r="AZ227" s="662">
        <f>AZ152</f>
        <v>1119</v>
      </c>
      <c r="BA227" s="662"/>
      <c r="BB227" s="662"/>
      <c r="BC227" s="662"/>
      <c r="BD227" s="662"/>
      <c r="BE227" s="662">
        <f t="shared" ref="BE227:BJ227" si="240">BE152</f>
        <v>11792</v>
      </c>
      <c r="BF227" s="662">
        <f t="shared" si="240"/>
        <v>735</v>
      </c>
      <c r="BG227" s="662">
        <f t="shared" si="240"/>
        <v>4565</v>
      </c>
      <c r="BH227" s="662">
        <f t="shared" si="240"/>
        <v>-184</v>
      </c>
      <c r="BI227" s="662">
        <f t="shared" si="240"/>
        <v>-629</v>
      </c>
      <c r="BJ227" s="662">
        <f t="shared" si="240"/>
        <v>4487</v>
      </c>
      <c r="BK227" s="662">
        <f t="shared" ref="BK227:BL227" si="241">BK152</f>
        <v>-177</v>
      </c>
      <c r="BL227" s="662">
        <f t="shared" si="241"/>
        <v>183</v>
      </c>
      <c r="BM227" s="662">
        <f t="shared" ref="BM227:BN227" si="242">BM152</f>
        <v>-144</v>
      </c>
      <c r="BN227" s="662">
        <f t="shared" si="242"/>
        <v>2244</v>
      </c>
      <c r="BO227" s="662"/>
    </row>
    <row r="228" spans="1:67">
      <c r="A228" s="727"/>
      <c r="B228" s="728"/>
      <c r="C228" s="662"/>
      <c r="D228" s="662"/>
      <c r="E228" s="662"/>
      <c r="F228" s="662"/>
      <c r="G228" s="662"/>
      <c r="H228" s="662"/>
      <c r="I228" s="662"/>
      <c r="J228" s="662"/>
      <c r="K228" s="662"/>
      <c r="L228" s="662"/>
      <c r="M228" s="662"/>
      <c r="N228" s="662"/>
      <c r="O228" s="662"/>
      <c r="P228" s="662"/>
      <c r="Q228" s="662"/>
      <c r="R228" s="662"/>
      <c r="S228" s="662"/>
      <c r="T228" s="662"/>
      <c r="U228" s="662"/>
      <c r="V228" s="662"/>
      <c r="W228" s="662"/>
      <c r="X228" s="662"/>
      <c r="Y228" s="662"/>
      <c r="Z228" s="662"/>
      <c r="AA228" s="662"/>
      <c r="AB228" s="662"/>
      <c r="AC228" s="662"/>
      <c r="AD228" s="662"/>
      <c r="AE228" s="662"/>
      <c r="AF228" s="662"/>
      <c r="AG228" s="662"/>
      <c r="AH228" s="662"/>
      <c r="AI228" s="662"/>
      <c r="AJ228" s="662"/>
      <c r="AK228" s="662"/>
      <c r="AL228" s="662"/>
      <c r="AM228" s="662"/>
      <c r="AN228" s="662"/>
      <c r="AO228" s="662"/>
      <c r="AP228" s="662"/>
      <c r="AQ228" s="662"/>
      <c r="AR228" s="662"/>
      <c r="AS228" s="662"/>
      <c r="AT228" s="662"/>
      <c r="AU228" s="662"/>
      <c r="AV228" s="662"/>
      <c r="AW228" s="662"/>
      <c r="AX228" s="662"/>
      <c r="AY228" s="662"/>
      <c r="AZ228" s="662"/>
      <c r="BA228" s="662"/>
      <c r="BB228" s="662"/>
      <c r="BC228" s="662"/>
      <c r="BD228" s="662"/>
      <c r="BE228" s="662"/>
      <c r="BF228" s="662"/>
      <c r="BG228" s="662"/>
      <c r="BH228" s="662"/>
      <c r="BI228" s="662"/>
      <c r="BJ228" s="662"/>
      <c r="BK228" s="662"/>
      <c r="BL228" s="662"/>
      <c r="BM228" s="662"/>
      <c r="BN228" s="662"/>
      <c r="BO228" s="662"/>
    </row>
    <row r="229" spans="1:67">
      <c r="A229" s="727" t="s">
        <v>1448</v>
      </c>
      <c r="B229" s="728"/>
      <c r="C229" s="662"/>
      <c r="D229" s="662"/>
      <c r="E229" s="662"/>
      <c r="F229" s="662"/>
      <c r="G229" s="662"/>
      <c r="H229" s="662"/>
      <c r="I229" s="662"/>
      <c r="J229" s="662"/>
      <c r="K229" s="662"/>
      <c r="L229" s="662">
        <f>L153</f>
        <v>995</v>
      </c>
      <c r="M229" s="662"/>
      <c r="N229" s="662"/>
      <c r="O229" s="662"/>
      <c r="P229" s="662"/>
      <c r="Q229" s="662">
        <f>Q153</f>
        <v>-7255</v>
      </c>
      <c r="R229" s="662"/>
      <c r="S229" s="662"/>
      <c r="T229" s="662"/>
      <c r="U229" s="662"/>
      <c r="V229" s="662">
        <f>V153</f>
        <v>9010</v>
      </c>
      <c r="W229" s="662"/>
      <c r="X229" s="662"/>
      <c r="Y229" s="662"/>
      <c r="Z229" s="662"/>
      <c r="AA229" s="662">
        <f>AA153</f>
        <v>-5363</v>
      </c>
      <c r="AB229" s="662"/>
      <c r="AC229" s="662"/>
      <c r="AD229" s="662"/>
      <c r="AE229" s="662"/>
      <c r="AF229" s="662">
        <f>AF153</f>
        <v>-3895</v>
      </c>
      <c r="AG229" s="662"/>
      <c r="AH229" s="662"/>
      <c r="AI229" s="662"/>
      <c r="AJ229" s="662"/>
      <c r="AK229" s="662">
        <f>AK153</f>
        <v>-3988</v>
      </c>
      <c r="AL229" s="662"/>
      <c r="AM229" s="662"/>
      <c r="AN229" s="662"/>
      <c r="AO229" s="662"/>
      <c r="AP229" s="662">
        <f>AP153</f>
        <v>-1797</v>
      </c>
      <c r="AQ229" s="662"/>
      <c r="AR229" s="662"/>
      <c r="AS229" s="662"/>
      <c r="AT229" s="662"/>
      <c r="AU229" s="662">
        <f>AU153</f>
        <v>-1193</v>
      </c>
      <c r="AV229" s="662"/>
      <c r="AW229" s="662"/>
      <c r="AX229" s="662"/>
      <c r="AY229" s="662"/>
      <c r="AZ229" s="662">
        <f>AZ153</f>
        <v>10169</v>
      </c>
      <c r="BA229" s="662"/>
      <c r="BB229" s="662"/>
      <c r="BC229" s="662"/>
      <c r="BD229" s="662"/>
      <c r="BE229" s="662">
        <f t="shared" ref="BE229:BG232" si="243">BE153</f>
        <v>3375</v>
      </c>
      <c r="BF229" s="662">
        <f t="shared" si="243"/>
        <v>0</v>
      </c>
      <c r="BG229" s="662">
        <f t="shared" si="243"/>
        <v>0</v>
      </c>
      <c r="BH229" s="662">
        <f t="shared" ref="BH229:BK229" si="244">BH153</f>
        <v>0</v>
      </c>
      <c r="BI229" s="662">
        <f t="shared" si="244"/>
        <v>0</v>
      </c>
      <c r="BJ229" s="662">
        <f t="shared" si="244"/>
        <v>-3681</v>
      </c>
      <c r="BK229" s="662">
        <f t="shared" si="244"/>
        <v>0</v>
      </c>
      <c r="BL229" s="662">
        <f t="shared" ref="BL229:BM229" si="245">BL153</f>
        <v>0</v>
      </c>
      <c r="BM229" s="662">
        <f t="shared" si="245"/>
        <v>0</v>
      </c>
      <c r="BN229" s="662">
        <f t="shared" ref="BN229" si="246">BN153</f>
        <v>0</v>
      </c>
      <c r="BO229" s="662"/>
    </row>
    <row r="230" spans="1:67">
      <c r="A230" s="727" t="s">
        <v>1449</v>
      </c>
      <c r="B230" s="728"/>
      <c r="C230" s="662"/>
      <c r="D230" s="662"/>
      <c r="E230" s="662"/>
      <c r="F230" s="662"/>
      <c r="G230" s="662"/>
      <c r="H230" s="662"/>
      <c r="I230" s="662"/>
      <c r="J230" s="662"/>
      <c r="K230" s="662"/>
      <c r="L230" s="662">
        <f>L154</f>
        <v>3596</v>
      </c>
      <c r="M230" s="662"/>
      <c r="N230" s="662"/>
      <c r="O230" s="662"/>
      <c r="P230" s="662"/>
      <c r="Q230" s="662">
        <f>Q154</f>
        <v>5210</v>
      </c>
      <c r="R230" s="662"/>
      <c r="S230" s="662"/>
      <c r="T230" s="662"/>
      <c r="U230" s="662"/>
      <c r="V230" s="662">
        <f>V154</f>
        <v>2439</v>
      </c>
      <c r="W230" s="662"/>
      <c r="X230" s="662"/>
      <c r="Y230" s="662"/>
      <c r="Z230" s="662"/>
      <c r="AA230" s="662">
        <f>AA154</f>
        <v>7595</v>
      </c>
      <c r="AB230" s="662"/>
      <c r="AC230" s="662"/>
      <c r="AD230" s="662"/>
      <c r="AE230" s="662"/>
      <c r="AF230" s="662">
        <f>AF154</f>
        <v>-15620</v>
      </c>
      <c r="AG230" s="662"/>
      <c r="AH230" s="662"/>
      <c r="AI230" s="662"/>
      <c r="AJ230" s="662"/>
      <c r="AK230" s="662">
        <f>AK154</f>
        <v>-9913</v>
      </c>
      <c r="AL230" s="662"/>
      <c r="AM230" s="662"/>
      <c r="AN230" s="662"/>
      <c r="AO230" s="662"/>
      <c r="AP230" s="662">
        <f>AP154</f>
        <v>2968</v>
      </c>
      <c r="AQ230" s="662"/>
      <c r="AR230" s="662"/>
      <c r="AS230" s="662"/>
      <c r="AT230" s="662"/>
      <c r="AU230" s="662">
        <f>AU154</f>
        <v>-2718</v>
      </c>
      <c r="AV230" s="662"/>
      <c r="AW230" s="662"/>
      <c r="AX230" s="662"/>
      <c r="AY230" s="662"/>
      <c r="AZ230" s="662">
        <f>AZ154</f>
        <v>3566</v>
      </c>
      <c r="BA230" s="662"/>
      <c r="BB230" s="662"/>
      <c r="BC230" s="662"/>
      <c r="BD230" s="662"/>
      <c r="BE230" s="662">
        <f t="shared" si="243"/>
        <v>6796</v>
      </c>
      <c r="BF230" s="662">
        <f t="shared" si="243"/>
        <v>0</v>
      </c>
      <c r="BG230" s="662">
        <f t="shared" si="243"/>
        <v>0</v>
      </c>
      <c r="BH230" s="662">
        <f t="shared" ref="BH230:BK230" si="247">BH154</f>
        <v>0</v>
      </c>
      <c r="BI230" s="662">
        <f t="shared" si="247"/>
        <v>0</v>
      </c>
      <c r="BJ230" s="662">
        <f t="shared" si="247"/>
        <v>-1172</v>
      </c>
      <c r="BK230" s="662">
        <f t="shared" si="247"/>
        <v>0</v>
      </c>
      <c r="BL230" s="662">
        <f t="shared" ref="BL230:BM230" si="248">BL154</f>
        <v>0</v>
      </c>
      <c r="BM230" s="662">
        <f t="shared" si="248"/>
        <v>0</v>
      </c>
      <c r="BN230" s="662">
        <f t="shared" ref="BN230" si="249">BN154</f>
        <v>0</v>
      </c>
      <c r="BO230" s="662"/>
    </row>
    <row r="231" spans="1:67">
      <c r="A231" s="727" t="s">
        <v>1450</v>
      </c>
      <c r="B231" s="728"/>
      <c r="C231" s="662"/>
      <c r="D231" s="662"/>
      <c r="E231" s="662"/>
      <c r="F231" s="662"/>
      <c r="G231" s="662"/>
      <c r="H231" s="662"/>
      <c r="I231" s="662"/>
      <c r="J231" s="662"/>
      <c r="K231" s="662"/>
      <c r="L231" s="662">
        <f>L155</f>
        <v>-4211</v>
      </c>
      <c r="M231" s="662"/>
      <c r="N231" s="662"/>
      <c r="O231" s="662"/>
      <c r="P231" s="662"/>
      <c r="Q231" s="662">
        <f>Q155</f>
        <v>-3857</v>
      </c>
      <c r="R231" s="662"/>
      <c r="S231" s="662"/>
      <c r="T231" s="662"/>
      <c r="U231" s="662"/>
      <c r="V231" s="662">
        <f>V155</f>
        <v>-6101</v>
      </c>
      <c r="W231" s="662"/>
      <c r="X231" s="662"/>
      <c r="Y231" s="662"/>
      <c r="Z231" s="662"/>
      <c r="AA231" s="662">
        <f>AA155</f>
        <v>-5828</v>
      </c>
      <c r="AB231" s="662"/>
      <c r="AC231" s="662"/>
      <c r="AD231" s="662"/>
      <c r="AE231" s="662"/>
      <c r="AF231" s="662">
        <f>AF155</f>
        <v>20607</v>
      </c>
      <c r="AG231" s="662"/>
      <c r="AH231" s="662"/>
      <c r="AI231" s="662"/>
      <c r="AJ231" s="662"/>
      <c r="AK231" s="662">
        <f>AK155</f>
        <v>-5767</v>
      </c>
      <c r="AL231" s="662"/>
      <c r="AM231" s="662"/>
      <c r="AN231" s="662"/>
      <c r="AO231" s="662"/>
      <c r="AP231" s="662">
        <f>AP155</f>
        <v>-8022</v>
      </c>
      <c r="AQ231" s="662"/>
      <c r="AR231" s="662"/>
      <c r="AS231" s="662"/>
      <c r="AT231" s="662"/>
      <c r="AU231" s="662">
        <f>AU155</f>
        <v>-2932</v>
      </c>
      <c r="AV231" s="662"/>
      <c r="AW231" s="662"/>
      <c r="AX231" s="662"/>
      <c r="AY231" s="662"/>
      <c r="AZ231" s="662">
        <f>AZ155</f>
        <v>-6810</v>
      </c>
      <c r="BA231" s="662"/>
      <c r="BB231" s="662"/>
      <c r="BC231" s="662"/>
      <c r="BD231" s="662"/>
      <c r="BE231" s="662">
        <f t="shared" si="243"/>
        <v>-9328</v>
      </c>
      <c r="BF231" s="662">
        <f t="shared" si="243"/>
        <v>0</v>
      </c>
      <c r="BG231" s="662">
        <f t="shared" si="243"/>
        <v>0</v>
      </c>
      <c r="BH231" s="662">
        <f t="shared" ref="BH231:BK231" si="250">BH155</f>
        <v>0</v>
      </c>
      <c r="BI231" s="662">
        <f t="shared" si="250"/>
        <v>0</v>
      </c>
      <c r="BJ231" s="662">
        <f t="shared" si="250"/>
        <v>1655</v>
      </c>
      <c r="BK231" s="662">
        <f t="shared" si="250"/>
        <v>0</v>
      </c>
      <c r="BL231" s="662">
        <f t="shared" ref="BL231:BM231" si="251">BL155</f>
        <v>0</v>
      </c>
      <c r="BM231" s="662">
        <f t="shared" si="251"/>
        <v>0</v>
      </c>
      <c r="BN231" s="662">
        <f t="shared" ref="BN231" si="252">BN155</f>
        <v>0</v>
      </c>
      <c r="BO231" s="662"/>
    </row>
    <row r="232" spans="1:67">
      <c r="A232" s="727" t="s">
        <v>3459</v>
      </c>
      <c r="B232" s="728"/>
      <c r="C232" s="662"/>
      <c r="D232" s="662"/>
      <c r="E232" s="662"/>
      <c r="F232" s="662"/>
      <c r="G232" s="662"/>
      <c r="H232" s="662"/>
      <c r="I232" s="662"/>
      <c r="J232" s="662"/>
      <c r="K232" s="662"/>
      <c r="L232" s="662">
        <f>L156</f>
        <v>0</v>
      </c>
      <c r="M232" s="662"/>
      <c r="N232" s="662"/>
      <c r="O232" s="662"/>
      <c r="P232" s="662"/>
      <c r="Q232" s="662">
        <f>Q156</f>
        <v>0</v>
      </c>
      <c r="R232" s="662"/>
      <c r="S232" s="662"/>
      <c r="T232" s="662"/>
      <c r="U232" s="662"/>
      <c r="V232" s="662">
        <f>V156</f>
        <v>0</v>
      </c>
      <c r="W232" s="662"/>
      <c r="X232" s="662"/>
      <c r="Y232" s="662"/>
      <c r="Z232" s="662"/>
      <c r="AA232" s="662">
        <f>AA156</f>
        <v>0</v>
      </c>
      <c r="AB232" s="662"/>
      <c r="AC232" s="662"/>
      <c r="AD232" s="662"/>
      <c r="AE232" s="662"/>
      <c r="AF232" s="662">
        <f>AF156</f>
        <v>0</v>
      </c>
      <c r="AG232" s="662"/>
      <c r="AH232" s="662"/>
      <c r="AI232" s="662"/>
      <c r="AJ232" s="662"/>
      <c r="AK232" s="662">
        <f>AK156</f>
        <v>0</v>
      </c>
      <c r="AL232" s="662"/>
      <c r="AM232" s="662"/>
      <c r="AN232" s="662"/>
      <c r="AO232" s="662"/>
      <c r="AP232" s="662">
        <f>AP156</f>
        <v>0</v>
      </c>
      <c r="AQ232" s="662"/>
      <c r="AR232" s="662"/>
      <c r="AS232" s="662"/>
      <c r="AT232" s="662"/>
      <c r="AU232" s="662">
        <f>AU156</f>
        <v>0</v>
      </c>
      <c r="AV232" s="662"/>
      <c r="AW232" s="662"/>
      <c r="AX232" s="662"/>
      <c r="AY232" s="662"/>
      <c r="AZ232" s="662">
        <f>AZ156</f>
        <v>6925</v>
      </c>
      <c r="BA232" s="662"/>
      <c r="BB232" s="662"/>
      <c r="BC232" s="662"/>
      <c r="BD232" s="662"/>
      <c r="BE232" s="662">
        <f t="shared" si="243"/>
        <v>0</v>
      </c>
      <c r="BF232" s="662">
        <f t="shared" si="243"/>
        <v>-1727</v>
      </c>
      <c r="BG232" s="662">
        <f t="shared" si="243"/>
        <v>-863</v>
      </c>
      <c r="BH232" s="662">
        <f t="shared" ref="BH232:BK232" si="253">BH156</f>
        <v>-1001</v>
      </c>
      <c r="BI232" s="662">
        <f t="shared" si="253"/>
        <v>393</v>
      </c>
      <c r="BJ232" s="662">
        <f t="shared" si="253"/>
        <v>0</v>
      </c>
      <c r="BK232" s="662">
        <f t="shared" si="253"/>
        <v>-3600</v>
      </c>
      <c r="BL232" s="662">
        <f t="shared" ref="BL232:BM232" si="254">BL156</f>
        <v>3</v>
      </c>
      <c r="BM232" s="662">
        <f t="shared" si="254"/>
        <v>305</v>
      </c>
      <c r="BN232" s="662">
        <f t="shared" ref="BN232" si="255">BN156</f>
        <v>-60</v>
      </c>
      <c r="BO232" s="662"/>
    </row>
    <row r="233" spans="1:67">
      <c r="A233" s="727"/>
      <c r="B233" s="728"/>
      <c r="C233" s="662"/>
      <c r="D233" s="662"/>
      <c r="E233" s="662"/>
      <c r="F233" s="662"/>
      <c r="G233" s="662"/>
      <c r="H233" s="662"/>
      <c r="I233" s="662"/>
      <c r="J233" s="662"/>
      <c r="K233" s="662"/>
      <c r="L233" s="662"/>
      <c r="M233" s="662"/>
      <c r="N233" s="662"/>
      <c r="O233" s="662"/>
      <c r="P233" s="662"/>
      <c r="Q233" s="662"/>
      <c r="R233" s="662"/>
      <c r="S233" s="662"/>
      <c r="T233" s="662"/>
      <c r="U233" s="662"/>
      <c r="V233" s="662"/>
      <c r="W233" s="662"/>
      <c r="X233" s="662"/>
      <c r="Y233" s="662"/>
      <c r="Z233" s="662"/>
      <c r="AA233" s="662"/>
      <c r="AB233" s="662"/>
      <c r="AC233" s="662"/>
      <c r="AD233" s="662"/>
      <c r="AE233" s="662"/>
      <c r="AF233" s="662"/>
      <c r="AG233" s="662"/>
      <c r="AH233" s="662"/>
      <c r="AI233" s="662"/>
      <c r="AJ233" s="662"/>
      <c r="AK233" s="662"/>
      <c r="AL233" s="662"/>
      <c r="AM233" s="662"/>
      <c r="AN233" s="662"/>
      <c r="AO233" s="662"/>
      <c r="AP233" s="662"/>
      <c r="AQ233" s="662"/>
      <c r="AR233" s="662"/>
      <c r="AS233" s="662"/>
      <c r="AT233" s="662"/>
      <c r="AU233" s="662"/>
      <c r="AV233" s="662"/>
      <c r="AW233" s="662"/>
      <c r="AX233" s="662"/>
      <c r="AY233" s="662"/>
      <c r="AZ233" s="662"/>
      <c r="BA233" s="662"/>
      <c r="BB233" s="662"/>
      <c r="BC233" s="662"/>
      <c r="BD233" s="662"/>
      <c r="BE233" s="662"/>
      <c r="BF233" s="662"/>
      <c r="BG233" s="662"/>
      <c r="BH233" s="662"/>
      <c r="BI233" s="662"/>
      <c r="BJ233" s="662"/>
      <c r="BK233" s="662"/>
      <c r="BL233" s="662"/>
      <c r="BM233" s="662"/>
      <c r="BN233" s="662"/>
      <c r="BO233" s="662"/>
    </row>
    <row r="234" spans="1:67">
      <c r="A234" s="727" t="s">
        <v>2101</v>
      </c>
      <c r="B234" s="728"/>
      <c r="C234" s="662"/>
      <c r="D234" s="662"/>
      <c r="E234" s="662"/>
      <c r="F234" s="662"/>
      <c r="G234" s="662"/>
      <c r="H234" s="662"/>
      <c r="I234" s="662"/>
      <c r="J234" s="662"/>
      <c r="K234" s="662"/>
      <c r="L234" s="662">
        <f>L157</f>
        <v>-13733</v>
      </c>
      <c r="M234" s="662"/>
      <c r="N234" s="662"/>
      <c r="O234" s="662"/>
      <c r="P234" s="662"/>
      <c r="Q234" s="662">
        <f>Q157</f>
        <v>-9072</v>
      </c>
      <c r="R234" s="662"/>
      <c r="S234" s="662"/>
      <c r="T234" s="662"/>
      <c r="U234" s="662"/>
      <c r="V234" s="662">
        <f>V157</f>
        <v>-12824</v>
      </c>
      <c r="W234" s="662"/>
      <c r="X234" s="662"/>
      <c r="Y234" s="662"/>
      <c r="Z234" s="662"/>
      <c r="AA234" s="662">
        <f>AA157</f>
        <v>-6324</v>
      </c>
      <c r="AB234" s="662"/>
      <c r="AC234" s="662"/>
      <c r="AD234" s="662"/>
      <c r="AE234" s="662"/>
      <c r="AF234" s="662">
        <f>AF157</f>
        <v>-6610</v>
      </c>
      <c r="AG234" s="662"/>
      <c r="AH234" s="662"/>
      <c r="AI234" s="662"/>
      <c r="AJ234" s="662"/>
      <c r="AK234" s="662">
        <f>AK157</f>
        <v>-8035</v>
      </c>
      <c r="AL234" s="662"/>
      <c r="AM234" s="662"/>
      <c r="AN234" s="662"/>
      <c r="AO234" s="662"/>
      <c r="AP234" s="662">
        <f>AP157</f>
        <v>-6452</v>
      </c>
      <c r="AQ234" s="662"/>
      <c r="AR234" s="662"/>
      <c r="AS234" s="662"/>
      <c r="AT234" s="662"/>
      <c r="AU234" s="662">
        <f>AU157</f>
        <v>-6307</v>
      </c>
      <c r="AV234" s="662"/>
      <c r="AW234" s="662"/>
      <c r="AX234" s="662"/>
      <c r="AY234" s="662"/>
      <c r="AZ234" s="662">
        <f>AZ157</f>
        <v>-4787</v>
      </c>
      <c r="BA234" s="662"/>
      <c r="BB234" s="662"/>
      <c r="BC234" s="662"/>
      <c r="BD234" s="662"/>
      <c r="BE234" s="662">
        <f t="shared" ref="BE234:BJ234" si="256">BE157</f>
        <v>-2256</v>
      </c>
      <c r="BF234" s="662">
        <f t="shared" si="256"/>
        <v>-272</v>
      </c>
      <c r="BG234" s="662">
        <f t="shared" si="256"/>
        <v>-89</v>
      </c>
      <c r="BH234" s="662">
        <f t="shared" si="256"/>
        <v>-461</v>
      </c>
      <c r="BI234" s="662">
        <f t="shared" si="256"/>
        <v>-716</v>
      </c>
      <c r="BJ234" s="662">
        <f t="shared" si="256"/>
        <v>-1538</v>
      </c>
      <c r="BK234" s="662">
        <f t="shared" ref="BK234:BL234" si="257">BK157</f>
        <v>-856</v>
      </c>
      <c r="BL234" s="662">
        <f t="shared" si="257"/>
        <v>-815</v>
      </c>
      <c r="BM234" s="662">
        <f t="shared" ref="BM234:BN234" si="258">BM157</f>
        <v>-1298</v>
      </c>
      <c r="BN234" s="662">
        <f t="shared" si="258"/>
        <v>-1033</v>
      </c>
      <c r="BO234" s="662"/>
    </row>
    <row r="235" spans="1:67">
      <c r="A235" s="727" t="s">
        <v>3639</v>
      </c>
      <c r="B235" s="728"/>
      <c r="C235" s="662"/>
      <c r="D235" s="662"/>
      <c r="E235" s="662"/>
      <c r="F235" s="662"/>
      <c r="G235" s="662"/>
      <c r="H235" s="662"/>
      <c r="I235" s="662"/>
      <c r="J235" s="662"/>
      <c r="K235" s="662"/>
      <c r="L235" s="662">
        <f>'Income statement'!L31</f>
        <v>-12331</v>
      </c>
      <c r="M235" s="662"/>
      <c r="N235" s="662"/>
      <c r="O235" s="662"/>
      <c r="P235" s="662"/>
      <c r="Q235" s="662">
        <f>'Income statement'!Q31</f>
        <v>-10442</v>
      </c>
      <c r="R235" s="662"/>
      <c r="S235" s="662"/>
      <c r="T235" s="662"/>
      <c r="U235" s="662"/>
      <c r="V235" s="662">
        <f>'Income statement'!V31</f>
        <v>-12617</v>
      </c>
      <c r="W235" s="662"/>
      <c r="X235" s="662"/>
      <c r="Y235" s="662"/>
      <c r="Z235" s="662"/>
      <c r="AA235" s="662">
        <f>'Income statement'!AA31</f>
        <v>-8365</v>
      </c>
      <c r="AB235" s="662"/>
      <c r="AC235" s="662"/>
      <c r="AD235" s="662"/>
      <c r="AE235" s="662"/>
      <c r="AF235" s="662">
        <f>'Income statement'!AF31</f>
        <v>1501</v>
      </c>
      <c r="AG235" s="662"/>
      <c r="AH235" s="662"/>
      <c r="AI235" s="662"/>
      <c r="AJ235" s="662"/>
      <c r="AK235" s="662">
        <f>'Income statement'!AK31</f>
        <v>-12737</v>
      </c>
      <c r="AL235" s="662"/>
      <c r="AM235" s="662"/>
      <c r="AN235" s="662"/>
      <c r="AO235" s="662"/>
      <c r="AP235" s="662">
        <f>'Income statement'!AP31</f>
        <v>-6993</v>
      </c>
      <c r="AQ235" s="662"/>
      <c r="AR235" s="662"/>
      <c r="AS235" s="662"/>
      <c r="AT235" s="662"/>
      <c r="AU235" s="662">
        <f>'Income statement'!AU31</f>
        <v>-6463</v>
      </c>
      <c r="AV235" s="662"/>
      <c r="AW235" s="662"/>
      <c r="AX235" s="662"/>
      <c r="AY235" s="662"/>
      <c r="AZ235" s="662">
        <f>'Income statement'!AZ31</f>
        <v>-947</v>
      </c>
      <c r="BA235" s="662"/>
      <c r="BB235" s="662"/>
      <c r="BC235" s="662"/>
      <c r="BD235" s="662"/>
      <c r="BE235" s="662">
        <f>'Income statement'!BE31</f>
        <v>3171</v>
      </c>
      <c r="BF235" s="662">
        <f>'Income statement'!BF31</f>
        <v>307</v>
      </c>
      <c r="BG235" s="662">
        <f>'Income statement'!BG31</f>
        <v>1986</v>
      </c>
      <c r="BH235" s="662">
        <f>'Income statement'!BH31</f>
        <v>248</v>
      </c>
      <c r="BI235" s="662">
        <f>'Income statement'!BI31</f>
        <v>-74</v>
      </c>
      <c r="BJ235" s="662">
        <f>'Income statement'!BJ31</f>
        <v>2467</v>
      </c>
      <c r="BK235" s="662">
        <f>'Income statement'!BK31</f>
        <v>-623</v>
      </c>
      <c r="BL235" s="662">
        <f>'Income statement'!BL31</f>
        <v>-772</v>
      </c>
      <c r="BM235" s="662">
        <f>'Income statement'!BM31</f>
        <v>-1198</v>
      </c>
      <c r="BN235" s="662">
        <f>'Income statement'!BN31</f>
        <v>-1119</v>
      </c>
      <c r="BO235" s="662"/>
    </row>
    <row r="236" spans="1:67">
      <c r="A236" s="406"/>
      <c r="B236" s="406"/>
    </row>
    <row r="237" spans="1:67">
      <c r="A237" s="406"/>
      <c r="B237" s="406"/>
    </row>
    <row r="238" spans="1:67">
      <c r="A238" s="406"/>
      <c r="B238" s="406"/>
    </row>
    <row r="239" spans="1:67">
      <c r="A239" s="406"/>
      <c r="B239" s="406"/>
    </row>
    <row r="240" spans="1:67">
      <c r="A240" s="406"/>
      <c r="B240" s="406"/>
    </row>
    <row r="241" spans="1:2">
      <c r="A241" s="406"/>
      <c r="B241" s="406"/>
    </row>
    <row r="242" spans="1:2">
      <c r="A242" s="406"/>
      <c r="B242" s="406"/>
    </row>
    <row r="243" spans="1:2">
      <c r="A243" s="406"/>
      <c r="B243" s="406"/>
    </row>
    <row r="244" spans="1:2">
      <c r="A244" s="406"/>
      <c r="B244" s="406"/>
    </row>
    <row r="245" spans="1:2">
      <c r="A245" s="406"/>
      <c r="B245" s="406"/>
    </row>
    <row r="246" spans="1:2">
      <c r="A246" s="406"/>
      <c r="B246" s="406"/>
    </row>
    <row r="247" spans="1:2">
      <c r="A247" s="406"/>
      <c r="B247" s="406"/>
    </row>
    <row r="248" spans="1:2">
      <c r="A248" s="406"/>
      <c r="B248" s="406"/>
    </row>
  </sheetData>
  <phoneticPr fontId="14" type="noConversion"/>
  <pageMargins left="0.75" right="0.75" top="1" bottom="1" header="0.5" footer="0.5"/>
  <pageSetup paperSize="9" scale="64" fitToHeight="0" orientation="landscape" r:id="rId1"/>
  <headerFooter alignWithMargins="0"/>
  <cellWatches>
    <cellWatch r="BT15"/>
    <cellWatch r="BY15"/>
    <cellWatch r="CD15"/>
  </cellWatche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3"/>
  </sheetPr>
  <dimension ref="A1:CA78"/>
  <sheetViews>
    <sheetView zoomScale="85" workbookViewId="0">
      <selection sqref="A1:XFD1048576"/>
    </sheetView>
  </sheetViews>
  <sheetFormatPr defaultColWidth="9.7109375" defaultRowHeight="12.75"/>
  <cols>
    <col min="1" max="1" width="3.7109375" customWidth="1"/>
    <col min="2" max="2" width="35.7109375" customWidth="1"/>
    <col min="3" max="8" width="9.7109375" customWidth="1"/>
    <col min="9" max="9" width="9.7109375" customWidth="1" collapsed="1"/>
    <col min="10" max="13" width="9.7109375" customWidth="1"/>
    <col min="14" max="14" width="9.7109375" customWidth="1" collapsed="1"/>
    <col min="15" max="18" width="9.7109375" customWidth="1"/>
    <col min="19" max="19" width="9.7109375" customWidth="1" collapsed="1"/>
    <col min="20" max="23" width="9.7109375" customWidth="1"/>
    <col min="24" max="24" width="9.7109375" customWidth="1" collapsed="1"/>
    <col min="25" max="28" width="9.7109375" customWidth="1"/>
    <col min="29" max="29" width="9.7109375" customWidth="1" collapsed="1"/>
    <col min="30" max="43" width="9.7109375" customWidth="1"/>
    <col min="44" max="44" width="9.7109375" customWidth="1" collapsed="1"/>
    <col min="45" max="48" width="9.7109375" customWidth="1"/>
    <col min="49" max="49" width="9.7109375" customWidth="1" collapsed="1"/>
    <col min="50" max="53" width="9.7109375" customWidth="1"/>
    <col min="54" max="54" width="9.7109375" customWidth="1" collapsed="1"/>
    <col min="55" max="58" width="9.7109375" customWidth="1"/>
    <col min="59" max="59" width="9.7109375" customWidth="1" collapsed="1"/>
    <col min="60" max="63" width="9.7109375" customWidth="1"/>
    <col min="64" max="64" width="9.7109375" customWidth="1" collapsed="1"/>
    <col min="65" max="68" width="9.7109375" customWidth="1"/>
    <col min="69" max="69" width="9.7109375" customWidth="1" collapsed="1"/>
    <col min="70" max="73" width="9.7109375" customWidth="1"/>
    <col min="74" max="74" width="9.7109375" customWidth="1" collapsed="1"/>
    <col min="75" max="78" width="9.7109375" customWidth="1"/>
    <col min="79" max="79" width="9.7109375" customWidth="1" collapsed="1"/>
  </cols>
  <sheetData>
    <row r="1" spans="1:51" ht="12.75" customHeight="1">
      <c r="A1" s="218"/>
      <c r="B1" s="218"/>
      <c r="C1" s="218"/>
      <c r="D1" s="218"/>
      <c r="E1" s="218"/>
      <c r="F1" s="218"/>
      <c r="G1" s="218"/>
      <c r="H1" s="218"/>
      <c r="I1" s="218"/>
      <c r="J1" s="218"/>
      <c r="K1" s="218"/>
      <c r="L1" s="218"/>
      <c r="M1" s="218"/>
      <c r="N1" s="218"/>
      <c r="O1" s="218"/>
      <c r="P1" s="219"/>
      <c r="Q1" s="219"/>
      <c r="R1" s="218"/>
      <c r="S1" s="218"/>
      <c r="T1" s="218"/>
      <c r="U1" s="218"/>
      <c r="V1" s="218"/>
      <c r="W1" s="218"/>
      <c r="X1" s="218"/>
      <c r="Y1" s="218"/>
      <c r="Z1" s="218"/>
      <c r="AA1" s="218"/>
      <c r="AB1" s="218"/>
      <c r="AC1" s="218"/>
      <c r="AD1" s="218"/>
      <c r="AE1" s="218"/>
      <c r="AF1" s="218"/>
      <c r="AG1" s="218"/>
      <c r="AH1" s="218"/>
      <c r="AI1" s="218"/>
      <c r="AJ1" s="218"/>
      <c r="AK1" s="218"/>
      <c r="AL1" s="218"/>
      <c r="AM1" s="218"/>
      <c r="AN1" s="218"/>
      <c r="AO1" s="218"/>
      <c r="AP1" s="218"/>
      <c r="AQ1" s="218"/>
      <c r="AR1" s="218"/>
      <c r="AS1" s="218"/>
      <c r="AT1" s="218"/>
      <c r="AU1" s="218"/>
      <c r="AV1" s="218"/>
      <c r="AW1" s="218"/>
      <c r="AX1" s="218"/>
      <c r="AY1" s="218" t="s">
        <v>3421</v>
      </c>
    </row>
    <row r="2" spans="1:51" ht="18" customHeight="1">
      <c r="A2" s="218"/>
      <c r="B2" s="220" t="s">
        <v>3369</v>
      </c>
      <c r="C2" s="218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9"/>
      <c r="Q2" s="219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8"/>
      <c r="AD2" s="218"/>
      <c r="AE2" s="218"/>
      <c r="AF2" s="218"/>
      <c r="AG2" s="218"/>
      <c r="AH2" s="218"/>
      <c r="AI2" s="218"/>
      <c r="AJ2" s="218"/>
      <c r="AK2" s="218"/>
      <c r="AL2" s="218"/>
      <c r="AM2" s="218"/>
      <c r="AN2" s="218"/>
      <c r="AO2" s="218"/>
      <c r="AP2" s="218"/>
      <c r="AQ2" s="218"/>
      <c r="AR2" s="218"/>
      <c r="AS2" s="218"/>
      <c r="AT2" s="218"/>
      <c r="AU2" s="218"/>
      <c r="AV2" s="218"/>
      <c r="AW2" s="218"/>
      <c r="AX2" s="218"/>
      <c r="AY2" s="218" t="s">
        <v>3421</v>
      </c>
    </row>
    <row r="3" spans="1:51" ht="12.75" customHeight="1">
      <c r="A3" s="218"/>
      <c r="B3" s="221" t="s">
        <v>3479</v>
      </c>
      <c r="C3" s="218"/>
      <c r="D3" s="218"/>
      <c r="E3" s="218"/>
      <c r="F3" s="218"/>
      <c r="G3" s="218"/>
      <c r="H3" s="218"/>
      <c r="I3" s="218"/>
      <c r="J3" s="218"/>
      <c r="K3" s="218"/>
      <c r="L3" s="218"/>
      <c r="M3" s="218"/>
      <c r="N3" s="218"/>
      <c r="O3" s="218"/>
      <c r="P3" s="219"/>
      <c r="Q3" s="219"/>
      <c r="R3" s="218"/>
      <c r="S3" s="218"/>
      <c r="T3" s="218"/>
      <c r="U3" s="218"/>
      <c r="V3" s="218"/>
      <c r="W3" s="218"/>
      <c r="X3" s="218"/>
      <c r="Y3" s="218"/>
      <c r="Z3" s="218"/>
      <c r="AA3" s="218"/>
      <c r="AB3" s="218"/>
      <c r="AC3" s="218"/>
      <c r="AD3" s="218"/>
      <c r="AE3" s="218"/>
      <c r="AF3" s="218"/>
      <c r="AG3" s="218"/>
      <c r="AH3" s="218"/>
      <c r="AI3" s="218"/>
      <c r="AJ3" s="218"/>
      <c r="AK3" s="218"/>
      <c r="AL3" s="218"/>
      <c r="AM3" s="218"/>
      <c r="AN3" s="218"/>
      <c r="AO3" s="218"/>
      <c r="AP3" s="218"/>
      <c r="AQ3" s="218"/>
      <c r="AR3" s="218"/>
      <c r="AS3" s="218"/>
      <c r="AT3" s="218"/>
      <c r="AU3" s="218"/>
      <c r="AV3" s="218"/>
      <c r="AW3" s="218"/>
      <c r="AX3" s="218"/>
      <c r="AY3" s="218" t="s">
        <v>3421</v>
      </c>
    </row>
    <row r="4" spans="1:51" ht="12.75" customHeight="1">
      <c r="A4" s="218"/>
      <c r="B4" s="218"/>
      <c r="C4" s="218"/>
      <c r="D4" s="218"/>
      <c r="E4" s="218"/>
      <c r="F4" s="218"/>
      <c r="G4" s="218"/>
      <c r="H4" s="218"/>
      <c r="I4" s="218"/>
      <c r="J4" s="218"/>
      <c r="K4" s="218"/>
      <c r="L4" s="218"/>
      <c r="M4" s="218"/>
      <c r="N4" s="218"/>
      <c r="O4" s="218"/>
      <c r="P4" s="219"/>
      <c r="Q4" s="219"/>
      <c r="R4" s="218"/>
      <c r="S4" s="218"/>
      <c r="T4" s="218"/>
      <c r="U4" s="218"/>
      <c r="V4" s="218"/>
      <c r="W4" s="218"/>
      <c r="X4" s="218"/>
      <c r="Y4" s="218"/>
      <c r="Z4" s="218"/>
      <c r="AA4" s="218"/>
      <c r="AB4" s="218"/>
      <c r="AC4" s="218"/>
      <c r="AD4" s="218"/>
      <c r="AE4" s="218"/>
      <c r="AF4" s="218"/>
      <c r="AG4" s="218"/>
      <c r="AH4" s="218"/>
      <c r="AI4" s="218"/>
      <c r="AJ4" s="218"/>
      <c r="AK4" s="218"/>
      <c r="AL4" s="218"/>
      <c r="AM4" s="218"/>
      <c r="AN4" s="218"/>
      <c r="AO4" s="218"/>
      <c r="AP4" s="218"/>
      <c r="AQ4" s="218"/>
      <c r="AR4" s="218"/>
      <c r="AS4" s="218"/>
      <c r="AT4" s="218"/>
      <c r="AU4" s="218"/>
      <c r="AV4" s="218"/>
      <c r="AW4" s="218"/>
      <c r="AX4" s="218"/>
      <c r="AY4" s="218" t="s">
        <v>3421</v>
      </c>
    </row>
    <row r="5" spans="1:51" ht="12.75" customHeight="1">
      <c r="A5" s="167"/>
      <c r="B5" s="167"/>
      <c r="C5" s="167"/>
      <c r="D5" s="167"/>
      <c r="E5" s="167"/>
      <c r="F5" s="167"/>
      <c r="G5" s="167"/>
      <c r="H5" s="167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Z5" s="167"/>
      <c r="AA5" s="167"/>
      <c r="AB5" s="167"/>
      <c r="AC5" s="167"/>
      <c r="AD5" s="167"/>
      <c r="AE5" s="167"/>
      <c r="AF5" s="167"/>
      <c r="AG5" s="167"/>
      <c r="AH5" s="167"/>
      <c r="AI5" s="167"/>
      <c r="AJ5" s="167"/>
      <c r="AK5" s="167"/>
      <c r="AL5" s="167"/>
      <c r="AM5" s="167"/>
      <c r="AN5" s="167"/>
      <c r="AO5" s="167"/>
      <c r="AP5" s="167"/>
      <c r="AQ5" s="167"/>
      <c r="AR5" s="167"/>
      <c r="AS5" s="167"/>
      <c r="AT5" s="167"/>
      <c r="AU5" s="167"/>
      <c r="AV5" s="167"/>
      <c r="AW5" s="167"/>
      <c r="AX5" s="167"/>
      <c r="AY5" s="167"/>
    </row>
    <row r="6" spans="1:51" ht="12.75" customHeight="1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7"/>
      <c r="Y6" s="167"/>
      <c r="Z6" s="167"/>
      <c r="AA6" s="167"/>
      <c r="AB6" s="167"/>
      <c r="AC6" s="167"/>
      <c r="AD6" s="167"/>
      <c r="AE6" s="167"/>
      <c r="AF6" s="167"/>
      <c r="AG6" s="167"/>
      <c r="AH6" s="167"/>
      <c r="AI6" s="167"/>
      <c r="AJ6" s="167"/>
      <c r="AK6" s="167"/>
      <c r="AL6" s="167"/>
      <c r="AM6" s="167"/>
      <c r="AN6" s="167"/>
      <c r="AO6" s="167"/>
      <c r="AP6" s="167"/>
      <c r="AQ6" s="167"/>
      <c r="AR6" s="167"/>
      <c r="AS6" s="167"/>
      <c r="AT6" s="167"/>
      <c r="AU6" s="167"/>
      <c r="AV6" s="167"/>
      <c r="AW6" s="167"/>
      <c r="AX6" s="167"/>
      <c r="AY6" s="167"/>
    </row>
    <row r="7" spans="1:51" ht="12.75" customHeight="1">
      <c r="A7" s="167"/>
      <c r="B7" s="321" t="s">
        <v>2886</v>
      </c>
      <c r="C7" s="88"/>
      <c r="D7" s="88"/>
      <c r="E7" s="88"/>
      <c r="F7" s="88"/>
      <c r="G7" s="88"/>
      <c r="H7" s="88"/>
      <c r="I7" s="88"/>
      <c r="J7" s="167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167"/>
      <c r="Z7" s="167"/>
      <c r="AA7" s="167"/>
      <c r="AB7" s="167"/>
      <c r="AC7" s="167"/>
      <c r="AD7" s="167"/>
      <c r="AE7" s="167"/>
      <c r="AF7" s="167"/>
      <c r="AG7" s="167"/>
      <c r="AH7" s="167"/>
      <c r="AI7" s="167"/>
      <c r="AJ7" s="167"/>
      <c r="AK7" s="167"/>
      <c r="AL7" s="167"/>
      <c r="AM7" s="167"/>
      <c r="AN7" s="167"/>
      <c r="AO7" s="167"/>
      <c r="AP7" s="88"/>
      <c r="AQ7" s="88"/>
      <c r="AR7" s="88"/>
      <c r="AS7" s="88"/>
      <c r="AT7" s="88"/>
      <c r="AU7" s="88"/>
      <c r="AV7" s="88"/>
      <c r="AW7" s="88"/>
      <c r="AX7" s="88"/>
      <c r="AY7" s="88"/>
    </row>
    <row r="8" spans="1:51" ht="12.75" customHeight="1">
      <c r="A8" s="167"/>
      <c r="B8" s="218"/>
      <c r="C8" s="218"/>
      <c r="D8" s="347" t="s">
        <v>2343</v>
      </c>
      <c r="E8" s="347" t="s">
        <v>1968</v>
      </c>
      <c r="F8" s="347" t="s">
        <v>1969</v>
      </c>
      <c r="G8" s="88"/>
      <c r="H8" s="384"/>
      <c r="I8" s="88"/>
      <c r="J8" s="167"/>
      <c r="Y8" s="167"/>
      <c r="Z8" s="167"/>
      <c r="AA8" s="167"/>
      <c r="AB8" s="167"/>
      <c r="AC8" s="167"/>
      <c r="AD8" s="167"/>
      <c r="AE8" s="167"/>
      <c r="AF8" s="167"/>
      <c r="AG8" s="167"/>
      <c r="AH8" s="167"/>
      <c r="AI8" s="167"/>
      <c r="AJ8" s="167"/>
      <c r="AK8" s="167"/>
      <c r="AL8" s="167"/>
      <c r="AM8" s="167"/>
      <c r="AN8" s="167"/>
      <c r="AO8" s="167"/>
      <c r="AP8" s="88"/>
      <c r="AQ8" s="88"/>
      <c r="AR8" s="88"/>
      <c r="AS8" s="88"/>
      <c r="AT8" s="88"/>
      <c r="AU8" s="88"/>
      <c r="AV8" s="88"/>
      <c r="AW8" s="88"/>
      <c r="AX8" s="88"/>
      <c r="AY8" s="88"/>
    </row>
    <row r="9" spans="1:51" ht="12.75" customHeight="1">
      <c r="A9" s="167"/>
      <c r="B9" t="s">
        <v>401</v>
      </c>
      <c r="C9" s="47"/>
      <c r="D9" s="385">
        <v>1.83E-2</v>
      </c>
      <c r="E9" s="507">
        <f>D9</f>
        <v>1.83E-2</v>
      </c>
      <c r="F9" s="507">
        <f>E9</f>
        <v>1.83E-2</v>
      </c>
      <c r="G9" s="88"/>
      <c r="H9" s="88"/>
      <c r="I9" s="88"/>
      <c r="J9" s="167"/>
      <c r="Y9" s="167"/>
      <c r="Z9" s="167"/>
      <c r="AA9" s="167"/>
      <c r="AB9" s="167"/>
      <c r="AC9" s="167"/>
      <c r="AD9" s="167"/>
      <c r="AE9" s="167"/>
      <c r="AF9" s="167"/>
      <c r="AG9" s="167"/>
      <c r="AH9" s="167"/>
      <c r="AI9" s="167"/>
      <c r="AJ9" s="167"/>
      <c r="AK9" s="167"/>
      <c r="AL9" s="167"/>
      <c r="AM9" s="167"/>
      <c r="AN9" s="167"/>
      <c r="AO9" s="167"/>
      <c r="AP9" s="88"/>
      <c r="AQ9" s="88"/>
      <c r="AR9" s="88"/>
      <c r="AS9" s="88"/>
      <c r="AT9" s="88"/>
      <c r="AU9" s="88"/>
      <c r="AV9" s="88"/>
      <c r="AW9" s="88"/>
      <c r="AX9" s="88"/>
      <c r="AY9" s="88"/>
    </row>
    <row r="10" spans="1:51" ht="12.75" customHeight="1">
      <c r="A10" s="167"/>
      <c r="B10" t="s">
        <v>402</v>
      </c>
      <c r="C10" s="47"/>
      <c r="D10" s="386">
        <v>7.0000000000000001E-3</v>
      </c>
      <c r="E10" s="386">
        <f>D10</f>
        <v>7.0000000000000001E-3</v>
      </c>
      <c r="F10" s="386">
        <v>0.01</v>
      </c>
      <c r="G10" s="88"/>
      <c r="H10" s="88"/>
      <c r="I10" s="88"/>
      <c r="J10" s="167"/>
      <c r="Y10" s="167"/>
      <c r="Z10" s="167"/>
      <c r="AA10" s="167"/>
      <c r="AB10" s="167"/>
      <c r="AC10" s="167"/>
      <c r="AD10" s="167"/>
      <c r="AE10" s="167"/>
      <c r="AF10" s="167"/>
      <c r="AG10" s="167"/>
      <c r="AH10" s="167"/>
      <c r="AI10" s="167"/>
      <c r="AJ10" s="167"/>
      <c r="AK10" s="167"/>
      <c r="AL10" s="167"/>
      <c r="AM10" s="167"/>
      <c r="AN10" s="167"/>
      <c r="AO10" s="167"/>
      <c r="AP10" s="88"/>
      <c r="AQ10" s="88"/>
      <c r="AR10" s="88"/>
      <c r="AS10" s="88"/>
      <c r="AT10" s="88"/>
      <c r="AU10" s="88"/>
      <c r="AV10" s="88"/>
      <c r="AW10" s="88"/>
      <c r="AX10" s="88"/>
      <c r="AY10" s="88"/>
    </row>
    <row r="11" spans="1:51">
      <c r="A11" s="167"/>
      <c r="B11" s="289" t="s">
        <v>548</v>
      </c>
      <c r="C11" s="47"/>
      <c r="D11" s="387">
        <f>SUM(D9:D10)</f>
        <v>2.53E-2</v>
      </c>
      <c r="E11" s="387">
        <f>SUM(E9:E10)</f>
        <v>2.53E-2</v>
      </c>
      <c r="F11" s="387">
        <f>SUM(F9:F10)</f>
        <v>2.8299999999999999E-2</v>
      </c>
      <c r="G11" s="88"/>
      <c r="H11" s="88"/>
      <c r="I11" s="88"/>
      <c r="J11" s="167"/>
      <c r="Y11" s="167"/>
      <c r="Z11" s="167"/>
      <c r="AA11" s="167"/>
      <c r="AB11" s="167"/>
      <c r="AC11" s="167"/>
      <c r="AD11" s="167"/>
      <c r="AE11" s="167"/>
      <c r="AF11" s="167"/>
      <c r="AG11" s="167"/>
      <c r="AH11" s="167"/>
      <c r="AI11" s="167"/>
      <c r="AJ11" s="167"/>
      <c r="AK11" s="167"/>
      <c r="AL11" s="167"/>
      <c r="AM11" s="167"/>
      <c r="AN11" s="167"/>
      <c r="AO11" s="167"/>
      <c r="AP11" s="222"/>
      <c r="AQ11" s="222"/>
      <c r="AR11" s="222"/>
      <c r="AS11" s="222"/>
      <c r="AT11" s="222"/>
      <c r="AU11" s="222"/>
      <c r="AV11" s="222"/>
      <c r="AW11" s="222"/>
      <c r="AX11" s="222"/>
      <c r="AY11" s="222"/>
    </row>
    <row r="12" spans="1:51" ht="12.75" customHeight="1">
      <c r="A12" s="167"/>
      <c r="B12" s="289"/>
      <c r="C12" s="47"/>
      <c r="G12" s="88"/>
      <c r="H12" s="88"/>
      <c r="I12" s="88"/>
      <c r="J12" s="167"/>
      <c r="Y12" s="167"/>
      <c r="Z12" s="167"/>
      <c r="AA12" s="167"/>
      <c r="AB12" s="167"/>
      <c r="AC12" s="167"/>
      <c r="AD12" s="167"/>
      <c r="AE12" s="167"/>
      <c r="AF12" s="167"/>
      <c r="AG12" s="167"/>
      <c r="AH12" s="167"/>
      <c r="AI12" s="167"/>
      <c r="AJ12" s="167"/>
      <c r="AK12" s="167"/>
      <c r="AL12" s="167"/>
      <c r="AM12" s="167"/>
      <c r="AN12" s="167"/>
      <c r="AO12" s="167"/>
      <c r="AP12" s="88"/>
      <c r="AQ12" s="88"/>
      <c r="AR12" s="88"/>
      <c r="AS12" s="88"/>
      <c r="AT12" s="88"/>
      <c r="AU12" s="88"/>
      <c r="AV12" s="88"/>
      <c r="AW12" s="88"/>
      <c r="AX12" s="88"/>
      <c r="AY12" s="88"/>
    </row>
    <row r="13" spans="1:51" ht="12.75" customHeight="1">
      <c r="A13" s="167"/>
      <c r="B13" s="345" t="s">
        <v>403</v>
      </c>
      <c r="C13" s="47"/>
      <c r="D13" s="388">
        <v>3.5000000000000003E-2</v>
      </c>
      <c r="E13" s="388">
        <f>D13</f>
        <v>3.5000000000000003E-2</v>
      </c>
      <c r="F13" s="388">
        <v>4.2500000000000003E-2</v>
      </c>
      <c r="G13" s="88"/>
      <c r="H13" s="88"/>
      <c r="I13" s="88"/>
      <c r="J13" s="167"/>
      <c r="Y13" s="167"/>
      <c r="Z13" s="167"/>
      <c r="AA13" s="167"/>
      <c r="AB13" s="167"/>
      <c r="AC13" s="167"/>
      <c r="AD13" s="167"/>
      <c r="AE13" s="167"/>
      <c r="AF13" s="167"/>
      <c r="AG13" s="167"/>
      <c r="AH13" s="167"/>
      <c r="AI13" s="167"/>
      <c r="AJ13" s="167"/>
      <c r="AK13" s="167"/>
      <c r="AL13" s="167"/>
      <c r="AM13" s="167"/>
      <c r="AN13" s="167"/>
      <c r="AO13" s="167"/>
      <c r="AP13" s="88"/>
      <c r="AQ13" s="88"/>
      <c r="AR13" s="88"/>
      <c r="AS13" s="88"/>
      <c r="AT13" s="88"/>
      <c r="AU13" s="88"/>
      <c r="AV13" s="88"/>
      <c r="AW13" s="88"/>
      <c r="AX13" s="88"/>
      <c r="AY13" s="88"/>
    </row>
    <row r="14" spans="1:51" ht="12.75" customHeight="1">
      <c r="A14" s="167"/>
      <c r="B14" s="289" t="s">
        <v>2885</v>
      </c>
      <c r="C14" s="47"/>
      <c r="D14" s="387">
        <f>D11+D13</f>
        <v>6.0300000000000006E-2</v>
      </c>
      <c r="E14" s="387">
        <f>E11+E13</f>
        <v>6.0300000000000006E-2</v>
      </c>
      <c r="F14" s="387">
        <f>F11+F13</f>
        <v>7.0800000000000002E-2</v>
      </c>
      <c r="G14" s="88"/>
      <c r="H14" s="88"/>
      <c r="I14" s="88"/>
      <c r="J14" s="167"/>
      <c r="Y14" s="167"/>
      <c r="Z14" s="167"/>
      <c r="AA14" s="167"/>
      <c r="AB14" s="167"/>
      <c r="AC14" s="167"/>
      <c r="AD14" s="167"/>
      <c r="AE14" s="167"/>
      <c r="AF14" s="167"/>
      <c r="AG14" s="167"/>
      <c r="AH14" s="167"/>
      <c r="AI14" s="167"/>
      <c r="AJ14" s="167"/>
      <c r="AK14" s="167"/>
      <c r="AL14" s="167"/>
      <c r="AM14" s="167"/>
      <c r="AN14" s="167"/>
      <c r="AO14" s="167"/>
      <c r="AP14" s="88"/>
      <c r="AQ14" s="88"/>
      <c r="AR14" s="88"/>
      <c r="AS14" s="88"/>
      <c r="AT14" s="88"/>
      <c r="AU14" s="88"/>
      <c r="AV14" s="88"/>
      <c r="AW14" s="88"/>
      <c r="AX14" s="88"/>
      <c r="AY14" s="88"/>
    </row>
    <row r="15" spans="1:51" ht="12.75" customHeight="1">
      <c r="A15" s="167"/>
      <c r="C15" s="47"/>
      <c r="D15" s="47"/>
      <c r="E15" s="47"/>
      <c r="F15" s="47"/>
      <c r="G15" s="88"/>
      <c r="H15" s="88"/>
      <c r="I15" s="88"/>
      <c r="J15" s="167"/>
      <c r="Y15" s="167"/>
      <c r="Z15" s="167"/>
      <c r="AA15" s="167"/>
      <c r="AB15" s="167"/>
      <c r="AC15" s="167"/>
      <c r="AD15" s="167"/>
      <c r="AE15" s="167"/>
      <c r="AF15" s="167"/>
      <c r="AG15" s="167"/>
      <c r="AH15" s="167"/>
      <c r="AI15" s="167"/>
      <c r="AJ15" s="167"/>
      <c r="AK15" s="167"/>
      <c r="AL15" s="167"/>
      <c r="AM15" s="167"/>
      <c r="AN15" s="167"/>
      <c r="AO15" s="167"/>
      <c r="AP15" s="88"/>
      <c r="AQ15" s="88"/>
      <c r="AR15" s="88"/>
      <c r="AS15" s="88"/>
      <c r="AT15" s="88"/>
      <c r="AU15" s="88"/>
      <c r="AV15" s="88"/>
      <c r="AW15" s="88"/>
      <c r="AX15" s="88"/>
      <c r="AY15" s="88"/>
    </row>
    <row r="16" spans="1:51" ht="12.75" customHeight="1">
      <c r="A16" s="167"/>
      <c r="B16" s="24" t="s">
        <v>404</v>
      </c>
      <c r="C16" s="47"/>
      <c r="D16" s="155">
        <f>INDEX(Other!$11:$11,MATCH(B17-1,Other!$9:$9,0))</f>
        <v>40</v>
      </c>
      <c r="E16" s="47"/>
      <c r="F16" s="47"/>
      <c r="G16" s="88"/>
      <c r="H16" s="88"/>
      <c r="I16" s="88"/>
      <c r="J16" s="167"/>
      <c r="Y16" s="167"/>
      <c r="Z16" s="167"/>
      <c r="AA16" s="167"/>
      <c r="AB16" s="167"/>
      <c r="AC16" s="167"/>
      <c r="AD16" s="167"/>
      <c r="AE16" s="167"/>
      <c r="AF16" s="167"/>
      <c r="AG16" s="167"/>
      <c r="AH16" s="167"/>
      <c r="AI16" s="167"/>
      <c r="AJ16" s="167"/>
      <c r="AK16" s="167"/>
      <c r="AL16" s="167"/>
      <c r="AM16" s="167"/>
      <c r="AN16" s="167"/>
      <c r="AO16" s="167"/>
      <c r="AP16" s="88"/>
      <c r="AQ16" s="88"/>
      <c r="AR16" s="88"/>
      <c r="AS16" s="88"/>
      <c r="AT16" s="88"/>
      <c r="AU16" s="88"/>
      <c r="AV16" s="88"/>
      <c r="AW16" s="88"/>
      <c r="AX16" s="88"/>
      <c r="AY16" s="88"/>
    </row>
    <row r="17" spans="1:51" ht="12.75" customHeight="1">
      <c r="A17" s="167"/>
      <c r="B17" s="456">
        <v>2017</v>
      </c>
      <c r="C17" s="47"/>
      <c r="D17" s="155">
        <f>INDEX(Other!$11:$11,MATCH(B17,Other!$9:$9,0))</f>
        <v>40</v>
      </c>
      <c r="E17" s="126">
        <v>40</v>
      </c>
      <c r="F17" s="217">
        <v>40</v>
      </c>
      <c r="G17" s="88"/>
      <c r="H17" s="88"/>
      <c r="I17" s="88"/>
      <c r="J17" s="167"/>
      <c r="Y17" s="167"/>
      <c r="Z17" s="167"/>
      <c r="AA17" s="167"/>
      <c r="AB17" s="167"/>
      <c r="AC17" s="167"/>
      <c r="AD17" s="167"/>
      <c r="AE17" s="167"/>
      <c r="AF17" s="167"/>
      <c r="AG17" s="167"/>
      <c r="AH17" s="167"/>
      <c r="AI17" s="167"/>
      <c r="AJ17" s="167"/>
      <c r="AK17" s="167"/>
      <c r="AL17" s="167"/>
      <c r="AM17" s="167"/>
      <c r="AN17" s="167"/>
      <c r="AO17" s="167"/>
      <c r="AP17" s="88"/>
      <c r="AQ17" s="88"/>
      <c r="AR17" s="88"/>
      <c r="AS17" s="88"/>
      <c r="AT17" s="88"/>
      <c r="AU17" s="88"/>
      <c r="AV17" s="88"/>
      <c r="AW17" s="88"/>
      <c r="AX17" s="88"/>
      <c r="AY17" s="88"/>
    </row>
    <row r="18" spans="1:51" ht="12.75" customHeight="1">
      <c r="A18" s="167"/>
      <c r="B18" s="456">
        <f>B17+1</f>
        <v>2018</v>
      </c>
      <c r="C18" s="47"/>
      <c r="D18" s="155">
        <f>INDEX(Other!$11:$11,MATCH(B18,Other!$9:$9,0))</f>
        <v>40</v>
      </c>
      <c r="E18" s="126">
        <v>40</v>
      </c>
      <c r="F18" s="217">
        <v>40</v>
      </c>
      <c r="G18" s="88"/>
      <c r="H18" s="88"/>
      <c r="I18" s="88"/>
      <c r="J18" s="167"/>
      <c r="Y18" s="167"/>
      <c r="Z18" s="167"/>
      <c r="AA18" s="167"/>
      <c r="AB18" s="167"/>
      <c r="AC18" s="167"/>
      <c r="AD18" s="167"/>
      <c r="AE18" s="167"/>
      <c r="AF18" s="167"/>
      <c r="AG18" s="167"/>
      <c r="AH18" s="167"/>
      <c r="AI18" s="167"/>
      <c r="AJ18" s="167"/>
      <c r="AK18" s="167"/>
      <c r="AL18" s="167"/>
      <c r="AM18" s="167"/>
      <c r="AN18" s="167"/>
      <c r="AO18" s="167"/>
      <c r="AP18" s="88"/>
      <c r="AQ18" s="88"/>
      <c r="AR18" s="88"/>
      <c r="AS18" s="88"/>
      <c r="AT18" s="88"/>
      <c r="AU18" s="88"/>
      <c r="AV18" s="88"/>
      <c r="AW18" s="88"/>
      <c r="AX18" s="88"/>
      <c r="AY18" s="88"/>
    </row>
    <row r="19" spans="1:51" ht="12.75" customHeight="1">
      <c r="A19" s="167"/>
      <c r="B19" s="456">
        <f>B18+1</f>
        <v>2019</v>
      </c>
      <c r="C19" s="47"/>
      <c r="D19" s="155">
        <f>INDEX(Other!$11:$11,MATCH(B19,Other!$9:$9,0))</f>
        <v>40</v>
      </c>
      <c r="E19" s="126">
        <v>40</v>
      </c>
      <c r="F19" s="217">
        <v>40</v>
      </c>
      <c r="G19" s="88"/>
      <c r="H19" s="88"/>
      <c r="I19" s="88"/>
      <c r="J19" s="167"/>
      <c r="Y19" s="167"/>
      <c r="Z19" s="167"/>
      <c r="AA19" s="167"/>
      <c r="AB19" s="167"/>
      <c r="AC19" s="167"/>
      <c r="AD19" s="167"/>
      <c r="AE19" s="167"/>
      <c r="AF19" s="167"/>
      <c r="AG19" s="167"/>
      <c r="AH19" s="167"/>
      <c r="AI19" s="167"/>
      <c r="AJ19" s="167"/>
      <c r="AK19" s="167"/>
      <c r="AL19" s="167"/>
      <c r="AM19" s="167"/>
      <c r="AN19" s="167"/>
      <c r="AO19" s="167"/>
      <c r="AP19" s="88"/>
      <c r="AQ19" s="88"/>
      <c r="AR19" s="88"/>
      <c r="AS19" s="88"/>
      <c r="AT19" s="88"/>
      <c r="AU19" s="88"/>
      <c r="AV19" s="88"/>
      <c r="AW19" s="88"/>
      <c r="AX19" s="88"/>
      <c r="AY19" s="88"/>
    </row>
    <row r="20" spans="1:51" ht="12.75" customHeight="1">
      <c r="A20" s="167"/>
      <c r="B20" s="389" t="s">
        <v>405</v>
      </c>
      <c r="C20" s="47"/>
      <c r="D20" s="390">
        <f>(D19/INDEX(Other!$11:$11,MATCH($B17-2,Other!$9:$9,0)))^(1/4)-1</f>
        <v>0</v>
      </c>
      <c r="E20" s="390">
        <f>(E19/INDEX(Other!$11:$11,MATCH($B17-2,Other!$9:$9,0)))^(1/4)-1</f>
        <v>0</v>
      </c>
      <c r="F20" s="390">
        <f>(F19/INDEX(Other!$11:$11,MATCH($B17-2,Other!$9:$9,0)))^(1/4)-1</f>
        <v>0</v>
      </c>
      <c r="G20" s="88"/>
      <c r="H20" s="88"/>
      <c r="I20" s="88"/>
      <c r="J20" s="167"/>
      <c r="Y20" s="167"/>
      <c r="Z20" s="167"/>
      <c r="AA20" s="167"/>
      <c r="AB20" s="167"/>
      <c r="AC20" s="167"/>
      <c r="AD20" s="167"/>
      <c r="AE20" s="167"/>
      <c r="AF20" s="167"/>
      <c r="AG20" s="167"/>
      <c r="AH20" s="167"/>
      <c r="AI20" s="167"/>
      <c r="AJ20" s="167"/>
      <c r="AK20" s="167"/>
      <c r="AL20" s="167"/>
      <c r="AM20" s="167"/>
      <c r="AN20" s="167"/>
      <c r="AO20" s="167"/>
      <c r="AP20" s="88"/>
      <c r="AQ20" s="88"/>
      <c r="AR20" s="88"/>
      <c r="AS20" s="88"/>
      <c r="AT20" s="88"/>
      <c r="AU20" s="88"/>
      <c r="AV20" s="88"/>
      <c r="AW20" s="88"/>
      <c r="AX20" s="88"/>
      <c r="AY20" s="88"/>
    </row>
    <row r="21" spans="1:51" ht="12.75" customHeight="1">
      <c r="A21" s="167"/>
      <c r="C21" s="88"/>
      <c r="D21" s="88"/>
      <c r="E21" s="88"/>
      <c r="F21" s="88"/>
      <c r="G21" s="88"/>
      <c r="H21" s="88"/>
      <c r="I21" s="88"/>
      <c r="J21" s="167"/>
      <c r="Y21" s="167"/>
      <c r="Z21" s="167"/>
      <c r="AA21" s="167"/>
      <c r="AB21" s="167"/>
      <c r="AC21" s="167"/>
      <c r="AD21" s="167"/>
      <c r="AE21" s="167"/>
      <c r="AF21" s="167"/>
      <c r="AG21" s="167"/>
      <c r="AH21" s="167"/>
      <c r="AI21" s="167"/>
      <c r="AJ21" s="167"/>
      <c r="AK21" s="167"/>
      <c r="AL21" s="167"/>
      <c r="AM21" s="167"/>
      <c r="AN21" s="167"/>
      <c r="AO21" s="167"/>
      <c r="AP21" s="88"/>
      <c r="AQ21" s="88"/>
      <c r="AR21" s="88"/>
      <c r="AS21" s="88"/>
      <c r="AT21" s="88"/>
      <c r="AU21" s="88"/>
      <c r="AV21" s="88"/>
      <c r="AW21" s="88"/>
      <c r="AX21" s="88"/>
      <c r="AY21" s="88"/>
    </row>
    <row r="22" spans="1:51" ht="12.75" customHeight="1">
      <c r="A22" s="167"/>
      <c r="B22" s="391" t="s">
        <v>406</v>
      </c>
      <c r="C22" s="338"/>
      <c r="D22" s="392">
        <f>D9</f>
        <v>1.83E-2</v>
      </c>
      <c r="E22" s="392">
        <f>E9</f>
        <v>1.83E-2</v>
      </c>
      <c r="F22" s="392">
        <f>F9</f>
        <v>1.83E-2</v>
      </c>
      <c r="G22" s="88"/>
      <c r="H22" s="88"/>
      <c r="I22" s="88"/>
      <c r="J22" s="167"/>
      <c r="Y22" s="167"/>
      <c r="Z22" s="167"/>
      <c r="AA22" s="167"/>
      <c r="AB22" s="167"/>
      <c r="AC22" s="167"/>
      <c r="AD22" s="167"/>
      <c r="AE22" s="167"/>
      <c r="AF22" s="167"/>
      <c r="AG22" s="167"/>
      <c r="AH22" s="167"/>
      <c r="AI22" s="167"/>
      <c r="AJ22" s="167"/>
      <c r="AK22" s="167"/>
      <c r="AL22" s="167"/>
      <c r="AM22" s="167"/>
      <c r="AN22" s="167"/>
      <c r="AO22" s="167"/>
      <c r="AP22" s="88"/>
      <c r="AQ22" s="88"/>
      <c r="AR22" s="88"/>
      <c r="AS22" s="88"/>
      <c r="AT22" s="88"/>
      <c r="AU22" s="88"/>
      <c r="AV22" s="88"/>
      <c r="AW22" s="88"/>
      <c r="AX22" s="88"/>
      <c r="AY22" s="88"/>
    </row>
    <row r="23" spans="1:51" ht="12.75" customHeight="1">
      <c r="A23" s="167"/>
      <c r="B23" s="391" t="s">
        <v>1536</v>
      </c>
      <c r="C23" s="338"/>
      <c r="D23" s="527">
        <v>-9.0500000000000008E-3</v>
      </c>
      <c r="E23" s="527">
        <v>1.8E-3</v>
      </c>
      <c r="F23" s="527">
        <v>-2.3300000000000001E-2</v>
      </c>
      <c r="G23" s="88"/>
      <c r="H23" s="88"/>
      <c r="I23" s="88"/>
      <c r="J23" s="167"/>
      <c r="Y23" s="167"/>
      <c r="Z23" s="167"/>
      <c r="AA23" s="167"/>
      <c r="AB23" s="167"/>
      <c r="AC23" s="167"/>
      <c r="AD23" s="167"/>
      <c r="AE23" s="167"/>
      <c r="AF23" s="167"/>
      <c r="AG23" s="167"/>
      <c r="AH23" s="167"/>
      <c r="AI23" s="167"/>
      <c r="AJ23" s="167"/>
      <c r="AK23" s="167"/>
      <c r="AL23" s="167"/>
      <c r="AM23" s="167"/>
      <c r="AN23" s="167"/>
      <c r="AO23" s="167"/>
      <c r="AP23" s="88"/>
      <c r="AQ23" s="88"/>
      <c r="AR23" s="88"/>
      <c r="AS23" s="88"/>
      <c r="AT23" s="88"/>
      <c r="AU23" s="88"/>
      <c r="AV23" s="88"/>
      <c r="AW23" s="88"/>
      <c r="AX23" s="88"/>
      <c r="AY23" s="88"/>
    </row>
    <row r="24" spans="1:51" ht="12.75" customHeight="1">
      <c r="A24" s="167"/>
      <c r="B24" s="393" t="s">
        <v>1071</v>
      </c>
      <c r="C24" s="338"/>
      <c r="D24" s="394">
        <f>SUM(D22:D23)</f>
        <v>9.2499999999999995E-3</v>
      </c>
      <c r="E24" s="394">
        <f>SUM(E22:E23)</f>
        <v>2.01E-2</v>
      </c>
      <c r="F24" s="394">
        <f>SUM(F22:F23)</f>
        <v>-5.000000000000001E-3</v>
      </c>
      <c r="G24" s="88"/>
      <c r="H24" s="88"/>
      <c r="I24" s="88"/>
      <c r="J24" s="167"/>
      <c r="Y24" s="167"/>
      <c r="Z24" s="167"/>
      <c r="AA24" s="167"/>
      <c r="AB24" s="167"/>
      <c r="AC24" s="167"/>
      <c r="AD24" s="167"/>
      <c r="AE24" s="167"/>
      <c r="AF24" s="167"/>
      <c r="AG24" s="167"/>
      <c r="AH24" s="167"/>
      <c r="AI24" s="167"/>
      <c r="AJ24" s="167"/>
      <c r="AK24" s="167"/>
      <c r="AL24" s="167"/>
      <c r="AM24" s="167"/>
      <c r="AN24" s="167"/>
      <c r="AO24" s="167"/>
      <c r="AP24" s="88"/>
      <c r="AQ24" s="88"/>
      <c r="AR24" s="88"/>
      <c r="AS24" s="88"/>
      <c r="AT24" s="88"/>
      <c r="AU24" s="88"/>
      <c r="AV24" s="88"/>
      <c r="AW24" s="88"/>
      <c r="AX24" s="88"/>
      <c r="AY24" s="88"/>
    </row>
    <row r="25" spans="1:51" ht="12.75" customHeight="1">
      <c r="A25" s="167"/>
      <c r="C25" s="88"/>
      <c r="D25" s="88"/>
      <c r="E25" s="88"/>
      <c r="F25" s="88"/>
      <c r="G25" s="88"/>
      <c r="H25" s="88"/>
      <c r="I25" s="88"/>
      <c r="J25" s="167"/>
      <c r="K25" s="88"/>
      <c r="T25" s="88"/>
      <c r="U25" s="88"/>
      <c r="V25" s="88"/>
      <c r="W25" s="88"/>
      <c r="X25" s="88"/>
      <c r="Y25" s="167"/>
      <c r="Z25" s="167"/>
      <c r="AA25" s="167"/>
      <c r="AB25" s="167"/>
      <c r="AC25" s="167"/>
      <c r="AD25" s="167"/>
      <c r="AE25" s="167"/>
      <c r="AF25" s="167"/>
      <c r="AG25" s="167"/>
      <c r="AH25" s="167"/>
      <c r="AI25" s="167"/>
      <c r="AJ25" s="167"/>
      <c r="AK25" s="167"/>
      <c r="AL25" s="167"/>
      <c r="AM25" s="167"/>
      <c r="AN25" s="167"/>
      <c r="AO25" s="167"/>
      <c r="AP25" s="88"/>
      <c r="AQ25" s="88"/>
      <c r="AR25" s="88"/>
      <c r="AS25" s="88"/>
      <c r="AT25" s="88"/>
      <c r="AU25" s="88"/>
      <c r="AV25" s="88"/>
      <c r="AW25" s="88"/>
      <c r="AX25" s="88"/>
      <c r="AY25" s="88"/>
    </row>
    <row r="26" spans="1:51" ht="12.75" customHeight="1">
      <c r="A26" s="167"/>
      <c r="B26" s="320" t="s">
        <v>1072</v>
      </c>
      <c r="C26" s="88"/>
      <c r="D26" s="78">
        <f>(D17/(1+D14)+D18/(1+D14)^2+D19/(1+D14)^3+(D19*(1+D24)/(D14-D24))/(1+D14)^3)</f>
        <v>770.26307133114778</v>
      </c>
      <c r="E26" s="78">
        <f>(E17/(1+E14)+E18/(1+E14)^2+E19/(1+E14)^3+(E19*(1+E24)/(E14-E24))/(1+E14)^3)</f>
        <v>958.37243191676089</v>
      </c>
      <c r="F26" s="78">
        <f>(F17/(1+F14)+F18/(1+F14)^2+F19/(1+F14)^3+(F19*(1+F24)/(F14-F24))/(1+F14)^3)</f>
        <v>532.46969742817987</v>
      </c>
      <c r="G26" s="88"/>
      <c r="H26" s="88"/>
      <c r="I26" s="88"/>
      <c r="J26" s="167"/>
      <c r="K26" s="88"/>
      <c r="T26" s="88"/>
      <c r="U26" s="88"/>
      <c r="V26" s="88"/>
      <c r="W26" s="88"/>
      <c r="X26" s="88"/>
      <c r="Y26" s="167"/>
      <c r="Z26" s="167"/>
      <c r="AA26" s="167"/>
      <c r="AB26" s="167"/>
      <c r="AC26" s="167"/>
      <c r="AD26" s="167"/>
      <c r="AE26" s="167"/>
      <c r="AF26" s="167"/>
      <c r="AG26" s="167"/>
      <c r="AH26" s="167"/>
      <c r="AI26" s="167"/>
      <c r="AJ26" s="167"/>
      <c r="AK26" s="167"/>
      <c r="AL26" s="167"/>
      <c r="AM26" s="167"/>
      <c r="AN26" s="167"/>
      <c r="AO26" s="167"/>
      <c r="AP26" s="88"/>
      <c r="AQ26" s="88"/>
      <c r="AR26" s="88"/>
      <c r="AS26" s="88"/>
      <c r="AT26" s="88"/>
      <c r="AU26" s="88"/>
      <c r="AV26" s="88"/>
      <c r="AW26" s="88"/>
      <c r="AX26" s="88"/>
      <c r="AY26" s="88"/>
    </row>
    <row r="27" spans="1:51" ht="12.75" customHeight="1">
      <c r="A27" s="167"/>
      <c r="B27" s="319" t="s">
        <v>2887</v>
      </c>
      <c r="C27" s="88"/>
      <c r="D27" s="126">
        <v>1.4</v>
      </c>
      <c r="E27" s="126">
        <f>D27</f>
        <v>1.4</v>
      </c>
      <c r="F27" s="126">
        <f>E27</f>
        <v>1.4</v>
      </c>
      <c r="G27" s="88"/>
      <c r="H27" s="88"/>
      <c r="I27" s="88"/>
      <c r="J27" s="167"/>
      <c r="K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/>
      <c r="AI27" s="88"/>
      <c r="AJ27" s="88"/>
      <c r="AK27" s="88"/>
      <c r="AL27" s="88"/>
      <c r="AM27" s="88"/>
      <c r="AN27" s="88"/>
      <c r="AO27" s="88"/>
      <c r="AP27" s="88"/>
      <c r="AQ27" s="88"/>
      <c r="AR27" s="88"/>
      <c r="AS27" s="88"/>
      <c r="AT27" s="88"/>
      <c r="AU27" s="88"/>
      <c r="AV27" s="88"/>
      <c r="AW27" s="88"/>
      <c r="AX27" s="88"/>
      <c r="AY27" s="88"/>
    </row>
    <row r="28" spans="1:51" ht="12.75" customHeight="1">
      <c r="A28" s="167"/>
      <c r="B28" s="320" t="s">
        <v>2888</v>
      </c>
      <c r="C28" s="78"/>
      <c r="D28" s="395">
        <f>ROUND((D26/D27),0)</f>
        <v>550</v>
      </c>
      <c r="E28" s="395">
        <f>ROUND((E26/E27),0)</f>
        <v>685</v>
      </c>
      <c r="F28" s="395">
        <f>ROUND((F26/F27),0)</f>
        <v>380</v>
      </c>
      <c r="G28" s="88"/>
      <c r="H28" s="88"/>
      <c r="I28" s="88"/>
      <c r="J28" s="167"/>
      <c r="K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/>
      <c r="AI28" s="88"/>
      <c r="AJ28" s="88"/>
      <c r="AK28" s="88"/>
      <c r="AL28" s="88"/>
      <c r="AM28" s="88"/>
      <c r="AN28" s="88"/>
      <c r="AO28" s="88"/>
      <c r="AP28" s="88"/>
      <c r="AQ28" s="88"/>
      <c r="AR28" s="88"/>
      <c r="AS28" s="88"/>
      <c r="AT28" s="88"/>
      <c r="AU28" s="88"/>
      <c r="AV28" s="88"/>
      <c r="AW28" s="88"/>
      <c r="AX28" s="88"/>
      <c r="AY28" s="88"/>
    </row>
    <row r="29" spans="1:51" ht="12.75" customHeight="1">
      <c r="A29" s="222"/>
      <c r="B29" s="222"/>
      <c r="C29" s="222"/>
      <c r="D29" s="88"/>
      <c r="E29" s="88"/>
      <c r="F29" s="88"/>
      <c r="G29" s="88"/>
      <c r="H29" s="88"/>
      <c r="I29" s="88"/>
      <c r="J29" s="88"/>
      <c r="K29" s="88"/>
      <c r="T29" s="88"/>
      <c r="U29" s="88"/>
      <c r="V29" s="88"/>
      <c r="W29" s="88"/>
      <c r="X29" s="88"/>
      <c r="Y29" s="88"/>
      <c r="Z29" s="88"/>
      <c r="AA29" s="88"/>
      <c r="AB29" s="88"/>
      <c r="AC29" s="88"/>
      <c r="AD29" s="88"/>
      <c r="AE29" s="88"/>
      <c r="AF29" s="88"/>
      <c r="AG29" s="88"/>
      <c r="AH29" s="88"/>
      <c r="AI29" s="88"/>
      <c r="AJ29" s="88"/>
      <c r="AK29" s="88"/>
      <c r="AL29" s="88"/>
      <c r="AM29" s="88"/>
      <c r="AN29" s="88"/>
      <c r="AO29" s="88"/>
      <c r="AP29" s="88"/>
      <c r="AQ29" s="88"/>
      <c r="AR29" s="88"/>
      <c r="AS29" s="88"/>
      <c r="AT29" s="88"/>
      <c r="AU29" s="88"/>
      <c r="AV29" s="88"/>
      <c r="AW29" s="88"/>
      <c r="AX29" s="88"/>
      <c r="AY29" s="88"/>
    </row>
    <row r="30" spans="1:51" ht="12.75" customHeight="1">
      <c r="A30" s="222"/>
      <c r="B30" s="222"/>
      <c r="C30" s="222"/>
      <c r="D30" s="88"/>
      <c r="E30" s="88"/>
      <c r="F30" s="88"/>
      <c r="G30" s="88"/>
      <c r="H30" s="88"/>
      <c r="I30" s="88"/>
      <c r="J30" s="88"/>
      <c r="K30" s="88"/>
      <c r="L30" s="320"/>
      <c r="M30" s="78"/>
      <c r="N30" s="396"/>
      <c r="O30" s="396"/>
      <c r="P30" s="396"/>
      <c r="Q30" s="88"/>
      <c r="R30" s="88"/>
      <c r="S30" s="88"/>
      <c r="T30" s="88"/>
      <c r="U30" s="88"/>
      <c r="V30" s="88"/>
      <c r="W30" s="88"/>
      <c r="X30" s="88"/>
      <c r="Y30" s="88"/>
      <c r="Z30" s="88"/>
      <c r="AA30" s="88"/>
      <c r="AB30" s="88"/>
      <c r="AC30" s="88"/>
      <c r="AD30" s="88"/>
      <c r="AE30" s="88"/>
      <c r="AF30" s="88"/>
      <c r="AG30" s="88"/>
      <c r="AH30" s="88"/>
      <c r="AI30" s="88"/>
      <c r="AJ30" s="88"/>
      <c r="AK30" s="88"/>
      <c r="AL30" s="88"/>
      <c r="AM30" s="88"/>
      <c r="AN30" s="88"/>
      <c r="AO30" s="88"/>
      <c r="AP30" s="88"/>
      <c r="AQ30" s="88"/>
      <c r="AR30" s="88"/>
      <c r="AS30" s="88"/>
      <c r="AT30" s="88"/>
      <c r="AU30" s="88"/>
      <c r="AV30" s="88"/>
      <c r="AW30" s="88"/>
      <c r="AX30" s="88"/>
      <c r="AY30" s="88"/>
    </row>
    <row r="31" spans="1:51" ht="12.75" customHeight="1">
      <c r="D31" s="88"/>
    </row>
    <row r="32" spans="1:51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</sheetData>
  <phoneticPr fontId="1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enableFormatConditionsCalculation="0">
    <tabColor indexed="20"/>
    <pageSetUpPr autoPageBreaks="0" fitToPage="1"/>
  </sheetPr>
  <dimension ref="A1:IV139"/>
  <sheetViews>
    <sheetView zoomScale="85" zoomScaleNormal="85" workbookViewId="0">
      <pane xSplit="2" ySplit="9" topLeftCell="C10" activePane="bottomRight" state="frozen"/>
      <selection sqref="A1:IV65536"/>
      <selection pane="topRight" sqref="A1:IV65536"/>
      <selection pane="bottomLeft" sqref="A1:IV65536"/>
      <selection pane="bottomRight" sqref="A1:XFD1048576"/>
    </sheetView>
  </sheetViews>
  <sheetFormatPr defaultColWidth="9.7109375" defaultRowHeight="12.75" outlineLevelCol="1"/>
  <cols>
    <col min="1" max="1" width="3.7109375" customWidth="1"/>
    <col min="2" max="2" width="35.7109375" customWidth="1"/>
    <col min="3" max="7" width="9.7109375" customWidth="1"/>
    <col min="8" max="11" width="9.7109375" hidden="1" customWidth="1" outlineLevel="1"/>
    <col min="12" max="12" width="9.7109375" customWidth="1" collapsed="1"/>
    <col min="13" max="16" width="9.7109375" hidden="1" customWidth="1" outlineLevel="1"/>
    <col min="17" max="17" width="9.7109375" customWidth="1" collapsed="1"/>
    <col min="18" max="21" width="9.7109375" hidden="1" customWidth="1" outlineLevel="1"/>
    <col min="22" max="22" width="9.7109375" customWidth="1" collapsed="1"/>
    <col min="23" max="26" width="9.7109375" hidden="1" customWidth="1" outlineLevel="1"/>
    <col min="27" max="27" width="9.7109375" customWidth="1" collapsed="1"/>
    <col min="28" max="31" width="9.7109375" hidden="1" customWidth="1" outlineLevel="1"/>
    <col min="32" max="32" width="9.7109375" customWidth="1" collapsed="1"/>
    <col min="33" max="36" width="9.7109375" hidden="1" customWidth="1" outlineLevel="1"/>
    <col min="37" max="37" width="9.7109375" customWidth="1" collapsed="1"/>
    <col min="38" max="41" width="9.7109375" hidden="1" customWidth="1" outlineLevel="1"/>
    <col min="42" max="42" width="9.7109375" customWidth="1" collapsed="1"/>
    <col min="43" max="46" width="9.7109375" hidden="1" customWidth="1" outlineLevel="1"/>
    <col min="47" max="47" width="9.7109375" customWidth="1" collapsed="1"/>
    <col min="48" max="51" width="9.7109375" hidden="1" customWidth="1" outlineLevel="1"/>
    <col min="52" max="52" width="9.7109375" customWidth="1" collapsed="1"/>
    <col min="53" max="56" width="9.7109375" hidden="1" customWidth="1" outlineLevel="1"/>
    <col min="57" max="57" width="9.7109375" customWidth="1" collapsed="1"/>
    <col min="58" max="61" width="9.7109375" hidden="1" customWidth="1" outlineLevel="1"/>
    <col min="62" max="62" width="9.7109375" customWidth="1" collapsed="1"/>
    <col min="63" max="66" width="9.7109375" hidden="1" customWidth="1" outlineLevel="1"/>
    <col min="67" max="67" width="9.7109375" customWidth="1" collapsed="1"/>
    <col min="68" max="71" width="9.7109375" customWidth="1" outlineLevel="1"/>
    <col min="72" max="72" width="9.7109375" customWidth="1"/>
    <col min="73" max="76" width="9.7109375" hidden="1" customWidth="1" outlineLevel="1"/>
    <col min="77" max="77" width="9.7109375" customWidth="1" collapsed="1"/>
    <col min="78" max="81" width="9.7109375" hidden="1" customWidth="1" outlineLevel="1"/>
    <col min="82" max="82" width="9.7109375" customWidth="1" collapsed="1"/>
    <col min="83" max="94" width="9.7109375" customWidth="1"/>
    <col min="95" max="95" width="14.140625" bestFit="1" customWidth="1"/>
    <col min="96" max="96" width="11.5703125" bestFit="1" customWidth="1"/>
  </cols>
  <sheetData>
    <row r="1" spans="1:83" s="1" customFormat="1" ht="12.75" customHeight="1">
      <c r="D1" s="2"/>
      <c r="E1" s="2"/>
      <c r="F1" s="2"/>
      <c r="S1" s="3"/>
      <c r="T1" s="3"/>
      <c r="BB1" s="1" t="s">
        <v>3421</v>
      </c>
    </row>
    <row r="2" spans="1:83" s="1" customFormat="1" ht="18" customHeight="1">
      <c r="B2" s="20" t="s">
        <v>3369</v>
      </c>
      <c r="D2" s="2"/>
      <c r="E2" s="2"/>
      <c r="F2" s="2"/>
      <c r="S2" s="3"/>
      <c r="T2" s="3"/>
      <c r="BB2" s="1" t="s">
        <v>3421</v>
      </c>
    </row>
    <row r="3" spans="1:83" s="1" customFormat="1" ht="12.75" customHeight="1">
      <c r="B3" s="21" t="s">
        <v>2216</v>
      </c>
      <c r="D3" s="2"/>
      <c r="E3" s="2"/>
      <c r="F3" s="2"/>
      <c r="S3" s="3"/>
      <c r="T3" s="3"/>
      <c r="BB3" s="1" t="s">
        <v>3421</v>
      </c>
    </row>
    <row r="4" spans="1:83" s="1" customFormat="1" ht="12.75" customHeight="1">
      <c r="D4" s="2"/>
      <c r="E4" s="2"/>
      <c r="F4" s="2"/>
      <c r="S4" s="3"/>
      <c r="T4" s="3"/>
      <c r="BB4" s="1" t="s">
        <v>3421</v>
      </c>
    </row>
    <row r="5" spans="1:83" s="5" customFormat="1" ht="12.75" customHeight="1">
      <c r="A5" s="4"/>
      <c r="B5" s="4"/>
    </row>
    <row r="6" spans="1:83" s="8" customFormat="1" ht="12.75" customHeight="1">
      <c r="A6" s="6"/>
      <c r="B6" s="7"/>
      <c r="AG6" s="181"/>
      <c r="AH6" s="181"/>
      <c r="AI6" s="181"/>
    </row>
    <row r="7" spans="1:83" s="5" customFormat="1" ht="12.75" customHeight="1">
      <c r="A7" s="4"/>
      <c r="B7" s="4"/>
    </row>
    <row r="8" spans="1:83" s="5" customFormat="1" ht="12.75" customHeight="1">
      <c r="A8" s="9" t="s">
        <v>2541</v>
      </c>
      <c r="B8" s="4"/>
      <c r="C8" s="5" t="s">
        <v>2345</v>
      </c>
      <c r="D8" s="5" t="s">
        <v>2345</v>
      </c>
      <c r="E8" s="5" t="s">
        <v>1523</v>
      </c>
    </row>
    <row r="9" spans="1:83" s="11" customFormat="1" ht="12.75" customHeight="1">
      <c r="A9" s="10"/>
      <c r="B9" s="10"/>
      <c r="C9" s="31">
        <v>2001</v>
      </c>
      <c r="D9" s="32">
        <v>2002</v>
      </c>
      <c r="E9" s="32">
        <v>2003</v>
      </c>
      <c r="F9" s="32">
        <v>2004</v>
      </c>
      <c r="G9" s="31">
        <v>2005</v>
      </c>
      <c r="H9" s="33" t="s">
        <v>714</v>
      </c>
      <c r="I9" s="33" t="s">
        <v>715</v>
      </c>
      <c r="J9" s="33" t="s">
        <v>716</v>
      </c>
      <c r="K9" s="33" t="s">
        <v>717</v>
      </c>
      <c r="L9" s="31">
        <v>2006</v>
      </c>
      <c r="M9" s="33" t="s">
        <v>718</v>
      </c>
      <c r="N9" s="33" t="s">
        <v>719</v>
      </c>
      <c r="O9" s="33" t="s">
        <v>1970</v>
      </c>
      <c r="P9" s="33" t="s">
        <v>1971</v>
      </c>
      <c r="Q9" s="31">
        <v>2007</v>
      </c>
      <c r="R9" s="33" t="s">
        <v>1972</v>
      </c>
      <c r="S9" s="33" t="s">
        <v>1973</v>
      </c>
      <c r="T9" s="33" t="s">
        <v>1974</v>
      </c>
      <c r="U9" s="33" t="s">
        <v>1975</v>
      </c>
      <c r="V9" s="31">
        <v>2008</v>
      </c>
      <c r="W9" s="33" t="s">
        <v>1976</v>
      </c>
      <c r="X9" s="33" t="s">
        <v>1977</v>
      </c>
      <c r="Y9" s="33" t="s">
        <v>1978</v>
      </c>
      <c r="Z9" s="33" t="s">
        <v>1979</v>
      </c>
      <c r="AA9" s="31">
        <v>2009</v>
      </c>
      <c r="AB9" s="33" t="s">
        <v>1980</v>
      </c>
      <c r="AC9" s="33" t="s">
        <v>1981</v>
      </c>
      <c r="AD9" s="33" t="s">
        <v>1982</v>
      </c>
      <c r="AE9" s="33" t="s">
        <v>2392</v>
      </c>
      <c r="AF9" s="31">
        <v>2010</v>
      </c>
      <c r="AG9" s="33" t="s">
        <v>2393</v>
      </c>
      <c r="AH9" s="33" t="s">
        <v>2394</v>
      </c>
      <c r="AI9" s="33" t="s">
        <v>2395</v>
      </c>
      <c r="AJ9" s="368" t="s">
        <v>2396</v>
      </c>
      <c r="AK9" s="369">
        <v>2011</v>
      </c>
      <c r="AL9" s="368" t="s">
        <v>2397</v>
      </c>
      <c r="AM9" s="368" t="s">
        <v>2398</v>
      </c>
      <c r="AN9" s="368" t="s">
        <v>2399</v>
      </c>
      <c r="AO9" s="368" t="s">
        <v>2400</v>
      </c>
      <c r="AP9" s="369">
        <v>2012</v>
      </c>
      <c r="AQ9" s="368" t="s">
        <v>2401</v>
      </c>
      <c r="AR9" s="368" t="s">
        <v>2402</v>
      </c>
      <c r="AS9" s="368" t="s">
        <v>2403</v>
      </c>
      <c r="AT9" s="368" t="s">
        <v>2404</v>
      </c>
      <c r="AU9" s="369">
        <v>2013</v>
      </c>
      <c r="AV9" s="368" t="s">
        <v>2405</v>
      </c>
      <c r="AW9" s="368" t="s">
        <v>2406</v>
      </c>
      <c r="AX9" s="368" t="s">
        <v>2407</v>
      </c>
      <c r="AY9" s="368" t="s">
        <v>2408</v>
      </c>
      <c r="AZ9" s="369">
        <v>2014</v>
      </c>
      <c r="BA9" s="33" t="s">
        <v>2409</v>
      </c>
      <c r="BB9" s="33" t="s">
        <v>2410</v>
      </c>
      <c r="BC9" s="33" t="s">
        <v>2411</v>
      </c>
      <c r="BD9" s="33" t="s">
        <v>2412</v>
      </c>
      <c r="BE9" s="369">
        <v>2015</v>
      </c>
      <c r="BF9" s="33" t="s">
        <v>2413</v>
      </c>
      <c r="BG9" s="33" t="s">
        <v>2414</v>
      </c>
      <c r="BH9" s="33" t="s">
        <v>2415</v>
      </c>
      <c r="BI9" s="33" t="s">
        <v>2416</v>
      </c>
      <c r="BJ9" s="369">
        <v>2016</v>
      </c>
      <c r="BK9" s="33" t="s">
        <v>2417</v>
      </c>
      <c r="BL9" s="33" t="s">
        <v>2418</v>
      </c>
      <c r="BM9" s="33" t="s">
        <v>2419</v>
      </c>
      <c r="BN9" s="33" t="s">
        <v>2420</v>
      </c>
      <c r="BO9" s="369">
        <v>2017</v>
      </c>
      <c r="BP9" s="363" t="s">
        <v>2244</v>
      </c>
      <c r="BQ9" s="363" t="s">
        <v>2245</v>
      </c>
      <c r="BR9" s="363" t="s">
        <v>2508</v>
      </c>
      <c r="BS9" s="363" t="s">
        <v>2509</v>
      </c>
      <c r="BT9" s="364">
        <v>2018</v>
      </c>
      <c r="BU9" s="363" t="s">
        <v>2510</v>
      </c>
      <c r="BV9" s="363" t="s">
        <v>2511</v>
      </c>
      <c r="BW9" s="363" t="s">
        <v>3125</v>
      </c>
      <c r="BX9" s="363" t="s">
        <v>1405</v>
      </c>
      <c r="BY9" s="364">
        <v>2019</v>
      </c>
      <c r="BZ9" s="363" t="s">
        <v>1406</v>
      </c>
      <c r="CA9" s="363" t="s">
        <v>1407</v>
      </c>
      <c r="CB9" s="363" t="s">
        <v>1408</v>
      </c>
      <c r="CC9" s="363" t="s">
        <v>1409</v>
      </c>
      <c r="CD9" s="364">
        <v>2020</v>
      </c>
    </row>
    <row r="10" spans="1:83" s="5" customFormat="1">
      <c r="A10" s="137" t="s">
        <v>2700</v>
      </c>
      <c r="B10" s="137"/>
      <c r="C10" s="138"/>
      <c r="D10" s="138"/>
      <c r="E10" s="138">
        <v>15778</v>
      </c>
      <c r="F10" s="138">
        <v>18977</v>
      </c>
      <c r="G10" s="138">
        <v>26308</v>
      </c>
      <c r="H10" s="181">
        <v>7126</v>
      </c>
      <c r="I10" s="181">
        <v>8244</v>
      </c>
      <c r="J10" s="181">
        <v>10078</v>
      </c>
      <c r="K10" s="181">
        <v>5578</v>
      </c>
      <c r="L10" s="138">
        <v>31026</v>
      </c>
      <c r="M10" s="181">
        <v>6306</v>
      </c>
      <c r="N10" s="181">
        <v>7119</v>
      </c>
      <c r="O10" s="181">
        <v>6307</v>
      </c>
      <c r="P10" s="181">
        <v>7870</v>
      </c>
      <c r="Q10" s="138">
        <v>27602</v>
      </c>
      <c r="R10" s="181">
        <v>10072</v>
      </c>
      <c r="S10" s="181">
        <v>10771</v>
      </c>
      <c r="T10" s="181">
        <v>12709</v>
      </c>
      <c r="U10" s="181">
        <v>4756</v>
      </c>
      <c r="V10" s="138">
        <v>38308</v>
      </c>
      <c r="W10" s="181">
        <v>4186</v>
      </c>
      <c r="X10" s="181">
        <v>4500</v>
      </c>
      <c r="Y10" s="181">
        <v>6197</v>
      </c>
      <c r="Z10" s="181">
        <v>7969</v>
      </c>
      <c r="AA10" s="138">
        <v>22852</v>
      </c>
      <c r="AB10" s="181">
        <v>7749</v>
      </c>
      <c r="AC10" s="181">
        <v>5754</v>
      </c>
      <c r="AD10" s="181">
        <v>7620</v>
      </c>
      <c r="AE10" s="181">
        <v>7146</v>
      </c>
      <c r="AF10" s="138">
        <v>28269</v>
      </c>
      <c r="AG10" s="181">
        <v>7423</v>
      </c>
      <c r="AH10" s="181">
        <v>5631</v>
      </c>
      <c r="AI10" s="181">
        <v>6748</v>
      </c>
      <c r="AJ10" s="181">
        <v>6564</v>
      </c>
      <c r="AK10" s="138">
        <v>26366</v>
      </c>
      <c r="AL10" s="181">
        <v>6979</v>
      </c>
      <c r="AM10" s="181">
        <v>2913</v>
      </c>
      <c r="AN10" s="181">
        <v>4910</v>
      </c>
      <c r="AO10" s="181">
        <v>7672</v>
      </c>
      <c r="AP10" s="138">
        <f>SUM(AL10:AO10)</f>
        <v>22474</v>
      </c>
      <c r="AQ10" s="181">
        <v>5562</v>
      </c>
      <c r="AR10" s="181">
        <v>4400</v>
      </c>
      <c r="AS10" s="181">
        <v>4158</v>
      </c>
      <c r="AT10" s="181">
        <v>2537</v>
      </c>
      <c r="AU10" s="138">
        <f t="shared" ref="AU10:AU15" si="0">SUM(AQ10:AT10)</f>
        <v>16657</v>
      </c>
      <c r="AV10" s="181">
        <v>4659</v>
      </c>
      <c r="AW10" s="181">
        <v>4049</v>
      </c>
      <c r="AX10" s="181">
        <v>3311</v>
      </c>
      <c r="AY10" s="181">
        <v>-3085</v>
      </c>
      <c r="AZ10" s="138">
        <f t="shared" ref="AZ10:AZ15" si="1">SUM(AV10:AY10)</f>
        <v>8934</v>
      </c>
      <c r="BA10" s="181">
        <v>372</v>
      </c>
      <c r="BB10" s="181">
        <v>228</v>
      </c>
      <c r="BC10" s="181">
        <v>743</v>
      </c>
      <c r="BD10" s="181">
        <v>-2280</v>
      </c>
      <c r="BE10" s="138">
        <f t="shared" ref="BE10:BE15" si="2">SUM(BA10:BD10)</f>
        <v>-937</v>
      </c>
      <c r="BF10" s="181">
        <v>-1205</v>
      </c>
      <c r="BG10" s="181">
        <v>-109</v>
      </c>
      <c r="BH10" s="181">
        <v>1196</v>
      </c>
      <c r="BI10" s="181">
        <v>692</v>
      </c>
      <c r="BJ10" s="138">
        <f t="shared" ref="BJ10:BJ15" si="3">SUM(BF10:BI10)</f>
        <v>574</v>
      </c>
      <c r="BK10" s="181">
        <v>1256</v>
      </c>
      <c r="BL10" s="181">
        <v>795</v>
      </c>
      <c r="BM10" s="181">
        <v>1242</v>
      </c>
      <c r="BN10" s="181">
        <v>1928</v>
      </c>
      <c r="BO10" s="138">
        <f t="shared" ref="BO10:BO15" si="4">SUM(BK10:BN10)</f>
        <v>5221</v>
      </c>
      <c r="BP10" s="12">
        <f t="shared" ref="BP10:BS14" si="5">SUM(BP33,BP51)</f>
        <v>2713.5992453804474</v>
      </c>
      <c r="BQ10" s="12">
        <f t="shared" si="5"/>
        <v>3469.2947773112592</v>
      </c>
      <c r="BR10" s="12">
        <f t="shared" si="5"/>
        <v>3419.8350830093696</v>
      </c>
      <c r="BS10" s="12">
        <f t="shared" si="5"/>
        <v>3328.8200957335225</v>
      </c>
      <c r="BT10" s="5">
        <f t="shared" ref="BT10:BT15" si="6">SUM(BP10:BS10)</f>
        <v>12931.5492014346</v>
      </c>
      <c r="BU10" s="12">
        <f t="shared" ref="BU10:BX14" si="7">SUM(BU33,BU51)</f>
        <v>3022.0940076910179</v>
      </c>
      <c r="BV10" s="12">
        <f t="shared" si="7"/>
        <v>3025.9772800128012</v>
      </c>
      <c r="BW10" s="12">
        <f t="shared" si="7"/>
        <v>3050.5181526629212</v>
      </c>
      <c r="BX10" s="12">
        <f t="shared" si="7"/>
        <v>3060.1832132635736</v>
      </c>
      <c r="BY10" s="5">
        <f t="shared" ref="BY10:BY15" si="8">SUM(BU10:BX10)</f>
        <v>12158.772653630314</v>
      </c>
      <c r="BZ10" s="12">
        <f t="shared" ref="BZ10:CC14" si="9">SUM(BZ33,BZ51)</f>
        <v>2923.2995335794899</v>
      </c>
      <c r="CA10" s="12">
        <f t="shared" si="9"/>
        <v>3061.7798224220128</v>
      </c>
      <c r="CB10" s="12">
        <f t="shared" si="9"/>
        <v>3154.5134306046239</v>
      </c>
      <c r="CC10" s="12">
        <f t="shared" si="9"/>
        <v>3222.6681736809719</v>
      </c>
      <c r="CD10" s="5">
        <f t="shared" ref="CD10:CD15" si="10">SUM(BZ10:CC10)</f>
        <v>12362.260960287098</v>
      </c>
    </row>
    <row r="11" spans="1:83" s="5" customFormat="1">
      <c r="A11" s="137" t="s">
        <v>2701</v>
      </c>
      <c r="B11" s="137"/>
      <c r="C11" s="138"/>
      <c r="D11" s="138"/>
      <c r="E11" s="138">
        <v>3151</v>
      </c>
      <c r="F11" s="138">
        <v>5020</v>
      </c>
      <c r="G11" s="138">
        <v>4242</v>
      </c>
      <c r="H11" s="181">
        <v>1498</v>
      </c>
      <c r="I11" s="181">
        <v>1858</v>
      </c>
      <c r="J11" s="181">
        <v>1480</v>
      </c>
      <c r="K11" s="181">
        <v>325</v>
      </c>
      <c r="L11" s="138">
        <v>5161</v>
      </c>
      <c r="M11" s="181">
        <v>804</v>
      </c>
      <c r="N11" s="181">
        <v>2742</v>
      </c>
      <c r="O11" s="181">
        <v>371</v>
      </c>
      <c r="P11" s="181">
        <v>-1296</v>
      </c>
      <c r="Q11" s="138">
        <v>2621</v>
      </c>
      <c r="R11" s="181">
        <v>1249</v>
      </c>
      <c r="S11" s="181">
        <v>539</v>
      </c>
      <c r="T11" s="181">
        <v>1972</v>
      </c>
      <c r="U11" s="181">
        <v>416</v>
      </c>
      <c r="V11" s="138">
        <v>4176</v>
      </c>
      <c r="W11" s="181">
        <v>1090</v>
      </c>
      <c r="X11" s="181">
        <v>680</v>
      </c>
      <c r="Y11" s="181">
        <v>916</v>
      </c>
      <c r="Z11" s="181">
        <v>-1943</v>
      </c>
      <c r="AA11" s="138">
        <v>743</v>
      </c>
      <c r="AB11" s="181">
        <v>729</v>
      </c>
      <c r="AC11" s="181">
        <v>2075</v>
      </c>
      <c r="AD11" s="181">
        <v>1787</v>
      </c>
      <c r="AE11" s="181">
        <v>964</v>
      </c>
      <c r="AF11" s="138">
        <v>5555</v>
      </c>
      <c r="AG11" s="181">
        <v>2079</v>
      </c>
      <c r="AH11" s="181">
        <v>1338</v>
      </c>
      <c r="AI11" s="181">
        <v>1493</v>
      </c>
      <c r="AJ11" s="181">
        <v>564</v>
      </c>
      <c r="AK11" s="138">
        <f>SUM(AG11:AJ11)</f>
        <v>5474</v>
      </c>
      <c r="AL11" s="181">
        <v>856</v>
      </c>
      <c r="AM11" s="181">
        <v>-1736</v>
      </c>
      <c r="AN11" s="181">
        <v>2403</v>
      </c>
      <c r="AO11" s="181">
        <v>1323</v>
      </c>
      <c r="AP11" s="138">
        <f>SUM(AL11:AO11)</f>
        <v>2846</v>
      </c>
      <c r="AQ11" s="181">
        <v>1647</v>
      </c>
      <c r="AR11" s="181">
        <v>1016</v>
      </c>
      <c r="AS11" s="181">
        <v>616</v>
      </c>
      <c r="AT11" s="181">
        <v>-360</v>
      </c>
      <c r="AU11" s="138">
        <f t="shared" si="0"/>
        <v>2919</v>
      </c>
      <c r="AV11" s="181">
        <v>794</v>
      </c>
      <c r="AW11" s="181">
        <v>933</v>
      </c>
      <c r="AX11" s="181">
        <v>1231</v>
      </c>
      <c r="AY11" s="181">
        <v>780</v>
      </c>
      <c r="AZ11" s="138">
        <f t="shared" si="1"/>
        <v>3738</v>
      </c>
      <c r="BA11" s="181">
        <v>2083</v>
      </c>
      <c r="BB11" s="181">
        <v>1628</v>
      </c>
      <c r="BC11" s="181">
        <v>2562</v>
      </c>
      <c r="BD11" s="181">
        <v>838</v>
      </c>
      <c r="BE11" s="138">
        <f t="shared" si="2"/>
        <v>7111</v>
      </c>
      <c r="BF11" s="181">
        <v>1880</v>
      </c>
      <c r="BG11" s="181">
        <v>1405</v>
      </c>
      <c r="BH11" s="181">
        <v>978</v>
      </c>
      <c r="BI11" s="181">
        <v>899</v>
      </c>
      <c r="BJ11" s="138">
        <f t="shared" si="3"/>
        <v>5162</v>
      </c>
      <c r="BK11" s="181">
        <v>1706</v>
      </c>
      <c r="BL11" s="181">
        <v>1567</v>
      </c>
      <c r="BM11" s="181">
        <v>2175</v>
      </c>
      <c r="BN11" s="181">
        <v>1773</v>
      </c>
      <c r="BO11" s="138">
        <f t="shared" si="4"/>
        <v>7221</v>
      </c>
      <c r="BP11" s="12">
        <f t="shared" si="5"/>
        <v>1537.1374776063149</v>
      </c>
      <c r="BQ11" s="12">
        <f t="shared" si="5"/>
        <v>1969.787356180356</v>
      </c>
      <c r="BR11" s="12">
        <f t="shared" si="5"/>
        <v>2199.2873561803563</v>
      </c>
      <c r="BS11" s="12">
        <f t="shared" si="5"/>
        <v>1740.287356180356</v>
      </c>
      <c r="BT11" s="5">
        <f t="shared" si="6"/>
        <v>7446.4995461473836</v>
      </c>
      <c r="BU11" s="12">
        <f t="shared" si="7"/>
        <v>2301.3350525471051</v>
      </c>
      <c r="BV11" s="12">
        <f t="shared" si="7"/>
        <v>2148.3350525471051</v>
      </c>
      <c r="BW11" s="12">
        <f t="shared" si="7"/>
        <v>2377.8350525471051</v>
      </c>
      <c r="BX11" s="12">
        <f t="shared" si="7"/>
        <v>2071.8350525471051</v>
      </c>
      <c r="BY11" s="5">
        <f t="shared" si="8"/>
        <v>8899.3402101884203</v>
      </c>
      <c r="BZ11" s="12">
        <f t="shared" si="9"/>
        <v>2400.6089007304799</v>
      </c>
      <c r="CA11" s="12">
        <f t="shared" si="9"/>
        <v>2247.6089007304799</v>
      </c>
      <c r="CB11" s="12">
        <f t="shared" si="9"/>
        <v>2477.1089007304799</v>
      </c>
      <c r="CC11" s="12">
        <f t="shared" si="9"/>
        <v>2171.1089007304799</v>
      </c>
      <c r="CD11" s="5">
        <f t="shared" si="10"/>
        <v>9296.4356029219198</v>
      </c>
    </row>
    <row r="12" spans="1:83" s="5" customFormat="1">
      <c r="A12" s="137" t="s">
        <v>145</v>
      </c>
      <c r="B12" s="137"/>
      <c r="C12" s="138"/>
      <c r="D12" s="138"/>
      <c r="E12" s="138"/>
      <c r="F12" s="138"/>
      <c r="G12" s="138"/>
      <c r="H12" s="138"/>
      <c r="I12" s="138"/>
      <c r="J12" s="138"/>
      <c r="K12" s="138"/>
      <c r="L12" s="138"/>
      <c r="M12" s="138"/>
      <c r="N12" s="138"/>
      <c r="O12" s="138"/>
      <c r="P12" s="138"/>
      <c r="Q12" s="138"/>
      <c r="R12" s="138"/>
      <c r="S12" s="138"/>
      <c r="T12" s="138"/>
      <c r="U12" s="138"/>
      <c r="V12" s="138"/>
      <c r="W12" s="181">
        <v>134</v>
      </c>
      <c r="X12" s="181">
        <v>546</v>
      </c>
      <c r="Y12" s="181">
        <v>732</v>
      </c>
      <c r="Z12" s="181">
        <v>536</v>
      </c>
      <c r="AA12" s="138">
        <v>1948</v>
      </c>
      <c r="AB12" s="181">
        <v>543</v>
      </c>
      <c r="AC12" s="181">
        <v>490</v>
      </c>
      <c r="AD12" s="181">
        <v>730</v>
      </c>
      <c r="AE12" s="181">
        <v>854</v>
      </c>
      <c r="AF12" s="138">
        <v>2617</v>
      </c>
      <c r="AG12" s="181">
        <v>1127</v>
      </c>
      <c r="AH12" s="181">
        <v>1081</v>
      </c>
      <c r="AI12" s="181">
        <v>939</v>
      </c>
      <c r="AJ12" s="181">
        <v>987</v>
      </c>
      <c r="AK12" s="138">
        <v>4134</v>
      </c>
      <c r="AL12" s="181">
        <v>1064</v>
      </c>
      <c r="AM12" s="181">
        <v>452</v>
      </c>
      <c r="AN12" s="181">
        <v>1282</v>
      </c>
      <c r="AO12" s="181">
        <v>575</v>
      </c>
      <c r="AP12" s="138">
        <f>+SUM(AL12:AO12)</f>
        <v>3373</v>
      </c>
      <c r="AQ12" s="181">
        <f>12500+85</f>
        <v>12585</v>
      </c>
      <c r="AR12" s="181">
        <v>218</v>
      </c>
      <c r="AS12" s="181">
        <v>792</v>
      </c>
      <c r="AT12" s="181">
        <v>1058</v>
      </c>
      <c r="AU12" s="138">
        <f t="shared" si="0"/>
        <v>14653</v>
      </c>
      <c r="AV12" s="181">
        <v>518</v>
      </c>
      <c r="AW12" s="181">
        <v>1024</v>
      </c>
      <c r="AX12" s="181">
        <v>107</v>
      </c>
      <c r="AY12" s="181">
        <v>451</v>
      </c>
      <c r="AZ12" s="138">
        <f t="shared" si="1"/>
        <v>2100</v>
      </c>
      <c r="BA12" s="181">
        <v>183</v>
      </c>
      <c r="BB12" s="181">
        <v>510</v>
      </c>
      <c r="BC12" s="181">
        <v>382</v>
      </c>
      <c r="BD12" s="181">
        <v>235</v>
      </c>
      <c r="BE12" s="138">
        <f t="shared" si="2"/>
        <v>1310</v>
      </c>
      <c r="BF12" s="181">
        <v>66</v>
      </c>
      <c r="BG12" s="181">
        <v>246</v>
      </c>
      <c r="BH12" s="181">
        <v>120</v>
      </c>
      <c r="BI12" s="181">
        <v>158</v>
      </c>
      <c r="BJ12" s="138">
        <f t="shared" si="3"/>
        <v>590</v>
      </c>
      <c r="BK12" s="181">
        <v>99</v>
      </c>
      <c r="BL12" s="181">
        <v>279</v>
      </c>
      <c r="BM12" s="181">
        <v>137</v>
      </c>
      <c r="BN12" s="181">
        <v>321</v>
      </c>
      <c r="BO12" s="138">
        <f t="shared" si="4"/>
        <v>836</v>
      </c>
      <c r="BP12" s="12">
        <f t="shared" ca="1" si="5"/>
        <v>166.09817834995982</v>
      </c>
      <c r="BQ12" s="12">
        <f t="shared" ca="1" si="5"/>
        <v>450.84421033314067</v>
      </c>
      <c r="BR12" s="12">
        <f t="shared" ca="1" si="5"/>
        <v>440.28892284330129</v>
      </c>
      <c r="BS12" s="12">
        <f t="shared" ca="1" si="5"/>
        <v>442.48144185590229</v>
      </c>
      <c r="BT12" s="5">
        <f t="shared" ca="1" si="6"/>
        <v>1499.7127533823041</v>
      </c>
      <c r="BU12" s="12">
        <f t="shared" ca="1" si="7"/>
        <v>461.00409165746134</v>
      </c>
      <c r="BV12" s="12">
        <f t="shared" ca="1" si="7"/>
        <v>468.45114509473188</v>
      </c>
      <c r="BW12" s="12">
        <f t="shared" ca="1" si="7"/>
        <v>459.44950906956944</v>
      </c>
      <c r="BX12" s="12">
        <f t="shared" ca="1" si="7"/>
        <v>460.02334409286203</v>
      </c>
      <c r="BY12" s="5">
        <f t="shared" ca="1" si="8"/>
        <v>1848.9280899146249</v>
      </c>
      <c r="BZ12" s="12">
        <f t="shared" ca="1" si="9"/>
        <v>840.68313937295204</v>
      </c>
      <c r="CA12" s="12">
        <f t="shared" ca="1" si="9"/>
        <v>834.35548965307885</v>
      </c>
      <c r="CB12" s="12">
        <f t="shared" ca="1" si="9"/>
        <v>823.89999314176282</v>
      </c>
      <c r="CC12" s="12">
        <f t="shared" ca="1" si="9"/>
        <v>822.98507996752778</v>
      </c>
      <c r="CD12" s="5">
        <f t="shared" ca="1" si="10"/>
        <v>3321.9237021353215</v>
      </c>
    </row>
    <row r="13" spans="1:83" s="5" customFormat="1">
      <c r="A13" s="137" t="s">
        <v>2702</v>
      </c>
      <c r="B13" s="137"/>
      <c r="C13" s="138"/>
      <c r="D13" s="138"/>
      <c r="E13" s="138">
        <v>-336</v>
      </c>
      <c r="F13" s="138">
        <v>384</v>
      </c>
      <c r="G13" s="138">
        <v>-902</v>
      </c>
      <c r="H13" s="181">
        <v>-89</v>
      </c>
      <c r="I13" s="181">
        <v>-177</v>
      </c>
      <c r="J13" s="181">
        <v>-225</v>
      </c>
      <c r="K13" s="181">
        <v>-350</v>
      </c>
      <c r="L13" s="138">
        <v>-841</v>
      </c>
      <c r="M13" s="181">
        <v>-98</v>
      </c>
      <c r="N13" s="181">
        <v>-173</v>
      </c>
      <c r="O13" s="181">
        <v>-511</v>
      </c>
      <c r="P13" s="181">
        <v>-427</v>
      </c>
      <c r="Q13" s="138">
        <v>-1209</v>
      </c>
      <c r="R13" s="181">
        <v>-213</v>
      </c>
      <c r="S13" s="181">
        <v>-314</v>
      </c>
      <c r="T13" s="181">
        <v>-16</v>
      </c>
      <c r="U13" s="181">
        <v>-680</v>
      </c>
      <c r="V13" s="138">
        <v>-1223</v>
      </c>
      <c r="W13" s="181">
        <v>-761</v>
      </c>
      <c r="X13" s="181">
        <v>-583</v>
      </c>
      <c r="Y13" s="181">
        <v>-586</v>
      </c>
      <c r="Z13" s="181">
        <v>-392</v>
      </c>
      <c r="AA13" s="138">
        <v>-2322</v>
      </c>
      <c r="AB13" s="181">
        <v>-328</v>
      </c>
      <c r="AC13" s="181">
        <v>-70</v>
      </c>
      <c r="AD13" s="181">
        <v>-568</v>
      </c>
      <c r="AE13" s="181">
        <v>-550</v>
      </c>
      <c r="AF13" s="138">
        <v>-1516</v>
      </c>
      <c r="AG13" s="181">
        <v>-478</v>
      </c>
      <c r="AH13" s="181">
        <v>-598</v>
      </c>
      <c r="AI13" s="181">
        <v>-330</v>
      </c>
      <c r="AJ13" s="181">
        <v>-1072</v>
      </c>
      <c r="AK13" s="138">
        <f>SUM(AG13:AJ13)</f>
        <v>-2478</v>
      </c>
      <c r="AL13" s="181">
        <v>-672</v>
      </c>
      <c r="AM13" s="181">
        <v>-522</v>
      </c>
      <c r="AN13" s="181">
        <v>-1097</v>
      </c>
      <c r="AO13" s="181">
        <v>-504</v>
      </c>
      <c r="AP13" s="138">
        <f>SUM(AL13:AO13)</f>
        <v>-2795</v>
      </c>
      <c r="AQ13" s="181">
        <v>-467</v>
      </c>
      <c r="AR13" s="181">
        <v>-573</v>
      </c>
      <c r="AS13" s="181">
        <v>-674</v>
      </c>
      <c r="AT13" s="181">
        <v>-605</v>
      </c>
      <c r="AU13" s="138">
        <f t="shared" si="0"/>
        <v>-2319</v>
      </c>
      <c r="AV13" s="181">
        <v>-497</v>
      </c>
      <c r="AW13" s="181">
        <v>-434</v>
      </c>
      <c r="AX13" s="181">
        <v>-432</v>
      </c>
      <c r="AY13" s="181">
        <v>-647</v>
      </c>
      <c r="AZ13" s="138">
        <f t="shared" si="1"/>
        <v>-2010</v>
      </c>
      <c r="BA13" s="181">
        <v>-308</v>
      </c>
      <c r="BB13" s="181">
        <v>-455</v>
      </c>
      <c r="BC13" s="181">
        <v>-378</v>
      </c>
      <c r="BD13" s="181">
        <v>-627</v>
      </c>
      <c r="BE13" s="138">
        <f t="shared" si="2"/>
        <v>-1768</v>
      </c>
      <c r="BF13" s="181">
        <v>-280</v>
      </c>
      <c r="BG13" s="181">
        <v>-419</v>
      </c>
      <c r="BH13" s="181">
        <v>-375</v>
      </c>
      <c r="BI13" s="181">
        <v>-443</v>
      </c>
      <c r="BJ13" s="138">
        <f t="shared" si="3"/>
        <v>-1517</v>
      </c>
      <c r="BK13" s="181">
        <v>-35</v>
      </c>
      <c r="BL13" s="181">
        <v>-374</v>
      </c>
      <c r="BM13" s="181">
        <v>-376</v>
      </c>
      <c r="BN13" s="181">
        <v>-612</v>
      </c>
      <c r="BO13" s="138">
        <f t="shared" si="4"/>
        <v>-1397</v>
      </c>
      <c r="BP13" s="12">
        <f t="shared" si="5"/>
        <v>-350</v>
      </c>
      <c r="BQ13" s="12">
        <f t="shared" si="5"/>
        <v>-350</v>
      </c>
      <c r="BR13" s="12">
        <f t="shared" si="5"/>
        <v>-350</v>
      </c>
      <c r="BS13" s="12">
        <f t="shared" si="5"/>
        <v>-350</v>
      </c>
      <c r="BT13" s="5">
        <f t="shared" si="6"/>
        <v>-1400</v>
      </c>
      <c r="BU13" s="12">
        <f t="shared" si="7"/>
        <v>-350</v>
      </c>
      <c r="BV13" s="12">
        <f t="shared" si="7"/>
        <v>-350</v>
      </c>
      <c r="BW13" s="12">
        <f t="shared" si="7"/>
        <v>-350</v>
      </c>
      <c r="BX13" s="12">
        <f t="shared" si="7"/>
        <v>-350</v>
      </c>
      <c r="BY13" s="5">
        <f t="shared" si="8"/>
        <v>-1400</v>
      </c>
      <c r="BZ13" s="12">
        <f t="shared" si="9"/>
        <v>-350</v>
      </c>
      <c r="CA13" s="12">
        <f t="shared" si="9"/>
        <v>-350</v>
      </c>
      <c r="CB13" s="12">
        <f t="shared" si="9"/>
        <v>-350</v>
      </c>
      <c r="CC13" s="12">
        <f t="shared" si="9"/>
        <v>-350</v>
      </c>
      <c r="CD13" s="5">
        <f t="shared" si="10"/>
        <v>-1400</v>
      </c>
      <c r="CE13" s="173"/>
    </row>
    <row r="14" spans="1:83" s="5" customFormat="1">
      <c r="A14" s="137" t="s">
        <v>2703</v>
      </c>
      <c r="B14" s="137"/>
      <c r="C14" s="138"/>
      <c r="D14" s="138"/>
      <c r="E14" s="138">
        <v>0</v>
      </c>
      <c r="F14" s="138">
        <v>0</v>
      </c>
      <c r="G14" s="138">
        <v>0</v>
      </c>
      <c r="H14" s="181">
        <v>0</v>
      </c>
      <c r="I14" s="181">
        <v>0</v>
      </c>
      <c r="J14" s="181">
        <v>0</v>
      </c>
      <c r="K14" s="181">
        <v>0</v>
      </c>
      <c r="L14" s="138">
        <v>0</v>
      </c>
      <c r="M14" s="181">
        <v>0</v>
      </c>
      <c r="N14" s="181">
        <v>0</v>
      </c>
      <c r="O14" s="181">
        <v>0</v>
      </c>
      <c r="P14" s="181">
        <v>0</v>
      </c>
      <c r="Q14" s="138">
        <v>0</v>
      </c>
      <c r="R14" s="181">
        <v>0</v>
      </c>
      <c r="S14" s="181">
        <v>0</v>
      </c>
      <c r="T14" s="181">
        <v>0</v>
      </c>
      <c r="U14" s="181">
        <v>0</v>
      </c>
      <c r="V14" s="138">
        <v>0</v>
      </c>
      <c r="W14" s="181">
        <v>0</v>
      </c>
      <c r="X14" s="181">
        <v>0</v>
      </c>
      <c r="Y14" s="181">
        <v>0</v>
      </c>
      <c r="Z14" s="181">
        <v>0</v>
      </c>
      <c r="AA14" s="138">
        <v>0</v>
      </c>
      <c r="AB14" s="181">
        <v>0</v>
      </c>
      <c r="AC14" s="181">
        <v>-32192</v>
      </c>
      <c r="AD14" s="181">
        <v>-7656</v>
      </c>
      <c r="AE14" s="181">
        <v>-1010</v>
      </c>
      <c r="AF14" s="138">
        <v>-40858</v>
      </c>
      <c r="AG14" s="181">
        <v>-384</v>
      </c>
      <c r="AH14" s="181">
        <v>617</v>
      </c>
      <c r="AI14" s="181">
        <v>-541</v>
      </c>
      <c r="AJ14" s="181">
        <v>4108</v>
      </c>
      <c r="AK14" s="138">
        <f>SUM(AG14:AJ14)</f>
        <v>3800</v>
      </c>
      <c r="AL14" s="181">
        <v>30</v>
      </c>
      <c r="AM14" s="181">
        <v>-843</v>
      </c>
      <c r="AN14" s="181">
        <v>-56</v>
      </c>
      <c r="AO14" s="181">
        <v>-4126</v>
      </c>
      <c r="AP14" s="138">
        <f>SUM(AL14:AO14)</f>
        <v>-4995</v>
      </c>
      <c r="AQ14" s="181">
        <v>-22</v>
      </c>
      <c r="AR14" s="181">
        <v>-199</v>
      </c>
      <c r="AS14" s="181">
        <v>-30</v>
      </c>
      <c r="AT14" s="181">
        <v>-179</v>
      </c>
      <c r="AU14" s="138">
        <f t="shared" si="0"/>
        <v>-430</v>
      </c>
      <c r="AV14" s="181">
        <v>-29</v>
      </c>
      <c r="AW14" s="181">
        <v>-251</v>
      </c>
      <c r="AX14" s="181">
        <v>-33</v>
      </c>
      <c r="AY14" s="181">
        <v>-468</v>
      </c>
      <c r="AZ14" s="138">
        <f t="shared" si="1"/>
        <v>-781</v>
      </c>
      <c r="BA14" s="181">
        <v>-323</v>
      </c>
      <c r="BB14" s="181">
        <v>-10747</v>
      </c>
      <c r="BC14" s="181">
        <v>-311</v>
      </c>
      <c r="BD14" s="181">
        <v>-328</v>
      </c>
      <c r="BE14" s="138">
        <f t="shared" si="2"/>
        <v>-11709</v>
      </c>
      <c r="BF14" s="181">
        <v>-794</v>
      </c>
      <c r="BG14" s="181">
        <v>-5106</v>
      </c>
      <c r="BH14" s="181">
        <v>-66</v>
      </c>
      <c r="BI14" s="181">
        <v>-674</v>
      </c>
      <c r="BJ14" s="138">
        <f t="shared" si="3"/>
        <v>-6640</v>
      </c>
      <c r="BK14" s="181">
        <v>-396</v>
      </c>
      <c r="BL14" s="181">
        <v>-347</v>
      </c>
      <c r="BM14" s="181">
        <v>-84</v>
      </c>
      <c r="BN14" s="181">
        <f t="shared" ref="BN14" ca="1" si="11">SUM(BN37,BN55)</f>
        <v>-2221</v>
      </c>
      <c r="BO14" s="138">
        <f t="shared" ca="1" si="4"/>
        <v>-3048</v>
      </c>
      <c r="BP14" s="12">
        <f t="shared" ca="1" si="5"/>
        <v>0</v>
      </c>
      <c r="BQ14" s="12">
        <f t="shared" ca="1" si="5"/>
        <v>0</v>
      </c>
      <c r="BR14" s="12">
        <f t="shared" ca="1" si="5"/>
        <v>0</v>
      </c>
      <c r="BS14" s="12">
        <f t="shared" ca="1" si="5"/>
        <v>0</v>
      </c>
      <c r="BT14" s="5">
        <f t="shared" ca="1" si="6"/>
        <v>0</v>
      </c>
      <c r="BU14" s="12">
        <f t="shared" ca="1" si="7"/>
        <v>0</v>
      </c>
      <c r="BV14" s="12">
        <f t="shared" ca="1" si="7"/>
        <v>0</v>
      </c>
      <c r="BW14" s="12">
        <f t="shared" ca="1" si="7"/>
        <v>0</v>
      </c>
      <c r="BX14" s="12">
        <f t="shared" ca="1" si="7"/>
        <v>0</v>
      </c>
      <c r="BY14" s="5">
        <f t="shared" ca="1" si="8"/>
        <v>0</v>
      </c>
      <c r="BZ14" s="12">
        <f t="shared" ca="1" si="9"/>
        <v>0</v>
      </c>
      <c r="CA14" s="12">
        <f t="shared" ca="1" si="9"/>
        <v>0</v>
      </c>
      <c r="CB14" s="12">
        <f t="shared" ca="1" si="9"/>
        <v>0</v>
      </c>
      <c r="CC14" s="12">
        <f t="shared" ca="1" si="9"/>
        <v>0</v>
      </c>
      <c r="CD14" s="5">
        <f t="shared" ca="1" si="10"/>
        <v>0</v>
      </c>
    </row>
    <row r="15" spans="1:83" s="5" customFormat="1">
      <c r="A15" s="137" t="s">
        <v>2704</v>
      </c>
      <c r="B15" s="137"/>
      <c r="C15" s="138"/>
      <c r="D15" s="138"/>
      <c r="E15" s="138">
        <v>-62</v>
      </c>
      <c r="F15" s="138">
        <v>-184</v>
      </c>
      <c r="G15" s="138">
        <v>-137</v>
      </c>
      <c r="H15" s="181">
        <v>-24</v>
      </c>
      <c r="I15" s="181">
        <v>-260</v>
      </c>
      <c r="J15" s="181">
        <v>436</v>
      </c>
      <c r="K15" s="181">
        <v>-87</v>
      </c>
      <c r="L15" s="138">
        <v>65</v>
      </c>
      <c r="M15" s="181">
        <v>42</v>
      </c>
      <c r="N15" s="181">
        <v>-98</v>
      </c>
      <c r="O15" s="181">
        <v>103</v>
      </c>
      <c r="P15" s="181">
        <v>-267</v>
      </c>
      <c r="Q15" s="138">
        <v>-220</v>
      </c>
      <c r="R15" s="181">
        <v>-784</v>
      </c>
      <c r="S15" s="181">
        <v>-221</v>
      </c>
      <c r="T15" s="181">
        <v>838</v>
      </c>
      <c r="U15" s="181">
        <v>633</v>
      </c>
      <c r="V15" s="138">
        <v>466</v>
      </c>
      <c r="W15" s="181">
        <v>-405</v>
      </c>
      <c r="X15" s="181">
        <v>76</v>
      </c>
      <c r="Y15" s="181">
        <v>104</v>
      </c>
      <c r="Z15" s="181">
        <v>-492</v>
      </c>
      <c r="AA15" s="138">
        <v>-717</v>
      </c>
      <c r="AB15" s="181">
        <v>208</v>
      </c>
      <c r="AC15" s="181">
        <v>98</v>
      </c>
      <c r="AD15" s="181">
        <v>85</v>
      </c>
      <c r="AE15" s="181">
        <v>56</v>
      </c>
      <c r="AF15" s="138">
        <v>447</v>
      </c>
      <c r="AG15" s="181">
        <v>-542</v>
      </c>
      <c r="AH15" s="181">
        <v>515</v>
      </c>
      <c r="AI15" s="181">
        <v>-213</v>
      </c>
      <c r="AJ15" s="181">
        <v>127</v>
      </c>
      <c r="AK15" s="138">
        <f>SUM(AG15:AJ15)</f>
        <v>-113</v>
      </c>
      <c r="AL15" s="181">
        <v>-541</v>
      </c>
      <c r="AM15" s="181">
        <v>457</v>
      </c>
      <c r="AN15" s="181">
        <v>-64</v>
      </c>
      <c r="AO15" s="181">
        <v>-428</v>
      </c>
      <c r="AP15" s="138">
        <f>SUM(AL15:AO15)</f>
        <v>-576</v>
      </c>
      <c r="AQ15" s="181">
        <v>427</v>
      </c>
      <c r="AR15" s="181">
        <v>129</v>
      </c>
      <c r="AS15" s="181">
        <v>263</v>
      </c>
      <c r="AT15" s="181">
        <v>-240</v>
      </c>
      <c r="AU15" s="138">
        <f t="shared" si="0"/>
        <v>579</v>
      </c>
      <c r="AV15" s="181">
        <v>90</v>
      </c>
      <c r="AW15" s="181">
        <v>-76</v>
      </c>
      <c r="AX15" s="181">
        <v>370</v>
      </c>
      <c r="AY15" s="181">
        <v>257</v>
      </c>
      <c r="AZ15" s="138">
        <f t="shared" si="1"/>
        <v>641</v>
      </c>
      <c r="BA15" s="181">
        <v>-129</v>
      </c>
      <c r="BB15" s="181">
        <v>-39</v>
      </c>
      <c r="BC15" s="181">
        <v>67</v>
      </c>
      <c r="BD15" s="181">
        <v>65</v>
      </c>
      <c r="BE15" s="138">
        <f t="shared" si="2"/>
        <v>-36</v>
      </c>
      <c r="BF15" s="181">
        <v>40</v>
      </c>
      <c r="BG15" s="181">
        <v>-121</v>
      </c>
      <c r="BH15" s="181">
        <v>17</v>
      </c>
      <c r="BI15" s="181">
        <v>-132</v>
      </c>
      <c r="BJ15" s="138">
        <f t="shared" si="3"/>
        <v>-196</v>
      </c>
      <c r="BK15" s="181">
        <v>-68</v>
      </c>
      <c r="BL15" s="181">
        <v>135</v>
      </c>
      <c r="BM15" s="181">
        <v>-130</v>
      </c>
      <c r="BN15" s="181">
        <v>-149</v>
      </c>
      <c r="BO15" s="138">
        <f t="shared" si="4"/>
        <v>-212</v>
      </c>
      <c r="BP15" s="209">
        <v>0</v>
      </c>
      <c r="BQ15" s="209">
        <v>0</v>
      </c>
      <c r="BR15" s="209">
        <v>0</v>
      </c>
      <c r="BS15" s="209">
        <v>0</v>
      </c>
      <c r="BT15" s="5">
        <f t="shared" si="6"/>
        <v>0</v>
      </c>
      <c r="BU15" s="209">
        <v>0</v>
      </c>
      <c r="BV15" s="209">
        <v>0</v>
      </c>
      <c r="BW15" s="209">
        <v>0</v>
      </c>
      <c r="BX15" s="209">
        <v>0</v>
      </c>
      <c r="BY15" s="5">
        <f t="shared" si="8"/>
        <v>0</v>
      </c>
      <c r="BZ15" s="209">
        <v>0</v>
      </c>
      <c r="CA15" s="209">
        <v>0</v>
      </c>
      <c r="CB15" s="209">
        <v>0</v>
      </c>
      <c r="CC15" s="209">
        <v>0</v>
      </c>
      <c r="CD15" s="5">
        <f t="shared" si="10"/>
        <v>0</v>
      </c>
      <c r="CE15" s="173"/>
    </row>
    <row r="16" spans="1:83" s="5" customFormat="1">
      <c r="A16" s="137" t="s">
        <v>799</v>
      </c>
      <c r="B16" s="137"/>
      <c r="C16" s="138"/>
      <c r="D16" s="138"/>
      <c r="E16" s="138">
        <v>193</v>
      </c>
      <c r="F16" s="138">
        <v>188</v>
      </c>
      <c r="G16" s="138">
        <v>527</v>
      </c>
      <c r="H16" s="181"/>
      <c r="I16" s="181"/>
      <c r="J16" s="181"/>
      <c r="K16" s="181"/>
      <c r="L16" s="138"/>
      <c r="M16" s="181"/>
      <c r="N16" s="181"/>
      <c r="O16" s="181"/>
      <c r="P16" s="181"/>
      <c r="Q16" s="138"/>
      <c r="R16" s="181"/>
      <c r="S16" s="181"/>
      <c r="T16" s="181"/>
      <c r="U16" s="181"/>
      <c r="V16" s="138"/>
      <c r="W16" s="181"/>
      <c r="X16" s="181"/>
      <c r="Y16" s="181"/>
      <c r="Z16" s="181"/>
      <c r="AA16" s="138"/>
      <c r="AB16" s="181"/>
      <c r="AC16" s="181"/>
      <c r="AD16" s="181"/>
      <c r="AE16" s="181"/>
      <c r="AF16" s="138"/>
      <c r="AG16" s="181"/>
      <c r="AH16" s="181"/>
      <c r="AI16" s="181"/>
      <c r="AJ16" s="181"/>
      <c r="AK16" s="181"/>
      <c r="AL16" s="181"/>
      <c r="AM16" s="181"/>
      <c r="AN16" s="181"/>
      <c r="AO16" s="181"/>
      <c r="AP16" s="181"/>
      <c r="AQ16" s="181"/>
      <c r="AR16" s="181"/>
      <c r="AS16" s="181"/>
      <c r="AT16" s="181"/>
      <c r="AU16" s="181"/>
      <c r="AV16" s="181"/>
      <c r="AW16" s="181"/>
      <c r="AX16" s="181"/>
      <c r="AY16" s="181"/>
      <c r="AZ16" s="181"/>
      <c r="BA16" s="181"/>
      <c r="BB16" s="181"/>
      <c r="BC16" s="181"/>
      <c r="BD16" s="181"/>
      <c r="BE16" s="181"/>
      <c r="BF16" s="181"/>
      <c r="BG16" s="181"/>
      <c r="BH16" s="181"/>
      <c r="BI16" s="181"/>
      <c r="BJ16" s="181"/>
      <c r="BK16" s="181"/>
      <c r="BL16" s="181"/>
      <c r="BM16" s="181"/>
      <c r="BN16" s="181"/>
      <c r="BO16" s="181"/>
      <c r="BP16" s="93"/>
      <c r="BQ16" s="93"/>
      <c r="BR16" s="93"/>
      <c r="BS16" s="93"/>
      <c r="BT16" s="93"/>
      <c r="BU16" s="93"/>
      <c r="BV16" s="93"/>
      <c r="BW16" s="93"/>
      <c r="BX16" s="93"/>
      <c r="BY16" s="93"/>
      <c r="BZ16" s="93"/>
      <c r="CA16" s="93"/>
      <c r="CB16" s="93"/>
      <c r="CC16" s="93"/>
      <c r="CD16" s="93"/>
    </row>
    <row r="17" spans="1:82" s="8" customFormat="1">
      <c r="A17" s="244" t="s">
        <v>2544</v>
      </c>
      <c r="B17" s="244"/>
      <c r="C17" s="174"/>
      <c r="D17" s="174"/>
      <c r="E17" s="174">
        <f>SUM(E10:E16)</f>
        <v>18724</v>
      </c>
      <c r="F17" s="174">
        <f>SUM(F10:F16)</f>
        <v>24385</v>
      </c>
      <c r="G17" s="174">
        <f>SUM(G10:G16)</f>
        <v>30038</v>
      </c>
      <c r="H17" s="177">
        <f t="shared" ref="H17:V17" si="12">SUM(H10:H15)</f>
        <v>8511</v>
      </c>
      <c r="I17" s="177">
        <f t="shared" si="12"/>
        <v>9665</v>
      </c>
      <c r="J17" s="177">
        <f t="shared" si="12"/>
        <v>11769</v>
      </c>
      <c r="K17" s="177">
        <f t="shared" si="12"/>
        <v>5466</v>
      </c>
      <c r="L17" s="174">
        <f t="shared" si="12"/>
        <v>35411</v>
      </c>
      <c r="M17" s="177">
        <f t="shared" si="12"/>
        <v>7054</v>
      </c>
      <c r="N17" s="177">
        <f t="shared" si="12"/>
        <v>9590</v>
      </c>
      <c r="O17" s="177">
        <f t="shared" si="12"/>
        <v>6270</v>
      </c>
      <c r="P17" s="177">
        <f t="shared" si="12"/>
        <v>5880</v>
      </c>
      <c r="Q17" s="174">
        <f t="shared" si="12"/>
        <v>28794</v>
      </c>
      <c r="R17" s="177">
        <f t="shared" si="12"/>
        <v>10324</v>
      </c>
      <c r="S17" s="177">
        <f t="shared" si="12"/>
        <v>10775</v>
      </c>
      <c r="T17" s="177">
        <f t="shared" si="12"/>
        <v>15503</v>
      </c>
      <c r="U17" s="177">
        <f t="shared" si="12"/>
        <v>5125</v>
      </c>
      <c r="V17" s="174">
        <f t="shared" si="12"/>
        <v>41727</v>
      </c>
      <c r="W17" s="177">
        <f t="shared" ref="W17:AT17" si="13">SUM(W10:W12,W13:W15)</f>
        <v>4244</v>
      </c>
      <c r="X17" s="177">
        <f t="shared" si="13"/>
        <v>5219</v>
      </c>
      <c r="Y17" s="177">
        <f t="shared" si="13"/>
        <v>7363</v>
      </c>
      <c r="Z17" s="177">
        <f t="shared" si="13"/>
        <v>5678</v>
      </c>
      <c r="AA17" s="174">
        <f t="shared" si="13"/>
        <v>22504</v>
      </c>
      <c r="AB17" s="177">
        <f t="shared" si="13"/>
        <v>8901</v>
      </c>
      <c r="AC17" s="177">
        <f t="shared" si="13"/>
        <v>-23845</v>
      </c>
      <c r="AD17" s="177">
        <f t="shared" si="13"/>
        <v>1998</v>
      </c>
      <c r="AE17" s="177">
        <f t="shared" si="13"/>
        <v>7460</v>
      </c>
      <c r="AF17" s="174">
        <f t="shared" si="13"/>
        <v>-5486</v>
      </c>
      <c r="AG17" s="178">
        <f t="shared" si="13"/>
        <v>9225</v>
      </c>
      <c r="AH17" s="178">
        <f t="shared" si="13"/>
        <v>8584</v>
      </c>
      <c r="AI17" s="178">
        <f t="shared" si="13"/>
        <v>8096</v>
      </c>
      <c r="AJ17" s="178">
        <f t="shared" si="13"/>
        <v>11278</v>
      </c>
      <c r="AK17" s="174">
        <f t="shared" si="13"/>
        <v>37183</v>
      </c>
      <c r="AL17" s="178">
        <f t="shared" si="13"/>
        <v>7716</v>
      </c>
      <c r="AM17" s="178">
        <f t="shared" si="13"/>
        <v>721</v>
      </c>
      <c r="AN17" s="178">
        <f t="shared" si="13"/>
        <v>7378</v>
      </c>
      <c r="AO17" s="178">
        <f t="shared" si="13"/>
        <v>4512</v>
      </c>
      <c r="AP17" s="174">
        <f t="shared" si="13"/>
        <v>20327</v>
      </c>
      <c r="AQ17" s="178">
        <f t="shared" si="13"/>
        <v>19732</v>
      </c>
      <c r="AR17" s="178">
        <f t="shared" si="13"/>
        <v>4991</v>
      </c>
      <c r="AS17" s="178">
        <f t="shared" si="13"/>
        <v>5125</v>
      </c>
      <c r="AT17" s="178">
        <f t="shared" si="13"/>
        <v>2211</v>
      </c>
      <c r="AU17" s="174">
        <f>SUM(AQ17:AT17)</f>
        <v>32059</v>
      </c>
      <c r="AV17" s="178">
        <f t="shared" ref="AV17:CD17" si="14">SUM(AV10:AV12,AV13:AV15)</f>
        <v>5535</v>
      </c>
      <c r="AW17" s="178">
        <f t="shared" si="14"/>
        <v>5245</v>
      </c>
      <c r="AX17" s="178">
        <f t="shared" si="14"/>
        <v>4554</v>
      </c>
      <c r="AY17" s="178">
        <f t="shared" si="14"/>
        <v>-2712</v>
      </c>
      <c r="AZ17" s="174">
        <f t="shared" si="14"/>
        <v>12622</v>
      </c>
      <c r="BA17" s="178">
        <f t="shared" si="14"/>
        <v>1878</v>
      </c>
      <c r="BB17" s="178">
        <f t="shared" si="14"/>
        <v>-8875</v>
      </c>
      <c r="BC17" s="178">
        <f t="shared" si="14"/>
        <v>3065</v>
      </c>
      <c r="BD17" s="178">
        <f t="shared" si="14"/>
        <v>-2097</v>
      </c>
      <c r="BE17" s="174">
        <f>SUM(BE10:BE12,BE13:BE15)</f>
        <v>-6029</v>
      </c>
      <c r="BF17" s="178">
        <f t="shared" si="14"/>
        <v>-293</v>
      </c>
      <c r="BG17" s="178">
        <f t="shared" si="14"/>
        <v>-4104</v>
      </c>
      <c r="BH17" s="178">
        <f t="shared" si="14"/>
        <v>1870</v>
      </c>
      <c r="BI17" s="178">
        <f t="shared" si="14"/>
        <v>500</v>
      </c>
      <c r="BJ17" s="174">
        <f t="shared" si="14"/>
        <v>-2027</v>
      </c>
      <c r="BK17" s="178">
        <f t="shared" si="14"/>
        <v>2562</v>
      </c>
      <c r="BL17" s="178">
        <f t="shared" si="14"/>
        <v>2055</v>
      </c>
      <c r="BM17" s="178">
        <f t="shared" si="14"/>
        <v>2964</v>
      </c>
      <c r="BN17" s="178">
        <f t="shared" ca="1" si="14"/>
        <v>1040</v>
      </c>
      <c r="BO17" s="174">
        <f t="shared" ca="1" si="14"/>
        <v>8621</v>
      </c>
      <c r="BP17" s="67">
        <f t="shared" ca="1" si="14"/>
        <v>4066.8349013367224</v>
      </c>
      <c r="BQ17" s="67">
        <f t="shared" ca="1" si="14"/>
        <v>5539.9263438247563</v>
      </c>
      <c r="BR17" s="67">
        <f t="shared" ca="1" si="14"/>
        <v>5709.4113620330272</v>
      </c>
      <c r="BS17" s="67">
        <f t="shared" ca="1" si="14"/>
        <v>5161.588893769781</v>
      </c>
      <c r="BT17" s="15">
        <f t="shared" ca="1" si="14"/>
        <v>20477.761500964287</v>
      </c>
      <c r="BU17" s="67">
        <f t="shared" ca="1" si="14"/>
        <v>5434.4331518955842</v>
      </c>
      <c r="BV17" s="67">
        <f t="shared" ca="1" si="14"/>
        <v>5292.7634776546383</v>
      </c>
      <c r="BW17" s="67">
        <f t="shared" ca="1" si="14"/>
        <v>5537.8027142795954</v>
      </c>
      <c r="BX17" s="67">
        <f t="shared" ca="1" si="14"/>
        <v>5242.041609903541</v>
      </c>
      <c r="BY17" s="15">
        <f t="shared" ca="1" si="14"/>
        <v>21507.040953733362</v>
      </c>
      <c r="BZ17" s="67">
        <f t="shared" ca="1" si="14"/>
        <v>5814.5915736829211</v>
      </c>
      <c r="CA17" s="67">
        <f t="shared" ca="1" si="14"/>
        <v>5793.7442128055718</v>
      </c>
      <c r="CB17" s="67">
        <f t="shared" ca="1" si="14"/>
        <v>6105.5223244768667</v>
      </c>
      <c r="CC17" s="67">
        <f t="shared" ca="1" si="14"/>
        <v>5866.7621543789792</v>
      </c>
      <c r="CD17" s="15">
        <f t="shared" ca="1" si="14"/>
        <v>23580.62026534434</v>
      </c>
    </row>
    <row r="18" spans="1:82" s="8" customFormat="1">
      <c r="A18" s="148"/>
      <c r="B18" s="148"/>
      <c r="C18" s="179"/>
      <c r="D18" s="179"/>
      <c r="E18" s="179"/>
      <c r="F18" s="179"/>
      <c r="G18" s="179"/>
      <c r="H18" s="180"/>
      <c r="I18" s="180"/>
      <c r="J18" s="180"/>
      <c r="K18" s="180"/>
      <c r="L18" s="179"/>
      <c r="M18" s="180"/>
      <c r="N18" s="180"/>
      <c r="O18" s="180"/>
      <c r="P18" s="180"/>
      <c r="Q18" s="179"/>
      <c r="R18" s="180"/>
      <c r="S18" s="180"/>
      <c r="T18" s="180"/>
      <c r="U18" s="180"/>
      <c r="V18" s="179"/>
      <c r="W18" s="592"/>
      <c r="X18" s="592"/>
      <c r="Y18" s="592"/>
      <c r="Z18" s="592"/>
      <c r="AA18" s="592"/>
      <c r="AB18" s="592"/>
      <c r="AC18" s="592"/>
      <c r="AD18" s="592"/>
      <c r="AE18" s="592"/>
      <c r="AF18" s="592"/>
      <c r="AG18" s="592"/>
      <c r="AH18" s="592"/>
      <c r="AI18" s="592"/>
      <c r="AJ18" s="592"/>
      <c r="AK18" s="592"/>
      <c r="AL18" s="592"/>
      <c r="AM18" s="592"/>
      <c r="AN18" s="592"/>
      <c r="AO18" s="592"/>
      <c r="AP18" s="729"/>
      <c r="AQ18" s="592"/>
      <c r="AR18" s="592"/>
      <c r="AS18" s="592"/>
      <c r="AT18" s="592"/>
      <c r="AU18" s="729"/>
      <c r="AV18" s="592"/>
      <c r="AW18" s="592"/>
      <c r="AX18" s="592"/>
      <c r="AY18" s="592"/>
      <c r="AZ18" s="729"/>
      <c r="BA18" s="592"/>
      <c r="BB18" s="592"/>
      <c r="BC18" s="592"/>
      <c r="BD18" s="592"/>
      <c r="BE18" s="729"/>
      <c r="BF18" s="592"/>
      <c r="BG18" s="592"/>
      <c r="BH18" s="592"/>
      <c r="BI18" s="592"/>
      <c r="BJ18" s="729"/>
      <c r="BK18" s="592"/>
      <c r="BL18" s="592"/>
      <c r="BM18" s="592"/>
      <c r="BN18" s="592"/>
      <c r="BO18" s="729"/>
      <c r="BP18" s="375"/>
      <c r="BQ18" s="375"/>
      <c r="BR18" s="375"/>
      <c r="BS18" s="375"/>
      <c r="BT18" s="375"/>
      <c r="BU18" s="375"/>
      <c r="BV18" s="375"/>
      <c r="BW18" s="375"/>
      <c r="BX18" s="375"/>
      <c r="BY18" s="375"/>
      <c r="BZ18" s="375"/>
      <c r="CA18" s="375"/>
      <c r="CB18" s="375"/>
      <c r="CC18" s="375"/>
      <c r="CD18" s="375"/>
    </row>
    <row r="19" spans="1:82" s="5" customFormat="1">
      <c r="A19" s="137" t="s">
        <v>2540</v>
      </c>
      <c r="B19" s="137"/>
      <c r="C19" s="138"/>
      <c r="D19" s="138"/>
      <c r="E19" s="138">
        <f>-720-325</f>
        <v>-1045</v>
      </c>
      <c r="F19" s="138">
        <v>-780</v>
      </c>
      <c r="G19" s="138">
        <v>-761</v>
      </c>
      <c r="H19" s="181">
        <v>-143</v>
      </c>
      <c r="I19" s="181">
        <v>-107</v>
      </c>
      <c r="J19" s="181">
        <v>-117</v>
      </c>
      <c r="K19" s="181">
        <v>-149</v>
      </c>
      <c r="L19" s="138">
        <v>-516</v>
      </c>
      <c r="M19" s="181">
        <v>-171</v>
      </c>
      <c r="N19" s="181">
        <v>-155</v>
      </c>
      <c r="O19" s="181">
        <v>-173</v>
      </c>
      <c r="P19" s="181">
        <v>-242</v>
      </c>
      <c r="Q19" s="138">
        <v>-741</v>
      </c>
      <c r="R19" s="181">
        <v>-246</v>
      </c>
      <c r="S19" s="181">
        <v>-221</v>
      </c>
      <c r="T19" s="181">
        <v>-238</v>
      </c>
      <c r="U19" s="181">
        <v>-251</v>
      </c>
      <c r="V19" s="138">
        <v>-956</v>
      </c>
      <c r="W19" s="181">
        <v>-368</v>
      </c>
      <c r="X19" s="181">
        <v>-321</v>
      </c>
      <c r="Y19" s="181">
        <v>-311</v>
      </c>
      <c r="Z19" s="181">
        <v>-302</v>
      </c>
      <c r="AA19" s="138">
        <v>-1302</v>
      </c>
      <c r="AB19" s="181">
        <v>-228</v>
      </c>
      <c r="AC19" s="181">
        <v>-214</v>
      </c>
      <c r="AD19" s="181">
        <v>-335</v>
      </c>
      <c r="AE19" s="181">
        <v>-346</v>
      </c>
      <c r="AF19" s="138">
        <v>-1123</v>
      </c>
      <c r="AG19" s="181">
        <v>-239</v>
      </c>
      <c r="AH19" s="181">
        <v>-249</v>
      </c>
      <c r="AI19" s="181">
        <v>-234</v>
      </c>
      <c r="AJ19" s="181">
        <v>-261</v>
      </c>
      <c r="AK19" s="138">
        <f>SUM(AG19:AJ19)</f>
        <v>-983</v>
      </c>
      <c r="AL19" s="181">
        <v>-230</v>
      </c>
      <c r="AM19" s="181">
        <v>-212</v>
      </c>
      <c r="AN19" s="181">
        <v>-198</v>
      </c>
      <c r="AO19" s="181">
        <v>-284</v>
      </c>
      <c r="AP19" s="138">
        <f>SUM(AL19:AO19)</f>
        <v>-924</v>
      </c>
      <c r="AQ19" s="181">
        <v>-404</v>
      </c>
      <c r="AR19" s="181">
        <v>-369</v>
      </c>
      <c r="AS19" s="181">
        <v>-397</v>
      </c>
      <c r="AT19" s="181">
        <v>-378</v>
      </c>
      <c r="AU19" s="138">
        <f>SUM(AQ19:AT19)</f>
        <v>-1548</v>
      </c>
      <c r="AV19" s="181">
        <v>-367</v>
      </c>
      <c r="AW19" s="181">
        <v>-356</v>
      </c>
      <c r="AX19" s="181">
        <f>-285-73</f>
        <v>-358</v>
      </c>
      <c r="AY19" s="181">
        <f>-299-82</f>
        <v>-381</v>
      </c>
      <c r="AZ19" s="138">
        <f>SUM(AV19:AY19)</f>
        <v>-1462</v>
      </c>
      <c r="BA19" s="181">
        <v>-358</v>
      </c>
      <c r="BB19" s="181">
        <v>-364</v>
      </c>
      <c r="BC19" s="181">
        <v>-474</v>
      </c>
      <c r="BD19" s="181">
        <v>-457</v>
      </c>
      <c r="BE19" s="138">
        <f>SUM(BA19:BD19)</f>
        <v>-1653</v>
      </c>
      <c r="BF19" s="181">
        <v>-440</v>
      </c>
      <c r="BG19" s="181">
        <v>-460</v>
      </c>
      <c r="BH19" s="181">
        <v>-481</v>
      </c>
      <c r="BI19" s="181">
        <v>-484</v>
      </c>
      <c r="BJ19" s="138">
        <f>SUM(BF19:BI19)</f>
        <v>-1865</v>
      </c>
      <c r="BK19" s="181">
        <v>-513</v>
      </c>
      <c r="BL19" s="181">
        <v>-541</v>
      </c>
      <c r="BM19" s="181">
        <v>-566</v>
      </c>
      <c r="BN19" s="181">
        <v>-674</v>
      </c>
      <c r="BO19" s="138">
        <f>SUM(BK19:BN19)</f>
        <v>-2294</v>
      </c>
      <c r="BP19" s="12">
        <f t="shared" ref="BP19:BS21" ca="1" si="15">SUM(BP42,BP60)</f>
        <v>-529.02343319693637</v>
      </c>
      <c r="BQ19" s="12">
        <f t="shared" ca="1" si="15"/>
        <v>-536.96412555422705</v>
      </c>
      <c r="BR19" s="12">
        <f t="shared" ca="1" si="15"/>
        <v>-526.88849070519177</v>
      </c>
      <c r="BS19" s="12">
        <f t="shared" ca="1" si="15"/>
        <v>-517.66395878876256</v>
      </c>
      <c r="BT19" s="5">
        <f ca="1">SUM(BP19:BS19)</f>
        <v>-2110.5400082451179</v>
      </c>
      <c r="BU19" s="12">
        <f t="shared" ref="BU19:BX21" ca="1" si="16">SUM(BU42,BU60)</f>
        <v>-521.63167038414042</v>
      </c>
      <c r="BV19" s="12">
        <f t="shared" ca="1" si="16"/>
        <v>-514.58721277719269</v>
      </c>
      <c r="BW19" s="12">
        <f t="shared" ca="1" si="16"/>
        <v>-500.85307483243662</v>
      </c>
      <c r="BX19" s="12">
        <f t="shared" ca="1" si="16"/>
        <v>-489.89366277451677</v>
      </c>
      <c r="BY19" s="5">
        <f ca="1">SUM(BU19:BX19)</f>
        <v>-2026.9656207682863</v>
      </c>
      <c r="BZ19" s="12">
        <f t="shared" ref="BZ19:CC21" ca="1" si="17">SUM(BZ42,BZ60)</f>
        <v>-490.34189965646124</v>
      </c>
      <c r="CA19" s="12">
        <f t="shared" ca="1" si="17"/>
        <v>-483.67056099001593</v>
      </c>
      <c r="CB19" s="12">
        <f t="shared" ca="1" si="17"/>
        <v>-467.39751985695762</v>
      </c>
      <c r="CC19" s="12">
        <f t="shared" ca="1" si="17"/>
        <v>-454.86036066722886</v>
      </c>
      <c r="CD19" s="5">
        <f ca="1">SUM(BZ19:CC19)</f>
        <v>-1896.2703411706636</v>
      </c>
    </row>
    <row r="20" spans="1:82" s="175" customFormat="1">
      <c r="A20" s="245" t="s">
        <v>1675</v>
      </c>
      <c r="B20" s="245"/>
      <c r="C20" s="205"/>
      <c r="D20" s="205"/>
      <c r="E20" s="205">
        <v>-5050</v>
      </c>
      <c r="F20" s="205">
        <v>-7082</v>
      </c>
      <c r="G20" s="205">
        <v>-9473</v>
      </c>
      <c r="H20" s="206">
        <v>-2810</v>
      </c>
      <c r="I20" s="206">
        <v>-3241</v>
      </c>
      <c r="J20" s="206">
        <v>-4824</v>
      </c>
      <c r="K20" s="206">
        <v>-1672</v>
      </c>
      <c r="L20" s="205">
        <v>-12547</v>
      </c>
      <c r="M20" s="206">
        <v>-2357</v>
      </c>
      <c r="N20" s="206">
        <v>-2882</v>
      </c>
      <c r="O20" s="206">
        <v>-1982</v>
      </c>
      <c r="P20" s="206">
        <v>-2138</v>
      </c>
      <c r="Q20" s="205">
        <v>-9359</v>
      </c>
      <c r="R20" s="206">
        <v>-3729</v>
      </c>
      <c r="S20" s="206">
        <v>-3696</v>
      </c>
      <c r="T20" s="206">
        <v>-5099</v>
      </c>
      <c r="U20" s="206">
        <v>-2145</v>
      </c>
      <c r="V20" s="205">
        <v>-14669</v>
      </c>
      <c r="W20" s="206">
        <v>-1454</v>
      </c>
      <c r="X20" s="206">
        <v>-1714</v>
      </c>
      <c r="Y20" s="206">
        <v>-2052</v>
      </c>
      <c r="Z20" s="206">
        <v>-1846</v>
      </c>
      <c r="AA20" s="205">
        <v>-7066</v>
      </c>
      <c r="AB20" s="206">
        <v>-2966</v>
      </c>
      <c r="AC20" s="206">
        <v>7188</v>
      </c>
      <c r="AD20" s="206">
        <v>272</v>
      </c>
      <c r="AE20" s="206">
        <v>-2404</v>
      </c>
      <c r="AF20" s="205">
        <v>2090</v>
      </c>
      <c r="AG20" s="206">
        <v>-3314</v>
      </c>
      <c r="AH20" s="181">
        <v>-2858</v>
      </c>
      <c r="AI20" s="181">
        <v>-2409</v>
      </c>
      <c r="AJ20" s="181">
        <v>-3322</v>
      </c>
      <c r="AK20" s="138">
        <f>SUM(AG20:AJ20)</f>
        <v>-11903</v>
      </c>
      <c r="AL20" s="181">
        <v>-2496</v>
      </c>
      <c r="AM20" s="181">
        <v>-226</v>
      </c>
      <c r="AN20" s="181">
        <v>-2427</v>
      </c>
      <c r="AO20" s="181">
        <v>-2027</v>
      </c>
      <c r="AP20" s="138">
        <f>SUM(AL20:AO20)</f>
        <v>-7176</v>
      </c>
      <c r="AQ20" s="181">
        <v>-2653</v>
      </c>
      <c r="AR20" s="181">
        <v>-2138</v>
      </c>
      <c r="AS20" s="181">
        <v>-1462</v>
      </c>
      <c r="AT20" s="181">
        <v>-270</v>
      </c>
      <c r="AU20" s="138">
        <f>SUM(AQ20:AT20)</f>
        <v>-6523</v>
      </c>
      <c r="AV20" s="181">
        <v>-1602</v>
      </c>
      <c r="AW20" s="181">
        <v>-1643</v>
      </c>
      <c r="AX20" s="181">
        <v>-1777</v>
      </c>
      <c r="AY20" s="181">
        <v>2158</v>
      </c>
      <c r="AZ20" s="138">
        <f>SUM(AV20:AY20)</f>
        <v>-2864</v>
      </c>
      <c r="BA20" s="181">
        <v>632</v>
      </c>
      <c r="BB20" s="181">
        <v>3013</v>
      </c>
      <c r="BC20" s="181">
        <v>-1347</v>
      </c>
      <c r="BD20" s="181">
        <v>304</v>
      </c>
      <c r="BE20" s="138">
        <f>SUM(BA20:BD20)</f>
        <v>2602</v>
      </c>
      <c r="BF20" s="181">
        <v>273</v>
      </c>
      <c r="BG20" s="181">
        <v>2346</v>
      </c>
      <c r="BH20" s="181">
        <v>229</v>
      </c>
      <c r="BI20" s="181">
        <v>102</v>
      </c>
      <c r="BJ20" s="138">
        <f>SUM(BF20:BI20)</f>
        <v>2950</v>
      </c>
      <c r="BK20" s="181">
        <v>-594</v>
      </c>
      <c r="BL20" s="181">
        <v>-949</v>
      </c>
      <c r="BM20" s="181">
        <v>-1031</v>
      </c>
      <c r="BN20" s="181">
        <v>-913</v>
      </c>
      <c r="BO20" s="138">
        <f>SUM(BK20:BN20)</f>
        <v>-3487</v>
      </c>
      <c r="BP20" s="12">
        <f t="shared" ca="1" si="15"/>
        <v>-1397.0446265134608</v>
      </c>
      <c r="BQ20" s="12">
        <f t="shared" ca="1" si="15"/>
        <v>-1958.69827809249</v>
      </c>
      <c r="BR20" s="12">
        <f t="shared" ca="1" si="15"/>
        <v>-2094.8869256961757</v>
      </c>
      <c r="BS20" s="12">
        <f t="shared" ca="1" si="15"/>
        <v>-1950.0409779436663</v>
      </c>
      <c r="BT20" s="5">
        <f ca="1">SUM(BP20:BS20)</f>
        <v>-7400.6708082457935</v>
      </c>
      <c r="BU20" s="12">
        <f t="shared" ca="1" si="16"/>
        <v>-2172.3038137018975</v>
      </c>
      <c r="BV20" s="12">
        <f t="shared" ca="1" si="16"/>
        <v>-2065.9542372065371</v>
      </c>
      <c r="BW20" s="12">
        <f t="shared" ca="1" si="16"/>
        <v>-2203.5607646724775</v>
      </c>
      <c r="BX20" s="12">
        <f t="shared" ca="1" si="16"/>
        <v>-2028.9346729592799</v>
      </c>
      <c r="BY20" s="5">
        <f ca="1">SUM(BU20:BX20)</f>
        <v>-8470.753488540191</v>
      </c>
      <c r="BZ20" s="12">
        <f t="shared" ca="1" si="17"/>
        <v>-2160.6836209744733</v>
      </c>
      <c r="CA20" s="12">
        <f t="shared" ca="1" si="17"/>
        <v>-2153.3575096280233</v>
      </c>
      <c r="CB20" s="12">
        <f t="shared" ca="1" si="17"/>
        <v>-2342.0442853220311</v>
      </c>
      <c r="CC20" s="12">
        <f t="shared" ca="1" si="17"/>
        <v>-2198.871399580943</v>
      </c>
      <c r="CD20" s="5">
        <f ca="1">SUM(BZ20:CC20)</f>
        <v>-8854.9568155054694</v>
      </c>
    </row>
    <row r="21" spans="1:82" s="5" customFormat="1">
      <c r="A21" s="137" t="s">
        <v>1676</v>
      </c>
      <c r="B21" s="137"/>
      <c r="C21" s="138"/>
      <c r="D21" s="138"/>
      <c r="E21" s="138">
        <v>-170</v>
      </c>
      <c r="F21" s="138">
        <v>-187</v>
      </c>
      <c r="G21" s="138">
        <v>-291</v>
      </c>
      <c r="H21" s="181">
        <v>-71</v>
      </c>
      <c r="I21" s="181">
        <v>-77</v>
      </c>
      <c r="J21" s="181">
        <v>-63</v>
      </c>
      <c r="K21" s="181">
        <v>-75</v>
      </c>
      <c r="L21" s="138">
        <v>-286</v>
      </c>
      <c r="M21" s="181">
        <v>-82</v>
      </c>
      <c r="N21" s="181">
        <v>-65</v>
      </c>
      <c r="O21" s="181">
        <v>-72</v>
      </c>
      <c r="P21" s="181">
        <v>-105</v>
      </c>
      <c r="Q21" s="138">
        <v>-324</v>
      </c>
      <c r="R21" s="181">
        <v>-118</v>
      </c>
      <c r="S21" s="181">
        <v>-112</v>
      </c>
      <c r="T21" s="181">
        <v>-137</v>
      </c>
      <c r="U21" s="181">
        <v>-142</v>
      </c>
      <c r="V21" s="138">
        <v>-509</v>
      </c>
      <c r="W21" s="181">
        <v>-35</v>
      </c>
      <c r="X21" s="181">
        <v>-44</v>
      </c>
      <c r="Y21" s="181">
        <v>-19</v>
      </c>
      <c r="Z21" s="181">
        <v>-83</v>
      </c>
      <c r="AA21" s="138">
        <v>-181</v>
      </c>
      <c r="AB21" s="181">
        <v>-109</v>
      </c>
      <c r="AC21" s="181">
        <v>-102</v>
      </c>
      <c r="AD21" s="181">
        <v>-88</v>
      </c>
      <c r="AE21" s="181">
        <v>-96</v>
      </c>
      <c r="AF21" s="138">
        <v>-395</v>
      </c>
      <c r="AG21" s="181">
        <v>-61</v>
      </c>
      <c r="AH21" s="181">
        <v>-70</v>
      </c>
      <c r="AI21" s="181">
        <v>-177</v>
      </c>
      <c r="AJ21" s="181">
        <v>-89</v>
      </c>
      <c r="AK21" s="138">
        <f>SUM(AG21:AJ21)</f>
        <v>-397</v>
      </c>
      <c r="AL21" s="181">
        <v>-61</v>
      </c>
      <c r="AM21" s="181">
        <v>-45</v>
      </c>
      <c r="AN21" s="181">
        <v>-66</v>
      </c>
      <c r="AO21" s="181">
        <v>-62</v>
      </c>
      <c r="AP21" s="138">
        <f>SUM(AL21:AO21)</f>
        <v>-234</v>
      </c>
      <c r="AQ21" s="181">
        <v>-79</v>
      </c>
      <c r="AR21" s="181">
        <v>-84</v>
      </c>
      <c r="AS21" s="181">
        <v>-88</v>
      </c>
      <c r="AT21" s="181">
        <v>-56</v>
      </c>
      <c r="AU21" s="138">
        <f>SUM(AQ21:AT21)</f>
        <v>-307</v>
      </c>
      <c r="AV21" s="181">
        <v>-91</v>
      </c>
      <c r="AW21" s="181">
        <v>-64</v>
      </c>
      <c r="AX21" s="181">
        <v>-34</v>
      </c>
      <c r="AY21" s="181">
        <v>-34</v>
      </c>
      <c r="AZ21" s="138">
        <f>SUM(AV21:AY21)</f>
        <v>-223</v>
      </c>
      <c r="BA21" s="181">
        <v>-49</v>
      </c>
      <c r="BB21" s="181">
        <v>-40</v>
      </c>
      <c r="BC21" s="181">
        <v>-10</v>
      </c>
      <c r="BD21" s="181">
        <v>17</v>
      </c>
      <c r="BE21" s="138">
        <f>SUM(BA21:BD21)</f>
        <v>-82</v>
      </c>
      <c r="BF21" s="181">
        <v>-25</v>
      </c>
      <c r="BG21" s="181">
        <v>-29</v>
      </c>
      <c r="BH21" s="181">
        <v>43</v>
      </c>
      <c r="BI21" s="181">
        <v>-46</v>
      </c>
      <c r="BJ21" s="138">
        <f>SUM(BF21:BI21)</f>
        <v>-57</v>
      </c>
      <c r="BK21" s="181">
        <v>-43</v>
      </c>
      <c r="BL21" s="181">
        <v>-12</v>
      </c>
      <c r="BM21" s="181">
        <v>12</v>
      </c>
      <c r="BN21" s="181">
        <v>-36</v>
      </c>
      <c r="BO21" s="138">
        <f>SUM(BK21:BN21)</f>
        <v>-79</v>
      </c>
      <c r="BP21" s="12">
        <f t="shared" si="15"/>
        <v>-25</v>
      </c>
      <c r="BQ21" s="12">
        <f t="shared" si="15"/>
        <v>-25</v>
      </c>
      <c r="BR21" s="12">
        <f t="shared" si="15"/>
        <v>-25</v>
      </c>
      <c r="BS21" s="12">
        <f t="shared" si="15"/>
        <v>-25</v>
      </c>
      <c r="BT21" s="5">
        <f>SUM(BP21:BS21)</f>
        <v>-100</v>
      </c>
      <c r="BU21" s="12">
        <f t="shared" si="16"/>
        <v>-25</v>
      </c>
      <c r="BV21" s="12">
        <f t="shared" si="16"/>
        <v>-25</v>
      </c>
      <c r="BW21" s="12">
        <f t="shared" si="16"/>
        <v>-25</v>
      </c>
      <c r="BX21" s="12">
        <f t="shared" si="16"/>
        <v>-25</v>
      </c>
      <c r="BY21" s="5">
        <f>SUM(BU21:BX21)</f>
        <v>-100</v>
      </c>
      <c r="BZ21" s="12">
        <f t="shared" si="17"/>
        <v>-25</v>
      </c>
      <c r="CA21" s="12">
        <f t="shared" si="17"/>
        <v>-25</v>
      </c>
      <c r="CB21" s="12">
        <f t="shared" si="17"/>
        <v>-25</v>
      </c>
      <c r="CC21" s="12">
        <f t="shared" si="17"/>
        <v>-25</v>
      </c>
      <c r="CD21" s="5">
        <f>SUM(BZ21:CC21)</f>
        <v>-100</v>
      </c>
    </row>
    <row r="22" spans="1:82" s="8" customFormat="1">
      <c r="A22" s="244" t="s">
        <v>2546</v>
      </c>
      <c r="B22" s="244"/>
      <c r="C22" s="174"/>
      <c r="D22" s="174"/>
      <c r="E22" s="174">
        <f>SUM(E17,E19:E21)</f>
        <v>12459</v>
      </c>
      <c r="F22" s="174">
        <f>SUM(F17,F19:F21)</f>
        <v>16336</v>
      </c>
      <c r="G22" s="174">
        <f t="shared" ref="G22:AT22" si="18">SUM(G17,G19:G21)</f>
        <v>19513</v>
      </c>
      <c r="H22" s="177">
        <f t="shared" si="18"/>
        <v>5487</v>
      </c>
      <c r="I22" s="177">
        <f t="shared" si="18"/>
        <v>6240</v>
      </c>
      <c r="J22" s="177">
        <f t="shared" si="18"/>
        <v>6765</v>
      </c>
      <c r="K22" s="177">
        <f t="shared" si="18"/>
        <v>3570</v>
      </c>
      <c r="L22" s="174">
        <f t="shared" si="18"/>
        <v>22062</v>
      </c>
      <c r="M22" s="177">
        <f t="shared" si="18"/>
        <v>4444</v>
      </c>
      <c r="N22" s="177">
        <f t="shared" si="18"/>
        <v>6488</v>
      </c>
      <c r="O22" s="177">
        <f t="shared" si="18"/>
        <v>4043</v>
      </c>
      <c r="P22" s="177">
        <f t="shared" si="18"/>
        <v>3395</v>
      </c>
      <c r="Q22" s="174">
        <f t="shared" si="18"/>
        <v>18370</v>
      </c>
      <c r="R22" s="177">
        <f t="shared" si="18"/>
        <v>6231</v>
      </c>
      <c r="S22" s="177">
        <f t="shared" si="18"/>
        <v>6746</v>
      </c>
      <c r="T22" s="177">
        <f t="shared" si="18"/>
        <v>10029</v>
      </c>
      <c r="U22" s="177">
        <f t="shared" si="18"/>
        <v>2587</v>
      </c>
      <c r="V22" s="174">
        <f t="shared" si="18"/>
        <v>25593</v>
      </c>
      <c r="W22" s="177">
        <f t="shared" si="18"/>
        <v>2387</v>
      </c>
      <c r="X22" s="177">
        <f t="shared" si="18"/>
        <v>3140</v>
      </c>
      <c r="Y22" s="177">
        <f t="shared" si="18"/>
        <v>4981</v>
      </c>
      <c r="Z22" s="177">
        <f t="shared" si="18"/>
        <v>3447</v>
      </c>
      <c r="AA22" s="174">
        <f t="shared" si="18"/>
        <v>13955</v>
      </c>
      <c r="AB22" s="177">
        <f t="shared" si="18"/>
        <v>5598</v>
      </c>
      <c r="AC22" s="177">
        <f t="shared" si="18"/>
        <v>-16973</v>
      </c>
      <c r="AD22" s="177">
        <f t="shared" si="18"/>
        <v>1847</v>
      </c>
      <c r="AE22" s="177">
        <f t="shared" si="18"/>
        <v>4614</v>
      </c>
      <c r="AF22" s="174">
        <f t="shared" si="18"/>
        <v>-4914</v>
      </c>
      <c r="AG22" s="178">
        <f t="shared" si="18"/>
        <v>5611</v>
      </c>
      <c r="AH22" s="178">
        <f t="shared" si="18"/>
        <v>5407</v>
      </c>
      <c r="AI22" s="178">
        <f t="shared" si="18"/>
        <v>5276</v>
      </c>
      <c r="AJ22" s="178">
        <f t="shared" si="18"/>
        <v>7606</v>
      </c>
      <c r="AK22" s="174">
        <f t="shared" si="18"/>
        <v>23900</v>
      </c>
      <c r="AL22" s="178">
        <f t="shared" si="18"/>
        <v>4929</v>
      </c>
      <c r="AM22" s="178">
        <f t="shared" si="18"/>
        <v>238</v>
      </c>
      <c r="AN22" s="178">
        <f t="shared" si="18"/>
        <v>4687</v>
      </c>
      <c r="AO22" s="178">
        <f t="shared" si="18"/>
        <v>2139</v>
      </c>
      <c r="AP22" s="174">
        <f t="shared" si="18"/>
        <v>11993</v>
      </c>
      <c r="AQ22" s="178">
        <f t="shared" si="18"/>
        <v>16596</v>
      </c>
      <c r="AR22" s="178">
        <f t="shared" si="18"/>
        <v>2400</v>
      </c>
      <c r="AS22" s="178">
        <f t="shared" si="18"/>
        <v>3178</v>
      </c>
      <c r="AT22" s="178">
        <f t="shared" si="18"/>
        <v>1507</v>
      </c>
      <c r="AU22" s="174">
        <f>SUM(AQ22:AT22)</f>
        <v>23681</v>
      </c>
      <c r="AV22" s="178">
        <f t="shared" ref="AV22:CD22" si="19">SUM(AV17,AV19:AV21)</f>
        <v>3475</v>
      </c>
      <c r="AW22" s="178">
        <f t="shared" si="19"/>
        <v>3182</v>
      </c>
      <c r="AX22" s="178">
        <f t="shared" si="19"/>
        <v>2385</v>
      </c>
      <c r="AY22" s="178">
        <f t="shared" si="19"/>
        <v>-969</v>
      </c>
      <c r="AZ22" s="174">
        <f t="shared" si="19"/>
        <v>8073</v>
      </c>
      <c r="BA22" s="178">
        <f t="shared" si="19"/>
        <v>2103</v>
      </c>
      <c r="BB22" s="178">
        <f t="shared" si="19"/>
        <v>-6266</v>
      </c>
      <c r="BC22" s="178">
        <f t="shared" si="19"/>
        <v>1234</v>
      </c>
      <c r="BD22" s="178">
        <f t="shared" si="19"/>
        <v>-2233</v>
      </c>
      <c r="BE22" s="174">
        <f>SUM(BE17,BE19:BE21)</f>
        <v>-5162</v>
      </c>
      <c r="BF22" s="178">
        <f t="shared" si="19"/>
        <v>-485</v>
      </c>
      <c r="BG22" s="178">
        <f t="shared" si="19"/>
        <v>-2247</v>
      </c>
      <c r="BH22" s="178">
        <f t="shared" si="19"/>
        <v>1661</v>
      </c>
      <c r="BI22" s="178">
        <f t="shared" si="19"/>
        <v>72</v>
      </c>
      <c r="BJ22" s="174">
        <f t="shared" si="19"/>
        <v>-999</v>
      </c>
      <c r="BK22" s="178">
        <f t="shared" si="19"/>
        <v>1412</v>
      </c>
      <c r="BL22" s="178">
        <f t="shared" si="19"/>
        <v>553</v>
      </c>
      <c r="BM22" s="178">
        <f t="shared" si="19"/>
        <v>1379</v>
      </c>
      <c r="BN22" s="178">
        <f t="shared" ca="1" si="19"/>
        <v>-583</v>
      </c>
      <c r="BO22" s="174">
        <f t="shared" ca="1" si="19"/>
        <v>2761</v>
      </c>
      <c r="BP22" s="67">
        <f t="shared" ca="1" si="19"/>
        <v>2115.766841626325</v>
      </c>
      <c r="BQ22" s="67">
        <f t="shared" ca="1" si="19"/>
        <v>3019.2639401780389</v>
      </c>
      <c r="BR22" s="67">
        <f t="shared" ca="1" si="19"/>
        <v>3062.63594563166</v>
      </c>
      <c r="BS22" s="67">
        <f t="shared" ca="1" si="19"/>
        <v>2668.8839570373516</v>
      </c>
      <c r="BT22" s="15">
        <f t="shared" ca="1" si="19"/>
        <v>10866.550684473374</v>
      </c>
      <c r="BU22" s="67">
        <f t="shared" ca="1" si="19"/>
        <v>2715.4976678095463</v>
      </c>
      <c r="BV22" s="67">
        <f t="shared" ca="1" si="19"/>
        <v>2687.2220276709086</v>
      </c>
      <c r="BW22" s="67">
        <f t="shared" ca="1" si="19"/>
        <v>2808.3888747746814</v>
      </c>
      <c r="BX22" s="67">
        <f t="shared" ca="1" si="19"/>
        <v>2698.2132741697442</v>
      </c>
      <c r="BY22" s="15">
        <f t="shared" ca="1" si="19"/>
        <v>10909.321844424885</v>
      </c>
      <c r="BZ22" s="67">
        <f t="shared" ca="1" si="19"/>
        <v>3138.5660530519863</v>
      </c>
      <c r="CA22" s="67">
        <f t="shared" ca="1" si="19"/>
        <v>3131.7161421875321</v>
      </c>
      <c r="CB22" s="67">
        <f t="shared" ca="1" si="19"/>
        <v>3271.0805192978778</v>
      </c>
      <c r="CC22" s="67">
        <f t="shared" ca="1" si="19"/>
        <v>3188.0303941308075</v>
      </c>
      <c r="CD22" s="15">
        <f t="shared" ca="1" si="19"/>
        <v>12729.393108668206</v>
      </c>
    </row>
    <row r="23" spans="1:82" s="5" customFormat="1">
      <c r="A23" s="137"/>
      <c r="B23" s="137"/>
      <c r="C23" s="138"/>
      <c r="D23" s="138"/>
      <c r="E23" s="138"/>
      <c r="F23" s="138"/>
      <c r="G23" s="138"/>
      <c r="H23" s="181"/>
      <c r="I23" s="181"/>
      <c r="J23" s="181"/>
      <c r="K23" s="181"/>
      <c r="L23" s="138"/>
      <c r="M23" s="181"/>
      <c r="N23" s="181"/>
      <c r="O23" s="181"/>
      <c r="P23" s="181"/>
      <c r="Q23" s="138"/>
      <c r="R23" s="181"/>
      <c r="S23" s="181"/>
      <c r="T23" s="181"/>
      <c r="U23" s="181"/>
      <c r="V23" s="138"/>
      <c r="W23" s="181"/>
      <c r="X23" s="181"/>
      <c r="Y23" s="181"/>
      <c r="Z23" s="181"/>
      <c r="AA23" s="138"/>
      <c r="AB23" s="181"/>
      <c r="AC23" s="181"/>
      <c r="AD23" s="181"/>
      <c r="AE23" s="181"/>
      <c r="AF23" s="138"/>
      <c r="AG23" s="181"/>
      <c r="AH23" s="181"/>
      <c r="AI23" s="181"/>
      <c r="AJ23" s="181"/>
      <c r="AK23" s="138"/>
      <c r="AL23" s="181"/>
      <c r="AM23" s="181"/>
      <c r="AN23" s="181"/>
      <c r="AO23" s="181"/>
      <c r="AP23" s="138"/>
      <c r="AQ23" s="181"/>
      <c r="AR23" s="181"/>
      <c r="AS23" s="181"/>
      <c r="AT23" s="181"/>
      <c r="AU23" s="138"/>
      <c r="AV23" s="181"/>
      <c r="AW23" s="181"/>
      <c r="AX23" s="181"/>
      <c r="AY23" s="181"/>
      <c r="AZ23" s="138"/>
      <c r="BA23" s="181"/>
      <c r="BB23" s="181"/>
      <c r="BC23" s="181"/>
      <c r="BD23" s="181"/>
      <c r="BE23" s="138"/>
      <c r="BF23" s="181"/>
      <c r="BG23" s="181"/>
      <c r="BH23" s="181"/>
      <c r="BI23" s="181"/>
      <c r="BJ23" s="138"/>
      <c r="BK23" s="181"/>
      <c r="BL23" s="181"/>
      <c r="BM23" s="181"/>
      <c r="BN23" s="181"/>
      <c r="BO23" s="138"/>
      <c r="BP23" s="12"/>
      <c r="BQ23" s="12"/>
      <c r="BR23" s="12"/>
      <c r="BS23" s="12"/>
      <c r="BU23" s="12"/>
      <c r="BV23" s="12"/>
      <c r="BW23" s="12"/>
      <c r="BX23" s="12"/>
      <c r="BZ23" s="12"/>
      <c r="CA23" s="12"/>
      <c r="CB23" s="12"/>
      <c r="CC23" s="12"/>
    </row>
    <row r="24" spans="1:82" s="5" customFormat="1">
      <c r="A24" s="137" t="s">
        <v>2175</v>
      </c>
      <c r="B24" s="137"/>
      <c r="C24" s="138"/>
      <c r="D24" s="138"/>
      <c r="E24" s="138">
        <v>-27</v>
      </c>
      <c r="F24" s="138">
        <v>-904</v>
      </c>
      <c r="G24" s="138">
        <v>-199</v>
      </c>
      <c r="H24" s="181">
        <v>-103</v>
      </c>
      <c r="I24" s="181">
        <v>78</v>
      </c>
      <c r="J24" s="181">
        <v>0</v>
      </c>
      <c r="K24" s="181">
        <v>0</v>
      </c>
      <c r="L24" s="138">
        <f>SUM(H24:K24)</f>
        <v>-25</v>
      </c>
      <c r="M24" s="181"/>
      <c r="N24" s="181"/>
      <c r="O24" s="181"/>
      <c r="P24" s="181"/>
      <c r="Q24" s="138"/>
      <c r="R24" s="181"/>
      <c r="S24" s="181"/>
      <c r="T24" s="181"/>
      <c r="U24" s="181"/>
      <c r="V24" s="138"/>
      <c r="W24" s="181"/>
      <c r="X24" s="181"/>
      <c r="Y24" s="181"/>
      <c r="Z24" s="181"/>
      <c r="AA24" s="138"/>
      <c r="AB24" s="181"/>
      <c r="AC24" s="181"/>
      <c r="AD24" s="181"/>
      <c r="AE24" s="181"/>
      <c r="AF24" s="138"/>
      <c r="AG24" s="181"/>
      <c r="AH24" s="181"/>
      <c r="AI24" s="181"/>
      <c r="AJ24" s="181"/>
      <c r="AK24" s="138"/>
      <c r="AL24" s="138"/>
      <c r="AM24" s="138"/>
      <c r="AN24" s="138"/>
      <c r="AO24" s="138"/>
      <c r="AP24" s="138"/>
      <c r="AQ24" s="138"/>
      <c r="AR24" s="138"/>
      <c r="AS24" s="138"/>
      <c r="AT24" s="138"/>
      <c r="AU24" s="138"/>
      <c r="AV24" s="138"/>
      <c r="AW24" s="138"/>
      <c r="AX24" s="138"/>
      <c r="AY24" s="138"/>
      <c r="AZ24" s="138"/>
      <c r="BA24" s="138"/>
      <c r="BB24" s="138"/>
      <c r="BC24" s="138"/>
      <c r="BD24" s="138"/>
      <c r="BE24" s="138"/>
      <c r="BF24" s="138"/>
      <c r="BG24" s="138"/>
      <c r="BH24" s="138"/>
      <c r="BI24" s="138"/>
      <c r="BJ24" s="138"/>
      <c r="BK24" s="138"/>
      <c r="BL24" s="138"/>
      <c r="BM24" s="138"/>
      <c r="BN24" s="138"/>
      <c r="BO24" s="138"/>
      <c r="BP24" s="72"/>
      <c r="BQ24" s="72"/>
      <c r="BR24" s="72"/>
      <c r="BS24" s="72"/>
      <c r="BT24" s="72"/>
      <c r="BU24" s="72"/>
      <c r="BV24" s="72"/>
      <c r="BW24" s="72"/>
      <c r="BX24" s="72"/>
      <c r="BY24" s="72"/>
      <c r="BZ24" s="72"/>
      <c r="CA24" s="72"/>
      <c r="CB24" s="72"/>
      <c r="CC24" s="72"/>
      <c r="CD24" s="72"/>
    </row>
    <row r="25" spans="1:82" s="5" customFormat="1">
      <c r="A25" s="137" t="s">
        <v>769</v>
      </c>
      <c r="B25" s="137"/>
      <c r="C25" s="138"/>
      <c r="D25" s="138"/>
      <c r="E25" s="138"/>
      <c r="F25" s="138">
        <v>1643</v>
      </c>
      <c r="G25" s="138">
        <v>3027</v>
      </c>
      <c r="H25" s="181">
        <v>358</v>
      </c>
      <c r="I25" s="181">
        <v>1148</v>
      </c>
      <c r="J25" s="181">
        <v>-744</v>
      </c>
      <c r="K25" s="181">
        <v>-1015</v>
      </c>
      <c r="L25" s="138">
        <f>SUM(H25:K25)</f>
        <v>-253</v>
      </c>
      <c r="M25" s="181">
        <v>303</v>
      </c>
      <c r="N25" s="181">
        <v>1289</v>
      </c>
      <c r="O25" s="181">
        <v>539</v>
      </c>
      <c r="P25" s="181">
        <v>1427</v>
      </c>
      <c r="Q25" s="138">
        <v>3558</v>
      </c>
      <c r="R25" s="181">
        <v>1326</v>
      </c>
      <c r="S25" s="181">
        <v>3952</v>
      </c>
      <c r="T25" s="181">
        <v>-2978</v>
      </c>
      <c r="U25" s="181">
        <v>-8788</v>
      </c>
      <c r="V25" s="138">
        <v>-6488</v>
      </c>
      <c r="W25" s="181">
        <v>254</v>
      </c>
      <c r="X25" s="181">
        <v>1874</v>
      </c>
      <c r="Y25" s="181">
        <v>538</v>
      </c>
      <c r="Z25" s="181">
        <v>1256</v>
      </c>
      <c r="AA25" s="138">
        <v>3922</v>
      </c>
      <c r="AB25" s="181">
        <v>705</v>
      </c>
      <c r="AC25" s="181">
        <v>-284</v>
      </c>
      <c r="AD25" s="181">
        <v>-82</v>
      </c>
      <c r="AE25" s="181">
        <v>1445</v>
      </c>
      <c r="AF25" s="138">
        <v>1784</v>
      </c>
      <c r="AG25" s="181">
        <v>2412</v>
      </c>
      <c r="AH25" s="181">
        <v>493</v>
      </c>
      <c r="AI25" s="181">
        <v>-372</v>
      </c>
      <c r="AJ25" s="181">
        <v>101</v>
      </c>
      <c r="AK25" s="138">
        <f>SUM(AG25:AJ25)</f>
        <v>2634</v>
      </c>
      <c r="AL25" s="181">
        <v>1437</v>
      </c>
      <c r="AM25" s="181">
        <v>-2324</v>
      </c>
      <c r="AN25" s="181">
        <v>1059</v>
      </c>
      <c r="AO25" s="181">
        <v>-766</v>
      </c>
      <c r="AP25" s="138">
        <f>SUM(AL25:AO25)</f>
        <v>-594</v>
      </c>
      <c r="AQ25" s="181">
        <v>406</v>
      </c>
      <c r="AR25" s="181">
        <v>-506</v>
      </c>
      <c r="AS25" s="181">
        <v>444</v>
      </c>
      <c r="AT25" s="181">
        <v>-634</v>
      </c>
      <c r="AU25" s="138">
        <f>SUM(AQ25:AT25)</f>
        <v>-290</v>
      </c>
      <c r="AV25" s="181">
        <v>102</v>
      </c>
      <c r="AW25" s="181">
        <v>258</v>
      </c>
      <c r="AX25" s="181">
        <f>1-1566-20</f>
        <v>-1585</v>
      </c>
      <c r="AY25" s="181">
        <v>-4985</v>
      </c>
      <c r="AZ25" s="138">
        <f>SUM(AV25:AY25)</f>
        <v>-6210</v>
      </c>
      <c r="BA25" s="181">
        <v>756</v>
      </c>
      <c r="BB25" s="181">
        <v>627</v>
      </c>
      <c r="BC25" s="181">
        <v>-1726</v>
      </c>
      <c r="BD25" s="181">
        <v>-1546</v>
      </c>
      <c r="BE25" s="138">
        <f>SUM(BA25:BD25)</f>
        <v>-1889</v>
      </c>
      <c r="BF25" s="181">
        <v>-132</v>
      </c>
      <c r="BG25" s="181">
        <v>1188</v>
      </c>
      <c r="BH25" s="181">
        <v>-60</v>
      </c>
      <c r="BI25" s="181">
        <v>601</v>
      </c>
      <c r="BJ25" s="138">
        <f>SUM(BF25:BI25)</f>
        <v>1597</v>
      </c>
      <c r="BK25" s="181">
        <v>66</v>
      </c>
      <c r="BL25" s="181">
        <v>-586</v>
      </c>
      <c r="BM25" s="181">
        <v>557</v>
      </c>
      <c r="BN25" s="181">
        <v>816</v>
      </c>
      <c r="BO25" s="138">
        <f>SUM(BK25:BN25)</f>
        <v>853</v>
      </c>
      <c r="BP25" s="187">
        <v>0</v>
      </c>
      <c r="BQ25" s="187">
        <v>0</v>
      </c>
      <c r="BR25" s="187">
        <v>0</v>
      </c>
      <c r="BS25" s="187">
        <v>0</v>
      </c>
      <c r="BT25" s="5">
        <f>SUM(BP25:BS25)</f>
        <v>0</v>
      </c>
      <c r="BU25" s="187">
        <v>0</v>
      </c>
      <c r="BV25" s="187">
        <v>0</v>
      </c>
      <c r="BW25" s="187">
        <v>0</v>
      </c>
      <c r="BX25" s="187">
        <v>0</v>
      </c>
      <c r="BY25" s="5">
        <f>SUM(BU25:BX25)</f>
        <v>0</v>
      </c>
      <c r="BZ25" s="187">
        <v>0</v>
      </c>
      <c r="CA25" s="187">
        <v>0</v>
      </c>
      <c r="CB25" s="187">
        <v>0</v>
      </c>
      <c r="CC25" s="187">
        <v>0</v>
      </c>
      <c r="CD25" s="5">
        <f>SUM(BZ25:CC25)</f>
        <v>0</v>
      </c>
    </row>
    <row r="26" spans="1:82" s="5" customFormat="1">
      <c r="A26" s="137" t="s">
        <v>2545</v>
      </c>
      <c r="B26" s="137"/>
      <c r="C26" s="138"/>
      <c r="D26" s="138"/>
      <c r="E26" s="138"/>
      <c r="F26" s="138"/>
      <c r="G26" s="138"/>
      <c r="H26" s="181">
        <f>-2929-H20</f>
        <v>-119</v>
      </c>
      <c r="I26" s="181">
        <f>-3441-I20</f>
        <v>-200</v>
      </c>
      <c r="J26" s="181">
        <f>-4614-J20</f>
        <v>210</v>
      </c>
      <c r="K26" s="181">
        <f>-1347-K20</f>
        <v>325</v>
      </c>
      <c r="L26" s="138">
        <f>SUM(H26:K26)</f>
        <v>216</v>
      </c>
      <c r="M26" s="181">
        <v>-83</v>
      </c>
      <c r="N26" s="181">
        <v>-401</v>
      </c>
      <c r="O26" s="181">
        <v>-176</v>
      </c>
      <c r="P26" s="181">
        <v>-423</v>
      </c>
      <c r="Q26" s="138">
        <v>-1083</v>
      </c>
      <c r="R26" s="181">
        <v>-463</v>
      </c>
      <c r="S26" s="181">
        <v>-1340</v>
      </c>
      <c r="T26" s="181">
        <v>998</v>
      </c>
      <c r="U26" s="181">
        <v>2857</v>
      </c>
      <c r="V26" s="138">
        <v>2052</v>
      </c>
      <c r="W26" s="181">
        <v>-79</v>
      </c>
      <c r="X26" s="181">
        <v>-629</v>
      </c>
      <c r="Y26" s="181">
        <v>-183</v>
      </c>
      <c r="Z26" s="181">
        <v>-408</v>
      </c>
      <c r="AA26" s="138">
        <v>-1299</v>
      </c>
      <c r="AB26" s="181">
        <v>-224</v>
      </c>
      <c r="AC26" s="181">
        <v>107</v>
      </c>
      <c r="AD26" s="181">
        <v>20</v>
      </c>
      <c r="AE26" s="181">
        <v>-492</v>
      </c>
      <c r="AF26" s="138">
        <v>-589</v>
      </c>
      <c r="AG26" s="181">
        <v>-769</v>
      </c>
      <c r="AH26" s="181">
        <v>-182</v>
      </c>
      <c r="AI26" s="181">
        <v>139</v>
      </c>
      <c r="AJ26" s="181">
        <v>-22</v>
      </c>
      <c r="AK26" s="138">
        <f>SUM(AG26:AJ26)</f>
        <v>-834</v>
      </c>
      <c r="AL26" s="181">
        <v>-451</v>
      </c>
      <c r="AM26" s="181">
        <v>701</v>
      </c>
      <c r="AN26" s="181">
        <v>-312</v>
      </c>
      <c r="AO26" s="181">
        <v>245</v>
      </c>
      <c r="AP26" s="138">
        <f>SUM(AL26:AO26)</f>
        <v>183</v>
      </c>
      <c r="AQ26" s="181">
        <v>-139</v>
      </c>
      <c r="AR26" s="181">
        <v>148</v>
      </c>
      <c r="AS26" s="181">
        <v>-118</v>
      </c>
      <c r="AT26" s="181">
        <v>169</v>
      </c>
      <c r="AU26" s="138">
        <f>SUM(AQ26:AT26)</f>
        <v>60</v>
      </c>
      <c r="AV26" s="181">
        <v>-49</v>
      </c>
      <c r="AW26" s="181">
        <v>-71</v>
      </c>
      <c r="AX26" s="181">
        <v>490</v>
      </c>
      <c r="AY26" s="181">
        <v>1547</v>
      </c>
      <c r="AZ26" s="138">
        <f>SUM(AV26:AY26)</f>
        <v>1917</v>
      </c>
      <c r="BA26" s="181">
        <v>-257</v>
      </c>
      <c r="BB26" s="181">
        <v>-184</v>
      </c>
      <c r="BC26" s="181">
        <v>538</v>
      </c>
      <c r="BD26" s="181">
        <v>472</v>
      </c>
      <c r="BE26" s="138">
        <f>SUM(BA26:BD26)</f>
        <v>569</v>
      </c>
      <c r="BF26" s="181">
        <v>34</v>
      </c>
      <c r="BG26" s="181">
        <v>-360</v>
      </c>
      <c r="BH26" s="181">
        <v>19</v>
      </c>
      <c r="BI26" s="181">
        <v>-176</v>
      </c>
      <c r="BJ26" s="138">
        <f>SUM(BF26:BI26)</f>
        <v>-483</v>
      </c>
      <c r="BK26" s="181">
        <v>-29</v>
      </c>
      <c r="BL26" s="181">
        <v>177</v>
      </c>
      <c r="BM26" s="181">
        <v>-167</v>
      </c>
      <c r="BN26" s="181">
        <v>-206</v>
      </c>
      <c r="BO26" s="138">
        <f>SUM(BK26:BN26)</f>
        <v>-225</v>
      </c>
      <c r="BP26" s="187">
        <f>-BP25*BP42</f>
        <v>0</v>
      </c>
      <c r="BQ26" s="187">
        <f>-BQ25*BQ42</f>
        <v>0</v>
      </c>
      <c r="BR26" s="187">
        <f>-BR25*BR42</f>
        <v>0</v>
      </c>
      <c r="BS26" s="187">
        <f>-BS25*BS42</f>
        <v>0</v>
      </c>
      <c r="BT26" s="5">
        <f>SUM(BP26:BS26)</f>
        <v>0</v>
      </c>
      <c r="BU26" s="187">
        <f>-BU25*BU42</f>
        <v>0</v>
      </c>
      <c r="BV26" s="187">
        <f>-BV25*BV42</f>
        <v>0</v>
      </c>
      <c r="BW26" s="187">
        <f>-BW25*BW42</f>
        <v>0</v>
      </c>
      <c r="BX26" s="187">
        <f>-BX25*BX42</f>
        <v>0</v>
      </c>
      <c r="BY26" s="5">
        <f>SUM(BU26:BX26)</f>
        <v>0</v>
      </c>
      <c r="BZ26" s="187">
        <f>-BZ25*BZ42</f>
        <v>0</v>
      </c>
      <c r="CA26" s="187">
        <f>-CA25*CA42</f>
        <v>0</v>
      </c>
      <c r="CB26" s="187">
        <f>-CB25*CB42</f>
        <v>0</v>
      </c>
      <c r="CC26" s="187">
        <f>-CC25*CC42</f>
        <v>0</v>
      </c>
      <c r="CD26" s="5">
        <f>SUM(BZ26:CC26)</f>
        <v>0</v>
      </c>
    </row>
    <row r="27" spans="1:82" s="179" customFormat="1">
      <c r="A27" s="244" t="s">
        <v>2543</v>
      </c>
      <c r="B27" s="244"/>
      <c r="C27" s="174"/>
      <c r="D27" s="174"/>
      <c r="E27" s="174">
        <f t="shared" ref="E27:L27" si="20">E22+SUM(E24:E26)</f>
        <v>12432</v>
      </c>
      <c r="F27" s="174">
        <f t="shared" si="20"/>
        <v>17075</v>
      </c>
      <c r="G27" s="174">
        <f t="shared" si="20"/>
        <v>22341</v>
      </c>
      <c r="H27" s="177">
        <f t="shared" si="20"/>
        <v>5623</v>
      </c>
      <c r="I27" s="177">
        <f t="shared" si="20"/>
        <v>7266</v>
      </c>
      <c r="J27" s="177">
        <f t="shared" si="20"/>
        <v>6231</v>
      </c>
      <c r="K27" s="177">
        <f t="shared" si="20"/>
        <v>2880</v>
      </c>
      <c r="L27" s="174">
        <f t="shared" si="20"/>
        <v>22000</v>
      </c>
      <c r="M27" s="177">
        <f>M22+SUM(M25:M26)</f>
        <v>4664</v>
      </c>
      <c r="N27" s="177">
        <f t="shared" ref="N27:AT27" si="21">N22+SUM(N25:N26)</f>
        <v>7376</v>
      </c>
      <c r="O27" s="177">
        <f t="shared" si="21"/>
        <v>4406</v>
      </c>
      <c r="P27" s="177">
        <f t="shared" si="21"/>
        <v>4399</v>
      </c>
      <c r="Q27" s="174">
        <f t="shared" si="21"/>
        <v>20845</v>
      </c>
      <c r="R27" s="177">
        <f t="shared" si="21"/>
        <v>7094</v>
      </c>
      <c r="S27" s="177">
        <f t="shared" si="21"/>
        <v>9358</v>
      </c>
      <c r="T27" s="177">
        <f t="shared" si="21"/>
        <v>8049</v>
      </c>
      <c r="U27" s="177">
        <f t="shared" si="21"/>
        <v>-3344</v>
      </c>
      <c r="V27" s="174">
        <f t="shared" si="21"/>
        <v>21157</v>
      </c>
      <c r="W27" s="177">
        <f t="shared" si="21"/>
        <v>2562</v>
      </c>
      <c r="X27" s="177">
        <f t="shared" si="21"/>
        <v>4385</v>
      </c>
      <c r="Y27" s="177">
        <f t="shared" si="21"/>
        <v>5336</v>
      </c>
      <c r="Z27" s="177">
        <f t="shared" si="21"/>
        <v>4295</v>
      </c>
      <c r="AA27" s="174">
        <f t="shared" si="21"/>
        <v>16578</v>
      </c>
      <c r="AB27" s="177">
        <f t="shared" si="21"/>
        <v>6079</v>
      </c>
      <c r="AC27" s="177">
        <f t="shared" si="21"/>
        <v>-17150</v>
      </c>
      <c r="AD27" s="177">
        <f t="shared" si="21"/>
        <v>1785</v>
      </c>
      <c r="AE27" s="177">
        <f t="shared" si="21"/>
        <v>5567</v>
      </c>
      <c r="AF27" s="174">
        <f t="shared" si="21"/>
        <v>-3719</v>
      </c>
      <c r="AG27" s="178">
        <f t="shared" si="21"/>
        <v>7254</v>
      </c>
      <c r="AH27" s="178">
        <f t="shared" si="21"/>
        <v>5718</v>
      </c>
      <c r="AI27" s="178">
        <f t="shared" si="21"/>
        <v>5043</v>
      </c>
      <c r="AJ27" s="178">
        <f t="shared" si="21"/>
        <v>7685</v>
      </c>
      <c r="AK27" s="174">
        <f t="shared" si="21"/>
        <v>25700</v>
      </c>
      <c r="AL27" s="178">
        <f t="shared" si="21"/>
        <v>5915</v>
      </c>
      <c r="AM27" s="178">
        <f t="shared" si="21"/>
        <v>-1385</v>
      </c>
      <c r="AN27" s="178">
        <f>AN22+SUM(AN25:AN26)</f>
        <v>5434</v>
      </c>
      <c r="AO27" s="178">
        <f t="shared" si="21"/>
        <v>1618</v>
      </c>
      <c r="AP27" s="174">
        <f t="shared" si="21"/>
        <v>11582</v>
      </c>
      <c r="AQ27" s="178">
        <f t="shared" si="21"/>
        <v>16863</v>
      </c>
      <c r="AR27" s="178">
        <f t="shared" si="21"/>
        <v>2042</v>
      </c>
      <c r="AS27" s="178">
        <f t="shared" si="21"/>
        <v>3504</v>
      </c>
      <c r="AT27" s="178">
        <f t="shared" si="21"/>
        <v>1042</v>
      </c>
      <c r="AU27" s="174">
        <f>SUM(AQ27:AT27)</f>
        <v>23451</v>
      </c>
      <c r="AV27" s="178">
        <f t="shared" ref="AV27:BF27" si="22">AV22+SUM(AV25:AV26)</f>
        <v>3528</v>
      </c>
      <c r="AW27" s="178">
        <f t="shared" si="22"/>
        <v>3369</v>
      </c>
      <c r="AX27" s="178">
        <f t="shared" si="22"/>
        <v>1290</v>
      </c>
      <c r="AY27" s="178">
        <f t="shared" si="22"/>
        <v>-4407</v>
      </c>
      <c r="AZ27" s="174">
        <f t="shared" si="22"/>
        <v>3780</v>
      </c>
      <c r="BA27" s="178">
        <f t="shared" si="22"/>
        <v>2602</v>
      </c>
      <c r="BB27" s="178">
        <f t="shared" si="22"/>
        <v>-5823</v>
      </c>
      <c r="BC27" s="178">
        <f t="shared" si="22"/>
        <v>46</v>
      </c>
      <c r="BD27" s="178">
        <f t="shared" si="22"/>
        <v>-3307</v>
      </c>
      <c r="BE27" s="174">
        <f>BE22+SUM(BE25:BE26)</f>
        <v>-6482</v>
      </c>
      <c r="BF27" s="178">
        <f t="shared" si="22"/>
        <v>-583</v>
      </c>
      <c r="BG27" s="178">
        <f t="shared" ref="BG27:CD27" si="23">BG22+SUM(BG24:BG26)</f>
        <v>-1419</v>
      </c>
      <c r="BH27" s="178">
        <f t="shared" si="23"/>
        <v>1620</v>
      </c>
      <c r="BI27" s="178">
        <f t="shared" si="23"/>
        <v>497</v>
      </c>
      <c r="BJ27" s="174">
        <f t="shared" si="23"/>
        <v>115</v>
      </c>
      <c r="BK27" s="178">
        <f t="shared" si="23"/>
        <v>1449</v>
      </c>
      <c r="BL27" s="178">
        <f t="shared" si="23"/>
        <v>144</v>
      </c>
      <c r="BM27" s="178">
        <f t="shared" si="23"/>
        <v>1769</v>
      </c>
      <c r="BN27" s="178">
        <f t="shared" ca="1" si="23"/>
        <v>27</v>
      </c>
      <c r="BO27" s="174">
        <f t="shared" ca="1" si="23"/>
        <v>3389</v>
      </c>
      <c r="BP27" s="178">
        <f t="shared" ca="1" si="23"/>
        <v>2115.766841626325</v>
      </c>
      <c r="BQ27" s="178">
        <f t="shared" ca="1" si="23"/>
        <v>3019.2639401780389</v>
      </c>
      <c r="BR27" s="178">
        <f t="shared" ca="1" si="23"/>
        <v>3062.63594563166</v>
      </c>
      <c r="BS27" s="178">
        <f t="shared" ca="1" si="23"/>
        <v>2668.8839570373516</v>
      </c>
      <c r="BT27" s="174">
        <f t="shared" ca="1" si="23"/>
        <v>10866.550684473374</v>
      </c>
      <c r="BU27" s="178">
        <f t="shared" ca="1" si="23"/>
        <v>2715.4976678095463</v>
      </c>
      <c r="BV27" s="178">
        <f t="shared" ca="1" si="23"/>
        <v>2687.2220276709086</v>
      </c>
      <c r="BW27" s="178">
        <f t="shared" ca="1" si="23"/>
        <v>2808.3888747746814</v>
      </c>
      <c r="BX27" s="178">
        <f t="shared" ca="1" si="23"/>
        <v>2698.2132741697442</v>
      </c>
      <c r="BY27" s="174">
        <f t="shared" ca="1" si="23"/>
        <v>10909.321844424885</v>
      </c>
      <c r="BZ27" s="178">
        <f t="shared" ca="1" si="23"/>
        <v>3138.5660530519863</v>
      </c>
      <c r="CA27" s="178">
        <f t="shared" ca="1" si="23"/>
        <v>3131.7161421875321</v>
      </c>
      <c r="CB27" s="178">
        <f t="shared" ca="1" si="23"/>
        <v>3271.0805192978778</v>
      </c>
      <c r="CC27" s="178">
        <f t="shared" ca="1" si="23"/>
        <v>3188.0303941308075</v>
      </c>
      <c r="CD27" s="174">
        <f t="shared" ca="1" si="23"/>
        <v>12729.393108668206</v>
      </c>
    </row>
    <row r="28" spans="1:82" s="5" customFormat="1">
      <c r="A28" s="4"/>
      <c r="B28" s="4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</row>
    <row r="29" spans="1:82" s="5" customFormat="1">
      <c r="A29" s="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12"/>
      <c r="AI29" s="12"/>
      <c r="AJ29" s="12"/>
      <c r="AP29" s="116"/>
      <c r="AU29" s="116"/>
      <c r="AZ29" s="116"/>
      <c r="BE29" s="116"/>
    </row>
    <row r="30" spans="1:82" s="5" customFormat="1">
      <c r="A30" s="4"/>
      <c r="B30" s="4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</row>
    <row r="31" spans="1:82" s="5" customFormat="1">
      <c r="A31" s="9" t="s">
        <v>2945</v>
      </c>
      <c r="B31" s="4"/>
    </row>
    <row r="32" spans="1:82" s="11" customFormat="1" ht="12.75" customHeight="1">
      <c r="A32" s="10"/>
      <c r="B32" s="10"/>
      <c r="C32" s="32">
        <v>2001</v>
      </c>
      <c r="D32" s="32">
        <v>2002</v>
      </c>
      <c r="E32" s="32">
        <v>2003</v>
      </c>
      <c r="F32" s="32">
        <v>2004</v>
      </c>
      <c r="G32" s="31">
        <v>2005</v>
      </c>
      <c r="H32" s="33" t="s">
        <v>714</v>
      </c>
      <c r="I32" s="33" t="s">
        <v>715</v>
      </c>
      <c r="J32" s="33" t="s">
        <v>716</v>
      </c>
      <c r="K32" s="33" t="s">
        <v>717</v>
      </c>
      <c r="L32" s="31">
        <v>2006</v>
      </c>
      <c r="M32" s="33" t="s">
        <v>718</v>
      </c>
      <c r="N32" s="33" t="s">
        <v>719</v>
      </c>
      <c r="O32" s="33" t="s">
        <v>1970</v>
      </c>
      <c r="P32" s="33" t="s">
        <v>1971</v>
      </c>
      <c r="Q32" s="31">
        <v>2007</v>
      </c>
      <c r="R32" s="33" t="s">
        <v>1972</v>
      </c>
      <c r="S32" s="33" t="s">
        <v>1973</v>
      </c>
      <c r="T32" s="33" t="s">
        <v>1974</v>
      </c>
      <c r="U32" s="33" t="s">
        <v>1975</v>
      </c>
      <c r="V32" s="31">
        <v>2008</v>
      </c>
      <c r="W32" s="33" t="s">
        <v>1976</v>
      </c>
      <c r="X32" s="33" t="s">
        <v>1977</v>
      </c>
      <c r="Y32" s="33" t="s">
        <v>1978</v>
      </c>
      <c r="Z32" s="33" t="s">
        <v>1979</v>
      </c>
      <c r="AA32" s="31">
        <v>2009</v>
      </c>
      <c r="AB32" s="33" t="s">
        <v>1980</v>
      </c>
      <c r="AC32" s="33" t="s">
        <v>1981</v>
      </c>
      <c r="AD32" s="33" t="s">
        <v>1982</v>
      </c>
      <c r="AE32" s="33" t="s">
        <v>2392</v>
      </c>
      <c r="AF32" s="31">
        <v>2010</v>
      </c>
      <c r="AG32" s="33" t="s">
        <v>2393</v>
      </c>
      <c r="AH32" s="33" t="s">
        <v>2394</v>
      </c>
      <c r="AI32" s="33" t="s">
        <v>2395</v>
      </c>
      <c r="AJ32" s="33" t="s">
        <v>2396</v>
      </c>
      <c r="AK32" s="31">
        <v>2011</v>
      </c>
      <c r="AL32" s="368" t="s">
        <v>2397</v>
      </c>
      <c r="AM32" s="368" t="s">
        <v>2398</v>
      </c>
      <c r="AN32" s="368" t="s">
        <v>2399</v>
      </c>
      <c r="AO32" s="33" t="s">
        <v>2400</v>
      </c>
      <c r="AP32" s="31">
        <v>2012</v>
      </c>
      <c r="AQ32" s="33" t="s">
        <v>2401</v>
      </c>
      <c r="AR32" s="33" t="s">
        <v>2402</v>
      </c>
      <c r="AS32" s="33" t="s">
        <v>2403</v>
      </c>
      <c r="AT32" s="33" t="s">
        <v>2404</v>
      </c>
      <c r="AU32" s="31">
        <v>2013</v>
      </c>
      <c r="AV32" s="33" t="s">
        <v>2405</v>
      </c>
      <c r="AW32" s="33" t="s">
        <v>2406</v>
      </c>
      <c r="AX32" s="33" t="s">
        <v>2407</v>
      </c>
      <c r="AY32" s="33" t="s">
        <v>2408</v>
      </c>
      <c r="AZ32" s="31">
        <v>2014</v>
      </c>
      <c r="BA32" s="33" t="s">
        <v>2409</v>
      </c>
      <c r="BB32" s="33" t="s">
        <v>2410</v>
      </c>
      <c r="BC32" s="33" t="s">
        <v>2411</v>
      </c>
      <c r="BD32" s="33" t="s">
        <v>2412</v>
      </c>
      <c r="BE32" s="369">
        <v>2015</v>
      </c>
      <c r="BF32" s="33" t="s">
        <v>2413</v>
      </c>
      <c r="BG32" s="33" t="s">
        <v>2414</v>
      </c>
      <c r="BH32" s="33" t="s">
        <v>2415</v>
      </c>
      <c r="BI32" s="33" t="s">
        <v>2416</v>
      </c>
      <c r="BJ32" s="369">
        <v>2016</v>
      </c>
      <c r="BK32" s="33" t="s">
        <v>2417</v>
      </c>
      <c r="BL32" s="33" t="s">
        <v>2418</v>
      </c>
      <c r="BM32" s="33" t="s">
        <v>2419</v>
      </c>
      <c r="BN32" s="33" t="s">
        <v>2420</v>
      </c>
      <c r="BO32" s="369">
        <v>2017</v>
      </c>
      <c r="BP32" s="363" t="s">
        <v>2244</v>
      </c>
      <c r="BQ32" s="363" t="s">
        <v>2245</v>
      </c>
      <c r="BR32" s="363" t="s">
        <v>2508</v>
      </c>
      <c r="BS32" s="363" t="s">
        <v>2509</v>
      </c>
      <c r="BT32" s="364">
        <v>2018</v>
      </c>
      <c r="BU32" s="363" t="s">
        <v>2510</v>
      </c>
      <c r="BV32" s="363" t="s">
        <v>2511</v>
      </c>
      <c r="BW32" s="363" t="s">
        <v>3125</v>
      </c>
      <c r="BX32" s="363" t="s">
        <v>1405</v>
      </c>
      <c r="BY32" s="364">
        <v>2019</v>
      </c>
      <c r="BZ32" s="363" t="s">
        <v>1406</v>
      </c>
      <c r="CA32" s="363" t="s">
        <v>1407</v>
      </c>
      <c r="CB32" s="363" t="s">
        <v>1408</v>
      </c>
      <c r="CC32" s="363" t="s">
        <v>1409</v>
      </c>
      <c r="CD32" s="364">
        <v>2020</v>
      </c>
    </row>
    <row r="33" spans="1:102" s="5" customFormat="1">
      <c r="A33" s="137" t="s">
        <v>2700</v>
      </c>
      <c r="B33" s="137"/>
      <c r="C33" s="138"/>
      <c r="D33" s="138"/>
      <c r="E33" s="138">
        <v>52</v>
      </c>
      <c r="F33" s="138">
        <v>-440</v>
      </c>
      <c r="G33" s="138">
        <v>-1090</v>
      </c>
      <c r="H33" s="181">
        <v>-441</v>
      </c>
      <c r="I33" s="181">
        <v>585</v>
      </c>
      <c r="J33" s="181">
        <v>2381</v>
      </c>
      <c r="K33" s="181">
        <v>38</v>
      </c>
      <c r="L33" s="138">
        <f t="shared" ref="L33:L39" si="24">SUM(H33:K33)</f>
        <v>2563</v>
      </c>
      <c r="M33" s="181">
        <v>788</v>
      </c>
      <c r="N33" s="181">
        <v>304</v>
      </c>
      <c r="O33" s="181">
        <v>-26</v>
      </c>
      <c r="P33" s="181">
        <v>-527</v>
      </c>
      <c r="Q33" s="138">
        <f>SUM(M33:P33)</f>
        <v>539</v>
      </c>
      <c r="R33" s="181">
        <v>-635</v>
      </c>
      <c r="S33" s="181">
        <v>-2349</v>
      </c>
      <c r="T33" s="181">
        <v>1215</v>
      </c>
      <c r="U33" s="181">
        <v>497</v>
      </c>
      <c r="V33" s="138">
        <f>SUM(R33:U33)</f>
        <v>-1272</v>
      </c>
      <c r="W33" s="181">
        <v>469</v>
      </c>
      <c r="X33" s="181">
        <v>642</v>
      </c>
      <c r="Y33" s="181">
        <v>651</v>
      </c>
      <c r="Z33" s="181">
        <v>1422</v>
      </c>
      <c r="AA33" s="138">
        <v>3184</v>
      </c>
      <c r="AB33" s="181">
        <v>104</v>
      </c>
      <c r="AC33" s="181">
        <v>-61</v>
      </c>
      <c r="AD33" s="181">
        <v>1809</v>
      </c>
      <c r="AE33" s="181">
        <v>1344</v>
      </c>
      <c r="AF33" s="138">
        <v>3196</v>
      </c>
      <c r="AG33" s="181">
        <v>739</v>
      </c>
      <c r="AH33" s="181">
        <v>-699</v>
      </c>
      <c r="AI33" s="181">
        <v>461</v>
      </c>
      <c r="AJ33" s="181">
        <v>640</v>
      </c>
      <c r="AK33" s="138">
        <v>1141</v>
      </c>
      <c r="AL33" s="181">
        <v>689</v>
      </c>
      <c r="AM33" s="181">
        <v>-1488</v>
      </c>
      <c r="AN33" s="181">
        <v>541</v>
      </c>
      <c r="AO33" s="181">
        <v>3313</v>
      </c>
      <c r="AP33" s="138">
        <f t="shared" ref="AP33:AP38" si="25">SUM(AL33:AO33)</f>
        <v>3055</v>
      </c>
      <c r="AQ33" s="181">
        <f t="shared" ref="AQ33:AR38" si="26">AQ10-AQ51</f>
        <v>-140</v>
      </c>
      <c r="AR33" s="181">
        <f t="shared" si="26"/>
        <v>112</v>
      </c>
      <c r="AS33" s="181">
        <f t="shared" ref="AS33:AT38" si="27">AS10-AS51</f>
        <v>-265</v>
      </c>
      <c r="AT33" s="181">
        <f t="shared" si="27"/>
        <v>-1315</v>
      </c>
      <c r="AU33" s="138">
        <f t="shared" ref="AU33:AU38" si="28">SUM(AQ33:AT33)</f>
        <v>-1608</v>
      </c>
      <c r="AV33" s="181">
        <f t="shared" ref="AV33:AW38" si="29">AV10-AV51</f>
        <v>258</v>
      </c>
      <c r="AW33" s="181">
        <f t="shared" si="29"/>
        <v>-606</v>
      </c>
      <c r="AX33" s="181">
        <f t="shared" ref="AX33:AY38" si="30">AX10-AX51</f>
        <v>-588</v>
      </c>
      <c r="AY33" s="181">
        <f t="shared" si="30"/>
        <v>-5331</v>
      </c>
      <c r="AZ33" s="138">
        <f t="shared" ref="AZ33:AZ38" si="31">SUM(AV33:AY33)</f>
        <v>-6267</v>
      </c>
      <c r="BA33" s="181">
        <f t="shared" ref="BA33:BD38" si="32">BA10-BA51</f>
        <v>-232</v>
      </c>
      <c r="BB33" s="181">
        <f t="shared" si="32"/>
        <v>-266</v>
      </c>
      <c r="BC33" s="181">
        <f t="shared" si="32"/>
        <v>-80</v>
      </c>
      <c r="BD33" s="181">
        <f t="shared" si="32"/>
        <v>-1552</v>
      </c>
      <c r="BE33" s="138">
        <f t="shared" ref="BE33:BE38" si="33">SUM(BA33:BD33)</f>
        <v>-2130</v>
      </c>
      <c r="BF33" s="181">
        <f t="shared" ref="BF33:BG38" si="34">BF10-BF51</f>
        <v>-458</v>
      </c>
      <c r="BG33" s="181">
        <f t="shared" si="34"/>
        <v>-138</v>
      </c>
      <c r="BH33" s="181">
        <f>BH10-BH51</f>
        <v>1420</v>
      </c>
      <c r="BI33" s="181">
        <f>BI10-BI51</f>
        <v>292</v>
      </c>
      <c r="BJ33" s="138">
        <f t="shared" ref="BJ33:BJ38" si="35">SUM(BF33:BI33)</f>
        <v>1116</v>
      </c>
      <c r="BK33" s="181">
        <f>BK10-BK51</f>
        <v>-114</v>
      </c>
      <c r="BL33" s="181">
        <f>BL10-BL51</f>
        <v>85</v>
      </c>
      <c r="BM33" s="181">
        <f>BM10-BM51</f>
        <v>-320</v>
      </c>
      <c r="BN33" s="181">
        <v>-295</v>
      </c>
      <c r="BO33" s="138">
        <f>SUM(BK33:BN33)</f>
        <v>-644</v>
      </c>
      <c r="BP33" s="209">
        <v>0</v>
      </c>
      <c r="BQ33" s="209">
        <v>0</v>
      </c>
      <c r="BR33" s="209">
        <v>0</v>
      </c>
      <c r="BS33" s="209">
        <v>0</v>
      </c>
      <c r="BT33" s="5">
        <f>SUM(BP33:BS33)</f>
        <v>0</v>
      </c>
      <c r="BU33" s="209"/>
      <c r="BV33" s="209">
        <v>0</v>
      </c>
      <c r="BW33" s="209">
        <v>0</v>
      </c>
      <c r="BX33" s="209">
        <v>0</v>
      </c>
      <c r="BY33" s="5">
        <f>SUM(BU33:BX33)</f>
        <v>0</v>
      </c>
      <c r="BZ33" s="209">
        <v>0</v>
      </c>
      <c r="CA33" s="209">
        <v>0</v>
      </c>
      <c r="CB33" s="209">
        <v>0</v>
      </c>
      <c r="CC33" s="209">
        <v>0</v>
      </c>
      <c r="CD33" s="5">
        <f>SUM(BZ33:CC33)</f>
        <v>0</v>
      </c>
    </row>
    <row r="34" spans="1:102" s="5" customFormat="1">
      <c r="A34" s="137" t="s">
        <v>2701</v>
      </c>
      <c r="B34" s="137"/>
      <c r="C34" s="138"/>
      <c r="D34" s="138"/>
      <c r="E34" s="138">
        <v>-864</v>
      </c>
      <c r="F34" s="138">
        <v>-698</v>
      </c>
      <c r="G34" s="138">
        <v>-793</v>
      </c>
      <c r="H34" s="181">
        <v>563</v>
      </c>
      <c r="I34" s="181">
        <v>-464</v>
      </c>
      <c r="J34" s="181">
        <v>-433</v>
      </c>
      <c r="K34" s="181">
        <v>-53</v>
      </c>
      <c r="L34" s="138">
        <f t="shared" si="24"/>
        <v>-387</v>
      </c>
      <c r="M34" s="181">
        <v>-768</v>
      </c>
      <c r="N34" s="181">
        <v>1104</v>
      </c>
      <c r="O34" s="181">
        <v>-437</v>
      </c>
      <c r="P34" s="181">
        <v>-1208</v>
      </c>
      <c r="Q34" s="138">
        <f>SUM(M34:P34)</f>
        <v>-1309</v>
      </c>
      <c r="R34" s="181">
        <v>710</v>
      </c>
      <c r="S34" s="181">
        <v>-260</v>
      </c>
      <c r="T34" s="181">
        <v>636</v>
      </c>
      <c r="U34" s="181">
        <v>-228</v>
      </c>
      <c r="V34" s="138">
        <f>SUM(R34:U34)</f>
        <v>858</v>
      </c>
      <c r="W34" s="181">
        <v>-459</v>
      </c>
      <c r="X34" s="181">
        <v>-292</v>
      </c>
      <c r="Y34" s="181">
        <v>-155</v>
      </c>
      <c r="Z34" s="181">
        <v>-1958</v>
      </c>
      <c r="AA34" s="138">
        <f>SUM(W34:Z34)</f>
        <v>-2864</v>
      </c>
      <c r="AB34" s="181">
        <v>-60</v>
      </c>
      <c r="AC34" s="181">
        <v>351</v>
      </c>
      <c r="AD34" s="181">
        <v>161</v>
      </c>
      <c r="AE34" s="181">
        <v>220</v>
      </c>
      <c r="AF34" s="138">
        <f>SUM(AB34:AE34)</f>
        <v>672</v>
      </c>
      <c r="AG34" s="181">
        <v>-117</v>
      </c>
      <c r="AH34" s="181">
        <v>-54</v>
      </c>
      <c r="AI34" s="181">
        <v>-173</v>
      </c>
      <c r="AJ34" s="181">
        <v>-195</v>
      </c>
      <c r="AK34" s="138">
        <f>SUM(AG34:AJ34)</f>
        <v>-539</v>
      </c>
      <c r="AL34" s="181">
        <v>-68</v>
      </c>
      <c r="AM34" s="181">
        <v>-2865</v>
      </c>
      <c r="AN34" s="181">
        <v>-601</v>
      </c>
      <c r="AO34" s="181">
        <v>-67</v>
      </c>
      <c r="AP34" s="138">
        <f t="shared" si="25"/>
        <v>-3601</v>
      </c>
      <c r="AQ34" s="181">
        <f t="shared" si="26"/>
        <v>6</v>
      </c>
      <c r="AR34" s="181">
        <f t="shared" si="26"/>
        <v>-185</v>
      </c>
      <c r="AS34" s="181">
        <f t="shared" si="27"/>
        <v>-104</v>
      </c>
      <c r="AT34" s="181">
        <f t="shared" si="27"/>
        <v>-430</v>
      </c>
      <c r="AU34" s="138">
        <f t="shared" si="28"/>
        <v>-713</v>
      </c>
      <c r="AV34" s="181">
        <f t="shared" si="29"/>
        <v>-217</v>
      </c>
      <c r="AW34" s="181">
        <f t="shared" si="29"/>
        <v>200</v>
      </c>
      <c r="AX34" s="181">
        <f t="shared" si="30"/>
        <v>-253</v>
      </c>
      <c r="AY34" s="181">
        <f t="shared" si="30"/>
        <v>-433</v>
      </c>
      <c r="AZ34" s="138">
        <f t="shared" si="31"/>
        <v>-703</v>
      </c>
      <c r="BA34" s="181">
        <f t="shared" si="32"/>
        <v>-75</v>
      </c>
      <c r="BB34" s="181">
        <f t="shared" si="32"/>
        <v>-239</v>
      </c>
      <c r="BC34" s="181">
        <f t="shared" si="32"/>
        <v>260</v>
      </c>
      <c r="BD34" s="181">
        <f t="shared" si="32"/>
        <v>-380</v>
      </c>
      <c r="BE34" s="138">
        <f t="shared" si="33"/>
        <v>-434</v>
      </c>
      <c r="BF34" s="181">
        <f t="shared" si="34"/>
        <v>67</v>
      </c>
      <c r="BG34" s="181">
        <f t="shared" si="34"/>
        <v>-108</v>
      </c>
      <c r="BH34" s="181">
        <f t="shared" ref="BH34:BI34" si="36">BH11-BH52</f>
        <v>-453</v>
      </c>
      <c r="BI34" s="181">
        <f t="shared" si="36"/>
        <v>22</v>
      </c>
      <c r="BJ34" s="138">
        <f t="shared" si="35"/>
        <v>-472</v>
      </c>
      <c r="BK34" s="181">
        <f t="shared" ref="BK34:BL34" si="37">BK11-BK52</f>
        <v>-36</v>
      </c>
      <c r="BL34" s="181">
        <f t="shared" si="37"/>
        <v>154</v>
      </c>
      <c r="BM34" s="181">
        <f t="shared" ref="BM34:BN34" si="38">BM11-BM52</f>
        <v>-163</v>
      </c>
      <c r="BN34" s="181">
        <f t="shared" si="38"/>
        <v>299</v>
      </c>
      <c r="BO34" s="138">
        <f>SUM(BK34:BN34)</f>
        <v>254</v>
      </c>
      <c r="BP34" s="209">
        <v>0</v>
      </c>
      <c r="BQ34" s="209">
        <v>0</v>
      </c>
      <c r="BR34" s="209">
        <v>0</v>
      </c>
      <c r="BS34" s="209">
        <v>0</v>
      </c>
      <c r="BT34" s="5">
        <f>SUM(BP34:BS34)</f>
        <v>0</v>
      </c>
      <c r="BU34" s="209">
        <v>0</v>
      </c>
      <c r="BV34" s="209">
        <v>0</v>
      </c>
      <c r="BW34" s="209">
        <v>0</v>
      </c>
      <c r="BX34" s="209">
        <v>0</v>
      </c>
      <c r="BY34" s="5">
        <f>SUM(BU34:BX34)</f>
        <v>0</v>
      </c>
      <c r="BZ34" s="209">
        <v>0</v>
      </c>
      <c r="CA34" s="209">
        <v>0</v>
      </c>
      <c r="CB34" s="209">
        <v>0</v>
      </c>
      <c r="CC34" s="209">
        <v>0</v>
      </c>
      <c r="CD34" s="5">
        <f>SUM(BZ34:CC34)</f>
        <v>0</v>
      </c>
    </row>
    <row r="35" spans="1:102" s="5" customFormat="1">
      <c r="A35" s="137" t="s">
        <v>145</v>
      </c>
      <c r="B35" s="137"/>
      <c r="C35" s="138"/>
      <c r="D35" s="138"/>
      <c r="E35" s="138"/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138"/>
      <c r="R35" s="138"/>
      <c r="S35" s="138"/>
      <c r="T35" s="138"/>
      <c r="U35" s="138"/>
      <c r="V35" s="138"/>
      <c r="W35" s="181">
        <v>0</v>
      </c>
      <c r="X35" s="181">
        <v>0</v>
      </c>
      <c r="Y35" s="181">
        <v>0</v>
      </c>
      <c r="Z35" s="181">
        <v>0</v>
      </c>
      <c r="AA35" s="138">
        <v>0</v>
      </c>
      <c r="AB35" s="181">
        <v>0</v>
      </c>
      <c r="AC35" s="181">
        <v>0</v>
      </c>
      <c r="AD35" s="181">
        <v>0</v>
      </c>
      <c r="AE35" s="181">
        <v>0</v>
      </c>
      <c r="AF35" s="138">
        <v>0</v>
      </c>
      <c r="AG35" s="181">
        <v>0</v>
      </c>
      <c r="AH35" s="181">
        <v>0</v>
      </c>
      <c r="AI35" s="181">
        <v>0</v>
      </c>
      <c r="AJ35" s="181">
        <v>0</v>
      </c>
      <c r="AK35" s="138">
        <v>0</v>
      </c>
      <c r="AL35" s="181">
        <v>-93</v>
      </c>
      <c r="AM35" s="181">
        <v>0</v>
      </c>
      <c r="AN35" s="181">
        <v>-12</v>
      </c>
      <c r="AO35" s="181">
        <v>351</v>
      </c>
      <c r="AP35" s="138">
        <f t="shared" si="25"/>
        <v>246</v>
      </c>
      <c r="AQ35" s="181">
        <f t="shared" si="26"/>
        <v>12500</v>
      </c>
      <c r="AR35" s="181">
        <f t="shared" si="26"/>
        <v>0</v>
      </c>
      <c r="AS35" s="181">
        <f t="shared" si="27"/>
        <v>-16</v>
      </c>
      <c r="AT35" s="181">
        <f t="shared" si="27"/>
        <v>-29</v>
      </c>
      <c r="AU35" s="138">
        <f t="shared" si="28"/>
        <v>12455</v>
      </c>
      <c r="AV35" s="181">
        <f t="shared" si="29"/>
        <v>247</v>
      </c>
      <c r="AW35" s="181">
        <f t="shared" si="29"/>
        <v>0</v>
      </c>
      <c r="AX35" s="181">
        <f t="shared" si="30"/>
        <v>-3</v>
      </c>
      <c r="AY35" s="181">
        <f t="shared" si="30"/>
        <v>-19</v>
      </c>
      <c r="AZ35" s="138">
        <f t="shared" si="31"/>
        <v>225</v>
      </c>
      <c r="BA35" s="181">
        <f t="shared" si="32"/>
        <v>0</v>
      </c>
      <c r="BB35" s="181">
        <f t="shared" si="32"/>
        <v>0</v>
      </c>
      <c r="BC35" s="181">
        <f t="shared" si="32"/>
        <v>0</v>
      </c>
      <c r="BD35" s="181">
        <f t="shared" si="32"/>
        <v>0</v>
      </c>
      <c r="BE35" s="138">
        <f t="shared" si="33"/>
        <v>0</v>
      </c>
      <c r="BF35" s="181">
        <f t="shared" si="34"/>
        <v>0</v>
      </c>
      <c r="BG35" s="181">
        <f t="shared" si="34"/>
        <v>0</v>
      </c>
      <c r="BH35" s="181">
        <f t="shared" ref="BH35:BI35" si="39">BH12-BH53</f>
        <v>0</v>
      </c>
      <c r="BI35" s="181">
        <f t="shared" si="39"/>
        <v>23</v>
      </c>
      <c r="BJ35" s="138">
        <f t="shared" si="35"/>
        <v>23</v>
      </c>
      <c r="BK35" s="181">
        <f t="shared" ref="BK35:BL35" si="40">BK12-BK53</f>
        <v>0</v>
      </c>
      <c r="BL35" s="181">
        <f t="shared" si="40"/>
        <v>0</v>
      </c>
      <c r="BM35" s="181">
        <f t="shared" ref="BM35" si="41">BM12-BM53</f>
        <v>0</v>
      </c>
      <c r="BN35" s="181"/>
      <c r="BO35" s="138"/>
      <c r="BP35" s="209"/>
      <c r="BQ35" s="209"/>
      <c r="BR35" s="209"/>
      <c r="BS35" s="209"/>
      <c r="BU35" s="209"/>
      <c r="BV35" s="209"/>
      <c r="BW35" s="209"/>
      <c r="BX35" s="209"/>
      <c r="BZ35" s="209"/>
      <c r="CA35" s="209"/>
      <c r="CB35" s="209"/>
      <c r="CC35" s="209"/>
    </row>
    <row r="36" spans="1:102" s="5" customFormat="1">
      <c r="A36" s="137" t="s">
        <v>2702</v>
      </c>
      <c r="B36" s="137"/>
      <c r="C36" s="138"/>
      <c r="D36" s="138"/>
      <c r="E36" s="138">
        <v>484</v>
      </c>
      <c r="F36" s="138">
        <v>849</v>
      </c>
      <c r="G36" s="138">
        <v>-308</v>
      </c>
      <c r="H36" s="181">
        <v>10</v>
      </c>
      <c r="I36" s="181">
        <v>26</v>
      </c>
      <c r="J36" s="181">
        <v>80</v>
      </c>
      <c r="K36" s="181">
        <v>-188</v>
      </c>
      <c r="L36" s="138">
        <f t="shared" si="24"/>
        <v>-72</v>
      </c>
      <c r="M36" s="181">
        <v>34</v>
      </c>
      <c r="N36" s="181">
        <v>-8</v>
      </c>
      <c r="O36" s="181">
        <v>-201</v>
      </c>
      <c r="P36" s="181">
        <v>-87</v>
      </c>
      <c r="Q36" s="138">
        <f>SUM(M36:P36)</f>
        <v>-262</v>
      </c>
      <c r="R36" s="181">
        <v>-81</v>
      </c>
      <c r="S36" s="181">
        <v>-123</v>
      </c>
      <c r="T36" s="181">
        <v>-128</v>
      </c>
      <c r="U36" s="181">
        <v>-301</v>
      </c>
      <c r="V36" s="138">
        <f>SUM(R36:U36)</f>
        <v>-633</v>
      </c>
      <c r="W36" s="181">
        <v>-321</v>
      </c>
      <c r="X36" s="181">
        <v>-39</v>
      </c>
      <c r="Y36" s="181">
        <v>-64</v>
      </c>
      <c r="Z36" s="181">
        <v>-65</v>
      </c>
      <c r="AA36" s="138">
        <f>SUM(W36:Z36)</f>
        <v>-489</v>
      </c>
      <c r="AB36" s="181">
        <v>-118</v>
      </c>
      <c r="AC36" s="181">
        <v>71</v>
      </c>
      <c r="AD36" s="181">
        <v>-86</v>
      </c>
      <c r="AE36" s="181">
        <v>-67</v>
      </c>
      <c r="AF36" s="138">
        <f>SUM(AB36:AE36)</f>
        <v>-200</v>
      </c>
      <c r="AG36" s="181">
        <v>-181</v>
      </c>
      <c r="AH36" s="181">
        <v>-263</v>
      </c>
      <c r="AI36" s="181">
        <v>76</v>
      </c>
      <c r="AJ36" s="181">
        <v>-454</v>
      </c>
      <c r="AK36" s="138">
        <f>SUM(AG36:AJ36)</f>
        <v>-822</v>
      </c>
      <c r="AL36" s="181">
        <v>-236</v>
      </c>
      <c r="AM36" s="181">
        <v>18</v>
      </c>
      <c r="AN36" s="181">
        <v>-523</v>
      </c>
      <c r="AO36" s="181">
        <v>-57</v>
      </c>
      <c r="AP36" s="138">
        <f t="shared" si="25"/>
        <v>-798</v>
      </c>
      <c r="AQ36" s="181">
        <f t="shared" si="26"/>
        <v>-6</v>
      </c>
      <c r="AR36" s="181">
        <f t="shared" si="26"/>
        <v>-135</v>
      </c>
      <c r="AS36" s="181">
        <f t="shared" si="27"/>
        <v>-289</v>
      </c>
      <c r="AT36" s="181">
        <f t="shared" si="27"/>
        <v>9</v>
      </c>
      <c r="AU36" s="138">
        <f t="shared" si="28"/>
        <v>-421</v>
      </c>
      <c r="AV36" s="181">
        <f t="shared" si="29"/>
        <v>-8</v>
      </c>
      <c r="AW36" s="181">
        <f t="shared" si="29"/>
        <v>4</v>
      </c>
      <c r="AX36" s="181">
        <f t="shared" si="30"/>
        <v>-139</v>
      </c>
      <c r="AY36" s="181">
        <f t="shared" si="30"/>
        <v>-527</v>
      </c>
      <c r="AZ36" s="138">
        <f t="shared" si="31"/>
        <v>-670</v>
      </c>
      <c r="BA36" s="181">
        <f t="shared" si="32"/>
        <v>-18</v>
      </c>
      <c r="BB36" s="181">
        <f t="shared" si="32"/>
        <v>-54</v>
      </c>
      <c r="BC36" s="181">
        <f t="shared" si="32"/>
        <v>-147</v>
      </c>
      <c r="BD36" s="181">
        <f t="shared" si="32"/>
        <v>-328</v>
      </c>
      <c r="BE36" s="138">
        <f t="shared" si="33"/>
        <v>-547</v>
      </c>
      <c r="BF36" s="181">
        <f t="shared" si="34"/>
        <v>-102</v>
      </c>
      <c r="BG36" s="181">
        <f t="shared" si="34"/>
        <v>-43</v>
      </c>
      <c r="BH36" s="181">
        <f t="shared" ref="BH36:BI36" si="42">BH13-BH54</f>
        <v>-115</v>
      </c>
      <c r="BI36" s="181">
        <f t="shared" si="42"/>
        <v>-19</v>
      </c>
      <c r="BJ36" s="138">
        <f t="shared" si="35"/>
        <v>-279</v>
      </c>
      <c r="BK36" s="181">
        <f t="shared" ref="BK36:BL36" si="43">BK13-BK54</f>
        <v>405</v>
      </c>
      <c r="BL36" s="181">
        <f t="shared" si="43"/>
        <v>-8</v>
      </c>
      <c r="BM36" s="181">
        <f t="shared" ref="BM36" si="44">BM13-BM54</f>
        <v>22</v>
      </c>
      <c r="BN36" s="181">
        <v>-218</v>
      </c>
      <c r="BO36" s="138">
        <f>SUM(BK36:BN36)</f>
        <v>201</v>
      </c>
      <c r="BP36" s="209">
        <v>0</v>
      </c>
      <c r="BQ36" s="209">
        <v>0</v>
      </c>
      <c r="BR36" s="209">
        <v>0</v>
      </c>
      <c r="BS36" s="209">
        <v>0</v>
      </c>
      <c r="BT36" s="5">
        <f>SUM(BP36:BS36)</f>
        <v>0</v>
      </c>
      <c r="BU36" s="209">
        <v>0</v>
      </c>
      <c r="BV36" s="209">
        <v>0</v>
      </c>
      <c r="BW36" s="209">
        <v>0</v>
      </c>
      <c r="BX36" s="209">
        <v>0</v>
      </c>
      <c r="BY36" s="5">
        <f>SUM(BU36:BX36)</f>
        <v>0</v>
      </c>
      <c r="BZ36" s="209">
        <v>0</v>
      </c>
      <c r="CA36" s="209">
        <v>0</v>
      </c>
      <c r="CB36" s="209">
        <v>0</v>
      </c>
      <c r="CC36" s="209">
        <v>0</v>
      </c>
      <c r="CD36" s="5">
        <f>SUM(BZ36:CC36)</f>
        <v>0</v>
      </c>
    </row>
    <row r="37" spans="1:102" s="5" customFormat="1">
      <c r="A37" s="137" t="s">
        <v>2703</v>
      </c>
      <c r="B37" s="137"/>
      <c r="C37" s="138"/>
      <c r="D37" s="138"/>
      <c r="E37" s="138">
        <v>0</v>
      </c>
      <c r="F37" s="138">
        <v>0</v>
      </c>
      <c r="G37" s="138">
        <v>0</v>
      </c>
      <c r="H37" s="181">
        <v>0</v>
      </c>
      <c r="I37" s="181">
        <v>0</v>
      </c>
      <c r="J37" s="181">
        <v>0</v>
      </c>
      <c r="K37" s="181">
        <v>0</v>
      </c>
      <c r="L37" s="138">
        <f t="shared" si="24"/>
        <v>0</v>
      </c>
      <c r="M37" s="181">
        <v>0</v>
      </c>
      <c r="N37" s="181">
        <v>0</v>
      </c>
      <c r="O37" s="181">
        <v>0</v>
      </c>
      <c r="P37" s="181">
        <v>0</v>
      </c>
      <c r="Q37" s="138">
        <f>SUM(M37:P37)</f>
        <v>0</v>
      </c>
      <c r="R37" s="181">
        <v>0</v>
      </c>
      <c r="S37" s="181">
        <v>0</v>
      </c>
      <c r="T37" s="181">
        <v>0</v>
      </c>
      <c r="U37" s="181">
        <v>0</v>
      </c>
      <c r="V37" s="138">
        <f>SUM(R37:U37)</f>
        <v>0</v>
      </c>
      <c r="W37" s="181">
        <v>0</v>
      </c>
      <c r="X37" s="181">
        <v>0</v>
      </c>
      <c r="Y37" s="181">
        <v>0</v>
      </c>
      <c r="Z37" s="181">
        <v>0</v>
      </c>
      <c r="AA37" s="138">
        <f>SUM(W37:Z37)</f>
        <v>0</v>
      </c>
      <c r="AB37" s="181">
        <v>0</v>
      </c>
      <c r="AC37" s="181">
        <v>-32192</v>
      </c>
      <c r="AD37" s="181">
        <v>-7656</v>
      </c>
      <c r="AE37" s="181">
        <v>-1010</v>
      </c>
      <c r="AF37" s="138">
        <f>SUM(AB37:AE37)</f>
        <v>-40858</v>
      </c>
      <c r="AG37" s="181">
        <v>-384</v>
      </c>
      <c r="AH37" s="181">
        <v>617</v>
      </c>
      <c r="AI37" s="181">
        <v>-541</v>
      </c>
      <c r="AJ37" s="181">
        <v>4108</v>
      </c>
      <c r="AK37" s="138">
        <f>SUM(AG37:AJ37)</f>
        <v>3800</v>
      </c>
      <c r="AL37" s="181">
        <v>30</v>
      </c>
      <c r="AM37" s="181">
        <v>-843</v>
      </c>
      <c r="AN37" s="181">
        <v>-56</v>
      </c>
      <c r="AO37" s="181">
        <v>-4126</v>
      </c>
      <c r="AP37" s="138">
        <f t="shared" si="25"/>
        <v>-4995</v>
      </c>
      <c r="AQ37" s="181">
        <f t="shared" si="26"/>
        <v>-22</v>
      </c>
      <c r="AR37" s="181">
        <f t="shared" si="26"/>
        <v>-199</v>
      </c>
      <c r="AS37" s="181">
        <f t="shared" si="27"/>
        <v>-30</v>
      </c>
      <c r="AT37" s="181">
        <f t="shared" si="27"/>
        <v>-179</v>
      </c>
      <c r="AU37" s="138">
        <f t="shared" si="28"/>
        <v>-430</v>
      </c>
      <c r="AV37" s="181">
        <f t="shared" si="29"/>
        <v>-29</v>
      </c>
      <c r="AW37" s="181">
        <f t="shared" si="29"/>
        <v>-251</v>
      </c>
      <c r="AX37" s="181">
        <f t="shared" si="30"/>
        <v>-33</v>
      </c>
      <c r="AY37" s="181">
        <f t="shared" si="30"/>
        <v>-468</v>
      </c>
      <c r="AZ37" s="138">
        <f t="shared" si="31"/>
        <v>-781</v>
      </c>
      <c r="BA37" s="181">
        <f t="shared" si="32"/>
        <v>-323</v>
      </c>
      <c r="BB37" s="181">
        <f t="shared" si="32"/>
        <v>-10747</v>
      </c>
      <c r="BC37" s="181">
        <f t="shared" si="32"/>
        <v>-311</v>
      </c>
      <c r="BD37" s="181">
        <f t="shared" si="32"/>
        <v>-328</v>
      </c>
      <c r="BE37" s="138">
        <f t="shared" si="33"/>
        <v>-11709</v>
      </c>
      <c r="BF37" s="181">
        <f t="shared" ca="1" si="34"/>
        <v>-794</v>
      </c>
      <c r="BG37" s="181">
        <f ca="1">BG14-BG55</f>
        <v>-5106</v>
      </c>
      <c r="BH37" s="181">
        <f>BH14-BH55</f>
        <v>-66</v>
      </c>
      <c r="BI37" s="181">
        <f>BI14-BI55</f>
        <v>-674</v>
      </c>
      <c r="BJ37" s="138">
        <f t="shared" ca="1" si="35"/>
        <v>-6640</v>
      </c>
      <c r="BK37" s="181">
        <f>BK14-BK55</f>
        <v>-396</v>
      </c>
      <c r="BL37" s="181">
        <f>BL14-BL55</f>
        <v>-347</v>
      </c>
      <c r="BM37" s="181">
        <f>BM14-BM55</f>
        <v>-84</v>
      </c>
      <c r="BN37" s="181">
        <v>-2221</v>
      </c>
      <c r="BO37" s="138">
        <f>SUM(BK37:BN37)</f>
        <v>-3048</v>
      </c>
      <c r="BP37" s="12">
        <f>'GoM oil spill'!BP10</f>
        <v>0</v>
      </c>
      <c r="BQ37" s="12">
        <f>'GoM oil spill'!BQ10</f>
        <v>0</v>
      </c>
      <c r="BR37" s="12">
        <f>'GoM oil spill'!BR10</f>
        <v>0</v>
      </c>
      <c r="BS37" s="12">
        <f>'GoM oil spill'!BS10</f>
        <v>0</v>
      </c>
      <c r="BT37" s="5">
        <f>SUM(BP37:BS37)</f>
        <v>0</v>
      </c>
      <c r="BU37" s="12">
        <f>'GoM oil spill'!BU10</f>
        <v>0</v>
      </c>
      <c r="BV37" s="12">
        <f>'GoM oil spill'!BV10</f>
        <v>0</v>
      </c>
      <c r="BW37" s="12">
        <f>'GoM oil spill'!BW10</f>
        <v>0</v>
      </c>
      <c r="BX37" s="12">
        <f>'GoM oil spill'!BX10</f>
        <v>0</v>
      </c>
      <c r="BY37" s="5">
        <f>SUM(BU37:BX37)</f>
        <v>0</v>
      </c>
      <c r="BZ37" s="12">
        <f>'GoM oil spill'!BZ10</f>
        <v>0</v>
      </c>
      <c r="CA37" s="12">
        <f>'GoM oil spill'!CA10</f>
        <v>0</v>
      </c>
      <c r="CB37" s="12">
        <f>'GoM oil spill'!CB10</f>
        <v>0</v>
      </c>
      <c r="CC37" s="12">
        <f>'GoM oil spill'!CC10</f>
        <v>0</v>
      </c>
      <c r="CD37" s="5">
        <f>SUM(BZ37:CC37)</f>
        <v>0</v>
      </c>
    </row>
    <row r="38" spans="1:102" s="5" customFormat="1">
      <c r="A38" s="137" t="s">
        <v>2704</v>
      </c>
      <c r="B38" s="137"/>
      <c r="C38" s="138"/>
      <c r="D38" s="138"/>
      <c r="E38" s="138">
        <v>0</v>
      </c>
      <c r="F38" s="138">
        <v>0</v>
      </c>
      <c r="G38" s="138">
        <v>0</v>
      </c>
      <c r="H38" s="181">
        <v>0</v>
      </c>
      <c r="I38" s="181">
        <v>0</v>
      </c>
      <c r="J38" s="181">
        <v>0</v>
      </c>
      <c r="K38" s="181">
        <v>0</v>
      </c>
      <c r="L38" s="138">
        <f t="shared" si="24"/>
        <v>0</v>
      </c>
      <c r="M38" s="181">
        <v>0</v>
      </c>
      <c r="N38" s="181">
        <v>0</v>
      </c>
      <c r="O38" s="181">
        <v>0</v>
      </c>
      <c r="P38" s="181">
        <v>0</v>
      </c>
      <c r="Q38" s="138">
        <f>SUM(M38:P38)</f>
        <v>0</v>
      </c>
      <c r="R38" s="181">
        <v>0</v>
      </c>
      <c r="S38" s="181">
        <v>0</v>
      </c>
      <c r="T38" s="181">
        <v>0</v>
      </c>
      <c r="U38" s="181">
        <v>0</v>
      </c>
      <c r="V38" s="138">
        <f>SUM(R38:U38)</f>
        <v>0</v>
      </c>
      <c r="W38" s="181">
        <v>0</v>
      </c>
      <c r="X38" s="181">
        <v>0</v>
      </c>
      <c r="Y38" s="181">
        <v>0</v>
      </c>
      <c r="Z38" s="181">
        <v>0</v>
      </c>
      <c r="AA38" s="138">
        <f>SUM(W38:Z38)</f>
        <v>0</v>
      </c>
      <c r="AB38" s="181">
        <v>0</v>
      </c>
      <c r="AC38" s="181">
        <v>0</v>
      </c>
      <c r="AD38" s="181">
        <v>0</v>
      </c>
      <c r="AE38" s="181">
        <v>0</v>
      </c>
      <c r="AF38" s="138">
        <f>SUM(AB38:AE38)</f>
        <v>0</v>
      </c>
      <c r="AG38" s="181">
        <v>0</v>
      </c>
      <c r="AH38" s="181">
        <v>0</v>
      </c>
      <c r="AI38" s="181">
        <v>0</v>
      </c>
      <c r="AJ38" s="181">
        <v>0</v>
      </c>
      <c r="AK38" s="138">
        <f>SUM(AG38:AJ38)</f>
        <v>0</v>
      </c>
      <c r="AL38" s="181">
        <v>0</v>
      </c>
      <c r="AM38" s="181">
        <v>0</v>
      </c>
      <c r="AN38" s="181">
        <v>0</v>
      </c>
      <c r="AO38" s="181">
        <v>0</v>
      </c>
      <c r="AP38" s="138">
        <f t="shared" si="25"/>
        <v>0</v>
      </c>
      <c r="AQ38" s="181">
        <f t="shared" si="26"/>
        <v>0</v>
      </c>
      <c r="AR38" s="181">
        <f t="shared" si="26"/>
        <v>0</v>
      </c>
      <c r="AS38" s="181">
        <f t="shared" si="27"/>
        <v>0</v>
      </c>
      <c r="AT38" s="181">
        <f t="shared" si="27"/>
        <v>0</v>
      </c>
      <c r="AU38" s="138">
        <f t="shared" si="28"/>
        <v>0</v>
      </c>
      <c r="AV38" s="181">
        <f t="shared" si="29"/>
        <v>0</v>
      </c>
      <c r="AW38" s="181">
        <f t="shared" si="29"/>
        <v>0</v>
      </c>
      <c r="AX38" s="181">
        <f t="shared" si="30"/>
        <v>0</v>
      </c>
      <c r="AY38" s="181">
        <f t="shared" si="30"/>
        <v>0</v>
      </c>
      <c r="AZ38" s="138">
        <f t="shared" si="31"/>
        <v>0</v>
      </c>
      <c r="BA38" s="181">
        <f t="shared" si="32"/>
        <v>0</v>
      </c>
      <c r="BB38" s="181">
        <f t="shared" si="32"/>
        <v>0</v>
      </c>
      <c r="BC38" s="181">
        <f t="shared" si="32"/>
        <v>0</v>
      </c>
      <c r="BD38" s="181">
        <f t="shared" si="32"/>
        <v>0</v>
      </c>
      <c r="BE38" s="138">
        <f t="shared" si="33"/>
        <v>0</v>
      </c>
      <c r="BF38" s="181">
        <f t="shared" si="34"/>
        <v>0</v>
      </c>
      <c r="BG38" s="181">
        <f t="shared" si="34"/>
        <v>0</v>
      </c>
      <c r="BH38" s="181">
        <f t="shared" ref="BH38:BI38" si="45">BH15-BH56</f>
        <v>0</v>
      </c>
      <c r="BI38" s="181">
        <f t="shared" si="45"/>
        <v>0</v>
      </c>
      <c r="BJ38" s="138">
        <f t="shared" si="35"/>
        <v>0</v>
      </c>
      <c r="BK38" s="181">
        <f t="shared" ref="BK38:BL38" si="46">BK15-BK56</f>
        <v>0</v>
      </c>
      <c r="BL38" s="181">
        <f t="shared" si="46"/>
        <v>0</v>
      </c>
      <c r="BM38" s="181">
        <f t="shared" ref="BM38" si="47">BM15-BM56</f>
        <v>0</v>
      </c>
      <c r="BN38" s="181">
        <v>0</v>
      </c>
      <c r="BO38" s="138">
        <f>SUM(BK38:BN38)</f>
        <v>0</v>
      </c>
      <c r="BP38" s="12">
        <v>0</v>
      </c>
      <c r="BQ38" s="12">
        <v>0</v>
      </c>
      <c r="BR38" s="12">
        <v>0</v>
      </c>
      <c r="BS38" s="12">
        <v>0</v>
      </c>
      <c r="BT38" s="5">
        <f>SUM(BP38:BS38)</f>
        <v>0</v>
      </c>
      <c r="BU38" s="12">
        <v>0</v>
      </c>
      <c r="BV38" s="12">
        <v>0</v>
      </c>
      <c r="BW38" s="12">
        <v>0</v>
      </c>
      <c r="BX38" s="12">
        <v>0</v>
      </c>
      <c r="BY38" s="5">
        <f>SUM(BU38:BX38)</f>
        <v>0</v>
      </c>
      <c r="BZ38" s="12">
        <v>0</v>
      </c>
      <c r="CA38" s="12">
        <v>0</v>
      </c>
      <c r="CB38" s="12">
        <v>0</v>
      </c>
      <c r="CC38" s="12">
        <v>0</v>
      </c>
      <c r="CD38" s="5">
        <f>SUM(BZ38:CC38)</f>
        <v>0</v>
      </c>
    </row>
    <row r="39" spans="1:102" s="5" customFormat="1">
      <c r="A39" s="137" t="s">
        <v>799</v>
      </c>
      <c r="B39" s="137"/>
      <c r="C39" s="138"/>
      <c r="D39" s="138"/>
      <c r="E39" s="138">
        <v>0</v>
      </c>
      <c r="F39" s="138">
        <v>-1119</v>
      </c>
      <c r="G39" s="138">
        <v>-647</v>
      </c>
      <c r="H39" s="181">
        <v>-96</v>
      </c>
      <c r="I39" s="181">
        <v>-88</v>
      </c>
      <c r="J39" s="181"/>
      <c r="K39" s="181"/>
      <c r="L39" s="138">
        <f t="shared" si="24"/>
        <v>-184</v>
      </c>
      <c r="M39" s="181"/>
      <c r="N39" s="181"/>
      <c r="O39" s="181"/>
      <c r="P39" s="181"/>
      <c r="Q39" s="138"/>
      <c r="R39" s="181"/>
      <c r="S39" s="181"/>
      <c r="T39" s="181"/>
      <c r="U39" s="181"/>
      <c r="V39" s="138"/>
      <c r="W39" s="181"/>
      <c r="X39" s="181"/>
      <c r="Y39" s="181"/>
      <c r="Z39" s="181"/>
      <c r="AA39" s="138"/>
      <c r="AB39" s="181"/>
      <c r="AC39" s="181"/>
      <c r="AD39" s="181"/>
      <c r="AE39" s="181"/>
      <c r="AF39" s="138"/>
      <c r="AG39" s="181"/>
      <c r="AH39" s="181"/>
      <c r="AI39" s="181"/>
      <c r="AJ39" s="181"/>
      <c r="AK39" s="138"/>
      <c r="AL39" s="181"/>
      <c r="AM39" s="181"/>
      <c r="AN39" s="181"/>
      <c r="AO39" s="181"/>
      <c r="AP39" s="138"/>
      <c r="AQ39" s="181"/>
      <c r="AR39" s="181"/>
      <c r="AS39" s="181"/>
      <c r="AT39" s="181"/>
      <c r="AU39" s="138"/>
      <c r="AV39" s="181"/>
      <c r="AW39" s="181"/>
      <c r="AX39" s="181"/>
      <c r="AY39" s="181"/>
      <c r="AZ39" s="138"/>
      <c r="BA39" s="181"/>
      <c r="BB39" s="181"/>
      <c r="BC39" s="181"/>
      <c r="BD39" s="181"/>
      <c r="BE39" s="138"/>
      <c r="BF39" s="181"/>
      <c r="BG39" s="181"/>
      <c r="BH39" s="181"/>
      <c r="BI39" s="181"/>
      <c r="BJ39" s="138"/>
      <c r="BK39" s="181"/>
      <c r="BL39" s="181"/>
      <c r="BM39" s="181"/>
      <c r="BN39" s="181"/>
      <c r="BO39" s="138"/>
      <c r="BP39" s="72"/>
      <c r="BQ39" s="72"/>
      <c r="BR39" s="72"/>
      <c r="BS39" s="72"/>
      <c r="BT39" s="72"/>
      <c r="BU39" s="72"/>
      <c r="BV39" s="72"/>
      <c r="BW39" s="72"/>
      <c r="BX39" s="72"/>
      <c r="BY39" s="72"/>
      <c r="BZ39" s="72"/>
      <c r="CA39" s="72"/>
      <c r="CB39" s="72"/>
      <c r="CC39" s="72"/>
      <c r="CD39" s="72"/>
    </row>
    <row r="40" spans="1:102" s="8" customFormat="1">
      <c r="A40" s="244" t="s">
        <v>2544</v>
      </c>
      <c r="B40" s="244"/>
      <c r="C40" s="174"/>
      <c r="D40" s="174"/>
      <c r="E40" s="174">
        <f>SUM(E33:E39)</f>
        <v>-328</v>
      </c>
      <c r="F40" s="174">
        <f>SUM(F33:F39)</f>
        <v>-1408</v>
      </c>
      <c r="G40" s="174">
        <f>SUM(G33:G39)</f>
        <v>-2838</v>
      </c>
      <c r="H40" s="177">
        <f t="shared" ref="H40:BS40" si="48">SUM(H33:H39)</f>
        <v>36</v>
      </c>
      <c r="I40" s="177">
        <f t="shared" si="48"/>
        <v>59</v>
      </c>
      <c r="J40" s="177">
        <f t="shared" si="48"/>
        <v>2028</v>
      </c>
      <c r="K40" s="177">
        <f t="shared" si="48"/>
        <v>-203</v>
      </c>
      <c r="L40" s="174">
        <f t="shared" si="48"/>
        <v>1920</v>
      </c>
      <c r="M40" s="177">
        <f t="shared" si="48"/>
        <v>54</v>
      </c>
      <c r="N40" s="177">
        <f t="shared" si="48"/>
        <v>1400</v>
      </c>
      <c r="O40" s="177">
        <f t="shared" si="48"/>
        <v>-664</v>
      </c>
      <c r="P40" s="177">
        <f t="shared" si="48"/>
        <v>-1822</v>
      </c>
      <c r="Q40" s="174">
        <f t="shared" si="48"/>
        <v>-1032</v>
      </c>
      <c r="R40" s="177">
        <f t="shared" si="48"/>
        <v>-6</v>
      </c>
      <c r="S40" s="177">
        <f t="shared" si="48"/>
        <v>-2732</v>
      </c>
      <c r="T40" s="177">
        <f t="shared" si="48"/>
        <v>1723</v>
      </c>
      <c r="U40" s="177">
        <f t="shared" si="48"/>
        <v>-32</v>
      </c>
      <c r="V40" s="174">
        <f t="shared" si="48"/>
        <v>-1047</v>
      </c>
      <c r="W40" s="177">
        <f t="shared" si="48"/>
        <v>-311</v>
      </c>
      <c r="X40" s="177">
        <f t="shared" si="48"/>
        <v>311</v>
      </c>
      <c r="Y40" s="177">
        <f t="shared" si="48"/>
        <v>432</v>
      </c>
      <c r="Z40" s="177">
        <f t="shared" si="48"/>
        <v>-601</v>
      </c>
      <c r="AA40" s="174">
        <f t="shared" si="48"/>
        <v>-169</v>
      </c>
      <c r="AB40" s="177">
        <f t="shared" si="48"/>
        <v>-74</v>
      </c>
      <c r="AC40" s="177">
        <f t="shared" si="48"/>
        <v>-31831</v>
      </c>
      <c r="AD40" s="177">
        <f t="shared" si="48"/>
        <v>-5772</v>
      </c>
      <c r="AE40" s="177">
        <f t="shared" si="48"/>
        <v>487</v>
      </c>
      <c r="AF40" s="174">
        <f t="shared" si="48"/>
        <v>-37190</v>
      </c>
      <c r="AG40" s="178">
        <f t="shared" si="48"/>
        <v>57</v>
      </c>
      <c r="AH40" s="178">
        <f t="shared" si="48"/>
        <v>-399</v>
      </c>
      <c r="AI40" s="178">
        <f t="shared" si="48"/>
        <v>-177</v>
      </c>
      <c r="AJ40" s="178">
        <f t="shared" si="48"/>
        <v>4099</v>
      </c>
      <c r="AK40" s="174">
        <f t="shared" si="48"/>
        <v>3580</v>
      </c>
      <c r="AL40" s="178">
        <f t="shared" si="48"/>
        <v>322</v>
      </c>
      <c r="AM40" s="178">
        <f t="shared" si="48"/>
        <v>-5178</v>
      </c>
      <c r="AN40" s="178">
        <f t="shared" si="48"/>
        <v>-651</v>
      </c>
      <c r="AO40" s="178">
        <f t="shared" si="48"/>
        <v>-586</v>
      </c>
      <c r="AP40" s="174">
        <f t="shared" si="48"/>
        <v>-6093</v>
      </c>
      <c r="AQ40" s="178">
        <f t="shared" si="48"/>
        <v>12338</v>
      </c>
      <c r="AR40" s="178">
        <f t="shared" si="48"/>
        <v>-407</v>
      </c>
      <c r="AS40" s="178">
        <f t="shared" si="48"/>
        <v>-704</v>
      </c>
      <c r="AT40" s="178">
        <f t="shared" si="48"/>
        <v>-1944</v>
      </c>
      <c r="AU40" s="174">
        <f t="shared" si="48"/>
        <v>9283</v>
      </c>
      <c r="AV40" s="178">
        <f t="shared" si="48"/>
        <v>251</v>
      </c>
      <c r="AW40" s="178">
        <f>SUM(AW33:AW39)</f>
        <v>-653</v>
      </c>
      <c r="AX40" s="178">
        <f>SUM(AX33:AX39)</f>
        <v>-1016</v>
      </c>
      <c r="AY40" s="178">
        <f>SUM(AY33:AY39)</f>
        <v>-6778</v>
      </c>
      <c r="AZ40" s="174">
        <f t="shared" si="48"/>
        <v>-8196</v>
      </c>
      <c r="BA40" s="178">
        <f t="shared" ref="BA40:BF40" si="49">SUM(BA33:BA39)</f>
        <v>-648</v>
      </c>
      <c r="BB40" s="178">
        <f t="shared" si="49"/>
        <v>-11306</v>
      </c>
      <c r="BC40" s="178">
        <f t="shared" si="49"/>
        <v>-278</v>
      </c>
      <c r="BD40" s="178">
        <f t="shared" si="49"/>
        <v>-2588</v>
      </c>
      <c r="BE40" s="174">
        <f t="shared" si="49"/>
        <v>-14820</v>
      </c>
      <c r="BF40" s="178">
        <f t="shared" ca="1" si="49"/>
        <v>-1287</v>
      </c>
      <c r="BG40" s="178">
        <f t="shared" ref="BG40:BH40" ca="1" si="50">SUM(BG33:BG39)</f>
        <v>-5395</v>
      </c>
      <c r="BH40" s="178">
        <f t="shared" si="50"/>
        <v>786</v>
      </c>
      <c r="BI40" s="178">
        <f t="shared" ref="BI40:BK40" si="51">SUM(BI33:BI39)</f>
        <v>-356</v>
      </c>
      <c r="BJ40" s="174">
        <f t="shared" ca="1" si="48"/>
        <v>-6252</v>
      </c>
      <c r="BK40" s="178">
        <f t="shared" si="51"/>
        <v>-141</v>
      </c>
      <c r="BL40" s="178">
        <f t="shared" ref="BL40:BM40" si="52">SUM(BL33:BL39)</f>
        <v>-116</v>
      </c>
      <c r="BM40" s="178">
        <f t="shared" si="52"/>
        <v>-545</v>
      </c>
      <c r="BN40" s="178">
        <f t="shared" si="48"/>
        <v>-2435</v>
      </c>
      <c r="BO40" s="174">
        <f t="shared" si="48"/>
        <v>-3237</v>
      </c>
      <c r="BP40" s="67">
        <f t="shared" si="48"/>
        <v>0</v>
      </c>
      <c r="BQ40" s="67">
        <f t="shared" si="48"/>
        <v>0</v>
      </c>
      <c r="BR40" s="67">
        <f t="shared" si="48"/>
        <v>0</v>
      </c>
      <c r="BS40" s="67">
        <f t="shared" si="48"/>
        <v>0</v>
      </c>
      <c r="BT40" s="15">
        <f t="shared" ref="BT40:CD40" si="53">SUM(BT33:BT39)</f>
        <v>0</v>
      </c>
      <c r="BU40" s="67">
        <f t="shared" si="53"/>
        <v>0</v>
      </c>
      <c r="BV40" s="67">
        <f t="shared" si="53"/>
        <v>0</v>
      </c>
      <c r="BW40" s="67">
        <f t="shared" si="53"/>
        <v>0</v>
      </c>
      <c r="BX40" s="67">
        <f t="shared" si="53"/>
        <v>0</v>
      </c>
      <c r="BY40" s="15">
        <f t="shared" si="53"/>
        <v>0</v>
      </c>
      <c r="BZ40" s="67">
        <f t="shared" si="53"/>
        <v>0</v>
      </c>
      <c r="CA40" s="67">
        <f t="shared" si="53"/>
        <v>0</v>
      </c>
      <c r="CB40" s="67">
        <f t="shared" si="53"/>
        <v>0</v>
      </c>
      <c r="CC40" s="67">
        <f t="shared" si="53"/>
        <v>0</v>
      </c>
      <c r="CD40" s="15">
        <f t="shared" si="53"/>
        <v>0</v>
      </c>
    </row>
    <row r="41" spans="1:102" s="8" customFormat="1">
      <c r="A41" s="148"/>
      <c r="B41" s="148"/>
      <c r="C41" s="179"/>
      <c r="D41" s="179"/>
      <c r="E41" s="179"/>
      <c r="F41" s="179"/>
      <c r="G41" s="179"/>
      <c r="H41" s="180"/>
      <c r="I41" s="180"/>
      <c r="J41" s="180"/>
      <c r="K41" s="180"/>
      <c r="L41" s="179"/>
      <c r="M41" s="180"/>
      <c r="N41" s="180"/>
      <c r="O41" s="180"/>
      <c r="P41" s="180"/>
      <c r="Q41" s="179"/>
      <c r="R41" s="180"/>
      <c r="S41" s="180"/>
      <c r="T41" s="180"/>
      <c r="U41" s="180"/>
      <c r="V41" s="179"/>
      <c r="W41" s="592"/>
      <c r="X41" s="592"/>
      <c r="Y41" s="592"/>
      <c r="Z41" s="592"/>
      <c r="AA41" s="592"/>
      <c r="AB41" s="592"/>
      <c r="AC41" s="592"/>
      <c r="AD41" s="592"/>
      <c r="AE41" s="592"/>
      <c r="AF41" s="592"/>
      <c r="AG41" s="592"/>
      <c r="AH41" s="592"/>
      <c r="AI41" s="592"/>
      <c r="AJ41" s="592"/>
      <c r="AK41" s="592"/>
      <c r="AL41" s="592"/>
      <c r="AM41" s="592"/>
      <c r="AN41" s="592"/>
      <c r="AO41" s="592"/>
      <c r="AP41" s="592"/>
      <c r="AQ41" s="592"/>
      <c r="AR41" s="592"/>
      <c r="AS41" s="592"/>
      <c r="AT41" s="592"/>
      <c r="AU41" s="179"/>
      <c r="AV41" s="592"/>
      <c r="AW41" s="592"/>
      <c r="AX41" s="592"/>
      <c r="AY41" s="592"/>
      <c r="AZ41" s="179"/>
      <c r="BA41" s="592"/>
      <c r="BB41" s="592"/>
      <c r="BC41" s="592"/>
      <c r="BD41" s="592"/>
      <c r="BE41" s="179"/>
      <c r="BF41" s="592"/>
      <c r="BG41" s="592"/>
      <c r="BH41" s="592"/>
      <c r="BI41" s="592"/>
      <c r="BJ41" s="179"/>
      <c r="BK41" s="592"/>
      <c r="BL41" s="592"/>
      <c r="BM41" s="592"/>
      <c r="BN41" s="592"/>
      <c r="BO41" s="179"/>
      <c r="BP41" s="66"/>
      <c r="BQ41" s="66"/>
      <c r="BR41" s="66"/>
      <c r="BS41" s="66"/>
      <c r="BU41" s="66"/>
      <c r="BV41" s="66"/>
      <c r="BW41" s="66"/>
      <c r="BX41" s="66"/>
      <c r="BZ41" s="66"/>
      <c r="CA41" s="66"/>
      <c r="CB41" s="66"/>
      <c r="CC41" s="66"/>
    </row>
    <row r="42" spans="1:102" s="5" customFormat="1">
      <c r="A42" s="137" t="s">
        <v>2540</v>
      </c>
      <c r="B42" s="137"/>
      <c r="C42" s="138"/>
      <c r="D42" s="138"/>
      <c r="E42" s="138">
        <v>0</v>
      </c>
      <c r="F42" s="138">
        <v>0</v>
      </c>
      <c r="G42" s="138">
        <v>0</v>
      </c>
      <c r="H42" s="181">
        <v>0</v>
      </c>
      <c r="I42" s="181">
        <v>0</v>
      </c>
      <c r="J42" s="181">
        <v>0</v>
      </c>
      <c r="K42" s="181">
        <v>0</v>
      </c>
      <c r="L42" s="138">
        <f>SUM(H42:K42)</f>
        <v>0</v>
      </c>
      <c r="M42" s="181">
        <v>0</v>
      </c>
      <c r="N42" s="181">
        <v>0</v>
      </c>
      <c r="O42" s="181">
        <v>0</v>
      </c>
      <c r="P42" s="181">
        <v>0</v>
      </c>
      <c r="Q42" s="138">
        <f>SUM(M42:P42)</f>
        <v>0</v>
      </c>
      <c r="R42" s="181">
        <v>0</v>
      </c>
      <c r="S42" s="181">
        <v>0</v>
      </c>
      <c r="T42" s="181">
        <v>0</v>
      </c>
      <c r="U42" s="181">
        <v>0</v>
      </c>
      <c r="V42" s="138">
        <f>SUM(R42:U42)</f>
        <v>0</v>
      </c>
      <c r="W42" s="181">
        <v>0</v>
      </c>
      <c r="X42" s="181">
        <v>0</v>
      </c>
      <c r="Y42" s="181">
        <v>0</v>
      </c>
      <c r="Z42" s="181">
        <v>0</v>
      </c>
      <c r="AA42" s="138">
        <f>SUM(W42:Z42)</f>
        <v>0</v>
      </c>
      <c r="AB42" s="181">
        <v>0</v>
      </c>
      <c r="AC42" s="181">
        <v>0</v>
      </c>
      <c r="AD42" s="181">
        <v>-47</v>
      </c>
      <c r="AE42" s="181">
        <v>-30</v>
      </c>
      <c r="AF42" s="138">
        <f>SUM(AB42:AE42)</f>
        <v>-77</v>
      </c>
      <c r="AG42" s="181">
        <v>-16</v>
      </c>
      <c r="AH42" s="181">
        <v>-15</v>
      </c>
      <c r="AI42" s="181">
        <v>-14</v>
      </c>
      <c r="AJ42" s="181">
        <v>-13</v>
      </c>
      <c r="AK42" s="138">
        <f>SUM(AG42:AJ42)</f>
        <v>-58</v>
      </c>
      <c r="AL42" s="181">
        <v>-6</v>
      </c>
      <c r="AM42" s="181">
        <v>-4</v>
      </c>
      <c r="AN42" s="181">
        <v>-3</v>
      </c>
      <c r="AO42" s="181">
        <v>-6</v>
      </c>
      <c r="AP42" s="138">
        <f>SUM(AL42:AO42)</f>
        <v>-19</v>
      </c>
      <c r="AQ42" s="181">
        <f t="shared" ref="AQ42:AR44" si="54">AQ19-AQ60</f>
        <v>-10</v>
      </c>
      <c r="AR42" s="181">
        <f t="shared" si="54"/>
        <v>-10</v>
      </c>
      <c r="AS42" s="181">
        <f t="shared" ref="AS42:AT44" si="55">AS19-AS60</f>
        <v>-9</v>
      </c>
      <c r="AT42" s="181">
        <f t="shared" si="55"/>
        <v>-10</v>
      </c>
      <c r="AU42" s="138">
        <f>SUM(AQ42:AT42)</f>
        <v>-39</v>
      </c>
      <c r="AV42" s="181">
        <f t="shared" ref="AV42:AW44" si="56">AV19-AV60</f>
        <v>-10</v>
      </c>
      <c r="AW42" s="181">
        <f t="shared" si="56"/>
        <v>-9</v>
      </c>
      <c r="AX42" s="181">
        <f t="shared" ref="AX42:AY44" si="57">AX19-AX60</f>
        <v>-10</v>
      </c>
      <c r="AY42" s="181">
        <f t="shared" si="57"/>
        <v>-9</v>
      </c>
      <c r="AZ42" s="138">
        <f>SUM(AV42:AY42)</f>
        <v>-38</v>
      </c>
      <c r="BA42" s="181">
        <f t="shared" ref="BA42:BD44" si="58">BA19-BA60</f>
        <v>-9</v>
      </c>
      <c r="BB42" s="181">
        <f t="shared" si="58"/>
        <v>-8</v>
      </c>
      <c r="BC42" s="181">
        <f t="shared" si="58"/>
        <v>-115</v>
      </c>
      <c r="BD42" s="181">
        <f t="shared" si="58"/>
        <v>-115</v>
      </c>
      <c r="BE42" s="138">
        <f>SUM(BA42:BD42)</f>
        <v>-247</v>
      </c>
      <c r="BF42" s="181">
        <f t="shared" ref="BF42:BG44" si="59">BF19-BF60</f>
        <v>-123</v>
      </c>
      <c r="BG42" s="181">
        <f t="shared" si="59"/>
        <v>-123</v>
      </c>
      <c r="BH42" s="181">
        <f t="shared" ref="BH42:BI42" si="60">BH19-BH60</f>
        <v>-123</v>
      </c>
      <c r="BI42" s="181">
        <f t="shared" si="60"/>
        <v>-125</v>
      </c>
      <c r="BJ42" s="138">
        <f>SUM(BF42:BI42)</f>
        <v>-494</v>
      </c>
      <c r="BK42" s="181">
        <f t="shared" ref="BK42:BL42" si="61">BK19-BK60</f>
        <v>-126</v>
      </c>
      <c r="BL42" s="181">
        <f t="shared" si="61"/>
        <v>-121</v>
      </c>
      <c r="BM42" s="181">
        <f t="shared" ref="BM42" si="62">BM19-BM60</f>
        <v>-122</v>
      </c>
      <c r="BN42" s="181">
        <v>-124</v>
      </c>
      <c r="BO42" s="138">
        <f>SUM(BK42:BN42)</f>
        <v>-493</v>
      </c>
      <c r="BP42" s="209">
        <f>'GoM oil spill'!BP13</f>
        <v>-72.961622542768964</v>
      </c>
      <c r="BQ42" s="209">
        <f>'GoM oil spill'!BQ13</f>
        <v>-66.468877098002849</v>
      </c>
      <c r="BR42" s="209">
        <f>'GoM oil spill'!BR13</f>
        <v>-62.902390939838369</v>
      </c>
      <c r="BS42" s="209">
        <f>'GoM oil spill'!BS13</f>
        <v>-61.783626145981543</v>
      </c>
      <c r="BT42" s="5">
        <f t="shared" ref="BT42" si="63">SUM(BP42:BS42)</f>
        <v>-264.11651672659173</v>
      </c>
      <c r="BU42" s="209">
        <f>'GoM oil spill'!BU13</f>
        <v>-74.592210184679061</v>
      </c>
      <c r="BV42" s="209">
        <f>'GoM oil spill'!BV13</f>
        <v>-73.969889203313869</v>
      </c>
      <c r="BW42" s="209">
        <f>'GoM oil spill'!BW13</f>
        <v>-66.761382533848519</v>
      </c>
      <c r="BX42" s="209">
        <f>'GoM oil spill'!BX13</f>
        <v>-66.095899886167899</v>
      </c>
      <c r="BY42" s="5">
        <f t="shared" ref="BY42" si="64">SUM(BU42:BX42)</f>
        <v>-281.41938180800935</v>
      </c>
      <c r="BZ42" s="209">
        <f>'GoM oil spill'!BZ13</f>
        <v>-76.387316331898546</v>
      </c>
      <c r="CA42" s="209">
        <f>'GoM oil spill'!CA13</f>
        <v>-76.878877649223796</v>
      </c>
      <c r="CB42" s="209">
        <f>'GoM oil spill'!CB13</f>
        <v>-69.655899840945494</v>
      </c>
      <c r="CC42" s="209">
        <f>'GoM oil spill'!CC13</f>
        <v>-70.104143705628303</v>
      </c>
      <c r="CD42" s="5">
        <f t="shared" ref="CD42" si="65">SUM(BZ42:CC42)</f>
        <v>-293.02623752769614</v>
      </c>
    </row>
    <row r="43" spans="1:102" s="175" customFormat="1">
      <c r="A43" s="245" t="s">
        <v>1675</v>
      </c>
      <c r="B43" s="245"/>
      <c r="C43" s="205"/>
      <c r="D43" s="205"/>
      <c r="E43" s="205">
        <v>94</v>
      </c>
      <c r="F43" s="205">
        <f>94+253</f>
        <v>347</v>
      </c>
      <c r="G43" s="205">
        <f>744+367</f>
        <v>1111</v>
      </c>
      <c r="H43" s="206">
        <f>-46-7</f>
        <v>-53</v>
      </c>
      <c r="I43" s="206">
        <v>-53</v>
      </c>
      <c r="J43" s="206">
        <v>-803</v>
      </c>
      <c r="K43" s="206">
        <v>51</v>
      </c>
      <c r="L43" s="138">
        <f>SUM(H43:K43)</f>
        <v>-858</v>
      </c>
      <c r="M43" s="206">
        <v>-18</v>
      </c>
      <c r="N43" s="206">
        <v>-427</v>
      </c>
      <c r="O43" s="206">
        <v>216</v>
      </c>
      <c r="P43" s="206">
        <v>690</v>
      </c>
      <c r="Q43" s="138">
        <f>SUM(M43:P43)</f>
        <v>461</v>
      </c>
      <c r="R43" s="206">
        <v>2</v>
      </c>
      <c r="S43" s="206">
        <v>957</v>
      </c>
      <c r="T43" s="206">
        <v>-576</v>
      </c>
      <c r="U43" s="206">
        <v>14</v>
      </c>
      <c r="V43" s="138">
        <f>SUM(R43:U43)</f>
        <v>397</v>
      </c>
      <c r="W43" s="206">
        <v>117</v>
      </c>
      <c r="X43" s="206">
        <v>-109</v>
      </c>
      <c r="Y43" s="206">
        <v>-125</v>
      </c>
      <c r="Z43" s="206">
        <v>-336</v>
      </c>
      <c r="AA43" s="138">
        <f>SUM(W43:Z43)</f>
        <v>-453</v>
      </c>
      <c r="AB43" s="206">
        <v>25</v>
      </c>
      <c r="AC43" s="206">
        <v>9878</v>
      </c>
      <c r="AD43" s="206">
        <v>2135</v>
      </c>
      <c r="AE43" s="206">
        <v>-207</v>
      </c>
      <c r="AF43" s="138">
        <f>SUM(AB43:AE43)</f>
        <v>11831</v>
      </c>
      <c r="AG43" s="206">
        <v>66</v>
      </c>
      <c r="AH43" s="206">
        <v>116</v>
      </c>
      <c r="AI43" s="206">
        <v>4</v>
      </c>
      <c r="AJ43" s="206">
        <v>-1466</v>
      </c>
      <c r="AK43" s="138">
        <f>SUM(AG43:AJ43)</f>
        <v>-1280</v>
      </c>
      <c r="AL43" s="206">
        <v>-186</v>
      </c>
      <c r="AM43" s="206">
        <v>1735</v>
      </c>
      <c r="AN43" s="206">
        <v>171</v>
      </c>
      <c r="AO43" s="206">
        <v>-1253</v>
      </c>
      <c r="AP43" s="138">
        <f>SUM(AL43:AO43)</f>
        <v>467</v>
      </c>
      <c r="AQ43" s="206">
        <f t="shared" si="54"/>
        <v>53</v>
      </c>
      <c r="AR43" s="206">
        <f t="shared" si="54"/>
        <v>105</v>
      </c>
      <c r="AS43" s="206">
        <f t="shared" si="55"/>
        <v>199</v>
      </c>
      <c r="AT43" s="206">
        <f t="shared" si="55"/>
        <v>652</v>
      </c>
      <c r="AU43" s="138">
        <f>SUM(AQ43:AT43)</f>
        <v>1009</v>
      </c>
      <c r="AV43" s="206">
        <f t="shared" si="56"/>
        <v>9</v>
      </c>
      <c r="AW43" s="206">
        <f t="shared" si="56"/>
        <v>209</v>
      </c>
      <c r="AX43" s="206">
        <f t="shared" si="57"/>
        <v>374</v>
      </c>
      <c r="AY43" s="206">
        <f t="shared" si="57"/>
        <v>3579</v>
      </c>
      <c r="AZ43" s="138">
        <f>SUM(AV43:AY43)</f>
        <v>4171</v>
      </c>
      <c r="BA43" s="206">
        <f t="shared" si="58"/>
        <v>1089.17</v>
      </c>
      <c r="BB43" s="206">
        <f t="shared" si="58"/>
        <v>3735</v>
      </c>
      <c r="BC43" s="206">
        <f t="shared" si="58"/>
        <v>-192</v>
      </c>
      <c r="BD43" s="206">
        <f t="shared" si="58"/>
        <v>274</v>
      </c>
      <c r="BE43" s="138">
        <f>SUM(BA43:BD43)</f>
        <v>4906.17</v>
      </c>
      <c r="BF43" s="206">
        <f t="shared" si="59"/>
        <v>393</v>
      </c>
      <c r="BG43" s="206">
        <f t="shared" si="59"/>
        <v>2551</v>
      </c>
      <c r="BH43" s="206">
        <f t="shared" ref="BH43:BI43" si="66">BH20-BH61</f>
        <v>65</v>
      </c>
      <c r="BI43" s="206">
        <f t="shared" si="66"/>
        <v>153</v>
      </c>
      <c r="BJ43" s="138">
        <f>SUM(BF43:BI43)</f>
        <v>3162</v>
      </c>
      <c r="BK43" s="206">
        <f t="shared" ref="BK43:BL43" si="67">BK20-BK61</f>
        <v>169</v>
      </c>
      <c r="BL43" s="206">
        <f t="shared" si="67"/>
        <v>106</v>
      </c>
      <c r="BM43" s="206">
        <f t="shared" ref="BM43:BN43" si="68">BM20-BM61</f>
        <v>181</v>
      </c>
      <c r="BN43" s="206">
        <f t="shared" si="68"/>
        <v>-131</v>
      </c>
      <c r="BO43" s="138">
        <f>SUM(BK43:BN43)</f>
        <v>325</v>
      </c>
      <c r="BP43" s="209">
        <v>0</v>
      </c>
      <c r="BQ43" s="209">
        <v>0</v>
      </c>
      <c r="BR43" s="209">
        <v>0</v>
      </c>
      <c r="BS43" s="209">
        <v>0</v>
      </c>
      <c r="BT43" s="5">
        <f>SUM(BP43:BS43)</f>
        <v>0</v>
      </c>
      <c r="BU43" s="209">
        <v>0</v>
      </c>
      <c r="BV43" s="209">
        <v>0</v>
      </c>
      <c r="BW43" s="209">
        <v>0</v>
      </c>
      <c r="BX43" s="209">
        <v>0</v>
      </c>
      <c r="BY43" s="5">
        <f>SUM(BU43:BX43)</f>
        <v>0</v>
      </c>
      <c r="BZ43" s="209">
        <v>0</v>
      </c>
      <c r="CA43" s="209">
        <v>0</v>
      </c>
      <c r="CB43" s="209">
        <v>0</v>
      </c>
      <c r="CC43" s="209">
        <v>0</v>
      </c>
      <c r="CD43" s="5">
        <f>SUM(BZ43:CC43)</f>
        <v>0</v>
      </c>
    </row>
    <row r="44" spans="1:102" s="5" customFormat="1" ht="15">
      <c r="A44" s="137" t="s">
        <v>1676</v>
      </c>
      <c r="B44" s="137"/>
      <c r="C44" s="138"/>
      <c r="D44" s="138"/>
      <c r="E44" s="138">
        <v>0</v>
      </c>
      <c r="F44" s="138">
        <v>0</v>
      </c>
      <c r="G44" s="138">
        <v>0</v>
      </c>
      <c r="H44" s="181">
        <v>0</v>
      </c>
      <c r="I44" s="181">
        <v>0</v>
      </c>
      <c r="J44" s="181">
        <v>0</v>
      </c>
      <c r="K44" s="181">
        <v>0</v>
      </c>
      <c r="L44" s="138">
        <v>0</v>
      </c>
      <c r="M44" s="181">
        <v>0</v>
      </c>
      <c r="N44" s="181">
        <v>0</v>
      </c>
      <c r="O44" s="181">
        <v>0</v>
      </c>
      <c r="P44" s="181">
        <v>0</v>
      </c>
      <c r="Q44" s="138">
        <v>0</v>
      </c>
      <c r="R44" s="181">
        <v>0</v>
      </c>
      <c r="S44" s="181">
        <v>0</v>
      </c>
      <c r="T44" s="181">
        <v>0</v>
      </c>
      <c r="U44" s="181">
        <v>0</v>
      </c>
      <c r="V44" s="138">
        <v>0</v>
      </c>
      <c r="W44" s="181">
        <v>0</v>
      </c>
      <c r="X44" s="181">
        <v>0</v>
      </c>
      <c r="Y44" s="181">
        <v>0</v>
      </c>
      <c r="Z44" s="181">
        <v>0</v>
      </c>
      <c r="AA44" s="138">
        <v>0</v>
      </c>
      <c r="AB44" s="181">
        <v>0</v>
      </c>
      <c r="AC44" s="181">
        <v>0</v>
      </c>
      <c r="AD44" s="181">
        <v>0</v>
      </c>
      <c r="AE44" s="181">
        <v>0</v>
      </c>
      <c r="AF44" s="138">
        <v>0</v>
      </c>
      <c r="AG44" s="181">
        <v>0</v>
      </c>
      <c r="AH44" s="181">
        <v>0</v>
      </c>
      <c r="AI44" s="181">
        <v>0</v>
      </c>
      <c r="AJ44" s="181">
        <v>0</v>
      </c>
      <c r="AK44" s="138">
        <v>0</v>
      </c>
      <c r="AL44" s="181">
        <v>0</v>
      </c>
      <c r="AM44" s="181">
        <v>0</v>
      </c>
      <c r="AN44" s="181">
        <v>0</v>
      </c>
      <c r="AO44" s="181">
        <v>0</v>
      </c>
      <c r="AP44" s="138">
        <v>0</v>
      </c>
      <c r="AQ44" s="181">
        <f t="shared" si="54"/>
        <v>0</v>
      </c>
      <c r="AR44" s="181">
        <f t="shared" si="54"/>
        <v>0</v>
      </c>
      <c r="AS44" s="181">
        <f t="shared" si="55"/>
        <v>0</v>
      </c>
      <c r="AT44" s="181">
        <f t="shared" si="55"/>
        <v>0</v>
      </c>
      <c r="AU44" s="138">
        <v>0</v>
      </c>
      <c r="AV44" s="181">
        <f t="shared" si="56"/>
        <v>0</v>
      </c>
      <c r="AW44" s="181">
        <f t="shared" si="56"/>
        <v>0</v>
      </c>
      <c r="AX44" s="181">
        <f t="shared" si="57"/>
        <v>0</v>
      </c>
      <c r="AY44" s="181">
        <f t="shared" si="57"/>
        <v>0</v>
      </c>
      <c r="AZ44" s="138">
        <v>0</v>
      </c>
      <c r="BA44" s="181">
        <f t="shared" si="58"/>
        <v>0</v>
      </c>
      <c r="BB44" s="181">
        <f t="shared" si="58"/>
        <v>0</v>
      </c>
      <c r="BC44" s="181">
        <f t="shared" si="58"/>
        <v>0</v>
      </c>
      <c r="BD44" s="181">
        <f t="shared" si="58"/>
        <v>0</v>
      </c>
      <c r="BE44" s="630">
        <v>0</v>
      </c>
      <c r="BF44" s="181">
        <f t="shared" si="59"/>
        <v>0</v>
      </c>
      <c r="BG44" s="181">
        <f t="shared" si="59"/>
        <v>0</v>
      </c>
      <c r="BH44" s="181">
        <f t="shared" ref="BH44:BI44" si="69">BH21-BH62</f>
        <v>0</v>
      </c>
      <c r="BI44" s="181">
        <f t="shared" si="69"/>
        <v>0</v>
      </c>
      <c r="BJ44" s="138">
        <v>0</v>
      </c>
      <c r="BK44" s="181">
        <f t="shared" ref="BK44:BL44" si="70">BK21-BK62</f>
        <v>0</v>
      </c>
      <c r="BL44" s="181">
        <f t="shared" si="70"/>
        <v>0</v>
      </c>
      <c r="BM44" s="181">
        <f t="shared" ref="BM44" si="71">BM21-BM62</f>
        <v>0</v>
      </c>
      <c r="BN44" s="181">
        <v>0</v>
      </c>
      <c r="BO44" s="138">
        <v>0</v>
      </c>
      <c r="BP44" s="12">
        <v>0</v>
      </c>
      <c r="BQ44" s="12">
        <v>0</v>
      </c>
      <c r="BR44" s="12">
        <v>0</v>
      </c>
      <c r="BS44" s="12">
        <v>0</v>
      </c>
      <c r="BT44" s="5">
        <v>0</v>
      </c>
      <c r="BU44" s="12">
        <v>0</v>
      </c>
      <c r="BV44" s="12">
        <v>0</v>
      </c>
      <c r="BW44" s="12">
        <v>0</v>
      </c>
      <c r="BX44" s="12">
        <v>0</v>
      </c>
      <c r="BY44" s="5">
        <v>0</v>
      </c>
      <c r="BZ44" s="12">
        <v>0</v>
      </c>
      <c r="CA44" s="12">
        <v>0</v>
      </c>
      <c r="CB44" s="12">
        <v>0</v>
      </c>
      <c r="CC44" s="12">
        <v>0</v>
      </c>
      <c r="CD44" s="5">
        <v>0</v>
      </c>
      <c r="CF44" s="175"/>
      <c r="CG44" s="175"/>
      <c r="CH44" s="175"/>
      <c r="CI44" s="175"/>
      <c r="CJ44" s="175"/>
      <c r="CK44" s="175"/>
    </row>
    <row r="45" spans="1:102" s="8" customFormat="1">
      <c r="A45" s="244" t="s">
        <v>2546</v>
      </c>
      <c r="B45" s="244"/>
      <c r="C45" s="174"/>
      <c r="D45" s="174"/>
      <c r="E45" s="174">
        <f t="shared" ref="E45:AK45" si="72">SUM(E40,E42:E44)</f>
        <v>-234</v>
      </c>
      <c r="F45" s="174">
        <f t="shared" si="72"/>
        <v>-1061</v>
      </c>
      <c r="G45" s="174">
        <f t="shared" si="72"/>
        <v>-1727</v>
      </c>
      <c r="H45" s="177">
        <f t="shared" si="72"/>
        <v>-17</v>
      </c>
      <c r="I45" s="177">
        <f t="shared" si="72"/>
        <v>6</v>
      </c>
      <c r="J45" s="177">
        <f t="shared" si="72"/>
        <v>1225</v>
      </c>
      <c r="K45" s="177">
        <f t="shared" si="72"/>
        <v>-152</v>
      </c>
      <c r="L45" s="174">
        <f t="shared" si="72"/>
        <v>1062</v>
      </c>
      <c r="M45" s="177">
        <f t="shared" si="72"/>
        <v>36</v>
      </c>
      <c r="N45" s="177">
        <f t="shared" si="72"/>
        <v>973</v>
      </c>
      <c r="O45" s="177">
        <f t="shared" si="72"/>
        <v>-448</v>
      </c>
      <c r="P45" s="177">
        <f t="shared" si="72"/>
        <v>-1132</v>
      </c>
      <c r="Q45" s="174">
        <f t="shared" si="72"/>
        <v>-571</v>
      </c>
      <c r="R45" s="177">
        <f t="shared" si="72"/>
        <v>-4</v>
      </c>
      <c r="S45" s="177">
        <f t="shared" si="72"/>
        <v>-1775</v>
      </c>
      <c r="T45" s="177">
        <f t="shared" si="72"/>
        <v>1147</v>
      </c>
      <c r="U45" s="177">
        <f t="shared" si="72"/>
        <v>-18</v>
      </c>
      <c r="V45" s="174">
        <f t="shared" si="72"/>
        <v>-650</v>
      </c>
      <c r="W45" s="177">
        <f t="shared" si="72"/>
        <v>-194</v>
      </c>
      <c r="X45" s="177">
        <f t="shared" si="72"/>
        <v>202</v>
      </c>
      <c r="Y45" s="177">
        <f t="shared" si="72"/>
        <v>307</v>
      </c>
      <c r="Z45" s="177">
        <f t="shared" si="72"/>
        <v>-937</v>
      </c>
      <c r="AA45" s="174">
        <f t="shared" si="72"/>
        <v>-622</v>
      </c>
      <c r="AB45" s="177">
        <f t="shared" si="72"/>
        <v>-49</v>
      </c>
      <c r="AC45" s="177">
        <f t="shared" si="72"/>
        <v>-21953</v>
      </c>
      <c r="AD45" s="177">
        <f t="shared" si="72"/>
        <v>-3684</v>
      </c>
      <c r="AE45" s="177">
        <f t="shared" si="72"/>
        <v>250</v>
      </c>
      <c r="AF45" s="174">
        <f t="shared" si="72"/>
        <v>-25436</v>
      </c>
      <c r="AG45" s="178">
        <f t="shared" si="72"/>
        <v>107</v>
      </c>
      <c r="AH45" s="178">
        <f t="shared" si="72"/>
        <v>-298</v>
      </c>
      <c r="AI45" s="178">
        <f t="shared" si="72"/>
        <v>-187</v>
      </c>
      <c r="AJ45" s="178">
        <f t="shared" si="72"/>
        <v>2620</v>
      </c>
      <c r="AK45" s="174">
        <f t="shared" si="72"/>
        <v>2242</v>
      </c>
      <c r="AL45" s="178">
        <f t="shared" ref="AL45:BQ45" si="73">SUM(AL40,AL42:AL44)</f>
        <v>130</v>
      </c>
      <c r="AM45" s="178">
        <f t="shared" si="73"/>
        <v>-3447</v>
      </c>
      <c r="AN45" s="178">
        <f t="shared" si="73"/>
        <v>-483</v>
      </c>
      <c r="AO45" s="178">
        <f t="shared" si="73"/>
        <v>-1845</v>
      </c>
      <c r="AP45" s="174">
        <f t="shared" si="73"/>
        <v>-5645</v>
      </c>
      <c r="AQ45" s="178">
        <f t="shared" si="73"/>
        <v>12381</v>
      </c>
      <c r="AR45" s="178">
        <f t="shared" si="73"/>
        <v>-312</v>
      </c>
      <c r="AS45" s="178">
        <f t="shared" si="73"/>
        <v>-514</v>
      </c>
      <c r="AT45" s="178">
        <f t="shared" si="73"/>
        <v>-1302</v>
      </c>
      <c r="AU45" s="174">
        <f t="shared" si="73"/>
        <v>10253</v>
      </c>
      <c r="AV45" s="178">
        <f t="shared" si="73"/>
        <v>250</v>
      </c>
      <c r="AW45" s="178">
        <f>SUM(AW40,AW42:AW44)</f>
        <v>-453</v>
      </c>
      <c r="AX45" s="178">
        <f>SUM(AX40,AX42:AX44)</f>
        <v>-652</v>
      </c>
      <c r="AY45" s="178">
        <f>SUM(AY40,AY42:AY44)</f>
        <v>-3208</v>
      </c>
      <c r="AZ45" s="174">
        <f t="shared" si="73"/>
        <v>-4063</v>
      </c>
      <c r="BA45" s="178">
        <f t="shared" ref="BA45:BF45" si="74">SUM(BA40,BA42:BA44)</f>
        <v>432.17000000000007</v>
      </c>
      <c r="BB45" s="178">
        <f t="shared" si="74"/>
        <v>-7579</v>
      </c>
      <c r="BC45" s="178">
        <f t="shared" si="74"/>
        <v>-585</v>
      </c>
      <c r="BD45" s="178">
        <f t="shared" si="74"/>
        <v>-2429</v>
      </c>
      <c r="BE45" s="174">
        <f t="shared" si="74"/>
        <v>-10160.83</v>
      </c>
      <c r="BF45" s="178">
        <f t="shared" ca="1" si="74"/>
        <v>-1017</v>
      </c>
      <c r="BG45" s="178">
        <f t="shared" ref="BG45:BH45" ca="1" si="75">SUM(BG40,BG42:BG44)</f>
        <v>-2967</v>
      </c>
      <c r="BH45" s="178">
        <f t="shared" si="75"/>
        <v>728</v>
      </c>
      <c r="BI45" s="178">
        <f t="shared" ref="BI45:BK45" si="76">SUM(BI40,BI42:BI44)</f>
        <v>-328</v>
      </c>
      <c r="BJ45" s="174">
        <f t="shared" ca="1" si="73"/>
        <v>-3584</v>
      </c>
      <c r="BK45" s="178">
        <f t="shared" si="76"/>
        <v>-98</v>
      </c>
      <c r="BL45" s="178">
        <f t="shared" ref="BL45:BM45" si="77">SUM(BL40,BL42:BL44)</f>
        <v>-131</v>
      </c>
      <c r="BM45" s="178">
        <f t="shared" si="77"/>
        <v>-486</v>
      </c>
      <c r="BN45" s="178">
        <f t="shared" si="73"/>
        <v>-2690</v>
      </c>
      <c r="BO45" s="174">
        <f t="shared" si="73"/>
        <v>-3405</v>
      </c>
      <c r="BP45" s="67">
        <f t="shared" si="73"/>
        <v>-72.961622542768964</v>
      </c>
      <c r="BQ45" s="67">
        <f t="shared" si="73"/>
        <v>-66.468877098002849</v>
      </c>
      <c r="BR45" s="67">
        <f t="shared" ref="BR45:CD45" si="78">SUM(BR40,BR42:BR44)</f>
        <v>-62.902390939838369</v>
      </c>
      <c r="BS45" s="67">
        <f t="shared" si="78"/>
        <v>-61.783626145981543</v>
      </c>
      <c r="BT45" s="15">
        <f t="shared" si="78"/>
        <v>-264.11651672659173</v>
      </c>
      <c r="BU45" s="67">
        <f t="shared" si="78"/>
        <v>-74.592210184679061</v>
      </c>
      <c r="BV45" s="67">
        <f t="shared" si="78"/>
        <v>-73.969889203313869</v>
      </c>
      <c r="BW45" s="67">
        <f t="shared" si="78"/>
        <v>-66.761382533848519</v>
      </c>
      <c r="BX45" s="67">
        <f t="shared" si="78"/>
        <v>-66.095899886167899</v>
      </c>
      <c r="BY45" s="15">
        <f t="shared" si="78"/>
        <v>-281.41938180800935</v>
      </c>
      <c r="BZ45" s="67">
        <f t="shared" si="78"/>
        <v>-76.387316331898546</v>
      </c>
      <c r="CA45" s="67">
        <f t="shared" si="78"/>
        <v>-76.878877649223796</v>
      </c>
      <c r="CB45" s="67">
        <f t="shared" si="78"/>
        <v>-69.655899840945494</v>
      </c>
      <c r="CC45" s="67">
        <f t="shared" si="78"/>
        <v>-70.104143705628303</v>
      </c>
      <c r="CD45" s="15">
        <f t="shared" si="78"/>
        <v>-293.02623752769614</v>
      </c>
      <c r="CF45" s="175"/>
      <c r="CG45" s="175"/>
      <c r="CH45" s="175"/>
      <c r="CI45" s="175"/>
      <c r="CJ45" s="175"/>
      <c r="CK45" s="175"/>
    </row>
    <row r="46" spans="1:102" s="8" customFormat="1">
      <c r="A46" s="287"/>
      <c r="B46" s="287"/>
      <c r="C46" s="267"/>
      <c r="D46" s="267"/>
      <c r="E46" s="267"/>
      <c r="F46" s="267"/>
      <c r="G46" s="267"/>
      <c r="H46" s="267"/>
      <c r="I46" s="267"/>
      <c r="J46" s="267"/>
      <c r="K46" s="267"/>
      <c r="L46" s="267"/>
      <c r="M46" s="267"/>
      <c r="N46" s="267"/>
      <c r="O46" s="267"/>
      <c r="P46" s="267"/>
      <c r="Q46" s="267"/>
      <c r="R46" s="267"/>
      <c r="S46" s="267"/>
      <c r="T46" s="267"/>
      <c r="U46" s="267"/>
      <c r="V46" s="267"/>
      <c r="W46" s="267"/>
      <c r="X46" s="267"/>
      <c r="Y46" s="267"/>
      <c r="Z46" s="267"/>
      <c r="AA46" s="267"/>
      <c r="AB46" s="267"/>
      <c r="AC46" s="267"/>
      <c r="AD46" s="267"/>
      <c r="AE46" s="267"/>
      <c r="AF46" s="267"/>
      <c r="AG46" s="267"/>
      <c r="AH46" s="267"/>
      <c r="AI46" s="267"/>
      <c r="AJ46" s="267"/>
      <c r="AK46" s="264"/>
      <c r="AL46" s="267"/>
      <c r="AM46" s="267"/>
      <c r="AN46" s="267"/>
      <c r="AO46" s="267"/>
      <c r="AP46" s="264"/>
      <c r="AQ46" s="267"/>
      <c r="AR46" s="267"/>
      <c r="AS46" s="267"/>
      <c r="AT46" s="267"/>
      <c r="AU46" s="264"/>
      <c r="AV46" s="267"/>
      <c r="AW46" s="267"/>
      <c r="AX46" s="267"/>
      <c r="AY46" s="267"/>
      <c r="AZ46" s="264"/>
      <c r="BA46" s="267"/>
      <c r="BB46" s="267"/>
      <c r="BC46" s="267"/>
      <c r="BD46" s="267"/>
      <c r="BE46" s="264"/>
      <c r="BF46" s="267"/>
      <c r="BG46" s="267"/>
      <c r="BH46" s="267"/>
      <c r="BI46" s="267"/>
      <c r="BJ46" s="264"/>
      <c r="BK46" s="267"/>
      <c r="BL46" s="267"/>
      <c r="BM46" s="267"/>
      <c r="BN46" s="267"/>
      <c r="BO46" s="264"/>
      <c r="BP46" s="122"/>
      <c r="BQ46" s="122"/>
      <c r="BR46" s="122"/>
      <c r="BS46" s="122"/>
      <c r="BT46" s="76"/>
      <c r="BU46" s="122"/>
      <c r="BV46" s="122"/>
      <c r="BW46" s="122"/>
      <c r="BX46" s="122"/>
      <c r="BY46" s="76"/>
      <c r="BZ46" s="122"/>
      <c r="CA46" s="122"/>
      <c r="CB46" s="122"/>
      <c r="CC46" s="122"/>
      <c r="CD46" s="76"/>
      <c r="CF46" s="175"/>
      <c r="CG46" s="175"/>
      <c r="CH46" s="175"/>
      <c r="CI46" s="175"/>
      <c r="CJ46" s="175"/>
      <c r="CK46" s="175"/>
    </row>
    <row r="47" spans="1:102" s="5" customFormat="1">
      <c r="A47" s="137"/>
      <c r="B47" s="137"/>
      <c r="C47" s="138"/>
      <c r="D47" s="138"/>
      <c r="E47" s="138"/>
      <c r="F47" s="138"/>
      <c r="G47" s="138"/>
      <c r="H47" s="181"/>
      <c r="I47" s="181"/>
      <c r="J47" s="181"/>
      <c r="K47" s="181"/>
      <c r="L47" s="138"/>
      <c r="M47" s="181"/>
      <c r="N47" s="181"/>
      <c r="O47" s="181"/>
      <c r="P47" s="181"/>
      <c r="Q47" s="138"/>
      <c r="R47" s="181"/>
      <c r="S47" s="181"/>
      <c r="T47" s="181"/>
      <c r="U47" s="181"/>
      <c r="V47" s="138"/>
      <c r="W47" s="181"/>
      <c r="X47" s="181"/>
      <c r="Y47" s="181"/>
      <c r="Z47" s="181"/>
      <c r="AA47" s="138"/>
      <c r="AB47" s="181"/>
      <c r="AC47" s="181"/>
      <c r="AD47" s="181"/>
      <c r="AE47" s="181"/>
      <c r="AF47" s="138"/>
      <c r="AG47" s="181"/>
      <c r="AH47" s="181"/>
      <c r="AI47" s="181"/>
      <c r="AJ47" s="181"/>
      <c r="AK47" s="181"/>
      <c r="AL47" s="138"/>
      <c r="AM47" s="138"/>
      <c r="AN47" s="138"/>
      <c r="AO47" s="138"/>
      <c r="AP47" s="138"/>
      <c r="AQ47" s="138"/>
      <c r="AR47" s="138"/>
      <c r="AS47" s="138"/>
      <c r="AT47" s="138"/>
      <c r="AU47" s="138"/>
      <c r="AV47" s="138"/>
      <c r="AW47" s="138"/>
      <c r="AX47" s="138"/>
      <c r="AY47" s="138"/>
      <c r="AZ47" s="138"/>
      <c r="BA47" s="138"/>
      <c r="BB47" s="138"/>
      <c r="BC47" s="138"/>
      <c r="BD47" s="138"/>
      <c r="BE47" s="138"/>
      <c r="BF47" s="138"/>
      <c r="BG47" s="138"/>
      <c r="BH47" s="138"/>
      <c r="BI47" s="138"/>
      <c r="BJ47" s="138"/>
      <c r="BK47" s="138"/>
      <c r="BL47" s="138"/>
      <c r="BM47" s="138"/>
      <c r="BN47" s="138"/>
      <c r="BO47" s="138"/>
      <c r="CF47" s="175"/>
      <c r="CG47" s="175"/>
      <c r="CH47" s="175"/>
      <c r="CI47" s="175"/>
      <c r="CJ47" s="175"/>
      <c r="CK47" s="175"/>
      <c r="CO47" s="8"/>
      <c r="CP47" s="8"/>
      <c r="CQ47" s="8"/>
      <c r="CR47" s="8"/>
      <c r="CS47" s="8"/>
      <c r="CT47" s="8"/>
      <c r="CU47" s="8"/>
      <c r="CV47" s="8"/>
      <c r="CW47" s="8"/>
      <c r="CX47" s="8"/>
    </row>
    <row r="48" spans="1:102" s="5" customFormat="1">
      <c r="A48" s="4"/>
      <c r="B48" s="4"/>
      <c r="H48" s="12"/>
      <c r="I48" s="12"/>
      <c r="J48" s="12"/>
      <c r="K48" s="12"/>
      <c r="M48" s="12"/>
      <c r="N48" s="12"/>
      <c r="O48" s="12"/>
      <c r="P48" s="12"/>
      <c r="R48" s="12"/>
      <c r="S48" s="12"/>
      <c r="T48" s="12"/>
      <c r="U48" s="12"/>
      <c r="W48" s="12"/>
      <c r="X48" s="12"/>
      <c r="Y48" s="12"/>
      <c r="Z48" s="12"/>
      <c r="AB48" s="12"/>
      <c r="AC48" s="12"/>
      <c r="AD48" s="12"/>
      <c r="AE48" s="12"/>
      <c r="AG48" s="12"/>
      <c r="AH48" s="12"/>
      <c r="AI48" s="12"/>
      <c r="AJ48" s="12"/>
      <c r="AK48" s="12"/>
      <c r="AU48" s="49"/>
      <c r="AV48" s="49"/>
      <c r="AW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  <c r="BJ48" s="49"/>
      <c r="BK48" s="49"/>
      <c r="BL48" s="49"/>
      <c r="BM48" s="49"/>
      <c r="BN48" s="49"/>
      <c r="BO48" s="49"/>
      <c r="BP48" s="49"/>
      <c r="BQ48" s="49"/>
      <c r="BR48" s="49"/>
      <c r="BS48" s="49"/>
      <c r="BT48" s="49"/>
      <c r="BU48" s="49"/>
      <c r="BV48" s="49"/>
      <c r="BW48" s="49"/>
      <c r="BX48" s="49"/>
      <c r="BY48" s="49"/>
      <c r="BZ48" s="49"/>
      <c r="CA48" s="49"/>
      <c r="CB48" s="49"/>
      <c r="CC48" s="49"/>
      <c r="CD48" s="49"/>
      <c r="CF48" s="175"/>
      <c r="CG48" s="175"/>
      <c r="CH48" s="175"/>
      <c r="CI48" s="175"/>
      <c r="CJ48" s="175"/>
      <c r="CK48" s="175"/>
      <c r="CO48" s="8"/>
      <c r="CP48" s="8"/>
      <c r="CQ48" s="8"/>
      <c r="CR48" s="8"/>
      <c r="CS48" s="8"/>
      <c r="CT48" s="8"/>
      <c r="CU48" s="8"/>
      <c r="CV48" s="8"/>
      <c r="CW48" s="8"/>
      <c r="CX48" s="8"/>
    </row>
    <row r="49" spans="1:107" s="5" customFormat="1">
      <c r="A49" s="9" t="s">
        <v>2542</v>
      </c>
      <c r="B49" s="4"/>
      <c r="AS49" s="125"/>
      <c r="AX49" s="125"/>
      <c r="CF49" s="175"/>
      <c r="CG49" s="175"/>
      <c r="CH49" s="175"/>
      <c r="CI49" s="175"/>
      <c r="CJ49" s="175"/>
      <c r="CK49" s="175"/>
      <c r="CO49" s="8"/>
      <c r="CP49" s="8"/>
      <c r="CQ49" s="8"/>
      <c r="CR49" s="8"/>
      <c r="CS49" s="8"/>
      <c r="CT49" s="8"/>
      <c r="CU49" s="8"/>
      <c r="CV49" s="8"/>
      <c r="CW49" s="8"/>
      <c r="CX49" s="8"/>
    </row>
    <row r="50" spans="1:107" s="11" customFormat="1" ht="12.75" customHeight="1">
      <c r="A50" s="10"/>
      <c r="B50" s="10"/>
      <c r="C50" s="32">
        <v>2001</v>
      </c>
      <c r="D50" s="32">
        <v>2002</v>
      </c>
      <c r="E50" s="32">
        <v>2003</v>
      </c>
      <c r="F50" s="32">
        <v>2004</v>
      </c>
      <c r="G50" s="31">
        <v>2005</v>
      </c>
      <c r="H50" s="33" t="s">
        <v>714</v>
      </c>
      <c r="I50" s="33" t="s">
        <v>715</v>
      </c>
      <c r="J50" s="33" t="s">
        <v>716</v>
      </c>
      <c r="K50" s="33" t="s">
        <v>717</v>
      </c>
      <c r="L50" s="31">
        <v>2006</v>
      </c>
      <c r="M50" s="33" t="s">
        <v>718</v>
      </c>
      <c r="N50" s="33" t="s">
        <v>719</v>
      </c>
      <c r="O50" s="33" t="s">
        <v>1970</v>
      </c>
      <c r="P50" s="33" t="s">
        <v>1971</v>
      </c>
      <c r="Q50" s="31">
        <v>2007</v>
      </c>
      <c r="R50" s="33" t="s">
        <v>1972</v>
      </c>
      <c r="S50" s="33" t="s">
        <v>1973</v>
      </c>
      <c r="T50" s="33" t="s">
        <v>1974</v>
      </c>
      <c r="U50" s="33" t="s">
        <v>1975</v>
      </c>
      <c r="V50" s="31">
        <v>2008</v>
      </c>
      <c r="W50" s="33" t="s">
        <v>1976</v>
      </c>
      <c r="X50" s="33" t="s">
        <v>1977</v>
      </c>
      <c r="Y50" s="33" t="s">
        <v>1978</v>
      </c>
      <c r="Z50" s="33" t="s">
        <v>1979</v>
      </c>
      <c r="AA50" s="31">
        <v>2009</v>
      </c>
      <c r="AB50" s="33" t="s">
        <v>1980</v>
      </c>
      <c r="AC50" s="33" t="s">
        <v>1981</v>
      </c>
      <c r="AD50" s="33" t="s">
        <v>1982</v>
      </c>
      <c r="AE50" s="33" t="s">
        <v>2392</v>
      </c>
      <c r="AF50" s="31">
        <v>2010</v>
      </c>
      <c r="AG50" s="33" t="s">
        <v>2393</v>
      </c>
      <c r="AH50" s="33" t="s">
        <v>2394</v>
      </c>
      <c r="AI50" s="33" t="s">
        <v>2395</v>
      </c>
      <c r="AJ50" s="33" t="s">
        <v>2396</v>
      </c>
      <c r="AK50" s="31">
        <v>2011</v>
      </c>
      <c r="AL50" s="368" t="s">
        <v>2397</v>
      </c>
      <c r="AM50" s="368" t="s">
        <v>2398</v>
      </c>
      <c r="AN50" s="368" t="s">
        <v>2399</v>
      </c>
      <c r="AO50" s="368" t="s">
        <v>2400</v>
      </c>
      <c r="AP50" s="31">
        <v>2012</v>
      </c>
      <c r="AQ50" s="368" t="s">
        <v>2401</v>
      </c>
      <c r="AR50" s="368" t="s">
        <v>2402</v>
      </c>
      <c r="AS50" s="368" t="s">
        <v>2403</v>
      </c>
      <c r="AT50" s="368" t="s">
        <v>2404</v>
      </c>
      <c r="AU50" s="369">
        <v>2013</v>
      </c>
      <c r="AV50" s="368" t="s">
        <v>2405</v>
      </c>
      <c r="AW50" s="368" t="s">
        <v>2406</v>
      </c>
      <c r="AX50" s="368" t="s">
        <v>2407</v>
      </c>
      <c r="AY50" s="368" t="s">
        <v>2408</v>
      </c>
      <c r="AZ50" s="369">
        <v>2014</v>
      </c>
      <c r="BA50" s="33" t="s">
        <v>2409</v>
      </c>
      <c r="BB50" s="33" t="s">
        <v>2410</v>
      </c>
      <c r="BC50" s="33" t="s">
        <v>2411</v>
      </c>
      <c r="BD50" s="33" t="s">
        <v>2412</v>
      </c>
      <c r="BE50" s="369">
        <v>2015</v>
      </c>
      <c r="BF50" s="33" t="s">
        <v>2413</v>
      </c>
      <c r="BG50" s="33" t="s">
        <v>2414</v>
      </c>
      <c r="BH50" s="33" t="s">
        <v>2415</v>
      </c>
      <c r="BI50" s="33" t="s">
        <v>2416</v>
      </c>
      <c r="BJ50" s="369">
        <v>2016</v>
      </c>
      <c r="BK50" s="33" t="s">
        <v>2417</v>
      </c>
      <c r="BL50" s="33" t="s">
        <v>2418</v>
      </c>
      <c r="BM50" s="33" t="s">
        <v>2419</v>
      </c>
      <c r="BN50" s="33" t="s">
        <v>2420</v>
      </c>
      <c r="BO50" s="369">
        <v>2017</v>
      </c>
      <c r="BP50" s="363" t="s">
        <v>2244</v>
      </c>
      <c r="BQ50" s="363" t="s">
        <v>2245</v>
      </c>
      <c r="BR50" s="363" t="s">
        <v>2508</v>
      </c>
      <c r="BS50" s="363" t="s">
        <v>2509</v>
      </c>
      <c r="BT50" s="364">
        <v>2018</v>
      </c>
      <c r="BU50" s="363" t="s">
        <v>2510</v>
      </c>
      <c r="BV50" s="363" t="s">
        <v>2511</v>
      </c>
      <c r="BW50" s="363" t="s">
        <v>3125</v>
      </c>
      <c r="BX50" s="363" t="s">
        <v>1405</v>
      </c>
      <c r="BY50" s="364">
        <v>2019</v>
      </c>
      <c r="BZ50" s="363" t="s">
        <v>1406</v>
      </c>
      <c r="CA50" s="363" t="s">
        <v>1407</v>
      </c>
      <c r="CB50" s="363" t="s">
        <v>1408</v>
      </c>
      <c r="CC50" s="363" t="s">
        <v>1409</v>
      </c>
      <c r="CD50" s="364">
        <v>2020</v>
      </c>
      <c r="CF50" s="175"/>
      <c r="CG50" s="175"/>
      <c r="CH50" s="175"/>
      <c r="CI50" s="175"/>
      <c r="CJ50" s="175"/>
      <c r="CK50" s="175"/>
      <c r="CM50" s="5"/>
      <c r="CN50" s="5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5"/>
      <c r="CZ50" s="5"/>
      <c r="DA50" s="5"/>
      <c r="DB50" s="5"/>
      <c r="DC50" s="5"/>
    </row>
    <row r="51" spans="1:107" s="5" customFormat="1">
      <c r="A51" s="137" t="s">
        <v>2700</v>
      </c>
      <c r="B51" s="137"/>
      <c r="C51" s="138"/>
      <c r="D51" s="138"/>
      <c r="E51" s="138">
        <f t="shared" ref="E51:K52" si="79">E10-E33</f>
        <v>15726</v>
      </c>
      <c r="F51" s="138">
        <f t="shared" si="79"/>
        <v>19417</v>
      </c>
      <c r="G51" s="138">
        <f t="shared" si="79"/>
        <v>27398</v>
      </c>
      <c r="H51" s="181">
        <f t="shared" si="79"/>
        <v>7567</v>
      </c>
      <c r="I51" s="181">
        <f t="shared" si="79"/>
        <v>7659</v>
      </c>
      <c r="J51" s="181">
        <f t="shared" si="79"/>
        <v>7697</v>
      </c>
      <c r="K51" s="181">
        <f t="shared" si="79"/>
        <v>5540</v>
      </c>
      <c r="L51" s="138">
        <f t="shared" ref="L51:L57" si="80">SUM(H51:K51)</f>
        <v>28463</v>
      </c>
      <c r="M51" s="181">
        <f t="shared" ref="M51:P52" si="81">M10-M33</f>
        <v>5518</v>
      </c>
      <c r="N51" s="181">
        <f t="shared" si="81"/>
        <v>6815</v>
      </c>
      <c r="O51" s="181">
        <f t="shared" si="81"/>
        <v>6333</v>
      </c>
      <c r="P51" s="181">
        <f t="shared" si="81"/>
        <v>8397</v>
      </c>
      <c r="Q51" s="138">
        <f>SUM(M51:P51)</f>
        <v>27063</v>
      </c>
      <c r="R51" s="181">
        <f t="shared" ref="R51:U52" si="82">R10-R33</f>
        <v>10707</v>
      </c>
      <c r="S51" s="181">
        <f t="shared" si="82"/>
        <v>13120</v>
      </c>
      <c r="T51" s="181">
        <f t="shared" si="82"/>
        <v>11494</v>
      </c>
      <c r="U51" s="181">
        <f t="shared" si="82"/>
        <v>4259</v>
      </c>
      <c r="V51" s="138">
        <f>SUM(R51:U51)</f>
        <v>39580</v>
      </c>
      <c r="W51" s="181">
        <f t="shared" ref="W51:Z56" si="83">W10-W33</f>
        <v>3717</v>
      </c>
      <c r="X51" s="181">
        <f t="shared" si="83"/>
        <v>3858</v>
      </c>
      <c r="Y51" s="181">
        <f t="shared" si="83"/>
        <v>5546</v>
      </c>
      <c r="Z51" s="181">
        <f t="shared" si="83"/>
        <v>6547</v>
      </c>
      <c r="AA51" s="138">
        <f t="shared" ref="AA51:AA56" si="84">SUM(W51:Z51)</f>
        <v>19668</v>
      </c>
      <c r="AB51" s="181">
        <f t="shared" ref="AB51:AE56" si="85">AB10-AB33</f>
        <v>7645</v>
      </c>
      <c r="AC51" s="181">
        <f t="shared" si="85"/>
        <v>5815</v>
      </c>
      <c r="AD51" s="181">
        <f t="shared" si="85"/>
        <v>5811</v>
      </c>
      <c r="AE51" s="181">
        <f t="shared" si="85"/>
        <v>5802</v>
      </c>
      <c r="AF51" s="138">
        <f t="shared" ref="AF51:AF56" si="86">SUM(AB51:AE51)</f>
        <v>25073</v>
      </c>
      <c r="AG51" s="181">
        <f t="shared" ref="AG51:AJ56" si="87">AG10-AG33</f>
        <v>6684</v>
      </c>
      <c r="AH51" s="181">
        <f t="shared" si="87"/>
        <v>6330</v>
      </c>
      <c r="AI51" s="181">
        <f t="shared" si="87"/>
        <v>6287</v>
      </c>
      <c r="AJ51" s="181">
        <f t="shared" si="87"/>
        <v>5924</v>
      </c>
      <c r="AK51" s="138">
        <f t="shared" ref="AK51:AK57" si="88">SUM(AG51:AJ51)</f>
        <v>25225</v>
      </c>
      <c r="AL51" s="181">
        <f t="shared" ref="AL51:AM56" si="89">AL10-AL33</f>
        <v>6290</v>
      </c>
      <c r="AM51" s="181">
        <f t="shared" si="89"/>
        <v>4401</v>
      </c>
      <c r="AN51" s="181">
        <f t="shared" ref="AN51:AO56" si="90">AN10-AN33</f>
        <v>4369</v>
      </c>
      <c r="AO51" s="181">
        <f t="shared" si="90"/>
        <v>4359</v>
      </c>
      <c r="AP51" s="138">
        <f t="shared" ref="AP51:AP57" si="91">SUM(AL51:AO51)</f>
        <v>19419</v>
      </c>
      <c r="AQ51" s="181">
        <v>5702</v>
      </c>
      <c r="AR51" s="181">
        <v>4288</v>
      </c>
      <c r="AS51" s="181">
        <v>4423</v>
      </c>
      <c r="AT51" s="181">
        <v>3852</v>
      </c>
      <c r="AU51" s="138">
        <f t="shared" ref="AU51:AU56" si="92">SUM(AQ51:AT51)</f>
        <v>18265</v>
      </c>
      <c r="AV51" s="181">
        <v>4401</v>
      </c>
      <c r="AW51" s="181">
        <v>4655</v>
      </c>
      <c r="AX51" s="181">
        <v>3899</v>
      </c>
      <c r="AY51" s="181">
        <v>2246</v>
      </c>
      <c r="AZ51" s="138">
        <f t="shared" ref="AZ51:AZ56" si="93">SUM(AV51:AY51)</f>
        <v>15201</v>
      </c>
      <c r="BA51" s="181">
        <v>604</v>
      </c>
      <c r="BB51" s="181">
        <v>494</v>
      </c>
      <c r="BC51" s="181">
        <v>823</v>
      </c>
      <c r="BD51" s="181">
        <v>-728</v>
      </c>
      <c r="BE51" s="138">
        <f t="shared" ref="BE51:BE56" si="94">SUM(BA51:BD51)</f>
        <v>1193</v>
      </c>
      <c r="BF51" s="181">
        <v>-747</v>
      </c>
      <c r="BG51" s="181">
        <v>29</v>
      </c>
      <c r="BH51" s="181">
        <v>-224</v>
      </c>
      <c r="BI51" s="181">
        <v>400</v>
      </c>
      <c r="BJ51" s="138">
        <f t="shared" ref="BJ51:BJ56" si="95">SUM(BF51:BI51)</f>
        <v>-542</v>
      </c>
      <c r="BK51" s="181">
        <v>1370</v>
      </c>
      <c r="BL51" s="181">
        <v>710</v>
      </c>
      <c r="BM51" s="181">
        <v>1562</v>
      </c>
      <c r="BN51" s="181">
        <v>2223</v>
      </c>
      <c r="BO51" s="138">
        <f t="shared" ref="BO51:BO56" si="96">SUM(BK51:BN51)</f>
        <v>5865</v>
      </c>
      <c r="BP51" s="12">
        <f>'E&amp;P - FAS69'!BP25</f>
        <v>2713.5992453804474</v>
      </c>
      <c r="BQ51" s="12">
        <f>'E&amp;P - FAS69'!BQ25</f>
        <v>3469.2947773112592</v>
      </c>
      <c r="BR51" s="12">
        <f>'E&amp;P - FAS69'!BR25</f>
        <v>3419.8350830093696</v>
      </c>
      <c r="BS51" s="12">
        <f>'E&amp;P - FAS69'!BS25</f>
        <v>3328.8200957335225</v>
      </c>
      <c r="BT51" s="5">
        <f t="shared" ref="BT51:BT56" si="97">SUM(BP51:BS51)</f>
        <v>12931.5492014346</v>
      </c>
      <c r="BU51" s="12">
        <f>'E&amp;P - FAS69'!BU25</f>
        <v>3022.0940076910179</v>
      </c>
      <c r="BV51" s="12">
        <f>'E&amp;P - FAS69'!BV25</f>
        <v>3025.9772800128012</v>
      </c>
      <c r="BW51" s="12">
        <f>'E&amp;P - FAS69'!BW25</f>
        <v>3050.5181526629212</v>
      </c>
      <c r="BX51" s="12">
        <f>'E&amp;P - FAS69'!BX25</f>
        <v>3060.1832132635736</v>
      </c>
      <c r="BY51" s="5">
        <f t="shared" ref="BY51:BY56" si="98">SUM(BU51:BX51)</f>
        <v>12158.772653630314</v>
      </c>
      <c r="BZ51" s="12">
        <f>'E&amp;P - FAS69'!BZ25</f>
        <v>2923.2995335794899</v>
      </c>
      <c r="CA51" s="12">
        <f>'E&amp;P - FAS69'!CA25</f>
        <v>3061.7798224220128</v>
      </c>
      <c r="CB51" s="12">
        <f>'E&amp;P - FAS69'!CB25</f>
        <v>3154.5134306046239</v>
      </c>
      <c r="CC51" s="12">
        <f>'E&amp;P - FAS69'!CC25</f>
        <v>3222.6681736809719</v>
      </c>
      <c r="CD51" s="5">
        <f t="shared" ref="CD51:CD56" si="99">SUM(BZ51:CC51)</f>
        <v>12362.260960287098</v>
      </c>
      <c r="CF51" s="175"/>
      <c r="CG51" s="175"/>
      <c r="CH51" s="175"/>
      <c r="CI51" s="175"/>
      <c r="CJ51" s="175"/>
      <c r="CK51" s="175"/>
      <c r="CO51" s="8"/>
      <c r="CP51" s="8"/>
      <c r="CQ51" s="8"/>
      <c r="CR51" s="8"/>
      <c r="CS51" s="8"/>
      <c r="CT51" s="8"/>
      <c r="CU51" s="8"/>
      <c r="CV51" s="8"/>
      <c r="CW51" s="8"/>
      <c r="CX51" s="8"/>
    </row>
    <row r="52" spans="1:107" s="5" customFormat="1">
      <c r="A52" s="137" t="s">
        <v>2701</v>
      </c>
      <c r="B52" s="137"/>
      <c r="C52" s="138"/>
      <c r="D52" s="138"/>
      <c r="E52" s="138">
        <f t="shared" si="79"/>
        <v>4015</v>
      </c>
      <c r="F52" s="138">
        <f t="shared" si="79"/>
        <v>5718</v>
      </c>
      <c r="G52" s="138">
        <f t="shared" si="79"/>
        <v>5035</v>
      </c>
      <c r="H52" s="181">
        <f t="shared" si="79"/>
        <v>935</v>
      </c>
      <c r="I52" s="181">
        <f t="shared" si="79"/>
        <v>2322</v>
      </c>
      <c r="J52" s="181">
        <f t="shared" si="79"/>
        <v>1913</v>
      </c>
      <c r="K52" s="181">
        <f t="shared" si="79"/>
        <v>378</v>
      </c>
      <c r="L52" s="138">
        <f t="shared" si="80"/>
        <v>5548</v>
      </c>
      <c r="M52" s="181">
        <f t="shared" si="81"/>
        <v>1572</v>
      </c>
      <c r="N52" s="181">
        <f t="shared" si="81"/>
        <v>1638</v>
      </c>
      <c r="O52" s="181">
        <f t="shared" si="81"/>
        <v>808</v>
      </c>
      <c r="P52" s="181">
        <f t="shared" si="81"/>
        <v>-88</v>
      </c>
      <c r="Q52" s="138">
        <f>SUM(M52:P52)</f>
        <v>3930</v>
      </c>
      <c r="R52" s="181">
        <f t="shared" si="82"/>
        <v>539</v>
      </c>
      <c r="S52" s="181">
        <f t="shared" si="82"/>
        <v>799</v>
      </c>
      <c r="T52" s="181">
        <f t="shared" si="82"/>
        <v>1336</v>
      </c>
      <c r="U52" s="181">
        <f t="shared" si="82"/>
        <v>644</v>
      </c>
      <c r="V52" s="138">
        <f>SUM(R52:U52)</f>
        <v>3318</v>
      </c>
      <c r="W52" s="181">
        <f t="shared" si="83"/>
        <v>1549</v>
      </c>
      <c r="X52" s="181">
        <f t="shared" si="83"/>
        <v>972</v>
      </c>
      <c r="Y52" s="181">
        <f t="shared" si="83"/>
        <v>1071</v>
      </c>
      <c r="Z52" s="181">
        <f t="shared" si="83"/>
        <v>15</v>
      </c>
      <c r="AA52" s="138">
        <f t="shared" si="84"/>
        <v>3607</v>
      </c>
      <c r="AB52" s="181">
        <f t="shared" si="85"/>
        <v>789</v>
      </c>
      <c r="AC52" s="181">
        <f t="shared" si="85"/>
        <v>1724</v>
      </c>
      <c r="AD52" s="181">
        <f t="shared" si="85"/>
        <v>1626</v>
      </c>
      <c r="AE52" s="181">
        <f t="shared" si="85"/>
        <v>744</v>
      </c>
      <c r="AF52" s="138">
        <f t="shared" si="86"/>
        <v>4883</v>
      </c>
      <c r="AG52" s="181">
        <f t="shared" si="87"/>
        <v>2196</v>
      </c>
      <c r="AH52" s="181">
        <f t="shared" si="87"/>
        <v>1392</v>
      </c>
      <c r="AI52" s="181">
        <f t="shared" si="87"/>
        <v>1666</v>
      </c>
      <c r="AJ52" s="181">
        <f t="shared" si="87"/>
        <v>759</v>
      </c>
      <c r="AK52" s="138">
        <f t="shared" si="88"/>
        <v>6013</v>
      </c>
      <c r="AL52" s="181">
        <f t="shared" si="89"/>
        <v>924</v>
      </c>
      <c r="AM52" s="181">
        <f t="shared" si="89"/>
        <v>1129</v>
      </c>
      <c r="AN52" s="181">
        <f t="shared" si="90"/>
        <v>3004</v>
      </c>
      <c r="AO52" s="181">
        <f t="shared" si="90"/>
        <v>1390</v>
      </c>
      <c r="AP52" s="138">
        <f t="shared" si="91"/>
        <v>6447</v>
      </c>
      <c r="AQ52" s="181">
        <v>1641</v>
      </c>
      <c r="AR52" s="181">
        <v>1201</v>
      </c>
      <c r="AS52" s="181">
        <v>720</v>
      </c>
      <c r="AT52" s="181">
        <v>70</v>
      </c>
      <c r="AU52" s="138">
        <f t="shared" si="92"/>
        <v>3632</v>
      </c>
      <c r="AV52" s="181">
        <v>1011</v>
      </c>
      <c r="AW52" s="181">
        <v>733</v>
      </c>
      <c r="AX52" s="181">
        <v>1484</v>
      </c>
      <c r="AY52" s="181">
        <v>1213</v>
      </c>
      <c r="AZ52" s="138">
        <f t="shared" si="93"/>
        <v>4441</v>
      </c>
      <c r="BA52" s="181">
        <v>2158</v>
      </c>
      <c r="BB52" s="181">
        <v>1867</v>
      </c>
      <c r="BC52" s="181">
        <v>2302</v>
      </c>
      <c r="BD52" s="181">
        <v>1218</v>
      </c>
      <c r="BE52" s="138">
        <f t="shared" si="94"/>
        <v>7545</v>
      </c>
      <c r="BF52" s="181">
        <v>1813</v>
      </c>
      <c r="BG52" s="181">
        <v>1513</v>
      </c>
      <c r="BH52" s="181">
        <v>1431</v>
      </c>
      <c r="BI52" s="181">
        <v>877</v>
      </c>
      <c r="BJ52" s="138">
        <f t="shared" si="95"/>
        <v>5634</v>
      </c>
      <c r="BK52" s="181">
        <v>1742</v>
      </c>
      <c r="BL52" s="181">
        <v>1413</v>
      </c>
      <c r="BM52" s="181">
        <v>2338</v>
      </c>
      <c r="BN52" s="181">
        <v>1474</v>
      </c>
      <c r="BO52" s="138">
        <f t="shared" si="96"/>
        <v>6967</v>
      </c>
      <c r="BP52" s="65">
        <f>'R&amp;M'!BP12</f>
        <v>1537.1374776063149</v>
      </c>
      <c r="BQ52" s="65">
        <f>'R&amp;M'!BQ12</f>
        <v>1969.787356180356</v>
      </c>
      <c r="BR52" s="65">
        <f>'R&amp;M'!BR12</f>
        <v>2199.2873561803563</v>
      </c>
      <c r="BS52" s="65">
        <f>'R&amp;M'!BS12</f>
        <v>1740.287356180356</v>
      </c>
      <c r="BT52" s="5">
        <f t="shared" si="97"/>
        <v>7446.4995461473836</v>
      </c>
      <c r="BU52" s="65">
        <f>'R&amp;M'!BU12</f>
        <v>2301.3350525471051</v>
      </c>
      <c r="BV52" s="65">
        <f>'R&amp;M'!BV12</f>
        <v>2148.3350525471051</v>
      </c>
      <c r="BW52" s="65">
        <f>'R&amp;M'!BW12</f>
        <v>2377.8350525471051</v>
      </c>
      <c r="BX52" s="65">
        <f>'R&amp;M'!BX12</f>
        <v>2071.8350525471051</v>
      </c>
      <c r="BY52" s="5">
        <f t="shared" si="98"/>
        <v>8899.3402101884203</v>
      </c>
      <c r="BZ52" s="65">
        <f>'R&amp;M'!BZ12</f>
        <v>2400.6089007304799</v>
      </c>
      <c r="CA52" s="65">
        <f>'R&amp;M'!CA12</f>
        <v>2247.6089007304799</v>
      </c>
      <c r="CB52" s="65">
        <f>'R&amp;M'!CB12</f>
        <v>2477.1089007304799</v>
      </c>
      <c r="CC52" s="65">
        <f>'R&amp;M'!CC12</f>
        <v>2171.1089007304799</v>
      </c>
      <c r="CD52" s="5">
        <f t="shared" si="99"/>
        <v>9296.4356029219198</v>
      </c>
      <c r="CF52" s="175"/>
      <c r="CG52" s="175"/>
      <c r="CH52" s="175"/>
      <c r="CI52" s="175"/>
      <c r="CJ52" s="175"/>
      <c r="CK52" s="175"/>
      <c r="CO52" s="8"/>
      <c r="CP52" s="8"/>
      <c r="CQ52" s="8"/>
      <c r="CR52" s="8"/>
      <c r="CS52" s="8"/>
      <c r="CT52" s="8"/>
      <c r="CU52" s="8"/>
      <c r="CV52" s="8"/>
      <c r="CW52" s="8"/>
      <c r="CX52" s="8"/>
    </row>
    <row r="53" spans="1:107" s="5" customFormat="1">
      <c r="A53" s="137" t="s">
        <v>145</v>
      </c>
      <c r="B53" s="137"/>
      <c r="C53" s="138"/>
      <c r="D53" s="138"/>
      <c r="E53" s="138"/>
      <c r="F53" s="138"/>
      <c r="G53" s="138"/>
      <c r="H53" s="138"/>
      <c r="I53" s="138"/>
      <c r="J53" s="138"/>
      <c r="K53" s="138"/>
      <c r="L53" s="138"/>
      <c r="M53" s="138"/>
      <c r="N53" s="138"/>
      <c r="O53" s="138"/>
      <c r="P53" s="138"/>
      <c r="Q53" s="138"/>
      <c r="R53" s="138"/>
      <c r="S53" s="138"/>
      <c r="T53" s="138"/>
      <c r="U53" s="138"/>
      <c r="V53" s="138"/>
      <c r="W53" s="181">
        <f t="shared" si="83"/>
        <v>134</v>
      </c>
      <c r="X53" s="181">
        <f t="shared" si="83"/>
        <v>546</v>
      </c>
      <c r="Y53" s="181">
        <f t="shared" si="83"/>
        <v>732</v>
      </c>
      <c r="Z53" s="181">
        <f t="shared" si="83"/>
        <v>536</v>
      </c>
      <c r="AA53" s="138">
        <f t="shared" si="84"/>
        <v>1948</v>
      </c>
      <c r="AB53" s="181">
        <f t="shared" si="85"/>
        <v>543</v>
      </c>
      <c r="AC53" s="181">
        <f t="shared" si="85"/>
        <v>490</v>
      </c>
      <c r="AD53" s="181">
        <f t="shared" si="85"/>
        <v>730</v>
      </c>
      <c r="AE53" s="181">
        <f t="shared" si="85"/>
        <v>854</v>
      </c>
      <c r="AF53" s="138">
        <f t="shared" si="86"/>
        <v>2617</v>
      </c>
      <c r="AG53" s="181">
        <f t="shared" si="87"/>
        <v>1127</v>
      </c>
      <c r="AH53" s="181">
        <f t="shared" si="87"/>
        <v>1081</v>
      </c>
      <c r="AI53" s="181">
        <f t="shared" si="87"/>
        <v>939</v>
      </c>
      <c r="AJ53" s="181">
        <f t="shared" si="87"/>
        <v>987</v>
      </c>
      <c r="AK53" s="138">
        <f>SUM(AG53:AJ53)</f>
        <v>4134</v>
      </c>
      <c r="AL53" s="181">
        <f t="shared" si="89"/>
        <v>1157</v>
      </c>
      <c r="AM53" s="181">
        <f t="shared" si="89"/>
        <v>452</v>
      </c>
      <c r="AN53" s="181">
        <f t="shared" si="90"/>
        <v>1294</v>
      </c>
      <c r="AO53" s="181">
        <f t="shared" si="90"/>
        <v>224</v>
      </c>
      <c r="AP53" s="138">
        <f t="shared" si="91"/>
        <v>3127</v>
      </c>
      <c r="AQ53" s="181">
        <f>0+85</f>
        <v>85</v>
      </c>
      <c r="AR53" s="181">
        <v>218</v>
      </c>
      <c r="AS53" s="181">
        <v>808</v>
      </c>
      <c r="AT53" s="181">
        <v>1087</v>
      </c>
      <c r="AU53" s="138">
        <f t="shared" si="92"/>
        <v>2198</v>
      </c>
      <c r="AV53" s="181">
        <v>271</v>
      </c>
      <c r="AW53" s="181">
        <v>1024</v>
      </c>
      <c r="AX53" s="181">
        <v>110</v>
      </c>
      <c r="AY53" s="181">
        <v>470</v>
      </c>
      <c r="AZ53" s="138">
        <f t="shared" si="93"/>
        <v>1875</v>
      </c>
      <c r="BA53" s="181">
        <v>183</v>
      </c>
      <c r="BB53" s="181">
        <v>510</v>
      </c>
      <c r="BC53" s="181">
        <v>382</v>
      </c>
      <c r="BD53" s="181">
        <v>235</v>
      </c>
      <c r="BE53" s="138">
        <f t="shared" si="94"/>
        <v>1310</v>
      </c>
      <c r="BF53" s="181">
        <v>66</v>
      </c>
      <c r="BG53" s="181">
        <v>246</v>
      </c>
      <c r="BH53" s="181">
        <v>120</v>
      </c>
      <c r="BI53" s="181">
        <v>135</v>
      </c>
      <c r="BJ53" s="138">
        <f t="shared" si="95"/>
        <v>567</v>
      </c>
      <c r="BK53" s="181">
        <v>99</v>
      </c>
      <c r="BL53" s="181">
        <v>279</v>
      </c>
      <c r="BM53" s="181">
        <v>137</v>
      </c>
      <c r="BN53" s="181">
        <v>321</v>
      </c>
      <c r="BO53" s="138">
        <f t="shared" si="96"/>
        <v>836</v>
      </c>
      <c r="BP53" s="65">
        <f ca="1">'E&amp;P - FAS69'!BP13</f>
        <v>166.09817834995982</v>
      </c>
      <c r="BQ53" s="65">
        <f ca="1">'E&amp;P - FAS69'!BQ13</f>
        <v>450.84421033314067</v>
      </c>
      <c r="BR53" s="65">
        <f ca="1">'E&amp;P - FAS69'!BR13</f>
        <v>440.28892284330129</v>
      </c>
      <c r="BS53" s="65">
        <f ca="1">'E&amp;P - FAS69'!BS13</f>
        <v>442.48144185590229</v>
      </c>
      <c r="BT53" s="5">
        <f t="shared" ca="1" si="97"/>
        <v>1499.7127533823041</v>
      </c>
      <c r="BU53" s="65">
        <f ca="1">'E&amp;P - FAS69'!BU13</f>
        <v>461.00409165746134</v>
      </c>
      <c r="BV53" s="65">
        <f ca="1">'E&amp;P - FAS69'!BV13</f>
        <v>468.45114509473188</v>
      </c>
      <c r="BW53" s="65">
        <f ca="1">'E&amp;P - FAS69'!BW13</f>
        <v>459.44950906956944</v>
      </c>
      <c r="BX53" s="65">
        <f ca="1">'E&amp;P - FAS69'!BX13</f>
        <v>460.02334409286203</v>
      </c>
      <c r="BY53" s="5">
        <f t="shared" ca="1" si="98"/>
        <v>1848.9280899146249</v>
      </c>
      <c r="BZ53" s="65">
        <f ca="1">'E&amp;P - FAS69'!BZ13</f>
        <v>840.68313937295204</v>
      </c>
      <c r="CA53" s="65">
        <f ca="1">'E&amp;P - FAS69'!CA13</f>
        <v>834.35548965307885</v>
      </c>
      <c r="CB53" s="65">
        <f ca="1">'E&amp;P - FAS69'!CB13</f>
        <v>823.89999314176282</v>
      </c>
      <c r="CC53" s="65">
        <f ca="1">'E&amp;P - FAS69'!CC13</f>
        <v>822.98507996752778</v>
      </c>
      <c r="CD53" s="5">
        <f t="shared" ca="1" si="99"/>
        <v>3321.9237021353215</v>
      </c>
      <c r="CF53" s="175"/>
      <c r="CG53" s="175"/>
      <c r="CH53" s="175"/>
      <c r="CI53" s="175"/>
      <c r="CJ53" s="175"/>
      <c r="CK53" s="175"/>
      <c r="CO53" s="8"/>
      <c r="CP53" s="8"/>
      <c r="CQ53" s="8"/>
      <c r="CR53" s="8"/>
      <c r="CS53" s="8"/>
      <c r="CT53" s="8"/>
      <c r="CU53" s="8"/>
      <c r="CV53" s="8"/>
      <c r="CW53" s="8"/>
      <c r="CX53" s="8"/>
    </row>
    <row r="54" spans="1:107" s="5" customFormat="1">
      <c r="A54" s="137" t="s">
        <v>2702</v>
      </c>
      <c r="B54" s="137"/>
      <c r="C54" s="138"/>
      <c r="D54" s="138"/>
      <c r="E54" s="138">
        <f t="shared" ref="E54:K57" si="100">E13-E36</f>
        <v>-820</v>
      </c>
      <c r="F54" s="138">
        <f t="shared" si="100"/>
        <v>-465</v>
      </c>
      <c r="G54" s="138">
        <f t="shared" si="100"/>
        <v>-594</v>
      </c>
      <c r="H54" s="181">
        <f t="shared" si="100"/>
        <v>-99</v>
      </c>
      <c r="I54" s="181">
        <f t="shared" si="100"/>
        <v>-203</v>
      </c>
      <c r="J54" s="181">
        <f t="shared" si="100"/>
        <v>-305</v>
      </c>
      <c r="K54" s="181">
        <f t="shared" si="100"/>
        <v>-162</v>
      </c>
      <c r="L54" s="138">
        <f t="shared" si="80"/>
        <v>-769</v>
      </c>
      <c r="M54" s="181">
        <f t="shared" ref="M54:P56" si="101">M13-M36</f>
        <v>-132</v>
      </c>
      <c r="N54" s="181">
        <f t="shared" si="101"/>
        <v>-165</v>
      </c>
      <c r="O54" s="181">
        <f t="shared" si="101"/>
        <v>-310</v>
      </c>
      <c r="P54" s="181">
        <f t="shared" si="101"/>
        <v>-340</v>
      </c>
      <c r="Q54" s="138">
        <f>SUM(M54:P54)</f>
        <v>-947</v>
      </c>
      <c r="R54" s="181">
        <f t="shared" ref="R54:U56" si="102">R13-R36</f>
        <v>-132</v>
      </c>
      <c r="S54" s="181">
        <f t="shared" si="102"/>
        <v>-191</v>
      </c>
      <c r="T54" s="181">
        <f t="shared" si="102"/>
        <v>112</v>
      </c>
      <c r="U54" s="181">
        <f t="shared" si="102"/>
        <v>-379</v>
      </c>
      <c r="V54" s="138">
        <f>SUM(R54:U54)</f>
        <v>-590</v>
      </c>
      <c r="W54" s="181">
        <f t="shared" si="83"/>
        <v>-440</v>
      </c>
      <c r="X54" s="181">
        <f t="shared" si="83"/>
        <v>-544</v>
      </c>
      <c r="Y54" s="181">
        <f t="shared" si="83"/>
        <v>-522</v>
      </c>
      <c r="Z54" s="181">
        <f t="shared" si="83"/>
        <v>-327</v>
      </c>
      <c r="AA54" s="138">
        <f t="shared" si="84"/>
        <v>-1833</v>
      </c>
      <c r="AB54" s="181">
        <f t="shared" si="85"/>
        <v>-210</v>
      </c>
      <c r="AC54" s="181">
        <f t="shared" si="85"/>
        <v>-141</v>
      </c>
      <c r="AD54" s="181">
        <f t="shared" si="85"/>
        <v>-482</v>
      </c>
      <c r="AE54" s="181">
        <f t="shared" si="85"/>
        <v>-483</v>
      </c>
      <c r="AF54" s="138">
        <f t="shared" si="86"/>
        <v>-1316</v>
      </c>
      <c r="AG54" s="181">
        <f t="shared" si="87"/>
        <v>-297</v>
      </c>
      <c r="AH54" s="181">
        <f t="shared" si="87"/>
        <v>-335</v>
      </c>
      <c r="AI54" s="181">
        <f t="shared" si="87"/>
        <v>-406</v>
      </c>
      <c r="AJ54" s="181">
        <f t="shared" si="87"/>
        <v>-618</v>
      </c>
      <c r="AK54" s="138">
        <f t="shared" si="88"/>
        <v>-1656</v>
      </c>
      <c r="AL54" s="181">
        <f t="shared" si="89"/>
        <v>-436</v>
      </c>
      <c r="AM54" s="181">
        <f t="shared" si="89"/>
        <v>-540</v>
      </c>
      <c r="AN54" s="181">
        <f t="shared" si="90"/>
        <v>-574</v>
      </c>
      <c r="AO54" s="181">
        <f t="shared" si="90"/>
        <v>-447</v>
      </c>
      <c r="AP54" s="138">
        <f t="shared" si="91"/>
        <v>-1997</v>
      </c>
      <c r="AQ54" s="181">
        <v>-461</v>
      </c>
      <c r="AR54" s="181">
        <v>-438</v>
      </c>
      <c r="AS54" s="181">
        <v>-385</v>
      </c>
      <c r="AT54" s="181">
        <v>-614</v>
      </c>
      <c r="AU54" s="138">
        <f t="shared" si="92"/>
        <v>-1898</v>
      </c>
      <c r="AV54" s="181">
        <v>-489</v>
      </c>
      <c r="AW54" s="181">
        <v>-438</v>
      </c>
      <c r="AX54" s="181">
        <v>-293</v>
      </c>
      <c r="AY54" s="181">
        <v>-120</v>
      </c>
      <c r="AZ54" s="138">
        <f t="shared" si="93"/>
        <v>-1340</v>
      </c>
      <c r="BA54" s="181">
        <v>-290</v>
      </c>
      <c r="BB54" s="181">
        <v>-401</v>
      </c>
      <c r="BC54" s="181">
        <v>-231</v>
      </c>
      <c r="BD54" s="181">
        <v>-299</v>
      </c>
      <c r="BE54" s="138">
        <f t="shared" si="94"/>
        <v>-1221</v>
      </c>
      <c r="BF54" s="181">
        <v>-178</v>
      </c>
      <c r="BG54" s="181">
        <v>-376</v>
      </c>
      <c r="BH54" s="181">
        <v>-260</v>
      </c>
      <c r="BI54" s="181">
        <v>-424</v>
      </c>
      <c r="BJ54" s="138">
        <f t="shared" si="95"/>
        <v>-1238</v>
      </c>
      <c r="BK54" s="181">
        <v>-440</v>
      </c>
      <c r="BL54" s="181">
        <v>-366</v>
      </c>
      <c r="BM54" s="181">
        <v>-398</v>
      </c>
      <c r="BN54" s="181">
        <v>-394</v>
      </c>
      <c r="BO54" s="138">
        <f t="shared" si="96"/>
        <v>-1598</v>
      </c>
      <c r="BP54" s="187">
        <v>-350</v>
      </c>
      <c r="BQ54" s="187">
        <v>-350</v>
      </c>
      <c r="BR54" s="187">
        <v>-350</v>
      </c>
      <c r="BS54" s="187">
        <v>-350</v>
      </c>
      <c r="BT54" s="5">
        <f t="shared" si="97"/>
        <v>-1400</v>
      </c>
      <c r="BU54" s="187">
        <v>-350</v>
      </c>
      <c r="BV54" s="187">
        <v>-350</v>
      </c>
      <c r="BW54" s="187">
        <v>-350</v>
      </c>
      <c r="BX54" s="187">
        <v>-350</v>
      </c>
      <c r="BY54" s="5">
        <f t="shared" si="98"/>
        <v>-1400</v>
      </c>
      <c r="BZ54" s="187">
        <v>-350</v>
      </c>
      <c r="CA54" s="187">
        <v>-350</v>
      </c>
      <c r="CB54" s="187">
        <v>-350</v>
      </c>
      <c r="CC54" s="187">
        <v>-350</v>
      </c>
      <c r="CD54" s="5">
        <f t="shared" si="99"/>
        <v>-1400</v>
      </c>
      <c r="CF54" s="175"/>
      <c r="CG54" s="175"/>
      <c r="CH54" s="175"/>
      <c r="CI54" s="175"/>
      <c r="CJ54" s="175"/>
      <c r="CK54" s="175"/>
      <c r="CO54" s="8"/>
      <c r="CP54" s="8"/>
      <c r="CQ54" s="8"/>
      <c r="CR54" s="8"/>
      <c r="CS54" s="8"/>
      <c r="CT54" s="8"/>
      <c r="CU54" s="8"/>
      <c r="CV54" s="8"/>
      <c r="CW54" s="8"/>
      <c r="CX54" s="8"/>
    </row>
    <row r="55" spans="1:107" s="5" customFormat="1">
      <c r="A55" s="137" t="s">
        <v>2703</v>
      </c>
      <c r="B55" s="137"/>
      <c r="C55" s="138"/>
      <c r="D55" s="138"/>
      <c r="E55" s="138">
        <f t="shared" si="100"/>
        <v>0</v>
      </c>
      <c r="F55" s="138">
        <f t="shared" si="100"/>
        <v>0</v>
      </c>
      <c r="G55" s="138">
        <f t="shared" si="100"/>
        <v>0</v>
      </c>
      <c r="H55" s="181">
        <f t="shared" si="100"/>
        <v>0</v>
      </c>
      <c r="I55" s="181">
        <f t="shared" si="100"/>
        <v>0</v>
      </c>
      <c r="J55" s="181">
        <f t="shared" si="100"/>
        <v>0</v>
      </c>
      <c r="K55" s="181">
        <f t="shared" si="100"/>
        <v>0</v>
      </c>
      <c r="L55" s="138">
        <f t="shared" si="80"/>
        <v>0</v>
      </c>
      <c r="M55" s="181">
        <f t="shared" si="101"/>
        <v>0</v>
      </c>
      <c r="N55" s="181">
        <f t="shared" si="101"/>
        <v>0</v>
      </c>
      <c r="O55" s="181">
        <f t="shared" si="101"/>
        <v>0</v>
      </c>
      <c r="P55" s="181">
        <f t="shared" si="101"/>
        <v>0</v>
      </c>
      <c r="Q55" s="138">
        <f>SUM(M55:P55)</f>
        <v>0</v>
      </c>
      <c r="R55" s="181">
        <f t="shared" si="102"/>
        <v>0</v>
      </c>
      <c r="S55" s="181">
        <f t="shared" si="102"/>
        <v>0</v>
      </c>
      <c r="T55" s="181">
        <f t="shared" si="102"/>
        <v>0</v>
      </c>
      <c r="U55" s="181">
        <f t="shared" si="102"/>
        <v>0</v>
      </c>
      <c r="V55" s="138">
        <f>SUM(R55:U55)</f>
        <v>0</v>
      </c>
      <c r="W55" s="181">
        <f t="shared" si="83"/>
        <v>0</v>
      </c>
      <c r="X55" s="181">
        <f t="shared" si="83"/>
        <v>0</v>
      </c>
      <c r="Y55" s="181">
        <f t="shared" si="83"/>
        <v>0</v>
      </c>
      <c r="Z55" s="181">
        <f t="shared" si="83"/>
        <v>0</v>
      </c>
      <c r="AA55" s="138">
        <f t="shared" si="84"/>
        <v>0</v>
      </c>
      <c r="AB55" s="181">
        <f t="shared" si="85"/>
        <v>0</v>
      </c>
      <c r="AC55" s="181">
        <f t="shared" si="85"/>
        <v>0</v>
      </c>
      <c r="AD55" s="181">
        <f t="shared" si="85"/>
        <v>0</v>
      </c>
      <c r="AE55" s="181">
        <f t="shared" si="85"/>
        <v>0</v>
      </c>
      <c r="AF55" s="138">
        <f t="shared" si="86"/>
        <v>0</v>
      </c>
      <c r="AG55" s="181">
        <f t="shared" si="87"/>
        <v>0</v>
      </c>
      <c r="AH55" s="181">
        <f t="shared" si="87"/>
        <v>0</v>
      </c>
      <c r="AI55" s="181">
        <f t="shared" si="87"/>
        <v>0</v>
      </c>
      <c r="AJ55" s="181">
        <f t="shared" si="87"/>
        <v>0</v>
      </c>
      <c r="AK55" s="138">
        <f t="shared" si="88"/>
        <v>0</v>
      </c>
      <c r="AL55" s="181">
        <f t="shared" si="89"/>
        <v>0</v>
      </c>
      <c r="AM55" s="181">
        <f t="shared" si="89"/>
        <v>0</v>
      </c>
      <c r="AN55" s="181">
        <f t="shared" si="90"/>
        <v>0</v>
      </c>
      <c r="AO55" s="181">
        <f t="shared" si="90"/>
        <v>0</v>
      </c>
      <c r="AP55" s="138">
        <f t="shared" si="91"/>
        <v>0</v>
      </c>
      <c r="AQ55" s="181">
        <v>0</v>
      </c>
      <c r="AR55" s="181">
        <v>0</v>
      </c>
      <c r="AS55" s="181">
        <v>0</v>
      </c>
      <c r="AT55" s="181">
        <v>0</v>
      </c>
      <c r="AU55" s="138">
        <f t="shared" si="92"/>
        <v>0</v>
      </c>
      <c r="AV55" s="181">
        <v>0</v>
      </c>
      <c r="AW55" s="181">
        <v>0</v>
      </c>
      <c r="AX55" s="181">
        <v>0</v>
      </c>
      <c r="AY55" s="181">
        <v>0</v>
      </c>
      <c r="AZ55" s="138">
        <f t="shared" si="93"/>
        <v>0</v>
      </c>
      <c r="BA55" s="181">
        <v>0</v>
      </c>
      <c r="BB55" s="181">
        <v>0</v>
      </c>
      <c r="BC55" s="181">
        <v>0</v>
      </c>
      <c r="BD55" s="181"/>
      <c r="BE55" s="138">
        <f t="shared" si="94"/>
        <v>0</v>
      </c>
      <c r="BF55" s="181">
        <f ca="1">BF14-BF37</f>
        <v>0</v>
      </c>
      <c r="BG55" s="181">
        <f ca="1">BG14-BG37</f>
        <v>0</v>
      </c>
      <c r="BH55" s="181">
        <v>0</v>
      </c>
      <c r="BI55" s="181">
        <v>0</v>
      </c>
      <c r="BJ55" s="138">
        <f t="shared" ca="1" si="95"/>
        <v>0</v>
      </c>
      <c r="BK55" s="181">
        <v>0</v>
      </c>
      <c r="BL55" s="181">
        <v>0</v>
      </c>
      <c r="BM55" s="181">
        <v>0</v>
      </c>
      <c r="BN55" s="181">
        <f ca="1">BN14-BN37</f>
        <v>0</v>
      </c>
      <c r="BO55" s="138">
        <f t="shared" ca="1" si="96"/>
        <v>0</v>
      </c>
      <c r="BP55" s="12">
        <f ca="1">BP14-BP37</f>
        <v>0</v>
      </c>
      <c r="BQ55" s="12">
        <f ca="1">BQ14-BQ37</f>
        <v>0</v>
      </c>
      <c r="BR55" s="12">
        <f ca="1">BR14-BR37</f>
        <v>0</v>
      </c>
      <c r="BS55" s="12">
        <f ca="1">BS14-BS37</f>
        <v>0</v>
      </c>
      <c r="BT55" s="5">
        <f t="shared" ca="1" si="97"/>
        <v>0</v>
      </c>
      <c r="BU55" s="12">
        <f ca="1">BU14-BU37</f>
        <v>0</v>
      </c>
      <c r="BV55" s="12">
        <f ca="1">BV14-BV37</f>
        <v>0</v>
      </c>
      <c r="BW55" s="12">
        <f ca="1">BW14-BW37</f>
        <v>0</v>
      </c>
      <c r="BX55" s="12">
        <f ca="1">BX14-BX37</f>
        <v>0</v>
      </c>
      <c r="BY55" s="5">
        <f t="shared" ca="1" si="98"/>
        <v>0</v>
      </c>
      <c r="BZ55" s="12">
        <f ca="1">BZ14-BZ37</f>
        <v>0</v>
      </c>
      <c r="CA55" s="12">
        <f ca="1">CA14-CA37</f>
        <v>0</v>
      </c>
      <c r="CB55" s="12">
        <f ca="1">CB14-CB37</f>
        <v>0</v>
      </c>
      <c r="CC55" s="12">
        <f ca="1">CC14-CC37</f>
        <v>0</v>
      </c>
      <c r="CD55" s="5">
        <f t="shared" ca="1" si="99"/>
        <v>0</v>
      </c>
      <c r="CF55" s="175"/>
      <c r="CG55" s="175"/>
      <c r="CH55" s="175"/>
      <c r="CI55" s="175"/>
      <c r="CJ55" s="175"/>
      <c r="CK55" s="175"/>
      <c r="CO55" s="8"/>
      <c r="CP55" s="8"/>
      <c r="CQ55" s="8"/>
      <c r="CR55" s="8"/>
      <c r="CS55" s="8"/>
      <c r="CT55" s="8"/>
      <c r="CU55" s="8"/>
      <c r="CV55" s="8"/>
      <c r="CW55" s="8"/>
      <c r="CX55" s="8"/>
    </row>
    <row r="56" spans="1:107" s="5" customFormat="1">
      <c r="A56" s="137" t="s">
        <v>2704</v>
      </c>
      <c r="B56" s="137"/>
      <c r="C56" s="138"/>
      <c r="D56" s="138"/>
      <c r="E56" s="138">
        <f t="shared" si="100"/>
        <v>-62</v>
      </c>
      <c r="F56" s="138">
        <f t="shared" si="100"/>
        <v>-184</v>
      </c>
      <c r="G56" s="138">
        <f t="shared" si="100"/>
        <v>-137</v>
      </c>
      <c r="H56" s="181">
        <f t="shared" si="100"/>
        <v>-24</v>
      </c>
      <c r="I56" s="181">
        <f t="shared" si="100"/>
        <v>-260</v>
      </c>
      <c r="J56" s="181">
        <f t="shared" si="100"/>
        <v>436</v>
      </c>
      <c r="K56" s="181">
        <f t="shared" si="100"/>
        <v>-87</v>
      </c>
      <c r="L56" s="138">
        <f t="shared" si="80"/>
        <v>65</v>
      </c>
      <c r="M56" s="181">
        <f t="shared" si="101"/>
        <v>42</v>
      </c>
      <c r="N56" s="181">
        <f t="shared" si="101"/>
        <v>-98</v>
      </c>
      <c r="O56" s="181">
        <f t="shared" si="101"/>
        <v>103</v>
      </c>
      <c r="P56" s="181">
        <f t="shared" si="101"/>
        <v>-267</v>
      </c>
      <c r="Q56" s="138">
        <f>SUM(M56:P56)</f>
        <v>-220</v>
      </c>
      <c r="R56" s="181">
        <f t="shared" si="102"/>
        <v>-784</v>
      </c>
      <c r="S56" s="181">
        <f t="shared" si="102"/>
        <v>-221</v>
      </c>
      <c r="T56" s="181">
        <f t="shared" si="102"/>
        <v>838</v>
      </c>
      <c r="U56" s="181">
        <f t="shared" si="102"/>
        <v>633</v>
      </c>
      <c r="V56" s="138">
        <f>SUM(R56:U56)</f>
        <v>466</v>
      </c>
      <c r="W56" s="181">
        <f t="shared" si="83"/>
        <v>-405</v>
      </c>
      <c r="X56" s="181">
        <f t="shared" si="83"/>
        <v>76</v>
      </c>
      <c r="Y56" s="181">
        <f t="shared" si="83"/>
        <v>104</v>
      </c>
      <c r="Z56" s="181">
        <f t="shared" si="83"/>
        <v>-492</v>
      </c>
      <c r="AA56" s="138">
        <f t="shared" si="84"/>
        <v>-717</v>
      </c>
      <c r="AB56" s="181">
        <f t="shared" si="85"/>
        <v>208</v>
      </c>
      <c r="AC56" s="181">
        <f t="shared" si="85"/>
        <v>98</v>
      </c>
      <c r="AD56" s="181">
        <f t="shared" si="85"/>
        <v>85</v>
      </c>
      <c r="AE56" s="181">
        <f t="shared" si="85"/>
        <v>56</v>
      </c>
      <c r="AF56" s="138">
        <f t="shared" si="86"/>
        <v>447</v>
      </c>
      <c r="AG56" s="181">
        <f t="shared" si="87"/>
        <v>-542</v>
      </c>
      <c r="AH56" s="181">
        <f t="shared" si="87"/>
        <v>515</v>
      </c>
      <c r="AI56" s="181">
        <f t="shared" si="87"/>
        <v>-213</v>
      </c>
      <c r="AJ56" s="181">
        <f t="shared" si="87"/>
        <v>127</v>
      </c>
      <c r="AK56" s="138">
        <f t="shared" si="88"/>
        <v>-113</v>
      </c>
      <c r="AL56" s="181">
        <f t="shared" si="89"/>
        <v>-541</v>
      </c>
      <c r="AM56" s="181">
        <f t="shared" si="89"/>
        <v>457</v>
      </c>
      <c r="AN56" s="181">
        <f t="shared" si="90"/>
        <v>-64</v>
      </c>
      <c r="AO56" s="181">
        <f t="shared" si="90"/>
        <v>-428</v>
      </c>
      <c r="AP56" s="138">
        <f t="shared" si="91"/>
        <v>-576</v>
      </c>
      <c r="AQ56" s="181">
        <v>427</v>
      </c>
      <c r="AR56" s="181">
        <v>129</v>
      </c>
      <c r="AS56" s="181">
        <v>263</v>
      </c>
      <c r="AT56" s="181">
        <v>-240</v>
      </c>
      <c r="AU56" s="138">
        <f t="shared" si="92"/>
        <v>579</v>
      </c>
      <c r="AV56" s="181">
        <v>90</v>
      </c>
      <c r="AW56" s="181">
        <v>-76</v>
      </c>
      <c r="AX56" s="181">
        <v>370</v>
      </c>
      <c r="AY56" s="181">
        <v>257</v>
      </c>
      <c r="AZ56" s="138">
        <f t="shared" si="93"/>
        <v>641</v>
      </c>
      <c r="BA56" s="181">
        <v>-129</v>
      </c>
      <c r="BB56" s="181">
        <v>-39</v>
      </c>
      <c r="BC56" s="181">
        <v>67</v>
      </c>
      <c r="BD56" s="181">
        <v>65</v>
      </c>
      <c r="BE56" s="138">
        <f t="shared" si="94"/>
        <v>-36</v>
      </c>
      <c r="BF56" s="181">
        <v>40</v>
      </c>
      <c r="BG56" s="181">
        <v>-121</v>
      </c>
      <c r="BH56" s="181">
        <v>17</v>
      </c>
      <c r="BI56" s="181">
        <v>-132</v>
      </c>
      <c r="BJ56" s="138">
        <f t="shared" si="95"/>
        <v>-196</v>
      </c>
      <c r="BK56" s="181">
        <v>-68</v>
      </c>
      <c r="BL56" s="181">
        <v>135</v>
      </c>
      <c r="BM56" s="181">
        <v>-130</v>
      </c>
      <c r="BN56" s="181">
        <v>-149</v>
      </c>
      <c r="BO56" s="138">
        <f t="shared" si="96"/>
        <v>-212</v>
      </c>
      <c r="BP56" s="187">
        <v>0</v>
      </c>
      <c r="BQ56" s="187">
        <v>0</v>
      </c>
      <c r="BR56" s="187">
        <v>0</v>
      </c>
      <c r="BS56" s="187">
        <v>0</v>
      </c>
      <c r="BT56" s="5">
        <f t="shared" si="97"/>
        <v>0</v>
      </c>
      <c r="BU56" s="187">
        <v>0</v>
      </c>
      <c r="BV56" s="187">
        <v>0</v>
      </c>
      <c r="BW56" s="187">
        <v>0</v>
      </c>
      <c r="BX56" s="187">
        <v>0</v>
      </c>
      <c r="BY56" s="5">
        <f t="shared" si="98"/>
        <v>0</v>
      </c>
      <c r="BZ56" s="187">
        <v>0</v>
      </c>
      <c r="CA56" s="187">
        <v>0</v>
      </c>
      <c r="CB56" s="187">
        <v>0</v>
      </c>
      <c r="CC56" s="187">
        <v>0</v>
      </c>
      <c r="CD56" s="5">
        <f t="shared" si="99"/>
        <v>0</v>
      </c>
      <c r="CF56" s="175"/>
      <c r="CG56" s="175"/>
      <c r="CH56" s="175"/>
      <c r="CI56" s="175"/>
      <c r="CJ56" s="175"/>
      <c r="CK56" s="175"/>
      <c r="CO56" s="8"/>
      <c r="CP56" s="8"/>
      <c r="CQ56" s="8"/>
      <c r="CR56" s="8"/>
      <c r="CS56" s="8"/>
      <c r="CT56" s="8"/>
      <c r="CU56" s="8"/>
      <c r="CV56" s="8"/>
      <c r="CW56" s="8"/>
      <c r="CX56" s="8"/>
    </row>
    <row r="57" spans="1:107" s="5" customFormat="1">
      <c r="A57" s="137" t="s">
        <v>799</v>
      </c>
      <c r="B57" s="137"/>
      <c r="C57" s="138"/>
      <c r="D57" s="138"/>
      <c r="E57" s="138">
        <f t="shared" si="100"/>
        <v>193</v>
      </c>
      <c r="F57" s="138">
        <f t="shared" si="100"/>
        <v>1307</v>
      </c>
      <c r="G57" s="138">
        <f t="shared" si="100"/>
        <v>1174</v>
      </c>
      <c r="H57" s="181">
        <f t="shared" si="100"/>
        <v>96</v>
      </c>
      <c r="I57" s="181">
        <f t="shared" si="100"/>
        <v>88</v>
      </c>
      <c r="J57" s="181">
        <f t="shared" si="100"/>
        <v>0</v>
      </c>
      <c r="K57" s="181">
        <f t="shared" si="100"/>
        <v>0</v>
      </c>
      <c r="L57" s="138">
        <f t="shared" si="80"/>
        <v>184</v>
      </c>
      <c r="M57" s="181"/>
      <c r="N57" s="181"/>
      <c r="O57" s="181"/>
      <c r="P57" s="181"/>
      <c r="Q57" s="181"/>
      <c r="R57" s="181"/>
      <c r="S57" s="181"/>
      <c r="T57" s="181"/>
      <c r="U57" s="181"/>
      <c r="V57" s="181"/>
      <c r="W57" s="181"/>
      <c r="X57" s="181"/>
      <c r="Y57" s="181"/>
      <c r="Z57" s="181"/>
      <c r="AA57" s="181"/>
      <c r="AB57" s="181"/>
      <c r="AC57" s="181"/>
      <c r="AD57" s="181"/>
      <c r="AE57" s="181"/>
      <c r="AF57" s="181"/>
      <c r="AG57" s="181"/>
      <c r="AH57" s="181"/>
      <c r="AI57" s="181"/>
      <c r="AJ57" s="181"/>
      <c r="AK57" s="138">
        <f t="shared" si="88"/>
        <v>0</v>
      </c>
      <c r="AL57" s="181"/>
      <c r="AM57" s="181"/>
      <c r="AN57" s="181"/>
      <c r="AO57" s="181"/>
      <c r="AP57" s="138">
        <f t="shared" si="91"/>
        <v>0</v>
      </c>
      <c r="AQ57" s="181"/>
      <c r="AR57" s="181"/>
      <c r="AS57" s="181"/>
      <c r="AT57" s="181"/>
      <c r="AU57" s="181"/>
      <c r="AV57" s="181"/>
      <c r="AW57" s="181"/>
      <c r="AX57" s="181"/>
      <c r="AY57" s="181"/>
      <c r="AZ57" s="181"/>
      <c r="BA57" s="181"/>
      <c r="BB57" s="181"/>
      <c r="BC57" s="181"/>
      <c r="BD57" s="181"/>
      <c r="BE57" s="181"/>
      <c r="BF57" s="181"/>
      <c r="BG57" s="181"/>
      <c r="BH57" s="181"/>
      <c r="BI57" s="181"/>
      <c r="BJ57" s="138"/>
      <c r="BK57" s="181"/>
      <c r="BL57" s="181"/>
      <c r="BM57" s="181"/>
      <c r="BN57" s="181"/>
      <c r="BO57" s="138"/>
      <c r="BP57" s="72"/>
      <c r="BQ57" s="72"/>
      <c r="BR57" s="72"/>
      <c r="BS57" s="72"/>
      <c r="BT57" s="72"/>
      <c r="BU57" s="72"/>
      <c r="BV57" s="72"/>
      <c r="BW57" s="72"/>
      <c r="BX57" s="72"/>
      <c r="BY57" s="72"/>
      <c r="BZ57" s="72"/>
      <c r="CA57" s="72"/>
      <c r="CB57" s="72"/>
      <c r="CC57" s="72"/>
      <c r="CD57" s="72"/>
      <c r="CF57" s="175"/>
      <c r="CG57" s="175"/>
      <c r="CH57" s="175"/>
      <c r="CI57" s="175"/>
      <c r="CJ57" s="175"/>
      <c r="CK57" s="175"/>
      <c r="CO57" s="8"/>
      <c r="CP57" s="8"/>
      <c r="CQ57" s="8"/>
      <c r="CR57" s="8"/>
      <c r="CS57" s="8"/>
      <c r="CT57" s="8"/>
      <c r="CU57" s="8"/>
      <c r="CV57" s="8"/>
      <c r="CW57" s="8"/>
      <c r="CX57" s="8"/>
    </row>
    <row r="58" spans="1:107" s="8" customFormat="1">
      <c r="A58" s="244" t="s">
        <v>2544</v>
      </c>
      <c r="B58" s="244"/>
      <c r="C58" s="174"/>
      <c r="D58" s="174"/>
      <c r="E58" s="174">
        <f t="shared" ref="E58:AN58" si="103">SUM(E51:E57)</f>
        <v>19052</v>
      </c>
      <c r="F58" s="174">
        <f t="shared" si="103"/>
        <v>25793</v>
      </c>
      <c r="G58" s="174">
        <f t="shared" si="103"/>
        <v>32876</v>
      </c>
      <c r="H58" s="178">
        <f t="shared" si="103"/>
        <v>8475</v>
      </c>
      <c r="I58" s="178">
        <f t="shared" si="103"/>
        <v>9606</v>
      </c>
      <c r="J58" s="178">
        <f t="shared" si="103"/>
        <v>9741</v>
      </c>
      <c r="K58" s="178">
        <f t="shared" si="103"/>
        <v>5669</v>
      </c>
      <c r="L58" s="174">
        <f t="shared" si="103"/>
        <v>33491</v>
      </c>
      <c r="M58" s="178">
        <f t="shared" si="103"/>
        <v>7000</v>
      </c>
      <c r="N58" s="178">
        <f t="shared" si="103"/>
        <v>8190</v>
      </c>
      <c r="O58" s="178">
        <f t="shared" si="103"/>
        <v>6934</v>
      </c>
      <c r="P58" s="178">
        <f t="shared" si="103"/>
        <v>7702</v>
      </c>
      <c r="Q58" s="174">
        <f t="shared" si="103"/>
        <v>29826</v>
      </c>
      <c r="R58" s="178">
        <f t="shared" si="103"/>
        <v>10330</v>
      </c>
      <c r="S58" s="178">
        <f t="shared" si="103"/>
        <v>13507</v>
      </c>
      <c r="T58" s="178">
        <f t="shared" si="103"/>
        <v>13780</v>
      </c>
      <c r="U58" s="178">
        <f t="shared" si="103"/>
        <v>5157</v>
      </c>
      <c r="V58" s="174">
        <f t="shared" si="103"/>
        <v>42774</v>
      </c>
      <c r="W58" s="178">
        <f t="shared" si="103"/>
        <v>4555</v>
      </c>
      <c r="X58" s="178">
        <f t="shared" si="103"/>
        <v>4908</v>
      </c>
      <c r="Y58" s="178">
        <f t="shared" si="103"/>
        <v>6931</v>
      </c>
      <c r="Z58" s="178">
        <f t="shared" si="103"/>
        <v>6279</v>
      </c>
      <c r="AA58" s="174">
        <f t="shared" si="103"/>
        <v>22673</v>
      </c>
      <c r="AB58" s="178">
        <f t="shared" si="103"/>
        <v>8975</v>
      </c>
      <c r="AC58" s="178">
        <f t="shared" si="103"/>
        <v>7986</v>
      </c>
      <c r="AD58" s="178">
        <f t="shared" si="103"/>
        <v>7770</v>
      </c>
      <c r="AE58" s="178">
        <f t="shared" si="103"/>
        <v>6973</v>
      </c>
      <c r="AF58" s="174">
        <f t="shared" si="103"/>
        <v>31704</v>
      </c>
      <c r="AG58" s="178">
        <f t="shared" si="103"/>
        <v>9168</v>
      </c>
      <c r="AH58" s="178">
        <f t="shared" si="103"/>
        <v>8983</v>
      </c>
      <c r="AI58" s="178">
        <f t="shared" si="103"/>
        <v>8273</v>
      </c>
      <c r="AJ58" s="178">
        <f t="shared" si="103"/>
        <v>7179</v>
      </c>
      <c r="AK58" s="174">
        <f t="shared" si="103"/>
        <v>33603</v>
      </c>
      <c r="AL58" s="178">
        <f t="shared" si="103"/>
        <v>7394</v>
      </c>
      <c r="AM58" s="178">
        <f t="shared" si="103"/>
        <v>5899</v>
      </c>
      <c r="AN58" s="178">
        <f t="shared" si="103"/>
        <v>8029</v>
      </c>
      <c r="AO58" s="178">
        <f t="shared" ref="AO58:AT58" si="104">SUM(AO51:AO57)</f>
        <v>5098</v>
      </c>
      <c r="AP58" s="174">
        <f t="shared" si="104"/>
        <v>26420</v>
      </c>
      <c r="AQ58" s="178">
        <f t="shared" si="104"/>
        <v>7394</v>
      </c>
      <c r="AR58" s="178">
        <f t="shared" si="104"/>
        <v>5398</v>
      </c>
      <c r="AS58" s="178">
        <f t="shared" si="104"/>
        <v>5829</v>
      </c>
      <c r="AT58" s="178">
        <f t="shared" si="104"/>
        <v>4155</v>
      </c>
      <c r="AU58" s="174">
        <f>SUM(AQ58:AT58)</f>
        <v>22776</v>
      </c>
      <c r="AV58" s="178">
        <f>SUM(AV51:AV57)</f>
        <v>5284</v>
      </c>
      <c r="AW58" s="178">
        <f>SUM(AW51:AW57)</f>
        <v>5898</v>
      </c>
      <c r="AX58" s="178">
        <f t="shared" ref="AX58:CD58" si="105">SUM(AX51:AX57)</f>
        <v>5570</v>
      </c>
      <c r="AY58" s="178">
        <f t="shared" si="105"/>
        <v>4066</v>
      </c>
      <c r="AZ58" s="174">
        <f t="shared" si="105"/>
        <v>20818</v>
      </c>
      <c r="BA58" s="178">
        <f t="shared" si="105"/>
        <v>2526</v>
      </c>
      <c r="BB58" s="178">
        <f t="shared" si="105"/>
        <v>2431</v>
      </c>
      <c r="BC58" s="178">
        <f t="shared" si="105"/>
        <v>3343</v>
      </c>
      <c r="BD58" s="178">
        <f t="shared" si="105"/>
        <v>491</v>
      </c>
      <c r="BE58" s="174">
        <f>SUM(BE51:BE57)</f>
        <v>8791</v>
      </c>
      <c r="BF58" s="178">
        <f t="shared" ca="1" si="105"/>
        <v>994</v>
      </c>
      <c r="BG58" s="178">
        <f t="shared" ca="1" si="105"/>
        <v>1291</v>
      </c>
      <c r="BH58" s="178">
        <f t="shared" si="105"/>
        <v>1084</v>
      </c>
      <c r="BI58" s="178">
        <f t="shared" si="105"/>
        <v>856</v>
      </c>
      <c r="BJ58" s="174">
        <f t="shared" ca="1" si="105"/>
        <v>4225</v>
      </c>
      <c r="BK58" s="178">
        <f t="shared" si="105"/>
        <v>2703</v>
      </c>
      <c r="BL58" s="178">
        <f t="shared" si="105"/>
        <v>2171</v>
      </c>
      <c r="BM58" s="178">
        <f t="shared" si="105"/>
        <v>3509</v>
      </c>
      <c r="BN58" s="178">
        <f t="shared" ca="1" si="105"/>
        <v>3475</v>
      </c>
      <c r="BO58" s="174">
        <f t="shared" ca="1" si="105"/>
        <v>11858</v>
      </c>
      <c r="BP58" s="67">
        <f t="shared" ca="1" si="105"/>
        <v>4066.8349013367224</v>
      </c>
      <c r="BQ58" s="67">
        <f t="shared" ca="1" si="105"/>
        <v>5539.9263438247563</v>
      </c>
      <c r="BR58" s="67">
        <f t="shared" ca="1" si="105"/>
        <v>5709.4113620330272</v>
      </c>
      <c r="BS58" s="67">
        <f t="shared" ca="1" si="105"/>
        <v>5161.588893769781</v>
      </c>
      <c r="BT58" s="15">
        <f t="shared" ca="1" si="105"/>
        <v>20477.761500964287</v>
      </c>
      <c r="BU58" s="67">
        <f t="shared" ca="1" si="105"/>
        <v>5434.4331518955842</v>
      </c>
      <c r="BV58" s="67">
        <f t="shared" ca="1" si="105"/>
        <v>5292.7634776546383</v>
      </c>
      <c r="BW58" s="67">
        <f t="shared" ca="1" si="105"/>
        <v>5537.8027142795954</v>
      </c>
      <c r="BX58" s="67">
        <f t="shared" ca="1" si="105"/>
        <v>5242.041609903541</v>
      </c>
      <c r="BY58" s="15">
        <f t="shared" ca="1" si="105"/>
        <v>21507.040953733362</v>
      </c>
      <c r="BZ58" s="67">
        <f t="shared" ca="1" si="105"/>
        <v>5814.5915736829211</v>
      </c>
      <c r="CA58" s="67">
        <f t="shared" ca="1" si="105"/>
        <v>5793.7442128055718</v>
      </c>
      <c r="CB58" s="67">
        <f t="shared" ca="1" si="105"/>
        <v>6105.5223244768667</v>
      </c>
      <c r="CC58" s="67">
        <f t="shared" ca="1" si="105"/>
        <v>5866.7621543789792</v>
      </c>
      <c r="CD58" s="15">
        <f t="shared" ca="1" si="105"/>
        <v>23580.62026534434</v>
      </c>
      <c r="CF58" s="175"/>
      <c r="CG58" s="175"/>
      <c r="CH58" s="175"/>
      <c r="CI58" s="175"/>
      <c r="CJ58" s="175"/>
      <c r="CK58" s="175"/>
      <c r="CL58" s="5"/>
      <c r="CM58" s="5"/>
      <c r="CN58" s="5"/>
      <c r="CY58" s="5"/>
      <c r="CZ58" s="5"/>
      <c r="DA58" s="5"/>
      <c r="DB58" s="5"/>
      <c r="DC58" s="5"/>
    </row>
    <row r="59" spans="1:107" s="8" customFormat="1">
      <c r="A59" s="148"/>
      <c r="B59" s="148"/>
      <c r="C59" s="179"/>
      <c r="D59" s="179"/>
      <c r="E59" s="179"/>
      <c r="F59" s="179"/>
      <c r="G59" s="179"/>
      <c r="H59" s="337"/>
      <c r="I59" s="337"/>
      <c r="J59" s="337"/>
      <c r="K59" s="337"/>
      <c r="L59" s="179"/>
      <c r="M59" s="337"/>
      <c r="N59" s="337"/>
      <c r="O59" s="337"/>
      <c r="P59" s="337"/>
      <c r="Q59" s="179"/>
      <c r="R59" s="337"/>
      <c r="S59" s="337"/>
      <c r="T59" s="337"/>
      <c r="U59" s="337"/>
      <c r="V59" s="179"/>
      <c r="W59" s="337"/>
      <c r="X59" s="337"/>
      <c r="Y59" s="337"/>
      <c r="Z59" s="337"/>
      <c r="AA59" s="179"/>
      <c r="AB59" s="337"/>
      <c r="AC59" s="337"/>
      <c r="AD59" s="337"/>
      <c r="AE59" s="337"/>
      <c r="AF59" s="179"/>
      <c r="AG59" s="337"/>
      <c r="AH59" s="337"/>
      <c r="AI59" s="337"/>
      <c r="AJ59" s="337"/>
      <c r="AK59" s="179"/>
      <c r="AL59" s="337"/>
      <c r="AM59" s="337"/>
      <c r="AN59" s="337"/>
      <c r="AO59" s="337"/>
      <c r="AP59" s="179"/>
      <c r="AQ59" s="337"/>
      <c r="AR59" s="337"/>
      <c r="AS59" s="337"/>
      <c r="AT59" s="337"/>
      <c r="AU59" s="729"/>
      <c r="AV59" s="337"/>
      <c r="AW59" s="337"/>
      <c r="AX59" s="337"/>
      <c r="AY59" s="337"/>
      <c r="AZ59" s="729"/>
      <c r="BA59" s="337"/>
      <c r="BB59" s="337"/>
      <c r="BC59" s="337"/>
      <c r="BD59" s="337"/>
      <c r="BE59" s="729"/>
      <c r="BF59" s="337"/>
      <c r="BG59" s="337"/>
      <c r="BH59" s="337"/>
      <c r="BI59" s="337"/>
      <c r="BJ59" s="179"/>
      <c r="BK59" s="337"/>
      <c r="BL59" s="337"/>
      <c r="BM59" s="337"/>
      <c r="BN59" s="337"/>
      <c r="BO59" s="179"/>
      <c r="CF59" s="175"/>
      <c r="CG59" s="175"/>
      <c r="CH59" s="175"/>
      <c r="CI59" s="175"/>
      <c r="CJ59" s="175"/>
      <c r="CK59" s="175"/>
      <c r="CL59" s="5"/>
      <c r="CM59" s="5"/>
      <c r="CN59" s="5"/>
      <c r="CY59" s="5"/>
      <c r="CZ59" s="5"/>
      <c r="DA59" s="5"/>
      <c r="DB59" s="5"/>
      <c r="DC59" s="5"/>
    </row>
    <row r="60" spans="1:107" s="5" customFormat="1">
      <c r="A60" s="137" t="s">
        <v>2540</v>
      </c>
      <c r="B60" s="137"/>
      <c r="C60" s="138"/>
      <c r="D60" s="138"/>
      <c r="E60" s="138">
        <f t="shared" ref="E60:K62" si="106">E19-E42</f>
        <v>-1045</v>
      </c>
      <c r="F60" s="138">
        <f t="shared" si="106"/>
        <v>-780</v>
      </c>
      <c r="G60" s="138">
        <f t="shared" si="106"/>
        <v>-761</v>
      </c>
      <c r="H60" s="181">
        <f t="shared" si="106"/>
        <v>-143</v>
      </c>
      <c r="I60" s="181">
        <f t="shared" si="106"/>
        <v>-107</v>
      </c>
      <c r="J60" s="181">
        <f t="shared" si="106"/>
        <v>-117</v>
      </c>
      <c r="K60" s="181">
        <f t="shared" si="106"/>
        <v>-149</v>
      </c>
      <c r="L60" s="138">
        <f>SUM(H60:K60)</f>
        <v>-516</v>
      </c>
      <c r="M60" s="181">
        <f t="shared" ref="M60:P62" si="107">M19-M42</f>
        <v>-171</v>
      </c>
      <c r="N60" s="181">
        <f t="shared" si="107"/>
        <v>-155</v>
      </c>
      <c r="O60" s="181">
        <f t="shared" si="107"/>
        <v>-173</v>
      </c>
      <c r="P60" s="181">
        <f t="shared" si="107"/>
        <v>-242</v>
      </c>
      <c r="Q60" s="138">
        <f>SUM(M60:P60)</f>
        <v>-741</v>
      </c>
      <c r="R60" s="181">
        <f t="shared" ref="R60:U62" si="108">R19-R42</f>
        <v>-246</v>
      </c>
      <c r="S60" s="181">
        <f t="shared" si="108"/>
        <v>-221</v>
      </c>
      <c r="T60" s="181">
        <f t="shared" si="108"/>
        <v>-238</v>
      </c>
      <c r="U60" s="181">
        <f t="shared" si="108"/>
        <v>-251</v>
      </c>
      <c r="V60" s="138">
        <f>SUM(R60:U60)</f>
        <v>-956</v>
      </c>
      <c r="W60" s="181">
        <f t="shared" ref="W60:Z62" si="109">W19-W42</f>
        <v>-368</v>
      </c>
      <c r="X60" s="181">
        <f t="shared" si="109"/>
        <v>-321</v>
      </c>
      <c r="Y60" s="181">
        <f t="shared" si="109"/>
        <v>-311</v>
      </c>
      <c r="Z60" s="181">
        <f t="shared" si="109"/>
        <v>-302</v>
      </c>
      <c r="AA60" s="138">
        <f>SUM(W60:Z60)</f>
        <v>-1302</v>
      </c>
      <c r="AB60" s="181">
        <f t="shared" ref="AB60:AE62" si="110">AB19-AB42</f>
        <v>-228</v>
      </c>
      <c r="AC60" s="181">
        <f t="shared" si="110"/>
        <v>-214</v>
      </c>
      <c r="AD60" s="181">
        <f t="shared" si="110"/>
        <v>-288</v>
      </c>
      <c r="AE60" s="181">
        <f t="shared" si="110"/>
        <v>-316</v>
      </c>
      <c r="AF60" s="138">
        <f>SUM(AB60:AE60)</f>
        <v>-1046</v>
      </c>
      <c r="AG60" s="181">
        <f t="shared" ref="AG60:AJ62" si="111">AG19-AG42</f>
        <v>-223</v>
      </c>
      <c r="AH60" s="181">
        <f t="shared" si="111"/>
        <v>-234</v>
      </c>
      <c r="AI60" s="181">
        <f t="shared" si="111"/>
        <v>-220</v>
      </c>
      <c r="AJ60" s="181">
        <f t="shared" si="111"/>
        <v>-248</v>
      </c>
      <c r="AK60" s="138">
        <f>SUM(AG60:AJ60)</f>
        <v>-925</v>
      </c>
      <c r="AL60" s="181">
        <f t="shared" ref="AL60:AM62" si="112">AL19-AL42</f>
        <v>-224</v>
      </c>
      <c r="AM60" s="181">
        <f t="shared" si="112"/>
        <v>-208</v>
      </c>
      <c r="AN60" s="181">
        <f t="shared" ref="AN60:AO62" si="113">AN19-AN42</f>
        <v>-195</v>
      </c>
      <c r="AO60" s="181">
        <f t="shared" si="113"/>
        <v>-278</v>
      </c>
      <c r="AP60" s="138">
        <f>SUM(AL60:AO60)</f>
        <v>-905</v>
      </c>
      <c r="AQ60" s="181">
        <v>-394</v>
      </c>
      <c r="AR60" s="181">
        <v>-359</v>
      </c>
      <c r="AS60" s="181">
        <v>-388</v>
      </c>
      <c r="AT60" s="181">
        <v>-368</v>
      </c>
      <c r="AU60" s="138">
        <f>SUM(AQ60:AT60)</f>
        <v>-1509</v>
      </c>
      <c r="AV60" s="181">
        <v>-357</v>
      </c>
      <c r="AW60" s="181">
        <v>-347</v>
      </c>
      <c r="AX60" s="181">
        <v>-348</v>
      </c>
      <c r="AY60" s="181">
        <v>-372</v>
      </c>
      <c r="AZ60" s="138">
        <f>SUM(AV60:AY60)</f>
        <v>-1424</v>
      </c>
      <c r="BA60" s="181">
        <v>-349</v>
      </c>
      <c r="BB60" s="181">
        <v>-356</v>
      </c>
      <c r="BC60" s="181">
        <v>-359</v>
      </c>
      <c r="BD60" s="181">
        <v>-342</v>
      </c>
      <c r="BE60" s="138">
        <f>SUM(BA60:BD60)</f>
        <v>-1406</v>
      </c>
      <c r="BF60" s="181">
        <v>-317</v>
      </c>
      <c r="BG60" s="181">
        <v>-337</v>
      </c>
      <c r="BH60" s="181">
        <v>-358</v>
      </c>
      <c r="BI60" s="181">
        <v>-359</v>
      </c>
      <c r="BJ60" s="138">
        <f>SUM(BF60:BI60)</f>
        <v>-1371</v>
      </c>
      <c r="BK60" s="181">
        <v>-387</v>
      </c>
      <c r="BL60" s="181">
        <v>-420</v>
      </c>
      <c r="BM60" s="181">
        <v>-444</v>
      </c>
      <c r="BN60" s="181">
        <v>-550</v>
      </c>
      <c r="BO60" s="138">
        <f>SUM(BK60:BN60)</f>
        <v>-1801</v>
      </c>
      <c r="BP60" s="12">
        <f ca="1">SUM('Income statement'!BP27:BP28)-BP42</f>
        <v>-456.0618106541674</v>
      </c>
      <c r="BQ60" s="12">
        <f ca="1">SUM('Income statement'!BQ27:BQ28)-BQ42</f>
        <v>-470.4952484562242</v>
      </c>
      <c r="BR60" s="12">
        <f ca="1">SUM('Income statement'!BR27:BR28)-BR42</f>
        <v>-463.9860997653534</v>
      </c>
      <c r="BS60" s="12">
        <f ca="1">SUM('Income statement'!BS27:BS28)-BS42</f>
        <v>-455.88033264278101</v>
      </c>
      <c r="BT60" s="5">
        <f t="shared" ref="BT60" ca="1" si="114">SUM(BP60:BS60)</f>
        <v>-1846.4234915185261</v>
      </c>
      <c r="BU60" s="12">
        <f ca="1">SUM('Income statement'!BU27:BU28)-BU42</f>
        <v>-447.03946019946136</v>
      </c>
      <c r="BV60" s="12">
        <f ca="1">SUM('Income statement'!BV27:BV28)-BV42</f>
        <v>-440.61732357387882</v>
      </c>
      <c r="BW60" s="12">
        <f ca="1">SUM('Income statement'!BW27:BW28)-BW42</f>
        <v>-434.0916922985881</v>
      </c>
      <c r="BX60" s="12">
        <f ca="1">SUM('Income statement'!BX27:BX28)-BX42</f>
        <v>-423.79776288834887</v>
      </c>
      <c r="BY60" s="5">
        <f t="shared" ref="BY60" ca="1" si="115">SUM(BU60:BX60)</f>
        <v>-1745.5462389602772</v>
      </c>
      <c r="BZ60" s="12">
        <f ca="1">SUM('Income statement'!BZ27:BZ28)-BZ42</f>
        <v>-413.95458332456269</v>
      </c>
      <c r="CA60" s="12">
        <f ca="1">SUM('Income statement'!CA27:CA28)-CA42</f>
        <v>-406.79168334079213</v>
      </c>
      <c r="CB60" s="12">
        <f ca="1">SUM('Income statement'!CB27:CB28)-CB42</f>
        <v>-397.74162001601212</v>
      </c>
      <c r="CC60" s="12">
        <f ca="1">SUM('Income statement'!CC27:CC28)-CC42</f>
        <v>-384.75621696160056</v>
      </c>
      <c r="CD60" s="5">
        <f t="shared" ref="CD60" ca="1" si="116">SUM(BZ60:CC60)</f>
        <v>-1603.2441036429675</v>
      </c>
      <c r="CF60" s="175"/>
      <c r="CG60" s="175"/>
      <c r="CH60" s="175"/>
      <c r="CI60" s="175"/>
      <c r="CJ60" s="175"/>
      <c r="CK60" s="175"/>
      <c r="CO60" s="8"/>
      <c r="CP60" s="8"/>
      <c r="CQ60" s="8"/>
      <c r="CR60" s="8"/>
      <c r="CS60" s="8"/>
      <c r="CT60" s="8"/>
      <c r="CU60" s="8"/>
      <c r="CV60" s="8"/>
      <c r="CW60" s="8"/>
      <c r="CX60" s="8"/>
    </row>
    <row r="61" spans="1:107" s="205" customFormat="1">
      <c r="A61" s="245" t="s">
        <v>1675</v>
      </c>
      <c r="B61" s="245"/>
      <c r="E61" s="205">
        <f t="shared" si="106"/>
        <v>-5144</v>
      </c>
      <c r="F61" s="205">
        <f t="shared" si="106"/>
        <v>-7429</v>
      </c>
      <c r="G61" s="205">
        <f t="shared" si="106"/>
        <v>-10584</v>
      </c>
      <c r="H61" s="206">
        <f t="shared" si="106"/>
        <v>-2757</v>
      </c>
      <c r="I61" s="206">
        <f t="shared" si="106"/>
        <v>-3188</v>
      </c>
      <c r="J61" s="206">
        <f t="shared" si="106"/>
        <v>-4021</v>
      </c>
      <c r="K61" s="206">
        <f t="shared" si="106"/>
        <v>-1723</v>
      </c>
      <c r="L61" s="205">
        <f>SUM(H61:K61)</f>
        <v>-11689</v>
      </c>
      <c r="M61" s="206">
        <f t="shared" si="107"/>
        <v>-2339</v>
      </c>
      <c r="N61" s="206">
        <f t="shared" si="107"/>
        <v>-2455</v>
      </c>
      <c r="O61" s="206">
        <f t="shared" si="107"/>
        <v>-2198</v>
      </c>
      <c r="P61" s="206">
        <f t="shared" si="107"/>
        <v>-2828</v>
      </c>
      <c r="Q61" s="205">
        <f>SUM(M61:P61)</f>
        <v>-9820</v>
      </c>
      <c r="R61" s="206">
        <f t="shared" si="108"/>
        <v>-3731</v>
      </c>
      <c r="S61" s="206">
        <f t="shared" si="108"/>
        <v>-4653</v>
      </c>
      <c r="T61" s="206">
        <f t="shared" si="108"/>
        <v>-4523</v>
      </c>
      <c r="U61" s="206">
        <f t="shared" si="108"/>
        <v>-2159</v>
      </c>
      <c r="V61" s="205">
        <f>SUM(R61:U61)</f>
        <v>-15066</v>
      </c>
      <c r="W61" s="206">
        <f t="shared" si="109"/>
        <v>-1571</v>
      </c>
      <c r="X61" s="206">
        <f t="shared" si="109"/>
        <v>-1605</v>
      </c>
      <c r="Y61" s="206">
        <f t="shared" si="109"/>
        <v>-1927</v>
      </c>
      <c r="Z61" s="206">
        <f t="shared" si="109"/>
        <v>-1510</v>
      </c>
      <c r="AA61" s="205">
        <f>SUM(W61:Z61)</f>
        <v>-6613</v>
      </c>
      <c r="AB61" s="206">
        <f t="shared" si="110"/>
        <v>-2991</v>
      </c>
      <c r="AC61" s="206">
        <f t="shared" si="110"/>
        <v>-2690</v>
      </c>
      <c r="AD61" s="206">
        <f t="shared" si="110"/>
        <v>-1863</v>
      </c>
      <c r="AE61" s="206">
        <f t="shared" si="110"/>
        <v>-2197</v>
      </c>
      <c r="AF61" s="205">
        <f>SUM(AB61:AE61)</f>
        <v>-9741</v>
      </c>
      <c r="AG61" s="181">
        <f t="shared" si="111"/>
        <v>-3380</v>
      </c>
      <c r="AH61" s="181">
        <f t="shared" si="111"/>
        <v>-2974</v>
      </c>
      <c r="AI61" s="181">
        <f t="shared" si="111"/>
        <v>-2413</v>
      </c>
      <c r="AJ61" s="181">
        <f t="shared" si="111"/>
        <v>-1856</v>
      </c>
      <c r="AK61" s="138">
        <f>SUM(AG61:AJ61)</f>
        <v>-10623</v>
      </c>
      <c r="AL61" s="181">
        <f t="shared" si="112"/>
        <v>-2310</v>
      </c>
      <c r="AM61" s="181">
        <f t="shared" si="112"/>
        <v>-1961</v>
      </c>
      <c r="AN61" s="181">
        <f t="shared" si="113"/>
        <v>-2598</v>
      </c>
      <c r="AO61" s="181">
        <f t="shared" si="113"/>
        <v>-774</v>
      </c>
      <c r="AP61" s="138">
        <f>SUM(AL61:AO61)</f>
        <v>-7643</v>
      </c>
      <c r="AQ61" s="181">
        <v>-2706</v>
      </c>
      <c r="AR61" s="181">
        <v>-2243</v>
      </c>
      <c r="AS61" s="181">
        <v>-1661</v>
      </c>
      <c r="AT61" s="181">
        <v>-922</v>
      </c>
      <c r="AU61" s="138">
        <f>SUM(AQ61:AT61)</f>
        <v>-7532</v>
      </c>
      <c r="AV61" s="181">
        <v>-1611</v>
      </c>
      <c r="AW61" s="181">
        <v>-1852</v>
      </c>
      <c r="AX61" s="181">
        <v>-2151</v>
      </c>
      <c r="AY61" s="181">
        <v>-1421</v>
      </c>
      <c r="AZ61" s="138">
        <f>SUM(AV61:AY61)</f>
        <v>-7035</v>
      </c>
      <c r="BA61" s="181">
        <f>-(SUM(BA58:BA60)*0.21)</f>
        <v>-457.16999999999996</v>
      </c>
      <c r="BB61" s="181">
        <v>-722</v>
      </c>
      <c r="BC61" s="181">
        <v>-1155</v>
      </c>
      <c r="BD61" s="181">
        <v>30</v>
      </c>
      <c r="BE61" s="138">
        <f>SUM(BA61:BD61)</f>
        <v>-2304.17</v>
      </c>
      <c r="BF61" s="181">
        <v>-120</v>
      </c>
      <c r="BG61" s="181">
        <v>-205</v>
      </c>
      <c r="BH61" s="181">
        <v>164</v>
      </c>
      <c r="BI61" s="181">
        <v>-51</v>
      </c>
      <c r="BJ61" s="138">
        <f>SUM(BF61:BI61)</f>
        <v>-212</v>
      </c>
      <c r="BK61" s="181">
        <v>-763</v>
      </c>
      <c r="BL61" s="181">
        <v>-1055</v>
      </c>
      <c r="BM61" s="181">
        <v>-1212</v>
      </c>
      <c r="BN61" s="181">
        <v>-782</v>
      </c>
      <c r="BO61" s="138">
        <f>SUM(BK61:BN61)</f>
        <v>-3812</v>
      </c>
      <c r="BP61" s="176">
        <f ca="1">BP76</f>
        <v>-1397.0446265134608</v>
      </c>
      <c r="BQ61" s="176">
        <f ca="1">BQ76</f>
        <v>-1958.69827809249</v>
      </c>
      <c r="BR61" s="176">
        <f ca="1">BR76</f>
        <v>-2094.8869256961757</v>
      </c>
      <c r="BS61" s="176">
        <f ca="1">BS76</f>
        <v>-1950.0409779436663</v>
      </c>
      <c r="BT61" s="5">
        <f ca="1">SUM(BP61:BS61)</f>
        <v>-7400.6708082457935</v>
      </c>
      <c r="BU61" s="176">
        <f ca="1">BU76</f>
        <v>-2172.3038137018975</v>
      </c>
      <c r="BV61" s="176">
        <f ca="1">BV76</f>
        <v>-2065.9542372065371</v>
      </c>
      <c r="BW61" s="176">
        <f ca="1">BW76</f>
        <v>-2203.5607646724775</v>
      </c>
      <c r="BX61" s="176">
        <f ca="1">BX76</f>
        <v>-2028.9346729592799</v>
      </c>
      <c r="BY61" s="5">
        <f ca="1">SUM(BU61:BX61)</f>
        <v>-8470.753488540191</v>
      </c>
      <c r="BZ61" s="176">
        <f ca="1">BZ76</f>
        <v>-2160.6836209744733</v>
      </c>
      <c r="CA61" s="176">
        <f ca="1">CA76</f>
        <v>-2153.3575096280233</v>
      </c>
      <c r="CB61" s="176">
        <f ca="1">CB76</f>
        <v>-2342.0442853220311</v>
      </c>
      <c r="CC61" s="176">
        <f ca="1">CC76</f>
        <v>-2198.871399580943</v>
      </c>
      <c r="CD61" s="5">
        <f ca="1">SUM(BZ61:CC61)</f>
        <v>-8854.9568155054694</v>
      </c>
      <c r="CF61" s="175"/>
      <c r="CG61" s="175"/>
      <c r="CH61" s="175"/>
      <c r="CI61" s="175"/>
      <c r="CJ61" s="175"/>
      <c r="CK61" s="175"/>
      <c r="CL61" s="5"/>
      <c r="CM61" s="5"/>
      <c r="CN61" s="5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5"/>
      <c r="CZ61" s="5"/>
      <c r="DA61" s="5"/>
      <c r="DB61" s="5"/>
      <c r="DC61" s="5"/>
    </row>
    <row r="62" spans="1:107" s="5" customFormat="1">
      <c r="A62" s="137" t="s">
        <v>1676</v>
      </c>
      <c r="B62" s="137"/>
      <c r="C62" s="138"/>
      <c r="D62" s="138"/>
      <c r="E62" s="138">
        <f t="shared" si="106"/>
        <v>-170</v>
      </c>
      <c r="F62" s="138">
        <f t="shared" si="106"/>
        <v>-187</v>
      </c>
      <c r="G62" s="138">
        <f t="shared" si="106"/>
        <v>-291</v>
      </c>
      <c r="H62" s="181">
        <f t="shared" si="106"/>
        <v>-71</v>
      </c>
      <c r="I62" s="181">
        <f t="shared" si="106"/>
        <v>-77</v>
      </c>
      <c r="J62" s="181">
        <f t="shared" si="106"/>
        <v>-63</v>
      </c>
      <c r="K62" s="181">
        <f t="shared" si="106"/>
        <v>-75</v>
      </c>
      <c r="L62" s="138">
        <f>SUM(H62:K62)</f>
        <v>-286</v>
      </c>
      <c r="M62" s="181">
        <f t="shared" si="107"/>
        <v>-82</v>
      </c>
      <c r="N62" s="181">
        <f t="shared" si="107"/>
        <v>-65</v>
      </c>
      <c r="O62" s="181">
        <f t="shared" si="107"/>
        <v>-72</v>
      </c>
      <c r="P62" s="181">
        <f t="shared" si="107"/>
        <v>-105</v>
      </c>
      <c r="Q62" s="138">
        <f>SUM(M62:P62)</f>
        <v>-324</v>
      </c>
      <c r="R62" s="181">
        <f t="shared" si="108"/>
        <v>-118</v>
      </c>
      <c r="S62" s="181">
        <f t="shared" si="108"/>
        <v>-112</v>
      </c>
      <c r="T62" s="181">
        <f t="shared" si="108"/>
        <v>-137</v>
      </c>
      <c r="U62" s="181">
        <f t="shared" si="108"/>
        <v>-142</v>
      </c>
      <c r="V62" s="138">
        <f>SUM(R62:U62)</f>
        <v>-509</v>
      </c>
      <c r="W62" s="181">
        <f t="shared" si="109"/>
        <v>-35</v>
      </c>
      <c r="X62" s="181">
        <f t="shared" si="109"/>
        <v>-44</v>
      </c>
      <c r="Y62" s="181">
        <f t="shared" si="109"/>
        <v>-19</v>
      </c>
      <c r="Z62" s="181">
        <f t="shared" si="109"/>
        <v>-83</v>
      </c>
      <c r="AA62" s="138">
        <f>SUM(W62:Z62)</f>
        <v>-181</v>
      </c>
      <c r="AB62" s="181">
        <f t="shared" si="110"/>
        <v>-109</v>
      </c>
      <c r="AC62" s="181">
        <f t="shared" si="110"/>
        <v>-102</v>
      </c>
      <c r="AD62" s="181">
        <f t="shared" si="110"/>
        <v>-88</v>
      </c>
      <c r="AE62" s="181">
        <f t="shared" si="110"/>
        <v>-96</v>
      </c>
      <c r="AF62" s="138">
        <f>SUM(AB62:AE62)</f>
        <v>-395</v>
      </c>
      <c r="AG62" s="181">
        <f t="shared" si="111"/>
        <v>-61</v>
      </c>
      <c r="AH62" s="181">
        <f t="shared" si="111"/>
        <v>-70</v>
      </c>
      <c r="AI62" s="181">
        <f t="shared" si="111"/>
        <v>-177</v>
      </c>
      <c r="AJ62" s="181">
        <f t="shared" si="111"/>
        <v>-89</v>
      </c>
      <c r="AK62" s="138">
        <f>SUM(AG62:AJ62)</f>
        <v>-397</v>
      </c>
      <c r="AL62" s="181">
        <f t="shared" si="112"/>
        <v>-61</v>
      </c>
      <c r="AM62" s="181">
        <f t="shared" si="112"/>
        <v>-45</v>
      </c>
      <c r="AN62" s="181">
        <f t="shared" si="113"/>
        <v>-66</v>
      </c>
      <c r="AO62" s="181">
        <f t="shared" si="113"/>
        <v>-62</v>
      </c>
      <c r="AP62" s="138">
        <f>SUM(AL62:AO62)</f>
        <v>-234</v>
      </c>
      <c r="AQ62" s="181">
        <v>-79</v>
      </c>
      <c r="AR62" s="181">
        <v>-84</v>
      </c>
      <c r="AS62" s="181">
        <v>-88</v>
      </c>
      <c r="AT62" s="181">
        <v>-56</v>
      </c>
      <c r="AU62" s="138">
        <f>SUM(AQ62:AT62)</f>
        <v>-307</v>
      </c>
      <c r="AV62" s="181">
        <v>-91</v>
      </c>
      <c r="AW62" s="181">
        <v>-64</v>
      </c>
      <c r="AX62" s="181">
        <v>-34</v>
      </c>
      <c r="AY62" s="181">
        <v>-34</v>
      </c>
      <c r="AZ62" s="138">
        <f>SUM(AV62:AY62)</f>
        <v>-223</v>
      </c>
      <c r="BA62" s="181">
        <v>-49</v>
      </c>
      <c r="BB62" s="181">
        <v>-40</v>
      </c>
      <c r="BC62" s="181">
        <v>-10</v>
      </c>
      <c r="BD62" s="181">
        <v>17</v>
      </c>
      <c r="BE62" s="138">
        <f>SUM(BA62:BD62)</f>
        <v>-82</v>
      </c>
      <c r="BF62" s="181">
        <v>-25</v>
      </c>
      <c r="BG62" s="181">
        <v>-29</v>
      </c>
      <c r="BH62" s="181">
        <v>43</v>
      </c>
      <c r="BI62" s="181">
        <v>-46</v>
      </c>
      <c r="BJ62" s="138">
        <f>SUM(BF62:BI62)</f>
        <v>-57</v>
      </c>
      <c r="BK62" s="181">
        <v>-43</v>
      </c>
      <c r="BL62" s="181">
        <v>-12</v>
      </c>
      <c r="BM62" s="181">
        <v>12</v>
      </c>
      <c r="BN62" s="181">
        <v>-36</v>
      </c>
      <c r="BO62" s="138">
        <f>SUM(BK62:BN62)</f>
        <v>-79</v>
      </c>
      <c r="BP62" s="187">
        <v>-25</v>
      </c>
      <c r="BQ62" s="187">
        <v>-25</v>
      </c>
      <c r="BR62" s="187">
        <v>-25</v>
      </c>
      <c r="BS62" s="187">
        <v>-25</v>
      </c>
      <c r="BT62" s="5">
        <f t="shared" ref="BT62" si="117">SUM(BP62:BS62)</f>
        <v>-100</v>
      </c>
      <c r="BU62" s="187">
        <v>-25</v>
      </c>
      <c r="BV62" s="187">
        <v>-25</v>
      </c>
      <c r="BW62" s="187">
        <v>-25</v>
      </c>
      <c r="BX62" s="187">
        <v>-25</v>
      </c>
      <c r="BY62" s="5">
        <f t="shared" ref="BY62" si="118">SUM(BU62:BX62)</f>
        <v>-100</v>
      </c>
      <c r="BZ62" s="187">
        <v>-25</v>
      </c>
      <c r="CA62" s="187">
        <v>-25</v>
      </c>
      <c r="CB62" s="187">
        <v>-25</v>
      </c>
      <c r="CC62" s="187">
        <v>-25</v>
      </c>
      <c r="CD62" s="5">
        <f t="shared" ref="CD62" si="119">SUM(BZ62:CC62)</f>
        <v>-100</v>
      </c>
      <c r="CF62" s="175"/>
      <c r="CG62" s="175"/>
      <c r="CH62" s="175"/>
      <c r="CI62" s="175"/>
      <c r="CJ62" s="175"/>
      <c r="CK62" s="175"/>
      <c r="CO62" s="8"/>
      <c r="CP62" s="8"/>
      <c r="CQ62" s="8"/>
      <c r="CR62" s="8"/>
      <c r="CS62" s="8"/>
      <c r="CT62" s="8"/>
      <c r="CU62" s="8"/>
      <c r="CV62" s="8"/>
      <c r="CW62" s="8"/>
      <c r="CX62" s="8"/>
    </row>
    <row r="63" spans="1:107" s="179" customFormat="1">
      <c r="A63" s="244" t="s">
        <v>3238</v>
      </c>
      <c r="B63" s="244"/>
      <c r="C63" s="174"/>
      <c r="D63" s="174"/>
      <c r="E63" s="174">
        <f t="shared" ref="E63:AN63" si="120">E58+SUM(E60:E62)</f>
        <v>12693</v>
      </c>
      <c r="F63" s="174">
        <f t="shared" si="120"/>
        <v>17397</v>
      </c>
      <c r="G63" s="174">
        <f t="shared" si="120"/>
        <v>21240</v>
      </c>
      <c r="H63" s="178">
        <f t="shared" si="120"/>
        <v>5504</v>
      </c>
      <c r="I63" s="178">
        <f t="shared" si="120"/>
        <v>6234</v>
      </c>
      <c r="J63" s="178">
        <f t="shared" si="120"/>
        <v>5540</v>
      </c>
      <c r="K63" s="178">
        <f t="shared" si="120"/>
        <v>3722</v>
      </c>
      <c r="L63" s="174">
        <f t="shared" si="120"/>
        <v>21000</v>
      </c>
      <c r="M63" s="178">
        <f t="shared" si="120"/>
        <v>4408</v>
      </c>
      <c r="N63" s="178">
        <f t="shared" si="120"/>
        <v>5515</v>
      </c>
      <c r="O63" s="178">
        <f t="shared" si="120"/>
        <v>4491</v>
      </c>
      <c r="P63" s="178">
        <f t="shared" si="120"/>
        <v>4527</v>
      </c>
      <c r="Q63" s="174">
        <f t="shared" si="120"/>
        <v>18941</v>
      </c>
      <c r="R63" s="178">
        <f t="shared" si="120"/>
        <v>6235</v>
      </c>
      <c r="S63" s="178">
        <f t="shared" si="120"/>
        <v>8521</v>
      </c>
      <c r="T63" s="178">
        <f t="shared" si="120"/>
        <v>8882</v>
      </c>
      <c r="U63" s="178">
        <f t="shared" si="120"/>
        <v>2605</v>
      </c>
      <c r="V63" s="174">
        <f t="shared" si="120"/>
        <v>26243</v>
      </c>
      <c r="W63" s="178">
        <f t="shared" si="120"/>
        <v>2581</v>
      </c>
      <c r="X63" s="178">
        <f t="shared" si="120"/>
        <v>2938</v>
      </c>
      <c r="Y63" s="178">
        <f t="shared" si="120"/>
        <v>4674</v>
      </c>
      <c r="Z63" s="178">
        <f t="shared" si="120"/>
        <v>4384</v>
      </c>
      <c r="AA63" s="174">
        <f t="shared" si="120"/>
        <v>14577</v>
      </c>
      <c r="AB63" s="178">
        <f t="shared" si="120"/>
        <v>5647</v>
      </c>
      <c r="AC63" s="178">
        <f t="shared" si="120"/>
        <v>4980</v>
      </c>
      <c r="AD63" s="178">
        <f t="shared" si="120"/>
        <v>5531</v>
      </c>
      <c r="AE63" s="178">
        <f t="shared" si="120"/>
        <v>4364</v>
      </c>
      <c r="AF63" s="174">
        <f t="shared" si="120"/>
        <v>20522</v>
      </c>
      <c r="AG63" s="178">
        <f t="shared" si="120"/>
        <v>5504</v>
      </c>
      <c r="AH63" s="178">
        <f t="shared" si="120"/>
        <v>5705</v>
      </c>
      <c r="AI63" s="178">
        <f t="shared" si="120"/>
        <v>5463</v>
      </c>
      <c r="AJ63" s="178">
        <f t="shared" si="120"/>
        <v>4986</v>
      </c>
      <c r="AK63" s="174">
        <f t="shared" si="120"/>
        <v>21658</v>
      </c>
      <c r="AL63" s="178">
        <f t="shared" si="120"/>
        <v>4799</v>
      </c>
      <c r="AM63" s="178">
        <f t="shared" si="120"/>
        <v>3685</v>
      </c>
      <c r="AN63" s="178">
        <f t="shared" si="120"/>
        <v>5170</v>
      </c>
      <c r="AO63" s="178">
        <f t="shared" ref="AO63:AT63" si="121">AO58+SUM(AO60:AO62)</f>
        <v>3984</v>
      </c>
      <c r="AP63" s="174">
        <f t="shared" si="121"/>
        <v>17638</v>
      </c>
      <c r="AQ63" s="178">
        <f t="shared" si="121"/>
        <v>4215</v>
      </c>
      <c r="AR63" s="178">
        <f t="shared" si="121"/>
        <v>2712</v>
      </c>
      <c r="AS63" s="178">
        <f t="shared" si="121"/>
        <v>3692</v>
      </c>
      <c r="AT63" s="178">
        <f t="shared" si="121"/>
        <v>2809</v>
      </c>
      <c r="AU63" s="174">
        <f>SUM(AQ63:AT63)</f>
        <v>13428</v>
      </c>
      <c r="AV63" s="178">
        <f t="shared" ref="AV63:CD63" si="122">AV58+SUM(AV60:AV62)</f>
        <v>3225</v>
      </c>
      <c r="AW63" s="178">
        <f t="shared" si="122"/>
        <v>3635</v>
      </c>
      <c r="AX63" s="178">
        <f t="shared" si="122"/>
        <v>3037</v>
      </c>
      <c r="AY63" s="178">
        <f t="shared" si="122"/>
        <v>2239</v>
      </c>
      <c r="AZ63" s="174">
        <f t="shared" si="122"/>
        <v>12136</v>
      </c>
      <c r="BA63" s="178">
        <f t="shared" si="122"/>
        <v>1670.83</v>
      </c>
      <c r="BB63" s="178">
        <f t="shared" si="122"/>
        <v>1313</v>
      </c>
      <c r="BC63" s="178">
        <f t="shared" si="122"/>
        <v>1819</v>
      </c>
      <c r="BD63" s="178">
        <f t="shared" si="122"/>
        <v>196</v>
      </c>
      <c r="BE63" s="174">
        <f>BE58+SUM(BE60:BE62)</f>
        <v>4998.83</v>
      </c>
      <c r="BF63" s="178">
        <f t="shared" ca="1" si="122"/>
        <v>532</v>
      </c>
      <c r="BG63" s="178">
        <f t="shared" ca="1" si="122"/>
        <v>720</v>
      </c>
      <c r="BH63" s="178">
        <f t="shared" si="122"/>
        <v>933</v>
      </c>
      <c r="BI63" s="178">
        <f t="shared" si="122"/>
        <v>400</v>
      </c>
      <c r="BJ63" s="174">
        <f t="shared" ca="1" si="122"/>
        <v>2585</v>
      </c>
      <c r="BK63" s="178">
        <f t="shared" si="122"/>
        <v>1510</v>
      </c>
      <c r="BL63" s="178">
        <f t="shared" si="122"/>
        <v>684</v>
      </c>
      <c r="BM63" s="178">
        <f t="shared" si="122"/>
        <v>1865</v>
      </c>
      <c r="BN63" s="178">
        <f t="shared" ca="1" si="122"/>
        <v>2107</v>
      </c>
      <c r="BO63" s="174">
        <f t="shared" ca="1" si="122"/>
        <v>6166</v>
      </c>
      <c r="BP63" s="178">
        <f t="shared" ca="1" si="122"/>
        <v>2188.728464169094</v>
      </c>
      <c r="BQ63" s="178">
        <f t="shared" ca="1" si="122"/>
        <v>3085.7328172760422</v>
      </c>
      <c r="BR63" s="178">
        <f t="shared" ca="1" si="122"/>
        <v>3125.5383365714979</v>
      </c>
      <c r="BS63" s="178">
        <f t="shared" ca="1" si="122"/>
        <v>2730.6675831833336</v>
      </c>
      <c r="BT63" s="174">
        <f t="shared" ca="1" si="122"/>
        <v>11130.667201199967</v>
      </c>
      <c r="BU63" s="178">
        <f t="shared" ca="1" si="122"/>
        <v>2790.0898779942254</v>
      </c>
      <c r="BV63" s="178">
        <f t="shared" ca="1" si="122"/>
        <v>2761.1919168742224</v>
      </c>
      <c r="BW63" s="178">
        <f t="shared" ca="1" si="122"/>
        <v>2875.1502573085299</v>
      </c>
      <c r="BX63" s="178">
        <f t="shared" ca="1" si="122"/>
        <v>2764.3091740559121</v>
      </c>
      <c r="BY63" s="174">
        <f t="shared" ca="1" si="122"/>
        <v>11190.741226232894</v>
      </c>
      <c r="BZ63" s="178">
        <f t="shared" ca="1" si="122"/>
        <v>3214.9533693838848</v>
      </c>
      <c r="CA63" s="178">
        <f t="shared" ca="1" si="122"/>
        <v>3208.5950198367564</v>
      </c>
      <c r="CB63" s="178">
        <f t="shared" ca="1" si="122"/>
        <v>3340.7364191388233</v>
      </c>
      <c r="CC63" s="178">
        <f t="shared" ca="1" si="122"/>
        <v>3258.1345378364358</v>
      </c>
      <c r="CD63" s="174">
        <f t="shared" ca="1" si="122"/>
        <v>13022.419346195902</v>
      </c>
      <c r="CF63" s="175"/>
      <c r="CG63" s="175"/>
      <c r="CH63" s="175"/>
      <c r="CI63" s="175"/>
      <c r="CJ63" s="175"/>
      <c r="CK63" s="175"/>
      <c r="CM63" s="5"/>
      <c r="CN63" s="5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5"/>
      <c r="CZ63" s="5"/>
      <c r="DA63" s="5"/>
      <c r="DB63" s="5"/>
      <c r="DC63" s="5"/>
    </row>
    <row r="64" spans="1:107" s="5" customFormat="1">
      <c r="A64" s="137"/>
      <c r="B64" s="137"/>
      <c r="C64" s="138"/>
      <c r="D64" s="138"/>
      <c r="E64" s="138"/>
      <c r="F64" s="138"/>
      <c r="G64" s="138"/>
      <c r="H64" s="181"/>
      <c r="I64" s="181"/>
      <c r="J64" s="181"/>
      <c r="K64" s="181"/>
      <c r="L64" s="138"/>
      <c r="M64" s="181"/>
      <c r="N64" s="181"/>
      <c r="O64" s="181"/>
      <c r="P64" s="181"/>
      <c r="Q64" s="138"/>
      <c r="R64" s="181"/>
      <c r="S64" s="181"/>
      <c r="T64" s="181"/>
      <c r="U64" s="181"/>
      <c r="V64" s="138"/>
      <c r="W64" s="181"/>
      <c r="X64" s="181"/>
      <c r="Y64" s="181"/>
      <c r="Z64" s="181"/>
      <c r="AA64" s="138"/>
      <c r="AB64" s="181"/>
      <c r="AC64" s="181"/>
      <c r="AD64" s="181"/>
      <c r="AE64" s="181"/>
      <c r="AF64" s="138"/>
      <c r="AG64" s="181"/>
      <c r="AH64" s="181"/>
      <c r="AI64" s="181"/>
      <c r="AJ64" s="181"/>
      <c r="AK64" s="138"/>
      <c r="AL64" s="181"/>
      <c r="AM64" s="181"/>
      <c r="AN64" s="181"/>
      <c r="AO64" s="138"/>
      <c r="AP64" s="138"/>
      <c r="AQ64" s="138"/>
      <c r="AR64" s="138"/>
      <c r="AS64" s="138"/>
      <c r="AT64" s="138"/>
      <c r="AU64" s="138"/>
      <c r="AV64" s="138"/>
      <c r="AW64" s="138"/>
      <c r="AX64" s="138"/>
      <c r="AY64" s="138"/>
      <c r="AZ64" s="138"/>
      <c r="BA64" s="138"/>
      <c r="BB64" s="138"/>
      <c r="BC64" s="138"/>
      <c r="BD64" s="138"/>
      <c r="BE64" s="138"/>
      <c r="BF64" s="138"/>
      <c r="BG64" s="138"/>
      <c r="BH64" s="138"/>
      <c r="BI64" s="138"/>
      <c r="BJ64" s="138"/>
      <c r="BK64" s="138"/>
      <c r="BL64" s="138"/>
      <c r="BM64" s="138"/>
      <c r="BN64" s="138"/>
      <c r="BO64" s="138"/>
      <c r="CF64" s="175"/>
      <c r="CG64" s="175"/>
      <c r="CH64" s="175"/>
      <c r="CI64" s="175"/>
      <c r="CJ64" s="175"/>
      <c r="CK64" s="175"/>
      <c r="CO64" s="8"/>
      <c r="CP64" s="8"/>
      <c r="CQ64" s="8"/>
      <c r="CR64" s="8"/>
      <c r="CS64" s="8"/>
      <c r="CT64" s="8"/>
      <c r="CU64" s="8"/>
      <c r="CV64" s="8"/>
      <c r="CW64" s="8"/>
      <c r="CX64" s="8"/>
    </row>
    <row r="65" spans="1:256" s="5" customFormat="1">
      <c r="A65" s="137" t="s">
        <v>2175</v>
      </c>
      <c r="B65" s="137"/>
      <c r="C65" s="138"/>
      <c r="D65" s="138"/>
      <c r="E65" s="138">
        <f>E24</f>
        <v>-27</v>
      </c>
      <c r="F65" s="138">
        <f t="shared" ref="F65:L65" si="123">F24</f>
        <v>-904</v>
      </c>
      <c r="G65" s="138">
        <f t="shared" si="123"/>
        <v>-199</v>
      </c>
      <c r="H65" s="181">
        <f t="shared" si="123"/>
        <v>-103</v>
      </c>
      <c r="I65" s="181">
        <f t="shared" si="123"/>
        <v>78</v>
      </c>
      <c r="J65" s="181">
        <f t="shared" si="123"/>
        <v>0</v>
      </c>
      <c r="K65" s="181">
        <f t="shared" si="123"/>
        <v>0</v>
      </c>
      <c r="L65" s="341">
        <f t="shared" si="123"/>
        <v>-25</v>
      </c>
      <c r="M65" s="181"/>
      <c r="N65" s="181"/>
      <c r="O65" s="181"/>
      <c r="P65" s="181"/>
      <c r="Q65" s="138"/>
      <c r="R65" s="181"/>
      <c r="S65" s="181"/>
      <c r="T65" s="181"/>
      <c r="U65" s="181"/>
      <c r="V65" s="138"/>
      <c r="W65" s="181"/>
      <c r="X65" s="181"/>
      <c r="Y65" s="181"/>
      <c r="Z65" s="181"/>
      <c r="AA65" s="138"/>
      <c r="AB65" s="181"/>
      <c r="AC65" s="181"/>
      <c r="AD65" s="181"/>
      <c r="AE65" s="181"/>
      <c r="AF65" s="138"/>
      <c r="AG65" s="181"/>
      <c r="AH65" s="181"/>
      <c r="AI65" s="181"/>
      <c r="AJ65" s="181"/>
      <c r="AK65" s="138"/>
      <c r="AL65" s="181"/>
      <c r="AM65" s="181"/>
      <c r="AN65" s="181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  <c r="BF65" s="138"/>
      <c r="BG65" s="138"/>
      <c r="BH65" s="138"/>
      <c r="BI65" s="138"/>
      <c r="BJ65" s="138"/>
      <c r="BK65" s="138"/>
      <c r="BL65" s="138"/>
      <c r="BM65" s="138"/>
      <c r="BN65" s="138"/>
      <c r="BO65" s="138"/>
      <c r="BP65" s="138"/>
      <c r="BQ65" s="138"/>
      <c r="BR65" s="138"/>
      <c r="BS65" s="138"/>
      <c r="BT65" s="138"/>
      <c r="BU65" s="138"/>
      <c r="BV65" s="138"/>
      <c r="BW65" s="138"/>
      <c r="BX65" s="138"/>
      <c r="BY65" s="138"/>
      <c r="BZ65" s="138"/>
      <c r="CA65" s="138"/>
      <c r="CB65" s="138"/>
      <c r="CC65" s="138"/>
      <c r="CD65" s="138"/>
      <c r="CE65" s="138"/>
      <c r="CF65" s="138"/>
      <c r="CG65" s="138"/>
      <c r="CH65" s="175"/>
      <c r="CI65" s="175"/>
      <c r="CJ65" s="175"/>
      <c r="CK65" s="175"/>
      <c r="CO65" s="8"/>
      <c r="CP65" s="8"/>
      <c r="CQ65" s="8"/>
      <c r="CR65" s="8"/>
      <c r="CS65" s="8"/>
      <c r="CT65" s="8"/>
      <c r="CU65" s="8"/>
      <c r="CV65" s="8"/>
      <c r="CW65" s="8"/>
      <c r="CX65" s="8"/>
    </row>
    <row r="66" spans="1:256" s="5" customFormat="1">
      <c r="A66" s="137" t="s">
        <v>769</v>
      </c>
      <c r="B66" s="137"/>
      <c r="C66" s="138"/>
      <c r="D66" s="138"/>
      <c r="E66" s="138">
        <f>E25</f>
        <v>0</v>
      </c>
      <c r="F66" s="138">
        <f t="shared" ref="F66:K66" si="124">F25</f>
        <v>1643</v>
      </c>
      <c r="G66" s="138">
        <f t="shared" si="124"/>
        <v>3027</v>
      </c>
      <c r="H66" s="181">
        <f t="shared" si="124"/>
        <v>358</v>
      </c>
      <c r="I66" s="181">
        <f t="shared" si="124"/>
        <v>1148</v>
      </c>
      <c r="J66" s="181">
        <f t="shared" si="124"/>
        <v>-744</v>
      </c>
      <c r="K66" s="181">
        <f t="shared" si="124"/>
        <v>-1015</v>
      </c>
      <c r="L66" s="138">
        <f t="shared" ref="L66:AG66" si="125">L25</f>
        <v>-253</v>
      </c>
      <c r="M66" s="181">
        <f t="shared" si="125"/>
        <v>303</v>
      </c>
      <c r="N66" s="181">
        <f t="shared" si="125"/>
        <v>1289</v>
      </c>
      <c r="O66" s="181">
        <f t="shared" si="125"/>
        <v>539</v>
      </c>
      <c r="P66" s="181">
        <f t="shared" si="125"/>
        <v>1427</v>
      </c>
      <c r="Q66" s="138">
        <f t="shared" si="125"/>
        <v>3558</v>
      </c>
      <c r="R66" s="181">
        <f t="shared" si="125"/>
        <v>1326</v>
      </c>
      <c r="S66" s="181">
        <f t="shared" si="125"/>
        <v>3952</v>
      </c>
      <c r="T66" s="181">
        <f t="shared" si="125"/>
        <v>-2978</v>
      </c>
      <c r="U66" s="181">
        <f t="shared" si="125"/>
        <v>-8788</v>
      </c>
      <c r="V66" s="138">
        <f t="shared" si="125"/>
        <v>-6488</v>
      </c>
      <c r="W66" s="181">
        <f t="shared" si="125"/>
        <v>254</v>
      </c>
      <c r="X66" s="181">
        <f t="shared" si="125"/>
        <v>1874</v>
      </c>
      <c r="Y66" s="181">
        <f t="shared" si="125"/>
        <v>538</v>
      </c>
      <c r="Z66" s="181">
        <f t="shared" si="125"/>
        <v>1256</v>
      </c>
      <c r="AA66" s="138">
        <f t="shared" si="125"/>
        <v>3922</v>
      </c>
      <c r="AB66" s="181">
        <f t="shared" si="125"/>
        <v>705</v>
      </c>
      <c r="AC66" s="181">
        <f t="shared" si="125"/>
        <v>-284</v>
      </c>
      <c r="AD66" s="181">
        <f t="shared" si="125"/>
        <v>-82</v>
      </c>
      <c r="AE66" s="181">
        <f t="shared" si="125"/>
        <v>1445</v>
      </c>
      <c r="AF66" s="138">
        <f t="shared" si="125"/>
        <v>1784</v>
      </c>
      <c r="AG66" s="181">
        <f t="shared" si="125"/>
        <v>2412</v>
      </c>
      <c r="AH66" s="181">
        <f t="shared" ref="AH66:AJ67" si="126">AH25</f>
        <v>493</v>
      </c>
      <c r="AI66" s="181">
        <f t="shared" si="126"/>
        <v>-372</v>
      </c>
      <c r="AJ66" s="181">
        <f t="shared" si="126"/>
        <v>101</v>
      </c>
      <c r="AK66" s="138">
        <f>SUM(AG66:AJ66)</f>
        <v>2634</v>
      </c>
      <c r="AL66" s="181">
        <f t="shared" ref="AL66:AN67" si="127">AL25</f>
        <v>1437</v>
      </c>
      <c r="AM66" s="181">
        <f t="shared" si="127"/>
        <v>-2324</v>
      </c>
      <c r="AN66" s="181">
        <f t="shared" si="127"/>
        <v>1059</v>
      </c>
      <c r="AO66" s="181">
        <f>AO25</f>
        <v>-766</v>
      </c>
      <c r="AP66" s="138">
        <f>SUM(AL66:AO66)</f>
        <v>-594</v>
      </c>
      <c r="AQ66" s="181">
        <f t="shared" ref="AQ66:AS67" si="128">AQ25</f>
        <v>406</v>
      </c>
      <c r="AR66" s="181">
        <f t="shared" si="128"/>
        <v>-506</v>
      </c>
      <c r="AS66" s="181">
        <f t="shared" si="128"/>
        <v>444</v>
      </c>
      <c r="AT66" s="181">
        <f>AT25</f>
        <v>-634</v>
      </c>
      <c r="AU66" s="138">
        <f>SUM(AQ66:AT66)</f>
        <v>-290</v>
      </c>
      <c r="AV66" s="181">
        <f t="shared" ref="AV66:AX67" si="129">AV25</f>
        <v>102</v>
      </c>
      <c r="AW66" s="181">
        <f t="shared" si="129"/>
        <v>258</v>
      </c>
      <c r="AX66" s="181">
        <f t="shared" si="129"/>
        <v>-1585</v>
      </c>
      <c r="AY66" s="181">
        <f>AY25</f>
        <v>-4985</v>
      </c>
      <c r="AZ66" s="138">
        <f>SUM(AV66:AY66)</f>
        <v>-6210</v>
      </c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F66" s="175"/>
      <c r="CG66" s="175"/>
      <c r="CH66" s="175"/>
      <c r="CI66" s="175"/>
      <c r="CJ66" s="175"/>
      <c r="CK66" s="175"/>
      <c r="CO66" s="8"/>
      <c r="CP66" s="8"/>
      <c r="CQ66" s="8"/>
      <c r="CR66" s="8"/>
      <c r="CS66" s="8"/>
      <c r="CT66" s="8"/>
      <c r="CU66" s="8"/>
      <c r="CV66" s="8"/>
      <c r="CW66" s="8"/>
      <c r="CX66" s="8"/>
    </row>
    <row r="67" spans="1:256" s="5" customFormat="1">
      <c r="A67" s="137" t="s">
        <v>2545</v>
      </c>
      <c r="B67" s="137"/>
      <c r="C67" s="138"/>
      <c r="D67" s="138"/>
      <c r="E67" s="138">
        <f>E26</f>
        <v>0</v>
      </c>
      <c r="F67" s="138">
        <f>F26</f>
        <v>0</v>
      </c>
      <c r="G67" s="138"/>
      <c r="H67" s="181">
        <f>H26</f>
        <v>-119</v>
      </c>
      <c r="I67" s="181">
        <f t="shared" ref="I67:AG67" si="130">I26</f>
        <v>-200</v>
      </c>
      <c r="J67" s="181">
        <f t="shared" si="130"/>
        <v>210</v>
      </c>
      <c r="K67" s="181">
        <f t="shared" si="130"/>
        <v>325</v>
      </c>
      <c r="L67" s="138">
        <f t="shared" si="130"/>
        <v>216</v>
      </c>
      <c r="M67" s="181">
        <f t="shared" si="130"/>
        <v>-83</v>
      </c>
      <c r="N67" s="181">
        <f t="shared" si="130"/>
        <v>-401</v>
      </c>
      <c r="O67" s="181">
        <f t="shared" si="130"/>
        <v>-176</v>
      </c>
      <c r="P67" s="181">
        <f t="shared" si="130"/>
        <v>-423</v>
      </c>
      <c r="Q67" s="138">
        <f t="shared" si="130"/>
        <v>-1083</v>
      </c>
      <c r="R67" s="181">
        <f t="shared" si="130"/>
        <v>-463</v>
      </c>
      <c r="S67" s="181">
        <f t="shared" si="130"/>
        <v>-1340</v>
      </c>
      <c r="T67" s="181">
        <f t="shared" si="130"/>
        <v>998</v>
      </c>
      <c r="U67" s="181">
        <f t="shared" si="130"/>
        <v>2857</v>
      </c>
      <c r="V67" s="138">
        <f t="shared" si="130"/>
        <v>2052</v>
      </c>
      <c r="W67" s="181">
        <f t="shared" si="130"/>
        <v>-79</v>
      </c>
      <c r="X67" s="181">
        <f t="shared" si="130"/>
        <v>-629</v>
      </c>
      <c r="Y67" s="181">
        <f t="shared" si="130"/>
        <v>-183</v>
      </c>
      <c r="Z67" s="181">
        <f t="shared" si="130"/>
        <v>-408</v>
      </c>
      <c r="AA67" s="138">
        <f t="shared" si="130"/>
        <v>-1299</v>
      </c>
      <c r="AB67" s="181">
        <f t="shared" si="130"/>
        <v>-224</v>
      </c>
      <c r="AC67" s="181">
        <f t="shared" si="130"/>
        <v>107</v>
      </c>
      <c r="AD67" s="181">
        <f t="shared" si="130"/>
        <v>20</v>
      </c>
      <c r="AE67" s="181">
        <f t="shared" si="130"/>
        <v>-492</v>
      </c>
      <c r="AF67" s="138">
        <f t="shared" si="130"/>
        <v>-589</v>
      </c>
      <c r="AG67" s="181">
        <f t="shared" si="130"/>
        <v>-769</v>
      </c>
      <c r="AH67" s="181">
        <f t="shared" si="126"/>
        <v>-182</v>
      </c>
      <c r="AI67" s="181">
        <f t="shared" si="126"/>
        <v>139</v>
      </c>
      <c r="AJ67" s="181">
        <f t="shared" si="126"/>
        <v>-22</v>
      </c>
      <c r="AK67" s="138">
        <f>SUM(AG67:AJ67)</f>
        <v>-834</v>
      </c>
      <c r="AL67" s="181">
        <f t="shared" si="127"/>
        <v>-451</v>
      </c>
      <c r="AM67" s="181">
        <f t="shared" si="127"/>
        <v>701</v>
      </c>
      <c r="AN67" s="181">
        <f t="shared" si="127"/>
        <v>-312</v>
      </c>
      <c r="AO67" s="181">
        <f>AO26</f>
        <v>245</v>
      </c>
      <c r="AP67" s="138">
        <f>SUM(AL67:AO67)</f>
        <v>183</v>
      </c>
      <c r="AQ67" s="181">
        <f t="shared" si="128"/>
        <v>-139</v>
      </c>
      <c r="AR67" s="181">
        <f t="shared" si="128"/>
        <v>148</v>
      </c>
      <c r="AS67" s="181">
        <f t="shared" si="128"/>
        <v>-118</v>
      </c>
      <c r="AT67" s="181">
        <f>AT26</f>
        <v>169</v>
      </c>
      <c r="AU67" s="138">
        <f>SUM(AQ67:AT67)</f>
        <v>60</v>
      </c>
      <c r="AV67" s="181">
        <f t="shared" si="129"/>
        <v>-49</v>
      </c>
      <c r="AW67" s="181">
        <f t="shared" si="129"/>
        <v>-71</v>
      </c>
      <c r="AX67" s="181">
        <f t="shared" si="129"/>
        <v>490</v>
      </c>
      <c r="AY67" s="181">
        <f>AY26</f>
        <v>1547</v>
      </c>
      <c r="AZ67" s="138">
        <f>SUM(AV67:AY67)</f>
        <v>1917</v>
      </c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2"/>
      <c r="BX67" s="72"/>
      <c r="BY67" s="72"/>
      <c r="BZ67" s="72"/>
      <c r="CA67" s="72"/>
      <c r="CB67" s="72"/>
      <c r="CC67" s="72"/>
      <c r="CD67" s="72"/>
      <c r="CF67" s="175"/>
      <c r="CG67" s="175"/>
      <c r="CH67" s="175"/>
      <c r="CI67" s="175"/>
      <c r="CJ67" s="175"/>
      <c r="CK67" s="175"/>
      <c r="CO67" s="8"/>
      <c r="CP67" s="8"/>
      <c r="CQ67" s="8"/>
      <c r="CR67" s="8"/>
      <c r="CS67" s="8"/>
      <c r="CT67" s="8"/>
      <c r="CU67" s="8"/>
      <c r="CV67" s="8"/>
      <c r="CW67" s="8"/>
      <c r="CX67" s="8"/>
    </row>
    <row r="68" spans="1:256" s="8" customFormat="1">
      <c r="A68" s="244" t="s">
        <v>2543</v>
      </c>
      <c r="B68" s="244"/>
      <c r="C68" s="174"/>
      <c r="D68" s="174"/>
      <c r="E68" s="174">
        <f>E63+SUM(E65:E67)</f>
        <v>12666</v>
      </c>
      <c r="F68" s="174">
        <f>F63+SUM(F65:F67)</f>
        <v>18136</v>
      </c>
      <c r="G68" s="174">
        <f>G63+SUM(G65:G67)</f>
        <v>24068</v>
      </c>
      <c r="H68" s="178">
        <f t="shared" ref="H68:AV68" si="131">H63+SUM(H65:H67)</f>
        <v>5640</v>
      </c>
      <c r="I68" s="178">
        <f t="shared" si="131"/>
        <v>7260</v>
      </c>
      <c r="J68" s="178">
        <f t="shared" si="131"/>
        <v>5006</v>
      </c>
      <c r="K68" s="178">
        <f t="shared" si="131"/>
        <v>3032</v>
      </c>
      <c r="L68" s="174">
        <f t="shared" si="131"/>
        <v>20938</v>
      </c>
      <c r="M68" s="178">
        <f t="shared" si="131"/>
        <v>4628</v>
      </c>
      <c r="N68" s="178">
        <f t="shared" si="131"/>
        <v>6403</v>
      </c>
      <c r="O68" s="178">
        <f t="shared" si="131"/>
        <v>4854</v>
      </c>
      <c r="P68" s="178">
        <f t="shared" si="131"/>
        <v>5531</v>
      </c>
      <c r="Q68" s="174">
        <f t="shared" si="131"/>
        <v>21416</v>
      </c>
      <c r="R68" s="178">
        <f t="shared" si="131"/>
        <v>7098</v>
      </c>
      <c r="S68" s="178">
        <f t="shared" si="131"/>
        <v>11133</v>
      </c>
      <c r="T68" s="178">
        <f t="shared" si="131"/>
        <v>6902</v>
      </c>
      <c r="U68" s="178">
        <f t="shared" si="131"/>
        <v>-3326</v>
      </c>
      <c r="V68" s="174">
        <f t="shared" si="131"/>
        <v>21807</v>
      </c>
      <c r="W68" s="178">
        <f t="shared" si="131"/>
        <v>2756</v>
      </c>
      <c r="X68" s="178">
        <f t="shared" si="131"/>
        <v>4183</v>
      </c>
      <c r="Y68" s="178">
        <f t="shared" si="131"/>
        <v>5029</v>
      </c>
      <c r="Z68" s="178">
        <f t="shared" si="131"/>
        <v>5232</v>
      </c>
      <c r="AA68" s="174">
        <f t="shared" si="131"/>
        <v>17200</v>
      </c>
      <c r="AB68" s="178">
        <f t="shared" si="131"/>
        <v>6128</v>
      </c>
      <c r="AC68" s="178">
        <f t="shared" si="131"/>
        <v>4803</v>
      </c>
      <c r="AD68" s="178">
        <f t="shared" si="131"/>
        <v>5469</v>
      </c>
      <c r="AE68" s="178">
        <f t="shared" si="131"/>
        <v>5317</v>
      </c>
      <c r="AF68" s="174">
        <f t="shared" si="131"/>
        <v>21717</v>
      </c>
      <c r="AG68" s="178">
        <f t="shared" si="131"/>
        <v>7147</v>
      </c>
      <c r="AH68" s="178">
        <f t="shared" si="131"/>
        <v>6016</v>
      </c>
      <c r="AI68" s="178">
        <f t="shared" si="131"/>
        <v>5230</v>
      </c>
      <c r="AJ68" s="178">
        <f t="shared" si="131"/>
        <v>5065</v>
      </c>
      <c r="AK68" s="174">
        <f t="shared" si="131"/>
        <v>23458</v>
      </c>
      <c r="AL68" s="178">
        <f t="shared" si="131"/>
        <v>5785</v>
      </c>
      <c r="AM68" s="178">
        <f t="shared" si="131"/>
        <v>2062</v>
      </c>
      <c r="AN68" s="178">
        <f t="shared" si="131"/>
        <v>5917</v>
      </c>
      <c r="AO68" s="178">
        <f t="shared" si="131"/>
        <v>3463</v>
      </c>
      <c r="AP68" s="174">
        <f t="shared" si="131"/>
        <v>17227</v>
      </c>
      <c r="AQ68" s="178">
        <f t="shared" si="131"/>
        <v>4482</v>
      </c>
      <c r="AR68" s="178">
        <f t="shared" si="131"/>
        <v>2354</v>
      </c>
      <c r="AS68" s="178">
        <f t="shared" si="131"/>
        <v>4018</v>
      </c>
      <c r="AT68" s="178">
        <f t="shared" si="131"/>
        <v>2344</v>
      </c>
      <c r="AU68" s="174">
        <f t="shared" si="131"/>
        <v>13198</v>
      </c>
      <c r="AV68" s="178">
        <f t="shared" si="131"/>
        <v>3278</v>
      </c>
      <c r="AW68" s="178">
        <f>AW63+SUM(AW65:AW67)</f>
        <v>3822</v>
      </c>
      <c r="AX68" s="178">
        <f>AX63+SUM(AX65:AX67)</f>
        <v>1942</v>
      </c>
      <c r="AY68" s="178">
        <f>AY63+SUM(AY65:AY67)</f>
        <v>-1199</v>
      </c>
      <c r="AZ68" s="174">
        <f t="shared" ref="AZ68" si="132">AZ63+SUM(AZ65:AZ67)</f>
        <v>7843</v>
      </c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  <c r="BP68" s="72"/>
      <c r="BQ68" s="72"/>
      <c r="BR68" s="72"/>
      <c r="BS68" s="72"/>
      <c r="BT68" s="72"/>
      <c r="BU68" s="72"/>
      <c r="BV68" s="72"/>
      <c r="BW68" s="72"/>
      <c r="BX68" s="72"/>
      <c r="BY68" s="72"/>
      <c r="BZ68" s="72"/>
      <c r="CA68" s="72"/>
      <c r="CB68" s="72"/>
      <c r="CC68" s="72"/>
      <c r="CD68" s="72"/>
      <c r="CF68" s="175"/>
      <c r="CG68" s="175"/>
      <c r="CH68" s="175"/>
      <c r="CI68" s="175"/>
      <c r="CJ68" s="175"/>
      <c r="CK68" s="175"/>
      <c r="CM68" s="5"/>
      <c r="CN68" s="5"/>
      <c r="CY68" s="5"/>
      <c r="CZ68" s="5"/>
      <c r="DA68" s="5"/>
      <c r="DB68" s="5"/>
      <c r="DC68" s="5"/>
    </row>
    <row r="69" spans="1:256" s="5" customFormat="1">
      <c r="A69" s="4"/>
      <c r="B69" s="4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CF69" s="175"/>
      <c r="CG69" s="175"/>
      <c r="CH69" s="175"/>
      <c r="CI69" s="175"/>
      <c r="CJ69" s="175"/>
      <c r="CK69" s="175"/>
      <c r="CO69" s="8"/>
      <c r="CP69" s="8"/>
      <c r="CQ69" s="8"/>
      <c r="CR69" s="8"/>
      <c r="CS69" s="8"/>
      <c r="CT69" s="8"/>
      <c r="CU69" s="8"/>
      <c r="CV69" s="8"/>
      <c r="CW69" s="8"/>
      <c r="CX69" s="8"/>
    </row>
    <row r="70" spans="1:256" s="5" customFormat="1">
      <c r="A70" s="4"/>
      <c r="B70" s="4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12"/>
      <c r="AI70" s="12"/>
      <c r="AJ70" s="12"/>
      <c r="CF70" s="175"/>
      <c r="CG70" s="175"/>
      <c r="CH70" s="175"/>
      <c r="CI70" s="175"/>
      <c r="CJ70" s="175"/>
      <c r="CK70" s="175"/>
      <c r="CO70" s="8"/>
      <c r="CP70" s="8"/>
      <c r="CQ70" s="8"/>
      <c r="CR70" s="8"/>
      <c r="CS70" s="8"/>
      <c r="CT70" s="8"/>
      <c r="CU70" s="8"/>
      <c r="CV70" s="8"/>
      <c r="CW70" s="8"/>
      <c r="CX70" s="8"/>
    </row>
    <row r="71" spans="1:256" s="5" customFormat="1">
      <c r="A71" s="7" t="s">
        <v>1675</v>
      </c>
      <c r="B71" s="4"/>
      <c r="AH71" s="12"/>
      <c r="AI71" s="12"/>
      <c r="AJ71" s="12"/>
      <c r="AQ71" s="70"/>
      <c r="AV71" s="70"/>
      <c r="CF71" s="175"/>
      <c r="CG71" s="175"/>
      <c r="CH71" s="175"/>
      <c r="CI71" s="175"/>
      <c r="CJ71" s="175"/>
      <c r="CK71" s="175"/>
      <c r="CO71" s="8"/>
      <c r="CP71" s="8"/>
      <c r="CQ71" s="8"/>
      <c r="CR71" s="8"/>
      <c r="CS71" s="8"/>
      <c r="CT71" s="8"/>
      <c r="CU71" s="8"/>
      <c r="CV71" s="8"/>
      <c r="CW71" s="8"/>
      <c r="CX71" s="8"/>
    </row>
    <row r="72" spans="1:256" s="5" customFormat="1">
      <c r="A72" s="7"/>
      <c r="B72" s="4" t="s">
        <v>2547</v>
      </c>
      <c r="C72" s="93"/>
      <c r="D72" s="93"/>
      <c r="E72" s="5">
        <f>SUM(E58,E60)</f>
        <v>18007</v>
      </c>
      <c r="F72" s="5">
        <f>SUM(F58,F60)</f>
        <v>25013</v>
      </c>
      <c r="G72" s="5">
        <f>SUM(G58,G60)</f>
        <v>32115</v>
      </c>
      <c r="H72" s="93"/>
      <c r="I72" s="93"/>
      <c r="J72" s="93"/>
      <c r="K72" s="93"/>
      <c r="L72" s="5">
        <f>SUM(L58,L60)</f>
        <v>32975</v>
      </c>
      <c r="M72" s="93"/>
      <c r="N72" s="93"/>
      <c r="O72" s="93"/>
      <c r="P72" s="93"/>
      <c r="Q72" s="5">
        <f>SUM(Q58,Q60)</f>
        <v>29085</v>
      </c>
      <c r="R72" s="93"/>
      <c r="S72" s="93"/>
      <c r="T72" s="93"/>
      <c r="U72" s="93"/>
      <c r="V72" s="5">
        <f>SUM(V58,V60)</f>
        <v>41818</v>
      </c>
      <c r="W72" s="93"/>
      <c r="X72" s="93"/>
      <c r="Y72" s="93"/>
      <c r="Z72" s="93"/>
      <c r="AA72" s="5">
        <f>SUM(AA58,AA60)</f>
        <v>21371</v>
      </c>
      <c r="AB72" s="93"/>
      <c r="AC72" s="93"/>
      <c r="AD72" s="93"/>
      <c r="AE72" s="93"/>
      <c r="AF72" s="5">
        <f>SUM(AF58,AF60)-AF53</f>
        <v>28041</v>
      </c>
      <c r="AG72" s="93"/>
      <c r="AH72" s="93"/>
      <c r="AI72" s="93"/>
      <c r="AJ72" s="93"/>
      <c r="AK72" s="5">
        <f>SUM(AK58,AK60)-AK53</f>
        <v>28544</v>
      </c>
      <c r="AL72" s="93"/>
      <c r="AM72" s="93"/>
      <c r="AN72" s="93"/>
      <c r="AO72" s="93"/>
      <c r="AP72" s="5">
        <f>SUM(AP58,AP60)-AP53</f>
        <v>22388</v>
      </c>
      <c r="AQ72" s="93"/>
      <c r="AR72" s="93"/>
      <c r="AS72" s="93"/>
      <c r="AT72" s="93"/>
      <c r="AU72" s="5">
        <f>SUM(AU58,AU60)-AU53</f>
        <v>19069</v>
      </c>
      <c r="AV72" s="93"/>
      <c r="AW72" s="93"/>
      <c r="AX72" s="93"/>
      <c r="AY72" s="93"/>
      <c r="AZ72" s="5">
        <f>SUM(AZ58,AZ60)-AZ53</f>
        <v>17519</v>
      </c>
      <c r="BA72" s="93"/>
      <c r="BB72" s="93"/>
      <c r="BC72" s="93"/>
      <c r="BD72" s="93"/>
      <c r="BE72" s="5">
        <f>SUM(BE58,BE60)-BE53</f>
        <v>6075</v>
      </c>
      <c r="BF72" s="93"/>
      <c r="BG72" s="93"/>
      <c r="BH72" s="93"/>
      <c r="BI72" s="93"/>
      <c r="BJ72" s="5">
        <f t="shared" ref="BJ72:CD72" ca="1" si="133">SUM(BJ58,BJ60)-BJ53</f>
        <v>2287</v>
      </c>
      <c r="BK72" s="12">
        <f t="shared" si="133"/>
        <v>2217</v>
      </c>
      <c r="BL72" s="12">
        <f t="shared" si="133"/>
        <v>1472</v>
      </c>
      <c r="BM72" s="12">
        <f t="shared" si="133"/>
        <v>2928</v>
      </c>
      <c r="BN72" s="12">
        <f t="shared" ca="1" si="133"/>
        <v>2604</v>
      </c>
      <c r="BO72" s="5">
        <f t="shared" ca="1" si="133"/>
        <v>9221</v>
      </c>
      <c r="BP72" s="12">
        <f t="shared" ca="1" si="133"/>
        <v>3444.6749123325953</v>
      </c>
      <c r="BQ72" s="12">
        <f t="shared" ca="1" si="133"/>
        <v>4618.5868850353909</v>
      </c>
      <c r="BR72" s="12">
        <f t="shared" ca="1" si="133"/>
        <v>4805.1363394243726</v>
      </c>
      <c r="BS72" s="12">
        <f t="shared" ca="1" si="133"/>
        <v>4263.2271192710969</v>
      </c>
      <c r="BT72" s="5">
        <f t="shared" ca="1" si="133"/>
        <v>17131.625256063457</v>
      </c>
      <c r="BU72" s="12">
        <f t="shared" ca="1" si="133"/>
        <v>4526.3896000386612</v>
      </c>
      <c r="BV72" s="12">
        <f t="shared" ca="1" si="133"/>
        <v>4383.6950089860275</v>
      </c>
      <c r="BW72" s="12">
        <f t="shared" ca="1" si="133"/>
        <v>4644.2615129114383</v>
      </c>
      <c r="BX72" s="12">
        <f t="shared" ca="1" si="133"/>
        <v>4358.2205029223296</v>
      </c>
      <c r="BY72" s="5">
        <f t="shared" ca="1" si="133"/>
        <v>17912.56662485846</v>
      </c>
      <c r="BZ72" s="12">
        <f t="shared" ca="1" si="133"/>
        <v>4559.9538509854065</v>
      </c>
      <c r="CA72" s="12">
        <f t="shared" ca="1" si="133"/>
        <v>4552.5970398117006</v>
      </c>
      <c r="CB72" s="12">
        <f t="shared" ca="1" si="133"/>
        <v>4883.8807113190915</v>
      </c>
      <c r="CC72" s="12">
        <f t="shared" ca="1" si="133"/>
        <v>4659.0208574498511</v>
      </c>
      <c r="CD72" s="5">
        <f t="shared" ca="1" si="133"/>
        <v>18655.452459566051</v>
      </c>
      <c r="CF72" s="175"/>
      <c r="CG72" s="175"/>
      <c r="CH72" s="175"/>
      <c r="CI72" s="175"/>
      <c r="CJ72" s="175"/>
      <c r="CK72" s="175"/>
      <c r="CO72" s="8"/>
      <c r="CP72" s="8"/>
      <c r="CQ72" s="8"/>
      <c r="CR72" s="8"/>
      <c r="CS72" s="8"/>
      <c r="CT72" s="8"/>
      <c r="CU72" s="8"/>
      <c r="CV72" s="8"/>
      <c r="CW72" s="8"/>
      <c r="CX72" s="8"/>
    </row>
    <row r="73" spans="1:256" s="5" customFormat="1">
      <c r="A73" s="7"/>
      <c r="B73" s="4" t="s">
        <v>2171</v>
      </c>
      <c r="C73" s="93"/>
      <c r="D73" s="93"/>
      <c r="E73" s="5">
        <f>SUM('E&amp;P - FAS69'!E46,'E&amp;P - FAS69'!E533)-E33</f>
        <v>13631</v>
      </c>
      <c r="F73" s="5">
        <f>SUM('E&amp;P - FAS69'!F46,'E&amp;P - FAS69'!F533)-F33</f>
        <v>16485</v>
      </c>
      <c r="G73" s="5">
        <f>SUM('E&amp;P - FAS69'!G46,'E&amp;P - FAS69'!G533)-G33</f>
        <v>23237.833333333336</v>
      </c>
      <c r="H73" s="93"/>
      <c r="I73" s="93"/>
      <c r="J73" s="93"/>
      <c r="K73" s="93"/>
      <c r="L73" s="5">
        <f>SUM('E&amp;P - FAS69'!L46,'E&amp;P - FAS69'!L533)-L33</f>
        <v>23522</v>
      </c>
      <c r="M73" s="93"/>
      <c r="N73" s="93"/>
      <c r="O73" s="93"/>
      <c r="P73" s="93"/>
      <c r="Q73" s="5">
        <f>SUM('E&amp;P - FAS69'!Q46,'E&amp;P - FAS69'!Q533)-Q33</f>
        <v>23065</v>
      </c>
      <c r="R73" s="93"/>
      <c r="S73" s="93"/>
      <c r="T73" s="93"/>
      <c r="U73" s="93"/>
      <c r="V73" s="5">
        <f>SUM('E&amp;P - FAS69'!V46,'E&amp;P - FAS69'!V533)-V33</f>
        <v>34880</v>
      </c>
      <c r="W73" s="93"/>
      <c r="X73" s="93"/>
      <c r="Y73" s="93"/>
      <c r="Z73" s="93"/>
      <c r="AA73" s="5">
        <f>SUM('E&amp;P - FAS69'!AA46,'E&amp;P - FAS69'!AA533)-AA33</f>
        <v>18030</v>
      </c>
      <c r="AB73" s="93"/>
      <c r="AC73" s="93"/>
      <c r="AD73" s="93"/>
      <c r="AE73" s="93"/>
      <c r="AF73" s="5">
        <f>'E&amp;P - FAS69'!AF46-AF33</f>
        <v>23999</v>
      </c>
      <c r="AG73" s="93"/>
      <c r="AH73" s="93"/>
      <c r="AI73" s="93"/>
      <c r="AJ73" s="93"/>
      <c r="AK73" s="5">
        <f>'E&amp;P - FAS69'!AK46-AK33</f>
        <v>23628</v>
      </c>
      <c r="AL73" s="93"/>
      <c r="AM73" s="93"/>
      <c r="AN73" s="93"/>
      <c r="AO73" s="93"/>
      <c r="AP73" s="5">
        <f>'E&amp;P - FAS69'!AP46-AP33</f>
        <v>18141</v>
      </c>
      <c r="AQ73" s="93"/>
      <c r="AR73" s="93"/>
      <c r="AS73" s="93"/>
      <c r="AT73" s="93"/>
      <c r="AU73" s="5">
        <f>'E&amp;P - FAS69'!AU46-AU33</f>
        <v>16434</v>
      </c>
      <c r="AV73" s="93"/>
      <c r="AW73" s="93"/>
      <c r="AX73" s="93"/>
      <c r="AY73" s="93"/>
      <c r="AZ73" s="5">
        <f>'E&amp;P - FAS69'!AZ46-AZ33</f>
        <v>12423</v>
      </c>
      <c r="BA73" s="93"/>
      <c r="BB73" s="93"/>
      <c r="BC73" s="93"/>
      <c r="BD73" s="93"/>
      <c r="BE73" s="5">
        <f>'E&amp;P - FAS69'!BE46-BE33</f>
        <v>183</v>
      </c>
      <c r="BF73" s="93"/>
      <c r="BG73" s="93"/>
      <c r="BH73" s="93"/>
      <c r="BI73" s="93"/>
      <c r="BJ73" s="5">
        <f>'E&amp;P - FAS69'!BJ46-BJ33</f>
        <v>-730</v>
      </c>
      <c r="BK73" s="12">
        <f>'E&amp;P - FAS69'!BK46-BK33</f>
        <v>114</v>
      </c>
      <c r="BL73" s="12">
        <f>'E&amp;P - FAS69'!BL46-BL33</f>
        <v>-85</v>
      </c>
      <c r="BM73" s="12">
        <f>'E&amp;P - FAS69'!BM46-BM33</f>
        <v>320</v>
      </c>
      <c r="BN73" s="12">
        <f>'E&amp;P - FAS69'!BN46-BN33</f>
        <v>295</v>
      </c>
      <c r="BO73" s="5">
        <f>'E&amp;P - FAS69'!BO46-BO33</f>
        <v>4923</v>
      </c>
      <c r="BP73" s="12">
        <f>'E&amp;P - FAS69'!BP46-BP33</f>
        <v>2889.5466797062336</v>
      </c>
      <c r="BQ73" s="12">
        <f>'E&amp;P - FAS69'!BQ46-BQ33</f>
        <v>3165.8555716325027</v>
      </c>
      <c r="BR73" s="12">
        <f>'E&amp;P - FAS69'!BR46-BR33</f>
        <v>3117.2188145844111</v>
      </c>
      <c r="BS73" s="12">
        <f>'E&amp;P - FAS69'!BS46-BS33</f>
        <v>3028.3666749052009</v>
      </c>
      <c r="BT73" s="5">
        <f>'E&amp;P - FAS69'!BT46-BT33</f>
        <v>12200.98774082835</v>
      </c>
      <c r="BU73" s="12">
        <f>'E&amp;P - FAS69'!BU46-BU33</f>
        <v>2726.1891652007052</v>
      </c>
      <c r="BV73" s="12">
        <f>'E&amp;P - FAS69'!BV46-BV33</f>
        <v>2729.9960064700208</v>
      </c>
      <c r="BW73" s="12">
        <f>'E&amp;P - FAS69'!BW46-BW33</f>
        <v>2754.5711977451156</v>
      </c>
      <c r="BX73" s="12">
        <f>'E&amp;P - FAS69'!BX46-BX33</f>
        <v>2764.3481765846864</v>
      </c>
      <c r="BY73" s="5">
        <f>'E&amp;P - FAS69'!BY46-BY33</f>
        <v>10975.104546000533</v>
      </c>
      <c r="BZ73" s="12">
        <f>'E&amp;P - FAS69'!BZ46-BZ33</f>
        <v>2628.8833079149372</v>
      </c>
      <c r="CA73" s="12">
        <f>'E&amp;P - FAS69'!CA46-CA33</f>
        <v>2764.9743208313612</v>
      </c>
      <c r="CB73" s="12">
        <f>'E&amp;P - FAS69'!CB46-CB33</f>
        <v>2856.5915064433593</v>
      </c>
      <c r="CC73" s="12">
        <f>'E&amp;P - FAS69'!CC46-CC33</f>
        <v>2924.1030398915391</v>
      </c>
      <c r="CD73" s="5">
        <f>'E&amp;P - FAS69'!CD46-CD33</f>
        <v>11174.552175081189</v>
      </c>
      <c r="CF73" s="175"/>
      <c r="CG73" s="175"/>
      <c r="CH73" s="175"/>
      <c r="CI73" s="175"/>
      <c r="CJ73" s="175"/>
      <c r="CK73" s="175"/>
    </row>
    <row r="74" spans="1:256" s="5" customFormat="1">
      <c r="A74" s="7"/>
      <c r="B74" s="212" t="s">
        <v>2172</v>
      </c>
      <c r="C74" s="93"/>
      <c r="D74" s="93"/>
      <c r="E74" s="5">
        <f>E72-E73</f>
        <v>4376</v>
      </c>
      <c r="F74" s="5">
        <f>F72-F73</f>
        <v>8528</v>
      </c>
      <c r="G74" s="5">
        <f>G72-G73</f>
        <v>8877.1666666666642</v>
      </c>
      <c r="H74" s="93"/>
      <c r="I74" s="93"/>
      <c r="J74" s="93"/>
      <c r="K74" s="93"/>
      <c r="L74" s="5">
        <f>L72-L73</f>
        <v>9453</v>
      </c>
      <c r="M74" s="93"/>
      <c r="N74" s="93"/>
      <c r="O74" s="93"/>
      <c r="P74" s="93"/>
      <c r="Q74" s="5">
        <f>Q72-Q73</f>
        <v>6020</v>
      </c>
      <c r="R74" s="93"/>
      <c r="S74" s="93"/>
      <c r="T74" s="93"/>
      <c r="U74" s="93"/>
      <c r="V74" s="5">
        <f>V72-V73</f>
        <v>6938</v>
      </c>
      <c r="W74" s="93"/>
      <c r="X74" s="93"/>
      <c r="Y74" s="93"/>
      <c r="Z74" s="93"/>
      <c r="AA74" s="5">
        <f>AA72-AA73</f>
        <v>3341</v>
      </c>
      <c r="AB74" s="93"/>
      <c r="AC74" s="93"/>
      <c r="AD74" s="93"/>
      <c r="AE74" s="93"/>
      <c r="AF74" s="5">
        <f>AF72-AF73</f>
        <v>4042</v>
      </c>
      <c r="AG74" s="93"/>
      <c r="AH74" s="93"/>
      <c r="AI74" s="93"/>
      <c r="AJ74" s="93"/>
      <c r="AK74" s="5">
        <f>AK72-AK73</f>
        <v>4916</v>
      </c>
      <c r="AL74" s="93"/>
      <c r="AM74" s="93"/>
      <c r="AN74" s="93"/>
      <c r="AO74" s="93"/>
      <c r="AP74" s="5">
        <f>AP72-AP73</f>
        <v>4247</v>
      </c>
      <c r="AQ74" s="93"/>
      <c r="AR74" s="93"/>
      <c r="AS74" s="93"/>
      <c r="AT74" s="93"/>
      <c r="AU74" s="5">
        <f>AU72-AU73</f>
        <v>2635</v>
      </c>
      <c r="AV74" s="93"/>
      <c r="AW74" s="93"/>
      <c r="AX74" s="93"/>
      <c r="AY74" s="93"/>
      <c r="AZ74" s="5">
        <f t="shared" ref="AZ74:CD74" si="134">AZ72-AZ73</f>
        <v>5096</v>
      </c>
      <c r="BA74" s="93"/>
      <c r="BB74" s="93"/>
      <c r="BC74" s="93"/>
      <c r="BD74" s="93"/>
      <c r="BE74" s="5">
        <f>BE72-BE73</f>
        <v>5892</v>
      </c>
      <c r="BF74" s="93"/>
      <c r="BG74" s="93"/>
      <c r="BH74" s="93"/>
      <c r="BI74" s="93"/>
      <c r="BJ74" s="5">
        <f t="shared" ca="1" si="134"/>
        <v>3017</v>
      </c>
      <c r="BK74" s="12">
        <f t="shared" si="134"/>
        <v>2103</v>
      </c>
      <c r="BL74" s="12">
        <f t="shared" si="134"/>
        <v>1557</v>
      </c>
      <c r="BM74" s="12">
        <f t="shared" si="134"/>
        <v>2608</v>
      </c>
      <c r="BN74" s="12">
        <f t="shared" ca="1" si="134"/>
        <v>2309</v>
      </c>
      <c r="BO74" s="5">
        <f t="shared" ca="1" si="134"/>
        <v>4298</v>
      </c>
      <c r="BP74" s="12">
        <f t="shared" ca="1" si="134"/>
        <v>555.12823262636175</v>
      </c>
      <c r="BQ74" s="12">
        <f t="shared" ca="1" si="134"/>
        <v>1452.7313134028882</v>
      </c>
      <c r="BR74" s="12">
        <f t="shared" ca="1" si="134"/>
        <v>1687.9175248399615</v>
      </c>
      <c r="BS74" s="12">
        <f t="shared" ca="1" si="134"/>
        <v>1234.860444365896</v>
      </c>
      <c r="BT74" s="5">
        <f t="shared" ca="1" si="134"/>
        <v>4930.6375152351065</v>
      </c>
      <c r="BU74" s="12">
        <f t="shared" ca="1" si="134"/>
        <v>1800.200434837956</v>
      </c>
      <c r="BV74" s="12">
        <f t="shared" ca="1" si="134"/>
        <v>1653.6990025160067</v>
      </c>
      <c r="BW74" s="12">
        <f t="shared" ca="1" si="134"/>
        <v>1889.6903151663228</v>
      </c>
      <c r="BX74" s="12">
        <f t="shared" ca="1" si="134"/>
        <v>1593.8723263376432</v>
      </c>
      <c r="BY74" s="5">
        <f t="shared" ca="1" si="134"/>
        <v>6937.4620788579268</v>
      </c>
      <c r="BZ74" s="12">
        <f t="shared" ca="1" si="134"/>
        <v>1931.0705430704693</v>
      </c>
      <c r="CA74" s="12">
        <f t="shared" ca="1" si="134"/>
        <v>1787.6227189803394</v>
      </c>
      <c r="CB74" s="12">
        <f t="shared" ca="1" si="134"/>
        <v>2027.2892048757321</v>
      </c>
      <c r="CC74" s="12">
        <f t="shared" ca="1" si="134"/>
        <v>1734.917817558312</v>
      </c>
      <c r="CD74" s="5">
        <f t="shared" ca="1" si="134"/>
        <v>7480.9002844848619</v>
      </c>
      <c r="CF74" s="175"/>
      <c r="CG74" s="175"/>
      <c r="CH74" s="175"/>
      <c r="CI74" s="175"/>
      <c r="CJ74" s="175"/>
      <c r="CK74" s="175"/>
    </row>
    <row r="75" spans="1:256" s="5" customFormat="1">
      <c r="A75" s="7"/>
      <c r="B75" s="4"/>
      <c r="H75" s="12"/>
      <c r="I75" s="12"/>
      <c r="J75" s="12"/>
      <c r="K75" s="12"/>
      <c r="M75" s="12"/>
      <c r="N75" s="12"/>
      <c r="O75" s="12"/>
      <c r="P75" s="12"/>
      <c r="R75" s="12"/>
      <c r="S75" s="12"/>
      <c r="T75" s="12"/>
      <c r="U75" s="12"/>
      <c r="W75" s="12"/>
      <c r="X75" s="12"/>
      <c r="Y75" s="12"/>
      <c r="Z75" s="12"/>
      <c r="AB75" s="12"/>
      <c r="AC75" s="12"/>
      <c r="AD75" s="12"/>
      <c r="AE75" s="12"/>
      <c r="AG75" s="12"/>
      <c r="AH75" s="12"/>
      <c r="AI75" s="12"/>
      <c r="AJ75" s="12"/>
      <c r="AL75" s="12"/>
      <c r="AM75" s="12"/>
      <c r="AN75" s="12"/>
      <c r="AO75" s="12"/>
      <c r="AP75" s="12"/>
      <c r="AQ75" s="12"/>
      <c r="AR75" s="12"/>
      <c r="AS75" s="12"/>
      <c r="AT75" s="12"/>
      <c r="CF75" s="175"/>
      <c r="CG75" s="175"/>
      <c r="CH75" s="175"/>
      <c r="CI75" s="175"/>
      <c r="CJ75" s="175"/>
      <c r="CK75" s="175"/>
    </row>
    <row r="76" spans="1:256" s="5" customFormat="1">
      <c r="A76" s="7"/>
      <c r="B76" s="4" t="s">
        <v>1675</v>
      </c>
      <c r="C76" s="93"/>
      <c r="D76" s="93"/>
      <c r="E76" s="5">
        <f t="shared" ref="E76:AX76" si="135">E61</f>
        <v>-5144</v>
      </c>
      <c r="F76" s="5">
        <f t="shared" si="135"/>
        <v>-7429</v>
      </c>
      <c r="G76" s="5">
        <f t="shared" si="135"/>
        <v>-10584</v>
      </c>
      <c r="H76" s="12">
        <f t="shared" si="135"/>
        <v>-2757</v>
      </c>
      <c r="I76" s="12">
        <f t="shared" si="135"/>
        <v>-3188</v>
      </c>
      <c r="J76" s="12">
        <f t="shared" si="135"/>
        <v>-4021</v>
      </c>
      <c r="K76" s="12">
        <f t="shared" si="135"/>
        <v>-1723</v>
      </c>
      <c r="L76" s="5">
        <f t="shared" si="135"/>
        <v>-11689</v>
      </c>
      <c r="M76" s="12">
        <f t="shared" si="135"/>
        <v>-2339</v>
      </c>
      <c r="N76" s="12">
        <f t="shared" si="135"/>
        <v>-2455</v>
      </c>
      <c r="O76" s="12">
        <f t="shared" si="135"/>
        <v>-2198</v>
      </c>
      <c r="P76" s="12">
        <f t="shared" si="135"/>
        <v>-2828</v>
      </c>
      <c r="Q76" s="5">
        <f t="shared" si="135"/>
        <v>-9820</v>
      </c>
      <c r="R76" s="12">
        <f t="shared" si="135"/>
        <v>-3731</v>
      </c>
      <c r="S76" s="12">
        <f t="shared" si="135"/>
        <v>-4653</v>
      </c>
      <c r="T76" s="12">
        <f t="shared" si="135"/>
        <v>-4523</v>
      </c>
      <c r="U76" s="12">
        <f t="shared" si="135"/>
        <v>-2159</v>
      </c>
      <c r="V76" s="5">
        <f t="shared" si="135"/>
        <v>-15066</v>
      </c>
      <c r="W76" s="12">
        <f t="shared" si="135"/>
        <v>-1571</v>
      </c>
      <c r="X76" s="12">
        <f t="shared" si="135"/>
        <v>-1605</v>
      </c>
      <c r="Y76" s="12">
        <f t="shared" si="135"/>
        <v>-1927</v>
      </c>
      <c r="Z76" s="12">
        <f t="shared" si="135"/>
        <v>-1510</v>
      </c>
      <c r="AA76" s="5">
        <f t="shared" si="135"/>
        <v>-6613</v>
      </c>
      <c r="AB76" s="12">
        <f t="shared" si="135"/>
        <v>-2991</v>
      </c>
      <c r="AC76" s="12">
        <f t="shared" si="135"/>
        <v>-2690</v>
      </c>
      <c r="AD76" s="12">
        <f t="shared" si="135"/>
        <v>-1863</v>
      </c>
      <c r="AE76" s="12">
        <f t="shared" si="135"/>
        <v>-2197</v>
      </c>
      <c r="AF76" s="5">
        <f t="shared" si="135"/>
        <v>-9741</v>
      </c>
      <c r="AG76" s="12">
        <f t="shared" si="135"/>
        <v>-3380</v>
      </c>
      <c r="AH76" s="12">
        <f t="shared" si="135"/>
        <v>-2974</v>
      </c>
      <c r="AI76" s="12">
        <f t="shared" si="135"/>
        <v>-2413</v>
      </c>
      <c r="AJ76" s="12">
        <f t="shared" si="135"/>
        <v>-1856</v>
      </c>
      <c r="AK76" s="5">
        <f t="shared" si="135"/>
        <v>-10623</v>
      </c>
      <c r="AL76" s="12">
        <f t="shared" si="135"/>
        <v>-2310</v>
      </c>
      <c r="AM76" s="12">
        <f t="shared" si="135"/>
        <v>-1961</v>
      </c>
      <c r="AN76" s="12">
        <f t="shared" si="135"/>
        <v>-2598</v>
      </c>
      <c r="AO76" s="12">
        <f t="shared" si="135"/>
        <v>-774</v>
      </c>
      <c r="AP76" s="5">
        <f t="shared" si="135"/>
        <v>-7643</v>
      </c>
      <c r="AQ76" s="12">
        <f t="shared" si="135"/>
        <v>-2706</v>
      </c>
      <c r="AR76" s="12">
        <f t="shared" si="135"/>
        <v>-2243</v>
      </c>
      <c r="AS76" s="12">
        <f t="shared" si="135"/>
        <v>-1661</v>
      </c>
      <c r="AT76" s="12">
        <f t="shared" si="135"/>
        <v>-922</v>
      </c>
      <c r="AU76" s="5">
        <f t="shared" si="135"/>
        <v>-7532</v>
      </c>
      <c r="AV76" s="12">
        <f t="shared" si="135"/>
        <v>-1611</v>
      </c>
      <c r="AW76" s="12">
        <f t="shared" si="135"/>
        <v>-1852</v>
      </c>
      <c r="AX76" s="12">
        <f t="shared" si="135"/>
        <v>-2151</v>
      </c>
      <c r="AY76" s="12">
        <f>AY61</f>
        <v>-1421</v>
      </c>
      <c r="AZ76" s="5">
        <f>SUM(AV76:AY76)</f>
        <v>-7035</v>
      </c>
      <c r="BA76" s="12">
        <f>BA61</f>
        <v>-457.16999999999996</v>
      </c>
      <c r="BB76" s="12">
        <f>BB61</f>
        <v>-722</v>
      </c>
      <c r="BC76" s="12">
        <f>BC61</f>
        <v>-1155</v>
      </c>
      <c r="BD76" s="12">
        <f>BD61</f>
        <v>30</v>
      </c>
      <c r="BE76" s="5">
        <f>SUM(BA76:BD76)</f>
        <v>-2304.17</v>
      </c>
      <c r="BF76" s="12">
        <f>BF61</f>
        <v>-120</v>
      </c>
      <c r="BG76" s="12">
        <f>BG61</f>
        <v>-205</v>
      </c>
      <c r="BH76" s="12">
        <f>BH61</f>
        <v>164</v>
      </c>
      <c r="BI76" s="12">
        <f>BI61</f>
        <v>-51</v>
      </c>
      <c r="BJ76" s="5">
        <f>SUM(BF76:BI76)</f>
        <v>-212</v>
      </c>
      <c r="BK76" s="12">
        <f>BK61</f>
        <v>-763</v>
      </c>
      <c r="BL76" s="12">
        <f>BL61</f>
        <v>-1055</v>
      </c>
      <c r="BM76" s="12">
        <f>BM61</f>
        <v>-1212</v>
      </c>
      <c r="BN76" s="12">
        <f ca="1">SUM(BN77,BN78)</f>
        <v>-1538.4360311913563</v>
      </c>
      <c r="BO76" s="5">
        <f ca="1">SUM(BK76:BN76)</f>
        <v>-4568.4360311913561</v>
      </c>
      <c r="BP76" s="12">
        <f ca="1">SUM(BP77,BP78)</f>
        <v>-1397.0446265134608</v>
      </c>
      <c r="BQ76" s="12">
        <f ca="1">SUM(BQ77,BQ78)</f>
        <v>-1958.69827809249</v>
      </c>
      <c r="BR76" s="12">
        <f ca="1">SUM(BR77,BR78)</f>
        <v>-2094.8869256961757</v>
      </c>
      <c r="BS76" s="12">
        <f ca="1">SUM(BS77,BS78)</f>
        <v>-1950.0409779436663</v>
      </c>
      <c r="BT76" s="5">
        <f ca="1">SUM(BP76:BS76)</f>
        <v>-7400.6708082457935</v>
      </c>
      <c r="BU76" s="12">
        <f ca="1">SUM(BU77,BU78)</f>
        <v>-2172.3038137018975</v>
      </c>
      <c r="BV76" s="12">
        <f ca="1">SUM(BV77,BV78)</f>
        <v>-2065.9542372065371</v>
      </c>
      <c r="BW76" s="12">
        <f ca="1">SUM(BW77,BW78)</f>
        <v>-2203.5607646724775</v>
      </c>
      <c r="BX76" s="12">
        <f ca="1">SUM(BX77,BX78)</f>
        <v>-2028.9346729592799</v>
      </c>
      <c r="BY76" s="5">
        <f ca="1">SUM(BU76:BX76)</f>
        <v>-8470.753488540191</v>
      </c>
      <c r="BZ76" s="12">
        <f ca="1">SUM(BZ77,BZ78)</f>
        <v>-2160.6836209744733</v>
      </c>
      <c r="CA76" s="12">
        <f ca="1">SUM(CA77,CA78)</f>
        <v>-2153.3575096280233</v>
      </c>
      <c r="CB76" s="12">
        <f ca="1">SUM(CB77,CB78)</f>
        <v>-2342.0442853220311</v>
      </c>
      <c r="CC76" s="12">
        <f ca="1">SUM(CC77,CC78)</f>
        <v>-2198.871399580943</v>
      </c>
      <c r="CD76" s="5">
        <f ca="1">SUM(BZ76:CC76)</f>
        <v>-8854.9568155054694</v>
      </c>
      <c r="CF76" s="175"/>
      <c r="CG76" s="175"/>
      <c r="CH76" s="175"/>
      <c r="CI76" s="175"/>
      <c r="CJ76" s="175"/>
      <c r="CK76" s="175"/>
      <c r="IV76" s="5">
        <f>IV61</f>
        <v>0</v>
      </c>
    </row>
    <row r="77" spans="1:256" s="5" customFormat="1">
      <c r="A77" s="7"/>
      <c r="B77" s="4" t="s">
        <v>2173</v>
      </c>
      <c r="C77" s="93"/>
      <c r="D77" s="93"/>
      <c r="E77" s="5">
        <f>'E&amp;P - FAS69'!E48</f>
        <v>-4521</v>
      </c>
      <c r="F77" s="5">
        <f>'E&amp;P - FAS69'!F48</f>
        <v>-5327</v>
      </c>
      <c r="G77" s="5">
        <f>'E&amp;P - FAS69'!G48</f>
        <v>-7950.666666666667</v>
      </c>
      <c r="H77" s="93"/>
      <c r="I77" s="93"/>
      <c r="J77" s="93"/>
      <c r="K77" s="93"/>
      <c r="L77" s="5">
        <f>'E&amp;P - FAS69'!L48</f>
        <v>-10479</v>
      </c>
      <c r="M77" s="93"/>
      <c r="N77" s="93"/>
      <c r="O77" s="93"/>
      <c r="P77" s="93"/>
      <c r="Q77" s="5">
        <f>'E&amp;P - FAS69'!Q48</f>
        <v>-8902</v>
      </c>
      <c r="R77" s="93"/>
      <c r="S77" s="93"/>
      <c r="T77" s="93"/>
      <c r="U77" s="93"/>
      <c r="V77" s="5">
        <f>'E&amp;P - FAS69'!V48</f>
        <v>-13576</v>
      </c>
      <c r="W77" s="93"/>
      <c r="X77" s="93"/>
      <c r="Y77" s="93"/>
      <c r="Z77" s="93"/>
      <c r="AA77" s="5">
        <f>'E&amp;P - FAS69'!AA48</f>
        <v>-6580</v>
      </c>
      <c r="AB77" s="93"/>
      <c r="AC77" s="93"/>
      <c r="AD77" s="93"/>
      <c r="AE77" s="93"/>
      <c r="AF77" s="5">
        <f>'E&amp;P - FAS69'!AF48</f>
        <v>-10032</v>
      </c>
      <c r="AG77" s="93"/>
      <c r="AH77" s="93"/>
      <c r="AI77" s="93"/>
      <c r="AJ77" s="93"/>
      <c r="AK77" s="173">
        <f>'E&amp;P - FAS69'!AK48</f>
        <v>-9906</v>
      </c>
      <c r="AL77" s="93"/>
      <c r="AM77" s="93"/>
      <c r="AN77" s="93"/>
      <c r="AO77" s="93"/>
      <c r="AP77" s="5">
        <f>'E&amp;P - FAS69'!AP48</f>
        <v>-8083</v>
      </c>
      <c r="AQ77" s="93"/>
      <c r="AR77" s="93"/>
      <c r="AS77" s="93"/>
      <c r="AT77" s="93"/>
      <c r="AU77" s="5">
        <f>'E&amp;P - FAS69'!AU48</f>
        <v>-6084</v>
      </c>
      <c r="AV77" s="93"/>
      <c r="AW77" s="93"/>
      <c r="AX77" s="93"/>
      <c r="AY77" s="93"/>
      <c r="AZ77" s="5">
        <f>'E&amp;P - FAS69'!AZ48</f>
        <v>-1543</v>
      </c>
      <c r="BA77" s="93"/>
      <c r="BB77" s="93"/>
      <c r="BC77" s="93"/>
      <c r="BD77" s="93"/>
      <c r="BE77" s="5">
        <f>'E&amp;P - FAS69'!BE48</f>
        <v>566</v>
      </c>
      <c r="BF77" s="93"/>
      <c r="BG77" s="93"/>
      <c r="BH77" s="93"/>
      <c r="BI77" s="93"/>
      <c r="BJ77" s="5">
        <f>'E&amp;P - FAS69'!BJ48</f>
        <v>335</v>
      </c>
      <c r="BK77" s="12">
        <f>'E&amp;P - FAS69'!BK48</f>
        <v>0</v>
      </c>
      <c r="BL77" s="12">
        <f>'E&amp;P - FAS69'!BL48</f>
        <v>0</v>
      </c>
      <c r="BM77" s="12">
        <f>'E&amp;P - FAS69'!BM48</f>
        <v>0</v>
      </c>
      <c r="BN77" s="12">
        <f>'E&amp;P - FAS69'!BN48</f>
        <v>0</v>
      </c>
      <c r="BO77" s="5">
        <f>'E&amp;P - FAS69'!BO48</f>
        <v>-632</v>
      </c>
      <c r="BP77" s="12">
        <f>'E&amp;P - FAS69'!BP48</f>
        <v>-1008.4548636750076</v>
      </c>
      <c r="BQ77" s="12">
        <f>'E&amp;P - FAS69'!BQ48</f>
        <v>-1232.3326213910459</v>
      </c>
      <c r="BR77" s="12">
        <f>'E&amp;P - FAS69'!BR48</f>
        <v>-1250.9281632761949</v>
      </c>
      <c r="BS77" s="12">
        <f>'E&amp;P - FAS69'!BS48</f>
        <v>-1209.1247113241288</v>
      </c>
      <c r="BT77" s="5">
        <f>'E&amp;P - FAS69'!BT48</f>
        <v>-4700.8403596663775</v>
      </c>
      <c r="BU77" s="12">
        <f>'E&amp;P - FAS69'!BU48</f>
        <v>-1092.1835527991243</v>
      </c>
      <c r="BV77" s="12">
        <f>'E&amp;P - FAS69'!BV48</f>
        <v>-1073.7348356969333</v>
      </c>
      <c r="BW77" s="12">
        <f>'E&amp;P - FAS69'!BW48</f>
        <v>-1069.7465755726839</v>
      </c>
      <c r="BX77" s="12">
        <f>'E&amp;P - FAS69'!BX48</f>
        <v>-1072.6112771566941</v>
      </c>
      <c r="BY77" s="5">
        <f>'E&amp;P - FAS69'!BY48</f>
        <v>-4308.276241225436</v>
      </c>
      <c r="BZ77" s="12">
        <f>'E&amp;P - FAS69'!BZ48</f>
        <v>-1002.0412951321916</v>
      </c>
      <c r="CA77" s="12">
        <f>'E&amp;P - FAS69'!CA48</f>
        <v>-1080.7838782398196</v>
      </c>
      <c r="CB77" s="12">
        <f>'E&amp;P - FAS69'!CB48</f>
        <v>-1125.6707623965917</v>
      </c>
      <c r="CC77" s="12">
        <f>'E&amp;P - FAS69'!CC48</f>
        <v>-1157.9207090459556</v>
      </c>
      <c r="CD77" s="5">
        <f>'E&amp;P - FAS69'!CD48</f>
        <v>-4366.4166448145588</v>
      </c>
      <c r="CF77" s="175"/>
      <c r="CG77" s="175"/>
      <c r="CH77" s="175"/>
      <c r="CI77" s="175"/>
      <c r="CJ77" s="175"/>
      <c r="CK77" s="175"/>
    </row>
    <row r="78" spans="1:256" s="5" customFormat="1">
      <c r="A78" s="7"/>
      <c r="B78" s="212" t="s">
        <v>2174</v>
      </c>
      <c r="C78" s="93"/>
      <c r="D78" s="93"/>
      <c r="E78" s="5">
        <f>E76-E77</f>
        <v>-623</v>
      </c>
      <c r="F78" s="5">
        <f>F76-F77</f>
        <v>-2102</v>
      </c>
      <c r="G78" s="5">
        <f>G76-G77</f>
        <v>-2633.333333333333</v>
      </c>
      <c r="H78" s="93"/>
      <c r="I78" s="93"/>
      <c r="J78" s="93"/>
      <c r="K78" s="93"/>
      <c r="L78" s="5">
        <f>L76-L77</f>
        <v>-1210</v>
      </c>
      <c r="M78" s="93"/>
      <c r="N78" s="93"/>
      <c r="O78" s="93"/>
      <c r="P78" s="93"/>
      <c r="Q78" s="5">
        <f>Q76-Q77</f>
        <v>-918</v>
      </c>
      <c r="R78" s="93"/>
      <c r="S78" s="93"/>
      <c r="T78" s="93"/>
      <c r="U78" s="93"/>
      <c r="V78" s="5">
        <f>V76-V77</f>
        <v>-1490</v>
      </c>
      <c r="W78" s="93"/>
      <c r="X78" s="93"/>
      <c r="Y78" s="93"/>
      <c r="Z78" s="93"/>
      <c r="AA78" s="5">
        <f>AA76-AA77</f>
        <v>-33</v>
      </c>
      <c r="AB78" s="93"/>
      <c r="AC78" s="93"/>
      <c r="AD78" s="93"/>
      <c r="AE78" s="93"/>
      <c r="AF78" s="5">
        <f>AF76-AF77</f>
        <v>291</v>
      </c>
      <c r="AG78" s="93"/>
      <c r="AH78" s="93"/>
      <c r="AI78" s="93"/>
      <c r="AJ78" s="93"/>
      <c r="AK78" s="5">
        <f>AK76-AK77</f>
        <v>-717</v>
      </c>
      <c r="AL78" s="93"/>
      <c r="AM78" s="93"/>
      <c r="AN78" s="93"/>
      <c r="AO78" s="93"/>
      <c r="AP78" s="5">
        <f>AP76-AP77</f>
        <v>440</v>
      </c>
      <c r="AQ78" s="93"/>
      <c r="AR78" s="93"/>
      <c r="AS78" s="93"/>
      <c r="AT78" s="93"/>
      <c r="AU78" s="5">
        <f>AU76-AU77</f>
        <v>-1448</v>
      </c>
      <c r="AV78" s="93"/>
      <c r="AW78" s="93"/>
      <c r="AX78" s="93"/>
      <c r="AY78" s="93"/>
      <c r="AZ78" s="5">
        <f>AZ76-AZ77</f>
        <v>-5492</v>
      </c>
      <c r="BA78" s="93"/>
      <c r="BB78" s="93"/>
      <c r="BC78" s="93"/>
      <c r="BD78" s="93"/>
      <c r="BE78" s="5">
        <f>BE76-BE77</f>
        <v>-2870.17</v>
      </c>
      <c r="BF78" s="93"/>
      <c r="BG78" s="93"/>
      <c r="BH78" s="93"/>
      <c r="BI78" s="93"/>
      <c r="BJ78" s="5">
        <f>BJ76-BJ77</f>
        <v>-547</v>
      </c>
      <c r="BK78" s="12">
        <f t="shared" ref="BK78:BM78" si="136">BK76-BK77</f>
        <v>-763</v>
      </c>
      <c r="BL78" s="12">
        <f t="shared" si="136"/>
        <v>-1055</v>
      </c>
      <c r="BM78" s="12">
        <f t="shared" si="136"/>
        <v>-1212</v>
      </c>
      <c r="BN78" s="12">
        <f ca="1">-BN74*BN80</f>
        <v>-1538.4360311913563</v>
      </c>
      <c r="BO78" s="5">
        <f ca="1">SUM(BK78:BN78)</f>
        <v>-4568.4360311913561</v>
      </c>
      <c r="BP78" s="12">
        <f ca="1">-BP74*BP80</f>
        <v>-388.58976283845323</v>
      </c>
      <c r="BQ78" s="12">
        <f ca="1">-BQ74*BQ80</f>
        <v>-726.3656567014441</v>
      </c>
      <c r="BR78" s="12">
        <f ca="1">-BR74*BR80</f>
        <v>-843.95876241998076</v>
      </c>
      <c r="BS78" s="12">
        <f ca="1">-BS74*BS80</f>
        <v>-740.91626661953762</v>
      </c>
      <c r="BT78" s="5">
        <f ca="1">SUM(BP78:BS78)</f>
        <v>-2699.8304485794156</v>
      </c>
      <c r="BU78" s="12">
        <f ca="1">-BU74*BU80</f>
        <v>-1080.1202609027735</v>
      </c>
      <c r="BV78" s="12">
        <f ca="1">-BV74*BV80</f>
        <v>-992.21940150960393</v>
      </c>
      <c r="BW78" s="12">
        <f ca="1">-BW74*BW80</f>
        <v>-1133.8141890997936</v>
      </c>
      <c r="BX78" s="12">
        <f ca="1">-BX74*BX80</f>
        <v>-956.32339580258588</v>
      </c>
      <c r="BY78" s="5">
        <f ca="1">SUM(BU78:BX78)</f>
        <v>-4162.4772473147568</v>
      </c>
      <c r="BZ78" s="12">
        <f ca="1">-BZ74*BZ80</f>
        <v>-1158.6423258422815</v>
      </c>
      <c r="CA78" s="12">
        <f ca="1">-CA74*CA80</f>
        <v>-1072.5736313882037</v>
      </c>
      <c r="CB78" s="12">
        <f ca="1">-CB74*CB80</f>
        <v>-1216.3735229254391</v>
      </c>
      <c r="CC78" s="12">
        <f ca="1">-CC74*CC80</f>
        <v>-1040.9506905349872</v>
      </c>
      <c r="CD78" s="5">
        <f ca="1">SUM(BZ78:CC78)</f>
        <v>-4488.5401706909115</v>
      </c>
      <c r="CF78" s="175"/>
      <c r="CG78" s="175"/>
      <c r="CH78" s="175"/>
      <c r="CI78" s="175"/>
      <c r="CJ78" s="175"/>
      <c r="CK78" s="175"/>
    </row>
    <row r="79" spans="1:256" s="5" customFormat="1">
      <c r="A79" s="7"/>
      <c r="B79" s="4"/>
      <c r="H79" s="12"/>
      <c r="I79" s="12"/>
      <c r="J79" s="12"/>
      <c r="K79" s="12"/>
      <c r="M79" s="12"/>
      <c r="N79" s="12"/>
      <c r="O79" s="12"/>
      <c r="P79" s="12"/>
      <c r="R79" s="12"/>
      <c r="S79" s="12"/>
      <c r="T79" s="12"/>
      <c r="U79" s="12"/>
      <c r="W79" s="12"/>
      <c r="X79" s="12"/>
      <c r="Y79" s="12"/>
      <c r="Z79" s="12"/>
      <c r="AB79" s="12"/>
      <c r="AC79" s="12"/>
      <c r="AD79" s="12"/>
      <c r="AE79" s="12"/>
      <c r="AG79" s="12"/>
      <c r="AH79" s="12"/>
      <c r="AI79" s="12"/>
      <c r="AJ79" s="12"/>
      <c r="AK79" s="12"/>
      <c r="AL79" s="12"/>
      <c r="AM79" s="12"/>
      <c r="AN79" s="12"/>
      <c r="AO79" s="12"/>
      <c r="AQ79" s="12"/>
      <c r="AR79" s="12"/>
      <c r="AS79" s="12"/>
      <c r="AT79" s="12"/>
      <c r="AV79" s="12"/>
      <c r="AW79" s="12"/>
      <c r="AX79" s="12"/>
      <c r="AY79" s="12"/>
      <c r="CF79" s="175"/>
      <c r="CG79" s="175"/>
      <c r="CH79" s="175"/>
      <c r="CI79" s="175"/>
      <c r="CJ79" s="175"/>
      <c r="CK79" s="175"/>
    </row>
    <row r="80" spans="1:256" s="5" customFormat="1">
      <c r="A80" s="7"/>
      <c r="B80" s="4" t="s">
        <v>2548</v>
      </c>
      <c r="C80" s="93"/>
      <c r="D80" s="93"/>
      <c r="E80" s="116">
        <f>-E78/E74</f>
        <v>0.14236745886654478</v>
      </c>
      <c r="F80" s="116">
        <f>-F78/F74</f>
        <v>0.24648217636022515</v>
      </c>
      <c r="G80" s="116">
        <f>-G78/G74</f>
        <v>0.29664119557666679</v>
      </c>
      <c r="H80" s="93"/>
      <c r="I80" s="93"/>
      <c r="J80" s="93"/>
      <c r="K80" s="93"/>
      <c r="L80" s="116">
        <f>-L78/L74</f>
        <v>0.12800169258436475</v>
      </c>
      <c r="M80" s="93"/>
      <c r="N80" s="93"/>
      <c r="O80" s="93"/>
      <c r="P80" s="93"/>
      <c r="Q80" s="116">
        <f>-Q78/Q74</f>
        <v>0.15249169435215948</v>
      </c>
      <c r="R80" s="93"/>
      <c r="S80" s="93"/>
      <c r="T80" s="93"/>
      <c r="U80" s="93"/>
      <c r="V80" s="116">
        <f>-V78/V74</f>
        <v>0.21475929662727011</v>
      </c>
      <c r="W80" s="93"/>
      <c r="X80" s="93"/>
      <c r="Y80" s="93"/>
      <c r="Z80" s="93"/>
      <c r="AA80" s="116">
        <f>-AA78/AA74</f>
        <v>9.8772822508231065E-3</v>
      </c>
      <c r="AB80" s="93"/>
      <c r="AC80" s="93"/>
      <c r="AD80" s="93"/>
      <c r="AE80" s="93"/>
      <c r="AF80" s="116">
        <f>-AF78/AF74</f>
        <v>-7.1994062345373575E-2</v>
      </c>
      <c r="AG80" s="93"/>
      <c r="AH80" s="93"/>
      <c r="AI80" s="93"/>
      <c r="AJ80" s="93"/>
      <c r="AK80" s="116">
        <f>-AK78/AK74</f>
        <v>0.14585028478437753</v>
      </c>
      <c r="AL80" s="93"/>
      <c r="AM80" s="93"/>
      <c r="AN80" s="93"/>
      <c r="AO80" s="93"/>
      <c r="AP80" s="116">
        <f>-AP78/AP74</f>
        <v>-0.1036025429715093</v>
      </c>
      <c r="AQ80" s="93"/>
      <c r="AR80" s="93"/>
      <c r="AS80" s="93"/>
      <c r="AT80" s="93"/>
      <c r="AU80" s="116">
        <f>-AU78/AU74</f>
        <v>0.54952561669829225</v>
      </c>
      <c r="AV80" s="93"/>
      <c r="AW80" s="93"/>
      <c r="AX80" s="93"/>
      <c r="AY80" s="93"/>
      <c r="AZ80" s="116">
        <f>-AZ78/AZ74</f>
        <v>1.0777080062794349</v>
      </c>
      <c r="BA80" s="93"/>
      <c r="BB80" s="93"/>
      <c r="BC80" s="93"/>
      <c r="BD80" s="93"/>
      <c r="BE80" s="116">
        <f>-BE78/BE74</f>
        <v>0.48713000678886625</v>
      </c>
      <c r="BF80" s="93"/>
      <c r="BG80" s="93"/>
      <c r="BH80" s="93"/>
      <c r="BI80" s="93"/>
      <c r="BJ80" s="116">
        <f ca="1">-BJ78/BJ74</f>
        <v>0.18130593304607226</v>
      </c>
      <c r="BK80" s="117">
        <f t="shared" ref="BK80:BN80" si="137">-BK78/BK74</f>
        <v>0.36281502615311462</v>
      </c>
      <c r="BL80" s="117">
        <f t="shared" si="137"/>
        <v>0.67758509955041746</v>
      </c>
      <c r="BM80" s="117">
        <f t="shared" si="137"/>
        <v>0.46472392638036808</v>
      </c>
      <c r="BN80" s="117">
        <f t="shared" ca="1" si="137"/>
        <v>0.66627805595121536</v>
      </c>
      <c r="BO80" s="116">
        <f ca="1">-BO78/BO74</f>
        <v>1.0629213660287009</v>
      </c>
      <c r="BP80" s="204">
        <v>0.7</v>
      </c>
      <c r="BQ80" s="204">
        <v>0.5</v>
      </c>
      <c r="BR80" s="204">
        <v>0.5</v>
      </c>
      <c r="BS80" s="204">
        <v>0.6</v>
      </c>
      <c r="BT80" s="116">
        <f t="shared" ref="BT80" ca="1" si="138">-BT78/BT74</f>
        <v>0.54756214388854341</v>
      </c>
      <c r="BU80" s="204">
        <v>0.6</v>
      </c>
      <c r="BV80" s="204">
        <v>0.6</v>
      </c>
      <c r="BW80" s="204">
        <v>0.6</v>
      </c>
      <c r="BX80" s="204">
        <v>0.6</v>
      </c>
      <c r="BY80" s="116">
        <f t="shared" ref="BY80" ca="1" si="139">-BY78/BY74</f>
        <v>0.60000000000000009</v>
      </c>
      <c r="BZ80" s="204">
        <v>0.6</v>
      </c>
      <c r="CA80" s="204">
        <v>0.6</v>
      </c>
      <c r="CB80" s="204">
        <v>0.6</v>
      </c>
      <c r="CC80" s="204">
        <v>0.6</v>
      </c>
      <c r="CD80" s="116">
        <f t="shared" ref="CD80" ca="1" si="140">-CD78/CD74</f>
        <v>0.5999999999999992</v>
      </c>
      <c r="CF80" s="175"/>
      <c r="CG80" s="175"/>
      <c r="CH80" s="175"/>
      <c r="CI80" s="175"/>
      <c r="CJ80" s="175"/>
      <c r="CK80" s="175"/>
    </row>
    <row r="81" spans="1:107" s="5" customFormat="1">
      <c r="A81" s="7"/>
      <c r="B81" s="7" t="s">
        <v>1082</v>
      </c>
      <c r="C81" s="94"/>
      <c r="D81" s="94"/>
      <c r="E81" s="172">
        <f>-E61/SUM(E58,E60)</f>
        <v>0.28566668517798632</v>
      </c>
      <c r="F81" s="172">
        <f>-F61/SUM(F58,F60)</f>
        <v>0.29700555711030263</v>
      </c>
      <c r="G81" s="172">
        <f t="shared" ref="G81:AU81" si="141">-G61/SUM(G58,G60)</f>
        <v>0.3295656235404017</v>
      </c>
      <c r="H81" s="203">
        <f t="shared" si="141"/>
        <v>0.33089294287085935</v>
      </c>
      <c r="I81" s="203">
        <f t="shared" si="141"/>
        <v>0.33561427518686177</v>
      </c>
      <c r="J81" s="203">
        <f t="shared" si="141"/>
        <v>0.41780964256026598</v>
      </c>
      <c r="K81" s="203">
        <f t="shared" si="141"/>
        <v>0.31213768115942031</v>
      </c>
      <c r="L81" s="172">
        <f t="shared" si="141"/>
        <v>0.35448066717210008</v>
      </c>
      <c r="M81" s="203">
        <f t="shared" si="141"/>
        <v>0.34250988431688389</v>
      </c>
      <c r="N81" s="203">
        <f t="shared" si="141"/>
        <v>0.30553827006845052</v>
      </c>
      <c r="O81" s="203">
        <f t="shared" si="141"/>
        <v>0.32509983730217423</v>
      </c>
      <c r="P81" s="203">
        <f t="shared" si="141"/>
        <v>0.37908847184986594</v>
      </c>
      <c r="Q81" s="172">
        <f t="shared" si="141"/>
        <v>0.33763108131339176</v>
      </c>
      <c r="R81" s="203">
        <f t="shared" si="141"/>
        <v>0.36999206664022216</v>
      </c>
      <c r="S81" s="203">
        <f t="shared" si="141"/>
        <v>0.35021827487580914</v>
      </c>
      <c r="T81" s="203">
        <f t="shared" si="141"/>
        <v>0.3339979323585881</v>
      </c>
      <c r="U81" s="203">
        <f t="shared" si="141"/>
        <v>0.44007337953526293</v>
      </c>
      <c r="V81" s="172">
        <f t="shared" si="141"/>
        <v>0.36027547945860633</v>
      </c>
      <c r="W81" s="203">
        <f t="shared" si="141"/>
        <v>0.37520898017673754</v>
      </c>
      <c r="X81" s="203">
        <f t="shared" si="141"/>
        <v>0.34990189666448657</v>
      </c>
      <c r="Y81" s="203">
        <f t="shared" si="141"/>
        <v>0.29108761329305138</v>
      </c>
      <c r="Z81" s="203">
        <f t="shared" si="141"/>
        <v>0.25263510122134852</v>
      </c>
      <c r="AA81" s="172">
        <f t="shared" si="141"/>
        <v>0.30943802348977584</v>
      </c>
      <c r="AB81" s="203">
        <f t="shared" si="141"/>
        <v>0.34194580999199725</v>
      </c>
      <c r="AC81" s="203">
        <f t="shared" si="141"/>
        <v>0.34611425630468345</v>
      </c>
      <c r="AD81" s="203">
        <f t="shared" si="141"/>
        <v>0.24899759422614273</v>
      </c>
      <c r="AE81" s="203">
        <f t="shared" si="141"/>
        <v>0.33002854138500826</v>
      </c>
      <c r="AF81" s="172">
        <f t="shared" si="141"/>
        <v>0.31773109791897708</v>
      </c>
      <c r="AG81" s="203">
        <f t="shared" si="141"/>
        <v>0.37786472889882616</v>
      </c>
      <c r="AH81" s="203">
        <f t="shared" si="141"/>
        <v>0.33992456280717798</v>
      </c>
      <c r="AI81" s="203">
        <f t="shared" si="141"/>
        <v>0.29963988575686079</v>
      </c>
      <c r="AJ81" s="203">
        <f t="shared" si="141"/>
        <v>0.26778242677824265</v>
      </c>
      <c r="AK81" s="487">
        <f t="shared" si="141"/>
        <v>0.3250810943142175</v>
      </c>
      <c r="AL81" s="488">
        <f>-AL61/SUM(AL58,AL60)</f>
        <v>0.32217573221757323</v>
      </c>
      <c r="AM81" s="488">
        <f>-AM61/SUM(AM58,AM60)</f>
        <v>0.34457916007731504</v>
      </c>
      <c r="AN81" s="488">
        <f>-AN61/SUM(AN58,AN60)</f>
        <v>0.33163135052335974</v>
      </c>
      <c r="AO81" s="488">
        <f>-AO61/SUM(AO58,AO60)</f>
        <v>0.16058091286307055</v>
      </c>
      <c r="AP81" s="487">
        <f t="shared" si="141"/>
        <v>0.2995492847344699</v>
      </c>
      <c r="AQ81" s="488">
        <f>-AQ61/SUM(AQ58,AQ60)</f>
        <v>0.38657142857142857</v>
      </c>
      <c r="AR81" s="488">
        <f>-AR61/SUM(AR58,AR60)</f>
        <v>0.44512800158761662</v>
      </c>
      <c r="AS81" s="488">
        <f>-AS61/SUM(AS58,AS60)</f>
        <v>0.30527476566807571</v>
      </c>
      <c r="AT81" s="488">
        <f>-AT61/SUM(AT58,AT60)</f>
        <v>0.24346448376023239</v>
      </c>
      <c r="AU81" s="382">
        <f t="shared" si="141"/>
        <v>0.35416372784125638</v>
      </c>
      <c r="AV81" s="203">
        <f t="shared" ref="AV81:CD81" si="142">-AV61/SUM(AV58,AV60)</f>
        <v>0.32697381773898926</v>
      </c>
      <c r="AW81" s="203">
        <f t="shared" si="142"/>
        <v>0.33363357953521888</v>
      </c>
      <c r="AX81" s="203">
        <f t="shared" si="142"/>
        <v>0.41191114515511296</v>
      </c>
      <c r="AY81" s="203">
        <f>-AY61/SUM(AY58,AY60)</f>
        <v>0.38467785598267462</v>
      </c>
      <c r="AZ81" s="382">
        <f t="shared" si="142"/>
        <v>0.36274105393420647</v>
      </c>
      <c r="BA81" s="203">
        <f t="shared" si="142"/>
        <v>0.21</v>
      </c>
      <c r="BB81" s="203">
        <f t="shared" si="142"/>
        <v>0.34795180722891567</v>
      </c>
      <c r="BC81" s="203">
        <f>-BC61/SUM(BC58,BC60)</f>
        <v>0.38706434316353888</v>
      </c>
      <c r="BD81" s="203">
        <f t="shared" si="142"/>
        <v>-0.20134228187919462</v>
      </c>
      <c r="BE81" s="382">
        <f>-BE61/SUM(BE58,BE60)</f>
        <v>0.31200677048070413</v>
      </c>
      <c r="BF81" s="203">
        <f t="shared" ca="1" si="142"/>
        <v>0.17725258493353027</v>
      </c>
      <c r="BG81" s="203">
        <f t="shared" ref="BG81:BH81" ca="1" si="143">-BG61/SUM(BG58,BG60)</f>
        <v>0.21488469601677149</v>
      </c>
      <c r="BH81" s="203">
        <f t="shared" si="143"/>
        <v>-0.22589531680440772</v>
      </c>
      <c r="BI81" s="203">
        <f>-BI61/SUM(BI58,BI60)</f>
        <v>0.10261569416498995</v>
      </c>
      <c r="BJ81" s="172">
        <f t="shared" ca="1" si="142"/>
        <v>7.4281709880868962E-2</v>
      </c>
      <c r="BK81" s="203">
        <f t="shared" ref="BK81" si="144">-BK61/SUM(BK58,BK60)</f>
        <v>0.32944732297063906</v>
      </c>
      <c r="BL81" s="203">
        <f t="shared" si="142"/>
        <v>0.60251284980011421</v>
      </c>
      <c r="BM81" s="203">
        <f t="shared" si="142"/>
        <v>0.39543230016313213</v>
      </c>
      <c r="BN81" s="203">
        <f t="shared" ca="1" si="142"/>
        <v>0.26735042735042736</v>
      </c>
      <c r="BO81" s="172">
        <f ca="1">-BO61/SUM(BO58,BO60)</f>
        <v>0.37903947499254248</v>
      </c>
      <c r="BP81" s="203">
        <f t="shared" ca="1" si="142"/>
        <v>0.38691011354839067</v>
      </c>
      <c r="BQ81" s="203">
        <f t="shared" ca="1" si="142"/>
        <v>0.38637437638356908</v>
      </c>
      <c r="BR81" s="203">
        <f t="shared" ca="1" si="142"/>
        <v>0.399374087124163</v>
      </c>
      <c r="BS81" s="203">
        <f t="shared" ca="1" si="142"/>
        <v>0.41439901188369366</v>
      </c>
      <c r="BT81" s="382">
        <f t="shared" ca="1" si="142"/>
        <v>0.39721628175570556</v>
      </c>
      <c r="BU81" s="203">
        <f t="shared" ca="1" si="142"/>
        <v>0.43555892074827085</v>
      </c>
      <c r="BV81" s="203">
        <f t="shared" ca="1" si="142"/>
        <v>0.42578153493357263</v>
      </c>
      <c r="BW81" s="203">
        <f t="shared" ca="1" si="142"/>
        <v>0.43175656991197836</v>
      </c>
      <c r="BX81" s="203">
        <f t="shared" ca="1" si="142"/>
        <v>0.42109422797606338</v>
      </c>
      <c r="BY81" s="172">
        <f t="shared" ca="1" si="142"/>
        <v>0.42864943218124674</v>
      </c>
      <c r="BZ81" s="203">
        <f t="shared" ca="1" si="142"/>
        <v>0.400079402639336</v>
      </c>
      <c r="CA81" s="203">
        <f t="shared" ca="1" si="142"/>
        <v>0.39973575000891465</v>
      </c>
      <c r="CB81" s="203">
        <f t="shared" ca="1" si="142"/>
        <v>0.41032485419273934</v>
      </c>
      <c r="CC81" s="203">
        <f t="shared" ca="1" si="142"/>
        <v>0.40110708099977921</v>
      </c>
      <c r="CD81" s="172">
        <f t="shared" ca="1" si="142"/>
        <v>0.40291237454161882</v>
      </c>
      <c r="CF81" s="175"/>
      <c r="CG81" s="175"/>
      <c r="CH81" s="175"/>
      <c r="CI81" s="175"/>
      <c r="CJ81" s="175"/>
      <c r="CK81" s="175"/>
    </row>
    <row r="82" spans="1:107" s="5" customFormat="1">
      <c r="A82" s="4"/>
      <c r="B82" s="4"/>
      <c r="H82" s="12"/>
      <c r="I82" s="12"/>
      <c r="J82" s="12"/>
      <c r="K82" s="12"/>
      <c r="M82" s="12"/>
      <c r="N82" s="12"/>
      <c r="O82" s="12"/>
      <c r="P82" s="12"/>
      <c r="R82" s="12"/>
      <c r="S82" s="12"/>
      <c r="T82" s="12"/>
      <c r="U82" s="12"/>
      <c r="W82" s="12"/>
      <c r="X82" s="12"/>
      <c r="Y82" s="12"/>
      <c r="Z82" s="12"/>
      <c r="AB82" s="12"/>
      <c r="AC82" s="12"/>
      <c r="AD82" s="12"/>
      <c r="AE82" s="12"/>
      <c r="AG82" s="12"/>
      <c r="AH82" s="12"/>
      <c r="AI82" s="12"/>
      <c r="AJ82" s="12"/>
      <c r="AL82" s="12"/>
      <c r="AM82" s="12"/>
      <c r="AN82" s="12"/>
      <c r="AO82" s="12"/>
      <c r="CF82" s="175"/>
      <c r="CG82" s="175"/>
      <c r="CH82" s="175"/>
      <c r="CI82" s="175"/>
      <c r="CJ82" s="175"/>
      <c r="CK82" s="175"/>
    </row>
    <row r="83" spans="1:107" s="5" customFormat="1">
      <c r="A83" s="4"/>
      <c r="B83" s="4" t="s">
        <v>2237</v>
      </c>
      <c r="C83" s="93"/>
      <c r="D83" s="93"/>
      <c r="E83" s="93"/>
      <c r="F83" s="93"/>
      <c r="G83" s="93"/>
      <c r="H83" s="117">
        <f t="shared" ref="H83:K83" si="145">-H26/H25</f>
        <v>0.33240223463687152</v>
      </c>
      <c r="I83" s="117">
        <f t="shared" si="145"/>
        <v>0.17421602787456447</v>
      </c>
      <c r="J83" s="117">
        <f t="shared" si="145"/>
        <v>0.28225806451612906</v>
      </c>
      <c r="K83" s="117">
        <f t="shared" si="145"/>
        <v>0.32019704433497537</v>
      </c>
      <c r="L83" s="250">
        <f t="shared" ref="L83:BB83" si="146">-L26/L25</f>
        <v>0.85375494071146241</v>
      </c>
      <c r="M83" s="117">
        <f t="shared" si="146"/>
        <v>0.27392739273927391</v>
      </c>
      <c r="N83" s="117">
        <f t="shared" si="146"/>
        <v>0.31109387121799847</v>
      </c>
      <c r="O83" s="117">
        <f t="shared" si="146"/>
        <v>0.32653061224489793</v>
      </c>
      <c r="P83" s="117">
        <f t="shared" si="146"/>
        <v>0.29642606867554311</v>
      </c>
      <c r="Q83" s="250">
        <f t="shared" si="146"/>
        <v>0.30438448566610454</v>
      </c>
      <c r="R83" s="117">
        <f t="shared" si="146"/>
        <v>0.3491704374057315</v>
      </c>
      <c r="S83" s="117">
        <f t="shared" si="146"/>
        <v>0.33906882591093118</v>
      </c>
      <c r="T83" s="117">
        <f t="shared" si="146"/>
        <v>0.33512424445936873</v>
      </c>
      <c r="U83" s="117">
        <f t="shared" si="146"/>
        <v>0.3251024123805189</v>
      </c>
      <c r="V83" s="250">
        <f t="shared" si="146"/>
        <v>0.31627620221948211</v>
      </c>
      <c r="W83" s="117">
        <f t="shared" si="146"/>
        <v>0.3110236220472441</v>
      </c>
      <c r="X83" s="117">
        <f t="shared" si="146"/>
        <v>0.33564567769477055</v>
      </c>
      <c r="Y83" s="117">
        <f t="shared" si="146"/>
        <v>0.34014869888475835</v>
      </c>
      <c r="Z83" s="117">
        <f t="shared" si="146"/>
        <v>0.32484076433121017</v>
      </c>
      <c r="AA83" s="250">
        <f t="shared" si="146"/>
        <v>0.33120856705762364</v>
      </c>
      <c r="AB83" s="117">
        <f t="shared" si="146"/>
        <v>0.31773049645390072</v>
      </c>
      <c r="AC83" s="117">
        <f t="shared" si="146"/>
        <v>0.37676056338028169</v>
      </c>
      <c r="AD83" s="117">
        <f t="shared" si="146"/>
        <v>0.24390243902439024</v>
      </c>
      <c r="AE83" s="117">
        <f t="shared" si="146"/>
        <v>0.34048442906574394</v>
      </c>
      <c r="AF83" s="250">
        <f t="shared" si="146"/>
        <v>0.33015695067264572</v>
      </c>
      <c r="AG83" s="117">
        <f t="shared" si="146"/>
        <v>0.31882255389718078</v>
      </c>
      <c r="AH83" s="117">
        <f t="shared" si="146"/>
        <v>0.36916835699797163</v>
      </c>
      <c r="AI83" s="117">
        <f t="shared" si="146"/>
        <v>0.37365591397849462</v>
      </c>
      <c r="AJ83" s="117">
        <f t="shared" si="146"/>
        <v>0.21782178217821782</v>
      </c>
      <c r="AK83" s="251">
        <f t="shared" si="146"/>
        <v>0.31662870159453305</v>
      </c>
      <c r="AL83" s="117">
        <f t="shared" si="146"/>
        <v>0.31384829505915102</v>
      </c>
      <c r="AM83" s="117">
        <f t="shared" si="146"/>
        <v>0.30163511187607572</v>
      </c>
      <c r="AN83" s="117">
        <f t="shared" si="146"/>
        <v>0.29461756373937675</v>
      </c>
      <c r="AO83" s="117">
        <f t="shared" si="146"/>
        <v>0.31984334203655351</v>
      </c>
      <c r="AP83" s="251">
        <f t="shared" si="146"/>
        <v>0.30808080808080807</v>
      </c>
      <c r="AQ83" s="117">
        <f t="shared" si="146"/>
        <v>0.34236453201970446</v>
      </c>
      <c r="AR83" s="117">
        <f t="shared" si="146"/>
        <v>0.29249011857707508</v>
      </c>
      <c r="AS83" s="117">
        <f t="shared" si="146"/>
        <v>0.26576576576576577</v>
      </c>
      <c r="AT83" s="117">
        <f t="shared" si="146"/>
        <v>0.2665615141955836</v>
      </c>
      <c r="AU83" s="251">
        <f t="shared" si="146"/>
        <v>0.20689655172413793</v>
      </c>
      <c r="AV83" s="117">
        <f t="shared" si="146"/>
        <v>0.48039215686274511</v>
      </c>
      <c r="AW83" s="117">
        <f t="shared" si="146"/>
        <v>0.27519379844961239</v>
      </c>
      <c r="AX83" s="117">
        <f t="shared" si="146"/>
        <v>0.30914826498422715</v>
      </c>
      <c r="AY83" s="117">
        <f t="shared" si="146"/>
        <v>0.31033099297893679</v>
      </c>
      <c r="AZ83" s="251">
        <f t="shared" si="146"/>
        <v>0.30869565217391304</v>
      </c>
      <c r="BA83" s="117">
        <f t="shared" si="146"/>
        <v>0.33994708994708994</v>
      </c>
      <c r="BB83" s="117">
        <f t="shared" si="146"/>
        <v>0.29346092503987242</v>
      </c>
      <c r="BC83" s="117">
        <f>-BC26/BC25</f>
        <v>0.31170336037079954</v>
      </c>
      <c r="BD83" s="117">
        <f t="shared" ref="BD83:BF83" si="147">-BD26/BD25</f>
        <v>0.3053040103492885</v>
      </c>
      <c r="BE83" s="251">
        <f t="shared" si="147"/>
        <v>0.30121757543673899</v>
      </c>
      <c r="BF83" s="117">
        <f t="shared" si="147"/>
        <v>0.25757575757575757</v>
      </c>
      <c r="BG83" s="117">
        <f t="shared" ref="BG83:BH83" si="148">-BG26/BG25</f>
        <v>0.30303030303030304</v>
      </c>
      <c r="BH83" s="117">
        <f t="shared" si="148"/>
        <v>0.31666666666666665</v>
      </c>
      <c r="BI83" s="117">
        <f t="shared" ref="BI83" si="149">-BI26/BI25</f>
        <v>0.29284525790349419</v>
      </c>
      <c r="BJ83" s="251">
        <f>AVERAGE(BF83:BI83)</f>
        <v>0.29252949629405534</v>
      </c>
      <c r="BK83" s="117">
        <f t="shared" ref="BK83:BN83" si="150">-BK26/BK25</f>
        <v>0.43939393939393939</v>
      </c>
      <c r="BL83" s="117">
        <f t="shared" si="150"/>
        <v>0.30204778156996587</v>
      </c>
      <c r="BM83" s="117">
        <f t="shared" si="150"/>
        <v>0.29982046678635549</v>
      </c>
      <c r="BN83" s="117">
        <f t="shared" si="150"/>
        <v>0.25245098039215685</v>
      </c>
      <c r="BO83" s="251">
        <f>AVERAGE(BK83:BN83)</f>
        <v>0.32342829203560441</v>
      </c>
      <c r="BP83" s="204">
        <v>0.33</v>
      </c>
      <c r="BQ83" s="204">
        <v>0.33</v>
      </c>
      <c r="BR83" s="204">
        <v>0.33</v>
      </c>
      <c r="BS83" s="204">
        <v>0.33</v>
      </c>
      <c r="BT83" s="251">
        <f>AVERAGE(BP83:BS83)</f>
        <v>0.33</v>
      </c>
      <c r="BU83" s="204">
        <v>0.33</v>
      </c>
      <c r="BV83" s="204">
        <v>0.33</v>
      </c>
      <c r="BW83" s="204">
        <v>0.33</v>
      </c>
      <c r="BX83" s="204">
        <v>0.33</v>
      </c>
      <c r="BY83" s="251">
        <f>AVERAGE(BU83:BX83)</f>
        <v>0.33</v>
      </c>
      <c r="BZ83" s="204">
        <v>0.33</v>
      </c>
      <c r="CA83" s="204">
        <v>0.33</v>
      </c>
      <c r="CB83" s="204">
        <v>0.33</v>
      </c>
      <c r="CC83" s="204">
        <v>0.33</v>
      </c>
      <c r="CD83" s="251">
        <f>AVERAGE(BZ83:CC83)</f>
        <v>0.33</v>
      </c>
      <c r="CF83" s="175"/>
      <c r="CG83" s="175"/>
      <c r="CH83" s="175"/>
      <c r="CI83" s="175"/>
      <c r="CJ83" s="175"/>
      <c r="CK83" s="175"/>
    </row>
    <row r="84" spans="1:107" s="5" customFormat="1">
      <c r="A84" s="4"/>
      <c r="B84" s="4"/>
      <c r="C84" s="93"/>
      <c r="D84" s="93"/>
      <c r="E84" s="93"/>
      <c r="F84" s="93"/>
      <c r="G84" s="93"/>
      <c r="H84" s="117"/>
      <c r="I84" s="117"/>
      <c r="J84" s="117"/>
      <c r="K84" s="117"/>
      <c r="L84" s="250"/>
      <c r="M84" s="117"/>
      <c r="N84" s="117"/>
      <c r="O84" s="117"/>
      <c r="P84" s="117"/>
      <c r="Q84" s="250"/>
      <c r="R84" s="117"/>
      <c r="S84" s="117"/>
      <c r="T84" s="117"/>
      <c r="U84" s="117"/>
      <c r="V84" s="250"/>
      <c r="W84" s="117"/>
      <c r="X84" s="117"/>
      <c r="Y84" s="117"/>
      <c r="Z84" s="117"/>
      <c r="AA84" s="250"/>
      <c r="AB84" s="117"/>
      <c r="AC84" s="117"/>
      <c r="AD84" s="117"/>
      <c r="AE84" s="117"/>
      <c r="AF84" s="250"/>
      <c r="AG84" s="250"/>
      <c r="AH84" s="250"/>
      <c r="AI84" s="250"/>
      <c r="AJ84" s="250"/>
      <c r="AK84" s="250"/>
      <c r="AL84" s="250"/>
      <c r="AM84" s="250"/>
      <c r="AN84" s="250"/>
      <c r="AO84" s="250"/>
      <c r="AP84" s="250"/>
      <c r="AQ84" s="250"/>
      <c r="AR84" s="250"/>
      <c r="AS84" s="250"/>
      <c r="AT84" s="250"/>
      <c r="AU84" s="250"/>
      <c r="AV84" s="250"/>
      <c r="AW84" s="250"/>
      <c r="AX84" s="250"/>
      <c r="AY84" s="250"/>
      <c r="AZ84" s="250"/>
      <c r="BA84" s="250"/>
      <c r="BB84" s="250"/>
      <c r="BC84" s="250"/>
      <c r="BD84" s="250"/>
      <c r="BE84" s="250"/>
      <c r="BF84" s="250"/>
      <c r="BG84" s="250"/>
      <c r="BH84" s="250"/>
      <c r="BI84" s="250"/>
      <c r="BJ84" s="250"/>
      <c r="BK84" s="250"/>
      <c r="BL84" s="250"/>
      <c r="BM84" s="250"/>
      <c r="BN84" s="250"/>
      <c r="BO84" s="250"/>
      <c r="BP84" s="250"/>
      <c r="BQ84" s="250"/>
      <c r="BR84" s="250"/>
      <c r="BS84" s="250"/>
      <c r="BT84" s="250"/>
      <c r="BU84" s="250"/>
      <c r="BV84" s="250"/>
      <c r="BW84" s="250"/>
      <c r="BX84" s="250"/>
      <c r="BY84" s="250"/>
      <c r="BZ84" s="250"/>
      <c r="CA84" s="250"/>
      <c r="CB84" s="250"/>
      <c r="CC84" s="250"/>
      <c r="CD84" s="250"/>
      <c r="CF84" s="175"/>
      <c r="CG84" s="175"/>
      <c r="CH84" s="175"/>
      <c r="CI84" s="175"/>
      <c r="CJ84" s="175"/>
      <c r="CK84" s="175"/>
    </row>
    <row r="85" spans="1:107" s="5" customFormat="1">
      <c r="A85" s="4"/>
      <c r="B85" s="4"/>
      <c r="AG85" s="116"/>
      <c r="AP85" s="116"/>
      <c r="AU85" s="116"/>
      <c r="AZ85" s="116"/>
      <c r="BE85" s="116"/>
      <c r="CF85" s="175"/>
      <c r="CG85" s="175"/>
      <c r="CH85" s="175"/>
      <c r="CI85" s="175"/>
      <c r="CJ85" s="175"/>
      <c r="CK85" s="175"/>
    </row>
    <row r="86" spans="1:107" s="5" customFormat="1">
      <c r="A86" s="4"/>
      <c r="B86" s="4"/>
      <c r="Q86" s="116"/>
      <c r="V86" s="116"/>
      <c r="AA86" s="116"/>
      <c r="AF86" s="116"/>
      <c r="CF86" s="175"/>
      <c r="CG86" s="175"/>
      <c r="CH86" s="175"/>
      <c r="CI86" s="175"/>
      <c r="CJ86" s="175"/>
      <c r="CK86" s="175"/>
    </row>
    <row r="87" spans="1:107" s="5" customFormat="1">
      <c r="A87" s="9" t="s">
        <v>2622</v>
      </c>
      <c r="B87" s="4"/>
      <c r="CF87" s="175"/>
      <c r="CG87" s="175"/>
      <c r="CH87" s="175"/>
      <c r="CI87" s="175"/>
      <c r="CJ87" s="175"/>
      <c r="CK87" s="175"/>
      <c r="CO87" s="8"/>
      <c r="CP87" s="8"/>
      <c r="CQ87" s="8"/>
      <c r="CR87" s="8"/>
      <c r="CS87" s="8"/>
      <c r="CT87" s="8"/>
      <c r="CU87" s="8"/>
      <c r="CV87" s="8"/>
      <c r="CW87" s="8"/>
      <c r="CX87" s="8"/>
    </row>
    <row r="88" spans="1:107" s="11" customFormat="1" ht="12.75" customHeight="1">
      <c r="A88" s="10"/>
      <c r="B88" s="10"/>
      <c r="C88" s="31">
        <v>2001</v>
      </c>
      <c r="D88" s="32">
        <v>2002</v>
      </c>
      <c r="E88" s="32">
        <v>2003</v>
      </c>
      <c r="F88" s="32">
        <v>2004</v>
      </c>
      <c r="G88" s="31">
        <v>2005</v>
      </c>
      <c r="H88" s="33" t="s">
        <v>714</v>
      </c>
      <c r="I88" s="33" t="s">
        <v>715</v>
      </c>
      <c r="J88" s="33" t="s">
        <v>716</v>
      </c>
      <c r="K88" s="33" t="s">
        <v>717</v>
      </c>
      <c r="L88" s="31">
        <v>2006</v>
      </c>
      <c r="M88" s="33" t="s">
        <v>718</v>
      </c>
      <c r="N88" s="33" t="s">
        <v>719</v>
      </c>
      <c r="O88" s="33" t="s">
        <v>1970</v>
      </c>
      <c r="P88" s="33" t="s">
        <v>1971</v>
      </c>
      <c r="Q88" s="31">
        <v>2007</v>
      </c>
      <c r="R88" s="33" t="s">
        <v>1972</v>
      </c>
      <c r="S88" s="33" t="s">
        <v>1973</v>
      </c>
      <c r="T88" s="33" t="s">
        <v>1974</v>
      </c>
      <c r="U88" s="33" t="s">
        <v>1975</v>
      </c>
      <c r="V88" s="31">
        <v>2008</v>
      </c>
      <c r="W88" s="33" t="s">
        <v>1976</v>
      </c>
      <c r="X88" s="33" t="s">
        <v>1977</v>
      </c>
      <c r="Y88" s="33" t="s">
        <v>1978</v>
      </c>
      <c r="Z88" s="33" t="s">
        <v>1979</v>
      </c>
      <c r="AA88" s="31">
        <v>2009</v>
      </c>
      <c r="AB88" s="33" t="s">
        <v>1980</v>
      </c>
      <c r="AC88" s="33" t="s">
        <v>1981</v>
      </c>
      <c r="AD88" s="33" t="s">
        <v>1982</v>
      </c>
      <c r="AE88" s="33" t="s">
        <v>2392</v>
      </c>
      <c r="AF88" s="31">
        <v>2010</v>
      </c>
      <c r="AG88" s="33" t="s">
        <v>2393</v>
      </c>
      <c r="AH88" s="33" t="s">
        <v>2394</v>
      </c>
      <c r="AI88" s="33" t="s">
        <v>2395</v>
      </c>
      <c r="AJ88" s="33" t="s">
        <v>2396</v>
      </c>
      <c r="AK88" s="31">
        <v>2011</v>
      </c>
      <c r="AL88" s="368" t="s">
        <v>2397</v>
      </c>
      <c r="AM88" s="368" t="s">
        <v>2398</v>
      </c>
      <c r="AN88" s="368" t="s">
        <v>2399</v>
      </c>
      <c r="AO88" s="33" t="s">
        <v>2400</v>
      </c>
      <c r="AP88" s="31">
        <v>2012</v>
      </c>
      <c r="AQ88" s="33" t="s">
        <v>2401</v>
      </c>
      <c r="AR88" s="33" t="s">
        <v>2402</v>
      </c>
      <c r="AS88" s="33" t="s">
        <v>2403</v>
      </c>
      <c r="AT88" s="33" t="s">
        <v>2404</v>
      </c>
      <c r="AU88" s="31">
        <v>2013</v>
      </c>
      <c r="AV88" s="33" t="s">
        <v>2405</v>
      </c>
      <c r="AW88" s="368" t="s">
        <v>2406</v>
      </c>
      <c r="AX88" s="33" t="s">
        <v>2407</v>
      </c>
      <c r="AY88" s="33" t="s">
        <v>2408</v>
      </c>
      <c r="AZ88" s="31">
        <v>2014</v>
      </c>
      <c r="BA88" s="33" t="s">
        <v>2409</v>
      </c>
      <c r="BB88" s="33" t="s">
        <v>2410</v>
      </c>
      <c r="BC88" s="33" t="s">
        <v>2411</v>
      </c>
      <c r="BD88" s="33" t="s">
        <v>2412</v>
      </c>
      <c r="BE88" s="369">
        <v>2015</v>
      </c>
      <c r="BF88" s="33" t="s">
        <v>2413</v>
      </c>
      <c r="BG88" s="33" t="s">
        <v>2414</v>
      </c>
      <c r="BH88" s="33" t="s">
        <v>2415</v>
      </c>
      <c r="BI88" s="33" t="s">
        <v>2416</v>
      </c>
      <c r="BJ88" s="369">
        <v>2016</v>
      </c>
      <c r="BK88" s="33" t="s">
        <v>2417</v>
      </c>
      <c r="BL88" s="33" t="s">
        <v>2418</v>
      </c>
      <c r="BM88" s="33" t="s">
        <v>2419</v>
      </c>
      <c r="BN88" s="33" t="s">
        <v>2420</v>
      </c>
      <c r="BO88" s="369">
        <v>2017</v>
      </c>
      <c r="BP88" s="363" t="s">
        <v>2244</v>
      </c>
      <c r="BQ88" s="363" t="s">
        <v>2245</v>
      </c>
      <c r="BR88" s="363" t="s">
        <v>2508</v>
      </c>
      <c r="BS88" s="363" t="s">
        <v>2509</v>
      </c>
      <c r="BT88" s="364">
        <v>2018</v>
      </c>
      <c r="BU88" s="363" t="s">
        <v>2510</v>
      </c>
      <c r="BV88" s="363" t="s">
        <v>2511</v>
      </c>
      <c r="BW88" s="363" t="s">
        <v>3125</v>
      </c>
      <c r="BX88" s="363" t="s">
        <v>1405</v>
      </c>
      <c r="BY88" s="364">
        <v>2019</v>
      </c>
      <c r="BZ88" s="363" t="s">
        <v>1406</v>
      </c>
      <c r="CA88" s="363" t="s">
        <v>1407</v>
      </c>
      <c r="CB88" s="363" t="s">
        <v>1408</v>
      </c>
      <c r="CC88" s="363" t="s">
        <v>1409</v>
      </c>
      <c r="CD88" s="364">
        <v>2020</v>
      </c>
      <c r="CF88" s="175"/>
      <c r="CG88" s="175"/>
      <c r="CH88" s="175"/>
      <c r="CI88" s="175"/>
      <c r="CJ88" s="175"/>
      <c r="CK88" s="175"/>
      <c r="CM88" s="5"/>
      <c r="CN88" s="5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5"/>
      <c r="CZ88" s="5"/>
      <c r="DA88" s="5"/>
      <c r="DB88" s="5"/>
      <c r="DC88" s="5"/>
    </row>
    <row r="89" spans="1:107" s="5" customFormat="1">
      <c r="A89" s="137" t="s">
        <v>813</v>
      </c>
      <c r="B89" s="4"/>
      <c r="C89" s="93"/>
      <c r="D89" s="93"/>
      <c r="E89" s="5">
        <f>'Income statement'!E11</f>
        <v>826</v>
      </c>
      <c r="F89" s="5">
        <f>'Income statement'!F11</f>
        <v>1818</v>
      </c>
      <c r="G89" s="5">
        <f>'Income statement'!G11</f>
        <v>3083</v>
      </c>
      <c r="H89" s="12">
        <f>'Income statement'!H11</f>
        <v>573</v>
      </c>
      <c r="I89" s="12">
        <f>'Income statement'!I11</f>
        <v>818</v>
      </c>
      <c r="J89" s="12">
        <f>'Income statement'!J11</f>
        <v>1878</v>
      </c>
      <c r="K89" s="12">
        <f>'Income statement'!K11</f>
        <v>284</v>
      </c>
      <c r="L89" s="5">
        <f>'Income statement'!L11</f>
        <v>3553</v>
      </c>
      <c r="M89" s="12">
        <f>'Income statement'!M11</f>
        <v>333</v>
      </c>
      <c r="N89" s="12">
        <f>'Income statement'!N11</f>
        <v>910</v>
      </c>
      <c r="O89" s="12">
        <f>'Income statement'!O11</f>
        <v>900</v>
      </c>
      <c r="P89" s="12">
        <f>'Income statement'!P11</f>
        <v>992</v>
      </c>
      <c r="Q89" s="5">
        <f>'Income statement'!Q11</f>
        <v>3135</v>
      </c>
      <c r="R89" s="12">
        <f>'Income statement'!R11</f>
        <v>975</v>
      </c>
      <c r="S89" s="12">
        <f>'Income statement'!S11</f>
        <v>1752</v>
      </c>
      <c r="T89" s="12">
        <f>'Income statement'!T11</f>
        <v>1172</v>
      </c>
      <c r="U89" s="12">
        <f>'Income statement'!U11</f>
        <v>-876</v>
      </c>
      <c r="V89" s="5">
        <f>'Income statement'!V11</f>
        <v>3023</v>
      </c>
      <c r="W89" s="12">
        <f>'Income statement'!W11</f>
        <v>220</v>
      </c>
      <c r="X89" s="12">
        <f>'Income statement'!X11</f>
        <v>357</v>
      </c>
      <c r="Y89" s="12">
        <f>'Income statement'!Y11</f>
        <v>359</v>
      </c>
      <c r="Z89" s="12">
        <f>'Income statement'!Z11</f>
        <v>350</v>
      </c>
      <c r="AA89" s="5">
        <f>'Income statement'!AA11</f>
        <v>1286</v>
      </c>
      <c r="AB89" s="12">
        <f>'Income statement'!AB11</f>
        <v>403</v>
      </c>
      <c r="AC89" s="12">
        <f>'Income statement'!AC11</f>
        <v>257</v>
      </c>
      <c r="AD89" s="12">
        <f>'Income statement'!AD11</f>
        <v>282</v>
      </c>
      <c r="AE89" s="12">
        <f>'Income statement'!AE11</f>
        <v>233</v>
      </c>
      <c r="AF89" s="5">
        <f>'Income statement'!AF11</f>
        <v>1175</v>
      </c>
      <c r="AG89" s="12">
        <f>'Income statement'!AG11</f>
        <v>392</v>
      </c>
      <c r="AH89" s="12">
        <f>'Income statement'!AH11</f>
        <v>401</v>
      </c>
      <c r="AI89" s="12">
        <f>'Income statement'!AI11</f>
        <v>300</v>
      </c>
      <c r="AJ89" s="12">
        <f>'Income statement'!AJ11</f>
        <v>211</v>
      </c>
      <c r="AK89" s="5">
        <f>'Income statement'!AK11</f>
        <v>1304</v>
      </c>
      <c r="AL89" s="12">
        <f>'Income statement'!AL11</f>
        <v>290</v>
      </c>
      <c r="AM89" s="12">
        <f>'Income statement'!AM11</f>
        <v>88</v>
      </c>
      <c r="AN89" s="12">
        <f>'Income statement'!AN11</f>
        <v>235</v>
      </c>
      <c r="AO89" s="12">
        <f>'Income statement'!AO11</f>
        <v>131</v>
      </c>
      <c r="AP89" s="5">
        <f>'Income statement'!AP11</f>
        <v>744</v>
      </c>
      <c r="AQ89" s="12">
        <f>'Income statement'!AQ11</f>
        <v>125</v>
      </c>
      <c r="AR89" s="12">
        <f>'Income statement'!AR11</f>
        <v>102</v>
      </c>
      <c r="AS89" s="12">
        <f>'Income statement'!AS11</f>
        <v>119</v>
      </c>
      <c r="AT89" s="12">
        <f>'Income statement'!AT11</f>
        <v>101</v>
      </c>
      <c r="AU89" s="5">
        <f>SUM(AQ89:AT89)</f>
        <v>447</v>
      </c>
      <c r="AV89" s="12">
        <f>'Income statement'!AV11</f>
        <v>115</v>
      </c>
      <c r="AW89" s="12">
        <f>'Income statement'!AW11</f>
        <v>155</v>
      </c>
      <c r="AX89" s="12">
        <f>'Income statement'!AX11</f>
        <v>119</v>
      </c>
      <c r="AY89" s="12">
        <f>'Income statement'!AY11</f>
        <v>181</v>
      </c>
      <c r="AZ89" s="5">
        <f>SUM(AV89:AY89)</f>
        <v>570</v>
      </c>
      <c r="BA89" s="12">
        <f>'Income statement'!BA11</f>
        <v>104</v>
      </c>
      <c r="BB89" s="12">
        <f>'Income statement'!BB11</f>
        <v>156</v>
      </c>
      <c r="BC89" s="12">
        <f>'Income statement'!BC11</f>
        <v>327</v>
      </c>
      <c r="BD89" s="12">
        <f>'Income statement'!BD11</f>
        <v>-615</v>
      </c>
      <c r="BE89" s="5">
        <f>SUM(BA89:BD89)</f>
        <v>-28</v>
      </c>
      <c r="BF89" s="12">
        <f>'Income statement'!BF11</f>
        <v>29</v>
      </c>
      <c r="BG89" s="12">
        <f>'Income statement'!BG11</f>
        <v>274</v>
      </c>
      <c r="BH89" s="12">
        <f>'Income statement'!BH11</f>
        <v>174</v>
      </c>
      <c r="BI89" s="12">
        <f>'Income statement'!BI11</f>
        <v>489</v>
      </c>
      <c r="BJ89" s="5">
        <f>SUM(BF89:BI89)</f>
        <v>966</v>
      </c>
      <c r="BK89" s="12">
        <f>'Income statement'!BK11</f>
        <v>205</v>
      </c>
      <c r="BL89" s="12">
        <f>'Income statement'!BL11</f>
        <v>160</v>
      </c>
      <c r="BM89" s="12">
        <f>'Income statement'!BM11</f>
        <v>231</v>
      </c>
      <c r="BN89" s="12">
        <f t="shared" ref="BN89:CD89" si="151">BN91*0.25</f>
        <v>241</v>
      </c>
      <c r="BO89" s="5">
        <f>+SUM(BK89:BN89)</f>
        <v>837</v>
      </c>
      <c r="BP89" s="12">
        <f t="shared" ca="1" si="151"/>
        <v>213.80600814845042</v>
      </c>
      <c r="BQ89" s="12">
        <f t="shared" ca="1" si="151"/>
        <v>213.80600814845039</v>
      </c>
      <c r="BR89" s="12">
        <f t="shared" ca="1" si="151"/>
        <v>213.80600814845042</v>
      </c>
      <c r="BS89" s="12">
        <f t="shared" ca="1" si="151"/>
        <v>213.80600814845047</v>
      </c>
      <c r="BT89" s="5">
        <f t="shared" ca="1" si="151"/>
        <v>855.22403259380167</v>
      </c>
      <c r="BU89" s="12">
        <f t="shared" ca="1" si="151"/>
        <v>210.85414928534286</v>
      </c>
      <c r="BV89" s="12">
        <f t="shared" ca="1" si="151"/>
        <v>210.85414928534286</v>
      </c>
      <c r="BW89" s="12">
        <f t="shared" ca="1" si="151"/>
        <v>210.85414928534286</v>
      </c>
      <c r="BX89" s="12">
        <f t="shared" ca="1" si="151"/>
        <v>210.85414928534283</v>
      </c>
      <c r="BY89" s="5">
        <f t="shared" ca="1" si="151"/>
        <v>843.41659714137143</v>
      </c>
      <c r="BZ89" s="12">
        <f t="shared" ca="1" si="151"/>
        <v>306.76983199132496</v>
      </c>
      <c r="CA89" s="12">
        <f t="shared" ca="1" si="151"/>
        <v>306.76983199132496</v>
      </c>
      <c r="CB89" s="12">
        <f t="shared" ca="1" si="151"/>
        <v>306.76983199132496</v>
      </c>
      <c r="CC89" s="12">
        <f t="shared" ca="1" si="151"/>
        <v>306.76983199132496</v>
      </c>
      <c r="CD89" s="5">
        <f t="shared" ca="1" si="151"/>
        <v>1227.0793279652999</v>
      </c>
      <c r="CF89" s="175"/>
      <c r="CG89" s="175"/>
      <c r="CH89" s="175"/>
      <c r="CI89" s="175"/>
      <c r="CJ89" s="175"/>
      <c r="CK89" s="175"/>
    </row>
    <row r="90" spans="1:107" s="5" customFormat="1">
      <c r="A90" s="137" t="s">
        <v>647</v>
      </c>
      <c r="B90" s="4"/>
      <c r="C90" s="93"/>
      <c r="D90" s="93"/>
      <c r="E90" s="5">
        <f>'Income statement'!E12</f>
        <v>388</v>
      </c>
      <c r="F90" s="5">
        <f>'Income statement'!F12</f>
        <v>462</v>
      </c>
      <c r="G90" s="5">
        <f>'Income statement'!G12</f>
        <v>460</v>
      </c>
      <c r="H90" s="12">
        <f>'Income statement'!H12</f>
        <v>115</v>
      </c>
      <c r="I90" s="12">
        <f>'Income statement'!I12</f>
        <v>114</v>
      </c>
      <c r="J90" s="12">
        <f>'Income statement'!J12</f>
        <v>88</v>
      </c>
      <c r="K90" s="12">
        <f>'Income statement'!K12</f>
        <v>125</v>
      </c>
      <c r="L90" s="5">
        <f>'Income statement'!L12</f>
        <v>442</v>
      </c>
      <c r="M90" s="12">
        <f>'Income statement'!M12</f>
        <v>163</v>
      </c>
      <c r="N90" s="12">
        <f>'Income statement'!N12</f>
        <v>173</v>
      </c>
      <c r="O90" s="12">
        <f>'Income statement'!O12</f>
        <v>204</v>
      </c>
      <c r="P90" s="12">
        <f>'Income statement'!P12</f>
        <v>157</v>
      </c>
      <c r="Q90" s="5">
        <f>'Income statement'!Q12</f>
        <v>697</v>
      </c>
      <c r="R90" s="12">
        <f>'Income statement'!R12</f>
        <v>225</v>
      </c>
      <c r="S90" s="12">
        <f>'Income statement'!S12</f>
        <v>251</v>
      </c>
      <c r="T90" s="12">
        <f>'Income statement'!T12</f>
        <v>155</v>
      </c>
      <c r="U90" s="12">
        <f>'Income statement'!U12</f>
        <v>167</v>
      </c>
      <c r="V90" s="5">
        <f>'Income statement'!V12</f>
        <v>798</v>
      </c>
      <c r="W90" s="12">
        <f>'Income statement'!W12</f>
        <v>285</v>
      </c>
      <c r="X90" s="12">
        <f>'Income statement'!X12</f>
        <v>714</v>
      </c>
      <c r="Y90" s="12">
        <f>'Income statement'!Y12</f>
        <v>920</v>
      </c>
      <c r="Z90" s="12">
        <f>'Income statement'!Z12</f>
        <v>696</v>
      </c>
      <c r="AA90" s="5">
        <f>'Income statement'!AA12</f>
        <v>2615</v>
      </c>
      <c r="AB90" s="12">
        <f>'Income statement'!AB12</f>
        <v>763</v>
      </c>
      <c r="AC90" s="12">
        <f>'Income statement'!AC12</f>
        <v>760</v>
      </c>
      <c r="AD90" s="12">
        <f>'Income statement'!AD12</f>
        <v>934</v>
      </c>
      <c r="AE90" s="12">
        <f>'Income statement'!AE12</f>
        <v>1125</v>
      </c>
      <c r="AF90" s="5">
        <f>'Income statement'!AF12</f>
        <v>3582</v>
      </c>
      <c r="AG90" s="12">
        <f>'Income statement'!AG12</f>
        <v>1409</v>
      </c>
      <c r="AH90" s="12">
        <f>'Income statement'!AH12</f>
        <v>1255</v>
      </c>
      <c r="AI90" s="12">
        <f>'Income statement'!AI12</f>
        <v>1108</v>
      </c>
      <c r="AJ90" s="12">
        <f>'Income statement'!AJ12</f>
        <v>1144</v>
      </c>
      <c r="AK90" s="5">
        <f>'Income statement'!AK12</f>
        <v>4916</v>
      </c>
      <c r="AL90" s="12">
        <f>'Income statement'!AL12</f>
        <v>1260</v>
      </c>
      <c r="AM90" s="12">
        <f>'Income statement'!AM12</f>
        <v>545</v>
      </c>
      <c r="AN90" s="12">
        <f>'Income statement'!AN12</f>
        <v>1548</v>
      </c>
      <c r="AO90" s="12">
        <f>'Income statement'!AO12</f>
        <v>322</v>
      </c>
      <c r="AP90" s="5">
        <f>'Income statement'!AP12</f>
        <v>3675</v>
      </c>
      <c r="AQ90" s="12">
        <f>'Income statement'!AQ12</f>
        <v>284</v>
      </c>
      <c r="AR90" s="12">
        <f>'Income statement'!AR12</f>
        <v>448</v>
      </c>
      <c r="AS90" s="12">
        <f>'Income statement'!AS12</f>
        <v>1010</v>
      </c>
      <c r="AT90" s="12">
        <f>'Income statement'!AT12</f>
        <v>1000</v>
      </c>
      <c r="AU90" s="5">
        <f>SUM(AQ90:AT90)</f>
        <v>2742</v>
      </c>
      <c r="AV90" s="12">
        <f>'Income statement'!AV12</f>
        <v>783</v>
      </c>
      <c r="AW90" s="12">
        <f>'Income statement'!AW12</f>
        <v>1228</v>
      </c>
      <c r="AX90" s="12">
        <f>'Income statement'!AX12</f>
        <v>272</v>
      </c>
      <c r="AY90" s="12">
        <f>'Income statement'!AY12</f>
        <v>519</v>
      </c>
      <c r="AZ90" s="5">
        <f>SUM(AV90:AY90)</f>
        <v>2802</v>
      </c>
      <c r="BA90" s="12">
        <f>'Income statement'!BA12</f>
        <v>362</v>
      </c>
      <c r="BB90" s="12">
        <f>'Income statement'!BB12</f>
        <v>670</v>
      </c>
      <c r="BC90" s="12">
        <f>'Income statement'!BC12</f>
        <v>504</v>
      </c>
      <c r="BD90" s="12">
        <f>'Income statement'!BD12</f>
        <v>303</v>
      </c>
      <c r="BE90" s="5">
        <f>SUM(BA90:BD90)</f>
        <v>1839</v>
      </c>
      <c r="BF90" s="12">
        <f>'Income statement'!BF12</f>
        <v>142</v>
      </c>
      <c r="BG90" s="12">
        <f>'Income statement'!BG12</f>
        <v>380</v>
      </c>
      <c r="BH90" s="12">
        <f>'Income statement'!BH12</f>
        <v>209</v>
      </c>
      <c r="BI90" s="12">
        <f>'Income statement'!BI12</f>
        <v>263</v>
      </c>
      <c r="BJ90" s="5">
        <f>SUM(BF90:BI90)</f>
        <v>994</v>
      </c>
      <c r="BK90" s="12">
        <f>'Income statement'!BK12</f>
        <v>151</v>
      </c>
      <c r="BL90" s="12">
        <f>'Income statement'!BL12</f>
        <v>371</v>
      </c>
      <c r="BM90" s="12">
        <f>'Income statement'!BM12</f>
        <v>282</v>
      </c>
      <c r="BN90" s="12">
        <f t="shared" ref="BN90:CD90" si="152">BN91-BN89</f>
        <v>723</v>
      </c>
      <c r="BO90" s="5">
        <f t="shared" si="152"/>
        <v>1527</v>
      </c>
      <c r="BP90" s="12">
        <f t="shared" ca="1" si="152"/>
        <v>641.41802444535119</v>
      </c>
      <c r="BQ90" s="12">
        <f t="shared" ca="1" si="152"/>
        <v>641.41802444535119</v>
      </c>
      <c r="BR90" s="12">
        <f t="shared" ca="1" si="152"/>
        <v>641.41802444535119</v>
      </c>
      <c r="BS90" s="12">
        <f t="shared" ca="1" si="152"/>
        <v>641.41802444535142</v>
      </c>
      <c r="BT90" s="5">
        <f t="shared" ca="1" si="152"/>
        <v>2565.6720977814048</v>
      </c>
      <c r="BU90" s="12">
        <f t="shared" ca="1" si="152"/>
        <v>632.5624478560286</v>
      </c>
      <c r="BV90" s="12">
        <f t="shared" ca="1" si="152"/>
        <v>632.5624478560286</v>
      </c>
      <c r="BW90" s="12">
        <f t="shared" ca="1" si="152"/>
        <v>632.5624478560286</v>
      </c>
      <c r="BX90" s="12">
        <f t="shared" ca="1" si="152"/>
        <v>632.56244785602848</v>
      </c>
      <c r="BY90" s="5">
        <f t="shared" ca="1" si="152"/>
        <v>2530.2497914241144</v>
      </c>
      <c r="BZ90" s="12">
        <f t="shared" ca="1" si="152"/>
        <v>920.30949597397489</v>
      </c>
      <c r="CA90" s="12">
        <f t="shared" ca="1" si="152"/>
        <v>920.30949597397489</v>
      </c>
      <c r="CB90" s="12">
        <f t="shared" ca="1" si="152"/>
        <v>920.30949597397489</v>
      </c>
      <c r="CC90" s="12">
        <f t="shared" ca="1" si="152"/>
        <v>920.30949597397489</v>
      </c>
      <c r="CD90" s="5">
        <f t="shared" ca="1" si="152"/>
        <v>3681.2379838958996</v>
      </c>
      <c r="CF90" s="175"/>
      <c r="CG90" s="175"/>
      <c r="CH90" s="175"/>
      <c r="CI90" s="175"/>
      <c r="CJ90" s="175"/>
      <c r="CK90" s="175"/>
    </row>
    <row r="91" spans="1:107" s="5" customFormat="1">
      <c r="A91" s="148" t="s">
        <v>255</v>
      </c>
      <c r="B91" s="4"/>
      <c r="C91" s="93"/>
      <c r="D91" s="93"/>
      <c r="E91" s="8">
        <f>SUM(E89:E90)</f>
        <v>1214</v>
      </c>
      <c r="F91" s="8">
        <f>SUM(F89:F90)</f>
        <v>2280</v>
      </c>
      <c r="G91" s="8">
        <f t="shared" ref="G91:AX91" si="153">SUM(G89:G90)</f>
        <v>3543</v>
      </c>
      <c r="H91" s="19">
        <f t="shared" si="153"/>
        <v>688</v>
      </c>
      <c r="I91" s="19">
        <f t="shared" si="153"/>
        <v>932</v>
      </c>
      <c r="J91" s="19">
        <f t="shared" si="153"/>
        <v>1966</v>
      </c>
      <c r="K91" s="19">
        <f t="shared" si="153"/>
        <v>409</v>
      </c>
      <c r="L91" s="8">
        <f t="shared" si="153"/>
        <v>3995</v>
      </c>
      <c r="M91" s="19">
        <f t="shared" si="153"/>
        <v>496</v>
      </c>
      <c r="N91" s="19">
        <f t="shared" si="153"/>
        <v>1083</v>
      </c>
      <c r="O91" s="19">
        <f t="shared" si="153"/>
        <v>1104</v>
      </c>
      <c r="P91" s="19">
        <f t="shared" si="153"/>
        <v>1149</v>
      </c>
      <c r="Q91" s="8">
        <f t="shared" si="153"/>
        <v>3832</v>
      </c>
      <c r="R91" s="19">
        <f t="shared" si="153"/>
        <v>1200</v>
      </c>
      <c r="S91" s="19">
        <f t="shared" si="153"/>
        <v>2003</v>
      </c>
      <c r="T91" s="19">
        <f t="shared" si="153"/>
        <v>1327</v>
      </c>
      <c r="U91" s="19">
        <f t="shared" si="153"/>
        <v>-709</v>
      </c>
      <c r="V91" s="8">
        <f t="shared" si="153"/>
        <v>3821</v>
      </c>
      <c r="W91" s="19">
        <f t="shared" si="153"/>
        <v>505</v>
      </c>
      <c r="X91" s="19">
        <f t="shared" si="153"/>
        <v>1071</v>
      </c>
      <c r="Y91" s="19">
        <f t="shared" si="153"/>
        <v>1279</v>
      </c>
      <c r="Z91" s="19">
        <f t="shared" si="153"/>
        <v>1046</v>
      </c>
      <c r="AA91" s="8">
        <f t="shared" si="153"/>
        <v>3901</v>
      </c>
      <c r="AB91" s="19">
        <f t="shared" si="153"/>
        <v>1166</v>
      </c>
      <c r="AC91" s="19">
        <f t="shared" si="153"/>
        <v>1017</v>
      </c>
      <c r="AD91" s="19">
        <f t="shared" si="153"/>
        <v>1216</v>
      </c>
      <c r="AE91" s="19">
        <f t="shared" si="153"/>
        <v>1358</v>
      </c>
      <c r="AF91" s="8">
        <f t="shared" si="153"/>
        <v>4757</v>
      </c>
      <c r="AG91" s="19">
        <f t="shared" si="153"/>
        <v>1801</v>
      </c>
      <c r="AH91" s="19">
        <f t="shared" si="153"/>
        <v>1656</v>
      </c>
      <c r="AI91" s="19">
        <f t="shared" si="153"/>
        <v>1408</v>
      </c>
      <c r="AJ91" s="19">
        <f t="shared" si="153"/>
        <v>1355</v>
      </c>
      <c r="AK91" s="8">
        <f t="shared" si="153"/>
        <v>6220</v>
      </c>
      <c r="AL91" s="19">
        <f t="shared" si="153"/>
        <v>1550</v>
      </c>
      <c r="AM91" s="19">
        <f t="shared" si="153"/>
        <v>633</v>
      </c>
      <c r="AN91" s="19">
        <f t="shared" si="153"/>
        <v>1783</v>
      </c>
      <c r="AO91" s="19">
        <f t="shared" si="153"/>
        <v>453</v>
      </c>
      <c r="AP91" s="8">
        <f t="shared" si="153"/>
        <v>4419</v>
      </c>
      <c r="AQ91" s="19">
        <f t="shared" si="153"/>
        <v>409</v>
      </c>
      <c r="AR91" s="19">
        <f t="shared" si="153"/>
        <v>550</v>
      </c>
      <c r="AS91" s="19">
        <f t="shared" si="153"/>
        <v>1129</v>
      </c>
      <c r="AT91" s="19">
        <f t="shared" si="153"/>
        <v>1101</v>
      </c>
      <c r="AU91" s="8">
        <f t="shared" si="153"/>
        <v>3189</v>
      </c>
      <c r="AV91" s="19">
        <f t="shared" si="153"/>
        <v>898</v>
      </c>
      <c r="AW91" s="19">
        <f t="shared" si="153"/>
        <v>1383</v>
      </c>
      <c r="AX91" s="19">
        <f t="shared" si="153"/>
        <v>391</v>
      </c>
      <c r="AY91" s="19">
        <f t="shared" ref="AY91:BF91" si="154">SUM(AY89:AY90)</f>
        <v>700</v>
      </c>
      <c r="AZ91" s="8">
        <f t="shared" si="154"/>
        <v>3372</v>
      </c>
      <c r="BA91" s="19">
        <f t="shared" si="154"/>
        <v>466</v>
      </c>
      <c r="BB91" s="19">
        <f t="shared" si="154"/>
        <v>826</v>
      </c>
      <c r="BC91" s="19">
        <f t="shared" si="154"/>
        <v>831</v>
      </c>
      <c r="BD91" s="19">
        <f t="shared" si="154"/>
        <v>-312</v>
      </c>
      <c r="BE91" s="8">
        <f t="shared" si="154"/>
        <v>1811</v>
      </c>
      <c r="BF91" s="19">
        <f t="shared" si="154"/>
        <v>171</v>
      </c>
      <c r="BG91" s="19">
        <f t="shared" ref="BG91:BH91" si="155">SUM(BG89:BG90)</f>
        <v>654</v>
      </c>
      <c r="BH91" s="19">
        <f t="shared" si="155"/>
        <v>383</v>
      </c>
      <c r="BI91" s="19">
        <f t="shared" ref="BI91:BK91" si="156">SUM(BI89:BI90)</f>
        <v>752</v>
      </c>
      <c r="BJ91" s="8">
        <f t="shared" si="156"/>
        <v>1960</v>
      </c>
      <c r="BK91" s="19">
        <f t="shared" si="156"/>
        <v>356</v>
      </c>
      <c r="BL91" s="19">
        <f t="shared" ref="BL91:BM91" si="157">SUM(BL89:BL90)</f>
        <v>531</v>
      </c>
      <c r="BM91" s="19">
        <f t="shared" si="157"/>
        <v>513</v>
      </c>
      <c r="BN91" s="19">
        <f>BO91-SUM(BK91:BM91)</f>
        <v>964</v>
      </c>
      <c r="BO91" s="8">
        <f>SUM(BO94:BO95)</f>
        <v>2364</v>
      </c>
      <c r="BP91" s="19">
        <f ca="1">BT91/4</f>
        <v>855.22403259380167</v>
      </c>
      <c r="BQ91" s="19">
        <f ca="1">(BT91-BP91)/3</f>
        <v>855.22403259380155</v>
      </c>
      <c r="BR91" s="19">
        <f ca="1">(BT91-SUM(BP91:BQ91))/2</f>
        <v>855.22403259380167</v>
      </c>
      <c r="BS91" s="19">
        <f ca="1">BT91-SUM(BP91:BR91)</f>
        <v>855.22403259380189</v>
      </c>
      <c r="BT91" s="8">
        <f ca="1">SUM(BT94:BT95)</f>
        <v>3420.8961303752067</v>
      </c>
      <c r="BU91" s="19">
        <f ca="1">BY91/4</f>
        <v>843.41659714137143</v>
      </c>
      <c r="BV91" s="19">
        <f ca="1">(BY91-BU91)/3</f>
        <v>843.41659714137143</v>
      </c>
      <c r="BW91" s="19">
        <f ca="1">(BY91-SUM(BU91:BV91))/2</f>
        <v>843.41659714137143</v>
      </c>
      <c r="BX91" s="19">
        <f ca="1">BY91-SUM(BU91:BW91)</f>
        <v>843.41659714137131</v>
      </c>
      <c r="BY91" s="8">
        <f ca="1">SUM(BY94:BY95)</f>
        <v>3373.6663885654857</v>
      </c>
      <c r="BZ91" s="19">
        <f ca="1">CD91/4</f>
        <v>1227.0793279652999</v>
      </c>
      <c r="CA91" s="19">
        <f ca="1">(CD91-BZ91)/3</f>
        <v>1227.0793279652999</v>
      </c>
      <c r="CB91" s="19">
        <f ca="1">(CD91-SUM(BZ91:CA91))/2</f>
        <v>1227.0793279652999</v>
      </c>
      <c r="CC91" s="19">
        <f ca="1">CD91-SUM(BZ91:CB91)</f>
        <v>1227.0793279652999</v>
      </c>
      <c r="CD91" s="8">
        <f ca="1">SUM(CD94:CD95)</f>
        <v>4908.3173118611994</v>
      </c>
      <c r="CF91" s="175"/>
      <c r="CG91" s="175"/>
      <c r="CH91" s="175"/>
      <c r="CI91" s="175"/>
      <c r="CJ91" s="175"/>
      <c r="CK91" s="175"/>
    </row>
    <row r="92" spans="1:107" s="5" customFormat="1">
      <c r="A92" s="148"/>
      <c r="B92" s="4"/>
      <c r="F92" s="8"/>
      <c r="G92" s="8"/>
      <c r="H92" s="19"/>
      <c r="I92" s="19"/>
      <c r="J92" s="19"/>
      <c r="K92" s="19"/>
      <c r="L92" s="8"/>
      <c r="M92" s="19"/>
      <c r="N92" s="19"/>
      <c r="O92" s="19"/>
      <c r="P92" s="19"/>
      <c r="Q92" s="8"/>
      <c r="R92" s="19"/>
      <c r="S92" s="19"/>
      <c r="T92" s="19"/>
      <c r="U92" s="19"/>
      <c r="V92" s="8"/>
      <c r="W92" s="19"/>
      <c r="X92" s="19"/>
      <c r="Y92" s="19"/>
      <c r="Z92" s="19"/>
      <c r="AA92" s="8"/>
      <c r="AB92" s="19"/>
      <c r="AC92" s="19"/>
      <c r="AD92" s="19"/>
      <c r="AE92" s="19"/>
      <c r="AF92" s="8"/>
      <c r="AG92" s="19"/>
      <c r="CF92" s="175"/>
      <c r="CG92" s="175"/>
      <c r="CH92" s="175"/>
      <c r="CI92" s="175"/>
      <c r="CJ92" s="175"/>
      <c r="CK92" s="175"/>
    </row>
    <row r="93" spans="1:107" s="5" customFormat="1">
      <c r="A93" s="4" t="s">
        <v>256</v>
      </c>
      <c r="B93" s="4"/>
      <c r="CF93" s="175"/>
      <c r="CG93" s="175"/>
      <c r="CH93" s="175"/>
      <c r="CI93" s="175"/>
      <c r="CJ93" s="175"/>
      <c r="CK93" s="175"/>
    </row>
    <row r="94" spans="1:107" s="5" customFormat="1">
      <c r="A94" s="4"/>
      <c r="B94" s="4" t="s">
        <v>2700</v>
      </c>
      <c r="C94" s="93"/>
      <c r="D94" s="93"/>
      <c r="E94" s="5">
        <f>'E&amp;P - FAS69'!E11</f>
        <v>790</v>
      </c>
      <c r="F94" s="5">
        <f>'E&amp;P - FAS69'!F11</f>
        <v>1814</v>
      </c>
      <c r="G94" s="5">
        <f>'E&amp;P - FAS69'!G11</f>
        <v>3029</v>
      </c>
      <c r="H94" s="156"/>
      <c r="I94" s="156"/>
      <c r="J94" s="156"/>
      <c r="K94" s="156"/>
      <c r="L94" s="5">
        <f>'E&amp;P - FAS69'!L11</f>
        <v>3302</v>
      </c>
      <c r="M94" s="156"/>
      <c r="N94" s="156"/>
      <c r="O94" s="156"/>
      <c r="P94" s="156"/>
      <c r="Q94" s="5">
        <f>'E&amp;P - FAS69'!Q11</f>
        <v>2704</v>
      </c>
      <c r="R94" s="156"/>
      <c r="S94" s="156"/>
      <c r="T94" s="156"/>
      <c r="U94" s="156"/>
      <c r="V94" s="5">
        <f>'E&amp;P - FAS69'!V11</f>
        <v>2793</v>
      </c>
      <c r="W94" s="156"/>
      <c r="X94" s="156"/>
      <c r="Y94" s="156"/>
      <c r="Z94" s="156"/>
      <c r="AA94" s="5">
        <f>'E&amp;P - FAS69'!AA11</f>
        <v>3309</v>
      </c>
      <c r="AB94" s="156"/>
      <c r="AC94" s="156"/>
      <c r="AD94" s="156"/>
      <c r="AE94" s="156"/>
      <c r="AF94" s="5">
        <f>'E&amp;P - FAS69'!AF11</f>
        <v>3979</v>
      </c>
      <c r="AG94" s="156"/>
      <c r="AH94" s="156"/>
      <c r="AI94" s="156"/>
      <c r="AJ94" s="156"/>
      <c r="AK94" s="5">
        <f>'E&amp;P - FAS69'!AK11</f>
        <v>5415</v>
      </c>
      <c r="AL94" s="156"/>
      <c r="AM94" s="156"/>
      <c r="AN94" s="156"/>
      <c r="AO94" s="156"/>
      <c r="AP94" s="5">
        <f>'E&amp;P - FAS69'!AP11</f>
        <v>4043</v>
      </c>
      <c r="AQ94" s="156"/>
      <c r="AR94" s="156"/>
      <c r="AS94" s="156"/>
      <c r="AT94" s="156"/>
      <c r="AU94" s="5">
        <f>'E&amp;P - FAS69'!AU11</f>
        <v>3185</v>
      </c>
      <c r="AV94" s="156"/>
      <c r="AW94" s="156"/>
      <c r="AX94" s="156"/>
      <c r="AY94" s="156"/>
      <c r="AZ94" s="5">
        <f>'E&amp;P - FAS69'!AZ11</f>
        <v>3214</v>
      </c>
      <c r="BA94" s="156"/>
      <c r="BB94" s="156"/>
      <c r="BC94" s="156"/>
      <c r="BD94" s="156"/>
      <c r="BE94" s="5">
        <f>'E&amp;P - FAS69'!BE11</f>
        <v>1519</v>
      </c>
      <c r="BF94" s="156"/>
      <c r="BG94" s="156"/>
      <c r="BH94" s="156"/>
      <c r="BI94" s="156"/>
      <c r="BJ94" s="5">
        <f>'E&amp;P - FAS69'!BJ11</f>
        <v>1317</v>
      </c>
      <c r="BK94" s="156"/>
      <c r="BL94" s="156"/>
      <c r="BM94" s="156"/>
      <c r="BN94" s="156"/>
      <c r="BO94" s="5">
        <f>'E&amp;P - FAS69'!BO11</f>
        <v>1764</v>
      </c>
      <c r="BP94" s="156"/>
      <c r="BQ94" s="156"/>
      <c r="BR94" s="156"/>
      <c r="BS94" s="156"/>
      <c r="BT94" s="5">
        <f ca="1">'E&amp;P - FAS69'!BT11</f>
        <v>2820.8961303752067</v>
      </c>
      <c r="BU94" s="156"/>
      <c r="BV94" s="156"/>
      <c r="BW94" s="156"/>
      <c r="BX94" s="156"/>
      <c r="BY94" s="5">
        <f ca="1">'E&amp;P - FAS69'!BY11</f>
        <v>2773.6663885654857</v>
      </c>
      <c r="BZ94" s="156"/>
      <c r="CA94" s="156"/>
      <c r="CB94" s="156"/>
      <c r="CC94" s="156"/>
      <c r="CD94" s="5">
        <f ca="1">'E&amp;P - FAS69'!CD11</f>
        <v>4308.3173118611994</v>
      </c>
      <c r="CF94" s="175"/>
      <c r="CG94" s="175"/>
      <c r="CH94" s="175"/>
      <c r="CI94" s="175"/>
      <c r="CJ94" s="175"/>
      <c r="CK94" s="175"/>
    </row>
    <row r="95" spans="1:107" s="5" customFormat="1">
      <c r="A95" s="4"/>
      <c r="B95" s="4" t="s">
        <v>1246</v>
      </c>
      <c r="C95" s="93"/>
      <c r="D95" s="93"/>
      <c r="E95" s="5">
        <f>E91-E94</f>
        <v>424</v>
      </c>
      <c r="F95" s="5">
        <f>F91-F94</f>
        <v>466</v>
      </c>
      <c r="G95" s="5">
        <f>G91-G94</f>
        <v>514</v>
      </c>
      <c r="H95" s="156"/>
      <c r="I95" s="156"/>
      <c r="J95" s="156"/>
      <c r="K95" s="156"/>
      <c r="L95" s="5">
        <f>L91-L94</f>
        <v>693</v>
      </c>
      <c r="M95" s="156"/>
      <c r="N95" s="156"/>
      <c r="O95" s="156"/>
      <c r="P95" s="156"/>
      <c r="Q95" s="5">
        <f>Q91-Q94</f>
        <v>1128</v>
      </c>
      <c r="R95" s="156"/>
      <c r="S95" s="156"/>
      <c r="T95" s="156"/>
      <c r="U95" s="156"/>
      <c r="V95" s="5">
        <f>V91-V94</f>
        <v>1028</v>
      </c>
      <c r="W95" s="156"/>
      <c r="X95" s="156"/>
      <c r="Y95" s="156"/>
      <c r="Z95" s="156"/>
      <c r="AA95" s="5">
        <f>AA91-AA94</f>
        <v>592</v>
      </c>
      <c r="AB95" s="156"/>
      <c r="AC95" s="156"/>
      <c r="AD95" s="156"/>
      <c r="AE95" s="156"/>
      <c r="AF95" s="5">
        <f>AF91-AF94</f>
        <v>778</v>
      </c>
      <c r="AG95" s="156"/>
      <c r="AH95" s="156"/>
      <c r="AI95" s="156"/>
      <c r="AJ95" s="156"/>
      <c r="AK95" s="5">
        <f>AK91-AK94</f>
        <v>805</v>
      </c>
      <c r="AL95" s="156"/>
      <c r="AM95" s="156"/>
      <c r="AN95" s="156"/>
      <c r="AO95" s="156"/>
      <c r="AP95" s="5">
        <f>AP91-AP94</f>
        <v>376</v>
      </c>
      <c r="AQ95" s="156"/>
      <c r="AR95" s="156"/>
      <c r="AS95" s="156"/>
      <c r="AT95" s="156"/>
      <c r="AU95" s="5">
        <f>AU91-AU94</f>
        <v>4</v>
      </c>
      <c r="AV95" s="156"/>
      <c r="AW95" s="156"/>
      <c r="AX95" s="156"/>
      <c r="AY95" s="156"/>
      <c r="AZ95" s="5">
        <f>AZ91-AZ94</f>
        <v>158</v>
      </c>
      <c r="BA95" s="156"/>
      <c r="BB95" s="156"/>
      <c r="BC95" s="156"/>
      <c r="BD95" s="156"/>
      <c r="BE95" s="5">
        <f>BE91-BE94</f>
        <v>292</v>
      </c>
      <c r="BF95" s="156"/>
      <c r="BG95" s="156"/>
      <c r="BH95" s="156"/>
      <c r="BI95" s="156"/>
      <c r="BJ95" s="5">
        <f>BJ91-BJ94</f>
        <v>643</v>
      </c>
      <c r="BK95" s="156"/>
      <c r="BL95" s="156"/>
      <c r="BM95" s="156"/>
      <c r="BN95" s="156"/>
      <c r="BO95" s="5">
        <v>600</v>
      </c>
      <c r="BP95" s="156"/>
      <c r="BQ95" s="156"/>
      <c r="BR95" s="156"/>
      <c r="BS95" s="156"/>
      <c r="BT95" s="260">
        <v>600</v>
      </c>
      <c r="BU95" s="156"/>
      <c r="BV95" s="156"/>
      <c r="BW95" s="156"/>
      <c r="BX95" s="156"/>
      <c r="BY95" s="260">
        <v>600</v>
      </c>
      <c r="BZ95" s="156"/>
      <c r="CA95" s="156"/>
      <c r="CB95" s="156"/>
      <c r="CC95" s="156"/>
      <c r="CD95" s="260">
        <v>600</v>
      </c>
      <c r="CF95" s="175"/>
      <c r="CG95" s="175"/>
      <c r="CH95" s="175"/>
      <c r="CI95" s="175"/>
      <c r="CJ95" s="175"/>
      <c r="CK95" s="175"/>
    </row>
    <row r="96" spans="1:107" s="5" customFormat="1">
      <c r="CF96" s="175"/>
      <c r="CG96" s="175"/>
      <c r="CH96" s="175"/>
      <c r="CI96" s="175"/>
      <c r="CJ96" s="175"/>
      <c r="CK96" s="175"/>
    </row>
    <row r="97" spans="1:107" s="5" customFormat="1"/>
    <row r="98" spans="1:107" s="175" customFormat="1">
      <c r="CG98" s="5"/>
      <c r="CH98" s="5"/>
      <c r="CI98" s="5"/>
      <c r="CJ98" s="5"/>
    </row>
    <row r="99" spans="1:107" s="175" customFormat="1">
      <c r="A99" s="214" t="s">
        <v>2632</v>
      </c>
      <c r="B99" s="202"/>
      <c r="CF99" s="76"/>
      <c r="CG99" s="5"/>
      <c r="CH99" s="5"/>
      <c r="CI99" s="5"/>
      <c r="CJ99" s="5"/>
      <c r="CO99" s="76"/>
      <c r="CP99" s="76"/>
      <c r="CQ99" s="76"/>
      <c r="CR99" s="76"/>
      <c r="CS99" s="76"/>
      <c r="CT99" s="76"/>
      <c r="CU99" s="76"/>
      <c r="CV99" s="76"/>
      <c r="CW99" s="76"/>
      <c r="CX99" s="76"/>
    </row>
    <row r="100" spans="1:107" s="283" customFormat="1" ht="12.75" customHeight="1">
      <c r="A100" s="279"/>
      <c r="B100" s="279"/>
      <c r="C100" s="280">
        <v>2001</v>
      </c>
      <c r="D100" s="281">
        <v>2002</v>
      </c>
      <c r="E100" s="281">
        <v>2003</v>
      </c>
      <c r="F100" s="281">
        <v>2004</v>
      </c>
      <c r="G100" s="280">
        <v>2005</v>
      </c>
      <c r="H100" s="282" t="s">
        <v>714</v>
      </c>
      <c r="I100" s="282" t="s">
        <v>715</v>
      </c>
      <c r="J100" s="282" t="s">
        <v>716</v>
      </c>
      <c r="K100" s="282" t="s">
        <v>717</v>
      </c>
      <c r="L100" s="280">
        <v>2006</v>
      </c>
      <c r="M100" s="282" t="s">
        <v>718</v>
      </c>
      <c r="N100" s="282" t="s">
        <v>719</v>
      </c>
      <c r="O100" s="282" t="s">
        <v>1970</v>
      </c>
      <c r="P100" s="282" t="s">
        <v>1971</v>
      </c>
      <c r="Q100" s="280">
        <v>2007</v>
      </c>
      <c r="R100" s="282" t="s">
        <v>1972</v>
      </c>
      <c r="S100" s="282" t="s">
        <v>1973</v>
      </c>
      <c r="T100" s="282" t="s">
        <v>1974</v>
      </c>
      <c r="U100" s="282" t="s">
        <v>1975</v>
      </c>
      <c r="V100" s="280">
        <v>2008</v>
      </c>
      <c r="W100" s="282" t="s">
        <v>1976</v>
      </c>
      <c r="X100" s="282" t="s">
        <v>1977</v>
      </c>
      <c r="Y100" s="282" t="s">
        <v>1978</v>
      </c>
      <c r="Z100" s="282" t="s">
        <v>1979</v>
      </c>
      <c r="AA100" s="280">
        <v>2009</v>
      </c>
      <c r="AB100" s="282" t="s">
        <v>1980</v>
      </c>
      <c r="AC100" s="282" t="s">
        <v>1981</v>
      </c>
      <c r="AD100" s="282" t="s">
        <v>1982</v>
      </c>
      <c r="AE100" s="282" t="s">
        <v>2392</v>
      </c>
      <c r="AF100" s="280">
        <v>2010</v>
      </c>
      <c r="AG100" s="282" t="s">
        <v>2393</v>
      </c>
      <c r="AH100" s="282" t="s">
        <v>2394</v>
      </c>
      <c r="AI100" s="282" t="s">
        <v>2395</v>
      </c>
      <c r="AJ100" s="282" t="s">
        <v>2396</v>
      </c>
      <c r="AK100" s="280">
        <v>2011</v>
      </c>
      <c r="AL100" s="368" t="s">
        <v>2397</v>
      </c>
      <c r="AM100" s="368" t="s">
        <v>2398</v>
      </c>
      <c r="AN100" s="368" t="s">
        <v>2399</v>
      </c>
      <c r="AO100" s="282" t="s">
        <v>2400</v>
      </c>
      <c r="AP100" s="280">
        <v>2012</v>
      </c>
      <c r="AQ100" s="33" t="s">
        <v>2401</v>
      </c>
      <c r="AR100" s="33" t="s">
        <v>2402</v>
      </c>
      <c r="AS100" s="33" t="s">
        <v>2403</v>
      </c>
      <c r="AT100" s="33" t="s">
        <v>2404</v>
      </c>
      <c r="AU100" s="280">
        <v>2013</v>
      </c>
      <c r="AV100" s="368" t="s">
        <v>2405</v>
      </c>
      <c r="AW100" s="368" t="s">
        <v>2406</v>
      </c>
      <c r="AX100" s="33" t="s">
        <v>2407</v>
      </c>
      <c r="AY100" s="33" t="s">
        <v>2408</v>
      </c>
      <c r="AZ100" s="280">
        <v>2014</v>
      </c>
      <c r="BA100" s="33" t="s">
        <v>2409</v>
      </c>
      <c r="BB100" s="33" t="s">
        <v>2410</v>
      </c>
      <c r="BC100" s="33" t="s">
        <v>2411</v>
      </c>
      <c r="BD100" s="33" t="s">
        <v>2412</v>
      </c>
      <c r="BE100" s="369">
        <v>2015</v>
      </c>
      <c r="BF100" s="33" t="s">
        <v>2413</v>
      </c>
      <c r="BG100" s="33" t="s">
        <v>2414</v>
      </c>
      <c r="BH100" s="33" t="s">
        <v>2415</v>
      </c>
      <c r="BI100" s="33" t="s">
        <v>2416</v>
      </c>
      <c r="BJ100" s="369">
        <v>2016</v>
      </c>
      <c r="BK100" s="33" t="s">
        <v>2417</v>
      </c>
      <c r="BL100" s="33" t="s">
        <v>2418</v>
      </c>
      <c r="BM100" s="33" t="s">
        <v>2419</v>
      </c>
      <c r="BN100" s="33" t="s">
        <v>2420</v>
      </c>
      <c r="BO100" s="369">
        <v>2017</v>
      </c>
      <c r="BP100" s="363" t="s">
        <v>2244</v>
      </c>
      <c r="BQ100" s="363" t="s">
        <v>2245</v>
      </c>
      <c r="BR100" s="363" t="s">
        <v>2508</v>
      </c>
      <c r="BS100" s="363" t="s">
        <v>2509</v>
      </c>
      <c r="BT100" s="364">
        <v>2018</v>
      </c>
      <c r="BU100" s="363" t="s">
        <v>2510</v>
      </c>
      <c r="BV100" s="363" t="s">
        <v>2511</v>
      </c>
      <c r="BW100" s="363" t="s">
        <v>3125</v>
      </c>
      <c r="BX100" s="363" t="s">
        <v>1405</v>
      </c>
      <c r="BY100" s="364">
        <v>2019</v>
      </c>
      <c r="BZ100" s="363" t="s">
        <v>1406</v>
      </c>
      <c r="CA100" s="363" t="s">
        <v>1407</v>
      </c>
      <c r="CB100" s="363" t="s">
        <v>1408</v>
      </c>
      <c r="CC100" s="363" t="s">
        <v>1409</v>
      </c>
      <c r="CD100" s="364">
        <v>2020</v>
      </c>
      <c r="CF100" s="76"/>
      <c r="CG100" s="5"/>
      <c r="CH100" s="5"/>
      <c r="CI100" s="5"/>
      <c r="CJ100" s="5"/>
      <c r="CM100" s="175"/>
      <c r="CN100" s="175"/>
      <c r="CO100" s="76"/>
      <c r="CP100" s="76"/>
      <c r="CQ100" s="76"/>
      <c r="CR100" s="76"/>
      <c r="CS100" s="76"/>
      <c r="CT100" s="76"/>
      <c r="CU100" s="76"/>
      <c r="CV100" s="76"/>
      <c r="CW100" s="76"/>
      <c r="CX100" s="76"/>
      <c r="CY100" s="175"/>
      <c r="CZ100" s="175"/>
      <c r="DA100" s="175"/>
      <c r="DB100" s="175"/>
      <c r="DC100" s="175"/>
    </row>
    <row r="101" spans="1:107" s="175" customFormat="1">
      <c r="A101" s="284" t="s">
        <v>2623</v>
      </c>
      <c r="B101" s="202"/>
      <c r="C101" s="93"/>
      <c r="D101" s="93"/>
      <c r="E101" s="175">
        <f>E63</f>
        <v>12693</v>
      </c>
      <c r="F101" s="175">
        <f>F63</f>
        <v>17397</v>
      </c>
      <c r="G101" s="175">
        <f>G63</f>
        <v>21240</v>
      </c>
      <c r="H101" s="156"/>
      <c r="I101" s="156"/>
      <c r="J101" s="156"/>
      <c r="K101" s="156"/>
      <c r="L101" s="175">
        <f>L63</f>
        <v>21000</v>
      </c>
      <c r="M101" s="156"/>
      <c r="N101" s="156"/>
      <c r="O101" s="156"/>
      <c r="P101" s="156"/>
      <c r="Q101" s="175">
        <f>Q63</f>
        <v>18941</v>
      </c>
      <c r="R101" s="156"/>
      <c r="S101" s="156"/>
      <c r="T101" s="156"/>
      <c r="U101" s="156"/>
      <c r="V101" s="175">
        <f>V63</f>
        <v>26243</v>
      </c>
      <c r="W101" s="156"/>
      <c r="X101" s="156"/>
      <c r="Y101" s="156"/>
      <c r="Z101" s="156"/>
      <c r="AA101" s="175">
        <f>AA63</f>
        <v>14577</v>
      </c>
      <c r="AB101" s="156"/>
      <c r="AC101" s="156"/>
      <c r="AD101" s="156"/>
      <c r="AE101" s="156"/>
      <c r="AF101" s="175">
        <f>AF63</f>
        <v>20522</v>
      </c>
      <c r="AG101" s="156"/>
      <c r="AH101" s="156"/>
      <c r="AI101" s="156"/>
      <c r="AJ101" s="156"/>
      <c r="AK101" s="175">
        <f>AK63</f>
        <v>21658</v>
      </c>
      <c r="AL101" s="156"/>
      <c r="AM101" s="156"/>
      <c r="AN101" s="156"/>
      <c r="AO101" s="156"/>
      <c r="AP101" s="175">
        <f>AP63</f>
        <v>17638</v>
      </c>
      <c r="AQ101" s="156"/>
      <c r="AR101" s="156"/>
      <c r="AS101" s="156"/>
      <c r="AT101" s="156"/>
      <c r="AU101" s="175">
        <f>AU63</f>
        <v>13428</v>
      </c>
      <c r="AV101" s="156"/>
      <c r="AW101" s="156"/>
      <c r="AX101" s="156"/>
      <c r="AY101" s="156"/>
      <c r="AZ101" s="175">
        <f>AZ63</f>
        <v>12136</v>
      </c>
      <c r="BA101" s="156"/>
      <c r="BB101" s="156"/>
      <c r="BC101" s="156"/>
      <c r="BD101" s="156"/>
      <c r="BE101" s="175">
        <f>BE63</f>
        <v>4998.83</v>
      </c>
      <c r="BF101" s="156"/>
      <c r="BG101" s="156"/>
      <c r="BH101" s="156"/>
      <c r="BI101" s="156"/>
      <c r="BJ101" s="175">
        <f ca="1">BJ63</f>
        <v>2585</v>
      </c>
      <c r="BK101" s="156"/>
      <c r="BL101" s="156"/>
      <c r="BM101" s="156"/>
      <c r="BN101" s="156"/>
      <c r="BO101" s="175">
        <f ca="1">BO63</f>
        <v>6166</v>
      </c>
      <c r="BP101" s="156"/>
      <c r="BQ101" s="156"/>
      <c r="BR101" s="156"/>
      <c r="BS101" s="156"/>
      <c r="BT101" s="175">
        <f ca="1">BT63</f>
        <v>11130.667201199967</v>
      </c>
      <c r="BU101" s="156"/>
      <c r="BV101" s="156"/>
      <c r="BW101" s="156"/>
      <c r="BX101" s="156"/>
      <c r="BY101" s="175">
        <f ca="1">BY63</f>
        <v>11190.741226232894</v>
      </c>
      <c r="BZ101" s="156"/>
      <c r="CA101" s="156"/>
      <c r="CB101" s="156"/>
      <c r="CC101" s="156"/>
      <c r="CD101" s="175">
        <f ca="1">CD63</f>
        <v>13022.419346195902</v>
      </c>
      <c r="CG101" s="5"/>
      <c r="CH101" s="5"/>
      <c r="CI101" s="5"/>
      <c r="CJ101" s="5"/>
    </row>
    <row r="102" spans="1:107" s="175" customFormat="1">
      <c r="A102" s="202"/>
      <c r="B102" s="202"/>
      <c r="C102" s="93"/>
      <c r="D102" s="93"/>
      <c r="CG102" s="5"/>
      <c r="CH102" s="5"/>
      <c r="CI102" s="5"/>
      <c r="CJ102" s="5"/>
    </row>
    <row r="103" spans="1:107" s="5" customFormat="1">
      <c r="A103" s="4" t="s">
        <v>2625</v>
      </c>
      <c r="B103" s="4"/>
      <c r="C103" s="93"/>
      <c r="D103" s="93"/>
    </row>
    <row r="104" spans="1:107" s="5" customFormat="1">
      <c r="A104" s="4"/>
      <c r="B104" s="4" t="s">
        <v>2624</v>
      </c>
      <c r="C104" s="93"/>
      <c r="D104" s="93"/>
      <c r="E104" s="5">
        <f>-('E&amp;P - FAS69'!E44+'E&amp;P - FAS69'!E528)</f>
        <v>5270</v>
      </c>
      <c r="F104" s="5">
        <f>-('E&amp;P - FAS69'!F44+'E&amp;P - FAS69'!F528)</f>
        <v>5157</v>
      </c>
      <c r="G104" s="5">
        <f>-('E&amp;P - FAS69'!G44+'E&amp;P - FAS69'!G528)</f>
        <v>5628</v>
      </c>
      <c r="H104" s="156"/>
      <c r="I104" s="156"/>
      <c r="J104" s="156"/>
      <c r="K104" s="156"/>
      <c r="L104" s="5">
        <f>-('E&amp;P - FAS69'!L44+'E&amp;P - FAS69'!L528)</f>
        <v>6143</v>
      </c>
      <c r="M104" s="156"/>
      <c r="N104" s="156"/>
      <c r="O104" s="156"/>
      <c r="P104" s="156"/>
      <c r="Q104" s="5">
        <f>-('E&amp;P - FAS69'!Q44+'E&amp;P - FAS69'!Q528)</f>
        <v>7288</v>
      </c>
      <c r="R104" s="156"/>
      <c r="S104" s="156"/>
      <c r="T104" s="156"/>
      <c r="U104" s="156"/>
      <c r="V104" s="5">
        <f>-('E&amp;P - FAS69'!V44+'E&amp;P - FAS69'!V528)</f>
        <v>7883</v>
      </c>
      <c r="W104" s="156"/>
      <c r="X104" s="156"/>
      <c r="Y104" s="156"/>
      <c r="Z104" s="156"/>
      <c r="AA104" s="5">
        <f>-('E&amp;P - FAS69'!AA44+'E&amp;P - FAS69'!AA528)</f>
        <v>10579</v>
      </c>
      <c r="AB104" s="156"/>
      <c r="AC104" s="156"/>
      <c r="AD104" s="156"/>
      <c r="AE104" s="156"/>
      <c r="AF104" s="5">
        <f>-('E&amp;P - FAS69'!AF44+'E&amp;P - FAS69'!AF528)</f>
        <v>9607</v>
      </c>
      <c r="AG104" s="156"/>
      <c r="AH104" s="156"/>
      <c r="AI104" s="156"/>
      <c r="AJ104" s="156"/>
      <c r="AK104" s="5">
        <f>-('E&amp;P - FAS69'!AK44+'E&amp;P - FAS69'!AK528)</f>
        <v>9862</v>
      </c>
      <c r="AL104" s="156"/>
      <c r="AM104" s="156"/>
      <c r="AN104" s="156"/>
      <c r="AO104" s="156"/>
      <c r="AP104" s="5">
        <f>-('E&amp;P - FAS69'!AP44+'E&amp;P - FAS69'!AP528)</f>
        <v>11310</v>
      </c>
      <c r="AQ104" s="156"/>
      <c r="AR104" s="156"/>
      <c r="AS104" s="156"/>
      <c r="AT104" s="156"/>
      <c r="AU104" s="5">
        <f>-('E&amp;P - FAS69'!AU44+'E&amp;P - FAS69'!AU528)</f>
        <v>12427</v>
      </c>
      <c r="AV104" s="156"/>
      <c r="AW104" s="156"/>
      <c r="AX104" s="156"/>
      <c r="AY104" s="156"/>
      <c r="AZ104" s="5">
        <f>-('E&amp;P - FAS69'!AZ44+'E&amp;P - FAS69'!AZ528)</f>
        <v>13978</v>
      </c>
      <c r="BA104" s="156"/>
      <c r="BB104" s="156"/>
      <c r="BC104" s="156"/>
      <c r="BD104" s="156"/>
      <c r="BE104" s="5">
        <f>-('E&amp;P - FAS69'!BE44+'E&amp;P - FAS69'!BE528)</f>
        <v>13945</v>
      </c>
      <c r="BF104" s="156"/>
      <c r="BG104" s="156"/>
      <c r="BH104" s="156"/>
      <c r="BI104" s="156"/>
      <c r="BJ104" s="5">
        <f>-('E&amp;P - FAS69'!BJ44+'E&amp;P - FAS69'!BJ528)</f>
        <v>13218</v>
      </c>
      <c r="BK104" s="156"/>
      <c r="BL104" s="156"/>
      <c r="BM104" s="156"/>
      <c r="BN104" s="156"/>
      <c r="BO104" s="5">
        <f>-('E&amp;P - FAS69'!BO44+'E&amp;P - FAS69'!BO528)</f>
        <v>15156</v>
      </c>
      <c r="BP104" s="156"/>
      <c r="BQ104" s="156"/>
      <c r="BR104" s="156"/>
      <c r="BS104" s="156"/>
      <c r="BT104" s="5">
        <f>-('E&amp;P - FAS69'!BT44+'E&amp;P - FAS69'!BT528)</f>
        <v>15579.627730021904</v>
      </c>
      <c r="BU104" s="156"/>
      <c r="BV104" s="156"/>
      <c r="BW104" s="156"/>
      <c r="BX104" s="156"/>
      <c r="BY104" s="5">
        <f>-('E&amp;P - FAS69'!BY44+'E&amp;P - FAS69'!BY528)</f>
        <v>16547.069742669773</v>
      </c>
      <c r="BZ104" s="156"/>
      <c r="CA104" s="156"/>
      <c r="CB104" s="156"/>
      <c r="CC104" s="156"/>
      <c r="CD104" s="5">
        <f>-('E&amp;P - FAS69'!CD44+'E&amp;P - FAS69'!CD528)</f>
        <v>17580.128982050435</v>
      </c>
    </row>
    <row r="105" spans="1:107" s="5" customFormat="1">
      <c r="A105" s="4"/>
      <c r="B105" s="4"/>
      <c r="C105" s="93"/>
      <c r="D105" s="93"/>
    </row>
    <row r="106" spans="1:107" s="5" customFormat="1">
      <c r="A106" s="4"/>
      <c r="B106" s="4" t="s">
        <v>2629</v>
      </c>
      <c r="C106" s="93"/>
      <c r="D106" s="93"/>
      <c r="E106" s="104">
        <f>'E&amp;P - FAS69'!E68</f>
        <v>4.7965213215776767</v>
      </c>
      <c r="F106" s="104">
        <f>'E&amp;P - FAS69'!F68</f>
        <v>5.0559507227954406</v>
      </c>
      <c r="G106" s="104">
        <f>'E&amp;P - FAS69'!G68</f>
        <v>5.6726269474109339</v>
      </c>
      <c r="H106" s="156"/>
      <c r="I106" s="156"/>
      <c r="J106" s="156"/>
      <c r="K106" s="156"/>
      <c r="L106" s="104">
        <f>'E&amp;P - FAS69'!L68</f>
        <v>6.4018936843707257</v>
      </c>
      <c r="M106" s="156"/>
      <c r="N106" s="156"/>
      <c r="O106" s="156"/>
      <c r="P106" s="156"/>
      <c r="Q106" s="104">
        <f>'E&amp;P - FAS69'!Q68</f>
        <v>7.8327865073514822</v>
      </c>
      <c r="R106" s="156"/>
      <c r="S106" s="156"/>
      <c r="T106" s="156"/>
      <c r="U106" s="156"/>
      <c r="V106" s="104">
        <f>'E&amp;P - FAS69'!V68</f>
        <v>8.5783233981428459</v>
      </c>
      <c r="W106" s="156"/>
      <c r="X106" s="156"/>
      <c r="Y106" s="156"/>
      <c r="Z106" s="156"/>
      <c r="AA106" s="104">
        <f>'E&amp;P - FAS69'!AA68</f>
        <v>9.1352002885774368</v>
      </c>
      <c r="AB106" s="156"/>
      <c r="AC106" s="156"/>
      <c r="AD106" s="156"/>
      <c r="AE106" s="156"/>
      <c r="AF106" s="104">
        <f>'E&amp;P - FAS69'!AF68</f>
        <v>8.8143308046479181</v>
      </c>
      <c r="AG106" s="156"/>
      <c r="AH106" s="156"/>
      <c r="AI106" s="156"/>
      <c r="AJ106" s="156"/>
      <c r="AK106" s="104">
        <f>-1000*('E&amp;P - FAS69'!AK44+'E&amp;P - FAS69'!AK528)/(365*('E&amp;P - FAS69'!AK545+'E&amp;P - FAS69'!AK54))</f>
        <v>7.8243727907448504</v>
      </c>
      <c r="AL106" s="156"/>
      <c r="AM106" s="156"/>
      <c r="AN106" s="156"/>
      <c r="AO106" s="156"/>
      <c r="AP106" s="104">
        <f>'E&amp;P - FAS69'!AP68</f>
        <v>13.47430060590141</v>
      </c>
      <c r="AQ106" s="156"/>
      <c r="AR106" s="156"/>
      <c r="AS106" s="156"/>
      <c r="AT106" s="156"/>
      <c r="AU106" s="104">
        <f>'E&amp;P - FAS69'!AU68</f>
        <v>14.999224228106966</v>
      </c>
      <c r="AV106" s="156"/>
      <c r="AW106" s="156"/>
      <c r="AX106" s="156"/>
      <c r="AY106" s="156"/>
      <c r="AZ106" s="104">
        <f>'E&amp;P - FAS69'!AZ68</f>
        <v>17.020982713126987</v>
      </c>
      <c r="BA106" s="156"/>
      <c r="BB106" s="156"/>
      <c r="BC106" s="156"/>
      <c r="BD106" s="156"/>
      <c r="BE106" s="104">
        <f>'E&amp;P - FAS69'!BE68</f>
        <v>16.680818276084803</v>
      </c>
      <c r="BF106" s="156"/>
      <c r="BG106" s="156"/>
      <c r="BH106" s="156"/>
      <c r="BI106" s="156"/>
      <c r="BJ106" s="104">
        <f>'E&amp;P - FAS69'!BJ68</f>
        <v>15.849137898471097</v>
      </c>
      <c r="BK106" s="156"/>
      <c r="BL106" s="156"/>
      <c r="BM106" s="156"/>
      <c r="BN106" s="156"/>
      <c r="BO106" s="104">
        <f>'E&amp;P - FAS69'!BO68</f>
        <v>15.677495756144046</v>
      </c>
      <c r="BP106" s="156"/>
      <c r="BQ106" s="156"/>
      <c r="BR106" s="156"/>
      <c r="BS106" s="156"/>
      <c r="BT106" s="104">
        <f>'E&amp;P - FAS69'!BT68</f>
        <v>15.686769025125512</v>
      </c>
      <c r="BU106" s="156"/>
      <c r="BV106" s="156"/>
      <c r="BW106" s="156"/>
      <c r="BX106" s="156"/>
      <c r="BY106" s="104">
        <f>'E&amp;P - FAS69'!BY68</f>
        <v>15.965247831918957</v>
      </c>
      <c r="BZ106" s="156"/>
      <c r="CA106" s="156"/>
      <c r="CB106" s="156"/>
      <c r="CC106" s="156"/>
      <c r="CD106" s="104">
        <f>'E&amp;P - FAS69'!CD68</f>
        <v>16.413604287668853</v>
      </c>
    </row>
    <row r="107" spans="1:107" s="5" customFormat="1">
      <c r="A107" s="4"/>
      <c r="B107" s="4" t="s">
        <v>2630</v>
      </c>
      <c r="C107" s="93"/>
      <c r="D107" s="93"/>
      <c r="E107" s="104">
        <f>Reserves!E180</f>
        <v>4.1979186046511634</v>
      </c>
      <c r="F107" s="104">
        <f>Reserves!F180</f>
        <v>5.1481630691375821</v>
      </c>
      <c r="G107" s="104">
        <f>Reserves!G180</f>
        <v>6.208397060779359</v>
      </c>
      <c r="H107" s="156"/>
      <c r="I107" s="156"/>
      <c r="J107" s="156"/>
      <c r="K107" s="156"/>
      <c r="L107" s="104">
        <f>Reserves!L180</f>
        <v>6.5497326033231893</v>
      </c>
      <c r="M107" s="156"/>
      <c r="N107" s="156"/>
      <c r="O107" s="156"/>
      <c r="P107" s="156"/>
      <c r="Q107" s="104">
        <f>Reserves!Q180</f>
        <v>7.057313285752679</v>
      </c>
      <c r="R107" s="156"/>
      <c r="S107" s="156"/>
      <c r="T107" s="156"/>
      <c r="U107" s="156"/>
      <c r="V107" s="104">
        <f>Reserves!V180</f>
        <v>8.2134089816060385</v>
      </c>
      <c r="W107" s="156"/>
      <c r="X107" s="156"/>
      <c r="Y107" s="156"/>
      <c r="Z107" s="156"/>
      <c r="AA107" s="104">
        <f>Reserves!AA180</f>
        <v>8.6884072813769855</v>
      </c>
      <c r="AB107" s="156"/>
      <c r="AC107" s="156"/>
      <c r="AD107" s="156"/>
      <c r="AE107" s="156"/>
      <c r="AF107" s="104">
        <f>Reserves!AF180</f>
        <v>9.9551803252294313</v>
      </c>
      <c r="AG107" s="156"/>
      <c r="AH107" s="156"/>
      <c r="AI107" s="156"/>
      <c r="AJ107" s="156"/>
      <c r="AK107" s="104">
        <f>Reserves!AK180</f>
        <v>12.003484879414422</v>
      </c>
      <c r="AL107" s="156"/>
      <c r="AM107" s="156"/>
      <c r="AN107" s="156"/>
      <c r="AO107" s="156"/>
      <c r="AP107" s="104">
        <v>18</v>
      </c>
      <c r="AQ107" s="156"/>
      <c r="AR107" s="156"/>
      <c r="AS107" s="156"/>
      <c r="AT107" s="156"/>
      <c r="AU107" s="104">
        <f>Reserves!AU180</f>
        <v>17.45768681323618</v>
      </c>
      <c r="AV107" s="156"/>
      <c r="AW107" s="156"/>
      <c r="AX107" s="156"/>
      <c r="AY107" s="156"/>
      <c r="AZ107" s="104">
        <f>Reserves!AZ180</f>
        <v>20.436618080732277</v>
      </c>
      <c r="BA107" s="156"/>
      <c r="BB107" s="156"/>
      <c r="BC107" s="156"/>
      <c r="BD107" s="156"/>
      <c r="BE107" s="104">
        <f>Reserves!BE180</f>
        <v>20.823077269858441</v>
      </c>
      <c r="BF107" s="156"/>
      <c r="BG107" s="156"/>
      <c r="BH107" s="156"/>
      <c r="BI107" s="156"/>
      <c r="BJ107" s="104">
        <f>Reserves!BJ180</f>
        <v>20.722511877207943</v>
      </c>
      <c r="BK107" s="156"/>
      <c r="BL107" s="156"/>
      <c r="BM107" s="156"/>
      <c r="BN107" s="156"/>
      <c r="BO107" s="104">
        <f>Reserves!BO180</f>
        <v>13.7355302288003</v>
      </c>
      <c r="BP107" s="156"/>
      <c r="BQ107" s="156"/>
      <c r="BR107" s="156"/>
      <c r="BS107" s="156"/>
      <c r="BT107" s="104">
        <f>Reserves!BT180</f>
        <v>14.425246127083009</v>
      </c>
      <c r="BU107" s="156"/>
      <c r="BV107" s="156"/>
      <c r="BW107" s="156"/>
      <c r="BX107" s="156"/>
      <c r="BY107" s="104">
        <f>Reserves!BY180</f>
        <v>19.114488436144779</v>
      </c>
      <c r="BZ107" s="156"/>
      <c r="CA107" s="156"/>
      <c r="CB107" s="156"/>
      <c r="CC107" s="156"/>
      <c r="CD107" s="104">
        <f>Reserves!CD180</f>
        <v>43.954545454545453</v>
      </c>
    </row>
    <row r="108" spans="1:107" s="5" customFormat="1">
      <c r="A108" s="4"/>
      <c r="B108" s="4" t="s">
        <v>2626</v>
      </c>
      <c r="C108" s="93"/>
      <c r="D108" s="93"/>
      <c r="E108" s="5">
        <f>-E104*E107/E106</f>
        <v>-4612.3074543604653</v>
      </c>
      <c r="F108" s="5">
        <f>-F104*F107/F106</f>
        <v>-5251.0553213745525</v>
      </c>
      <c r="G108" s="5">
        <f>-G104*G107/G106</f>
        <v>-6159.5551729368926</v>
      </c>
      <c r="H108" s="156"/>
      <c r="I108" s="156"/>
      <c r="J108" s="156"/>
      <c r="K108" s="156"/>
      <c r="L108" s="5">
        <f>-L104*L107/L106</f>
        <v>-6284.8602875805573</v>
      </c>
      <c r="M108" s="156"/>
      <c r="N108" s="156"/>
      <c r="O108" s="156"/>
      <c r="P108" s="156"/>
      <c r="Q108" s="5">
        <f>-Q104*Q107/Q106</f>
        <v>-6566.4625453907493</v>
      </c>
      <c r="R108" s="156"/>
      <c r="S108" s="156"/>
      <c r="T108" s="156"/>
      <c r="U108" s="156"/>
      <c r="V108" s="5">
        <f>-V104*V107/V106</f>
        <v>-7547.664036076977</v>
      </c>
      <c r="W108" s="156"/>
      <c r="X108" s="156"/>
      <c r="Y108" s="156"/>
      <c r="Z108" s="156"/>
      <c r="AA108" s="5">
        <f>-AA104*AA107/AA106</f>
        <v>-10061.592272324484</v>
      </c>
      <c r="AB108" s="156"/>
      <c r="AC108" s="156"/>
      <c r="AD108" s="156"/>
      <c r="AE108" s="156"/>
      <c r="AF108" s="5">
        <f>-AF104*AF107/AF106</f>
        <v>-10850.445655391917</v>
      </c>
      <c r="AG108" s="156"/>
      <c r="AH108" s="156"/>
      <c r="AI108" s="156"/>
      <c r="AJ108" s="156"/>
      <c r="AK108" s="5">
        <f>-AK104*AK107/AK106</f>
        <v>-15129.438620410605</v>
      </c>
      <c r="AL108" s="156"/>
      <c r="AM108" s="156"/>
      <c r="AN108" s="156"/>
      <c r="AO108" s="156"/>
      <c r="AP108" s="5">
        <f>-AP104*AP107/AP106</f>
        <v>-15108.761927935391</v>
      </c>
      <c r="AQ108" s="156"/>
      <c r="AR108" s="156"/>
      <c r="AS108" s="156"/>
      <c r="AT108" s="156"/>
      <c r="AU108" s="5">
        <f>-AU104*AU107/AU106</f>
        <v>-14463.859645590923</v>
      </c>
      <c r="AV108" s="156"/>
      <c r="AW108" s="156"/>
      <c r="AX108" s="156"/>
      <c r="AY108" s="156"/>
      <c r="AZ108" s="5">
        <f>-AZ104*AZ107/AZ106</f>
        <v>-16782.993811054497</v>
      </c>
      <c r="BA108" s="156"/>
      <c r="BB108" s="156"/>
      <c r="BC108" s="156"/>
      <c r="BD108" s="156"/>
      <c r="BE108" s="5">
        <f>-BE104*BE107/BE106</f>
        <v>-17407.887773976232</v>
      </c>
      <c r="BF108" s="156"/>
      <c r="BG108" s="156"/>
      <c r="BH108" s="156"/>
      <c r="BI108" s="156"/>
      <c r="BJ108" s="5">
        <f>-BJ104*BJ107/BJ106</f>
        <v>-17282.338241208541</v>
      </c>
      <c r="BK108" s="156"/>
      <c r="BL108" s="156"/>
      <c r="BM108" s="156"/>
      <c r="BN108" s="156"/>
      <c r="BO108" s="5">
        <f>-BO104*BO107/BO106</f>
        <v>-13278.631956644786</v>
      </c>
      <c r="BP108" s="156"/>
      <c r="BQ108" s="156"/>
      <c r="BR108" s="156"/>
      <c r="BS108" s="156"/>
      <c r="BT108" s="5">
        <f>-BT104*BT107/BT106</f>
        <v>-14326.721086664011</v>
      </c>
      <c r="BU108" s="156"/>
      <c r="BV108" s="156"/>
      <c r="BW108" s="156"/>
      <c r="BX108" s="156"/>
      <c r="BY108" s="5">
        <f>-BY104*BY107/BY106</f>
        <v>-19811.078197984101</v>
      </c>
      <c r="BZ108" s="156"/>
      <c r="CA108" s="156"/>
      <c r="CB108" s="156"/>
      <c r="CC108" s="156"/>
      <c r="CD108" s="5">
        <f>-CD104*CD107/CD106</f>
        <v>-47078.421344593924</v>
      </c>
    </row>
    <row r="109" spans="1:107" s="5" customFormat="1">
      <c r="A109" s="4"/>
      <c r="B109" s="4"/>
      <c r="C109" s="93"/>
      <c r="D109" s="93"/>
    </row>
    <row r="110" spans="1:107" s="5" customFormat="1">
      <c r="A110" s="4"/>
      <c r="B110" s="4" t="s">
        <v>2628</v>
      </c>
      <c r="C110" s="93"/>
      <c r="D110" s="93"/>
      <c r="E110" s="5">
        <f>-SUM(E108,E104)*'E&amp;P - FAS69'!E84</f>
        <v>-217.30819256276669</v>
      </c>
      <c r="F110" s="5">
        <f>-SUM(F108,F104)*'E&amp;P - FAS69'!F84</f>
        <v>31.226718414599006</v>
      </c>
      <c r="G110" s="5">
        <f>-SUM(G108,G104)*'E&amp;P - FAS69'!G84</f>
        <v>190.81857495301665</v>
      </c>
      <c r="H110" s="156"/>
      <c r="I110" s="156"/>
      <c r="J110" s="156"/>
      <c r="K110" s="156"/>
      <c r="L110" s="5">
        <f>-SUM(L108,L104)*'E&amp;P - FAS69'!L84</f>
        <v>56.988842382850663</v>
      </c>
      <c r="M110" s="156"/>
      <c r="N110" s="156"/>
      <c r="O110" s="156"/>
      <c r="P110" s="156"/>
      <c r="Q110" s="5">
        <f>-SUM(Q108,Q104)*'E&amp;P - FAS69'!Q84</f>
        <v>-272.12025169172813</v>
      </c>
      <c r="R110" s="156"/>
      <c r="S110" s="156"/>
      <c r="T110" s="156"/>
      <c r="U110" s="156"/>
      <c r="V110" s="5">
        <f>-SUM(V108,V104)*'E&amp;P - FAS69'!V84</f>
        <v>-135.45944555519401</v>
      </c>
      <c r="W110" s="156"/>
      <c r="X110" s="156"/>
      <c r="Y110" s="156"/>
      <c r="Z110" s="156"/>
      <c r="AA110" s="5">
        <f>-SUM(AA108,AA104)*'E&amp;P - FAS69'!AA84</f>
        <v>-180.69862789156073</v>
      </c>
      <c r="AB110" s="156"/>
      <c r="AC110" s="156"/>
      <c r="AD110" s="156"/>
      <c r="AE110" s="156"/>
      <c r="AF110" s="5">
        <f>-SUM(AF108,AF104)*'E&amp;P - FAS69'!AF84</f>
        <v>458.69633443249546</v>
      </c>
      <c r="AG110" s="156"/>
      <c r="AH110" s="156"/>
      <c r="AI110" s="156"/>
      <c r="AJ110" s="156"/>
      <c r="AK110" s="5">
        <f>-SUM(AK108,AK104)*'E&amp;P - FAS69'!AK84</f>
        <v>2106.6351880894445</v>
      </c>
      <c r="AL110" s="156"/>
      <c r="AM110" s="156"/>
      <c r="AN110" s="156"/>
      <c r="AO110" s="156"/>
      <c r="AP110" s="5">
        <f>-SUM(AP108,AP104)*'E&amp;P - FAS69'!AP84</f>
        <v>1448.6409069400722</v>
      </c>
      <c r="AQ110" s="156"/>
      <c r="AR110" s="156"/>
      <c r="AS110" s="156"/>
      <c r="AT110" s="156"/>
      <c r="AU110" s="5">
        <f>-SUM(AU108,AU104)*'E&amp;P - FAS69'!AU84</f>
        <v>835.84608685924559</v>
      </c>
      <c r="AV110" s="156"/>
      <c r="AW110" s="156"/>
      <c r="AX110" s="156"/>
      <c r="AY110" s="156"/>
      <c r="AZ110" s="5">
        <f>-SUM(AZ108,AZ104)*'E&amp;P - FAS69'!AZ84</f>
        <v>703.07106082798714</v>
      </c>
      <c r="BA110" s="156"/>
      <c r="BB110" s="156"/>
      <c r="BC110" s="156"/>
      <c r="BD110" s="156"/>
      <c r="BE110" s="5">
        <f>-SUM(BE108,BE104)*'E&amp;P - FAS69'!BE84</f>
        <v>1006.6741037855918</v>
      </c>
      <c r="BF110" s="156"/>
      <c r="BG110" s="156"/>
      <c r="BH110" s="156"/>
      <c r="BI110" s="156"/>
      <c r="BJ110" s="5">
        <f>-SUM(BJ108,BJ104)*'E&amp;P - FAS69'!BJ84</f>
        <v>-3527.3401834322831</v>
      </c>
      <c r="BK110" s="156"/>
      <c r="BL110" s="156"/>
      <c r="BM110" s="156"/>
      <c r="BN110" s="156"/>
      <c r="BO110" s="5">
        <f>-SUM(BO108,BO104)*'E&amp;P - FAS69'!BO84</f>
        <v>-277.2836184623734</v>
      </c>
      <c r="BP110" s="156"/>
      <c r="BQ110" s="156"/>
      <c r="BR110" s="156"/>
      <c r="BS110" s="156"/>
      <c r="BT110" s="5">
        <f>-SUM(BT108,BT104)*'E&amp;P - FAS69'!BT84</f>
        <v>-482.72436962477019</v>
      </c>
      <c r="BU110" s="156"/>
      <c r="BV110" s="156"/>
      <c r="BW110" s="156"/>
      <c r="BX110" s="156"/>
      <c r="BY110" s="5">
        <f>-SUM(BY108,BY104)*'E&amp;P - FAS69'!BY84</f>
        <v>1281.2862073659348</v>
      </c>
      <c r="BZ110" s="156"/>
      <c r="CA110" s="156"/>
      <c r="CB110" s="156"/>
      <c r="CC110" s="156"/>
      <c r="CD110" s="5">
        <f>-SUM(CD108,CD104)*'E&amp;P - FAS69'!CD84</f>
        <v>11526.353159157383</v>
      </c>
    </row>
    <row r="111" spans="1:107" s="5" customFormat="1">
      <c r="A111" s="4"/>
      <c r="B111" s="4"/>
      <c r="C111" s="93"/>
      <c r="D111" s="93"/>
    </row>
    <row r="112" spans="1:107" s="5" customFormat="1">
      <c r="A112" s="14" t="s">
        <v>2627</v>
      </c>
      <c r="B112" s="269"/>
      <c r="C112" s="93"/>
      <c r="D112" s="93"/>
      <c r="E112" s="15">
        <f>SUM(E101,E104,E108,E110)</f>
        <v>13133.384353076768</v>
      </c>
      <c r="F112" s="15">
        <f>SUM(F101,F104,F108,F110)</f>
        <v>17334.171397040049</v>
      </c>
      <c r="G112" s="15">
        <f>SUM(G101,G104,G108,G110)</f>
        <v>20899.263402016124</v>
      </c>
      <c r="H112" s="285"/>
      <c r="I112" s="285"/>
      <c r="J112" s="285"/>
      <c r="K112" s="285"/>
      <c r="L112" s="15">
        <f>SUM(L101,L104,L108,L110)</f>
        <v>20915.128554802293</v>
      </c>
      <c r="M112" s="285"/>
      <c r="N112" s="285"/>
      <c r="O112" s="285"/>
      <c r="P112" s="285"/>
      <c r="Q112" s="15">
        <f>SUM(Q101,Q104,Q108,Q110)</f>
        <v>19390.417202917521</v>
      </c>
      <c r="R112" s="285"/>
      <c r="S112" s="285"/>
      <c r="T112" s="285"/>
      <c r="U112" s="285"/>
      <c r="V112" s="15">
        <f>SUM(V101,V104,V108,V110)</f>
        <v>26442.87651836783</v>
      </c>
      <c r="W112" s="285"/>
      <c r="X112" s="285"/>
      <c r="Y112" s="285"/>
      <c r="Z112" s="285"/>
      <c r="AA112" s="15">
        <f>SUM(AA101,AA104,AA108,AA110)</f>
        <v>14913.709099783955</v>
      </c>
      <c r="AB112" s="285"/>
      <c r="AC112" s="285"/>
      <c r="AD112" s="285"/>
      <c r="AE112" s="285"/>
      <c r="AF112" s="15">
        <f>SUM(AF101,AF104,AF108,AF110)</f>
        <v>19737.250679040579</v>
      </c>
      <c r="AG112" s="285"/>
      <c r="AH112" s="285"/>
      <c r="AI112" s="285"/>
      <c r="AJ112" s="285"/>
      <c r="AK112" s="15">
        <f>SUM(AK101,AK104,AK108,AK110)</f>
        <v>18497.196567678839</v>
      </c>
      <c r="AL112" s="285"/>
      <c r="AM112" s="285"/>
      <c r="AN112" s="285"/>
      <c r="AO112" s="285"/>
      <c r="AP112" s="15">
        <f>SUM(AP101,AP104,AP108,AP110)</f>
        <v>15287.878979004681</v>
      </c>
      <c r="AQ112" s="285"/>
      <c r="AR112" s="285"/>
      <c r="AS112" s="285"/>
      <c r="AT112" s="285"/>
      <c r="AU112" s="15">
        <f>SUM(AU101,AU104,AU108,AU110)</f>
        <v>12226.986441268324</v>
      </c>
      <c r="AV112" s="285"/>
      <c r="AW112" s="285"/>
      <c r="AX112" s="285"/>
      <c r="AY112" s="285"/>
      <c r="AZ112" s="15">
        <f>SUM(AZ101,AZ104,AZ108,AZ110)</f>
        <v>10034.077249773491</v>
      </c>
      <c r="BA112" s="285"/>
      <c r="BB112" s="285"/>
      <c r="BC112" s="285"/>
      <c r="BD112" s="285"/>
      <c r="BE112" s="15">
        <f>SUM(BE101,BE104,BE108,BE110)</f>
        <v>2542.6163298093616</v>
      </c>
      <c r="BF112" s="285"/>
      <c r="BG112" s="285"/>
      <c r="BH112" s="285"/>
      <c r="BI112" s="285"/>
      <c r="BJ112" s="15">
        <f ca="1">SUM(BJ101,BJ104,BJ108,BJ110)</f>
        <v>-5006.6784246408242</v>
      </c>
      <c r="BK112" s="285"/>
      <c r="BL112" s="285"/>
      <c r="BM112" s="285"/>
      <c r="BN112" s="285"/>
      <c r="BO112" s="15">
        <f ca="1">SUM(BO101,BO104,BO108,BO110)</f>
        <v>7766.0844248928406</v>
      </c>
      <c r="BP112" s="285"/>
      <c r="BQ112" s="285"/>
      <c r="BR112" s="285"/>
      <c r="BS112" s="285"/>
      <c r="BT112" s="15">
        <f ca="1">SUM(BT101,BT104,BT108,BT110)</f>
        <v>11900.849474933089</v>
      </c>
      <c r="BU112" s="285"/>
      <c r="BV112" s="285"/>
      <c r="BW112" s="285"/>
      <c r="BX112" s="285"/>
      <c r="BY112" s="15">
        <f ca="1">SUM(BY101,BY104,BY108,BY110)</f>
        <v>9208.0189782845009</v>
      </c>
      <c r="BZ112" s="285"/>
      <c r="CA112" s="285"/>
      <c r="CB112" s="285"/>
      <c r="CC112" s="285"/>
      <c r="CD112" s="15">
        <f ca="1">SUM(CD101,CD104,CD108,CD110)</f>
        <v>-4949.5198571902019</v>
      </c>
    </row>
    <row r="113" spans="1:83">
      <c r="A113" s="5"/>
      <c r="B113" s="4"/>
    </row>
    <row r="115" spans="1:83">
      <c r="A115" s="289" t="s">
        <v>2706</v>
      </c>
    </row>
    <row r="116" spans="1:83">
      <c r="A116" s="289"/>
      <c r="B116" t="s">
        <v>2707</v>
      </c>
      <c r="C116" s="93"/>
      <c r="D116" s="93"/>
      <c r="E116" s="348">
        <f>+'Balance sheet'!E11</f>
        <v>88607</v>
      </c>
      <c r="F116" s="348">
        <f>+'Balance sheet'!F11</f>
        <v>93092</v>
      </c>
      <c r="G116" s="348">
        <f>+'Balance sheet'!G11</f>
        <v>85947</v>
      </c>
      <c r="H116" s="156"/>
      <c r="I116" s="156"/>
      <c r="J116" s="156"/>
      <c r="K116" s="156"/>
      <c r="L116" s="348">
        <f>+'Balance sheet'!L11</f>
        <v>90999</v>
      </c>
      <c r="M116" s="156"/>
      <c r="N116" s="156"/>
      <c r="O116" s="156"/>
      <c r="P116" s="156"/>
      <c r="Q116" s="348">
        <f>+'Balance sheet'!Q11</f>
        <v>97989</v>
      </c>
      <c r="R116" s="156"/>
      <c r="S116" s="156"/>
      <c r="T116" s="156"/>
      <c r="U116" s="156"/>
      <c r="V116" s="348">
        <f>+'Balance sheet'!V11</f>
        <v>103200</v>
      </c>
      <c r="W116" s="156"/>
      <c r="X116" s="156"/>
      <c r="Y116" s="156"/>
      <c r="Z116" s="156"/>
      <c r="AA116" s="348">
        <f>+'Balance sheet'!AA11</f>
        <v>108275</v>
      </c>
      <c r="AB116" s="156"/>
      <c r="AC116" s="156"/>
      <c r="AD116" s="156"/>
      <c r="AE116" s="156"/>
      <c r="AF116" s="348">
        <f>+'Balance sheet'!AF11</f>
        <v>110163</v>
      </c>
      <c r="AG116" s="156"/>
      <c r="AH116" s="156"/>
      <c r="AI116" s="156"/>
      <c r="AJ116" s="156"/>
      <c r="AK116" s="348">
        <f>+'Balance sheet'!AK11</f>
        <v>119214</v>
      </c>
      <c r="AL116" s="156"/>
      <c r="AM116" s="156"/>
      <c r="AN116" s="156"/>
      <c r="AO116" s="156"/>
      <c r="AP116" s="348">
        <f>+'Balance sheet'!AP11</f>
        <v>120448</v>
      </c>
      <c r="AQ116" s="156"/>
      <c r="AR116" s="156"/>
      <c r="AS116" s="156"/>
      <c r="AT116" s="156"/>
      <c r="AU116" s="348">
        <f>+'Balance sheet'!AU11</f>
        <v>133690</v>
      </c>
      <c r="AV116" s="156"/>
      <c r="AW116" s="156"/>
      <c r="AX116" s="156"/>
      <c r="AY116" s="156"/>
      <c r="AZ116" s="348">
        <f>+'Balance sheet'!AZ11</f>
        <v>130692</v>
      </c>
      <c r="BA116" s="156"/>
      <c r="BB116" s="156"/>
      <c r="BC116" s="156"/>
      <c r="BD116" s="156"/>
      <c r="BE116" s="348">
        <f>+'Balance sheet'!BE11</f>
        <v>129758</v>
      </c>
      <c r="BF116" s="156"/>
      <c r="BG116" s="156"/>
      <c r="BH116" s="156"/>
      <c r="BI116" s="156"/>
      <c r="BJ116" s="348">
        <f>+'Balance sheet'!BJ11</f>
        <v>129757</v>
      </c>
      <c r="BK116" s="156"/>
      <c r="BL116" s="156"/>
      <c r="BM116" s="156"/>
      <c r="BN116" s="156"/>
      <c r="BO116" s="348">
        <f>+'Balance sheet'!BO11</f>
        <v>129471</v>
      </c>
      <c r="BP116" s="156"/>
      <c r="BQ116" s="156"/>
      <c r="BR116" s="156"/>
      <c r="BS116" s="156"/>
      <c r="BT116" s="348">
        <f>+'Balance sheet'!BT11</f>
        <v>126405.66881143249</v>
      </c>
      <c r="BU116" s="156"/>
      <c r="BV116" s="156"/>
      <c r="BW116" s="156"/>
      <c r="BX116" s="156"/>
      <c r="BY116" s="348">
        <f>+'Balance sheet'!BY11</f>
        <v>121384.53922280672</v>
      </c>
      <c r="CD116" s="348">
        <f>+'Balance sheet'!CD11</f>
        <v>115733.23010828282</v>
      </c>
    </row>
    <row r="117" spans="1:83">
      <c r="B117" t="s">
        <v>2710</v>
      </c>
      <c r="C117" s="93"/>
      <c r="D117" s="93"/>
      <c r="E117">
        <v>52608</v>
      </c>
      <c r="F117">
        <v>56583</v>
      </c>
      <c r="G117">
        <v>59724</v>
      </c>
      <c r="H117" s="156"/>
      <c r="I117" s="156"/>
      <c r="J117" s="156"/>
      <c r="K117" s="156"/>
      <c r="L117" s="348">
        <v>66625</v>
      </c>
      <c r="M117" s="156"/>
      <c r="N117" s="156"/>
      <c r="O117" s="156"/>
      <c r="P117" s="156"/>
      <c r="Q117" s="348">
        <v>70829</v>
      </c>
      <c r="R117" s="156"/>
      <c r="S117" s="156"/>
      <c r="T117" s="156"/>
      <c r="U117" s="156"/>
      <c r="V117" s="348">
        <v>75808</v>
      </c>
      <c r="W117" s="156"/>
      <c r="X117" s="156"/>
      <c r="Y117" s="156"/>
      <c r="Z117" s="156"/>
      <c r="AA117" s="348">
        <v>78944</v>
      </c>
      <c r="AB117" s="156"/>
      <c r="AC117" s="156"/>
      <c r="AD117" s="156"/>
      <c r="AE117" s="156"/>
      <c r="AF117" s="348">
        <v>79772</v>
      </c>
      <c r="AG117" s="156"/>
      <c r="AH117" s="156"/>
      <c r="AI117" s="156"/>
      <c r="AJ117" s="156"/>
      <c r="AK117" s="379">
        <f>+AF117/AF116*AK116</f>
        <v>86326.073255085648</v>
      </c>
      <c r="AL117" s="156"/>
      <c r="AM117" s="156"/>
      <c r="AN117" s="156"/>
      <c r="AO117" s="156"/>
      <c r="AP117" s="348">
        <f>+AK117/AK116*AP116</f>
        <v>87219.64594283016</v>
      </c>
      <c r="AQ117" s="156"/>
      <c r="AR117" s="156"/>
      <c r="AS117" s="156"/>
      <c r="AT117" s="156"/>
      <c r="AU117" s="348">
        <f>+AP117/AP116*AU116</f>
        <v>96808.535352159961</v>
      </c>
      <c r="AV117" s="156"/>
      <c r="AW117" s="156"/>
      <c r="AX117" s="156"/>
      <c r="AY117" s="156"/>
      <c r="AZ117" s="348">
        <f>+AU117/AU116*AZ116</f>
        <v>94637.602679665564</v>
      </c>
      <c r="BA117" s="156"/>
      <c r="BB117" s="156"/>
      <c r="BC117" s="156"/>
      <c r="BD117" s="156"/>
      <c r="BE117" s="348">
        <f>+AZ117/AZ116*BE116</f>
        <v>93961.268084565585</v>
      </c>
      <c r="BF117" s="156"/>
      <c r="BG117" s="156"/>
      <c r="BH117" s="156"/>
      <c r="BI117" s="156"/>
      <c r="BJ117" s="348">
        <f>+BE117/BE116*BJ116</f>
        <v>93960.543957590096</v>
      </c>
      <c r="BK117" s="156"/>
      <c r="BL117" s="156"/>
      <c r="BM117" s="156"/>
      <c r="BN117" s="156"/>
      <c r="BO117" s="348">
        <f>+BJ117/BJ116*BO116</f>
        <v>93753.443642602302</v>
      </c>
      <c r="BP117" s="156"/>
      <c r="BQ117" s="156"/>
      <c r="BR117" s="156"/>
      <c r="BS117" s="156"/>
      <c r="BT117" s="348">
        <f>+BO117/BO116*BT116</f>
        <v>91533.754640174928</v>
      </c>
      <c r="BU117" s="156"/>
      <c r="BV117" s="156"/>
      <c r="BW117" s="156"/>
      <c r="BX117" s="156"/>
      <c r="BY117" s="348">
        <f>+BT117/BT116*BY116</f>
        <v>87897.819257661249</v>
      </c>
      <c r="BZ117" s="156"/>
      <c r="CA117" s="156"/>
      <c r="CB117" s="156"/>
      <c r="CC117" s="156"/>
      <c r="CD117" s="348">
        <f>+BY117/BY116*CD116</f>
        <v>83805.553881048399</v>
      </c>
      <c r="CE117" s="349"/>
    </row>
    <row r="118" spans="1:83">
      <c r="B118" t="s">
        <v>2709</v>
      </c>
      <c r="C118" s="93"/>
      <c r="D118" s="93"/>
      <c r="E118" s="348">
        <f>E117*(E107/E106)</f>
        <v>46042.556083300828</v>
      </c>
      <c r="F118" s="348">
        <f>F117*(F107/F106)</f>
        <v>57614.982208519737</v>
      </c>
      <c r="G118" s="348">
        <f>G117*(G107/G106)</f>
        <v>65364.831760569119</v>
      </c>
      <c r="H118" s="156"/>
      <c r="I118" s="156"/>
      <c r="J118" s="156"/>
      <c r="K118" s="156"/>
      <c r="L118" s="348">
        <f>L117*(L107/L106)</f>
        <v>68163.571001148404</v>
      </c>
      <c r="M118" s="156"/>
      <c r="N118" s="156"/>
      <c r="O118" s="156"/>
      <c r="P118" s="156"/>
      <c r="Q118" s="348">
        <f>Q117*(Q107/Q106)</f>
        <v>63816.681617382179</v>
      </c>
      <c r="R118" s="156"/>
      <c r="S118" s="156"/>
      <c r="T118" s="156"/>
      <c r="U118" s="156"/>
      <c r="V118" s="348">
        <f>V117*(V107/V106)</f>
        <v>72583.193612447474</v>
      </c>
      <c r="W118" s="156"/>
      <c r="X118" s="156"/>
      <c r="Y118" s="156"/>
      <c r="Z118" s="156"/>
      <c r="AA118" s="348">
        <f>AA117*(AA107/AA106)</f>
        <v>75082.932256960397</v>
      </c>
      <c r="AB118" s="156"/>
      <c r="AC118" s="156"/>
      <c r="AD118" s="156"/>
      <c r="AE118" s="156"/>
      <c r="AF118" s="348">
        <f>AF117*(AF107/AF106)</f>
        <v>90096.986657845744</v>
      </c>
      <c r="AG118" s="156"/>
      <c r="AH118" s="156"/>
      <c r="AI118" s="156"/>
      <c r="AJ118" s="156"/>
      <c r="AK118" s="348">
        <f>AK117*(AK107/AK106)</f>
        <v>132434.09315087079</v>
      </c>
      <c r="AL118" s="156"/>
      <c r="AM118" s="156"/>
      <c r="AN118" s="156"/>
      <c r="AO118" s="156"/>
      <c r="AP118" s="348">
        <f>AP117*(AP107/AP106)</f>
        <v>116514.66542785471</v>
      </c>
      <c r="AQ118" s="156"/>
      <c r="AR118" s="156"/>
      <c r="AS118" s="156"/>
      <c r="AT118" s="156"/>
      <c r="AU118" s="348">
        <f>AU117*(AU107/AU106)</f>
        <v>112676.03346172597</v>
      </c>
      <c r="AV118" s="156"/>
      <c r="AW118" s="156"/>
      <c r="AX118" s="156"/>
      <c r="AY118" s="156"/>
      <c r="AZ118" s="348">
        <f>AZ117*(AZ107/AZ106)</f>
        <v>113628.72371339687</v>
      </c>
      <c r="BA118" s="156"/>
      <c r="BB118" s="156"/>
      <c r="BC118" s="156"/>
      <c r="BD118" s="156"/>
      <c r="BE118" s="348">
        <f>BE117*(BE107/BE106)</f>
        <v>117294.17066451146</v>
      </c>
      <c r="BF118" s="156"/>
      <c r="BG118" s="156"/>
      <c r="BH118" s="156"/>
      <c r="BI118" s="156"/>
      <c r="BJ118" s="348">
        <f>BJ117*(BJ107/BJ106)</f>
        <v>122852.01255886028</v>
      </c>
      <c r="BK118" s="156"/>
      <c r="BL118" s="156"/>
      <c r="BM118" s="156"/>
      <c r="BN118" s="156"/>
      <c r="BO118" s="348">
        <f>BO117*(BO107/BO106)</f>
        <v>82140.239693728887</v>
      </c>
      <c r="BP118" s="156"/>
      <c r="BQ118" s="156"/>
      <c r="BR118" s="156"/>
      <c r="BS118" s="156"/>
      <c r="BT118" s="348">
        <f>BT117*(BT107/BT106)</f>
        <v>84172.651328369073</v>
      </c>
      <c r="BU118" s="156"/>
      <c r="BV118" s="156"/>
      <c r="BW118" s="156"/>
      <c r="BX118" s="156"/>
      <c r="BY118" s="348">
        <f>BY117*(BY107/BY106)</f>
        <v>105236.18971976622</v>
      </c>
      <c r="BZ118" s="156"/>
      <c r="CA118" s="156"/>
      <c r="CB118" s="156"/>
      <c r="CC118" s="156"/>
      <c r="CD118" s="348">
        <f>CD117*(CD107/CD106)</f>
        <v>224425.72410346987</v>
      </c>
    </row>
    <row r="119" spans="1:83">
      <c r="AF119" s="350"/>
      <c r="BZ119" s="156"/>
      <c r="CA119" s="156"/>
      <c r="CB119" s="156"/>
      <c r="CC119" s="156"/>
    </row>
    <row r="120" spans="1:83">
      <c r="A120" s="289" t="s">
        <v>1684</v>
      </c>
    </row>
    <row r="121" spans="1:83">
      <c r="B121" t="s">
        <v>2708</v>
      </c>
      <c r="C121" s="93"/>
      <c r="D121" s="93"/>
      <c r="E121" s="348">
        <f>+'Balance sheet'!E65</f>
        <v>70264</v>
      </c>
      <c r="F121" s="348">
        <f>+'Balance sheet'!F65</f>
        <v>78235</v>
      </c>
      <c r="G121" s="348">
        <f>+'Balance sheet'!G65</f>
        <v>80765</v>
      </c>
      <c r="H121" s="156"/>
      <c r="I121" s="156"/>
      <c r="J121" s="156"/>
      <c r="K121" s="156"/>
      <c r="L121" s="348">
        <f>+'Balance sheet'!L65</f>
        <v>85465</v>
      </c>
      <c r="M121" s="156"/>
      <c r="N121" s="156"/>
      <c r="O121" s="156"/>
      <c r="P121" s="156"/>
      <c r="Q121" s="348">
        <f>+'Balance sheet'!Q65</f>
        <v>94652</v>
      </c>
      <c r="R121" s="156"/>
      <c r="S121" s="156"/>
      <c r="T121" s="156"/>
      <c r="U121" s="156"/>
      <c r="V121" s="348">
        <f>+'Balance sheet'!V65</f>
        <v>92109</v>
      </c>
      <c r="W121" s="156"/>
      <c r="X121" s="156"/>
      <c r="Y121" s="156"/>
      <c r="Z121" s="156"/>
      <c r="AA121" s="348">
        <f>+'Balance sheet'!AA65</f>
        <v>102113</v>
      </c>
      <c r="AB121" s="156"/>
      <c r="AC121" s="156"/>
      <c r="AD121" s="156"/>
      <c r="AE121" s="156"/>
      <c r="AF121" s="348">
        <f>+'Balance sheet'!AF65</f>
        <v>95891</v>
      </c>
      <c r="AG121" s="156"/>
      <c r="AH121" s="156"/>
      <c r="AI121" s="156"/>
      <c r="AJ121" s="156"/>
      <c r="AK121" s="348">
        <f>+'Balance sheet'!AK65</f>
        <v>112482</v>
      </c>
      <c r="AL121" s="156"/>
      <c r="AM121" s="156"/>
      <c r="AN121" s="156"/>
      <c r="AO121" s="156"/>
      <c r="AP121" s="348">
        <f>+'Balance sheet'!AP65</f>
        <v>119620</v>
      </c>
      <c r="AQ121" s="156"/>
      <c r="AR121" s="156"/>
      <c r="AS121" s="156"/>
      <c r="AT121" s="156"/>
      <c r="AU121" s="348">
        <f>+'Balance sheet'!AU65</f>
        <v>130407</v>
      </c>
      <c r="AV121" s="156"/>
      <c r="AW121" s="156"/>
      <c r="AX121" s="156"/>
      <c r="AY121" s="156"/>
      <c r="AZ121" s="348">
        <f>+'Balance sheet'!AZ65</f>
        <v>112642</v>
      </c>
      <c r="BA121" s="156"/>
      <c r="BB121" s="156"/>
      <c r="BC121" s="156"/>
      <c r="BD121" s="156"/>
      <c r="BE121" s="348">
        <f>+'Balance sheet'!BE65</f>
        <v>98387</v>
      </c>
      <c r="BF121" s="156"/>
      <c r="BG121" s="156"/>
      <c r="BH121" s="156"/>
      <c r="BI121" s="156"/>
      <c r="BJ121" s="348">
        <f ca="1">+'Balance sheet'!BJ65</f>
        <v>96843</v>
      </c>
      <c r="BK121" s="156"/>
      <c r="BL121" s="156"/>
      <c r="BM121" s="156"/>
      <c r="BN121" s="156"/>
      <c r="BO121" s="348">
        <f>+'Balance sheet'!BO65</f>
        <v>100404</v>
      </c>
      <c r="BP121" s="156"/>
      <c r="BQ121" s="156"/>
      <c r="BR121" s="156"/>
      <c r="BS121" s="156"/>
      <c r="BT121" s="348">
        <f ca="1">+'Balance sheet'!BT65</f>
        <v>103714.63882824135</v>
      </c>
      <c r="BU121" s="156"/>
      <c r="BV121" s="156"/>
      <c r="BW121" s="156"/>
      <c r="BX121" s="156"/>
      <c r="BY121" s="348">
        <f ca="1">+'Balance sheet'!BY65</f>
        <v>107076.11637349779</v>
      </c>
      <c r="CD121" s="348">
        <f ca="1">+'Balance sheet'!CD65</f>
        <v>112257.6651829981</v>
      </c>
    </row>
    <row r="122" spans="1:83">
      <c r="B122" t="s">
        <v>2709</v>
      </c>
      <c r="C122" s="93"/>
      <c r="D122" s="93"/>
      <c r="E122" s="348">
        <f>E121+(E118-E117)</f>
        <v>63698.556083300828</v>
      </c>
      <c r="F122" s="348">
        <f>F121+(F118-F117)</f>
        <v>79266.982208519737</v>
      </c>
      <c r="G122" s="348">
        <f>G121+(G118-G117)</f>
        <v>86405.831760569126</v>
      </c>
      <c r="H122" s="156"/>
      <c r="I122" s="156"/>
      <c r="J122" s="156"/>
      <c r="K122" s="156"/>
      <c r="L122" s="348">
        <f>L121+(L118-L117)</f>
        <v>87003.571001148404</v>
      </c>
      <c r="M122" s="156"/>
      <c r="N122" s="156"/>
      <c r="O122" s="156"/>
      <c r="P122" s="156"/>
      <c r="Q122" s="348">
        <f>Q121+(Q118-Q117)</f>
        <v>87639.681617382186</v>
      </c>
      <c r="R122" s="156"/>
      <c r="S122" s="156"/>
      <c r="T122" s="156"/>
      <c r="U122" s="156"/>
      <c r="V122" s="348">
        <f>V121+(V118-V117)</f>
        <v>88884.193612447474</v>
      </c>
      <c r="W122" s="156"/>
      <c r="X122" s="156"/>
      <c r="Y122" s="156"/>
      <c r="Z122" s="156"/>
      <c r="AA122" s="348">
        <f>AA121+(AA118-AA117)</f>
        <v>98251.932256960397</v>
      </c>
      <c r="AB122" s="156"/>
      <c r="AC122" s="156"/>
      <c r="AD122" s="156"/>
      <c r="AE122" s="156"/>
      <c r="AF122" s="348">
        <f>AF121+(AF118-AF117)</f>
        <v>106215.98665784574</v>
      </c>
      <c r="AG122" s="156"/>
      <c r="AH122" s="156"/>
      <c r="AI122" s="156"/>
      <c r="AJ122" s="156"/>
      <c r="AK122" s="348">
        <f>AK121+(AK118-AK117)</f>
        <v>158590.01989578514</v>
      </c>
      <c r="AL122" s="156"/>
      <c r="AM122" s="156"/>
      <c r="AN122" s="156"/>
      <c r="AO122" s="156"/>
      <c r="AP122" s="348">
        <f>AP121+(AP118-AP117)</f>
        <v>148915.01948502456</v>
      </c>
      <c r="AQ122" s="156"/>
      <c r="AR122" s="156"/>
      <c r="AS122" s="156"/>
      <c r="AT122" s="156"/>
      <c r="AU122" s="348">
        <f>AU121+(AU118-AU117)</f>
        <v>146274.49810956599</v>
      </c>
      <c r="AV122" s="156"/>
      <c r="AW122" s="156"/>
      <c r="AX122" s="156"/>
      <c r="AY122" s="156"/>
      <c r="AZ122" s="348">
        <f>AZ121+(AZ118-AZ117)</f>
        <v>131633.12103373132</v>
      </c>
      <c r="BA122" s="156"/>
      <c r="BB122" s="156"/>
      <c r="BC122" s="156"/>
      <c r="BD122" s="156"/>
      <c r="BE122" s="348">
        <f>BE121+(BE118-BE117)</f>
        <v>121719.90257994588</v>
      </c>
      <c r="BF122" s="156"/>
      <c r="BG122" s="156"/>
      <c r="BH122" s="156"/>
      <c r="BI122" s="156"/>
      <c r="BJ122" s="348">
        <f ca="1">BJ121+(BJ118-BJ117)</f>
        <v>125734.46860127019</v>
      </c>
      <c r="BK122" s="156"/>
      <c r="BL122" s="156"/>
      <c r="BM122" s="156"/>
      <c r="BN122" s="156"/>
      <c r="BO122" s="348">
        <f>BO121+(BO118-BO117)</f>
        <v>88790.796051126585</v>
      </c>
      <c r="BP122" s="156"/>
      <c r="BQ122" s="156"/>
      <c r="BR122" s="156"/>
      <c r="BS122" s="156"/>
      <c r="BT122" s="348">
        <f ca="1">BT121+(BT118-BT117)</f>
        <v>96353.535516435499</v>
      </c>
      <c r="BU122" s="156"/>
      <c r="BV122" s="156"/>
      <c r="BW122" s="156"/>
      <c r="BX122" s="156"/>
      <c r="BY122" s="348">
        <f ca="1">BY121+(BY118-BY117)</f>
        <v>124414.48683560276</v>
      </c>
      <c r="BZ122" s="156"/>
      <c r="CA122" s="156"/>
      <c r="CB122" s="156"/>
      <c r="CC122" s="156"/>
      <c r="CD122" s="348">
        <f ca="1">CD121+(CD118-CD117)</f>
        <v>252877.83540541958</v>
      </c>
    </row>
    <row r="123" spans="1:83">
      <c r="BZ123" s="156"/>
      <c r="CA123" s="156"/>
      <c r="CB123" s="156"/>
      <c r="CC123" s="156"/>
    </row>
    <row r="124" spans="1:83">
      <c r="A124" s="289" t="s">
        <v>549</v>
      </c>
    </row>
    <row r="125" spans="1:83">
      <c r="B125" t="s">
        <v>2708</v>
      </c>
      <c r="E125" s="351"/>
      <c r="F125" s="351">
        <f>F101/E121</f>
        <v>0.24759478538084936</v>
      </c>
      <c r="G125" s="351">
        <f>G101/F121</f>
        <v>0.27148974244264074</v>
      </c>
      <c r="H125" s="156"/>
      <c r="I125" s="156"/>
      <c r="J125" s="156"/>
      <c r="K125" s="156"/>
      <c r="L125" s="351">
        <f>L101/G121</f>
        <v>0.2600136197610351</v>
      </c>
      <c r="M125" s="156"/>
      <c r="N125" s="156"/>
      <c r="O125" s="156"/>
      <c r="P125" s="156"/>
      <c r="Q125" s="351">
        <f>Q101/L121</f>
        <v>0.22162288656175042</v>
      </c>
      <c r="R125" s="156"/>
      <c r="S125" s="156"/>
      <c r="T125" s="156"/>
      <c r="U125" s="156"/>
      <c r="V125" s="351">
        <f>V101/Q121</f>
        <v>0.27725774415754556</v>
      </c>
      <c r="W125" s="156"/>
      <c r="X125" s="156"/>
      <c r="Y125" s="156"/>
      <c r="Z125" s="156"/>
      <c r="AA125" s="351">
        <f>AA101/V121</f>
        <v>0.1582581506693157</v>
      </c>
      <c r="AB125" s="156"/>
      <c r="AC125" s="156"/>
      <c r="AD125" s="156"/>
      <c r="AE125" s="156"/>
      <c r="AF125" s="351">
        <f>AF101/AA121</f>
        <v>0.20097343139463145</v>
      </c>
      <c r="AG125" s="156"/>
      <c r="AH125" s="156"/>
      <c r="AI125" s="156"/>
      <c r="AJ125" s="156"/>
      <c r="AK125" s="351">
        <f>AK101/AF121</f>
        <v>0.22586061257052278</v>
      </c>
      <c r="AL125" s="156"/>
      <c r="AM125" s="156"/>
      <c r="AN125" s="156"/>
      <c r="AO125" s="156"/>
      <c r="AP125" s="351">
        <f>AP101/AK121</f>
        <v>0.15680731139204496</v>
      </c>
      <c r="AQ125" s="156"/>
      <c r="AR125" s="156"/>
      <c r="AS125" s="156"/>
      <c r="AT125" s="156"/>
      <c r="AU125" s="351">
        <f>AU101/AP121</f>
        <v>0.11225547567296439</v>
      </c>
      <c r="AV125" s="156"/>
      <c r="AW125" s="156"/>
      <c r="AX125" s="156"/>
      <c r="AY125" s="156"/>
      <c r="AZ125" s="351">
        <f>AZ101/AU121</f>
        <v>9.3062488976818736E-2</v>
      </c>
      <c r="BA125" s="156"/>
      <c r="BB125" s="156"/>
      <c r="BC125" s="156"/>
      <c r="BD125" s="156"/>
      <c r="BE125" s="351">
        <f>BE101/AZ121</f>
        <v>4.4378029509419221E-2</v>
      </c>
      <c r="BF125" s="156"/>
      <c r="BG125" s="156"/>
      <c r="BH125" s="156"/>
      <c r="BI125" s="156"/>
      <c r="BJ125" s="351">
        <f ca="1">BJ101/BE121</f>
        <v>2.6273796334881642E-2</v>
      </c>
      <c r="BK125" s="156"/>
      <c r="BL125" s="156"/>
      <c r="BM125" s="156"/>
      <c r="BN125" s="156"/>
      <c r="BO125" s="351">
        <f ca="1">BO101/BJ121</f>
        <v>6.3670063917887709E-2</v>
      </c>
      <c r="BP125" s="156"/>
      <c r="BQ125" s="156"/>
      <c r="BR125" s="156"/>
      <c r="BS125" s="156"/>
      <c r="BT125" s="351">
        <f ca="1">BT101/BO121</f>
        <v>0.11085880245010127</v>
      </c>
      <c r="BU125" s="156"/>
      <c r="BV125" s="156"/>
      <c r="BW125" s="156"/>
      <c r="BX125" s="156"/>
      <c r="BY125" s="351">
        <f ca="1">BY101/BT121</f>
        <v>0.10789934143014795</v>
      </c>
      <c r="CD125" s="351">
        <f ca="1">CD101/BY121</f>
        <v>0.12161833831152151</v>
      </c>
    </row>
    <row r="126" spans="1:83">
      <c r="B126" t="s">
        <v>2709</v>
      </c>
      <c r="E126" s="351"/>
      <c r="F126" s="351">
        <f>F112/E122</f>
        <v>0.27212816840575704</v>
      </c>
      <c r="G126" s="351">
        <f>G112/F122</f>
        <v>0.26365660480221786</v>
      </c>
      <c r="H126" s="156"/>
      <c r="I126" s="156"/>
      <c r="J126" s="156"/>
      <c r="K126" s="156"/>
      <c r="L126" s="351">
        <f>L112/G122</f>
        <v>0.24205690899149251</v>
      </c>
      <c r="M126" s="156"/>
      <c r="N126" s="156"/>
      <c r="O126" s="156"/>
      <c r="P126" s="156"/>
      <c r="Q126" s="351">
        <f>Q112/L122</f>
        <v>0.22286921076678079</v>
      </c>
      <c r="R126" s="156"/>
      <c r="S126" s="156"/>
      <c r="T126" s="156"/>
      <c r="U126" s="156"/>
      <c r="V126" s="351">
        <f>V112/Q122</f>
        <v>0.30172264470120153</v>
      </c>
      <c r="W126" s="156"/>
      <c r="X126" s="156"/>
      <c r="Y126" s="156"/>
      <c r="Z126" s="156"/>
      <c r="AA126" s="351">
        <f>AA112/V122</f>
        <v>0.1677880902515767</v>
      </c>
      <c r="AB126" s="156"/>
      <c r="AC126" s="156"/>
      <c r="AD126" s="156"/>
      <c r="AE126" s="156"/>
      <c r="AF126" s="351">
        <f>AF112/AA122</f>
        <v>0.20088409688901915</v>
      </c>
      <c r="AG126" s="156"/>
      <c r="AH126" s="156"/>
      <c r="AI126" s="156"/>
      <c r="AJ126" s="156"/>
      <c r="AK126" s="351">
        <f>AK112/AF122</f>
        <v>0.17414701072508021</v>
      </c>
      <c r="AL126" s="156"/>
      <c r="AM126" s="156"/>
      <c r="AN126" s="156"/>
      <c r="AO126" s="156"/>
      <c r="AP126" s="351">
        <f>AP112/AK122</f>
        <v>9.6398745577123093E-2</v>
      </c>
      <c r="AQ126" s="156"/>
      <c r="AR126" s="156"/>
      <c r="AS126" s="156"/>
      <c r="AT126" s="156"/>
      <c r="AU126" s="351">
        <f>AU112/AP122</f>
        <v>8.2107140593013953E-2</v>
      </c>
      <c r="AV126" s="156"/>
      <c r="AW126" s="156"/>
      <c r="AX126" s="156"/>
      <c r="AY126" s="156"/>
      <c r="AZ126" s="351">
        <f>AZ112/AU122</f>
        <v>6.8597584537651454E-2</v>
      </c>
      <c r="BA126" s="156"/>
      <c r="BB126" s="156"/>
      <c r="BC126" s="156"/>
      <c r="BD126" s="156"/>
      <c r="BE126" s="351">
        <f>BE112/AZ122</f>
        <v>1.931593135406863E-2</v>
      </c>
      <c r="BF126" s="156"/>
      <c r="BG126" s="156"/>
      <c r="BH126" s="156"/>
      <c r="BI126" s="156"/>
      <c r="BJ126" s="351">
        <f ca="1">BJ112/BE122</f>
        <v>-4.1132783698643101E-2</v>
      </c>
      <c r="BK126" s="156"/>
      <c r="BL126" s="156"/>
      <c r="BM126" s="156"/>
      <c r="BN126" s="156"/>
      <c r="BO126" s="351">
        <f ca="1">BO112/BJ122</f>
        <v>6.1765755335720145E-2</v>
      </c>
      <c r="BP126" s="156"/>
      <c r="BQ126" s="156"/>
      <c r="BR126" s="156"/>
      <c r="BS126" s="156"/>
      <c r="BT126" s="351">
        <f ca="1">BT112/BO122</f>
        <v>0.13403246737511473</v>
      </c>
      <c r="BU126" s="156"/>
      <c r="BV126" s="156"/>
      <c r="BW126" s="156"/>
      <c r="BX126" s="156"/>
      <c r="BY126" s="351">
        <f ca="1">BY112/BT122</f>
        <v>9.556493105241419E-2</v>
      </c>
      <c r="BZ126" s="156"/>
      <c r="CA126" s="156"/>
      <c r="CB126" s="156"/>
      <c r="CC126" s="156"/>
      <c r="CD126" s="351">
        <f ca="1">CD112/BY122</f>
        <v>-3.9782504297351931E-2</v>
      </c>
    </row>
    <row r="127" spans="1:83">
      <c r="D127" s="351"/>
      <c r="E127" s="351"/>
      <c r="F127" s="351"/>
      <c r="G127" s="351"/>
      <c r="H127" s="351"/>
      <c r="I127" s="351"/>
      <c r="J127" s="351"/>
      <c r="K127" s="351"/>
      <c r="L127" s="351"/>
      <c r="M127" s="351"/>
      <c r="N127" s="351"/>
      <c r="O127" s="351"/>
      <c r="P127" s="351"/>
      <c r="Q127" s="351"/>
      <c r="R127" s="351"/>
      <c r="S127" s="351"/>
      <c r="T127" s="351"/>
      <c r="U127" s="351"/>
      <c r="V127" s="351"/>
      <c r="W127" s="351"/>
      <c r="X127" s="351"/>
      <c r="Y127" s="351"/>
      <c r="Z127" s="351"/>
      <c r="AA127" s="351"/>
      <c r="AB127" s="351"/>
      <c r="AC127" s="351"/>
      <c r="AD127" s="351"/>
      <c r="AE127" s="351"/>
      <c r="AF127" s="351"/>
      <c r="AG127" s="351"/>
      <c r="AH127" s="351"/>
      <c r="AI127" s="351"/>
      <c r="AJ127" s="351"/>
      <c r="AK127" s="351"/>
      <c r="AL127" s="351"/>
      <c r="AM127" s="351"/>
      <c r="AN127" s="351"/>
      <c r="AO127" s="351"/>
      <c r="AP127" s="351"/>
      <c r="AQ127" s="351"/>
      <c r="AR127" s="351"/>
      <c r="AS127" s="351"/>
      <c r="AT127" s="351"/>
      <c r="AU127" s="351"/>
      <c r="AV127" s="351"/>
      <c r="AW127" s="351"/>
      <c r="AX127" s="351"/>
      <c r="AY127" s="351"/>
      <c r="AZ127" s="351"/>
      <c r="BA127" s="351"/>
      <c r="BB127" s="351"/>
      <c r="BC127" s="351"/>
      <c r="BD127" s="351"/>
      <c r="BE127" s="351"/>
      <c r="BF127" s="351"/>
      <c r="BG127" s="351"/>
      <c r="BH127" s="351"/>
      <c r="BI127" s="351"/>
      <c r="BJ127" s="351"/>
      <c r="BK127" s="351"/>
      <c r="BL127" s="351"/>
      <c r="BM127" s="351"/>
      <c r="BN127" s="351"/>
      <c r="BO127" s="351"/>
      <c r="BP127" s="351"/>
      <c r="BQ127" s="351"/>
      <c r="BR127" s="351"/>
      <c r="BS127" s="351"/>
      <c r="BT127" s="351"/>
      <c r="BU127" s="351"/>
      <c r="BV127" s="351"/>
      <c r="BW127" s="351"/>
      <c r="BX127" s="351"/>
      <c r="BY127" s="351"/>
      <c r="BZ127" s="351"/>
      <c r="CA127" s="351"/>
      <c r="CB127" s="351"/>
      <c r="CC127" s="351"/>
      <c r="CD127" s="351"/>
      <c r="CE127" s="351"/>
    </row>
    <row r="128" spans="1:83">
      <c r="A128" s="289" t="s">
        <v>3519</v>
      </c>
      <c r="D128" s="351"/>
      <c r="E128" s="351"/>
      <c r="F128" s="351"/>
      <c r="G128" s="351"/>
      <c r="H128" s="351"/>
      <c r="I128" s="351"/>
      <c r="J128" s="351"/>
      <c r="K128" s="351"/>
      <c r="L128" s="351"/>
      <c r="M128" s="351"/>
      <c r="N128" s="351"/>
      <c r="O128" s="351"/>
      <c r="P128" s="351"/>
      <c r="Q128" s="351"/>
      <c r="R128" s="351"/>
      <c r="S128" s="351"/>
      <c r="T128" s="351"/>
      <c r="U128" s="351"/>
      <c r="V128" s="351"/>
      <c r="W128" s="351"/>
      <c r="X128" s="351"/>
      <c r="Y128" s="351"/>
      <c r="Z128" s="351"/>
      <c r="AA128" s="351"/>
      <c r="AB128" s="351"/>
      <c r="AC128" s="351"/>
      <c r="AD128" s="351"/>
      <c r="AE128" s="351"/>
      <c r="AF128" s="351"/>
      <c r="AG128" s="351"/>
      <c r="AH128" s="351"/>
      <c r="AI128" s="351"/>
      <c r="AJ128" s="351"/>
      <c r="AK128" s="351"/>
      <c r="AL128" s="351"/>
      <c r="AM128" s="351"/>
      <c r="AN128" s="351"/>
      <c r="AO128" s="351"/>
      <c r="AP128" s="351"/>
      <c r="AQ128" s="351"/>
      <c r="AR128" s="351"/>
      <c r="AS128" s="351"/>
      <c r="AT128" s="351"/>
      <c r="AU128" s="351"/>
      <c r="AV128" s="351"/>
      <c r="AW128" s="351"/>
      <c r="AX128" s="351"/>
      <c r="AY128" s="351"/>
      <c r="AZ128" s="351"/>
      <c r="BA128" s="351"/>
      <c r="BB128" s="351"/>
      <c r="BC128" s="351"/>
      <c r="BD128" s="351"/>
      <c r="BE128" s="351"/>
      <c r="BF128" s="351"/>
      <c r="BG128" s="351"/>
      <c r="BH128" s="351"/>
      <c r="BI128" s="351"/>
      <c r="BJ128" s="351"/>
      <c r="BK128" s="351"/>
      <c r="BL128" s="351"/>
      <c r="BM128" s="351"/>
      <c r="BN128" s="351"/>
      <c r="BO128" s="351"/>
      <c r="BP128" s="351"/>
      <c r="BQ128" s="351"/>
      <c r="BR128" s="351"/>
      <c r="BS128" s="351"/>
      <c r="BT128" s="351"/>
      <c r="BU128" s="351"/>
      <c r="BV128" s="351"/>
      <c r="BW128" s="351"/>
      <c r="BX128" s="351"/>
      <c r="BY128" s="351"/>
      <c r="BZ128" s="351"/>
      <c r="CA128" s="351"/>
      <c r="CB128" s="351"/>
      <c r="CC128" s="351"/>
      <c r="CD128" s="351"/>
      <c r="CE128" s="351"/>
    </row>
    <row r="129" spans="1:82">
      <c r="B129" s="546" t="s">
        <v>1685</v>
      </c>
      <c r="E129" s="348">
        <f>'Balance sheet'!E100</f>
        <v>13149</v>
      </c>
      <c r="F129" s="348">
        <f>'Balance sheet'!F100</f>
        <v>18170</v>
      </c>
      <c r="G129" s="348">
        <f>'Balance sheet'!G100</f>
        <v>22848.400000000001</v>
      </c>
      <c r="H129" s="156"/>
      <c r="I129" s="156"/>
      <c r="J129" s="156"/>
      <c r="K129" s="156"/>
      <c r="L129" s="348">
        <f>'Balance sheet'!L100</f>
        <v>22777.7</v>
      </c>
      <c r="M129" s="156"/>
      <c r="N129" s="156"/>
      <c r="O129" s="156"/>
      <c r="P129" s="156"/>
      <c r="Q129" s="348">
        <f>'Balance sheet'!Q100</f>
        <v>22074.45</v>
      </c>
      <c r="R129" s="156"/>
      <c r="S129" s="156"/>
      <c r="T129" s="156"/>
      <c r="U129" s="156"/>
      <c r="V129" s="348">
        <f>'Balance sheet'!V100</f>
        <v>22671.55</v>
      </c>
      <c r="W129" s="156"/>
      <c r="X129" s="156"/>
      <c r="Y129" s="156"/>
      <c r="Z129" s="156"/>
      <c r="AA129" s="348">
        <f>'Balance sheet'!AA100</f>
        <v>17480.5</v>
      </c>
      <c r="AB129" s="156"/>
      <c r="AC129" s="156"/>
      <c r="AD129" s="156"/>
      <c r="AE129" s="156"/>
      <c r="AF129" s="348">
        <f>'Balance sheet'!AF100</f>
        <v>-2613.5500000000002</v>
      </c>
      <c r="AG129" s="156"/>
      <c r="AH129" s="156"/>
      <c r="AI129" s="156"/>
      <c r="AJ129" s="156"/>
      <c r="AK129" s="348">
        <f>'Balance sheet'!AK100</f>
        <v>26869.200000000001</v>
      </c>
      <c r="AL129" s="156"/>
      <c r="AM129" s="156"/>
      <c r="AN129" s="156"/>
      <c r="AO129" s="156"/>
      <c r="AP129" s="348">
        <f>'Balance sheet'!AP100</f>
        <v>12534.9</v>
      </c>
      <c r="AQ129" s="156"/>
      <c r="AR129" s="156"/>
      <c r="AS129" s="156"/>
      <c r="AT129" s="156"/>
      <c r="AU129" s="348">
        <f>'Balance sheet'!AU100</f>
        <v>24426.85</v>
      </c>
      <c r="AV129" s="156"/>
      <c r="AW129" s="156"/>
      <c r="AX129" s="156"/>
      <c r="AY129" s="156"/>
      <c r="AZ129" s="348">
        <f>'Balance sheet'!AZ100</f>
        <v>4724.5</v>
      </c>
      <c r="BA129" s="156"/>
      <c r="BB129" s="156"/>
      <c r="BC129" s="156"/>
      <c r="BD129" s="156"/>
      <c r="BE129" s="348">
        <f>'Balance sheet'!BE100</f>
        <v>-5685</v>
      </c>
      <c r="BF129" s="156"/>
      <c r="BG129" s="156"/>
      <c r="BH129" s="156"/>
      <c r="BI129" s="156"/>
      <c r="BJ129" s="348">
        <f>'Balance sheet'!BJ100</f>
        <v>939.65000000000009</v>
      </c>
      <c r="BK129" s="156"/>
      <c r="BL129" s="156"/>
      <c r="BM129" s="156"/>
      <c r="BN129" s="156"/>
      <c r="BO129" s="348">
        <f ca="1">'Balance sheet'!BO100</f>
        <v>4495.6499999999996</v>
      </c>
      <c r="BP129" s="156"/>
      <c r="BQ129" s="156"/>
      <c r="BR129" s="156"/>
      <c r="BS129" s="156"/>
      <c r="BT129" s="348">
        <f ca="1">'Balance sheet'!BT100</f>
        <v>12049.725953960417</v>
      </c>
      <c r="BU129" s="156"/>
      <c r="BV129" s="156"/>
      <c r="BW129" s="156"/>
      <c r="BX129" s="156"/>
      <c r="BY129" s="348">
        <f ca="1">'Balance sheet'!BY100</f>
        <v>12026.92689974906</v>
      </c>
      <c r="BZ129" s="156"/>
      <c r="CA129" s="156"/>
      <c r="CB129" s="156"/>
      <c r="CC129" s="156"/>
      <c r="CD129" s="348">
        <f ca="1">'Balance sheet'!CD100</f>
        <v>13754.501776036135</v>
      </c>
    </row>
    <row r="130" spans="1:82">
      <c r="B130" s="35" t="s">
        <v>2207</v>
      </c>
      <c r="E130" s="348">
        <f>'Balance sheet'!E91</f>
        <v>87639</v>
      </c>
      <c r="F130" s="348">
        <f>'Balance sheet'!F91</f>
        <v>95250</v>
      </c>
      <c r="G130" s="348">
        <f>'Balance sheet'!G91</f>
        <v>98467</v>
      </c>
      <c r="H130" s="156"/>
      <c r="I130" s="156"/>
      <c r="J130" s="156"/>
      <c r="K130" s="156"/>
      <c r="L130" s="348">
        <f>'Balance sheet'!L91</f>
        <v>101926</v>
      </c>
      <c r="M130" s="156"/>
      <c r="N130" s="156"/>
      <c r="O130" s="156"/>
      <c r="P130" s="156"/>
      <c r="Q130" s="348">
        <f>'Balance sheet'!Q91</f>
        <v>114510</v>
      </c>
      <c r="R130" s="156"/>
      <c r="S130" s="156"/>
      <c r="T130" s="156"/>
      <c r="U130" s="156"/>
      <c r="V130" s="348">
        <f>'Balance sheet'!V91</f>
        <v>119625.5</v>
      </c>
      <c r="W130" s="156"/>
      <c r="X130" s="156"/>
      <c r="Y130" s="156"/>
      <c r="Z130" s="156"/>
      <c r="AA130" s="348">
        <f>'Balance sheet'!AA91</f>
        <v>122758.5</v>
      </c>
      <c r="AB130" s="156"/>
      <c r="AC130" s="156"/>
      <c r="AD130" s="156"/>
      <c r="AE130" s="156"/>
      <c r="AF130" s="348">
        <f>'Balance sheet'!AF91</f>
        <v>125536</v>
      </c>
      <c r="AG130" s="156"/>
      <c r="AH130" s="156"/>
      <c r="AI130" s="156"/>
      <c r="AJ130" s="156"/>
      <c r="AK130" s="348">
        <f>'Balance sheet'!AK91</f>
        <v>132649.5</v>
      </c>
      <c r="AL130" s="156"/>
      <c r="AM130" s="156"/>
      <c r="AN130" s="156"/>
      <c r="AO130" s="156"/>
      <c r="AP130" s="348">
        <f>'Balance sheet'!AP91</f>
        <v>145748.5</v>
      </c>
      <c r="AQ130" s="156"/>
      <c r="AR130" s="156"/>
      <c r="AS130" s="156"/>
      <c r="AT130" s="156"/>
      <c r="AU130" s="348">
        <f>'Balance sheet'!AU91</f>
        <v>152474</v>
      </c>
      <c r="AV130" s="156"/>
      <c r="AW130" s="156"/>
      <c r="AX130" s="156"/>
      <c r="AY130" s="156"/>
      <c r="AZ130" s="348">
        <f>'Balance sheet'!AZ91</f>
        <v>145906</v>
      </c>
      <c r="BA130" s="156"/>
      <c r="BB130" s="156"/>
      <c r="BC130" s="156"/>
      <c r="BD130" s="156"/>
      <c r="BE130" s="348">
        <f>'Balance sheet'!BE91</f>
        <v>130449.5</v>
      </c>
      <c r="BF130" s="156"/>
      <c r="BG130" s="156"/>
      <c r="BH130" s="156"/>
      <c r="BI130" s="156"/>
      <c r="BJ130" s="348">
        <f ca="1">'Balance sheet'!BJ91</f>
        <v>128412.5</v>
      </c>
      <c r="BK130" s="156"/>
      <c r="BL130" s="156"/>
      <c r="BM130" s="156"/>
      <c r="BN130" s="156"/>
      <c r="BO130" s="348">
        <f ca="1">'Balance sheet'!BO91</f>
        <v>134853.5</v>
      </c>
      <c r="BP130" s="156"/>
      <c r="BQ130" s="156"/>
      <c r="BR130" s="156"/>
      <c r="BS130" s="156"/>
      <c r="BT130" s="348">
        <f ca="1">'Balance sheet'!BT91</f>
        <v>140715.7467228382</v>
      </c>
      <c r="BU130" s="156"/>
      <c r="BV130" s="156"/>
      <c r="BW130" s="156"/>
      <c r="BX130" s="156"/>
      <c r="BY130" s="348">
        <f ca="1">'Balance sheet'!BY91</f>
        <v>142389.66165257309</v>
      </c>
      <c r="BZ130" s="156"/>
      <c r="CA130" s="156"/>
      <c r="CB130" s="156"/>
      <c r="CC130" s="156"/>
      <c r="CD130" s="348">
        <f ca="1">'Balance sheet'!CD91</f>
        <v>140762.87577811087</v>
      </c>
    </row>
    <row r="131" spans="1:82">
      <c r="B131" t="s">
        <v>3520</v>
      </c>
      <c r="E131" s="351">
        <f>E129/E130</f>
        <v>0.15003594290213262</v>
      </c>
      <c r="F131" s="351">
        <f>F129/F130</f>
        <v>0.19076115485564304</v>
      </c>
      <c r="G131" s="351">
        <f>G129/G130</f>
        <v>0.23204119146516095</v>
      </c>
      <c r="H131" s="156"/>
      <c r="I131" s="156"/>
      <c r="J131" s="156"/>
      <c r="K131" s="156"/>
      <c r="L131" s="351">
        <f>L129/L130</f>
        <v>0.22347291172026765</v>
      </c>
      <c r="M131" s="156"/>
      <c r="N131" s="156"/>
      <c r="O131" s="156"/>
      <c r="P131" s="156"/>
      <c r="Q131" s="351">
        <f>Q129/Q130</f>
        <v>0.19277312025150642</v>
      </c>
      <c r="R131" s="156"/>
      <c r="S131" s="156"/>
      <c r="T131" s="156"/>
      <c r="U131" s="156"/>
      <c r="V131" s="351">
        <f>V129/V130</f>
        <v>0.18952104693397309</v>
      </c>
      <c r="W131" s="156"/>
      <c r="X131" s="156"/>
      <c r="Y131" s="156"/>
      <c r="Z131" s="156"/>
      <c r="AA131" s="351">
        <f>AA129/AA130</f>
        <v>0.14239747145818824</v>
      </c>
      <c r="AB131" s="156"/>
      <c r="AC131" s="156"/>
      <c r="AD131" s="156"/>
      <c r="AE131" s="156"/>
      <c r="AF131" s="351">
        <f>AF129/AF130</f>
        <v>-2.0819127580932961E-2</v>
      </c>
      <c r="AG131" s="156"/>
      <c r="AH131" s="156"/>
      <c r="AI131" s="156"/>
      <c r="AJ131" s="156"/>
      <c r="AK131" s="351">
        <f>AK129/AK130</f>
        <v>0.2025578686689358</v>
      </c>
      <c r="AL131" s="156"/>
      <c r="AM131" s="156"/>
      <c r="AN131" s="156"/>
      <c r="AO131" s="156"/>
      <c r="AP131" s="351">
        <f>AP129/AP130</f>
        <v>8.6003629539926657E-2</v>
      </c>
      <c r="AQ131" s="156"/>
      <c r="AR131" s="156"/>
      <c r="AS131" s="156"/>
      <c r="AT131" s="156"/>
      <c r="AU131" s="351">
        <f>AU129/AU130</f>
        <v>0.16020337893673675</v>
      </c>
      <c r="AV131" s="156"/>
      <c r="AW131" s="156"/>
      <c r="AX131" s="156"/>
      <c r="AY131" s="156"/>
      <c r="AZ131" s="351">
        <f>AZ129/AZ130</f>
        <v>3.2380436719531752E-2</v>
      </c>
      <c r="BA131" s="156"/>
      <c r="BB131" s="156"/>
      <c r="BC131" s="156"/>
      <c r="BD131" s="156"/>
      <c r="BE131" s="351">
        <f>BE129/BE130</f>
        <v>-4.3580082714000434E-2</v>
      </c>
      <c r="BF131" s="156"/>
      <c r="BG131" s="156"/>
      <c r="BH131" s="156"/>
      <c r="BI131" s="156"/>
      <c r="BJ131" s="351">
        <f ca="1">BJ129/BJ130</f>
        <v>7.3174340504234409E-3</v>
      </c>
      <c r="BK131" s="156"/>
      <c r="BL131" s="156"/>
      <c r="BM131" s="156"/>
      <c r="BN131" s="156"/>
      <c r="BO131" s="351">
        <f ca="1">BO129/BO130</f>
        <v>3.3337288242426037E-2</v>
      </c>
      <c r="BP131" s="156"/>
      <c r="BQ131" s="156"/>
      <c r="BR131" s="156"/>
      <c r="BS131" s="156"/>
      <c r="BT131" s="351">
        <f ca="1">BT129/BT130</f>
        <v>8.5631681134409554E-2</v>
      </c>
      <c r="BU131" s="156"/>
      <c r="BV131" s="156"/>
      <c r="BW131" s="156"/>
      <c r="BX131" s="156"/>
      <c r="BY131" s="351">
        <f ca="1">BY129/BY130</f>
        <v>8.4464888533090518E-2</v>
      </c>
      <c r="BZ131" s="156"/>
      <c r="CA131" s="156"/>
      <c r="CB131" s="156"/>
      <c r="CC131" s="156"/>
      <c r="CD131" s="351">
        <f ca="1">CD129/CD130</f>
        <v>9.7713986731258654E-2</v>
      </c>
    </row>
    <row r="132" spans="1:82">
      <c r="E132" s="348"/>
      <c r="F132" s="348"/>
      <c r="G132" s="348"/>
      <c r="H132" s="156"/>
      <c r="I132" s="156"/>
      <c r="J132" s="156"/>
      <c r="K132" s="156"/>
      <c r="L132" s="348"/>
      <c r="M132" s="156"/>
      <c r="N132" s="156"/>
      <c r="O132" s="156"/>
      <c r="P132" s="156"/>
      <c r="Q132" s="348"/>
      <c r="R132" s="156"/>
      <c r="S132" s="156"/>
      <c r="T132" s="156"/>
      <c r="U132" s="156"/>
      <c r="V132" s="348"/>
      <c r="W132" s="156"/>
      <c r="X132" s="156"/>
      <c r="Y132" s="156"/>
      <c r="Z132" s="156"/>
      <c r="AA132" s="348"/>
      <c r="AB132" s="156"/>
      <c r="AC132" s="156"/>
      <c r="AD132" s="156"/>
      <c r="AE132" s="156"/>
      <c r="AF132" s="348"/>
      <c r="AG132" s="156"/>
      <c r="AH132" s="156"/>
      <c r="AI132" s="156"/>
      <c r="AJ132" s="156"/>
      <c r="AK132" s="348"/>
      <c r="AL132" s="156"/>
      <c r="AM132" s="156"/>
      <c r="AN132" s="156"/>
      <c r="AO132" s="156"/>
      <c r="AP132" s="348"/>
      <c r="AQ132" s="156"/>
      <c r="AR132" s="156"/>
      <c r="AS132" s="156"/>
      <c r="AT132" s="156"/>
      <c r="AU132" s="348"/>
      <c r="AV132" s="156"/>
      <c r="AW132" s="156"/>
      <c r="AX132" s="156"/>
      <c r="AY132" s="156"/>
      <c r="AZ132" s="348"/>
      <c r="BA132" s="156"/>
      <c r="BB132" s="156"/>
      <c r="BC132" s="156"/>
      <c r="BD132" s="156"/>
      <c r="BE132" s="348"/>
      <c r="BF132" s="156"/>
      <c r="BG132" s="156"/>
      <c r="BH132" s="156"/>
      <c r="BI132" s="156"/>
      <c r="BJ132" s="348"/>
      <c r="BK132" s="156"/>
      <c r="BL132" s="156"/>
      <c r="BM132" s="156"/>
      <c r="BN132" s="156"/>
      <c r="BO132" s="348"/>
      <c r="BP132" s="156"/>
      <c r="BQ132" s="156"/>
      <c r="BR132" s="156"/>
      <c r="BS132" s="156"/>
      <c r="BT132" s="348"/>
      <c r="BU132" s="156"/>
      <c r="BV132" s="156"/>
      <c r="BW132" s="156"/>
      <c r="BX132" s="156"/>
      <c r="BY132" s="348"/>
      <c r="BZ132" s="156"/>
      <c r="CA132" s="156"/>
      <c r="CB132" s="156"/>
      <c r="CC132" s="156"/>
      <c r="CD132" s="348"/>
    </row>
    <row r="133" spans="1:82">
      <c r="B133" s="546" t="s">
        <v>1685</v>
      </c>
      <c r="E133" s="348">
        <f>SUM(E129,E104,E108,E110)</f>
        <v>13589.384353076768</v>
      </c>
      <c r="F133" s="348">
        <f>SUM(F129,F104,F108,F110)</f>
        <v>18107.171397040049</v>
      </c>
      <c r="G133" s="348">
        <f>SUM(G129,G104,G108,G110)</f>
        <v>22507.663402016125</v>
      </c>
      <c r="H133" s="156"/>
      <c r="I133" s="156"/>
      <c r="J133" s="156"/>
      <c r="K133" s="156"/>
      <c r="L133" s="348">
        <f>SUM(L129,L104,L108,L110)</f>
        <v>22692.828554802298</v>
      </c>
      <c r="M133" s="156"/>
      <c r="N133" s="156"/>
      <c r="O133" s="156"/>
      <c r="P133" s="156"/>
      <c r="Q133" s="348">
        <f>SUM(Q129,Q104,Q108,Q110)</f>
        <v>22523.867202917521</v>
      </c>
      <c r="R133" s="156"/>
      <c r="S133" s="156"/>
      <c r="T133" s="156"/>
      <c r="U133" s="156"/>
      <c r="V133" s="348">
        <f>SUM(V129,V104,V108,V110)</f>
        <v>22871.426518367829</v>
      </c>
      <c r="W133" s="156"/>
      <c r="X133" s="156"/>
      <c r="Y133" s="156"/>
      <c r="Z133" s="156"/>
      <c r="AA133" s="348">
        <f>SUM(AA129,AA104,AA108,AA110)</f>
        <v>17817.209099783955</v>
      </c>
      <c r="AB133" s="156"/>
      <c r="AC133" s="156"/>
      <c r="AD133" s="156"/>
      <c r="AE133" s="156"/>
      <c r="AF133" s="348">
        <f>SUM(AF129,AF104,AF108,AF110)</f>
        <v>-3398.2993209594219</v>
      </c>
      <c r="AG133" s="156"/>
      <c r="AH133" s="156"/>
      <c r="AI133" s="156"/>
      <c r="AJ133" s="156"/>
      <c r="AK133" s="348">
        <f>SUM(AK129,AK104,AK108,AK110)</f>
        <v>23708.396567678836</v>
      </c>
      <c r="AL133" s="156"/>
      <c r="AM133" s="156"/>
      <c r="AN133" s="156"/>
      <c r="AO133" s="156"/>
      <c r="AP133" s="348">
        <f>SUM(AP129,AP104,AP108,AP110)</f>
        <v>10184.778979004683</v>
      </c>
      <c r="AQ133" s="156"/>
      <c r="AR133" s="156"/>
      <c r="AS133" s="156"/>
      <c r="AT133" s="156"/>
      <c r="AU133" s="348">
        <f>SUM(AU129,AU104,AU108,AU110)</f>
        <v>23225.836441268322</v>
      </c>
      <c r="AV133" s="156"/>
      <c r="AW133" s="156"/>
      <c r="AX133" s="156"/>
      <c r="AY133" s="156"/>
      <c r="AZ133" s="348">
        <f>SUM(AZ129,AZ104,AZ108,AZ110)</f>
        <v>2622.5772497734897</v>
      </c>
      <c r="BA133" s="156"/>
      <c r="BB133" s="156"/>
      <c r="BC133" s="156"/>
      <c r="BD133" s="156"/>
      <c r="BE133" s="348">
        <f>SUM(BE129,BE104,BE108,BE110)</f>
        <v>-8141.2136701906402</v>
      </c>
      <c r="BF133" s="156"/>
      <c r="BG133" s="156"/>
      <c r="BH133" s="156"/>
      <c r="BI133" s="156"/>
      <c r="BJ133" s="348">
        <f>SUM(BJ129,BJ104,BJ108,BJ110)</f>
        <v>-6652.0284246408246</v>
      </c>
      <c r="BK133" s="156"/>
      <c r="BL133" s="156"/>
      <c r="BM133" s="156"/>
      <c r="BN133" s="156"/>
      <c r="BO133" s="348">
        <f ca="1">SUM(BO129,BO104,BO108,BO110)</f>
        <v>6095.7344248928421</v>
      </c>
      <c r="BP133" s="156"/>
      <c r="BQ133" s="156"/>
      <c r="BR133" s="156"/>
      <c r="BS133" s="156"/>
      <c r="BT133" s="348">
        <f ca="1">SUM(BT129,BT104,BT108,BT110)</f>
        <v>12819.908227693541</v>
      </c>
      <c r="BU133" s="156"/>
      <c r="BV133" s="156"/>
      <c r="BW133" s="156"/>
      <c r="BX133" s="156"/>
      <c r="BY133" s="348">
        <f ca="1">SUM(BY129,BY104,BY108,BY110)</f>
        <v>10044.204651800665</v>
      </c>
      <c r="BZ133" s="156"/>
      <c r="CA133" s="156"/>
      <c r="CB133" s="156"/>
      <c r="CC133" s="156"/>
      <c r="CD133" s="348">
        <f ca="1">SUM(CD129,CD104,CD108,CD110)</f>
        <v>-4217.4374273499725</v>
      </c>
    </row>
    <row r="134" spans="1:82">
      <c r="B134" s="35" t="s">
        <v>2207</v>
      </c>
      <c r="E134" s="348">
        <f>E130+E118-E117</f>
        <v>81073.55608330082</v>
      </c>
      <c r="F134" s="348">
        <f>F130+F118-F117</f>
        <v>96281.982208519737</v>
      </c>
      <c r="G134" s="348">
        <f>G130+G118-G117</f>
        <v>104107.83176056913</v>
      </c>
      <c r="H134" s="156"/>
      <c r="I134" s="156"/>
      <c r="J134" s="156"/>
      <c r="K134" s="156"/>
      <c r="L134" s="348">
        <f>L130+L118-L117</f>
        <v>103464.5710011484</v>
      </c>
      <c r="M134" s="156"/>
      <c r="N134" s="156"/>
      <c r="O134" s="156"/>
      <c r="P134" s="156"/>
      <c r="Q134" s="348">
        <f>Q130+Q118-Q117</f>
        <v>107497.68161738219</v>
      </c>
      <c r="R134" s="156"/>
      <c r="S134" s="156"/>
      <c r="T134" s="156"/>
      <c r="U134" s="156"/>
      <c r="V134" s="348">
        <f>V130+V118-V117</f>
        <v>116400.69361244747</v>
      </c>
      <c r="W134" s="156"/>
      <c r="X134" s="156"/>
      <c r="Y134" s="156"/>
      <c r="Z134" s="156"/>
      <c r="AA134" s="348">
        <f>AA130+AA118-AA117</f>
        <v>118897.4322569604</v>
      </c>
      <c r="AB134" s="156"/>
      <c r="AC134" s="156"/>
      <c r="AD134" s="156"/>
      <c r="AE134" s="156"/>
      <c r="AF134" s="348">
        <f>AF130+AF118-AF117</f>
        <v>135860.98665784573</v>
      </c>
      <c r="AG134" s="156"/>
      <c r="AH134" s="156"/>
      <c r="AI134" s="156"/>
      <c r="AJ134" s="156"/>
      <c r="AK134" s="348">
        <f>AK130+AK118-AK117</f>
        <v>178757.51989578511</v>
      </c>
      <c r="AL134" s="156"/>
      <c r="AM134" s="156"/>
      <c r="AN134" s="156"/>
      <c r="AO134" s="156"/>
      <c r="AP134" s="348">
        <f>AP130+AP118-AP117</f>
        <v>175043.51948502453</v>
      </c>
      <c r="AQ134" s="156"/>
      <c r="AR134" s="156"/>
      <c r="AS134" s="156"/>
      <c r="AT134" s="156"/>
      <c r="AU134" s="348">
        <f>AU130+AU118-AU117</f>
        <v>168341.49810956602</v>
      </c>
      <c r="AV134" s="156"/>
      <c r="AW134" s="156"/>
      <c r="AX134" s="156"/>
      <c r="AY134" s="156"/>
      <c r="AZ134" s="348">
        <f>AZ130+AZ118-AZ117</f>
        <v>164897.12103373132</v>
      </c>
      <c r="BA134" s="156"/>
      <c r="BB134" s="156"/>
      <c r="BC134" s="156"/>
      <c r="BD134" s="156"/>
      <c r="BE134" s="348">
        <f>BE130+BE118-BE117</f>
        <v>153782.40257994586</v>
      </c>
      <c r="BF134" s="156"/>
      <c r="BG134" s="156"/>
      <c r="BH134" s="156"/>
      <c r="BI134" s="156"/>
      <c r="BJ134" s="348">
        <f ca="1">BJ130+BJ118-BJ117</f>
        <v>157303.9686012702</v>
      </c>
      <c r="BK134" s="156"/>
      <c r="BL134" s="156"/>
      <c r="BM134" s="156"/>
      <c r="BN134" s="156"/>
      <c r="BO134" s="348">
        <f ca="1">BO130+BO118-BO117</f>
        <v>123240.29605112658</v>
      </c>
      <c r="BP134" s="156"/>
      <c r="BQ134" s="156"/>
      <c r="BR134" s="156"/>
      <c r="BS134" s="156"/>
      <c r="BT134" s="348">
        <f ca="1">BT130+BT118-BT117</f>
        <v>133354.64341103233</v>
      </c>
      <c r="BU134" s="156"/>
      <c r="BV134" s="156"/>
      <c r="BW134" s="156"/>
      <c r="BX134" s="156"/>
      <c r="BY134" s="348">
        <f ca="1">BY130+BY118-BY117</f>
        <v>159728.03211467806</v>
      </c>
      <c r="BZ134" s="156"/>
      <c r="CA134" s="156"/>
      <c r="CB134" s="156"/>
      <c r="CC134" s="156"/>
      <c r="CD134" s="348">
        <f ca="1">CD130+CD118-CD117</f>
        <v>281383.04600053234</v>
      </c>
    </row>
    <row r="135" spans="1:82">
      <c r="B135" t="s">
        <v>3521</v>
      </c>
      <c r="E135" s="351">
        <f>E133/E134</f>
        <v>0.16761796336050752</v>
      </c>
      <c r="F135" s="351">
        <f>F133/F134</f>
        <v>0.18806396567350472</v>
      </c>
      <c r="G135" s="351">
        <f>G133/G134</f>
        <v>0.21619567924322972</v>
      </c>
      <c r="H135" s="156"/>
      <c r="I135" s="156"/>
      <c r="J135" s="156"/>
      <c r="K135" s="156"/>
      <c r="L135" s="351">
        <f>L133/L134</f>
        <v>0.21932946065712117</v>
      </c>
      <c r="M135" s="156"/>
      <c r="N135" s="156"/>
      <c r="O135" s="156"/>
      <c r="P135" s="156"/>
      <c r="Q135" s="351">
        <f>Q133/Q134</f>
        <v>0.20952886484647174</v>
      </c>
      <c r="R135" s="156"/>
      <c r="S135" s="156"/>
      <c r="T135" s="156"/>
      <c r="U135" s="156"/>
      <c r="V135" s="351">
        <f>V133/V134</f>
        <v>0.19648874769180963</v>
      </c>
      <c r="W135" s="156"/>
      <c r="X135" s="156"/>
      <c r="Y135" s="156"/>
      <c r="Z135" s="156"/>
      <c r="AA135" s="351">
        <f>AA133/AA134</f>
        <v>0.1498536071096768</v>
      </c>
      <c r="AB135" s="156"/>
      <c r="AC135" s="156"/>
      <c r="AD135" s="156"/>
      <c r="AE135" s="156"/>
      <c r="AF135" s="351">
        <f>AF133/AF134</f>
        <v>-2.5013062281946677E-2</v>
      </c>
      <c r="AG135" s="156"/>
      <c r="AH135" s="156"/>
      <c r="AI135" s="156"/>
      <c r="AJ135" s="156"/>
      <c r="AK135" s="351">
        <f>AK133/AK134</f>
        <v>0.13262880678530745</v>
      </c>
      <c r="AL135" s="156"/>
      <c r="AM135" s="156"/>
      <c r="AN135" s="156"/>
      <c r="AO135" s="156"/>
      <c r="AP135" s="351">
        <f>AP133/AP134</f>
        <v>5.8184267597955946E-2</v>
      </c>
      <c r="AQ135" s="156"/>
      <c r="AR135" s="156"/>
      <c r="AS135" s="156"/>
      <c r="AT135" s="156"/>
      <c r="AU135" s="351">
        <f>AU133/AU134</f>
        <v>0.13796857401228338</v>
      </c>
      <c r="AV135" s="156"/>
      <c r="AW135" s="156"/>
      <c r="AX135" s="156"/>
      <c r="AY135" s="156"/>
      <c r="AZ135" s="351">
        <f>AZ133/AZ134</f>
        <v>1.5904324061770708E-2</v>
      </c>
      <c r="BA135" s="156"/>
      <c r="BB135" s="156"/>
      <c r="BC135" s="156"/>
      <c r="BD135" s="156"/>
      <c r="BE135" s="351">
        <f>BE133/BE134</f>
        <v>-5.2939826232447633E-2</v>
      </c>
      <c r="BF135" s="156"/>
      <c r="BG135" s="156"/>
      <c r="BH135" s="156"/>
      <c r="BI135" s="156"/>
      <c r="BJ135" s="351">
        <f ca="1">BJ133/BJ134</f>
        <v>-4.2287734275173974E-2</v>
      </c>
      <c r="BK135" s="156"/>
      <c r="BL135" s="156"/>
      <c r="BM135" s="156"/>
      <c r="BN135" s="156"/>
      <c r="BO135" s="351">
        <f ca="1">BO133/BO134</f>
        <v>4.9462185828927328E-2</v>
      </c>
      <c r="BP135" s="156"/>
      <c r="BQ135" s="156"/>
      <c r="BR135" s="156"/>
      <c r="BS135" s="156"/>
      <c r="BT135" s="351">
        <f ca="1">BT133/BT134</f>
        <v>9.6133947043593973E-2</v>
      </c>
      <c r="BU135" s="156"/>
      <c r="BV135" s="156"/>
      <c r="BW135" s="156"/>
      <c r="BX135" s="156"/>
      <c r="BY135" s="351">
        <f ca="1">BY133/BY134</f>
        <v>6.2883167837373369E-2</v>
      </c>
      <c r="BZ135" s="156"/>
      <c r="CA135" s="156"/>
      <c r="CB135" s="156"/>
      <c r="CC135" s="156"/>
      <c r="CD135" s="351">
        <f ca="1">CD133/CD134</f>
        <v>-1.4988242850075601E-2</v>
      </c>
    </row>
    <row r="136" spans="1:82">
      <c r="AU136" s="348"/>
      <c r="AZ136" s="348"/>
      <c r="BE136" s="348"/>
      <c r="BZ136" s="156"/>
      <c r="CA136" s="156"/>
      <c r="CB136" s="156"/>
      <c r="CC136" s="156"/>
    </row>
    <row r="137" spans="1:82" s="5" customFormat="1">
      <c r="A137" s="4" t="s">
        <v>2631</v>
      </c>
      <c r="B137" s="4"/>
      <c r="C137" s="93"/>
      <c r="D137" s="93"/>
      <c r="E137" s="119">
        <f>100*E112/'Income statement'!E61</f>
        <v>58.569337202864055</v>
      </c>
      <c r="F137" s="119">
        <f>100*F112/'Income statement'!F61</f>
        <v>77.757736477536909</v>
      </c>
      <c r="G137" s="119">
        <f>100*G112/'Income statement'!G61</f>
        <v>97.607898251884251</v>
      </c>
      <c r="H137" s="156"/>
      <c r="I137" s="156"/>
      <c r="J137" s="156"/>
      <c r="K137" s="156"/>
      <c r="L137" s="119">
        <f>100*L112/'Income statement'!L61</f>
        <v>103.56352678311279</v>
      </c>
      <c r="M137" s="156"/>
      <c r="N137" s="156"/>
      <c r="O137" s="156"/>
      <c r="P137" s="156"/>
      <c r="Q137" s="119">
        <f>100*Q112/'Income statement'!Q61</f>
        <v>100.32877639513642</v>
      </c>
      <c r="R137" s="156"/>
      <c r="S137" s="156"/>
      <c r="T137" s="156"/>
      <c r="U137" s="156"/>
      <c r="V137" s="119">
        <f>100*V112/'Income statement'!V61</f>
        <v>139.44813612226599</v>
      </c>
      <c r="W137" s="156"/>
      <c r="X137" s="156"/>
      <c r="Y137" s="156"/>
      <c r="Z137" s="156"/>
      <c r="AA137" s="119">
        <f>100*AA112/'Income statement'!AA61</f>
        <v>78.759782781541773</v>
      </c>
      <c r="AB137" s="156"/>
      <c r="AC137" s="156"/>
      <c r="AD137" s="156"/>
      <c r="AE137" s="156"/>
      <c r="AF137" s="119">
        <f>100*AF112/'Income statement'!AF61</f>
        <v>103.89225808558103</v>
      </c>
      <c r="AG137" s="156"/>
      <c r="AH137" s="156"/>
      <c r="AI137" s="156"/>
      <c r="AJ137" s="156"/>
      <c r="AK137" s="119">
        <f>100*AK112/'Income statement'!AK61</f>
        <v>96.260130794561178</v>
      </c>
      <c r="AL137" s="156"/>
      <c r="AM137" s="156"/>
      <c r="AN137" s="156"/>
      <c r="AO137" s="156"/>
      <c r="AP137" s="119">
        <f>100*AP112/'Income statement'!AP61</f>
        <v>79.799396358328664</v>
      </c>
      <c r="AQ137" s="156"/>
      <c r="AR137" s="156"/>
      <c r="AS137" s="156"/>
      <c r="AT137" s="156"/>
      <c r="AU137" s="119">
        <f>100*AU112/'Income statement'!AU61</f>
        <v>64.196552458429977</v>
      </c>
      <c r="AV137" s="156"/>
      <c r="AW137" s="156"/>
      <c r="AX137" s="156"/>
      <c r="AY137" s="156"/>
      <c r="AZ137" s="119">
        <f>100*AZ112/'Income statement'!AZ61</f>
        <v>54.246190009054779</v>
      </c>
      <c r="BA137" s="156"/>
      <c r="BB137" s="156"/>
      <c r="BC137" s="156"/>
      <c r="BD137" s="156"/>
      <c r="BE137" s="119">
        <f>100*BE112/'Income statement'!BE61</f>
        <v>13.876148501282776</v>
      </c>
      <c r="BF137" s="156"/>
      <c r="BG137" s="156"/>
      <c r="BH137" s="156"/>
      <c r="BI137" s="156"/>
      <c r="BJ137" s="119">
        <f ca="1">100*BJ112/'Income statement'!BJ61</f>
        <v>-26.553135614628552</v>
      </c>
      <c r="BK137" s="156"/>
      <c r="BL137" s="156"/>
      <c r="BM137" s="156"/>
      <c r="BN137" s="156"/>
      <c r="BO137" s="119">
        <f ca="1">100*BO112/'Income statement'!BO61</f>
        <v>39.22189883841282</v>
      </c>
      <c r="BP137" s="156"/>
      <c r="BQ137" s="156"/>
      <c r="BR137" s="156"/>
      <c r="BS137" s="156"/>
      <c r="BT137" s="119">
        <f ca="1">100*BT112/'Income statement'!BT61</f>
        <v>59.682005766595914</v>
      </c>
      <c r="BU137" s="156"/>
      <c r="BV137" s="156"/>
      <c r="BW137" s="156"/>
      <c r="BX137" s="156"/>
      <c r="BY137" s="119">
        <f ca="1">100*BY112/'Income statement'!BY61</f>
        <v>46.178169486157074</v>
      </c>
      <c r="BZ137"/>
      <c r="CA137"/>
      <c r="CB137"/>
      <c r="CC137"/>
      <c r="CD137" s="119">
        <f ca="1">100*CD112/'Income statement'!CD61</f>
        <v>-24.821817524425981</v>
      </c>
    </row>
    <row r="138" spans="1:82" s="5" customFormat="1">
      <c r="A138" s="4" t="s">
        <v>685</v>
      </c>
      <c r="B138" s="4"/>
      <c r="C138" s="93"/>
      <c r="D138" s="93"/>
      <c r="E138" s="352">
        <f>+Other!E11</f>
        <v>25.5</v>
      </c>
      <c r="F138" s="352">
        <f>+Other!F11</f>
        <v>27.7</v>
      </c>
      <c r="G138" s="352">
        <f>+Other!G11</f>
        <v>34.85</v>
      </c>
      <c r="H138" s="156"/>
      <c r="I138" s="156"/>
      <c r="J138" s="156"/>
      <c r="K138" s="156"/>
      <c r="L138" s="352">
        <f>+Other!L11</f>
        <v>38.4</v>
      </c>
      <c r="M138" s="156"/>
      <c r="N138" s="156"/>
      <c r="O138" s="156"/>
      <c r="P138" s="156"/>
      <c r="Q138" s="352">
        <f>+Other!Q11</f>
        <v>42.3</v>
      </c>
      <c r="R138" s="156"/>
      <c r="S138" s="156"/>
      <c r="T138" s="156"/>
      <c r="U138" s="156"/>
      <c r="V138" s="352">
        <f>+Other!V11</f>
        <v>55.05</v>
      </c>
      <c r="W138" s="156"/>
      <c r="X138" s="156"/>
      <c r="Y138" s="156"/>
      <c r="Z138" s="156"/>
      <c r="AA138" s="352">
        <f>+Other!AA11</f>
        <v>56</v>
      </c>
      <c r="AB138" s="156"/>
      <c r="AC138" s="156"/>
      <c r="AD138" s="156"/>
      <c r="AE138" s="156"/>
      <c r="AF138" s="352">
        <f>+Other!AF11</f>
        <v>14</v>
      </c>
      <c r="AG138" s="156"/>
      <c r="AH138" s="156"/>
      <c r="AI138" s="156"/>
      <c r="AJ138" s="156"/>
      <c r="AK138" s="352">
        <f>+Other!AK11</f>
        <v>29</v>
      </c>
      <c r="AL138" s="156"/>
      <c r="AM138" s="156"/>
      <c r="AN138" s="156"/>
      <c r="AO138" s="156"/>
      <c r="AP138" s="352">
        <f>+Other!AP11</f>
        <v>34</v>
      </c>
      <c r="AQ138" s="156"/>
      <c r="AR138" s="156"/>
      <c r="AS138" s="156"/>
      <c r="AT138" s="156"/>
      <c r="AU138" s="352">
        <f>+Other!AU11</f>
        <v>37</v>
      </c>
      <c r="AV138" s="156"/>
      <c r="AW138" s="156"/>
      <c r="AX138" s="156"/>
      <c r="AY138" s="156"/>
      <c r="AZ138" s="352">
        <f>+Other!AZ11</f>
        <v>39.5</v>
      </c>
      <c r="BA138" s="156"/>
      <c r="BB138" s="156"/>
      <c r="BC138" s="156"/>
      <c r="BD138" s="156"/>
      <c r="BE138" s="352">
        <f>+Other!BE11</f>
        <v>40</v>
      </c>
      <c r="BF138" s="156"/>
      <c r="BG138" s="156"/>
      <c r="BH138" s="156"/>
      <c r="BI138" s="156"/>
      <c r="BJ138" s="352">
        <f>+Other!BJ11</f>
        <v>40</v>
      </c>
      <c r="BK138" s="156"/>
      <c r="BL138" s="156"/>
      <c r="BM138" s="156"/>
      <c r="BN138" s="156"/>
      <c r="BO138" s="352">
        <f>+Other!BO11</f>
        <v>40</v>
      </c>
      <c r="BP138" s="156"/>
      <c r="BQ138" s="156"/>
      <c r="BR138" s="156"/>
      <c r="BS138" s="156"/>
      <c r="BT138" s="352">
        <f>+Other!BT11</f>
        <v>40</v>
      </c>
      <c r="BU138" s="156"/>
      <c r="BV138" s="156"/>
      <c r="BW138" s="156"/>
      <c r="BX138" s="156"/>
      <c r="BY138" s="352">
        <f>+Other!BY11</f>
        <v>40</v>
      </c>
      <c r="BZ138" s="156"/>
      <c r="CA138" s="156"/>
      <c r="CB138" s="156"/>
      <c r="CC138" s="156"/>
      <c r="CD138" s="352">
        <f>+Other!CD11</f>
        <v>40</v>
      </c>
    </row>
    <row r="139" spans="1:82" s="5" customFormat="1">
      <c r="A139" s="4" t="s">
        <v>2711</v>
      </c>
      <c r="B139" s="4"/>
      <c r="C139" s="93"/>
      <c r="D139" s="93"/>
      <c r="E139" s="125">
        <f>+E138/E137</f>
        <v>0.43538139951416494</v>
      </c>
      <c r="F139" s="125">
        <f>+F138/F137</f>
        <v>0.356234649500145</v>
      </c>
      <c r="G139" s="125">
        <f>+G138/G137</f>
        <v>0.35704077870898371</v>
      </c>
      <c r="H139" s="156"/>
      <c r="I139" s="156"/>
      <c r="J139" s="156"/>
      <c r="K139" s="156"/>
      <c r="L139" s="125">
        <f>+L138/L137</f>
        <v>0.37078690918298812</v>
      </c>
      <c r="M139" s="156"/>
      <c r="N139" s="156"/>
      <c r="O139" s="156"/>
      <c r="P139" s="156"/>
      <c r="Q139" s="125">
        <f>+Q138/Q137</f>
        <v>0.42161383323768464</v>
      </c>
      <c r="R139" s="156"/>
      <c r="S139" s="156"/>
      <c r="T139" s="156"/>
      <c r="U139" s="156"/>
      <c r="V139" s="125">
        <f>+V138/V137</f>
        <v>0.394770425269313</v>
      </c>
      <c r="W139" s="156"/>
      <c r="X139" s="156"/>
      <c r="Y139" s="156"/>
      <c r="Z139" s="156"/>
      <c r="AA139" s="125">
        <f>+AA138/AA137</f>
        <v>0.71102278373886296</v>
      </c>
      <c r="AB139" s="156"/>
      <c r="AC139" s="156"/>
      <c r="AD139" s="156"/>
      <c r="AE139" s="156"/>
      <c r="AF139" s="125">
        <f>+AF138/AF137</f>
        <v>0.13475498808070499</v>
      </c>
      <c r="AG139" s="156"/>
      <c r="AH139" s="156"/>
      <c r="AI139" s="156"/>
      <c r="AJ139" s="156"/>
      <c r="AK139" s="125">
        <f>+AK138/AK137</f>
        <v>0.30126699143897834</v>
      </c>
      <c r="AL139" s="156"/>
      <c r="AM139" s="156"/>
      <c r="AN139" s="156"/>
      <c r="AO139" s="156"/>
      <c r="AP139" s="125">
        <f>+AP138/AP137</f>
        <v>0.42606838587258838</v>
      </c>
      <c r="AQ139" s="156"/>
      <c r="AR139" s="156"/>
      <c r="AS139" s="156"/>
      <c r="AT139" s="156"/>
      <c r="AU139" s="125">
        <f>+AU138/AU137</f>
        <v>0.57635493781319624</v>
      </c>
      <c r="AV139" s="156"/>
      <c r="AW139" s="156"/>
      <c r="AX139" s="156"/>
      <c r="AY139" s="156"/>
      <c r="AZ139" s="125">
        <f>+AZ138/AZ137</f>
        <v>0.72816173805767104</v>
      </c>
      <c r="BA139" s="156"/>
      <c r="BB139" s="156"/>
      <c r="BC139" s="156"/>
      <c r="BD139" s="156"/>
      <c r="BE139" s="125">
        <f>+BE138/BE137</f>
        <v>2.8826442723859733</v>
      </c>
      <c r="BF139" s="156"/>
      <c r="BG139" s="156"/>
      <c r="BH139" s="156"/>
      <c r="BI139" s="156"/>
      <c r="BJ139" s="125">
        <f ca="1">+BJ138/BJ137</f>
        <v>-1.5064134262909181</v>
      </c>
      <c r="BK139" s="156"/>
      <c r="BL139" s="156"/>
      <c r="BM139" s="156"/>
      <c r="BN139" s="156"/>
      <c r="BO139" s="125">
        <f ca="1">+BO138/BO137</f>
        <v>1.0198384368077849</v>
      </c>
      <c r="BP139" s="156"/>
      <c r="BQ139" s="156"/>
      <c r="BR139" s="156"/>
      <c r="BS139" s="156"/>
      <c r="BT139" s="125">
        <f ca="1">+BT138/BT137</f>
        <v>0.67021876168893846</v>
      </c>
      <c r="BU139" s="156"/>
      <c r="BV139" s="156"/>
      <c r="BW139" s="156"/>
      <c r="BX139" s="156"/>
      <c r="BY139" s="125">
        <f ca="1">+BY138/BY137</f>
        <v>0.86621016911445314</v>
      </c>
      <c r="BZ139" s="156"/>
      <c r="CA139" s="156"/>
      <c r="CB139" s="156"/>
      <c r="CC139" s="156"/>
      <c r="CD139" s="125">
        <f ca="1">+CD138/CD137</f>
        <v>-1.6114855393098384</v>
      </c>
    </row>
  </sheetData>
  <phoneticPr fontId="14" type="noConversion"/>
  <pageMargins left="0.75" right="0.75" top="1" bottom="1" header="0.5" footer="0.5"/>
  <pageSetup scale="52" fitToHeight="0" orientation="landscape" horizontalDpi="300" verticalDpi="300" r:id="rId1"/>
  <headerFooter alignWithMargins="0"/>
  <rowBreaks count="1" manualBreakCount="1">
    <brk id="48" max="81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indexed="28"/>
    <pageSetUpPr fitToPage="1"/>
  </sheetPr>
  <dimension ref="A1:CR137"/>
  <sheetViews>
    <sheetView zoomScale="85" zoomScaleNormal="85" workbookViewId="0">
      <pane xSplit="2" ySplit="9" topLeftCell="AF10" activePane="bottomRight" state="frozen"/>
      <selection sqref="A1:IV65536"/>
      <selection pane="topRight" sqref="A1:IV65536"/>
      <selection pane="bottomLeft" sqref="A1:IV65536"/>
      <selection pane="bottomRight" sqref="A1:XFD1048576"/>
    </sheetView>
  </sheetViews>
  <sheetFormatPr defaultColWidth="9.7109375" defaultRowHeight="12.75" outlineLevelCol="1"/>
  <cols>
    <col min="1" max="1" width="3.7109375" customWidth="1"/>
    <col min="2" max="2" width="35.7109375" customWidth="1"/>
    <col min="3" max="6" width="9.7109375" hidden="1" customWidth="1"/>
    <col min="7" max="7" width="9.7109375" customWidth="1"/>
    <col min="8" max="11" width="9.7109375" hidden="1" customWidth="1" outlineLevel="1"/>
    <col min="12" max="12" width="9.7109375" customWidth="1" collapsed="1"/>
    <col min="13" max="16" width="9.7109375" hidden="1" customWidth="1" outlineLevel="1"/>
    <col min="17" max="17" width="9.7109375" customWidth="1" collapsed="1"/>
    <col min="18" max="21" width="9.7109375" hidden="1" customWidth="1" outlineLevel="1"/>
    <col min="22" max="22" width="9.7109375" customWidth="1" collapsed="1"/>
    <col min="23" max="26" width="9.7109375" hidden="1" customWidth="1" outlineLevel="1"/>
    <col min="27" max="27" width="9.7109375" customWidth="1" collapsed="1"/>
    <col min="28" max="31" width="9.7109375" hidden="1" customWidth="1" outlineLevel="1"/>
    <col min="32" max="32" width="9.7109375" customWidth="1" collapsed="1"/>
    <col min="33" max="36" width="9.7109375" hidden="1" customWidth="1" outlineLevel="1"/>
    <col min="37" max="37" width="9.7109375" customWidth="1" collapsed="1"/>
    <col min="38" max="41" width="9.7109375" hidden="1" customWidth="1" outlineLevel="1"/>
    <col min="42" max="42" width="9.7109375" customWidth="1" collapsed="1"/>
    <col min="43" max="46" width="9.7109375" hidden="1" customWidth="1" outlineLevel="1"/>
    <col min="47" max="47" width="9.7109375" customWidth="1" collapsed="1"/>
    <col min="48" max="51" width="9.7109375" hidden="1" customWidth="1" outlineLevel="1"/>
    <col min="52" max="52" width="9.7109375" customWidth="1" collapsed="1"/>
    <col min="53" max="56" width="9.7109375" hidden="1" customWidth="1" outlineLevel="1"/>
    <col min="57" max="57" width="9.7109375" customWidth="1" collapsed="1"/>
    <col min="58" max="61" width="9.7109375" hidden="1" customWidth="1" outlineLevel="1"/>
    <col min="62" max="62" width="9.7109375" customWidth="1" collapsed="1"/>
    <col min="63" max="66" width="9.7109375" hidden="1" customWidth="1" outlineLevel="1"/>
    <col min="67" max="67" width="9.7109375" customWidth="1" collapsed="1"/>
    <col min="68" max="71" width="9.7109375" hidden="1" customWidth="1" outlineLevel="1"/>
    <col min="72" max="72" width="9.7109375" customWidth="1" collapsed="1"/>
    <col min="73" max="76" width="9.7109375" hidden="1" customWidth="1" outlineLevel="1"/>
    <col min="77" max="77" width="9.7109375" customWidth="1" collapsed="1"/>
    <col min="78" max="81" width="9.7109375" hidden="1" customWidth="1" outlineLevel="1"/>
    <col min="82" max="82" width="9.7109375" customWidth="1" collapsed="1"/>
    <col min="94" max="94" width="10.5703125" bestFit="1" customWidth="1"/>
  </cols>
  <sheetData>
    <row r="1" spans="1:96" ht="12.75" customHeight="1">
      <c r="A1" s="1"/>
      <c r="B1" s="1"/>
      <c r="C1" s="1"/>
      <c r="D1" s="2"/>
      <c r="E1" s="2"/>
      <c r="F1" s="2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3"/>
      <c r="T1" s="3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 t="s">
        <v>3421</v>
      </c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</row>
    <row r="2" spans="1:96" ht="18" customHeight="1">
      <c r="A2" s="1"/>
      <c r="B2" s="20" t="s">
        <v>3369</v>
      </c>
      <c r="C2" s="1"/>
      <c r="D2" s="2"/>
      <c r="E2" s="2"/>
      <c r="F2" s="2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3"/>
      <c r="T2" s="3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 t="s">
        <v>3421</v>
      </c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</row>
    <row r="3" spans="1:96" ht="12.75" customHeight="1">
      <c r="A3" s="1"/>
      <c r="B3" s="21" t="s">
        <v>2649</v>
      </c>
      <c r="C3" s="1"/>
      <c r="D3" s="2"/>
      <c r="E3" s="2"/>
      <c r="F3" s="2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3"/>
      <c r="T3" s="3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 t="s">
        <v>3421</v>
      </c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</row>
    <row r="4" spans="1:96" ht="12.75" customHeight="1">
      <c r="A4" s="1"/>
      <c r="B4" s="1"/>
      <c r="C4" s="1"/>
      <c r="D4" s="2"/>
      <c r="E4" s="2"/>
      <c r="F4" s="2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3"/>
      <c r="T4" s="3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 t="s">
        <v>3421</v>
      </c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</row>
    <row r="5" spans="1:96" ht="12.75" customHeight="1">
      <c r="A5" s="4"/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</row>
    <row r="6" spans="1:96" ht="12.75" customHeight="1">
      <c r="A6" s="6"/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424"/>
      <c r="AV6" s="424"/>
      <c r="AW6" s="424"/>
      <c r="AX6" s="424"/>
      <c r="AY6" s="424"/>
      <c r="AZ6" s="424"/>
      <c r="BA6" s="475"/>
      <c r="BB6" s="475"/>
      <c r="BC6" s="475"/>
      <c r="BD6" s="475"/>
      <c r="BE6" s="475"/>
      <c r="BF6" s="475"/>
      <c r="BG6" s="475"/>
      <c r="BH6" s="475"/>
      <c r="BI6" s="475"/>
      <c r="BJ6" s="475"/>
      <c r="BK6" s="475"/>
      <c r="BL6" s="475"/>
      <c r="BM6" s="475"/>
      <c r="BN6" s="475"/>
      <c r="BO6" s="475"/>
      <c r="BP6" s="475"/>
      <c r="BQ6" s="475"/>
      <c r="BR6" s="475"/>
      <c r="BS6" s="475"/>
      <c r="BT6" s="475"/>
      <c r="BU6" s="475"/>
      <c r="BV6" s="475"/>
      <c r="BW6" s="475"/>
      <c r="BX6" s="475"/>
      <c r="BY6" s="475"/>
      <c r="BZ6" s="475"/>
      <c r="CA6" s="475"/>
      <c r="CB6" s="475"/>
      <c r="CC6" s="475"/>
      <c r="CD6" s="475"/>
    </row>
    <row r="7" spans="1:96" ht="12.75" customHeight="1">
      <c r="A7" s="4"/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603"/>
      <c r="BP7" s="603"/>
      <c r="BQ7" s="603"/>
      <c r="BR7" s="603"/>
      <c r="BS7" s="603"/>
      <c r="BT7" s="603"/>
      <c r="BU7" s="603"/>
      <c r="BV7" s="603"/>
      <c r="BW7" s="603"/>
      <c r="BX7" s="603"/>
      <c r="BY7" s="603"/>
      <c r="BZ7" s="603"/>
      <c r="CA7" s="603"/>
      <c r="CB7" s="603"/>
      <c r="CC7" s="603"/>
      <c r="CD7" s="603"/>
    </row>
    <row r="8" spans="1:96" ht="12.75" customHeight="1">
      <c r="A8" s="9" t="s">
        <v>1452</v>
      </c>
      <c r="B8" s="4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</row>
    <row r="9" spans="1:96" ht="12.75" customHeight="1">
      <c r="A9" s="10"/>
      <c r="B9" s="10"/>
      <c r="C9" s="31">
        <v>2001</v>
      </c>
      <c r="D9" s="32">
        <v>2002</v>
      </c>
      <c r="E9" s="32">
        <v>2003</v>
      </c>
      <c r="F9" s="32">
        <v>2004</v>
      </c>
      <c r="G9" s="31">
        <v>2005</v>
      </c>
      <c r="H9" s="33" t="s">
        <v>714</v>
      </c>
      <c r="I9" s="33" t="s">
        <v>715</v>
      </c>
      <c r="J9" s="33" t="s">
        <v>716</v>
      </c>
      <c r="K9" s="33" t="s">
        <v>717</v>
      </c>
      <c r="L9" s="31">
        <v>2006</v>
      </c>
      <c r="M9" s="33" t="s">
        <v>718</v>
      </c>
      <c r="N9" s="33" t="s">
        <v>719</v>
      </c>
      <c r="O9" s="33" t="s">
        <v>1970</v>
      </c>
      <c r="P9" s="33" t="s">
        <v>1971</v>
      </c>
      <c r="Q9" s="31">
        <v>2007</v>
      </c>
      <c r="R9" s="33" t="s">
        <v>1972</v>
      </c>
      <c r="S9" s="33" t="s">
        <v>1973</v>
      </c>
      <c r="T9" s="33" t="s">
        <v>1974</v>
      </c>
      <c r="U9" s="33" t="s">
        <v>1975</v>
      </c>
      <c r="V9" s="31">
        <v>2008</v>
      </c>
      <c r="W9" s="33" t="s">
        <v>1976</v>
      </c>
      <c r="X9" s="33" t="s">
        <v>1977</v>
      </c>
      <c r="Y9" s="33" t="s">
        <v>1978</v>
      </c>
      <c r="Z9" s="33" t="s">
        <v>1979</v>
      </c>
      <c r="AA9" s="31">
        <v>2009</v>
      </c>
      <c r="AB9" s="33" t="s">
        <v>1980</v>
      </c>
      <c r="AC9" s="33" t="s">
        <v>1981</v>
      </c>
      <c r="AD9" s="33" t="s">
        <v>1982</v>
      </c>
      <c r="AE9" s="33" t="s">
        <v>2392</v>
      </c>
      <c r="AF9" s="31">
        <v>2010</v>
      </c>
      <c r="AG9" s="33" t="s">
        <v>2393</v>
      </c>
      <c r="AH9" s="33" t="s">
        <v>2394</v>
      </c>
      <c r="AI9" s="33" t="s">
        <v>2395</v>
      </c>
      <c r="AJ9" s="368" t="s">
        <v>2396</v>
      </c>
      <c r="AK9" s="369">
        <v>2011</v>
      </c>
      <c r="AL9" s="368" t="s">
        <v>2397</v>
      </c>
      <c r="AM9" s="368" t="s">
        <v>2398</v>
      </c>
      <c r="AN9" s="368" t="s">
        <v>2399</v>
      </c>
      <c r="AO9" s="368" t="s">
        <v>2400</v>
      </c>
      <c r="AP9" s="369">
        <v>2012</v>
      </c>
      <c r="AQ9" s="368" t="s">
        <v>2401</v>
      </c>
      <c r="AR9" s="368" t="s">
        <v>2402</v>
      </c>
      <c r="AS9" s="368" t="s">
        <v>2403</v>
      </c>
      <c r="AT9" s="368" t="s">
        <v>2404</v>
      </c>
      <c r="AU9" s="369">
        <v>2013</v>
      </c>
      <c r="AV9" s="368" t="s">
        <v>2405</v>
      </c>
      <c r="AW9" s="368" t="s">
        <v>2406</v>
      </c>
      <c r="AX9" s="368" t="s">
        <v>2407</v>
      </c>
      <c r="AY9" s="368" t="s">
        <v>2408</v>
      </c>
      <c r="AZ9" s="369">
        <v>2014</v>
      </c>
      <c r="BA9" s="368" t="s">
        <v>2409</v>
      </c>
      <c r="BB9" s="368" t="s">
        <v>2410</v>
      </c>
      <c r="BC9" s="368" t="s">
        <v>2411</v>
      </c>
      <c r="BD9" s="368" t="s">
        <v>2412</v>
      </c>
      <c r="BE9" s="31">
        <v>2015</v>
      </c>
      <c r="BF9" s="368" t="s">
        <v>2413</v>
      </c>
      <c r="BG9" s="368" t="s">
        <v>2414</v>
      </c>
      <c r="BH9" s="368" t="s">
        <v>2415</v>
      </c>
      <c r="BI9" s="368" t="s">
        <v>2416</v>
      </c>
      <c r="BJ9" s="31">
        <v>2016</v>
      </c>
      <c r="BK9" s="368" t="s">
        <v>2417</v>
      </c>
      <c r="BL9" s="368" t="s">
        <v>2418</v>
      </c>
      <c r="BM9" s="368" t="s">
        <v>2419</v>
      </c>
      <c r="BN9" s="368" t="s">
        <v>2420</v>
      </c>
      <c r="BO9" s="31">
        <v>2017</v>
      </c>
      <c r="BP9" s="363" t="s">
        <v>2244</v>
      </c>
      <c r="BQ9" s="363" t="s">
        <v>2245</v>
      </c>
      <c r="BR9" s="363" t="s">
        <v>2508</v>
      </c>
      <c r="BS9" s="363" t="s">
        <v>2509</v>
      </c>
      <c r="BT9" s="364">
        <v>2018</v>
      </c>
      <c r="BU9" s="363" t="s">
        <v>2510</v>
      </c>
      <c r="BV9" s="363" t="s">
        <v>2511</v>
      </c>
      <c r="BW9" s="363" t="s">
        <v>3125</v>
      </c>
      <c r="BX9" s="363" t="s">
        <v>1405</v>
      </c>
      <c r="BY9" s="364">
        <v>2019</v>
      </c>
      <c r="BZ9" s="363" t="s">
        <v>1406</v>
      </c>
      <c r="CA9" s="363" t="s">
        <v>1407</v>
      </c>
      <c r="CB9" s="363" t="s">
        <v>1408</v>
      </c>
      <c r="CC9" s="363" t="s">
        <v>1409</v>
      </c>
      <c r="CD9" s="364">
        <v>2020</v>
      </c>
      <c r="CG9" s="653" t="s">
        <v>1043</v>
      </c>
      <c r="CH9" s="364" t="s">
        <v>3563</v>
      </c>
      <c r="CI9" s="364" t="s">
        <v>1246</v>
      </c>
      <c r="CJ9" s="364" t="s">
        <v>896</v>
      </c>
    </row>
    <row r="10" spans="1:96" ht="12.75" customHeight="1">
      <c r="A10" s="5"/>
      <c r="B10" s="4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116"/>
      <c r="BK10" s="138"/>
      <c r="BL10" s="138"/>
      <c r="BM10" s="138"/>
      <c r="BN10" s="138"/>
      <c r="BO10" s="116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G10" s="456">
        <v>2005</v>
      </c>
      <c r="CH10" s="391">
        <f>CJ10-CI10</f>
        <v>10187</v>
      </c>
      <c r="CI10">
        <f t="shared" ref="CI10:CI24" si="0">INDEX($12:$12,MATCH(CG10,$9:$9,0))+INDEX($13:$13,MATCH(CG10,$9:$9,0))</f>
        <v>3751</v>
      </c>
      <c r="CJ10">
        <f t="shared" ref="CJ10:CJ24" si="1">INDEX($19:$19, MATCH(CG10,$9:$9,0))</f>
        <v>13938</v>
      </c>
    </row>
    <row r="11" spans="1:96" ht="12.75" customHeight="1">
      <c r="A11" s="121" t="s">
        <v>2700</v>
      </c>
      <c r="B11" s="121"/>
      <c r="C11" s="243"/>
      <c r="D11" s="243"/>
      <c r="E11" s="243"/>
      <c r="F11" s="13">
        <v>11412</v>
      </c>
      <c r="G11" s="13">
        <v>10398</v>
      </c>
      <c r="H11" s="107">
        <v>2726</v>
      </c>
      <c r="I11" s="107">
        <v>3021</v>
      </c>
      <c r="J11" s="107">
        <v>3977</v>
      </c>
      <c r="K11" s="107">
        <v>3528</v>
      </c>
      <c r="L11" s="13">
        <v>13252</v>
      </c>
      <c r="M11" s="107">
        <v>3023</v>
      </c>
      <c r="N11" s="107">
        <v>3734</v>
      </c>
      <c r="O11" s="107">
        <v>3300</v>
      </c>
      <c r="P11" s="107">
        <v>4150</v>
      </c>
      <c r="Q11" s="13">
        <v>14207</v>
      </c>
      <c r="R11" s="107">
        <v>6002</v>
      </c>
      <c r="S11" s="107">
        <v>3949</v>
      </c>
      <c r="T11" s="107">
        <v>7430</v>
      </c>
      <c r="U11" s="107">
        <v>4846</v>
      </c>
      <c r="V11" s="13">
        <v>22227</v>
      </c>
      <c r="W11" s="107">
        <v>3705</v>
      </c>
      <c r="X11" s="107">
        <v>3566</v>
      </c>
      <c r="Y11" s="107">
        <v>3512</v>
      </c>
      <c r="Z11" s="107">
        <v>4113</v>
      </c>
      <c r="AA11" s="13">
        <v>14896</v>
      </c>
      <c r="AB11" s="107">
        <v>3948</v>
      </c>
      <c r="AC11" s="107">
        <v>5196</v>
      </c>
      <c r="AD11" s="107">
        <v>5247</v>
      </c>
      <c r="AE11" s="107">
        <v>3362</v>
      </c>
      <c r="AF11" s="13">
        <v>17753</v>
      </c>
      <c r="AG11" s="107">
        <v>3134</v>
      </c>
      <c r="AH11" s="107">
        <v>6440</v>
      </c>
      <c r="AI11" s="107">
        <v>10312</v>
      </c>
      <c r="AJ11" s="107">
        <v>5649</v>
      </c>
      <c r="AK11" s="13">
        <f>SUM(AG11:AJ11)</f>
        <v>25535</v>
      </c>
      <c r="AL11" s="107">
        <v>4475</v>
      </c>
      <c r="AM11" s="107">
        <v>3790</v>
      </c>
      <c r="AN11" s="107">
        <v>4617</v>
      </c>
      <c r="AO11" s="107">
        <f>1843+3134</f>
        <v>4977</v>
      </c>
      <c r="AP11" s="13">
        <f>+SUM(AL11:AO11)</f>
        <v>17859</v>
      </c>
      <c r="AQ11" s="107">
        <f>1539+2957+11941</f>
        <v>16437</v>
      </c>
      <c r="AR11" s="107">
        <f>1562+2844</f>
        <v>4406</v>
      </c>
      <c r="AS11" s="107">
        <f>1611+3124</f>
        <v>4735</v>
      </c>
      <c r="AT11" s="107">
        <v>5478</v>
      </c>
      <c r="AU11" s="13">
        <f>SUM(AQ11:AT11)</f>
        <v>31056</v>
      </c>
      <c r="AV11" s="107">
        <v>5397</v>
      </c>
      <c r="AW11" s="107">
        <v>4786</v>
      </c>
      <c r="AX11" s="107">
        <v>4483</v>
      </c>
      <c r="AY11" s="107">
        <v>5106</v>
      </c>
      <c r="AZ11" s="13">
        <f>SUM(AV11:AY11)</f>
        <v>19772</v>
      </c>
      <c r="BA11" s="107">
        <v>4031</v>
      </c>
      <c r="BB11" s="107">
        <v>4103</v>
      </c>
      <c r="BC11" s="107">
        <v>3794</v>
      </c>
      <c r="BD11" s="107">
        <v>5154</v>
      </c>
      <c r="BE11" s="13">
        <f>SUM(BA11:BD11)</f>
        <v>17082</v>
      </c>
      <c r="BF11" s="107">
        <f>3643+BF17</f>
        <v>3643</v>
      </c>
      <c r="BG11" s="107">
        <f>3453+BG17</f>
        <v>3729</v>
      </c>
      <c r="BH11" s="107">
        <f>3100+BH17</f>
        <v>3145</v>
      </c>
      <c r="BI11" s="107">
        <f>5852+BI17</f>
        <v>6470</v>
      </c>
      <c r="BJ11" s="13">
        <f>SUM(BF11:BI11)</f>
        <v>16987</v>
      </c>
      <c r="BK11" s="404">
        <f>2980+BK17</f>
        <v>3510</v>
      </c>
      <c r="BL11" s="404">
        <f>3810+BL17</f>
        <v>3950</v>
      </c>
      <c r="BM11" s="404">
        <f>3428+BM17</f>
        <v>3898</v>
      </c>
      <c r="BN11" s="404">
        <f>3545+BN17</f>
        <v>3744</v>
      </c>
      <c r="BO11" s="13">
        <f>SUM(BK11:BN11)</f>
        <v>15102</v>
      </c>
      <c r="BP11" s="13"/>
      <c r="BQ11" s="13"/>
      <c r="BR11" s="13"/>
      <c r="BS11" s="13"/>
      <c r="BT11" s="13">
        <f>BT44+BT46</f>
        <v>13150</v>
      </c>
      <c r="BU11" s="13"/>
      <c r="BV11" s="13"/>
      <c r="BW11" s="13"/>
      <c r="BX11" s="13"/>
      <c r="BY11" s="13">
        <f>BY44+BY46</f>
        <v>13500</v>
      </c>
      <c r="BZ11" s="13"/>
      <c r="CA11" s="13"/>
      <c r="CB11" s="13"/>
      <c r="CC11" s="13"/>
      <c r="CD11" s="13">
        <f>CD44+CD46</f>
        <v>13500</v>
      </c>
      <c r="CG11" s="456">
        <v>2006</v>
      </c>
      <c r="CH11" s="391">
        <f t="shared" ref="CH11:CH24" si="2">CJ11-CI11</f>
        <v>12931</v>
      </c>
      <c r="CI11">
        <f t="shared" si="0"/>
        <v>3979</v>
      </c>
      <c r="CJ11">
        <f t="shared" si="1"/>
        <v>16910</v>
      </c>
      <c r="CN11" s="391"/>
      <c r="CO11" s="391"/>
      <c r="CP11" s="391"/>
      <c r="CQ11" s="391"/>
      <c r="CR11" s="391"/>
    </row>
    <row r="12" spans="1:96" ht="12.75" customHeight="1">
      <c r="A12" s="121" t="s">
        <v>2701</v>
      </c>
      <c r="B12" s="121"/>
      <c r="C12" s="243"/>
      <c r="D12" s="243"/>
      <c r="E12" s="243"/>
      <c r="F12" s="13">
        <v>2983</v>
      </c>
      <c r="G12" s="13">
        <v>2845</v>
      </c>
      <c r="H12" s="107">
        <v>487</v>
      </c>
      <c r="I12" s="107">
        <v>543</v>
      </c>
      <c r="J12" s="107">
        <v>617</v>
      </c>
      <c r="K12" s="107">
        <v>1480</v>
      </c>
      <c r="L12" s="13">
        <v>3127</v>
      </c>
      <c r="M12" s="107">
        <v>1629</v>
      </c>
      <c r="N12" s="107">
        <v>854</v>
      </c>
      <c r="O12" s="107">
        <v>1127</v>
      </c>
      <c r="P12" s="107">
        <v>1885</v>
      </c>
      <c r="Q12" s="13">
        <v>5495</v>
      </c>
      <c r="R12" s="107">
        <v>2668</v>
      </c>
      <c r="S12" s="107">
        <v>1244</v>
      </c>
      <c r="T12" s="107">
        <v>1116</v>
      </c>
      <c r="U12" s="107">
        <v>1606</v>
      </c>
      <c r="V12" s="13">
        <v>6634</v>
      </c>
      <c r="W12" s="107">
        <v>793</v>
      </c>
      <c r="X12" s="107">
        <v>838</v>
      </c>
      <c r="Y12" s="107">
        <v>919</v>
      </c>
      <c r="Z12" s="107">
        <v>1564</v>
      </c>
      <c r="AA12" s="13">
        <v>4114</v>
      </c>
      <c r="AB12" s="107">
        <v>672</v>
      </c>
      <c r="AC12" s="107">
        <v>925</v>
      </c>
      <c r="AD12" s="107">
        <v>1067</v>
      </c>
      <c r="AE12" s="107">
        <v>1365</v>
      </c>
      <c r="AF12" s="13">
        <v>4029</v>
      </c>
      <c r="AG12" s="107">
        <v>737</v>
      </c>
      <c r="AH12" s="107">
        <v>939</v>
      </c>
      <c r="AI12" s="107">
        <v>1085</v>
      </c>
      <c r="AJ12" s="107">
        <v>1369</v>
      </c>
      <c r="AK12" s="13">
        <f>SUM(AG12:AJ12)</f>
        <v>4130</v>
      </c>
      <c r="AL12" s="107">
        <v>876</v>
      </c>
      <c r="AM12" s="107">
        <v>1268</v>
      </c>
      <c r="AN12" s="107">
        <v>1281</v>
      </c>
      <c r="AO12" s="107">
        <f>859+764</f>
        <v>1623</v>
      </c>
      <c r="AP12" s="13">
        <f>+SUM(AL12:AO12)</f>
        <v>5048</v>
      </c>
      <c r="AQ12" s="107">
        <v>1054</v>
      </c>
      <c r="AR12" s="107">
        <v>1174</v>
      </c>
      <c r="AS12" s="107">
        <f>559+438</f>
        <v>997</v>
      </c>
      <c r="AT12" s="107">
        <v>1281</v>
      </c>
      <c r="AU12" s="13">
        <f>SUM(AQ12:AT12)</f>
        <v>4506</v>
      </c>
      <c r="AV12" s="107">
        <v>550</v>
      </c>
      <c r="AW12" s="107">
        <v>610</v>
      </c>
      <c r="AX12" s="107">
        <v>697</v>
      </c>
      <c r="AY12" s="107">
        <v>1249</v>
      </c>
      <c r="AZ12" s="13">
        <f>SUM(AV12:AY12)</f>
        <v>3106</v>
      </c>
      <c r="BA12" s="107">
        <v>344</v>
      </c>
      <c r="BB12" s="107">
        <v>496</v>
      </c>
      <c r="BC12" s="107">
        <v>412</v>
      </c>
      <c r="BD12" s="107">
        <v>857</v>
      </c>
      <c r="BE12" s="13">
        <f>SUM(BA12:BD12)</f>
        <v>2109</v>
      </c>
      <c r="BF12" s="107">
        <v>265</v>
      </c>
      <c r="BG12" s="107">
        <v>428</v>
      </c>
      <c r="BH12" s="107">
        <v>472</v>
      </c>
      <c r="BI12" s="107">
        <v>976</v>
      </c>
      <c r="BJ12" s="13">
        <f>SUM(BF12:BI12)</f>
        <v>2141</v>
      </c>
      <c r="BK12" s="404">
        <v>472</v>
      </c>
      <c r="BL12" s="404">
        <v>465</v>
      </c>
      <c r="BM12" s="404">
        <v>515</v>
      </c>
      <c r="BN12" s="404">
        <v>947</v>
      </c>
      <c r="BO12" s="13">
        <f>SUM(BK12:BN12)</f>
        <v>2399</v>
      </c>
      <c r="BP12" s="72"/>
      <c r="BQ12" s="72"/>
      <c r="BR12" s="72"/>
      <c r="BS12" s="72"/>
      <c r="BT12" s="144">
        <f>2500+1300</f>
        <v>3800</v>
      </c>
      <c r="BU12" s="72"/>
      <c r="BV12" s="72"/>
      <c r="BW12" s="72"/>
      <c r="BX12" s="72"/>
      <c r="BY12" s="144">
        <v>2500</v>
      </c>
      <c r="BZ12" s="72"/>
      <c r="CA12" s="72"/>
      <c r="CB12" s="72"/>
      <c r="CC12" s="72"/>
      <c r="CD12" s="144">
        <v>2500</v>
      </c>
      <c r="CG12" s="456">
        <v>2007</v>
      </c>
      <c r="CH12" s="391">
        <f t="shared" si="2"/>
        <v>12760</v>
      </c>
      <c r="CI12">
        <f t="shared" si="0"/>
        <v>6434</v>
      </c>
      <c r="CJ12">
        <f t="shared" si="1"/>
        <v>19194</v>
      </c>
      <c r="CN12" s="468"/>
      <c r="CP12" s="627"/>
      <c r="CQ12" s="613"/>
      <c r="CR12" s="391"/>
    </row>
    <row r="13" spans="1:96">
      <c r="A13" s="121" t="s">
        <v>2702</v>
      </c>
      <c r="B13" s="13"/>
      <c r="C13" s="243"/>
      <c r="D13" s="243"/>
      <c r="E13" s="243"/>
      <c r="F13" s="13">
        <v>2256</v>
      </c>
      <c r="G13" s="13">
        <v>906</v>
      </c>
      <c r="H13" s="107">
        <v>45</v>
      </c>
      <c r="I13" s="107">
        <v>148</v>
      </c>
      <c r="J13" s="107">
        <v>230</v>
      </c>
      <c r="K13" s="107">
        <v>429</v>
      </c>
      <c r="L13" s="13">
        <v>852</v>
      </c>
      <c r="M13" s="107">
        <v>108</v>
      </c>
      <c r="N13" s="107">
        <v>108</v>
      </c>
      <c r="O13" s="107">
        <v>145</v>
      </c>
      <c r="P13" s="107">
        <v>578</v>
      </c>
      <c r="Q13" s="13">
        <v>939</v>
      </c>
      <c r="R13" s="107">
        <v>375</v>
      </c>
      <c r="S13" s="107">
        <v>609</v>
      </c>
      <c r="T13" s="107">
        <v>312</v>
      </c>
      <c r="U13" s="107">
        <v>543</v>
      </c>
      <c r="V13" s="13">
        <v>1839</v>
      </c>
      <c r="W13" s="107">
        <v>97</v>
      </c>
      <c r="X13" s="107">
        <v>414</v>
      </c>
      <c r="Y13" s="107">
        <v>552</v>
      </c>
      <c r="Z13" s="107">
        <v>236</v>
      </c>
      <c r="AA13" s="13">
        <v>1299</v>
      </c>
      <c r="AB13" s="107">
        <v>67</v>
      </c>
      <c r="AC13" s="107">
        <v>91</v>
      </c>
      <c r="AD13" s="107">
        <v>342</v>
      </c>
      <c r="AE13" s="107">
        <v>734</v>
      </c>
      <c r="AF13" s="13">
        <v>1234</v>
      </c>
      <c r="AG13" s="107">
        <v>150</v>
      </c>
      <c r="AH13" s="107">
        <v>815</v>
      </c>
      <c r="AI13" s="107">
        <v>261</v>
      </c>
      <c r="AJ13" s="107">
        <v>627</v>
      </c>
      <c r="AK13" s="13">
        <f>SUM(AG13:AJ13)</f>
        <v>1853</v>
      </c>
      <c r="AL13" s="107">
        <v>297</v>
      </c>
      <c r="AM13" s="107">
        <v>373</v>
      </c>
      <c r="AN13" s="107">
        <v>227</v>
      </c>
      <c r="AO13" s="107">
        <f>143+395</f>
        <v>538</v>
      </c>
      <c r="AP13" s="13">
        <f>+SUM(AL13:AO13)</f>
        <v>1435</v>
      </c>
      <c r="AQ13" s="107">
        <v>160</v>
      </c>
      <c r="AR13" s="107">
        <v>240</v>
      </c>
      <c r="AS13" s="107">
        <f>54+136</f>
        <v>190</v>
      </c>
      <c r="AT13" s="107">
        <v>460</v>
      </c>
      <c r="AU13" s="13">
        <f>SUM(AQ13:AT13)</f>
        <v>1050</v>
      </c>
      <c r="AV13" s="107">
        <v>138</v>
      </c>
      <c r="AW13" s="107">
        <v>217</v>
      </c>
      <c r="AX13" s="107">
        <v>169</v>
      </c>
      <c r="AY13" s="107">
        <v>379</v>
      </c>
      <c r="AZ13" s="13">
        <f>SUM(AV13:AY13)</f>
        <v>903</v>
      </c>
      <c r="BA13" s="107">
        <v>90</v>
      </c>
      <c r="BB13" s="107">
        <v>59</v>
      </c>
      <c r="BC13" s="107">
        <v>64</v>
      </c>
      <c r="BD13" s="107">
        <v>127</v>
      </c>
      <c r="BE13" s="13">
        <f>SUM(BA13:BD13)</f>
        <v>340</v>
      </c>
      <c r="BF13" s="107">
        <v>36</v>
      </c>
      <c r="BG13" s="107">
        <v>38</v>
      </c>
      <c r="BH13" s="107">
        <v>50</v>
      </c>
      <c r="BI13" s="107">
        <v>127</v>
      </c>
      <c r="BJ13" s="13">
        <f>SUM(BF13:BI13)</f>
        <v>251</v>
      </c>
      <c r="BK13" s="404">
        <v>86</v>
      </c>
      <c r="BL13" s="404">
        <v>73</v>
      </c>
      <c r="BM13" s="404">
        <v>50</v>
      </c>
      <c r="BN13" s="404">
        <v>130</v>
      </c>
      <c r="BO13" s="13">
        <f>SUM(BK13:BN13)</f>
        <v>339</v>
      </c>
      <c r="BP13" s="72"/>
      <c r="BQ13" s="72"/>
      <c r="BR13" s="72"/>
      <c r="BS13" s="72"/>
      <c r="BT13" s="144">
        <v>250</v>
      </c>
      <c r="BU13" s="72"/>
      <c r="BV13" s="72"/>
      <c r="BW13" s="72"/>
      <c r="BX13" s="72"/>
      <c r="BY13" s="144">
        <v>250</v>
      </c>
      <c r="BZ13" s="72"/>
      <c r="CA13" s="72"/>
      <c r="CB13" s="72"/>
      <c r="CC13" s="72"/>
      <c r="CD13" s="144">
        <v>250</v>
      </c>
      <c r="CG13" s="456">
        <v>2008</v>
      </c>
      <c r="CH13" s="391">
        <f t="shared" si="2"/>
        <v>19713</v>
      </c>
      <c r="CI13">
        <f t="shared" si="0"/>
        <v>8473</v>
      </c>
      <c r="CJ13">
        <f t="shared" si="1"/>
        <v>28186</v>
      </c>
      <c r="CN13" s="468"/>
      <c r="CP13" s="627"/>
      <c r="CQ13" s="613"/>
      <c r="CR13" s="391"/>
    </row>
    <row r="14" spans="1:96">
      <c r="A14" s="14" t="s">
        <v>2648</v>
      </c>
      <c r="B14" s="15"/>
      <c r="C14" s="74"/>
      <c r="D14" s="74"/>
      <c r="E14" s="74"/>
      <c r="F14" s="15">
        <f t="shared" ref="F14:K14" si="3">SUM(F11:F13)</f>
        <v>16651</v>
      </c>
      <c r="G14" s="15">
        <f t="shared" si="3"/>
        <v>14149</v>
      </c>
      <c r="H14" s="67">
        <f t="shared" si="3"/>
        <v>3258</v>
      </c>
      <c r="I14" s="67">
        <f t="shared" si="3"/>
        <v>3712</v>
      </c>
      <c r="J14" s="67">
        <f t="shared" si="3"/>
        <v>4824</v>
      </c>
      <c r="K14" s="67">
        <f t="shared" si="3"/>
        <v>5437</v>
      </c>
      <c r="L14" s="15">
        <f>SUM(L11,L12,L13)</f>
        <v>17231</v>
      </c>
      <c r="M14" s="67">
        <v>4760</v>
      </c>
      <c r="N14" s="67">
        <v>4696</v>
      </c>
      <c r="O14" s="67">
        <v>4572</v>
      </c>
      <c r="P14" s="67">
        <v>6613</v>
      </c>
      <c r="Q14" s="15">
        <v>20641</v>
      </c>
      <c r="R14" s="67">
        <v>9045</v>
      </c>
      <c r="S14" s="67">
        <v>5802</v>
      </c>
      <c r="T14" s="67">
        <v>8858</v>
      </c>
      <c r="U14" s="67">
        <v>6995</v>
      </c>
      <c r="V14" s="15">
        <v>30700</v>
      </c>
      <c r="W14" s="67">
        <v>4595</v>
      </c>
      <c r="X14" s="67">
        <v>4818</v>
      </c>
      <c r="Y14" s="67">
        <v>4983</v>
      </c>
      <c r="Z14" s="67">
        <v>5913</v>
      </c>
      <c r="AA14" s="15">
        <v>20309</v>
      </c>
      <c r="AB14" s="67">
        <v>4687</v>
      </c>
      <c r="AC14" s="67">
        <v>6212</v>
      </c>
      <c r="AD14" s="67">
        <v>6656</v>
      </c>
      <c r="AE14" s="67">
        <v>5461</v>
      </c>
      <c r="AF14" s="15">
        <v>23016</v>
      </c>
      <c r="AG14" s="67">
        <f t="shared" ref="AG14:BF14" si="4">SUM(AG11:AG13)</f>
        <v>4021</v>
      </c>
      <c r="AH14" s="67">
        <f t="shared" si="4"/>
        <v>8194</v>
      </c>
      <c r="AI14" s="67">
        <f t="shared" si="4"/>
        <v>11658</v>
      </c>
      <c r="AJ14" s="67">
        <f t="shared" si="4"/>
        <v>7645</v>
      </c>
      <c r="AK14" s="15">
        <f t="shared" si="4"/>
        <v>31518</v>
      </c>
      <c r="AL14" s="67">
        <f t="shared" si="4"/>
        <v>5648</v>
      </c>
      <c r="AM14" s="67">
        <f t="shared" si="4"/>
        <v>5431</v>
      </c>
      <c r="AN14" s="67">
        <f t="shared" si="4"/>
        <v>6125</v>
      </c>
      <c r="AO14" s="67">
        <f t="shared" si="4"/>
        <v>7138</v>
      </c>
      <c r="AP14" s="15">
        <f>SUM(AP11:AP13)</f>
        <v>24342</v>
      </c>
      <c r="AQ14" s="67">
        <f t="shared" si="4"/>
        <v>17651</v>
      </c>
      <c r="AR14" s="67">
        <f t="shared" si="4"/>
        <v>5820</v>
      </c>
      <c r="AS14" s="67">
        <f t="shared" si="4"/>
        <v>5922</v>
      </c>
      <c r="AT14" s="67">
        <f t="shared" si="4"/>
        <v>7219</v>
      </c>
      <c r="AU14" s="15">
        <f>SUM(AU11:AU13)</f>
        <v>36612</v>
      </c>
      <c r="AV14" s="67">
        <f t="shared" si="4"/>
        <v>6085</v>
      </c>
      <c r="AW14" s="67">
        <f t="shared" si="4"/>
        <v>5613</v>
      </c>
      <c r="AX14" s="67">
        <f t="shared" si="4"/>
        <v>5349</v>
      </c>
      <c r="AY14" s="67">
        <f t="shared" si="4"/>
        <v>6734</v>
      </c>
      <c r="AZ14" s="15">
        <f>SUM(AZ11:AZ13)</f>
        <v>23781</v>
      </c>
      <c r="BA14" s="67">
        <f t="shared" si="4"/>
        <v>4465</v>
      </c>
      <c r="BB14" s="67">
        <f t="shared" si="4"/>
        <v>4658</v>
      </c>
      <c r="BC14" s="67">
        <f t="shared" si="4"/>
        <v>4270</v>
      </c>
      <c r="BD14" s="67">
        <f t="shared" si="4"/>
        <v>6138</v>
      </c>
      <c r="BE14" s="15">
        <f>SUM(BE11:BE13)</f>
        <v>19531</v>
      </c>
      <c r="BF14" s="67">
        <f t="shared" si="4"/>
        <v>3944</v>
      </c>
      <c r="BG14" s="67">
        <f t="shared" ref="BG14:BN14" si="5">SUM(BG11:BG13)</f>
        <v>4195</v>
      </c>
      <c r="BH14" s="67">
        <f t="shared" si="5"/>
        <v>3667</v>
      </c>
      <c r="BI14" s="67">
        <f t="shared" si="5"/>
        <v>7573</v>
      </c>
      <c r="BJ14" s="15">
        <f t="shared" si="5"/>
        <v>19379</v>
      </c>
      <c r="BK14" s="178">
        <f t="shared" si="5"/>
        <v>4068</v>
      </c>
      <c r="BL14" s="178">
        <f t="shared" si="5"/>
        <v>4488</v>
      </c>
      <c r="BM14" s="178">
        <f t="shared" si="5"/>
        <v>4463</v>
      </c>
      <c r="BN14" s="178">
        <f t="shared" si="5"/>
        <v>4821</v>
      </c>
      <c r="BO14" s="15">
        <f t="shared" ref="BO14" si="6">SUM(BO11:BO13)</f>
        <v>17840</v>
      </c>
      <c r="BP14" s="67"/>
      <c r="BQ14" s="67"/>
      <c r="BR14" s="67"/>
      <c r="BS14" s="67"/>
      <c r="BT14" s="15">
        <f>SUM(BT11:BT13)</f>
        <v>17200</v>
      </c>
      <c r="BU14" s="67"/>
      <c r="BV14" s="67"/>
      <c r="BW14" s="67"/>
      <c r="BX14" s="67"/>
      <c r="BY14" s="15">
        <f>SUM(BY11:BY13)</f>
        <v>16250</v>
      </c>
      <c r="BZ14" s="67"/>
      <c r="CA14" s="67"/>
      <c r="CB14" s="67"/>
      <c r="CC14" s="67"/>
      <c r="CD14" s="15">
        <f>SUM(CD11:CD13)</f>
        <v>16250</v>
      </c>
      <c r="CG14" s="456">
        <v>2009</v>
      </c>
      <c r="CH14" s="391">
        <f t="shared" si="2"/>
        <v>14588</v>
      </c>
      <c r="CI14">
        <f t="shared" si="0"/>
        <v>5413</v>
      </c>
      <c r="CJ14">
        <f t="shared" si="1"/>
        <v>20001</v>
      </c>
      <c r="CN14" s="468"/>
      <c r="CP14" s="627"/>
    </row>
    <row r="15" spans="1:96">
      <c r="A15" s="287"/>
      <c r="B15" s="264"/>
      <c r="C15" s="264"/>
      <c r="D15" s="264"/>
      <c r="E15" s="264"/>
      <c r="F15" s="264"/>
      <c r="G15" s="264"/>
      <c r="H15" s="267"/>
      <c r="I15" s="267"/>
      <c r="J15" s="267"/>
      <c r="K15" s="267"/>
      <c r="L15" s="264"/>
      <c r="M15" s="267"/>
      <c r="N15" s="267"/>
      <c r="O15" s="267"/>
      <c r="P15" s="267"/>
      <c r="Q15" s="264"/>
      <c r="R15" s="267"/>
      <c r="S15" s="267"/>
      <c r="T15" s="267"/>
      <c r="U15" s="267"/>
      <c r="V15" s="264"/>
      <c r="W15" s="267"/>
      <c r="X15" s="267"/>
      <c r="Y15" s="267"/>
      <c r="Z15" s="267"/>
      <c r="AA15" s="264"/>
      <c r="AB15" s="267"/>
      <c r="AC15" s="267"/>
      <c r="AD15" s="267"/>
      <c r="AE15" s="267"/>
      <c r="AF15" s="264"/>
      <c r="AG15" s="267"/>
      <c r="AH15" s="267"/>
      <c r="AI15" s="267"/>
      <c r="AJ15" s="267"/>
      <c r="AK15" s="264"/>
      <c r="AL15" s="267"/>
      <c r="AM15" s="267"/>
      <c r="AN15" s="267"/>
      <c r="AO15" s="267"/>
      <c r="AP15" s="264"/>
      <c r="AQ15" s="267"/>
      <c r="AR15" s="267"/>
      <c r="AS15" s="267"/>
      <c r="AT15" s="267"/>
      <c r="AU15" s="264"/>
      <c r="AV15" s="267"/>
      <c r="AW15" s="267"/>
      <c r="AX15" s="267"/>
      <c r="AY15" s="267"/>
      <c r="AZ15" s="264"/>
      <c r="BA15" s="267"/>
      <c r="BB15" s="267"/>
      <c r="BC15" s="267"/>
      <c r="BD15" s="267"/>
      <c r="BE15" s="264"/>
      <c r="BF15" s="267"/>
      <c r="BG15" s="267"/>
      <c r="BH15" s="267"/>
      <c r="BI15" s="267"/>
      <c r="BJ15" s="264"/>
      <c r="BK15" s="267"/>
      <c r="BL15" s="267"/>
      <c r="BM15" s="267"/>
      <c r="BN15" s="267"/>
      <c r="BO15" s="264"/>
      <c r="BP15" s="267"/>
      <c r="BQ15" s="267"/>
      <c r="BR15" s="267"/>
      <c r="BS15" s="267"/>
      <c r="BT15" s="264"/>
      <c r="BU15" s="267"/>
      <c r="BV15" s="267"/>
      <c r="BW15" s="267"/>
      <c r="BX15" s="267"/>
      <c r="BY15" s="264"/>
      <c r="BZ15" s="267"/>
      <c r="CA15" s="267"/>
      <c r="CB15" s="267"/>
      <c r="CC15" s="267"/>
      <c r="CD15" s="264"/>
      <c r="CG15" s="456">
        <v>2010</v>
      </c>
      <c r="CH15" s="391">
        <f t="shared" si="2"/>
        <v>14347</v>
      </c>
      <c r="CI15">
        <f t="shared" si="0"/>
        <v>5263</v>
      </c>
      <c r="CJ15">
        <f t="shared" si="1"/>
        <v>19610</v>
      </c>
      <c r="CN15" s="468"/>
      <c r="CP15" s="627"/>
    </row>
    <row r="16" spans="1:96">
      <c r="A16" s="121" t="s">
        <v>558</v>
      </c>
      <c r="B16" s="13"/>
      <c r="C16" s="243"/>
      <c r="D16" s="243"/>
      <c r="E16" s="243"/>
      <c r="F16" s="13">
        <v>2841</v>
      </c>
      <c r="G16" s="13">
        <v>211</v>
      </c>
      <c r="H16" s="107">
        <v>10</v>
      </c>
      <c r="I16" s="107">
        <v>0</v>
      </c>
      <c r="J16" s="107">
        <v>106</v>
      </c>
      <c r="K16" s="107">
        <v>205</v>
      </c>
      <c r="L16" s="13">
        <v>321</v>
      </c>
      <c r="M16" s="107">
        <v>1113</v>
      </c>
      <c r="N16" s="107">
        <v>332</v>
      </c>
      <c r="O16" s="107">
        <v>2</v>
      </c>
      <c r="P16" s="107">
        <v>0</v>
      </c>
      <c r="Q16" s="13">
        <v>1447</v>
      </c>
      <c r="R16" s="107">
        <v>1964</v>
      </c>
      <c r="S16" s="107">
        <v>324</v>
      </c>
      <c r="T16" s="107">
        <v>0</v>
      </c>
      <c r="U16" s="107">
        <v>226</v>
      </c>
      <c r="V16" s="13">
        <v>2514</v>
      </c>
      <c r="W16" s="107">
        <v>0</v>
      </c>
      <c r="X16" s="107">
        <v>0</v>
      </c>
      <c r="Y16" s="107">
        <v>281</v>
      </c>
      <c r="Z16" s="107">
        <v>27</v>
      </c>
      <c r="AA16" s="13">
        <v>308</v>
      </c>
      <c r="AB16" s="107">
        <v>0</v>
      </c>
      <c r="AC16" s="107">
        <v>1767</v>
      </c>
      <c r="AD16" s="107">
        <v>1427</v>
      </c>
      <c r="AE16" s="107">
        <v>212</v>
      </c>
      <c r="AF16" s="13">
        <v>3406</v>
      </c>
      <c r="AG16" s="107">
        <v>9</v>
      </c>
      <c r="AH16" s="107">
        <v>4005</v>
      </c>
      <c r="AI16" s="107">
        <v>6987</v>
      </c>
      <c r="AJ16" s="107">
        <v>282</v>
      </c>
      <c r="AK16" s="13">
        <f>SUM(AG16:AJ16)</f>
        <v>11283</v>
      </c>
      <c r="AL16" s="107">
        <v>10</v>
      </c>
      <c r="AM16" s="107">
        <v>164</v>
      </c>
      <c r="AN16" s="107">
        <v>-19</v>
      </c>
      <c r="AO16" s="107">
        <v>45</v>
      </c>
      <c r="AP16" s="13">
        <f>SUM(AL16:AO16)</f>
        <v>200</v>
      </c>
      <c r="AQ16" s="107">
        <v>0</v>
      </c>
      <c r="AR16" s="107">
        <v>0</v>
      </c>
      <c r="AS16" s="107">
        <v>0</v>
      </c>
      <c r="AT16" s="107">
        <v>71</v>
      </c>
      <c r="AU16" s="13">
        <f>SUM(AQ16:AT16)</f>
        <v>71</v>
      </c>
      <c r="AV16" s="107">
        <v>236</v>
      </c>
      <c r="AW16" s="107">
        <v>10</v>
      </c>
      <c r="AX16" s="107">
        <v>24</v>
      </c>
      <c r="AY16" s="107">
        <v>150</v>
      </c>
      <c r="AZ16" s="13">
        <f>SUM(AV16:AY16)</f>
        <v>420</v>
      </c>
      <c r="BA16" s="107">
        <v>28</v>
      </c>
      <c r="BB16" s="107">
        <v>15</v>
      </c>
      <c r="BC16" s="107">
        <v>-16</v>
      </c>
      <c r="BD16" s="107">
        <v>22</v>
      </c>
      <c r="BE16" s="13">
        <f>SUM(BA16:BD16)</f>
        <v>49</v>
      </c>
      <c r="BF16" s="72"/>
      <c r="BG16" s="72"/>
      <c r="BH16" s="72"/>
      <c r="BI16" s="72"/>
      <c r="BJ16" s="72"/>
      <c r="BK16" s="72"/>
      <c r="BL16" s="72"/>
      <c r="BM16" s="72"/>
      <c r="BN16" s="72"/>
      <c r="BO16" s="72"/>
      <c r="BP16" s="72"/>
      <c r="BQ16" s="72"/>
      <c r="BR16" s="72"/>
      <c r="BS16" s="72"/>
      <c r="BT16" s="72"/>
      <c r="BU16" s="72"/>
      <c r="BV16" s="72"/>
      <c r="BW16" s="72"/>
      <c r="BX16" s="72"/>
      <c r="BY16" s="72"/>
      <c r="BZ16" s="72"/>
      <c r="CA16" s="72"/>
      <c r="CB16" s="72"/>
      <c r="CC16" s="72"/>
      <c r="CD16" s="72"/>
      <c r="CE16" s="391"/>
      <c r="CG16" s="456">
        <v>2011</v>
      </c>
      <c r="CH16" s="391">
        <f t="shared" si="2"/>
        <v>14252</v>
      </c>
      <c r="CI16">
        <f t="shared" si="0"/>
        <v>5983</v>
      </c>
      <c r="CJ16">
        <f t="shared" si="1"/>
        <v>20235</v>
      </c>
    </row>
    <row r="17" spans="1:88">
      <c r="A17" s="121" t="s">
        <v>537</v>
      </c>
      <c r="B17" s="13"/>
      <c r="C17" s="243"/>
      <c r="D17" s="243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  <c r="AA17" s="72"/>
      <c r="AB17" s="72"/>
      <c r="AC17" s="72"/>
      <c r="AD17" s="72"/>
      <c r="AE17" s="72"/>
      <c r="AF17" s="72"/>
      <c r="AG17" s="72"/>
      <c r="AH17" s="72"/>
      <c r="AI17" s="72"/>
      <c r="AJ17" s="72"/>
      <c r="AK17" s="72"/>
      <c r="AL17" s="72"/>
      <c r="AM17" s="72"/>
      <c r="AN17" s="72"/>
      <c r="AO17" s="72"/>
      <c r="AP17" s="72"/>
      <c r="AQ17" s="107">
        <v>11941</v>
      </c>
      <c r="AR17" s="107">
        <v>0</v>
      </c>
      <c r="AS17" s="107">
        <v>0</v>
      </c>
      <c r="AT17" s="107">
        <v>0</v>
      </c>
      <c r="AU17" s="13">
        <f>SUM(AQ17:AT17)</f>
        <v>11941</v>
      </c>
      <c r="AV17" s="107">
        <v>442</v>
      </c>
      <c r="AW17" s="107">
        <v>0</v>
      </c>
      <c r="AX17" s="107">
        <v>0</v>
      </c>
      <c r="AY17" s="107">
        <v>27</v>
      </c>
      <c r="AZ17" s="13">
        <f>SUM(AV17:AY17)</f>
        <v>469</v>
      </c>
      <c r="BA17" s="107">
        <v>0</v>
      </c>
      <c r="BB17" s="107">
        <v>150</v>
      </c>
      <c r="BC17" s="107">
        <v>0</v>
      </c>
      <c r="BD17" s="107">
        <v>584</v>
      </c>
      <c r="BE17" s="13">
        <f>SUM(BA17:BD17)</f>
        <v>734</v>
      </c>
      <c r="BF17" s="107">
        <v>0</v>
      </c>
      <c r="BG17" s="107">
        <v>276</v>
      </c>
      <c r="BH17" s="107">
        <v>45</v>
      </c>
      <c r="BI17" s="107">
        <v>618</v>
      </c>
      <c r="BJ17" s="13">
        <f>SUM(BF17:BI17)</f>
        <v>939</v>
      </c>
      <c r="BK17" s="404">
        <v>530</v>
      </c>
      <c r="BL17" s="404">
        <v>140</v>
      </c>
      <c r="BM17" s="404">
        <v>470</v>
      </c>
      <c r="BN17" s="404">
        <v>199</v>
      </c>
      <c r="BO17" s="13">
        <f>SUM(BK17:BN17)</f>
        <v>1339</v>
      </c>
      <c r="BP17" s="72"/>
      <c r="BQ17" s="72"/>
      <c r="BR17" s="72"/>
      <c r="BS17" s="72"/>
      <c r="BT17" s="144">
        <v>1300</v>
      </c>
      <c r="BU17" s="72"/>
      <c r="BV17" s="72"/>
      <c r="BW17" s="72"/>
      <c r="BX17" s="72"/>
      <c r="BY17" s="144">
        <v>0</v>
      </c>
      <c r="BZ17" s="72"/>
      <c r="CA17" s="72"/>
      <c r="CB17" s="72"/>
      <c r="CC17" s="72"/>
      <c r="CD17" s="144">
        <v>0</v>
      </c>
      <c r="CG17" s="456">
        <v>2012</v>
      </c>
      <c r="CH17" s="391">
        <f t="shared" si="2"/>
        <v>17659</v>
      </c>
      <c r="CI17">
        <f t="shared" si="0"/>
        <v>6483</v>
      </c>
      <c r="CJ17">
        <f t="shared" si="1"/>
        <v>24142</v>
      </c>
    </row>
    <row r="18" spans="1:88">
      <c r="A18" s="290"/>
      <c r="B18" s="290"/>
      <c r="C18" s="290"/>
      <c r="D18" s="290"/>
      <c r="E18" s="290"/>
      <c r="F18" s="290"/>
      <c r="G18" s="290"/>
      <c r="H18" s="404"/>
      <c r="I18" s="404"/>
      <c r="J18" s="404"/>
      <c r="K18" s="404"/>
      <c r="L18" s="290"/>
      <c r="M18" s="404"/>
      <c r="N18" s="404"/>
      <c r="O18" s="404"/>
      <c r="P18" s="404"/>
      <c r="Q18" s="290"/>
      <c r="R18" s="404"/>
      <c r="S18" s="404"/>
      <c r="T18" s="404"/>
      <c r="U18" s="404"/>
      <c r="V18" s="290"/>
      <c r="W18" s="404"/>
      <c r="X18" s="404"/>
      <c r="Y18" s="404"/>
      <c r="Z18" s="404"/>
      <c r="AA18" s="290"/>
      <c r="AB18" s="404"/>
      <c r="AC18" s="404"/>
      <c r="AD18" s="404"/>
      <c r="AE18" s="404"/>
      <c r="AF18" s="290"/>
      <c r="AG18" s="404"/>
      <c r="AH18" s="404"/>
      <c r="AI18" s="404"/>
      <c r="AJ18" s="404"/>
      <c r="AK18" s="290"/>
      <c r="AL18" s="404"/>
      <c r="AM18" s="404"/>
      <c r="AN18" s="404"/>
      <c r="AO18" s="404"/>
      <c r="AP18" s="290"/>
      <c r="AQ18" s="404"/>
      <c r="AR18" s="404"/>
      <c r="AS18" s="404"/>
      <c r="AT18" s="404"/>
      <c r="AU18" s="290"/>
      <c r="AV18" s="404"/>
      <c r="AW18" s="404"/>
      <c r="AX18" s="404"/>
      <c r="AY18" s="404"/>
      <c r="AZ18" s="290"/>
      <c r="BA18" s="404"/>
      <c r="BB18" s="404"/>
      <c r="BC18" s="404"/>
      <c r="BD18" s="404"/>
      <c r="BE18" s="290"/>
      <c r="BF18" s="404"/>
      <c r="BG18" s="404"/>
      <c r="BH18" s="404"/>
      <c r="BI18" s="404"/>
      <c r="BJ18" s="290"/>
      <c r="BK18" s="404"/>
      <c r="BL18" s="404"/>
      <c r="BM18" s="404"/>
      <c r="BN18" s="404"/>
      <c r="BO18" s="290"/>
      <c r="BP18" s="404"/>
      <c r="BQ18" s="404"/>
      <c r="BR18" s="404"/>
      <c r="BS18" s="404"/>
      <c r="BT18" s="290"/>
      <c r="BU18" s="404"/>
      <c r="BV18" s="404"/>
      <c r="BW18" s="404"/>
      <c r="BX18" s="404"/>
      <c r="BY18" s="290"/>
      <c r="BZ18" s="404"/>
      <c r="CA18" s="404"/>
      <c r="CB18" s="404"/>
      <c r="CC18" s="404"/>
      <c r="CD18" s="290"/>
      <c r="CG18" s="456">
        <v>2013</v>
      </c>
      <c r="CH18" s="391">
        <f t="shared" si="2"/>
        <v>19044</v>
      </c>
      <c r="CI18">
        <f t="shared" si="0"/>
        <v>5556</v>
      </c>
      <c r="CJ18">
        <f t="shared" si="1"/>
        <v>24600</v>
      </c>
    </row>
    <row r="19" spans="1:88">
      <c r="A19" s="14" t="s">
        <v>2217</v>
      </c>
      <c r="B19" s="15"/>
      <c r="C19" s="74"/>
      <c r="D19" s="74"/>
      <c r="E19" s="74"/>
      <c r="F19" s="15">
        <f>F14-F16</f>
        <v>13810</v>
      </c>
      <c r="G19" s="15">
        <f>G14-G16</f>
        <v>13938</v>
      </c>
      <c r="H19" s="67">
        <f t="shared" ref="H19:BA19" si="7">H14-H16</f>
        <v>3248</v>
      </c>
      <c r="I19" s="67">
        <f t="shared" si="7"/>
        <v>3712</v>
      </c>
      <c r="J19" s="67">
        <f t="shared" si="7"/>
        <v>4718</v>
      </c>
      <c r="K19" s="67">
        <f t="shared" si="7"/>
        <v>5232</v>
      </c>
      <c r="L19" s="15">
        <f>L14-L16</f>
        <v>16910</v>
      </c>
      <c r="M19" s="67">
        <f t="shared" si="7"/>
        <v>3647</v>
      </c>
      <c r="N19" s="67">
        <f t="shared" si="7"/>
        <v>4364</v>
      </c>
      <c r="O19" s="67">
        <f t="shared" si="7"/>
        <v>4570</v>
      </c>
      <c r="P19" s="67">
        <f t="shared" si="7"/>
        <v>6613</v>
      </c>
      <c r="Q19" s="15">
        <f>Q14-Q16</f>
        <v>19194</v>
      </c>
      <c r="R19" s="67">
        <f t="shared" si="7"/>
        <v>7081</v>
      </c>
      <c r="S19" s="67">
        <f t="shared" si="7"/>
        <v>5478</v>
      </c>
      <c r="T19" s="67">
        <f t="shared" si="7"/>
        <v>8858</v>
      </c>
      <c r="U19" s="67">
        <f t="shared" si="7"/>
        <v>6769</v>
      </c>
      <c r="V19" s="15">
        <f t="shared" si="7"/>
        <v>28186</v>
      </c>
      <c r="W19" s="67">
        <f t="shared" si="7"/>
        <v>4595</v>
      </c>
      <c r="X19" s="67">
        <f t="shared" si="7"/>
        <v>4818</v>
      </c>
      <c r="Y19" s="67">
        <f t="shared" si="7"/>
        <v>4702</v>
      </c>
      <c r="Z19" s="67">
        <f t="shared" si="7"/>
        <v>5886</v>
      </c>
      <c r="AA19" s="15">
        <f t="shared" si="7"/>
        <v>20001</v>
      </c>
      <c r="AB19" s="67">
        <f t="shared" si="7"/>
        <v>4687</v>
      </c>
      <c r="AC19" s="67">
        <f t="shared" si="7"/>
        <v>4445</v>
      </c>
      <c r="AD19" s="67">
        <f t="shared" si="7"/>
        <v>5229</v>
      </c>
      <c r="AE19" s="67">
        <f t="shared" si="7"/>
        <v>5249</v>
      </c>
      <c r="AF19" s="15">
        <f t="shared" si="7"/>
        <v>19610</v>
      </c>
      <c r="AG19" s="67">
        <f t="shared" si="7"/>
        <v>4012</v>
      </c>
      <c r="AH19" s="67">
        <f t="shared" si="7"/>
        <v>4189</v>
      </c>
      <c r="AI19" s="67">
        <f t="shared" si="7"/>
        <v>4671</v>
      </c>
      <c r="AJ19" s="67">
        <f t="shared" si="7"/>
        <v>7363</v>
      </c>
      <c r="AK19" s="15">
        <f t="shared" si="7"/>
        <v>20235</v>
      </c>
      <c r="AL19" s="67">
        <f>AL14-AL16</f>
        <v>5638</v>
      </c>
      <c r="AM19" s="67">
        <f>AM14-AM16</f>
        <v>5267</v>
      </c>
      <c r="AN19" s="67">
        <f t="shared" si="7"/>
        <v>6144</v>
      </c>
      <c r="AO19" s="67">
        <f t="shared" si="7"/>
        <v>7093</v>
      </c>
      <c r="AP19" s="15">
        <f t="shared" si="7"/>
        <v>24142</v>
      </c>
      <c r="AQ19" s="67">
        <f t="shared" ref="AQ19:AY19" si="8">AQ14-AQ16-AQ17</f>
        <v>5710</v>
      </c>
      <c r="AR19" s="67">
        <f t="shared" si="8"/>
        <v>5820</v>
      </c>
      <c r="AS19" s="67">
        <f t="shared" si="8"/>
        <v>5922</v>
      </c>
      <c r="AT19" s="67">
        <f t="shared" si="8"/>
        <v>7148</v>
      </c>
      <c r="AU19" s="15">
        <f>AU14-AU16-AU17</f>
        <v>24600</v>
      </c>
      <c r="AV19" s="67">
        <f t="shared" si="8"/>
        <v>5407</v>
      </c>
      <c r="AW19" s="67">
        <f t="shared" si="8"/>
        <v>5603</v>
      </c>
      <c r="AX19" s="67">
        <f t="shared" si="7"/>
        <v>5325</v>
      </c>
      <c r="AY19" s="67">
        <f t="shared" si="8"/>
        <v>6557</v>
      </c>
      <c r="AZ19" s="15">
        <f>AZ14-AZ16-AZ17</f>
        <v>22892</v>
      </c>
      <c r="BA19" s="67">
        <f t="shared" si="7"/>
        <v>4437</v>
      </c>
      <c r="BB19" s="67">
        <f t="shared" ref="BB19:BM19" si="9">BB14-BB16-BB17</f>
        <v>4493</v>
      </c>
      <c r="BC19" s="67">
        <f t="shared" si="9"/>
        <v>4286</v>
      </c>
      <c r="BD19" s="67">
        <f t="shared" si="9"/>
        <v>5532</v>
      </c>
      <c r="BE19" s="15">
        <f t="shared" si="9"/>
        <v>18748</v>
      </c>
      <c r="BF19" s="67">
        <f t="shared" si="9"/>
        <v>3944</v>
      </c>
      <c r="BG19" s="67">
        <f t="shared" si="9"/>
        <v>3919</v>
      </c>
      <c r="BH19" s="67">
        <f t="shared" si="9"/>
        <v>3622</v>
      </c>
      <c r="BI19" s="67">
        <f t="shared" si="9"/>
        <v>6955</v>
      </c>
      <c r="BJ19" s="15">
        <f t="shared" si="9"/>
        <v>18440</v>
      </c>
      <c r="BK19" s="178">
        <f t="shared" si="9"/>
        <v>3538</v>
      </c>
      <c r="BL19" s="178">
        <f t="shared" si="9"/>
        <v>4348</v>
      </c>
      <c r="BM19" s="178">
        <f t="shared" si="9"/>
        <v>3993</v>
      </c>
      <c r="BN19" s="178">
        <f t="shared" ref="BN19:CD19" si="10">BN14-BN17</f>
        <v>4622</v>
      </c>
      <c r="BO19" s="15">
        <f t="shared" ref="BO19" si="11">BO14-BO16-BO17</f>
        <v>16501</v>
      </c>
      <c r="BP19" s="67">
        <f t="shared" si="10"/>
        <v>0</v>
      </c>
      <c r="BQ19" s="67">
        <f t="shared" si="10"/>
        <v>0</v>
      </c>
      <c r="BR19" s="67">
        <f t="shared" si="10"/>
        <v>0</v>
      </c>
      <c r="BS19" s="67">
        <f t="shared" si="10"/>
        <v>0</v>
      </c>
      <c r="BT19" s="15">
        <f t="shared" si="10"/>
        <v>15900</v>
      </c>
      <c r="BU19" s="67">
        <f t="shared" si="10"/>
        <v>0</v>
      </c>
      <c r="BV19" s="67">
        <f t="shared" si="10"/>
        <v>0</v>
      </c>
      <c r="BW19" s="67">
        <f t="shared" si="10"/>
        <v>0</v>
      </c>
      <c r="BX19" s="67">
        <f t="shared" si="10"/>
        <v>0</v>
      </c>
      <c r="BY19" s="15">
        <f t="shared" si="10"/>
        <v>16250</v>
      </c>
      <c r="BZ19" s="67">
        <f t="shared" si="10"/>
        <v>0</v>
      </c>
      <c r="CA19" s="67">
        <f t="shared" si="10"/>
        <v>0</v>
      </c>
      <c r="CB19" s="67">
        <f t="shared" si="10"/>
        <v>0</v>
      </c>
      <c r="CC19" s="67">
        <f t="shared" si="10"/>
        <v>0</v>
      </c>
      <c r="CD19" s="15">
        <f t="shared" si="10"/>
        <v>16250</v>
      </c>
      <c r="CG19" s="456">
        <v>2014</v>
      </c>
      <c r="CH19" s="391">
        <f t="shared" si="2"/>
        <v>18883</v>
      </c>
      <c r="CI19">
        <f t="shared" si="0"/>
        <v>4009</v>
      </c>
      <c r="CJ19">
        <f t="shared" si="1"/>
        <v>22892</v>
      </c>
    </row>
    <row r="20" spans="1:88">
      <c r="A20" s="290"/>
      <c r="B20" s="290"/>
      <c r="C20" s="290"/>
      <c r="D20" s="290"/>
      <c r="E20" s="290"/>
      <c r="F20" s="290"/>
      <c r="G20" s="290"/>
      <c r="H20" s="404"/>
      <c r="I20" s="404"/>
      <c r="J20" s="404"/>
      <c r="K20" s="404"/>
      <c r="L20" s="290"/>
      <c r="M20" s="404"/>
      <c r="N20" s="404"/>
      <c r="O20" s="404"/>
      <c r="P20" s="404"/>
      <c r="Q20" s="290"/>
      <c r="R20" s="404"/>
      <c r="S20" s="404"/>
      <c r="T20" s="404"/>
      <c r="U20" s="404"/>
      <c r="V20" s="290"/>
      <c r="W20" s="404"/>
      <c r="X20" s="404"/>
      <c r="Y20" s="404"/>
      <c r="Z20" s="404"/>
      <c r="AA20" s="290"/>
      <c r="AB20" s="404"/>
      <c r="AC20" s="404"/>
      <c r="AD20" s="404"/>
      <c r="AE20" s="404"/>
      <c r="AF20" s="290"/>
      <c r="AG20" s="404"/>
      <c r="AH20" s="404"/>
      <c r="AI20" s="404"/>
      <c r="AJ20" s="404"/>
      <c r="AK20" s="405"/>
      <c r="AL20" s="404"/>
      <c r="AM20" s="404"/>
      <c r="AN20" s="404"/>
      <c r="AO20" s="404"/>
      <c r="AP20" s="405"/>
      <c r="AQ20" s="404"/>
      <c r="AR20" s="404"/>
      <c r="AS20" s="404"/>
      <c r="AT20" s="404"/>
      <c r="AU20" s="405"/>
      <c r="AV20" s="404"/>
      <c r="AW20" s="404"/>
      <c r="AX20" s="404"/>
      <c r="AY20" s="404"/>
      <c r="AZ20" s="405"/>
      <c r="BA20" s="404"/>
      <c r="BB20" s="404"/>
      <c r="BC20" s="404"/>
      <c r="BD20" s="404"/>
      <c r="BE20" s="405"/>
      <c r="BF20" s="404"/>
      <c r="BG20" s="404"/>
      <c r="BH20" s="404"/>
      <c r="BI20" s="404"/>
      <c r="BJ20" s="290"/>
      <c r="BK20" s="404"/>
      <c r="BL20" s="404"/>
      <c r="BM20" s="404"/>
      <c r="BN20" s="404"/>
      <c r="BO20" s="290"/>
      <c r="BP20" s="404"/>
      <c r="BQ20" s="404"/>
      <c r="BR20" s="404"/>
      <c r="BS20" s="404"/>
      <c r="BT20" s="290"/>
      <c r="BU20" s="404"/>
      <c r="BV20" s="404"/>
      <c r="BW20" s="404"/>
      <c r="BX20" s="404"/>
      <c r="BY20" s="290"/>
      <c r="BZ20" s="404"/>
      <c r="CA20" s="404"/>
      <c r="CB20" s="404"/>
      <c r="CC20" s="404"/>
      <c r="CD20" s="290"/>
      <c r="CG20" s="456">
        <v>2015</v>
      </c>
      <c r="CH20" s="391">
        <f t="shared" si="2"/>
        <v>16299</v>
      </c>
      <c r="CI20">
        <f t="shared" si="0"/>
        <v>2449</v>
      </c>
      <c r="CJ20">
        <f t="shared" si="1"/>
        <v>18748</v>
      </c>
    </row>
    <row r="21" spans="1:88">
      <c r="A21" s="121" t="s">
        <v>2055</v>
      </c>
      <c r="B21" s="13"/>
      <c r="C21" s="243"/>
      <c r="D21" s="243"/>
      <c r="E21" s="243"/>
      <c r="F21" s="243"/>
      <c r="G21" s="243"/>
      <c r="H21" s="107">
        <f>-SUM('Cash flow statement'!H166:H167)</f>
        <v>-650</v>
      </c>
      <c r="I21" s="107">
        <f>-SUM('Cash flow statement'!I166:I167)</f>
        <v>-1989</v>
      </c>
      <c r="J21" s="107">
        <f>-SUM('Cash flow statement'!J166:J167)</f>
        <v>-2797</v>
      </c>
      <c r="K21" s="107">
        <f>-SUM('Cash flow statement'!K166:K167)</f>
        <v>-818</v>
      </c>
      <c r="L21" s="13">
        <f>-SUM('Cash flow statement'!L166:L167)</f>
        <v>-6254</v>
      </c>
      <c r="M21" s="107">
        <f>-SUM('Cash flow statement'!M166:M167)</f>
        <v>-918</v>
      </c>
      <c r="N21" s="107">
        <f>-SUM('Cash flow statement'!N166:N167)</f>
        <v>-2741</v>
      </c>
      <c r="O21" s="107">
        <f>-SUM('Cash flow statement'!O166:O167)</f>
        <v>-211</v>
      </c>
      <c r="P21" s="107">
        <f>-SUM('Cash flow statement'!P166:P167)</f>
        <v>-397</v>
      </c>
      <c r="Q21" s="13">
        <f>-SUM('Cash flow statement'!Q166:Q167)</f>
        <v>-4267</v>
      </c>
      <c r="R21" s="107">
        <f>-SUM('Cash flow statement'!R166:R167)</f>
        <v>-276</v>
      </c>
      <c r="S21" s="107">
        <f>-SUM('Cash flow statement'!S166:S167)</f>
        <v>-59</v>
      </c>
      <c r="T21" s="107">
        <f>-SUM('Cash flow statement'!T166:T167)</f>
        <v>-365</v>
      </c>
      <c r="U21" s="107">
        <f>-SUM('Cash flow statement'!U166:U167)</f>
        <v>-229</v>
      </c>
      <c r="V21" s="13">
        <f>-SUM('Cash flow statement'!V166:V167)</f>
        <v>-929</v>
      </c>
      <c r="W21" s="107">
        <f>-SUM('Cash flow statement'!W166:W167)</f>
        <v>-311</v>
      </c>
      <c r="X21" s="107">
        <f>-SUM('Cash flow statement'!X166:X167)</f>
        <v>-697</v>
      </c>
      <c r="Y21" s="107">
        <f>-SUM('Cash flow statement'!Y166:Y167)</f>
        <v>-604</v>
      </c>
      <c r="Z21" s="107">
        <f>-SUM('Cash flow statement'!Z166:Z167)</f>
        <v>-1069</v>
      </c>
      <c r="AA21" s="13">
        <f>-SUM('Cash flow statement'!AA166:AA167)</f>
        <v>-2681</v>
      </c>
      <c r="AB21" s="107">
        <f>-SUM('Cash flow statement'!AB166:AB167)</f>
        <v>-108</v>
      </c>
      <c r="AC21" s="107">
        <f>-SUM('Cash flow statement'!AC166:AC167)</f>
        <v>-723</v>
      </c>
      <c r="AD21" s="107">
        <f>-SUM('Cash flow statement'!AD166:AD167)</f>
        <v>-8750</v>
      </c>
      <c r="AE21" s="107">
        <f>-SUM('Cash flow statement'!AE166:AE167)</f>
        <v>-7373</v>
      </c>
      <c r="AF21" s="13">
        <f>-SUM('Cash flow statement'!AF166:AF167)</f>
        <v>-16954</v>
      </c>
      <c r="AG21" s="107">
        <f>-SUM('Cash flow statement'!AG166:AG167)</f>
        <v>-970</v>
      </c>
      <c r="AH21" s="107">
        <f>-SUM('Cash flow statement'!AH166:AH167)</f>
        <v>-1649</v>
      </c>
      <c r="AI21" s="107">
        <f>-SUM('Cash flow statement'!AI166:AI167)</f>
        <v>-2074</v>
      </c>
      <c r="AJ21" s="107">
        <f>-SUM('Cash flow statement'!AJ166:AJ167)</f>
        <v>1961</v>
      </c>
      <c r="AK21" s="13">
        <f>SUM(AG21:AJ21)</f>
        <v>-2732</v>
      </c>
      <c r="AL21" s="107">
        <f>-SUM('Cash flow statement'!AL166:AL167)</f>
        <v>-1312</v>
      </c>
      <c r="AM21" s="107">
        <f>-SUM('Cash flow statement'!AM166:AM167)</f>
        <v>-1923</v>
      </c>
      <c r="AN21" s="107">
        <f>-SUM('Cash flow statement'!AN166:AN167)</f>
        <v>-1396</v>
      </c>
      <c r="AO21" s="107">
        <f>-SUM('Cash flow statement'!AO166:AO167)</f>
        <v>-6815</v>
      </c>
      <c r="AP21" s="13">
        <f>+SUM(AL21:AO21)</f>
        <v>-11446</v>
      </c>
      <c r="AQ21" s="107">
        <f>-SUM('Cash flow statement'!AQ166:AQ167)</f>
        <v>-18281</v>
      </c>
      <c r="AR21" s="107">
        <f>-SUM('Cash flow statement'!AR166:AR167)</f>
        <v>-2940</v>
      </c>
      <c r="AS21" s="107">
        <f>-SUM('Cash flow statement'!AS166:AS167)</f>
        <v>-401</v>
      </c>
      <c r="AT21" s="107">
        <f>-SUM('Cash flow statement'!AT166:AT167)</f>
        <v>-377</v>
      </c>
      <c r="AU21" s="13">
        <f>SUM(AQ21:AT21)</f>
        <v>-21999</v>
      </c>
      <c r="AV21" s="107">
        <f>-SUM('Cash flow statement'!AV166:AV167)</f>
        <v>-1004</v>
      </c>
      <c r="AW21" s="107">
        <f>-SUM('Cash flow statement'!AW166:AW167)</f>
        <v>-798</v>
      </c>
      <c r="AX21" s="107">
        <f>-SUM('Cash flow statement'!AX166:AX167)</f>
        <v>-585</v>
      </c>
      <c r="AY21" s="107">
        <f>-SUM('Cash flow statement'!AY166:AY167)</f>
        <v>-1104</v>
      </c>
      <c r="AZ21" s="13">
        <f>SUM(AV21:AY21)</f>
        <v>-3491</v>
      </c>
      <c r="BA21" s="107">
        <f>-SUM('Cash flow statement'!BA166:BA167)</f>
        <v>-1740</v>
      </c>
      <c r="BB21" s="107">
        <f>-SUM('Cash flow statement'!BB166:BB167)</f>
        <v>-532</v>
      </c>
      <c r="BC21" s="107">
        <f>-SUM('Cash flow statement'!BC166:BC167)</f>
        <v>-288</v>
      </c>
      <c r="BD21" s="107">
        <f>-SUM('Cash flow statement'!BD166:BD167)</f>
        <v>-232</v>
      </c>
      <c r="BE21" s="13">
        <f>SUM(BA21:BD21)</f>
        <v>-2792</v>
      </c>
      <c r="BF21" s="107">
        <f>-SUM('Cash flow statement'!BF166:BF167)</f>
        <v>-1149</v>
      </c>
      <c r="BG21" s="107">
        <f>-SUM('Cash flow statement'!BG166:BG167)</f>
        <v>-444</v>
      </c>
      <c r="BH21" s="107">
        <f>-SUM('Cash flow statement'!BH166:BH167)</f>
        <v>-569</v>
      </c>
      <c r="BI21" s="107">
        <f>-SUM('Cash flow statement'!BI166:BI167)</f>
        <v>-469</v>
      </c>
      <c r="BJ21" s="13">
        <f>+SUM(BF21:BI21)</f>
        <v>-2631</v>
      </c>
      <c r="BK21" s="404">
        <f>-SUM('Cash flow statement'!BK166:BK167)</f>
        <v>-261</v>
      </c>
      <c r="BL21" s="404">
        <f>-SUM('Cash flow statement'!BL166:BL167)</f>
        <v>-452</v>
      </c>
      <c r="BM21" s="404">
        <f>-SUM('Cash flow statement'!BM166:BM167)</f>
        <v>-241</v>
      </c>
      <c r="BN21" s="404">
        <f>-SUM('Cash flow statement'!BN166:BN167)</f>
        <v>-2460</v>
      </c>
      <c r="BO21" s="13">
        <f>+SUM(BK21:BN21)</f>
        <v>-3414</v>
      </c>
      <c r="BP21" s="72"/>
      <c r="BQ21" s="72"/>
      <c r="BR21" s="72"/>
      <c r="BS21" s="72"/>
      <c r="BT21" s="144">
        <v>-2500</v>
      </c>
      <c r="BU21" s="72"/>
      <c r="BV21" s="72"/>
      <c r="BW21" s="72"/>
      <c r="BX21" s="72"/>
      <c r="BY21" s="144">
        <v>-2500</v>
      </c>
      <c r="BZ21" s="72"/>
      <c r="CA21" s="72"/>
      <c r="CB21" s="72"/>
      <c r="CC21" s="72"/>
      <c r="CD21" s="144">
        <v>-2500</v>
      </c>
      <c r="CG21" s="456">
        <v>2016</v>
      </c>
      <c r="CH21" s="391">
        <f t="shared" si="2"/>
        <v>16048</v>
      </c>
      <c r="CI21">
        <f t="shared" si="0"/>
        <v>2392</v>
      </c>
      <c r="CJ21">
        <f t="shared" si="1"/>
        <v>18440</v>
      </c>
    </row>
    <row r="22" spans="1:88">
      <c r="A22" s="5"/>
      <c r="B22" s="5"/>
      <c r="C22" s="72"/>
      <c r="D22" s="72"/>
      <c r="E22" s="72"/>
      <c r="F22" s="72"/>
      <c r="G22" s="72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138"/>
      <c r="BL22" s="138"/>
      <c r="BM22" s="138"/>
      <c r="BN22" s="138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G22" s="456">
        <v>2017</v>
      </c>
      <c r="CH22" s="391">
        <f t="shared" si="2"/>
        <v>13763</v>
      </c>
      <c r="CI22">
        <f t="shared" si="0"/>
        <v>2738</v>
      </c>
      <c r="CJ22">
        <f t="shared" si="1"/>
        <v>16501</v>
      </c>
    </row>
    <row r="23" spans="1:88">
      <c r="A23" s="14" t="s">
        <v>2218</v>
      </c>
      <c r="B23" s="15"/>
      <c r="C23" s="74"/>
      <c r="D23" s="74"/>
      <c r="E23" s="74"/>
      <c r="F23" s="74"/>
      <c r="G23" s="74"/>
      <c r="H23" s="67">
        <f t="shared" ref="H23:AH23" si="12">H14+H21</f>
        <v>2608</v>
      </c>
      <c r="I23" s="67">
        <f t="shared" si="12"/>
        <v>1723</v>
      </c>
      <c r="J23" s="67">
        <f t="shared" si="12"/>
        <v>2027</v>
      </c>
      <c r="K23" s="67">
        <f t="shared" si="12"/>
        <v>4619</v>
      </c>
      <c r="L23" s="15">
        <f t="shared" si="12"/>
        <v>10977</v>
      </c>
      <c r="M23" s="67">
        <f t="shared" si="12"/>
        <v>3842</v>
      </c>
      <c r="N23" s="67">
        <f t="shared" si="12"/>
        <v>1955</v>
      </c>
      <c r="O23" s="67">
        <f t="shared" si="12"/>
        <v>4361</v>
      </c>
      <c r="P23" s="67">
        <f t="shared" si="12"/>
        <v>6216</v>
      </c>
      <c r="Q23" s="15">
        <f t="shared" si="12"/>
        <v>16374</v>
      </c>
      <c r="R23" s="67">
        <f t="shared" si="12"/>
        <v>8769</v>
      </c>
      <c r="S23" s="67">
        <f t="shared" si="12"/>
        <v>5743</v>
      </c>
      <c r="T23" s="67">
        <f t="shared" si="12"/>
        <v>8493</v>
      </c>
      <c r="U23" s="67">
        <f t="shared" si="12"/>
        <v>6766</v>
      </c>
      <c r="V23" s="15">
        <f t="shared" si="12"/>
        <v>29771</v>
      </c>
      <c r="W23" s="67">
        <f t="shared" si="12"/>
        <v>4284</v>
      </c>
      <c r="X23" s="67">
        <f t="shared" si="12"/>
        <v>4121</v>
      </c>
      <c r="Y23" s="67">
        <f t="shared" si="12"/>
        <v>4379</v>
      </c>
      <c r="Z23" s="67">
        <f t="shared" si="12"/>
        <v>4844</v>
      </c>
      <c r="AA23" s="15">
        <f t="shared" si="12"/>
        <v>17628</v>
      </c>
      <c r="AB23" s="67">
        <f t="shared" si="12"/>
        <v>4579</v>
      </c>
      <c r="AC23" s="67">
        <f t="shared" si="12"/>
        <v>5489</v>
      </c>
      <c r="AD23" s="67">
        <f t="shared" si="12"/>
        <v>-2094</v>
      </c>
      <c r="AE23" s="67">
        <f t="shared" si="12"/>
        <v>-1912</v>
      </c>
      <c r="AF23" s="15">
        <f t="shared" si="12"/>
        <v>6062</v>
      </c>
      <c r="AG23" s="67">
        <f t="shared" si="12"/>
        <v>3051</v>
      </c>
      <c r="AH23" s="67">
        <f t="shared" si="12"/>
        <v>6545</v>
      </c>
      <c r="AI23" s="67">
        <f t="shared" ref="AI23:CD23" si="13">AI14+AI21</f>
        <v>9584</v>
      </c>
      <c r="AJ23" s="67">
        <f t="shared" si="13"/>
        <v>9606</v>
      </c>
      <c r="AK23" s="15">
        <f t="shared" si="13"/>
        <v>28786</v>
      </c>
      <c r="AL23" s="67">
        <f>AL14+AL21</f>
        <v>4336</v>
      </c>
      <c r="AM23" s="67">
        <f t="shared" si="13"/>
        <v>3508</v>
      </c>
      <c r="AN23" s="67">
        <f t="shared" si="13"/>
        <v>4729</v>
      </c>
      <c r="AO23" s="67">
        <f t="shared" si="13"/>
        <v>323</v>
      </c>
      <c r="AP23" s="15">
        <f t="shared" si="13"/>
        <v>12896</v>
      </c>
      <c r="AQ23" s="67">
        <f t="shared" si="13"/>
        <v>-630</v>
      </c>
      <c r="AR23" s="67">
        <f t="shared" si="13"/>
        <v>2880</v>
      </c>
      <c r="AS23" s="67">
        <f t="shared" si="13"/>
        <v>5521</v>
      </c>
      <c r="AT23" s="67">
        <f t="shared" si="13"/>
        <v>6842</v>
      </c>
      <c r="AU23" s="15">
        <f t="shared" si="13"/>
        <v>14613</v>
      </c>
      <c r="AV23" s="67">
        <f t="shared" si="13"/>
        <v>5081</v>
      </c>
      <c r="AW23" s="67">
        <f t="shared" si="13"/>
        <v>4815</v>
      </c>
      <c r="AX23" s="67">
        <f t="shared" si="13"/>
        <v>4764</v>
      </c>
      <c r="AY23" s="67">
        <f t="shared" si="13"/>
        <v>5630</v>
      </c>
      <c r="AZ23" s="15">
        <f t="shared" si="13"/>
        <v>20290</v>
      </c>
      <c r="BA23" s="67">
        <f t="shared" si="13"/>
        <v>2725</v>
      </c>
      <c r="BB23" s="67">
        <f t="shared" si="13"/>
        <v>4126</v>
      </c>
      <c r="BC23" s="67">
        <f t="shared" si="13"/>
        <v>3982</v>
      </c>
      <c r="BD23" s="67">
        <f t="shared" si="13"/>
        <v>5906</v>
      </c>
      <c r="BE23" s="15">
        <f>BE14+BE21</f>
        <v>16739</v>
      </c>
      <c r="BF23" s="67">
        <f t="shared" si="13"/>
        <v>2795</v>
      </c>
      <c r="BG23" s="67">
        <f t="shared" si="13"/>
        <v>3751</v>
      </c>
      <c r="BH23" s="67">
        <f t="shared" si="13"/>
        <v>3098</v>
      </c>
      <c r="BI23" s="67">
        <f t="shared" si="13"/>
        <v>7104</v>
      </c>
      <c r="BJ23" s="15">
        <f t="shared" si="13"/>
        <v>16748</v>
      </c>
      <c r="BK23" s="178">
        <f t="shared" si="13"/>
        <v>3807</v>
      </c>
      <c r="BL23" s="178">
        <f t="shared" si="13"/>
        <v>4036</v>
      </c>
      <c r="BM23" s="178">
        <f t="shared" si="13"/>
        <v>4222</v>
      </c>
      <c r="BN23" s="178">
        <f t="shared" si="13"/>
        <v>2361</v>
      </c>
      <c r="BO23" s="15">
        <f t="shared" ref="BO23" si="14">BO14+BO21</f>
        <v>14426</v>
      </c>
      <c r="BP23" s="67">
        <f t="shared" si="13"/>
        <v>0</v>
      </c>
      <c r="BQ23" s="67">
        <f t="shared" si="13"/>
        <v>0</v>
      </c>
      <c r="BR23" s="67">
        <f t="shared" si="13"/>
        <v>0</v>
      </c>
      <c r="BS23" s="67">
        <f t="shared" si="13"/>
        <v>0</v>
      </c>
      <c r="BT23" s="15">
        <f t="shared" si="13"/>
        <v>14700</v>
      </c>
      <c r="BU23" s="67">
        <f t="shared" si="13"/>
        <v>0</v>
      </c>
      <c r="BV23" s="67">
        <f t="shared" si="13"/>
        <v>0</v>
      </c>
      <c r="BW23" s="67">
        <f t="shared" si="13"/>
        <v>0</v>
      </c>
      <c r="BX23" s="67">
        <f t="shared" si="13"/>
        <v>0</v>
      </c>
      <c r="BY23" s="15">
        <f t="shared" si="13"/>
        <v>13750</v>
      </c>
      <c r="BZ23" s="67">
        <f t="shared" si="13"/>
        <v>0</v>
      </c>
      <c r="CA23" s="67">
        <f t="shared" si="13"/>
        <v>0</v>
      </c>
      <c r="CB23" s="67">
        <f t="shared" si="13"/>
        <v>0</v>
      </c>
      <c r="CC23" s="67">
        <f t="shared" si="13"/>
        <v>0</v>
      </c>
      <c r="CD23" s="15">
        <f t="shared" si="13"/>
        <v>13750</v>
      </c>
      <c r="CG23" s="456">
        <v>2018</v>
      </c>
      <c r="CH23" s="391">
        <f t="shared" si="2"/>
        <v>11850</v>
      </c>
      <c r="CI23">
        <f t="shared" si="0"/>
        <v>4050</v>
      </c>
      <c r="CJ23">
        <f t="shared" si="1"/>
        <v>15900</v>
      </c>
    </row>
    <row r="24" spans="1:88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G24" s="456">
        <v>2019</v>
      </c>
      <c r="CH24" s="391">
        <f t="shared" si="2"/>
        <v>13500</v>
      </c>
      <c r="CI24">
        <f t="shared" si="0"/>
        <v>2750</v>
      </c>
      <c r="CJ24">
        <f t="shared" si="1"/>
        <v>16250</v>
      </c>
    </row>
    <row r="25" spans="1:88">
      <c r="A25" s="121" t="s">
        <v>75</v>
      </c>
      <c r="B25" s="5"/>
      <c r="C25" s="72"/>
      <c r="D25" s="72"/>
      <c r="E25" s="72"/>
      <c r="F25" s="72"/>
      <c r="G25" s="72"/>
      <c r="H25" s="72"/>
      <c r="I25" s="72"/>
      <c r="J25" s="72"/>
      <c r="K25" s="72"/>
      <c r="L25" s="5">
        <f>Assets!L14</f>
        <v>15653</v>
      </c>
      <c r="M25" s="72"/>
      <c r="N25" s="72"/>
      <c r="O25" s="72"/>
      <c r="P25" s="72"/>
      <c r="Q25" s="5">
        <f>Assets!Q14</f>
        <v>17308</v>
      </c>
      <c r="R25" s="72"/>
      <c r="S25" s="72"/>
      <c r="T25" s="72"/>
      <c r="U25" s="72"/>
      <c r="V25" s="5">
        <f>Assets!V14</f>
        <v>18529</v>
      </c>
      <c r="W25" s="72"/>
      <c r="X25" s="72"/>
      <c r="Y25" s="72"/>
      <c r="Z25" s="72"/>
      <c r="AA25" s="5">
        <f>Assets!AA14</f>
        <v>17042</v>
      </c>
      <c r="AB25" s="72"/>
      <c r="AC25" s="72"/>
      <c r="AD25" s="72"/>
      <c r="AE25" s="72"/>
      <c r="AF25" s="5">
        <f>Assets!AF14</f>
        <v>16510</v>
      </c>
      <c r="AG25" s="72"/>
      <c r="AH25" s="72"/>
      <c r="AI25" s="72"/>
      <c r="AJ25" s="72"/>
      <c r="AK25" s="5">
        <f>Assets!AK14</f>
        <v>23919</v>
      </c>
      <c r="AL25" s="72"/>
      <c r="AM25" s="72"/>
      <c r="AN25" s="72"/>
      <c r="AO25" s="72"/>
      <c r="AP25" s="5">
        <f>Assets!AP14</f>
        <v>22211</v>
      </c>
      <c r="AQ25" s="72"/>
      <c r="AR25" s="72"/>
      <c r="AS25" s="72"/>
      <c r="AT25" s="72"/>
      <c r="AU25" s="5">
        <f>Assets!AU14</f>
        <v>20039</v>
      </c>
      <c r="AV25" s="72"/>
      <c r="AW25" s="72"/>
      <c r="AX25" s="72"/>
      <c r="AY25" s="72"/>
      <c r="AZ25" s="5">
        <f>Assets!AZ14</f>
        <v>22367</v>
      </c>
      <c r="BA25" s="72"/>
      <c r="BB25" s="72"/>
      <c r="BC25" s="72"/>
      <c r="BD25" s="72"/>
      <c r="BE25" s="5">
        <f>Assets!BE14</f>
        <v>17079</v>
      </c>
      <c r="BF25" s="72"/>
      <c r="BG25" s="72"/>
      <c r="BH25" s="72"/>
      <c r="BI25" s="72"/>
      <c r="BJ25" s="5">
        <f>Assets!BJ14</f>
        <v>14781</v>
      </c>
      <c r="BK25" s="72"/>
      <c r="BL25" s="72"/>
      <c r="BM25" s="72"/>
      <c r="BN25" s="72"/>
      <c r="BO25" s="5">
        <f>Assets!BO14</f>
        <v>15776</v>
      </c>
      <c r="BP25" s="72"/>
      <c r="BQ25" s="72"/>
      <c r="BR25" s="72"/>
      <c r="BS25" s="72"/>
      <c r="BT25" s="5">
        <f>BT26*BT19</f>
        <v>15582</v>
      </c>
      <c r="BU25" s="72"/>
      <c r="BV25" s="72"/>
      <c r="BW25" s="72"/>
      <c r="BX25" s="72"/>
      <c r="BY25" s="5">
        <f>BY26*BY19</f>
        <v>15925</v>
      </c>
      <c r="BZ25" s="72"/>
      <c r="CA25" s="72"/>
      <c r="CB25" s="72"/>
      <c r="CC25" s="72"/>
      <c r="CD25" s="5">
        <f>CD26*CD19</f>
        <v>15925</v>
      </c>
    </row>
    <row r="26" spans="1:88">
      <c r="A26" s="5"/>
      <c r="B26" s="5" t="s">
        <v>76</v>
      </c>
      <c r="C26" s="72"/>
      <c r="D26" s="72"/>
      <c r="E26" s="72"/>
      <c r="F26" s="72"/>
      <c r="G26" s="72"/>
      <c r="H26" s="72"/>
      <c r="I26" s="72"/>
      <c r="J26" s="72"/>
      <c r="K26" s="72"/>
      <c r="L26" s="116">
        <f>L25/L19</f>
        <v>0.92566528681253701</v>
      </c>
      <c r="M26" s="72"/>
      <c r="N26" s="72"/>
      <c r="O26" s="72"/>
      <c r="P26" s="72"/>
      <c r="Q26" s="116">
        <f>Q25/Q19</f>
        <v>0.90174012712305929</v>
      </c>
      <c r="R26" s="72"/>
      <c r="S26" s="72"/>
      <c r="T26" s="72"/>
      <c r="U26" s="72"/>
      <c r="V26" s="116">
        <f>V25/V19</f>
        <v>0.65738309799191086</v>
      </c>
      <c r="W26" s="72"/>
      <c r="X26" s="72"/>
      <c r="Y26" s="72"/>
      <c r="Z26" s="72"/>
      <c r="AA26" s="116">
        <f>AA25/AA19</f>
        <v>0.8520573971301435</v>
      </c>
      <c r="AB26" s="72"/>
      <c r="AC26" s="72"/>
      <c r="AD26" s="72"/>
      <c r="AE26" s="72"/>
      <c r="AF26" s="116">
        <f>AF25/AF19</f>
        <v>0.84191738908720037</v>
      </c>
      <c r="AG26" s="72"/>
      <c r="AH26" s="72"/>
      <c r="AI26" s="72"/>
      <c r="AJ26" s="72"/>
      <c r="AK26" s="116">
        <f>AK25/AK19</f>
        <v>1.1820607857672349</v>
      </c>
      <c r="AL26" s="72"/>
      <c r="AM26" s="72"/>
      <c r="AN26" s="72"/>
      <c r="AO26" s="72"/>
      <c r="AP26" s="116">
        <f>AP25/AP19</f>
        <v>0.92001491177201555</v>
      </c>
      <c r="AQ26" s="72"/>
      <c r="AR26" s="72"/>
      <c r="AS26" s="72"/>
      <c r="AT26" s="72"/>
      <c r="AU26" s="116">
        <f>AU25/AU19</f>
        <v>0.81459349593495933</v>
      </c>
      <c r="AV26" s="72"/>
      <c r="AW26" s="72"/>
      <c r="AX26" s="72"/>
      <c r="AY26" s="72"/>
      <c r="AZ26" s="116">
        <f>AZ25/AZ19</f>
        <v>0.97706622400838716</v>
      </c>
      <c r="BA26" s="72"/>
      <c r="BB26" s="72"/>
      <c r="BC26" s="72"/>
      <c r="BD26" s="72"/>
      <c r="BE26" s="116">
        <f>BE25/BE19</f>
        <v>0.91097717089822916</v>
      </c>
      <c r="BF26" s="72"/>
      <c r="BG26" s="72"/>
      <c r="BH26" s="72"/>
      <c r="BI26" s="72"/>
      <c r="BJ26" s="116">
        <f>BJ25/BJ19</f>
        <v>0.80157266811279826</v>
      </c>
      <c r="BK26" s="72"/>
      <c r="BL26" s="72"/>
      <c r="BM26" s="72"/>
      <c r="BN26" s="72"/>
      <c r="BO26" s="116">
        <f>BO25/BO19</f>
        <v>0.95606326889279436</v>
      </c>
      <c r="BP26" s="72"/>
      <c r="BQ26" s="72"/>
      <c r="BR26" s="72"/>
      <c r="BS26" s="72"/>
      <c r="BT26" s="118">
        <v>0.98</v>
      </c>
      <c r="BU26" s="72"/>
      <c r="BV26" s="72"/>
      <c r="BW26" s="72"/>
      <c r="BX26" s="72"/>
      <c r="BY26" s="118">
        <v>0.98</v>
      </c>
      <c r="BZ26" s="72"/>
      <c r="CA26" s="72"/>
      <c r="CB26" s="72"/>
      <c r="CC26" s="72"/>
      <c r="CD26" s="118">
        <v>0.98</v>
      </c>
    </row>
    <row r="27" spans="1:88">
      <c r="A27" s="5"/>
      <c r="B27" s="5" t="s">
        <v>77</v>
      </c>
      <c r="C27" s="72"/>
      <c r="D27" s="72"/>
      <c r="E27" s="72"/>
      <c r="F27" s="72"/>
      <c r="G27" s="72"/>
      <c r="H27" s="72"/>
      <c r="I27" s="72"/>
      <c r="J27" s="72"/>
      <c r="K27" s="72"/>
      <c r="L27" s="346">
        <f>L19-L25</f>
        <v>1257</v>
      </c>
      <c r="M27" s="72"/>
      <c r="N27" s="72"/>
      <c r="O27" s="72"/>
      <c r="P27" s="72"/>
      <c r="Q27" s="346">
        <f>Q19-Q25</f>
        <v>1886</v>
      </c>
      <c r="R27" s="72"/>
      <c r="S27" s="72"/>
      <c r="T27" s="72"/>
      <c r="U27" s="72"/>
      <c r="V27" s="346">
        <f>V19-V25</f>
        <v>9657</v>
      </c>
      <c r="W27" s="72"/>
      <c r="X27" s="72"/>
      <c r="Y27" s="72"/>
      <c r="Z27" s="72"/>
      <c r="AA27" s="346">
        <f>AA19-AA25</f>
        <v>2959</v>
      </c>
      <c r="AB27" s="72"/>
      <c r="AC27" s="72"/>
      <c r="AD27" s="72"/>
      <c r="AE27" s="72"/>
      <c r="AF27" s="346">
        <f>AF19-AF25</f>
        <v>3100</v>
      </c>
      <c r="AG27" s="72"/>
      <c r="AH27" s="72"/>
      <c r="AI27" s="72"/>
      <c r="AJ27" s="72"/>
      <c r="AK27" s="346">
        <f>AK19-AK25</f>
        <v>-3684</v>
      </c>
      <c r="AL27" s="72"/>
      <c r="AM27" s="72"/>
      <c r="AN27" s="72"/>
      <c r="AO27" s="72"/>
      <c r="AP27" s="346">
        <f>AP19-AP25</f>
        <v>1931</v>
      </c>
      <c r="AQ27" s="72"/>
      <c r="AR27" s="72"/>
      <c r="AS27" s="72"/>
      <c r="AT27" s="72"/>
      <c r="AU27" s="346">
        <f>AU19-AU25</f>
        <v>4561</v>
      </c>
      <c r="AV27" s="72"/>
      <c r="AW27" s="72"/>
      <c r="AX27" s="72"/>
      <c r="AY27" s="72"/>
      <c r="AZ27" s="346">
        <f>AZ19-AZ25</f>
        <v>525</v>
      </c>
      <c r="BA27" s="72"/>
      <c r="BB27" s="72"/>
      <c r="BC27" s="72"/>
      <c r="BD27" s="72"/>
      <c r="BE27" s="346">
        <f>BE19-BE25</f>
        <v>1669</v>
      </c>
      <c r="BF27" s="72"/>
      <c r="BG27" s="72"/>
      <c r="BH27" s="72"/>
      <c r="BI27" s="72"/>
      <c r="BJ27" s="346">
        <f>BJ19-BJ25</f>
        <v>3659</v>
      </c>
      <c r="BK27" s="72"/>
      <c r="BL27" s="72"/>
      <c r="BM27" s="72"/>
      <c r="BN27" s="72"/>
      <c r="BO27" s="346">
        <f>BO19-BO25</f>
        <v>725</v>
      </c>
      <c r="BP27" s="72"/>
      <c r="BQ27" s="72"/>
      <c r="BR27" s="72"/>
      <c r="BS27" s="72"/>
      <c r="BT27" s="346">
        <f>BT19-BT25</f>
        <v>318</v>
      </c>
      <c r="BU27" s="72"/>
      <c r="BV27" s="72"/>
      <c r="BW27" s="72"/>
      <c r="BX27" s="72"/>
      <c r="BY27" s="346">
        <f>BY19-BY25</f>
        <v>325</v>
      </c>
      <c r="BZ27" s="72"/>
      <c r="CA27" s="72"/>
      <c r="CB27" s="72"/>
      <c r="CC27" s="72"/>
      <c r="CD27" s="346">
        <f>CD19-CD25</f>
        <v>325</v>
      </c>
    </row>
    <row r="28" spans="1:88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116"/>
      <c r="M28" s="5"/>
      <c r="N28" s="5"/>
      <c r="O28" s="5"/>
      <c r="P28" s="5"/>
      <c r="Q28" s="116"/>
      <c r="R28" s="5"/>
      <c r="S28" s="5"/>
      <c r="T28" s="5"/>
      <c r="U28" s="5"/>
      <c r="V28" s="116"/>
      <c r="W28" s="5"/>
      <c r="X28" s="5"/>
      <c r="Y28" s="5"/>
      <c r="Z28" s="5"/>
      <c r="AA28" s="116"/>
      <c r="AB28" s="5"/>
      <c r="AC28" s="5"/>
      <c r="AD28" s="5"/>
      <c r="AE28" s="5"/>
      <c r="AF28" s="116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</row>
    <row r="29" spans="1:88">
      <c r="A29" s="5" t="s">
        <v>3562</v>
      </c>
      <c r="B29" s="5"/>
      <c r="C29" s="5"/>
      <c r="D29" s="5"/>
      <c r="E29" s="5"/>
      <c r="F29" s="5"/>
      <c r="G29" s="72"/>
      <c r="H29" s="72"/>
      <c r="I29" s="72"/>
      <c r="J29" s="72"/>
      <c r="K29" s="72"/>
      <c r="L29" s="615">
        <f>L11/('Production - Total'!L169*0.365)</f>
        <v>12.28070623935087</v>
      </c>
      <c r="M29" s="72"/>
      <c r="N29" s="72"/>
      <c r="O29" s="72"/>
      <c r="P29" s="72"/>
      <c r="Q29" s="615">
        <f>Q11/('Production - Total'!Q169*0.365)</f>
        <v>13.384899474289158</v>
      </c>
      <c r="R29" s="72"/>
      <c r="S29" s="72"/>
      <c r="T29" s="72"/>
      <c r="U29" s="72"/>
      <c r="V29" s="615">
        <f>V11/('Production - Total'!V169*0.365)</f>
        <v>20.890528442867549</v>
      </c>
      <c r="W29" s="72"/>
      <c r="X29" s="72"/>
      <c r="Y29" s="72"/>
      <c r="Z29" s="72"/>
      <c r="AA29" s="615">
        <f>AA11/('Production - Total'!AA169*0.365)</f>
        <v>13.363116864475963</v>
      </c>
      <c r="AB29" s="72"/>
      <c r="AC29" s="72"/>
      <c r="AD29" s="72"/>
      <c r="AE29" s="72"/>
      <c r="AF29" s="615">
        <f>AF11/('Production - Total'!AF169*0.365)</f>
        <v>17.036201808890915</v>
      </c>
      <c r="AG29" s="72"/>
      <c r="AH29" s="72"/>
      <c r="AI29" s="72"/>
      <c r="AJ29" s="72"/>
      <c r="AK29" s="615">
        <f>AK11/('Production - Total'!AK169*0.365)</f>
        <v>28.34996044293954</v>
      </c>
      <c r="AL29" s="72"/>
      <c r="AM29" s="72"/>
      <c r="AN29" s="72"/>
      <c r="AO29" s="72"/>
      <c r="AP29" s="615">
        <f>AP11/('Production - Total'!AP169*0.365)</f>
        <v>20.899874014248258</v>
      </c>
      <c r="AQ29" s="72"/>
      <c r="AR29" s="72"/>
      <c r="AS29" s="72"/>
      <c r="AT29" s="72"/>
      <c r="AU29" s="615">
        <f>AU11/('Production - Total'!AU169*0.365)</f>
        <v>37.729369160057935</v>
      </c>
      <c r="AV29" s="72"/>
      <c r="AW29" s="72"/>
      <c r="AX29" s="72"/>
      <c r="AY29" s="72"/>
      <c r="AZ29" s="615">
        <f>AZ11/('Production - Total'!AZ169*0.365)</f>
        <v>25.395270330869558</v>
      </c>
      <c r="BA29" s="72"/>
      <c r="BB29" s="72"/>
      <c r="BC29" s="72"/>
      <c r="BD29" s="72"/>
      <c r="BE29" s="615">
        <f>BE11/('Production - Total'!BE169*0.365)</f>
        <v>21.06177935722156</v>
      </c>
      <c r="BF29" s="72"/>
      <c r="BG29" s="72"/>
      <c r="BH29" s="72"/>
      <c r="BI29" s="72"/>
      <c r="BJ29" s="615">
        <f>BJ11/('Production - Total'!BJ169*0.365)</f>
        <v>21.082713260454575</v>
      </c>
      <c r="BK29" s="72"/>
      <c r="BL29" s="72"/>
      <c r="BM29" s="72"/>
      <c r="BN29" s="72"/>
      <c r="BO29" s="615">
        <f>BO11/('Production - Total'!BO169*0.365)</f>
        <v>16.780668654996216</v>
      </c>
      <c r="BP29" s="72"/>
      <c r="BQ29" s="72"/>
      <c r="BR29" s="72"/>
      <c r="BS29" s="72"/>
      <c r="BT29" s="615">
        <f>BT11/('Production - Total'!BT169*0.365)</f>
        <v>14.11919665396216</v>
      </c>
      <c r="BU29" s="72"/>
      <c r="BV29" s="72"/>
      <c r="BW29" s="72"/>
      <c r="BX29" s="72"/>
      <c r="BY29" s="615">
        <f>BY11/('Production - Total'!BY169*0.365)</f>
        <v>13.900548258280619</v>
      </c>
      <c r="BZ29" s="72"/>
      <c r="CA29" s="72"/>
      <c r="CB29" s="72"/>
      <c r="CC29" s="72"/>
      <c r="CD29" s="615">
        <f>CD11/('Production - Total'!CD169*0.365)</f>
        <v>13.43996017320721</v>
      </c>
    </row>
    <row r="30" spans="1:88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116"/>
      <c r="M30" s="5"/>
      <c r="N30" s="5"/>
      <c r="O30" s="5"/>
      <c r="P30" s="5"/>
      <c r="Q30" s="116"/>
      <c r="R30" s="5"/>
      <c r="S30" s="5"/>
      <c r="T30" s="5"/>
      <c r="U30" s="5"/>
      <c r="V30" s="116"/>
      <c r="W30" s="5"/>
      <c r="X30" s="5"/>
      <c r="Y30" s="5"/>
      <c r="Z30" s="5"/>
      <c r="AA30" s="116"/>
      <c r="AB30" s="5"/>
      <c r="AC30" s="5"/>
      <c r="AD30" s="5"/>
      <c r="AE30" s="5"/>
      <c r="AF30" s="116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</row>
    <row r="31" spans="1:88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367"/>
      <c r="AL31" s="12"/>
      <c r="AM31" s="12"/>
      <c r="AN31" s="12"/>
      <c r="AO31" s="12"/>
      <c r="AP31" s="12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</row>
    <row r="32" spans="1:88" ht="15.75">
      <c r="A32" s="6" t="s">
        <v>2664</v>
      </c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367"/>
      <c r="AL32" s="12"/>
      <c r="AM32" s="12"/>
      <c r="AN32" s="12"/>
      <c r="AO32" s="12"/>
      <c r="AP32" s="12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</row>
    <row r="33" spans="1:8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</row>
    <row r="34" spans="1:85">
      <c r="A34" s="29" t="s">
        <v>303</v>
      </c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</row>
    <row r="35" spans="1:85" ht="12.75" customHeight="1">
      <c r="A35" s="10"/>
      <c r="B35" s="10"/>
      <c r="C35" s="31">
        <v>2001</v>
      </c>
      <c r="D35" s="32">
        <v>2002</v>
      </c>
      <c r="E35" s="32">
        <v>2003</v>
      </c>
      <c r="F35" s="32">
        <v>2004</v>
      </c>
      <c r="G35" s="31">
        <v>2005</v>
      </c>
      <c r="H35" s="33" t="s">
        <v>714</v>
      </c>
      <c r="I35" s="33" t="s">
        <v>715</v>
      </c>
      <c r="J35" s="33" t="s">
        <v>716</v>
      </c>
      <c r="K35" s="33" t="s">
        <v>717</v>
      </c>
      <c r="L35" s="31">
        <v>2006</v>
      </c>
      <c r="M35" s="33" t="s">
        <v>718</v>
      </c>
      <c r="N35" s="33" t="s">
        <v>719</v>
      </c>
      <c r="O35" s="33" t="s">
        <v>1970</v>
      </c>
      <c r="P35" s="33" t="s">
        <v>1971</v>
      </c>
      <c r="Q35" s="31">
        <v>2007</v>
      </c>
      <c r="R35" s="33" t="s">
        <v>1972</v>
      </c>
      <c r="S35" s="33" t="s">
        <v>1973</v>
      </c>
      <c r="T35" s="33" t="s">
        <v>1974</v>
      </c>
      <c r="U35" s="33" t="s">
        <v>1975</v>
      </c>
      <c r="V35" s="31">
        <v>2008</v>
      </c>
      <c r="W35" s="33" t="s">
        <v>1976</v>
      </c>
      <c r="X35" s="33" t="s">
        <v>1977</v>
      </c>
      <c r="Y35" s="33" t="s">
        <v>1978</v>
      </c>
      <c r="Z35" s="33" t="s">
        <v>1979</v>
      </c>
      <c r="AA35" s="31">
        <v>2009</v>
      </c>
      <c r="AB35" s="33" t="s">
        <v>1980</v>
      </c>
      <c r="AC35" s="33" t="s">
        <v>1981</v>
      </c>
      <c r="AD35" s="33" t="s">
        <v>1982</v>
      </c>
      <c r="AE35" s="33" t="s">
        <v>2392</v>
      </c>
      <c r="AF35" s="31">
        <v>2010</v>
      </c>
      <c r="AG35" s="33" t="s">
        <v>2393</v>
      </c>
      <c r="AH35" s="33" t="s">
        <v>2394</v>
      </c>
      <c r="AI35" s="33" t="s">
        <v>2395</v>
      </c>
      <c r="AJ35" s="33" t="s">
        <v>2396</v>
      </c>
      <c r="AK35" s="31">
        <v>2011</v>
      </c>
      <c r="AL35" s="368" t="s">
        <v>2397</v>
      </c>
      <c r="AM35" s="368" t="s">
        <v>2398</v>
      </c>
      <c r="AN35" s="368" t="s">
        <v>2399</v>
      </c>
      <c r="AO35" s="368" t="s">
        <v>2400</v>
      </c>
      <c r="AP35" s="369">
        <v>2012</v>
      </c>
      <c r="AQ35" s="368" t="s">
        <v>2401</v>
      </c>
      <c r="AR35" s="368" t="s">
        <v>2402</v>
      </c>
      <c r="AS35" s="368" t="s">
        <v>2403</v>
      </c>
      <c r="AT35" s="368" t="s">
        <v>2404</v>
      </c>
      <c r="AU35" s="369">
        <v>2013</v>
      </c>
      <c r="AV35" s="368" t="s">
        <v>2405</v>
      </c>
      <c r="AW35" s="368" t="s">
        <v>2406</v>
      </c>
      <c r="AX35" s="368" t="s">
        <v>2407</v>
      </c>
      <c r="AY35" s="368" t="s">
        <v>2408</v>
      </c>
      <c r="AZ35" s="369">
        <v>2014</v>
      </c>
      <c r="BA35" s="368" t="s">
        <v>2409</v>
      </c>
      <c r="BB35" s="368" t="s">
        <v>2410</v>
      </c>
      <c r="BC35" s="368" t="s">
        <v>2411</v>
      </c>
      <c r="BD35" s="368" t="s">
        <v>2412</v>
      </c>
      <c r="BE35" s="31">
        <v>2015</v>
      </c>
      <c r="BF35" s="368" t="s">
        <v>2413</v>
      </c>
      <c r="BG35" s="368" t="s">
        <v>2414</v>
      </c>
      <c r="BH35" s="368" t="s">
        <v>2415</v>
      </c>
      <c r="BI35" s="368" t="s">
        <v>2416</v>
      </c>
      <c r="BJ35" s="31">
        <v>2016</v>
      </c>
      <c r="BK35" s="368" t="s">
        <v>2417</v>
      </c>
      <c r="BL35" s="368" t="s">
        <v>2418</v>
      </c>
      <c r="BM35" s="368" t="s">
        <v>2419</v>
      </c>
      <c r="BN35" s="368" t="s">
        <v>2420</v>
      </c>
      <c r="BO35" s="31">
        <v>2017</v>
      </c>
      <c r="BP35" s="363" t="s">
        <v>2244</v>
      </c>
      <c r="BQ35" s="363" t="s">
        <v>2245</v>
      </c>
      <c r="BR35" s="363" t="s">
        <v>2508</v>
      </c>
      <c r="BS35" s="363" t="s">
        <v>2509</v>
      </c>
      <c r="BT35" s="364">
        <v>2018</v>
      </c>
      <c r="BU35" s="363" t="s">
        <v>2510</v>
      </c>
      <c r="BV35" s="363" t="s">
        <v>2511</v>
      </c>
      <c r="BW35" s="363" t="s">
        <v>3125</v>
      </c>
      <c r="BX35" s="363" t="s">
        <v>1405</v>
      </c>
      <c r="BY35" s="364">
        <v>2019</v>
      </c>
      <c r="BZ35" s="363" t="s">
        <v>1406</v>
      </c>
      <c r="CA35" s="363" t="s">
        <v>1407</v>
      </c>
      <c r="CB35" s="363" t="s">
        <v>1408</v>
      </c>
      <c r="CC35" s="363" t="s">
        <v>1409</v>
      </c>
      <c r="CD35" s="364">
        <v>2020</v>
      </c>
    </row>
    <row r="36" spans="1:85">
      <c r="A36" s="4" t="s">
        <v>2665</v>
      </c>
      <c r="B36" s="4"/>
      <c r="C36" s="5"/>
      <c r="D36" s="5"/>
      <c r="E36" s="5"/>
      <c r="F36" s="5"/>
      <c r="G36" s="5"/>
      <c r="H36" s="72"/>
      <c r="I36" s="72"/>
      <c r="J36" s="72"/>
      <c r="K36" s="72"/>
      <c r="L36" s="5"/>
      <c r="M36" s="72"/>
      <c r="N36" s="72"/>
      <c r="O36" s="72"/>
      <c r="P36" s="72"/>
      <c r="Q36" s="5"/>
      <c r="R36" s="72"/>
      <c r="S36" s="72"/>
      <c r="T36" s="72"/>
      <c r="U36" s="72"/>
      <c r="V36" s="5"/>
      <c r="W36" s="72"/>
      <c r="X36" s="72"/>
      <c r="Y36" s="72"/>
      <c r="Z36" s="72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</row>
    <row r="37" spans="1:85">
      <c r="A37" s="4"/>
      <c r="B37" s="4" t="s">
        <v>2666</v>
      </c>
      <c r="C37" s="5">
        <v>47</v>
      </c>
      <c r="D37" s="5">
        <v>63</v>
      </c>
      <c r="E37" s="5">
        <v>0</v>
      </c>
      <c r="F37" s="5">
        <v>0</v>
      </c>
      <c r="G37" s="5">
        <v>0</v>
      </c>
      <c r="H37" s="72"/>
      <c r="I37" s="72"/>
      <c r="J37" s="72"/>
      <c r="K37" s="72"/>
      <c r="L37" s="5">
        <v>0</v>
      </c>
      <c r="M37" s="72"/>
      <c r="N37" s="72"/>
      <c r="O37" s="72"/>
      <c r="P37" s="72"/>
      <c r="Q37" s="5">
        <v>477</v>
      </c>
      <c r="R37" s="72"/>
      <c r="S37" s="72"/>
      <c r="T37" s="72"/>
      <c r="U37" s="72"/>
      <c r="V37" s="5">
        <v>1512</v>
      </c>
      <c r="W37" s="72"/>
      <c r="X37" s="72"/>
      <c r="Y37" s="72"/>
      <c r="Z37" s="72"/>
      <c r="AA37" s="5">
        <v>468</v>
      </c>
      <c r="AB37" s="72"/>
      <c r="AC37" s="72"/>
      <c r="AD37" s="72"/>
      <c r="AE37" s="72"/>
      <c r="AF37" s="5">
        <v>1777</v>
      </c>
      <c r="AG37" s="72"/>
      <c r="AH37" s="72"/>
      <c r="AI37" s="72"/>
      <c r="AJ37" s="72"/>
      <c r="AK37" s="5">
        <v>3156</v>
      </c>
      <c r="AL37" s="72"/>
      <c r="AM37" s="72"/>
      <c r="AN37" s="72"/>
      <c r="AO37" s="72"/>
      <c r="AP37" s="5">
        <v>307</v>
      </c>
      <c r="AQ37" s="72"/>
      <c r="AR37" s="72"/>
      <c r="AS37" s="72"/>
      <c r="AT37" s="72"/>
      <c r="AU37" s="5">
        <v>8</v>
      </c>
      <c r="AV37" s="72"/>
      <c r="AW37" s="72"/>
      <c r="AX37" s="72"/>
      <c r="AY37" s="72"/>
      <c r="AZ37" s="5">
        <v>605</v>
      </c>
      <c r="BA37" s="72"/>
      <c r="BB37" s="72"/>
      <c r="BC37" s="72"/>
      <c r="BD37" s="72"/>
      <c r="BE37" s="5">
        <v>407</v>
      </c>
      <c r="BF37" s="72"/>
      <c r="BG37" s="72"/>
      <c r="BH37" s="72"/>
      <c r="BI37" s="72"/>
      <c r="BJ37" s="5">
        <v>1439</v>
      </c>
      <c r="BK37" s="72"/>
      <c r="BL37" s="72"/>
      <c r="BM37" s="72"/>
      <c r="BN37" s="72"/>
      <c r="BO37" s="5">
        <v>1773</v>
      </c>
      <c r="BP37" s="72"/>
      <c r="BQ37" s="72"/>
      <c r="BR37" s="72"/>
      <c r="BS37" s="72"/>
      <c r="BT37" s="144">
        <v>0</v>
      </c>
      <c r="BU37" s="72"/>
      <c r="BV37" s="72"/>
      <c r="BW37" s="72"/>
      <c r="BX37" s="72"/>
      <c r="BY37" s="144">
        <v>0</v>
      </c>
      <c r="BZ37" s="72"/>
      <c r="CA37" s="72"/>
      <c r="CB37" s="72"/>
      <c r="CC37" s="72"/>
      <c r="CD37" s="144">
        <v>0</v>
      </c>
    </row>
    <row r="38" spans="1:85">
      <c r="A38" s="4"/>
      <c r="B38" s="4" t="s">
        <v>2667</v>
      </c>
      <c r="C38" s="5">
        <v>217</v>
      </c>
      <c r="D38" s="5">
        <v>37</v>
      </c>
      <c r="E38" s="5">
        <v>0</v>
      </c>
      <c r="F38" s="5">
        <v>78</v>
      </c>
      <c r="G38" s="5">
        <v>63</v>
      </c>
      <c r="H38" s="72"/>
      <c r="I38" s="72"/>
      <c r="J38" s="72"/>
      <c r="K38" s="72"/>
      <c r="L38" s="5">
        <v>154</v>
      </c>
      <c r="M38" s="72"/>
      <c r="N38" s="72"/>
      <c r="O38" s="72"/>
      <c r="P38" s="72"/>
      <c r="Q38" s="5">
        <v>517</v>
      </c>
      <c r="R38" s="72"/>
      <c r="S38" s="72"/>
      <c r="T38" s="72"/>
      <c r="U38" s="72"/>
      <c r="V38" s="5">
        <v>2987</v>
      </c>
      <c r="W38" s="72"/>
      <c r="X38" s="72"/>
      <c r="Y38" s="72"/>
      <c r="Z38" s="72"/>
      <c r="AA38" s="5">
        <v>398</v>
      </c>
      <c r="AB38" s="72"/>
      <c r="AC38" s="72"/>
      <c r="AD38" s="72"/>
      <c r="AE38" s="72"/>
      <c r="AF38" s="5">
        <v>3469</v>
      </c>
      <c r="AG38" s="72"/>
      <c r="AH38" s="72"/>
      <c r="AI38" s="72"/>
      <c r="AJ38" s="72"/>
      <c r="AK38" s="5">
        <v>6698</v>
      </c>
      <c r="AL38" s="72"/>
      <c r="AM38" s="72"/>
      <c r="AN38" s="72"/>
      <c r="AO38" s="72"/>
      <c r="AP38" s="5">
        <v>1309</v>
      </c>
      <c r="AQ38" s="72"/>
      <c r="AR38" s="72"/>
      <c r="AS38" s="72"/>
      <c r="AT38" s="72"/>
      <c r="AU38" s="5">
        <v>479</v>
      </c>
      <c r="AV38" s="72"/>
      <c r="AW38" s="72"/>
      <c r="AX38" s="72"/>
      <c r="AY38" s="72"/>
      <c r="AZ38" s="5">
        <v>478</v>
      </c>
      <c r="BA38" s="72"/>
      <c r="BB38" s="72"/>
      <c r="BC38" s="72"/>
      <c r="BD38" s="72"/>
      <c r="BE38" s="5">
        <v>-54</v>
      </c>
      <c r="BF38" s="72"/>
      <c r="BG38" s="72"/>
      <c r="BH38" s="72"/>
      <c r="BI38" s="72"/>
      <c r="BJ38" s="5">
        <v>1967</v>
      </c>
      <c r="BK38" s="72"/>
      <c r="BL38" s="72"/>
      <c r="BM38" s="72"/>
      <c r="BN38" s="72"/>
      <c r="BO38" s="5">
        <v>958</v>
      </c>
      <c r="BP38" s="72"/>
      <c r="BQ38" s="72"/>
      <c r="BR38" s="72"/>
      <c r="BS38" s="72"/>
      <c r="BT38" s="144">
        <v>0</v>
      </c>
      <c r="BU38" s="72"/>
      <c r="BV38" s="72"/>
      <c r="BW38" s="72"/>
      <c r="BX38" s="72"/>
      <c r="BY38" s="144">
        <v>0</v>
      </c>
      <c r="BZ38" s="72"/>
      <c r="CA38" s="72"/>
      <c r="CB38" s="72"/>
      <c r="CC38" s="72"/>
      <c r="CD38" s="144">
        <v>0</v>
      </c>
    </row>
    <row r="39" spans="1:85">
      <c r="A39" s="4" t="s">
        <v>2668</v>
      </c>
      <c r="B39" s="4"/>
      <c r="C39" s="5">
        <v>1102</v>
      </c>
      <c r="D39" s="5">
        <v>1108</v>
      </c>
      <c r="E39" s="5">
        <v>824</v>
      </c>
      <c r="F39" s="5">
        <v>1039</v>
      </c>
      <c r="G39" s="5">
        <v>1266</v>
      </c>
      <c r="H39" s="72"/>
      <c r="I39" s="72"/>
      <c r="J39" s="72"/>
      <c r="K39" s="72"/>
      <c r="L39" s="5">
        <v>1765</v>
      </c>
      <c r="M39" s="72"/>
      <c r="N39" s="72"/>
      <c r="O39" s="72"/>
      <c r="P39" s="72"/>
      <c r="Q39" s="5">
        <v>1892</v>
      </c>
      <c r="R39" s="72"/>
      <c r="S39" s="72"/>
      <c r="T39" s="72"/>
      <c r="U39" s="72"/>
      <c r="V39" s="5">
        <v>2290</v>
      </c>
      <c r="W39" s="72"/>
      <c r="X39" s="72"/>
      <c r="Y39" s="72"/>
      <c r="Z39" s="72"/>
      <c r="AA39" s="5">
        <v>2805</v>
      </c>
      <c r="AB39" s="72"/>
      <c r="AC39" s="72"/>
      <c r="AD39" s="72"/>
      <c r="AE39" s="72"/>
      <c r="AF39" s="5">
        <v>2706</v>
      </c>
      <c r="AG39" s="72"/>
      <c r="AH39" s="72"/>
      <c r="AI39" s="72"/>
      <c r="AJ39" s="72"/>
      <c r="AK39" s="5">
        <v>2398</v>
      </c>
      <c r="AL39" s="72"/>
      <c r="AM39" s="72"/>
      <c r="AN39" s="72"/>
      <c r="AO39" s="72"/>
      <c r="AP39" s="5">
        <v>4317</v>
      </c>
      <c r="AQ39" s="72"/>
      <c r="AR39" s="72"/>
      <c r="AS39" s="72"/>
      <c r="AT39" s="72"/>
      <c r="AU39" s="5">
        <v>4811</v>
      </c>
      <c r="AV39" s="72"/>
      <c r="AW39" s="72"/>
      <c r="AX39" s="72"/>
      <c r="AY39" s="72"/>
      <c r="AZ39" s="5">
        <v>2911</v>
      </c>
      <c r="BA39" s="72"/>
      <c r="BB39" s="72"/>
      <c r="BC39" s="72"/>
      <c r="BD39" s="72"/>
      <c r="BE39" s="5">
        <v>1794</v>
      </c>
      <c r="BF39" s="72"/>
      <c r="BG39" s="72"/>
      <c r="BH39" s="72"/>
      <c r="BI39" s="72"/>
      <c r="BJ39" s="5">
        <v>1402</v>
      </c>
      <c r="BK39" s="72"/>
      <c r="BL39" s="72"/>
      <c r="BM39" s="72"/>
      <c r="BN39" s="72"/>
      <c r="BO39" s="5">
        <v>1655</v>
      </c>
      <c r="BP39" s="72"/>
      <c r="BQ39" s="72"/>
      <c r="BR39" s="72"/>
      <c r="BS39" s="72"/>
      <c r="BT39" s="144">
        <v>1000</v>
      </c>
      <c r="BU39" s="72"/>
      <c r="BV39" s="72"/>
      <c r="BW39" s="72"/>
      <c r="BX39" s="72"/>
      <c r="BY39" s="144">
        <v>1000</v>
      </c>
      <c r="BZ39" s="72"/>
      <c r="CA39" s="72"/>
      <c r="CB39" s="72"/>
      <c r="CC39" s="72"/>
      <c r="CD39" s="144">
        <v>1000</v>
      </c>
    </row>
    <row r="40" spans="1:85">
      <c r="A40" s="4" t="s">
        <v>2669</v>
      </c>
      <c r="B40" s="4"/>
      <c r="C40" s="5">
        <v>6849</v>
      </c>
      <c r="D40" s="5">
        <v>7224</v>
      </c>
      <c r="E40" s="5">
        <v>7537</v>
      </c>
      <c r="F40" s="5">
        <v>7270</v>
      </c>
      <c r="G40" s="5">
        <v>7678</v>
      </c>
      <c r="H40" s="72"/>
      <c r="I40" s="72"/>
      <c r="J40" s="72"/>
      <c r="K40" s="72"/>
      <c r="L40" s="5">
        <v>9109</v>
      </c>
      <c r="M40" s="72"/>
      <c r="N40" s="72"/>
      <c r="O40" s="72"/>
      <c r="P40" s="72"/>
      <c r="Q40" s="5">
        <v>10153</v>
      </c>
      <c r="R40" s="72"/>
      <c r="S40" s="72"/>
      <c r="T40" s="72"/>
      <c r="U40" s="72"/>
      <c r="V40" s="5">
        <v>11767</v>
      </c>
      <c r="W40" s="72"/>
      <c r="X40" s="72"/>
      <c r="Y40" s="72"/>
      <c r="Z40" s="72"/>
      <c r="AA40" s="5">
        <v>10396</v>
      </c>
      <c r="AB40" s="72"/>
      <c r="AC40" s="72"/>
      <c r="AD40" s="72"/>
      <c r="AE40" s="72"/>
      <c r="AF40" s="5">
        <v>9675</v>
      </c>
      <c r="AG40" s="72"/>
      <c r="AH40" s="72"/>
      <c r="AI40" s="72"/>
      <c r="AJ40" s="72"/>
      <c r="AK40" s="5">
        <v>10195</v>
      </c>
      <c r="AL40" s="72"/>
      <c r="AM40" s="72"/>
      <c r="AN40" s="72"/>
      <c r="AO40" s="72"/>
      <c r="AP40" s="5">
        <v>11964</v>
      </c>
      <c r="AQ40" s="72"/>
      <c r="AR40" s="72"/>
      <c r="AS40" s="72"/>
      <c r="AT40" s="72"/>
      <c r="AU40" s="5">
        <v>13552</v>
      </c>
      <c r="AV40" s="72"/>
      <c r="AW40" s="72"/>
      <c r="AX40" s="72"/>
      <c r="AY40" s="72"/>
      <c r="AZ40" s="5">
        <v>15096</v>
      </c>
      <c r="BA40" s="72"/>
      <c r="BB40" s="72"/>
      <c r="BC40" s="72"/>
      <c r="BD40" s="72"/>
      <c r="BE40" s="5">
        <v>13458</v>
      </c>
      <c r="BF40" s="72"/>
      <c r="BG40" s="72"/>
      <c r="BH40" s="72"/>
      <c r="BI40" s="72"/>
      <c r="BJ40" s="5">
        <v>11145</v>
      </c>
      <c r="BK40" s="72"/>
      <c r="BL40" s="72"/>
      <c r="BM40" s="72"/>
      <c r="BN40" s="72"/>
      <c r="BO40" s="5">
        <v>10695</v>
      </c>
      <c r="BP40" s="72"/>
      <c r="BQ40" s="72"/>
      <c r="BR40" s="72"/>
      <c r="BS40" s="72"/>
      <c r="BT40" s="144">
        <v>11750</v>
      </c>
      <c r="BU40" s="72"/>
      <c r="BV40" s="72"/>
      <c r="BW40" s="72"/>
      <c r="BX40" s="72"/>
      <c r="BY40" s="144">
        <v>12000</v>
      </c>
      <c r="BZ40" s="72"/>
      <c r="CA40" s="72"/>
      <c r="CB40" s="72"/>
      <c r="CC40" s="72"/>
      <c r="CD40" s="144">
        <v>12000</v>
      </c>
    </row>
    <row r="41" spans="1:85">
      <c r="A41" s="7" t="s">
        <v>896</v>
      </c>
      <c r="B41" s="7"/>
      <c r="C41" s="8">
        <f>SUM(C37:C40)</f>
        <v>8215</v>
      </c>
      <c r="D41" s="8">
        <f>SUM(D37:D40)</f>
        <v>8432</v>
      </c>
      <c r="E41" s="8">
        <f>SUM(E37:E40)</f>
        <v>8361</v>
      </c>
      <c r="F41" s="8">
        <f>SUM(F37:F40)</f>
        <v>8387</v>
      </c>
      <c r="G41" s="8">
        <f>SUM(G37:G40)</f>
        <v>9007</v>
      </c>
      <c r="H41" s="73"/>
      <c r="I41" s="73"/>
      <c r="J41" s="73"/>
      <c r="K41" s="73"/>
      <c r="L41" s="8">
        <f>SUM(L37:L40)</f>
        <v>11028</v>
      </c>
      <c r="M41" s="73"/>
      <c r="N41" s="73"/>
      <c r="O41" s="73"/>
      <c r="P41" s="73"/>
      <c r="Q41" s="8">
        <f>SUM(Q37:Q40)</f>
        <v>13039</v>
      </c>
      <c r="R41" s="73"/>
      <c r="S41" s="73"/>
      <c r="T41" s="73"/>
      <c r="U41" s="73"/>
      <c r="V41" s="8">
        <f>SUM(V37:V40)</f>
        <v>18556</v>
      </c>
      <c r="W41" s="73"/>
      <c r="X41" s="73"/>
      <c r="Y41" s="73"/>
      <c r="Z41" s="73"/>
      <c r="AA41" s="8">
        <f>SUM(AA37:AA40)</f>
        <v>14067</v>
      </c>
      <c r="AB41" s="73"/>
      <c r="AC41" s="73"/>
      <c r="AD41" s="73"/>
      <c r="AE41" s="73"/>
      <c r="AF41" s="8">
        <f>SUM(AF37:AF40)</f>
        <v>17627</v>
      </c>
      <c r="AG41" s="73"/>
      <c r="AH41" s="73"/>
      <c r="AI41" s="73"/>
      <c r="AJ41" s="73"/>
      <c r="AK41" s="8">
        <f>SUM(AK37:AK40)</f>
        <v>22447</v>
      </c>
      <c r="AL41" s="72"/>
      <c r="AM41" s="72"/>
      <c r="AN41" s="72"/>
      <c r="AO41" s="72"/>
      <c r="AP41" s="8">
        <f>SUM(AP37:AP40)</f>
        <v>17897</v>
      </c>
      <c r="AQ41" s="72"/>
      <c r="AR41" s="72"/>
      <c r="AS41" s="72"/>
      <c r="AT41" s="72"/>
      <c r="AU41" s="8">
        <f>SUM(AU37:AU40)</f>
        <v>18850</v>
      </c>
      <c r="AV41" s="72"/>
      <c r="AW41" s="72"/>
      <c r="AX41" s="72"/>
      <c r="AY41" s="72"/>
      <c r="AZ41" s="8">
        <f>SUM(AZ37:AZ40)</f>
        <v>19090</v>
      </c>
      <c r="BA41" s="72"/>
      <c r="BB41" s="72"/>
      <c r="BC41" s="72"/>
      <c r="BD41" s="72"/>
      <c r="BE41" s="8">
        <f>SUM(BE37:BE40)</f>
        <v>15605</v>
      </c>
      <c r="BF41" s="72"/>
      <c r="BG41" s="72"/>
      <c r="BH41" s="72"/>
      <c r="BI41" s="72"/>
      <c r="BJ41" s="8">
        <f>SUM(BJ37:BJ40)</f>
        <v>15953</v>
      </c>
      <c r="BK41" s="72"/>
      <c r="BL41" s="72"/>
      <c r="BM41" s="72"/>
      <c r="BN41" s="72"/>
      <c r="BO41" s="8">
        <f>SUM(BO37:BO40)</f>
        <v>15081</v>
      </c>
      <c r="BP41" s="72"/>
      <c r="BQ41" s="72"/>
      <c r="BR41" s="72"/>
      <c r="BS41" s="72"/>
      <c r="BT41" s="8">
        <f>SUM(BT37:BT40)</f>
        <v>12750</v>
      </c>
      <c r="BU41" s="72"/>
      <c r="BV41" s="72"/>
      <c r="BW41" s="72"/>
      <c r="BX41" s="72"/>
      <c r="BY41" s="8">
        <f>SUM(BY37:BY40)</f>
        <v>13000</v>
      </c>
      <c r="BZ41" s="72"/>
      <c r="CA41" s="72"/>
      <c r="CB41" s="72"/>
      <c r="CC41" s="72"/>
      <c r="CD41" s="8">
        <f>SUM(CD37:CD40)</f>
        <v>13000</v>
      </c>
      <c r="CE41" s="381"/>
    </row>
    <row r="42" spans="1:85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603"/>
      <c r="BK42" s="8"/>
      <c r="BL42" s="8"/>
      <c r="BM42" s="8"/>
      <c r="BN42" s="8"/>
      <c r="BO42" s="603"/>
      <c r="BP42" s="8"/>
      <c r="BQ42" s="8"/>
      <c r="BR42" s="8"/>
      <c r="BS42" s="8"/>
      <c r="BT42" s="603"/>
      <c r="BU42" s="8"/>
      <c r="BV42" s="8"/>
      <c r="BW42" s="8"/>
      <c r="BX42" s="8"/>
      <c r="BY42" s="603"/>
      <c r="BZ42" s="8"/>
      <c r="CA42" s="8"/>
      <c r="CB42" s="8"/>
      <c r="CC42" s="8"/>
      <c r="CD42" s="603"/>
      <c r="CE42" s="8"/>
      <c r="CG42" s="391"/>
    </row>
    <row r="43" spans="1:85">
      <c r="A43" s="121" t="s">
        <v>2021</v>
      </c>
      <c r="B43" s="7"/>
      <c r="C43" s="13">
        <f>-C109</f>
        <v>480</v>
      </c>
      <c r="D43" s="13">
        <f>-D109</f>
        <v>644</v>
      </c>
      <c r="E43" s="13">
        <f>-E109</f>
        <v>542</v>
      </c>
      <c r="F43" s="13">
        <f>-F109</f>
        <v>-637</v>
      </c>
      <c r="G43" s="13">
        <f>-G109</f>
        <v>-684</v>
      </c>
      <c r="H43" s="73"/>
      <c r="I43" s="73"/>
      <c r="J43" s="73"/>
      <c r="K43" s="73"/>
      <c r="L43" s="13">
        <f>-L109</f>
        <v>-421</v>
      </c>
      <c r="M43" s="73"/>
      <c r="N43" s="73"/>
      <c r="O43" s="73"/>
      <c r="P43" s="73"/>
      <c r="Q43" s="13">
        <f>-Q109</f>
        <v>-409</v>
      </c>
      <c r="R43" s="73"/>
      <c r="S43" s="73"/>
      <c r="T43" s="73"/>
      <c r="U43" s="73"/>
      <c r="V43" s="13">
        <f>-V109</f>
        <v>-497</v>
      </c>
      <c r="W43" s="73"/>
      <c r="X43" s="73"/>
      <c r="Y43" s="73"/>
      <c r="Z43" s="73"/>
      <c r="AA43" s="13">
        <f>-AA109</f>
        <v>-523</v>
      </c>
      <c r="AB43" s="73"/>
      <c r="AC43" s="73"/>
      <c r="AD43" s="73"/>
      <c r="AE43" s="73"/>
      <c r="AF43" s="13">
        <f>-AF109</f>
        <v>-468</v>
      </c>
      <c r="AG43" s="73"/>
      <c r="AH43" s="73"/>
      <c r="AI43" s="73"/>
      <c r="AJ43" s="73"/>
      <c r="AK43" s="13">
        <f>-AK109</f>
        <v>-496</v>
      </c>
      <c r="AL43" s="72"/>
      <c r="AM43" s="72"/>
      <c r="AN43" s="72"/>
      <c r="AO43" s="72"/>
      <c r="AP43" s="290">
        <f>-AP109</f>
        <v>-730</v>
      </c>
      <c r="AQ43" s="72"/>
      <c r="AR43" s="72"/>
      <c r="AS43" s="72"/>
      <c r="AT43" s="72"/>
      <c r="AU43" s="13">
        <f>-AU109</f>
        <v>-731</v>
      </c>
      <c r="AV43" s="72"/>
      <c r="AW43" s="72"/>
      <c r="AX43" s="72"/>
      <c r="AY43" s="72"/>
      <c r="AZ43" s="13">
        <f>-AZ109</f>
        <v>-603</v>
      </c>
      <c r="BA43" s="72"/>
      <c r="BB43" s="72"/>
      <c r="BC43" s="72"/>
      <c r="BD43" s="72"/>
      <c r="BE43" s="13">
        <f>-BE109</f>
        <v>-170</v>
      </c>
      <c r="BF43" s="72"/>
      <c r="BG43" s="72"/>
      <c r="BH43" s="72"/>
      <c r="BI43" s="72"/>
      <c r="BJ43" s="13">
        <f>-BJ109</f>
        <v>-447</v>
      </c>
      <c r="BK43" s="72"/>
      <c r="BL43" s="72"/>
      <c r="BM43" s="72"/>
      <c r="BN43" s="72"/>
      <c r="BO43" s="13">
        <f>-BO109</f>
        <v>-477</v>
      </c>
      <c r="BP43" s="72"/>
      <c r="BQ43" s="72"/>
      <c r="BR43" s="72"/>
      <c r="BS43" s="72"/>
      <c r="BT43" s="13">
        <f>-BT109</f>
        <v>-250</v>
      </c>
      <c r="BU43" s="72"/>
      <c r="BV43" s="72"/>
      <c r="BW43" s="72"/>
      <c r="BX43" s="72"/>
      <c r="BY43" s="13">
        <f>-BY109</f>
        <v>-150</v>
      </c>
      <c r="BZ43" s="72"/>
      <c r="CA43" s="72"/>
      <c r="CB43" s="72"/>
      <c r="CC43" s="72"/>
      <c r="CD43" s="13">
        <f>-CD109</f>
        <v>-150</v>
      </c>
    </row>
    <row r="44" spans="1:85">
      <c r="A44" s="7" t="s">
        <v>2332</v>
      </c>
      <c r="B44" s="7"/>
      <c r="C44" s="8">
        <f>SUM(C41,C43)</f>
        <v>8695</v>
      </c>
      <c r="D44" s="8">
        <f>SUM(D41,D43)</f>
        <v>9076</v>
      </c>
      <c r="E44" s="8">
        <f>SUM(E41,E43)</f>
        <v>8903</v>
      </c>
      <c r="F44" s="8">
        <f>SUM(F41,F43)</f>
        <v>7750</v>
      </c>
      <c r="G44" s="8">
        <f>SUM(G41,G43)</f>
        <v>8323</v>
      </c>
      <c r="H44" s="73"/>
      <c r="I44" s="73"/>
      <c r="J44" s="73"/>
      <c r="K44" s="73"/>
      <c r="L44" s="8">
        <f>SUM(L41,L43)</f>
        <v>10607</v>
      </c>
      <c r="M44" s="73"/>
      <c r="N44" s="73"/>
      <c r="O44" s="73"/>
      <c r="P44" s="73"/>
      <c r="Q44" s="8">
        <f>SUM(Q41,Q43)</f>
        <v>12630</v>
      </c>
      <c r="R44" s="73"/>
      <c r="S44" s="73"/>
      <c r="T44" s="73"/>
      <c r="U44" s="73"/>
      <c r="V44" s="8">
        <f>SUM(V41,V43)</f>
        <v>18059</v>
      </c>
      <c r="W44" s="73"/>
      <c r="X44" s="73"/>
      <c r="Y44" s="73"/>
      <c r="Z44" s="73"/>
      <c r="AA44" s="8">
        <f>SUM(AA41,AA43)</f>
        <v>13544</v>
      </c>
      <c r="AB44" s="73"/>
      <c r="AC44" s="73"/>
      <c r="AD44" s="73"/>
      <c r="AE44" s="73"/>
      <c r="AF44" s="8">
        <f>SUM(AF41,AF43)</f>
        <v>17159</v>
      </c>
      <c r="AG44" s="73"/>
      <c r="AH44" s="73"/>
      <c r="AI44" s="73"/>
      <c r="AJ44" s="73"/>
      <c r="AK44" s="8">
        <f>SUM(AK41,AK43)</f>
        <v>21951</v>
      </c>
      <c r="AL44" s="72"/>
      <c r="AM44" s="72"/>
      <c r="AN44" s="72"/>
      <c r="AO44" s="72"/>
      <c r="AP44" s="8">
        <f>SUM(AP41,AP43)</f>
        <v>17167</v>
      </c>
      <c r="AQ44" s="72"/>
      <c r="AR44" s="72"/>
      <c r="AS44" s="72"/>
      <c r="AT44" s="72"/>
      <c r="AU44" s="8">
        <f>SUM(AU41,AU43)</f>
        <v>18119</v>
      </c>
      <c r="AV44" s="72"/>
      <c r="AW44" s="72"/>
      <c r="AX44" s="72"/>
      <c r="AY44" s="72"/>
      <c r="AZ44" s="8">
        <f>SUM(AZ41,AZ43)</f>
        <v>18487</v>
      </c>
      <c r="BA44" s="72"/>
      <c r="BB44" s="72"/>
      <c r="BC44" s="72"/>
      <c r="BD44" s="72"/>
      <c r="BE44" s="8">
        <f>SUM(BE41,BE43)</f>
        <v>15435</v>
      </c>
      <c r="BF44" s="72"/>
      <c r="BG44" s="72"/>
      <c r="BH44" s="72"/>
      <c r="BI44" s="72"/>
      <c r="BJ44" s="8">
        <f>SUM(BJ41,BJ43)</f>
        <v>15506</v>
      </c>
      <c r="BK44" s="72"/>
      <c r="BL44" s="72"/>
      <c r="BM44" s="72"/>
      <c r="BN44" s="72"/>
      <c r="BO44" s="8">
        <f>SUM(BO41,BO43)</f>
        <v>14604</v>
      </c>
      <c r="BP44" s="72"/>
      <c r="BQ44" s="72"/>
      <c r="BR44" s="72"/>
      <c r="BS44" s="72"/>
      <c r="BT44" s="8">
        <f>SUM(BT41,BT43)</f>
        <v>12500</v>
      </c>
      <c r="BU44" s="72"/>
      <c r="BV44" s="72"/>
      <c r="BW44" s="72"/>
      <c r="BX44" s="72"/>
      <c r="BY44" s="8">
        <f>SUM(BY41,BY43)</f>
        <v>12850</v>
      </c>
      <c r="BZ44" s="72"/>
      <c r="CA44" s="72"/>
      <c r="CB44" s="72"/>
      <c r="CC44" s="72"/>
      <c r="CD44" s="8">
        <f>SUM(CD41,CD43)</f>
        <v>12850</v>
      </c>
    </row>
    <row r="45" spans="1:8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</row>
    <row r="46" spans="1:85">
      <c r="A46" s="121" t="s">
        <v>2674</v>
      </c>
      <c r="B46" s="5"/>
      <c r="C46" s="5"/>
      <c r="D46" s="5"/>
      <c r="E46" s="5"/>
      <c r="F46" s="5">
        <f>F11-F44</f>
        <v>3662</v>
      </c>
      <c r="G46" s="5">
        <f>G11-G44</f>
        <v>2075</v>
      </c>
      <c r="H46" s="73"/>
      <c r="I46" s="73"/>
      <c r="J46" s="73"/>
      <c r="K46" s="73"/>
      <c r="L46" s="5">
        <f>L11-L44</f>
        <v>2645</v>
      </c>
      <c r="M46" s="73"/>
      <c r="N46" s="73"/>
      <c r="O46" s="73"/>
      <c r="P46" s="73"/>
      <c r="Q46" s="5">
        <f>Q11-Q44</f>
        <v>1577</v>
      </c>
      <c r="R46" s="73"/>
      <c r="S46" s="73"/>
      <c r="T46" s="73"/>
      <c r="U46" s="73"/>
      <c r="V46" s="5">
        <f>V11-V44</f>
        <v>4168</v>
      </c>
      <c r="W46" s="73"/>
      <c r="X46" s="73"/>
      <c r="Y46" s="73"/>
      <c r="Z46" s="73"/>
      <c r="AA46" s="5">
        <f>AA11-AA44</f>
        <v>1352</v>
      </c>
      <c r="AB46" s="73"/>
      <c r="AC46" s="73"/>
      <c r="AD46" s="73"/>
      <c r="AE46" s="73"/>
      <c r="AF46" s="5">
        <f>AF11-AF44</f>
        <v>594</v>
      </c>
      <c r="AG46" s="73"/>
      <c r="AH46" s="73"/>
      <c r="AI46" s="73"/>
      <c r="AJ46" s="73"/>
      <c r="AK46" s="5">
        <f>AK11-AK44</f>
        <v>3584</v>
      </c>
      <c r="AL46" s="73"/>
      <c r="AM46" s="73"/>
      <c r="AN46" s="73"/>
      <c r="AO46" s="73"/>
      <c r="AP46" s="5">
        <f>AP11-AP44</f>
        <v>692</v>
      </c>
      <c r="AQ46" s="73"/>
      <c r="AR46" s="73"/>
      <c r="AS46" s="73"/>
      <c r="AT46" s="73"/>
      <c r="AU46" s="5">
        <f>AU11-AU44-AU17</f>
        <v>996</v>
      </c>
      <c r="AV46" s="73"/>
      <c r="AW46" s="73"/>
      <c r="AX46" s="73"/>
      <c r="AY46" s="73"/>
      <c r="AZ46" s="5">
        <f>AZ11-AZ44-AZ17</f>
        <v>816</v>
      </c>
      <c r="BA46" s="73"/>
      <c r="BB46" s="73"/>
      <c r="BC46" s="73"/>
      <c r="BD46" s="73"/>
      <c r="BE46" s="5">
        <f>BE11-BE44-BE17</f>
        <v>913</v>
      </c>
      <c r="BF46" s="73"/>
      <c r="BG46" s="73"/>
      <c r="BH46" s="73"/>
      <c r="BI46" s="73"/>
      <c r="BJ46" s="5">
        <f>BJ11-BJ44-BJ17</f>
        <v>542</v>
      </c>
      <c r="BK46" s="73"/>
      <c r="BL46" s="73"/>
      <c r="BM46" s="73"/>
      <c r="BN46" s="73"/>
      <c r="BO46" s="5">
        <f>BO11-BO44-BO17</f>
        <v>-841</v>
      </c>
      <c r="BP46" s="73"/>
      <c r="BQ46" s="73"/>
      <c r="BR46" s="73"/>
      <c r="BS46" s="73"/>
      <c r="BT46" s="144">
        <v>650</v>
      </c>
      <c r="BU46" s="73"/>
      <c r="BV46" s="73"/>
      <c r="BW46" s="73"/>
      <c r="BX46" s="73"/>
      <c r="BY46" s="144">
        <v>650</v>
      </c>
      <c r="BZ46" s="73"/>
      <c r="CA46" s="73"/>
      <c r="CB46" s="73"/>
      <c r="CC46" s="73"/>
      <c r="CD46" s="144">
        <v>650</v>
      </c>
    </row>
    <row r="47" spans="1:8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</row>
    <row r="48" spans="1:85">
      <c r="A48" s="137" t="s">
        <v>2670</v>
      </c>
      <c r="B48" s="138"/>
      <c r="C48" s="72"/>
      <c r="D48" s="72"/>
      <c r="E48" s="5">
        <f>HLOOKUP(E35,'Woodmac profile - capex'!$B$320:$AL$322,2,FALSE)</f>
        <v>10149.770000000004</v>
      </c>
      <c r="F48" s="5">
        <f>HLOOKUP(F35,'Woodmac profile - capex'!$B$320:$AL$322,2,FALSE)</f>
        <v>10266.550000000008</v>
      </c>
      <c r="G48" s="5">
        <f>HLOOKUP(G35,'Woodmac profile - capex'!$B$320:$AL$322,2,FALSE)</f>
        <v>9842.5400000000009</v>
      </c>
      <c r="H48" s="73"/>
      <c r="I48" s="73"/>
      <c r="J48" s="73"/>
      <c r="K48" s="73"/>
      <c r="L48" s="5">
        <f>HLOOKUP(L35,'Woodmac profile - capex'!$B$320:$AL$322,2,FALSE)</f>
        <v>10350.400000000005</v>
      </c>
      <c r="M48" s="73"/>
      <c r="N48" s="73"/>
      <c r="O48" s="73"/>
      <c r="P48" s="73"/>
      <c r="Q48" s="5">
        <f>HLOOKUP(Q35,'Woodmac profile - capex'!$B$320:$AL$322,2,FALSE)</f>
        <v>11624.759999999997</v>
      </c>
      <c r="R48" s="73"/>
      <c r="S48" s="73"/>
      <c r="T48" s="73"/>
      <c r="U48" s="73"/>
      <c r="V48" s="5">
        <f>HLOOKUP(V35,'Woodmac profile - capex'!$B$320:$AL$322,2,FALSE)</f>
        <v>11867.949999999995</v>
      </c>
      <c r="W48" s="73"/>
      <c r="X48" s="73"/>
      <c r="Y48" s="73"/>
      <c r="Z48" s="73"/>
      <c r="AA48" s="5">
        <f>HLOOKUP(AA35,'Woodmac profile - capex'!$B$320:$AL$322,2,FALSE)</f>
        <v>11159.489999999998</v>
      </c>
      <c r="AB48" s="73"/>
      <c r="AC48" s="73"/>
      <c r="AD48" s="73"/>
      <c r="AE48" s="73"/>
      <c r="AF48" s="5">
        <f>HLOOKUP(AF35,'Woodmac profile - capex'!$B$320:$AL$322,2,FALSE)</f>
        <v>10771.460000000003</v>
      </c>
      <c r="AG48" s="73"/>
      <c r="AH48" s="73"/>
      <c r="AI48" s="73"/>
      <c r="AJ48" s="73"/>
      <c r="AK48" s="5">
        <f>HLOOKUP(AK35,'Woodmac profile - capex'!$B$320:$AL$322,2,FALSE)</f>
        <v>11660.970000000007</v>
      </c>
      <c r="AL48" s="73"/>
      <c r="AM48" s="73"/>
      <c r="AN48" s="73"/>
      <c r="AO48" s="73"/>
      <c r="AP48" s="5">
        <f>HLOOKUP(AP35,'Woodmac profile - capex'!$B$320:$AL$322,2,FALSE)</f>
        <v>12820.610000000004</v>
      </c>
      <c r="AQ48" s="73"/>
      <c r="AR48" s="73"/>
      <c r="AS48" s="73"/>
      <c r="AT48" s="73"/>
      <c r="AU48" s="5">
        <f>HLOOKUP(AU35,'Woodmac profile - capex'!$B$320:$AL$322,2,FALSE)</f>
        <v>12985.170000000004</v>
      </c>
      <c r="AV48" s="73"/>
      <c r="AW48" s="73"/>
      <c r="AX48" s="73"/>
      <c r="AY48" s="73"/>
      <c r="AZ48" s="5">
        <f>HLOOKUP(AZ35,'Woodmac profile - capex'!$B$320:$AL$322,2,FALSE)</f>
        <v>14818.300000000008</v>
      </c>
      <c r="BA48" s="73"/>
      <c r="BB48" s="73"/>
      <c r="BC48" s="73"/>
      <c r="BD48" s="73"/>
      <c r="BE48" s="5">
        <f>HLOOKUP(BE35,'Woodmac profile - capex'!$B$320:$AL$322,2,FALSE)</f>
        <v>12345.050000000005</v>
      </c>
      <c r="BF48" s="73"/>
      <c r="BG48" s="73"/>
      <c r="BH48" s="73"/>
      <c r="BI48" s="73"/>
      <c r="BJ48" s="5">
        <f>HLOOKUP(BJ35,'Woodmac profile - capex'!$B$320:$AL$322,2,FALSE)</f>
        <v>10858.090000000009</v>
      </c>
      <c r="BK48" s="73"/>
      <c r="BL48" s="73"/>
      <c r="BM48" s="73"/>
      <c r="BN48" s="73"/>
      <c r="BO48" s="5">
        <f>HLOOKUP(BO35,'Woodmac profile - capex'!$B$320:$AL$322,2,FALSE)</f>
        <v>10057.883999999996</v>
      </c>
      <c r="BP48" s="73"/>
      <c r="BQ48" s="73"/>
      <c r="BR48" s="73"/>
      <c r="BS48" s="73"/>
      <c r="BT48" s="5">
        <f>HLOOKUP(BT35,'Woodmac profile - capex'!$B$320:$AL$322,2,FALSE)</f>
        <v>9208.1049999999977</v>
      </c>
      <c r="BU48" s="73"/>
      <c r="BV48" s="73"/>
      <c r="BW48" s="73"/>
      <c r="BX48" s="73"/>
      <c r="BY48" s="5">
        <f>HLOOKUP(BY35,'Woodmac profile - capex'!$B$320:$AL$322,2,FALSE)</f>
        <v>8792.7100000000028</v>
      </c>
      <c r="BZ48" s="73"/>
      <c r="CA48" s="73"/>
      <c r="CB48" s="73"/>
      <c r="CC48" s="73"/>
      <c r="CD48" s="5">
        <f>HLOOKUP(CD35,'Woodmac profile - capex'!$B$320:$AL$322,2,FALSE)</f>
        <v>7857.2750000000033</v>
      </c>
    </row>
    <row r="49" spans="1:82">
      <c r="A49" s="137" t="s">
        <v>2671</v>
      </c>
      <c r="B49" s="138"/>
      <c r="C49" s="72"/>
      <c r="D49" s="72"/>
      <c r="E49" s="5"/>
      <c r="F49" s="5"/>
      <c r="G49" s="5"/>
      <c r="H49" s="73"/>
      <c r="I49" s="73"/>
      <c r="J49" s="73"/>
      <c r="K49" s="73"/>
      <c r="L49" s="5">
        <f>L40-L48</f>
        <v>-1241.4000000000051</v>
      </c>
      <c r="M49" s="73"/>
      <c r="N49" s="73"/>
      <c r="O49" s="73"/>
      <c r="P49" s="73"/>
      <c r="Q49" s="5">
        <f>Q40-Q48</f>
        <v>-1471.7599999999966</v>
      </c>
      <c r="R49" s="73"/>
      <c r="S49" s="73"/>
      <c r="T49" s="73"/>
      <c r="U49" s="73"/>
      <c r="V49" s="5">
        <f>V40-V48</f>
        <v>-100.94999999999527</v>
      </c>
      <c r="W49" s="73"/>
      <c r="X49" s="73"/>
      <c r="Y49" s="73"/>
      <c r="Z49" s="73"/>
      <c r="AA49" s="5">
        <f>AA40-AA48</f>
        <v>-763.48999999999796</v>
      </c>
      <c r="AB49" s="73"/>
      <c r="AC49" s="73"/>
      <c r="AD49" s="73"/>
      <c r="AE49" s="73"/>
      <c r="AF49" s="5">
        <f>AF40-AF48</f>
        <v>-1096.4600000000028</v>
      </c>
      <c r="AG49" s="73"/>
      <c r="AH49" s="73"/>
      <c r="AI49" s="73"/>
      <c r="AJ49" s="73"/>
      <c r="AK49" s="5">
        <f>AK40-AK48</f>
        <v>-1465.9700000000066</v>
      </c>
      <c r="AL49" s="73"/>
      <c r="AM49" s="73"/>
      <c r="AN49" s="73"/>
      <c r="AO49" s="73"/>
      <c r="AP49" s="5">
        <f>AP40-AP48</f>
        <v>-856.61000000000422</v>
      </c>
      <c r="AQ49" s="73"/>
      <c r="AR49" s="73"/>
      <c r="AS49" s="73"/>
      <c r="AT49" s="73"/>
      <c r="AU49" s="5">
        <f>AU40-AU48</f>
        <v>566.82999999999629</v>
      </c>
      <c r="AV49" s="73"/>
      <c r="AW49" s="73"/>
      <c r="AX49" s="73"/>
      <c r="AY49" s="73"/>
      <c r="AZ49" s="5">
        <f>AZ40-AZ48</f>
        <v>277.69999999999163</v>
      </c>
      <c r="BA49" s="73"/>
      <c r="BB49" s="73"/>
      <c r="BC49" s="73"/>
      <c r="BD49" s="73"/>
      <c r="BE49" s="5">
        <f>BE40-BE48</f>
        <v>1112.9499999999953</v>
      </c>
      <c r="BF49" s="73"/>
      <c r="BG49" s="73"/>
      <c r="BH49" s="73"/>
      <c r="BI49" s="73"/>
      <c r="BJ49" s="5">
        <f>BJ40-BJ48</f>
        <v>286.90999999999076</v>
      </c>
      <c r="BK49" s="73"/>
      <c r="BL49" s="73"/>
      <c r="BM49" s="73"/>
      <c r="BN49" s="73"/>
      <c r="BO49" s="5">
        <f>BO40-BO48</f>
        <v>637.11600000000362</v>
      </c>
      <c r="BP49" s="73"/>
      <c r="BQ49" s="73"/>
      <c r="BR49" s="73"/>
      <c r="BS49" s="73"/>
      <c r="BT49" s="5">
        <f>BT40-BT48</f>
        <v>2541.8950000000023</v>
      </c>
      <c r="BU49" s="73"/>
      <c r="BV49" s="73"/>
      <c r="BW49" s="73"/>
      <c r="BX49" s="73"/>
      <c r="BY49" s="5">
        <f>BY40-BY48</f>
        <v>3207.2899999999972</v>
      </c>
      <c r="BZ49" s="73"/>
      <c r="CA49" s="73"/>
      <c r="CB49" s="73"/>
      <c r="CC49" s="73"/>
      <c r="CD49" s="5">
        <f>CD40-CD48</f>
        <v>4142.7249999999967</v>
      </c>
    </row>
    <row r="50" spans="1:82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</row>
    <row r="51" spans="1:82">
      <c r="A51" s="35" t="s">
        <v>3513</v>
      </c>
      <c r="B51" s="4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</row>
    <row r="52" spans="1:82">
      <c r="A52" s="121"/>
      <c r="B52" s="4" t="s">
        <v>3506</v>
      </c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2"/>
      <c r="AR52" s="72"/>
      <c r="AS52" s="72"/>
      <c r="AT52" s="72"/>
      <c r="AU52" s="72"/>
      <c r="AV52" s="72"/>
      <c r="AW52" s="72"/>
      <c r="AX52" s="72"/>
      <c r="AY52" s="72"/>
      <c r="AZ52" s="72"/>
      <c r="BA52" s="72"/>
      <c r="BB52" s="72"/>
      <c r="BC52" s="72"/>
      <c r="BD52" s="72"/>
      <c r="BE52" s="72"/>
      <c r="BF52" s="72"/>
      <c r="BG52" s="72"/>
      <c r="BH52" s="72"/>
      <c r="BI52" s="72"/>
      <c r="BJ52" s="72"/>
      <c r="BK52" s="72"/>
      <c r="BL52" s="72"/>
      <c r="BM52" s="72"/>
      <c r="BN52" s="72"/>
      <c r="BO52" s="119">
        <f>'Key assumptions'!BO12</f>
        <v>54.167499999999997</v>
      </c>
      <c r="BP52" s="5"/>
      <c r="BQ52" s="5"/>
      <c r="BR52" s="5"/>
      <c r="BS52" s="5"/>
      <c r="BT52" s="119">
        <f>'Key assumptions'!BT12</f>
        <v>66.502500000000012</v>
      </c>
      <c r="BU52" s="5"/>
      <c r="BV52" s="5"/>
      <c r="BW52" s="5"/>
      <c r="BX52" s="5"/>
      <c r="BY52" s="119">
        <f>'Key assumptions'!BY12</f>
        <v>62.95</v>
      </c>
      <c r="BZ52" s="5"/>
      <c r="CA52" s="5"/>
      <c r="CB52" s="5"/>
      <c r="CC52" s="5"/>
      <c r="CD52" s="119">
        <f>'Key assumptions'!CD12</f>
        <v>63.930557845352325</v>
      </c>
    </row>
    <row r="53" spans="1:82">
      <c r="A53" s="121"/>
      <c r="B53" s="391" t="s">
        <v>3514</v>
      </c>
      <c r="C53" s="72"/>
      <c r="D53" s="72"/>
      <c r="E53" s="72"/>
      <c r="F53" s="72"/>
      <c r="G53" s="72"/>
      <c r="H53" s="72"/>
      <c r="I53" s="72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  <c r="AA53" s="72"/>
      <c r="AB53" s="72"/>
      <c r="AC53" s="72"/>
      <c r="AD53" s="72"/>
      <c r="AE53" s="72"/>
      <c r="AF53" s="72"/>
      <c r="AG53" s="72"/>
      <c r="AH53" s="72"/>
      <c r="AI53" s="72"/>
      <c r="AJ53" s="72"/>
      <c r="AK53" s="72"/>
      <c r="AL53" s="72"/>
      <c r="AM53" s="72"/>
      <c r="AN53" s="72"/>
      <c r="AO53" s="72"/>
      <c r="AP53" s="72"/>
      <c r="AQ53" s="72"/>
      <c r="AR53" s="72"/>
      <c r="AS53" s="72"/>
      <c r="AT53" s="72"/>
      <c r="AU53" s="72"/>
      <c r="AV53" s="72"/>
      <c r="AW53" s="72"/>
      <c r="AX53" s="72"/>
      <c r="AY53" s="72"/>
      <c r="AZ53" s="72"/>
      <c r="BA53" s="72"/>
      <c r="BB53" s="72"/>
      <c r="BC53" s="72"/>
      <c r="BD53" s="72"/>
      <c r="BE53" s="72"/>
      <c r="BF53" s="72"/>
      <c r="BG53" s="72"/>
      <c r="BH53" s="72"/>
      <c r="BI53" s="72"/>
      <c r="BJ53" s="72"/>
      <c r="BK53" s="72"/>
      <c r="BL53" s="72"/>
      <c r="BM53" s="72"/>
      <c r="BN53" s="72"/>
      <c r="BO53" s="5">
        <f>'Production - Total'!BO56*0.365</f>
        <v>789.98586206896539</v>
      </c>
      <c r="BP53" s="5"/>
      <c r="BQ53" s="5"/>
      <c r="BR53" s="5"/>
      <c r="BS53" s="5"/>
      <c r="BT53" s="5">
        <f>'Production - Total'!BT56*0.365</f>
        <v>866.60704317931027</v>
      </c>
      <c r="BU53" s="5"/>
      <c r="BV53" s="5"/>
      <c r="BW53" s="5"/>
      <c r="BX53" s="5"/>
      <c r="BY53" s="5">
        <f>'Production - Total'!BY56*0.365</f>
        <v>913.97033579310357</v>
      </c>
      <c r="BZ53" s="5"/>
      <c r="CA53" s="5"/>
      <c r="CB53" s="5"/>
      <c r="CC53" s="5"/>
      <c r="CD53" s="5">
        <f>'Production - Total'!CD56*0.365</f>
        <v>940.92125311724146</v>
      </c>
    </row>
    <row r="54" spans="1:82">
      <c r="A54" s="121"/>
      <c r="B54" t="s">
        <v>3512</v>
      </c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  <c r="AA54" s="72"/>
      <c r="AB54" s="72"/>
      <c r="AC54" s="72"/>
      <c r="AD54" s="72"/>
      <c r="AE54" s="72"/>
      <c r="AF54" s="72"/>
      <c r="AG54" s="72"/>
      <c r="AH54" s="72"/>
      <c r="AI54" s="72"/>
      <c r="AJ54" s="72"/>
      <c r="AK54" s="72"/>
      <c r="AL54" s="72"/>
      <c r="AM54" s="72"/>
      <c r="AN54" s="72"/>
      <c r="AO54" s="72"/>
      <c r="AP54" s="72"/>
      <c r="AQ54" s="72"/>
      <c r="AR54" s="72"/>
      <c r="AS54" s="72"/>
      <c r="AT54" s="72"/>
      <c r="AU54" s="72"/>
      <c r="AV54" s="72"/>
      <c r="AW54" s="72"/>
      <c r="AX54" s="72"/>
      <c r="AY54" s="72"/>
      <c r="AZ54" s="72"/>
      <c r="BA54" s="72"/>
      <c r="BB54" s="72"/>
      <c r="BC54" s="72"/>
      <c r="BD54" s="72"/>
      <c r="BE54" s="72"/>
      <c r="BF54" s="72"/>
      <c r="BG54" s="72"/>
      <c r="BH54" s="72"/>
      <c r="BI54" s="72"/>
      <c r="BJ54" s="72"/>
      <c r="BK54" s="72"/>
      <c r="BL54" s="72"/>
      <c r="BM54" s="72"/>
      <c r="BN54" s="72"/>
      <c r="BO54" s="528">
        <v>0</v>
      </c>
      <c r="BP54" s="5"/>
      <c r="BQ54" s="5"/>
      <c r="BR54" s="5"/>
      <c r="BS54" s="5"/>
      <c r="BT54" s="528">
        <v>0</v>
      </c>
      <c r="BU54" s="5"/>
      <c r="BV54" s="5"/>
      <c r="BW54" s="5"/>
      <c r="BX54" s="5"/>
      <c r="BY54" s="528">
        <v>0</v>
      </c>
      <c r="BZ54" s="5"/>
      <c r="CA54" s="5"/>
      <c r="CB54" s="5"/>
      <c r="CC54" s="5"/>
      <c r="CD54" s="528">
        <v>0</v>
      </c>
    </row>
    <row r="55" spans="1:82">
      <c r="A55" s="121"/>
      <c r="B55" t="s">
        <v>3507</v>
      </c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  <c r="AA55" s="72"/>
      <c r="AB55" s="72"/>
      <c r="AC55" s="72"/>
      <c r="AD55" s="72"/>
      <c r="AE55" s="72"/>
      <c r="AF55" s="72"/>
      <c r="AG55" s="72"/>
      <c r="AH55" s="72"/>
      <c r="AI55" s="72"/>
      <c r="AJ55" s="72"/>
      <c r="AK55" s="72"/>
      <c r="AL55" s="72"/>
      <c r="AM55" s="72"/>
      <c r="AN55" s="72"/>
      <c r="AO55" s="72"/>
      <c r="AP55" s="72"/>
      <c r="AQ55" s="72"/>
      <c r="AR55" s="72"/>
      <c r="AS55" s="72"/>
      <c r="AT55" s="72"/>
      <c r="AU55" s="72"/>
      <c r="AV55" s="72"/>
      <c r="AW55" s="72"/>
      <c r="AX55" s="72"/>
      <c r="AY55" s="72"/>
      <c r="AZ55" s="72"/>
      <c r="BA55" s="72"/>
      <c r="BB55" s="72"/>
      <c r="BC55" s="72"/>
      <c r="BD55" s="72"/>
      <c r="BE55" s="72"/>
      <c r="BF55" s="72"/>
      <c r="BG55" s="72"/>
      <c r="BH55" s="72"/>
      <c r="BI55" s="72"/>
      <c r="BJ55" s="72"/>
      <c r="BK55" s="72"/>
      <c r="BL55" s="72"/>
      <c r="BM55" s="72"/>
      <c r="BN55" s="72"/>
      <c r="BO55" s="381">
        <f>1+BO54*BO92</f>
        <v>1</v>
      </c>
      <c r="BP55" s="5"/>
      <c r="BQ55" s="5"/>
      <c r="BR55" s="5"/>
      <c r="BS55" s="5"/>
      <c r="BT55" s="381">
        <f>1+BT54*BT92</f>
        <v>1</v>
      </c>
      <c r="BU55" s="5"/>
      <c r="BV55" s="5"/>
      <c r="BW55" s="5"/>
      <c r="BX55" s="5"/>
      <c r="BY55" s="381">
        <f>1+BY54*BY92</f>
        <v>1</v>
      </c>
      <c r="BZ55" s="5"/>
      <c r="CA55" s="5"/>
      <c r="CB55" s="5"/>
      <c r="CC55" s="5"/>
      <c r="CD55" s="381">
        <f>1+CD54*CD92</f>
        <v>1</v>
      </c>
    </row>
    <row r="56" spans="1:82">
      <c r="A56" s="121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K56" s="5"/>
      <c r="BL56" s="5"/>
      <c r="BM56" s="5"/>
      <c r="BN56" s="5"/>
      <c r="BP56" s="5"/>
      <c r="BQ56" s="5"/>
      <c r="BR56" s="5"/>
      <c r="BS56" s="5"/>
      <c r="BU56" s="5"/>
      <c r="BV56" s="5"/>
      <c r="BW56" s="5"/>
      <c r="BX56" s="5"/>
      <c r="BZ56" s="5"/>
      <c r="CA56" s="5"/>
      <c r="CB56" s="5"/>
      <c r="CC56" s="5"/>
    </row>
    <row r="57" spans="1:82">
      <c r="A57" s="7"/>
      <c r="B57" s="4" t="s">
        <v>3508</v>
      </c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  <c r="AA57" s="72"/>
      <c r="AB57" s="72"/>
      <c r="AC57" s="72"/>
      <c r="AD57" s="72"/>
      <c r="AE57" s="72"/>
      <c r="AF57" s="72"/>
      <c r="AG57" s="72"/>
      <c r="AH57" s="72"/>
      <c r="AI57" s="72"/>
      <c r="AJ57" s="72"/>
      <c r="AK57" s="72"/>
      <c r="AL57" s="72"/>
      <c r="AM57" s="72"/>
      <c r="AN57" s="72"/>
      <c r="AO57" s="72"/>
      <c r="AP57" s="72"/>
      <c r="AQ57" s="72"/>
      <c r="AR57" s="72"/>
      <c r="AS57" s="72"/>
      <c r="AT57" s="72"/>
      <c r="AU57" s="72"/>
      <c r="AV57" s="72"/>
      <c r="AW57" s="72"/>
      <c r="AX57" s="72"/>
      <c r="AY57" s="72"/>
      <c r="AZ57" s="72"/>
      <c r="BA57" s="72"/>
      <c r="BB57" s="72"/>
      <c r="BC57" s="72"/>
      <c r="BD57" s="72"/>
      <c r="BE57" s="72"/>
      <c r="BF57" s="72"/>
      <c r="BG57" s="72"/>
      <c r="BH57" s="72"/>
      <c r="BI57" s="72"/>
      <c r="BJ57" s="72"/>
      <c r="BK57" s="72"/>
      <c r="BL57" s="72"/>
      <c r="BM57" s="72"/>
      <c r="BN57" s="72"/>
      <c r="BO57" s="529">
        <v>3</v>
      </c>
      <c r="BP57" s="72"/>
      <c r="BQ57" s="72"/>
      <c r="BR57" s="72"/>
      <c r="BS57" s="72"/>
      <c r="BT57" s="529">
        <v>3</v>
      </c>
      <c r="BU57" s="72"/>
      <c r="BV57" s="72"/>
      <c r="BW57" s="72"/>
      <c r="BX57" s="72"/>
      <c r="BY57" s="529">
        <v>3</v>
      </c>
      <c r="BZ57" s="72"/>
      <c r="CA57" s="72"/>
      <c r="CB57" s="72"/>
      <c r="CC57" s="72"/>
      <c r="CD57" s="529">
        <v>3</v>
      </c>
    </row>
    <row r="58" spans="1:82">
      <c r="A58" s="7"/>
      <c r="B58" s="4" t="s">
        <v>3509</v>
      </c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  <c r="AA58" s="72"/>
      <c r="AB58" s="72"/>
      <c r="AC58" s="72"/>
      <c r="AD58" s="72"/>
      <c r="AE58" s="72"/>
      <c r="AF58" s="72"/>
      <c r="AG58" s="72"/>
      <c r="AH58" s="72"/>
      <c r="AI58" s="72"/>
      <c r="AJ58" s="72"/>
      <c r="AK58" s="72"/>
      <c r="AL58" s="72"/>
      <c r="AM58" s="72"/>
      <c r="AN58" s="72"/>
      <c r="AO58" s="72"/>
      <c r="AP58" s="72"/>
      <c r="AQ58" s="72"/>
      <c r="AR58" s="72"/>
      <c r="AS58" s="72"/>
      <c r="AT58" s="72"/>
      <c r="AU58" s="72"/>
      <c r="AV58" s="72"/>
      <c r="AW58" s="72"/>
      <c r="AX58" s="72"/>
      <c r="AY58" s="72"/>
      <c r="AZ58" s="72"/>
      <c r="BA58" s="72"/>
      <c r="BB58" s="72"/>
      <c r="BC58" s="72"/>
      <c r="BD58" s="72"/>
      <c r="BE58" s="72"/>
      <c r="BF58" s="72"/>
      <c r="BG58" s="72"/>
      <c r="BH58" s="72"/>
      <c r="BI58" s="72"/>
      <c r="BJ58" s="72"/>
      <c r="BK58" s="72"/>
      <c r="BL58" s="72"/>
      <c r="BM58" s="72"/>
      <c r="BN58" s="72"/>
      <c r="BO58" s="529">
        <f>0.25*BO52</f>
        <v>13.541874999999999</v>
      </c>
      <c r="BP58" s="72"/>
      <c r="BQ58" s="72"/>
      <c r="BR58" s="72"/>
      <c r="BS58" s="72"/>
      <c r="BT58" s="529">
        <f>0.25*BT52</f>
        <v>16.625625000000003</v>
      </c>
      <c r="BU58" s="72"/>
      <c r="BV58" s="72"/>
      <c r="BW58" s="72"/>
      <c r="BX58" s="72"/>
      <c r="BY58" s="529">
        <f>0.25*BY52</f>
        <v>15.737500000000001</v>
      </c>
      <c r="BZ58" s="72"/>
      <c r="CA58" s="72"/>
      <c r="CB58" s="72"/>
      <c r="CC58" s="72"/>
      <c r="CD58" s="529">
        <f>0.25*CD52</f>
        <v>15.982639461338081</v>
      </c>
    </row>
    <row r="60" spans="1:82">
      <c r="A60" s="7"/>
      <c r="B60" s="212" t="s">
        <v>3555</v>
      </c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  <c r="AA60" s="72"/>
      <c r="AB60" s="72"/>
      <c r="AC60" s="72"/>
      <c r="AD60" s="72"/>
      <c r="AE60" s="72"/>
      <c r="AF60" s="72"/>
      <c r="AG60" s="72"/>
      <c r="AH60" s="72"/>
      <c r="AI60" s="72"/>
      <c r="AJ60" s="72"/>
      <c r="AK60" s="72"/>
      <c r="AL60" s="72"/>
      <c r="AM60" s="72"/>
      <c r="AN60" s="72"/>
      <c r="AO60" s="72"/>
      <c r="AP60" s="72"/>
      <c r="AQ60" s="72"/>
      <c r="AR60" s="72"/>
      <c r="AS60" s="72"/>
      <c r="AT60" s="72"/>
      <c r="AU60" s="72"/>
      <c r="AV60" s="149"/>
      <c r="AW60" s="149"/>
      <c r="AX60" s="149"/>
      <c r="AY60" s="149"/>
      <c r="AZ60" s="72"/>
      <c r="BA60" s="149"/>
      <c r="BB60" s="149"/>
      <c r="BC60" s="149"/>
      <c r="BD60" s="149"/>
      <c r="BE60" s="72"/>
      <c r="BF60" s="149"/>
      <c r="BG60" s="149"/>
      <c r="BH60" s="149"/>
      <c r="BI60" s="149"/>
      <c r="BJ60" s="149"/>
      <c r="BK60" s="149"/>
      <c r="BL60" s="149"/>
      <c r="BM60" s="149"/>
      <c r="BN60" s="149"/>
      <c r="BO60" s="530">
        <f>ROUND(BO53*BO55*BO57,-2)</f>
        <v>2400</v>
      </c>
      <c r="BP60" s="149"/>
      <c r="BQ60" s="149"/>
      <c r="BR60" s="149"/>
      <c r="BS60" s="149"/>
      <c r="BT60" s="530">
        <f>ROUND(BT53*BT55*BT57,-2)</f>
        <v>2600</v>
      </c>
      <c r="BU60" s="149"/>
      <c r="BV60" s="149"/>
      <c r="BW60" s="149"/>
      <c r="BX60" s="149"/>
      <c r="BY60" s="530">
        <f>ROUND(BY53*BY55*BY57,-2)</f>
        <v>2700</v>
      </c>
      <c r="BZ60" s="149"/>
      <c r="CA60" s="149"/>
      <c r="CB60" s="149"/>
      <c r="CC60" s="149"/>
      <c r="CD60" s="530">
        <f>ROUND(CD53*CD55*CD57,-2)</f>
        <v>2800</v>
      </c>
    </row>
    <row r="61" spans="1:82">
      <c r="A61" s="7"/>
      <c r="B61" s="212" t="s">
        <v>3556</v>
      </c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2"/>
      <c r="AS61" s="72"/>
      <c r="AT61" s="72"/>
      <c r="AU61" s="72"/>
      <c r="AV61" s="72"/>
      <c r="AW61" s="72"/>
      <c r="AX61" s="72"/>
      <c r="AY61" s="72"/>
      <c r="AZ61" s="72"/>
      <c r="BA61" s="72"/>
      <c r="BB61" s="72"/>
      <c r="BC61" s="72"/>
      <c r="BD61" s="72"/>
      <c r="BE61" s="72"/>
      <c r="BF61" s="72"/>
      <c r="BG61" s="72"/>
      <c r="BH61" s="72"/>
      <c r="BI61" s="72"/>
      <c r="BJ61" s="72"/>
      <c r="BK61" s="72"/>
      <c r="BL61" s="72"/>
      <c r="BM61" s="72"/>
      <c r="BN61" s="72"/>
      <c r="BO61" s="531">
        <f>ROUND(BO53*BO55*BO58,-2)</f>
        <v>10700</v>
      </c>
      <c r="BP61" s="72"/>
      <c r="BQ61" s="72"/>
      <c r="BR61" s="72"/>
      <c r="BS61" s="72"/>
      <c r="BT61" s="531">
        <f>ROUND(BT53*BT55*BT58,-2)</f>
        <v>14400</v>
      </c>
      <c r="BU61" s="72"/>
      <c r="BV61" s="72"/>
      <c r="BW61" s="72"/>
      <c r="BX61" s="72"/>
      <c r="BY61" s="531">
        <f>ROUND(BY53*BY55*BY58,-2)</f>
        <v>14400</v>
      </c>
      <c r="BZ61" s="72"/>
      <c r="CA61" s="72"/>
      <c r="CB61" s="72"/>
      <c r="CC61" s="72"/>
      <c r="CD61" s="531">
        <f>ROUND(CD53*CD55*CD58,-2)</f>
        <v>15000</v>
      </c>
    </row>
    <row r="62" spans="1:82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</row>
    <row r="63" spans="1:82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</row>
    <row r="64" spans="1:82">
      <c r="A64" s="29" t="s">
        <v>2672</v>
      </c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</row>
    <row r="65" spans="1:84" ht="12.75" customHeight="1">
      <c r="A65" s="10"/>
      <c r="B65" s="10"/>
      <c r="C65" s="31">
        <v>2001</v>
      </c>
      <c r="D65" s="32">
        <v>2002</v>
      </c>
      <c r="E65" s="32">
        <v>2003</v>
      </c>
      <c r="F65" s="32">
        <v>2004</v>
      </c>
      <c r="G65" s="31">
        <v>2005</v>
      </c>
      <c r="H65" s="33" t="s">
        <v>714</v>
      </c>
      <c r="I65" s="33" t="s">
        <v>715</v>
      </c>
      <c r="J65" s="33" t="s">
        <v>716</v>
      </c>
      <c r="K65" s="33" t="s">
        <v>717</v>
      </c>
      <c r="L65" s="31">
        <v>2006</v>
      </c>
      <c r="M65" s="33" t="s">
        <v>718</v>
      </c>
      <c r="N65" s="33" t="s">
        <v>719</v>
      </c>
      <c r="O65" s="33" t="s">
        <v>1970</v>
      </c>
      <c r="P65" s="33" t="s">
        <v>1971</v>
      </c>
      <c r="Q65" s="31">
        <v>2007</v>
      </c>
      <c r="R65" s="33" t="s">
        <v>1972</v>
      </c>
      <c r="S65" s="33" t="s">
        <v>1973</v>
      </c>
      <c r="T65" s="33" t="s">
        <v>1974</v>
      </c>
      <c r="U65" s="33" t="s">
        <v>1975</v>
      </c>
      <c r="V65" s="31">
        <v>2008</v>
      </c>
      <c r="W65" s="33" t="s">
        <v>1976</v>
      </c>
      <c r="X65" s="33" t="s">
        <v>1977</v>
      </c>
      <c r="Y65" s="33" t="s">
        <v>1978</v>
      </c>
      <c r="Z65" s="33" t="s">
        <v>1979</v>
      </c>
      <c r="AA65" s="31">
        <v>2009</v>
      </c>
      <c r="AB65" s="33" t="s">
        <v>1980</v>
      </c>
      <c r="AC65" s="33" t="s">
        <v>1981</v>
      </c>
      <c r="AD65" s="33" t="s">
        <v>1982</v>
      </c>
      <c r="AE65" s="33" t="s">
        <v>2392</v>
      </c>
      <c r="AF65" s="31">
        <v>2010</v>
      </c>
      <c r="AG65" s="33" t="s">
        <v>2393</v>
      </c>
      <c r="AH65" s="33" t="s">
        <v>2394</v>
      </c>
      <c r="AI65" s="33" t="s">
        <v>2395</v>
      </c>
      <c r="AJ65" s="33" t="s">
        <v>2396</v>
      </c>
      <c r="AK65" s="31">
        <v>2011</v>
      </c>
      <c r="AL65" s="368" t="s">
        <v>2397</v>
      </c>
      <c r="AM65" s="368" t="s">
        <v>2398</v>
      </c>
      <c r="AN65" s="368" t="s">
        <v>2399</v>
      </c>
      <c r="AO65" s="368" t="s">
        <v>2400</v>
      </c>
      <c r="AP65" s="369">
        <v>2012</v>
      </c>
      <c r="AQ65" s="368" t="s">
        <v>2401</v>
      </c>
      <c r="AR65" s="368" t="s">
        <v>2402</v>
      </c>
      <c r="AS65" s="368" t="s">
        <v>2403</v>
      </c>
      <c r="AT65" s="368" t="s">
        <v>2404</v>
      </c>
      <c r="AU65" s="369">
        <v>2013</v>
      </c>
      <c r="AV65" s="368" t="s">
        <v>2405</v>
      </c>
      <c r="AW65" s="368" t="s">
        <v>2406</v>
      </c>
      <c r="AX65" s="368" t="s">
        <v>2407</v>
      </c>
      <c r="AY65" s="368" t="s">
        <v>2408</v>
      </c>
      <c r="AZ65" s="369">
        <v>2014</v>
      </c>
      <c r="BA65" s="368" t="s">
        <v>2409</v>
      </c>
      <c r="BB65" s="368" t="s">
        <v>2410</v>
      </c>
      <c r="BC65" s="368" t="s">
        <v>2411</v>
      </c>
      <c r="BD65" s="368" t="s">
        <v>2412</v>
      </c>
      <c r="BE65" s="31">
        <v>2015</v>
      </c>
      <c r="BF65" s="368" t="s">
        <v>2413</v>
      </c>
      <c r="BG65" s="368" t="s">
        <v>2414</v>
      </c>
      <c r="BH65" s="368" t="s">
        <v>2415</v>
      </c>
      <c r="BI65" s="368" t="s">
        <v>2416</v>
      </c>
      <c r="BJ65" s="31">
        <v>2016</v>
      </c>
      <c r="BK65" s="368" t="s">
        <v>2417</v>
      </c>
      <c r="BL65" s="368" t="s">
        <v>2418</v>
      </c>
      <c r="BM65" s="368" t="s">
        <v>2419</v>
      </c>
      <c r="BN65" s="368" t="s">
        <v>2420</v>
      </c>
      <c r="BO65" s="31">
        <v>2017</v>
      </c>
      <c r="BP65" s="363" t="s">
        <v>2244</v>
      </c>
      <c r="BQ65" s="363" t="s">
        <v>2245</v>
      </c>
      <c r="BR65" s="363" t="s">
        <v>2508</v>
      </c>
      <c r="BS65" s="363" t="s">
        <v>2509</v>
      </c>
      <c r="BT65" s="364">
        <v>2018</v>
      </c>
      <c r="BU65" s="363" t="s">
        <v>2510</v>
      </c>
      <c r="BV65" s="363" t="s">
        <v>2511</v>
      </c>
      <c r="BW65" s="363" t="s">
        <v>3125</v>
      </c>
      <c r="BX65" s="363" t="s">
        <v>1405</v>
      </c>
      <c r="BY65" s="364">
        <v>2019</v>
      </c>
      <c r="BZ65" s="363" t="s">
        <v>1406</v>
      </c>
      <c r="CA65" s="363" t="s">
        <v>1407</v>
      </c>
      <c r="CB65" s="363" t="s">
        <v>1408</v>
      </c>
      <c r="CC65" s="363" t="s">
        <v>1409</v>
      </c>
      <c r="CD65" s="364">
        <v>2020</v>
      </c>
    </row>
    <row r="66" spans="1:84">
      <c r="A66" s="4" t="s">
        <v>2665</v>
      </c>
      <c r="B66" s="4"/>
      <c r="C66" s="138"/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138"/>
      <c r="AC66" s="138"/>
      <c r="AD66" s="138"/>
      <c r="AE66" s="138"/>
      <c r="AF66" s="138"/>
      <c r="AG66" s="138"/>
      <c r="AH66" s="138"/>
      <c r="AI66" s="138"/>
      <c r="AJ66" s="138"/>
      <c r="AK66" s="138"/>
      <c r="AL66" s="138"/>
      <c r="AM66" s="138"/>
      <c r="AN66" s="138"/>
      <c r="AO66" s="138"/>
      <c r="AP66" s="138"/>
      <c r="AQ66" s="138"/>
      <c r="AR66" s="138"/>
      <c r="AS66" s="138"/>
      <c r="AT66" s="138"/>
      <c r="AU66" s="138"/>
      <c r="AV66" s="138"/>
      <c r="AW66" s="138"/>
      <c r="AX66" s="138"/>
      <c r="AY66" s="138"/>
      <c r="AZ66" s="138"/>
      <c r="BA66" s="138"/>
      <c r="BB66" s="138"/>
      <c r="BC66" s="138"/>
      <c r="BD66" s="138"/>
      <c r="BE66" s="138"/>
      <c r="BF66" s="138"/>
      <c r="BG66" s="138"/>
      <c r="BH66" s="138"/>
      <c r="BI66" s="138"/>
      <c r="BJ66" s="138"/>
      <c r="BK66" s="138"/>
      <c r="BL66" s="138"/>
      <c r="BM66" s="138"/>
      <c r="BN66" s="138"/>
      <c r="BO66" s="138"/>
      <c r="BP66" s="138"/>
      <c r="BQ66" s="138"/>
      <c r="BR66" s="138"/>
      <c r="BS66" s="138"/>
      <c r="BT66" s="138"/>
      <c r="BU66" s="138"/>
      <c r="BV66" s="138"/>
      <c r="BW66" s="138"/>
      <c r="BX66" s="138"/>
      <c r="BY66" s="138"/>
      <c r="BZ66" s="138"/>
      <c r="CA66" s="138"/>
      <c r="CB66" s="138"/>
      <c r="CC66" s="138"/>
      <c r="CD66" s="138"/>
      <c r="CE66" s="406"/>
    </row>
    <row r="67" spans="1:84">
      <c r="A67" s="4"/>
      <c r="B67" s="4" t="s">
        <v>2666</v>
      </c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5">
        <v>0</v>
      </c>
      <c r="AB67" s="72"/>
      <c r="AC67" s="72"/>
      <c r="AD67" s="72"/>
      <c r="AE67" s="72"/>
      <c r="AF67" s="5">
        <v>0</v>
      </c>
      <c r="AG67" s="72"/>
      <c r="AH67" s="72"/>
      <c r="AI67" s="72"/>
      <c r="AJ67" s="72"/>
      <c r="AK67" s="5">
        <v>46</v>
      </c>
      <c r="AL67" s="72"/>
      <c r="AM67" s="72"/>
      <c r="AN67" s="72"/>
      <c r="AO67" s="72"/>
      <c r="AP67" s="5">
        <v>4</v>
      </c>
      <c r="AQ67" s="72"/>
      <c r="AR67" s="72"/>
      <c r="AS67" s="72"/>
      <c r="AT67" s="72"/>
      <c r="AU67" s="5">
        <v>1816</v>
      </c>
      <c r="AV67" s="72"/>
      <c r="AW67" s="72"/>
      <c r="AX67" s="72"/>
      <c r="AY67" s="72"/>
      <c r="AZ67" s="5">
        <v>-46</v>
      </c>
      <c r="BA67" s="72"/>
      <c r="BB67" s="72"/>
      <c r="BC67" s="72"/>
      <c r="BD67" s="72"/>
      <c r="BE67" s="5">
        <v>16</v>
      </c>
      <c r="BF67" s="72"/>
      <c r="BG67" s="72"/>
      <c r="BH67" s="72"/>
      <c r="BI67" s="72"/>
      <c r="BJ67" s="5">
        <v>1956</v>
      </c>
      <c r="BK67" s="72"/>
      <c r="BL67" s="72"/>
      <c r="BM67" s="72"/>
      <c r="BN67" s="72"/>
      <c r="BO67" s="5">
        <v>976</v>
      </c>
      <c r="BP67" s="72"/>
      <c r="BQ67" s="72"/>
      <c r="BR67" s="72"/>
      <c r="BS67" s="72"/>
      <c r="BT67" s="144">
        <v>0</v>
      </c>
      <c r="BU67" s="72"/>
      <c r="BV67" s="72"/>
      <c r="BW67" s="72"/>
      <c r="BX67" s="72"/>
      <c r="BY67" s="144">
        <v>0</v>
      </c>
      <c r="BZ67" s="72"/>
      <c r="CA67" s="72"/>
      <c r="CB67" s="72"/>
      <c r="CC67" s="72"/>
      <c r="CD67" s="144">
        <v>0</v>
      </c>
    </row>
    <row r="68" spans="1:84">
      <c r="A68" s="4"/>
      <c r="B68" s="4" t="s">
        <v>2667</v>
      </c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5">
        <v>41</v>
      </c>
      <c r="AB68" s="72"/>
      <c r="AC68" s="72"/>
      <c r="AD68" s="72"/>
      <c r="AE68" s="72"/>
      <c r="AF68" s="5">
        <v>75</v>
      </c>
      <c r="AG68" s="72"/>
      <c r="AH68" s="72"/>
      <c r="AI68" s="72"/>
      <c r="AJ68" s="72"/>
      <c r="AK68" s="5">
        <v>43</v>
      </c>
      <c r="AL68" s="72"/>
      <c r="AM68" s="72"/>
      <c r="AN68" s="72"/>
      <c r="AO68" s="72"/>
      <c r="AP68" s="5">
        <v>454</v>
      </c>
      <c r="AQ68" s="72"/>
      <c r="AR68" s="72"/>
      <c r="AS68" s="72"/>
      <c r="AT68" s="72"/>
      <c r="AU68" s="5">
        <v>657</v>
      </c>
      <c r="AV68" s="72"/>
      <c r="AW68" s="72"/>
      <c r="AX68" s="72"/>
      <c r="AY68" s="72"/>
      <c r="AZ68" s="5">
        <v>87</v>
      </c>
      <c r="BA68" s="72"/>
      <c r="BB68" s="72"/>
      <c r="BC68" s="72"/>
      <c r="BD68" s="72"/>
      <c r="BE68" s="5">
        <v>26</v>
      </c>
      <c r="BF68" s="72"/>
      <c r="BG68" s="72"/>
      <c r="BH68" s="72"/>
      <c r="BI68" s="72"/>
      <c r="BJ68" s="5">
        <v>70</v>
      </c>
      <c r="BK68" s="72"/>
      <c r="BL68" s="72"/>
      <c r="BM68" s="72"/>
      <c r="BN68" s="72"/>
      <c r="BO68" s="5">
        <v>588</v>
      </c>
      <c r="BP68" s="72"/>
      <c r="BQ68" s="72"/>
      <c r="BR68" s="72"/>
      <c r="BS68" s="72"/>
      <c r="BT68" s="144">
        <v>0</v>
      </c>
      <c r="BU68" s="72"/>
      <c r="BV68" s="72"/>
      <c r="BW68" s="72"/>
      <c r="BX68" s="72"/>
      <c r="BY68" s="144">
        <v>0</v>
      </c>
      <c r="BZ68" s="72"/>
      <c r="CA68" s="72"/>
      <c r="CB68" s="72"/>
      <c r="CC68" s="72"/>
      <c r="CD68" s="144">
        <v>0</v>
      </c>
    </row>
    <row r="69" spans="1:84">
      <c r="A69" s="4" t="s">
        <v>2668</v>
      </c>
      <c r="B69" s="4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5">
        <v>101</v>
      </c>
      <c r="AB69" s="72"/>
      <c r="AC69" s="72"/>
      <c r="AD69" s="72"/>
      <c r="AE69" s="72"/>
      <c r="AF69" s="5">
        <v>96</v>
      </c>
      <c r="AG69" s="72"/>
      <c r="AH69" s="72"/>
      <c r="AI69" s="72"/>
      <c r="AJ69" s="72"/>
      <c r="AK69" s="5">
        <v>178</v>
      </c>
      <c r="AL69" s="72"/>
      <c r="AM69" s="72"/>
      <c r="AN69" s="72"/>
      <c r="AO69" s="72"/>
      <c r="AP69" s="5">
        <v>264</v>
      </c>
      <c r="AQ69" s="72"/>
      <c r="AR69" s="72"/>
      <c r="AS69" s="72"/>
      <c r="AT69" s="72"/>
      <c r="AU69" s="5">
        <v>153</v>
      </c>
      <c r="AV69" s="72"/>
      <c r="AW69" s="72"/>
      <c r="AX69" s="72"/>
      <c r="AY69" s="72"/>
      <c r="AZ69" s="5">
        <v>137</v>
      </c>
      <c r="BA69" s="72"/>
      <c r="BB69" s="72"/>
      <c r="BC69" s="72"/>
      <c r="BD69" s="72"/>
      <c r="BE69" s="5">
        <v>132</v>
      </c>
      <c r="BF69" s="72"/>
      <c r="BG69" s="72"/>
      <c r="BH69" s="72"/>
      <c r="BI69" s="72"/>
      <c r="BJ69" s="5">
        <v>131</v>
      </c>
      <c r="BK69" s="72"/>
      <c r="BL69" s="72"/>
      <c r="BM69" s="72"/>
      <c r="BN69" s="72"/>
      <c r="BO69" s="5">
        <v>286</v>
      </c>
      <c r="BP69" s="72"/>
      <c r="BQ69" s="72"/>
      <c r="BR69" s="72"/>
      <c r="BS69" s="72"/>
      <c r="BT69" s="144">
        <v>100</v>
      </c>
      <c r="BU69" s="72"/>
      <c r="BV69" s="72"/>
      <c r="BW69" s="72"/>
      <c r="BX69" s="72"/>
      <c r="BY69" s="144">
        <v>100</v>
      </c>
      <c r="BZ69" s="72"/>
      <c r="CA69" s="72"/>
      <c r="CB69" s="72"/>
      <c r="CC69" s="72"/>
      <c r="CD69" s="144">
        <v>100</v>
      </c>
    </row>
    <row r="70" spans="1:84">
      <c r="A70" s="4" t="s">
        <v>2669</v>
      </c>
      <c r="B70" s="4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5">
        <v>1996</v>
      </c>
      <c r="AB70" s="72"/>
      <c r="AC70" s="72"/>
      <c r="AD70" s="72"/>
      <c r="AE70" s="72"/>
      <c r="AF70" s="5">
        <v>2369</v>
      </c>
      <c r="AG70" s="72"/>
      <c r="AH70" s="72"/>
      <c r="AI70" s="72"/>
      <c r="AJ70" s="72"/>
      <c r="AK70" s="5">
        <v>3135</v>
      </c>
      <c r="AL70" s="72"/>
      <c r="AM70" s="72"/>
      <c r="AN70" s="72"/>
      <c r="AO70" s="72"/>
      <c r="AP70" s="5">
        <v>3283</v>
      </c>
      <c r="AQ70" s="72"/>
      <c r="AR70" s="72"/>
      <c r="AS70" s="72"/>
      <c r="AT70" s="72"/>
      <c r="AU70" s="5">
        <v>3112</v>
      </c>
      <c r="AV70" s="72"/>
      <c r="AW70" s="72"/>
      <c r="AX70" s="72"/>
      <c r="AY70" s="72"/>
      <c r="AZ70" s="5">
        <v>3608</v>
      </c>
      <c r="BA70" s="72"/>
      <c r="BB70" s="72"/>
      <c r="BC70" s="72"/>
      <c r="BD70" s="72"/>
      <c r="BE70" s="5">
        <v>3273</v>
      </c>
      <c r="BF70" s="72"/>
      <c r="BG70" s="72"/>
      <c r="BH70" s="72"/>
      <c r="BI70" s="72"/>
      <c r="BJ70" s="5">
        <v>2998</v>
      </c>
      <c r="BK70" s="72"/>
      <c r="BL70" s="72"/>
      <c r="BM70" s="72"/>
      <c r="BN70" s="72"/>
      <c r="BO70" s="5">
        <v>4582</v>
      </c>
      <c r="BP70" s="72"/>
      <c r="BQ70" s="72"/>
      <c r="BR70" s="72"/>
      <c r="BS70" s="72"/>
      <c r="BT70" s="144">
        <v>3000</v>
      </c>
      <c r="BU70" s="72"/>
      <c r="BV70" s="72"/>
      <c r="BW70" s="72"/>
      <c r="BX70" s="72"/>
      <c r="BY70" s="144">
        <v>3100</v>
      </c>
      <c r="BZ70" s="72"/>
      <c r="CA70" s="72"/>
      <c r="CB70" s="72"/>
      <c r="CC70" s="72"/>
      <c r="CD70" s="144">
        <v>3200</v>
      </c>
    </row>
    <row r="71" spans="1:84">
      <c r="A71" s="7" t="s">
        <v>896</v>
      </c>
      <c r="B71" s="7"/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73"/>
      <c r="N71" s="73"/>
      <c r="O71" s="73"/>
      <c r="P71" s="73"/>
      <c r="Q71" s="73"/>
      <c r="R71" s="73"/>
      <c r="S71" s="73"/>
      <c r="T71" s="73"/>
      <c r="U71" s="73"/>
      <c r="V71" s="73"/>
      <c r="W71" s="73"/>
      <c r="X71" s="73"/>
      <c r="Y71" s="73"/>
      <c r="Z71" s="73"/>
      <c r="AA71" s="8">
        <f>SUM(AA67:AA70)</f>
        <v>2138</v>
      </c>
      <c r="AB71" s="73"/>
      <c r="AC71" s="73"/>
      <c r="AD71" s="73"/>
      <c r="AE71" s="73"/>
      <c r="AF71" s="8">
        <f>SUM(AF67:AF70)</f>
        <v>2540</v>
      </c>
      <c r="AG71" s="73"/>
      <c r="AH71" s="73"/>
      <c r="AI71" s="73"/>
      <c r="AJ71" s="73"/>
      <c r="AK71" s="8">
        <f>SUM(AK67:AK70)</f>
        <v>3402</v>
      </c>
      <c r="AL71" s="72"/>
      <c r="AM71" s="72"/>
      <c r="AN71" s="72"/>
      <c r="AO71" s="72"/>
      <c r="AP71" s="8">
        <f>SUM(AP67:AP70)</f>
        <v>4005</v>
      </c>
      <c r="AQ71" s="72"/>
      <c r="AR71" s="72"/>
      <c r="AS71" s="72"/>
      <c r="AT71" s="72"/>
      <c r="AU71" s="8">
        <f>SUM(AU67:AU70)</f>
        <v>5738</v>
      </c>
      <c r="AV71" s="72"/>
      <c r="AW71" s="72"/>
      <c r="AX71" s="72"/>
      <c r="AY71" s="72"/>
      <c r="AZ71" s="8">
        <f>SUM(AZ67:AZ70)</f>
        <v>3786</v>
      </c>
      <c r="BA71" s="72"/>
      <c r="BB71" s="72"/>
      <c r="BC71" s="72"/>
      <c r="BD71" s="72"/>
      <c r="BE71" s="8">
        <f>SUM(BE67:BE70)</f>
        <v>3447</v>
      </c>
      <c r="BF71" s="72"/>
      <c r="BG71" s="72"/>
      <c r="BH71" s="72"/>
      <c r="BI71" s="72"/>
      <c r="BJ71" s="8">
        <f>SUM(BJ67:BJ70)</f>
        <v>5155</v>
      </c>
      <c r="BK71" s="72"/>
      <c r="BL71" s="72"/>
      <c r="BM71" s="72"/>
      <c r="BN71" s="72"/>
      <c r="BO71" s="8">
        <f>SUM(BO67:BO70)</f>
        <v>6432</v>
      </c>
      <c r="BP71" s="72"/>
      <c r="BQ71" s="72"/>
      <c r="BR71" s="72"/>
      <c r="BS71" s="72"/>
      <c r="BT71" s="8">
        <f>SUM(BT67:BT70)</f>
        <v>3100</v>
      </c>
      <c r="BU71" s="72"/>
      <c r="BV71" s="72"/>
      <c r="BW71" s="72"/>
      <c r="BX71" s="72"/>
      <c r="BY71" s="8">
        <f>SUM(BY67:BY70)</f>
        <v>3200</v>
      </c>
      <c r="BZ71" s="72"/>
      <c r="CA71" s="72"/>
      <c r="CB71" s="72"/>
      <c r="CC71" s="72"/>
      <c r="CD71" s="8">
        <f>SUM(CD67:CD70)</f>
        <v>3300</v>
      </c>
    </row>
    <row r="72" spans="1:84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</row>
    <row r="73" spans="1:84">
      <c r="A73" s="137" t="s">
        <v>2670</v>
      </c>
      <c r="B73" s="138"/>
      <c r="C73" s="72"/>
      <c r="D73" s="72"/>
      <c r="E73" s="5">
        <f>HLOOKUP(E65,'Woodmac profile - capex'!$B$320:$AL$322,3,FALSE)</f>
        <v>662.65000000000009</v>
      </c>
      <c r="F73" s="5">
        <f>HLOOKUP(F65,'Woodmac profile - capex'!$B$320:$AL$322,3,FALSE)</f>
        <v>775.66600000000005</v>
      </c>
      <c r="G73" s="5">
        <f>HLOOKUP(G65,'Woodmac profile - capex'!$B$320:$AL$322,3,FALSE)</f>
        <v>706.70800000000008</v>
      </c>
      <c r="H73" s="5"/>
      <c r="I73" s="5"/>
      <c r="J73" s="5"/>
      <c r="K73" s="5"/>
      <c r="L73" s="5">
        <f>HLOOKUP(L65,'Woodmac profile - capex'!$B$320:$AL$322,3,FALSE)</f>
        <v>787.63400000000001</v>
      </c>
      <c r="M73" s="5"/>
      <c r="N73" s="5"/>
      <c r="O73" s="5"/>
      <c r="P73" s="5"/>
      <c r="Q73" s="5">
        <f>HLOOKUP(Q65,'Woodmac profile - capex'!$B$320:$AL$322,3,FALSE)</f>
        <v>853.14200000000005</v>
      </c>
      <c r="R73" s="5"/>
      <c r="S73" s="5"/>
      <c r="T73" s="5"/>
      <c r="U73" s="5"/>
      <c r="V73" s="5">
        <f>HLOOKUP(V65,'Woodmac profile - capex'!$B$320:$AL$322,3,FALSE)</f>
        <v>1008.9960000000001</v>
      </c>
      <c r="W73" s="5"/>
      <c r="X73" s="5"/>
      <c r="Y73" s="5"/>
      <c r="Z73" s="5"/>
      <c r="AA73" s="5">
        <f>HLOOKUP(AA65,'Woodmac profile - capex'!$B$320:$AL$322,3,FALSE)</f>
        <v>1196.1039999999998</v>
      </c>
      <c r="AB73" s="5"/>
      <c r="AC73" s="5"/>
      <c r="AD73" s="5"/>
      <c r="AE73" s="5"/>
      <c r="AF73" s="5">
        <f>HLOOKUP(AF65,'Woodmac profile - capex'!$B$320:$AL$322,3,FALSE)</f>
        <v>1137.7939999999999</v>
      </c>
      <c r="AG73" s="5"/>
      <c r="AH73" s="5"/>
      <c r="AI73" s="5"/>
      <c r="AJ73" s="5"/>
      <c r="AK73" s="5">
        <f>HLOOKUP(AK65,'Woodmac profile - capex'!$B$320:$AL$322,3,FALSE)</f>
        <v>1240.05</v>
      </c>
      <c r="AL73" s="5"/>
      <c r="AM73" s="5"/>
      <c r="AN73" s="5"/>
      <c r="AO73" s="5"/>
      <c r="AP73" s="5">
        <f>HLOOKUP(AP65,'Woodmac profile - capex'!$B$320:$AL$322,3,FALSE)</f>
        <v>1029.586</v>
      </c>
      <c r="AQ73" s="5"/>
      <c r="AR73" s="5"/>
      <c r="AS73" s="5"/>
      <c r="AT73" s="5"/>
      <c r="AU73" s="5">
        <f>HLOOKUP(AU65,'Woodmac profile - capex'!$B$320:$AL$322,3,FALSE)</f>
        <v>1666.5880000000002</v>
      </c>
      <c r="AV73" s="5"/>
      <c r="AW73" s="5"/>
      <c r="AX73" s="5"/>
      <c r="AY73" s="5"/>
      <c r="AZ73" s="5">
        <f>HLOOKUP(AZ65,'Woodmac profile - capex'!$B$320:$AL$322,3,FALSE)</f>
        <v>2433.7239999999997</v>
      </c>
      <c r="BA73" s="5"/>
      <c r="BB73" s="5"/>
      <c r="BC73" s="5"/>
      <c r="BD73" s="5"/>
      <c r="BE73" s="5">
        <f>HLOOKUP(BE65,'Woodmac profile - capex'!$B$320:$AL$322,3,FALSE)</f>
        <v>2005.846</v>
      </c>
      <c r="BF73" s="5"/>
      <c r="BG73" s="5"/>
      <c r="BH73" s="5"/>
      <c r="BI73" s="5"/>
      <c r="BJ73" s="5">
        <f>HLOOKUP(BJ65,'Woodmac profile - capex'!$B$320:$AL$322,3,FALSE)</f>
        <v>2161.5749999999998</v>
      </c>
      <c r="BK73" s="5"/>
      <c r="BL73" s="5"/>
      <c r="BM73" s="5"/>
      <c r="BN73" s="5"/>
      <c r="BO73" s="5">
        <f>HLOOKUP(BO65,'Woodmac profile - capex'!$B$320:$AL$322,3,FALSE)</f>
        <v>2195.9289999999996</v>
      </c>
      <c r="BP73" s="5"/>
      <c r="BQ73" s="5"/>
      <c r="BR73" s="5"/>
      <c r="BS73" s="5"/>
      <c r="BT73" s="5">
        <f>HLOOKUP(BT65,'Woodmac profile - capex'!$B$320:$AL$322,3,FALSE)</f>
        <v>1848.7969999999998</v>
      </c>
      <c r="BU73" s="5"/>
      <c r="BV73" s="5"/>
      <c r="BW73" s="5"/>
      <c r="BX73" s="5"/>
      <c r="BY73" s="5">
        <f>HLOOKUP(BY65,'Woodmac profile - capex'!$B$320:$AL$322,3,FALSE)</f>
        <v>1902.154</v>
      </c>
      <c r="BZ73" s="5"/>
      <c r="CA73" s="5"/>
      <c r="CB73" s="5"/>
      <c r="CC73" s="5"/>
      <c r="CD73" s="5">
        <f>HLOOKUP(CD65,'Woodmac profile - capex'!$B$320:$AL$322,3,FALSE)</f>
        <v>1706.5550000000001</v>
      </c>
    </row>
    <row r="74" spans="1:84">
      <c r="A74" s="137" t="s">
        <v>2671</v>
      </c>
      <c r="B74" s="138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>
        <f>AA70-AA73</f>
        <v>799.89600000000019</v>
      </c>
      <c r="AB74" s="5"/>
      <c r="AC74" s="5"/>
      <c r="AD74" s="5"/>
      <c r="AE74" s="5"/>
      <c r="AF74" s="5">
        <f>AF70-AF73</f>
        <v>1231.2060000000001</v>
      </c>
      <c r="AG74" s="5"/>
      <c r="AH74" s="5"/>
      <c r="AI74" s="5"/>
      <c r="AJ74" s="5"/>
      <c r="AK74" s="5">
        <f>AK70-AK73</f>
        <v>1894.95</v>
      </c>
      <c r="AL74" s="72"/>
      <c r="AM74" s="72"/>
      <c r="AN74" s="72"/>
      <c r="AO74" s="72"/>
      <c r="AP74" s="5">
        <f>AP70-AP73</f>
        <v>2253.4139999999998</v>
      </c>
      <c r="AQ74" s="72"/>
      <c r="AR74" s="72"/>
      <c r="AS74" s="72"/>
      <c r="AT74" s="72"/>
      <c r="AU74" s="5">
        <f>AU70-AU73</f>
        <v>1445.4119999999998</v>
      </c>
      <c r="AV74" s="72"/>
      <c r="AW74" s="72"/>
      <c r="AX74" s="72"/>
      <c r="AY74" s="72"/>
      <c r="AZ74" s="5">
        <f>AZ70-AZ73</f>
        <v>1174.2760000000003</v>
      </c>
      <c r="BA74" s="72"/>
      <c r="BB74" s="72"/>
      <c r="BC74" s="72"/>
      <c r="BD74" s="72"/>
      <c r="BE74" s="5">
        <f>BE70-BE73</f>
        <v>1267.154</v>
      </c>
      <c r="BF74" s="72"/>
      <c r="BG74" s="72"/>
      <c r="BH74" s="72"/>
      <c r="BI74" s="72"/>
      <c r="BJ74" s="5">
        <f>BJ70-BJ73</f>
        <v>836.42500000000018</v>
      </c>
      <c r="BK74" s="72"/>
      <c r="BL74" s="72"/>
      <c r="BM74" s="72"/>
      <c r="BN74" s="72"/>
      <c r="BO74" s="5">
        <f>BO70-BO73</f>
        <v>2386.0710000000004</v>
      </c>
      <c r="BP74" s="72"/>
      <c r="BQ74" s="72"/>
      <c r="BR74" s="72"/>
      <c r="BS74" s="72"/>
      <c r="BT74" s="5">
        <f>BT70-BT73</f>
        <v>1151.2030000000002</v>
      </c>
      <c r="BU74" s="72"/>
      <c r="BV74" s="72"/>
      <c r="BW74" s="72"/>
      <c r="BX74" s="72"/>
      <c r="BY74" s="5">
        <f>BY70-BY73</f>
        <v>1197.846</v>
      </c>
      <c r="BZ74" s="72"/>
      <c r="CA74" s="72"/>
      <c r="CB74" s="72"/>
      <c r="CC74" s="72"/>
      <c r="CD74" s="5">
        <f>CD70-CD73</f>
        <v>1493.4449999999999</v>
      </c>
    </row>
    <row r="75" spans="1:84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</row>
    <row r="76" spans="1:84" ht="12.75" customHeight="1">
      <c r="A76" s="4" t="s">
        <v>3040</v>
      </c>
      <c r="B76" s="4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8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</row>
    <row r="77" spans="1:84" ht="12.75" customHeight="1">
      <c r="A77" s="7"/>
      <c r="B77" s="4" t="s">
        <v>3041</v>
      </c>
      <c r="C77" s="5"/>
      <c r="D77" s="5"/>
      <c r="E77" s="5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373">
        <f>AA71/AA89</f>
        <v>0.13193458809009564</v>
      </c>
      <c r="AB77" s="72"/>
      <c r="AC77" s="72"/>
      <c r="AD77" s="72"/>
      <c r="AE77" s="72"/>
      <c r="AF77" s="373">
        <f>AF71/AF89</f>
        <v>0.12594833143253831</v>
      </c>
      <c r="AG77" s="72"/>
      <c r="AH77" s="72"/>
      <c r="AI77" s="72"/>
      <c r="AJ77" s="72"/>
      <c r="AK77" s="373">
        <f>AK71/AK89</f>
        <v>0.13161050717629308</v>
      </c>
      <c r="AL77" s="72"/>
      <c r="AM77" s="72"/>
      <c r="AN77" s="72"/>
      <c r="AO77" s="72"/>
      <c r="AP77" s="373">
        <f>AP71/AP89</f>
        <v>0.18286001278422062</v>
      </c>
      <c r="AQ77" s="72"/>
      <c r="AR77" s="72"/>
      <c r="AS77" s="72"/>
      <c r="AT77" s="72"/>
      <c r="AU77" s="373">
        <f>AU71/AU89</f>
        <v>0.23336586952985197</v>
      </c>
      <c r="AV77" s="72"/>
      <c r="AW77" s="72"/>
      <c r="AX77" s="72"/>
      <c r="AY77" s="72"/>
      <c r="AZ77" s="373">
        <f>AZ71/AZ89</f>
        <v>0.16550096170659206</v>
      </c>
      <c r="BA77" s="72"/>
      <c r="BB77" s="72"/>
      <c r="BC77" s="72"/>
      <c r="BD77" s="72"/>
      <c r="BE77" s="373">
        <f>BE71/BE89</f>
        <v>0.18092588704597942</v>
      </c>
      <c r="BF77" s="72"/>
      <c r="BG77" s="72"/>
      <c r="BH77" s="72"/>
      <c r="BI77" s="72"/>
      <c r="BJ77" s="373">
        <f>BJ71/BJ89</f>
        <v>0.2442202008717074</v>
      </c>
      <c r="BK77" s="72"/>
      <c r="BL77" s="72"/>
      <c r="BM77" s="72"/>
      <c r="BN77" s="72"/>
      <c r="BO77" s="373">
        <f>BO71/BO89</f>
        <v>0.29898201087714404</v>
      </c>
      <c r="BP77" s="72"/>
      <c r="BQ77" s="72"/>
      <c r="BR77" s="72"/>
      <c r="BS77" s="72"/>
      <c r="BT77" s="373">
        <f>BT71/BT89</f>
        <v>0.19558359621451105</v>
      </c>
      <c r="BU77" s="72"/>
      <c r="BV77" s="72"/>
      <c r="BW77" s="72"/>
      <c r="BX77" s="72"/>
      <c r="BY77" s="373">
        <f>BY71/BY89</f>
        <v>0.19753086419753085</v>
      </c>
      <c r="BZ77" s="72"/>
      <c r="CA77" s="72"/>
      <c r="CB77" s="72"/>
      <c r="CC77" s="72"/>
      <c r="CD77" s="373">
        <f>CD71/CD89</f>
        <v>0.20245398773006135</v>
      </c>
    </row>
    <row r="78" spans="1:84" ht="12.75" customHeight="1">
      <c r="A78" s="4"/>
      <c r="B78" s="4" t="s">
        <v>3042</v>
      </c>
      <c r="C78" s="5"/>
      <c r="D78" s="5"/>
      <c r="E78" s="5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116">
        <f>(Reserves!AA30+Reserves!AA42+Reserves!AA85/5.8)/Reserves!AA115</f>
        <v>0.310003035050116</v>
      </c>
      <c r="AB78" s="72"/>
      <c r="AC78" s="72"/>
      <c r="AD78" s="72"/>
      <c r="AE78" s="72"/>
      <c r="AF78" s="116">
        <f>(Reserves!AF30+Reserves!AF42+Reserves!AF85/5.8)/Reserves!AF115</f>
        <v>0.33165032314940435</v>
      </c>
      <c r="AG78" s="72"/>
      <c r="AH78" s="72"/>
      <c r="AI78" s="72"/>
      <c r="AJ78" s="72"/>
      <c r="AK78" s="116">
        <f>(Reserves!AK30+Reserves!AK42+Reserves!AK85/5.8)/Reserves!AK115</f>
        <v>0.35621745550633405</v>
      </c>
      <c r="AL78" s="72"/>
      <c r="AM78" s="72"/>
      <c r="AN78" s="72"/>
      <c r="AO78" s="72"/>
      <c r="AP78" s="116">
        <f>(Reserves!AP30+Reserves!AP42+Reserves!AP85/5.8)/Reserves!AP115</f>
        <v>0.39925351184137131</v>
      </c>
      <c r="AQ78" s="72"/>
      <c r="AR78" s="72"/>
      <c r="AS78" s="72"/>
      <c r="AT78" s="72"/>
      <c r="AU78" s="116">
        <f>(Reserves!AU30+Reserves!AU42+Reserves!AU85/5.8)/Reserves!AU115</f>
        <v>0.44126996292428694</v>
      </c>
      <c r="AV78" s="72"/>
      <c r="AW78" s="72"/>
      <c r="AX78" s="72"/>
      <c r="AY78" s="72"/>
      <c r="AZ78" s="116">
        <f>(Reserves!AZ30+Reserves!AZ42+Reserves!AZ85/5.8)/Reserves!AZ115</f>
        <v>0.45650642614848225</v>
      </c>
      <c r="BA78" s="72"/>
      <c r="BB78" s="72"/>
      <c r="BC78" s="72"/>
      <c r="BD78" s="72"/>
      <c r="BE78" s="116">
        <f>(Reserves!BE30+Reserves!BE42+Reserves!BE85/5.8)/Reserves!BE115</f>
        <v>0.46138038022569505</v>
      </c>
      <c r="BF78" s="72"/>
      <c r="BG78" s="72"/>
      <c r="BH78" s="72"/>
      <c r="BI78" s="72"/>
      <c r="BJ78" s="116">
        <f>(Reserves!BJ30+Reserves!BJ42+Reserves!BJ85/5.8)/Reserves!BJ115</f>
        <v>0.48722401293182721</v>
      </c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/>
      <c r="BZ78" s="72"/>
      <c r="CA78" s="72"/>
      <c r="CB78" s="72"/>
      <c r="CC78" s="72"/>
      <c r="CD78" s="72"/>
    </row>
    <row r="79" spans="1:84" ht="12.75" customHeight="1">
      <c r="A79" s="4"/>
      <c r="B79" s="4" t="s">
        <v>3043</v>
      </c>
      <c r="C79" s="5"/>
      <c r="D79" s="5"/>
      <c r="E79" s="5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116">
        <f>'Production - Total'!AA110/'Production - Total'!AA164</f>
        <v>0.32852633213158305</v>
      </c>
      <c r="AB79" s="72"/>
      <c r="AC79" s="72"/>
      <c r="AD79" s="72"/>
      <c r="AE79" s="72"/>
      <c r="AF79" s="116">
        <f>'Production - Total'!AF110/'Production - Total'!AF164</f>
        <v>0.34780490445515078</v>
      </c>
      <c r="AG79" s="72"/>
      <c r="AH79" s="72"/>
      <c r="AI79" s="72"/>
      <c r="AJ79" s="72"/>
      <c r="AK79" s="116">
        <f>'Production - Total'!AK110/'Production - Total'!AK164</f>
        <v>0.39353724174430571</v>
      </c>
      <c r="AL79" s="72"/>
      <c r="AM79" s="72"/>
      <c r="AN79" s="72"/>
      <c r="AO79" s="72"/>
      <c r="AP79" s="116">
        <f>'Production - Total'!AP110/'Production - Total'!AP164</f>
        <v>0.41039869964488712</v>
      </c>
      <c r="AQ79" s="72"/>
      <c r="AR79" s="72"/>
      <c r="AS79" s="72"/>
      <c r="AT79" s="72"/>
      <c r="AU79" s="116">
        <f>'Production - Total'!AU110/'Production - Total'!AU164</f>
        <v>0.41590785358198906</v>
      </c>
      <c r="AV79" s="72"/>
      <c r="AW79" s="72"/>
      <c r="AX79" s="72"/>
      <c r="AY79" s="72"/>
      <c r="AZ79" s="116">
        <f>'Production - Total'!AZ110/'Production - Total'!AZ164</f>
        <v>0.39866941858422617</v>
      </c>
      <c r="BA79" s="72"/>
      <c r="BB79" s="72"/>
      <c r="BC79" s="72"/>
      <c r="BD79" s="72"/>
      <c r="BE79" s="116">
        <f>'Production - Total'!BE110/'Production - Total'!BE164</f>
        <v>0.39168643806321879</v>
      </c>
      <c r="BF79" s="72"/>
      <c r="BG79" s="72"/>
      <c r="BH79" s="72"/>
      <c r="BI79" s="72"/>
      <c r="BJ79" s="116">
        <f>'Production - Total'!BJ110/'Production - Total'!BJ164</f>
        <v>0.40657578187650356</v>
      </c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/>
      <c r="BZ79" s="72"/>
      <c r="CA79" s="72"/>
      <c r="CB79" s="72"/>
      <c r="CC79" s="72"/>
      <c r="CD79" s="72"/>
    </row>
    <row r="80" spans="1:84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F80" s="376" t="s">
        <v>3478</v>
      </c>
    </row>
    <row r="81" spans="1:9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F81" s="364"/>
      <c r="CG81" s="364" t="s">
        <v>3472</v>
      </c>
      <c r="CH81" s="364" t="s">
        <v>3476</v>
      </c>
      <c r="CI81" s="364" t="s">
        <v>3477</v>
      </c>
    </row>
    <row r="82" spans="1:91">
      <c r="A82" s="29" t="s">
        <v>2673</v>
      </c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F82">
        <v>2006</v>
      </c>
      <c r="CG82">
        <v>9569.4555064002434</v>
      </c>
      <c r="CH82">
        <f>HLOOKUP(CF82,$A$83:$CD$89,6,FALSE)</f>
        <v>9109</v>
      </c>
      <c r="CI82">
        <f>CG82*$CM$83+$CM$84</f>
        <v>8173.165940664916</v>
      </c>
    </row>
    <row r="83" spans="1:91" ht="12.75" customHeight="1">
      <c r="A83" s="10"/>
      <c r="B83" s="10"/>
      <c r="C83" s="31">
        <v>2001</v>
      </c>
      <c r="D83" s="32">
        <v>2002</v>
      </c>
      <c r="E83" s="32">
        <v>2003</v>
      </c>
      <c r="F83" s="32">
        <v>2004</v>
      </c>
      <c r="G83" s="31">
        <v>2005</v>
      </c>
      <c r="H83" s="33" t="s">
        <v>714</v>
      </c>
      <c r="I83" s="33" t="s">
        <v>715</v>
      </c>
      <c r="J83" s="33" t="s">
        <v>716</v>
      </c>
      <c r="K83" s="33" t="s">
        <v>717</v>
      </c>
      <c r="L83" s="31">
        <v>2006</v>
      </c>
      <c r="M83" s="33" t="s">
        <v>718</v>
      </c>
      <c r="N83" s="33" t="s">
        <v>719</v>
      </c>
      <c r="O83" s="33" t="s">
        <v>1970</v>
      </c>
      <c r="P83" s="33" t="s">
        <v>1971</v>
      </c>
      <c r="Q83" s="31">
        <v>2007</v>
      </c>
      <c r="R83" s="33" t="s">
        <v>1972</v>
      </c>
      <c r="S83" s="33" t="s">
        <v>1973</v>
      </c>
      <c r="T83" s="33" t="s">
        <v>1974</v>
      </c>
      <c r="U83" s="33" t="s">
        <v>1975</v>
      </c>
      <c r="V83" s="31">
        <v>2008</v>
      </c>
      <c r="W83" s="33" t="s">
        <v>1976</v>
      </c>
      <c r="X83" s="33" t="s">
        <v>1977</v>
      </c>
      <c r="Y83" s="33" t="s">
        <v>1978</v>
      </c>
      <c r="Z83" s="33" t="s">
        <v>1979</v>
      </c>
      <c r="AA83" s="31">
        <v>2009</v>
      </c>
      <c r="AB83" s="33" t="s">
        <v>1980</v>
      </c>
      <c r="AC83" s="33" t="s">
        <v>1981</v>
      </c>
      <c r="AD83" s="33" t="s">
        <v>1982</v>
      </c>
      <c r="AE83" s="33" t="s">
        <v>2392</v>
      </c>
      <c r="AF83" s="31">
        <v>2010</v>
      </c>
      <c r="AG83" s="33" t="s">
        <v>2393</v>
      </c>
      <c r="AH83" s="33" t="s">
        <v>2394</v>
      </c>
      <c r="AI83" s="33" t="s">
        <v>2395</v>
      </c>
      <c r="AJ83" s="33" t="s">
        <v>2396</v>
      </c>
      <c r="AK83" s="31">
        <v>2011</v>
      </c>
      <c r="AL83" s="368" t="s">
        <v>2397</v>
      </c>
      <c r="AM83" s="368" t="s">
        <v>2398</v>
      </c>
      <c r="AN83" s="368" t="s">
        <v>2399</v>
      </c>
      <c r="AO83" s="368" t="s">
        <v>2400</v>
      </c>
      <c r="AP83" s="369">
        <v>2012</v>
      </c>
      <c r="AQ83" s="368" t="s">
        <v>2401</v>
      </c>
      <c r="AR83" s="368" t="s">
        <v>2402</v>
      </c>
      <c r="AS83" s="368" t="s">
        <v>2403</v>
      </c>
      <c r="AT83" s="368" t="s">
        <v>2404</v>
      </c>
      <c r="AU83" s="369">
        <v>2013</v>
      </c>
      <c r="AV83" s="368" t="s">
        <v>2405</v>
      </c>
      <c r="AW83" s="368" t="s">
        <v>2406</v>
      </c>
      <c r="AX83" s="368" t="s">
        <v>2407</v>
      </c>
      <c r="AY83" s="368" t="s">
        <v>2408</v>
      </c>
      <c r="AZ83" s="369">
        <v>2014</v>
      </c>
      <c r="BA83" s="368" t="s">
        <v>2409</v>
      </c>
      <c r="BB83" s="368" t="s">
        <v>2410</v>
      </c>
      <c r="BC83" s="368" t="s">
        <v>2411</v>
      </c>
      <c r="BD83" s="368" t="s">
        <v>2412</v>
      </c>
      <c r="BE83" s="31">
        <v>2015</v>
      </c>
      <c r="BF83" s="368" t="s">
        <v>2413</v>
      </c>
      <c r="BG83" s="368" t="s">
        <v>2414</v>
      </c>
      <c r="BH83" s="368" t="s">
        <v>2415</v>
      </c>
      <c r="BI83" s="368" t="s">
        <v>2416</v>
      </c>
      <c r="BJ83" s="31">
        <v>2016</v>
      </c>
      <c r="BK83" s="368" t="s">
        <v>2417</v>
      </c>
      <c r="BL83" s="368" t="s">
        <v>2418</v>
      </c>
      <c r="BM83" s="368" t="s">
        <v>2419</v>
      </c>
      <c r="BN83" s="368" t="s">
        <v>2420</v>
      </c>
      <c r="BO83" s="31">
        <v>2017</v>
      </c>
      <c r="BP83" s="363" t="s">
        <v>2244</v>
      </c>
      <c r="BQ83" s="363" t="s">
        <v>2245</v>
      </c>
      <c r="BR83" s="363" t="s">
        <v>2508</v>
      </c>
      <c r="BS83" s="363" t="s">
        <v>2509</v>
      </c>
      <c r="BT83" s="364">
        <v>2018</v>
      </c>
      <c r="BU83" s="363" t="s">
        <v>2510</v>
      </c>
      <c r="BV83" s="363" t="s">
        <v>2511</v>
      </c>
      <c r="BW83" s="363" t="s">
        <v>3125</v>
      </c>
      <c r="BX83" s="363" t="s">
        <v>1405</v>
      </c>
      <c r="BY83" s="364">
        <v>2019</v>
      </c>
      <c r="BZ83" s="363" t="s">
        <v>1406</v>
      </c>
      <c r="CA83" s="363" t="s">
        <v>1407</v>
      </c>
      <c r="CB83" s="363" t="s">
        <v>1408</v>
      </c>
      <c r="CC83" s="363" t="s">
        <v>1409</v>
      </c>
      <c r="CD83" s="364">
        <v>2020</v>
      </c>
      <c r="CF83">
        <v>2007</v>
      </c>
      <c r="CG83">
        <v>10965.931266008121</v>
      </c>
      <c r="CH83">
        <f t="shared" ref="CH83:CH96" si="15">HLOOKUP(CF83,$A$83:$CD$89,6,FALSE)</f>
        <v>10153</v>
      </c>
      <c r="CI83">
        <f t="shared" ref="CI83:CI96" si="16">CG83*$CM$83+$CM$84</f>
        <v>11315.23000776166</v>
      </c>
      <c r="CL83" t="s">
        <v>946</v>
      </c>
      <c r="CM83" s="440">
        <f>COVAR(CG82:CG89,CH82:CH89)/VARP(CG82:CG89)</f>
        <v>2.2499954227483467</v>
      </c>
    </row>
    <row r="84" spans="1:91">
      <c r="A84" s="4" t="s">
        <v>2665</v>
      </c>
      <c r="B84" s="4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F84">
        <v>2008</v>
      </c>
      <c r="CG84">
        <v>11886.446844552875</v>
      </c>
      <c r="CH84">
        <f t="shared" si="15"/>
        <v>11767</v>
      </c>
      <c r="CI84">
        <f t="shared" si="16"/>
        <v>13386.385846055902</v>
      </c>
      <c r="CL84" t="s">
        <v>947</v>
      </c>
      <c r="CM84">
        <f>AVERAGE(CH82:CH89)-CM83*AVERAGE(CG82:CG89)</f>
        <v>-13358.065146929595</v>
      </c>
    </row>
    <row r="85" spans="1:91">
      <c r="A85" s="4"/>
      <c r="B85" s="4" t="s">
        <v>2666</v>
      </c>
      <c r="C85" s="5">
        <f t="shared" ref="C85:G88" si="17">SUM(C37,C67)</f>
        <v>47</v>
      </c>
      <c r="D85" s="5">
        <f t="shared" si="17"/>
        <v>63</v>
      </c>
      <c r="E85" s="5">
        <f t="shared" si="17"/>
        <v>0</v>
      </c>
      <c r="F85" s="5">
        <f t="shared" si="17"/>
        <v>0</v>
      </c>
      <c r="G85" s="5">
        <f t="shared" si="17"/>
        <v>0</v>
      </c>
      <c r="H85" s="72"/>
      <c r="I85" s="72"/>
      <c r="J85" s="72"/>
      <c r="K85" s="72"/>
      <c r="L85" s="5">
        <f>SUM(L37,L67)</f>
        <v>0</v>
      </c>
      <c r="M85" s="72"/>
      <c r="N85" s="72"/>
      <c r="O85" s="72"/>
      <c r="P85" s="72"/>
      <c r="Q85" s="5">
        <f>SUM(Q37,Q67)</f>
        <v>477</v>
      </c>
      <c r="R85" s="72"/>
      <c r="S85" s="72"/>
      <c r="T85" s="72"/>
      <c r="U85" s="72"/>
      <c r="V85" s="5">
        <f>SUM(V37,V67)</f>
        <v>1512</v>
      </c>
      <c r="W85" s="72"/>
      <c r="X85" s="72"/>
      <c r="Y85" s="72"/>
      <c r="Z85" s="72"/>
      <c r="AA85" s="5">
        <f>SUM(AA37,AA67)</f>
        <v>468</v>
      </c>
      <c r="AB85" s="72"/>
      <c r="AC85" s="72"/>
      <c r="AD85" s="72"/>
      <c r="AE85" s="72"/>
      <c r="AF85" s="5">
        <f>SUM(AF37,AF67)</f>
        <v>1777</v>
      </c>
      <c r="AG85" s="72"/>
      <c r="AH85" s="72"/>
      <c r="AI85" s="72"/>
      <c r="AJ85" s="72"/>
      <c r="AK85" s="5">
        <f>SUM(AK37,AK67)</f>
        <v>3202</v>
      </c>
      <c r="AL85" s="72"/>
      <c r="AM85" s="72"/>
      <c r="AN85" s="72"/>
      <c r="AO85" s="72"/>
      <c r="AP85" s="5">
        <f>SUM(AP37,AP67)</f>
        <v>311</v>
      </c>
      <c r="AQ85" s="72"/>
      <c r="AR85" s="72"/>
      <c r="AS85" s="72"/>
      <c r="AT85" s="72"/>
      <c r="AU85" s="5">
        <f>SUM(AU37,AU67)</f>
        <v>1824</v>
      </c>
      <c r="AV85" s="72"/>
      <c r="AW85" s="72"/>
      <c r="AX85" s="72"/>
      <c r="AY85" s="72"/>
      <c r="AZ85" s="5">
        <f>SUM(AZ37,AZ67)</f>
        <v>559</v>
      </c>
      <c r="BA85" s="72"/>
      <c r="BB85" s="72"/>
      <c r="BC85" s="72"/>
      <c r="BD85" s="72"/>
      <c r="BE85" s="5">
        <f>SUM(BE37,BE67)</f>
        <v>423</v>
      </c>
      <c r="BF85" s="72"/>
      <c r="BG85" s="72"/>
      <c r="BH85" s="72"/>
      <c r="BI85" s="72"/>
      <c r="BJ85" s="5">
        <f>SUM(BJ37,BJ67)</f>
        <v>3395</v>
      </c>
      <c r="BK85" s="72"/>
      <c r="BL85" s="72"/>
      <c r="BM85" s="72"/>
      <c r="BN85" s="72"/>
      <c r="BO85" s="5">
        <f>SUM(BO37,BO67)</f>
        <v>2749</v>
      </c>
      <c r="BP85" s="72"/>
      <c r="BQ85" s="72"/>
      <c r="BR85" s="72"/>
      <c r="BS85" s="72"/>
      <c r="BT85" s="5">
        <f>SUM(BT37,BT67)</f>
        <v>0</v>
      </c>
      <c r="BU85" s="72"/>
      <c r="BV85" s="72"/>
      <c r="BW85" s="72"/>
      <c r="BX85" s="72"/>
      <c r="BY85" s="5">
        <f>SUM(BY37,BY67)</f>
        <v>0</v>
      </c>
      <c r="BZ85" s="72"/>
      <c r="CA85" s="72"/>
      <c r="CB85" s="72"/>
      <c r="CC85" s="72"/>
      <c r="CD85" s="5">
        <f>SUM(CD37,CD67)</f>
        <v>0</v>
      </c>
      <c r="CF85">
        <v>2009</v>
      </c>
      <c r="CG85">
        <v>11641.321063530786</v>
      </c>
      <c r="CH85">
        <f t="shared" si="15"/>
        <v>12392</v>
      </c>
      <c r="CI85">
        <f t="shared" si="16"/>
        <v>12834.853960758588</v>
      </c>
      <c r="CL85" t="s">
        <v>948</v>
      </c>
      <c r="CM85" s="381">
        <f>CORREL(CG82:CG89,CH82:CH89)^2</f>
        <v>0.8309910586485042</v>
      </c>
    </row>
    <row r="86" spans="1:91">
      <c r="A86" s="4"/>
      <c r="B86" s="4" t="s">
        <v>2667</v>
      </c>
      <c r="C86" s="5">
        <f t="shared" si="17"/>
        <v>217</v>
      </c>
      <c r="D86" s="5">
        <f t="shared" si="17"/>
        <v>37</v>
      </c>
      <c r="E86" s="5">
        <f t="shared" si="17"/>
        <v>0</v>
      </c>
      <c r="F86" s="5">
        <f t="shared" si="17"/>
        <v>78</v>
      </c>
      <c r="G86" s="5">
        <f t="shared" si="17"/>
        <v>63</v>
      </c>
      <c r="H86" s="72"/>
      <c r="I86" s="72"/>
      <c r="J86" s="72"/>
      <c r="K86" s="72"/>
      <c r="L86" s="5">
        <f>SUM(L38,L68)</f>
        <v>154</v>
      </c>
      <c r="M86" s="72"/>
      <c r="N86" s="72"/>
      <c r="O86" s="72"/>
      <c r="P86" s="72"/>
      <c r="Q86" s="5">
        <f>SUM(Q38,Q68)</f>
        <v>517</v>
      </c>
      <c r="R86" s="72"/>
      <c r="S86" s="72"/>
      <c r="T86" s="72"/>
      <c r="U86" s="72"/>
      <c r="V86" s="5">
        <f>SUM(V38,V68)</f>
        <v>2987</v>
      </c>
      <c r="W86" s="72"/>
      <c r="X86" s="72"/>
      <c r="Y86" s="72"/>
      <c r="Z86" s="72"/>
      <c r="AA86" s="5">
        <f>SUM(AA38,AA68)</f>
        <v>439</v>
      </c>
      <c r="AB86" s="72"/>
      <c r="AC86" s="72"/>
      <c r="AD86" s="72"/>
      <c r="AE86" s="72"/>
      <c r="AF86" s="5">
        <f>SUM(AF38,AF68)</f>
        <v>3544</v>
      </c>
      <c r="AG86" s="72"/>
      <c r="AH86" s="72"/>
      <c r="AI86" s="72"/>
      <c r="AJ86" s="72"/>
      <c r="AK86" s="5">
        <f>SUM(AK38,AK68)</f>
        <v>6741</v>
      </c>
      <c r="AL86" s="72"/>
      <c r="AM86" s="72"/>
      <c r="AN86" s="72"/>
      <c r="AO86" s="72"/>
      <c r="AP86" s="5">
        <f>SUM(AP38,AP68)</f>
        <v>1763</v>
      </c>
      <c r="AQ86" s="72"/>
      <c r="AR86" s="72"/>
      <c r="AS86" s="72"/>
      <c r="AT86" s="72"/>
      <c r="AU86" s="5">
        <f>SUM(AU38,AU68)</f>
        <v>1136</v>
      </c>
      <c r="AV86" s="72"/>
      <c r="AW86" s="72"/>
      <c r="AX86" s="72"/>
      <c r="AY86" s="72"/>
      <c r="AZ86" s="5">
        <f>SUM(AZ38,AZ68)</f>
        <v>565</v>
      </c>
      <c r="BA86" s="72"/>
      <c r="BB86" s="72"/>
      <c r="BC86" s="72"/>
      <c r="BD86" s="72"/>
      <c r="BE86" s="5">
        <f>SUM(BE38,BE68)</f>
        <v>-28</v>
      </c>
      <c r="BF86" s="72"/>
      <c r="BG86" s="72"/>
      <c r="BH86" s="72"/>
      <c r="BI86" s="72"/>
      <c r="BJ86" s="5">
        <f>SUM(BJ38,BJ68)</f>
        <v>2037</v>
      </c>
      <c r="BK86" s="72"/>
      <c r="BL86" s="72"/>
      <c r="BM86" s="72"/>
      <c r="BN86" s="72"/>
      <c r="BO86" s="5">
        <f>SUM(BO38,BO68)</f>
        <v>1546</v>
      </c>
      <c r="BP86" s="72"/>
      <c r="BQ86" s="72"/>
      <c r="BR86" s="72"/>
      <c r="BS86" s="72"/>
      <c r="BT86" s="5">
        <f>SUM(BT38,BT68)</f>
        <v>0</v>
      </c>
      <c r="BU86" s="72"/>
      <c r="BV86" s="72"/>
      <c r="BW86" s="72"/>
      <c r="BX86" s="72"/>
      <c r="BY86" s="5">
        <f>SUM(BY38,BY68)</f>
        <v>0</v>
      </c>
      <c r="BZ86" s="72"/>
      <c r="CA86" s="72"/>
      <c r="CB86" s="72"/>
      <c r="CC86" s="72"/>
      <c r="CD86" s="5">
        <f>SUM(CD38,CD68)</f>
        <v>0</v>
      </c>
      <c r="CF86">
        <v>2010</v>
      </c>
      <c r="CG86">
        <v>11176.996196437209</v>
      </c>
      <c r="CH86">
        <f t="shared" si="15"/>
        <v>12044</v>
      </c>
      <c r="CI86">
        <f t="shared" si="16"/>
        <v>11790.125135129805</v>
      </c>
    </row>
    <row r="87" spans="1:91">
      <c r="A87" s="4" t="s">
        <v>2668</v>
      </c>
      <c r="B87" s="4"/>
      <c r="C87" s="5">
        <f t="shared" si="17"/>
        <v>1102</v>
      </c>
      <c r="D87" s="5">
        <f t="shared" si="17"/>
        <v>1108</v>
      </c>
      <c r="E87" s="5">
        <f t="shared" si="17"/>
        <v>824</v>
      </c>
      <c r="F87" s="5">
        <f t="shared" si="17"/>
        <v>1039</v>
      </c>
      <c r="G87" s="5">
        <f t="shared" si="17"/>
        <v>1266</v>
      </c>
      <c r="H87" s="72"/>
      <c r="I87" s="72"/>
      <c r="J87" s="72"/>
      <c r="K87" s="72"/>
      <c r="L87" s="5">
        <f>SUM(L39,L69)</f>
        <v>1765</v>
      </c>
      <c r="M87" s="72"/>
      <c r="N87" s="72"/>
      <c r="O87" s="72"/>
      <c r="P87" s="72"/>
      <c r="Q87" s="5">
        <f>SUM(Q39,Q69)</f>
        <v>1892</v>
      </c>
      <c r="R87" s="72"/>
      <c r="S87" s="72"/>
      <c r="T87" s="72"/>
      <c r="U87" s="72"/>
      <c r="V87" s="5">
        <f>SUM(V39,V69)</f>
        <v>2290</v>
      </c>
      <c r="W87" s="72"/>
      <c r="X87" s="72"/>
      <c r="Y87" s="72"/>
      <c r="Z87" s="72"/>
      <c r="AA87" s="5">
        <f>SUM(AA39,AA69)</f>
        <v>2906</v>
      </c>
      <c r="AB87" s="72"/>
      <c r="AC87" s="72"/>
      <c r="AD87" s="72"/>
      <c r="AE87" s="72"/>
      <c r="AF87" s="5">
        <f>SUM(AF39,AF69)</f>
        <v>2802</v>
      </c>
      <c r="AG87" s="72"/>
      <c r="AH87" s="72"/>
      <c r="AI87" s="72"/>
      <c r="AJ87" s="72"/>
      <c r="AK87" s="5">
        <f>SUM(AK39,AK69)</f>
        <v>2576</v>
      </c>
      <c r="AL87" s="72"/>
      <c r="AM87" s="72"/>
      <c r="AN87" s="72"/>
      <c r="AO87" s="72"/>
      <c r="AP87" s="5">
        <f>SUM(AP39,AP69)</f>
        <v>4581</v>
      </c>
      <c r="AQ87" s="72"/>
      <c r="AR87" s="72"/>
      <c r="AS87" s="72"/>
      <c r="AT87" s="72"/>
      <c r="AU87" s="5">
        <f>SUM(AU39,AU69)</f>
        <v>4964</v>
      </c>
      <c r="AV87" s="72"/>
      <c r="AW87" s="72"/>
      <c r="AX87" s="72"/>
      <c r="AY87" s="72"/>
      <c r="AZ87" s="5">
        <f>SUM(AZ39,AZ69)</f>
        <v>3048</v>
      </c>
      <c r="BA87" s="72"/>
      <c r="BB87" s="72"/>
      <c r="BC87" s="72"/>
      <c r="BD87" s="72"/>
      <c r="BE87" s="5">
        <f>SUM(BE39,BE69)</f>
        <v>1926</v>
      </c>
      <c r="BF87" s="72"/>
      <c r="BG87" s="72"/>
      <c r="BH87" s="72"/>
      <c r="BI87" s="72"/>
      <c r="BJ87" s="5">
        <f>SUM(BJ39,BJ69)</f>
        <v>1533</v>
      </c>
      <c r="BK87" s="72"/>
      <c r="BL87" s="72"/>
      <c r="BM87" s="72"/>
      <c r="BN87" s="72"/>
      <c r="BO87" s="5">
        <f>SUM(BO39,BO69)</f>
        <v>1941</v>
      </c>
      <c r="BP87" s="72"/>
      <c r="BQ87" s="72"/>
      <c r="BR87" s="72"/>
      <c r="BS87" s="72"/>
      <c r="BT87" s="5">
        <f>SUM(BT39,BT69)</f>
        <v>1100</v>
      </c>
      <c r="BU87" s="72"/>
      <c r="BV87" s="72"/>
      <c r="BW87" s="72"/>
      <c r="BX87" s="72"/>
      <c r="BY87" s="5">
        <f>SUM(BY39,BY69)</f>
        <v>1100</v>
      </c>
      <c r="BZ87" s="72"/>
      <c r="CA87" s="72"/>
      <c r="CB87" s="72"/>
      <c r="CC87" s="72"/>
      <c r="CD87" s="5">
        <f>SUM(CD39,CD69)</f>
        <v>1100</v>
      </c>
      <c r="CF87">
        <v>2011</v>
      </c>
      <c r="CG87">
        <v>11646.712089235882</v>
      </c>
      <c r="CH87">
        <f t="shared" si="15"/>
        <v>13330</v>
      </c>
      <c r="CI87">
        <f t="shared" si="16"/>
        <v>12846.983743918972</v>
      </c>
    </row>
    <row r="88" spans="1:91">
      <c r="A88" s="4" t="s">
        <v>2669</v>
      </c>
      <c r="B88" s="4"/>
      <c r="C88" s="5">
        <f t="shared" si="17"/>
        <v>6849</v>
      </c>
      <c r="D88" s="5">
        <f t="shared" si="17"/>
        <v>7224</v>
      </c>
      <c r="E88" s="5">
        <f t="shared" si="17"/>
        <v>7537</v>
      </c>
      <c r="F88" s="5">
        <f t="shared" si="17"/>
        <v>7270</v>
      </c>
      <c r="G88" s="5">
        <f t="shared" si="17"/>
        <v>7678</v>
      </c>
      <c r="H88" s="72"/>
      <c r="I88" s="72"/>
      <c r="J88" s="72"/>
      <c r="K88" s="72"/>
      <c r="L88" s="5">
        <f>SUM(L40,L70)</f>
        <v>9109</v>
      </c>
      <c r="M88" s="72"/>
      <c r="N88" s="72"/>
      <c r="O88" s="72"/>
      <c r="P88" s="72"/>
      <c r="Q88" s="5">
        <f>SUM(Q40,Q70)</f>
        <v>10153</v>
      </c>
      <c r="R88" s="72"/>
      <c r="S88" s="72"/>
      <c r="T88" s="72"/>
      <c r="U88" s="72"/>
      <c r="V88" s="5">
        <f>SUM(V40,V70)</f>
        <v>11767</v>
      </c>
      <c r="W88" s="72"/>
      <c r="X88" s="72"/>
      <c r="Y88" s="72"/>
      <c r="Z88" s="72"/>
      <c r="AA88" s="5">
        <f>SUM(AA40,AA70)</f>
        <v>12392</v>
      </c>
      <c r="AB88" s="72"/>
      <c r="AC88" s="72"/>
      <c r="AD88" s="72"/>
      <c r="AE88" s="72"/>
      <c r="AF88" s="5">
        <f>SUM(AF40,AF70)</f>
        <v>12044</v>
      </c>
      <c r="AG88" s="72"/>
      <c r="AH88" s="72"/>
      <c r="AI88" s="72"/>
      <c r="AJ88" s="72"/>
      <c r="AK88" s="5">
        <f>SUM(AK40,AK70)</f>
        <v>13330</v>
      </c>
      <c r="AL88" s="72"/>
      <c r="AM88" s="72"/>
      <c r="AN88" s="72"/>
      <c r="AO88" s="72"/>
      <c r="AP88" s="5">
        <f>SUM(AP40,AP70)</f>
        <v>15247</v>
      </c>
      <c r="AQ88" s="72"/>
      <c r="AR88" s="72"/>
      <c r="AS88" s="72"/>
      <c r="AT88" s="72"/>
      <c r="AU88" s="5">
        <f>SUM(AU40,AU70)</f>
        <v>16664</v>
      </c>
      <c r="AV88" s="72"/>
      <c r="AW88" s="72"/>
      <c r="AX88" s="72"/>
      <c r="AY88" s="72"/>
      <c r="AZ88" s="5">
        <f>SUM(AZ40,AZ70)</f>
        <v>18704</v>
      </c>
      <c r="BA88" s="72"/>
      <c r="BB88" s="72"/>
      <c r="BC88" s="72"/>
      <c r="BD88" s="72"/>
      <c r="BE88" s="5">
        <f>SUM(BE40,BE70)</f>
        <v>16731</v>
      </c>
      <c r="BF88" s="72"/>
      <c r="BG88" s="72"/>
      <c r="BH88" s="72"/>
      <c r="BI88" s="72"/>
      <c r="BJ88" s="5">
        <f>SUM(BJ40,BJ70)</f>
        <v>14143</v>
      </c>
      <c r="BK88" s="72"/>
      <c r="BL88" s="72"/>
      <c r="BM88" s="72"/>
      <c r="BN88" s="72"/>
      <c r="BO88" s="5">
        <f>SUM(BO40,BO70)</f>
        <v>15277</v>
      </c>
      <c r="BP88" s="72"/>
      <c r="BQ88" s="72"/>
      <c r="BR88" s="72"/>
      <c r="BS88" s="72"/>
      <c r="BT88" s="5">
        <f>SUM(BT40,BT70)</f>
        <v>14750</v>
      </c>
      <c r="BU88" s="72"/>
      <c r="BV88" s="72"/>
      <c r="BW88" s="72"/>
      <c r="BX88" s="72"/>
      <c r="BY88" s="5">
        <f>SUM(BY40,BY70)</f>
        <v>15100</v>
      </c>
      <c r="BZ88" s="72"/>
      <c r="CA88" s="72"/>
      <c r="CB88" s="72"/>
      <c r="CC88" s="72"/>
      <c r="CD88" s="5">
        <f>SUM(CD40,CD70)</f>
        <v>15200</v>
      </c>
      <c r="CF88">
        <v>2012</v>
      </c>
      <c r="CG88">
        <v>12643.81911765232</v>
      </c>
      <c r="CH88">
        <f t="shared" si="15"/>
        <v>15247</v>
      </c>
      <c r="CI88">
        <f t="shared" si="16"/>
        <v>15090.469993846164</v>
      </c>
    </row>
    <row r="89" spans="1:91">
      <c r="A89" s="7" t="s">
        <v>896</v>
      </c>
      <c r="B89" s="7"/>
      <c r="C89" s="8">
        <f>SUM(C85:C88)</f>
        <v>8215</v>
      </c>
      <c r="D89" s="8">
        <f>SUM(D85:D88)</f>
        <v>8432</v>
      </c>
      <c r="E89" s="8">
        <f>SUM(E85:E88)</f>
        <v>8361</v>
      </c>
      <c r="F89" s="8">
        <f>SUM(F85:F88)</f>
        <v>8387</v>
      </c>
      <c r="G89" s="8">
        <f>SUM(G85:G88)</f>
        <v>9007</v>
      </c>
      <c r="H89" s="73"/>
      <c r="I89" s="73"/>
      <c r="J89" s="73"/>
      <c r="K89" s="73"/>
      <c r="L89" s="8">
        <f>SUM(L85:L88)</f>
        <v>11028</v>
      </c>
      <c r="M89" s="73"/>
      <c r="N89" s="73"/>
      <c r="O89" s="73"/>
      <c r="P89" s="73"/>
      <c r="Q89" s="8">
        <f>SUM(Q85:Q88)</f>
        <v>13039</v>
      </c>
      <c r="R89" s="73"/>
      <c r="S89" s="73"/>
      <c r="T89" s="73"/>
      <c r="U89" s="73"/>
      <c r="V89" s="8">
        <f>SUM(V85:V88)</f>
        <v>18556</v>
      </c>
      <c r="W89" s="73"/>
      <c r="X89" s="73"/>
      <c r="Y89" s="73"/>
      <c r="Z89" s="73"/>
      <c r="AA89" s="8">
        <f>SUM(AA85:AA88)</f>
        <v>16205</v>
      </c>
      <c r="AB89" s="73"/>
      <c r="AC89" s="73"/>
      <c r="AD89" s="73"/>
      <c r="AE89" s="73"/>
      <c r="AF89" s="8">
        <f>SUM(AF85:AF88)</f>
        <v>20167</v>
      </c>
      <c r="AG89" s="73"/>
      <c r="AH89" s="73"/>
      <c r="AI89" s="73"/>
      <c r="AJ89" s="73"/>
      <c r="AK89" s="8">
        <f>SUM(AK85:AK88)</f>
        <v>25849</v>
      </c>
      <c r="AL89" s="72"/>
      <c r="AM89" s="72"/>
      <c r="AN89" s="72"/>
      <c r="AO89" s="72"/>
      <c r="AP89" s="8">
        <f>SUM(AP85:AP88)</f>
        <v>21902</v>
      </c>
      <c r="AQ89" s="72"/>
      <c r="AR89" s="72"/>
      <c r="AS89" s="72"/>
      <c r="AT89" s="72"/>
      <c r="AU89" s="8">
        <f>SUM(AU85:AU88)</f>
        <v>24588</v>
      </c>
      <c r="AV89" s="72"/>
      <c r="AW89" s="72"/>
      <c r="AX89" s="72"/>
      <c r="AY89" s="72"/>
      <c r="AZ89" s="8">
        <f>SUM(AZ85:AZ88)</f>
        <v>22876</v>
      </c>
      <c r="BA89" s="72"/>
      <c r="BB89" s="72"/>
      <c r="BC89" s="72"/>
      <c r="BD89" s="72"/>
      <c r="BE89" s="8">
        <f>SUM(BE85:BE88)</f>
        <v>19052</v>
      </c>
      <c r="BF89" s="72"/>
      <c r="BG89" s="72"/>
      <c r="BH89" s="72"/>
      <c r="BI89" s="72"/>
      <c r="BJ89" s="8">
        <f>SUM(BJ85:BJ88)</f>
        <v>21108</v>
      </c>
      <c r="BK89" s="72"/>
      <c r="BL89" s="72"/>
      <c r="BM89" s="72"/>
      <c r="BN89" s="72"/>
      <c r="BO89" s="8">
        <f>SUM(BO85:BO88)</f>
        <v>21513</v>
      </c>
      <c r="BP89" s="72"/>
      <c r="BQ89" s="72"/>
      <c r="BR89" s="72"/>
      <c r="BS89" s="72"/>
      <c r="BT89" s="8">
        <f>SUM(BT85:BT88)</f>
        <v>15850</v>
      </c>
      <c r="BU89" s="72"/>
      <c r="BV89" s="72"/>
      <c r="BW89" s="72"/>
      <c r="BX89" s="72"/>
      <c r="BY89" s="8">
        <f>SUM(BY85:BY88)</f>
        <v>16200</v>
      </c>
      <c r="BZ89" s="72"/>
      <c r="CA89" s="72"/>
      <c r="CB89" s="72"/>
      <c r="CC89" s="72"/>
      <c r="CD89" s="8">
        <f>SUM(CD85:CD88)</f>
        <v>16300</v>
      </c>
      <c r="CF89">
        <v>2013</v>
      </c>
      <c r="CG89">
        <v>12723.070557995257</v>
      </c>
      <c r="CH89">
        <f t="shared" si="15"/>
        <v>16664</v>
      </c>
      <c r="CI89">
        <f t="shared" si="16"/>
        <v>15268.785371863989</v>
      </c>
    </row>
    <row r="90" spans="1:9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F90">
        <v>2014</v>
      </c>
      <c r="CG90">
        <v>15087.13118507869</v>
      </c>
      <c r="CH90">
        <f t="shared" si="15"/>
        <v>18704</v>
      </c>
      <c r="CI90">
        <f t="shared" si="16"/>
        <v>20587.9109619013</v>
      </c>
    </row>
    <row r="91" spans="1:91">
      <c r="A91" s="7" t="s">
        <v>1534</v>
      </c>
      <c r="B91" s="4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F91">
        <v>2015</v>
      </c>
      <c r="CG91">
        <v>13716.844810031364</v>
      </c>
      <c r="CH91">
        <f t="shared" si="15"/>
        <v>16731</v>
      </c>
      <c r="CI91">
        <f t="shared" si="16"/>
        <v>17504.772890190387</v>
      </c>
    </row>
    <row r="92" spans="1:91">
      <c r="A92" s="7"/>
      <c r="B92" s="11" t="s">
        <v>2666</v>
      </c>
      <c r="C92" s="104">
        <f>Reserves!C147</f>
        <v>13.273723138990839</v>
      </c>
      <c r="D92" s="104">
        <f>Reserves!D147</f>
        <v>13.842331088420595</v>
      </c>
      <c r="E92" s="104">
        <f>Reserves!E147</f>
        <v>14.099909967164495</v>
      </c>
      <c r="F92" s="104">
        <f>Reserves!F147</f>
        <v>12.442456502368332</v>
      </c>
      <c r="G92" s="104">
        <f>Reserves!G147</f>
        <v>12.141536805653049</v>
      </c>
      <c r="H92" s="72"/>
      <c r="I92" s="72"/>
      <c r="J92" s="72"/>
      <c r="K92" s="72"/>
      <c r="L92" s="104">
        <f>Reserves!L147</f>
        <v>12.268846503178926</v>
      </c>
      <c r="M92" s="72"/>
      <c r="N92" s="72"/>
      <c r="O92" s="72"/>
      <c r="P92" s="72"/>
      <c r="Q92" s="104">
        <f>Reserves!Q147</f>
        <v>12.66187103257273</v>
      </c>
      <c r="R92" s="72"/>
      <c r="S92" s="72"/>
      <c r="T92" s="72"/>
      <c r="U92" s="72"/>
      <c r="V92" s="104">
        <f>Reserves!V147</f>
        <v>12.715383314407209</v>
      </c>
      <c r="W92" s="72"/>
      <c r="X92" s="72"/>
      <c r="Y92" s="72"/>
      <c r="Z92" s="72"/>
      <c r="AA92" s="104">
        <f>Reserves!AA147</f>
        <v>12.352575447093892</v>
      </c>
      <c r="AB92" s="72"/>
      <c r="AC92" s="72"/>
      <c r="AD92" s="72"/>
      <c r="AE92" s="72"/>
      <c r="AF92" s="104">
        <f>Reserves!AF147</f>
        <v>12.737239937779506</v>
      </c>
      <c r="AG92" s="72"/>
      <c r="AH92" s="72"/>
      <c r="AI92" s="72"/>
      <c r="AJ92" s="72"/>
      <c r="AK92" s="104">
        <f>Reserves!AK147</f>
        <v>13.851122234781203</v>
      </c>
      <c r="AL92" s="72"/>
      <c r="AM92" s="72"/>
      <c r="AN92" s="72"/>
      <c r="AO92" s="72"/>
      <c r="AP92" s="104">
        <f>Reserves!AP147</f>
        <v>13.634666445403253</v>
      </c>
      <c r="AQ92" s="72"/>
      <c r="AR92" s="72"/>
      <c r="AS92" s="72"/>
      <c r="AT92" s="72"/>
      <c r="AU92" s="104">
        <f>Reserves!AU147</f>
        <v>14.88095916970803</v>
      </c>
      <c r="AV92" s="72"/>
      <c r="AW92" s="72"/>
      <c r="AX92" s="72"/>
      <c r="AY92" s="72"/>
      <c r="AZ92" s="104">
        <f>Reserves!AZ147</f>
        <v>14.904281524926684</v>
      </c>
      <c r="BA92" s="72"/>
      <c r="BB92" s="72"/>
      <c r="BC92" s="72"/>
      <c r="BD92" s="72"/>
      <c r="BE92" s="104">
        <f>Reserves!BE147</f>
        <v>14.028237612612612</v>
      </c>
      <c r="BF92" s="72"/>
      <c r="BG92" s="72"/>
      <c r="BH92" s="72"/>
      <c r="BI92" s="72"/>
      <c r="BJ92" s="104">
        <f>Reserves!BJ147</f>
        <v>14.53201485399201</v>
      </c>
      <c r="BK92" s="72"/>
      <c r="BL92" s="72"/>
      <c r="BM92" s="72"/>
      <c r="BN92" s="72"/>
      <c r="BO92" s="104">
        <f>Reserves!BO147</f>
        <v>13.738177801751819</v>
      </c>
      <c r="BP92" s="72"/>
      <c r="BQ92" s="72"/>
      <c r="BR92" s="72"/>
      <c r="BS92" s="72"/>
      <c r="BT92" s="104">
        <f>Reserves!BT147</f>
        <v>13.020900758614967</v>
      </c>
      <c r="BU92" s="72"/>
      <c r="BV92" s="72"/>
      <c r="BW92" s="72"/>
      <c r="BX92" s="72"/>
      <c r="BY92" s="104">
        <f>Reserves!BY147</f>
        <v>11.711639710009189</v>
      </c>
      <c r="BZ92" s="72"/>
      <c r="CA92" s="72"/>
      <c r="CB92" s="72"/>
      <c r="CC92" s="72"/>
      <c r="CD92" s="104">
        <f>Reserves!CD147</f>
        <v>10.575978975395017</v>
      </c>
      <c r="CF92">
        <v>2016</v>
      </c>
      <c r="CG92">
        <v>13454.688041708416</v>
      </c>
      <c r="CH92">
        <f t="shared" si="15"/>
        <v>14143</v>
      </c>
      <c r="CI92">
        <f t="shared" si="16"/>
        <v>16914.921361421257</v>
      </c>
    </row>
    <row r="93" spans="1:91">
      <c r="A93" s="7"/>
      <c r="B93" s="11" t="s">
        <v>1535</v>
      </c>
      <c r="C93" s="104">
        <f>Reserves!C152</f>
        <v>7.8394923374331098</v>
      </c>
      <c r="D93" s="104">
        <f>Reserves!D152</f>
        <v>7.7740603953943079</v>
      </c>
      <c r="E93" s="104">
        <f>Reserves!E152</f>
        <v>7.632639550895032</v>
      </c>
      <c r="F93" s="104">
        <f>Reserves!F152</f>
        <v>6.7917741405993528</v>
      </c>
      <c r="G93" s="104">
        <f>Reserves!G152</f>
        <v>6.5270485282418456</v>
      </c>
      <c r="H93" s="72"/>
      <c r="I93" s="72"/>
      <c r="J93" s="72"/>
      <c r="K93" s="72"/>
      <c r="L93" s="104">
        <f>Reserves!L152</f>
        <v>6.7847889478464545</v>
      </c>
      <c r="M93" s="72"/>
      <c r="N93" s="72"/>
      <c r="O93" s="72"/>
      <c r="P93" s="72"/>
      <c r="Q93" s="104">
        <f>Reserves!Q152</f>
        <v>6.9538001519570605</v>
      </c>
      <c r="R93" s="72"/>
      <c r="S93" s="72"/>
      <c r="T93" s="72"/>
      <c r="U93" s="72"/>
      <c r="V93" s="104">
        <f>Reserves!V152</f>
        <v>6.9589504457706157</v>
      </c>
      <c r="W93" s="72"/>
      <c r="X93" s="72"/>
      <c r="Y93" s="72"/>
      <c r="Z93" s="72"/>
      <c r="AA93" s="104">
        <f>Reserves!AA152</f>
        <v>6.9829079731743668</v>
      </c>
      <c r="AB93" s="72"/>
      <c r="AC93" s="72"/>
      <c r="AD93" s="72"/>
      <c r="AE93" s="72"/>
      <c r="AF93" s="104">
        <f>Reserves!AF152</f>
        <v>7.1707174800699978</v>
      </c>
      <c r="AG93" s="72"/>
      <c r="AH93" s="72"/>
      <c r="AI93" s="72"/>
      <c r="AJ93" s="72"/>
      <c r="AK93" s="104">
        <f>Reserves!AK152</f>
        <v>7.6707034824263953</v>
      </c>
      <c r="AL93" s="72"/>
      <c r="AM93" s="72"/>
      <c r="AN93" s="72"/>
      <c r="AO93" s="72"/>
      <c r="AP93" s="104">
        <f>Reserves!AP152</f>
        <v>7.5987387985396611</v>
      </c>
      <c r="AQ93" s="72"/>
      <c r="AR93" s="72"/>
      <c r="AS93" s="72"/>
      <c r="AT93" s="72"/>
      <c r="AU93" s="104">
        <f>Reserves!AU152</f>
        <v>8.1994183394160576</v>
      </c>
      <c r="AV93" s="72"/>
      <c r="AW93" s="72"/>
      <c r="AX93" s="72"/>
      <c r="AY93" s="72"/>
      <c r="AZ93" s="104">
        <f>Reserves!AZ152</f>
        <v>8.2799413489736065</v>
      </c>
      <c r="BA93" s="72"/>
      <c r="BB93" s="72"/>
      <c r="BC93" s="72"/>
      <c r="BD93" s="72"/>
      <c r="BE93" s="104">
        <f>Reserves!BE152</f>
        <v>7.7511542792792794</v>
      </c>
      <c r="BF93" s="72"/>
      <c r="BG93" s="72"/>
      <c r="BH93" s="72"/>
      <c r="BI93" s="72"/>
      <c r="BJ93" s="104">
        <f>Reserves!BJ152</f>
        <v>8.1692736172846452</v>
      </c>
      <c r="BK93" s="72"/>
      <c r="BL93" s="72"/>
      <c r="BM93" s="72"/>
      <c r="BN93" s="72"/>
      <c r="BO93" s="104">
        <f>Reserves!BO152</f>
        <v>7.7333487452158955</v>
      </c>
      <c r="BP93" s="72"/>
      <c r="BQ93" s="72"/>
      <c r="BR93" s="72"/>
      <c r="BS93" s="72"/>
      <c r="BT93" s="104">
        <f>Reserves!BT152</f>
        <v>7.3999649038108171</v>
      </c>
      <c r="BU93" s="72"/>
      <c r="BV93" s="72"/>
      <c r="BW93" s="72"/>
      <c r="BX93" s="72"/>
      <c r="BY93" s="104">
        <f>Reserves!BY152</f>
        <v>6.7595621780106647</v>
      </c>
      <c r="BZ93" s="72"/>
      <c r="CA93" s="72"/>
      <c r="CB93" s="72"/>
      <c r="CC93" s="72"/>
      <c r="CD93" s="104">
        <f>Reserves!CD152</f>
        <v>6.1908003212870737</v>
      </c>
      <c r="CF93">
        <v>2017</v>
      </c>
      <c r="CG93">
        <v>16086.82224189414</v>
      </c>
      <c r="CH93">
        <f t="shared" si="15"/>
        <v>15277</v>
      </c>
      <c r="CI93">
        <f t="shared" si="16"/>
        <v>22837.211263898516</v>
      </c>
    </row>
    <row r="94" spans="1:91">
      <c r="A94" s="7"/>
      <c r="B94" s="4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F94">
        <v>2018</v>
      </c>
      <c r="CG94">
        <v>16680.170960432381</v>
      </c>
      <c r="CH94">
        <f t="shared" si="15"/>
        <v>14750</v>
      </c>
      <c r="CI94">
        <f t="shared" si="16"/>
        <v>24172.243164703159</v>
      </c>
    </row>
    <row r="95" spans="1:91">
      <c r="A95" s="4" t="s">
        <v>2670</v>
      </c>
      <c r="B95" s="5"/>
      <c r="C95" s="72"/>
      <c r="D95" s="72"/>
      <c r="E95" s="5">
        <f>E48+E73</f>
        <v>10812.420000000004</v>
      </c>
      <c r="F95" s="5">
        <f>F48+F73</f>
        <v>11042.216000000008</v>
      </c>
      <c r="G95" s="5">
        <f>G48+G73</f>
        <v>10549.248000000001</v>
      </c>
      <c r="H95" s="72"/>
      <c r="I95" s="72"/>
      <c r="J95" s="72"/>
      <c r="K95" s="72"/>
      <c r="L95" s="5">
        <f>L48+L73</f>
        <v>11138.034000000005</v>
      </c>
      <c r="M95" s="72"/>
      <c r="N95" s="72"/>
      <c r="O95" s="72"/>
      <c r="P95" s="72"/>
      <c r="Q95" s="5">
        <f>Q48+Q73</f>
        <v>12477.901999999996</v>
      </c>
      <c r="R95" s="72"/>
      <c r="S95" s="72"/>
      <c r="T95" s="72"/>
      <c r="U95" s="72"/>
      <c r="V95" s="5">
        <f>V48+V73</f>
        <v>12876.945999999996</v>
      </c>
      <c r="W95" s="72"/>
      <c r="X95" s="72"/>
      <c r="Y95" s="72"/>
      <c r="Z95" s="72"/>
      <c r="AA95" s="5">
        <f>AA48+AA73</f>
        <v>12355.593999999997</v>
      </c>
      <c r="AB95" s="72"/>
      <c r="AC95" s="72"/>
      <c r="AD95" s="72"/>
      <c r="AE95" s="72"/>
      <c r="AF95" s="5">
        <f>AF48+AF73</f>
        <v>11909.254000000003</v>
      </c>
      <c r="AG95" s="72"/>
      <c r="AH95" s="72"/>
      <c r="AI95" s="72"/>
      <c r="AJ95" s="72"/>
      <c r="AK95" s="5">
        <f>AK48+AK73</f>
        <v>12901.020000000006</v>
      </c>
      <c r="AL95" s="72"/>
      <c r="AM95" s="72"/>
      <c r="AN95" s="72"/>
      <c r="AO95" s="72"/>
      <c r="AP95" s="5">
        <f>AP48+AP73</f>
        <v>13850.196000000004</v>
      </c>
      <c r="AQ95" s="72"/>
      <c r="AR95" s="72"/>
      <c r="AS95" s="72"/>
      <c r="AT95" s="72"/>
      <c r="AU95" s="5">
        <f>AU48+AU73</f>
        <v>14651.758000000003</v>
      </c>
      <c r="AV95" s="72"/>
      <c r="AW95" s="72"/>
      <c r="AX95" s="72"/>
      <c r="AY95" s="72"/>
      <c r="AZ95" s="5">
        <f>AZ48+AZ73</f>
        <v>17252.024000000009</v>
      </c>
      <c r="BA95" s="72"/>
      <c r="BB95" s="72"/>
      <c r="BC95" s="72"/>
      <c r="BD95" s="72"/>
      <c r="BE95" s="5">
        <f>BE48+BE73</f>
        <v>14350.896000000004</v>
      </c>
      <c r="BF95" s="72"/>
      <c r="BG95" s="72"/>
      <c r="BH95" s="72"/>
      <c r="BI95" s="72"/>
      <c r="BJ95" s="5">
        <f>BJ48+BJ73</f>
        <v>13019.665000000008</v>
      </c>
      <c r="BK95" s="72"/>
      <c r="BL95" s="72"/>
      <c r="BM95" s="72"/>
      <c r="BN95" s="72"/>
      <c r="BO95" s="5">
        <f>BO48+BO73</f>
        <v>12253.812999999996</v>
      </c>
      <c r="BP95" s="72"/>
      <c r="BQ95" s="72"/>
      <c r="BR95" s="72"/>
      <c r="BS95" s="72"/>
      <c r="BT95" s="5">
        <f>BT48+BT73</f>
        <v>11056.901999999998</v>
      </c>
      <c r="BU95" s="72"/>
      <c r="BV95" s="72"/>
      <c r="BW95" s="72"/>
      <c r="BX95" s="72"/>
      <c r="BY95" s="5">
        <f>BY48+BY73</f>
        <v>10694.864000000003</v>
      </c>
      <c r="BZ95" s="72"/>
      <c r="CA95" s="72"/>
      <c r="CB95" s="72"/>
      <c r="CC95" s="72"/>
      <c r="CD95" s="5">
        <f>CD48+CD73</f>
        <v>9563.8300000000036</v>
      </c>
      <c r="CF95">
        <v>2019</v>
      </c>
      <c r="CG95">
        <v>15742.855261511246</v>
      </c>
      <c r="CH95">
        <f t="shared" si="15"/>
        <v>15100</v>
      </c>
      <c r="CI95">
        <f t="shared" si="16"/>
        <v>22063.287132460438</v>
      </c>
    </row>
    <row r="96" spans="1:91">
      <c r="A96" s="7"/>
      <c r="B96" s="4" t="s">
        <v>1536</v>
      </c>
      <c r="C96" s="72"/>
      <c r="D96" s="72"/>
      <c r="E96" s="5">
        <f>E88-E95</f>
        <v>-3275.4200000000037</v>
      </c>
      <c r="F96" s="5">
        <f>F88-F95</f>
        <v>-3772.2160000000076</v>
      </c>
      <c r="G96" s="5">
        <f>G88-G95</f>
        <v>-2871.2480000000014</v>
      </c>
      <c r="H96" s="72"/>
      <c r="I96" s="72"/>
      <c r="J96" s="72"/>
      <c r="K96" s="72"/>
      <c r="L96" s="5">
        <f>L88-L95</f>
        <v>-2029.0340000000051</v>
      </c>
      <c r="M96" s="72"/>
      <c r="N96" s="72"/>
      <c r="O96" s="72"/>
      <c r="P96" s="72"/>
      <c r="Q96" s="5">
        <f>Q88-Q95</f>
        <v>-2324.9019999999964</v>
      </c>
      <c r="R96" s="72"/>
      <c r="S96" s="72"/>
      <c r="T96" s="72"/>
      <c r="U96" s="72"/>
      <c r="V96" s="5">
        <f>V88-V95</f>
        <v>-1109.9459999999963</v>
      </c>
      <c r="W96" s="72"/>
      <c r="X96" s="72"/>
      <c r="Y96" s="72"/>
      <c r="Z96" s="72"/>
      <c r="AA96" s="5">
        <f>AA88-AA95</f>
        <v>36.406000000002678</v>
      </c>
      <c r="AB96" s="72"/>
      <c r="AC96" s="72"/>
      <c r="AD96" s="72"/>
      <c r="AE96" s="72"/>
      <c r="AF96" s="5">
        <f>AF88-AF95</f>
        <v>134.74599999999737</v>
      </c>
      <c r="AG96" s="72"/>
      <c r="AH96" s="72"/>
      <c r="AI96" s="72"/>
      <c r="AJ96" s="72"/>
      <c r="AK96" s="5">
        <f>AK88-AK95</f>
        <v>428.97999999999411</v>
      </c>
      <c r="AL96" s="72"/>
      <c r="AM96" s="72"/>
      <c r="AN96" s="72"/>
      <c r="AO96" s="72"/>
      <c r="AP96" s="5">
        <f>AP88-AP95</f>
        <v>1396.8039999999964</v>
      </c>
      <c r="AQ96" s="72"/>
      <c r="AR96" s="72"/>
      <c r="AS96" s="72"/>
      <c r="AT96" s="72"/>
      <c r="AU96" s="5">
        <f>AU88-AU95</f>
        <v>2012.2419999999966</v>
      </c>
      <c r="AV96" s="72"/>
      <c r="AW96" s="72"/>
      <c r="AX96" s="72"/>
      <c r="AY96" s="72"/>
      <c r="AZ96" s="5">
        <f>AZ88-AZ95</f>
        <v>1451.9759999999915</v>
      </c>
      <c r="BA96" s="72"/>
      <c r="BB96" s="72"/>
      <c r="BC96" s="72"/>
      <c r="BD96" s="72"/>
      <c r="BE96" s="5">
        <f>BE88-BE95</f>
        <v>2380.1039999999957</v>
      </c>
      <c r="BF96" s="72"/>
      <c r="BG96" s="72"/>
      <c r="BH96" s="72"/>
      <c r="BI96" s="72"/>
      <c r="BJ96" s="5">
        <f>BJ88-BJ95</f>
        <v>1123.3349999999919</v>
      </c>
      <c r="BK96" s="72"/>
      <c r="BL96" s="72"/>
      <c r="BM96" s="72"/>
      <c r="BN96" s="72"/>
      <c r="BO96" s="5">
        <f>BO88-BO95</f>
        <v>3023.1870000000035</v>
      </c>
      <c r="BP96" s="72"/>
      <c r="BQ96" s="72"/>
      <c r="BR96" s="72"/>
      <c r="BS96" s="72"/>
      <c r="BT96" s="5">
        <f>BT88-BT95</f>
        <v>3693.0980000000018</v>
      </c>
      <c r="BU96" s="72"/>
      <c r="BV96" s="72"/>
      <c r="BW96" s="72"/>
      <c r="BX96" s="72"/>
      <c r="BY96" s="5">
        <f>BY88-BY95</f>
        <v>4405.1359999999968</v>
      </c>
      <c r="BZ96" s="72"/>
      <c r="CA96" s="72"/>
      <c r="CB96" s="72"/>
      <c r="CC96" s="72"/>
      <c r="CD96" s="5">
        <f>CD88-CD95</f>
        <v>5636.1699999999964</v>
      </c>
      <c r="CF96">
        <v>2020</v>
      </c>
      <c r="CG96">
        <v>14959.251656440165</v>
      </c>
      <c r="CH96">
        <f t="shared" si="15"/>
        <v>15200</v>
      </c>
      <c r="CI96">
        <f t="shared" si="16"/>
        <v>20300.182607801402</v>
      </c>
    </row>
    <row r="97" spans="1:82">
      <c r="A97" s="7"/>
      <c r="B97" s="4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</row>
    <row r="98" spans="1:82">
      <c r="A98" s="7"/>
      <c r="B98" s="4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615"/>
      <c r="AQ98" s="5"/>
      <c r="AR98" s="5"/>
      <c r="AS98" s="5"/>
      <c r="AT98" s="5"/>
      <c r="AU98" s="615"/>
      <c r="AV98" s="5"/>
      <c r="AW98" s="5"/>
      <c r="AX98" s="5"/>
      <c r="AY98" s="5"/>
      <c r="AZ98" s="615"/>
      <c r="BA98" s="5"/>
      <c r="BB98" s="5"/>
      <c r="BC98" s="5"/>
      <c r="BD98" s="5"/>
      <c r="BE98" s="61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</row>
    <row r="99" spans="1:82">
      <c r="A99" s="121" t="s">
        <v>3480</v>
      </c>
      <c r="B99" s="4"/>
      <c r="C99" s="116"/>
      <c r="D99" s="116"/>
      <c r="E99" s="116"/>
      <c r="F99" s="116"/>
      <c r="G99" s="116"/>
      <c r="H99" s="5"/>
      <c r="I99" s="5"/>
      <c r="J99" s="5"/>
      <c r="K99" s="5"/>
      <c r="L99" s="116"/>
      <c r="M99" s="116"/>
      <c r="N99" s="116"/>
      <c r="O99" s="116"/>
      <c r="P99" s="116"/>
      <c r="Q99" s="116"/>
      <c r="R99" s="116"/>
      <c r="S99" s="116"/>
      <c r="T99" s="116"/>
      <c r="U99" s="116"/>
      <c r="V99" s="116"/>
      <c r="W99" s="116"/>
      <c r="X99" s="116"/>
      <c r="Y99" s="116"/>
      <c r="Z99" s="116"/>
      <c r="AA99" s="116"/>
      <c r="AB99" s="116"/>
      <c r="AC99" s="116"/>
      <c r="AD99" s="116"/>
      <c r="AE99" s="116"/>
      <c r="AF99" s="116"/>
      <c r="AG99" s="116"/>
      <c r="AH99" s="116"/>
      <c r="AI99" s="116"/>
      <c r="AJ99" s="116"/>
      <c r="AK99" s="116"/>
      <c r="AL99" s="116"/>
      <c r="AM99" s="116"/>
      <c r="AN99" s="116"/>
      <c r="AO99" s="116"/>
      <c r="AP99" s="613"/>
      <c r="AQ99" s="116"/>
      <c r="AR99" s="116"/>
      <c r="AS99" s="116"/>
      <c r="AT99" s="116"/>
      <c r="AU99" s="613"/>
      <c r="AV99" s="116"/>
      <c r="AW99" s="116"/>
      <c r="AX99" s="116"/>
      <c r="AY99" s="116"/>
      <c r="AZ99" s="613"/>
      <c r="BA99" s="116"/>
      <c r="BB99" s="116"/>
      <c r="BC99" s="116"/>
      <c r="BD99" s="116"/>
      <c r="BE99" s="613"/>
      <c r="BF99" s="116"/>
      <c r="BG99" s="116"/>
      <c r="BH99" s="116"/>
      <c r="BI99" s="116"/>
      <c r="BJ99" s="116"/>
      <c r="BK99" s="116"/>
      <c r="BL99" s="116"/>
      <c r="BM99" s="116"/>
      <c r="BN99" s="116"/>
      <c r="BO99" s="116"/>
      <c r="BP99" s="116"/>
      <c r="BQ99" s="116"/>
      <c r="BR99" s="116"/>
      <c r="BS99" s="116"/>
      <c r="BT99" s="116"/>
      <c r="BU99" s="116"/>
      <c r="BV99" s="116"/>
      <c r="BW99" s="116"/>
      <c r="BX99" s="116"/>
      <c r="BY99" s="116"/>
      <c r="BZ99" s="116"/>
      <c r="CA99" s="116"/>
      <c r="CB99" s="116"/>
      <c r="CC99" s="116"/>
      <c r="CD99" s="116"/>
    </row>
    <row r="100" spans="1:82">
      <c r="A100" s="121"/>
      <c r="B100" s="4" t="s">
        <v>2946</v>
      </c>
      <c r="C100" s="72"/>
      <c r="D100" s="72"/>
      <c r="E100" s="443">
        <f>-E40/(Reserves!E16+Reserves!E70/5.8)</f>
        <v>6.9436749475824397</v>
      </c>
      <c r="F100" s="443">
        <f>-F40/(Reserves!F16+Reserves!F70/5.8)</f>
        <v>7.080772460117549</v>
      </c>
      <c r="G100" s="443">
        <f>G40/('Production - Total'!G56*0.365)</f>
        <v>7.7388823209348168</v>
      </c>
      <c r="H100" s="72"/>
      <c r="I100" s="72"/>
      <c r="J100" s="72"/>
      <c r="K100" s="72"/>
      <c r="L100" s="443">
        <f>L40/('Production - Total'!L56*0.365)</f>
        <v>9.4928942814476542</v>
      </c>
      <c r="M100" s="72"/>
      <c r="N100" s="72"/>
      <c r="O100" s="72"/>
      <c r="P100" s="72"/>
      <c r="Q100" s="443">
        <f>Q40/('Production - Total'!Q56*0.365)</f>
        <v>10.91194860169314</v>
      </c>
      <c r="R100" s="72"/>
      <c r="S100" s="72"/>
      <c r="T100" s="72"/>
      <c r="U100" s="72"/>
      <c r="V100" s="443">
        <f>V40/('Production - Total'!V56*0.365)</f>
        <v>12.804913285037026</v>
      </c>
      <c r="W100" s="72"/>
      <c r="X100" s="72"/>
      <c r="Y100" s="72"/>
      <c r="Z100" s="72"/>
      <c r="AA100" s="443">
        <f>AA40/('Production - Total'!AA56*0.365)</f>
        <v>10.609936565752545</v>
      </c>
      <c r="AB100" s="72"/>
      <c r="AC100" s="72"/>
      <c r="AD100" s="72"/>
      <c r="AE100" s="72"/>
      <c r="AF100" s="443">
        <f>AF40/('Production - Total'!AF56*0.365)</f>
        <v>10.631922520255408</v>
      </c>
      <c r="AG100" s="72"/>
      <c r="AH100" s="72"/>
      <c r="AI100" s="72"/>
      <c r="AJ100" s="72"/>
      <c r="AK100" s="443">
        <f>AK40/('Production - Total'!AK56*0.365)</f>
        <v>13.337291071248529</v>
      </c>
      <c r="AL100" s="72"/>
      <c r="AM100" s="72"/>
      <c r="AN100" s="72"/>
      <c r="AO100" s="72"/>
      <c r="AP100" s="443">
        <f>AP40/('Production - Total'!AP56*0.365)</f>
        <v>16.691502635018065</v>
      </c>
      <c r="AQ100" s="72"/>
      <c r="AR100" s="72"/>
      <c r="AS100" s="72"/>
      <c r="AT100" s="72"/>
      <c r="AU100" s="443">
        <f>AU40/('Production - Total'!AU56*0.365)</f>
        <v>19.680397846417403</v>
      </c>
      <c r="AV100" s="72"/>
      <c r="AW100" s="72"/>
      <c r="AX100" s="72"/>
      <c r="AY100" s="72"/>
      <c r="AZ100" s="443">
        <f>AZ40/('Production - Total'!AZ56*0.365)</f>
        <v>21.909000258984054</v>
      </c>
      <c r="BA100" s="72"/>
      <c r="BB100" s="72"/>
      <c r="BC100" s="72"/>
      <c r="BD100" s="72"/>
      <c r="BE100" s="443">
        <f>BE40/('Production - Total'!BE56*0.365)</f>
        <v>18.691823327063322</v>
      </c>
      <c r="BF100" s="72"/>
      <c r="BG100" s="72"/>
      <c r="BH100" s="72"/>
      <c r="BI100" s="72"/>
      <c r="BJ100" s="443">
        <f>BJ40/('Production - Total'!BJ56*0.365)</f>
        <v>15.744899549874317</v>
      </c>
      <c r="BK100" s="72"/>
      <c r="BL100" s="72"/>
      <c r="BM100" s="72"/>
      <c r="BN100" s="72"/>
      <c r="BO100" s="443">
        <f>BO40/('Production - Total'!BO56*0.365)</f>
        <v>13.538216965035168</v>
      </c>
      <c r="BP100" s="72"/>
      <c r="BQ100" s="72"/>
      <c r="BR100" s="72"/>
      <c r="BS100" s="72"/>
      <c r="BT100" s="443">
        <f>BT40/('Production - Total'!BT56*0.365)</f>
        <v>13.558625091359659</v>
      </c>
      <c r="BU100" s="72"/>
      <c r="BV100" s="72"/>
      <c r="BW100" s="72"/>
      <c r="BX100" s="72"/>
      <c r="BY100" s="443">
        <f>BY40/('Production - Total'!BY56*0.365)</f>
        <v>13.129528968341104</v>
      </c>
      <c r="BZ100" s="72"/>
      <c r="CA100" s="72"/>
      <c r="CB100" s="72"/>
      <c r="CC100" s="72"/>
      <c r="CD100" s="443">
        <f>CD40/('Production - Total'!CD56*0.365)</f>
        <v>12.753458336969636</v>
      </c>
    </row>
    <row r="101" spans="1:82">
      <c r="A101" s="121"/>
      <c r="B101" s="4" t="s">
        <v>3119</v>
      </c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  <c r="AA101" s="119">
        <f>AA70/('Production - Total'!AA110*0.365)</f>
        <v>4.1634628871058812</v>
      </c>
      <c r="AB101" s="72"/>
      <c r="AC101" s="72"/>
      <c r="AD101" s="72"/>
      <c r="AE101" s="72"/>
      <c r="AF101" s="119">
        <f>AF70/('Production - Total'!AF110*0.365)</f>
        <v>4.8825400209654779</v>
      </c>
      <c r="AG101" s="72"/>
      <c r="AH101" s="72"/>
      <c r="AI101" s="72"/>
      <c r="AJ101" s="72"/>
      <c r="AK101" s="119">
        <f>AK70/('Production - Total'!AK110*0.365)</f>
        <v>6.3202789084197386</v>
      </c>
      <c r="AL101" s="72"/>
      <c r="AM101" s="72"/>
      <c r="AN101" s="72"/>
      <c r="AO101" s="72"/>
      <c r="AP101" s="119">
        <f>AP70/('Production - Total'!AP110*0.365)</f>
        <v>6.580249644056785</v>
      </c>
      <c r="AQ101" s="72"/>
      <c r="AR101" s="72"/>
      <c r="AS101" s="72"/>
      <c r="AT101" s="72"/>
      <c r="AU101" s="119">
        <f>AU70/('Production - Total'!AU110*0.365)</f>
        <v>6.3462127389068037</v>
      </c>
      <c r="AV101" s="72"/>
      <c r="AW101" s="72"/>
      <c r="AX101" s="72"/>
      <c r="AY101" s="72"/>
      <c r="AZ101" s="119">
        <f>AZ70/('Production - Total'!AZ110*0.365)</f>
        <v>7.8940081979024654</v>
      </c>
      <c r="BA101" s="72"/>
      <c r="BB101" s="72"/>
      <c r="BC101" s="72"/>
      <c r="BD101" s="72"/>
      <c r="BE101" s="119">
        <f>BE70/('Production - Total'!BE110*0.365)</f>
        <v>7.0636038392629574</v>
      </c>
      <c r="BF101" s="72"/>
      <c r="BG101" s="72"/>
      <c r="BH101" s="72"/>
      <c r="BI101" s="72"/>
      <c r="BJ101" s="119">
        <f>BJ70/('Production - Total'!BJ110*0.365)</f>
        <v>6.1818037027398685</v>
      </c>
      <c r="BK101" s="72"/>
      <c r="BL101" s="72"/>
      <c r="BM101" s="72"/>
      <c r="BN101" s="72"/>
      <c r="BO101" s="119">
        <f>BO70/('Production - Total'!BO110*0.365)</f>
        <v>8.7735411160286585</v>
      </c>
      <c r="BP101" s="72"/>
      <c r="BQ101" s="72"/>
      <c r="BR101" s="72"/>
      <c r="BS101" s="72"/>
      <c r="BT101" s="119">
        <f>BT70/('Production - Total'!BT110*0.365)</f>
        <v>6.3168133011274685</v>
      </c>
      <c r="BU101" s="72"/>
      <c r="BV101" s="72"/>
      <c r="BW101" s="72"/>
      <c r="BX101" s="72"/>
      <c r="BY101" s="119">
        <f>BY70/('Production - Total'!BY110*0.365)</f>
        <v>6.3389146166596442</v>
      </c>
      <c r="BZ101" s="72"/>
      <c r="CA101" s="72"/>
      <c r="CB101" s="72"/>
      <c r="CC101" s="72"/>
      <c r="CD101" s="119">
        <f>CD70/('Production - Total'!CD110*0.365)</f>
        <v>6.3210640832082881</v>
      </c>
    </row>
    <row r="102" spans="1:82">
      <c r="A102" s="121"/>
      <c r="B102" s="4" t="s">
        <v>896</v>
      </c>
      <c r="C102" s="72"/>
      <c r="D102" s="72"/>
      <c r="E102" s="119">
        <f>-E88/(Reserves!E52+Reserves!E95/5.8)</f>
        <v>5.7878667514034525</v>
      </c>
      <c r="F102" s="119">
        <f>-F88/(Reserves!F52+Reserves!F95/5.8)</f>
        <v>4.943722740702527</v>
      </c>
      <c r="G102" s="119">
        <f>G88/('Production - Total'!G164*0.365)</f>
        <v>5.2400219614864438</v>
      </c>
      <c r="H102" s="72"/>
      <c r="I102" s="72"/>
      <c r="J102" s="72"/>
      <c r="K102" s="72"/>
      <c r="L102" s="119">
        <f>L88/('Production - Total'!L164*0.365)</f>
        <v>6.3563039445221126</v>
      </c>
      <c r="M102" s="72"/>
      <c r="N102" s="72"/>
      <c r="O102" s="72"/>
      <c r="P102" s="72"/>
      <c r="Q102" s="119">
        <f>Q88/('Production - Total'!Q164*0.365)</f>
        <v>7.2856045982620179</v>
      </c>
      <c r="R102" s="72"/>
      <c r="S102" s="72"/>
      <c r="T102" s="72"/>
      <c r="U102" s="72"/>
      <c r="V102" s="119">
        <f>V88/('Production - Total'!V164*0.365)</f>
        <v>8.3997801366293814</v>
      </c>
      <c r="W102" s="72"/>
      <c r="X102" s="72"/>
      <c r="Y102" s="72"/>
      <c r="Z102" s="72"/>
      <c r="AA102" s="119">
        <f>AA88/('Production - Total'!AA164*0.365)</f>
        <v>8.4919171914724494</v>
      </c>
      <c r="AB102" s="72"/>
      <c r="AC102" s="72"/>
      <c r="AD102" s="72"/>
      <c r="AE102" s="72"/>
      <c r="AF102" s="119">
        <f>AF88/('Production - Total'!AF164*0.365)</f>
        <v>8.6335060894747784</v>
      </c>
      <c r="AG102" s="72"/>
      <c r="AH102" s="72"/>
      <c r="AI102" s="72"/>
      <c r="AJ102" s="72"/>
      <c r="AK102" s="119">
        <f>AK88/('Production - Total'!AK164*0.365)</f>
        <v>10.575835459402644</v>
      </c>
      <c r="AL102" s="72"/>
      <c r="AM102" s="72"/>
      <c r="AN102" s="72"/>
      <c r="AO102" s="72"/>
      <c r="AP102" s="119">
        <f>AP88/('Production - Total'!AP164*0.365)</f>
        <v>12.541857555747082</v>
      </c>
      <c r="AQ102" s="72"/>
      <c r="AR102" s="72"/>
      <c r="AS102" s="72"/>
      <c r="AT102" s="72"/>
      <c r="AU102" s="119">
        <f>AU88/('Production - Total'!AU164*0.365)</f>
        <v>14.133555099927305</v>
      </c>
      <c r="AV102" s="72"/>
      <c r="AW102" s="72"/>
      <c r="AX102" s="72"/>
      <c r="AY102" s="72"/>
      <c r="AZ102" s="119">
        <f>AZ88/('Production - Total'!AZ164*0.365)</f>
        <v>16.314676278727298</v>
      </c>
      <c r="BA102" s="72"/>
      <c r="BB102" s="72"/>
      <c r="BC102" s="72"/>
      <c r="BD102" s="72"/>
      <c r="BE102" s="119">
        <f>BE88/('Production - Total'!BE164*0.365)</f>
        <v>14.142974633391743</v>
      </c>
      <c r="BF102" s="72"/>
      <c r="BG102" s="72"/>
      <c r="BH102" s="72"/>
      <c r="BI102" s="72"/>
      <c r="BJ102" s="119">
        <f>BJ88/('Production - Total'!BJ164*0.365)</f>
        <v>11.856776378665684</v>
      </c>
      <c r="BK102" s="72"/>
      <c r="BL102" s="72"/>
      <c r="BM102" s="72"/>
      <c r="BN102" s="72"/>
      <c r="BO102" s="119">
        <f>BO88/('Production - Total'!BO164*0.365)</f>
        <v>11.641943613043262</v>
      </c>
      <c r="BP102" s="72"/>
      <c r="BQ102" s="72"/>
      <c r="BR102" s="72"/>
      <c r="BS102" s="72"/>
      <c r="BT102" s="119">
        <f>BT88/('Production - Total'!BT164*0.365)</f>
        <v>10.994908344903887</v>
      </c>
      <c r="BU102" s="72"/>
      <c r="BV102" s="72"/>
      <c r="BW102" s="72"/>
      <c r="BX102" s="72"/>
      <c r="BY102" s="119">
        <f>BY88/('Production - Total'!BY164*0.365)</f>
        <v>10.762551364520119</v>
      </c>
      <c r="BZ102" s="72"/>
      <c r="CA102" s="72"/>
      <c r="CB102" s="72"/>
      <c r="CC102" s="72"/>
      <c r="CD102" s="119">
        <f>CD88/('Production - Total'!CD164*0.365)</f>
        <v>10.503293414236987</v>
      </c>
    </row>
    <row r="104" spans="1:82">
      <c r="A104" s="121" t="s">
        <v>323</v>
      </c>
      <c r="B104" s="4"/>
      <c r="C104" s="72"/>
      <c r="D104" s="72"/>
      <c r="E104" s="116">
        <f>'Balance sheet'!E76</f>
        <v>0.22388521312670517</v>
      </c>
      <c r="F104" s="116">
        <f>'Balance sheet'!F76</f>
        <v>0.21739173927396041</v>
      </c>
      <c r="G104" s="116">
        <f>'Balance sheet'!G76</f>
        <v>0.16708777212866233</v>
      </c>
      <c r="H104" s="72"/>
      <c r="I104" s="72"/>
      <c r="J104" s="72"/>
      <c r="K104" s="72"/>
      <c r="L104" s="116">
        <f>'Balance sheet'!L76</f>
        <v>0.20040230153903729</v>
      </c>
      <c r="M104" s="72"/>
      <c r="N104" s="72"/>
      <c r="O104" s="72"/>
      <c r="P104" s="72"/>
      <c r="Q104" s="116">
        <f>'Balance sheet'!Q76</f>
        <v>0.22502149261063578</v>
      </c>
      <c r="R104" s="72"/>
      <c r="S104" s="72"/>
      <c r="T104" s="72"/>
      <c r="U104" s="72"/>
      <c r="V104" s="116">
        <f>'Balance sheet'!V76</f>
        <v>0.2135233443765156</v>
      </c>
      <c r="W104" s="72"/>
      <c r="X104" s="72"/>
      <c r="Y104" s="72"/>
      <c r="Z104" s="72"/>
      <c r="AA104" s="116">
        <f>'Balance sheet'!AA76</f>
        <v>0.20473360799370721</v>
      </c>
      <c r="AB104" s="72"/>
      <c r="AC104" s="72"/>
      <c r="AD104" s="72"/>
      <c r="AE104" s="72"/>
      <c r="AF104" s="116">
        <f>'Balance sheet'!AF76</f>
        <v>0.21830750544138386</v>
      </c>
      <c r="AG104" s="72"/>
      <c r="AH104" s="72"/>
      <c r="AI104" s="72"/>
      <c r="AJ104" s="72"/>
      <c r="AK104" s="116">
        <f>'Balance sheet'!AK76</f>
        <v>0.21136102308102195</v>
      </c>
      <c r="AL104" s="72"/>
      <c r="AM104" s="72"/>
      <c r="AN104" s="72"/>
      <c r="AO104" s="72"/>
      <c r="AP104" s="116">
        <f>'Balance sheet'!AP76</f>
        <v>0.19647475297073266</v>
      </c>
      <c r="AQ104" s="72"/>
      <c r="AR104" s="72"/>
      <c r="AS104" s="72"/>
      <c r="AT104" s="72"/>
      <c r="AU104" s="116">
        <f>'Balance sheet'!AU76</f>
        <v>0.16448080779605201</v>
      </c>
      <c r="AV104" s="72"/>
      <c r="AW104" s="72"/>
      <c r="AX104" s="72"/>
      <c r="AY104" s="72"/>
      <c r="AZ104" s="116">
        <f>'Balance sheet'!AZ76</f>
        <v>0.17012075177001909</v>
      </c>
      <c r="BA104" s="72"/>
      <c r="BB104" s="72"/>
      <c r="BC104" s="72"/>
      <c r="BD104" s="72"/>
      <c r="BE104" s="116">
        <f>'Balance sheet'!BE76</f>
        <v>0.21394787721905309</v>
      </c>
      <c r="BF104" s="72"/>
      <c r="BG104" s="72"/>
      <c r="BH104" s="72"/>
      <c r="BI104" s="72"/>
      <c r="BJ104" s="116">
        <f ca="1">'Balance sheet'!BJ76</f>
        <v>0.26444071426943849</v>
      </c>
      <c r="BK104" s="72"/>
      <c r="BL104" s="72"/>
      <c r="BM104" s="72"/>
      <c r="BN104" s="72"/>
      <c r="BO104" s="116">
        <f>'Balance sheet'!BO76</f>
        <v>0.27268776077885953</v>
      </c>
      <c r="BP104" s="72"/>
      <c r="BQ104" s="72"/>
      <c r="BR104" s="72"/>
      <c r="BS104" s="72"/>
      <c r="BT104" s="116">
        <f ca="1">'Balance sheet'!BT76</f>
        <v>0.27666263154945614</v>
      </c>
      <c r="BU104" s="72"/>
      <c r="BV104" s="72"/>
      <c r="BW104" s="72"/>
      <c r="BX104" s="72"/>
      <c r="BY104" s="116">
        <f ca="1">'Balance sheet'!BY76</f>
        <v>0.24272083214958778</v>
      </c>
      <c r="BZ104" s="72"/>
      <c r="CA104" s="72"/>
      <c r="CB104" s="72"/>
      <c r="CC104" s="72"/>
      <c r="CD104" s="116">
        <f ca="1">'Balance sheet'!CD76</f>
        <v>0.19890296216728598</v>
      </c>
    </row>
    <row r="105" spans="1:82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</row>
    <row r="106" spans="1:82" ht="12.75" customHeight="1">
      <c r="A106" s="9" t="s">
        <v>2612</v>
      </c>
      <c r="B106" s="4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  <c r="BS106" s="11"/>
      <c r="BT106" s="11"/>
      <c r="BU106" s="11"/>
      <c r="BV106" s="11"/>
      <c r="BW106" s="11"/>
      <c r="BX106" s="11"/>
      <c r="BY106" s="11"/>
      <c r="BZ106" s="11"/>
      <c r="CA106" s="11"/>
      <c r="CB106" s="11"/>
      <c r="CC106" s="11"/>
      <c r="CD106" s="11"/>
    </row>
    <row r="107" spans="1:82" ht="12.75" customHeight="1">
      <c r="A107" s="10"/>
      <c r="B107" s="10"/>
      <c r="C107" s="31">
        <v>2001</v>
      </c>
      <c r="D107" s="32">
        <v>2002</v>
      </c>
      <c r="E107" s="32">
        <v>2003</v>
      </c>
      <c r="F107" s="32">
        <v>2004</v>
      </c>
      <c r="G107" s="31">
        <v>2005</v>
      </c>
      <c r="H107" s="33" t="s">
        <v>714</v>
      </c>
      <c r="I107" s="33" t="s">
        <v>715</v>
      </c>
      <c r="J107" s="33" t="s">
        <v>716</v>
      </c>
      <c r="K107" s="33" t="s">
        <v>717</v>
      </c>
      <c r="L107" s="31">
        <v>2006</v>
      </c>
      <c r="M107" s="33" t="s">
        <v>718</v>
      </c>
      <c r="N107" s="33" t="s">
        <v>719</v>
      </c>
      <c r="O107" s="33" t="s">
        <v>1970</v>
      </c>
      <c r="P107" s="33" t="s">
        <v>1971</v>
      </c>
      <c r="Q107" s="31">
        <v>2007</v>
      </c>
      <c r="R107" s="33" t="s">
        <v>1972</v>
      </c>
      <c r="S107" s="33" t="s">
        <v>1973</v>
      </c>
      <c r="T107" s="33" t="s">
        <v>1974</v>
      </c>
      <c r="U107" s="33" t="s">
        <v>1975</v>
      </c>
      <c r="V107" s="31">
        <v>2008</v>
      </c>
      <c r="W107" s="33" t="s">
        <v>1976</v>
      </c>
      <c r="X107" s="33" t="s">
        <v>1977</v>
      </c>
      <c r="Y107" s="33" t="s">
        <v>1978</v>
      </c>
      <c r="Z107" s="33" t="s">
        <v>1979</v>
      </c>
      <c r="AA107" s="31">
        <v>2009</v>
      </c>
      <c r="AB107" s="33" t="s">
        <v>1980</v>
      </c>
      <c r="AC107" s="33" t="s">
        <v>1981</v>
      </c>
      <c r="AD107" s="33" t="s">
        <v>1982</v>
      </c>
      <c r="AE107" s="33" t="s">
        <v>2392</v>
      </c>
      <c r="AF107" s="31">
        <v>2010</v>
      </c>
      <c r="AG107" s="33" t="s">
        <v>2393</v>
      </c>
      <c r="AH107" s="33" t="s">
        <v>2394</v>
      </c>
      <c r="AI107" s="33" t="s">
        <v>2395</v>
      </c>
      <c r="AJ107" s="33" t="s">
        <v>2396</v>
      </c>
      <c r="AK107" s="31">
        <v>2011</v>
      </c>
      <c r="AL107" s="368" t="s">
        <v>2397</v>
      </c>
      <c r="AM107" s="368" t="s">
        <v>2398</v>
      </c>
      <c r="AN107" s="368" t="s">
        <v>2399</v>
      </c>
      <c r="AO107" s="368" t="s">
        <v>2400</v>
      </c>
      <c r="AP107" s="369">
        <v>2012</v>
      </c>
      <c r="AQ107" s="368" t="s">
        <v>2401</v>
      </c>
      <c r="AR107" s="368" t="s">
        <v>2402</v>
      </c>
      <c r="AS107" s="368" t="s">
        <v>2403</v>
      </c>
      <c r="AT107" s="368" t="s">
        <v>2404</v>
      </c>
      <c r="AU107" s="369">
        <v>2013</v>
      </c>
      <c r="AV107" s="368" t="s">
        <v>2405</v>
      </c>
      <c r="AW107" s="368" t="s">
        <v>2406</v>
      </c>
      <c r="AX107" s="368" t="s">
        <v>2407</v>
      </c>
      <c r="AY107" s="368" t="s">
        <v>2408</v>
      </c>
      <c r="AZ107" s="369">
        <v>2014</v>
      </c>
      <c r="BA107" s="368" t="s">
        <v>2409</v>
      </c>
      <c r="BB107" s="368" t="s">
        <v>2410</v>
      </c>
      <c r="BC107" s="368" t="s">
        <v>2411</v>
      </c>
      <c r="BD107" s="368" t="s">
        <v>2412</v>
      </c>
      <c r="BE107" s="31">
        <v>2015</v>
      </c>
      <c r="BF107" s="368" t="s">
        <v>2413</v>
      </c>
      <c r="BG107" s="368" t="s">
        <v>2414</v>
      </c>
      <c r="BH107" s="368" t="s">
        <v>2415</v>
      </c>
      <c r="BI107" s="368" t="s">
        <v>2416</v>
      </c>
      <c r="BJ107" s="31">
        <v>2016</v>
      </c>
      <c r="BK107" s="368" t="s">
        <v>2417</v>
      </c>
      <c r="BL107" s="368" t="s">
        <v>2418</v>
      </c>
      <c r="BM107" s="368" t="s">
        <v>2419</v>
      </c>
      <c r="BN107" s="368" t="s">
        <v>2420</v>
      </c>
      <c r="BO107" s="364">
        <v>2017</v>
      </c>
      <c r="BP107" s="363" t="s">
        <v>2244</v>
      </c>
      <c r="BQ107" s="363" t="s">
        <v>2245</v>
      </c>
      <c r="BR107" s="363" t="s">
        <v>2508</v>
      </c>
      <c r="BS107" s="363" t="s">
        <v>2509</v>
      </c>
      <c r="BT107" s="364">
        <v>2018</v>
      </c>
      <c r="BU107" s="363" t="s">
        <v>2510</v>
      </c>
      <c r="BV107" s="363" t="s">
        <v>2511</v>
      </c>
      <c r="BW107" s="363" t="s">
        <v>3125</v>
      </c>
      <c r="BX107" s="363" t="s">
        <v>1405</v>
      </c>
      <c r="BY107" s="364">
        <v>2019</v>
      </c>
      <c r="BZ107" s="363" t="s">
        <v>1406</v>
      </c>
      <c r="CA107" s="363" t="s">
        <v>1407</v>
      </c>
      <c r="CB107" s="363" t="s">
        <v>1408</v>
      </c>
      <c r="CC107" s="363" t="s">
        <v>1409</v>
      </c>
      <c r="CD107" s="364">
        <v>2020</v>
      </c>
    </row>
    <row r="108" spans="1:82">
      <c r="A108" s="4" t="s">
        <v>2613</v>
      </c>
      <c r="B108" s="4"/>
      <c r="C108" s="5">
        <f>C39</f>
        <v>1102</v>
      </c>
      <c r="D108" s="5">
        <f>D39</f>
        <v>1108</v>
      </c>
      <c r="E108" s="5">
        <f>E39</f>
        <v>824</v>
      </c>
      <c r="F108" s="5">
        <f>F39</f>
        <v>1039</v>
      </c>
      <c r="G108" s="5">
        <f>G39</f>
        <v>1266</v>
      </c>
      <c r="H108" s="72"/>
      <c r="I108" s="72"/>
      <c r="J108" s="72"/>
      <c r="K108" s="72"/>
      <c r="L108" s="5">
        <f>L39</f>
        <v>1765</v>
      </c>
      <c r="M108" s="72"/>
      <c r="N108" s="72"/>
      <c r="O108" s="72"/>
      <c r="P108" s="72"/>
      <c r="Q108" s="5">
        <f>Q39</f>
        <v>1892</v>
      </c>
      <c r="R108" s="72"/>
      <c r="S108" s="72"/>
      <c r="T108" s="72"/>
      <c r="U108" s="72"/>
      <c r="V108" s="5">
        <f>V39</f>
        <v>2290</v>
      </c>
      <c r="W108" s="72"/>
      <c r="X108" s="72"/>
      <c r="Y108" s="72"/>
      <c r="Z108" s="72"/>
      <c r="AA108" s="5">
        <f>AA39</f>
        <v>2805</v>
      </c>
      <c r="AB108" s="72"/>
      <c r="AC108" s="72"/>
      <c r="AD108" s="72"/>
      <c r="AE108" s="72"/>
      <c r="AF108" s="5">
        <f>AF39</f>
        <v>2706</v>
      </c>
      <c r="AG108" s="72"/>
      <c r="AH108" s="72"/>
      <c r="AI108" s="72"/>
      <c r="AJ108" s="72"/>
      <c r="AK108" s="5">
        <f>AK39</f>
        <v>2398</v>
      </c>
      <c r="AL108" s="72"/>
      <c r="AM108" s="72"/>
      <c r="AN108" s="72"/>
      <c r="AO108" s="72"/>
      <c r="AP108" s="5">
        <f>AP39</f>
        <v>4317</v>
      </c>
      <c r="AQ108" s="72"/>
      <c r="AR108" s="72"/>
      <c r="AS108" s="72"/>
      <c r="AT108" s="72"/>
      <c r="AU108" s="5">
        <f>AU39</f>
        <v>4811</v>
      </c>
      <c r="AV108" s="72"/>
      <c r="AW108" s="72"/>
      <c r="AX108" s="72"/>
      <c r="AY108" s="72"/>
      <c r="AZ108" s="5">
        <f>AZ39</f>
        <v>2911</v>
      </c>
      <c r="BA108" s="72"/>
      <c r="BB108" s="72"/>
      <c r="BC108" s="72"/>
      <c r="BD108" s="72"/>
      <c r="BE108" s="5">
        <f>BE39</f>
        <v>1794</v>
      </c>
      <c r="BF108" s="72"/>
      <c r="BG108" s="72"/>
      <c r="BH108" s="72"/>
      <c r="BI108" s="72"/>
      <c r="BJ108" s="5">
        <f>BJ39</f>
        <v>1402</v>
      </c>
      <c r="BK108" s="72"/>
      <c r="BL108" s="72"/>
      <c r="BM108" s="72"/>
      <c r="BN108" s="72"/>
      <c r="BO108" s="5">
        <f>BO39</f>
        <v>1655</v>
      </c>
      <c r="BP108" s="72"/>
      <c r="BQ108" s="72"/>
      <c r="BR108" s="72"/>
      <c r="BS108" s="72"/>
      <c r="BT108" s="5">
        <f>BT39</f>
        <v>1000</v>
      </c>
      <c r="BU108" s="72"/>
      <c r="BV108" s="72"/>
      <c r="BW108" s="72"/>
      <c r="BX108" s="72"/>
      <c r="BY108" s="5">
        <f>BY39</f>
        <v>1000</v>
      </c>
      <c r="BZ108" s="72"/>
      <c r="CA108" s="72"/>
      <c r="CB108" s="72"/>
      <c r="CC108" s="72"/>
      <c r="CD108" s="5">
        <f>CD39</f>
        <v>1000</v>
      </c>
    </row>
    <row r="109" spans="1:82">
      <c r="A109" s="4" t="s">
        <v>2614</v>
      </c>
      <c r="B109" s="4"/>
      <c r="C109" s="5">
        <f>C113-C112</f>
        <v>-480</v>
      </c>
      <c r="D109" s="5">
        <f>D113-D112</f>
        <v>-644</v>
      </c>
      <c r="E109" s="5">
        <f>E113-E112</f>
        <v>-542</v>
      </c>
      <c r="F109" s="5">
        <f>F113-F112</f>
        <v>637</v>
      </c>
      <c r="G109" s="5">
        <f>G113-G112</f>
        <v>684</v>
      </c>
      <c r="H109" s="72"/>
      <c r="I109" s="72"/>
      <c r="J109" s="72"/>
      <c r="K109" s="72"/>
      <c r="L109" s="5">
        <f>L113-L112</f>
        <v>421</v>
      </c>
      <c r="M109" s="72"/>
      <c r="N109" s="72"/>
      <c r="O109" s="72"/>
      <c r="P109" s="72"/>
      <c r="Q109" s="5">
        <f>Q113-Q112</f>
        <v>409</v>
      </c>
      <c r="R109" s="72"/>
      <c r="S109" s="72"/>
      <c r="T109" s="72"/>
      <c r="U109" s="72"/>
      <c r="V109" s="5">
        <f>V113-V112</f>
        <v>497</v>
      </c>
      <c r="W109" s="72"/>
      <c r="X109" s="72"/>
      <c r="Y109" s="72"/>
      <c r="Z109" s="72"/>
      <c r="AA109" s="5">
        <f>AA113-AA112</f>
        <v>523</v>
      </c>
      <c r="AB109" s="72"/>
      <c r="AC109" s="72"/>
      <c r="AD109" s="72"/>
      <c r="AE109" s="72"/>
      <c r="AF109" s="5">
        <f>AF113-AF112</f>
        <v>468</v>
      </c>
      <c r="AG109" s="72"/>
      <c r="AH109" s="72"/>
      <c r="AI109" s="72"/>
      <c r="AJ109" s="72"/>
      <c r="AK109" s="5">
        <f t="shared" ref="AK109:AY109" si="18">AK113-AK112</f>
        <v>496</v>
      </c>
      <c r="AL109" s="12">
        <f t="shared" si="18"/>
        <v>180</v>
      </c>
      <c r="AM109" s="12">
        <f t="shared" si="18"/>
        <v>224</v>
      </c>
      <c r="AN109" s="12">
        <f t="shared" si="18"/>
        <v>172</v>
      </c>
      <c r="AO109" s="12">
        <f t="shared" si="18"/>
        <v>154</v>
      </c>
      <c r="AP109" s="5">
        <f t="shared" si="18"/>
        <v>730</v>
      </c>
      <c r="AQ109" s="12">
        <f t="shared" si="18"/>
        <v>150</v>
      </c>
      <c r="AR109" s="12">
        <f t="shared" si="18"/>
        <v>143</v>
      </c>
      <c r="AS109" s="12">
        <f t="shared" si="18"/>
        <v>161</v>
      </c>
      <c r="AT109" s="12">
        <f t="shared" si="18"/>
        <v>277</v>
      </c>
      <c r="AU109" s="5">
        <f>AU113-AU112</f>
        <v>731</v>
      </c>
      <c r="AV109" s="12">
        <f>AV113-AV112</f>
        <v>116</v>
      </c>
      <c r="AW109" s="12">
        <f t="shared" si="18"/>
        <v>187</v>
      </c>
      <c r="AX109" s="12">
        <f t="shared" si="18"/>
        <v>194</v>
      </c>
      <c r="AY109" s="12">
        <f t="shared" si="18"/>
        <v>106</v>
      </c>
      <c r="AZ109" s="5">
        <f t="shared" ref="AZ109:BN109" si="19">AZ113-AZ112</f>
        <v>603</v>
      </c>
      <c r="BA109" s="12">
        <f t="shared" si="19"/>
        <v>80</v>
      </c>
      <c r="BB109" s="12">
        <f t="shared" si="19"/>
        <v>96</v>
      </c>
      <c r="BC109" s="12">
        <f t="shared" si="19"/>
        <v>-232</v>
      </c>
      <c r="BD109" s="12">
        <f t="shared" si="19"/>
        <v>226</v>
      </c>
      <c r="BE109" s="5">
        <f>BE113-BE112</f>
        <v>170</v>
      </c>
      <c r="BF109" s="12">
        <f t="shared" si="19"/>
        <v>93</v>
      </c>
      <c r="BG109" s="12">
        <f t="shared" si="19"/>
        <v>90</v>
      </c>
      <c r="BH109" s="12">
        <f t="shared" si="19"/>
        <v>116</v>
      </c>
      <c r="BI109" s="12">
        <f t="shared" si="19"/>
        <v>148</v>
      </c>
      <c r="BJ109" s="5">
        <f>BJ113-BJ112</f>
        <v>447</v>
      </c>
      <c r="BK109" s="12">
        <f t="shared" si="19"/>
        <v>151</v>
      </c>
      <c r="BL109" s="12">
        <f t="shared" si="19"/>
        <v>97</v>
      </c>
      <c r="BM109" s="12">
        <f t="shared" si="19"/>
        <v>80</v>
      </c>
      <c r="BN109" s="12">
        <f t="shared" si="19"/>
        <v>149</v>
      </c>
      <c r="BO109" s="5">
        <f>BO113-BO112</f>
        <v>477</v>
      </c>
      <c r="BP109" s="72"/>
      <c r="BQ109" s="72"/>
      <c r="BR109" s="72"/>
      <c r="BS109" s="72"/>
      <c r="BT109" s="5">
        <f>BT108*BT115</f>
        <v>250</v>
      </c>
      <c r="BU109" s="72"/>
      <c r="BV109" s="72"/>
      <c r="BW109" s="72"/>
      <c r="BX109" s="72"/>
      <c r="BY109" s="5">
        <f>BY108*BY115</f>
        <v>150</v>
      </c>
      <c r="BZ109" s="72"/>
      <c r="CA109" s="72"/>
      <c r="CB109" s="72"/>
      <c r="CC109" s="72"/>
      <c r="CD109" s="5">
        <f>CD108*CD115</f>
        <v>150</v>
      </c>
    </row>
    <row r="110" spans="1:82">
      <c r="A110" s="7" t="s">
        <v>2615</v>
      </c>
      <c r="B110" s="7"/>
      <c r="C110" s="8">
        <f>C108-C109</f>
        <v>1582</v>
      </c>
      <c r="D110" s="8">
        <f>D108-D109</f>
        <v>1752</v>
      </c>
      <c r="E110" s="8">
        <f>E108-E109</f>
        <v>1366</v>
      </c>
      <c r="F110" s="8">
        <f>F108-F109</f>
        <v>402</v>
      </c>
      <c r="G110" s="8">
        <f>G108-G109</f>
        <v>582</v>
      </c>
      <c r="H110" s="72"/>
      <c r="I110" s="72"/>
      <c r="J110" s="72"/>
      <c r="K110" s="72"/>
      <c r="L110" s="8">
        <f>L108-L109</f>
        <v>1344</v>
      </c>
      <c r="M110" s="72"/>
      <c r="N110" s="72"/>
      <c r="O110" s="72"/>
      <c r="P110" s="72"/>
      <c r="Q110" s="8">
        <f>Q108-Q109</f>
        <v>1483</v>
      </c>
      <c r="R110" s="72"/>
      <c r="S110" s="72"/>
      <c r="T110" s="72"/>
      <c r="U110" s="72"/>
      <c r="V110" s="8">
        <f>V108-V109</f>
        <v>1793</v>
      </c>
      <c r="W110" s="72"/>
      <c r="X110" s="72"/>
      <c r="Y110" s="72"/>
      <c r="Z110" s="72"/>
      <c r="AA110" s="8">
        <f>AA108-AA109</f>
        <v>2282</v>
      </c>
      <c r="AB110" s="72"/>
      <c r="AC110" s="72"/>
      <c r="AD110" s="72"/>
      <c r="AE110" s="72"/>
      <c r="AF110" s="8">
        <f>AF108-AF109</f>
        <v>2238</v>
      </c>
      <c r="AG110" s="73"/>
      <c r="AH110" s="73"/>
      <c r="AI110" s="73"/>
      <c r="AJ110" s="73"/>
      <c r="AK110" s="8">
        <f>AK108-AK109</f>
        <v>1902</v>
      </c>
      <c r="AL110" s="73"/>
      <c r="AM110" s="73"/>
      <c r="AN110" s="73"/>
      <c r="AO110" s="73"/>
      <c r="AP110" s="8">
        <f>AP108-AP109</f>
        <v>3587</v>
      </c>
      <c r="AQ110" s="73"/>
      <c r="AR110" s="73"/>
      <c r="AS110" s="73"/>
      <c r="AT110" s="73"/>
      <c r="AU110" s="8">
        <f>AU108-AU109</f>
        <v>4080</v>
      </c>
      <c r="AV110" s="73"/>
      <c r="AW110" s="73"/>
      <c r="AX110" s="73"/>
      <c r="AY110" s="73"/>
      <c r="AZ110" s="8">
        <f>AZ108-AZ109</f>
        <v>2308</v>
      </c>
      <c r="BA110" s="73"/>
      <c r="BB110" s="73"/>
      <c r="BC110" s="73"/>
      <c r="BD110" s="73"/>
      <c r="BE110" s="8">
        <f>BE108-BE109</f>
        <v>1624</v>
      </c>
      <c r="BF110" s="73"/>
      <c r="BG110" s="73"/>
      <c r="BH110" s="73"/>
      <c r="BI110" s="73"/>
      <c r="BJ110" s="8">
        <f>BJ108-BJ109</f>
        <v>955</v>
      </c>
      <c r="BK110" s="73"/>
      <c r="BL110" s="73"/>
      <c r="BM110" s="73"/>
      <c r="BN110" s="73"/>
      <c r="BO110" s="8">
        <f>BO108-BO109</f>
        <v>1178</v>
      </c>
      <c r="BP110" s="73"/>
      <c r="BQ110" s="73"/>
      <c r="BR110" s="73"/>
      <c r="BS110" s="73"/>
      <c r="BT110" s="8">
        <f>BT108-BT109</f>
        <v>750</v>
      </c>
      <c r="BU110" s="73"/>
      <c r="BV110" s="73"/>
      <c r="BW110" s="73"/>
      <c r="BX110" s="73"/>
      <c r="BY110" s="8">
        <f>BY108-BY109</f>
        <v>850</v>
      </c>
      <c r="BZ110" s="73"/>
      <c r="CA110" s="73"/>
      <c r="CB110" s="73"/>
      <c r="CC110" s="73"/>
      <c r="CD110" s="8">
        <f>CD108-CD109</f>
        <v>850</v>
      </c>
    </row>
    <row r="111" spans="1:82">
      <c r="A111" s="4"/>
      <c r="B111" s="4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</row>
    <row r="112" spans="1:82">
      <c r="A112" s="4" t="s">
        <v>2616</v>
      </c>
      <c r="B112" s="4"/>
      <c r="C112" s="5"/>
      <c r="D112" s="5"/>
      <c r="E112" s="5"/>
      <c r="F112" s="5"/>
      <c r="G112" s="5"/>
      <c r="H112" s="72"/>
      <c r="I112" s="72"/>
      <c r="J112" s="72"/>
      <c r="K112" s="72"/>
      <c r="L112" s="5">
        <v>624</v>
      </c>
      <c r="M112" s="72"/>
      <c r="N112" s="72"/>
      <c r="O112" s="72"/>
      <c r="P112" s="72"/>
      <c r="Q112" s="5">
        <v>347</v>
      </c>
      <c r="R112" s="72"/>
      <c r="S112" s="72"/>
      <c r="T112" s="72"/>
      <c r="U112" s="72"/>
      <c r="V112" s="5">
        <v>385</v>
      </c>
      <c r="W112" s="72"/>
      <c r="X112" s="72"/>
      <c r="Y112" s="72"/>
      <c r="Z112" s="72"/>
      <c r="AA112" s="5">
        <v>593</v>
      </c>
      <c r="AB112" s="72"/>
      <c r="AC112" s="72"/>
      <c r="AD112" s="72"/>
      <c r="AE112" s="72"/>
      <c r="AF112" s="5">
        <v>375</v>
      </c>
      <c r="AG112" s="72"/>
      <c r="AH112" s="72"/>
      <c r="AI112" s="72"/>
      <c r="AJ112" s="72"/>
      <c r="AK112" s="5">
        <v>1024</v>
      </c>
      <c r="AL112" s="12">
        <f>'Cash flow statement'!AL140+'Income statement'!AL20</f>
        <v>80</v>
      </c>
      <c r="AM112" s="12">
        <f>'Cash flow statement'!AM140+'Income statement'!AM20</f>
        <v>392</v>
      </c>
      <c r="AN112" s="12">
        <f>'Cash flow statement'!AN140+'Income statement'!AN20</f>
        <v>118</v>
      </c>
      <c r="AO112" s="12">
        <f>'Cash flow statement'!AO140+'Income statement'!AO20</f>
        <v>155</v>
      </c>
      <c r="AP112" s="5">
        <v>745</v>
      </c>
      <c r="AQ112" s="12">
        <f>'Cash flow statement'!AQ140+'Income statement'!AQ20</f>
        <v>172</v>
      </c>
      <c r="AR112" s="12">
        <f>'Cash flow statement'!AR140+'Income statement'!AR20</f>
        <v>291</v>
      </c>
      <c r="AS112" s="12">
        <f>'Cash flow statement'!AS140+'Income statement'!AS20</f>
        <v>350</v>
      </c>
      <c r="AT112" s="12">
        <f>'Cash flow statement'!AT140+'Income statement'!AT20</f>
        <v>1897</v>
      </c>
      <c r="AU112" s="5">
        <f>SUM(AQ112:AT112)</f>
        <v>2710</v>
      </c>
      <c r="AV112" s="12">
        <f>'Cash flow statement'!AV140+'Income statement'!AV20</f>
        <v>832</v>
      </c>
      <c r="AW112" s="12">
        <f>'Cash flow statement'!AW140+'Income statement'!AW20</f>
        <v>202</v>
      </c>
      <c r="AX112" s="12">
        <f>'Cash flow statement'!AX140+'Income statement'!AX20</f>
        <v>646</v>
      </c>
      <c r="AY112" s="12">
        <f>'Cash flow statement'!AY140+'Income statement'!AY20</f>
        <v>1349</v>
      </c>
      <c r="AZ112" s="5">
        <f>SUM(AV112:AY112)</f>
        <v>3029</v>
      </c>
      <c r="BA112" s="12">
        <f>'Cash flow statement'!BA140+'Income statement'!BA20</f>
        <v>92</v>
      </c>
      <c r="BB112" s="12">
        <f>'Cash flow statement'!BB140+'Income statement'!BB20</f>
        <v>806</v>
      </c>
      <c r="BC112" s="12">
        <f>'Cash flow statement'!BC140+'Income statement'!BC20</f>
        <v>234</v>
      </c>
      <c r="BD112" s="12">
        <f>'Cash flow statement'!BD140+'Income statement'!BD20</f>
        <v>697</v>
      </c>
      <c r="BE112" s="5">
        <f>SUM(BA112:BD112)</f>
        <v>1829</v>
      </c>
      <c r="BF112" s="12">
        <f>'Cash flow statement'!BF140+'Income statement'!BF20</f>
        <v>161</v>
      </c>
      <c r="BG112" s="12">
        <f>'Cash flow statement'!BG140+'Income statement'!BG20</f>
        <v>260</v>
      </c>
      <c r="BH112" s="12">
        <f>'Cash flow statement'!BH140+'Income statement'!BH20</f>
        <v>687</v>
      </c>
      <c r="BI112" s="12">
        <f>'Cash flow statement'!BI140+'Income statement'!BI20</f>
        <v>166</v>
      </c>
      <c r="BJ112" s="5">
        <f>SUM(BF112:BI112)</f>
        <v>1274</v>
      </c>
      <c r="BK112" s="12">
        <f>'Cash flow statement'!BK140+'Income statement'!BK20</f>
        <v>261</v>
      </c>
      <c r="BL112" s="12">
        <f>'Cash flow statement'!BL140+'Income statement'!BL20</f>
        <v>753</v>
      </c>
      <c r="BM112" s="12">
        <f>'Cash flow statement'!BM140+'Income statement'!BM20</f>
        <v>217</v>
      </c>
      <c r="BN112" s="12">
        <f>'Cash flow statement'!BN140+'Income statement'!BN20</f>
        <v>372</v>
      </c>
      <c r="BO112" s="5">
        <f>SUM(BK112:BN112)</f>
        <v>1603</v>
      </c>
      <c r="BP112" s="72"/>
      <c r="BQ112" s="72"/>
      <c r="BR112" s="72"/>
      <c r="BS112" s="72"/>
      <c r="BT112" s="5">
        <f>BT116*SUM(BO110,BJ110,BE110,BO86,BJ86,BE86)/3</f>
        <v>853.06666666666661</v>
      </c>
      <c r="BU112" s="72"/>
      <c r="BV112" s="72"/>
      <c r="BW112" s="72"/>
      <c r="BX112" s="72"/>
      <c r="BY112" s="5">
        <f>BY116*SUM(BT110,BO110,BJ110,BT86,BO86,BJ86)/3</f>
        <v>754.36666666666667</v>
      </c>
      <c r="BZ112" s="72"/>
      <c r="CA112" s="72"/>
      <c r="CB112" s="72"/>
      <c r="CC112" s="72"/>
      <c r="CD112" s="5">
        <f>CD116*SUM(BY110,BT110,BO110,BY86,BT86,BO86)/3</f>
        <v>432.40000000000003</v>
      </c>
    </row>
    <row r="113" spans="1:88">
      <c r="A113" s="7" t="s">
        <v>358</v>
      </c>
      <c r="B113" s="7"/>
      <c r="C113" s="8">
        <f>'Income statement'!C22</f>
        <v>-480</v>
      </c>
      <c r="D113" s="8">
        <f>'Income statement'!D22</f>
        <v>-644</v>
      </c>
      <c r="E113" s="8">
        <f>'Income statement'!E22</f>
        <v>-542</v>
      </c>
      <c r="F113" s="8">
        <f>-'Income statement'!F22</f>
        <v>637</v>
      </c>
      <c r="G113" s="8">
        <f>-'Income statement'!G22</f>
        <v>684</v>
      </c>
      <c r="H113" s="19">
        <f>-'Income statement'!H22</f>
        <v>189</v>
      </c>
      <c r="I113" s="19">
        <f>-'Income statement'!I22</f>
        <v>97</v>
      </c>
      <c r="J113" s="19">
        <f>-'Income statement'!J22</f>
        <v>351</v>
      </c>
      <c r="K113" s="19">
        <f>-'Income statement'!K22</f>
        <v>408</v>
      </c>
      <c r="L113" s="8">
        <f>-'Income statement'!L22</f>
        <v>1045</v>
      </c>
      <c r="M113" s="19">
        <f>-'Income statement'!M22</f>
        <v>156</v>
      </c>
      <c r="N113" s="19">
        <f>-'Income statement'!N22</f>
        <v>155</v>
      </c>
      <c r="O113" s="19">
        <f>-'Income statement'!O22</f>
        <v>244</v>
      </c>
      <c r="P113" s="19">
        <f>-'Income statement'!P22</f>
        <v>201</v>
      </c>
      <c r="Q113" s="8">
        <f>-'Income statement'!Q22</f>
        <v>756</v>
      </c>
      <c r="R113" s="19">
        <f>-'Income statement'!R22</f>
        <v>293</v>
      </c>
      <c r="S113" s="19">
        <f>-'Income statement'!S22</f>
        <v>118</v>
      </c>
      <c r="T113" s="19">
        <f>-'Income statement'!T22</f>
        <v>232</v>
      </c>
      <c r="U113" s="19">
        <f>-'Income statement'!U22</f>
        <v>239</v>
      </c>
      <c r="V113" s="8">
        <f>-'Income statement'!V22</f>
        <v>882</v>
      </c>
      <c r="W113" s="19">
        <f>-'Income statement'!W22</f>
        <v>119</v>
      </c>
      <c r="X113" s="19">
        <f>-'Income statement'!X22</f>
        <v>347</v>
      </c>
      <c r="Y113" s="19">
        <f>-'Income statement'!Y22</f>
        <v>378</v>
      </c>
      <c r="Z113" s="19">
        <f>-'Income statement'!Z22</f>
        <v>272</v>
      </c>
      <c r="AA113" s="8">
        <f>-'Income statement'!AA22</f>
        <v>1116</v>
      </c>
      <c r="AB113" s="19">
        <f>-'Income statement'!AB22</f>
        <v>120</v>
      </c>
      <c r="AC113" s="19">
        <f>-'Income statement'!AC22</f>
        <v>132</v>
      </c>
      <c r="AD113" s="19">
        <f>-'Income statement'!AD22</f>
        <v>160</v>
      </c>
      <c r="AE113" s="19">
        <f>-'Income statement'!AE22</f>
        <v>431</v>
      </c>
      <c r="AF113" s="8">
        <f>-'Income statement'!AF22</f>
        <v>843</v>
      </c>
      <c r="AG113" s="19">
        <f>-'Income statement'!AG22</f>
        <v>399</v>
      </c>
      <c r="AH113" s="19">
        <f>-'Income statement'!AH22</f>
        <v>679</v>
      </c>
      <c r="AI113" s="19">
        <f>-'Income statement'!AI22</f>
        <v>100</v>
      </c>
      <c r="AJ113" s="19">
        <f>-'Income statement'!AJ22</f>
        <v>342</v>
      </c>
      <c r="AK113" s="8">
        <f>-'Income statement'!AK22</f>
        <v>1520</v>
      </c>
      <c r="AL113" s="19">
        <f>-'Income statement'!AL22</f>
        <v>260</v>
      </c>
      <c r="AM113" s="19">
        <f>-'Income statement'!AM22</f>
        <v>616</v>
      </c>
      <c r="AN113" s="19">
        <f>-'Income statement'!AN22</f>
        <v>290</v>
      </c>
      <c r="AO113" s="19">
        <f>-'Income statement'!AO22</f>
        <v>309</v>
      </c>
      <c r="AP113" s="8">
        <f>SUM(AL113:AO113)</f>
        <v>1475</v>
      </c>
      <c r="AQ113" s="19">
        <f>-'Income statement'!AQ22</f>
        <v>322</v>
      </c>
      <c r="AR113" s="19">
        <f>-'Income statement'!AR22</f>
        <v>434</v>
      </c>
      <c r="AS113" s="19">
        <f>-'Income statement'!AS22</f>
        <v>511</v>
      </c>
      <c r="AT113" s="19">
        <f>-'Income statement'!AT22</f>
        <v>2174</v>
      </c>
      <c r="AU113" s="8">
        <f>SUM(AQ113:AT113)</f>
        <v>3441</v>
      </c>
      <c r="AV113" s="19">
        <f>-'Income statement'!AV22</f>
        <v>948</v>
      </c>
      <c r="AW113" s="19">
        <f>-'Income statement'!AW22</f>
        <v>389</v>
      </c>
      <c r="AX113" s="19">
        <f>-'Income statement'!AX22</f>
        <v>840</v>
      </c>
      <c r="AY113" s="19">
        <f>-'Income statement'!AY22</f>
        <v>1455</v>
      </c>
      <c r="AZ113" s="8">
        <f>SUM(AV113:AY113)</f>
        <v>3632</v>
      </c>
      <c r="BA113" s="19">
        <f>-'Income statement'!BA22</f>
        <v>172</v>
      </c>
      <c r="BB113" s="19">
        <f>-'Income statement'!BB22</f>
        <v>902</v>
      </c>
      <c r="BC113" s="19">
        <v>2</v>
      </c>
      <c r="BD113" s="19">
        <f>-'Income statement'!BD22</f>
        <v>923</v>
      </c>
      <c r="BE113" s="8">
        <f>SUM(BA113:BD113)</f>
        <v>1999</v>
      </c>
      <c r="BF113" s="19">
        <f>-'Income statement'!BF22</f>
        <v>254</v>
      </c>
      <c r="BG113" s="19">
        <f>-'Income statement'!BG22</f>
        <v>350</v>
      </c>
      <c r="BH113" s="19">
        <f>-'Income statement'!BH22</f>
        <v>803</v>
      </c>
      <c r="BI113" s="19">
        <f>-'Income statement'!BI22</f>
        <v>314</v>
      </c>
      <c r="BJ113" s="8">
        <f>SUM(BF113:BI113)</f>
        <v>1721</v>
      </c>
      <c r="BK113" s="19">
        <f>-'Income statement'!BK22</f>
        <v>412</v>
      </c>
      <c r="BL113" s="19">
        <f>-'Income statement'!BL22</f>
        <v>850</v>
      </c>
      <c r="BM113" s="19">
        <f>-'Income statement'!BM22</f>
        <v>297</v>
      </c>
      <c r="BN113" s="19">
        <f>-'Income statement'!BN22</f>
        <v>521</v>
      </c>
      <c r="BO113" s="8">
        <f>SUM(BK113:BN113)</f>
        <v>2080</v>
      </c>
      <c r="BP113" s="19">
        <v>375</v>
      </c>
      <c r="BQ113" s="19">
        <f>(BT113-BP113)/3</f>
        <v>242.68888888888887</v>
      </c>
      <c r="BR113" s="19">
        <f>(BT113-SUM(BP113:BQ113))/2</f>
        <v>242.68888888888887</v>
      </c>
      <c r="BS113" s="19">
        <f>BT113-SUM(BP113:BR113)</f>
        <v>242.68888888888887</v>
      </c>
      <c r="BT113" s="8">
        <f>BT112+BT109</f>
        <v>1103.0666666666666</v>
      </c>
      <c r="BU113" s="19">
        <f>BY113/4</f>
        <v>226.09166666666667</v>
      </c>
      <c r="BV113" s="19">
        <f>(BY113-BU113)/3</f>
        <v>226.09166666666667</v>
      </c>
      <c r="BW113" s="19">
        <f>(BY113-SUM(BU113:BV113))/2</f>
        <v>226.09166666666667</v>
      </c>
      <c r="BX113" s="19">
        <f>BY113-SUM(BU113:BW113)</f>
        <v>226.0916666666667</v>
      </c>
      <c r="BY113" s="8">
        <f>BY112+BY109</f>
        <v>904.36666666666667</v>
      </c>
      <c r="BZ113" s="19">
        <f>CD113/4</f>
        <v>145.60000000000002</v>
      </c>
      <c r="CA113" s="19">
        <f>(CD113-BZ113)/3</f>
        <v>145.60000000000002</v>
      </c>
      <c r="CB113" s="19">
        <f>(CD113-SUM(BZ113:CA113))/2</f>
        <v>145.60000000000002</v>
      </c>
      <c r="CC113" s="19">
        <f>CD113-SUM(BZ113:CB113)</f>
        <v>145.60000000000002</v>
      </c>
      <c r="CD113" s="8">
        <f>CD112+CD109</f>
        <v>582.40000000000009</v>
      </c>
    </row>
    <row r="114" spans="1:88">
      <c r="A114" s="7"/>
      <c r="B114" s="4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14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</row>
    <row r="115" spans="1:88">
      <c r="A115" s="4" t="s">
        <v>2617</v>
      </c>
      <c r="B115" s="4"/>
      <c r="C115" s="5"/>
      <c r="D115" s="5"/>
      <c r="E115" s="5"/>
      <c r="F115" s="5"/>
      <c r="G115" s="5"/>
      <c r="H115" s="72"/>
      <c r="I115" s="72"/>
      <c r="J115" s="72"/>
      <c r="K115" s="72"/>
      <c r="L115" s="142">
        <f>L109/L108</f>
        <v>0.23852691218130312</v>
      </c>
      <c r="M115" s="72"/>
      <c r="N115" s="72"/>
      <c r="O115" s="72"/>
      <c r="P115" s="72"/>
      <c r="Q115" s="142">
        <f>Q109/Q108</f>
        <v>0.21617336152219874</v>
      </c>
      <c r="R115" s="72"/>
      <c r="S115" s="72"/>
      <c r="T115" s="72"/>
      <c r="U115" s="72"/>
      <c r="V115" s="142">
        <f>V109/V108</f>
        <v>0.21703056768558951</v>
      </c>
      <c r="W115" s="72"/>
      <c r="X115" s="72"/>
      <c r="Y115" s="72"/>
      <c r="Z115" s="72"/>
      <c r="AA115" s="142">
        <f>AA109/AA108</f>
        <v>0.18645276292335117</v>
      </c>
      <c r="AB115" s="72"/>
      <c r="AC115" s="72"/>
      <c r="AD115" s="72"/>
      <c r="AE115" s="72"/>
      <c r="AF115" s="142">
        <f>AF109/AF108</f>
        <v>0.17294900221729489</v>
      </c>
      <c r="AG115" s="72"/>
      <c r="AH115" s="72"/>
      <c r="AI115" s="72"/>
      <c r="AJ115" s="72"/>
      <c r="AK115" s="142">
        <f>AK109/AK108</f>
        <v>0.20683903252710592</v>
      </c>
      <c r="AL115" s="143"/>
      <c r="AM115" s="143"/>
      <c r="AN115" s="143"/>
      <c r="AO115" s="143"/>
      <c r="AP115" s="142">
        <f>AP109/AP108</f>
        <v>0.16909891128098217</v>
      </c>
      <c r="AQ115" s="143"/>
      <c r="AR115" s="143"/>
      <c r="AS115" s="143"/>
      <c r="AT115" s="143"/>
      <c r="AU115" s="142">
        <f>AU109/AU108</f>
        <v>0.1519434628975265</v>
      </c>
      <c r="AV115" s="143"/>
      <c r="AW115" s="143"/>
      <c r="AX115" s="143"/>
      <c r="AY115" s="143"/>
      <c r="AZ115" s="142">
        <f>AZ109/AZ108</f>
        <v>0.20714531088972862</v>
      </c>
      <c r="BA115" s="143"/>
      <c r="BB115" s="143"/>
      <c r="BC115" s="143"/>
      <c r="BD115" s="143"/>
      <c r="BE115" s="142">
        <f>BE109/BE108</f>
        <v>9.4760312151616496E-2</v>
      </c>
      <c r="BF115" s="143"/>
      <c r="BG115" s="143"/>
      <c r="BH115" s="143"/>
      <c r="BI115" s="143"/>
      <c r="BJ115" s="142">
        <f>BJ109/BJ108</f>
        <v>0.31883024251069902</v>
      </c>
      <c r="BK115" s="143"/>
      <c r="BL115" s="143"/>
      <c r="BM115" s="143"/>
      <c r="BN115" s="143"/>
      <c r="BO115" s="142">
        <f>BO109/BO108</f>
        <v>0.28821752265861028</v>
      </c>
      <c r="BP115" s="143"/>
      <c r="BQ115" s="143"/>
      <c r="BR115" s="143"/>
      <c r="BS115" s="143"/>
      <c r="BT115" s="127">
        <v>0.25</v>
      </c>
      <c r="BU115" s="143"/>
      <c r="BV115" s="143"/>
      <c r="BW115" s="143"/>
      <c r="BX115" s="143"/>
      <c r="BY115" s="127">
        <v>0.15</v>
      </c>
      <c r="BZ115" s="143"/>
      <c r="CA115" s="143"/>
      <c r="CB115" s="143"/>
      <c r="CC115" s="143"/>
      <c r="CD115" s="127">
        <v>0.15</v>
      </c>
    </row>
    <row r="116" spans="1:88">
      <c r="A116" s="4" t="s">
        <v>267</v>
      </c>
      <c r="B116" s="4"/>
      <c r="C116" s="5"/>
      <c r="D116" s="5"/>
      <c r="E116" s="5"/>
      <c r="F116" s="5"/>
      <c r="G116" s="5"/>
      <c r="H116" s="72"/>
      <c r="I116" s="72"/>
      <c r="J116" s="72"/>
      <c r="K116" s="72"/>
      <c r="L116" s="5"/>
      <c r="M116" s="72"/>
      <c r="N116" s="72"/>
      <c r="O116" s="72"/>
      <c r="P116" s="72"/>
      <c r="Q116" s="5"/>
      <c r="R116" s="72"/>
      <c r="S116" s="72"/>
      <c r="T116" s="72"/>
      <c r="U116" s="72"/>
      <c r="V116" s="142">
        <f>3*V112/SUM(Q110,L110,G110,Q86,L86,G86)</f>
        <v>0.27878349022447502</v>
      </c>
      <c r="W116" s="72"/>
      <c r="X116" s="72"/>
      <c r="Y116" s="72"/>
      <c r="Z116" s="72"/>
      <c r="AA116" s="142">
        <f>3*AA112/SUM(V110,Q110,L110,V86,Q86,L86)</f>
        <v>0.21490698236288958</v>
      </c>
      <c r="AB116" s="72"/>
      <c r="AC116" s="72"/>
      <c r="AD116" s="72"/>
      <c r="AE116" s="72"/>
      <c r="AF116" s="142">
        <f>3*AF112/SUM(AA110,V110,Q110,AA86,V86,Q86)</f>
        <v>0.11840858856962425</v>
      </c>
      <c r="AG116" s="73"/>
      <c r="AH116" s="73"/>
      <c r="AI116" s="73"/>
      <c r="AJ116" s="73"/>
      <c r="AK116" s="142">
        <f>3*AK112/SUM(AF110,AA110,V110,AF86,AA86,V86)</f>
        <v>0.2312730557855906</v>
      </c>
      <c r="AL116" s="143"/>
      <c r="AM116" s="143"/>
      <c r="AN116" s="143"/>
      <c r="AO116" s="143"/>
      <c r="AP116" s="142">
        <f>3*AP112/SUM(AK110,AF110,AA110,AK86,AF86,AA86)</f>
        <v>0.13035110229791205</v>
      </c>
      <c r="AQ116" s="143"/>
      <c r="AR116" s="143"/>
      <c r="AS116" s="143"/>
      <c r="AT116" s="143"/>
      <c r="AU116" s="142">
        <f>3*AU112/SUM(AP110,AK110,AF110,AP86,AK86,AF86)</f>
        <v>0.41112515802781291</v>
      </c>
      <c r="AV116" s="143"/>
      <c r="AW116" s="143"/>
      <c r="AX116" s="143"/>
      <c r="AY116" s="143"/>
      <c r="AZ116" s="142">
        <f>3*AZ112/SUM(AU110,AP110,AK110,AU86,AP86,AK86)</f>
        <v>0.473059503357801</v>
      </c>
      <c r="BA116" s="143"/>
      <c r="BB116" s="143"/>
      <c r="BC116" s="143"/>
      <c r="BD116" s="143"/>
      <c r="BE116" s="142">
        <f>3*BE112/SUM(AZ110,AU110,AP110,AZ86,AU86,AP86)</f>
        <v>0.40828930724012202</v>
      </c>
      <c r="BF116" s="143"/>
      <c r="BG116" s="143"/>
      <c r="BH116" s="143"/>
      <c r="BI116" s="143"/>
      <c r="BJ116" s="142">
        <f>3*BJ112/SUM(BE110,AZ110,AU110,BE86,AZ86,AU86)</f>
        <v>0.39463087248322148</v>
      </c>
      <c r="BK116" s="143"/>
      <c r="BL116" s="143"/>
      <c r="BM116" s="143"/>
      <c r="BN116" s="143"/>
      <c r="BO116" s="142">
        <f>3*BO112/SUM(BJ110,BE110,AZ110,BJ86,BE86,AZ86)</f>
        <v>0.64455166867712099</v>
      </c>
      <c r="BP116" s="143"/>
      <c r="BQ116" s="143"/>
      <c r="BR116" s="143"/>
      <c r="BS116" s="143"/>
      <c r="BT116" s="127">
        <v>0.35</v>
      </c>
      <c r="BU116" s="143"/>
      <c r="BV116" s="143"/>
      <c r="BW116" s="143"/>
      <c r="BX116" s="143"/>
      <c r="BY116" s="127">
        <v>0.35</v>
      </c>
      <c r="BZ116" s="143"/>
      <c r="CA116" s="143"/>
      <c r="CB116" s="143"/>
      <c r="CC116" s="143"/>
      <c r="CD116" s="127">
        <v>0.3</v>
      </c>
    </row>
    <row r="117" spans="1:88">
      <c r="A117" s="7"/>
      <c r="B117" s="4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</row>
    <row r="118" spans="1:88">
      <c r="A118" s="7" t="s">
        <v>1290</v>
      </c>
      <c r="B118" s="4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F118" s="115"/>
      <c r="CG118" s="116"/>
      <c r="CH118" s="116"/>
      <c r="CI118" s="116"/>
      <c r="CJ118" s="116"/>
    </row>
    <row r="119" spans="1:88">
      <c r="A119" s="7"/>
      <c r="B119" s="121" t="s">
        <v>305</v>
      </c>
      <c r="C119" s="72"/>
      <c r="D119" s="72"/>
      <c r="E119" s="72"/>
      <c r="F119" s="72"/>
      <c r="G119" s="5">
        <f>-'E&amp;P - FAS69'!G133</f>
        <v>33</v>
      </c>
      <c r="H119" s="5"/>
      <c r="I119" s="5"/>
      <c r="J119" s="5"/>
      <c r="K119" s="5"/>
      <c r="L119" s="5">
        <f>-'E&amp;P - FAS69'!L133</f>
        <v>19</v>
      </c>
      <c r="M119" s="5"/>
      <c r="N119" s="5"/>
      <c r="O119" s="5"/>
      <c r="P119" s="5"/>
      <c r="Q119" s="5">
        <f>-'E&amp;P - FAS69'!Q133</f>
        <v>46</v>
      </c>
      <c r="R119" s="5"/>
      <c r="S119" s="5"/>
      <c r="T119" s="5"/>
      <c r="U119" s="5"/>
      <c r="V119" s="5">
        <f>-'E&amp;P - FAS69'!V133</f>
        <v>122</v>
      </c>
      <c r="W119" s="5"/>
      <c r="X119" s="5"/>
      <c r="Y119" s="5"/>
      <c r="Z119" s="5"/>
      <c r="AA119" s="5">
        <f>-'E&amp;P - FAS69'!AA133</f>
        <v>59</v>
      </c>
      <c r="AB119" s="5"/>
      <c r="AC119" s="5"/>
      <c r="AD119" s="5"/>
      <c r="AE119" s="5"/>
      <c r="AF119" s="5">
        <f>-'E&amp;P - FAS69'!AF133</f>
        <v>80</v>
      </c>
      <c r="AG119" s="12">
        <f t="shared" ref="AG119:AJ124" si="20">AG$113*AG127</f>
        <v>9.9750000000000014</v>
      </c>
      <c r="AH119" s="12">
        <f t="shared" si="20"/>
        <v>16.975000000000001</v>
      </c>
      <c r="AI119" s="12">
        <f t="shared" si="20"/>
        <v>2.5</v>
      </c>
      <c r="AJ119" s="12">
        <f t="shared" si="20"/>
        <v>8.5500000000000007</v>
      </c>
      <c r="AK119" s="5">
        <f>-'E&amp;P - FAS69'!AK133</f>
        <v>38</v>
      </c>
      <c r="AL119" s="12">
        <f t="shared" ref="AL119:CD119" si="21">AL$113*AL127</f>
        <v>23.620338983050846</v>
      </c>
      <c r="AM119" s="12">
        <f t="shared" si="21"/>
        <v>55.96203389830508</v>
      </c>
      <c r="AN119" s="12">
        <f t="shared" si="21"/>
        <v>26.345762711864406</v>
      </c>
      <c r="AO119" s="12">
        <f t="shared" si="21"/>
        <v>28.07186440677966</v>
      </c>
      <c r="AP119" s="5">
        <f>-'E&amp;P - FAS69'!AP133</f>
        <v>134</v>
      </c>
      <c r="AQ119" s="12">
        <f t="shared" si="21"/>
        <v>27.792502179598955</v>
      </c>
      <c r="AR119" s="12">
        <f t="shared" si="21"/>
        <v>37.45945945945946</v>
      </c>
      <c r="AS119" s="12">
        <f t="shared" si="21"/>
        <v>44.105492589363557</v>
      </c>
      <c r="AT119" s="12">
        <f t="shared" si="21"/>
        <v>187.64254577157803</v>
      </c>
      <c r="AU119" s="5">
        <f>-'E&amp;P - FAS69'!AU133</f>
        <v>297</v>
      </c>
      <c r="AV119" s="12">
        <f t="shared" si="21"/>
        <v>36.802863436123353</v>
      </c>
      <c r="AW119" s="12">
        <f t="shared" si="21"/>
        <v>15.101596916299561</v>
      </c>
      <c r="AX119" s="12">
        <f t="shared" si="21"/>
        <v>32.610132158590311</v>
      </c>
      <c r="AY119" s="12">
        <f t="shared" si="21"/>
        <v>56.485407488986787</v>
      </c>
      <c r="AZ119" s="5">
        <f>-'E&amp;P - FAS69'!AZ133</f>
        <v>141</v>
      </c>
      <c r="BA119" s="12">
        <f t="shared" si="21"/>
        <v>10.583291645822911</v>
      </c>
      <c r="BB119" s="12">
        <f t="shared" si="21"/>
        <v>55.500750375187593</v>
      </c>
      <c r="BC119" s="12">
        <f t="shared" ref="BC119:BD124" si="22">BC$113*BC127</f>
        <v>0.12306153076538269</v>
      </c>
      <c r="BD119" s="12">
        <f t="shared" si="22"/>
        <v>72.938988959907036</v>
      </c>
      <c r="BE119" s="5">
        <f>-'E&amp;P - FAS69'!BE133</f>
        <v>123</v>
      </c>
      <c r="BF119" s="12">
        <f t="shared" ref="BF119:BF124" si="23">BF$113*BF127</f>
        <v>20.072051133062171</v>
      </c>
      <c r="BG119" s="12">
        <f t="shared" si="21"/>
        <v>27.658338175479372</v>
      </c>
      <c r="BH119" s="12">
        <f t="shared" si="21"/>
        <v>63.456130156885528</v>
      </c>
      <c r="BI119" s="12">
        <f t="shared" si="21"/>
        <v>24.813480534572921</v>
      </c>
      <c r="BJ119" s="5">
        <f>-'E&amp;P - FAS69'!BJ133</f>
        <v>136</v>
      </c>
      <c r="BK119" s="12">
        <f t="shared" si="21"/>
        <v>65.563461538461539</v>
      </c>
      <c r="BL119" s="12">
        <f t="shared" si="21"/>
        <v>135.26442307692307</v>
      </c>
      <c r="BM119" s="12">
        <f t="shared" si="21"/>
        <v>47.262980769230765</v>
      </c>
      <c r="BN119" s="12">
        <f t="shared" si="21"/>
        <v>82.909134615384616</v>
      </c>
      <c r="BO119" s="5">
        <f>-'E&amp;P - FAS69'!BO133</f>
        <v>331</v>
      </c>
      <c r="BP119" s="12">
        <f t="shared" si="21"/>
        <v>18.75</v>
      </c>
      <c r="BQ119" s="12">
        <f t="shared" si="21"/>
        <v>12.134444444444444</v>
      </c>
      <c r="BR119" s="12">
        <f t="shared" si="21"/>
        <v>12.134444444444444</v>
      </c>
      <c r="BS119" s="12">
        <f t="shared" si="21"/>
        <v>12.134444444444444</v>
      </c>
      <c r="BT119" s="5">
        <f t="shared" si="21"/>
        <v>55.153333333333336</v>
      </c>
      <c r="BU119" s="12">
        <f t="shared" si="21"/>
        <v>11.304583333333333</v>
      </c>
      <c r="BV119" s="12">
        <f t="shared" si="21"/>
        <v>11.304583333333333</v>
      </c>
      <c r="BW119" s="12">
        <f t="shared" si="21"/>
        <v>11.304583333333333</v>
      </c>
      <c r="BX119" s="12">
        <f t="shared" si="21"/>
        <v>11.304583333333335</v>
      </c>
      <c r="BY119" s="5">
        <f t="shared" si="21"/>
        <v>45.218333333333334</v>
      </c>
      <c r="BZ119" s="12">
        <f t="shared" si="21"/>
        <v>7.2800000000000011</v>
      </c>
      <c r="CA119" s="12">
        <f t="shared" si="21"/>
        <v>7.2800000000000011</v>
      </c>
      <c r="CB119" s="12">
        <f t="shared" si="21"/>
        <v>7.2800000000000011</v>
      </c>
      <c r="CC119" s="12">
        <f t="shared" si="21"/>
        <v>7.2800000000000011</v>
      </c>
      <c r="CD119" s="5">
        <f t="shared" si="21"/>
        <v>29.120000000000005</v>
      </c>
      <c r="CF119" s="115"/>
      <c r="CG119" s="116"/>
      <c r="CH119" s="116"/>
      <c r="CI119" s="116"/>
      <c r="CJ119" s="116"/>
    </row>
    <row r="120" spans="1:88">
      <c r="A120" s="75"/>
      <c r="B120" s="141" t="s">
        <v>310</v>
      </c>
      <c r="C120" s="72"/>
      <c r="D120" s="72"/>
      <c r="E120" s="72"/>
      <c r="F120" s="72"/>
      <c r="G120" s="5">
        <f>-'E&amp;P - FAS69'!G223</f>
        <v>463</v>
      </c>
      <c r="H120" s="5"/>
      <c r="I120" s="5"/>
      <c r="J120" s="5"/>
      <c r="K120" s="5"/>
      <c r="L120" s="5">
        <f>-'E&amp;P - FAS69'!L223</f>
        <v>658</v>
      </c>
      <c r="M120" s="5"/>
      <c r="N120" s="5"/>
      <c r="O120" s="5"/>
      <c r="P120" s="5"/>
      <c r="Q120" s="5">
        <f>-'E&amp;P - FAS69'!Q223</f>
        <v>309</v>
      </c>
      <c r="R120" s="5"/>
      <c r="S120" s="5"/>
      <c r="T120" s="5"/>
      <c r="U120" s="5"/>
      <c r="V120" s="5">
        <f>-'E&amp;P - FAS69'!V223</f>
        <v>337</v>
      </c>
      <c r="W120" s="5"/>
      <c r="X120" s="5"/>
      <c r="Y120" s="5"/>
      <c r="Z120" s="5"/>
      <c r="AA120" s="5">
        <f>-'E&amp;P - FAS69'!AA223</f>
        <v>743</v>
      </c>
      <c r="AB120" s="5"/>
      <c r="AC120" s="5"/>
      <c r="AD120" s="5"/>
      <c r="AE120" s="5"/>
      <c r="AF120" s="5">
        <f>-'E&amp;P - FAS69'!AF223</f>
        <v>490</v>
      </c>
      <c r="AG120" s="12">
        <f t="shared" si="20"/>
        <v>281.92500000000001</v>
      </c>
      <c r="AH120" s="12">
        <f t="shared" si="20"/>
        <v>479.76710526315793</v>
      </c>
      <c r="AI120" s="12">
        <f t="shared" si="20"/>
        <v>70.65789473684211</v>
      </c>
      <c r="AJ120" s="12">
        <f t="shared" si="20"/>
        <v>241.65</v>
      </c>
      <c r="AK120" s="5">
        <f>-'E&amp;P - FAS69'!AK223</f>
        <v>1074</v>
      </c>
      <c r="AL120" s="12">
        <f t="shared" ref="AL120:AO124" si="24">AL$113*AL128</f>
        <v>115.10508474576271</v>
      </c>
      <c r="AM120" s="12">
        <f t="shared" si="24"/>
        <v>272.71050847457627</v>
      </c>
      <c r="AN120" s="12">
        <f t="shared" si="24"/>
        <v>128.38644067796611</v>
      </c>
      <c r="AO120" s="12">
        <f t="shared" si="24"/>
        <v>136.79796610169493</v>
      </c>
      <c r="AP120" s="5">
        <f>-'E&amp;P - FAS69'!AP223</f>
        <v>653</v>
      </c>
      <c r="AQ120" s="12">
        <f t="shared" ref="AQ120:CD120" si="25">AQ$113*AQ128</f>
        <v>43.513513513513516</v>
      </c>
      <c r="AR120" s="12">
        <f t="shared" si="25"/>
        <v>58.648648648648653</v>
      </c>
      <c r="AS120" s="12">
        <f t="shared" si="25"/>
        <v>69.054054054054063</v>
      </c>
      <c r="AT120" s="12">
        <f t="shared" si="25"/>
        <v>293.7837837837838</v>
      </c>
      <c r="AU120" s="5">
        <f>-'E&amp;P - FAS69'!AU223</f>
        <v>465</v>
      </c>
      <c r="AV120" s="12">
        <f t="shared" si="25"/>
        <v>354.19493392070484</v>
      </c>
      <c r="AW120" s="12">
        <f t="shared" si="25"/>
        <v>145.33948237885463</v>
      </c>
      <c r="AX120" s="12">
        <f t="shared" si="25"/>
        <v>313.84361233480178</v>
      </c>
      <c r="AY120" s="12">
        <f t="shared" si="25"/>
        <v>543.62197136563873</v>
      </c>
      <c r="AZ120" s="5">
        <f>-'E&amp;P - FAS69'!AZ223</f>
        <v>1357</v>
      </c>
      <c r="BA120" s="12">
        <f t="shared" si="25"/>
        <v>91.893946973486734</v>
      </c>
      <c r="BB120" s="12">
        <f t="shared" si="25"/>
        <v>481.90895447723858</v>
      </c>
      <c r="BC120" s="12">
        <f t="shared" si="22"/>
        <v>1.0685342671335667</v>
      </c>
      <c r="BD120" s="12">
        <f t="shared" si="22"/>
        <v>404.38233585124925</v>
      </c>
      <c r="BE120" s="5">
        <f>-'E&amp;P - FAS69'!BE223</f>
        <v>1068</v>
      </c>
      <c r="BF120" s="12">
        <f t="shared" si="23"/>
        <v>111.28181289947705</v>
      </c>
      <c r="BG120" s="12">
        <f t="shared" si="25"/>
        <v>153.34108076699593</v>
      </c>
      <c r="BH120" s="12">
        <f t="shared" si="25"/>
        <v>351.80825101685065</v>
      </c>
      <c r="BI120" s="12">
        <f t="shared" si="25"/>
        <v>137.56885531667635</v>
      </c>
      <c r="BJ120" s="5">
        <f>-'E&amp;P - FAS69'!BJ223</f>
        <v>754</v>
      </c>
      <c r="BK120" s="12">
        <f t="shared" si="25"/>
        <v>63.582692307692312</v>
      </c>
      <c r="BL120" s="12">
        <f t="shared" si="25"/>
        <v>131.17788461538461</v>
      </c>
      <c r="BM120" s="12">
        <f t="shared" si="25"/>
        <v>45.835096153846159</v>
      </c>
      <c r="BN120" s="12">
        <f t="shared" si="25"/>
        <v>80.404326923076923</v>
      </c>
      <c r="BO120" s="5">
        <f>-'E&amp;P - FAS69'!BO223</f>
        <v>321</v>
      </c>
      <c r="BP120" s="12">
        <f t="shared" si="25"/>
        <v>142.5</v>
      </c>
      <c r="BQ120" s="12">
        <f t="shared" si="25"/>
        <v>92.221777777777774</v>
      </c>
      <c r="BR120" s="12">
        <f t="shared" si="25"/>
        <v>92.221777777777774</v>
      </c>
      <c r="BS120" s="12">
        <f t="shared" si="25"/>
        <v>92.221777777777774</v>
      </c>
      <c r="BT120" s="5">
        <f t="shared" si="25"/>
        <v>419.16533333333331</v>
      </c>
      <c r="BU120" s="12">
        <f t="shared" si="25"/>
        <v>85.914833333333334</v>
      </c>
      <c r="BV120" s="12">
        <f t="shared" si="25"/>
        <v>85.914833333333334</v>
      </c>
      <c r="BW120" s="12">
        <f t="shared" si="25"/>
        <v>85.914833333333334</v>
      </c>
      <c r="BX120" s="12">
        <f t="shared" si="25"/>
        <v>85.914833333333348</v>
      </c>
      <c r="BY120" s="5">
        <f t="shared" si="25"/>
        <v>343.65933333333334</v>
      </c>
      <c r="BZ120" s="12">
        <f t="shared" si="25"/>
        <v>55.32800000000001</v>
      </c>
      <c r="CA120" s="12">
        <f t="shared" si="25"/>
        <v>55.32800000000001</v>
      </c>
      <c r="CB120" s="12">
        <f t="shared" si="25"/>
        <v>55.32800000000001</v>
      </c>
      <c r="CC120" s="12">
        <f t="shared" si="25"/>
        <v>55.32800000000001</v>
      </c>
      <c r="CD120" s="5">
        <f t="shared" si="25"/>
        <v>221.31200000000004</v>
      </c>
      <c r="CF120" s="115"/>
      <c r="CG120" s="116"/>
      <c r="CH120" s="116"/>
      <c r="CI120" s="116"/>
      <c r="CJ120" s="116"/>
    </row>
    <row r="121" spans="1:88">
      <c r="A121" s="75"/>
      <c r="B121" s="141" t="s">
        <v>1994</v>
      </c>
      <c r="C121" s="72"/>
      <c r="D121" s="72"/>
      <c r="E121" s="72"/>
      <c r="F121" s="72"/>
      <c r="G121" s="5">
        <f>-'E&amp;P - FAS69'!G276</f>
        <v>47.3</v>
      </c>
      <c r="H121" s="5"/>
      <c r="I121" s="5"/>
      <c r="J121" s="5"/>
      <c r="K121" s="5"/>
      <c r="L121" s="5">
        <f>-'E&amp;P - FAS69'!L276</f>
        <v>108</v>
      </c>
      <c r="M121" s="5"/>
      <c r="N121" s="5"/>
      <c r="O121" s="5"/>
      <c r="P121" s="5"/>
      <c r="Q121" s="5">
        <f>-'E&amp;P - FAS69'!Q276</f>
        <v>77</v>
      </c>
      <c r="R121" s="5"/>
      <c r="S121" s="5"/>
      <c r="T121" s="5"/>
      <c r="U121" s="5"/>
      <c r="V121" s="5">
        <f>-'E&amp;P - FAS69'!V276</f>
        <v>30</v>
      </c>
      <c r="W121" s="5"/>
      <c r="X121" s="5"/>
      <c r="Y121" s="5"/>
      <c r="Z121" s="5"/>
      <c r="AA121" s="5">
        <f>-'E&amp;P - FAS69'!AA276</f>
        <v>16</v>
      </c>
      <c r="AB121" s="5"/>
      <c r="AC121" s="5"/>
      <c r="AD121" s="5"/>
      <c r="AE121" s="5"/>
      <c r="AF121" s="5">
        <f>-'E&amp;P - FAS69'!AF276</f>
        <v>9</v>
      </c>
      <c r="AG121" s="12">
        <f t="shared" si="20"/>
        <v>9.1875</v>
      </c>
      <c r="AH121" s="12">
        <f t="shared" si="20"/>
        <v>15.63486842105263</v>
      </c>
      <c r="AI121" s="12">
        <f t="shared" si="20"/>
        <v>2.3026315789473681</v>
      </c>
      <c r="AJ121" s="12">
        <f t="shared" si="20"/>
        <v>7.875</v>
      </c>
      <c r="AK121" s="5">
        <f>-'E&amp;P - FAS69'!AK276</f>
        <v>35</v>
      </c>
      <c r="AL121" s="12">
        <f t="shared" si="24"/>
        <v>21.152542372881353</v>
      </c>
      <c r="AM121" s="12">
        <f t="shared" si="24"/>
        <v>50.115254237288134</v>
      </c>
      <c r="AN121" s="12">
        <f t="shared" si="24"/>
        <v>23.593220338983048</v>
      </c>
      <c r="AO121" s="12">
        <f t="shared" si="24"/>
        <v>25.138983050847457</v>
      </c>
      <c r="AP121" s="5">
        <f>-'E&amp;P - FAS69'!AP276</f>
        <v>120</v>
      </c>
      <c r="AQ121" s="12">
        <f t="shared" ref="AQ121:CD121" si="26">AQ$113*AQ129</f>
        <v>138.2138913106655</v>
      </c>
      <c r="AR121" s="12">
        <f t="shared" si="26"/>
        <v>186.2882882882883</v>
      </c>
      <c r="AS121" s="12">
        <f t="shared" si="26"/>
        <v>219.33943621040396</v>
      </c>
      <c r="AT121" s="12">
        <f t="shared" si="26"/>
        <v>933.15838419064232</v>
      </c>
      <c r="AU121" s="5">
        <f>-'E&amp;P - FAS69'!AU276</f>
        <v>1477</v>
      </c>
      <c r="AV121" s="12">
        <f t="shared" si="26"/>
        <v>131.02863436123349</v>
      </c>
      <c r="AW121" s="12">
        <f t="shared" si="26"/>
        <v>53.765969162995589</v>
      </c>
      <c r="AX121" s="12">
        <f t="shared" si="26"/>
        <v>116.10132158590308</v>
      </c>
      <c r="AY121" s="12">
        <f t="shared" si="26"/>
        <v>201.10407488986783</v>
      </c>
      <c r="AZ121" s="5">
        <f>-'E&amp;P - FAS69'!AZ276</f>
        <v>502</v>
      </c>
      <c r="BA121" s="12">
        <f t="shared" si="26"/>
        <v>4.3881940970485243</v>
      </c>
      <c r="BB121" s="12">
        <f t="shared" si="26"/>
        <v>23.012506253126563</v>
      </c>
      <c r="BC121" s="12">
        <f t="shared" si="22"/>
        <v>5.1025512756378191E-2</v>
      </c>
      <c r="BD121" s="12">
        <f t="shared" si="22"/>
        <v>360.40441603718767</v>
      </c>
      <c r="BE121" s="5">
        <f>-'E&amp;P - FAS69'!BE276</f>
        <v>51</v>
      </c>
      <c r="BF121" s="12">
        <f t="shared" si="23"/>
        <v>99.179546775130746</v>
      </c>
      <c r="BG121" s="12">
        <f t="shared" si="26"/>
        <v>136.66472980825102</v>
      </c>
      <c r="BH121" s="12">
        <f t="shared" si="26"/>
        <v>313.54793724578735</v>
      </c>
      <c r="BI121" s="12">
        <f t="shared" si="26"/>
        <v>122.60778617083091</v>
      </c>
      <c r="BJ121" s="5">
        <f>-'E&amp;P - FAS69'!BJ276</f>
        <v>672</v>
      </c>
      <c r="BK121" s="12">
        <f t="shared" si="26"/>
        <v>16.440384615384612</v>
      </c>
      <c r="BL121" s="12">
        <f t="shared" si="26"/>
        <v>33.918269230769226</v>
      </c>
      <c r="BM121" s="12">
        <f t="shared" si="26"/>
        <v>11.851442307692308</v>
      </c>
      <c r="BN121" s="12">
        <f t="shared" si="26"/>
        <v>20.789903846153845</v>
      </c>
      <c r="BO121" s="5">
        <f>-'E&amp;P - FAS69'!BO276</f>
        <v>83</v>
      </c>
      <c r="BP121" s="12">
        <f t="shared" si="26"/>
        <v>37.5</v>
      </c>
      <c r="BQ121" s="12">
        <f t="shared" si="26"/>
        <v>24.268888888888888</v>
      </c>
      <c r="BR121" s="12">
        <f t="shared" si="26"/>
        <v>24.268888888888888</v>
      </c>
      <c r="BS121" s="12">
        <f t="shared" si="26"/>
        <v>24.268888888888888</v>
      </c>
      <c r="BT121" s="5">
        <f t="shared" si="26"/>
        <v>110.30666666666667</v>
      </c>
      <c r="BU121" s="12">
        <f t="shared" si="26"/>
        <v>22.609166666666667</v>
      </c>
      <c r="BV121" s="12">
        <f t="shared" si="26"/>
        <v>22.609166666666667</v>
      </c>
      <c r="BW121" s="12">
        <f t="shared" si="26"/>
        <v>22.609166666666667</v>
      </c>
      <c r="BX121" s="12">
        <f t="shared" si="26"/>
        <v>22.60916666666667</v>
      </c>
      <c r="BY121" s="5">
        <f t="shared" si="26"/>
        <v>90.436666666666667</v>
      </c>
      <c r="BZ121" s="12">
        <f t="shared" si="26"/>
        <v>14.560000000000002</v>
      </c>
      <c r="CA121" s="12">
        <f t="shared" si="26"/>
        <v>14.560000000000002</v>
      </c>
      <c r="CB121" s="12">
        <f t="shared" si="26"/>
        <v>14.560000000000002</v>
      </c>
      <c r="CC121" s="12">
        <f t="shared" si="26"/>
        <v>14.560000000000002</v>
      </c>
      <c r="CD121" s="5">
        <f t="shared" si="26"/>
        <v>58.240000000000009</v>
      </c>
    </row>
    <row r="122" spans="1:88">
      <c r="A122" s="75"/>
      <c r="B122" s="141" t="s">
        <v>120</v>
      </c>
      <c r="C122" s="72"/>
      <c r="D122" s="72"/>
      <c r="E122" s="72"/>
      <c r="F122" s="72"/>
      <c r="G122" s="5">
        <f>-'E&amp;P - FAS69'!G328</f>
        <v>81</v>
      </c>
      <c r="H122" s="5"/>
      <c r="I122" s="5"/>
      <c r="J122" s="5"/>
      <c r="K122" s="5"/>
      <c r="L122" s="5">
        <f>-'E&amp;P - FAS69'!L328</f>
        <v>132</v>
      </c>
      <c r="M122" s="5"/>
      <c r="N122" s="5"/>
      <c r="O122" s="5"/>
      <c r="P122" s="5"/>
      <c r="Q122" s="5">
        <f>-'E&amp;P - FAS69'!Q328</f>
        <v>183</v>
      </c>
      <c r="R122" s="5"/>
      <c r="S122" s="5"/>
      <c r="T122" s="5"/>
      <c r="U122" s="5"/>
      <c r="V122" s="5">
        <f>-'E&amp;P - FAS69'!V328</f>
        <v>213</v>
      </c>
      <c r="W122" s="5"/>
      <c r="X122" s="5"/>
      <c r="Y122" s="5"/>
      <c r="Z122" s="5"/>
      <c r="AA122" s="5">
        <f>-'E&amp;P - FAS69'!AA328</f>
        <v>219</v>
      </c>
      <c r="AB122" s="5"/>
      <c r="AC122" s="5"/>
      <c r="AD122" s="5"/>
      <c r="AE122" s="5"/>
      <c r="AF122" s="5">
        <f>-'E&amp;P - FAS69'!AF328</f>
        <v>189</v>
      </c>
      <c r="AG122" s="12">
        <f t="shared" si="20"/>
        <v>42.787500000000001</v>
      </c>
      <c r="AH122" s="12">
        <f t="shared" si="20"/>
        <v>72.813815789473679</v>
      </c>
      <c r="AI122" s="12">
        <f t="shared" si="20"/>
        <v>10.723684210526315</v>
      </c>
      <c r="AJ122" s="12">
        <f t="shared" si="20"/>
        <v>36.674999999999997</v>
      </c>
      <c r="AK122" s="5">
        <f>-'E&amp;P - FAS69'!AK328</f>
        <v>163</v>
      </c>
      <c r="AL122" s="12">
        <f t="shared" si="24"/>
        <v>54.644067796610166</v>
      </c>
      <c r="AM122" s="12">
        <f t="shared" si="24"/>
        <v>129.464406779661</v>
      </c>
      <c r="AN122" s="12">
        <f t="shared" si="24"/>
        <v>60.949152542372879</v>
      </c>
      <c r="AO122" s="12">
        <f t="shared" si="24"/>
        <v>64.942372881355922</v>
      </c>
      <c r="AP122" s="5">
        <f>-'E&amp;P - FAS69'!AP328</f>
        <v>310</v>
      </c>
      <c r="AQ122" s="12">
        <f t="shared" ref="AQ122:CD122" si="27">AQ$113*AQ130</f>
        <v>36.214472537053183</v>
      </c>
      <c r="AR122" s="12">
        <f t="shared" si="27"/>
        <v>48.810810810810814</v>
      </c>
      <c r="AS122" s="12">
        <f t="shared" si="27"/>
        <v>57.470793374019181</v>
      </c>
      <c r="AT122" s="12">
        <f t="shared" si="27"/>
        <v>244.50392327811684</v>
      </c>
      <c r="AU122" s="5">
        <f>-'E&amp;P - FAS69'!AU328</f>
        <v>387</v>
      </c>
      <c r="AV122" s="12">
        <f t="shared" si="27"/>
        <v>224.47136563876651</v>
      </c>
      <c r="AW122" s="12">
        <f t="shared" si="27"/>
        <v>92.109030837004411</v>
      </c>
      <c r="AX122" s="12">
        <f t="shared" si="27"/>
        <v>198.89867841409693</v>
      </c>
      <c r="AY122" s="12">
        <f t="shared" si="27"/>
        <v>344.52092511013217</v>
      </c>
      <c r="AZ122" s="5">
        <f>-'E&amp;P - FAS69'!AZ328</f>
        <v>860</v>
      </c>
      <c r="BA122" s="12">
        <f t="shared" si="27"/>
        <v>86.129064532266128</v>
      </c>
      <c r="BB122" s="12">
        <f t="shared" si="27"/>
        <v>451.67683841920962</v>
      </c>
      <c r="BC122" s="12">
        <f t="shared" si="22"/>
        <v>1.0015007503751876</v>
      </c>
      <c r="BD122" s="12">
        <f t="shared" si="22"/>
        <v>46.659500290528761</v>
      </c>
      <c r="BE122" s="5">
        <f>-'E&amp;P - FAS69'!BE328</f>
        <v>1001</v>
      </c>
      <c r="BF122" s="12">
        <f t="shared" si="23"/>
        <v>12.840209180708891</v>
      </c>
      <c r="BG122" s="12">
        <f t="shared" si="27"/>
        <v>17.69320162696107</v>
      </c>
      <c r="BH122" s="12">
        <f t="shared" si="27"/>
        <v>40.593259732713541</v>
      </c>
      <c r="BI122" s="12">
        <f t="shared" si="27"/>
        <v>15.873329459616503</v>
      </c>
      <c r="BJ122" s="5">
        <f>-'E&amp;P - FAS69'!BJ328</f>
        <v>87</v>
      </c>
      <c r="BK122" s="12">
        <f t="shared" si="27"/>
        <v>266.61153846153849</v>
      </c>
      <c r="BL122" s="12">
        <f t="shared" si="27"/>
        <v>550.04807692307691</v>
      </c>
      <c r="BM122" s="12">
        <f t="shared" si="27"/>
        <v>192.19326923076923</v>
      </c>
      <c r="BN122" s="12">
        <f t="shared" si="27"/>
        <v>337.1471153846154</v>
      </c>
      <c r="BO122" s="5">
        <f>-'E&amp;P - FAS69'!BO328</f>
        <v>1346</v>
      </c>
      <c r="BP122" s="12">
        <f t="shared" si="27"/>
        <v>131.25</v>
      </c>
      <c r="BQ122" s="12">
        <f t="shared" si="27"/>
        <v>84.941111111111098</v>
      </c>
      <c r="BR122" s="12">
        <f t="shared" si="27"/>
        <v>84.941111111111098</v>
      </c>
      <c r="BS122" s="12">
        <f t="shared" si="27"/>
        <v>84.941111111111098</v>
      </c>
      <c r="BT122" s="5">
        <f t="shared" si="27"/>
        <v>386.07333333333327</v>
      </c>
      <c r="BU122" s="12">
        <f t="shared" si="27"/>
        <v>79.132083333333327</v>
      </c>
      <c r="BV122" s="12">
        <f t="shared" si="27"/>
        <v>79.132083333333327</v>
      </c>
      <c r="BW122" s="12">
        <f t="shared" si="27"/>
        <v>79.132083333333327</v>
      </c>
      <c r="BX122" s="12">
        <f t="shared" si="27"/>
        <v>79.132083333333341</v>
      </c>
      <c r="BY122" s="5">
        <f t="shared" si="27"/>
        <v>316.52833333333331</v>
      </c>
      <c r="BZ122" s="12">
        <f t="shared" si="27"/>
        <v>50.960000000000008</v>
      </c>
      <c r="CA122" s="12">
        <f t="shared" si="27"/>
        <v>50.960000000000008</v>
      </c>
      <c r="CB122" s="12">
        <f t="shared" si="27"/>
        <v>50.960000000000008</v>
      </c>
      <c r="CC122" s="12">
        <f t="shared" si="27"/>
        <v>50.960000000000008</v>
      </c>
      <c r="CD122" s="5">
        <f t="shared" si="27"/>
        <v>203.84000000000003</v>
      </c>
    </row>
    <row r="123" spans="1:88">
      <c r="A123" s="75"/>
      <c r="B123" s="141" t="s">
        <v>2462</v>
      </c>
      <c r="C123" s="72"/>
      <c r="D123" s="72"/>
      <c r="E123" s="72"/>
      <c r="F123" s="72"/>
      <c r="G123" s="5">
        <f>-'E&amp;P - FAS69'!G418</f>
        <v>54</v>
      </c>
      <c r="H123" s="5"/>
      <c r="I123" s="5"/>
      <c r="J123" s="5"/>
      <c r="K123" s="5"/>
      <c r="L123" s="5">
        <f>-'E&amp;P - FAS69'!L418</f>
        <v>122</v>
      </c>
      <c r="M123" s="5"/>
      <c r="N123" s="5"/>
      <c r="O123" s="5"/>
      <c r="P123" s="5"/>
      <c r="Q123" s="5">
        <f>-'E&amp;P - FAS69'!Q418</f>
        <v>134</v>
      </c>
      <c r="R123" s="5"/>
      <c r="S123" s="5"/>
      <c r="T123" s="5"/>
      <c r="U123" s="5"/>
      <c r="V123" s="5">
        <f>-'E&amp;P - FAS69'!V418</f>
        <v>154</v>
      </c>
      <c r="W123" s="5"/>
      <c r="X123" s="5"/>
      <c r="Y123" s="5"/>
      <c r="Z123" s="5"/>
      <c r="AA123" s="5">
        <f>-'E&amp;P - FAS69'!AA418</f>
        <v>57</v>
      </c>
      <c r="AB123" s="5"/>
      <c r="AC123" s="5"/>
      <c r="AD123" s="5"/>
      <c r="AE123" s="5"/>
      <c r="AF123" s="5">
        <f>-'E&amp;P - FAS69'!AF418</f>
        <v>58</v>
      </c>
      <c r="AG123" s="12">
        <f t="shared" si="20"/>
        <v>36.75</v>
      </c>
      <c r="AH123" s="12">
        <f t="shared" si="20"/>
        <v>62.53947368421052</v>
      </c>
      <c r="AI123" s="12">
        <f t="shared" si="20"/>
        <v>9.2105263157894726</v>
      </c>
      <c r="AJ123" s="12">
        <f t="shared" si="20"/>
        <v>31.5</v>
      </c>
      <c r="AK123" s="5">
        <f>-'E&amp;P - FAS69'!AK418</f>
        <v>140</v>
      </c>
      <c r="AL123" s="12">
        <f t="shared" si="24"/>
        <v>22.210169491525424</v>
      </c>
      <c r="AM123" s="12">
        <f t="shared" si="24"/>
        <v>52.621016949152541</v>
      </c>
      <c r="AN123" s="12">
        <f t="shared" si="24"/>
        <v>24.772881355932203</v>
      </c>
      <c r="AO123" s="12">
        <f t="shared" si="24"/>
        <v>26.39593220338983</v>
      </c>
      <c r="AP123" s="5">
        <f>-'E&amp;P - FAS69'!AP418</f>
        <v>126</v>
      </c>
      <c r="AQ123" s="12">
        <f t="shared" ref="AQ123:CD123" si="28">AQ$113*AQ131</f>
        <v>71.867480383609418</v>
      </c>
      <c r="AR123" s="12">
        <f t="shared" si="28"/>
        <v>96.86486486486487</v>
      </c>
      <c r="AS123" s="12">
        <f t="shared" si="28"/>
        <v>114.05056669572799</v>
      </c>
      <c r="AT123" s="12">
        <f t="shared" si="28"/>
        <v>485.21708805579777</v>
      </c>
      <c r="AU123" s="5">
        <f>-'E&amp;P - FAS69'!AU418</f>
        <v>768</v>
      </c>
      <c r="AV123" s="12">
        <f t="shared" si="28"/>
        <v>185.84140969162996</v>
      </c>
      <c r="AW123" s="12">
        <f t="shared" si="28"/>
        <v>76.257709251101318</v>
      </c>
      <c r="AX123" s="12">
        <f t="shared" si="28"/>
        <v>164.66960352422907</v>
      </c>
      <c r="AY123" s="12">
        <f t="shared" si="28"/>
        <v>285.23127753303964</v>
      </c>
      <c r="AZ123" s="5">
        <f>-'E&amp;P - FAS69'!AZ418</f>
        <v>712</v>
      </c>
      <c r="BA123" s="12">
        <f t="shared" si="28"/>
        <v>4.9904952476238114</v>
      </c>
      <c r="BB123" s="12">
        <f t="shared" si="28"/>
        <v>26.171085542771383</v>
      </c>
      <c r="BC123" s="12">
        <f t="shared" si="22"/>
        <v>5.8029014507253625E-2</v>
      </c>
      <c r="BD123" s="12">
        <f t="shared" si="22"/>
        <v>-9.1173736199883795</v>
      </c>
      <c r="BE123" s="5">
        <f>-'E&amp;P - FAS69'!BE418</f>
        <v>58</v>
      </c>
      <c r="BF123" s="12">
        <f t="shared" si="23"/>
        <v>-2.5090063916327714</v>
      </c>
      <c r="BG123" s="12">
        <f t="shared" si="28"/>
        <v>-3.4572922719349215</v>
      </c>
      <c r="BH123" s="12">
        <f t="shared" si="28"/>
        <v>-7.9320162696106911</v>
      </c>
      <c r="BI123" s="12">
        <f t="shared" si="28"/>
        <v>-3.1016850668216152</v>
      </c>
      <c r="BJ123" s="5">
        <f>-'E&amp;P - FAS69'!BJ418</f>
        <v>-17</v>
      </c>
      <c r="BK123" s="12">
        <f t="shared" si="28"/>
        <v>-3.5653846153846156</v>
      </c>
      <c r="BL123" s="12">
        <f t="shared" si="28"/>
        <v>-7.3557692307692308</v>
      </c>
      <c r="BM123" s="12">
        <f t="shared" si="28"/>
        <v>-2.5701923076923077</v>
      </c>
      <c r="BN123" s="12">
        <f t="shared" si="28"/>
        <v>-4.5086538461538463</v>
      </c>
      <c r="BO123" s="5">
        <f>-'E&amp;P - FAS69'!BO418</f>
        <v>-18</v>
      </c>
      <c r="BP123" s="12">
        <f t="shared" si="28"/>
        <v>37.5</v>
      </c>
      <c r="BQ123" s="12">
        <f t="shared" si="28"/>
        <v>24.268888888888888</v>
      </c>
      <c r="BR123" s="12">
        <f t="shared" si="28"/>
        <v>24.268888888888888</v>
      </c>
      <c r="BS123" s="12">
        <f t="shared" si="28"/>
        <v>24.268888888888888</v>
      </c>
      <c r="BT123" s="5">
        <f t="shared" si="28"/>
        <v>110.30666666666667</v>
      </c>
      <c r="BU123" s="12">
        <f t="shared" si="28"/>
        <v>22.609166666666667</v>
      </c>
      <c r="BV123" s="12">
        <f t="shared" si="28"/>
        <v>22.609166666666667</v>
      </c>
      <c r="BW123" s="12">
        <f t="shared" si="28"/>
        <v>22.609166666666667</v>
      </c>
      <c r="BX123" s="12">
        <f t="shared" si="28"/>
        <v>22.60916666666667</v>
      </c>
      <c r="BY123" s="5">
        <f t="shared" si="28"/>
        <v>90.436666666666667</v>
      </c>
      <c r="BZ123" s="12">
        <f t="shared" si="28"/>
        <v>14.560000000000002</v>
      </c>
      <c r="CA123" s="12">
        <f t="shared" si="28"/>
        <v>14.560000000000002</v>
      </c>
      <c r="CB123" s="12">
        <f t="shared" si="28"/>
        <v>14.560000000000002</v>
      </c>
      <c r="CC123" s="12">
        <f t="shared" si="28"/>
        <v>14.560000000000002</v>
      </c>
      <c r="CD123" s="5">
        <f t="shared" si="28"/>
        <v>58.240000000000009</v>
      </c>
    </row>
    <row r="124" spans="1:88">
      <c r="A124" s="75"/>
      <c r="B124" s="141" t="s">
        <v>3402</v>
      </c>
      <c r="C124" s="72"/>
      <c r="D124" s="72"/>
      <c r="E124" s="72"/>
      <c r="F124" s="72"/>
      <c r="G124" s="5">
        <f>-'E&amp;P - FAS69'!G470</f>
        <v>6</v>
      </c>
      <c r="H124" s="5"/>
      <c r="I124" s="5"/>
      <c r="J124" s="5"/>
      <c r="K124" s="5"/>
      <c r="L124" s="5">
        <f>-'E&amp;P - FAS69'!L470</f>
        <v>6</v>
      </c>
      <c r="M124" s="5"/>
      <c r="N124" s="5"/>
      <c r="O124" s="5"/>
      <c r="P124" s="5"/>
      <c r="Q124" s="5">
        <f>-'E&amp;P - FAS69'!Q470</f>
        <v>7</v>
      </c>
      <c r="R124" s="5"/>
      <c r="S124" s="5"/>
      <c r="T124" s="5"/>
      <c r="U124" s="5"/>
      <c r="V124" s="5">
        <f>-'E&amp;P - FAS69'!V470</f>
        <v>26</v>
      </c>
      <c r="W124" s="5"/>
      <c r="X124" s="5"/>
      <c r="Y124" s="5"/>
      <c r="Z124" s="5"/>
      <c r="AA124" s="5">
        <f>-'E&amp;P - FAS69'!AA470</f>
        <v>22</v>
      </c>
      <c r="AB124" s="5"/>
      <c r="AC124" s="5"/>
      <c r="AD124" s="5"/>
      <c r="AE124" s="5"/>
      <c r="AF124" s="5">
        <f>-'E&amp;P - FAS69'!AF470</f>
        <v>17</v>
      </c>
      <c r="AG124" s="12">
        <f t="shared" si="20"/>
        <v>18.375</v>
      </c>
      <c r="AH124" s="12">
        <f t="shared" si="20"/>
        <v>31.26973684210526</v>
      </c>
      <c r="AI124" s="12">
        <f t="shared" si="20"/>
        <v>4.6052631578947363</v>
      </c>
      <c r="AJ124" s="12">
        <f t="shared" si="20"/>
        <v>15.75</v>
      </c>
      <c r="AK124" s="5">
        <f>-'E&amp;P - FAS69'!AK470</f>
        <v>70</v>
      </c>
      <c r="AL124" s="12">
        <f t="shared" si="24"/>
        <v>23.267796610169494</v>
      </c>
      <c r="AM124" s="12">
        <f t="shared" si="24"/>
        <v>55.126779661016954</v>
      </c>
      <c r="AN124" s="12">
        <f t="shared" si="24"/>
        <v>25.952542372881357</v>
      </c>
      <c r="AO124" s="12">
        <f t="shared" si="24"/>
        <v>27.652881355932205</v>
      </c>
      <c r="AP124" s="5">
        <f>-'E&amp;P - FAS69'!AP470</f>
        <v>132</v>
      </c>
      <c r="AQ124" s="12">
        <f t="shared" ref="AQ124:CD124" si="29">AQ$113*AQ132</f>
        <v>4.3981400755594304</v>
      </c>
      <c r="AR124" s="12">
        <f t="shared" si="29"/>
        <v>5.9279279279279278</v>
      </c>
      <c r="AS124" s="12">
        <f t="shared" si="29"/>
        <v>6.9796570764312698</v>
      </c>
      <c r="AT124" s="12">
        <f t="shared" si="29"/>
        <v>29.694274920081373</v>
      </c>
      <c r="AU124" s="5">
        <f>-'E&amp;P - FAS69'!AU470</f>
        <v>47</v>
      </c>
      <c r="AV124" s="12">
        <f t="shared" si="29"/>
        <v>15.66079295154185</v>
      </c>
      <c r="AW124" s="12">
        <f t="shared" si="29"/>
        <v>6.426211453744493</v>
      </c>
      <c r="AX124" s="12">
        <f t="shared" si="29"/>
        <v>13.876651982378855</v>
      </c>
      <c r="AY124" s="12">
        <f t="shared" si="29"/>
        <v>24.0363436123348</v>
      </c>
      <c r="AZ124" s="5">
        <f>-'E&amp;P - FAS69'!AZ470</f>
        <v>60</v>
      </c>
      <c r="BA124" s="12">
        <f t="shared" si="29"/>
        <v>4.4742371185592793</v>
      </c>
      <c r="BB124" s="12">
        <f t="shared" si="29"/>
        <v>23.463731865932967</v>
      </c>
      <c r="BC124" s="12">
        <f t="shared" si="22"/>
        <v>5.2026013006503252E-2</v>
      </c>
      <c r="BD124" s="12">
        <f t="shared" si="22"/>
        <v>47.732132481115627</v>
      </c>
      <c r="BE124" s="5">
        <f>-'E&amp;P - FAS69'!BE470</f>
        <v>52</v>
      </c>
      <c r="BF124" s="12">
        <f t="shared" si="23"/>
        <v>13.135386403253921</v>
      </c>
      <c r="BG124" s="12">
        <f t="shared" si="29"/>
        <v>18.099941894247529</v>
      </c>
      <c r="BH124" s="12">
        <f t="shared" si="29"/>
        <v>41.526438117373623</v>
      </c>
      <c r="BI124" s="12">
        <f t="shared" si="29"/>
        <v>16.238233585124927</v>
      </c>
      <c r="BJ124" s="5">
        <f>-'E&amp;P - FAS69'!BJ470</f>
        <v>89</v>
      </c>
      <c r="BK124" s="12">
        <f t="shared" si="29"/>
        <v>3.3673076923076923</v>
      </c>
      <c r="BL124" s="12">
        <f t="shared" si="29"/>
        <v>6.947115384615385</v>
      </c>
      <c r="BM124" s="12">
        <f t="shared" si="29"/>
        <v>2.4274038461538461</v>
      </c>
      <c r="BN124" s="12">
        <f t="shared" si="29"/>
        <v>4.258173076923077</v>
      </c>
      <c r="BO124" s="5">
        <f>-'E&amp;P - FAS69'!BO470</f>
        <v>17</v>
      </c>
      <c r="BP124" s="12">
        <f t="shared" si="29"/>
        <v>7.5000000000000071</v>
      </c>
      <c r="BQ124" s="12">
        <f t="shared" si="29"/>
        <v>4.8537777777777817</v>
      </c>
      <c r="BR124" s="12">
        <f t="shared" si="29"/>
        <v>4.8537777777777817</v>
      </c>
      <c r="BS124" s="12">
        <f t="shared" si="29"/>
        <v>4.8537777777777817</v>
      </c>
      <c r="BT124" s="5">
        <f t="shared" si="29"/>
        <v>22.061333333333351</v>
      </c>
      <c r="BU124" s="12">
        <f t="shared" si="29"/>
        <v>4.5218333333333378</v>
      </c>
      <c r="BV124" s="12">
        <f t="shared" si="29"/>
        <v>4.5218333333333378</v>
      </c>
      <c r="BW124" s="12">
        <f t="shared" si="29"/>
        <v>4.5218333333333378</v>
      </c>
      <c r="BX124" s="12">
        <f t="shared" si="29"/>
        <v>4.5218333333333378</v>
      </c>
      <c r="BY124" s="5">
        <f t="shared" si="29"/>
        <v>18.087333333333351</v>
      </c>
      <c r="BZ124" s="12">
        <f t="shared" si="29"/>
        <v>2.912000000000003</v>
      </c>
      <c r="CA124" s="12">
        <f t="shared" si="29"/>
        <v>2.912000000000003</v>
      </c>
      <c r="CB124" s="12">
        <f t="shared" si="29"/>
        <v>2.912000000000003</v>
      </c>
      <c r="CC124" s="12">
        <f t="shared" si="29"/>
        <v>2.912000000000003</v>
      </c>
      <c r="CD124" s="5">
        <f t="shared" si="29"/>
        <v>11.648000000000012</v>
      </c>
    </row>
    <row r="125" spans="1:88">
      <c r="A125" s="75"/>
      <c r="B125" s="7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</row>
    <row r="126" spans="1:88">
      <c r="A126" s="7" t="s">
        <v>1533</v>
      </c>
      <c r="B126" s="4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</row>
    <row r="127" spans="1:88">
      <c r="A127" s="7"/>
      <c r="B127" s="121" t="s">
        <v>305</v>
      </c>
      <c r="C127" s="72"/>
      <c r="D127" s="72"/>
      <c r="E127" s="72"/>
      <c r="F127" s="72"/>
      <c r="G127" s="72"/>
      <c r="H127" s="5"/>
      <c r="I127" s="5"/>
      <c r="J127" s="5"/>
      <c r="K127" s="5"/>
      <c r="L127" s="116">
        <f t="shared" ref="L127:L132" si="30">L119/L$113</f>
        <v>1.8181818181818181E-2</v>
      </c>
      <c r="M127" s="5"/>
      <c r="N127" s="5"/>
      <c r="O127" s="5"/>
      <c r="P127" s="5"/>
      <c r="Q127" s="116">
        <f t="shared" ref="Q127:Q132" si="31">Q119/Q$113</f>
        <v>6.0846560846560843E-2</v>
      </c>
      <c r="R127" s="5"/>
      <c r="S127" s="5"/>
      <c r="T127" s="5"/>
      <c r="U127" s="5"/>
      <c r="V127" s="116">
        <f t="shared" ref="V127:V132" si="32">V119/V$113</f>
        <v>0.1383219954648526</v>
      </c>
      <c r="W127" s="5"/>
      <c r="X127" s="5"/>
      <c r="Y127" s="5"/>
      <c r="Z127" s="5"/>
      <c r="AA127" s="116">
        <f t="shared" ref="AA127:AA132" si="33">AA119/AA$113</f>
        <v>5.2867383512544802E-2</v>
      </c>
      <c r="AB127" s="5"/>
      <c r="AC127" s="5"/>
      <c r="AD127" s="5"/>
      <c r="AE127" s="5"/>
      <c r="AF127" s="116">
        <f t="shared" ref="AF127:AF132" si="34">AF119/AF$113</f>
        <v>9.4899169632265717E-2</v>
      </c>
      <c r="AG127" s="146">
        <f t="shared" ref="AG127:AG132" si="35">AK127</f>
        <v>2.5000000000000001E-2</v>
      </c>
      <c r="AH127" s="146">
        <f t="shared" ref="AH127:AH132" si="36">AK127</f>
        <v>2.5000000000000001E-2</v>
      </c>
      <c r="AI127" s="146">
        <f t="shared" ref="AI127:AI132" si="37">AK127</f>
        <v>2.5000000000000001E-2</v>
      </c>
      <c r="AJ127" s="146">
        <f t="shared" ref="AJ127:AJ132" si="38">AK127</f>
        <v>2.5000000000000001E-2</v>
      </c>
      <c r="AK127" s="116">
        <f t="shared" ref="AK127:AK132" si="39">AK119/AK$113</f>
        <v>2.5000000000000001E-2</v>
      </c>
      <c r="AL127" s="146">
        <f t="shared" ref="AL127:AL132" si="40">AP127</f>
        <v>9.0847457627118641E-2</v>
      </c>
      <c r="AM127" s="146">
        <f t="shared" ref="AM127:AM132" si="41">AP127</f>
        <v>9.0847457627118641E-2</v>
      </c>
      <c r="AN127" s="146">
        <f t="shared" ref="AN127:AN132" si="42">AP127</f>
        <v>9.0847457627118641E-2</v>
      </c>
      <c r="AO127" s="458">
        <f t="shared" ref="AO127:AO132" si="43">AP127</f>
        <v>9.0847457627118641E-2</v>
      </c>
      <c r="AP127" s="116">
        <f t="shared" ref="AP127:AP132" si="44">AP119/AP$113</f>
        <v>9.0847457627118641E-2</v>
      </c>
      <c r="AQ127" s="146">
        <f t="shared" ref="AQ127:AQ132" si="45">AU127</f>
        <v>8.6312118570183088E-2</v>
      </c>
      <c r="AR127" s="146">
        <f t="shared" ref="AR127:AR132" si="46">AU127</f>
        <v>8.6312118570183088E-2</v>
      </c>
      <c r="AS127" s="146">
        <f t="shared" ref="AS127:AS132" si="47">AU127</f>
        <v>8.6312118570183088E-2</v>
      </c>
      <c r="AT127" s="146">
        <f t="shared" ref="AT127:AT132" si="48">AU127</f>
        <v>8.6312118570183088E-2</v>
      </c>
      <c r="AU127" s="116">
        <f t="shared" ref="AU127:AU132" si="49">AU119/AU$113</f>
        <v>8.6312118570183088E-2</v>
      </c>
      <c r="AV127" s="146">
        <f t="shared" ref="AV127:AV132" si="50">AZ127</f>
        <v>3.8821585903083704E-2</v>
      </c>
      <c r="AW127" s="146">
        <f t="shared" ref="AW127:AW132" si="51">AZ127</f>
        <v>3.8821585903083704E-2</v>
      </c>
      <c r="AX127" s="146">
        <f t="shared" ref="AX127:AX132" si="52">AZ127</f>
        <v>3.8821585903083704E-2</v>
      </c>
      <c r="AY127" s="146">
        <f t="shared" ref="AY127:AY132" si="53">AZ127</f>
        <v>3.8821585903083704E-2</v>
      </c>
      <c r="AZ127" s="116">
        <f t="shared" ref="AZ127:AZ132" si="54">AZ119/AZ$113</f>
        <v>3.8821585903083704E-2</v>
      </c>
      <c r="BA127" s="146">
        <f t="shared" ref="BA127:BA132" si="55">BE127</f>
        <v>6.1530765382691345E-2</v>
      </c>
      <c r="BB127" s="146">
        <f t="shared" ref="BB127:BB132" si="56">BE127</f>
        <v>6.1530765382691345E-2</v>
      </c>
      <c r="BC127" s="146">
        <f t="shared" ref="BC127:BF132" si="57">BE127</f>
        <v>6.1530765382691345E-2</v>
      </c>
      <c r="BD127" s="146">
        <f t="shared" si="57"/>
        <v>7.9023823358512491E-2</v>
      </c>
      <c r="BE127" s="116">
        <f t="shared" ref="BE127:BE132" si="58">BE119/BE$113</f>
        <v>6.1530765382691345E-2</v>
      </c>
      <c r="BF127" s="146">
        <f t="shared" si="57"/>
        <v>7.9023823358512491E-2</v>
      </c>
      <c r="BG127" s="146">
        <f t="shared" ref="BG127:BG132" si="59">BJ127</f>
        <v>7.9023823358512491E-2</v>
      </c>
      <c r="BH127" s="146">
        <f t="shared" ref="BH127:BH132" si="60">BJ127</f>
        <v>7.9023823358512491E-2</v>
      </c>
      <c r="BI127" s="146">
        <f t="shared" ref="BI127:BI132" si="61">BJ127</f>
        <v>7.9023823358512491E-2</v>
      </c>
      <c r="BJ127" s="116">
        <f t="shared" ref="BJ127:BJ132" si="62">BJ119/BJ$113</f>
        <v>7.9023823358512491E-2</v>
      </c>
      <c r="BK127" s="146">
        <f t="shared" ref="BK127:BK132" si="63">BO127</f>
        <v>0.15913461538461537</v>
      </c>
      <c r="BL127" s="146">
        <f t="shared" ref="BL127:BL132" si="64">BO127</f>
        <v>0.15913461538461537</v>
      </c>
      <c r="BM127" s="146">
        <f t="shared" ref="BM127:BM132" si="65">BO127</f>
        <v>0.15913461538461537</v>
      </c>
      <c r="BN127" s="146">
        <f t="shared" ref="BN127:BN132" si="66">BO127</f>
        <v>0.15913461538461537</v>
      </c>
      <c r="BO127" s="116">
        <f t="shared" ref="BO127:BO132" si="67">BO119/BO$113</f>
        <v>0.15913461538461537</v>
      </c>
      <c r="BP127" s="146">
        <f t="shared" ref="BP127:BP132" si="68">BT127</f>
        <v>0.05</v>
      </c>
      <c r="BQ127" s="146">
        <f t="shared" ref="BQ127:BQ132" si="69">BT127</f>
        <v>0.05</v>
      </c>
      <c r="BR127" s="146">
        <f t="shared" ref="BR127:BR132" si="70">BT127</f>
        <v>0.05</v>
      </c>
      <c r="BS127" s="146">
        <f t="shared" ref="BS127:BS132" si="71">BT127</f>
        <v>0.05</v>
      </c>
      <c r="BT127" s="127">
        <v>0.05</v>
      </c>
      <c r="BU127" s="146">
        <f t="shared" ref="BU127:BU132" si="72">BY127</f>
        <v>0.05</v>
      </c>
      <c r="BV127" s="146">
        <f t="shared" ref="BV127:BV132" si="73">BY127</f>
        <v>0.05</v>
      </c>
      <c r="BW127" s="146">
        <f t="shared" ref="BW127:BW132" si="74">BY127</f>
        <v>0.05</v>
      </c>
      <c r="BX127" s="146">
        <f t="shared" ref="BX127:BX132" si="75">BY127</f>
        <v>0.05</v>
      </c>
      <c r="BY127" s="127">
        <v>0.05</v>
      </c>
      <c r="BZ127" s="146">
        <f t="shared" ref="BZ127:BZ132" si="76">CD127</f>
        <v>0.05</v>
      </c>
      <c r="CA127" s="146">
        <f t="shared" ref="CA127:CA132" si="77">CD127</f>
        <v>0.05</v>
      </c>
      <c r="CB127" s="146">
        <f t="shared" ref="CB127:CB132" si="78">CD127</f>
        <v>0.05</v>
      </c>
      <c r="CC127" s="146">
        <f t="shared" ref="CC127:CC132" si="79">CD127</f>
        <v>0.05</v>
      </c>
      <c r="CD127" s="127">
        <v>0.05</v>
      </c>
    </row>
    <row r="128" spans="1:88">
      <c r="A128" s="75"/>
      <c r="B128" s="141" t="s">
        <v>310</v>
      </c>
      <c r="C128" s="72"/>
      <c r="D128" s="72"/>
      <c r="E128" s="72"/>
      <c r="F128" s="72"/>
      <c r="G128" s="72"/>
      <c r="H128" s="5"/>
      <c r="I128" s="5"/>
      <c r="J128" s="5"/>
      <c r="K128" s="5"/>
      <c r="L128" s="116">
        <f t="shared" si="30"/>
        <v>0.62966507177033493</v>
      </c>
      <c r="M128" s="5"/>
      <c r="N128" s="5"/>
      <c r="O128" s="5"/>
      <c r="P128" s="5"/>
      <c r="Q128" s="116">
        <f t="shared" si="31"/>
        <v>0.40873015873015872</v>
      </c>
      <c r="R128" s="5"/>
      <c r="S128" s="5"/>
      <c r="T128" s="5"/>
      <c r="U128" s="5"/>
      <c r="V128" s="116">
        <f t="shared" si="32"/>
        <v>0.38208616780045351</v>
      </c>
      <c r="W128" s="5"/>
      <c r="X128" s="5"/>
      <c r="Y128" s="5"/>
      <c r="Z128" s="5"/>
      <c r="AA128" s="116">
        <f t="shared" si="33"/>
        <v>0.66577060931899645</v>
      </c>
      <c r="AB128" s="5"/>
      <c r="AC128" s="5"/>
      <c r="AD128" s="5"/>
      <c r="AE128" s="5"/>
      <c r="AF128" s="116">
        <f t="shared" si="34"/>
        <v>0.58125741399762754</v>
      </c>
      <c r="AG128" s="146">
        <f t="shared" si="35"/>
        <v>0.70657894736842108</v>
      </c>
      <c r="AH128" s="146">
        <f t="shared" si="36"/>
        <v>0.70657894736842108</v>
      </c>
      <c r="AI128" s="146">
        <f t="shared" si="37"/>
        <v>0.70657894736842108</v>
      </c>
      <c r="AJ128" s="146">
        <f t="shared" si="38"/>
        <v>0.70657894736842108</v>
      </c>
      <c r="AK128" s="116">
        <f t="shared" si="39"/>
        <v>0.70657894736842108</v>
      </c>
      <c r="AL128" s="146">
        <f t="shared" si="40"/>
        <v>0.44271186440677968</v>
      </c>
      <c r="AM128" s="146">
        <f t="shared" si="41"/>
        <v>0.44271186440677968</v>
      </c>
      <c r="AN128" s="146">
        <f t="shared" si="42"/>
        <v>0.44271186440677968</v>
      </c>
      <c r="AO128" s="458">
        <f t="shared" si="43"/>
        <v>0.44271186440677968</v>
      </c>
      <c r="AP128" s="116">
        <f t="shared" si="44"/>
        <v>0.44271186440677968</v>
      </c>
      <c r="AQ128" s="146">
        <f t="shared" si="45"/>
        <v>0.13513513513513514</v>
      </c>
      <c r="AR128" s="146">
        <f t="shared" si="46"/>
        <v>0.13513513513513514</v>
      </c>
      <c r="AS128" s="146">
        <f t="shared" si="47"/>
        <v>0.13513513513513514</v>
      </c>
      <c r="AT128" s="146">
        <f t="shared" si="48"/>
        <v>0.13513513513513514</v>
      </c>
      <c r="AU128" s="116">
        <f t="shared" si="49"/>
        <v>0.13513513513513514</v>
      </c>
      <c r="AV128" s="146">
        <f t="shared" si="50"/>
        <v>0.37362334801762115</v>
      </c>
      <c r="AW128" s="146">
        <f t="shared" si="51"/>
        <v>0.37362334801762115</v>
      </c>
      <c r="AX128" s="146">
        <f t="shared" si="52"/>
        <v>0.37362334801762115</v>
      </c>
      <c r="AY128" s="146">
        <f t="shared" si="53"/>
        <v>0.37362334801762115</v>
      </c>
      <c r="AZ128" s="116">
        <f t="shared" si="54"/>
        <v>0.37362334801762115</v>
      </c>
      <c r="BA128" s="146">
        <f t="shared" si="55"/>
        <v>0.53426713356678335</v>
      </c>
      <c r="BB128" s="146">
        <f t="shared" si="56"/>
        <v>0.53426713356678335</v>
      </c>
      <c r="BC128" s="146">
        <f t="shared" si="57"/>
        <v>0.53426713356678335</v>
      </c>
      <c r="BD128" s="146">
        <f t="shared" si="57"/>
        <v>0.43811737361998837</v>
      </c>
      <c r="BE128" s="116">
        <f t="shared" si="58"/>
        <v>0.53426713356678335</v>
      </c>
      <c r="BF128" s="146">
        <f t="shared" si="57"/>
        <v>0.43811737361998837</v>
      </c>
      <c r="BG128" s="146">
        <f t="shared" si="59"/>
        <v>0.43811737361998837</v>
      </c>
      <c r="BH128" s="146">
        <f t="shared" si="60"/>
        <v>0.43811737361998837</v>
      </c>
      <c r="BI128" s="146">
        <f t="shared" si="61"/>
        <v>0.43811737361998837</v>
      </c>
      <c r="BJ128" s="116">
        <f t="shared" si="62"/>
        <v>0.43811737361998837</v>
      </c>
      <c r="BK128" s="146">
        <f t="shared" si="63"/>
        <v>0.15432692307692308</v>
      </c>
      <c r="BL128" s="146">
        <f t="shared" si="64"/>
        <v>0.15432692307692308</v>
      </c>
      <c r="BM128" s="146">
        <f t="shared" si="65"/>
        <v>0.15432692307692308</v>
      </c>
      <c r="BN128" s="146">
        <f t="shared" si="66"/>
        <v>0.15432692307692308</v>
      </c>
      <c r="BO128" s="116">
        <f t="shared" si="67"/>
        <v>0.15432692307692308</v>
      </c>
      <c r="BP128" s="146">
        <f t="shared" si="68"/>
        <v>0.38</v>
      </c>
      <c r="BQ128" s="146">
        <f t="shared" si="69"/>
        <v>0.38</v>
      </c>
      <c r="BR128" s="146">
        <f t="shared" si="70"/>
        <v>0.38</v>
      </c>
      <c r="BS128" s="146">
        <f t="shared" si="71"/>
        <v>0.38</v>
      </c>
      <c r="BT128" s="127">
        <v>0.38</v>
      </c>
      <c r="BU128" s="146">
        <f t="shared" si="72"/>
        <v>0.38</v>
      </c>
      <c r="BV128" s="146">
        <f t="shared" si="73"/>
        <v>0.38</v>
      </c>
      <c r="BW128" s="146">
        <f t="shared" si="74"/>
        <v>0.38</v>
      </c>
      <c r="BX128" s="146">
        <f t="shared" si="75"/>
        <v>0.38</v>
      </c>
      <c r="BY128" s="127">
        <v>0.38</v>
      </c>
      <c r="BZ128" s="146">
        <f t="shared" si="76"/>
        <v>0.38</v>
      </c>
      <c r="CA128" s="146">
        <f t="shared" si="77"/>
        <v>0.38</v>
      </c>
      <c r="CB128" s="146">
        <f t="shared" si="78"/>
        <v>0.38</v>
      </c>
      <c r="CC128" s="146">
        <f t="shared" si="79"/>
        <v>0.38</v>
      </c>
      <c r="CD128" s="127">
        <v>0.38</v>
      </c>
    </row>
    <row r="129" spans="1:82">
      <c r="A129" s="75"/>
      <c r="B129" s="141" t="s">
        <v>1994</v>
      </c>
      <c r="C129" s="72"/>
      <c r="D129" s="72"/>
      <c r="E129" s="72"/>
      <c r="F129" s="72"/>
      <c r="G129" s="72"/>
      <c r="H129" s="5"/>
      <c r="I129" s="5"/>
      <c r="J129" s="5"/>
      <c r="K129" s="5"/>
      <c r="L129" s="116">
        <f t="shared" si="30"/>
        <v>0.10334928229665072</v>
      </c>
      <c r="M129" s="5"/>
      <c r="N129" s="5"/>
      <c r="O129" s="5"/>
      <c r="P129" s="5"/>
      <c r="Q129" s="116">
        <f t="shared" si="31"/>
        <v>0.10185185185185185</v>
      </c>
      <c r="R129" s="5"/>
      <c r="S129" s="5"/>
      <c r="T129" s="5"/>
      <c r="U129" s="5"/>
      <c r="V129" s="116">
        <f t="shared" si="32"/>
        <v>3.4013605442176874E-2</v>
      </c>
      <c r="W129" s="5"/>
      <c r="X129" s="5"/>
      <c r="Y129" s="5"/>
      <c r="Z129" s="5"/>
      <c r="AA129" s="116">
        <f t="shared" si="33"/>
        <v>1.4336917562724014E-2</v>
      </c>
      <c r="AB129" s="5"/>
      <c r="AC129" s="5"/>
      <c r="AD129" s="5"/>
      <c r="AE129" s="5"/>
      <c r="AF129" s="116">
        <f t="shared" si="34"/>
        <v>1.0676156583629894E-2</v>
      </c>
      <c r="AG129" s="146">
        <f t="shared" si="35"/>
        <v>2.3026315789473683E-2</v>
      </c>
      <c r="AH129" s="146">
        <f t="shared" si="36"/>
        <v>2.3026315789473683E-2</v>
      </c>
      <c r="AI129" s="146">
        <f t="shared" si="37"/>
        <v>2.3026315789473683E-2</v>
      </c>
      <c r="AJ129" s="146">
        <f t="shared" si="38"/>
        <v>2.3026315789473683E-2</v>
      </c>
      <c r="AK129" s="116">
        <f t="shared" si="39"/>
        <v>2.3026315789473683E-2</v>
      </c>
      <c r="AL129" s="146">
        <f t="shared" si="40"/>
        <v>8.1355932203389825E-2</v>
      </c>
      <c r="AM129" s="146">
        <f t="shared" si="41"/>
        <v>8.1355932203389825E-2</v>
      </c>
      <c r="AN129" s="146">
        <f t="shared" si="42"/>
        <v>8.1355932203389825E-2</v>
      </c>
      <c r="AO129" s="458">
        <f t="shared" si="43"/>
        <v>8.1355932203389825E-2</v>
      </c>
      <c r="AP129" s="116">
        <f t="shared" si="44"/>
        <v>8.1355932203389825E-2</v>
      </c>
      <c r="AQ129" s="146">
        <f t="shared" si="45"/>
        <v>0.42923568730020345</v>
      </c>
      <c r="AR129" s="146">
        <f t="shared" si="46"/>
        <v>0.42923568730020345</v>
      </c>
      <c r="AS129" s="146">
        <f t="shared" si="47"/>
        <v>0.42923568730020345</v>
      </c>
      <c r="AT129" s="146">
        <f t="shared" si="48"/>
        <v>0.42923568730020345</v>
      </c>
      <c r="AU129" s="116">
        <f t="shared" si="49"/>
        <v>0.42923568730020345</v>
      </c>
      <c r="AV129" s="146">
        <f t="shared" si="50"/>
        <v>0.138215859030837</v>
      </c>
      <c r="AW129" s="146">
        <f t="shared" si="51"/>
        <v>0.138215859030837</v>
      </c>
      <c r="AX129" s="146">
        <f t="shared" si="52"/>
        <v>0.138215859030837</v>
      </c>
      <c r="AY129" s="146">
        <f t="shared" si="53"/>
        <v>0.138215859030837</v>
      </c>
      <c r="AZ129" s="116">
        <f t="shared" si="54"/>
        <v>0.138215859030837</v>
      </c>
      <c r="BA129" s="146">
        <f t="shared" si="55"/>
        <v>2.5512756378189096E-2</v>
      </c>
      <c r="BB129" s="146">
        <f t="shared" si="56"/>
        <v>2.5512756378189096E-2</v>
      </c>
      <c r="BC129" s="146">
        <f t="shared" si="57"/>
        <v>2.5512756378189096E-2</v>
      </c>
      <c r="BD129" s="146">
        <f t="shared" si="57"/>
        <v>0.39047065659500291</v>
      </c>
      <c r="BE129" s="116">
        <f t="shared" si="58"/>
        <v>2.5512756378189096E-2</v>
      </c>
      <c r="BF129" s="146">
        <f t="shared" si="57"/>
        <v>0.39047065659500291</v>
      </c>
      <c r="BG129" s="146">
        <f t="shared" si="59"/>
        <v>0.39047065659500291</v>
      </c>
      <c r="BH129" s="146">
        <f t="shared" si="60"/>
        <v>0.39047065659500291</v>
      </c>
      <c r="BI129" s="146">
        <f t="shared" si="61"/>
        <v>0.39047065659500291</v>
      </c>
      <c r="BJ129" s="116">
        <f t="shared" si="62"/>
        <v>0.39047065659500291</v>
      </c>
      <c r="BK129" s="146">
        <f t="shared" si="63"/>
        <v>3.9903846153846151E-2</v>
      </c>
      <c r="BL129" s="146">
        <f t="shared" si="64"/>
        <v>3.9903846153846151E-2</v>
      </c>
      <c r="BM129" s="146">
        <f t="shared" si="65"/>
        <v>3.9903846153846151E-2</v>
      </c>
      <c r="BN129" s="146">
        <f t="shared" si="66"/>
        <v>3.9903846153846151E-2</v>
      </c>
      <c r="BO129" s="116">
        <f t="shared" si="67"/>
        <v>3.9903846153846151E-2</v>
      </c>
      <c r="BP129" s="146">
        <f t="shared" si="68"/>
        <v>0.1</v>
      </c>
      <c r="BQ129" s="146">
        <f t="shared" si="69"/>
        <v>0.1</v>
      </c>
      <c r="BR129" s="146">
        <f t="shared" si="70"/>
        <v>0.1</v>
      </c>
      <c r="BS129" s="146">
        <f t="shared" si="71"/>
        <v>0.1</v>
      </c>
      <c r="BT129" s="127">
        <v>0.1</v>
      </c>
      <c r="BU129" s="146">
        <f t="shared" si="72"/>
        <v>0.1</v>
      </c>
      <c r="BV129" s="146">
        <f t="shared" si="73"/>
        <v>0.1</v>
      </c>
      <c r="BW129" s="146">
        <f t="shared" si="74"/>
        <v>0.1</v>
      </c>
      <c r="BX129" s="146">
        <f t="shared" si="75"/>
        <v>0.1</v>
      </c>
      <c r="BY129" s="127">
        <v>0.1</v>
      </c>
      <c r="BZ129" s="146">
        <f t="shared" si="76"/>
        <v>0.1</v>
      </c>
      <c r="CA129" s="146">
        <f t="shared" si="77"/>
        <v>0.1</v>
      </c>
      <c r="CB129" s="146">
        <f t="shared" si="78"/>
        <v>0.1</v>
      </c>
      <c r="CC129" s="146">
        <f t="shared" si="79"/>
        <v>0.1</v>
      </c>
      <c r="CD129" s="127">
        <v>0.1</v>
      </c>
    </row>
    <row r="130" spans="1:82">
      <c r="A130" s="75"/>
      <c r="B130" s="141" t="s">
        <v>120</v>
      </c>
      <c r="C130" s="72"/>
      <c r="D130" s="72"/>
      <c r="E130" s="72"/>
      <c r="F130" s="72"/>
      <c r="G130" s="72"/>
      <c r="H130" s="5"/>
      <c r="I130" s="5"/>
      <c r="J130" s="5"/>
      <c r="K130" s="5"/>
      <c r="L130" s="116">
        <f t="shared" si="30"/>
        <v>0.12631578947368421</v>
      </c>
      <c r="M130" s="5"/>
      <c r="N130" s="5"/>
      <c r="O130" s="5"/>
      <c r="P130" s="5"/>
      <c r="Q130" s="116">
        <f t="shared" si="31"/>
        <v>0.24206349206349206</v>
      </c>
      <c r="R130" s="5"/>
      <c r="S130" s="5"/>
      <c r="T130" s="5"/>
      <c r="U130" s="5"/>
      <c r="V130" s="116">
        <f t="shared" si="32"/>
        <v>0.24149659863945577</v>
      </c>
      <c r="W130" s="5"/>
      <c r="X130" s="5"/>
      <c r="Y130" s="5"/>
      <c r="Z130" s="5"/>
      <c r="AA130" s="116">
        <f t="shared" si="33"/>
        <v>0.19623655913978494</v>
      </c>
      <c r="AB130" s="5"/>
      <c r="AC130" s="5"/>
      <c r="AD130" s="5"/>
      <c r="AE130" s="5"/>
      <c r="AF130" s="116">
        <f t="shared" si="34"/>
        <v>0.22419928825622776</v>
      </c>
      <c r="AG130" s="146">
        <f t="shared" si="35"/>
        <v>0.10723684210526316</v>
      </c>
      <c r="AH130" s="146">
        <f t="shared" si="36"/>
        <v>0.10723684210526316</v>
      </c>
      <c r="AI130" s="146">
        <f t="shared" si="37"/>
        <v>0.10723684210526316</v>
      </c>
      <c r="AJ130" s="146">
        <f t="shared" si="38"/>
        <v>0.10723684210526316</v>
      </c>
      <c r="AK130" s="116">
        <f t="shared" si="39"/>
        <v>0.10723684210526316</v>
      </c>
      <c r="AL130" s="146">
        <f t="shared" si="40"/>
        <v>0.21016949152542372</v>
      </c>
      <c r="AM130" s="146">
        <f t="shared" si="41"/>
        <v>0.21016949152542372</v>
      </c>
      <c r="AN130" s="146">
        <f t="shared" si="42"/>
        <v>0.21016949152542372</v>
      </c>
      <c r="AO130" s="458">
        <f t="shared" si="43"/>
        <v>0.21016949152542372</v>
      </c>
      <c r="AP130" s="116">
        <f t="shared" si="44"/>
        <v>0.21016949152542372</v>
      </c>
      <c r="AQ130" s="146">
        <f t="shared" si="45"/>
        <v>0.11246730601569312</v>
      </c>
      <c r="AR130" s="146">
        <f t="shared" si="46"/>
        <v>0.11246730601569312</v>
      </c>
      <c r="AS130" s="146">
        <f t="shared" si="47"/>
        <v>0.11246730601569312</v>
      </c>
      <c r="AT130" s="146">
        <f t="shared" si="48"/>
        <v>0.11246730601569312</v>
      </c>
      <c r="AU130" s="116">
        <f t="shared" si="49"/>
        <v>0.11246730601569312</v>
      </c>
      <c r="AV130" s="146">
        <f t="shared" si="50"/>
        <v>0.236784140969163</v>
      </c>
      <c r="AW130" s="146">
        <f t="shared" si="51"/>
        <v>0.236784140969163</v>
      </c>
      <c r="AX130" s="146">
        <f t="shared" si="52"/>
        <v>0.236784140969163</v>
      </c>
      <c r="AY130" s="146">
        <f t="shared" si="53"/>
        <v>0.236784140969163</v>
      </c>
      <c r="AZ130" s="116">
        <f t="shared" si="54"/>
        <v>0.236784140969163</v>
      </c>
      <c r="BA130" s="146">
        <f t="shared" si="55"/>
        <v>0.5007503751875938</v>
      </c>
      <c r="BB130" s="146">
        <f t="shared" si="56"/>
        <v>0.5007503751875938</v>
      </c>
      <c r="BC130" s="146">
        <f t="shared" si="57"/>
        <v>0.5007503751875938</v>
      </c>
      <c r="BD130" s="146">
        <f t="shared" si="57"/>
        <v>5.05520046484602E-2</v>
      </c>
      <c r="BE130" s="116">
        <f t="shared" si="58"/>
        <v>0.5007503751875938</v>
      </c>
      <c r="BF130" s="146">
        <f t="shared" si="57"/>
        <v>5.05520046484602E-2</v>
      </c>
      <c r="BG130" s="146">
        <f t="shared" si="59"/>
        <v>5.05520046484602E-2</v>
      </c>
      <c r="BH130" s="146">
        <f t="shared" si="60"/>
        <v>5.05520046484602E-2</v>
      </c>
      <c r="BI130" s="146">
        <f t="shared" si="61"/>
        <v>5.05520046484602E-2</v>
      </c>
      <c r="BJ130" s="116">
        <f t="shared" si="62"/>
        <v>5.05520046484602E-2</v>
      </c>
      <c r="BK130" s="146">
        <f t="shared" si="63"/>
        <v>0.64711538461538465</v>
      </c>
      <c r="BL130" s="146">
        <f t="shared" si="64"/>
        <v>0.64711538461538465</v>
      </c>
      <c r="BM130" s="146">
        <f t="shared" si="65"/>
        <v>0.64711538461538465</v>
      </c>
      <c r="BN130" s="146">
        <f t="shared" si="66"/>
        <v>0.64711538461538465</v>
      </c>
      <c r="BO130" s="116">
        <f t="shared" si="67"/>
        <v>0.64711538461538465</v>
      </c>
      <c r="BP130" s="146">
        <f t="shared" si="68"/>
        <v>0.35</v>
      </c>
      <c r="BQ130" s="146">
        <f t="shared" si="69"/>
        <v>0.35</v>
      </c>
      <c r="BR130" s="146">
        <f t="shared" si="70"/>
        <v>0.35</v>
      </c>
      <c r="BS130" s="146">
        <f t="shared" si="71"/>
        <v>0.35</v>
      </c>
      <c r="BT130" s="127">
        <v>0.35</v>
      </c>
      <c r="BU130" s="146">
        <f t="shared" si="72"/>
        <v>0.35</v>
      </c>
      <c r="BV130" s="146">
        <f t="shared" si="73"/>
        <v>0.35</v>
      </c>
      <c r="BW130" s="146">
        <f t="shared" si="74"/>
        <v>0.35</v>
      </c>
      <c r="BX130" s="146">
        <f t="shared" si="75"/>
        <v>0.35</v>
      </c>
      <c r="BY130" s="127">
        <v>0.35</v>
      </c>
      <c r="BZ130" s="146">
        <f t="shared" si="76"/>
        <v>0.35</v>
      </c>
      <c r="CA130" s="146">
        <f t="shared" si="77"/>
        <v>0.35</v>
      </c>
      <c r="CB130" s="146">
        <f t="shared" si="78"/>
        <v>0.35</v>
      </c>
      <c r="CC130" s="146">
        <f t="shared" si="79"/>
        <v>0.35</v>
      </c>
      <c r="CD130" s="127">
        <v>0.35</v>
      </c>
    </row>
    <row r="131" spans="1:82">
      <c r="A131" s="75"/>
      <c r="B131" s="141" t="s">
        <v>2462</v>
      </c>
      <c r="C131" s="72"/>
      <c r="D131" s="72"/>
      <c r="E131" s="72"/>
      <c r="F131" s="72"/>
      <c r="G131" s="72"/>
      <c r="H131" s="5"/>
      <c r="I131" s="5"/>
      <c r="J131" s="5"/>
      <c r="K131" s="5"/>
      <c r="L131" s="116">
        <f t="shared" si="30"/>
        <v>0.11674641148325358</v>
      </c>
      <c r="M131" s="5"/>
      <c r="N131" s="5"/>
      <c r="O131" s="5"/>
      <c r="P131" s="5"/>
      <c r="Q131" s="116">
        <f t="shared" si="31"/>
        <v>0.17724867724867724</v>
      </c>
      <c r="R131" s="5"/>
      <c r="S131" s="5"/>
      <c r="T131" s="5"/>
      <c r="U131" s="5"/>
      <c r="V131" s="116">
        <f t="shared" si="32"/>
        <v>0.17460317460317459</v>
      </c>
      <c r="W131" s="5"/>
      <c r="X131" s="5"/>
      <c r="Y131" s="5"/>
      <c r="Z131" s="5"/>
      <c r="AA131" s="116">
        <f t="shared" si="33"/>
        <v>5.1075268817204304E-2</v>
      </c>
      <c r="AB131" s="5"/>
      <c r="AC131" s="5"/>
      <c r="AD131" s="5"/>
      <c r="AE131" s="5"/>
      <c r="AF131" s="116">
        <f t="shared" si="34"/>
        <v>6.8801897983392646E-2</v>
      </c>
      <c r="AG131" s="146">
        <f t="shared" si="35"/>
        <v>9.2105263157894732E-2</v>
      </c>
      <c r="AH131" s="146">
        <f t="shared" si="36"/>
        <v>9.2105263157894732E-2</v>
      </c>
      <c r="AI131" s="146">
        <f t="shared" si="37"/>
        <v>9.2105263157894732E-2</v>
      </c>
      <c r="AJ131" s="146">
        <f t="shared" si="38"/>
        <v>9.2105263157894732E-2</v>
      </c>
      <c r="AK131" s="116">
        <f t="shared" si="39"/>
        <v>9.2105263157894732E-2</v>
      </c>
      <c r="AL131" s="146">
        <f t="shared" si="40"/>
        <v>8.5423728813559321E-2</v>
      </c>
      <c r="AM131" s="146">
        <f t="shared" si="41"/>
        <v>8.5423728813559321E-2</v>
      </c>
      <c r="AN131" s="146">
        <f t="shared" si="42"/>
        <v>8.5423728813559321E-2</v>
      </c>
      <c r="AO131" s="458">
        <f t="shared" si="43"/>
        <v>8.5423728813559321E-2</v>
      </c>
      <c r="AP131" s="116">
        <f t="shared" si="44"/>
        <v>8.5423728813559321E-2</v>
      </c>
      <c r="AQ131" s="146">
        <f t="shared" si="45"/>
        <v>0.22319093286835223</v>
      </c>
      <c r="AR131" s="146">
        <f t="shared" si="46"/>
        <v>0.22319093286835223</v>
      </c>
      <c r="AS131" s="146">
        <f t="shared" si="47"/>
        <v>0.22319093286835223</v>
      </c>
      <c r="AT131" s="146">
        <f t="shared" si="48"/>
        <v>0.22319093286835223</v>
      </c>
      <c r="AU131" s="116">
        <f t="shared" si="49"/>
        <v>0.22319093286835223</v>
      </c>
      <c r="AV131" s="146">
        <f t="shared" si="50"/>
        <v>0.1960352422907489</v>
      </c>
      <c r="AW131" s="146">
        <f t="shared" si="51"/>
        <v>0.1960352422907489</v>
      </c>
      <c r="AX131" s="146">
        <f t="shared" si="52"/>
        <v>0.1960352422907489</v>
      </c>
      <c r="AY131" s="146">
        <f t="shared" si="53"/>
        <v>0.1960352422907489</v>
      </c>
      <c r="AZ131" s="116">
        <f t="shared" si="54"/>
        <v>0.1960352422907489</v>
      </c>
      <c r="BA131" s="146">
        <f t="shared" si="55"/>
        <v>2.9014507253626812E-2</v>
      </c>
      <c r="BB131" s="146">
        <f t="shared" si="56"/>
        <v>2.9014507253626812E-2</v>
      </c>
      <c r="BC131" s="146">
        <f t="shared" si="57"/>
        <v>2.9014507253626812E-2</v>
      </c>
      <c r="BD131" s="146">
        <f t="shared" si="57"/>
        <v>-9.8779779198140613E-3</v>
      </c>
      <c r="BE131" s="116">
        <f t="shared" si="58"/>
        <v>2.9014507253626812E-2</v>
      </c>
      <c r="BF131" s="146">
        <f t="shared" si="57"/>
        <v>-9.8779779198140613E-3</v>
      </c>
      <c r="BG131" s="146">
        <f t="shared" si="59"/>
        <v>-9.8779779198140613E-3</v>
      </c>
      <c r="BH131" s="146">
        <f t="shared" si="60"/>
        <v>-9.8779779198140613E-3</v>
      </c>
      <c r="BI131" s="146">
        <f t="shared" si="61"/>
        <v>-9.8779779198140613E-3</v>
      </c>
      <c r="BJ131" s="116">
        <f t="shared" si="62"/>
        <v>-9.8779779198140613E-3</v>
      </c>
      <c r="BK131" s="146">
        <f t="shared" si="63"/>
        <v>-8.6538461538461543E-3</v>
      </c>
      <c r="BL131" s="146">
        <f t="shared" si="64"/>
        <v>-8.6538461538461543E-3</v>
      </c>
      <c r="BM131" s="146">
        <f t="shared" si="65"/>
        <v>-8.6538461538461543E-3</v>
      </c>
      <c r="BN131" s="146">
        <f t="shared" si="66"/>
        <v>-8.6538461538461543E-3</v>
      </c>
      <c r="BO131" s="116">
        <f t="shared" si="67"/>
        <v>-8.6538461538461543E-3</v>
      </c>
      <c r="BP131" s="146">
        <f t="shared" si="68"/>
        <v>0.1</v>
      </c>
      <c r="BQ131" s="146">
        <f t="shared" si="69"/>
        <v>0.1</v>
      </c>
      <c r="BR131" s="146">
        <f t="shared" si="70"/>
        <v>0.1</v>
      </c>
      <c r="BS131" s="146">
        <f t="shared" si="71"/>
        <v>0.1</v>
      </c>
      <c r="BT131" s="127">
        <v>0.1</v>
      </c>
      <c r="BU131" s="146">
        <f t="shared" si="72"/>
        <v>0.1</v>
      </c>
      <c r="BV131" s="146">
        <f t="shared" si="73"/>
        <v>0.1</v>
      </c>
      <c r="BW131" s="146">
        <f t="shared" si="74"/>
        <v>0.1</v>
      </c>
      <c r="BX131" s="146">
        <f t="shared" si="75"/>
        <v>0.1</v>
      </c>
      <c r="BY131" s="127">
        <v>0.1</v>
      </c>
      <c r="BZ131" s="146">
        <f t="shared" si="76"/>
        <v>0.1</v>
      </c>
      <c r="CA131" s="146">
        <f t="shared" si="77"/>
        <v>0.1</v>
      </c>
      <c r="CB131" s="146">
        <f t="shared" si="78"/>
        <v>0.1</v>
      </c>
      <c r="CC131" s="146">
        <f t="shared" si="79"/>
        <v>0.1</v>
      </c>
      <c r="CD131" s="127">
        <v>0.1</v>
      </c>
    </row>
    <row r="132" spans="1:82">
      <c r="A132" s="75"/>
      <c r="B132" s="141" t="s">
        <v>3402</v>
      </c>
      <c r="C132" s="72"/>
      <c r="D132" s="72"/>
      <c r="E132" s="72"/>
      <c r="F132" s="72"/>
      <c r="G132" s="72"/>
      <c r="H132" s="5"/>
      <c r="I132" s="5"/>
      <c r="J132" s="5"/>
      <c r="K132" s="5"/>
      <c r="L132" s="116">
        <f t="shared" si="30"/>
        <v>5.7416267942583732E-3</v>
      </c>
      <c r="M132" s="5"/>
      <c r="N132" s="5"/>
      <c r="O132" s="5"/>
      <c r="P132" s="5"/>
      <c r="Q132" s="116">
        <f t="shared" si="31"/>
        <v>9.2592592592592587E-3</v>
      </c>
      <c r="R132" s="5"/>
      <c r="S132" s="5"/>
      <c r="T132" s="5"/>
      <c r="U132" s="5"/>
      <c r="V132" s="116">
        <f t="shared" si="32"/>
        <v>2.9478458049886622E-2</v>
      </c>
      <c r="W132" s="5"/>
      <c r="X132" s="5"/>
      <c r="Y132" s="5"/>
      <c r="Z132" s="5"/>
      <c r="AA132" s="116">
        <f t="shared" si="33"/>
        <v>1.9713261648745518E-2</v>
      </c>
      <c r="AB132" s="5"/>
      <c r="AC132" s="5"/>
      <c r="AD132" s="5"/>
      <c r="AE132" s="5"/>
      <c r="AF132" s="116">
        <f t="shared" si="34"/>
        <v>2.0166073546856466E-2</v>
      </c>
      <c r="AG132" s="146">
        <f t="shared" si="35"/>
        <v>4.6052631578947366E-2</v>
      </c>
      <c r="AH132" s="146">
        <f t="shared" si="36"/>
        <v>4.6052631578947366E-2</v>
      </c>
      <c r="AI132" s="146">
        <f t="shared" si="37"/>
        <v>4.6052631578947366E-2</v>
      </c>
      <c r="AJ132" s="146">
        <f t="shared" si="38"/>
        <v>4.6052631578947366E-2</v>
      </c>
      <c r="AK132" s="116">
        <f t="shared" si="39"/>
        <v>4.6052631578947366E-2</v>
      </c>
      <c r="AL132" s="146">
        <f t="shared" si="40"/>
        <v>8.9491525423728818E-2</v>
      </c>
      <c r="AM132" s="146">
        <f t="shared" si="41"/>
        <v>8.9491525423728818E-2</v>
      </c>
      <c r="AN132" s="146">
        <f t="shared" si="42"/>
        <v>8.9491525423728818E-2</v>
      </c>
      <c r="AO132" s="458">
        <f t="shared" si="43"/>
        <v>8.9491525423728818E-2</v>
      </c>
      <c r="AP132" s="116">
        <f t="shared" si="44"/>
        <v>8.9491525423728818E-2</v>
      </c>
      <c r="AQ132" s="146">
        <f t="shared" si="45"/>
        <v>1.3658820110433014E-2</v>
      </c>
      <c r="AR132" s="146">
        <f t="shared" si="46"/>
        <v>1.3658820110433014E-2</v>
      </c>
      <c r="AS132" s="146">
        <f t="shared" si="47"/>
        <v>1.3658820110433014E-2</v>
      </c>
      <c r="AT132" s="146">
        <f t="shared" si="48"/>
        <v>1.3658820110433014E-2</v>
      </c>
      <c r="AU132" s="116">
        <f t="shared" si="49"/>
        <v>1.3658820110433014E-2</v>
      </c>
      <c r="AV132" s="146">
        <f t="shared" si="50"/>
        <v>1.6519823788546256E-2</v>
      </c>
      <c r="AW132" s="146">
        <f t="shared" si="51"/>
        <v>1.6519823788546256E-2</v>
      </c>
      <c r="AX132" s="146">
        <f t="shared" si="52"/>
        <v>1.6519823788546256E-2</v>
      </c>
      <c r="AY132" s="146">
        <f t="shared" si="53"/>
        <v>1.6519823788546256E-2</v>
      </c>
      <c r="AZ132" s="116">
        <f t="shared" si="54"/>
        <v>1.6519823788546256E-2</v>
      </c>
      <c r="BA132" s="146">
        <f t="shared" si="55"/>
        <v>2.6013006503251626E-2</v>
      </c>
      <c r="BB132" s="146">
        <f t="shared" si="56"/>
        <v>2.6013006503251626E-2</v>
      </c>
      <c r="BC132" s="146">
        <f t="shared" si="57"/>
        <v>2.6013006503251626E-2</v>
      </c>
      <c r="BD132" s="146">
        <f t="shared" si="57"/>
        <v>5.1714119697850086E-2</v>
      </c>
      <c r="BE132" s="116">
        <f t="shared" si="58"/>
        <v>2.6013006503251626E-2</v>
      </c>
      <c r="BF132" s="146">
        <f t="shared" si="57"/>
        <v>5.1714119697850086E-2</v>
      </c>
      <c r="BG132" s="146">
        <f t="shared" si="59"/>
        <v>5.1714119697850086E-2</v>
      </c>
      <c r="BH132" s="146">
        <f t="shared" si="60"/>
        <v>5.1714119697850086E-2</v>
      </c>
      <c r="BI132" s="146">
        <f t="shared" si="61"/>
        <v>5.1714119697850086E-2</v>
      </c>
      <c r="BJ132" s="116">
        <f t="shared" si="62"/>
        <v>5.1714119697850086E-2</v>
      </c>
      <c r="BK132" s="146">
        <f t="shared" si="63"/>
        <v>8.1730769230769235E-3</v>
      </c>
      <c r="BL132" s="146">
        <f t="shared" si="64"/>
        <v>8.1730769230769235E-3</v>
      </c>
      <c r="BM132" s="146">
        <f t="shared" si="65"/>
        <v>8.1730769230769235E-3</v>
      </c>
      <c r="BN132" s="146">
        <f t="shared" si="66"/>
        <v>8.1730769230769235E-3</v>
      </c>
      <c r="BO132" s="116">
        <f t="shared" si="67"/>
        <v>8.1730769230769235E-3</v>
      </c>
      <c r="BP132" s="146">
        <f t="shared" si="68"/>
        <v>2.0000000000000018E-2</v>
      </c>
      <c r="BQ132" s="146">
        <f t="shared" si="69"/>
        <v>2.0000000000000018E-2</v>
      </c>
      <c r="BR132" s="146">
        <f t="shared" si="70"/>
        <v>2.0000000000000018E-2</v>
      </c>
      <c r="BS132" s="146">
        <f t="shared" si="71"/>
        <v>2.0000000000000018E-2</v>
      </c>
      <c r="BT132" s="116">
        <f>1-SUM(BT127:BT131)</f>
        <v>2.0000000000000018E-2</v>
      </c>
      <c r="BU132" s="146">
        <f t="shared" si="72"/>
        <v>2.0000000000000018E-2</v>
      </c>
      <c r="BV132" s="146">
        <f t="shared" si="73"/>
        <v>2.0000000000000018E-2</v>
      </c>
      <c r="BW132" s="146">
        <f t="shared" si="74"/>
        <v>2.0000000000000018E-2</v>
      </c>
      <c r="BX132" s="146">
        <f t="shared" si="75"/>
        <v>2.0000000000000018E-2</v>
      </c>
      <c r="BY132" s="116">
        <f>1-SUM(BY127:BY131)</f>
        <v>2.0000000000000018E-2</v>
      </c>
      <c r="BZ132" s="146">
        <f t="shared" si="76"/>
        <v>2.0000000000000018E-2</v>
      </c>
      <c r="CA132" s="146">
        <f t="shared" si="77"/>
        <v>2.0000000000000018E-2</v>
      </c>
      <c r="CB132" s="146">
        <f t="shared" si="78"/>
        <v>2.0000000000000018E-2</v>
      </c>
      <c r="CC132" s="146">
        <f t="shared" si="79"/>
        <v>2.0000000000000018E-2</v>
      </c>
      <c r="CD132" s="116">
        <f>1-SUM(CD127:CD131)</f>
        <v>2.0000000000000018E-2</v>
      </c>
    </row>
    <row r="133" spans="1:82">
      <c r="AO133" s="406"/>
    </row>
    <row r="134" spans="1:82">
      <c r="AO134" s="406"/>
    </row>
    <row r="135" spans="1:82">
      <c r="AO135" s="406"/>
    </row>
    <row r="136" spans="1:82">
      <c r="B136" s="4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  <c r="BL136" s="11"/>
      <c r="BM136" s="11"/>
      <c r="BN136" s="11"/>
      <c r="BO136" s="11"/>
      <c r="BP136" s="11"/>
      <c r="BQ136" s="11"/>
      <c r="BR136" s="11"/>
      <c r="BS136" s="11"/>
      <c r="BT136" s="11"/>
      <c r="BU136" s="11"/>
      <c r="BV136" s="11"/>
      <c r="BW136" s="11"/>
      <c r="BX136" s="11"/>
      <c r="BY136" s="11"/>
      <c r="BZ136" s="11"/>
      <c r="CA136" s="11"/>
      <c r="CB136" s="11"/>
      <c r="CC136" s="11"/>
      <c r="CD136" s="11"/>
    </row>
    <row r="137" spans="1:82">
      <c r="B137" s="4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  <c r="BM137" s="11"/>
      <c r="BN137" s="11"/>
      <c r="BO137" s="11"/>
      <c r="BP137" s="11"/>
      <c r="BQ137" s="11"/>
      <c r="BR137" s="11"/>
      <c r="BS137" s="11"/>
      <c r="BT137" s="11"/>
      <c r="BU137" s="11"/>
      <c r="BV137" s="11"/>
      <c r="BW137" s="11"/>
      <c r="BX137" s="11"/>
      <c r="BY137" s="11"/>
      <c r="BZ137" s="11"/>
      <c r="CA137" s="11"/>
      <c r="CB137" s="11"/>
      <c r="CC137" s="11"/>
      <c r="CD137" s="11"/>
    </row>
  </sheetData>
  <phoneticPr fontId="14" type="noConversion"/>
  <pageMargins left="0.75" right="0.75" top="1" bottom="1" header="0.5" footer="0.5"/>
  <pageSetup paperSize="9" scale="29" fitToHeight="0" orientation="landscape" r:id="rId1"/>
  <headerFooter alignWithMargins="0"/>
  <rowBreaks count="1" manualBreakCount="1">
    <brk id="63" max="16383" man="1"/>
  </row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indexed="28"/>
  </sheetPr>
  <dimension ref="A1:CF89"/>
  <sheetViews>
    <sheetView zoomScale="85" workbookViewId="0">
      <pane xSplit="2" ySplit="9" topLeftCell="AF10" activePane="bottomRight" state="frozen"/>
      <selection sqref="A1:IV65536"/>
      <selection pane="topRight" sqref="A1:IV65536"/>
      <selection pane="bottomLeft" sqref="A1:IV65536"/>
      <selection pane="bottomRight" sqref="A1:XFD1048576"/>
    </sheetView>
  </sheetViews>
  <sheetFormatPr defaultColWidth="9.7109375" defaultRowHeight="12.75" outlineLevelCol="1"/>
  <cols>
    <col min="1" max="1" width="3.7109375" customWidth="1"/>
    <col min="2" max="2" width="35.7109375" customWidth="1"/>
    <col min="3" max="7" width="9.7109375" customWidth="1"/>
    <col min="8" max="11" width="9.7109375" hidden="1" customWidth="1" outlineLevel="1"/>
    <col min="12" max="12" width="9.7109375" customWidth="1" collapsed="1"/>
    <col min="13" max="16" width="9.7109375" hidden="1" customWidth="1" outlineLevel="1"/>
    <col min="17" max="17" width="9.7109375" customWidth="1" collapsed="1"/>
    <col min="18" max="21" width="9.7109375" hidden="1" customWidth="1" outlineLevel="1"/>
    <col min="22" max="22" width="9.7109375" customWidth="1" collapsed="1"/>
    <col min="23" max="26" width="9.7109375" hidden="1" customWidth="1" outlineLevel="1"/>
    <col min="27" max="27" width="9.7109375" customWidth="1" collapsed="1"/>
    <col min="28" max="31" width="9.7109375" hidden="1" customWidth="1" outlineLevel="1"/>
    <col min="32" max="32" width="9.7109375" customWidth="1" collapsed="1"/>
    <col min="33" max="36" width="9.7109375" hidden="1" customWidth="1" outlineLevel="1"/>
    <col min="37" max="37" width="9.7109375" customWidth="1" collapsed="1"/>
    <col min="38" max="41" width="9.7109375" hidden="1" customWidth="1" outlineLevel="1"/>
    <col min="42" max="42" width="9.7109375" customWidth="1" collapsed="1"/>
    <col min="43" max="46" width="9.7109375" hidden="1" customWidth="1" outlineLevel="1"/>
    <col min="47" max="47" width="9.7109375" customWidth="1" collapsed="1"/>
    <col min="48" max="51" width="9.7109375" hidden="1" customWidth="1" outlineLevel="1"/>
    <col min="52" max="52" width="9.7109375" customWidth="1" collapsed="1"/>
    <col min="53" max="56" width="9.7109375" hidden="1" customWidth="1" outlineLevel="1"/>
    <col min="57" max="57" width="9.7109375" customWidth="1" collapsed="1"/>
    <col min="58" max="61" width="9.7109375" hidden="1" customWidth="1" outlineLevel="1"/>
    <col min="62" max="62" width="9.7109375" customWidth="1" collapsed="1"/>
    <col min="63" max="66" width="9.7109375" hidden="1" customWidth="1" outlineLevel="1"/>
    <col min="67" max="67" width="9.7109375" customWidth="1" collapsed="1"/>
    <col min="68" max="71" width="9.7109375" hidden="1" customWidth="1" outlineLevel="1"/>
    <col min="72" max="72" width="9.7109375" customWidth="1" collapsed="1"/>
    <col min="73" max="76" width="9.7109375" hidden="1" customWidth="1" outlineLevel="1"/>
    <col min="77" max="77" width="9.7109375" customWidth="1" collapsed="1"/>
    <col min="78" max="81" width="9.7109375" hidden="1" customWidth="1" outlineLevel="1"/>
    <col min="82" max="82" width="9.7109375" customWidth="1" collapsed="1"/>
  </cols>
  <sheetData>
    <row r="1" spans="1:82" ht="12.75" customHeight="1">
      <c r="A1" s="1"/>
      <c r="B1" s="1"/>
      <c r="C1" s="1"/>
      <c r="D1" s="2"/>
      <c r="E1" s="2"/>
      <c r="F1" s="2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3"/>
      <c r="T1" s="3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 t="s">
        <v>3421</v>
      </c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</row>
    <row r="2" spans="1:82" ht="18" customHeight="1">
      <c r="A2" s="1"/>
      <c r="B2" s="20" t="s">
        <v>3369</v>
      </c>
      <c r="C2" s="1"/>
      <c r="D2" s="2"/>
      <c r="E2" s="2"/>
      <c r="F2" s="2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3"/>
      <c r="T2" s="3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 t="s">
        <v>3421</v>
      </c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</row>
    <row r="3" spans="1:82" ht="12.75" customHeight="1">
      <c r="A3" s="1"/>
      <c r="B3" s="21" t="s">
        <v>2892</v>
      </c>
      <c r="C3" s="1"/>
      <c r="D3" s="2"/>
      <c r="E3" s="2"/>
      <c r="F3" s="2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3"/>
      <c r="T3" s="3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 t="s">
        <v>3421</v>
      </c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</row>
    <row r="4" spans="1:82" ht="12.75" customHeight="1">
      <c r="A4" s="1"/>
      <c r="B4" s="1"/>
      <c r="C4" s="1"/>
      <c r="D4" s="2"/>
      <c r="E4" s="2"/>
      <c r="F4" s="2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3"/>
      <c r="T4" s="3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 t="s">
        <v>3421</v>
      </c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</row>
    <row r="5" spans="1:82" ht="12.75" customHeight="1">
      <c r="A5" s="4"/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</row>
    <row r="6" spans="1:82" ht="12.75" customHeight="1">
      <c r="A6" s="6"/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</row>
    <row r="7" spans="1:82" ht="12.75" customHeight="1">
      <c r="A7" s="4"/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</row>
    <row r="8" spans="1:82" ht="12.75" customHeight="1">
      <c r="A8" s="9" t="s">
        <v>1411</v>
      </c>
      <c r="B8" s="4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</row>
    <row r="9" spans="1:82" ht="12.75" customHeight="1">
      <c r="A9" s="10"/>
      <c r="B9" s="10"/>
      <c r="C9" s="31">
        <v>2001</v>
      </c>
      <c r="D9" s="32">
        <v>2002</v>
      </c>
      <c r="E9" s="32">
        <v>2003</v>
      </c>
      <c r="F9" s="32">
        <v>2004</v>
      </c>
      <c r="G9" s="31">
        <v>2005</v>
      </c>
      <c r="H9" s="33" t="s">
        <v>714</v>
      </c>
      <c r="I9" s="33" t="s">
        <v>715</v>
      </c>
      <c r="J9" s="33" t="s">
        <v>716</v>
      </c>
      <c r="K9" s="33" t="s">
        <v>717</v>
      </c>
      <c r="L9" s="31">
        <v>2006</v>
      </c>
      <c r="M9" s="33" t="s">
        <v>718</v>
      </c>
      <c r="N9" s="33" t="s">
        <v>719</v>
      </c>
      <c r="O9" s="33" t="s">
        <v>1970</v>
      </c>
      <c r="P9" s="33" t="s">
        <v>1971</v>
      </c>
      <c r="Q9" s="31">
        <v>2007</v>
      </c>
      <c r="R9" s="33" t="s">
        <v>1972</v>
      </c>
      <c r="S9" s="33" t="s">
        <v>1973</v>
      </c>
      <c r="T9" s="33" t="s">
        <v>1974</v>
      </c>
      <c r="U9" s="33" t="s">
        <v>1975</v>
      </c>
      <c r="V9" s="31">
        <v>2008</v>
      </c>
      <c r="W9" s="33" t="s">
        <v>1976</v>
      </c>
      <c r="X9" s="33" t="s">
        <v>1977</v>
      </c>
      <c r="Y9" s="33" t="s">
        <v>1978</v>
      </c>
      <c r="Z9" s="33" t="s">
        <v>1979</v>
      </c>
      <c r="AA9" s="31">
        <v>2009</v>
      </c>
      <c r="AB9" s="33" t="s">
        <v>1980</v>
      </c>
      <c r="AC9" s="33" t="s">
        <v>1981</v>
      </c>
      <c r="AD9" s="33" t="s">
        <v>1982</v>
      </c>
      <c r="AE9" s="33" t="s">
        <v>2392</v>
      </c>
      <c r="AF9" s="31">
        <v>2010</v>
      </c>
      <c r="AG9" s="33" t="s">
        <v>2393</v>
      </c>
      <c r="AH9" s="33" t="s">
        <v>2394</v>
      </c>
      <c r="AI9" s="33" t="s">
        <v>2395</v>
      </c>
      <c r="AJ9" s="33" t="s">
        <v>2396</v>
      </c>
      <c r="AK9" s="31">
        <v>2011</v>
      </c>
      <c r="AL9" s="33" t="s">
        <v>2397</v>
      </c>
      <c r="AM9" s="33" t="s">
        <v>2398</v>
      </c>
      <c r="AN9" s="33" t="s">
        <v>2399</v>
      </c>
      <c r="AO9" s="33" t="s">
        <v>2400</v>
      </c>
      <c r="AP9" s="31">
        <v>2012</v>
      </c>
      <c r="AQ9" s="33" t="s">
        <v>2401</v>
      </c>
      <c r="AR9" s="33" t="s">
        <v>2402</v>
      </c>
      <c r="AS9" s="33" t="s">
        <v>2403</v>
      </c>
      <c r="AT9" s="33" t="s">
        <v>2404</v>
      </c>
      <c r="AU9" s="31">
        <v>2013</v>
      </c>
      <c r="AV9" s="33" t="s">
        <v>2405</v>
      </c>
      <c r="AW9" s="33" t="s">
        <v>2406</v>
      </c>
      <c r="AX9" s="33" t="s">
        <v>2407</v>
      </c>
      <c r="AY9" s="33" t="s">
        <v>2408</v>
      </c>
      <c r="AZ9" s="31">
        <v>2014</v>
      </c>
      <c r="BA9" s="33" t="s">
        <v>2409</v>
      </c>
      <c r="BB9" s="33" t="s">
        <v>2410</v>
      </c>
      <c r="BC9" s="33" t="s">
        <v>2411</v>
      </c>
      <c r="BD9" s="33" t="s">
        <v>2412</v>
      </c>
      <c r="BE9" s="31">
        <v>2015</v>
      </c>
      <c r="BF9" s="33" t="s">
        <v>2413</v>
      </c>
      <c r="BG9" s="33" t="s">
        <v>2414</v>
      </c>
      <c r="BH9" s="33" t="s">
        <v>2415</v>
      </c>
      <c r="BI9" s="33" t="s">
        <v>2416</v>
      </c>
      <c r="BJ9" s="31">
        <v>2016</v>
      </c>
      <c r="BK9" s="33" t="s">
        <v>2417</v>
      </c>
      <c r="BL9" s="33" t="s">
        <v>2418</v>
      </c>
      <c r="BM9" s="33" t="s">
        <v>2419</v>
      </c>
      <c r="BN9" s="33" t="s">
        <v>2420</v>
      </c>
      <c r="BO9" s="31">
        <v>2017</v>
      </c>
      <c r="BP9" s="363" t="s">
        <v>2244</v>
      </c>
      <c r="BQ9" s="363" t="s">
        <v>2245</v>
      </c>
      <c r="BR9" s="363" t="s">
        <v>2508</v>
      </c>
      <c r="BS9" s="363" t="s">
        <v>2509</v>
      </c>
      <c r="BT9" s="364">
        <v>2018</v>
      </c>
      <c r="BU9" s="363" t="s">
        <v>2510</v>
      </c>
      <c r="BV9" s="363" t="s">
        <v>2511</v>
      </c>
      <c r="BW9" s="363" t="s">
        <v>3125</v>
      </c>
      <c r="BX9" s="363" t="s">
        <v>1405</v>
      </c>
      <c r="BY9" s="364">
        <v>2019</v>
      </c>
      <c r="BZ9" s="363" t="s">
        <v>1406</v>
      </c>
      <c r="CA9" s="363" t="s">
        <v>1407</v>
      </c>
      <c r="CB9" s="363" t="s">
        <v>1408</v>
      </c>
      <c r="CC9" s="363" t="s">
        <v>1409</v>
      </c>
      <c r="CD9" s="364">
        <v>2020</v>
      </c>
    </row>
    <row r="10" spans="1:82" ht="12.75" customHeight="1">
      <c r="A10" s="7" t="s">
        <v>2893</v>
      </c>
      <c r="B10" s="4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AQ10" s="138"/>
      <c r="AR10" s="138"/>
      <c r="AS10" s="138"/>
      <c r="AT10" s="138"/>
      <c r="AU10" s="138"/>
      <c r="AV10" s="138"/>
      <c r="AW10" s="138"/>
      <c r="AX10" s="138"/>
      <c r="AY10" s="138"/>
      <c r="AZ10" s="138"/>
      <c r="BA10" s="138"/>
      <c r="BB10" s="138"/>
      <c r="BC10" s="138"/>
      <c r="BD10" s="138"/>
      <c r="BE10" s="138"/>
      <c r="BF10" s="138"/>
      <c r="BG10" s="138"/>
      <c r="BH10" s="138"/>
      <c r="BI10" s="138"/>
      <c r="BJ10" s="138"/>
      <c r="BK10" s="138"/>
      <c r="BL10" s="138"/>
      <c r="BM10" s="138"/>
      <c r="BN10" s="138"/>
      <c r="BO10" s="138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</row>
    <row r="11" spans="1:82" ht="12.75" customHeight="1">
      <c r="A11" s="7"/>
      <c r="B11" s="4" t="s">
        <v>1885</v>
      </c>
      <c r="C11" s="5"/>
      <c r="D11" s="5">
        <f>D12-C19</f>
        <v>0</v>
      </c>
      <c r="E11" s="5">
        <f>E12-D19</f>
        <v>-3089</v>
      </c>
      <c r="F11" s="5">
        <f>F12-E19</f>
        <v>0</v>
      </c>
      <c r="G11" s="5">
        <f>G12-F19</f>
        <v>3099</v>
      </c>
      <c r="H11" s="5"/>
      <c r="I11" s="5"/>
      <c r="J11" s="5"/>
      <c r="K11" s="5"/>
      <c r="L11" s="5">
        <f>L12-G19</f>
        <v>2295</v>
      </c>
      <c r="M11" s="5"/>
      <c r="N11" s="5"/>
      <c r="O11" s="5"/>
      <c r="P11" s="5"/>
      <c r="Q11" s="5">
        <f>Q12-L19</f>
        <v>0</v>
      </c>
      <c r="R11" s="5"/>
      <c r="S11" s="5"/>
      <c r="T11" s="5"/>
      <c r="U11" s="5"/>
      <c r="V11" s="138">
        <f>V12-Q19</f>
        <v>0</v>
      </c>
      <c r="W11" s="138"/>
      <c r="X11" s="138"/>
      <c r="Y11" s="138"/>
      <c r="Z11" s="138"/>
      <c r="AA11" s="138">
        <f>AA12-V19</f>
        <v>0</v>
      </c>
      <c r="AB11" s="138"/>
      <c r="AC11" s="138"/>
      <c r="AD11" s="138"/>
      <c r="AE11" s="138"/>
      <c r="AF11" s="138">
        <f>AF12-AA19</f>
        <v>0</v>
      </c>
      <c r="AG11" s="138"/>
      <c r="AH11" s="138"/>
      <c r="AI11" s="138"/>
      <c r="AJ11" s="138"/>
      <c r="AK11" s="138">
        <f>AK12-AF19</f>
        <v>0</v>
      </c>
      <c r="AL11" s="138"/>
      <c r="AM11" s="138"/>
      <c r="AN11" s="138"/>
      <c r="AO11" s="138"/>
      <c r="AP11" s="138">
        <f>AP12-AK19</f>
        <v>0</v>
      </c>
      <c r="AQ11" s="138"/>
      <c r="AR11" s="138"/>
      <c r="AS11" s="138"/>
      <c r="AT11" s="138"/>
      <c r="AU11" s="138">
        <f>AU12-AP19</f>
        <v>0</v>
      </c>
      <c r="AV11" s="138"/>
      <c r="AW11" s="138"/>
      <c r="AX11" s="138"/>
      <c r="AY11" s="138"/>
      <c r="AZ11" s="138">
        <f>AZ12-AU19</f>
        <v>0</v>
      </c>
      <c r="BA11" s="138"/>
      <c r="BB11" s="138"/>
      <c r="BC11" s="138"/>
      <c r="BD11" s="138"/>
      <c r="BE11" s="138">
        <f>BE12-AZ19</f>
        <v>0</v>
      </c>
      <c r="BF11" s="138"/>
      <c r="BG11" s="138"/>
      <c r="BH11" s="138"/>
      <c r="BI11" s="138"/>
      <c r="BJ11" s="138">
        <f>BJ12-BE19</f>
        <v>0</v>
      </c>
      <c r="BK11" s="138"/>
      <c r="BL11" s="138"/>
      <c r="BM11" s="138"/>
      <c r="BN11" s="138"/>
      <c r="BO11" s="138">
        <v>0</v>
      </c>
      <c r="BP11" s="5"/>
      <c r="BQ11" s="5"/>
      <c r="BR11" s="5"/>
      <c r="BS11" s="5"/>
      <c r="BT11" s="5">
        <f>BT12-BO19</f>
        <v>0</v>
      </c>
      <c r="BU11" s="5"/>
      <c r="BV11" s="5"/>
      <c r="BW11" s="5"/>
      <c r="BX11" s="5"/>
      <c r="BY11" s="5">
        <f>BY12-BT19</f>
        <v>0</v>
      </c>
      <c r="BZ11" s="5"/>
      <c r="CA11" s="5"/>
      <c r="CB11" s="5"/>
      <c r="CC11" s="5"/>
      <c r="CD11" s="5">
        <f>CD12-BY19</f>
        <v>0</v>
      </c>
    </row>
    <row r="12" spans="1:82" ht="12.75" customHeight="1">
      <c r="A12" s="4"/>
      <c r="B12" s="7" t="s">
        <v>2894</v>
      </c>
      <c r="C12" s="5">
        <v>142007</v>
      </c>
      <c r="D12" s="5">
        <v>148055</v>
      </c>
      <c r="E12" s="5">
        <v>166073</v>
      </c>
      <c r="F12" s="5">
        <v>171907</v>
      </c>
      <c r="G12" s="5">
        <v>186521</v>
      </c>
      <c r="H12" s="72"/>
      <c r="I12" s="72"/>
      <c r="J12" s="72"/>
      <c r="K12" s="72"/>
      <c r="L12" s="5">
        <v>178708</v>
      </c>
      <c r="M12" s="72"/>
      <c r="N12" s="72"/>
      <c r="O12" s="72"/>
      <c r="P12" s="72"/>
      <c r="Q12" s="5">
        <v>189279</v>
      </c>
      <c r="R12" s="72"/>
      <c r="S12" s="72"/>
      <c r="T12" s="72"/>
      <c r="U12" s="72"/>
      <c r="V12" s="138">
        <f>Q19</f>
        <v>205091</v>
      </c>
      <c r="W12" s="138"/>
      <c r="X12" s="138"/>
      <c r="Y12" s="138"/>
      <c r="Z12" s="138"/>
      <c r="AA12" s="138">
        <f>V19</f>
        <v>217109</v>
      </c>
      <c r="AB12" s="138"/>
      <c r="AC12" s="138"/>
      <c r="AD12" s="138"/>
      <c r="AE12" s="138"/>
      <c r="AF12" s="138">
        <f>AA19</f>
        <v>231258</v>
      </c>
      <c r="AG12" s="138"/>
      <c r="AH12" s="138"/>
      <c r="AI12" s="138"/>
      <c r="AJ12" s="138"/>
      <c r="AK12" s="138">
        <f>AF19</f>
        <v>234239</v>
      </c>
      <c r="AL12" s="138"/>
      <c r="AM12" s="138"/>
      <c r="AN12" s="138"/>
      <c r="AO12" s="138"/>
      <c r="AP12" s="138">
        <f>AK19</f>
        <v>241987</v>
      </c>
      <c r="AQ12" s="138"/>
      <c r="AR12" s="138"/>
      <c r="AS12" s="138"/>
      <c r="AT12" s="138"/>
      <c r="AU12" s="138">
        <f>AP19</f>
        <v>241055</v>
      </c>
      <c r="AV12" s="138"/>
      <c r="AW12" s="138"/>
      <c r="AX12" s="138"/>
      <c r="AY12" s="138"/>
      <c r="AZ12" s="138">
        <f t="shared" ref="AZ12:BE12" si="0">AU19</f>
        <v>268886</v>
      </c>
      <c r="BA12" s="138"/>
      <c r="BB12" s="138"/>
      <c r="BC12" s="138"/>
      <c r="BD12" s="138"/>
      <c r="BE12" s="138">
        <f t="shared" si="0"/>
        <v>281701</v>
      </c>
      <c r="BF12" s="138"/>
      <c r="BG12" s="138"/>
      <c r="BH12" s="138"/>
      <c r="BI12" s="138"/>
      <c r="BJ12" s="138">
        <f>BE19</f>
        <v>292703</v>
      </c>
      <c r="BK12" s="138"/>
      <c r="BL12" s="138"/>
      <c r="BM12" s="138"/>
      <c r="BN12" s="138"/>
      <c r="BO12" s="138">
        <f>BJ19</f>
        <v>288883</v>
      </c>
      <c r="BP12" s="72"/>
      <c r="BQ12" s="72"/>
      <c r="BR12" s="72"/>
      <c r="BS12" s="72"/>
      <c r="BT12" s="5">
        <f>BO19</f>
        <v>300138</v>
      </c>
      <c r="BU12" s="72"/>
      <c r="BV12" s="72"/>
      <c r="BW12" s="72"/>
      <c r="BX12" s="72"/>
      <c r="BY12" s="5">
        <f>BT19</f>
        <v>311518.62</v>
      </c>
      <c r="BZ12" s="72"/>
      <c r="CA12" s="72"/>
      <c r="CB12" s="72"/>
      <c r="CC12" s="72"/>
      <c r="CD12" s="5">
        <f>BY19</f>
        <v>321828.4338</v>
      </c>
    </row>
    <row r="13" spans="1:82" ht="12.75" customHeight="1">
      <c r="A13" s="4"/>
      <c r="B13" s="4" t="s">
        <v>2895</v>
      </c>
      <c r="C13" s="5">
        <f>-2001-911</f>
        <v>-2912</v>
      </c>
      <c r="D13" s="5">
        <v>7430</v>
      </c>
      <c r="E13" s="5">
        <f>8519-76</f>
        <v>8443</v>
      </c>
      <c r="F13" s="5">
        <v>5046</v>
      </c>
      <c r="G13" s="5">
        <v>-4203</v>
      </c>
      <c r="H13" s="72"/>
      <c r="I13" s="72"/>
      <c r="J13" s="72"/>
      <c r="K13" s="72"/>
      <c r="L13" s="5">
        <v>2276</v>
      </c>
      <c r="M13" s="72"/>
      <c r="N13" s="72"/>
      <c r="O13" s="72"/>
      <c r="P13" s="72"/>
      <c r="Q13" s="5">
        <v>2461</v>
      </c>
      <c r="R13" s="72"/>
      <c r="S13" s="72"/>
      <c r="T13" s="72"/>
      <c r="U13" s="72"/>
      <c r="V13" s="138">
        <v>-3645</v>
      </c>
      <c r="W13" s="138"/>
      <c r="X13" s="138"/>
      <c r="Y13" s="138"/>
      <c r="Z13" s="138"/>
      <c r="AA13" s="138">
        <v>1807</v>
      </c>
      <c r="AB13" s="138"/>
      <c r="AC13" s="138"/>
      <c r="AD13" s="138"/>
      <c r="AE13" s="138"/>
      <c r="AF13" s="138">
        <v>-200</v>
      </c>
      <c r="AG13" s="138"/>
      <c r="AH13" s="138"/>
      <c r="AI13" s="138"/>
      <c r="AJ13" s="138"/>
      <c r="AK13" s="138">
        <v>-712</v>
      </c>
      <c r="AL13" s="138"/>
      <c r="AM13" s="138"/>
      <c r="AN13" s="138"/>
      <c r="AO13" s="138"/>
      <c r="AP13" s="138">
        <v>623</v>
      </c>
      <c r="AQ13" s="138"/>
      <c r="AR13" s="138"/>
      <c r="AS13" s="138"/>
      <c r="AT13" s="138"/>
      <c r="AU13" s="138">
        <f>-351+248904-AU12</f>
        <v>7498</v>
      </c>
      <c r="AV13" s="138"/>
      <c r="AW13" s="138"/>
      <c r="AX13" s="138"/>
      <c r="AY13" s="138"/>
      <c r="AZ13" s="138">
        <f>-3134+269456-AZ12</f>
        <v>-2564</v>
      </c>
      <c r="BA13" s="138"/>
      <c r="BB13" s="138"/>
      <c r="BC13" s="138"/>
      <c r="BD13" s="138"/>
      <c r="BE13" s="138">
        <v>-3153</v>
      </c>
      <c r="BF13" s="138"/>
      <c r="BG13" s="138"/>
      <c r="BH13" s="138"/>
      <c r="BI13" s="138"/>
      <c r="BJ13" s="138">
        <v>-1009</v>
      </c>
      <c r="BK13" s="138"/>
      <c r="BL13" s="138"/>
      <c r="BM13" s="138"/>
      <c r="BN13" s="138"/>
      <c r="BO13" s="138">
        <v>2448</v>
      </c>
      <c r="BP13" s="72"/>
      <c r="BQ13" s="72"/>
      <c r="BR13" s="72"/>
      <c r="BS13" s="72"/>
      <c r="BT13" s="144">
        <v>0</v>
      </c>
      <c r="BU13" s="72"/>
      <c r="BV13" s="72"/>
      <c r="BW13" s="72"/>
      <c r="BX13" s="72"/>
      <c r="BY13" s="144">
        <v>0</v>
      </c>
      <c r="BZ13" s="72"/>
      <c r="CA13" s="72"/>
      <c r="CB13" s="72"/>
      <c r="CC13" s="72"/>
      <c r="CD13" s="144">
        <v>0</v>
      </c>
    </row>
    <row r="14" spans="1:82" ht="12.75" customHeight="1">
      <c r="A14" s="4"/>
      <c r="B14" s="4" t="s">
        <v>2896</v>
      </c>
      <c r="C14" s="5">
        <v>11390</v>
      </c>
      <c r="D14" s="5">
        <v>11966</v>
      </c>
      <c r="E14" s="5">
        <v>12808</v>
      </c>
      <c r="F14" s="5">
        <v>12394</v>
      </c>
      <c r="G14" s="5">
        <v>12788</v>
      </c>
      <c r="H14" s="72"/>
      <c r="I14" s="72"/>
      <c r="J14" s="72"/>
      <c r="K14" s="72"/>
      <c r="L14" s="5">
        <v>15653</v>
      </c>
      <c r="M14" s="72"/>
      <c r="N14" s="72"/>
      <c r="O14" s="72"/>
      <c r="P14" s="72"/>
      <c r="Q14" s="5">
        <v>17308</v>
      </c>
      <c r="R14" s="72"/>
      <c r="S14" s="72"/>
      <c r="T14" s="72"/>
      <c r="U14" s="72"/>
      <c r="V14" s="138">
        <v>18529</v>
      </c>
      <c r="W14" s="138"/>
      <c r="X14" s="138"/>
      <c r="Y14" s="138"/>
      <c r="Z14" s="138"/>
      <c r="AA14" s="138">
        <v>17042</v>
      </c>
      <c r="AB14" s="138"/>
      <c r="AC14" s="138"/>
      <c r="AD14" s="138"/>
      <c r="AE14" s="138"/>
      <c r="AF14" s="138">
        <v>16510</v>
      </c>
      <c r="AG14" s="138"/>
      <c r="AH14" s="138"/>
      <c r="AI14" s="138"/>
      <c r="AJ14" s="138"/>
      <c r="AK14" s="138">
        <v>23919</v>
      </c>
      <c r="AL14" s="138"/>
      <c r="AM14" s="138"/>
      <c r="AN14" s="138"/>
      <c r="AO14" s="138"/>
      <c r="AP14" s="138">
        <v>22211</v>
      </c>
      <c r="AQ14" s="138"/>
      <c r="AR14" s="138"/>
      <c r="AS14" s="138"/>
      <c r="AT14" s="138"/>
      <c r="AU14" s="138">
        <v>20039</v>
      </c>
      <c r="AV14" s="138"/>
      <c r="AW14" s="138"/>
      <c r="AX14" s="138"/>
      <c r="AY14" s="138"/>
      <c r="AZ14" s="138">
        <v>22367</v>
      </c>
      <c r="BA14" s="138"/>
      <c r="BB14" s="138"/>
      <c r="BC14" s="138"/>
      <c r="BD14" s="138"/>
      <c r="BE14" s="138">
        <v>17079</v>
      </c>
      <c r="BF14" s="138"/>
      <c r="BG14" s="138"/>
      <c r="BH14" s="138"/>
      <c r="BI14" s="138"/>
      <c r="BJ14" s="138">
        <v>14781</v>
      </c>
      <c r="BK14" s="138"/>
      <c r="BL14" s="138"/>
      <c r="BM14" s="138"/>
      <c r="BN14" s="138"/>
      <c r="BO14" s="138">
        <v>15776</v>
      </c>
      <c r="BP14" s="72"/>
      <c r="BQ14" s="72"/>
      <c r="BR14" s="72"/>
      <c r="BS14" s="72"/>
      <c r="BT14" s="5">
        <f>Capex!BT25</f>
        <v>15582</v>
      </c>
      <c r="BU14" s="72"/>
      <c r="BV14" s="72"/>
      <c r="BW14" s="72"/>
      <c r="BX14" s="72"/>
      <c r="BY14" s="5">
        <f>Capex!BY25</f>
        <v>15925</v>
      </c>
      <c r="BZ14" s="72"/>
      <c r="CA14" s="72"/>
      <c r="CB14" s="72"/>
      <c r="CC14" s="72"/>
      <c r="CD14" s="5">
        <f>Capex!CD25</f>
        <v>15925</v>
      </c>
    </row>
    <row r="15" spans="1:82" ht="12.75" customHeight="1">
      <c r="A15" s="4"/>
      <c r="B15" s="4" t="s">
        <v>2897</v>
      </c>
      <c r="C15" s="5">
        <v>841</v>
      </c>
      <c r="D15" s="5">
        <v>4945</v>
      </c>
      <c r="E15" s="5">
        <v>34</v>
      </c>
      <c r="F15" s="5">
        <v>1463</v>
      </c>
      <c r="G15" s="5">
        <v>23</v>
      </c>
      <c r="H15" s="72"/>
      <c r="I15" s="72"/>
      <c r="J15" s="72"/>
      <c r="K15" s="72"/>
      <c r="L15" s="5">
        <v>16</v>
      </c>
      <c r="M15" s="72"/>
      <c r="N15" s="72"/>
      <c r="O15" s="72"/>
      <c r="P15" s="72"/>
      <c r="Q15" s="5">
        <v>910</v>
      </c>
      <c r="R15" s="72"/>
      <c r="S15" s="72"/>
      <c r="T15" s="72"/>
      <c r="U15" s="72"/>
      <c r="V15" s="138">
        <v>348</v>
      </c>
      <c r="W15" s="138"/>
      <c r="X15" s="138"/>
      <c r="Y15" s="138"/>
      <c r="Z15" s="138"/>
      <c r="AA15" s="138">
        <v>0</v>
      </c>
      <c r="AB15" s="138"/>
      <c r="AC15" s="138"/>
      <c r="AD15" s="138"/>
      <c r="AE15" s="138"/>
      <c r="AF15" s="138">
        <v>1997</v>
      </c>
      <c r="AG15" s="138"/>
      <c r="AH15" s="138"/>
      <c r="AI15" s="138"/>
      <c r="AJ15" s="138"/>
      <c r="AK15" s="138">
        <v>2867</v>
      </c>
      <c r="AL15" s="138"/>
      <c r="AM15" s="138"/>
      <c r="AN15" s="138"/>
      <c r="AO15" s="138"/>
      <c r="AP15" s="138">
        <v>61</v>
      </c>
      <c r="AQ15" s="138"/>
      <c r="AR15" s="138"/>
      <c r="AS15" s="138"/>
      <c r="AT15" s="138"/>
      <c r="AU15" s="138">
        <v>8</v>
      </c>
      <c r="AV15" s="138"/>
      <c r="AW15" s="138"/>
      <c r="AX15" s="138"/>
      <c r="AY15" s="138"/>
      <c r="AZ15" s="138">
        <v>308</v>
      </c>
      <c r="BA15" s="138"/>
      <c r="BB15" s="138"/>
      <c r="BC15" s="138"/>
      <c r="BD15" s="138"/>
      <c r="BE15" s="138">
        <v>27</v>
      </c>
      <c r="BF15" s="138"/>
      <c r="BG15" s="138"/>
      <c r="BH15" s="138"/>
      <c r="BI15" s="138"/>
      <c r="BJ15" s="138">
        <v>839</v>
      </c>
      <c r="BK15" s="138"/>
      <c r="BL15" s="138"/>
      <c r="BM15" s="138"/>
      <c r="BN15" s="138"/>
      <c r="BO15" s="138">
        <v>270</v>
      </c>
      <c r="BP15" s="72"/>
      <c r="BQ15" s="72"/>
      <c r="BR15" s="72"/>
      <c r="BS15" s="72"/>
      <c r="BT15" s="5">
        <f>Capex!BT17</f>
        <v>1300</v>
      </c>
      <c r="BU15" s="72"/>
      <c r="BV15" s="72"/>
      <c r="BW15" s="72"/>
      <c r="BX15" s="72"/>
      <c r="BY15" s="5">
        <f>Capex!BY17</f>
        <v>0</v>
      </c>
      <c r="BZ15" s="72"/>
      <c r="CA15" s="72"/>
      <c r="CB15" s="72"/>
      <c r="CC15" s="72"/>
      <c r="CD15" s="5">
        <f>Capex!CD17</f>
        <v>0</v>
      </c>
    </row>
    <row r="16" spans="1:82" ht="12.75" customHeight="1">
      <c r="A16" s="4"/>
      <c r="B16" s="4" t="s">
        <v>2898</v>
      </c>
      <c r="C16" s="5">
        <v>1036</v>
      </c>
      <c r="D16" s="5">
        <v>1216</v>
      </c>
      <c r="E16" s="5">
        <v>1004</v>
      </c>
      <c r="F16" s="5">
        <v>1036</v>
      </c>
      <c r="G16" s="5">
        <v>325</v>
      </c>
      <c r="H16" s="72"/>
      <c r="I16" s="72"/>
      <c r="J16" s="72"/>
      <c r="K16" s="72"/>
      <c r="L16" s="5">
        <v>-629</v>
      </c>
      <c r="M16" s="72"/>
      <c r="N16" s="72"/>
      <c r="O16" s="72"/>
      <c r="P16" s="72"/>
      <c r="Q16" s="5">
        <v>422</v>
      </c>
      <c r="R16" s="72"/>
      <c r="S16" s="72"/>
      <c r="T16" s="72"/>
      <c r="U16" s="72"/>
      <c r="V16" s="138">
        <v>78</v>
      </c>
      <c r="W16" s="138"/>
      <c r="X16" s="138"/>
      <c r="Y16" s="138"/>
      <c r="Z16" s="138"/>
      <c r="AA16" s="138">
        <v>745</v>
      </c>
      <c r="AB16" s="138"/>
      <c r="AC16" s="138"/>
      <c r="AD16" s="138"/>
      <c r="AE16" s="138"/>
      <c r="AF16" s="138">
        <v>2633</v>
      </c>
      <c r="AG16" s="138"/>
      <c r="AH16" s="138"/>
      <c r="AI16" s="138"/>
      <c r="AJ16" s="138"/>
      <c r="AK16" s="138">
        <v>1013</v>
      </c>
      <c r="AL16" s="138"/>
      <c r="AM16" s="138"/>
      <c r="AN16" s="138"/>
      <c r="AO16" s="138"/>
      <c r="AP16" s="138">
        <v>1306</v>
      </c>
      <c r="AQ16" s="138"/>
      <c r="AR16" s="138"/>
      <c r="AS16" s="138"/>
      <c r="AT16" s="138"/>
      <c r="AU16" s="138">
        <v>4365</v>
      </c>
      <c r="AV16" s="138"/>
      <c r="AW16" s="138"/>
      <c r="AX16" s="138"/>
      <c r="AY16" s="138"/>
      <c r="AZ16" s="138">
        <v>993</v>
      </c>
      <c r="BA16" s="138"/>
      <c r="BB16" s="138"/>
      <c r="BC16" s="138"/>
      <c r="BD16" s="138"/>
      <c r="BE16" s="138">
        <v>1039</v>
      </c>
      <c r="BF16" s="138"/>
      <c r="BG16" s="138"/>
      <c r="BH16" s="138"/>
      <c r="BI16" s="138"/>
      <c r="BJ16" s="138">
        <v>1629</v>
      </c>
      <c r="BK16" s="138"/>
      <c r="BL16" s="138"/>
      <c r="BM16" s="138"/>
      <c r="BN16" s="138"/>
      <c r="BO16" s="138">
        <v>451</v>
      </c>
      <c r="BP16" s="72"/>
      <c r="BQ16" s="72"/>
      <c r="BR16" s="72"/>
      <c r="BS16" s="72"/>
      <c r="BT16" s="144">
        <v>0</v>
      </c>
      <c r="BU16" s="72"/>
      <c r="BV16" s="72"/>
      <c r="BW16" s="72"/>
      <c r="BX16" s="72"/>
      <c r="BY16" s="144">
        <v>0</v>
      </c>
      <c r="BZ16" s="72"/>
      <c r="CA16" s="72"/>
      <c r="CB16" s="72"/>
      <c r="CC16" s="72"/>
      <c r="CD16" s="144">
        <v>0</v>
      </c>
    </row>
    <row r="17" spans="1:84" ht="12.75" customHeight="1">
      <c r="A17" s="4"/>
      <c r="B17" s="4" t="s">
        <v>2899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72"/>
      <c r="I17" s="72"/>
      <c r="J17" s="72"/>
      <c r="K17" s="72"/>
      <c r="L17" s="5">
        <v>-906</v>
      </c>
      <c r="M17" s="72"/>
      <c r="N17" s="72"/>
      <c r="O17" s="72"/>
      <c r="P17" s="72"/>
      <c r="Q17" s="5">
        <v>-1130</v>
      </c>
      <c r="R17" s="72"/>
      <c r="S17" s="72"/>
      <c r="T17" s="72"/>
      <c r="U17" s="72"/>
      <c r="V17" s="138">
        <v>0</v>
      </c>
      <c r="W17" s="138"/>
      <c r="X17" s="138"/>
      <c r="Y17" s="138"/>
      <c r="Z17" s="138"/>
      <c r="AA17" s="138">
        <v>0</v>
      </c>
      <c r="AB17" s="138"/>
      <c r="AC17" s="138"/>
      <c r="AD17" s="138"/>
      <c r="AE17" s="138"/>
      <c r="AF17" s="138">
        <v>-8008</v>
      </c>
      <c r="AG17" s="138"/>
      <c r="AH17" s="138"/>
      <c r="AI17" s="138"/>
      <c r="AJ17" s="138"/>
      <c r="AK17" s="138">
        <v>-11088</v>
      </c>
      <c r="AL17" s="138"/>
      <c r="AM17" s="138"/>
      <c r="AN17" s="138"/>
      <c r="AO17" s="138"/>
      <c r="AP17" s="138">
        <v>-19727</v>
      </c>
      <c r="AQ17" s="138"/>
      <c r="AR17" s="138"/>
      <c r="AS17" s="138"/>
      <c r="AT17" s="138"/>
      <c r="AU17" s="138">
        <v>0</v>
      </c>
      <c r="AV17" s="138"/>
      <c r="AW17" s="138"/>
      <c r="AX17" s="138"/>
      <c r="AY17" s="138"/>
      <c r="AZ17" s="138">
        <v>0</v>
      </c>
      <c r="BA17" s="138"/>
      <c r="BB17" s="138"/>
      <c r="BC17" s="138"/>
      <c r="BD17" s="138"/>
      <c r="BE17" s="138">
        <v>-1461</v>
      </c>
      <c r="BF17" s="138"/>
      <c r="BG17" s="138"/>
      <c r="BH17" s="138"/>
      <c r="BI17" s="138"/>
      <c r="BJ17" s="138">
        <v>-1505</v>
      </c>
      <c r="BK17" s="138"/>
      <c r="BL17" s="138"/>
      <c r="BM17" s="138"/>
      <c r="BN17" s="138"/>
      <c r="BO17" s="138">
        <v>0</v>
      </c>
      <c r="BP17" s="72"/>
      <c r="BQ17" s="72"/>
      <c r="BR17" s="72"/>
      <c r="BS17" s="72"/>
      <c r="BT17" s="144">
        <v>0</v>
      </c>
      <c r="BU17" s="72"/>
      <c r="BV17" s="72"/>
      <c r="BW17" s="72"/>
      <c r="BX17" s="72"/>
      <c r="BY17" s="144">
        <v>0</v>
      </c>
      <c r="BZ17" s="72"/>
      <c r="CA17" s="72"/>
      <c r="CB17" s="72"/>
      <c r="CC17" s="72"/>
      <c r="CD17" s="144">
        <v>0</v>
      </c>
    </row>
    <row r="18" spans="1:84">
      <c r="A18" s="5"/>
      <c r="B18" s="4" t="s">
        <v>2900</v>
      </c>
      <c r="C18" s="138">
        <v>-4307</v>
      </c>
      <c r="D18" s="138">
        <v>-4450</v>
      </c>
      <c r="E18" s="138">
        <v>-16455</v>
      </c>
      <c r="F18" s="138">
        <v>-8424</v>
      </c>
      <c r="G18" s="138">
        <v>-19041</v>
      </c>
      <c r="H18" s="72"/>
      <c r="I18" s="72"/>
      <c r="J18" s="72"/>
      <c r="K18" s="72"/>
      <c r="L18" s="5">
        <v>-5839</v>
      </c>
      <c r="M18" s="72"/>
      <c r="N18" s="72"/>
      <c r="O18" s="72"/>
      <c r="P18" s="72"/>
      <c r="Q18" s="5">
        <v>-4159</v>
      </c>
      <c r="R18" s="72"/>
      <c r="S18" s="72"/>
      <c r="T18" s="72"/>
      <c r="U18" s="72"/>
      <c r="V18" s="138">
        <v>-3292</v>
      </c>
      <c r="W18" s="138"/>
      <c r="X18" s="138"/>
      <c r="Y18" s="138"/>
      <c r="Z18" s="138"/>
      <c r="AA18" s="138">
        <v>-5445</v>
      </c>
      <c r="AB18" s="138"/>
      <c r="AC18" s="138"/>
      <c r="AD18" s="138"/>
      <c r="AE18" s="138"/>
      <c r="AF18" s="138">
        <v>-9951</v>
      </c>
      <c r="AG18" s="138"/>
      <c r="AH18" s="138"/>
      <c r="AI18" s="138"/>
      <c r="AJ18" s="138"/>
      <c r="AK18" s="138">
        <v>-8251</v>
      </c>
      <c r="AL18" s="138"/>
      <c r="AM18" s="138"/>
      <c r="AN18" s="138"/>
      <c r="AO18" s="138"/>
      <c r="AP18" s="138">
        <v>-5406</v>
      </c>
      <c r="AQ18" s="138"/>
      <c r="AR18" s="138"/>
      <c r="AS18" s="138"/>
      <c r="AT18" s="138"/>
      <c r="AU18" s="138">
        <v>-4079</v>
      </c>
      <c r="AV18" s="138"/>
      <c r="AW18" s="138"/>
      <c r="AX18" s="138"/>
      <c r="AY18" s="138"/>
      <c r="AZ18" s="138">
        <v>-8289</v>
      </c>
      <c r="BA18" s="138"/>
      <c r="BB18" s="138"/>
      <c r="BC18" s="138"/>
      <c r="BD18" s="138"/>
      <c r="BE18" s="138">
        <v>-2529</v>
      </c>
      <c r="BF18" s="138"/>
      <c r="BG18" s="138"/>
      <c r="BH18" s="138"/>
      <c r="BI18" s="138"/>
      <c r="BJ18" s="138">
        <v>-18555</v>
      </c>
      <c r="BK18" s="138"/>
      <c r="BL18" s="138"/>
      <c r="BM18" s="138"/>
      <c r="BN18" s="138"/>
      <c r="BO18" s="138">
        <v>-7690</v>
      </c>
      <c r="BP18" s="72"/>
      <c r="BQ18" s="72"/>
      <c r="BR18" s="72"/>
      <c r="BS18" s="72"/>
      <c r="BT18" s="5">
        <f>-BT43+Capex!BT21</f>
        <v>-5501.38</v>
      </c>
      <c r="BU18" s="72"/>
      <c r="BV18" s="72"/>
      <c r="BW18" s="72"/>
      <c r="BX18" s="72"/>
      <c r="BY18" s="5">
        <f>-BY43+Capex!BY21</f>
        <v>-5615.1862000000001</v>
      </c>
      <c r="BZ18" s="72"/>
      <c r="CA18" s="72"/>
      <c r="CB18" s="72"/>
      <c r="CC18" s="72"/>
      <c r="CD18" s="5">
        <f>-CD43+Capex!CD21</f>
        <v>-5718.2843379999995</v>
      </c>
    </row>
    <row r="19" spans="1:84">
      <c r="A19" s="7" t="s">
        <v>2901</v>
      </c>
      <c r="B19" s="8"/>
      <c r="C19" s="179">
        <f>SUM(C12:C18)</f>
        <v>148055</v>
      </c>
      <c r="D19" s="179">
        <f>SUM(D12:D18)</f>
        <v>169162</v>
      </c>
      <c r="E19" s="179">
        <f>SUM(E12:E18)</f>
        <v>171907</v>
      </c>
      <c r="F19" s="179">
        <f>SUM(F12:F18)</f>
        <v>183422</v>
      </c>
      <c r="G19" s="179">
        <f>SUM(G12:G18)</f>
        <v>176413</v>
      </c>
      <c r="H19" s="72"/>
      <c r="I19" s="72"/>
      <c r="J19" s="72"/>
      <c r="K19" s="72"/>
      <c r="L19" s="8">
        <f>SUM(L12:L18)</f>
        <v>189279</v>
      </c>
      <c r="M19" s="72"/>
      <c r="N19" s="72"/>
      <c r="O19" s="72"/>
      <c r="P19" s="72"/>
      <c r="Q19" s="8">
        <f>SUM(Q12:Q18)</f>
        <v>205091</v>
      </c>
      <c r="R19" s="72"/>
      <c r="S19" s="72"/>
      <c r="T19" s="72"/>
      <c r="U19" s="72"/>
      <c r="V19" s="179">
        <f>SUM(V12:V18)</f>
        <v>217109</v>
      </c>
      <c r="W19" s="138"/>
      <c r="X19" s="138"/>
      <c r="Y19" s="138"/>
      <c r="Z19" s="138"/>
      <c r="AA19" s="179">
        <f>SUM(AA12:AA18)</f>
        <v>231258</v>
      </c>
      <c r="AB19" s="138"/>
      <c r="AC19" s="138"/>
      <c r="AD19" s="138"/>
      <c r="AE19" s="138"/>
      <c r="AF19" s="179">
        <f>SUM(AF12:AF18)</f>
        <v>234239</v>
      </c>
      <c r="AG19" s="138"/>
      <c r="AH19" s="138"/>
      <c r="AI19" s="138"/>
      <c r="AJ19" s="138"/>
      <c r="AK19" s="179">
        <f>SUM(AK12:AK18)</f>
        <v>241987</v>
      </c>
      <c r="AL19" s="138"/>
      <c r="AM19" s="138"/>
      <c r="AN19" s="138"/>
      <c r="AO19" s="138"/>
      <c r="AP19" s="179">
        <f>SUM(AP12:AP18)</f>
        <v>241055</v>
      </c>
      <c r="AQ19" s="138"/>
      <c r="AR19" s="138"/>
      <c r="AS19" s="138"/>
      <c r="AT19" s="138"/>
      <c r="AU19" s="179">
        <f>SUM(AU12:AU18)</f>
        <v>268886</v>
      </c>
      <c r="AV19" s="138"/>
      <c r="AW19" s="138"/>
      <c r="AX19" s="138"/>
      <c r="AY19" s="138"/>
      <c r="AZ19" s="179">
        <f>SUM(AZ12:AZ18)</f>
        <v>281701</v>
      </c>
      <c r="BA19" s="138"/>
      <c r="BB19" s="138"/>
      <c r="BC19" s="138"/>
      <c r="BD19" s="138"/>
      <c r="BE19" s="179">
        <f>SUM(BE12:BE18)</f>
        <v>292703</v>
      </c>
      <c r="BF19" s="138"/>
      <c r="BG19" s="138"/>
      <c r="BH19" s="138"/>
      <c r="BI19" s="138"/>
      <c r="BJ19" s="179">
        <f>SUM(BJ12:BJ18)</f>
        <v>288883</v>
      </c>
      <c r="BK19" s="138"/>
      <c r="BL19" s="138"/>
      <c r="BM19" s="138"/>
      <c r="BN19" s="138"/>
      <c r="BO19" s="179">
        <f>SUM(BO12:BO18)</f>
        <v>300138</v>
      </c>
      <c r="BP19" s="72"/>
      <c r="BQ19" s="72"/>
      <c r="BR19" s="72"/>
      <c r="BS19" s="72"/>
      <c r="BT19" s="8">
        <f>SUM(BT12:BT18)</f>
        <v>311518.62</v>
      </c>
      <c r="BU19" s="72"/>
      <c r="BV19" s="72"/>
      <c r="BW19" s="72"/>
      <c r="BX19" s="72"/>
      <c r="BY19" s="8">
        <f>SUM(BY12:BY18)</f>
        <v>321828.4338</v>
      </c>
      <c r="BZ19" s="72"/>
      <c r="CA19" s="72"/>
      <c r="CB19" s="72"/>
      <c r="CC19" s="72"/>
      <c r="CD19" s="8">
        <f>SUM(CD12:CD18)</f>
        <v>332035.149462</v>
      </c>
    </row>
    <row r="20" spans="1:84">
      <c r="A20" s="7"/>
      <c r="B20" s="5"/>
      <c r="C20" s="138"/>
      <c r="D20" s="138"/>
      <c r="E20" s="138"/>
      <c r="F20" s="138"/>
      <c r="G20" s="138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138"/>
      <c r="W20" s="138"/>
      <c r="X20" s="138"/>
      <c r="Y20" s="138"/>
      <c r="Z20" s="138"/>
      <c r="AA20" s="138"/>
      <c r="AB20" s="138"/>
      <c r="AC20" s="138"/>
      <c r="AD20" s="138"/>
      <c r="AE20" s="138"/>
      <c r="AF20" s="138"/>
      <c r="AG20" s="138"/>
      <c r="AH20" s="138"/>
      <c r="AI20" s="138"/>
      <c r="AJ20" s="138"/>
      <c r="AK20" s="138"/>
      <c r="AL20" s="138"/>
      <c r="AM20" s="138"/>
      <c r="AN20" s="138"/>
      <c r="AO20" s="138"/>
      <c r="AP20" s="138"/>
      <c r="AQ20" s="138"/>
      <c r="AR20" s="138"/>
      <c r="AS20" s="138"/>
      <c r="AT20" s="138"/>
      <c r="AU20" s="138"/>
      <c r="AV20" s="138"/>
      <c r="AW20" s="138"/>
      <c r="AX20" s="138"/>
      <c r="AY20" s="138"/>
      <c r="AZ20" s="138"/>
      <c r="BA20" s="138"/>
      <c r="BB20" s="138"/>
      <c r="BC20" s="138"/>
      <c r="BD20" s="138"/>
      <c r="BE20" s="138"/>
      <c r="BF20" s="138"/>
      <c r="BG20" s="138"/>
      <c r="BH20" s="138"/>
      <c r="BI20" s="138"/>
      <c r="BJ20" s="138"/>
      <c r="BK20" s="138"/>
      <c r="BL20" s="138"/>
      <c r="BM20" s="138"/>
      <c r="BN20" s="138"/>
      <c r="BO20" s="138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</row>
    <row r="21" spans="1:84">
      <c r="A21" s="7" t="s">
        <v>2902</v>
      </c>
      <c r="B21" s="5"/>
      <c r="C21" s="138"/>
      <c r="D21" s="138"/>
      <c r="E21" s="138"/>
      <c r="F21" s="138"/>
      <c r="G21" s="138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138"/>
      <c r="W21" s="138"/>
      <c r="X21" s="138"/>
      <c r="Y21" s="138"/>
      <c r="Z21" s="138"/>
      <c r="AA21" s="138"/>
      <c r="AB21" s="138"/>
      <c r="AC21" s="138"/>
      <c r="AD21" s="138"/>
      <c r="AE21" s="138"/>
      <c r="AF21" s="138"/>
      <c r="AG21" s="138"/>
      <c r="AH21" s="138"/>
      <c r="AI21" s="138"/>
      <c r="AJ21" s="138"/>
      <c r="AK21" s="138"/>
      <c r="AL21" s="138"/>
      <c r="AM21" s="138"/>
      <c r="AN21" s="138"/>
      <c r="AO21" s="138"/>
      <c r="AP21" s="138"/>
      <c r="AQ21" s="138"/>
      <c r="AR21" s="138"/>
      <c r="AS21" s="138"/>
      <c r="AT21" s="138"/>
      <c r="AU21" s="138"/>
      <c r="AV21" s="138"/>
      <c r="AW21" s="138"/>
      <c r="AX21" s="138"/>
      <c r="AY21" s="138"/>
      <c r="AZ21" s="138"/>
      <c r="BA21" s="138"/>
      <c r="BB21" s="138"/>
      <c r="BC21" s="138"/>
      <c r="BD21" s="138"/>
      <c r="BE21" s="138"/>
      <c r="BF21" s="138"/>
      <c r="BG21" s="138"/>
      <c r="BH21" s="138"/>
      <c r="BI21" s="138"/>
      <c r="BJ21" s="138"/>
      <c r="BK21" s="138"/>
      <c r="BL21" s="138"/>
      <c r="BM21" s="138"/>
      <c r="BN21" s="138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</row>
    <row r="22" spans="1:84" ht="12.75" customHeight="1">
      <c r="A22" s="7"/>
      <c r="B22" s="4" t="s">
        <v>1885</v>
      </c>
      <c r="C22" s="5"/>
      <c r="D22" s="5">
        <f>D23-C30</f>
        <v>0</v>
      </c>
      <c r="E22" s="5">
        <f>E23-D30</f>
        <v>-350</v>
      </c>
      <c r="F22" s="5">
        <f>F23-E30</f>
        <v>0</v>
      </c>
      <c r="G22" s="5">
        <f>G23-F30</f>
        <v>3099</v>
      </c>
      <c r="H22" s="5"/>
      <c r="I22" s="5"/>
      <c r="J22" s="5"/>
      <c r="K22" s="5"/>
      <c r="L22" s="5">
        <f>L23-G30</f>
        <v>2295</v>
      </c>
      <c r="M22" s="5"/>
      <c r="N22" s="5"/>
      <c r="O22" s="5"/>
      <c r="P22" s="5"/>
      <c r="Q22" s="5">
        <f>Q23-L30</f>
        <v>0</v>
      </c>
      <c r="R22" s="5"/>
      <c r="S22" s="5"/>
      <c r="T22" s="5"/>
      <c r="U22" s="5"/>
      <c r="V22" s="138">
        <f>V23-Q30</f>
        <v>0</v>
      </c>
      <c r="W22" s="138"/>
      <c r="X22" s="138"/>
      <c r="Y22" s="138"/>
      <c r="Z22" s="138"/>
      <c r="AA22" s="138">
        <f>AA23-V30</f>
        <v>0</v>
      </c>
      <c r="AB22" s="138"/>
      <c r="AC22" s="138"/>
      <c r="AD22" s="138"/>
      <c r="AE22" s="138"/>
      <c r="AF22" s="138">
        <f>AF23-AA30</f>
        <v>0</v>
      </c>
      <c r="AG22" s="138"/>
      <c r="AH22" s="138"/>
      <c r="AI22" s="138"/>
      <c r="AJ22" s="138"/>
      <c r="AK22" s="138">
        <f>AK23-AF30</f>
        <v>0</v>
      </c>
      <c r="AL22" s="138"/>
      <c r="AM22" s="138"/>
      <c r="AN22" s="138"/>
      <c r="AO22" s="138"/>
      <c r="AP22" s="138">
        <f>AP23-AK30</f>
        <v>0</v>
      </c>
      <c r="AQ22" s="138"/>
      <c r="AR22" s="138"/>
      <c r="AS22" s="138"/>
      <c r="AT22" s="138"/>
      <c r="AU22" s="138">
        <f>AU23-AP30</f>
        <v>0</v>
      </c>
      <c r="AV22" s="138"/>
      <c r="AW22" s="138"/>
      <c r="AX22" s="138"/>
      <c r="AY22" s="138"/>
      <c r="AZ22" s="138">
        <f>AZ23-AU30</f>
        <v>0</v>
      </c>
      <c r="BA22" s="138"/>
      <c r="BB22" s="138"/>
      <c r="BC22" s="138"/>
      <c r="BD22" s="138"/>
      <c r="BE22" s="138">
        <f>BE23-AZ30</f>
        <v>0</v>
      </c>
      <c r="BF22" s="138"/>
      <c r="BG22" s="138"/>
      <c r="BH22" s="138"/>
      <c r="BI22" s="138"/>
      <c r="BJ22" s="138">
        <f>BJ23-BE30</f>
        <v>0</v>
      </c>
      <c r="BK22" s="138"/>
      <c r="BL22" s="138"/>
      <c r="BM22" s="138"/>
      <c r="BN22" s="138"/>
      <c r="BO22" s="138">
        <v>0</v>
      </c>
      <c r="BP22" s="5"/>
      <c r="BQ22" s="5"/>
      <c r="BR22" s="5"/>
      <c r="BS22" s="5"/>
      <c r="BT22" s="5">
        <f>BT23-BO30</f>
        <v>0</v>
      </c>
      <c r="BU22" s="5"/>
      <c r="BV22" s="5"/>
      <c r="BW22" s="5"/>
      <c r="BX22" s="5"/>
      <c r="BY22" s="5">
        <f>BY23-BT30</f>
        <v>0</v>
      </c>
      <c r="BZ22" s="5"/>
      <c r="CA22" s="5"/>
      <c r="CB22" s="5"/>
      <c r="CC22" s="5"/>
      <c r="CD22" s="5">
        <f>CD23-BY30</f>
        <v>0</v>
      </c>
    </row>
    <row r="23" spans="1:84">
      <c r="A23" s="5"/>
      <c r="B23" s="4" t="s">
        <v>2894</v>
      </c>
      <c r="C23" s="138">
        <v>66834</v>
      </c>
      <c r="D23" s="138">
        <v>70645</v>
      </c>
      <c r="E23" s="138">
        <v>81130</v>
      </c>
      <c r="F23" s="138">
        <v>83300</v>
      </c>
      <c r="G23" s="138">
        <v>93429</v>
      </c>
      <c r="H23" s="72"/>
      <c r="I23" s="72"/>
      <c r="J23" s="72"/>
      <c r="K23" s="72"/>
      <c r="L23" s="5">
        <v>92761</v>
      </c>
      <c r="M23" s="72"/>
      <c r="N23" s="72"/>
      <c r="O23" s="72"/>
      <c r="P23" s="72"/>
      <c r="Q23" s="5">
        <v>98280</v>
      </c>
      <c r="R23" s="72"/>
      <c r="S23" s="72"/>
      <c r="T23" s="72"/>
      <c r="U23" s="72"/>
      <c r="V23" s="138">
        <f>Q30</f>
        <v>107102</v>
      </c>
      <c r="W23" s="138"/>
      <c r="X23" s="138"/>
      <c r="Y23" s="138"/>
      <c r="Z23" s="138"/>
      <c r="AA23" s="138">
        <f>V30</f>
        <v>113909</v>
      </c>
      <c r="AB23" s="138"/>
      <c r="AC23" s="138"/>
      <c r="AD23" s="138"/>
      <c r="AE23" s="138"/>
      <c r="AF23" s="138">
        <f>AA30</f>
        <v>122983</v>
      </c>
      <c r="AG23" s="138"/>
      <c r="AH23" s="138"/>
      <c r="AI23" s="138"/>
      <c r="AJ23" s="138"/>
      <c r="AK23" s="138">
        <f>AF30</f>
        <v>124076</v>
      </c>
      <c r="AL23" s="138"/>
      <c r="AM23" s="138"/>
      <c r="AN23" s="138"/>
      <c r="AO23" s="138"/>
      <c r="AP23" s="138">
        <f>AK30</f>
        <v>122773</v>
      </c>
      <c r="AQ23" s="138"/>
      <c r="AR23" s="138"/>
      <c r="AS23" s="138"/>
      <c r="AT23" s="138"/>
      <c r="AU23" s="138">
        <f>AP30</f>
        <v>120607</v>
      </c>
      <c r="AV23" s="138"/>
      <c r="AW23" s="138"/>
      <c r="AX23" s="138"/>
      <c r="AY23" s="138"/>
      <c r="AZ23" s="138">
        <f>AU30</f>
        <v>135196</v>
      </c>
      <c r="BA23" s="138"/>
      <c r="BB23" s="138"/>
      <c r="BC23" s="138"/>
      <c r="BD23" s="138"/>
      <c r="BE23" s="138">
        <f>AZ30</f>
        <v>151009</v>
      </c>
      <c r="BF23" s="138"/>
      <c r="BG23" s="138"/>
      <c r="BH23" s="138"/>
      <c r="BI23" s="138"/>
      <c r="BJ23" s="138">
        <f>BE30</f>
        <v>162945</v>
      </c>
      <c r="BK23" s="138"/>
      <c r="BL23" s="138"/>
      <c r="BM23" s="138"/>
      <c r="BN23" s="138"/>
      <c r="BO23" s="138">
        <f>BJ30</f>
        <v>159126</v>
      </c>
      <c r="BP23" s="72"/>
      <c r="BQ23" s="72"/>
      <c r="BR23" s="72"/>
      <c r="BS23" s="72"/>
      <c r="BT23" s="5">
        <f>BO30</f>
        <v>170667</v>
      </c>
      <c r="BU23" s="72"/>
      <c r="BV23" s="72"/>
      <c r="BW23" s="72"/>
      <c r="BX23" s="72"/>
      <c r="BY23" s="5">
        <f>BT30</f>
        <v>185112.9511885675</v>
      </c>
      <c r="BZ23" s="72"/>
      <c r="CA23" s="72"/>
      <c r="CB23" s="72"/>
      <c r="CC23" s="72"/>
      <c r="CD23" s="5">
        <f>BY30</f>
        <v>200443.89457719328</v>
      </c>
      <c r="CF23" s="440"/>
    </row>
    <row r="24" spans="1:84">
      <c r="A24" s="5"/>
      <c r="B24" s="4" t="s">
        <v>2895</v>
      </c>
      <c r="C24" s="138">
        <v>-973</v>
      </c>
      <c r="D24" s="138">
        <v>3552</v>
      </c>
      <c r="E24" s="138">
        <v>3090</v>
      </c>
      <c r="F24" s="138">
        <v>2710</v>
      </c>
      <c r="G24" s="138">
        <v>-1639</v>
      </c>
      <c r="H24" s="72"/>
      <c r="I24" s="72"/>
      <c r="J24" s="72"/>
      <c r="K24" s="72"/>
      <c r="L24" s="5">
        <v>1041</v>
      </c>
      <c r="M24" s="72"/>
      <c r="N24" s="72"/>
      <c r="O24" s="72"/>
      <c r="P24" s="72"/>
      <c r="Q24" s="5">
        <v>1049</v>
      </c>
      <c r="R24" s="72"/>
      <c r="S24" s="72"/>
      <c r="T24" s="72"/>
      <c r="U24" s="72"/>
      <c r="V24" s="138">
        <v>-1755</v>
      </c>
      <c r="W24" s="138"/>
      <c r="X24" s="138"/>
      <c r="Y24" s="138"/>
      <c r="Z24" s="138"/>
      <c r="AA24" s="138">
        <v>859</v>
      </c>
      <c r="AB24" s="138"/>
      <c r="AC24" s="138"/>
      <c r="AD24" s="138"/>
      <c r="AE24" s="138"/>
      <c r="AF24" s="138">
        <v>-86</v>
      </c>
      <c r="AG24" s="138"/>
      <c r="AH24" s="138"/>
      <c r="AI24" s="138"/>
      <c r="AJ24" s="138"/>
      <c r="AK24" s="138">
        <v>-307</v>
      </c>
      <c r="AL24" s="138"/>
      <c r="AM24" s="138"/>
      <c r="AN24" s="138"/>
      <c r="AO24" s="138"/>
      <c r="AP24" s="138">
        <v>366</v>
      </c>
      <c r="AQ24" s="138"/>
      <c r="AR24" s="138"/>
      <c r="AS24" s="138"/>
      <c r="AT24" s="138"/>
      <c r="AU24" s="138">
        <f>-96+123573-AU23</f>
        <v>2870</v>
      </c>
      <c r="AV24" s="138"/>
      <c r="AW24" s="138"/>
      <c r="AX24" s="138"/>
      <c r="AY24" s="138"/>
      <c r="AZ24" s="138">
        <f>-1673+135766-AZ23</f>
        <v>-1103</v>
      </c>
      <c r="BA24" s="138"/>
      <c r="BB24" s="138"/>
      <c r="BC24" s="138"/>
      <c r="BD24" s="138"/>
      <c r="BE24" s="138">
        <v>-1516</v>
      </c>
      <c r="BF24" s="138"/>
      <c r="BG24" s="138"/>
      <c r="BH24" s="138"/>
      <c r="BI24" s="138"/>
      <c r="BJ24" s="138">
        <v>-637</v>
      </c>
      <c r="BK24" s="138"/>
      <c r="BL24" s="138"/>
      <c r="BM24" s="138"/>
      <c r="BN24" s="138"/>
      <c r="BO24" s="138">
        <v>1259</v>
      </c>
      <c r="BP24" s="72"/>
      <c r="BQ24" s="72"/>
      <c r="BR24" s="72"/>
      <c r="BS24" s="72"/>
      <c r="BT24" s="144">
        <v>0</v>
      </c>
      <c r="BU24" s="72"/>
      <c r="BV24" s="72"/>
      <c r="BW24" s="72"/>
      <c r="BX24" s="72"/>
      <c r="BY24" s="144">
        <v>0</v>
      </c>
      <c r="BZ24" s="72"/>
      <c r="CA24" s="72"/>
      <c r="CB24" s="72"/>
      <c r="CC24" s="72"/>
      <c r="CD24" s="144">
        <v>0</v>
      </c>
      <c r="CF24" s="611"/>
    </row>
    <row r="25" spans="1:84">
      <c r="A25" s="5"/>
      <c r="B25" s="4" t="s">
        <v>3236</v>
      </c>
      <c r="C25" s="138">
        <v>7441</v>
      </c>
      <c r="D25" s="138">
        <v>8917</v>
      </c>
      <c r="E25" s="138">
        <v>8528</v>
      </c>
      <c r="F25" s="138">
        <v>8834</v>
      </c>
      <c r="G25" s="138">
        <v>9021</v>
      </c>
      <c r="H25" s="72"/>
      <c r="I25" s="72"/>
      <c r="J25" s="72"/>
      <c r="K25" s="72"/>
      <c r="L25" s="5">
        <v>8911</v>
      </c>
      <c r="M25" s="72"/>
      <c r="N25" s="72"/>
      <c r="O25" s="72"/>
      <c r="P25" s="72"/>
      <c r="Q25" s="5">
        <v>10241</v>
      </c>
      <c r="R25" s="72"/>
      <c r="S25" s="72"/>
      <c r="T25" s="72"/>
      <c r="U25" s="72"/>
      <c r="V25" s="138">
        <v>10616</v>
      </c>
      <c r="W25" s="138"/>
      <c r="X25" s="138"/>
      <c r="Y25" s="138"/>
      <c r="Z25" s="138"/>
      <c r="AA25" s="138">
        <v>11665</v>
      </c>
      <c r="AB25" s="138"/>
      <c r="AC25" s="138"/>
      <c r="AD25" s="138"/>
      <c r="AE25" s="138"/>
      <c r="AF25" s="138">
        <v>10797</v>
      </c>
      <c r="AG25" s="138"/>
      <c r="AH25" s="138"/>
      <c r="AI25" s="138"/>
      <c r="AJ25" s="138"/>
      <c r="AK25" s="138">
        <v>10771</v>
      </c>
      <c r="AL25" s="138"/>
      <c r="AM25" s="138"/>
      <c r="AN25" s="138"/>
      <c r="AO25" s="138"/>
      <c r="AP25" s="138">
        <v>12165</v>
      </c>
      <c r="AQ25" s="138"/>
      <c r="AR25" s="138"/>
      <c r="AS25" s="138"/>
      <c r="AT25" s="138"/>
      <c r="AU25" s="138">
        <v>13243</v>
      </c>
      <c r="AV25" s="138"/>
      <c r="AW25" s="138"/>
      <c r="AX25" s="138"/>
      <c r="AY25" s="138"/>
      <c r="AZ25" s="138">
        <v>14859</v>
      </c>
      <c r="BA25" s="138"/>
      <c r="BB25" s="138"/>
      <c r="BC25" s="138"/>
      <c r="BD25" s="138"/>
      <c r="BE25" s="138">
        <v>14923</v>
      </c>
      <c r="BF25" s="138"/>
      <c r="BG25" s="138"/>
      <c r="BH25" s="138"/>
      <c r="BI25" s="138"/>
      <c r="BJ25" s="138">
        <v>14154</v>
      </c>
      <c r="BK25" s="138"/>
      <c r="BL25" s="138"/>
      <c r="BM25" s="138"/>
      <c r="BN25" s="138"/>
      <c r="BO25" s="138">
        <v>15249</v>
      </c>
      <c r="BP25" s="72"/>
      <c r="BQ25" s="72"/>
      <c r="BR25" s="72"/>
      <c r="BS25" s="72"/>
      <c r="BT25" s="5">
        <f>BT34-BT41</f>
        <v>16594.264521900815</v>
      </c>
      <c r="BU25" s="72"/>
      <c r="BV25" s="72"/>
      <c r="BW25" s="72"/>
      <c r="BX25" s="72"/>
      <c r="BY25" s="5">
        <f>BY34-BY41</f>
        <v>17691.762921959089</v>
      </c>
      <c r="BZ25" s="72"/>
      <c r="CA25" s="72"/>
      <c r="CB25" s="72"/>
      <c r="CC25" s="72"/>
      <c r="CD25" s="5">
        <f>CD34-CD41</f>
        <v>18643.909114523907</v>
      </c>
    </row>
    <row r="26" spans="1:84">
      <c r="A26" s="5"/>
      <c r="B26" s="4" t="s">
        <v>3237</v>
      </c>
      <c r="C26" s="138">
        <v>0</v>
      </c>
      <c r="D26" s="138">
        <v>1204</v>
      </c>
      <c r="E26" s="138">
        <v>1013</v>
      </c>
      <c r="F26" s="138">
        <v>1165</v>
      </c>
      <c r="G26" s="138">
        <v>898</v>
      </c>
      <c r="H26" s="72"/>
      <c r="I26" s="72"/>
      <c r="J26" s="72"/>
      <c r="K26" s="72"/>
      <c r="L26" s="5">
        <f>204-340</f>
        <v>-136</v>
      </c>
      <c r="M26" s="72"/>
      <c r="N26" s="72"/>
      <c r="O26" s="72"/>
      <c r="P26" s="72"/>
      <c r="Q26" s="5">
        <f>1239-237</f>
        <v>1002</v>
      </c>
      <c r="R26" s="72"/>
      <c r="S26" s="72"/>
      <c r="T26" s="72"/>
      <c r="U26" s="72"/>
      <c r="V26" s="138">
        <f>674-122</f>
        <v>552</v>
      </c>
      <c r="W26" s="138"/>
      <c r="X26" s="138"/>
      <c r="Y26" s="138"/>
      <c r="Z26" s="138"/>
      <c r="AA26" s="138">
        <v>406</v>
      </c>
      <c r="AB26" s="138"/>
      <c r="AC26" s="138"/>
      <c r="AD26" s="138"/>
      <c r="AE26" s="138"/>
      <c r="AF26" s="138">
        <v>1119</v>
      </c>
      <c r="AG26" s="138"/>
      <c r="AH26" s="138"/>
      <c r="AI26" s="138"/>
      <c r="AJ26" s="138"/>
      <c r="AK26" s="138">
        <f>1709-146</f>
        <v>1563</v>
      </c>
      <c r="AL26" s="138"/>
      <c r="AM26" s="138"/>
      <c r="AN26" s="138"/>
      <c r="AO26" s="138"/>
      <c r="AP26" s="138">
        <v>3343</v>
      </c>
      <c r="AQ26" s="138"/>
      <c r="AR26" s="138"/>
      <c r="AS26" s="138"/>
      <c r="AT26" s="138"/>
      <c r="AU26" s="138">
        <f>1361-226</f>
        <v>1135</v>
      </c>
      <c r="AV26" s="138"/>
      <c r="AW26" s="138"/>
      <c r="AX26" s="138"/>
      <c r="AY26" s="138"/>
      <c r="AZ26" s="138">
        <f>7627-102</f>
        <v>7525</v>
      </c>
      <c r="BA26" s="138"/>
      <c r="BB26" s="138"/>
      <c r="BC26" s="138"/>
      <c r="BD26" s="138"/>
      <c r="BE26" s="138">
        <f>2645-1258</f>
        <v>1387</v>
      </c>
      <c r="BF26" s="138"/>
      <c r="BG26" s="138"/>
      <c r="BH26" s="138"/>
      <c r="BI26" s="138"/>
      <c r="BJ26" s="138">
        <f>1000-3042</f>
        <v>-2042</v>
      </c>
      <c r="BK26" s="138"/>
      <c r="BL26" s="138"/>
      <c r="BM26" s="138"/>
      <c r="BN26" s="138"/>
      <c r="BO26" s="138">
        <f>1193-207</f>
        <v>986</v>
      </c>
      <c r="BP26" s="72"/>
      <c r="BQ26" s="72"/>
      <c r="BR26" s="72"/>
      <c r="BS26" s="72"/>
      <c r="BT26" s="144">
        <f>Capex!BT112</f>
        <v>853.06666666666661</v>
      </c>
      <c r="BU26" s="72"/>
      <c r="BV26" s="72"/>
      <c r="BW26" s="72"/>
      <c r="BX26" s="72"/>
      <c r="BY26" s="144">
        <f>Capex!BY112</f>
        <v>754.36666666666667</v>
      </c>
      <c r="BZ26" s="72"/>
      <c r="CA26" s="72"/>
      <c r="CB26" s="72"/>
      <c r="CC26" s="72"/>
      <c r="CD26" s="144">
        <f>Capex!CD112</f>
        <v>432.40000000000003</v>
      </c>
    </row>
    <row r="27" spans="1:84">
      <c r="A27" s="5"/>
      <c r="B27" s="4" t="s">
        <v>2899</v>
      </c>
      <c r="C27" s="138">
        <v>0</v>
      </c>
      <c r="D27" s="138">
        <v>0</v>
      </c>
      <c r="E27" s="138">
        <v>0</v>
      </c>
      <c r="F27" s="138">
        <v>0</v>
      </c>
      <c r="G27" s="138">
        <v>0</v>
      </c>
      <c r="H27" s="72"/>
      <c r="I27" s="72"/>
      <c r="J27" s="72"/>
      <c r="K27" s="72"/>
      <c r="L27" s="5">
        <v>-342</v>
      </c>
      <c r="M27" s="72"/>
      <c r="N27" s="72"/>
      <c r="O27" s="72"/>
      <c r="P27" s="72"/>
      <c r="Q27" s="5">
        <v>-495</v>
      </c>
      <c r="R27" s="72"/>
      <c r="S27" s="72"/>
      <c r="T27" s="72"/>
      <c r="U27" s="72"/>
      <c r="V27" s="138">
        <v>0</v>
      </c>
      <c r="W27" s="138"/>
      <c r="X27" s="138"/>
      <c r="Y27" s="138"/>
      <c r="Z27" s="138"/>
      <c r="AA27" s="138">
        <v>0</v>
      </c>
      <c r="AB27" s="138"/>
      <c r="AC27" s="138"/>
      <c r="AD27" s="138"/>
      <c r="AE27" s="138"/>
      <c r="AF27" s="138">
        <v>-5037</v>
      </c>
      <c r="AG27" s="138"/>
      <c r="AH27" s="138"/>
      <c r="AI27" s="138"/>
      <c r="AJ27" s="138"/>
      <c r="AK27" s="138">
        <v>-6556</v>
      </c>
      <c r="AL27" s="138"/>
      <c r="AM27" s="138"/>
      <c r="AN27" s="138"/>
      <c r="AO27" s="138"/>
      <c r="AP27" s="138">
        <v>-222</v>
      </c>
      <c r="AQ27" s="138"/>
      <c r="AR27" s="138"/>
      <c r="AS27" s="138"/>
      <c r="AT27" s="138"/>
      <c r="AU27" s="138">
        <v>0</v>
      </c>
      <c r="AV27" s="138"/>
      <c r="AW27" s="138"/>
      <c r="AX27" s="138"/>
      <c r="AY27" s="138"/>
      <c r="AZ27" s="138">
        <v>0</v>
      </c>
      <c r="BA27" s="138"/>
      <c r="BB27" s="138"/>
      <c r="BC27" s="138"/>
      <c r="BD27" s="138"/>
      <c r="BE27" s="138">
        <v>-1095</v>
      </c>
      <c r="BF27" s="138"/>
      <c r="BG27" s="138"/>
      <c r="BH27" s="138"/>
      <c r="BI27" s="138"/>
      <c r="BJ27" s="138">
        <v>-1319</v>
      </c>
      <c r="BK27" s="138"/>
      <c r="BL27" s="138"/>
      <c r="BM27" s="138"/>
      <c r="BN27" s="138"/>
      <c r="BO27" s="138">
        <v>0</v>
      </c>
      <c r="BP27" s="72"/>
      <c r="BQ27" s="72"/>
      <c r="BR27" s="72"/>
      <c r="BS27" s="72"/>
      <c r="BT27" s="144">
        <v>0</v>
      </c>
      <c r="BU27" s="72"/>
      <c r="BV27" s="72"/>
      <c r="BW27" s="72"/>
      <c r="BX27" s="72"/>
      <c r="BY27" s="144">
        <v>0</v>
      </c>
      <c r="BZ27" s="72"/>
      <c r="CA27" s="72"/>
      <c r="CB27" s="72"/>
      <c r="CC27" s="72"/>
      <c r="CD27" s="144">
        <v>0</v>
      </c>
    </row>
    <row r="28" spans="1:84">
      <c r="A28" s="5"/>
      <c r="B28" s="4" t="s">
        <v>2898</v>
      </c>
      <c r="C28" s="138">
        <v>169</v>
      </c>
      <c r="D28" s="138">
        <v>271</v>
      </c>
      <c r="E28" s="138">
        <v>57</v>
      </c>
      <c r="F28" s="138">
        <v>196</v>
      </c>
      <c r="G28" s="138">
        <v>6</v>
      </c>
      <c r="H28" s="72"/>
      <c r="I28" s="72"/>
      <c r="J28" s="72"/>
      <c r="K28" s="72"/>
      <c r="L28" s="5">
        <v>-888</v>
      </c>
      <c r="M28" s="72"/>
      <c r="N28" s="72"/>
      <c r="O28" s="72"/>
      <c r="P28" s="72"/>
      <c r="Q28" s="5">
        <v>0</v>
      </c>
      <c r="R28" s="72"/>
      <c r="S28" s="72"/>
      <c r="T28" s="72"/>
      <c r="U28" s="72"/>
      <c r="V28" s="138">
        <v>-75</v>
      </c>
      <c r="W28" s="138"/>
      <c r="X28" s="138"/>
      <c r="Y28" s="138"/>
      <c r="Z28" s="138"/>
      <c r="AA28" s="138">
        <v>0</v>
      </c>
      <c r="AB28" s="138"/>
      <c r="AC28" s="138"/>
      <c r="AD28" s="138"/>
      <c r="AE28" s="138"/>
      <c r="AF28" s="138">
        <v>0</v>
      </c>
      <c r="AG28" s="138"/>
      <c r="AH28" s="138"/>
      <c r="AI28" s="138"/>
      <c r="AJ28" s="138"/>
      <c r="AK28" s="138">
        <v>0</v>
      </c>
      <c r="AL28" s="138"/>
      <c r="AM28" s="138"/>
      <c r="AN28" s="138"/>
      <c r="AO28" s="138"/>
      <c r="AP28" s="138">
        <v>-13938</v>
      </c>
      <c r="AQ28" s="138"/>
      <c r="AR28" s="138"/>
      <c r="AS28" s="138"/>
      <c r="AT28" s="138"/>
      <c r="AU28" s="138">
        <v>365</v>
      </c>
      <c r="AV28" s="138"/>
      <c r="AW28" s="138"/>
      <c r="AX28" s="138"/>
      <c r="AY28" s="138"/>
      <c r="AZ28" s="138">
        <v>0</v>
      </c>
      <c r="BA28" s="138"/>
      <c r="BB28" s="138"/>
      <c r="BC28" s="138"/>
      <c r="BD28" s="138"/>
      <c r="BE28" s="138">
        <v>21</v>
      </c>
      <c r="BF28" s="138"/>
      <c r="BG28" s="138"/>
      <c r="BH28" s="138"/>
      <c r="BI28" s="138"/>
      <c r="BJ28" s="138">
        <v>5</v>
      </c>
      <c r="BK28" s="138"/>
      <c r="BL28" s="138"/>
      <c r="BM28" s="138"/>
      <c r="BN28" s="138"/>
      <c r="BO28" s="138">
        <v>0</v>
      </c>
      <c r="BP28" s="72"/>
      <c r="BQ28" s="72"/>
      <c r="BR28" s="72"/>
      <c r="BS28" s="72"/>
      <c r="BT28" s="144"/>
      <c r="BU28" s="72"/>
      <c r="BV28" s="72"/>
      <c r="BW28" s="72"/>
      <c r="BX28" s="72"/>
      <c r="BY28" s="144"/>
      <c r="BZ28" s="72"/>
      <c r="CA28" s="72"/>
      <c r="CB28" s="72"/>
      <c r="CC28" s="72"/>
      <c r="CD28" s="144"/>
    </row>
    <row r="29" spans="1:84">
      <c r="A29" s="5"/>
      <c r="B29" s="4" t="s">
        <v>2900</v>
      </c>
      <c r="C29" s="138">
        <v>-2826</v>
      </c>
      <c r="D29" s="138">
        <v>-3109</v>
      </c>
      <c r="E29" s="138">
        <v>-10518</v>
      </c>
      <c r="F29" s="138">
        <v>-5875</v>
      </c>
      <c r="G29" s="138">
        <v>-11249</v>
      </c>
      <c r="H29" s="72"/>
      <c r="I29" s="72"/>
      <c r="J29" s="72"/>
      <c r="K29" s="72"/>
      <c r="L29" s="5">
        <v>-3067</v>
      </c>
      <c r="M29" s="72"/>
      <c r="N29" s="72"/>
      <c r="O29" s="72"/>
      <c r="P29" s="72"/>
      <c r="Q29" s="5">
        <v>-2975</v>
      </c>
      <c r="R29" s="72"/>
      <c r="S29" s="72"/>
      <c r="T29" s="72"/>
      <c r="U29" s="72"/>
      <c r="V29" s="138">
        <v>-2531</v>
      </c>
      <c r="W29" s="138"/>
      <c r="X29" s="138"/>
      <c r="Y29" s="138"/>
      <c r="Z29" s="138"/>
      <c r="AA29" s="138">
        <v>-3856</v>
      </c>
      <c r="AB29" s="138"/>
      <c r="AC29" s="138"/>
      <c r="AD29" s="138"/>
      <c r="AE29" s="138"/>
      <c r="AF29" s="138">
        <v>-5700</v>
      </c>
      <c r="AG29" s="138"/>
      <c r="AH29" s="138"/>
      <c r="AI29" s="138"/>
      <c r="AJ29" s="138"/>
      <c r="AK29" s="138">
        <v>-6774</v>
      </c>
      <c r="AL29" s="138"/>
      <c r="AM29" s="138"/>
      <c r="AN29" s="138"/>
      <c r="AO29" s="138"/>
      <c r="AP29" s="138">
        <v>-3880</v>
      </c>
      <c r="AQ29" s="138"/>
      <c r="AR29" s="138"/>
      <c r="AS29" s="138"/>
      <c r="AT29" s="138"/>
      <c r="AU29" s="138">
        <v>-3024</v>
      </c>
      <c r="AV29" s="138"/>
      <c r="AW29" s="138"/>
      <c r="AX29" s="138"/>
      <c r="AY29" s="138"/>
      <c r="AZ29" s="138">
        <v>-5468</v>
      </c>
      <c r="BA29" s="138"/>
      <c r="BB29" s="138"/>
      <c r="BC29" s="138"/>
      <c r="BD29" s="138"/>
      <c r="BE29" s="138">
        <v>-1784</v>
      </c>
      <c r="BF29" s="138"/>
      <c r="BG29" s="138"/>
      <c r="BH29" s="138"/>
      <c r="BI29" s="138"/>
      <c r="BJ29" s="138">
        <v>-13980</v>
      </c>
      <c r="BK29" s="138"/>
      <c r="BL29" s="138"/>
      <c r="BM29" s="138"/>
      <c r="BN29" s="138"/>
      <c r="BO29" s="138">
        <v>-5953</v>
      </c>
      <c r="BP29" s="72"/>
      <c r="BQ29" s="72"/>
      <c r="BR29" s="72"/>
      <c r="BS29" s="72"/>
      <c r="BT29" s="5">
        <f>(BT18-Capex!BT21)*BT45</f>
        <v>-3001.38</v>
      </c>
      <c r="BU29" s="72"/>
      <c r="BV29" s="72"/>
      <c r="BW29" s="72"/>
      <c r="BX29" s="72"/>
      <c r="BY29" s="5">
        <f>(BY18-Capex!BY21)*BY45</f>
        <v>-3115.1862000000001</v>
      </c>
      <c r="BZ29" s="72"/>
      <c r="CA29" s="72"/>
      <c r="CB29" s="72"/>
      <c r="CC29" s="72"/>
      <c r="CD29" s="5">
        <f>(CD18-Capex!CD21)*CD45</f>
        <v>-3218.2843379999995</v>
      </c>
    </row>
    <row r="30" spans="1:84">
      <c r="A30" s="7" t="s">
        <v>2901</v>
      </c>
      <c r="B30" s="8"/>
      <c r="C30" s="179">
        <f>SUM(C23:C29)</f>
        <v>70645</v>
      </c>
      <c r="D30" s="179">
        <f>SUM(D23:D29)</f>
        <v>81480</v>
      </c>
      <c r="E30" s="179">
        <f>SUM(E23:E29)</f>
        <v>83300</v>
      </c>
      <c r="F30" s="179">
        <f>SUM(F23:F29)</f>
        <v>90330</v>
      </c>
      <c r="G30" s="179">
        <f>SUM(G23:G29)</f>
        <v>90466</v>
      </c>
      <c r="H30" s="72"/>
      <c r="I30" s="72"/>
      <c r="J30" s="72"/>
      <c r="K30" s="72"/>
      <c r="L30" s="8">
        <f>SUM(L23:L29)</f>
        <v>98280</v>
      </c>
      <c r="M30" s="72"/>
      <c r="N30" s="72"/>
      <c r="O30" s="72"/>
      <c r="P30" s="72"/>
      <c r="Q30" s="8">
        <f>SUM(Q23:Q29)</f>
        <v>107102</v>
      </c>
      <c r="R30" s="72"/>
      <c r="S30" s="72"/>
      <c r="T30" s="72"/>
      <c r="U30" s="72"/>
      <c r="V30" s="179">
        <f>SUM(V23:V29)</f>
        <v>113909</v>
      </c>
      <c r="W30" s="138"/>
      <c r="X30" s="138"/>
      <c r="Y30" s="138"/>
      <c r="Z30" s="138"/>
      <c r="AA30" s="179">
        <f>SUM(AA23:AA29)</f>
        <v>122983</v>
      </c>
      <c r="AB30" s="138"/>
      <c r="AC30" s="138"/>
      <c r="AD30" s="138"/>
      <c r="AE30" s="138"/>
      <c r="AF30" s="179">
        <f>SUM(AF23:AF29)</f>
        <v>124076</v>
      </c>
      <c r="AG30" s="138"/>
      <c r="AH30" s="138"/>
      <c r="AI30" s="138"/>
      <c r="AJ30" s="138"/>
      <c r="AK30" s="179">
        <f>SUM(AK23:AK29)</f>
        <v>122773</v>
      </c>
      <c r="AL30" s="138"/>
      <c r="AM30" s="138"/>
      <c r="AN30" s="138"/>
      <c r="AO30" s="138"/>
      <c r="AP30" s="179">
        <f>SUM(AP23:AP29)</f>
        <v>120607</v>
      </c>
      <c r="AQ30" s="138"/>
      <c r="AR30" s="138"/>
      <c r="AS30" s="138"/>
      <c r="AT30" s="138"/>
      <c r="AU30" s="179">
        <f>SUM(AU23:AU29)</f>
        <v>135196</v>
      </c>
      <c r="AV30" s="138"/>
      <c r="AW30" s="138"/>
      <c r="AX30" s="138"/>
      <c r="AY30" s="138"/>
      <c r="AZ30" s="179">
        <f>SUM(AZ23:AZ29)</f>
        <v>151009</v>
      </c>
      <c r="BA30" s="138"/>
      <c r="BB30" s="138"/>
      <c r="BC30" s="138"/>
      <c r="BD30" s="138"/>
      <c r="BE30" s="179">
        <f>SUM(BE23:BE29)</f>
        <v>162945</v>
      </c>
      <c r="BF30" s="138"/>
      <c r="BG30" s="138"/>
      <c r="BH30" s="138"/>
      <c r="BI30" s="138"/>
      <c r="BJ30" s="179">
        <f>SUM(BJ23:BJ29)</f>
        <v>159126</v>
      </c>
      <c r="BK30" s="138"/>
      <c r="BL30" s="138"/>
      <c r="BM30" s="138"/>
      <c r="BN30" s="138"/>
      <c r="BO30" s="179">
        <f>SUM(BO23:BO29)</f>
        <v>170667</v>
      </c>
      <c r="BP30" s="72"/>
      <c r="BQ30" s="72"/>
      <c r="BR30" s="72"/>
      <c r="BS30" s="72"/>
      <c r="BT30" s="8">
        <f>SUM(BT23:BT29)</f>
        <v>185112.9511885675</v>
      </c>
      <c r="BU30" s="72"/>
      <c r="BV30" s="72"/>
      <c r="BW30" s="72"/>
      <c r="BX30" s="72"/>
      <c r="BY30" s="8">
        <f>SUM(BY23:BY29)</f>
        <v>200443.89457719328</v>
      </c>
      <c r="BZ30" s="72"/>
      <c r="CA30" s="72"/>
      <c r="CB30" s="72"/>
      <c r="CC30" s="72"/>
      <c r="CD30" s="8">
        <f>SUM(CD23:CD29)</f>
        <v>216301.91935371718</v>
      </c>
    </row>
    <row r="31" spans="1:84">
      <c r="A31" s="5"/>
      <c r="B31" s="5"/>
      <c r="C31" s="138"/>
      <c r="D31" s="138"/>
      <c r="E31" s="138"/>
      <c r="F31" s="138"/>
      <c r="G31" s="138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138"/>
      <c r="W31" s="138"/>
      <c r="X31" s="138"/>
      <c r="Y31" s="138"/>
      <c r="Z31" s="138"/>
      <c r="AA31" s="138"/>
      <c r="AB31" s="138"/>
      <c r="AC31" s="138"/>
      <c r="AD31" s="138"/>
      <c r="AE31" s="138"/>
      <c r="AF31" s="138"/>
      <c r="AG31" s="138"/>
      <c r="AH31" s="138"/>
      <c r="AI31" s="138"/>
      <c r="AJ31" s="138"/>
      <c r="AK31" s="297"/>
      <c r="AL31" s="297"/>
      <c r="AM31" s="297"/>
      <c r="AN31" s="297"/>
      <c r="AO31" s="297"/>
      <c r="AP31" s="297"/>
      <c r="AQ31" s="297"/>
      <c r="AR31" s="297"/>
      <c r="AS31" s="297"/>
      <c r="AT31" s="297"/>
      <c r="AU31" s="297"/>
      <c r="AV31" s="297"/>
      <c r="AW31" s="297"/>
      <c r="AX31" s="297"/>
      <c r="AY31" s="297"/>
      <c r="AZ31" s="297"/>
      <c r="BA31" s="138"/>
      <c r="BB31" s="138"/>
      <c r="BC31" s="138"/>
      <c r="BD31" s="138"/>
      <c r="BE31" s="297"/>
      <c r="BF31" s="138"/>
      <c r="BG31" s="138"/>
      <c r="BH31" s="138"/>
      <c r="BI31" s="138"/>
      <c r="BJ31" s="297"/>
      <c r="BK31" s="138"/>
      <c r="BL31" s="138"/>
      <c r="BM31" s="138"/>
      <c r="BN31" s="138"/>
      <c r="BO31" s="297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</row>
    <row r="32" spans="1:84">
      <c r="A32" s="15" t="s">
        <v>2903</v>
      </c>
      <c r="B32" s="15"/>
      <c r="C32" s="174">
        <f>C19-C30</f>
        <v>77410</v>
      </c>
      <c r="D32" s="174">
        <f>D19-D30</f>
        <v>87682</v>
      </c>
      <c r="E32" s="174">
        <f>E19-E30</f>
        <v>88607</v>
      </c>
      <c r="F32" s="174">
        <f>F19-F30</f>
        <v>93092</v>
      </c>
      <c r="G32" s="174">
        <f>G19-G30</f>
        <v>85947</v>
      </c>
      <c r="H32" s="16"/>
      <c r="I32" s="16"/>
      <c r="J32" s="16"/>
      <c r="K32" s="16"/>
      <c r="L32" s="15">
        <f>L19-L30</f>
        <v>90999</v>
      </c>
      <c r="M32" s="16"/>
      <c r="N32" s="16"/>
      <c r="O32" s="16"/>
      <c r="P32" s="16"/>
      <c r="Q32" s="15">
        <f>Q19-Q30</f>
        <v>97989</v>
      </c>
      <c r="R32" s="16"/>
      <c r="S32" s="16"/>
      <c r="T32" s="16"/>
      <c r="U32" s="16"/>
      <c r="V32" s="174">
        <f>V19-V30</f>
        <v>103200</v>
      </c>
      <c r="W32" s="177"/>
      <c r="X32" s="177"/>
      <c r="Y32" s="177"/>
      <c r="Z32" s="177"/>
      <c r="AA32" s="174">
        <f>AA19-AA30</f>
        <v>108275</v>
      </c>
      <c r="AB32" s="177"/>
      <c r="AC32" s="177"/>
      <c r="AD32" s="177"/>
      <c r="AE32" s="177"/>
      <c r="AF32" s="174">
        <f>AF19-AF30</f>
        <v>110163</v>
      </c>
      <c r="AG32" s="177"/>
      <c r="AH32" s="177"/>
      <c r="AI32" s="177"/>
      <c r="AJ32" s="177"/>
      <c r="AK32" s="174">
        <f>AK19-AK30</f>
        <v>119214</v>
      </c>
      <c r="AL32" s="177">
        <f>'Balance sheet'!AL11</f>
        <v>119991</v>
      </c>
      <c r="AM32" s="177">
        <f>'Balance sheet'!AM11</f>
        <v>117565</v>
      </c>
      <c r="AN32" s="177">
        <f>'Balance sheet'!AN11</f>
        <v>119687</v>
      </c>
      <c r="AO32" s="177">
        <f>'Balance sheet'!AO11</f>
        <v>120448</v>
      </c>
      <c r="AP32" s="174">
        <f>AP19-AP30</f>
        <v>120448</v>
      </c>
      <c r="AQ32" s="177">
        <f>'Balance sheet'!AQ11</f>
        <v>126848</v>
      </c>
      <c r="AR32" s="177">
        <f>'Balance sheet'!AR11</f>
        <v>128370</v>
      </c>
      <c r="AS32" s="177">
        <f>'Balance sheet'!AS11</f>
        <v>130153</v>
      </c>
      <c r="AT32" s="177">
        <f>'Balance sheet'!AT11</f>
        <v>133690</v>
      </c>
      <c r="AU32" s="174">
        <f>AT32</f>
        <v>133690</v>
      </c>
      <c r="AV32" s="177">
        <f>'Balance sheet'!AV11</f>
        <v>133199</v>
      </c>
      <c r="AW32" s="177">
        <f>'Balance sheet'!AW11</f>
        <v>135854</v>
      </c>
      <c r="AX32" s="177">
        <f>'Balance sheet'!AX11</f>
        <v>134726</v>
      </c>
      <c r="AY32" s="177">
        <f>'Balance sheet'!AY11</f>
        <v>130692</v>
      </c>
      <c r="AZ32" s="174">
        <f>AY32</f>
        <v>130692</v>
      </c>
      <c r="BA32" s="177">
        <f>'Balance sheet'!BA11</f>
        <v>129113</v>
      </c>
      <c r="BB32" s="177">
        <f>'Balance sheet'!BB11</f>
        <v>130659</v>
      </c>
      <c r="BC32" s="177">
        <f>'Balance sheet'!BC11</f>
        <v>130124</v>
      </c>
      <c r="BD32" s="177">
        <f>'Balance sheet'!BD11</f>
        <v>129758</v>
      </c>
      <c r="BE32" s="174">
        <f>BD32</f>
        <v>129758</v>
      </c>
      <c r="BF32" s="177">
        <f>'Balance sheet'!BF11</f>
        <v>129253</v>
      </c>
      <c r="BG32" s="177">
        <f>'Balance sheet'!BG11</f>
        <v>125946</v>
      </c>
      <c r="BH32" s="177">
        <f>'Balance sheet'!BH11</f>
        <v>128262</v>
      </c>
      <c r="BI32" s="177">
        <f>'Balance sheet'!BI11</f>
        <v>129757</v>
      </c>
      <c r="BJ32" s="174">
        <f>BI32</f>
        <v>129757</v>
      </c>
      <c r="BK32" s="177">
        <f>'Balance sheet'!BK11</f>
        <v>129817</v>
      </c>
      <c r="BL32" s="177">
        <f>'Balance sheet'!BL11</f>
        <v>130715</v>
      </c>
      <c r="BM32" s="177">
        <f>'Balance sheet'!BM11</f>
        <v>130651</v>
      </c>
      <c r="BN32" s="177">
        <f>'Balance sheet'!BN11</f>
        <v>129471</v>
      </c>
      <c r="BO32" s="174">
        <f>+BO19-BO30</f>
        <v>129471</v>
      </c>
      <c r="BP32" s="16">
        <f>BO32+(BT32-BO32)/4</f>
        <v>128704.66720285812</v>
      </c>
      <c r="BQ32" s="16">
        <f>BP32+(BT32-BP32)/3</f>
        <v>127938.33440571625</v>
      </c>
      <c r="BR32" s="16">
        <f>BQ32+(BT32-BQ32)/2</f>
        <v>127172.00160857437</v>
      </c>
      <c r="BS32" s="16">
        <f>BT32</f>
        <v>126405.66881143249</v>
      </c>
      <c r="BT32" s="15">
        <f>BT19-BT30</f>
        <v>126405.66881143249</v>
      </c>
      <c r="BU32" s="16">
        <f>BT32+(BY32-BT32)/4</f>
        <v>125150.38641427606</v>
      </c>
      <c r="BV32" s="16">
        <f>BU32+(BY32-BU32)/3</f>
        <v>123895.10401711961</v>
      </c>
      <c r="BW32" s="16">
        <f>BV32+(BY32-BV32)/2</f>
        <v>122639.82161996316</v>
      </c>
      <c r="BX32" s="16">
        <f>BY32</f>
        <v>121384.53922280672</v>
      </c>
      <c r="BY32" s="15">
        <f>BY19-BY30</f>
        <v>121384.53922280672</v>
      </c>
      <c r="BZ32" s="16">
        <f>BY32+(CD32-BY32)/4</f>
        <v>119971.71194417574</v>
      </c>
      <c r="CA32" s="16">
        <f>BZ32+(CD32-BZ32)/3</f>
        <v>118558.88466554477</v>
      </c>
      <c r="CB32" s="16">
        <f>CA32+(CD32-CA32)/2</f>
        <v>117146.0573869138</v>
      </c>
      <c r="CC32" s="16">
        <f>CD32</f>
        <v>115733.23010828282</v>
      </c>
      <c r="CD32" s="15">
        <f>CD19-CD30</f>
        <v>115733.23010828282</v>
      </c>
    </row>
    <row r="33" spans="1:82">
      <c r="A33" s="5"/>
      <c r="B33" s="5"/>
      <c r="C33" s="297"/>
      <c r="D33" s="138"/>
      <c r="E33" s="138"/>
      <c r="F33" s="138"/>
      <c r="G33" s="138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138"/>
      <c r="W33" s="138"/>
      <c r="X33" s="138"/>
      <c r="Y33" s="138"/>
      <c r="Z33" s="138"/>
      <c r="AA33" s="138"/>
      <c r="AB33" s="138"/>
      <c r="AC33" s="138"/>
      <c r="AD33" s="138"/>
      <c r="AE33" s="138"/>
      <c r="AF33" s="138"/>
      <c r="AG33" s="138"/>
      <c r="AH33" s="138"/>
      <c r="AI33" s="138"/>
      <c r="AJ33" s="138"/>
      <c r="AK33" s="138"/>
      <c r="AL33" s="138"/>
      <c r="AM33" s="138"/>
      <c r="AN33" s="138"/>
      <c r="AO33" s="138"/>
      <c r="AP33" s="138"/>
      <c r="AQ33" s="138"/>
      <c r="AR33" s="138"/>
      <c r="AS33" s="138"/>
      <c r="AT33" s="138"/>
      <c r="AU33" s="138"/>
      <c r="AV33" s="138"/>
      <c r="AW33" s="138"/>
      <c r="AX33" s="138"/>
      <c r="AY33" s="138"/>
      <c r="AZ33" s="138"/>
      <c r="BA33" s="138"/>
      <c r="BB33" s="138"/>
      <c r="BC33" s="138"/>
      <c r="BD33" s="138"/>
      <c r="BE33" s="138"/>
      <c r="BF33" s="138"/>
      <c r="BG33" s="138"/>
      <c r="BH33" s="138"/>
      <c r="BI33" s="138"/>
      <c r="BJ33" s="138"/>
      <c r="BK33" s="138"/>
      <c r="BL33" s="138"/>
      <c r="BM33" s="138"/>
      <c r="BN33" s="138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</row>
    <row r="34" spans="1:82">
      <c r="A34" s="7" t="s">
        <v>3128</v>
      </c>
      <c r="B34" s="7"/>
      <c r="C34" s="8">
        <f>-'Income statement'!C20</f>
        <v>8683</v>
      </c>
      <c r="D34" s="8">
        <f>-'Income statement'!D20</f>
        <v>9127</v>
      </c>
      <c r="E34" s="8">
        <f>-'Income statement'!E20</f>
        <v>8076</v>
      </c>
      <c r="F34" s="8">
        <f>-'Income statement'!F20</f>
        <v>8529</v>
      </c>
      <c r="G34" s="8">
        <f>-'Income statement'!G20</f>
        <v>8771</v>
      </c>
      <c r="H34" s="19">
        <f>-'Income statement'!H20</f>
        <v>2184</v>
      </c>
      <c r="I34" s="19">
        <f>-'Income statement'!I20</f>
        <v>2309</v>
      </c>
      <c r="J34" s="19">
        <f>-'Income statement'!J20</f>
        <v>2194</v>
      </c>
      <c r="K34" s="19">
        <f>-'Income statement'!K20</f>
        <v>2441</v>
      </c>
      <c r="L34" s="8">
        <f>-'Income statement'!L20</f>
        <v>9128</v>
      </c>
      <c r="M34" s="19">
        <f>-'Income statement'!M20</f>
        <v>2519</v>
      </c>
      <c r="N34" s="19">
        <f>-'Income statement'!N20</f>
        <v>2535</v>
      </c>
      <c r="O34" s="19">
        <f>-'Income statement'!O20</f>
        <v>2505</v>
      </c>
      <c r="P34" s="19">
        <f>-'Income statement'!P20</f>
        <v>3020</v>
      </c>
      <c r="Q34" s="8">
        <f>-'Income statement'!Q20</f>
        <v>10579</v>
      </c>
      <c r="R34" s="19">
        <f>-'Income statement'!R20</f>
        <v>2782</v>
      </c>
      <c r="S34" s="19">
        <f>-'Income statement'!S20</f>
        <v>2850</v>
      </c>
      <c r="T34" s="19">
        <f>-'Income statement'!T20</f>
        <v>2653</v>
      </c>
      <c r="U34" s="19">
        <f>-'Income statement'!U20</f>
        <v>2700</v>
      </c>
      <c r="V34" s="179">
        <f>-'Income statement'!V20</f>
        <v>10985</v>
      </c>
      <c r="W34" s="180">
        <f>-'Income statement'!W20</f>
        <v>2823</v>
      </c>
      <c r="X34" s="180">
        <f>-'Income statement'!X20</f>
        <v>3092</v>
      </c>
      <c r="Y34" s="180">
        <f>-'Income statement'!Y20</f>
        <v>2991</v>
      </c>
      <c r="Z34" s="180">
        <f>-'Income statement'!Z20</f>
        <v>3200</v>
      </c>
      <c r="AA34" s="179">
        <f>-'Income statement'!AA20</f>
        <v>12106</v>
      </c>
      <c r="AB34" s="180">
        <f>-'Income statement'!AB20</f>
        <v>2996</v>
      </c>
      <c r="AC34" s="180">
        <f>-'Income statement'!AC20</f>
        <v>2780</v>
      </c>
      <c r="AD34" s="180">
        <f>-'Income statement'!AD20</f>
        <v>2754</v>
      </c>
      <c r="AE34" s="180">
        <f>-'Income statement'!AE20</f>
        <v>2634</v>
      </c>
      <c r="AF34" s="179">
        <f>-'Income statement'!AF20</f>
        <v>11164</v>
      </c>
      <c r="AG34" s="180">
        <f>-'Income statement'!AG20</f>
        <v>2835</v>
      </c>
      <c r="AH34" s="180">
        <f>-'Income statement'!AH20</f>
        <v>2671</v>
      </c>
      <c r="AI34" s="180">
        <f>-'Income statement'!AI20</f>
        <v>2647</v>
      </c>
      <c r="AJ34" s="180">
        <f>-'Income statement'!AJ20</f>
        <v>2982</v>
      </c>
      <c r="AK34" s="179">
        <f>-'Income statement'!AK20</f>
        <v>11135</v>
      </c>
      <c r="AL34" s="180">
        <f>-'Income statement'!AL20</f>
        <v>3208</v>
      </c>
      <c r="AM34" s="180">
        <f>-'Income statement'!AM20</f>
        <v>2877</v>
      </c>
      <c r="AN34" s="180">
        <f>-'Income statement'!AN20</f>
        <v>3200</v>
      </c>
      <c r="AO34" s="180">
        <f>-'Income statement'!AO20</f>
        <v>3196</v>
      </c>
      <c r="AP34" s="179">
        <f>-'Income statement'!AP20</f>
        <v>12481</v>
      </c>
      <c r="AQ34" s="180">
        <f>-'Income statement'!AQ20</f>
        <v>3197</v>
      </c>
      <c r="AR34" s="180">
        <f>-'Income statement'!AR20</f>
        <v>3162</v>
      </c>
      <c r="AS34" s="180">
        <f>-'Income statement'!AS20</f>
        <v>3415</v>
      </c>
      <c r="AT34" s="180">
        <f>-'Income statement'!AT20</f>
        <v>3736</v>
      </c>
      <c r="AU34" s="179">
        <f>SUM(AQ34:AT34)</f>
        <v>13510</v>
      </c>
      <c r="AV34" s="180">
        <f>-'Income statement'!AV20</f>
        <v>3590</v>
      </c>
      <c r="AW34" s="180">
        <f>-'Income statement'!AW20</f>
        <v>3751</v>
      </c>
      <c r="AX34" s="180">
        <f>-'Income statement'!AX20</f>
        <v>3956</v>
      </c>
      <c r="AY34" s="180">
        <f>-'Income statement'!AY20</f>
        <v>3866</v>
      </c>
      <c r="AZ34" s="179">
        <f>SUM(AV34:AY34)</f>
        <v>15163</v>
      </c>
      <c r="BA34" s="180">
        <f>-'Income statement'!BA20</f>
        <v>3836</v>
      </c>
      <c r="BB34" s="180">
        <f>-'Income statement'!BB20</f>
        <v>3765</v>
      </c>
      <c r="BC34" s="180">
        <f>-'Income statement'!BC20</f>
        <v>3737</v>
      </c>
      <c r="BD34" s="180">
        <f>-'Income statement'!BD20</f>
        <v>3881</v>
      </c>
      <c r="BE34" s="179">
        <f>SUM(BA34:BD34)</f>
        <v>15219</v>
      </c>
      <c r="BF34" s="180">
        <f>-'Income statement'!BF20</f>
        <v>3730</v>
      </c>
      <c r="BG34" s="180">
        <f>-'Income statement'!BG20</f>
        <v>3637</v>
      </c>
      <c r="BH34" s="180">
        <f>-'Income statement'!BH20</f>
        <v>3496</v>
      </c>
      <c r="BI34" s="180">
        <f>-'Income statement'!BI20</f>
        <v>3642</v>
      </c>
      <c r="BJ34" s="179">
        <f>SUM(BF34:BI34)</f>
        <v>14505</v>
      </c>
      <c r="BK34" s="180">
        <f>-'Income statement'!BK20</f>
        <v>3842</v>
      </c>
      <c r="BL34" s="180">
        <f>-'Income statement'!BL20</f>
        <v>3793</v>
      </c>
      <c r="BM34" s="180">
        <f>-'Income statement'!BM20</f>
        <v>3904</v>
      </c>
      <c r="BN34" s="180">
        <f>-'Income statement'!BN20</f>
        <v>4045</v>
      </c>
      <c r="BO34" s="179">
        <f>SUM(BK34:BN34)</f>
        <v>15584</v>
      </c>
      <c r="BP34" s="19">
        <f>BP35+BP38+BP39</f>
        <v>4141.0184335188414</v>
      </c>
      <c r="BQ34" s="19">
        <f>BQ35+BQ38+BQ39</f>
        <v>4130.351407424896</v>
      </c>
      <c r="BR34" s="19">
        <f>BR35+BR38+BR39</f>
        <v>4148.5392723651003</v>
      </c>
      <c r="BS34" s="19">
        <f>BS35+BS38+BS39</f>
        <v>4174.3554085919777</v>
      </c>
      <c r="BT34" s="8">
        <f>SUM(BP34:BS34)</f>
        <v>16594.264521900815</v>
      </c>
      <c r="BU34" s="19">
        <f>BU35+BU38+BU39</f>
        <v>4409.9337100574521</v>
      </c>
      <c r="BV34" s="19">
        <f>BV35+BV38+BV39</f>
        <v>4405.5453123177358</v>
      </c>
      <c r="BW34" s="19">
        <f>BW35+BW38+BW39</f>
        <v>4422.4800993095014</v>
      </c>
      <c r="BX34" s="19">
        <f>BX35+BX38+BX39</f>
        <v>4453.8038002743997</v>
      </c>
      <c r="BY34" s="8">
        <f>SUM(BU34:BX34)</f>
        <v>17691.762921959089</v>
      </c>
      <c r="BZ34" s="19">
        <f>BZ35+BZ38+BZ39</f>
        <v>4687.0456492883086</v>
      </c>
      <c r="CA34" s="19">
        <f>CA35+CA38+CA39</f>
        <v>4631.7535449108254</v>
      </c>
      <c r="CB34" s="19">
        <f>CB35+CB38+CB39</f>
        <v>4641.893896473618</v>
      </c>
      <c r="CC34" s="19">
        <f>CC35+CC38+CC39</f>
        <v>4683.2160238511533</v>
      </c>
      <c r="CD34" s="8">
        <f>SUM(BZ34:CC34)</f>
        <v>18643.909114523907</v>
      </c>
    </row>
    <row r="35" spans="1:82">
      <c r="A35" s="5"/>
      <c r="B35" s="4" t="s">
        <v>2353</v>
      </c>
      <c r="C35" s="138">
        <v>5605</v>
      </c>
      <c r="D35" s="138">
        <v>5601</v>
      </c>
      <c r="E35" s="138">
        <v>5539</v>
      </c>
      <c r="F35" s="138">
        <v>5583</v>
      </c>
      <c r="G35" s="138">
        <v>6033</v>
      </c>
      <c r="H35" s="72"/>
      <c r="I35" s="72"/>
      <c r="J35" s="72"/>
      <c r="K35" s="72"/>
      <c r="L35" s="5">
        <v>6689</v>
      </c>
      <c r="M35" s="72"/>
      <c r="N35" s="72"/>
      <c r="O35" s="72"/>
      <c r="P35" s="72"/>
      <c r="Q35" s="5">
        <v>7856</v>
      </c>
      <c r="R35" s="72"/>
      <c r="S35" s="72"/>
      <c r="T35" s="72"/>
      <c r="U35" s="72"/>
      <c r="V35" s="138">
        <v>8440</v>
      </c>
      <c r="W35" s="138"/>
      <c r="X35" s="138"/>
      <c r="Y35" s="138"/>
      <c r="Z35" s="138"/>
      <c r="AA35" s="138">
        <v>9557</v>
      </c>
      <c r="AB35" s="138"/>
      <c r="AC35" s="138"/>
      <c r="AD35" s="138"/>
      <c r="AE35" s="138"/>
      <c r="AF35" s="138">
        <v>8616</v>
      </c>
      <c r="AG35" s="138"/>
      <c r="AH35" s="138"/>
      <c r="AI35" s="138"/>
      <c r="AJ35" s="138"/>
      <c r="AK35" s="341">
        <v>8693</v>
      </c>
      <c r="AL35" s="138"/>
      <c r="AM35" s="138"/>
      <c r="AN35" s="138"/>
      <c r="AO35" s="138"/>
      <c r="AP35" s="341">
        <v>10309</v>
      </c>
      <c r="AQ35" s="138"/>
      <c r="AR35" s="138"/>
      <c r="AS35" s="138"/>
      <c r="AT35" s="138"/>
      <c r="AU35" s="341">
        <f>3538+7514</f>
        <v>11052</v>
      </c>
      <c r="AV35" s="138"/>
      <c r="AW35" s="138"/>
      <c r="AX35" s="138"/>
      <c r="AY35" s="138"/>
      <c r="AZ35" s="341">
        <f>4129+8404</f>
        <v>12533</v>
      </c>
      <c r="BA35" s="138"/>
      <c r="BB35" s="138"/>
      <c r="BC35" s="138"/>
      <c r="BD35" s="138"/>
      <c r="BE35" s="341">
        <f>4007+8866</f>
        <v>12873</v>
      </c>
      <c r="BF35" s="72"/>
      <c r="BG35" s="72"/>
      <c r="BH35" s="72"/>
      <c r="BI35" s="72"/>
      <c r="BJ35" s="341">
        <f>4396+7835</f>
        <v>12231</v>
      </c>
      <c r="BK35" s="72"/>
      <c r="BL35" s="72"/>
      <c r="BM35" s="72"/>
      <c r="BN35" s="72"/>
      <c r="BO35" s="341">
        <f>4631+8637</f>
        <v>13268</v>
      </c>
      <c r="BP35" s="12">
        <f t="shared" ref="BP35:CD35" si="1">SUM(BP36:BP37)</f>
        <v>3591.0184335188414</v>
      </c>
      <c r="BQ35" s="12">
        <f t="shared" si="1"/>
        <v>3580.3514074248965</v>
      </c>
      <c r="BR35" s="12">
        <f t="shared" si="1"/>
        <v>3598.5392723651007</v>
      </c>
      <c r="BS35" s="12">
        <f t="shared" si="1"/>
        <v>3624.3554085919777</v>
      </c>
      <c r="BT35" s="173">
        <f t="shared" si="1"/>
        <v>14394.264521900814</v>
      </c>
      <c r="BU35" s="12">
        <f t="shared" si="1"/>
        <v>3834.9337100574517</v>
      </c>
      <c r="BV35" s="12">
        <f t="shared" si="1"/>
        <v>3830.5453123177354</v>
      </c>
      <c r="BW35" s="12">
        <f t="shared" si="1"/>
        <v>3847.4800993095009</v>
      </c>
      <c r="BX35" s="12">
        <f t="shared" si="1"/>
        <v>3878.8038002743997</v>
      </c>
      <c r="BY35" s="173">
        <f t="shared" si="1"/>
        <v>15391.762921959087</v>
      </c>
      <c r="BZ35" s="12">
        <f t="shared" si="1"/>
        <v>4087.0456492883086</v>
      </c>
      <c r="CA35" s="12">
        <f t="shared" si="1"/>
        <v>4031.753544910825</v>
      </c>
      <c r="CB35" s="12">
        <f t="shared" si="1"/>
        <v>4041.893896473618</v>
      </c>
      <c r="CC35" s="12">
        <f t="shared" si="1"/>
        <v>4083.2160238511533</v>
      </c>
      <c r="CD35" s="173">
        <f t="shared" si="1"/>
        <v>16243.909114523905</v>
      </c>
    </row>
    <row r="36" spans="1:82">
      <c r="A36" s="4"/>
      <c r="B36" s="4" t="s">
        <v>650</v>
      </c>
      <c r="C36" s="138">
        <f>-'E&amp;P - FAS69'!C44</f>
        <v>5475</v>
      </c>
      <c r="D36" s="138">
        <f>-'E&amp;P - FAS69'!D44</f>
        <v>6130</v>
      </c>
      <c r="E36" s="138">
        <f>-'E&amp;P - FAS69'!E44</f>
        <v>5270</v>
      </c>
      <c r="F36" s="138">
        <f>-'E&amp;P - FAS69'!F44</f>
        <v>5157</v>
      </c>
      <c r="G36" s="138">
        <f>-'E&amp;P - FAS69'!G44</f>
        <v>5628</v>
      </c>
      <c r="H36" s="72"/>
      <c r="I36" s="72"/>
      <c r="J36" s="72"/>
      <c r="K36" s="72"/>
      <c r="L36" s="5">
        <f>-'E&amp;P - FAS69'!L44</f>
        <v>6143</v>
      </c>
      <c r="M36" s="72"/>
      <c r="N36" s="72"/>
      <c r="O36" s="72"/>
      <c r="P36" s="72"/>
      <c r="Q36" s="5">
        <f>-'E&amp;P - FAS69'!Q44</f>
        <v>7288</v>
      </c>
      <c r="R36" s="72"/>
      <c r="S36" s="72"/>
      <c r="T36" s="72"/>
      <c r="U36" s="72"/>
      <c r="V36" s="138">
        <f>-'E&amp;P - FAS69'!V44</f>
        <v>7883</v>
      </c>
      <c r="W36" s="138"/>
      <c r="X36" s="138"/>
      <c r="Y36" s="138"/>
      <c r="Z36" s="138"/>
      <c r="AA36" s="138">
        <f>-'E&amp;P - FAS69'!AA44</f>
        <v>8951</v>
      </c>
      <c r="AB36" s="138"/>
      <c r="AC36" s="138"/>
      <c r="AD36" s="138"/>
      <c r="AE36" s="138"/>
      <c r="AF36" s="138">
        <f>-'E&amp;P - FAS69'!AF44</f>
        <v>8021</v>
      </c>
      <c r="AG36" s="138"/>
      <c r="AH36" s="138"/>
      <c r="AI36" s="138"/>
      <c r="AJ36" s="138"/>
      <c r="AK36" s="341">
        <f>-'E&amp;P - FAS69'!AK44</f>
        <v>8114</v>
      </c>
      <c r="AL36" s="138"/>
      <c r="AM36" s="138"/>
      <c r="AN36" s="138"/>
      <c r="AO36" s="138"/>
      <c r="AP36" s="341">
        <f>-'E&amp;P - FAS69'!AP44</f>
        <v>9658</v>
      </c>
      <c r="AQ36" s="138"/>
      <c r="AR36" s="138"/>
      <c r="AS36" s="138"/>
      <c r="AT36" s="138"/>
      <c r="AU36" s="341">
        <f>-'E&amp;P - FAS69'!AU44</f>
        <v>10334</v>
      </c>
      <c r="AV36" s="138"/>
      <c r="AW36" s="138"/>
      <c r="AX36" s="138"/>
      <c r="AY36" s="138"/>
      <c r="AZ36" s="341">
        <f>-'E&amp;P - FAS69'!AZ44</f>
        <v>11728</v>
      </c>
      <c r="BA36" s="138"/>
      <c r="BB36" s="138"/>
      <c r="BC36" s="138"/>
      <c r="BD36" s="138"/>
      <c r="BE36" s="341">
        <f>-'E&amp;P - FAS69'!BE44</f>
        <v>12004</v>
      </c>
      <c r="BF36" s="72"/>
      <c r="BG36" s="72"/>
      <c r="BH36" s="72"/>
      <c r="BI36" s="72"/>
      <c r="BJ36" s="341">
        <f>-'E&amp;P - FAS69'!BJ44</f>
        <v>11213</v>
      </c>
      <c r="BK36" s="72"/>
      <c r="BL36" s="72"/>
      <c r="BM36" s="72"/>
      <c r="BN36" s="72"/>
      <c r="BO36" s="341">
        <f>-'E&amp;P - FAS69'!BO44</f>
        <v>12385</v>
      </c>
      <c r="BP36" s="12">
        <f>-'E&amp;P - FAS69'!BP44</f>
        <v>3391.0184335188414</v>
      </c>
      <c r="BQ36" s="12">
        <f>-'E&amp;P - FAS69'!BQ44</f>
        <v>3380.3514074248965</v>
      </c>
      <c r="BR36" s="12">
        <f>-'E&amp;P - FAS69'!BR44</f>
        <v>3398.5392723651007</v>
      </c>
      <c r="BS36" s="12">
        <f>-'E&amp;P - FAS69'!BS44</f>
        <v>3424.3554085919777</v>
      </c>
      <c r="BT36" s="173">
        <f>-'E&amp;P - FAS69'!BT44</f>
        <v>13594.264521900814</v>
      </c>
      <c r="BU36" s="12">
        <f>-'E&amp;P - FAS69'!BU44</f>
        <v>3634.9337100574517</v>
      </c>
      <c r="BV36" s="12">
        <f>-'E&amp;P - FAS69'!BV44</f>
        <v>3630.5453123177354</v>
      </c>
      <c r="BW36" s="12">
        <f>-'E&amp;P - FAS69'!BW44</f>
        <v>3647.4800993095009</v>
      </c>
      <c r="BX36" s="12">
        <f>-'E&amp;P - FAS69'!BX44</f>
        <v>3678.8038002743997</v>
      </c>
      <c r="BY36" s="173">
        <f>-'E&amp;P - FAS69'!BY44</f>
        <v>14591.762921959087</v>
      </c>
      <c r="BZ36" s="12">
        <f>-'E&amp;P - FAS69'!BZ44</f>
        <v>3887.0456492883086</v>
      </c>
      <c r="CA36" s="12">
        <f>-'E&amp;P - FAS69'!CA44</f>
        <v>3831.753544910825</v>
      </c>
      <c r="CB36" s="12">
        <f>-'E&amp;P - FAS69'!CB44</f>
        <v>3841.893896473618</v>
      </c>
      <c r="CC36" s="12">
        <f>-'E&amp;P - FAS69'!CC44</f>
        <v>3883.2160238511533</v>
      </c>
      <c r="CD36" s="173">
        <f>-'E&amp;P - FAS69'!CD44</f>
        <v>15443.909114523905</v>
      </c>
    </row>
    <row r="37" spans="1:82">
      <c r="A37" s="4"/>
      <c r="B37" s="4" t="s">
        <v>651</v>
      </c>
      <c r="C37" s="138">
        <f>C35-C36</f>
        <v>130</v>
      </c>
      <c r="D37" s="138">
        <f>D35-D36</f>
        <v>-529</v>
      </c>
      <c r="E37" s="138">
        <f>E35-E36</f>
        <v>269</v>
      </c>
      <c r="F37" s="138">
        <f>F35-F36</f>
        <v>426</v>
      </c>
      <c r="G37" s="138">
        <f>G35-G36</f>
        <v>405</v>
      </c>
      <c r="H37" s="72"/>
      <c r="I37" s="72"/>
      <c r="J37" s="72"/>
      <c r="K37" s="72"/>
      <c r="L37" s="5">
        <f>L35-L36</f>
        <v>546</v>
      </c>
      <c r="M37" s="72"/>
      <c r="N37" s="72"/>
      <c r="O37" s="72"/>
      <c r="P37" s="72"/>
      <c r="Q37" s="5">
        <f>Q35-Q36</f>
        <v>568</v>
      </c>
      <c r="R37" s="72"/>
      <c r="S37" s="72"/>
      <c r="T37" s="72"/>
      <c r="U37" s="72"/>
      <c r="V37" s="138">
        <f>V35-V36</f>
        <v>557</v>
      </c>
      <c r="W37" s="138"/>
      <c r="X37" s="138"/>
      <c r="Y37" s="138"/>
      <c r="Z37" s="138"/>
      <c r="AA37" s="138">
        <f>AA35-AA36</f>
        <v>606</v>
      </c>
      <c r="AB37" s="138"/>
      <c r="AC37" s="138"/>
      <c r="AD37" s="138"/>
      <c r="AE37" s="138"/>
      <c r="AF37" s="138">
        <f>AF35-AF36</f>
        <v>595</v>
      </c>
      <c r="AG37" s="138"/>
      <c r="AH37" s="138"/>
      <c r="AI37" s="138"/>
      <c r="AJ37" s="138"/>
      <c r="AK37" s="138">
        <f>AK35-AK36</f>
        <v>579</v>
      </c>
      <c r="AL37" s="138"/>
      <c r="AM37" s="138"/>
      <c r="AN37" s="138"/>
      <c r="AO37" s="138"/>
      <c r="AP37" s="138">
        <f>AP35-AP36</f>
        <v>651</v>
      </c>
      <c r="AQ37" s="138"/>
      <c r="AR37" s="138"/>
      <c r="AS37" s="138"/>
      <c r="AT37" s="138"/>
      <c r="AU37" s="138">
        <f>AU35-AU36</f>
        <v>718</v>
      </c>
      <c r="AV37" s="138"/>
      <c r="AW37" s="138"/>
      <c r="AX37" s="138"/>
      <c r="AY37" s="138"/>
      <c r="AZ37" s="138">
        <f>AZ35-AZ36</f>
        <v>805</v>
      </c>
      <c r="BA37" s="138"/>
      <c r="BB37" s="138"/>
      <c r="BC37" s="138"/>
      <c r="BD37" s="138"/>
      <c r="BE37" s="138">
        <f>BE35-BE36</f>
        <v>869</v>
      </c>
      <c r="BF37" s="72"/>
      <c r="BG37" s="72"/>
      <c r="BH37" s="72"/>
      <c r="BI37" s="72"/>
      <c r="BJ37" s="138">
        <f>BJ35-BJ36</f>
        <v>1018</v>
      </c>
      <c r="BK37" s="72"/>
      <c r="BL37" s="72"/>
      <c r="BM37" s="72"/>
      <c r="BN37" s="72"/>
      <c r="BO37" s="138">
        <f>BO35-BO36</f>
        <v>883</v>
      </c>
      <c r="BP37" s="12">
        <f>BT37/4</f>
        <v>200</v>
      </c>
      <c r="BQ37" s="12">
        <f>BT37/4</f>
        <v>200</v>
      </c>
      <c r="BR37" s="12">
        <f>BT37/4</f>
        <v>200</v>
      </c>
      <c r="BS37" s="12">
        <f>BT37/4</f>
        <v>200</v>
      </c>
      <c r="BT37" s="201">
        <v>800</v>
      </c>
      <c r="BU37" s="12">
        <f>BY37/4</f>
        <v>200</v>
      </c>
      <c r="BV37" s="12">
        <f>BY37/4</f>
        <v>200</v>
      </c>
      <c r="BW37" s="12">
        <f>BY37/4</f>
        <v>200</v>
      </c>
      <c r="BX37" s="12">
        <f>BY37/4</f>
        <v>200</v>
      </c>
      <c r="BY37" s="201">
        <v>800</v>
      </c>
      <c r="BZ37" s="12">
        <f>CD37/4</f>
        <v>200</v>
      </c>
      <c r="CA37" s="12">
        <f>CD37/4</f>
        <v>200</v>
      </c>
      <c r="CB37" s="12">
        <f>CD37/4</f>
        <v>200</v>
      </c>
      <c r="CC37" s="12">
        <f>CD37/4</f>
        <v>200</v>
      </c>
      <c r="CD37" s="201">
        <v>800</v>
      </c>
    </row>
    <row r="38" spans="1:82">
      <c r="A38" s="5"/>
      <c r="B38" s="4" t="s">
        <v>3239</v>
      </c>
      <c r="C38" s="138">
        <v>2500</v>
      </c>
      <c r="D38" s="138">
        <v>2815</v>
      </c>
      <c r="E38" s="138">
        <v>2198</v>
      </c>
      <c r="F38" s="138">
        <v>2532</v>
      </c>
      <c r="G38" s="138">
        <v>2382</v>
      </c>
      <c r="H38" s="72"/>
      <c r="I38" s="72"/>
      <c r="J38" s="72"/>
      <c r="K38" s="72"/>
      <c r="L38" s="5">
        <v>2239</v>
      </c>
      <c r="M38" s="72"/>
      <c r="N38" s="72"/>
      <c r="O38" s="72"/>
      <c r="P38" s="72"/>
      <c r="Q38" s="5">
        <v>2421</v>
      </c>
      <c r="R38" s="72"/>
      <c r="S38" s="72"/>
      <c r="T38" s="72"/>
      <c r="U38" s="72"/>
      <c r="V38" s="138">
        <v>2208</v>
      </c>
      <c r="W38" s="138"/>
      <c r="X38" s="138"/>
      <c r="Y38" s="138"/>
      <c r="Z38" s="138"/>
      <c r="AA38" s="138">
        <v>2236</v>
      </c>
      <c r="AB38" s="138"/>
      <c r="AC38" s="138"/>
      <c r="AD38" s="138"/>
      <c r="AE38" s="138"/>
      <c r="AF38" s="138">
        <v>2258</v>
      </c>
      <c r="AG38" s="138"/>
      <c r="AH38" s="138"/>
      <c r="AI38" s="138"/>
      <c r="AJ38" s="138"/>
      <c r="AK38" s="138">
        <v>2117</v>
      </c>
      <c r="AL38" s="138"/>
      <c r="AM38" s="138"/>
      <c r="AN38" s="138"/>
      <c r="AO38" s="138"/>
      <c r="AP38" s="138">
        <v>1769</v>
      </c>
      <c r="AQ38" s="138"/>
      <c r="AR38" s="138"/>
      <c r="AS38" s="138"/>
      <c r="AT38" s="138"/>
      <c r="AU38" s="138">
        <f>747+1343</f>
        <v>2090</v>
      </c>
      <c r="AV38" s="138"/>
      <c r="AW38" s="138"/>
      <c r="AX38" s="138"/>
      <c r="AY38" s="138"/>
      <c r="AZ38" s="138">
        <f>984+1336</f>
        <v>2320</v>
      </c>
      <c r="BA38" s="138"/>
      <c r="BB38" s="138"/>
      <c r="BC38" s="138"/>
      <c r="BD38" s="138"/>
      <c r="BE38" s="138">
        <f>906+1162</f>
        <v>2068</v>
      </c>
      <c r="BF38" s="72"/>
      <c r="BG38" s="72"/>
      <c r="BH38" s="72"/>
      <c r="BI38" s="72"/>
      <c r="BJ38" s="138">
        <f>856+1094</f>
        <v>1950</v>
      </c>
      <c r="BK38" s="72"/>
      <c r="BL38" s="72"/>
      <c r="BM38" s="72"/>
      <c r="BN38" s="72"/>
      <c r="BO38" s="138">
        <f>875+1141</f>
        <v>2016</v>
      </c>
      <c r="BP38" s="12">
        <f>BT38/4</f>
        <v>550</v>
      </c>
      <c r="BQ38" s="12">
        <f>BT38/4</f>
        <v>550</v>
      </c>
      <c r="BR38" s="12">
        <f>BT38/4</f>
        <v>550</v>
      </c>
      <c r="BS38" s="12">
        <f>BT38/4</f>
        <v>550</v>
      </c>
      <c r="BT38" s="201">
        <v>2200</v>
      </c>
      <c r="BU38" s="12">
        <f>BY38/4</f>
        <v>575</v>
      </c>
      <c r="BV38" s="12">
        <f>BY38/4</f>
        <v>575</v>
      </c>
      <c r="BW38" s="12">
        <f>BY38/4</f>
        <v>575</v>
      </c>
      <c r="BX38" s="12">
        <f>BY38/4</f>
        <v>575</v>
      </c>
      <c r="BY38" s="201">
        <v>2300</v>
      </c>
      <c r="BZ38" s="12">
        <f>CD38/4</f>
        <v>600</v>
      </c>
      <c r="CA38" s="12">
        <f>CD38/4</f>
        <v>600</v>
      </c>
      <c r="CB38" s="12">
        <f>CD38/4</f>
        <v>600</v>
      </c>
      <c r="CC38" s="12">
        <f>CD38/4</f>
        <v>600</v>
      </c>
      <c r="CD38" s="201">
        <v>2400</v>
      </c>
    </row>
    <row r="39" spans="1:82">
      <c r="A39" s="5"/>
      <c r="B39" s="4" t="s">
        <v>1246</v>
      </c>
      <c r="C39" s="138">
        <f>C34-C35-C38</f>
        <v>578</v>
      </c>
      <c r="D39" s="138">
        <f>D34-D35-D38</f>
        <v>711</v>
      </c>
      <c r="E39" s="138">
        <f>E34-E35-E38</f>
        <v>339</v>
      </c>
      <c r="F39" s="138">
        <f>F34-F35-F38</f>
        <v>414</v>
      </c>
      <c r="G39" s="138">
        <f>G34-G35-G38</f>
        <v>356</v>
      </c>
      <c r="H39" s="72"/>
      <c r="I39" s="72"/>
      <c r="J39" s="72"/>
      <c r="K39" s="72"/>
      <c r="L39" s="5">
        <f>L34-L35-L38</f>
        <v>200</v>
      </c>
      <c r="M39" s="72"/>
      <c r="N39" s="72"/>
      <c r="O39" s="72"/>
      <c r="P39" s="72"/>
      <c r="Q39" s="5">
        <f>Q34-Q35-Q38</f>
        <v>302</v>
      </c>
      <c r="R39" s="72"/>
      <c r="S39" s="72"/>
      <c r="T39" s="72"/>
      <c r="U39" s="72"/>
      <c r="V39" s="138">
        <f>V34-V35-V38</f>
        <v>337</v>
      </c>
      <c r="W39" s="138"/>
      <c r="X39" s="138"/>
      <c r="Y39" s="138"/>
      <c r="Z39" s="138"/>
      <c r="AA39" s="138">
        <f>AA34-AA35-AA38</f>
        <v>313</v>
      </c>
      <c r="AB39" s="138"/>
      <c r="AC39" s="138"/>
      <c r="AD39" s="138"/>
      <c r="AE39" s="138"/>
      <c r="AF39" s="138">
        <f>AF34-AF35-AF38</f>
        <v>290</v>
      </c>
      <c r="AG39" s="138"/>
      <c r="AH39" s="138"/>
      <c r="AI39" s="138"/>
      <c r="AJ39" s="138"/>
      <c r="AK39" s="138">
        <v>325</v>
      </c>
      <c r="AL39" s="138"/>
      <c r="AM39" s="138"/>
      <c r="AN39" s="138"/>
      <c r="AO39" s="138"/>
      <c r="AP39" s="138">
        <v>403</v>
      </c>
      <c r="AQ39" s="138"/>
      <c r="AR39" s="138"/>
      <c r="AS39" s="138"/>
      <c r="AT39" s="138"/>
      <c r="AU39" s="138">
        <f>181+187</f>
        <v>368</v>
      </c>
      <c r="AV39" s="138"/>
      <c r="AW39" s="138"/>
      <c r="AX39" s="138"/>
      <c r="AY39" s="138"/>
      <c r="AZ39" s="138">
        <f>97+213</f>
        <v>310</v>
      </c>
      <c r="BA39" s="138"/>
      <c r="BB39" s="138"/>
      <c r="BC39" s="138"/>
      <c r="BD39" s="138"/>
      <c r="BE39" s="138">
        <f>77+201</f>
        <v>278</v>
      </c>
      <c r="BF39" s="72"/>
      <c r="BG39" s="72"/>
      <c r="BH39" s="72"/>
      <c r="BI39" s="72"/>
      <c r="BJ39" s="138">
        <f>71+253</f>
        <v>324</v>
      </c>
      <c r="BK39" s="72"/>
      <c r="BL39" s="72"/>
      <c r="BM39" s="72"/>
      <c r="BN39" s="72"/>
      <c r="BO39" s="138">
        <f>65+235</f>
        <v>300</v>
      </c>
      <c r="BP39" s="12">
        <f>BT39/4</f>
        <v>0</v>
      </c>
      <c r="BQ39" s="12">
        <f>BT39/4</f>
        <v>0</v>
      </c>
      <c r="BR39" s="12">
        <f>BT39/4</f>
        <v>0</v>
      </c>
      <c r="BS39" s="12">
        <f>BT39/4</f>
        <v>0</v>
      </c>
      <c r="BT39" s="201">
        <v>0</v>
      </c>
      <c r="BU39" s="12">
        <f>BY39/4</f>
        <v>0</v>
      </c>
      <c r="BV39" s="12">
        <f>BY39/4</f>
        <v>0</v>
      </c>
      <c r="BW39" s="12">
        <f>BY39/4</f>
        <v>0</v>
      </c>
      <c r="BX39" s="12">
        <f>BY39/4</f>
        <v>0</v>
      </c>
      <c r="BY39" s="201">
        <v>0</v>
      </c>
      <c r="BZ39" s="12">
        <f>CD39/4</f>
        <v>0</v>
      </c>
      <c r="CA39" s="12">
        <f>CD39/4</f>
        <v>0</v>
      </c>
      <c r="CB39" s="12">
        <f>CD39/4</f>
        <v>0</v>
      </c>
      <c r="CC39" s="12">
        <f>CD39/4</f>
        <v>0</v>
      </c>
      <c r="CD39" s="201">
        <v>0</v>
      </c>
    </row>
    <row r="40" spans="1:82">
      <c r="A40" s="4"/>
      <c r="B40" s="4"/>
      <c r="C40" s="138"/>
      <c r="D40" s="138"/>
      <c r="E40" s="138"/>
      <c r="F40" s="138"/>
      <c r="G40" s="138"/>
      <c r="H40" s="12"/>
      <c r="I40" s="12"/>
      <c r="J40" s="12"/>
      <c r="K40" s="12"/>
      <c r="L40" s="5"/>
      <c r="M40" s="12"/>
      <c r="N40" s="12"/>
      <c r="O40" s="12"/>
      <c r="P40" s="12"/>
      <c r="Q40" s="5"/>
      <c r="R40" s="12"/>
      <c r="S40" s="12"/>
      <c r="T40" s="12"/>
      <c r="U40" s="12"/>
      <c r="V40" s="138"/>
      <c r="W40" s="181"/>
      <c r="X40" s="181"/>
      <c r="Y40" s="181"/>
      <c r="Z40" s="181"/>
      <c r="AA40" s="138"/>
      <c r="AB40" s="181"/>
      <c r="AC40" s="181"/>
      <c r="AD40" s="181"/>
      <c r="AE40" s="181"/>
      <c r="AF40" s="138"/>
      <c r="AG40" s="181"/>
      <c r="AH40" s="181"/>
      <c r="AI40" s="181"/>
      <c r="AJ40" s="181"/>
      <c r="AK40" s="138"/>
      <c r="AL40" s="138"/>
      <c r="AM40" s="138"/>
      <c r="AN40" s="138"/>
      <c r="AO40" s="138"/>
      <c r="AP40" s="138"/>
      <c r="AQ40" s="138"/>
      <c r="AR40" s="138"/>
      <c r="AS40" s="138"/>
      <c r="AT40" s="138"/>
      <c r="AU40" s="138"/>
      <c r="AV40" s="138"/>
      <c r="AW40" s="138"/>
      <c r="AX40" s="138"/>
      <c r="AY40" s="138"/>
      <c r="AZ40" s="138"/>
      <c r="BA40" s="138"/>
      <c r="BB40" s="138"/>
      <c r="BC40" s="138"/>
      <c r="BD40" s="138"/>
      <c r="BE40" s="138"/>
      <c r="BF40" s="138"/>
      <c r="BG40" s="138"/>
      <c r="BH40" s="138"/>
      <c r="BI40" s="138"/>
      <c r="BJ40" s="138"/>
      <c r="BK40" s="138"/>
      <c r="BL40" s="138"/>
      <c r="BM40" s="138"/>
      <c r="BN40" s="138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</row>
    <row r="41" spans="1:82">
      <c r="A41" s="4" t="s">
        <v>3233</v>
      </c>
      <c r="B41" s="4"/>
      <c r="C41" s="5">
        <f>C34-C25</f>
        <v>1242</v>
      </c>
      <c r="D41" s="5">
        <f>D34-D25</f>
        <v>210</v>
      </c>
      <c r="E41" s="5">
        <f>E34-E25</f>
        <v>-452</v>
      </c>
      <c r="F41" s="5">
        <f>F34-F25</f>
        <v>-305</v>
      </c>
      <c r="G41" s="5">
        <f>G34-G25</f>
        <v>-250</v>
      </c>
      <c r="H41" s="72"/>
      <c r="I41" s="72"/>
      <c r="J41" s="72"/>
      <c r="K41" s="72"/>
      <c r="L41" s="5">
        <f>L34-L25</f>
        <v>217</v>
      </c>
      <c r="M41" s="72"/>
      <c r="N41" s="72"/>
      <c r="O41" s="72"/>
      <c r="P41" s="72"/>
      <c r="Q41" s="5">
        <f>Q34-Q25</f>
        <v>338</v>
      </c>
      <c r="R41" s="72"/>
      <c r="S41" s="72"/>
      <c r="T41" s="72"/>
      <c r="U41" s="72"/>
      <c r="V41" s="138">
        <f>V34-V25</f>
        <v>369</v>
      </c>
      <c r="W41" s="138"/>
      <c r="X41" s="138"/>
      <c r="Y41" s="138"/>
      <c r="Z41" s="138"/>
      <c r="AA41" s="138">
        <f>AA34-AA25</f>
        <v>441</v>
      </c>
      <c r="AB41" s="138"/>
      <c r="AC41" s="138"/>
      <c r="AD41" s="138"/>
      <c r="AE41" s="138"/>
      <c r="AF41" s="138">
        <f>AF34-AF25</f>
        <v>367</v>
      </c>
      <c r="AG41" s="138"/>
      <c r="AH41" s="138"/>
      <c r="AI41" s="138"/>
      <c r="AJ41" s="138"/>
      <c r="AK41" s="138">
        <f>AK34-AK25</f>
        <v>364</v>
      </c>
      <c r="AL41" s="138"/>
      <c r="AM41" s="138"/>
      <c r="AN41" s="138"/>
      <c r="AO41" s="138"/>
      <c r="AP41" s="138">
        <f>AP34-AP25</f>
        <v>316</v>
      </c>
      <c r="AQ41" s="138"/>
      <c r="AR41" s="138"/>
      <c r="AS41" s="138"/>
      <c r="AT41" s="138"/>
      <c r="AU41" s="138">
        <f>AU34-AU25</f>
        <v>267</v>
      </c>
      <c r="AV41" s="138"/>
      <c r="AW41" s="138"/>
      <c r="AX41" s="138"/>
      <c r="AY41" s="138"/>
      <c r="AZ41" s="138">
        <f>AZ34-AZ25</f>
        <v>304</v>
      </c>
      <c r="BA41" s="138"/>
      <c r="BB41" s="138"/>
      <c r="BC41" s="138"/>
      <c r="BD41" s="138"/>
      <c r="BE41" s="138">
        <f>BE34-BE25</f>
        <v>296</v>
      </c>
      <c r="BF41" s="138"/>
      <c r="BG41" s="138"/>
      <c r="BH41" s="138"/>
      <c r="BI41" s="138"/>
      <c r="BJ41" s="138">
        <f>BJ34-BJ25</f>
        <v>351</v>
      </c>
      <c r="BK41" s="138"/>
      <c r="BL41" s="138"/>
      <c r="BM41" s="138"/>
      <c r="BN41" s="138"/>
      <c r="BO41" s="138">
        <f>BO34-BO25</f>
        <v>335</v>
      </c>
      <c r="BP41" s="72"/>
      <c r="BQ41" s="72"/>
      <c r="BR41" s="72"/>
      <c r="BS41" s="72"/>
      <c r="BT41" s="201">
        <v>0</v>
      </c>
      <c r="BU41" s="72"/>
      <c r="BV41" s="72"/>
      <c r="BW41" s="72"/>
      <c r="BX41" s="72"/>
      <c r="BY41" s="201">
        <v>0</v>
      </c>
      <c r="BZ41" s="72"/>
      <c r="CA41" s="72"/>
      <c r="CB41" s="72"/>
      <c r="CC41" s="72"/>
      <c r="CD41" s="201">
        <v>0</v>
      </c>
    </row>
    <row r="42" spans="1:82">
      <c r="A42" s="4"/>
      <c r="B42" s="4"/>
      <c r="C42" s="138"/>
      <c r="D42" s="138"/>
      <c r="E42" s="138"/>
      <c r="F42" s="138"/>
      <c r="G42" s="138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138"/>
      <c r="W42" s="138"/>
      <c r="X42" s="138"/>
      <c r="Y42" s="138"/>
      <c r="Z42" s="138"/>
      <c r="AA42" s="138"/>
      <c r="AB42" s="138"/>
      <c r="AC42" s="138"/>
      <c r="AD42" s="138"/>
      <c r="AE42" s="138"/>
      <c r="AF42" s="138"/>
      <c r="AG42" s="138"/>
      <c r="AH42" s="138"/>
      <c r="AI42" s="138"/>
      <c r="AJ42" s="138"/>
      <c r="AK42" s="138"/>
      <c r="AL42" s="138"/>
      <c r="AM42" s="138"/>
      <c r="AN42" s="138"/>
      <c r="AO42" s="138"/>
      <c r="AP42" s="138"/>
      <c r="AQ42" s="138"/>
      <c r="AR42" s="138"/>
      <c r="AS42" s="138"/>
      <c r="AT42" s="138"/>
      <c r="AU42" s="138"/>
      <c r="AV42" s="138"/>
      <c r="AW42" s="138"/>
      <c r="AX42" s="138"/>
      <c r="AY42" s="138"/>
      <c r="AZ42" s="138"/>
      <c r="BA42" s="138"/>
      <c r="BB42" s="138"/>
      <c r="BC42" s="138"/>
      <c r="BD42" s="138"/>
      <c r="BE42" s="138"/>
      <c r="BF42" s="138"/>
      <c r="BG42" s="138"/>
      <c r="BH42" s="138"/>
      <c r="BI42" s="138"/>
      <c r="BJ42" s="138"/>
      <c r="BK42" s="138"/>
      <c r="BL42" s="138"/>
      <c r="BM42" s="138"/>
      <c r="BN42" s="138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</row>
    <row r="43" spans="1:82">
      <c r="A43" s="4" t="s">
        <v>934</v>
      </c>
      <c r="B43" s="4"/>
      <c r="C43" s="5">
        <f>-C18+Capex!C21</f>
        <v>4307</v>
      </c>
      <c r="D43" s="5">
        <f>-D18+Capex!D21</f>
        <v>4450</v>
      </c>
      <c r="E43" s="5">
        <f>-E18+Capex!E21</f>
        <v>16455</v>
      </c>
      <c r="F43" s="5">
        <f>-F18+Capex!F21</f>
        <v>8424</v>
      </c>
      <c r="G43" s="5">
        <f>-G18+Capex!G21</f>
        <v>19041</v>
      </c>
      <c r="H43" s="72"/>
      <c r="I43" s="72"/>
      <c r="J43" s="72"/>
      <c r="K43" s="72"/>
      <c r="L43" s="5">
        <f>-L18+Capex!L21</f>
        <v>-415</v>
      </c>
      <c r="M43" s="72"/>
      <c r="N43" s="72"/>
      <c r="O43" s="72"/>
      <c r="P43" s="72"/>
      <c r="Q43" s="5">
        <f>-Q18+Capex!Q21</f>
        <v>-108</v>
      </c>
      <c r="R43" s="72"/>
      <c r="S43" s="72"/>
      <c r="T43" s="72"/>
      <c r="U43" s="72"/>
      <c r="V43" s="138">
        <f>-V18+Capex!V21</f>
        <v>2363</v>
      </c>
      <c r="W43" s="138"/>
      <c r="X43" s="138"/>
      <c r="Y43" s="138"/>
      <c r="Z43" s="138"/>
      <c r="AA43" s="138">
        <f>-AA18+Capex!AA21</f>
        <v>2764</v>
      </c>
      <c r="AB43" s="138"/>
      <c r="AC43" s="138"/>
      <c r="AD43" s="138"/>
      <c r="AE43" s="138"/>
      <c r="AF43" s="138">
        <f>-AF18+AF29+Capex!AF21</f>
        <v>-12703</v>
      </c>
      <c r="AG43" s="138"/>
      <c r="AH43" s="138"/>
      <c r="AI43" s="138"/>
      <c r="AJ43" s="138"/>
      <c r="AK43" s="138">
        <f>-AK18+AK29+Capex!AK21</f>
        <v>-1255</v>
      </c>
      <c r="AL43" s="138"/>
      <c r="AM43" s="138"/>
      <c r="AN43" s="138"/>
      <c r="AO43" s="138"/>
      <c r="AP43" s="138">
        <f>-AP18+AP29+Capex!AP21</f>
        <v>-9920</v>
      </c>
      <c r="AQ43" s="138"/>
      <c r="AR43" s="138"/>
      <c r="AS43" s="138"/>
      <c r="AT43" s="138"/>
      <c r="AU43" s="138">
        <f>-AU18+AU29+Capex!AU21</f>
        <v>-20944</v>
      </c>
      <c r="AV43" s="138"/>
      <c r="AW43" s="138"/>
      <c r="AX43" s="138"/>
      <c r="AY43" s="138"/>
      <c r="AZ43" s="138">
        <f>-AZ18+AZ29+Capex!AZ21</f>
        <v>-670</v>
      </c>
      <c r="BA43" s="138"/>
      <c r="BB43" s="138"/>
      <c r="BC43" s="138"/>
      <c r="BD43" s="138"/>
      <c r="BE43" s="138">
        <f>-BE18+BE29+Capex!BE21</f>
        <v>-2047</v>
      </c>
      <c r="BF43" s="138"/>
      <c r="BG43" s="138"/>
      <c r="BH43" s="138"/>
      <c r="BI43" s="138"/>
      <c r="BJ43" s="138">
        <f>-BJ18+BJ29+Capex!BJ21</f>
        <v>1944</v>
      </c>
      <c r="BK43" s="138"/>
      <c r="BL43" s="138"/>
      <c r="BM43" s="138"/>
      <c r="BN43" s="138"/>
      <c r="BO43" s="138">
        <f>-BO18+BO29+Capex!BO21</f>
        <v>-1677</v>
      </c>
      <c r="BP43" s="72"/>
      <c r="BQ43" s="72"/>
      <c r="BR43" s="72"/>
      <c r="BS43" s="72"/>
      <c r="BT43" s="5">
        <f>BT44*BT12</f>
        <v>3001.38</v>
      </c>
      <c r="BU43" s="72"/>
      <c r="BV43" s="72"/>
      <c r="BW43" s="72"/>
      <c r="BX43" s="72"/>
      <c r="BY43" s="5">
        <f>BY44*BY12</f>
        <v>3115.1862000000001</v>
      </c>
      <c r="BZ43" s="72"/>
      <c r="CA43" s="72"/>
      <c r="CB43" s="72"/>
      <c r="CC43" s="72"/>
      <c r="CD43" s="5">
        <f>CD44*CD12</f>
        <v>3218.2843379999999</v>
      </c>
    </row>
    <row r="44" spans="1:82">
      <c r="A44" s="4"/>
      <c r="B44" s="4" t="s">
        <v>3234</v>
      </c>
      <c r="C44" s="116">
        <f>C43/C12</f>
        <v>3.0329490799749309E-2</v>
      </c>
      <c r="D44" s="116">
        <f>D43/D12</f>
        <v>3.0056397960217487E-2</v>
      </c>
      <c r="E44" s="116">
        <f>E43/E12</f>
        <v>9.9082933408802157E-2</v>
      </c>
      <c r="F44" s="116">
        <f>F43/F12</f>
        <v>4.9003240124020547E-2</v>
      </c>
      <c r="G44" s="116">
        <f>G43/G12</f>
        <v>0.10208501991732834</v>
      </c>
      <c r="H44" s="72"/>
      <c r="I44" s="72"/>
      <c r="J44" s="72"/>
      <c r="K44" s="72"/>
      <c r="L44" s="116">
        <f>L43/L12</f>
        <v>-2.3222239631130112E-3</v>
      </c>
      <c r="M44" s="72"/>
      <c r="N44" s="72"/>
      <c r="O44" s="72"/>
      <c r="P44" s="72"/>
      <c r="Q44" s="116">
        <f>Q43/Q12</f>
        <v>-5.705862774000285E-4</v>
      </c>
      <c r="R44" s="72"/>
      <c r="S44" s="72"/>
      <c r="T44" s="72"/>
      <c r="U44" s="72"/>
      <c r="V44" s="730">
        <f>V43/V12</f>
        <v>1.1521714751012964E-2</v>
      </c>
      <c r="W44" s="138"/>
      <c r="X44" s="138"/>
      <c r="Y44" s="138"/>
      <c r="Z44" s="138"/>
      <c r="AA44" s="730">
        <f>AA43/AA12</f>
        <v>1.2730932388800097E-2</v>
      </c>
      <c r="AB44" s="138"/>
      <c r="AC44" s="138"/>
      <c r="AD44" s="138"/>
      <c r="AE44" s="138"/>
      <c r="AF44" s="730">
        <f>AF43/AF12</f>
        <v>-5.4929991611101021E-2</v>
      </c>
      <c r="AG44" s="138"/>
      <c r="AH44" s="138"/>
      <c r="AI44" s="138"/>
      <c r="AJ44" s="138"/>
      <c r="AK44" s="730">
        <f>AK43/AK12</f>
        <v>-5.3577756052578781E-3</v>
      </c>
      <c r="AL44" s="138"/>
      <c r="AM44" s="138"/>
      <c r="AN44" s="138"/>
      <c r="AO44" s="138"/>
      <c r="AP44" s="730">
        <f>AP43/AP12</f>
        <v>-4.0993937690867691E-2</v>
      </c>
      <c r="AQ44" s="138"/>
      <c r="AR44" s="138"/>
      <c r="AS44" s="138"/>
      <c r="AT44" s="138"/>
      <c r="AU44" s="730">
        <f>AU43/AU12</f>
        <v>-8.688473584866524E-2</v>
      </c>
      <c r="AV44" s="138"/>
      <c r="AW44" s="138"/>
      <c r="AX44" s="138"/>
      <c r="AY44" s="138"/>
      <c r="AZ44" s="730">
        <f>AZ43/AZ12</f>
        <v>-2.4917623081900878E-3</v>
      </c>
      <c r="BA44" s="138"/>
      <c r="BB44" s="138"/>
      <c r="BC44" s="138"/>
      <c r="BD44" s="138"/>
      <c r="BE44" s="730">
        <f>BE43/BE12</f>
        <v>-7.2665698737313673E-3</v>
      </c>
      <c r="BF44" s="138"/>
      <c r="BG44" s="138"/>
      <c r="BH44" s="138"/>
      <c r="BI44" s="138"/>
      <c r="BJ44" s="730">
        <f>BJ43/BJ12</f>
        <v>6.6415445007396573E-3</v>
      </c>
      <c r="BK44" s="138"/>
      <c r="BL44" s="138"/>
      <c r="BM44" s="138"/>
      <c r="BN44" s="138"/>
      <c r="BO44" s="730">
        <f>BO43/BO12</f>
        <v>-5.8051183351045229E-3</v>
      </c>
      <c r="BP44" s="72"/>
      <c r="BQ44" s="72"/>
      <c r="BR44" s="72"/>
      <c r="BS44" s="72"/>
      <c r="BT44" s="127">
        <v>0.01</v>
      </c>
      <c r="BU44" s="72"/>
      <c r="BV44" s="72"/>
      <c r="BW44" s="72"/>
      <c r="BX44" s="72"/>
      <c r="BY44" s="127">
        <v>0.01</v>
      </c>
      <c r="BZ44" s="72"/>
      <c r="CA44" s="72"/>
      <c r="CB44" s="72"/>
      <c r="CC44" s="72"/>
      <c r="CD44" s="127">
        <v>0.01</v>
      </c>
    </row>
    <row r="45" spans="1:82">
      <c r="A45" s="4"/>
      <c r="B45" s="4" t="s">
        <v>3235</v>
      </c>
      <c r="C45" s="116">
        <f>C29/C18</f>
        <v>0.65614116554446256</v>
      </c>
      <c r="D45" s="116">
        <f>D29/D18</f>
        <v>0.69865168539325839</v>
      </c>
      <c r="E45" s="116">
        <f>E29/E18</f>
        <v>0.63919781221513217</v>
      </c>
      <c r="F45" s="116">
        <f>F29/F18</f>
        <v>0.69741215574548909</v>
      </c>
      <c r="G45" s="116">
        <f>G29/G18</f>
        <v>0.5907777952838611</v>
      </c>
      <c r="H45" s="72"/>
      <c r="I45" s="72"/>
      <c r="J45" s="72"/>
      <c r="K45" s="72"/>
      <c r="L45" s="116">
        <f>L29/L18</f>
        <v>0.52526117485870871</v>
      </c>
      <c r="M45" s="72"/>
      <c r="N45" s="72"/>
      <c r="O45" s="72"/>
      <c r="P45" s="72"/>
      <c r="Q45" s="116">
        <f>Q29/Q18</f>
        <v>0.71531618177446499</v>
      </c>
      <c r="R45" s="72"/>
      <c r="S45" s="72"/>
      <c r="T45" s="72"/>
      <c r="U45" s="72"/>
      <c r="V45" s="730">
        <f>V29/V18</f>
        <v>0.76883353584447145</v>
      </c>
      <c r="W45" s="138"/>
      <c r="X45" s="138"/>
      <c r="Y45" s="138"/>
      <c r="Z45" s="138"/>
      <c r="AA45" s="730">
        <f>AA29/AA18</f>
        <v>0.70817263544536269</v>
      </c>
      <c r="AB45" s="138"/>
      <c r="AC45" s="138"/>
      <c r="AD45" s="138"/>
      <c r="AE45" s="138"/>
      <c r="AF45" s="730">
        <f>AF29/AF18</f>
        <v>0.57280675309014173</v>
      </c>
      <c r="AG45" s="138"/>
      <c r="AH45" s="138"/>
      <c r="AI45" s="138"/>
      <c r="AJ45" s="138"/>
      <c r="AK45" s="730">
        <f>AK29/AK18</f>
        <v>0.82099139498242635</v>
      </c>
      <c r="AL45" s="138"/>
      <c r="AM45" s="138"/>
      <c r="AN45" s="138"/>
      <c r="AO45" s="138"/>
      <c r="AP45" s="730">
        <f>AP29/AP18</f>
        <v>0.71772105068442471</v>
      </c>
      <c r="AQ45" s="138"/>
      <c r="AR45" s="138"/>
      <c r="AS45" s="138"/>
      <c r="AT45" s="138"/>
      <c r="AU45" s="730">
        <f>AU29/AU18</f>
        <v>0.74135817602353515</v>
      </c>
      <c r="AV45" s="138"/>
      <c r="AW45" s="138"/>
      <c r="AX45" s="138"/>
      <c r="AY45" s="138"/>
      <c r="AZ45" s="730">
        <f>AZ29/AZ18</f>
        <v>0.65966944142839912</v>
      </c>
      <c r="BA45" s="138"/>
      <c r="BB45" s="138"/>
      <c r="BC45" s="138"/>
      <c r="BD45" s="138"/>
      <c r="BE45" s="730">
        <f>BE29/BE18</f>
        <v>0.70541716093317519</v>
      </c>
      <c r="BF45" s="138"/>
      <c r="BG45" s="138"/>
      <c r="BH45" s="138"/>
      <c r="BI45" s="138"/>
      <c r="BJ45" s="730">
        <f>BJ29/BJ18</f>
        <v>0.75343573160873079</v>
      </c>
      <c r="BK45" s="138"/>
      <c r="BL45" s="138"/>
      <c r="BM45" s="138"/>
      <c r="BN45" s="138"/>
      <c r="BO45" s="730">
        <f>BO29/BO18</f>
        <v>0.77412223667100133</v>
      </c>
      <c r="BP45" s="72"/>
      <c r="BQ45" s="72"/>
      <c r="BR45" s="72"/>
      <c r="BS45" s="72"/>
      <c r="BT45" s="127">
        <v>1</v>
      </c>
      <c r="BU45" s="72"/>
      <c r="BV45" s="72"/>
      <c r="BW45" s="72"/>
      <c r="BX45" s="72"/>
      <c r="BY45" s="127">
        <v>1</v>
      </c>
      <c r="BZ45" s="72"/>
      <c r="CA45" s="72"/>
      <c r="CB45" s="72"/>
      <c r="CC45" s="72"/>
      <c r="CD45" s="127">
        <v>1</v>
      </c>
    </row>
    <row r="46" spans="1:82">
      <c r="A46" s="4"/>
      <c r="B46" s="4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</row>
    <row r="47" spans="1:82">
      <c r="A47" s="4" t="s">
        <v>547</v>
      </c>
      <c r="B47" s="4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</row>
    <row r="48" spans="1:82">
      <c r="A48" s="4"/>
      <c r="B48" s="4" t="s">
        <v>2353</v>
      </c>
      <c r="C48" s="72"/>
      <c r="D48" s="72"/>
      <c r="E48" s="72"/>
      <c r="F48" s="72"/>
      <c r="G48" s="72"/>
      <c r="H48" s="72"/>
      <c r="I48" s="72"/>
      <c r="J48" s="72"/>
      <c r="K48" s="72"/>
      <c r="L48" s="5">
        <v>65625</v>
      </c>
      <c r="M48" s="72"/>
      <c r="N48" s="72"/>
      <c r="O48" s="72"/>
      <c r="P48" s="72"/>
      <c r="Q48" s="5">
        <v>70829</v>
      </c>
      <c r="R48" s="72"/>
      <c r="S48" s="72"/>
      <c r="T48" s="72"/>
      <c r="U48" s="72"/>
      <c r="V48" s="5">
        <v>75808</v>
      </c>
      <c r="W48" s="72"/>
      <c r="X48" s="72"/>
      <c r="Y48" s="72"/>
      <c r="Z48" s="72"/>
      <c r="AA48" s="5">
        <v>78944</v>
      </c>
      <c r="AB48" s="72"/>
      <c r="AC48" s="72"/>
      <c r="AD48" s="72"/>
      <c r="AE48" s="72"/>
      <c r="AF48" s="5">
        <v>79772</v>
      </c>
      <c r="AG48" s="72"/>
      <c r="AH48" s="72"/>
      <c r="AI48" s="72"/>
      <c r="AJ48" s="72"/>
      <c r="AK48" s="72"/>
      <c r="AL48" s="72"/>
      <c r="AM48" s="72"/>
      <c r="AN48" s="72"/>
      <c r="AO48" s="72"/>
      <c r="AP48" s="72"/>
      <c r="AQ48" s="72"/>
      <c r="AR48" s="72"/>
      <c r="AS48" s="72"/>
      <c r="AT48" s="72"/>
      <c r="AU48" s="72"/>
      <c r="AV48" s="72"/>
      <c r="AW48" s="72"/>
      <c r="AX48" s="72"/>
      <c r="AY48" s="72"/>
      <c r="AZ48" s="72"/>
      <c r="BA48" s="72"/>
      <c r="BB48" s="72"/>
      <c r="BC48" s="72"/>
      <c r="BD48" s="72"/>
      <c r="BE48" s="72"/>
      <c r="BF48" s="72"/>
      <c r="BG48" s="72"/>
      <c r="BH48" s="72"/>
      <c r="BI48" s="72"/>
      <c r="BJ48" s="72"/>
      <c r="BK48" s="72"/>
      <c r="BL48" s="72"/>
      <c r="BM48" s="72"/>
      <c r="BN48" s="72"/>
      <c r="BO48" s="72"/>
      <c r="BP48" s="72"/>
      <c r="BQ48" s="72"/>
      <c r="BR48" s="72"/>
      <c r="BS48" s="72"/>
      <c r="BT48" s="72"/>
      <c r="BU48" s="72"/>
      <c r="BV48" s="72"/>
      <c r="BW48" s="72"/>
      <c r="BX48" s="72"/>
      <c r="BY48" s="72"/>
      <c r="BZ48" s="72"/>
      <c r="CA48" s="72"/>
      <c r="CB48" s="72"/>
      <c r="CC48" s="72"/>
      <c r="CD48" s="72"/>
    </row>
    <row r="49" spans="1:82">
      <c r="A49" s="4"/>
      <c r="B49" s="4" t="s">
        <v>3239</v>
      </c>
      <c r="C49" s="72"/>
      <c r="D49" s="72"/>
      <c r="E49" s="72"/>
      <c r="F49" s="72"/>
      <c r="G49" s="72"/>
      <c r="H49" s="72"/>
      <c r="I49" s="72"/>
      <c r="J49" s="72"/>
      <c r="K49" s="72"/>
      <c r="L49" s="5">
        <v>23148</v>
      </c>
      <c r="M49" s="72"/>
      <c r="N49" s="72"/>
      <c r="O49" s="72"/>
      <c r="P49" s="72"/>
      <c r="Q49" s="5">
        <v>24470</v>
      </c>
      <c r="R49" s="72"/>
      <c r="S49" s="72"/>
      <c r="T49" s="72"/>
      <c r="U49" s="72"/>
      <c r="V49" s="5">
        <v>24624</v>
      </c>
      <c r="W49" s="72"/>
      <c r="X49" s="72"/>
      <c r="Y49" s="72"/>
      <c r="Z49" s="72"/>
      <c r="AA49" s="5">
        <v>27113</v>
      </c>
      <c r="AB49" s="72"/>
      <c r="AC49" s="72"/>
      <c r="AD49" s="72"/>
      <c r="AE49" s="72"/>
      <c r="AF49" s="5">
        <v>28147</v>
      </c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</row>
    <row r="50" spans="1:82">
      <c r="A50" s="4"/>
      <c r="B50" s="4" t="s">
        <v>2702</v>
      </c>
      <c r="C50" s="72"/>
      <c r="D50" s="72"/>
      <c r="E50" s="72"/>
      <c r="F50" s="72"/>
      <c r="G50" s="72"/>
      <c r="H50" s="72"/>
      <c r="I50" s="72"/>
      <c r="J50" s="72"/>
      <c r="K50" s="72"/>
      <c r="L50" s="5">
        <v>2226</v>
      </c>
      <c r="M50" s="72"/>
      <c r="N50" s="72"/>
      <c r="O50" s="72"/>
      <c r="P50" s="72"/>
      <c r="Q50" s="5">
        <v>2690</v>
      </c>
      <c r="R50" s="72"/>
      <c r="S50" s="72"/>
      <c r="T50" s="72"/>
      <c r="U50" s="72"/>
      <c r="V50" s="5">
        <v>2768</v>
      </c>
      <c r="W50" s="72"/>
      <c r="X50" s="72"/>
      <c r="Y50" s="72"/>
      <c r="Z50" s="72"/>
      <c r="AA50" s="5">
        <v>2218</v>
      </c>
      <c r="AB50" s="72"/>
      <c r="AC50" s="72"/>
      <c r="AD50" s="72"/>
      <c r="AE50" s="72"/>
      <c r="AF50" s="5">
        <v>2244</v>
      </c>
      <c r="AG50" s="72"/>
      <c r="AH50" s="72"/>
      <c r="AI50" s="72"/>
      <c r="AJ50" s="72"/>
      <c r="AK50" s="72"/>
      <c r="AL50" s="72"/>
      <c r="AM50" s="72"/>
      <c r="AN50" s="72"/>
      <c r="AO50" s="72"/>
      <c r="AP50" s="72"/>
      <c r="AQ50" s="72"/>
      <c r="AR50" s="72"/>
      <c r="AS50" s="72"/>
      <c r="AT50" s="72"/>
      <c r="AU50" s="72"/>
      <c r="AV50" s="72"/>
      <c r="AW50" s="72"/>
      <c r="AX50" s="72"/>
      <c r="AY50" s="72"/>
      <c r="AZ50" s="72"/>
      <c r="BA50" s="72"/>
      <c r="BB50" s="72"/>
      <c r="BC50" s="72"/>
      <c r="BD50" s="72"/>
      <c r="BE50" s="72"/>
      <c r="BF50" s="72"/>
      <c r="BG50" s="72"/>
      <c r="BH50" s="72"/>
      <c r="BI50" s="72"/>
      <c r="BJ50" s="72"/>
      <c r="BK50" s="72"/>
      <c r="BL50" s="72"/>
      <c r="BM50" s="72"/>
      <c r="BN50" s="72"/>
      <c r="BO50" s="72"/>
      <c r="BP50" s="72"/>
      <c r="BQ50" s="72"/>
      <c r="BR50" s="72"/>
      <c r="BS50" s="72"/>
      <c r="BT50" s="72"/>
      <c r="BU50" s="72"/>
      <c r="BV50" s="72"/>
      <c r="BW50" s="72"/>
      <c r="BX50" s="72"/>
      <c r="BY50" s="72"/>
      <c r="BZ50" s="72"/>
      <c r="CA50" s="72"/>
      <c r="CB50" s="72"/>
      <c r="CC50" s="72"/>
      <c r="CD50" s="72"/>
    </row>
    <row r="51" spans="1:82">
      <c r="A51" s="137"/>
      <c r="B51" s="137"/>
      <c r="C51" s="138"/>
      <c r="D51" s="138"/>
      <c r="E51" s="138"/>
      <c r="F51" s="138"/>
      <c r="G51" s="138"/>
      <c r="H51" s="138"/>
      <c r="I51" s="138"/>
      <c r="J51" s="138"/>
      <c r="K51" s="138"/>
      <c r="L51" s="138"/>
      <c r="M51" s="138"/>
      <c r="N51" s="138"/>
      <c r="O51" s="138"/>
      <c r="P51" s="138"/>
      <c r="Q51" s="138"/>
      <c r="R51" s="138"/>
      <c r="S51" s="138"/>
      <c r="T51" s="138"/>
      <c r="U51" s="138"/>
      <c r="V51" s="138"/>
      <c r="W51" s="138"/>
      <c r="X51" s="138"/>
      <c r="Y51" s="138"/>
      <c r="Z51" s="138"/>
      <c r="AA51" s="138"/>
      <c r="AB51" s="138"/>
      <c r="AC51" s="138"/>
      <c r="AD51" s="138"/>
      <c r="AE51" s="138"/>
      <c r="AF51" s="138"/>
      <c r="AG51" s="138"/>
      <c r="AH51" s="138"/>
      <c r="AI51" s="138"/>
      <c r="AJ51" s="138"/>
      <c r="AK51" s="138"/>
      <c r="AL51" s="138"/>
      <c r="AM51" s="138"/>
      <c r="AN51" s="138"/>
      <c r="AO51" s="138"/>
      <c r="AP51" s="138"/>
      <c r="AQ51" s="138"/>
      <c r="AR51" s="138"/>
      <c r="AS51" s="138"/>
      <c r="AT51" s="138"/>
      <c r="AU51" s="138"/>
      <c r="AV51" s="138"/>
      <c r="AW51" s="138"/>
      <c r="AX51" s="138"/>
      <c r="AY51" s="138"/>
      <c r="AZ51" s="138"/>
      <c r="BA51" s="138"/>
      <c r="BB51" s="138"/>
      <c r="BC51" s="138"/>
      <c r="BD51" s="138"/>
      <c r="BE51" s="138"/>
      <c r="BF51" s="138"/>
      <c r="BG51" s="138"/>
      <c r="BH51" s="138"/>
      <c r="BI51" s="138"/>
      <c r="BJ51" s="138"/>
      <c r="BK51" s="138"/>
      <c r="BL51" s="138"/>
      <c r="BM51" s="138"/>
      <c r="BN51" s="138"/>
      <c r="BO51" s="138"/>
      <c r="BP51" s="138"/>
      <c r="BQ51" s="138"/>
      <c r="BR51" s="138"/>
      <c r="BS51" s="138"/>
      <c r="BT51" s="138"/>
      <c r="BU51" s="138"/>
      <c r="BV51" s="138"/>
      <c r="BW51" s="138"/>
      <c r="BX51" s="138"/>
      <c r="BY51" s="138"/>
      <c r="BZ51" s="138"/>
      <c r="CA51" s="138"/>
      <c r="CB51" s="138"/>
      <c r="CC51" s="138"/>
      <c r="CD51" s="138"/>
    </row>
    <row r="52" spans="1:82">
      <c r="A52" s="137" t="s">
        <v>515</v>
      </c>
      <c r="B52" s="137"/>
      <c r="C52" s="138"/>
      <c r="D52" s="138"/>
      <c r="E52" s="138"/>
      <c r="F52" s="138"/>
      <c r="G52" s="138"/>
      <c r="H52" s="138"/>
      <c r="I52" s="138"/>
      <c r="J52" s="138"/>
      <c r="K52" s="138"/>
      <c r="L52" s="138"/>
      <c r="M52" s="138"/>
      <c r="N52" s="138"/>
      <c r="O52" s="138"/>
      <c r="P52" s="138"/>
      <c r="Q52" s="138"/>
      <c r="R52" s="138"/>
      <c r="S52" s="138"/>
      <c r="T52" s="138"/>
      <c r="U52" s="138"/>
      <c r="V52" s="138"/>
      <c r="W52" s="138"/>
      <c r="X52" s="138"/>
      <c r="Y52" s="138"/>
      <c r="Z52" s="138"/>
      <c r="AA52" s="138"/>
      <c r="AB52" s="138"/>
      <c r="AC52" s="138"/>
      <c r="AD52" s="138"/>
      <c r="AE52" s="138"/>
      <c r="AF52" s="138"/>
      <c r="AG52" s="138"/>
      <c r="AH52" s="138"/>
      <c r="AI52" s="138"/>
      <c r="AJ52" s="138"/>
      <c r="AK52" s="138"/>
      <c r="AL52" s="138"/>
      <c r="AM52" s="138"/>
      <c r="AN52" s="138"/>
      <c r="AO52" s="138"/>
      <c r="AP52" s="138"/>
      <c r="AQ52" s="138"/>
      <c r="AR52" s="138"/>
      <c r="AS52" s="138"/>
      <c r="AT52" s="138"/>
      <c r="AU52" s="138"/>
      <c r="AV52" s="138"/>
      <c r="AW52" s="138"/>
      <c r="AX52" s="138"/>
      <c r="AY52" s="138"/>
      <c r="AZ52" s="138"/>
      <c r="BA52" s="138"/>
      <c r="BB52" s="138"/>
      <c r="BC52" s="138"/>
      <c r="BD52" s="138"/>
      <c r="BE52" s="138"/>
      <c r="BF52" s="138"/>
      <c r="BG52" s="138"/>
      <c r="BH52" s="138"/>
      <c r="BI52" s="138"/>
      <c r="BJ52" s="138"/>
      <c r="BK52" s="138"/>
      <c r="BL52" s="138"/>
      <c r="BM52" s="138"/>
      <c r="BN52" s="138"/>
      <c r="BO52" s="138"/>
      <c r="BP52" s="138"/>
      <c r="BQ52" s="138"/>
      <c r="BR52" s="138"/>
      <c r="BS52" s="138"/>
      <c r="BT52" s="138"/>
      <c r="BU52" s="138"/>
      <c r="BV52" s="138"/>
      <c r="BW52" s="138"/>
      <c r="BX52" s="138"/>
      <c r="BY52" s="138"/>
      <c r="BZ52" s="138"/>
      <c r="CA52" s="138"/>
      <c r="CB52" s="138"/>
      <c r="CC52" s="138"/>
      <c r="CD52" s="138"/>
    </row>
    <row r="53" spans="1:82">
      <c r="A53" s="4"/>
      <c r="B53" s="4" t="s">
        <v>2353</v>
      </c>
      <c r="C53" s="72"/>
      <c r="D53" s="72"/>
      <c r="E53" s="72"/>
      <c r="F53" s="72"/>
      <c r="G53" s="72"/>
      <c r="H53" s="72"/>
      <c r="I53" s="72"/>
      <c r="J53" s="72"/>
      <c r="K53" s="72"/>
      <c r="L53" s="5">
        <v>140620</v>
      </c>
      <c r="M53" s="72"/>
      <c r="N53" s="72"/>
      <c r="O53" s="72"/>
      <c r="P53" s="72"/>
      <c r="Q53" s="5">
        <v>152486</v>
      </c>
      <c r="R53" s="72"/>
      <c r="S53" s="72"/>
      <c r="T53" s="72"/>
      <c r="U53" s="72"/>
      <c r="V53" s="5">
        <v>165626</v>
      </c>
      <c r="W53" s="72"/>
      <c r="X53" s="72"/>
      <c r="Y53" s="72"/>
      <c r="Z53" s="72"/>
      <c r="AA53" s="5">
        <v>176332</v>
      </c>
      <c r="AB53" s="72"/>
      <c r="AC53" s="72"/>
      <c r="AD53" s="72"/>
      <c r="AE53" s="72"/>
      <c r="AF53" s="5">
        <v>177537</v>
      </c>
      <c r="AG53" s="72"/>
      <c r="AH53" s="72"/>
      <c r="AI53" s="72"/>
      <c r="AJ53" s="72"/>
      <c r="AK53" s="72"/>
      <c r="AL53" s="72"/>
      <c r="AM53" s="72"/>
      <c r="AN53" s="72"/>
      <c r="AO53" s="72"/>
      <c r="AP53" s="72"/>
      <c r="AQ53" s="72"/>
      <c r="AR53" s="72"/>
      <c r="AS53" s="72"/>
      <c r="AT53" s="72"/>
      <c r="AU53" s="72"/>
      <c r="AV53" s="72"/>
      <c r="AW53" s="72"/>
      <c r="AX53" s="72"/>
      <c r="AY53" s="72"/>
      <c r="AZ53" s="72"/>
      <c r="BA53" s="72"/>
      <c r="BB53" s="72"/>
      <c r="BC53" s="72"/>
      <c r="BD53" s="72"/>
      <c r="BE53" s="72"/>
      <c r="BF53" s="72"/>
      <c r="BG53" s="72"/>
      <c r="BH53" s="72"/>
      <c r="BI53" s="72"/>
      <c r="BJ53" s="72"/>
      <c r="BK53" s="72"/>
      <c r="BL53" s="72"/>
      <c r="BM53" s="72"/>
      <c r="BN53" s="72"/>
      <c r="BO53" s="72"/>
      <c r="BP53" s="72"/>
      <c r="BQ53" s="72"/>
      <c r="BR53" s="72"/>
      <c r="BS53" s="72"/>
      <c r="BT53" s="72"/>
      <c r="BU53" s="72"/>
      <c r="BV53" s="72"/>
      <c r="BW53" s="72"/>
      <c r="BX53" s="72"/>
      <c r="BY53" s="72"/>
      <c r="BZ53" s="72"/>
      <c r="CA53" s="72"/>
      <c r="CB53" s="72"/>
      <c r="CC53" s="72"/>
      <c r="CD53" s="72"/>
    </row>
    <row r="54" spans="1:82">
      <c r="A54" s="4"/>
      <c r="B54" s="4" t="s">
        <v>3239</v>
      </c>
      <c r="C54" s="72"/>
      <c r="D54" s="72"/>
      <c r="E54" s="72"/>
      <c r="F54" s="72"/>
      <c r="G54" s="72"/>
      <c r="H54" s="72"/>
      <c r="I54" s="72"/>
      <c r="J54" s="72"/>
      <c r="K54" s="72"/>
      <c r="L54" s="5">
        <v>45397</v>
      </c>
      <c r="M54" s="72"/>
      <c r="N54" s="72"/>
      <c r="O54" s="72"/>
      <c r="P54" s="72"/>
      <c r="Q54" s="5">
        <v>48590</v>
      </c>
      <c r="R54" s="72"/>
      <c r="S54" s="72"/>
      <c r="T54" s="72"/>
      <c r="U54" s="72"/>
      <c r="V54" s="5">
        <v>47289</v>
      </c>
      <c r="W54" s="72"/>
      <c r="X54" s="72"/>
      <c r="Y54" s="72"/>
      <c r="Z54" s="72"/>
      <c r="AA54" s="5">
        <v>51276</v>
      </c>
      <c r="AB54" s="72"/>
      <c r="AC54" s="72"/>
      <c r="AD54" s="72"/>
      <c r="AE54" s="72"/>
      <c r="AF54" s="5">
        <v>52843</v>
      </c>
      <c r="AG54" s="72"/>
      <c r="AH54" s="72"/>
      <c r="AI54" s="72"/>
      <c r="AJ54" s="72"/>
      <c r="AK54" s="72"/>
      <c r="AL54" s="72"/>
      <c r="AM54" s="72"/>
      <c r="AN54" s="72"/>
      <c r="AO54" s="72"/>
      <c r="AP54" s="72"/>
      <c r="AQ54" s="72"/>
      <c r="AR54" s="72"/>
      <c r="AS54" s="72"/>
      <c r="AT54" s="72"/>
      <c r="AU54" s="72"/>
      <c r="AV54" s="72"/>
      <c r="AW54" s="72"/>
      <c r="AX54" s="72"/>
      <c r="AY54" s="72"/>
      <c r="AZ54" s="72"/>
      <c r="BA54" s="72"/>
      <c r="BB54" s="72"/>
      <c r="BC54" s="72"/>
      <c r="BD54" s="72"/>
      <c r="BE54" s="72"/>
      <c r="BF54" s="72"/>
      <c r="BG54" s="72"/>
      <c r="BH54" s="72"/>
      <c r="BI54" s="72"/>
      <c r="BJ54" s="72"/>
      <c r="BK54" s="72"/>
      <c r="BL54" s="72"/>
      <c r="BM54" s="72"/>
      <c r="BN54" s="72"/>
      <c r="BO54" s="72"/>
      <c r="BP54" s="72"/>
      <c r="BQ54" s="72"/>
      <c r="BR54" s="72"/>
      <c r="BS54" s="72"/>
      <c r="BT54" s="72"/>
      <c r="BU54" s="72"/>
      <c r="BV54" s="72"/>
      <c r="BW54" s="72"/>
      <c r="BX54" s="72"/>
      <c r="BY54" s="72"/>
      <c r="BZ54" s="72"/>
      <c r="CA54" s="72"/>
      <c r="CB54" s="72"/>
      <c r="CC54" s="72"/>
      <c r="CD54" s="72"/>
    </row>
    <row r="55" spans="1:82">
      <c r="A55" s="4"/>
      <c r="B55" s="4" t="s">
        <v>2702</v>
      </c>
      <c r="C55" s="72"/>
      <c r="D55" s="72"/>
      <c r="E55" s="72"/>
      <c r="F55" s="72"/>
      <c r="G55" s="72"/>
      <c r="H55" s="72"/>
      <c r="I55" s="72"/>
      <c r="J55" s="72"/>
      <c r="K55" s="72"/>
      <c r="L55" s="5">
        <v>3262</v>
      </c>
      <c r="M55" s="72"/>
      <c r="N55" s="72"/>
      <c r="O55" s="72"/>
      <c r="P55" s="72"/>
      <c r="Q55" s="5">
        <v>4015</v>
      </c>
      <c r="R55" s="72"/>
      <c r="S55" s="72"/>
      <c r="T55" s="72"/>
      <c r="U55" s="72"/>
      <c r="V55" s="5">
        <v>4194</v>
      </c>
      <c r="W55" s="72"/>
      <c r="X55" s="72"/>
      <c r="Y55" s="72"/>
      <c r="Z55" s="72"/>
      <c r="AA55" s="5">
        <v>3650</v>
      </c>
      <c r="AB55" s="72"/>
      <c r="AC55" s="72"/>
      <c r="AD55" s="72"/>
      <c r="AE55" s="72"/>
      <c r="AF55" s="5">
        <v>3859</v>
      </c>
      <c r="AG55" s="72"/>
      <c r="AH55" s="72"/>
      <c r="AI55" s="72"/>
      <c r="AJ55" s="72"/>
      <c r="AK55" s="72"/>
      <c r="AL55" s="72"/>
      <c r="AM55" s="72"/>
      <c r="AN55" s="72"/>
      <c r="AO55" s="72"/>
      <c r="AP55" s="72"/>
      <c r="AQ55" s="72"/>
      <c r="AR55" s="72"/>
      <c r="AS55" s="72"/>
      <c r="AT55" s="72"/>
      <c r="AU55" s="72"/>
      <c r="AV55" s="72"/>
      <c r="AW55" s="72"/>
      <c r="AX55" s="72"/>
      <c r="AY55" s="72"/>
      <c r="AZ55" s="72"/>
      <c r="BA55" s="72"/>
      <c r="BB55" s="72"/>
      <c r="BC55" s="72"/>
      <c r="BD55" s="72"/>
      <c r="BE55" s="72"/>
      <c r="BF55" s="72"/>
      <c r="BG55" s="72"/>
      <c r="BH55" s="72"/>
      <c r="BI55" s="72"/>
      <c r="BJ55" s="72"/>
      <c r="BK55" s="72"/>
      <c r="BL55" s="72"/>
      <c r="BM55" s="72"/>
      <c r="BN55" s="72"/>
      <c r="BO55" s="72"/>
      <c r="BP55" s="72"/>
      <c r="BQ55" s="72"/>
      <c r="BR55" s="72"/>
      <c r="BS55" s="72"/>
      <c r="BT55" s="72"/>
      <c r="BU55" s="72"/>
      <c r="BV55" s="72"/>
      <c r="BW55" s="72"/>
      <c r="BX55" s="72"/>
      <c r="BY55" s="72"/>
      <c r="BZ55" s="72"/>
      <c r="CA55" s="72"/>
      <c r="CB55" s="72"/>
      <c r="CC55" s="72"/>
      <c r="CD55" s="72"/>
    </row>
    <row r="56" spans="1:82">
      <c r="A56" s="137"/>
      <c r="B56" s="137"/>
      <c r="C56" s="138"/>
      <c r="D56" s="138"/>
      <c r="E56" s="138"/>
      <c r="F56" s="138"/>
      <c r="G56" s="138"/>
      <c r="H56" s="138"/>
      <c r="I56" s="138"/>
      <c r="J56" s="138"/>
      <c r="K56" s="138"/>
      <c r="L56" s="138"/>
      <c r="M56" s="138"/>
      <c r="N56" s="138"/>
      <c r="O56" s="138"/>
      <c r="P56" s="138"/>
      <c r="Q56" s="138"/>
      <c r="R56" s="138"/>
      <c r="S56" s="138"/>
      <c r="T56" s="138"/>
      <c r="U56" s="138"/>
      <c r="V56" s="138"/>
      <c r="W56" s="138"/>
      <c r="X56" s="138"/>
      <c r="Y56" s="138"/>
      <c r="Z56" s="138"/>
      <c r="AA56" s="138"/>
      <c r="AB56" s="138"/>
      <c r="AC56" s="138"/>
      <c r="AD56" s="138"/>
      <c r="AE56" s="138"/>
      <c r="AF56" s="138"/>
      <c r="AG56" s="138"/>
      <c r="AH56" s="138"/>
      <c r="AI56" s="138"/>
      <c r="AJ56" s="138"/>
      <c r="AK56" s="138"/>
      <c r="AL56" s="138"/>
      <c r="AM56" s="138"/>
      <c r="AN56" s="138"/>
      <c r="AO56" s="138"/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38"/>
      <c r="BE56" s="138"/>
      <c r="BF56" s="138"/>
      <c r="BG56" s="138"/>
      <c r="BH56" s="138"/>
      <c r="BI56" s="138"/>
      <c r="BJ56" s="138"/>
      <c r="BK56" s="138"/>
      <c r="BL56" s="138"/>
      <c r="BM56" s="138"/>
      <c r="BN56" s="138"/>
      <c r="BO56" s="138"/>
      <c r="BP56" s="138"/>
      <c r="BQ56" s="138"/>
      <c r="BR56" s="138"/>
      <c r="BS56" s="138"/>
      <c r="BT56" s="138"/>
      <c r="BU56" s="138"/>
      <c r="BV56" s="138"/>
      <c r="BW56" s="138"/>
      <c r="BX56" s="138"/>
      <c r="BY56" s="138"/>
      <c r="BZ56" s="138"/>
      <c r="CA56" s="138"/>
      <c r="CB56" s="138"/>
      <c r="CC56" s="138"/>
      <c r="CD56" s="138"/>
    </row>
    <row r="57" spans="1:82">
      <c r="A57" s="137" t="s">
        <v>2054</v>
      </c>
      <c r="B57" s="137"/>
      <c r="C57" s="138"/>
      <c r="D57" s="138"/>
      <c r="E57" s="138"/>
      <c r="F57" s="138"/>
      <c r="G57" s="138"/>
      <c r="H57" s="138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  <c r="BF57" s="138"/>
      <c r="BG57" s="138"/>
      <c r="BH57" s="138"/>
      <c r="BI57" s="138"/>
      <c r="BJ57" s="138"/>
      <c r="BK57" s="138"/>
      <c r="BL57" s="138"/>
      <c r="BM57" s="138"/>
      <c r="BN57" s="138"/>
      <c r="BO57" s="138"/>
      <c r="BP57" s="138"/>
      <c r="BQ57" s="138"/>
      <c r="BR57" s="138"/>
      <c r="BS57" s="138"/>
      <c r="BT57" s="138"/>
      <c r="BU57" s="138"/>
      <c r="BV57" s="138"/>
      <c r="BW57" s="138"/>
      <c r="BX57" s="138"/>
      <c r="BY57" s="138"/>
      <c r="BZ57" s="138"/>
      <c r="CA57" s="138"/>
      <c r="CB57" s="138"/>
      <c r="CC57" s="138"/>
      <c r="CD57" s="138"/>
    </row>
    <row r="58" spans="1:82">
      <c r="A58" s="4"/>
      <c r="B58" s="4" t="s">
        <v>2353</v>
      </c>
      <c r="C58" s="72"/>
      <c r="D58" s="72"/>
      <c r="E58" s="72"/>
      <c r="F58" s="72"/>
      <c r="G58" s="72"/>
      <c r="H58" s="72"/>
      <c r="I58" s="72"/>
      <c r="J58" s="72"/>
      <c r="K58" s="72"/>
      <c r="L58" s="5">
        <v>74995</v>
      </c>
      <c r="M58" s="72"/>
      <c r="N58" s="72"/>
      <c r="O58" s="72"/>
      <c r="P58" s="72"/>
      <c r="Q58" s="5">
        <v>81657</v>
      </c>
      <c r="R58" s="72"/>
      <c r="S58" s="72"/>
      <c r="T58" s="72"/>
      <c r="U58" s="72"/>
      <c r="V58" s="5">
        <v>89818</v>
      </c>
      <c r="W58" s="72"/>
      <c r="X58" s="72"/>
      <c r="Y58" s="72"/>
      <c r="Z58" s="72"/>
      <c r="AA58" s="5">
        <v>97388</v>
      </c>
      <c r="AB58" s="72"/>
      <c r="AC58" s="72"/>
      <c r="AD58" s="72"/>
      <c r="AE58" s="72"/>
      <c r="AF58" s="5">
        <v>97765</v>
      </c>
      <c r="AG58" s="72"/>
      <c r="AH58" s="72"/>
      <c r="AI58" s="72"/>
      <c r="AJ58" s="72"/>
      <c r="AK58" s="72"/>
      <c r="AL58" s="72"/>
      <c r="AM58" s="72"/>
      <c r="AN58" s="72"/>
      <c r="AO58" s="72"/>
      <c r="AP58" s="72"/>
      <c r="AQ58" s="72"/>
      <c r="AR58" s="72"/>
      <c r="AS58" s="72"/>
      <c r="AT58" s="72"/>
      <c r="AU58" s="72"/>
      <c r="AV58" s="72"/>
      <c r="AW58" s="72"/>
      <c r="AX58" s="72"/>
      <c r="AY58" s="72"/>
      <c r="AZ58" s="72"/>
      <c r="BA58" s="72"/>
      <c r="BB58" s="72"/>
      <c r="BC58" s="72"/>
      <c r="BD58" s="72"/>
      <c r="BE58" s="72"/>
      <c r="BF58" s="72"/>
      <c r="BG58" s="72"/>
      <c r="BH58" s="72"/>
      <c r="BI58" s="72"/>
      <c r="BJ58" s="72"/>
      <c r="BK58" s="72"/>
      <c r="BL58" s="72"/>
      <c r="BM58" s="72"/>
      <c r="BN58" s="72"/>
      <c r="BO58" s="72"/>
      <c r="BP58" s="72"/>
      <c r="BQ58" s="72"/>
      <c r="BR58" s="72"/>
      <c r="BS58" s="72"/>
      <c r="BT58" s="72"/>
      <c r="BU58" s="72"/>
      <c r="BV58" s="72"/>
      <c r="BW58" s="72"/>
      <c r="BX58" s="72"/>
      <c r="BY58" s="72"/>
      <c r="BZ58" s="72"/>
      <c r="CA58" s="72"/>
      <c r="CB58" s="72"/>
      <c r="CC58" s="72"/>
      <c r="CD58" s="72"/>
    </row>
    <row r="59" spans="1:82">
      <c r="A59" s="4"/>
      <c r="B59" s="4" t="s">
        <v>3239</v>
      </c>
      <c r="C59" s="72"/>
      <c r="D59" s="72"/>
      <c r="E59" s="72"/>
      <c r="F59" s="72"/>
      <c r="G59" s="72"/>
      <c r="H59" s="72"/>
      <c r="I59" s="72"/>
      <c r="J59" s="72"/>
      <c r="K59" s="72"/>
      <c r="L59" s="5">
        <v>22249</v>
      </c>
      <c r="M59" s="72"/>
      <c r="N59" s="72"/>
      <c r="O59" s="72"/>
      <c r="P59" s="72"/>
      <c r="Q59" s="5">
        <v>24120</v>
      </c>
      <c r="R59" s="72"/>
      <c r="S59" s="72"/>
      <c r="T59" s="72"/>
      <c r="U59" s="72"/>
      <c r="V59" s="5">
        <v>22665</v>
      </c>
      <c r="W59" s="72"/>
      <c r="X59" s="72"/>
      <c r="Y59" s="72"/>
      <c r="Z59" s="72"/>
      <c r="AA59" s="5">
        <v>24163</v>
      </c>
      <c r="AB59" s="72"/>
      <c r="AC59" s="72"/>
      <c r="AD59" s="72"/>
      <c r="AE59" s="72"/>
      <c r="AF59" s="5">
        <v>24696</v>
      </c>
      <c r="AG59" s="72"/>
      <c r="AH59" s="72"/>
      <c r="AI59" s="72"/>
      <c r="AJ59" s="72"/>
      <c r="AK59" s="72"/>
      <c r="AL59" s="72"/>
      <c r="AM59" s="72"/>
      <c r="AN59" s="72"/>
      <c r="AO59" s="72"/>
      <c r="AP59" s="72"/>
      <c r="AQ59" s="72"/>
      <c r="AR59" s="72"/>
      <c r="AS59" s="72"/>
      <c r="AT59" s="72"/>
      <c r="AU59" s="72"/>
      <c r="AV59" s="72"/>
      <c r="AW59" s="72"/>
      <c r="AX59" s="72"/>
      <c r="AY59" s="72"/>
      <c r="AZ59" s="72"/>
      <c r="BA59" s="72"/>
      <c r="BB59" s="72"/>
      <c r="BC59" s="72"/>
      <c r="BD59" s="72"/>
      <c r="BE59" s="72"/>
      <c r="BF59" s="72"/>
      <c r="BG59" s="72"/>
      <c r="BH59" s="72"/>
      <c r="BI59" s="72"/>
      <c r="BJ59" s="72"/>
      <c r="BK59" s="72"/>
      <c r="BL59" s="72"/>
      <c r="BM59" s="72"/>
      <c r="BN59" s="72"/>
      <c r="BO59" s="72"/>
      <c r="BP59" s="72"/>
      <c r="BQ59" s="72"/>
      <c r="BR59" s="72"/>
      <c r="BS59" s="72"/>
      <c r="BT59" s="72"/>
      <c r="BU59" s="72"/>
      <c r="BV59" s="72"/>
      <c r="BW59" s="72"/>
      <c r="BX59" s="72"/>
      <c r="BY59" s="72"/>
      <c r="BZ59" s="72"/>
      <c r="CA59" s="72"/>
      <c r="CB59" s="72"/>
      <c r="CC59" s="72"/>
      <c r="CD59" s="72"/>
    </row>
    <row r="60" spans="1:82">
      <c r="A60" s="4"/>
      <c r="B60" s="4" t="s">
        <v>2702</v>
      </c>
      <c r="C60" s="72"/>
      <c r="D60" s="72"/>
      <c r="E60" s="72"/>
      <c r="F60" s="72"/>
      <c r="G60" s="72"/>
      <c r="H60" s="72"/>
      <c r="I60" s="72"/>
      <c r="J60" s="72"/>
      <c r="K60" s="72"/>
      <c r="L60" s="5">
        <v>1036</v>
      </c>
      <c r="M60" s="72"/>
      <c r="N60" s="72"/>
      <c r="O60" s="72"/>
      <c r="P60" s="72"/>
      <c r="Q60" s="5">
        <v>1325</v>
      </c>
      <c r="R60" s="72"/>
      <c r="S60" s="72"/>
      <c r="T60" s="72"/>
      <c r="U60" s="72"/>
      <c r="V60" s="5">
        <v>1426</v>
      </c>
      <c r="W60" s="72"/>
      <c r="X60" s="72"/>
      <c r="Y60" s="72"/>
      <c r="Z60" s="72"/>
      <c r="AA60" s="5">
        <v>1432</v>
      </c>
      <c r="AB60" s="72"/>
      <c r="AC60" s="72"/>
      <c r="AD60" s="72"/>
      <c r="AE60" s="72"/>
      <c r="AF60" s="5">
        <v>1615</v>
      </c>
      <c r="AG60" s="72"/>
      <c r="AH60" s="72"/>
      <c r="AI60" s="72"/>
      <c r="AJ60" s="72"/>
      <c r="AK60" s="72"/>
      <c r="AL60" s="72"/>
      <c r="AM60" s="72"/>
      <c r="AN60" s="72"/>
      <c r="AO60" s="72"/>
      <c r="AP60" s="72"/>
      <c r="AQ60" s="72"/>
      <c r="AR60" s="72"/>
      <c r="AS60" s="72"/>
      <c r="AT60" s="72"/>
      <c r="AU60" s="72"/>
      <c r="AV60" s="72"/>
      <c r="AW60" s="72"/>
      <c r="AX60" s="72"/>
      <c r="AY60" s="72"/>
      <c r="AZ60" s="72"/>
      <c r="BA60" s="72"/>
      <c r="BB60" s="72"/>
      <c r="BC60" s="72"/>
      <c r="BD60" s="72"/>
      <c r="BE60" s="72"/>
      <c r="BF60" s="72"/>
      <c r="BG60" s="72"/>
      <c r="BH60" s="72"/>
      <c r="BI60" s="72"/>
      <c r="BJ60" s="72"/>
      <c r="BK60" s="72"/>
      <c r="BL60" s="72"/>
      <c r="BM60" s="72"/>
      <c r="BN60" s="72"/>
      <c r="BO60" s="72"/>
      <c r="BP60" s="72"/>
      <c r="BQ60" s="72"/>
      <c r="BR60" s="72"/>
      <c r="BS60" s="72"/>
      <c r="BT60" s="72"/>
      <c r="BU60" s="72"/>
      <c r="BV60" s="72"/>
      <c r="BW60" s="72"/>
      <c r="BX60" s="72"/>
      <c r="BY60" s="72"/>
      <c r="BZ60" s="72"/>
      <c r="CA60" s="72"/>
      <c r="CB60" s="72"/>
      <c r="CC60" s="72"/>
      <c r="CD60" s="72"/>
    </row>
    <row r="64" spans="1:82">
      <c r="A64" s="214" t="s">
        <v>631</v>
      </c>
    </row>
    <row r="65" spans="1:82" ht="12.75" customHeight="1">
      <c r="A65" s="10"/>
      <c r="B65" s="10"/>
      <c r="C65" s="31">
        <v>2001</v>
      </c>
      <c r="D65" s="32">
        <v>2002</v>
      </c>
      <c r="E65" s="32">
        <v>2003</v>
      </c>
      <c r="F65" s="32">
        <v>2004</v>
      </c>
      <c r="G65" s="31">
        <v>2005</v>
      </c>
      <c r="H65" s="33" t="s">
        <v>714</v>
      </c>
      <c r="I65" s="33" t="s">
        <v>715</v>
      </c>
      <c r="J65" s="33" t="s">
        <v>716</v>
      </c>
      <c r="K65" s="33" t="s">
        <v>717</v>
      </c>
      <c r="L65" s="31">
        <v>2006</v>
      </c>
      <c r="M65" s="33" t="s">
        <v>718</v>
      </c>
      <c r="N65" s="33" t="s">
        <v>719</v>
      </c>
      <c r="O65" s="33" t="s">
        <v>1970</v>
      </c>
      <c r="P65" s="33" t="s">
        <v>1971</v>
      </c>
      <c r="Q65" s="31">
        <v>2007</v>
      </c>
      <c r="R65" s="33" t="s">
        <v>1972</v>
      </c>
      <c r="S65" s="33" t="s">
        <v>1973</v>
      </c>
      <c r="T65" s="33" t="s">
        <v>1974</v>
      </c>
      <c r="U65" s="33" t="s">
        <v>1975</v>
      </c>
      <c r="V65" s="31">
        <v>2008</v>
      </c>
      <c r="W65" s="33" t="s">
        <v>1976</v>
      </c>
      <c r="X65" s="33" t="s">
        <v>1977</v>
      </c>
      <c r="Y65" s="33" t="s">
        <v>1978</v>
      </c>
      <c r="Z65" s="33" t="s">
        <v>1979</v>
      </c>
      <c r="AA65" s="31">
        <v>2009</v>
      </c>
      <c r="AB65" s="33" t="s">
        <v>1980</v>
      </c>
      <c r="AC65" s="33" t="s">
        <v>1981</v>
      </c>
      <c r="AD65" s="33" t="s">
        <v>1982</v>
      </c>
      <c r="AE65" s="33" t="s">
        <v>2392</v>
      </c>
      <c r="AF65" s="31">
        <v>2010</v>
      </c>
      <c r="AG65" s="33" t="s">
        <v>2393</v>
      </c>
      <c r="AH65" s="33" t="s">
        <v>2394</v>
      </c>
      <c r="AI65" s="33" t="s">
        <v>2395</v>
      </c>
      <c r="AJ65" s="33" t="s">
        <v>2396</v>
      </c>
      <c r="AK65" s="31">
        <v>2011</v>
      </c>
      <c r="AL65" s="33" t="s">
        <v>2397</v>
      </c>
      <c r="AM65" s="33" t="s">
        <v>2398</v>
      </c>
      <c r="AN65" s="33" t="s">
        <v>2399</v>
      </c>
      <c r="AO65" s="33" t="s">
        <v>2400</v>
      </c>
      <c r="AP65" s="31">
        <v>2012</v>
      </c>
      <c r="AQ65" s="33" t="s">
        <v>2401</v>
      </c>
      <c r="AR65" s="33" t="s">
        <v>2402</v>
      </c>
      <c r="AS65" s="33" t="s">
        <v>2403</v>
      </c>
      <c r="AT65" s="33" t="s">
        <v>2404</v>
      </c>
      <c r="AU65" s="31">
        <v>2013</v>
      </c>
      <c r="AV65" s="33" t="s">
        <v>2405</v>
      </c>
      <c r="AW65" s="33" t="s">
        <v>2406</v>
      </c>
      <c r="AX65" s="33" t="s">
        <v>2407</v>
      </c>
      <c r="AY65" s="33" t="s">
        <v>2408</v>
      </c>
      <c r="AZ65" s="31">
        <v>2014</v>
      </c>
      <c r="BA65" s="33" t="s">
        <v>2409</v>
      </c>
      <c r="BB65" s="33" t="s">
        <v>2410</v>
      </c>
      <c r="BC65" s="33" t="s">
        <v>2411</v>
      </c>
      <c r="BD65" s="33" t="s">
        <v>2412</v>
      </c>
      <c r="BE65" s="31">
        <v>2015</v>
      </c>
      <c r="BF65" s="33" t="s">
        <v>2413</v>
      </c>
      <c r="BG65" s="33" t="s">
        <v>2414</v>
      </c>
      <c r="BH65" s="33" t="s">
        <v>2415</v>
      </c>
      <c r="BI65" s="33" t="s">
        <v>2416</v>
      </c>
      <c r="BJ65" s="31">
        <v>2016</v>
      </c>
      <c r="BK65" s="33" t="s">
        <v>2417</v>
      </c>
      <c r="BL65" s="33" t="s">
        <v>2418</v>
      </c>
      <c r="BM65" s="33" t="s">
        <v>2419</v>
      </c>
      <c r="BN65" s="33" t="s">
        <v>2420</v>
      </c>
      <c r="BO65" s="31">
        <v>2017</v>
      </c>
      <c r="BP65" s="363" t="s">
        <v>2244</v>
      </c>
      <c r="BQ65" s="363" t="s">
        <v>2245</v>
      </c>
      <c r="BR65" s="363" t="s">
        <v>2508</v>
      </c>
      <c r="BS65" s="363" t="s">
        <v>2509</v>
      </c>
      <c r="BT65" s="364">
        <v>2018</v>
      </c>
      <c r="BU65" s="363" t="s">
        <v>2510</v>
      </c>
      <c r="BV65" s="363" t="s">
        <v>2511</v>
      </c>
      <c r="BW65" s="363" t="s">
        <v>3125</v>
      </c>
      <c r="BX65" s="363" t="s">
        <v>1405</v>
      </c>
      <c r="BY65" s="364">
        <v>2019</v>
      </c>
      <c r="BZ65" s="363" t="s">
        <v>1406</v>
      </c>
      <c r="CA65" s="363" t="s">
        <v>1407</v>
      </c>
      <c r="CB65" s="363" t="s">
        <v>1408</v>
      </c>
      <c r="CC65" s="363" t="s">
        <v>1409</v>
      </c>
      <c r="CD65" s="364">
        <v>2020</v>
      </c>
    </row>
    <row r="66" spans="1:82">
      <c r="X66" s="429"/>
      <c r="Y66" s="429"/>
      <c r="Z66" s="429"/>
    </row>
    <row r="67" spans="1:82">
      <c r="A67" s="289" t="s">
        <v>2305</v>
      </c>
      <c r="C67" s="93"/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423"/>
      <c r="X67" s="430">
        <f>W79</f>
        <v>13033</v>
      </c>
      <c r="Y67" s="430">
        <f>X79</f>
        <v>12929</v>
      </c>
      <c r="Z67" s="430">
        <f>Y79</f>
        <v>13673</v>
      </c>
      <c r="AA67" s="289">
        <f>'Balance sheet'!W15</f>
        <v>13033</v>
      </c>
      <c r="AB67" s="430">
        <f>AA79</f>
        <v>12963</v>
      </c>
      <c r="AC67" s="430">
        <f>AB79</f>
        <v>13396</v>
      </c>
      <c r="AD67" s="430">
        <f>AC79</f>
        <v>13474</v>
      </c>
      <c r="AE67" s="430">
        <f>AD79</f>
        <v>13442</v>
      </c>
      <c r="AF67" s="289">
        <f>'Balance sheet'!AA15</f>
        <v>12963</v>
      </c>
      <c r="AG67" s="430">
        <f>AF79</f>
        <v>13335</v>
      </c>
      <c r="AH67" s="430">
        <f>AG79</f>
        <v>14727</v>
      </c>
      <c r="AI67" s="430">
        <f>AH79</f>
        <v>14093</v>
      </c>
      <c r="AJ67" s="430">
        <f>AI79</f>
        <v>13896</v>
      </c>
      <c r="AK67" s="289">
        <f>'Balance sheet'!AF15</f>
        <v>13335</v>
      </c>
      <c r="AL67" s="430">
        <f>AK79</f>
        <v>13291</v>
      </c>
      <c r="AM67" s="430">
        <f>AL79</f>
        <v>13824</v>
      </c>
      <c r="AN67" s="430">
        <f>AM79</f>
        <v>13877</v>
      </c>
      <c r="AO67" s="430">
        <f>AN79</f>
        <v>15273</v>
      </c>
      <c r="AP67" s="289">
        <f>'Balance sheet'!AK15</f>
        <v>13291</v>
      </c>
      <c r="AQ67" s="430">
        <f>AP79</f>
        <v>2998</v>
      </c>
      <c r="AR67" s="430">
        <f>AQ79</f>
        <v>16077</v>
      </c>
      <c r="AS67" s="430">
        <f>AR79</f>
        <v>14924</v>
      </c>
      <c r="AT67" s="430">
        <f>AS79</f>
        <v>15211</v>
      </c>
      <c r="AU67" s="289">
        <f>'Balance sheet'!AP15</f>
        <v>2998</v>
      </c>
      <c r="AV67" s="430">
        <f>AU79</f>
        <v>16636</v>
      </c>
      <c r="AW67" s="430">
        <f>AV79</f>
        <v>16245</v>
      </c>
      <c r="AX67" s="430">
        <f>AW79</f>
        <v>17370</v>
      </c>
      <c r="AY67" s="430">
        <f>AX79</f>
        <v>15460</v>
      </c>
      <c r="AZ67" s="289">
        <f>'Balance sheet'!AU15</f>
        <v>16636</v>
      </c>
      <c r="BA67" s="430">
        <f>AZ79</f>
        <v>10403</v>
      </c>
      <c r="BB67" s="430">
        <f>BA79</f>
        <v>10312</v>
      </c>
      <c r="BC67" s="430">
        <f>BB79</f>
        <v>11340</v>
      </c>
      <c r="BD67" s="430">
        <f>BC79</f>
        <v>9804</v>
      </c>
      <c r="BE67" s="289">
        <f>'Balance sheet'!AZ15</f>
        <v>10403</v>
      </c>
      <c r="BF67" s="430">
        <f>BE79</f>
        <v>9422</v>
      </c>
      <c r="BG67" s="430">
        <f>BF79</f>
        <v>10450</v>
      </c>
      <c r="BH67" s="430">
        <f>BG79</f>
        <v>11221</v>
      </c>
      <c r="BI67" s="430">
        <f>BH79</f>
        <v>13326</v>
      </c>
      <c r="BJ67" s="289">
        <f>'Balance sheet'!BE15</f>
        <v>9422</v>
      </c>
      <c r="BK67" s="430">
        <f>BJ79</f>
        <v>14092</v>
      </c>
      <c r="BL67" s="430">
        <f>BK79</f>
        <v>15484</v>
      </c>
      <c r="BM67" s="430">
        <f>BL79</f>
        <v>15408</v>
      </c>
      <c r="BN67" s="430">
        <f>BM79</f>
        <v>15921</v>
      </c>
      <c r="BO67" s="289">
        <f>'Balance sheet'!BJ15</f>
        <v>14092</v>
      </c>
      <c r="BP67" s="430">
        <f>BO79</f>
        <v>16991</v>
      </c>
      <c r="BQ67" s="430">
        <f ca="1">BP79</f>
        <v>17157.098178349959</v>
      </c>
      <c r="BR67" s="430">
        <f ca="1">BQ79</f>
        <v>17607.942388683099</v>
      </c>
      <c r="BS67" s="430">
        <f ca="1">BR79</f>
        <v>17839.231311526401</v>
      </c>
      <c r="BT67" s="289">
        <f>'Balance sheet'!BO15</f>
        <v>16991</v>
      </c>
      <c r="BU67" s="430">
        <f ca="1">BT79</f>
        <v>18281.7127533823</v>
      </c>
      <c r="BV67" s="430">
        <f ca="1">BU79</f>
        <v>18742.716845039766</v>
      </c>
      <c r="BW67" s="430">
        <f ca="1">BV79</f>
        <v>19211.167990134498</v>
      </c>
      <c r="BX67" s="430">
        <f ca="1">BW79</f>
        <v>19295.689310858488</v>
      </c>
      <c r="BY67" s="289">
        <f ca="1">'Balance sheet'!BT15</f>
        <v>18281.7127533823</v>
      </c>
      <c r="BZ67" s="430">
        <f ca="1">BY79</f>
        <v>19755.712654951349</v>
      </c>
      <c r="CA67" s="430">
        <f ca="1">BZ79</f>
        <v>20596.3957943243</v>
      </c>
      <c r="CB67" s="430">
        <f ca="1">CA79</f>
        <v>21430.751283977381</v>
      </c>
      <c r="CC67" s="430">
        <f ca="1">CB79</f>
        <v>21792.419254640488</v>
      </c>
      <c r="CD67" s="289">
        <f ca="1">'Balance sheet'!BY15</f>
        <v>19755.712654951349</v>
      </c>
    </row>
    <row r="68" spans="1:82">
      <c r="A68" t="s">
        <v>2307</v>
      </c>
      <c r="C68" s="93"/>
      <c r="D68" s="93"/>
      <c r="E68" s="93"/>
      <c r="F68" s="93"/>
      <c r="G68" s="93"/>
      <c r="H68" s="93"/>
      <c r="I68" s="93"/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423"/>
      <c r="X68" s="429">
        <f t="shared" ref="X68:AM68" si="2">X67-X70</f>
        <v>4007</v>
      </c>
      <c r="Y68" s="429">
        <f t="shared" si="2"/>
        <v>3825</v>
      </c>
      <c r="Z68" s="429">
        <f t="shared" si="2"/>
        <v>4088</v>
      </c>
      <c r="AA68" s="345">
        <f t="shared" si="2"/>
        <v>4007</v>
      </c>
      <c r="AB68" s="429">
        <f t="shared" si="2"/>
        <v>3822</v>
      </c>
      <c r="AC68" s="429">
        <f t="shared" si="2"/>
        <v>3968</v>
      </c>
      <c r="AD68" s="429">
        <f t="shared" si="2"/>
        <v>4061</v>
      </c>
      <c r="AE68" s="429">
        <f t="shared" si="2"/>
        <v>3528</v>
      </c>
      <c r="AF68" s="345">
        <f t="shared" si="2"/>
        <v>3822</v>
      </c>
      <c r="AG68" s="429">
        <f t="shared" si="2"/>
        <v>3340</v>
      </c>
      <c r="AH68" s="429">
        <f t="shared" si="2"/>
        <v>3534</v>
      </c>
      <c r="AI68" s="429">
        <f t="shared" si="2"/>
        <v>3557</v>
      </c>
      <c r="AJ68" s="429">
        <f t="shared" si="2"/>
        <v>3544</v>
      </c>
      <c r="AK68" s="345">
        <f t="shared" si="2"/>
        <v>3340</v>
      </c>
      <c r="AL68" s="429">
        <f t="shared" si="2"/>
        <v>3278</v>
      </c>
      <c r="AM68" s="429">
        <f t="shared" si="2"/>
        <v>3203</v>
      </c>
      <c r="AN68" s="459">
        <f>+AM78</f>
        <v>3162</v>
      </c>
      <c r="AO68" s="429">
        <f>+AN78</f>
        <v>3147</v>
      </c>
      <c r="AP68" s="345">
        <f>AP67-AP70</f>
        <v>3278</v>
      </c>
      <c r="AQ68" s="429">
        <f>+AP78</f>
        <v>2998</v>
      </c>
      <c r="AR68" s="429">
        <f>+AQ78</f>
        <v>3107</v>
      </c>
      <c r="AS68" s="429">
        <f>+AR78</f>
        <v>1736</v>
      </c>
      <c r="AT68" s="429">
        <f>+AS78</f>
        <v>1687</v>
      </c>
      <c r="AU68" s="345">
        <f>AU67-AU70</f>
        <v>2998</v>
      </c>
      <c r="AV68" s="429">
        <f>+AU78</f>
        <v>2955</v>
      </c>
      <c r="AW68" s="429">
        <f>+AV78</f>
        <v>2046</v>
      </c>
      <c r="AX68" s="429">
        <f>+AW78</f>
        <v>2147</v>
      </c>
      <c r="AY68" s="429">
        <f>+AX78</f>
        <v>823</v>
      </c>
      <c r="AZ68" s="345">
        <f>AZ67-AZ70</f>
        <v>2955</v>
      </c>
      <c r="BA68" s="429">
        <f>+AZ78</f>
        <v>3091</v>
      </c>
      <c r="BB68" s="429">
        <f>+BA78</f>
        <v>2817</v>
      </c>
      <c r="BC68" s="429">
        <f>+BB78</f>
        <v>3335</v>
      </c>
      <c r="BD68" s="429">
        <f>+BC78</f>
        <v>1688</v>
      </c>
      <c r="BE68" s="345">
        <f>BE67-BE70</f>
        <v>3091</v>
      </c>
      <c r="BF68" s="429">
        <f>+BE78</f>
        <v>1071</v>
      </c>
      <c r="BG68" s="429">
        <f>+BF78</f>
        <v>2033</v>
      </c>
      <c r="BH68" s="429">
        <f>+BG78</f>
        <v>2558</v>
      </c>
      <c r="BI68" s="429">
        <f>+BH78</f>
        <v>4875</v>
      </c>
      <c r="BJ68" s="345">
        <f>BJ67-BJ70</f>
        <v>1071</v>
      </c>
      <c r="BK68" s="429">
        <f>+BJ78</f>
        <v>5849</v>
      </c>
      <c r="BL68" s="429">
        <f>+BK78</f>
        <v>7142</v>
      </c>
      <c r="BM68" s="429">
        <f>+BL78</f>
        <v>6787</v>
      </c>
      <c r="BN68" s="429">
        <f>+BM78</f>
        <v>7353</v>
      </c>
      <c r="BO68" s="345">
        <f>BO67-BO70</f>
        <v>5849</v>
      </c>
      <c r="BP68" s="429">
        <f>+BO78</f>
        <v>6932</v>
      </c>
      <c r="BQ68" s="429">
        <f>+BP78</f>
        <v>6932</v>
      </c>
      <c r="BR68" s="429">
        <f>+BQ78</f>
        <v>6932</v>
      </c>
      <c r="BS68" s="429">
        <f>+BR78</f>
        <v>6932</v>
      </c>
      <c r="BT68" s="345">
        <f>BT67-BT70</f>
        <v>6932</v>
      </c>
      <c r="BU68" s="429">
        <f>+BT78</f>
        <v>6932</v>
      </c>
      <c r="BV68" s="429">
        <f>+BU78</f>
        <v>6932</v>
      </c>
      <c r="BW68" s="429">
        <f>+BV78</f>
        <v>6932</v>
      </c>
      <c r="BX68" s="429">
        <f>+BW78</f>
        <v>6932</v>
      </c>
      <c r="BY68" s="345">
        <f ca="1">BY67-BY70</f>
        <v>6931.9999999999982</v>
      </c>
      <c r="BZ68" s="429">
        <f>+BY78</f>
        <v>6932</v>
      </c>
      <c r="CA68" s="429">
        <f>+BZ78</f>
        <v>6932</v>
      </c>
      <c r="CB68" s="429">
        <f>+CA78</f>
        <v>6932</v>
      </c>
      <c r="CC68" s="429">
        <f>+CB78</f>
        <v>6932</v>
      </c>
      <c r="CD68" s="345">
        <f ca="1">CD67-CD70</f>
        <v>6931.9999999999982</v>
      </c>
    </row>
    <row r="69" spans="1:82">
      <c r="C69" s="93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423"/>
      <c r="X69" s="429"/>
      <c r="Y69" s="429"/>
      <c r="Z69" s="429"/>
      <c r="AA69" s="345"/>
      <c r="AB69" s="429"/>
      <c r="AC69" s="429"/>
      <c r="AD69" s="429"/>
      <c r="AE69" s="429"/>
      <c r="AF69" s="345"/>
      <c r="AG69" s="429"/>
      <c r="AH69" s="429"/>
      <c r="AI69" s="429"/>
      <c r="AJ69" s="429"/>
      <c r="AK69" s="345"/>
      <c r="AL69" s="429"/>
      <c r="AM69" s="429"/>
      <c r="AN69" s="459"/>
      <c r="AO69" s="429"/>
      <c r="AP69" s="345"/>
      <c r="AQ69" s="429"/>
      <c r="AR69" s="429"/>
      <c r="AS69" s="429"/>
      <c r="AT69" s="429"/>
      <c r="AU69" s="345"/>
      <c r="AV69" s="429"/>
      <c r="AW69" s="429"/>
      <c r="AX69" s="429"/>
      <c r="AY69" s="429"/>
      <c r="AZ69" s="345"/>
      <c r="BA69" s="429"/>
      <c r="BB69" s="429"/>
      <c r="BC69" s="429"/>
      <c r="BD69" s="429"/>
      <c r="BE69" s="345"/>
      <c r="BF69" s="429"/>
      <c r="BG69" s="429"/>
      <c r="BH69" s="429"/>
      <c r="BI69" s="429"/>
      <c r="BJ69" s="345"/>
      <c r="BK69" s="429"/>
      <c r="BL69" s="429"/>
      <c r="BM69" s="429"/>
      <c r="BN69" s="429"/>
      <c r="BO69" s="345"/>
      <c r="BP69" s="429"/>
      <c r="BQ69" s="429"/>
      <c r="BR69" s="429"/>
      <c r="BS69" s="429"/>
      <c r="BT69" s="345"/>
      <c r="BU69" s="429"/>
      <c r="BV69" s="429"/>
      <c r="BW69" s="429"/>
      <c r="BX69" s="429"/>
      <c r="BY69" s="345"/>
      <c r="BZ69" s="429"/>
      <c r="CA69" s="429"/>
      <c r="CB69" s="429"/>
      <c r="CC69" s="429"/>
      <c r="CD69" s="345"/>
    </row>
    <row r="70" spans="1:82">
      <c r="A70" t="s">
        <v>2308</v>
      </c>
      <c r="C70" s="93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423"/>
      <c r="X70" s="429">
        <f>W76</f>
        <v>9026</v>
      </c>
      <c r="Y70" s="429">
        <f>X76</f>
        <v>9104</v>
      </c>
      <c r="Z70" s="429">
        <f>Y76</f>
        <v>9585</v>
      </c>
      <c r="AA70">
        <v>9026</v>
      </c>
      <c r="AB70" s="429">
        <f>AA76</f>
        <v>9141</v>
      </c>
      <c r="AC70" s="429">
        <f>AB76</f>
        <v>9428</v>
      </c>
      <c r="AD70" s="429">
        <f>AC76</f>
        <v>9413</v>
      </c>
      <c r="AE70" s="429">
        <f>AD76</f>
        <v>9914</v>
      </c>
      <c r="AF70">
        <f>AA76</f>
        <v>9141</v>
      </c>
      <c r="AG70" s="429">
        <f>AF76</f>
        <v>9995</v>
      </c>
      <c r="AH70" s="429">
        <f>AG76</f>
        <v>11193</v>
      </c>
      <c r="AI70" s="429">
        <f>AH76</f>
        <v>10536</v>
      </c>
      <c r="AJ70" s="429">
        <f>AI76</f>
        <v>10352</v>
      </c>
      <c r="AK70">
        <f>AF76</f>
        <v>9995</v>
      </c>
      <c r="AL70" s="429">
        <f>AK76</f>
        <v>10013</v>
      </c>
      <c r="AM70" s="429">
        <f>AL76</f>
        <v>10621</v>
      </c>
      <c r="AN70" s="459">
        <f>AM76</f>
        <v>10715</v>
      </c>
      <c r="AO70" s="429">
        <f>AN76</f>
        <v>12126</v>
      </c>
      <c r="AP70">
        <f>AK76</f>
        <v>10013</v>
      </c>
      <c r="AQ70" s="429">
        <f>AP76</f>
        <v>0</v>
      </c>
      <c r="AR70" s="429">
        <f>AQ76</f>
        <v>12970</v>
      </c>
      <c r="AS70" s="429">
        <f>AR76</f>
        <v>13188</v>
      </c>
      <c r="AT70" s="429">
        <f>AS76</f>
        <v>13524</v>
      </c>
      <c r="AU70">
        <f>AP76</f>
        <v>0</v>
      </c>
      <c r="AV70" s="429">
        <f>AU76</f>
        <v>13681</v>
      </c>
      <c r="AW70" s="429">
        <f>AV76</f>
        <v>14199</v>
      </c>
      <c r="AX70" s="429">
        <f>AW76</f>
        <v>15223</v>
      </c>
      <c r="AY70" s="429">
        <f>AX76</f>
        <v>14637</v>
      </c>
      <c r="AZ70">
        <f>AU76</f>
        <v>13681</v>
      </c>
      <c r="BA70" s="429">
        <f>AZ76</f>
        <v>7312</v>
      </c>
      <c r="BB70" s="429">
        <f>BA76</f>
        <v>7495</v>
      </c>
      <c r="BC70" s="429">
        <f>BB76</f>
        <v>8005</v>
      </c>
      <c r="BD70" s="429">
        <f>BC76</f>
        <v>8116</v>
      </c>
      <c r="BE70">
        <f>AZ76</f>
        <v>7312</v>
      </c>
      <c r="BF70" s="429">
        <f>BE76</f>
        <v>8351</v>
      </c>
      <c r="BG70" s="429">
        <f>BF76</f>
        <v>8417</v>
      </c>
      <c r="BH70" s="429">
        <f>BG76</f>
        <v>8663</v>
      </c>
      <c r="BI70" s="429">
        <f>BH76</f>
        <v>8451</v>
      </c>
      <c r="BJ70">
        <f>BE76</f>
        <v>8351</v>
      </c>
      <c r="BK70" s="429">
        <f>BJ76</f>
        <v>8243</v>
      </c>
      <c r="BL70" s="429">
        <f>BK76</f>
        <v>8342</v>
      </c>
      <c r="BM70" s="429">
        <f>BL76</f>
        <v>8621</v>
      </c>
      <c r="BN70" s="429">
        <f>BM76</f>
        <v>8568</v>
      </c>
      <c r="BO70">
        <f>BJ76</f>
        <v>8243</v>
      </c>
      <c r="BP70" s="429">
        <f>BO76</f>
        <v>10059</v>
      </c>
      <c r="BQ70" s="429">
        <f ca="1">BP76</f>
        <v>10225.098178349959</v>
      </c>
      <c r="BR70" s="429">
        <f ca="1">BQ76</f>
        <v>10675.942388683099</v>
      </c>
      <c r="BS70" s="429">
        <f ca="1">BR76</f>
        <v>10907.231311526401</v>
      </c>
      <c r="BT70">
        <f>BO76</f>
        <v>10059</v>
      </c>
      <c r="BU70" s="429">
        <f ca="1">BT76</f>
        <v>11349.712753382302</v>
      </c>
      <c r="BV70" s="429">
        <f ca="1">BU76</f>
        <v>11810.716845039764</v>
      </c>
      <c r="BW70" s="429">
        <f ca="1">BV76</f>
        <v>12279.167990134496</v>
      </c>
      <c r="BX70" s="429">
        <f ca="1">BW76</f>
        <v>12363.689310858488</v>
      </c>
      <c r="BY70">
        <f ca="1">BT76</f>
        <v>11349.712753382302</v>
      </c>
      <c r="BZ70" s="429">
        <f ca="1">BY76</f>
        <v>12823.71265495135</v>
      </c>
      <c r="CA70" s="429">
        <f ca="1">BZ76</f>
        <v>13664.395794324302</v>
      </c>
      <c r="CB70" s="429">
        <f ca="1">CA76</f>
        <v>14498.751283977381</v>
      </c>
      <c r="CC70" s="429">
        <f ca="1">CB76</f>
        <v>14860.419254640487</v>
      </c>
      <c r="CD70">
        <f ca="1">BY76</f>
        <v>12823.71265495135</v>
      </c>
    </row>
    <row r="71" spans="1:82">
      <c r="C71" s="93"/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423"/>
      <c r="X71" s="429"/>
      <c r="Y71" s="429"/>
      <c r="Z71" s="429"/>
      <c r="AB71" s="429"/>
      <c r="AC71" s="429"/>
      <c r="AD71" s="429"/>
      <c r="AE71" s="429"/>
      <c r="AG71" s="429"/>
      <c r="AH71" s="429"/>
      <c r="AI71" s="429"/>
      <c r="AJ71" s="429"/>
      <c r="AL71" s="429"/>
      <c r="AM71" s="429"/>
      <c r="AN71" s="459"/>
      <c r="AO71" s="429"/>
      <c r="AQ71" s="429"/>
      <c r="AR71" s="429"/>
      <c r="AS71" s="429"/>
      <c r="AT71" s="429"/>
      <c r="AV71" s="429"/>
      <c r="AW71" s="429"/>
      <c r="AX71" s="429"/>
      <c r="AY71" s="429"/>
      <c r="BA71" s="429"/>
      <c r="BB71" s="429"/>
      <c r="BC71" s="429"/>
      <c r="BD71" s="429"/>
      <c r="BF71" s="429"/>
      <c r="BG71" s="429"/>
      <c r="BH71" s="429"/>
      <c r="BI71" s="429"/>
      <c r="BK71" s="429"/>
      <c r="BL71" s="429"/>
      <c r="BM71" s="429"/>
      <c r="BN71" s="429"/>
      <c r="BP71" s="429"/>
      <c r="BQ71" s="429"/>
      <c r="BR71" s="429"/>
      <c r="BS71" s="429"/>
      <c r="BU71" s="429"/>
      <c r="BV71" s="429"/>
      <c r="BW71" s="429"/>
      <c r="BX71" s="429"/>
      <c r="BZ71" s="429"/>
      <c r="CA71" s="429"/>
      <c r="CB71" s="429"/>
      <c r="CC71" s="429"/>
    </row>
    <row r="72" spans="1:82">
      <c r="A72" s="428" t="s">
        <v>2133</v>
      </c>
      <c r="X72" s="429">
        <f t="shared" ref="X72:AX72" si="3">+X86</f>
        <v>546</v>
      </c>
      <c r="Y72" s="429">
        <f t="shared" si="3"/>
        <v>732</v>
      </c>
      <c r="Z72" s="429">
        <f t="shared" si="3"/>
        <v>536</v>
      </c>
      <c r="AA72">
        <f t="shared" si="3"/>
        <v>1948</v>
      </c>
      <c r="AB72" s="429">
        <f t="shared" si="3"/>
        <v>543</v>
      </c>
      <c r="AC72" s="429">
        <f t="shared" si="3"/>
        <v>490</v>
      </c>
      <c r="AD72" s="429">
        <f t="shared" si="3"/>
        <v>730</v>
      </c>
      <c r="AE72" s="429">
        <f t="shared" si="3"/>
        <v>854</v>
      </c>
      <c r="AF72">
        <f t="shared" si="3"/>
        <v>2617</v>
      </c>
      <c r="AG72" s="429">
        <f t="shared" si="3"/>
        <v>1127</v>
      </c>
      <c r="AH72" s="429">
        <f t="shared" si="3"/>
        <v>1081</v>
      </c>
      <c r="AI72" s="429">
        <f t="shared" si="3"/>
        <v>939</v>
      </c>
      <c r="AJ72" s="429">
        <f t="shared" si="3"/>
        <v>987</v>
      </c>
      <c r="AK72">
        <f t="shared" si="3"/>
        <v>4134</v>
      </c>
      <c r="AL72" s="429">
        <f t="shared" si="3"/>
        <v>1064</v>
      </c>
      <c r="AM72" s="429">
        <f t="shared" si="3"/>
        <v>452</v>
      </c>
      <c r="AN72" s="459">
        <f>+AN86</f>
        <v>1282</v>
      </c>
      <c r="AO72" s="429">
        <f t="shared" si="3"/>
        <v>575</v>
      </c>
      <c r="AP72">
        <f t="shared" si="3"/>
        <v>3373</v>
      </c>
      <c r="AQ72" s="429">
        <f t="shared" si="3"/>
        <v>85</v>
      </c>
      <c r="AR72" s="429">
        <f t="shared" si="3"/>
        <v>218</v>
      </c>
      <c r="AS72" s="429">
        <f t="shared" si="3"/>
        <v>792</v>
      </c>
      <c r="AT72" s="429">
        <f t="shared" si="3"/>
        <v>1058</v>
      </c>
      <c r="AU72">
        <f t="shared" si="3"/>
        <v>2153</v>
      </c>
      <c r="AV72" s="429">
        <f t="shared" si="3"/>
        <v>518</v>
      </c>
      <c r="AW72" s="429">
        <f t="shared" si="3"/>
        <v>1024</v>
      </c>
      <c r="AX72" s="429">
        <f t="shared" si="3"/>
        <v>107</v>
      </c>
      <c r="AY72" s="429">
        <f>+AY86</f>
        <v>451</v>
      </c>
      <c r="AZ72">
        <f>+AZ86</f>
        <v>2100</v>
      </c>
      <c r="BA72" s="429">
        <f t="shared" ref="BA72:CD72" si="4">+BA86</f>
        <v>183</v>
      </c>
      <c r="BB72" s="429">
        <f t="shared" si="4"/>
        <v>510</v>
      </c>
      <c r="BC72" s="429">
        <f>+BC86</f>
        <v>382</v>
      </c>
      <c r="BD72" s="429">
        <f t="shared" si="4"/>
        <v>235</v>
      </c>
      <c r="BE72">
        <f t="shared" si="4"/>
        <v>1310</v>
      </c>
      <c r="BF72" s="429">
        <f>+BF86</f>
        <v>66</v>
      </c>
      <c r="BG72" s="429">
        <f t="shared" si="4"/>
        <v>246</v>
      </c>
      <c r="BH72" s="429">
        <f t="shared" si="4"/>
        <v>120</v>
      </c>
      <c r="BI72" s="429">
        <f t="shared" ref="BI72" si="5">+BI86</f>
        <v>158</v>
      </c>
      <c r="BJ72">
        <f t="shared" si="4"/>
        <v>590</v>
      </c>
      <c r="BK72" s="429">
        <f t="shared" si="4"/>
        <v>99</v>
      </c>
      <c r="BL72" s="429">
        <f t="shared" si="4"/>
        <v>279</v>
      </c>
      <c r="BM72" s="429">
        <f t="shared" si="4"/>
        <v>137</v>
      </c>
      <c r="BN72" s="429">
        <f t="shared" ref="BN72" si="6">+BN86</f>
        <v>321</v>
      </c>
      <c r="BO72">
        <f t="shared" si="4"/>
        <v>836</v>
      </c>
      <c r="BP72" s="429">
        <f t="shared" ca="1" si="4"/>
        <v>166.09817834995982</v>
      </c>
      <c r="BQ72" s="429">
        <f t="shared" ca="1" si="4"/>
        <v>450.84421033314067</v>
      </c>
      <c r="BR72" s="429">
        <f ca="1">+BR86</f>
        <v>440.28892284330129</v>
      </c>
      <c r="BS72" s="429">
        <f t="shared" ca="1" si="4"/>
        <v>442.48144185590229</v>
      </c>
      <c r="BT72">
        <f t="shared" ca="1" si="4"/>
        <v>1499.7127533823041</v>
      </c>
      <c r="BU72" s="429">
        <f t="shared" ca="1" si="4"/>
        <v>461.00409165746134</v>
      </c>
      <c r="BV72" s="429">
        <f t="shared" ca="1" si="4"/>
        <v>468.45114509473188</v>
      </c>
      <c r="BW72" s="429">
        <f t="shared" ca="1" si="4"/>
        <v>459.44950906956944</v>
      </c>
      <c r="BX72" s="429">
        <f t="shared" ca="1" si="4"/>
        <v>460.02334409286203</v>
      </c>
      <c r="BY72">
        <f t="shared" ca="1" si="4"/>
        <v>1848.9280899146249</v>
      </c>
      <c r="BZ72" s="429">
        <f t="shared" ca="1" si="4"/>
        <v>840.68313937295204</v>
      </c>
      <c r="CA72" s="429">
        <f t="shared" ca="1" si="4"/>
        <v>834.35548965307885</v>
      </c>
      <c r="CB72" s="429">
        <f t="shared" ca="1" si="4"/>
        <v>823.89999314176282</v>
      </c>
      <c r="CC72" s="429">
        <f t="shared" ca="1" si="4"/>
        <v>822.98507996752778</v>
      </c>
      <c r="CD72">
        <f t="shared" ca="1" si="4"/>
        <v>3321.9237021353215</v>
      </c>
    </row>
    <row r="73" spans="1:82">
      <c r="A73" s="428" t="s">
        <v>2134</v>
      </c>
      <c r="X73" s="429">
        <f t="shared" ref="X73:AX73" si="7">-X85</f>
        <v>-468</v>
      </c>
      <c r="Y73" s="429">
        <f t="shared" si="7"/>
        <v>-252</v>
      </c>
      <c r="Z73" s="429">
        <f t="shared" si="7"/>
        <v>-936</v>
      </c>
      <c r="AA73">
        <f t="shared" si="7"/>
        <v>-1656</v>
      </c>
      <c r="AB73" s="429">
        <f t="shared" si="7"/>
        <v>-256</v>
      </c>
      <c r="AC73" s="429">
        <f t="shared" si="7"/>
        <v>-505</v>
      </c>
      <c r="AD73" s="429">
        <f t="shared" si="7"/>
        <v>-229</v>
      </c>
      <c r="AE73" s="429">
        <f t="shared" si="7"/>
        <v>-790</v>
      </c>
      <c r="AF73">
        <f t="shared" si="7"/>
        <v>-1780</v>
      </c>
      <c r="AG73" s="429">
        <f t="shared" si="7"/>
        <v>0</v>
      </c>
      <c r="AH73" s="429">
        <f t="shared" si="7"/>
        <v>-1634</v>
      </c>
      <c r="AI73" s="429">
        <f t="shared" si="7"/>
        <v>-425</v>
      </c>
      <c r="AJ73" s="429">
        <f t="shared" si="7"/>
        <v>-1688</v>
      </c>
      <c r="AK73">
        <f t="shared" si="7"/>
        <v>-3747</v>
      </c>
      <c r="AL73" s="429">
        <f t="shared" si="7"/>
        <v>-690</v>
      </c>
      <c r="AM73" s="429">
        <f t="shared" si="7"/>
        <v>0</v>
      </c>
      <c r="AN73" s="459">
        <f>-AN85</f>
        <v>0</v>
      </c>
      <c r="AO73" s="429">
        <f t="shared" si="7"/>
        <v>-709</v>
      </c>
      <c r="AP73">
        <f t="shared" si="7"/>
        <v>-1399</v>
      </c>
      <c r="AQ73" s="429">
        <f t="shared" si="7"/>
        <v>0</v>
      </c>
      <c r="AR73" s="429">
        <f t="shared" si="7"/>
        <v>0</v>
      </c>
      <c r="AS73" s="429">
        <f t="shared" si="7"/>
        <v>-456</v>
      </c>
      <c r="AT73" s="429">
        <f t="shared" si="7"/>
        <v>0</v>
      </c>
      <c r="AU73">
        <f t="shared" si="7"/>
        <v>-456</v>
      </c>
      <c r="AV73" s="429">
        <f t="shared" si="7"/>
        <v>0</v>
      </c>
      <c r="AW73" s="429">
        <f t="shared" si="7"/>
        <v>0</v>
      </c>
      <c r="AX73" s="429">
        <f t="shared" si="7"/>
        <v>-693</v>
      </c>
      <c r="AY73" s="429">
        <f>-AY85</f>
        <v>0</v>
      </c>
      <c r="AZ73">
        <f>-AZ85</f>
        <v>-693</v>
      </c>
      <c r="BA73" s="429">
        <f t="shared" ref="BA73:CD73" si="8">-BA85</f>
        <v>0</v>
      </c>
      <c r="BB73" s="429">
        <f t="shared" si="8"/>
        <v>0</v>
      </c>
      <c r="BC73" s="429">
        <f t="shared" si="8"/>
        <v>-271</v>
      </c>
      <c r="BD73" s="429">
        <f t="shared" si="8"/>
        <v>0</v>
      </c>
      <c r="BE73">
        <f t="shared" si="8"/>
        <v>-271</v>
      </c>
      <c r="BF73" s="429">
        <f>-BF85</f>
        <v>0</v>
      </c>
      <c r="BG73" s="429">
        <f t="shared" si="8"/>
        <v>0</v>
      </c>
      <c r="BH73" s="429">
        <f t="shared" si="8"/>
        <v>-332</v>
      </c>
      <c r="BI73" s="429">
        <f t="shared" ref="BI73" si="9">-BI85</f>
        <v>0</v>
      </c>
      <c r="BJ73">
        <f t="shared" si="8"/>
        <v>-332</v>
      </c>
      <c r="BK73" s="429">
        <f t="shared" si="8"/>
        <v>0</v>
      </c>
      <c r="BL73" s="429">
        <f t="shared" si="8"/>
        <v>0</v>
      </c>
      <c r="BM73" s="429">
        <f t="shared" si="8"/>
        <v>-190</v>
      </c>
      <c r="BN73" s="429">
        <f t="shared" ref="BN73" si="10">-BN85</f>
        <v>-124</v>
      </c>
      <c r="BO73">
        <f t="shared" si="8"/>
        <v>-314</v>
      </c>
      <c r="BP73" s="429">
        <f t="shared" si="8"/>
        <v>0</v>
      </c>
      <c r="BQ73" s="429">
        <f t="shared" si="8"/>
        <v>0</v>
      </c>
      <c r="BR73" s="429">
        <f t="shared" si="8"/>
        <v>-209</v>
      </c>
      <c r="BS73" s="429">
        <f t="shared" si="8"/>
        <v>0</v>
      </c>
      <c r="BT73">
        <f t="shared" si="8"/>
        <v>-209</v>
      </c>
      <c r="BU73" s="429">
        <f t="shared" si="8"/>
        <v>0</v>
      </c>
      <c r="BV73" s="429">
        <f t="shared" si="8"/>
        <v>0</v>
      </c>
      <c r="BW73" s="429">
        <f t="shared" ca="1" si="8"/>
        <v>-374.92818834557602</v>
      </c>
      <c r="BX73" s="429">
        <f t="shared" si="8"/>
        <v>0</v>
      </c>
      <c r="BY73">
        <f t="shared" ca="1" si="8"/>
        <v>-374.92818834557602</v>
      </c>
      <c r="BZ73" s="429">
        <f t="shared" si="8"/>
        <v>0</v>
      </c>
      <c r="CA73" s="429">
        <f t="shared" si="8"/>
        <v>0</v>
      </c>
      <c r="CB73" s="429">
        <f t="shared" ca="1" si="8"/>
        <v>-462.23202247865623</v>
      </c>
      <c r="CC73" s="429">
        <f t="shared" si="8"/>
        <v>0</v>
      </c>
      <c r="CD73">
        <f t="shared" ca="1" si="8"/>
        <v>-462.23202247865623</v>
      </c>
    </row>
    <row r="74" spans="1:82">
      <c r="A74" s="428" t="s">
        <v>2135</v>
      </c>
      <c r="X74" s="429">
        <f t="shared" ref="X74:AQ74" si="11">+X76-SUM(X70:X73)</f>
        <v>0</v>
      </c>
      <c r="Y74" s="429">
        <f t="shared" si="11"/>
        <v>1</v>
      </c>
      <c r="Z74" s="429">
        <f t="shared" si="11"/>
        <v>-44</v>
      </c>
      <c r="AA74">
        <f t="shared" si="11"/>
        <v>-177</v>
      </c>
      <c r="AB74" s="429">
        <f t="shared" si="11"/>
        <v>0</v>
      </c>
      <c r="AC74" s="429">
        <f t="shared" si="11"/>
        <v>0</v>
      </c>
      <c r="AD74" s="429">
        <f t="shared" si="11"/>
        <v>0</v>
      </c>
      <c r="AE74" s="429">
        <f t="shared" si="11"/>
        <v>17</v>
      </c>
      <c r="AF74">
        <f t="shared" si="11"/>
        <v>17</v>
      </c>
      <c r="AG74" s="429">
        <f t="shared" si="11"/>
        <v>71</v>
      </c>
      <c r="AH74" s="429">
        <f t="shared" si="11"/>
        <v>-104</v>
      </c>
      <c r="AI74" s="429">
        <f t="shared" si="11"/>
        <v>-698</v>
      </c>
      <c r="AJ74" s="429">
        <f t="shared" si="11"/>
        <v>362</v>
      </c>
      <c r="AK74">
        <f t="shared" si="11"/>
        <v>-369</v>
      </c>
      <c r="AL74" s="429">
        <f t="shared" si="11"/>
        <v>234</v>
      </c>
      <c r="AM74" s="429">
        <f t="shared" si="11"/>
        <v>-358</v>
      </c>
      <c r="AN74" s="459">
        <f t="shared" si="11"/>
        <v>129</v>
      </c>
      <c r="AO74" s="459">
        <f t="shared" si="11"/>
        <v>-11992</v>
      </c>
      <c r="AP74">
        <f>+AP76-SUM(AP70:AP73)</f>
        <v>-11987</v>
      </c>
      <c r="AQ74" s="459">
        <f t="shared" si="11"/>
        <v>12885</v>
      </c>
      <c r="AR74" s="427">
        <v>0</v>
      </c>
      <c r="AS74" s="427">
        <v>0</v>
      </c>
      <c r="AT74" s="459">
        <f>+AT76-SUM(AT70:AT73)</f>
        <v>-901</v>
      </c>
      <c r="AU74">
        <f>+AU76-SUM(AU70:AU73)</f>
        <v>11984</v>
      </c>
      <c r="AV74" s="427">
        <v>0</v>
      </c>
      <c r="AW74" s="427">
        <v>0</v>
      </c>
      <c r="AX74" s="427">
        <v>0</v>
      </c>
      <c r="AY74" s="459">
        <f>+AY76-SUM(AY70:AY73)</f>
        <v>-7776</v>
      </c>
      <c r="AZ74">
        <f>+AZ76-SUM(AZ70:AZ73)</f>
        <v>-7776</v>
      </c>
      <c r="BA74" s="427">
        <v>0</v>
      </c>
      <c r="BB74" s="427">
        <v>0</v>
      </c>
      <c r="BC74" s="427">
        <v>0</v>
      </c>
      <c r="BD74" s="427">
        <v>0</v>
      </c>
      <c r="BE74">
        <f>+BE76-SUM(BE70:BE73)</f>
        <v>0</v>
      </c>
      <c r="BF74" s="427">
        <v>0</v>
      </c>
      <c r="BG74" s="427">
        <v>0</v>
      </c>
      <c r="BH74" s="427">
        <v>0</v>
      </c>
      <c r="BI74" s="427">
        <f>BI76-SUM(BI70:BI73)</f>
        <v>-366</v>
      </c>
      <c r="BJ74">
        <f>+BJ76-SUM(BJ70:BJ73)</f>
        <v>-366</v>
      </c>
      <c r="BK74" s="427">
        <v>0</v>
      </c>
      <c r="BL74" s="427">
        <v>0</v>
      </c>
      <c r="BM74" s="427">
        <v>0</v>
      </c>
      <c r="BN74" s="427">
        <f>BN76-SUM(BN70:BN73)</f>
        <v>1294</v>
      </c>
      <c r="BO74">
        <f>+BO76-SUM(BO70:BO73)</f>
        <v>1294</v>
      </c>
      <c r="BP74" s="427">
        <v>0</v>
      </c>
      <c r="BQ74" s="427">
        <v>0</v>
      </c>
      <c r="BR74" s="427">
        <v>0</v>
      </c>
      <c r="BS74" s="427">
        <v>0</v>
      </c>
      <c r="BT74">
        <f ca="1">+BT76-SUM(BT70:BT73)</f>
        <v>0</v>
      </c>
      <c r="BU74" s="427">
        <v>0</v>
      </c>
      <c r="BV74" s="427">
        <v>0</v>
      </c>
      <c r="BW74" s="427">
        <v>0</v>
      </c>
      <c r="BX74" s="427">
        <v>0</v>
      </c>
      <c r="BY74">
        <f ca="1">+BY76-SUM(BY70:BY73)</f>
        <v>0</v>
      </c>
      <c r="BZ74" s="427">
        <v>0</v>
      </c>
      <c r="CA74" s="427">
        <v>0</v>
      </c>
      <c r="CB74" s="427">
        <v>0</v>
      </c>
      <c r="CC74" s="427">
        <v>0</v>
      </c>
      <c r="CD74">
        <f ca="1">+CD76-SUM(CD70:CD73)</f>
        <v>0</v>
      </c>
    </row>
    <row r="75" spans="1:82">
      <c r="A75" s="428"/>
      <c r="AN75" s="406"/>
    </row>
    <row r="76" spans="1:82">
      <c r="A76" t="s">
        <v>2309</v>
      </c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423">
        <v>9026</v>
      </c>
      <c r="X76" s="423">
        <v>9104</v>
      </c>
      <c r="Y76" s="423">
        <v>9585</v>
      </c>
      <c r="Z76" s="423">
        <v>9141</v>
      </c>
      <c r="AA76">
        <v>9141</v>
      </c>
      <c r="AB76" s="423">
        <v>9428</v>
      </c>
      <c r="AC76" s="423">
        <v>9413</v>
      </c>
      <c r="AD76" s="423">
        <v>9914</v>
      </c>
      <c r="AE76" s="423">
        <v>9995</v>
      </c>
      <c r="AF76">
        <v>9995</v>
      </c>
      <c r="AG76" s="423">
        <v>11193</v>
      </c>
      <c r="AH76" s="423">
        <v>10536</v>
      </c>
      <c r="AI76" s="423">
        <v>10352</v>
      </c>
      <c r="AJ76" s="423">
        <v>10013</v>
      </c>
      <c r="AK76" s="348">
        <v>10013</v>
      </c>
      <c r="AL76" s="423">
        <v>10621</v>
      </c>
      <c r="AM76" s="423">
        <v>10715</v>
      </c>
      <c r="AN76" s="460">
        <v>12126</v>
      </c>
      <c r="AO76" s="423">
        <v>0</v>
      </c>
      <c r="AP76">
        <f>AO76</f>
        <v>0</v>
      </c>
      <c r="AQ76" s="423">
        <v>12970</v>
      </c>
      <c r="AR76" s="423">
        <f>+SUM(AR70:AR74)</f>
        <v>13188</v>
      </c>
      <c r="AS76" s="423">
        <f>+SUM(AS70:AS74)</f>
        <v>13524</v>
      </c>
      <c r="AT76" s="423">
        <v>13681</v>
      </c>
      <c r="AU76">
        <f>AT76</f>
        <v>13681</v>
      </c>
      <c r="AV76" s="423">
        <f>+SUM(AV70:AV74)</f>
        <v>14199</v>
      </c>
      <c r="AW76" s="423">
        <f>+SUM(AW70:AW74)</f>
        <v>15223</v>
      </c>
      <c r="AX76" s="423">
        <f>+SUM(AX70:AX74)</f>
        <v>14637</v>
      </c>
      <c r="AY76" s="423">
        <v>7312</v>
      </c>
      <c r="AZ76">
        <f>AY76</f>
        <v>7312</v>
      </c>
      <c r="BA76" s="423">
        <f>+SUM(BA70:BA74)</f>
        <v>7495</v>
      </c>
      <c r="BB76" s="423">
        <f>+SUM(BB70:BB74)</f>
        <v>8005</v>
      </c>
      <c r="BC76" s="423">
        <f>+SUM(BC70:BC74)</f>
        <v>8116</v>
      </c>
      <c r="BD76" s="423">
        <f>+SUM(BD70:BD74)</f>
        <v>8351</v>
      </c>
      <c r="BE76">
        <f>BD76</f>
        <v>8351</v>
      </c>
      <c r="BF76" s="423">
        <f>+SUM(BF70:BF74)</f>
        <v>8417</v>
      </c>
      <c r="BG76" s="423">
        <f>+SUM(BG70:BG74)</f>
        <v>8663</v>
      </c>
      <c r="BH76" s="423">
        <f>+SUM(BH70:BH74)</f>
        <v>8451</v>
      </c>
      <c r="BI76" s="423">
        <v>8243</v>
      </c>
      <c r="BJ76">
        <f>BI76</f>
        <v>8243</v>
      </c>
      <c r="BK76" s="423">
        <f>+SUM(BK70:BK74)</f>
        <v>8342</v>
      </c>
      <c r="BL76" s="423">
        <f>+SUM(BL70:BL74)</f>
        <v>8621</v>
      </c>
      <c r="BM76" s="423">
        <f>+SUM(BM70:BM74)</f>
        <v>8568</v>
      </c>
      <c r="BN76" s="423">
        <v>10059</v>
      </c>
      <c r="BO76">
        <f>BN76</f>
        <v>10059</v>
      </c>
      <c r="BP76" s="423">
        <f ca="1">+SUM(BP70:BP74)</f>
        <v>10225.098178349959</v>
      </c>
      <c r="BQ76" s="423">
        <f ca="1">+SUM(BQ70:BQ74)</f>
        <v>10675.942388683099</v>
      </c>
      <c r="BR76" s="423">
        <f ca="1">+SUM(BR70:BR74)</f>
        <v>10907.231311526401</v>
      </c>
      <c r="BS76" s="423">
        <f ca="1">+SUM(BS70:BS74)</f>
        <v>11349.712753382302</v>
      </c>
      <c r="BT76">
        <f ca="1">BS76</f>
        <v>11349.712753382302</v>
      </c>
      <c r="BU76" s="423">
        <f ca="1">+SUM(BU70:BU74)</f>
        <v>11810.716845039764</v>
      </c>
      <c r="BV76" s="423">
        <f ca="1">+SUM(BV70:BV74)</f>
        <v>12279.167990134496</v>
      </c>
      <c r="BW76" s="423">
        <f ca="1">+SUM(BW70:BW74)</f>
        <v>12363.689310858488</v>
      </c>
      <c r="BX76" s="423">
        <f ca="1">+SUM(BX70:BX74)</f>
        <v>12823.71265495135</v>
      </c>
      <c r="BY76">
        <f ca="1">BX76</f>
        <v>12823.71265495135</v>
      </c>
      <c r="BZ76" s="423">
        <f ca="1">+SUM(BZ70:BZ74)</f>
        <v>13664.395794324302</v>
      </c>
      <c r="CA76" s="423">
        <f ca="1">+SUM(CA70:CA74)</f>
        <v>14498.751283977381</v>
      </c>
      <c r="CB76" s="423">
        <f ca="1">+SUM(CB70:CB74)</f>
        <v>14860.419254640487</v>
      </c>
      <c r="CC76" s="423">
        <f ca="1">+SUM(CC70:CC74)</f>
        <v>15683.404334608014</v>
      </c>
      <c r="CD76">
        <f ca="1">CC76</f>
        <v>15683.404334608014</v>
      </c>
    </row>
    <row r="77" spans="1:82"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423"/>
      <c r="X77" s="423"/>
      <c r="Y77" s="423"/>
      <c r="Z77" s="423"/>
      <c r="AB77" s="423"/>
      <c r="AC77" s="423"/>
      <c r="AD77" s="423"/>
      <c r="AE77" s="423"/>
      <c r="AG77" s="423"/>
      <c r="AH77" s="423"/>
      <c r="AI77" s="423"/>
      <c r="AJ77" s="423"/>
      <c r="AK77" s="348"/>
      <c r="AL77" s="423"/>
      <c r="AM77" s="423"/>
      <c r="AN77" s="460"/>
      <c r="AO77" s="423"/>
      <c r="AQ77" s="423"/>
      <c r="AR77" s="423"/>
      <c r="AS77" s="423"/>
      <c r="AT77" s="423"/>
      <c r="AV77" s="423"/>
      <c r="AW77" s="423"/>
      <c r="AX77" s="423"/>
      <c r="AY77" s="423"/>
      <c r="BA77" s="423"/>
      <c r="BB77" s="423"/>
      <c r="BC77" s="423"/>
      <c r="BD77" s="423"/>
      <c r="BF77" s="423"/>
      <c r="BG77" s="423"/>
      <c r="BH77" s="423"/>
      <c r="BI77" s="423"/>
      <c r="BK77" s="423"/>
      <c r="BL77" s="423"/>
      <c r="BM77" s="423"/>
      <c r="BN77" s="423"/>
      <c r="BP77" s="423"/>
      <c r="BQ77" s="423"/>
      <c r="BR77" s="423"/>
      <c r="BS77" s="423"/>
      <c r="BU77" s="423"/>
      <c r="BV77" s="423"/>
      <c r="BW77" s="423"/>
      <c r="BX77" s="423"/>
      <c r="BZ77" s="423"/>
      <c r="CA77" s="423"/>
      <c r="CB77" s="423"/>
      <c r="CC77" s="423"/>
    </row>
    <row r="78" spans="1:82">
      <c r="A78" t="s">
        <v>2304</v>
      </c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423">
        <f t="shared" ref="W78:AY78" si="12">+W79-W76</f>
        <v>4007</v>
      </c>
      <c r="X78" s="423">
        <f t="shared" si="12"/>
        <v>3825</v>
      </c>
      <c r="Y78" s="423">
        <f t="shared" si="12"/>
        <v>4088</v>
      </c>
      <c r="Z78" s="423">
        <f t="shared" si="12"/>
        <v>3822</v>
      </c>
      <c r="AA78">
        <f t="shared" si="12"/>
        <v>3822</v>
      </c>
      <c r="AB78" s="423">
        <f t="shared" si="12"/>
        <v>3968</v>
      </c>
      <c r="AC78" s="423">
        <f t="shared" si="12"/>
        <v>4061</v>
      </c>
      <c r="AD78" s="423">
        <f t="shared" si="12"/>
        <v>3528</v>
      </c>
      <c r="AE78" s="423">
        <f t="shared" si="12"/>
        <v>3340</v>
      </c>
      <c r="AF78">
        <f t="shared" si="12"/>
        <v>3340</v>
      </c>
      <c r="AG78" s="423">
        <f t="shared" si="12"/>
        <v>3534</v>
      </c>
      <c r="AH78" s="423">
        <f t="shared" si="12"/>
        <v>3557</v>
      </c>
      <c r="AI78" s="423">
        <f t="shared" si="12"/>
        <v>3544</v>
      </c>
      <c r="AJ78" s="423">
        <f t="shared" si="12"/>
        <v>3278</v>
      </c>
      <c r="AK78">
        <f t="shared" si="12"/>
        <v>3278</v>
      </c>
      <c r="AL78" s="423">
        <f t="shared" si="12"/>
        <v>3203</v>
      </c>
      <c r="AM78" s="423">
        <f t="shared" si="12"/>
        <v>3162</v>
      </c>
      <c r="AN78" s="460">
        <f t="shared" si="12"/>
        <v>3147</v>
      </c>
      <c r="AO78" s="423">
        <f t="shared" si="12"/>
        <v>2998</v>
      </c>
      <c r="AP78">
        <f t="shared" ref="AP78:CD78" si="13">AO78</f>
        <v>2998</v>
      </c>
      <c r="AQ78" s="423">
        <f t="shared" si="12"/>
        <v>3107</v>
      </c>
      <c r="AR78" s="423">
        <f t="shared" si="12"/>
        <v>1736</v>
      </c>
      <c r="AS78" s="423">
        <f t="shared" si="12"/>
        <v>1687</v>
      </c>
      <c r="AT78" s="423">
        <f t="shared" si="12"/>
        <v>2955</v>
      </c>
      <c r="AU78">
        <f t="shared" si="13"/>
        <v>2955</v>
      </c>
      <c r="AV78" s="423">
        <f t="shared" si="12"/>
        <v>2046</v>
      </c>
      <c r="AW78" s="423">
        <f t="shared" si="12"/>
        <v>2147</v>
      </c>
      <c r="AX78" s="423">
        <f t="shared" si="12"/>
        <v>823</v>
      </c>
      <c r="AY78" s="423">
        <f t="shared" si="12"/>
        <v>3091</v>
      </c>
      <c r="AZ78">
        <f t="shared" si="13"/>
        <v>3091</v>
      </c>
      <c r="BA78" s="423">
        <f>+BA79-BA76</f>
        <v>2817</v>
      </c>
      <c r="BB78" s="423">
        <f>+BB79-BB76</f>
        <v>3335</v>
      </c>
      <c r="BC78" s="423">
        <f>+BC79-BC76</f>
        <v>1688</v>
      </c>
      <c r="BD78" s="423">
        <f>+BD79-BD76</f>
        <v>1071</v>
      </c>
      <c r="BE78">
        <f t="shared" si="13"/>
        <v>1071</v>
      </c>
      <c r="BF78" s="423">
        <f>+BF79-BF76</f>
        <v>2033</v>
      </c>
      <c r="BG78" s="423">
        <f>+BG79-BG76</f>
        <v>2558</v>
      </c>
      <c r="BH78" s="423">
        <f>+BH79-BH76</f>
        <v>4875</v>
      </c>
      <c r="BI78" s="423">
        <f>+BI79-BI76</f>
        <v>5849</v>
      </c>
      <c r="BJ78">
        <f t="shared" si="13"/>
        <v>5849</v>
      </c>
      <c r="BK78" s="423">
        <f>+BK79-BK76</f>
        <v>7142</v>
      </c>
      <c r="BL78" s="423">
        <f>+BL79-BL76</f>
        <v>6787</v>
      </c>
      <c r="BM78" s="423">
        <f>+BM79-BM76</f>
        <v>7353</v>
      </c>
      <c r="BN78" s="423">
        <f>+BN79-BN76</f>
        <v>6932</v>
      </c>
      <c r="BO78">
        <f t="shared" si="13"/>
        <v>6932</v>
      </c>
      <c r="BP78" s="423">
        <f t="shared" si="13"/>
        <v>6932</v>
      </c>
      <c r="BQ78" s="423">
        <f t="shared" si="13"/>
        <v>6932</v>
      </c>
      <c r="BR78" s="423">
        <f t="shared" si="13"/>
        <v>6932</v>
      </c>
      <c r="BS78" s="423">
        <f t="shared" si="13"/>
        <v>6932</v>
      </c>
      <c r="BT78">
        <f t="shared" si="13"/>
        <v>6932</v>
      </c>
      <c r="BU78" s="423">
        <f t="shared" si="13"/>
        <v>6932</v>
      </c>
      <c r="BV78" s="423">
        <f t="shared" si="13"/>
        <v>6932</v>
      </c>
      <c r="BW78" s="423">
        <f t="shared" si="13"/>
        <v>6932</v>
      </c>
      <c r="BX78" s="423">
        <f t="shared" si="13"/>
        <v>6932</v>
      </c>
      <c r="BY78">
        <f t="shared" si="13"/>
        <v>6932</v>
      </c>
      <c r="BZ78" s="423">
        <f t="shared" si="13"/>
        <v>6932</v>
      </c>
      <c r="CA78" s="423">
        <f t="shared" si="13"/>
        <v>6932</v>
      </c>
      <c r="CB78" s="423">
        <f t="shared" si="13"/>
        <v>6932</v>
      </c>
      <c r="CC78" s="423">
        <f t="shared" si="13"/>
        <v>6932</v>
      </c>
      <c r="CD78">
        <f t="shared" si="13"/>
        <v>6932</v>
      </c>
    </row>
    <row r="79" spans="1:82" s="289" customFormat="1">
      <c r="A79" s="289" t="s">
        <v>2306</v>
      </c>
      <c r="C79" s="94"/>
      <c r="D79" s="94"/>
      <c r="E79" s="94"/>
      <c r="F79" s="94"/>
      <c r="G79" s="94"/>
      <c r="H79" s="94"/>
      <c r="I79" s="94"/>
      <c r="J79" s="94"/>
      <c r="K79" s="94"/>
      <c r="L79" s="94"/>
      <c r="M79" s="94"/>
      <c r="N79" s="94"/>
      <c r="O79" s="94"/>
      <c r="P79" s="94"/>
      <c r="Q79" s="94"/>
      <c r="R79" s="94"/>
      <c r="S79" s="94"/>
      <c r="T79" s="94"/>
      <c r="U79" s="94"/>
      <c r="V79" s="94"/>
      <c r="W79" s="426">
        <f>'Balance sheet'!W15</f>
        <v>13033</v>
      </c>
      <c r="X79" s="426">
        <f>'Balance sheet'!X15</f>
        <v>12929</v>
      </c>
      <c r="Y79" s="426">
        <f>'Balance sheet'!Y15</f>
        <v>13673</v>
      </c>
      <c r="Z79" s="426">
        <f>'Balance sheet'!Z15</f>
        <v>12963</v>
      </c>
      <c r="AA79" s="289">
        <f>'Balance sheet'!AA15</f>
        <v>12963</v>
      </c>
      <c r="AB79" s="426">
        <f>'Balance sheet'!AB15</f>
        <v>13396</v>
      </c>
      <c r="AC79" s="426">
        <f>'Balance sheet'!AC15</f>
        <v>13474</v>
      </c>
      <c r="AD79" s="426">
        <f>'Balance sheet'!AD15</f>
        <v>13442</v>
      </c>
      <c r="AE79" s="426">
        <f>'Balance sheet'!AE15</f>
        <v>13335</v>
      </c>
      <c r="AF79" s="289">
        <f>'Balance sheet'!AF15</f>
        <v>13335</v>
      </c>
      <c r="AG79" s="426">
        <f>'Balance sheet'!AG15</f>
        <v>14727</v>
      </c>
      <c r="AH79" s="426">
        <f>'Balance sheet'!AH15</f>
        <v>14093</v>
      </c>
      <c r="AI79" s="426">
        <f>'Balance sheet'!AI15</f>
        <v>13896</v>
      </c>
      <c r="AJ79" s="426">
        <f>'Balance sheet'!AJ15</f>
        <v>13291</v>
      </c>
      <c r="AK79" s="289">
        <f>'Balance sheet'!AK15</f>
        <v>13291</v>
      </c>
      <c r="AL79" s="426">
        <f>'Balance sheet'!AL15</f>
        <v>13824</v>
      </c>
      <c r="AM79" s="426">
        <f>'Balance sheet'!AM15</f>
        <v>13877</v>
      </c>
      <c r="AN79" s="426">
        <f>'Balance sheet'!AN15</f>
        <v>15273</v>
      </c>
      <c r="AO79" s="426">
        <f>'Balance sheet'!AO15</f>
        <v>2998</v>
      </c>
      <c r="AP79" s="289">
        <f t="shared" ref="AP79:CD79" si="14">+AP76+AP78</f>
        <v>2998</v>
      </c>
      <c r="AQ79" s="426">
        <f>'Balance sheet'!AQ15</f>
        <v>16077</v>
      </c>
      <c r="AR79" s="426">
        <f>'Balance sheet'!AR15</f>
        <v>14924</v>
      </c>
      <c r="AS79" s="426">
        <f>'Balance sheet'!AS15</f>
        <v>15211</v>
      </c>
      <c r="AT79" s="426">
        <f>'Balance sheet'!AT15</f>
        <v>16636</v>
      </c>
      <c r="AU79" s="289">
        <f t="shared" si="14"/>
        <v>16636</v>
      </c>
      <c r="AV79" s="426">
        <f>'Balance sheet'!AV15</f>
        <v>16245</v>
      </c>
      <c r="AW79" s="426">
        <f>'Balance sheet'!AW15</f>
        <v>17370</v>
      </c>
      <c r="AX79" s="426">
        <f>'Balance sheet'!AX15</f>
        <v>15460</v>
      </c>
      <c r="AY79" s="426">
        <f>'Balance sheet'!AY15</f>
        <v>10403</v>
      </c>
      <c r="AZ79" s="289">
        <f>+AZ76+AZ78</f>
        <v>10403</v>
      </c>
      <c r="BA79" s="426">
        <f>'Balance sheet'!BA15</f>
        <v>10312</v>
      </c>
      <c r="BB79" s="426">
        <f>'Balance sheet'!BB15</f>
        <v>11340</v>
      </c>
      <c r="BC79" s="426">
        <f>'Balance sheet'!BC15</f>
        <v>9804</v>
      </c>
      <c r="BD79" s="426">
        <f>'Balance sheet'!BD15</f>
        <v>9422</v>
      </c>
      <c r="BE79" s="289">
        <f>+BE76+BE78</f>
        <v>9422</v>
      </c>
      <c r="BF79" s="426">
        <f>'Balance sheet'!BF15</f>
        <v>10450</v>
      </c>
      <c r="BG79" s="426">
        <f>'Balance sheet'!BG15</f>
        <v>11221</v>
      </c>
      <c r="BH79" s="426">
        <f>'Balance sheet'!BH15</f>
        <v>13326</v>
      </c>
      <c r="BI79" s="426">
        <f>'Balance sheet'!BI15</f>
        <v>14092</v>
      </c>
      <c r="BJ79" s="289">
        <f t="shared" si="14"/>
        <v>14092</v>
      </c>
      <c r="BK79" s="426">
        <f>'Balance sheet'!BK15</f>
        <v>15484</v>
      </c>
      <c r="BL79" s="426">
        <f>'Balance sheet'!BL15</f>
        <v>15408</v>
      </c>
      <c r="BM79" s="426">
        <f>'Balance sheet'!BM15</f>
        <v>15921</v>
      </c>
      <c r="BN79" s="426">
        <f>'Balance sheet'!BN15</f>
        <v>16991</v>
      </c>
      <c r="BO79" s="289">
        <f t="shared" si="14"/>
        <v>16991</v>
      </c>
      <c r="BP79" s="426">
        <f t="shared" ca="1" si="14"/>
        <v>17157.098178349959</v>
      </c>
      <c r="BQ79" s="426">
        <f t="shared" ca="1" si="14"/>
        <v>17607.942388683099</v>
      </c>
      <c r="BR79" s="426">
        <f t="shared" ca="1" si="14"/>
        <v>17839.231311526401</v>
      </c>
      <c r="BS79" s="426">
        <f t="shared" ca="1" si="14"/>
        <v>18281.7127533823</v>
      </c>
      <c r="BT79" s="289">
        <f t="shared" ca="1" si="14"/>
        <v>18281.7127533823</v>
      </c>
      <c r="BU79" s="426">
        <f t="shared" ca="1" si="14"/>
        <v>18742.716845039766</v>
      </c>
      <c r="BV79" s="426">
        <f t="shared" ca="1" si="14"/>
        <v>19211.167990134498</v>
      </c>
      <c r="BW79" s="426">
        <f t="shared" ca="1" si="14"/>
        <v>19295.689310858488</v>
      </c>
      <c r="BX79" s="426">
        <f t="shared" ca="1" si="14"/>
        <v>19755.712654951349</v>
      </c>
      <c r="BY79" s="289">
        <f t="shared" ca="1" si="14"/>
        <v>19755.712654951349</v>
      </c>
      <c r="BZ79" s="426">
        <f t="shared" ca="1" si="14"/>
        <v>20596.3957943243</v>
      </c>
      <c r="CA79" s="426">
        <f t="shared" ca="1" si="14"/>
        <v>21430.751283977381</v>
      </c>
      <c r="CB79" s="426">
        <f t="shared" ca="1" si="14"/>
        <v>21792.419254640488</v>
      </c>
      <c r="CC79" s="426">
        <f t="shared" ca="1" si="14"/>
        <v>22615.404334608014</v>
      </c>
      <c r="CD79" s="289">
        <f t="shared" ca="1" si="14"/>
        <v>22615.404334608014</v>
      </c>
    </row>
    <row r="82" spans="1:82">
      <c r="A82" s="214" t="s">
        <v>631</v>
      </c>
    </row>
    <row r="83" spans="1:82" ht="12.75" customHeight="1">
      <c r="A83" s="10"/>
      <c r="B83" s="10"/>
      <c r="C83" s="31">
        <v>2001</v>
      </c>
      <c r="D83" s="32">
        <v>2002</v>
      </c>
      <c r="E83" s="32">
        <v>2003</v>
      </c>
      <c r="F83" s="32">
        <v>2004</v>
      </c>
      <c r="G83" s="31">
        <v>2005</v>
      </c>
      <c r="H83" s="33" t="s">
        <v>714</v>
      </c>
      <c r="I83" s="33" t="s">
        <v>715</v>
      </c>
      <c r="J83" s="33" t="s">
        <v>716</v>
      </c>
      <c r="K83" s="33" t="s">
        <v>717</v>
      </c>
      <c r="L83" s="31">
        <v>2006</v>
      </c>
      <c r="M83" s="33" t="s">
        <v>718</v>
      </c>
      <c r="N83" s="33" t="s">
        <v>719</v>
      </c>
      <c r="O83" s="33" t="s">
        <v>1970</v>
      </c>
      <c r="P83" s="33" t="s">
        <v>1971</v>
      </c>
      <c r="Q83" s="31">
        <v>2007</v>
      </c>
      <c r="R83" s="33" t="s">
        <v>1972</v>
      </c>
      <c r="S83" s="33" t="s">
        <v>1973</v>
      </c>
      <c r="T83" s="33" t="s">
        <v>1974</v>
      </c>
      <c r="U83" s="33" t="s">
        <v>1975</v>
      </c>
      <c r="V83" s="31">
        <v>2008</v>
      </c>
      <c r="W83" s="33" t="s">
        <v>1976</v>
      </c>
      <c r="X83" s="33" t="s">
        <v>1977</v>
      </c>
      <c r="Y83" s="33" t="s">
        <v>1978</v>
      </c>
      <c r="Z83" s="33" t="s">
        <v>1979</v>
      </c>
      <c r="AA83" s="31">
        <v>2009</v>
      </c>
      <c r="AB83" s="33" t="s">
        <v>1980</v>
      </c>
      <c r="AC83" s="33" t="s">
        <v>1981</v>
      </c>
      <c r="AD83" s="33" t="s">
        <v>1982</v>
      </c>
      <c r="AE83" s="33" t="s">
        <v>2392</v>
      </c>
      <c r="AF83" s="31">
        <v>2010</v>
      </c>
      <c r="AG83" s="33" t="s">
        <v>2393</v>
      </c>
      <c r="AH83" s="33" t="s">
        <v>2394</v>
      </c>
      <c r="AI83" s="33" t="s">
        <v>2395</v>
      </c>
      <c r="AJ83" s="33" t="s">
        <v>2396</v>
      </c>
      <c r="AK83" s="31">
        <v>2011</v>
      </c>
      <c r="AL83" s="33" t="s">
        <v>2397</v>
      </c>
      <c r="AM83" s="33" t="s">
        <v>2398</v>
      </c>
      <c r="AN83" s="33" t="s">
        <v>2399</v>
      </c>
      <c r="AO83" s="33" t="s">
        <v>2400</v>
      </c>
      <c r="AP83" s="31">
        <v>2012</v>
      </c>
      <c r="AQ83" s="33" t="s">
        <v>2401</v>
      </c>
      <c r="AR83" s="33" t="s">
        <v>2402</v>
      </c>
      <c r="AS83" s="33" t="s">
        <v>2403</v>
      </c>
      <c r="AT83" s="33" t="s">
        <v>2404</v>
      </c>
      <c r="AU83" s="31">
        <v>2013</v>
      </c>
      <c r="AV83" s="33" t="s">
        <v>2405</v>
      </c>
      <c r="AW83" s="33" t="s">
        <v>2406</v>
      </c>
      <c r="AX83" s="33" t="s">
        <v>2407</v>
      </c>
      <c r="AY83" s="33" t="s">
        <v>2408</v>
      </c>
      <c r="AZ83" s="31">
        <v>2014</v>
      </c>
      <c r="BA83" s="33" t="s">
        <v>2409</v>
      </c>
      <c r="BB83" s="33" t="s">
        <v>2410</v>
      </c>
      <c r="BC83" s="33" t="s">
        <v>2411</v>
      </c>
      <c r="BD83" s="33" t="s">
        <v>2412</v>
      </c>
      <c r="BE83" s="31">
        <v>2015</v>
      </c>
      <c r="BF83" s="33" t="s">
        <v>2413</v>
      </c>
      <c r="BG83" s="33" t="s">
        <v>2414</v>
      </c>
      <c r="BH83" s="33" t="s">
        <v>2415</v>
      </c>
      <c r="BI83" s="33" t="s">
        <v>2416</v>
      </c>
      <c r="BJ83" s="31">
        <v>2016</v>
      </c>
      <c r="BK83" s="33" t="s">
        <v>2417</v>
      </c>
      <c r="BL83" s="33" t="s">
        <v>2418</v>
      </c>
      <c r="BM83" s="33" t="s">
        <v>2419</v>
      </c>
      <c r="BN83" s="33" t="s">
        <v>2420</v>
      </c>
      <c r="BO83" s="31">
        <v>2017</v>
      </c>
      <c r="BP83" s="363" t="s">
        <v>2244</v>
      </c>
      <c r="BQ83" s="363" t="s">
        <v>2245</v>
      </c>
      <c r="BR83" s="363" t="s">
        <v>2508</v>
      </c>
      <c r="BS83" s="363" t="s">
        <v>2509</v>
      </c>
      <c r="BT83" s="364">
        <v>2018</v>
      </c>
      <c r="BU83" s="363" t="s">
        <v>2510</v>
      </c>
      <c r="BV83" s="363" t="s">
        <v>2511</v>
      </c>
      <c r="BW83" s="363" t="s">
        <v>3125</v>
      </c>
      <c r="BX83" s="363" t="s">
        <v>1405</v>
      </c>
      <c r="BY83" s="364">
        <v>2019</v>
      </c>
      <c r="BZ83" s="363" t="s">
        <v>1406</v>
      </c>
      <c r="CA83" s="363" t="s">
        <v>1407</v>
      </c>
      <c r="CB83" s="363" t="s">
        <v>1408</v>
      </c>
      <c r="CC83" s="363" t="s">
        <v>1409</v>
      </c>
      <c r="CD83" s="364">
        <v>2020</v>
      </c>
    </row>
    <row r="84" spans="1:82">
      <c r="A84" s="406"/>
      <c r="B84" s="406"/>
      <c r="BG84" s="406"/>
      <c r="BH84" s="406"/>
      <c r="BI84" s="406"/>
      <c r="BJ84" s="406"/>
      <c r="BK84" s="406"/>
      <c r="BL84" s="406"/>
      <c r="BM84" s="406"/>
      <c r="BN84" s="406"/>
      <c r="BO84" s="406"/>
    </row>
    <row r="85" spans="1:82">
      <c r="A85" s="406" t="s">
        <v>1512</v>
      </c>
      <c r="B85" s="406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423">
        <v>0</v>
      </c>
      <c r="X85" s="423">
        <v>468</v>
      </c>
      <c r="Y85" s="423">
        <v>252</v>
      </c>
      <c r="Z85" s="423">
        <v>936</v>
      </c>
      <c r="AA85">
        <v>1656</v>
      </c>
      <c r="AB85" s="423">
        <v>256</v>
      </c>
      <c r="AC85" s="423">
        <v>505</v>
      </c>
      <c r="AD85" s="423">
        <v>229</v>
      </c>
      <c r="AE85" s="423">
        <v>790</v>
      </c>
      <c r="AF85">
        <v>1780</v>
      </c>
      <c r="AG85" s="423">
        <v>0</v>
      </c>
      <c r="AH85" s="423">
        <v>1634</v>
      </c>
      <c r="AI85" s="423">
        <v>425</v>
      </c>
      <c r="AJ85" s="423">
        <v>1688</v>
      </c>
      <c r="AK85" s="348">
        <v>3747</v>
      </c>
      <c r="AL85" s="423">
        <v>690</v>
      </c>
      <c r="AM85" s="423">
        <v>0</v>
      </c>
      <c r="AN85" s="423">
        <v>0</v>
      </c>
      <c r="AO85" s="423">
        <v>709</v>
      </c>
      <c r="AP85">
        <f>SUM(AL85:AO85)</f>
        <v>1399</v>
      </c>
      <c r="AQ85" s="423">
        <v>0</v>
      </c>
      <c r="AR85" s="93"/>
      <c r="AS85" s="429">
        <v>456</v>
      </c>
      <c r="AT85" s="93"/>
      <c r="AU85">
        <f>SUM(AQ85:AT85)</f>
        <v>456</v>
      </c>
      <c r="AV85" s="93"/>
      <c r="AW85" s="93"/>
      <c r="AX85" s="429">
        <v>693</v>
      </c>
      <c r="AY85" s="93"/>
      <c r="AZ85">
        <f>SUM(AV85:AY85)</f>
        <v>693</v>
      </c>
      <c r="BA85" s="93"/>
      <c r="BB85" s="93"/>
      <c r="BC85" s="429">
        <v>271</v>
      </c>
      <c r="BD85" s="93"/>
      <c r="BE85">
        <f>SUM(BA85:BD85)</f>
        <v>271</v>
      </c>
      <c r="BF85" s="93"/>
      <c r="BG85" s="181"/>
      <c r="BH85" s="459">
        <v>332</v>
      </c>
      <c r="BI85" s="181"/>
      <c r="BJ85" s="406">
        <f>SUM(BF85:BI85)</f>
        <v>332</v>
      </c>
      <c r="BK85" s="181"/>
      <c r="BL85" s="181"/>
      <c r="BM85" s="459">
        <v>190</v>
      </c>
      <c r="BN85" s="181">
        <v>124</v>
      </c>
      <c r="BO85" s="406">
        <f>SUM(BK85:BN85)</f>
        <v>314</v>
      </c>
      <c r="BP85" s="93"/>
      <c r="BQ85" s="93"/>
      <c r="BR85" s="429">
        <f>+BR87*BO86</f>
        <v>209</v>
      </c>
      <c r="BS85" s="93"/>
      <c r="BT85">
        <f>SUM(BP85:BS85)</f>
        <v>209</v>
      </c>
      <c r="BU85" s="93"/>
      <c r="BV85" s="93"/>
      <c r="BW85" s="429">
        <f ca="1">+BW87*BT86</f>
        <v>374.92818834557602</v>
      </c>
      <c r="BX85" s="93"/>
      <c r="BY85">
        <f ca="1">SUM(BU85:BX85)</f>
        <v>374.92818834557602</v>
      </c>
      <c r="BZ85" s="93"/>
      <c r="CA85" s="93"/>
      <c r="CB85" s="429">
        <f ca="1">+CB87*BY86</f>
        <v>462.23202247865623</v>
      </c>
      <c r="CC85" s="93"/>
      <c r="CD85">
        <f ca="1">SUM(BZ85:CC85)</f>
        <v>462.23202247865623</v>
      </c>
    </row>
    <row r="86" spans="1:82">
      <c r="A86" s="406" t="s">
        <v>972</v>
      </c>
      <c r="B86" s="406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423">
        <f>Segments!W12</f>
        <v>134</v>
      </c>
      <c r="X86" s="423">
        <f>Segments!X12</f>
        <v>546</v>
      </c>
      <c r="Y86" s="423">
        <f>Segments!Y12</f>
        <v>732</v>
      </c>
      <c r="Z86" s="423">
        <f>Segments!Z12</f>
        <v>536</v>
      </c>
      <c r="AA86">
        <f>Segments!AA12</f>
        <v>1948</v>
      </c>
      <c r="AB86" s="423">
        <f>Segments!AB12</f>
        <v>543</v>
      </c>
      <c r="AC86" s="423">
        <f>Segments!AC12</f>
        <v>490</v>
      </c>
      <c r="AD86" s="423">
        <f>Segments!AD12</f>
        <v>730</v>
      </c>
      <c r="AE86" s="423">
        <f>Segments!AE12</f>
        <v>854</v>
      </c>
      <c r="AF86">
        <f>Segments!AF12</f>
        <v>2617</v>
      </c>
      <c r="AG86" s="423">
        <f>Segments!AG12</f>
        <v>1127</v>
      </c>
      <c r="AH86" s="423">
        <f>Segments!AH12</f>
        <v>1081</v>
      </c>
      <c r="AI86" s="423">
        <f>Segments!AI12</f>
        <v>939</v>
      </c>
      <c r="AJ86" s="423">
        <f>Segments!AJ12</f>
        <v>987</v>
      </c>
      <c r="AK86">
        <f>Segments!AK12</f>
        <v>4134</v>
      </c>
      <c r="AL86" s="423">
        <f>Segments!AL12</f>
        <v>1064</v>
      </c>
      <c r="AM86" s="423">
        <f>Segments!AM12</f>
        <v>452</v>
      </c>
      <c r="AN86" s="423">
        <f>Segments!AN12</f>
        <v>1282</v>
      </c>
      <c r="AO86" s="423">
        <f>Segments!AO12</f>
        <v>575</v>
      </c>
      <c r="AP86">
        <f>Segments!AP12</f>
        <v>3373</v>
      </c>
      <c r="AQ86" s="423">
        <f>Segments!AQ12-Segments!AQ35</f>
        <v>85</v>
      </c>
      <c r="AR86" s="423">
        <f>Segments!AR12</f>
        <v>218</v>
      </c>
      <c r="AS86" s="423">
        <f>Segments!AS12</f>
        <v>792</v>
      </c>
      <c r="AT86" s="423">
        <f>Segments!AT12</f>
        <v>1058</v>
      </c>
      <c r="AU86">
        <f>SUM(AQ86:AT86)</f>
        <v>2153</v>
      </c>
      <c r="AV86" s="423">
        <f>Segments!AV12</f>
        <v>518</v>
      </c>
      <c r="AW86" s="423">
        <f>Segments!AW12</f>
        <v>1024</v>
      </c>
      <c r="AX86" s="423">
        <f>Segments!AX12</f>
        <v>107</v>
      </c>
      <c r="AY86" s="423">
        <f>Segments!AY12</f>
        <v>451</v>
      </c>
      <c r="AZ86">
        <f>SUM(AV86:AY86)</f>
        <v>2100</v>
      </c>
      <c r="BA86" s="423">
        <f>Segments!BA12</f>
        <v>183</v>
      </c>
      <c r="BB86" s="423">
        <f>Segments!BB12</f>
        <v>510</v>
      </c>
      <c r="BC86" s="423">
        <f>Segments!BC12</f>
        <v>382</v>
      </c>
      <c r="BD86" s="423">
        <f>Segments!BD12</f>
        <v>235</v>
      </c>
      <c r="BE86">
        <f>SUM(BA86:BD86)</f>
        <v>1310</v>
      </c>
      <c r="BF86" s="423">
        <f>Segments!BF12</f>
        <v>66</v>
      </c>
      <c r="BG86" s="460">
        <f>Segments!BG12</f>
        <v>246</v>
      </c>
      <c r="BH86" s="460">
        <f>Segments!BH12</f>
        <v>120</v>
      </c>
      <c r="BI86" s="460">
        <f>Segments!BI12</f>
        <v>158</v>
      </c>
      <c r="BJ86" s="406">
        <f>Segments!BJ12</f>
        <v>590</v>
      </c>
      <c r="BK86" s="460">
        <f>Segments!BK12</f>
        <v>99</v>
      </c>
      <c r="BL86" s="460">
        <f>Segments!BL12</f>
        <v>279</v>
      </c>
      <c r="BM86" s="460">
        <f>Segments!BM12</f>
        <v>137</v>
      </c>
      <c r="BN86" s="460">
        <f>Segments!BN12</f>
        <v>321</v>
      </c>
      <c r="BO86" s="406">
        <f>Segments!BO12</f>
        <v>836</v>
      </c>
      <c r="BP86" s="423">
        <f ca="1">Segments!BP12</f>
        <v>166.09817834995982</v>
      </c>
      <c r="BQ86" s="423">
        <f ca="1">Segments!BQ12</f>
        <v>450.84421033314067</v>
      </c>
      <c r="BR86" s="423">
        <f ca="1">Segments!BR12</f>
        <v>440.28892284330129</v>
      </c>
      <c r="BS86" s="423">
        <f ca="1">Segments!BS12</f>
        <v>442.48144185590229</v>
      </c>
      <c r="BT86">
        <f ca="1">Segments!BT12</f>
        <v>1499.7127533823041</v>
      </c>
      <c r="BU86" s="423">
        <f ca="1">Segments!BU12</f>
        <v>461.00409165746134</v>
      </c>
      <c r="BV86" s="423">
        <f ca="1">Segments!BV12</f>
        <v>468.45114509473188</v>
      </c>
      <c r="BW86" s="423">
        <f ca="1">Segments!BW12</f>
        <v>459.44950906956944</v>
      </c>
      <c r="BX86" s="423">
        <f ca="1">Segments!BX12</f>
        <v>460.02334409286203</v>
      </c>
      <c r="BY86">
        <f ca="1">Segments!BY12</f>
        <v>1848.9280899146249</v>
      </c>
      <c r="BZ86" s="423">
        <f ca="1">Segments!BZ12</f>
        <v>840.68313937295204</v>
      </c>
      <c r="CA86" s="423">
        <f ca="1">Segments!CA12</f>
        <v>834.35548965307885</v>
      </c>
      <c r="CB86" s="423">
        <f ca="1">Segments!CB12</f>
        <v>823.89999314176282</v>
      </c>
      <c r="CC86" s="423">
        <f ca="1">Segments!CC12</f>
        <v>822.98507996752778</v>
      </c>
      <c r="CD86">
        <f ca="1">Segments!CD12</f>
        <v>3321.9237021353215</v>
      </c>
    </row>
    <row r="87" spans="1:82">
      <c r="A87" s="406" t="s">
        <v>3391</v>
      </c>
      <c r="B87" s="406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93"/>
      <c r="Y87" s="93"/>
      <c r="Z87" s="93"/>
      <c r="AA87" s="381">
        <f>+AA85/AA86</f>
        <v>0.85010266940451751</v>
      </c>
      <c r="AB87" s="93"/>
      <c r="AC87" s="93"/>
      <c r="AD87" s="93"/>
      <c r="AE87" s="93"/>
      <c r="AF87" s="381">
        <f>+AF85/AF86</f>
        <v>0.68016813144822319</v>
      </c>
      <c r="AG87" s="93"/>
      <c r="AH87" s="93"/>
      <c r="AI87" s="93"/>
      <c r="AJ87" s="93"/>
      <c r="AK87" s="381">
        <f>+AK85/AK86</f>
        <v>0.90638606676342526</v>
      </c>
      <c r="AL87" s="93"/>
      <c r="AM87" s="93"/>
      <c r="AN87" s="93"/>
      <c r="AO87" s="93"/>
      <c r="AP87" s="381">
        <f>+AP85/AP86</f>
        <v>0.41476430477319892</v>
      </c>
      <c r="AQ87" s="93"/>
      <c r="AR87" s="93"/>
      <c r="AS87" s="473">
        <f>AS85/AP86</f>
        <v>0.13519122442929143</v>
      </c>
      <c r="AT87" s="93"/>
      <c r="AU87" s="381">
        <f>+AU85/AP86</f>
        <v>0.13519122442929143</v>
      </c>
      <c r="AV87" s="93"/>
      <c r="AW87" s="93"/>
      <c r="AX87" s="473">
        <f>AX85/AU86</f>
        <v>0.32187645146307475</v>
      </c>
      <c r="AY87" s="93"/>
      <c r="AZ87" s="381">
        <f>+AZ85/AU86</f>
        <v>0.32187645146307475</v>
      </c>
      <c r="BA87" s="93"/>
      <c r="BB87" s="93"/>
      <c r="BC87" s="473">
        <f>BC85/AZ86</f>
        <v>0.12904761904761905</v>
      </c>
      <c r="BD87" s="93"/>
      <c r="BE87" s="381">
        <f>+BE85/AZ86</f>
        <v>0.12904761904761905</v>
      </c>
      <c r="BF87" s="93"/>
      <c r="BG87" s="181"/>
      <c r="BH87" s="473">
        <f>BH85/BE86</f>
        <v>0.25343511450381678</v>
      </c>
      <c r="BI87" s="181"/>
      <c r="BJ87" s="585">
        <f>+BJ85/BE86</f>
        <v>0.25343511450381678</v>
      </c>
      <c r="BK87" s="181"/>
      <c r="BL87" s="181"/>
      <c r="BM87" s="473">
        <f>BM85/BJ86</f>
        <v>0.32203389830508472</v>
      </c>
      <c r="BN87" s="473">
        <f>BN85/BK86</f>
        <v>1.2525252525252526</v>
      </c>
      <c r="BO87" s="585">
        <f>+BO85/BJ86</f>
        <v>0.53220338983050852</v>
      </c>
      <c r="BP87" s="93"/>
      <c r="BQ87" s="93"/>
      <c r="BR87" s="431">
        <v>0.25</v>
      </c>
      <c r="BS87" s="93"/>
      <c r="BT87" s="381">
        <f>+BT85/BO86</f>
        <v>0.25</v>
      </c>
      <c r="BU87" s="93"/>
      <c r="BV87" s="93"/>
      <c r="BW87" s="431">
        <v>0.25</v>
      </c>
      <c r="BX87" s="93"/>
      <c r="BY87" s="381">
        <f ca="1">+BY85/BT86</f>
        <v>0.25</v>
      </c>
      <c r="BZ87" s="93"/>
      <c r="CA87" s="93"/>
      <c r="CB87" s="431">
        <v>0.25</v>
      </c>
      <c r="CC87" s="93"/>
      <c r="CD87" s="381">
        <f ca="1">+CD85/BY86</f>
        <v>0.25</v>
      </c>
    </row>
    <row r="88" spans="1:82">
      <c r="A88" s="406"/>
      <c r="B88" s="406"/>
      <c r="BG88" s="406"/>
      <c r="BH88" s="406"/>
      <c r="BI88" s="406"/>
      <c r="BJ88" s="406"/>
      <c r="BK88" s="406"/>
      <c r="BL88" s="406"/>
      <c r="BM88" s="406"/>
      <c r="BN88" s="406"/>
      <c r="BO88" s="406"/>
    </row>
    <row r="89" spans="1:82">
      <c r="BG89" s="406"/>
      <c r="BH89" s="406"/>
      <c r="BI89" s="406"/>
      <c r="BJ89" s="406"/>
      <c r="BK89" s="406"/>
      <c r="BL89" s="406"/>
      <c r="BM89" s="406"/>
      <c r="BN89" s="406"/>
      <c r="BO89" s="406"/>
    </row>
  </sheetData>
  <phoneticPr fontId="1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indexed="28"/>
  </sheetPr>
  <dimension ref="A1:CH68"/>
  <sheetViews>
    <sheetView zoomScale="85" zoomScaleNormal="85" workbookViewId="0">
      <pane xSplit="2" ySplit="9" topLeftCell="AF10" activePane="bottomRight" state="frozen"/>
      <selection sqref="A1:IV65536"/>
      <selection pane="topRight" sqref="A1:IV65536"/>
      <selection pane="bottomLeft" sqref="A1:IV65536"/>
      <selection pane="bottomRight" sqref="A1:XFD1048576"/>
    </sheetView>
  </sheetViews>
  <sheetFormatPr defaultColWidth="9.7109375" defaultRowHeight="12.75" customHeight="1" outlineLevelCol="1"/>
  <cols>
    <col min="1" max="1" width="3.7109375" customWidth="1"/>
    <col min="2" max="2" width="35.7109375" customWidth="1"/>
    <col min="3" max="7" width="9.7109375" customWidth="1"/>
    <col min="8" max="11" width="9.7109375" hidden="1" customWidth="1" outlineLevel="1"/>
    <col min="12" max="12" width="9.7109375" customWidth="1" collapsed="1"/>
    <col min="13" max="16" width="9.7109375" hidden="1" customWidth="1" outlineLevel="1"/>
    <col min="17" max="17" width="9.7109375" customWidth="1" collapsed="1"/>
    <col min="18" max="21" width="9.7109375" hidden="1" customWidth="1" outlineLevel="1"/>
    <col min="22" max="22" width="9.7109375" customWidth="1" collapsed="1"/>
    <col min="23" max="26" width="9.7109375" hidden="1" customWidth="1" outlineLevel="1"/>
    <col min="27" max="27" width="9.7109375" customWidth="1" collapsed="1"/>
    <col min="28" max="31" width="9.7109375" hidden="1" customWidth="1" outlineLevel="1"/>
    <col min="32" max="32" width="9.7109375" customWidth="1" collapsed="1"/>
    <col min="33" max="36" width="9.7109375" hidden="1" customWidth="1" outlineLevel="1"/>
    <col min="37" max="37" width="9.7109375" customWidth="1" collapsed="1"/>
    <col min="38" max="41" width="9.7109375" hidden="1" customWidth="1" outlineLevel="1"/>
    <col min="42" max="42" width="9.7109375" customWidth="1" collapsed="1"/>
    <col min="43" max="46" width="9.7109375" hidden="1" customWidth="1" outlineLevel="1"/>
    <col min="47" max="47" width="9.7109375" customWidth="1" collapsed="1"/>
    <col min="48" max="51" width="9.7109375" hidden="1" customWidth="1" outlineLevel="1"/>
    <col min="52" max="52" width="9.7109375" customWidth="1" collapsed="1"/>
    <col min="53" max="56" width="9.7109375" hidden="1" customWidth="1" outlineLevel="1"/>
    <col min="57" max="57" width="9.7109375" customWidth="1" collapsed="1"/>
    <col min="58" max="61" width="9.7109375" hidden="1" customWidth="1" outlineLevel="1"/>
    <col min="62" max="62" width="9.7109375" customWidth="1" collapsed="1"/>
    <col min="63" max="66" width="9.7109375" hidden="1" customWidth="1" outlineLevel="1"/>
    <col min="67" max="67" width="9.7109375" customWidth="1" collapsed="1"/>
    <col min="68" max="71" width="9.7109375" hidden="1" customWidth="1" outlineLevel="1"/>
    <col min="72" max="72" width="9.7109375" customWidth="1" collapsed="1"/>
    <col min="73" max="76" width="9.7109375" hidden="1" customWidth="1" outlineLevel="1"/>
    <col min="77" max="77" width="9.7109375" customWidth="1" collapsed="1"/>
    <col min="78" max="81" width="9.7109375" hidden="1" customWidth="1" outlineLevel="1"/>
    <col min="82" max="82" width="9.7109375" customWidth="1" collapsed="1"/>
  </cols>
  <sheetData>
    <row r="1" spans="1:82" ht="12.75" customHeight="1">
      <c r="A1" s="159"/>
      <c r="B1" s="159"/>
      <c r="C1" s="159"/>
      <c r="D1" s="160"/>
      <c r="E1" s="160"/>
      <c r="F1" s="160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59"/>
      <c r="R1" s="159"/>
      <c r="S1" s="161"/>
      <c r="T1" s="161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 s="159"/>
      <c r="AS1" s="159"/>
      <c r="AT1" s="159"/>
      <c r="AU1" s="159"/>
      <c r="AV1" s="159"/>
      <c r="AW1" s="159"/>
      <c r="AX1" s="159"/>
      <c r="AY1" s="159"/>
      <c r="AZ1" s="159"/>
      <c r="BA1" s="159"/>
      <c r="BB1" s="159" t="s">
        <v>3421</v>
      </c>
      <c r="BC1" s="159"/>
      <c r="BD1" s="159"/>
      <c r="BE1" s="159"/>
      <c r="BF1" s="159"/>
      <c r="BG1" s="159"/>
      <c r="BH1" s="159"/>
      <c r="BI1" s="159"/>
      <c r="BJ1" s="159"/>
      <c r="BK1" s="159"/>
      <c r="BL1" s="159"/>
      <c r="BM1" s="159"/>
      <c r="BN1" s="159"/>
      <c r="BO1" s="159"/>
      <c r="BP1" s="159"/>
      <c r="BQ1" s="159"/>
      <c r="BR1" s="159"/>
      <c r="BS1" s="159"/>
      <c r="BT1" s="159"/>
      <c r="BU1" s="159"/>
      <c r="BV1" s="159"/>
      <c r="BW1" s="159"/>
      <c r="BX1" s="159"/>
      <c r="BY1" s="159"/>
      <c r="BZ1" s="159"/>
      <c r="CA1" s="159"/>
      <c r="CB1" s="159"/>
      <c r="CC1" s="159"/>
      <c r="CD1" s="159"/>
    </row>
    <row r="2" spans="1:82" ht="18" customHeight="1">
      <c r="A2" s="159"/>
      <c r="B2" s="162" t="s">
        <v>3369</v>
      </c>
      <c r="C2" s="159"/>
      <c r="D2" s="160"/>
      <c r="E2" s="160"/>
      <c r="F2" s="160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61"/>
      <c r="T2" s="161"/>
      <c r="U2" s="159"/>
      <c r="V2" s="159"/>
      <c r="W2" s="159"/>
      <c r="X2" s="159"/>
      <c r="Y2" s="159"/>
      <c r="Z2" s="159"/>
      <c r="AA2" s="159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9"/>
      <c r="AS2" s="159"/>
      <c r="AT2" s="159"/>
      <c r="AU2" s="159"/>
      <c r="AV2" s="159"/>
      <c r="AW2" s="159"/>
      <c r="AX2" s="159"/>
      <c r="AY2" s="159"/>
      <c r="AZ2" s="159"/>
      <c r="BA2" s="159"/>
      <c r="BB2" s="159" t="s">
        <v>3421</v>
      </c>
      <c r="BC2" s="159"/>
      <c r="BD2" s="159"/>
      <c r="BE2" s="159"/>
      <c r="BF2" s="159"/>
      <c r="BG2" s="159"/>
      <c r="BH2" s="159"/>
      <c r="BI2" s="159"/>
      <c r="BJ2" s="159"/>
      <c r="BK2" s="159"/>
      <c r="BL2" s="159"/>
      <c r="BM2" s="159"/>
      <c r="BN2" s="159"/>
      <c r="BO2" s="159"/>
      <c r="BP2" s="159"/>
      <c r="BQ2" s="159"/>
      <c r="BR2" s="159"/>
      <c r="BS2" s="159"/>
      <c r="BT2" s="159"/>
      <c r="BU2" s="159"/>
      <c r="BV2" s="159"/>
      <c r="BW2" s="159"/>
      <c r="BX2" s="159"/>
      <c r="BY2" s="159"/>
      <c r="BZ2" s="159"/>
      <c r="CA2" s="159"/>
      <c r="CB2" s="159"/>
      <c r="CC2" s="159"/>
      <c r="CD2" s="159"/>
    </row>
    <row r="3" spans="1:82" ht="12.75" customHeight="1">
      <c r="A3" s="159"/>
      <c r="B3" s="163" t="s">
        <v>1151</v>
      </c>
      <c r="C3" s="159"/>
      <c r="D3" s="160"/>
      <c r="E3" s="160"/>
      <c r="F3" s="160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R3" s="159"/>
      <c r="S3" s="161"/>
      <c r="T3" s="161"/>
      <c r="U3" s="159"/>
      <c r="V3" s="159"/>
      <c r="W3" s="159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9"/>
      <c r="AV3" s="159"/>
      <c r="AW3" s="159"/>
      <c r="AX3" s="159"/>
      <c r="AY3" s="159"/>
      <c r="AZ3" s="159"/>
      <c r="BA3" s="159"/>
      <c r="BB3" s="159" t="s">
        <v>3421</v>
      </c>
      <c r="BC3" s="159"/>
      <c r="BD3" s="159"/>
      <c r="BE3" s="159"/>
      <c r="BF3" s="159"/>
      <c r="BG3" s="159"/>
      <c r="BH3" s="159"/>
      <c r="BI3" s="159"/>
      <c r="BJ3" s="159"/>
      <c r="BK3" s="159"/>
      <c r="BL3" s="159"/>
      <c r="BM3" s="159"/>
      <c r="BN3" s="159"/>
      <c r="BO3" s="159"/>
      <c r="BP3" s="159"/>
      <c r="BQ3" s="159"/>
      <c r="BR3" s="159"/>
      <c r="BS3" s="159"/>
      <c r="BT3" s="159"/>
      <c r="BU3" s="159"/>
      <c r="BV3" s="159"/>
      <c r="BW3" s="159"/>
      <c r="BX3" s="159"/>
      <c r="BY3" s="159"/>
      <c r="BZ3" s="159"/>
      <c r="CA3" s="159"/>
      <c r="CB3" s="159"/>
      <c r="CC3" s="159"/>
      <c r="CD3" s="159"/>
    </row>
    <row r="4" spans="1:82" ht="12.75" customHeight="1">
      <c r="A4" s="159"/>
      <c r="B4" s="159"/>
      <c r="C4" s="159"/>
      <c r="D4" s="160"/>
      <c r="E4" s="160"/>
      <c r="F4" s="160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61"/>
      <c r="T4" s="161"/>
      <c r="U4" s="159"/>
      <c r="V4" s="159"/>
      <c r="W4" s="159"/>
      <c r="X4" s="159"/>
      <c r="Y4" s="159"/>
      <c r="Z4" s="159"/>
      <c r="AA4" s="159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9"/>
      <c r="AS4" s="159"/>
      <c r="AT4" s="159"/>
      <c r="AU4" s="159"/>
      <c r="AV4" s="159"/>
      <c r="AW4" s="159"/>
      <c r="AX4" s="159"/>
      <c r="AY4" s="159"/>
      <c r="AZ4" s="159"/>
      <c r="BA4" s="159"/>
      <c r="BB4" s="159" t="s">
        <v>3421</v>
      </c>
      <c r="BC4" s="159"/>
      <c r="BD4" s="159"/>
      <c r="BE4" s="159"/>
      <c r="BF4" s="159"/>
      <c r="BG4" s="159"/>
      <c r="BH4" s="159"/>
      <c r="BI4" s="159"/>
      <c r="BJ4" s="159"/>
      <c r="BK4" s="159"/>
      <c r="BL4" s="159"/>
      <c r="BM4" s="159"/>
      <c r="BN4" s="159"/>
      <c r="BO4" s="159"/>
      <c r="BP4" s="159"/>
      <c r="BQ4" s="159"/>
      <c r="BR4" s="159"/>
      <c r="BS4" s="159"/>
      <c r="BT4" s="159"/>
      <c r="BU4" s="159"/>
      <c r="BV4" s="159"/>
      <c r="BW4" s="159"/>
      <c r="BX4" s="159"/>
      <c r="BY4" s="159"/>
      <c r="BZ4" s="159"/>
      <c r="CA4" s="159"/>
      <c r="CB4" s="159"/>
      <c r="CC4" s="159"/>
      <c r="CD4" s="159"/>
    </row>
    <row r="5" spans="1:82" ht="12.75" customHeight="1">
      <c r="A5" s="165"/>
      <c r="B5" s="165"/>
      <c r="C5" s="165"/>
      <c r="D5" s="165"/>
      <c r="E5" s="165"/>
      <c r="F5" s="165"/>
      <c r="G5" s="165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  <c r="AD5" s="165"/>
      <c r="AE5" s="165"/>
      <c r="AF5" s="165"/>
      <c r="AG5" s="165"/>
      <c r="AH5" s="165"/>
      <c r="AI5" s="165"/>
      <c r="AJ5" s="165"/>
      <c r="AK5" s="165"/>
      <c r="AL5" s="165"/>
      <c r="AM5" s="165"/>
      <c r="AN5" s="165"/>
      <c r="AO5" s="165"/>
      <c r="AP5" s="165"/>
      <c r="AQ5" s="165"/>
      <c r="AR5" s="165"/>
      <c r="AS5" s="165"/>
      <c r="AT5" s="165"/>
      <c r="AU5" s="165"/>
      <c r="AV5" s="165"/>
      <c r="AW5" s="165"/>
      <c r="AX5" s="165"/>
      <c r="AY5" s="165"/>
      <c r="AZ5" s="165"/>
      <c r="BA5" s="165"/>
      <c r="BB5" s="165"/>
      <c r="BC5" s="165"/>
      <c r="BD5" s="165"/>
      <c r="BE5" s="165"/>
      <c r="BF5" s="165"/>
      <c r="BG5" s="165"/>
      <c r="BH5" s="165"/>
      <c r="BI5" s="165"/>
      <c r="BJ5" s="165"/>
      <c r="BK5" s="165"/>
      <c r="BL5" s="165"/>
      <c r="BM5" s="165"/>
      <c r="BN5" s="165"/>
      <c r="BO5" s="165"/>
      <c r="BP5" s="165"/>
      <c r="BQ5" s="165"/>
      <c r="BR5" s="165"/>
      <c r="BS5" s="165"/>
      <c r="BT5" s="165"/>
      <c r="BU5" s="165"/>
      <c r="BV5" s="165"/>
      <c r="BW5" s="165"/>
      <c r="BX5" s="165"/>
      <c r="BY5" s="165"/>
      <c r="BZ5" s="165"/>
      <c r="CA5" s="165"/>
      <c r="CB5" s="165"/>
      <c r="CC5" s="165"/>
      <c r="CD5" s="165"/>
    </row>
    <row r="6" spans="1:82" ht="12.75" customHeight="1">
      <c r="A6" s="164"/>
      <c r="B6" s="164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  <c r="AD6" s="165"/>
      <c r="AE6" s="165"/>
      <c r="AF6" s="165"/>
      <c r="AG6" s="165"/>
      <c r="AH6" s="165"/>
      <c r="AI6" s="165"/>
      <c r="AJ6" s="165"/>
      <c r="AK6" s="165"/>
      <c r="AL6" s="165"/>
      <c r="AM6" s="165"/>
      <c r="AN6" s="169"/>
      <c r="AO6" s="165"/>
      <c r="AP6" s="169"/>
      <c r="AQ6" s="165"/>
      <c r="AR6" s="165"/>
      <c r="AS6" s="165"/>
      <c r="AT6" s="168"/>
      <c r="AU6" s="165"/>
      <c r="AV6" s="165"/>
      <c r="AW6" s="165"/>
      <c r="AX6" s="165"/>
      <c r="AY6" s="165"/>
      <c r="AZ6" s="165"/>
      <c r="BA6" s="165"/>
      <c r="BB6" s="165"/>
      <c r="BC6" s="165"/>
      <c r="BD6" s="165"/>
      <c r="BE6" s="165"/>
      <c r="BF6" s="165"/>
      <c r="BG6" s="165"/>
      <c r="BH6" s="165"/>
      <c r="BI6" s="165"/>
      <c r="BJ6" s="165"/>
      <c r="BK6" s="165"/>
      <c r="BL6" s="165"/>
      <c r="BM6" s="165"/>
      <c r="BN6" s="165"/>
      <c r="BO6" s="165"/>
      <c r="BP6" s="165"/>
      <c r="BQ6" s="165"/>
      <c r="BR6" s="165"/>
      <c r="BS6" s="165"/>
      <c r="BT6" s="165"/>
      <c r="BU6" s="165"/>
      <c r="BV6" s="165"/>
      <c r="BW6" s="165"/>
      <c r="BX6" s="165"/>
      <c r="BY6" s="165"/>
      <c r="BZ6" s="165"/>
      <c r="CA6" s="165"/>
      <c r="CB6" s="165"/>
      <c r="CC6" s="165"/>
      <c r="CD6" s="165"/>
    </row>
    <row r="7" spans="1:82" ht="12.75" customHeight="1">
      <c r="A7" s="164"/>
      <c r="B7" s="164"/>
      <c r="C7" s="165"/>
      <c r="D7" s="165"/>
      <c r="E7" s="165"/>
      <c r="F7" s="165"/>
      <c r="G7" s="165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  <c r="AD7" s="165"/>
      <c r="AE7" s="165"/>
      <c r="AF7" s="165"/>
      <c r="AG7" s="165"/>
      <c r="AH7" s="165"/>
      <c r="AI7" s="165"/>
      <c r="AJ7" s="165"/>
      <c r="AK7" s="165"/>
      <c r="AL7" s="165"/>
      <c r="AM7" s="165"/>
      <c r="AN7" s="169"/>
      <c r="AO7" s="165"/>
      <c r="AP7" s="165"/>
      <c r="AQ7" s="165"/>
      <c r="AR7" s="165"/>
      <c r="AS7" s="165"/>
      <c r="AT7" s="165"/>
      <c r="AU7" s="464"/>
      <c r="AV7" s="165"/>
      <c r="AW7" s="165"/>
      <c r="AX7" s="165"/>
      <c r="AY7" s="165"/>
      <c r="AZ7" s="464"/>
      <c r="BA7" s="165"/>
      <c r="BB7" s="165"/>
      <c r="BC7" s="165"/>
      <c r="BD7" s="165"/>
      <c r="BE7" s="464"/>
      <c r="BF7" s="165"/>
      <c r="BG7" s="165"/>
      <c r="BH7" s="165"/>
      <c r="BI7" s="165"/>
      <c r="BJ7" s="171"/>
      <c r="BK7" s="165"/>
      <c r="BL7" s="165"/>
      <c r="BM7" s="165"/>
      <c r="BN7" s="165"/>
      <c r="BO7" s="171"/>
      <c r="BP7" s="165"/>
      <c r="BQ7" s="165"/>
      <c r="BR7" s="165"/>
      <c r="BS7" s="165"/>
      <c r="BT7" s="165"/>
      <c r="BU7" s="165"/>
      <c r="BV7" s="165"/>
      <c r="BW7" s="165"/>
      <c r="BX7" s="165"/>
      <c r="BY7" s="165"/>
      <c r="BZ7" s="165"/>
      <c r="CA7" s="165"/>
      <c r="CB7" s="165"/>
      <c r="CC7" s="165"/>
      <c r="CD7" s="165"/>
    </row>
    <row r="8" spans="1:82" ht="12.75" customHeight="1">
      <c r="A8" s="188" t="s">
        <v>1152</v>
      </c>
      <c r="B8" s="164"/>
      <c r="C8" s="167"/>
      <c r="D8" s="189"/>
      <c r="E8" s="167"/>
      <c r="F8" s="167"/>
      <c r="G8" s="167"/>
      <c r="H8" s="167"/>
      <c r="I8" s="167"/>
      <c r="J8" s="167"/>
      <c r="K8" s="167"/>
      <c r="L8" s="167"/>
      <c r="M8" s="167"/>
      <c r="N8" s="167"/>
      <c r="O8" s="167"/>
      <c r="P8" s="167"/>
      <c r="Q8" s="167"/>
      <c r="R8" s="167"/>
      <c r="S8" s="167"/>
      <c r="T8" s="167"/>
      <c r="U8" s="167"/>
      <c r="V8" s="167"/>
      <c r="W8" s="167"/>
      <c r="X8" s="167"/>
      <c r="Y8" s="167"/>
      <c r="Z8" s="167"/>
      <c r="AA8" s="167"/>
      <c r="AB8" s="167"/>
      <c r="AC8" s="167"/>
      <c r="AD8" s="167"/>
      <c r="AE8" s="167"/>
      <c r="AF8" s="167"/>
      <c r="AG8" s="167"/>
      <c r="AH8" s="167"/>
      <c r="AI8" s="167"/>
      <c r="AJ8" s="167"/>
      <c r="AK8" s="167"/>
      <c r="AL8" s="167"/>
      <c r="AM8" s="167"/>
      <c r="AN8" s="167"/>
      <c r="AO8" s="167"/>
      <c r="AP8" s="167"/>
      <c r="AQ8" s="167"/>
      <c r="AR8" s="167"/>
      <c r="AS8" s="167"/>
      <c r="AT8" s="167"/>
      <c r="AU8" s="168"/>
      <c r="AV8" s="167"/>
      <c r="AW8" s="167"/>
      <c r="AX8" s="167"/>
      <c r="AY8" s="167"/>
      <c r="AZ8" s="168"/>
      <c r="BA8" s="167"/>
      <c r="BB8" s="167"/>
      <c r="BC8" s="167"/>
      <c r="BD8" s="167"/>
      <c r="BE8" s="167"/>
      <c r="BF8" s="167"/>
      <c r="BG8" s="167"/>
      <c r="BH8" s="167"/>
      <c r="BI8" s="167"/>
      <c r="BJ8" s="167"/>
      <c r="BK8" s="167"/>
      <c r="BL8" s="167"/>
      <c r="BM8" s="167"/>
      <c r="BN8" s="167"/>
      <c r="BO8" s="167"/>
      <c r="BP8" s="167"/>
      <c r="BQ8" s="167"/>
      <c r="BR8" s="167"/>
      <c r="BS8" s="167"/>
      <c r="BT8" s="167"/>
      <c r="BU8" s="167"/>
      <c r="BV8" s="167"/>
      <c r="BW8" s="167"/>
      <c r="BX8" s="167"/>
      <c r="BY8" s="167"/>
      <c r="BZ8" s="167"/>
      <c r="CA8" s="167"/>
      <c r="CB8" s="167"/>
      <c r="CC8" s="167"/>
      <c r="CD8" s="167"/>
    </row>
    <row r="9" spans="1:82" ht="12.75" customHeight="1">
      <c r="A9" s="190"/>
      <c r="B9" s="190"/>
      <c r="C9" s="191">
        <v>2001</v>
      </c>
      <c r="D9" s="192">
        <v>2002</v>
      </c>
      <c r="E9" s="192">
        <v>2003</v>
      </c>
      <c r="F9" s="192">
        <v>2004</v>
      </c>
      <c r="G9" s="191">
        <v>2005</v>
      </c>
      <c r="H9" s="193" t="s">
        <v>714</v>
      </c>
      <c r="I9" s="193" t="s">
        <v>715</v>
      </c>
      <c r="J9" s="193" t="s">
        <v>716</v>
      </c>
      <c r="K9" s="193" t="s">
        <v>717</v>
      </c>
      <c r="L9" s="191">
        <v>2006</v>
      </c>
      <c r="M9" s="193" t="s">
        <v>718</v>
      </c>
      <c r="N9" s="193" t="s">
        <v>719</v>
      </c>
      <c r="O9" s="193" t="s">
        <v>1970</v>
      </c>
      <c r="P9" s="193" t="s">
        <v>1971</v>
      </c>
      <c r="Q9" s="191">
        <v>2007</v>
      </c>
      <c r="R9" s="193" t="s">
        <v>1972</v>
      </c>
      <c r="S9" s="193" t="s">
        <v>1973</v>
      </c>
      <c r="T9" s="193" t="s">
        <v>1974</v>
      </c>
      <c r="U9" s="193" t="s">
        <v>1975</v>
      </c>
      <c r="V9" s="191">
        <v>2008</v>
      </c>
      <c r="W9" s="193" t="s">
        <v>1976</v>
      </c>
      <c r="X9" s="193" t="s">
        <v>1977</v>
      </c>
      <c r="Y9" s="193" t="s">
        <v>1978</v>
      </c>
      <c r="Z9" s="193" t="s">
        <v>1979</v>
      </c>
      <c r="AA9" s="191">
        <v>2009</v>
      </c>
      <c r="AB9" s="193" t="s">
        <v>1980</v>
      </c>
      <c r="AC9" s="193" t="s">
        <v>1981</v>
      </c>
      <c r="AD9" s="193" t="s">
        <v>1982</v>
      </c>
      <c r="AE9" s="193" t="s">
        <v>2392</v>
      </c>
      <c r="AF9" s="191">
        <v>2010</v>
      </c>
      <c r="AG9" s="193" t="s">
        <v>2393</v>
      </c>
      <c r="AH9" s="193" t="s">
        <v>2394</v>
      </c>
      <c r="AI9" s="193" t="s">
        <v>2395</v>
      </c>
      <c r="AJ9" s="368" t="s">
        <v>2396</v>
      </c>
      <c r="AK9" s="369">
        <v>2011</v>
      </c>
      <c r="AL9" s="368" t="s">
        <v>2397</v>
      </c>
      <c r="AM9" s="368" t="s">
        <v>2398</v>
      </c>
      <c r="AN9" s="368" t="s">
        <v>2399</v>
      </c>
      <c r="AO9" s="368" t="s">
        <v>2400</v>
      </c>
      <c r="AP9" s="369">
        <v>2012</v>
      </c>
      <c r="AQ9" s="368" t="s">
        <v>2401</v>
      </c>
      <c r="AR9" s="368" t="s">
        <v>2402</v>
      </c>
      <c r="AS9" s="368" t="s">
        <v>2403</v>
      </c>
      <c r="AT9" s="368" t="s">
        <v>2404</v>
      </c>
      <c r="AU9" s="369">
        <v>2013</v>
      </c>
      <c r="AV9" s="368" t="s">
        <v>2405</v>
      </c>
      <c r="AW9" s="368" t="s">
        <v>2406</v>
      </c>
      <c r="AX9" s="368" t="s">
        <v>2407</v>
      </c>
      <c r="AY9" s="368" t="s">
        <v>2408</v>
      </c>
      <c r="AZ9" s="369">
        <v>2014</v>
      </c>
      <c r="BA9" s="368" t="s">
        <v>2409</v>
      </c>
      <c r="BB9" s="368" t="s">
        <v>2410</v>
      </c>
      <c r="BC9" s="368" t="s">
        <v>2411</v>
      </c>
      <c r="BD9" s="368" t="s">
        <v>2412</v>
      </c>
      <c r="BE9" s="31">
        <v>2015</v>
      </c>
      <c r="BF9" s="368" t="s">
        <v>2413</v>
      </c>
      <c r="BG9" s="368" t="s">
        <v>2414</v>
      </c>
      <c r="BH9" s="368" t="s">
        <v>2415</v>
      </c>
      <c r="BI9" s="368" t="s">
        <v>2416</v>
      </c>
      <c r="BJ9" s="31">
        <v>2016</v>
      </c>
      <c r="BK9" s="368" t="s">
        <v>2417</v>
      </c>
      <c r="BL9" s="368" t="s">
        <v>2418</v>
      </c>
      <c r="BM9" s="368" t="s">
        <v>2419</v>
      </c>
      <c r="BN9" s="368" t="s">
        <v>2420</v>
      </c>
      <c r="BO9" s="31">
        <v>2017</v>
      </c>
      <c r="BP9" s="363" t="s">
        <v>2244</v>
      </c>
      <c r="BQ9" s="363" t="s">
        <v>2245</v>
      </c>
      <c r="BR9" s="363" t="s">
        <v>2508</v>
      </c>
      <c r="BS9" s="363" t="s">
        <v>2509</v>
      </c>
      <c r="BT9" s="364">
        <v>2018</v>
      </c>
      <c r="BU9" s="363" t="s">
        <v>2510</v>
      </c>
      <c r="BV9" s="363" t="s">
        <v>2511</v>
      </c>
      <c r="BW9" s="363" t="s">
        <v>3125</v>
      </c>
      <c r="BX9" s="363" t="s">
        <v>1405</v>
      </c>
      <c r="BY9" s="364">
        <v>2019</v>
      </c>
      <c r="BZ9" s="363" t="s">
        <v>1406</v>
      </c>
      <c r="CA9" s="363" t="s">
        <v>1407</v>
      </c>
      <c r="CB9" s="363" t="s">
        <v>1408</v>
      </c>
      <c r="CC9" s="363" t="s">
        <v>1409</v>
      </c>
      <c r="CD9" s="364">
        <v>2020</v>
      </c>
    </row>
    <row r="10" spans="1:82" ht="12.75" customHeight="1">
      <c r="A10" s="164" t="s">
        <v>2514</v>
      </c>
      <c r="B10" s="164"/>
      <c r="C10" s="165"/>
      <c r="D10" s="165"/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/>
      <c r="AJ10" s="231"/>
      <c r="AK10" s="165"/>
      <c r="AL10" s="165"/>
      <c r="AM10" s="165"/>
      <c r="AN10" s="165"/>
      <c r="AO10" s="165"/>
      <c r="AP10" s="165"/>
      <c r="AQ10" s="165"/>
      <c r="AR10" s="165"/>
      <c r="AS10" s="165"/>
      <c r="AT10" s="165"/>
      <c r="AU10" s="165"/>
      <c r="AV10" s="165"/>
      <c r="AW10" s="165"/>
      <c r="AX10" s="165"/>
      <c r="AY10" s="165"/>
      <c r="AZ10" s="165"/>
      <c r="BA10" s="165"/>
      <c r="BB10" s="165"/>
      <c r="BC10" s="165"/>
      <c r="BD10" s="165"/>
      <c r="BE10" s="169"/>
      <c r="BF10" s="165"/>
      <c r="BG10" s="165"/>
      <c r="BH10" s="165"/>
      <c r="BI10" s="165"/>
      <c r="BJ10" s="165"/>
      <c r="BK10" s="165"/>
      <c r="BL10" s="165"/>
      <c r="BM10" s="247"/>
      <c r="BN10" s="247"/>
      <c r="BO10" s="165"/>
      <c r="BP10" s="165"/>
      <c r="BQ10" s="165"/>
      <c r="BR10" s="165"/>
      <c r="BS10" s="165"/>
      <c r="BT10" s="165"/>
      <c r="BU10" s="165"/>
      <c r="BV10" s="165"/>
      <c r="BW10" s="165"/>
      <c r="BX10" s="165"/>
      <c r="BY10" s="165"/>
      <c r="BZ10" s="165"/>
      <c r="CA10" s="165"/>
      <c r="CB10" s="165"/>
      <c r="CC10" s="165"/>
      <c r="CD10" s="165"/>
    </row>
    <row r="11" spans="1:82" ht="12.75" customHeight="1">
      <c r="A11" s="230"/>
      <c r="B11" s="230" t="s">
        <v>1022</v>
      </c>
      <c r="C11" s="170">
        <v>21.5</v>
      </c>
      <c r="D11" s="170">
        <v>23.5</v>
      </c>
      <c r="E11" s="170">
        <v>25.5</v>
      </c>
      <c r="F11" s="170">
        <v>27.7</v>
      </c>
      <c r="G11" s="170">
        <v>34.85</v>
      </c>
      <c r="H11" s="480">
        <v>9.375</v>
      </c>
      <c r="I11" s="480">
        <v>9.375</v>
      </c>
      <c r="J11" s="480">
        <v>9.8249999999999993</v>
      </c>
      <c r="K11" s="480">
        <v>9.8249999999999993</v>
      </c>
      <c r="L11" s="170">
        <f>SUM(H11:K11)</f>
        <v>38.4</v>
      </c>
      <c r="M11" s="480">
        <v>10.324999999999999</v>
      </c>
      <c r="N11" s="480">
        <v>10.324999999999999</v>
      </c>
      <c r="O11" s="480">
        <v>10.824999999999999</v>
      </c>
      <c r="P11" s="480">
        <v>10.824999999999999</v>
      </c>
      <c r="Q11" s="170">
        <v>42.3</v>
      </c>
      <c r="R11" s="480">
        <v>13.525</v>
      </c>
      <c r="S11" s="480">
        <v>13.525</v>
      </c>
      <c r="T11" s="480">
        <v>14</v>
      </c>
      <c r="U11" s="480">
        <v>14</v>
      </c>
      <c r="V11" s="170">
        <v>55.05</v>
      </c>
      <c r="W11" s="480">
        <v>14</v>
      </c>
      <c r="X11" s="480">
        <v>14</v>
      </c>
      <c r="Y11" s="480">
        <v>14</v>
      </c>
      <c r="Z11" s="480">
        <v>14</v>
      </c>
      <c r="AA11" s="170">
        <v>56</v>
      </c>
      <c r="AB11" s="480">
        <v>14</v>
      </c>
      <c r="AC11" s="480">
        <v>0</v>
      </c>
      <c r="AD11" s="480">
        <v>0</v>
      </c>
      <c r="AE11" s="480">
        <v>0</v>
      </c>
      <c r="AF11" s="170">
        <v>14</v>
      </c>
      <c r="AG11" s="480">
        <v>7</v>
      </c>
      <c r="AH11" s="480">
        <v>7</v>
      </c>
      <c r="AI11" s="480">
        <v>7</v>
      </c>
      <c r="AJ11" s="480">
        <v>8</v>
      </c>
      <c r="AK11" s="170">
        <f>SUM(AG11:AJ11)</f>
        <v>29</v>
      </c>
      <c r="AL11" s="480">
        <v>8</v>
      </c>
      <c r="AM11" s="480">
        <v>8</v>
      </c>
      <c r="AN11" s="480">
        <v>9</v>
      </c>
      <c r="AO11" s="480">
        <v>9</v>
      </c>
      <c r="AP11" s="170">
        <f>SUM(AL11:AO11)</f>
        <v>34</v>
      </c>
      <c r="AQ11" s="480">
        <v>9</v>
      </c>
      <c r="AR11" s="480">
        <v>9</v>
      </c>
      <c r="AS11" s="480">
        <v>9.5</v>
      </c>
      <c r="AT11" s="480">
        <v>9.5</v>
      </c>
      <c r="AU11" s="170">
        <f>SUM(AQ11:AT11)</f>
        <v>37</v>
      </c>
      <c r="AV11" s="480">
        <v>9.75</v>
      </c>
      <c r="AW11" s="480">
        <v>9.75</v>
      </c>
      <c r="AX11" s="480">
        <v>10</v>
      </c>
      <c r="AY11" s="480">
        <v>10</v>
      </c>
      <c r="AZ11" s="170">
        <f>SUM(AV11:AY11)</f>
        <v>39.5</v>
      </c>
      <c r="BA11" s="480">
        <v>10</v>
      </c>
      <c r="BB11" s="480">
        <v>10</v>
      </c>
      <c r="BC11" s="480">
        <v>10</v>
      </c>
      <c r="BD11" s="480">
        <v>10</v>
      </c>
      <c r="BE11" s="170">
        <f>SUM(BA11:BD11)</f>
        <v>40</v>
      </c>
      <c r="BF11" s="480">
        <v>10</v>
      </c>
      <c r="BG11" s="480">
        <v>10</v>
      </c>
      <c r="BH11" s="480">
        <v>10</v>
      </c>
      <c r="BI11" s="480">
        <v>10</v>
      </c>
      <c r="BJ11" s="170">
        <f>SUM(BF11:BI11)</f>
        <v>40</v>
      </c>
      <c r="BK11" s="480">
        <v>10</v>
      </c>
      <c r="BL11" s="480">
        <v>10</v>
      </c>
      <c r="BM11" s="731">
        <v>10</v>
      </c>
      <c r="BN11" s="731">
        <v>10</v>
      </c>
      <c r="BO11" s="170">
        <f>SUM(BK11:BN11)</f>
        <v>40</v>
      </c>
      <c r="BP11" s="532">
        <v>10</v>
      </c>
      <c r="BQ11" s="532">
        <v>10</v>
      </c>
      <c r="BR11" s="532">
        <v>10</v>
      </c>
      <c r="BS11" s="532">
        <v>10</v>
      </c>
      <c r="BT11" s="170">
        <f t="shared" ref="BT11" si="0">SUM(BP11:BS11)</f>
        <v>40</v>
      </c>
      <c r="BU11" s="532">
        <v>10</v>
      </c>
      <c r="BV11" s="532">
        <v>10</v>
      </c>
      <c r="BW11" s="532">
        <v>10</v>
      </c>
      <c r="BX11" s="532">
        <v>10</v>
      </c>
      <c r="BY11" s="170">
        <f t="shared" ref="BY11" si="1">SUM(BU11:BX11)</f>
        <v>40</v>
      </c>
      <c r="BZ11" s="532">
        <v>10</v>
      </c>
      <c r="CA11" s="532">
        <v>10</v>
      </c>
      <c r="CB11" s="532">
        <v>10</v>
      </c>
      <c r="CC11" s="532">
        <v>10</v>
      </c>
      <c r="CD11" s="170">
        <f t="shared" ref="CD11" si="2">SUM(BZ11:CC11)</f>
        <v>40</v>
      </c>
    </row>
    <row r="12" spans="1:82" ht="12.75" customHeight="1">
      <c r="A12" s="230"/>
      <c r="B12" s="230" t="s">
        <v>1023</v>
      </c>
      <c r="C12" s="230">
        <v>14.997999999999999</v>
      </c>
      <c r="D12" s="230">
        <v>15.878</v>
      </c>
      <c r="E12" s="230">
        <v>15.657999999999999</v>
      </c>
      <c r="F12" s="230">
        <v>15.250999999999999</v>
      </c>
      <c r="G12" s="230">
        <v>19.152000000000001</v>
      </c>
      <c r="H12" s="231">
        <v>5.2880000000000003</v>
      </c>
      <c r="I12" s="231">
        <v>5.2510000000000003</v>
      </c>
      <c r="J12" s="231">
        <v>5.3239999999999998</v>
      </c>
      <c r="K12" s="231">
        <v>5.2409999999999997</v>
      </c>
      <c r="L12" s="230">
        <f>SUM(H12:K12)</f>
        <v>21.103999999999999</v>
      </c>
      <c r="M12" s="231">
        <v>5.258</v>
      </c>
      <c r="N12" s="231">
        <v>5.1509999999999998</v>
      </c>
      <c r="O12" s="231">
        <v>5.2779999999999996</v>
      </c>
      <c r="P12" s="231">
        <v>5.3079999999999998</v>
      </c>
      <c r="Q12" s="230">
        <v>20.995000000000001</v>
      </c>
      <c r="R12" s="231">
        <v>6.8129999999999997</v>
      </c>
      <c r="S12" s="231">
        <v>6.83</v>
      </c>
      <c r="T12" s="231">
        <v>7.0389999999999997</v>
      </c>
      <c r="U12" s="231">
        <v>8.7050000000000001</v>
      </c>
      <c r="V12" s="230">
        <v>29.387</v>
      </c>
      <c r="W12" s="231">
        <v>9.8179999999999996</v>
      </c>
      <c r="X12" s="231">
        <v>9.5839999999999996</v>
      </c>
      <c r="Y12" s="231">
        <v>8.5030000000000001</v>
      </c>
      <c r="Z12" s="231">
        <v>8.5120000000000005</v>
      </c>
      <c r="AA12" s="230">
        <v>36.417000000000002</v>
      </c>
      <c r="AB12" s="231">
        <v>8.6790000000000003</v>
      </c>
      <c r="AC12" s="231">
        <v>0</v>
      </c>
      <c r="AD12" s="231">
        <v>0</v>
      </c>
      <c r="AE12" s="231">
        <v>0</v>
      </c>
      <c r="AF12" s="230">
        <v>8.6790000000000003</v>
      </c>
      <c r="AG12" s="231">
        <v>4.3372000000000002</v>
      </c>
      <c r="AH12" s="231">
        <v>4.2808999999999999</v>
      </c>
      <c r="AI12" s="231">
        <v>4.3159999999999998</v>
      </c>
      <c r="AJ12" s="231">
        <f>AJ11/'Key assumptions'!AJ$50</f>
        <v>5.0955414012738851</v>
      </c>
      <c r="AK12" s="230">
        <f>SUM(AG12:AJ12)</f>
        <v>18.029641401273885</v>
      </c>
      <c r="AL12" s="231">
        <f>AL11/'Key assumptions'!AL$50</f>
        <v>5.0955414012738851</v>
      </c>
      <c r="AM12" s="231">
        <f>AM11/'Key assumptions'!AM$50</f>
        <v>5.0632911392405058</v>
      </c>
      <c r="AN12" s="231">
        <f>AN11/'Key assumptions'!AN$50</f>
        <v>5.6962025316455698</v>
      </c>
      <c r="AO12" s="231">
        <f>AO11/'Key assumptions'!AO$50</f>
        <v>5.6038766750897766</v>
      </c>
      <c r="AP12" s="230">
        <f>SUM(AL12:AO12)</f>
        <v>21.458911747249736</v>
      </c>
      <c r="AQ12" s="231">
        <f>AQ11/'Key assumptions'!AQ$50</f>
        <v>5.7971189526538405</v>
      </c>
      <c r="AR12" s="231">
        <f>AR11/'Key assumptions'!AR$50</f>
        <v>5.861485580995959</v>
      </c>
      <c r="AS12" s="231">
        <f>AS11/'Key assumptions'!AS$50</f>
        <v>6.1270438137378678</v>
      </c>
      <c r="AT12" s="231">
        <f>AT11/'Key assumptions'!AT$50</f>
        <v>5.8641975308641969</v>
      </c>
      <c r="AU12" s="230">
        <f>SUM(AQ12:AT12)</f>
        <v>23.649845878251863</v>
      </c>
      <c r="AV12" s="231">
        <f>AV11/'Key assumptions'!AV$50</f>
        <v>5.8734939759036147</v>
      </c>
      <c r="AW12" s="231">
        <f>AW11/'Key assumptions'!AW$50</f>
        <v>5.8035714285714288</v>
      </c>
      <c r="AX12" s="231">
        <f>AX11/'Key assumptions'!AX$50</f>
        <v>5.9880239520958085</v>
      </c>
      <c r="AY12" s="231">
        <f>AY11/'Key assumptions'!AY$50</f>
        <v>6.3291139240506329</v>
      </c>
      <c r="AZ12" s="230">
        <f>SUM(AV12:AY12)</f>
        <v>23.994203280621484</v>
      </c>
      <c r="BA12" s="231">
        <f>BA11/'Key assumptions'!BA$50</f>
        <v>6.6225165562913908</v>
      </c>
      <c r="BB12" s="231">
        <f>BB11/'Key assumptions'!BB$50</f>
        <v>6.5359477124183005</v>
      </c>
      <c r="BC12" s="231">
        <f>BC11/'Key assumptions'!BC$50</f>
        <v>6.4516129032258061</v>
      </c>
      <c r="BD12" s="231">
        <f>BD11/'Key assumptions'!BD$50</f>
        <v>6.5789473684210522</v>
      </c>
      <c r="BE12" s="230">
        <f>SUM(BA12:BD12)</f>
        <v>26.189024540356549</v>
      </c>
      <c r="BF12" s="231">
        <f>BF11/'Key assumptions'!BF$50</f>
        <v>6.9930069930069934</v>
      </c>
      <c r="BG12" s="231">
        <f>BG11/'Key assumptions'!BG$50</f>
        <v>6.9930069930069934</v>
      </c>
      <c r="BH12" s="231">
        <f>BH11/'Key assumptions'!BH$50</f>
        <v>7.6335877862595414</v>
      </c>
      <c r="BI12" s="231">
        <f>BI11/'Key assumptions'!BI$50</f>
        <v>8.064516129032258</v>
      </c>
      <c r="BJ12" s="230">
        <f>SUM(BF12:BI12)</f>
        <v>29.684117901305783</v>
      </c>
      <c r="BK12" s="231">
        <f>BK11/'Key assumptions'!BK$50</f>
        <v>8.064516129032258</v>
      </c>
      <c r="BL12" s="231">
        <f>BL11/'Key assumptions'!BL$50</f>
        <v>7.8125</v>
      </c>
      <c r="BM12" s="732">
        <f>BM11/'Key assumptions'!BM$50</f>
        <v>7.6335877862595414</v>
      </c>
      <c r="BN12" s="732">
        <f>BN11/'Key assumptions'!BN$50</f>
        <v>7.518796992481203</v>
      </c>
      <c r="BO12" s="230">
        <f>SUM(BK12:BN12)</f>
        <v>31.029400907773002</v>
      </c>
      <c r="BP12" s="231">
        <f>BP11/'Key assumptions'!BP$50</f>
        <v>7.1869025887223117</v>
      </c>
      <c r="BQ12" s="231">
        <f>BQ11/'Key assumptions'!BQ$50</f>
        <v>7.4074074074074066</v>
      </c>
      <c r="BR12" s="231">
        <f>BR11/'Key assumptions'!BR$50</f>
        <v>7.4074074074074066</v>
      </c>
      <c r="BS12" s="231">
        <f>BS11/'Key assumptions'!BS$50</f>
        <v>7.4074074074074066</v>
      </c>
      <c r="BT12" s="230">
        <f>SUM(BP12:BS12)</f>
        <v>29.409124810944533</v>
      </c>
      <c r="BU12" s="231">
        <f>BU11/'Key assumptions'!BU$50</f>
        <v>7.4074074074074066</v>
      </c>
      <c r="BV12" s="231">
        <f>BV11/'Key assumptions'!BV$50</f>
        <v>7.4074074074074066</v>
      </c>
      <c r="BW12" s="231">
        <f>BW11/'Key assumptions'!BW$50</f>
        <v>7.4074074074074066</v>
      </c>
      <c r="BX12" s="231">
        <f>BX11/'Key assumptions'!BX$50</f>
        <v>7.4074074074074066</v>
      </c>
      <c r="BY12" s="230">
        <f>SUM(BU12:BX12)</f>
        <v>29.629629629629626</v>
      </c>
      <c r="BZ12" s="231">
        <f>BZ11/'Key assumptions'!BZ$50</f>
        <v>7.4074074074074066</v>
      </c>
      <c r="CA12" s="231">
        <f>CA11/'Key assumptions'!CA$50</f>
        <v>7.4074074074074066</v>
      </c>
      <c r="CB12" s="231">
        <f>CB11/'Key assumptions'!CB$50</f>
        <v>7.4074074074074066</v>
      </c>
      <c r="CC12" s="231">
        <f>CC11/'Key assumptions'!CC$50</f>
        <v>7.4074074074074066</v>
      </c>
      <c r="CD12" s="230">
        <f>SUM(BZ12:CC12)</f>
        <v>29.629629629629626</v>
      </c>
    </row>
    <row r="13" spans="1:82" ht="12.75" customHeight="1">
      <c r="A13" s="164" t="s">
        <v>1291</v>
      </c>
      <c r="B13" s="230"/>
      <c r="C13" s="230">
        <v>129</v>
      </c>
      <c r="D13" s="230">
        <v>141</v>
      </c>
      <c r="E13" s="230">
        <v>153</v>
      </c>
      <c r="F13" s="230">
        <v>166.2</v>
      </c>
      <c r="G13" s="230">
        <v>209.1</v>
      </c>
      <c r="H13" s="231">
        <v>56.25</v>
      </c>
      <c r="I13" s="231">
        <v>56.25</v>
      </c>
      <c r="J13" s="231">
        <v>58.95</v>
      </c>
      <c r="K13" s="231">
        <v>58.95</v>
      </c>
      <c r="L13" s="230">
        <f>SUM(H13:K13)</f>
        <v>230.39999999999998</v>
      </c>
      <c r="M13" s="231">
        <v>61.95</v>
      </c>
      <c r="N13" s="231">
        <v>61.95</v>
      </c>
      <c r="O13" s="231">
        <v>64.95</v>
      </c>
      <c r="P13" s="231">
        <v>64.95</v>
      </c>
      <c r="Q13" s="230">
        <v>253.8</v>
      </c>
      <c r="R13" s="231">
        <v>81.150000000000006</v>
      </c>
      <c r="S13" s="231">
        <v>81.150000000000006</v>
      </c>
      <c r="T13" s="231">
        <v>84</v>
      </c>
      <c r="U13" s="231">
        <v>84</v>
      </c>
      <c r="V13" s="230">
        <v>330.3</v>
      </c>
      <c r="W13" s="231">
        <v>84</v>
      </c>
      <c r="X13" s="231">
        <v>84</v>
      </c>
      <c r="Y13" s="231">
        <v>84</v>
      </c>
      <c r="Z13" s="231">
        <v>84</v>
      </c>
      <c r="AA13" s="230">
        <v>336</v>
      </c>
      <c r="AB13" s="231">
        <v>84</v>
      </c>
      <c r="AC13" s="231">
        <v>0</v>
      </c>
      <c r="AD13" s="231">
        <v>0</v>
      </c>
      <c r="AE13" s="231">
        <v>0</v>
      </c>
      <c r="AF13" s="230">
        <v>84</v>
      </c>
      <c r="AG13" s="231">
        <v>42</v>
      </c>
      <c r="AH13" s="231">
        <f>AH11*6</f>
        <v>42</v>
      </c>
      <c r="AI13" s="231">
        <f t="shared" ref="AI13:CD13" si="3">AI11*6</f>
        <v>42</v>
      </c>
      <c r="AJ13" s="231">
        <f t="shared" si="3"/>
        <v>48</v>
      </c>
      <c r="AK13" s="230">
        <f t="shared" si="3"/>
        <v>174</v>
      </c>
      <c r="AL13" s="231">
        <f t="shared" si="3"/>
        <v>48</v>
      </c>
      <c r="AM13" s="231">
        <f t="shared" si="3"/>
        <v>48</v>
      </c>
      <c r="AN13" s="231">
        <f t="shared" si="3"/>
        <v>54</v>
      </c>
      <c r="AO13" s="231">
        <f t="shared" si="3"/>
        <v>54</v>
      </c>
      <c r="AP13" s="230">
        <f t="shared" si="3"/>
        <v>204</v>
      </c>
      <c r="AQ13" s="231">
        <f t="shared" si="3"/>
        <v>54</v>
      </c>
      <c r="AR13" s="231">
        <f t="shared" si="3"/>
        <v>54</v>
      </c>
      <c r="AS13" s="231">
        <f t="shared" si="3"/>
        <v>57</v>
      </c>
      <c r="AT13" s="231">
        <f t="shared" si="3"/>
        <v>57</v>
      </c>
      <c r="AU13" s="230">
        <f t="shared" si="3"/>
        <v>222</v>
      </c>
      <c r="AV13" s="231">
        <f t="shared" si="3"/>
        <v>58.5</v>
      </c>
      <c r="AW13" s="231">
        <f t="shared" si="3"/>
        <v>58.5</v>
      </c>
      <c r="AX13" s="231">
        <f t="shared" si="3"/>
        <v>60</v>
      </c>
      <c r="AY13" s="231">
        <f t="shared" si="3"/>
        <v>60</v>
      </c>
      <c r="AZ13" s="230">
        <f>AZ11*6</f>
        <v>237</v>
      </c>
      <c r="BA13" s="231">
        <f t="shared" si="3"/>
        <v>60</v>
      </c>
      <c r="BB13" s="231">
        <f t="shared" si="3"/>
        <v>60</v>
      </c>
      <c r="BC13" s="231">
        <f t="shared" si="3"/>
        <v>60</v>
      </c>
      <c r="BD13" s="231">
        <f t="shared" si="3"/>
        <v>60</v>
      </c>
      <c r="BE13" s="230">
        <f t="shared" si="3"/>
        <v>240</v>
      </c>
      <c r="BF13" s="231">
        <f>BF11*6</f>
        <v>60</v>
      </c>
      <c r="BG13" s="231">
        <f t="shared" si="3"/>
        <v>60</v>
      </c>
      <c r="BH13" s="231">
        <f t="shared" si="3"/>
        <v>60</v>
      </c>
      <c r="BI13" s="231">
        <f t="shared" si="3"/>
        <v>60</v>
      </c>
      <c r="BJ13" s="230">
        <f t="shared" si="3"/>
        <v>240</v>
      </c>
      <c r="BK13" s="231">
        <f t="shared" si="3"/>
        <v>60</v>
      </c>
      <c r="BL13" s="231">
        <f t="shared" si="3"/>
        <v>60</v>
      </c>
      <c r="BM13" s="732">
        <f t="shared" si="3"/>
        <v>60</v>
      </c>
      <c r="BN13" s="732">
        <f t="shared" si="3"/>
        <v>60</v>
      </c>
      <c r="BO13" s="230">
        <f t="shared" si="3"/>
        <v>240</v>
      </c>
      <c r="BP13" s="231">
        <f t="shared" si="3"/>
        <v>60</v>
      </c>
      <c r="BQ13" s="231">
        <f t="shared" si="3"/>
        <v>60</v>
      </c>
      <c r="BR13" s="231">
        <f t="shared" si="3"/>
        <v>60</v>
      </c>
      <c r="BS13" s="231">
        <f t="shared" si="3"/>
        <v>60</v>
      </c>
      <c r="BT13" s="230">
        <f t="shared" si="3"/>
        <v>240</v>
      </c>
      <c r="BU13" s="231">
        <f t="shared" si="3"/>
        <v>60</v>
      </c>
      <c r="BV13" s="231">
        <f t="shared" si="3"/>
        <v>60</v>
      </c>
      <c r="BW13" s="231">
        <f t="shared" si="3"/>
        <v>60</v>
      </c>
      <c r="BX13" s="231">
        <f t="shared" si="3"/>
        <v>60</v>
      </c>
      <c r="BY13" s="230">
        <f t="shared" si="3"/>
        <v>240</v>
      </c>
      <c r="BZ13" s="231">
        <f t="shared" si="3"/>
        <v>60</v>
      </c>
      <c r="CA13" s="231">
        <f t="shared" si="3"/>
        <v>60</v>
      </c>
      <c r="CB13" s="231">
        <f t="shared" si="3"/>
        <v>60</v>
      </c>
      <c r="CC13" s="231">
        <f t="shared" si="3"/>
        <v>60</v>
      </c>
      <c r="CD13" s="230">
        <f t="shared" si="3"/>
        <v>240</v>
      </c>
    </row>
    <row r="14" spans="1:82" ht="12.75" customHeight="1">
      <c r="A14" s="164"/>
      <c r="B14" s="164"/>
      <c r="C14" s="165"/>
      <c r="D14" s="16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  <c r="AF14" s="165"/>
      <c r="AG14" s="165"/>
      <c r="AH14" s="165"/>
      <c r="AI14" s="165"/>
      <c r="AJ14" s="165"/>
      <c r="AK14" s="165"/>
      <c r="AL14" s="165"/>
      <c r="AM14" s="165"/>
      <c r="AN14" s="165"/>
      <c r="AO14" s="165"/>
      <c r="AP14" s="165"/>
      <c r="AQ14" s="165"/>
      <c r="AR14" s="165"/>
      <c r="AS14" s="165"/>
      <c r="AT14" s="165"/>
      <c r="AU14" s="165"/>
      <c r="AV14" s="165"/>
      <c r="AW14" s="165"/>
      <c r="AX14" s="165"/>
      <c r="AY14" s="165"/>
      <c r="AZ14" s="165"/>
      <c r="BA14" s="165"/>
      <c r="BB14" s="165"/>
      <c r="BC14" s="165"/>
      <c r="BD14" s="165"/>
      <c r="BE14" s="165"/>
      <c r="BF14" s="165"/>
      <c r="BG14" s="165"/>
      <c r="BH14" s="165"/>
      <c r="BI14" s="165"/>
      <c r="BJ14" s="165"/>
      <c r="BK14" s="165"/>
      <c r="BL14" s="165"/>
      <c r="BM14" s="247"/>
      <c r="BN14" s="247"/>
      <c r="BO14" s="165"/>
      <c r="BP14" s="165"/>
      <c r="BQ14" s="165"/>
      <c r="BR14" s="165"/>
      <c r="BS14" s="165"/>
      <c r="BT14" s="165"/>
      <c r="BU14" s="165"/>
      <c r="BV14" s="165"/>
      <c r="BW14" s="165"/>
      <c r="BX14" s="165"/>
      <c r="BY14" s="165"/>
      <c r="BZ14" s="165"/>
      <c r="CA14" s="165"/>
      <c r="CB14" s="165"/>
      <c r="CC14" s="165"/>
      <c r="CD14" s="165"/>
    </row>
    <row r="15" spans="1:82" ht="12.75" customHeight="1">
      <c r="A15" s="164" t="s">
        <v>3390</v>
      </c>
      <c r="B15" s="164"/>
      <c r="C15" s="299">
        <f>'Income statement'!C55</f>
        <v>0</v>
      </c>
      <c r="D15" s="299">
        <f>'Income statement'!D55</f>
        <v>0</v>
      </c>
      <c r="E15" s="168">
        <f>'Income statement'!E55</f>
        <v>55.561868334381934</v>
      </c>
      <c r="F15" s="168">
        <f>'Income statement'!F55</f>
        <v>73.280132865996038</v>
      </c>
      <c r="G15" s="168">
        <f>'Income statement'!G55</f>
        <v>91.133495087931237</v>
      </c>
      <c r="H15" s="316"/>
      <c r="I15" s="316"/>
      <c r="J15" s="316"/>
      <c r="K15" s="316"/>
      <c r="L15" s="168">
        <f>'Income statement'!L55</f>
        <v>109.24238509470794</v>
      </c>
      <c r="M15" s="316"/>
      <c r="N15" s="316"/>
      <c r="O15" s="316"/>
      <c r="P15" s="316"/>
      <c r="Q15" s="168">
        <f>'Income statement'!Q55</f>
        <v>95.048992659185714</v>
      </c>
      <c r="R15" s="316"/>
      <c r="S15" s="316"/>
      <c r="T15" s="316"/>
      <c r="U15" s="316"/>
      <c r="V15" s="168">
        <f>'Income statement'!V55</f>
        <v>134.9662600170642</v>
      </c>
      <c r="W15" s="231">
        <f>'Income statement'!W55</f>
        <v>12.615935665598954</v>
      </c>
      <c r="X15" s="231">
        <f>'Income statement'!X55</f>
        <v>16.58748870175431</v>
      </c>
      <c r="Y15" s="231">
        <f>'Income statement'!Y55</f>
        <v>26.303308888664873</v>
      </c>
      <c r="Z15" s="231">
        <f>'Income statement'!Z55</f>
        <v>18.170616873729287</v>
      </c>
      <c r="AA15" s="230">
        <f>'Income statement'!AA55</f>
        <v>73.696808846320948</v>
      </c>
      <c r="AB15" s="231">
        <f>'Income statement'!AB55</f>
        <v>29.455809445433083</v>
      </c>
      <c r="AC15" s="231">
        <f>'Income statement'!AC55</f>
        <v>-89.182920406726254</v>
      </c>
      <c r="AD15" s="231">
        <f>'Income statement'!AD55</f>
        <v>9.7107102141109074</v>
      </c>
      <c r="AE15" s="231">
        <f>'Income statement'!AE55</f>
        <v>24.273595299823882</v>
      </c>
      <c r="AF15" s="230">
        <f>'Income statement'!AF55</f>
        <v>-25.86614339223469</v>
      </c>
      <c r="AG15" s="231">
        <f>'Income statement'!AG55</f>
        <v>29.472034579400031</v>
      </c>
      <c r="AH15" s="231">
        <f>'Income statement'!AH55</f>
        <v>28.280989703878635</v>
      </c>
      <c r="AI15" s="231">
        <f>'Income statement'!AI55</f>
        <v>27.497783525419113</v>
      </c>
      <c r="AJ15" s="231">
        <f>'Income statement'!AJ55</f>
        <v>39.581920003097444</v>
      </c>
      <c r="AK15" s="230">
        <f>'Income statement'!AK55</f>
        <v>124.37653011754257</v>
      </c>
      <c r="AL15" s="231">
        <f>'Income statement'!AL55</f>
        <v>25.617310129424325</v>
      </c>
      <c r="AM15" s="231">
        <f>'Income statement'!AM55</f>
        <v>1.2341527398839016</v>
      </c>
      <c r="AN15" s="231">
        <f>'Income statement'!AN55</f>
        <v>24.488200783392536</v>
      </c>
      <c r="AO15" s="231">
        <f>'Income statement'!AO55</f>
        <v>11.153497414020691</v>
      </c>
      <c r="AP15" s="230">
        <f>'Income statement'!AP55</f>
        <v>62.600846189308555</v>
      </c>
      <c r="AQ15" s="231">
        <f>'Income statement'!AQ55</f>
        <v>86.223418926892521</v>
      </c>
      <c r="AR15" s="231">
        <f>'Income statement'!AR55</f>
        <v>12.559745137651666</v>
      </c>
      <c r="AS15" s="231">
        <f>'Income statement'!AS55</f>
        <v>16.755249459724926</v>
      </c>
      <c r="AT15" s="231">
        <f>'Income statement'!AT55</f>
        <v>8.0150936925627061</v>
      </c>
      <c r="AU15" s="230">
        <f>'Income statement'!AU55</f>
        <v>124.33468917876573</v>
      </c>
      <c r="AV15" s="231">
        <f>'Income statement'!AV55</f>
        <v>18.688303724785982</v>
      </c>
      <c r="AW15" s="231">
        <f>'Income statement'!AW55</f>
        <v>17.14736315641677</v>
      </c>
      <c r="AX15" s="231">
        <f>'Income statement'!AX55</f>
        <v>12.892236846337237</v>
      </c>
      <c r="AY15" s="231">
        <f>'Income statement'!AY55</f>
        <v>-5.2858127313463585</v>
      </c>
      <c r="AZ15" s="230">
        <f>'Income statement'!AZ55</f>
        <v>43.644221689940153</v>
      </c>
      <c r="BA15" s="231">
        <f>'Income statement'!BA55</f>
        <v>11.485696402950781</v>
      </c>
      <c r="BB15" s="231">
        <f>'Income statement'!BB55</f>
        <v>-34.24066730066</v>
      </c>
      <c r="BC15" s="231">
        <f>'Income statement'!BC55</f>
        <v>6.7168686372094051</v>
      </c>
      <c r="BD15" s="231">
        <f>'Income statement'!BD55</f>
        <v>-12.156308018742818</v>
      </c>
      <c r="BE15" s="230">
        <f>'Income statement'!BE55</f>
        <v>-28.171249324506704</v>
      </c>
      <c r="BF15" s="231">
        <f>'Income statement'!BF55</f>
        <v>-2.6260743080483708</v>
      </c>
      <c r="BG15" s="231">
        <f>'Income statement'!BG55</f>
        <v>-12.025560980110514</v>
      </c>
      <c r="BH15" s="231">
        <f>'Income statement'!BH55</f>
        <v>8.7786428989710874</v>
      </c>
      <c r="BI15" s="231">
        <f>'Income statement'!BI55</f>
        <v>0.37681343427816338</v>
      </c>
      <c r="BJ15" s="230">
        <f>'Income statement'!BJ55</f>
        <v>-5.2982397168671609</v>
      </c>
      <c r="BK15" s="231">
        <f>'Income statement'!BK55</f>
        <v>7.1961636497311172</v>
      </c>
      <c r="BL15" s="231">
        <f>'Income statement'!BL55</f>
        <v>2.7952518931386829</v>
      </c>
      <c r="BM15" s="732">
        <f>'Income statement'!BM55</f>
        <v>6.9412477987712631</v>
      </c>
      <c r="BN15" s="732">
        <f ca="1">'Income statement'!BN55</f>
        <v>-2.9252889726390148</v>
      </c>
      <c r="BO15" s="230">
        <f ca="1">'Income statement'!BO55</f>
        <v>13.944177885286384</v>
      </c>
      <c r="BP15" s="231">
        <f ca="1">'Income statement'!BP55</f>
        <v>10.610067064822607</v>
      </c>
      <c r="BQ15" s="231">
        <f ca="1">'Income statement'!BQ55</f>
        <v>15.141591851139552</v>
      </c>
      <c r="BR15" s="231">
        <f ca="1">'Income statement'!BR55</f>
        <v>15.359104065813634</v>
      </c>
      <c r="BS15" s="231">
        <f ca="1">'Income statement'!BS55</f>
        <v>13.384439801601841</v>
      </c>
      <c r="BT15" s="230">
        <f ca="1">'Income statement'!BT55</f>
        <v>54.495062892759847</v>
      </c>
      <c r="BU15" s="231">
        <f ca="1">'Income statement'!BU55</f>
        <v>13.618207329839294</v>
      </c>
      <c r="BV15" s="231">
        <f ca="1">'Income statement'!BV55</f>
        <v>13.476405134847012</v>
      </c>
      <c r="BW15" s="231">
        <f ca="1">'Income statement'!BW55</f>
        <v>14.084056271845832</v>
      </c>
      <c r="BX15" s="231">
        <f ca="1">'Income statement'!BX55</f>
        <v>13.531526181500405</v>
      </c>
      <c r="BY15" s="230">
        <f ca="1">'Income statement'!BY55</f>
        <v>54.710194918032563</v>
      </c>
      <c r="BZ15" s="231">
        <f ca="1">'Income statement'!BZ55</f>
        <v>15.73989318257634</v>
      </c>
      <c r="CA15" s="231">
        <f ca="1">'Income statement'!CA55</f>
        <v>15.705540913580174</v>
      </c>
      <c r="CB15" s="231">
        <f ca="1">'Income statement'!CB55</f>
        <v>16.404452573266308</v>
      </c>
      <c r="CC15" s="231">
        <f ca="1">'Income statement'!CC55</f>
        <v>15.987956607645911</v>
      </c>
      <c r="CD15" s="230">
        <f ca="1">'Income statement'!CD55</f>
        <v>63.83784327706875</v>
      </c>
    </row>
    <row r="16" spans="1:82" ht="12.75" customHeight="1">
      <c r="A16" s="164"/>
      <c r="B16" s="164"/>
      <c r="C16" s="299"/>
      <c r="D16" s="299"/>
      <c r="E16" s="168"/>
      <c r="F16" s="168"/>
      <c r="G16" s="168"/>
      <c r="H16" s="168"/>
      <c r="I16" s="168"/>
      <c r="J16" s="168"/>
      <c r="K16" s="168"/>
      <c r="L16" s="168"/>
      <c r="M16" s="298"/>
      <c r="N16" s="298"/>
      <c r="O16" s="298"/>
      <c r="P16" s="298"/>
      <c r="Q16" s="168"/>
      <c r="R16" s="231"/>
      <c r="S16" s="231"/>
      <c r="T16" s="231"/>
      <c r="U16" s="231"/>
      <c r="V16" s="168"/>
      <c r="W16" s="231"/>
      <c r="X16" s="231"/>
      <c r="Y16" s="231"/>
      <c r="Z16" s="231"/>
      <c r="AA16" s="230"/>
      <c r="AB16" s="231"/>
      <c r="AC16" s="231"/>
      <c r="AD16" s="231"/>
      <c r="AE16" s="231"/>
      <c r="AF16" s="230"/>
      <c r="AG16" s="231"/>
      <c r="AH16" s="231"/>
      <c r="AI16" s="231"/>
      <c r="AJ16" s="231"/>
      <c r="AK16" s="230"/>
      <c r="AL16" s="231"/>
      <c r="AM16" s="231"/>
      <c r="AN16" s="231"/>
      <c r="AO16" s="231"/>
      <c r="AP16" s="230"/>
      <c r="AQ16" s="231"/>
      <c r="AR16" s="231"/>
      <c r="AS16" s="231"/>
      <c r="AT16" s="231"/>
      <c r="AU16" s="230"/>
      <c r="AV16" s="231"/>
      <c r="AW16" s="231"/>
      <c r="AX16" s="231"/>
      <c r="AY16" s="231"/>
      <c r="AZ16" s="230"/>
      <c r="BA16" s="231"/>
      <c r="BB16" s="231"/>
      <c r="BC16" s="231"/>
      <c r="BD16" s="231"/>
      <c r="BE16" s="230"/>
      <c r="BF16" s="231"/>
      <c r="BG16" s="231"/>
      <c r="BH16" s="231"/>
      <c r="BI16" s="231"/>
      <c r="BJ16" s="230"/>
      <c r="BK16" s="231"/>
      <c r="BL16" s="231"/>
      <c r="BM16" s="732"/>
      <c r="BN16" s="732"/>
      <c r="BO16" s="230"/>
      <c r="BP16" s="231"/>
      <c r="BQ16" s="231"/>
      <c r="BR16" s="231"/>
      <c r="BS16" s="231"/>
      <c r="BT16" s="230"/>
      <c r="BU16" s="231"/>
      <c r="BV16" s="231"/>
      <c r="BW16" s="231"/>
      <c r="BX16" s="231"/>
      <c r="BY16" s="230"/>
      <c r="BZ16" s="231"/>
      <c r="CA16" s="231"/>
      <c r="CB16" s="231"/>
      <c r="CC16" s="231"/>
      <c r="CD16" s="230"/>
    </row>
    <row r="17" spans="1:86" ht="12.75" customHeight="1">
      <c r="A17" s="164" t="s">
        <v>3391</v>
      </c>
      <c r="B17" s="164"/>
      <c r="C17" s="299"/>
      <c r="D17" s="299"/>
      <c r="E17" s="168"/>
      <c r="F17" s="168"/>
      <c r="G17" s="168"/>
      <c r="H17" s="168"/>
      <c r="I17" s="168"/>
      <c r="J17" s="168"/>
      <c r="K17" s="168"/>
      <c r="L17" s="168"/>
      <c r="M17" s="298"/>
      <c r="N17" s="298"/>
      <c r="O17" s="298"/>
      <c r="P17" s="298"/>
      <c r="Q17" s="168"/>
      <c r="R17" s="231"/>
      <c r="S17" s="231"/>
      <c r="T17" s="231"/>
      <c r="U17" s="231"/>
      <c r="V17" s="168"/>
      <c r="W17" s="231"/>
      <c r="X17" s="231"/>
      <c r="Y17" s="231"/>
      <c r="Z17" s="231"/>
      <c r="AA17" s="230"/>
      <c r="AB17" s="231"/>
      <c r="AC17" s="231"/>
      <c r="AD17" s="231"/>
      <c r="AE17" s="231"/>
      <c r="AF17" s="230"/>
      <c r="AG17" s="231"/>
      <c r="AH17" s="231"/>
      <c r="AI17" s="231"/>
      <c r="AJ17" s="231"/>
      <c r="AK17" s="230"/>
      <c r="AL17" s="231"/>
      <c r="AM17" s="231"/>
      <c r="AN17" s="231"/>
      <c r="AO17" s="231"/>
      <c r="AP17" s="230"/>
      <c r="AQ17" s="231"/>
      <c r="AR17" s="231"/>
      <c r="AS17" s="231"/>
      <c r="AT17" s="231"/>
      <c r="AU17" s="230"/>
      <c r="AV17" s="231"/>
      <c r="AW17" s="231"/>
      <c r="AX17" s="231"/>
      <c r="AY17" s="231"/>
      <c r="AZ17" s="230"/>
      <c r="BA17" s="231"/>
      <c r="BB17" s="231"/>
      <c r="BC17" s="231"/>
      <c r="BD17" s="231"/>
      <c r="BE17" s="230"/>
      <c r="BF17" s="231"/>
      <c r="BG17" s="231"/>
      <c r="BH17" s="231"/>
      <c r="BI17" s="231"/>
      <c r="BJ17" s="230"/>
      <c r="BK17" s="231"/>
      <c r="BL17" s="231"/>
      <c r="BM17" s="732"/>
      <c r="BN17" s="732"/>
      <c r="BO17" s="230"/>
      <c r="BP17" s="231"/>
      <c r="BQ17" s="231"/>
      <c r="BR17" s="231"/>
      <c r="BS17" s="231"/>
      <c r="BT17" s="230"/>
      <c r="BU17" s="231"/>
      <c r="BV17" s="231"/>
      <c r="BW17" s="231"/>
      <c r="BX17" s="231"/>
      <c r="BY17" s="230"/>
      <c r="BZ17" s="231"/>
      <c r="CA17" s="231"/>
      <c r="CB17" s="231"/>
      <c r="CC17" s="231"/>
      <c r="CD17" s="230"/>
    </row>
    <row r="18" spans="1:86" ht="12.75" customHeight="1">
      <c r="A18" s="164"/>
      <c r="B18" s="164" t="s">
        <v>32</v>
      </c>
      <c r="C18" s="165"/>
      <c r="D18" s="165"/>
      <c r="E18" s="169">
        <f>E11/E15</f>
        <v>0.45894784974717068</v>
      </c>
      <c r="F18" s="169">
        <f>F11/F15</f>
        <v>0.37800149804113614</v>
      </c>
      <c r="G18" s="169">
        <f>G11/G15</f>
        <v>0.38240605132475786</v>
      </c>
      <c r="H18" s="316"/>
      <c r="I18" s="316"/>
      <c r="J18" s="316"/>
      <c r="K18" s="316"/>
      <c r="L18" s="169">
        <f>L11/L15</f>
        <v>0.35151191514821861</v>
      </c>
      <c r="M18" s="316"/>
      <c r="N18" s="316"/>
      <c r="O18" s="316"/>
      <c r="P18" s="316"/>
      <c r="Q18" s="169">
        <f>Q11/Q15</f>
        <v>0.44503364861186717</v>
      </c>
      <c r="R18" s="316"/>
      <c r="S18" s="316"/>
      <c r="T18" s="316"/>
      <c r="U18" s="316"/>
      <c r="V18" s="169">
        <f t="shared" ref="V18:AE18" si="4">V11/V15</f>
        <v>0.40787971744226931</v>
      </c>
      <c r="W18" s="117">
        <f t="shared" si="4"/>
        <v>1.1097076246334312</v>
      </c>
      <c r="X18" s="117">
        <f t="shared" si="4"/>
        <v>0.84400961783439499</v>
      </c>
      <c r="Y18" s="117">
        <f t="shared" si="4"/>
        <v>0.53225242722344901</v>
      </c>
      <c r="Z18" s="117">
        <f t="shared" si="4"/>
        <v>0.77047466782709606</v>
      </c>
      <c r="AA18" s="169">
        <f t="shared" si="4"/>
        <v>0.75987007954138308</v>
      </c>
      <c r="AB18" s="117">
        <f t="shared" si="4"/>
        <v>0.47528824580207224</v>
      </c>
      <c r="AC18" s="117">
        <f t="shared" si="4"/>
        <v>0</v>
      </c>
      <c r="AD18" s="117">
        <f t="shared" si="4"/>
        <v>0</v>
      </c>
      <c r="AE18" s="117">
        <f t="shared" si="4"/>
        <v>0</v>
      </c>
      <c r="AF18" s="242" t="s">
        <v>1026</v>
      </c>
      <c r="AG18" s="117">
        <f t="shared" ref="AG18:BL18" si="5">AG11/AG15</f>
        <v>0.23751329353056497</v>
      </c>
      <c r="AH18" s="117">
        <f t="shared" si="5"/>
        <v>0.24751609025337523</v>
      </c>
      <c r="AI18" s="117">
        <f t="shared" si="5"/>
        <v>0.25456597232752082</v>
      </c>
      <c r="AJ18" s="117">
        <f t="shared" si="5"/>
        <v>0.20211247962135157</v>
      </c>
      <c r="AK18" s="169">
        <f t="shared" si="5"/>
        <v>0.2331629606694561</v>
      </c>
      <c r="AL18" s="117">
        <f t="shared" si="5"/>
        <v>0.312288837492392</v>
      </c>
      <c r="AM18" s="117">
        <f t="shared" si="5"/>
        <v>6.4821798319327728</v>
      </c>
      <c r="AN18" s="117">
        <f t="shared" si="5"/>
        <v>0.36752393855344573</v>
      </c>
      <c r="AO18" s="117">
        <f t="shared" si="5"/>
        <v>0.8069217812061712</v>
      </c>
      <c r="AP18" s="169">
        <f t="shared" si="5"/>
        <v>0.54312364879513042</v>
      </c>
      <c r="AQ18" s="117">
        <f t="shared" si="5"/>
        <v>0.10437999457700649</v>
      </c>
      <c r="AR18" s="117">
        <f t="shared" si="5"/>
        <v>0.7165750500000001</v>
      </c>
      <c r="AS18" s="117">
        <f t="shared" si="5"/>
        <v>0.5669864852108244</v>
      </c>
      <c r="AT18" s="117">
        <f t="shared" si="5"/>
        <v>1.1852637491705373</v>
      </c>
      <c r="AU18" s="169">
        <f t="shared" si="5"/>
        <v>0.29758388623791227</v>
      </c>
      <c r="AV18" s="117">
        <f t="shared" si="5"/>
        <v>0.52171669208633098</v>
      </c>
      <c r="AW18" s="117">
        <f t="shared" si="5"/>
        <v>0.56860054289754869</v>
      </c>
      <c r="AX18" s="117">
        <f t="shared" si="5"/>
        <v>0.77566058700209661</v>
      </c>
      <c r="AY18" s="117">
        <f t="shared" si="5"/>
        <v>-1.8918566563467494</v>
      </c>
      <c r="AZ18" s="169">
        <f>AZ11/AZ15</f>
        <v>0.90504535240926565</v>
      </c>
      <c r="BA18" s="117">
        <f>BA11/BA15</f>
        <v>0.8706481217308607</v>
      </c>
      <c r="BB18" s="117">
        <f t="shared" si="5"/>
        <v>-0.29205038301947017</v>
      </c>
      <c r="BC18" s="117">
        <f t="shared" si="5"/>
        <v>1.4887889789303081</v>
      </c>
      <c r="BD18" s="117">
        <f t="shared" si="5"/>
        <v>-0.82261818181818169</v>
      </c>
      <c r="BE18" s="169">
        <f t="shared" si="5"/>
        <v>-1.4198873304920574</v>
      </c>
      <c r="BF18" s="117">
        <f>BF11/BF15</f>
        <v>-3.8079653608247424</v>
      </c>
      <c r="BG18" s="117">
        <f t="shared" si="5"/>
        <v>-0.83156203827325326</v>
      </c>
      <c r="BH18" s="117">
        <f t="shared" si="5"/>
        <v>1.139128236002408</v>
      </c>
      <c r="BI18" s="117">
        <f t="shared" si="5"/>
        <v>26.538331944444444</v>
      </c>
      <c r="BJ18" s="169">
        <f t="shared" si="5"/>
        <v>-7.5496772772772776</v>
      </c>
      <c r="BK18" s="117">
        <f t="shared" si="5"/>
        <v>1.3896293201133145</v>
      </c>
      <c r="BL18" s="117">
        <f t="shared" si="5"/>
        <v>3.5774951175406868</v>
      </c>
      <c r="BM18" s="720">
        <f t="shared" ref="BM18:CD18" si="6">BM11/BM15</f>
        <v>1.4406631617113852</v>
      </c>
      <c r="BN18" s="720">
        <f t="shared" ca="1" si="6"/>
        <v>-3.4184656946826757</v>
      </c>
      <c r="BO18" s="169">
        <f t="shared" ca="1" si="6"/>
        <v>2.8685807316189789</v>
      </c>
      <c r="BP18" s="117">
        <f t="shared" ca="1" si="6"/>
        <v>0.94250111134120274</v>
      </c>
      <c r="BQ18" s="117">
        <f t="shared" ca="1" si="6"/>
        <v>0.66043254225264325</v>
      </c>
      <c r="BR18" s="117">
        <f t="shared" ca="1" si="6"/>
        <v>0.65107964352283065</v>
      </c>
      <c r="BS18" s="117">
        <f t="shared" ca="1" si="6"/>
        <v>0.74713623791734685</v>
      </c>
      <c r="BT18" s="169">
        <f t="shared" ca="1" si="6"/>
        <v>0.73401144758224246</v>
      </c>
      <c r="BU18" s="117">
        <f t="shared" ca="1" si="6"/>
        <v>0.73431104093184696</v>
      </c>
      <c r="BV18" s="117">
        <f t="shared" ca="1" si="6"/>
        <v>0.74203765024414448</v>
      </c>
      <c r="BW18" s="117">
        <f t="shared" ca="1" si="6"/>
        <v>0.7100227240635284</v>
      </c>
      <c r="BX18" s="117">
        <f t="shared" ca="1" si="6"/>
        <v>0.73901493932528295</v>
      </c>
      <c r="BY18" s="169">
        <f t="shared" ca="1" si="6"/>
        <v>0.73112515976096326</v>
      </c>
      <c r="BZ18" s="117">
        <f t="shared" ca="1" si="6"/>
        <v>0.63532832681925344</v>
      </c>
      <c r="CA18" s="117">
        <f t="shared" ca="1" si="6"/>
        <v>0.6367179618343014</v>
      </c>
      <c r="CB18" s="117">
        <f t="shared" ca="1" si="6"/>
        <v>0.60959059470820787</v>
      </c>
      <c r="CC18" s="117">
        <f t="shared" ca="1" si="6"/>
        <v>0.62547079939019257</v>
      </c>
      <c r="CD18" s="169">
        <f t="shared" ca="1" si="6"/>
        <v>0.62658758420757044</v>
      </c>
    </row>
    <row r="19" spans="1:86" ht="12.75" customHeight="1">
      <c r="A19" s="164"/>
      <c r="B19" s="169" t="s">
        <v>781</v>
      </c>
      <c r="C19" s="165"/>
      <c r="D19" s="165"/>
      <c r="E19" s="169">
        <f>E22/'Cash flow statement'!E51</f>
        <v>0.80337020079749355</v>
      </c>
      <c r="F19" s="169">
        <f>F22/'Cash flow statement'!F51</f>
        <v>0.49495276052129161</v>
      </c>
      <c r="G19" s="169">
        <f>G22/'Cash flow statement'!G51</f>
        <v>0.28805137982440382</v>
      </c>
      <c r="H19" s="316"/>
      <c r="I19" s="316"/>
      <c r="J19" s="316"/>
      <c r="K19" s="316"/>
      <c r="L19" s="169">
        <f>L22/'Cash flow statement'!L51</f>
        <v>0.40163132047603733</v>
      </c>
      <c r="M19" s="316"/>
      <c r="N19" s="316"/>
      <c r="O19" s="316"/>
      <c r="P19" s="316"/>
      <c r="Q19" s="169">
        <f>Q22/'Cash flow statement'!Q51</f>
        <v>0.81081224452998379</v>
      </c>
      <c r="R19" s="316"/>
      <c r="S19" s="316"/>
      <c r="T19" s="316"/>
      <c r="U19" s="316"/>
      <c r="V19" s="169">
        <f>V22/'Cash flow statement'!V51</f>
        <v>0.67218241721222594</v>
      </c>
      <c r="W19" s="316"/>
      <c r="X19" s="316"/>
      <c r="Y19" s="316"/>
      <c r="Z19" s="316"/>
      <c r="AA19" s="169">
        <f>AA22/'Cash flow statement'!AA51</f>
        <v>1.0960045704017531</v>
      </c>
      <c r="AB19" s="316"/>
      <c r="AC19" s="316"/>
      <c r="AD19" s="316"/>
      <c r="AE19" s="316"/>
      <c r="AF19" s="169">
        <f>AF22/'Cash flow statement'!AF51</f>
        <v>0.27252585816072905</v>
      </c>
      <c r="AG19" s="316"/>
      <c r="AH19" s="316"/>
      <c r="AI19" s="316"/>
      <c r="AJ19" s="316"/>
      <c r="AK19" s="169">
        <f>AK22/'Cash flow statement'!AK51</f>
        <v>-1.2287099933020764</v>
      </c>
      <c r="AL19" s="316"/>
      <c r="AM19" s="316"/>
      <c r="AN19" s="316"/>
      <c r="AO19" s="316"/>
      <c r="AP19" s="169">
        <f>AP22/'Cash flow statement'!AP51</f>
        <v>0.87433993006052457</v>
      </c>
      <c r="AQ19" s="316"/>
      <c r="AR19" s="316"/>
      <c r="AS19" s="316"/>
      <c r="AT19" s="316"/>
      <c r="AU19" s="169">
        <f>AU22/'Cash flow statement'!AU51</f>
        <v>0.51991324499811253</v>
      </c>
      <c r="AV19" s="316"/>
      <c r="AW19" s="316"/>
      <c r="AX19" s="316"/>
      <c r="AY19" s="316"/>
      <c r="AZ19" s="169">
        <f>AZ22/'Cash flow statement'!AZ51</f>
        <v>0.54544411153262529</v>
      </c>
      <c r="BA19" s="316"/>
      <c r="BB19" s="316"/>
      <c r="BC19" s="316"/>
      <c r="BD19" s="316"/>
      <c r="BE19" s="169">
        <f>BE22/'Cash flow statement'!BE51</f>
        <v>4.0179797054009816</v>
      </c>
      <c r="BF19" s="316"/>
      <c r="BG19" s="316"/>
      <c r="BH19" s="316"/>
      <c r="BI19" s="316"/>
      <c r="BJ19" s="169">
        <f>BJ22/'Cash flow statement'!BJ51</f>
        <v>-1.914228458887248</v>
      </c>
      <c r="BK19" s="316"/>
      <c r="BL19" s="316"/>
      <c r="BM19" s="733"/>
      <c r="BN19" s="733"/>
      <c r="BO19" s="169">
        <f>BO22/'Cash flow statement'!BO51</f>
        <v>1.6330716934487022</v>
      </c>
      <c r="BP19" s="316"/>
      <c r="BQ19" s="316"/>
      <c r="BR19" s="316"/>
      <c r="BS19" s="316"/>
      <c r="BT19" s="169">
        <f ca="1">BT22/'Cash flow statement'!BT51</f>
        <v>1.4075847820865497</v>
      </c>
      <c r="BU19" s="316"/>
      <c r="BV19" s="316"/>
      <c r="BW19" s="316"/>
      <c r="BX19" s="316"/>
      <c r="BY19" s="169">
        <f ca="1">BY22/'Cash flow statement'!BY51</f>
        <v>0.60984837743284803</v>
      </c>
      <c r="BZ19" s="316"/>
      <c r="CA19" s="316"/>
      <c r="CB19" s="316"/>
      <c r="CC19" s="316"/>
      <c r="CD19" s="169">
        <f ca="1">CD22/'Cash flow statement'!CD51</f>
        <v>0.56232856068705017</v>
      </c>
    </row>
    <row r="20" spans="1:86" ht="12.75" customHeight="1">
      <c r="A20" s="164"/>
      <c r="B20" s="164"/>
      <c r="C20" s="165"/>
      <c r="D20" s="165"/>
      <c r="E20" s="165"/>
      <c r="F20" s="165"/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  <c r="AK20" s="165"/>
      <c r="AL20" s="165"/>
      <c r="AM20" s="165"/>
      <c r="AN20" s="165"/>
      <c r="AO20" s="165"/>
      <c r="AP20" s="165"/>
      <c r="AQ20" s="165"/>
      <c r="AR20" s="165"/>
      <c r="AS20" s="165"/>
      <c r="AT20" s="165"/>
      <c r="AU20" s="165"/>
      <c r="AV20" s="165"/>
      <c r="AW20" s="165"/>
      <c r="AX20" s="165"/>
      <c r="AY20" s="165"/>
      <c r="AZ20" s="165"/>
      <c r="BA20" s="165"/>
      <c r="BB20" s="165"/>
      <c r="BC20" s="165"/>
      <c r="BD20" s="165"/>
      <c r="BE20" s="165"/>
      <c r="BF20" s="165"/>
      <c r="BG20" s="165"/>
      <c r="BH20" s="165"/>
      <c r="BI20" s="165"/>
      <c r="BJ20" s="165"/>
      <c r="BK20" s="165"/>
      <c r="BL20" s="165"/>
      <c r="BM20" s="247"/>
      <c r="BN20" s="247"/>
      <c r="BO20" s="165"/>
      <c r="BP20" s="165"/>
      <c r="BQ20" s="165"/>
      <c r="BR20" s="165"/>
      <c r="BS20" s="165"/>
      <c r="BT20" s="165"/>
      <c r="BU20" s="165"/>
      <c r="BV20" s="165"/>
      <c r="BW20" s="165"/>
      <c r="BX20" s="165"/>
      <c r="BY20" s="165"/>
      <c r="BZ20" s="165"/>
      <c r="CA20" s="165"/>
      <c r="CB20" s="165"/>
      <c r="CC20" s="165"/>
      <c r="CD20" s="165"/>
    </row>
    <row r="21" spans="1:86" ht="12.75" customHeight="1">
      <c r="A21" s="164" t="s">
        <v>3392</v>
      </c>
      <c r="B21" s="164"/>
      <c r="C21" s="165">
        <f>'Income statement'!C62</f>
        <v>22432.077000000001</v>
      </c>
      <c r="D21" s="165">
        <f>'Income statement'!D62</f>
        <v>22378.651000000002</v>
      </c>
      <c r="E21" s="165">
        <f>'Income statement'!E62</f>
        <v>22122.61</v>
      </c>
      <c r="F21" s="165">
        <f>'Income statement'!F62</f>
        <v>21525.977999999999</v>
      </c>
      <c r="G21" s="165">
        <f>'Income statement'!G62</f>
        <v>20657.044719000001</v>
      </c>
      <c r="H21" s="316"/>
      <c r="I21" s="316"/>
      <c r="J21" s="316"/>
      <c r="K21" s="316"/>
      <c r="L21" s="165">
        <f>'Income statement'!L62</f>
        <v>19510.496490000001</v>
      </c>
      <c r="M21" s="316"/>
      <c r="N21" s="316"/>
      <c r="O21" s="316"/>
      <c r="P21" s="316"/>
      <c r="Q21" s="165">
        <f>'Income statement'!Q62</f>
        <v>18922.786</v>
      </c>
      <c r="R21" s="194">
        <f>'Income statement'!R62</f>
        <v>18877.537</v>
      </c>
      <c r="S21" s="194">
        <f>'Income statement'!S62</f>
        <v>18805.089</v>
      </c>
      <c r="T21" s="194">
        <f>'Income statement'!T62</f>
        <v>18725.073</v>
      </c>
      <c r="U21" s="194">
        <f>'Income statement'!U62</f>
        <v>18716.098000000002</v>
      </c>
      <c r="V21" s="165">
        <f>'Income statement'!V62</f>
        <v>18716.098258000002</v>
      </c>
      <c r="W21" s="194">
        <f>'Income statement'!W62</f>
        <v>18724.785</v>
      </c>
      <c r="X21" s="194">
        <f>'Income statement'!X62</f>
        <v>18728.163</v>
      </c>
      <c r="Y21" s="194">
        <f>'Income statement'!Y62</f>
        <v>18739.59</v>
      </c>
      <c r="Z21" s="194">
        <f>'Income statement'!Z62</f>
        <v>18755.378000000001</v>
      </c>
      <c r="AA21" s="165">
        <f>'Income statement'!AA62</f>
        <v>18755.378210999999</v>
      </c>
      <c r="AB21" s="194">
        <f>'Income statement'!AB62</f>
        <v>18784.361000000001</v>
      </c>
      <c r="AC21" s="194">
        <f>'Income statement'!AC62</f>
        <v>18791.925999999999</v>
      </c>
      <c r="AD21" s="194">
        <f>'Income statement'!AD62</f>
        <v>18789.321</v>
      </c>
      <c r="AE21" s="194">
        <f>'Income statement'!AE62</f>
        <v>18796.498</v>
      </c>
      <c r="AF21" s="165">
        <f>'Income statement'!AF62</f>
        <v>18796.497759999998</v>
      </c>
      <c r="AG21" s="194">
        <f>'Income statement'!AG62</f>
        <v>18866.531999999999</v>
      </c>
      <c r="AH21" s="194">
        <f>'Income statement'!AH62</f>
        <v>18940.09</v>
      </c>
      <c r="AI21" s="194">
        <f>'Income statement'!AI62</f>
        <v>18958.048999999999</v>
      </c>
      <c r="AJ21" s="194">
        <f>'Income statement'!AJ62</f>
        <v>18977.214</v>
      </c>
      <c r="AK21" s="165">
        <f>'Income statement'!AK62</f>
        <v>18977.214</v>
      </c>
      <c r="AL21" s="194">
        <f>'Income statement'!AL62</f>
        <v>19016.207999999999</v>
      </c>
      <c r="AM21" s="194">
        <f>'Income statement'!AL62</f>
        <v>19016.207999999999</v>
      </c>
      <c r="AN21" s="194">
        <f>'Income statement'!AN62</f>
        <v>19051.866999999998</v>
      </c>
      <c r="AO21" s="194">
        <f>'Income statement'!AO62</f>
        <v>19119.757000000001</v>
      </c>
      <c r="AP21" s="165">
        <f>'Income statement'!AP62</f>
        <v>19119.757000000001</v>
      </c>
      <c r="AQ21" s="194">
        <f>'Income statement'!AQ62</f>
        <v>19153.585999999999</v>
      </c>
      <c r="AR21" s="194">
        <f>'Income statement'!AR62</f>
        <v>18935.572</v>
      </c>
      <c r="AS21" s="194">
        <f>'Income statement'!AS62</f>
        <v>18821.216</v>
      </c>
      <c r="AT21" s="194">
        <f>'Income statement'!AT62</f>
        <v>18611.489000000001</v>
      </c>
      <c r="AU21" s="165">
        <f>'Income statement'!AU62</f>
        <v>18611.489000000001</v>
      </c>
      <c r="AV21" s="194">
        <f>'Income statement'!AV62</f>
        <v>18457.008999999998</v>
      </c>
      <c r="AW21" s="194">
        <f>'Income statement'!AW62</f>
        <v>18435.266</v>
      </c>
      <c r="AX21" s="194">
        <f>'Income statement'!AX62</f>
        <v>18311.460999999999</v>
      </c>
      <c r="AY21" s="194">
        <f>'Income statement'!AY62</f>
        <v>18199.882000000001</v>
      </c>
      <c r="AZ21" s="165">
        <f>'Income statement'!AZ62</f>
        <v>18199.882000000001</v>
      </c>
      <c r="BA21" s="194">
        <f>'Income statement'!BA62</f>
        <v>18249.421999999999</v>
      </c>
      <c r="BB21" s="194">
        <f>'Income statement'!BB62</f>
        <v>18318.923999999999</v>
      </c>
      <c r="BC21" s="194">
        <f>'Income statement'!BC62</f>
        <v>18349.963</v>
      </c>
      <c r="BD21" s="194">
        <f>'Income statement'!BD62</f>
        <v>18412.392</v>
      </c>
      <c r="BE21" s="165">
        <f>'Income statement'!BE62</f>
        <v>18412.392</v>
      </c>
      <c r="BF21" s="194">
        <f>'Income statement'!BF62</f>
        <v>18635.861000000001</v>
      </c>
      <c r="BG21" s="194">
        <f>'Income statement'!BG62</f>
        <v>18777.155999999999</v>
      </c>
      <c r="BH21" s="194">
        <f>'Income statement'!BH62</f>
        <v>18912.989000000001</v>
      </c>
      <c r="BI21" s="194">
        <f>'Income statement'!BI62</f>
        <v>19438.990000000002</v>
      </c>
      <c r="BJ21" s="165">
        <f>'Income statement'!BJ62</f>
        <v>19438.990000000002</v>
      </c>
      <c r="BK21" s="194">
        <f>'Income statement'!BK62</f>
        <v>19664.527999999998</v>
      </c>
      <c r="BL21" s="194">
        <f>'Income statement'!BL62</f>
        <v>19738.565999999999</v>
      </c>
      <c r="BM21" s="734">
        <f>'Income statement'!BM62</f>
        <v>19797.656999999999</v>
      </c>
      <c r="BN21" s="734">
        <f>'Income statement'!BN62</f>
        <v>19817.325000000001</v>
      </c>
      <c r="BO21" s="165">
        <f>'Income statement'!BO62</f>
        <v>19817.325000000001</v>
      </c>
      <c r="BP21" s="194">
        <f>'Income statement'!BP62</f>
        <v>19815.480991433556</v>
      </c>
      <c r="BQ21" s="194">
        <f>'Income statement'!BQ62</f>
        <v>19815.476203436741</v>
      </c>
      <c r="BR21" s="194">
        <f>'Income statement'!BR62</f>
        <v>19815.476191004633</v>
      </c>
      <c r="BS21" s="194">
        <f>'Income statement'!BS62</f>
        <v>19815.476190972353</v>
      </c>
      <c r="BT21" s="165">
        <f>'Income statement'!BT62</f>
        <v>19815.476190972353</v>
      </c>
      <c r="BU21" s="194">
        <f>'Income statement'!BU62</f>
        <v>19815.476190972269</v>
      </c>
      <c r="BV21" s="194">
        <f>'Income statement'!BV62</f>
        <v>19815.476190972269</v>
      </c>
      <c r="BW21" s="194">
        <f>'Income statement'!BW62</f>
        <v>19815.476190972269</v>
      </c>
      <c r="BX21" s="194">
        <f>'Income statement'!BX62</f>
        <v>19815.476190972269</v>
      </c>
      <c r="BY21" s="165">
        <f>'Income statement'!BY62</f>
        <v>19815.476190972269</v>
      </c>
      <c r="BZ21" s="194">
        <f>'Income statement'!BZ62</f>
        <v>19815.476190972269</v>
      </c>
      <c r="CA21" s="194">
        <f>'Income statement'!CA62</f>
        <v>19815.476190972269</v>
      </c>
      <c r="CB21" s="194">
        <f>'Income statement'!CB62</f>
        <v>19815.476190972269</v>
      </c>
      <c r="CC21" s="194">
        <f>'Income statement'!CC62</f>
        <v>19815.476190972269</v>
      </c>
      <c r="CD21" s="165">
        <f>'Income statement'!CD62</f>
        <v>19815.476190972269</v>
      </c>
      <c r="CH21" s="472"/>
    </row>
    <row r="22" spans="1:86" ht="12.75" customHeight="1">
      <c r="A22" s="164" t="s">
        <v>3393</v>
      </c>
      <c r="B22" s="164"/>
      <c r="C22" s="165">
        <f>C11*C21/100</f>
        <v>4822.8965550000003</v>
      </c>
      <c r="D22" s="165">
        <f>D11*D21/100</f>
        <v>5258.9829850000006</v>
      </c>
      <c r="E22" s="165">
        <f>E11*E21/100</f>
        <v>5641.2655500000001</v>
      </c>
      <c r="F22" s="165">
        <f>F11*F21/100</f>
        <v>5962.6959059999999</v>
      </c>
      <c r="G22" s="165">
        <f>G11*G21/100</f>
        <v>7198.9800845715008</v>
      </c>
      <c r="H22" s="316"/>
      <c r="I22" s="316"/>
      <c r="J22" s="316"/>
      <c r="K22" s="316"/>
      <c r="L22" s="165">
        <f>L11*L21/100</f>
        <v>7492.0306521600005</v>
      </c>
      <c r="M22" s="316"/>
      <c r="N22" s="316"/>
      <c r="O22" s="316"/>
      <c r="P22" s="316"/>
      <c r="Q22" s="165">
        <f>Q11*Q21/100</f>
        <v>8004.3384779999997</v>
      </c>
      <c r="R22" s="194">
        <f>R11*R21/100</f>
        <v>2553.1868792499999</v>
      </c>
      <c r="S22" s="194">
        <f>S11*S21/100</f>
        <v>2543.3882872499998</v>
      </c>
      <c r="T22" s="194">
        <f>T11*T21/100</f>
        <v>2621.5102200000001</v>
      </c>
      <c r="U22" s="194">
        <f>U11*U21/100</f>
        <v>2620.2537200000002</v>
      </c>
      <c r="V22" s="165">
        <f t="shared" ref="V22:AX22" si="7">V11*V21/100</f>
        <v>10303.212091029</v>
      </c>
      <c r="W22" s="194">
        <f t="shared" si="7"/>
        <v>2621.4699000000001</v>
      </c>
      <c r="X22" s="194">
        <f t="shared" si="7"/>
        <v>2621.9428200000002</v>
      </c>
      <c r="Y22" s="194">
        <f t="shared" si="7"/>
        <v>2623.5426000000002</v>
      </c>
      <c r="Z22" s="194">
        <f t="shared" si="7"/>
        <v>2625.7529200000004</v>
      </c>
      <c r="AA22" s="165">
        <f t="shared" si="7"/>
        <v>10503.01179816</v>
      </c>
      <c r="AB22" s="194">
        <f t="shared" si="7"/>
        <v>2629.8105399999999</v>
      </c>
      <c r="AC22" s="194">
        <f t="shared" si="7"/>
        <v>0</v>
      </c>
      <c r="AD22" s="194">
        <f t="shared" si="7"/>
        <v>0</v>
      </c>
      <c r="AE22" s="194">
        <f t="shared" si="7"/>
        <v>0</v>
      </c>
      <c r="AF22" s="165">
        <f t="shared" si="7"/>
        <v>2631.5096863999997</v>
      </c>
      <c r="AG22" s="194">
        <f t="shared" si="7"/>
        <v>1320.6572399999998</v>
      </c>
      <c r="AH22" s="194">
        <f t="shared" si="7"/>
        <v>1325.8063</v>
      </c>
      <c r="AI22" s="194">
        <f t="shared" si="7"/>
        <v>1327.0634299999999</v>
      </c>
      <c r="AJ22" s="194">
        <f t="shared" si="7"/>
        <v>1518.1771200000001</v>
      </c>
      <c r="AK22" s="165">
        <f t="shared" si="7"/>
        <v>5503.3920600000001</v>
      </c>
      <c r="AL22" s="194">
        <f t="shared" si="7"/>
        <v>1521.2966399999998</v>
      </c>
      <c r="AM22" s="194">
        <f t="shared" si="7"/>
        <v>1521.2966399999998</v>
      </c>
      <c r="AN22" s="194">
        <f t="shared" si="7"/>
        <v>1714.6680299999998</v>
      </c>
      <c r="AO22" s="194">
        <f t="shared" si="7"/>
        <v>1720.7781300000001</v>
      </c>
      <c r="AP22" s="165">
        <f t="shared" si="7"/>
        <v>6500.71738</v>
      </c>
      <c r="AQ22" s="194">
        <f t="shared" si="7"/>
        <v>1723.8227400000001</v>
      </c>
      <c r="AR22" s="194">
        <f t="shared" si="7"/>
        <v>1704.2014799999999</v>
      </c>
      <c r="AS22" s="194">
        <f t="shared" si="7"/>
        <v>1788.0155199999999</v>
      </c>
      <c r="AT22" s="194">
        <f t="shared" si="7"/>
        <v>1768.0914550000002</v>
      </c>
      <c r="AU22" s="165">
        <f t="shared" si="7"/>
        <v>6886.2509300000011</v>
      </c>
      <c r="AV22" s="194">
        <f t="shared" si="7"/>
        <v>1799.5583774999998</v>
      </c>
      <c r="AW22" s="194">
        <f t="shared" si="7"/>
        <v>1797.4384349999998</v>
      </c>
      <c r="AX22" s="194">
        <f t="shared" si="7"/>
        <v>1831.1460999999999</v>
      </c>
      <c r="AY22" s="194">
        <f>AY11*AY21/100</f>
        <v>1819.9882</v>
      </c>
      <c r="AZ22" s="165">
        <f>AZ11*AZ21/100</f>
        <v>7188.9533900000006</v>
      </c>
      <c r="BA22" s="194">
        <f>BA11*BA21/100</f>
        <v>1824.9421999999997</v>
      </c>
      <c r="BB22" s="194">
        <f t="shared" ref="BB22:CD22" si="8">BB11*BB21/100</f>
        <v>1831.8924</v>
      </c>
      <c r="BC22" s="194">
        <f t="shared" si="8"/>
        <v>1834.9963</v>
      </c>
      <c r="BD22" s="194">
        <f t="shared" si="8"/>
        <v>1841.2391999999998</v>
      </c>
      <c r="BE22" s="165">
        <f t="shared" si="8"/>
        <v>7364.956799999999</v>
      </c>
      <c r="BF22" s="194">
        <f>BF11*BF21/100</f>
        <v>1863.5861000000002</v>
      </c>
      <c r="BG22" s="194">
        <f t="shared" si="8"/>
        <v>1877.7156</v>
      </c>
      <c r="BH22" s="194">
        <f t="shared" si="8"/>
        <v>1891.2989000000002</v>
      </c>
      <c r="BI22" s="194">
        <f t="shared" si="8"/>
        <v>1943.8990000000003</v>
      </c>
      <c r="BJ22" s="165">
        <f t="shared" si="8"/>
        <v>7775.5960000000014</v>
      </c>
      <c r="BK22" s="194">
        <f t="shared" si="8"/>
        <v>1966.4527999999998</v>
      </c>
      <c r="BL22" s="194">
        <f t="shared" si="8"/>
        <v>1973.8565999999998</v>
      </c>
      <c r="BM22" s="734">
        <f t="shared" si="8"/>
        <v>1979.7657000000002</v>
      </c>
      <c r="BN22" s="734">
        <f t="shared" si="8"/>
        <v>1981.7325000000001</v>
      </c>
      <c r="BO22" s="165">
        <f t="shared" si="8"/>
        <v>7926.93</v>
      </c>
      <c r="BP22" s="194">
        <f t="shared" si="8"/>
        <v>1981.5480991433556</v>
      </c>
      <c r="BQ22" s="194">
        <f t="shared" si="8"/>
        <v>1981.5476203436742</v>
      </c>
      <c r="BR22" s="194">
        <f t="shared" si="8"/>
        <v>1981.5476191004634</v>
      </c>
      <c r="BS22" s="194">
        <f t="shared" si="8"/>
        <v>1981.5476190972352</v>
      </c>
      <c r="BT22" s="165">
        <f t="shared" si="8"/>
        <v>7926.1904763889406</v>
      </c>
      <c r="BU22" s="194">
        <f t="shared" si="8"/>
        <v>1981.547619097227</v>
      </c>
      <c r="BV22" s="194">
        <f t="shared" si="8"/>
        <v>1981.547619097227</v>
      </c>
      <c r="BW22" s="194">
        <f t="shared" si="8"/>
        <v>1981.547619097227</v>
      </c>
      <c r="BX22" s="194">
        <f t="shared" si="8"/>
        <v>1981.547619097227</v>
      </c>
      <c r="BY22" s="165">
        <f t="shared" si="8"/>
        <v>7926.1904763889079</v>
      </c>
      <c r="BZ22" s="194">
        <f t="shared" si="8"/>
        <v>1981.547619097227</v>
      </c>
      <c r="CA22" s="194">
        <f t="shared" si="8"/>
        <v>1981.547619097227</v>
      </c>
      <c r="CB22" s="194">
        <f t="shared" si="8"/>
        <v>1981.547619097227</v>
      </c>
      <c r="CC22" s="194">
        <f t="shared" si="8"/>
        <v>1981.547619097227</v>
      </c>
      <c r="CD22" s="165">
        <f t="shared" si="8"/>
        <v>7926.1904763889079</v>
      </c>
    </row>
    <row r="23" spans="1:86" ht="12.75" customHeight="1">
      <c r="A23" s="165"/>
      <c r="B23" s="165"/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165"/>
      <c r="AD23" s="165"/>
      <c r="AE23" s="165"/>
      <c r="AF23" s="165"/>
      <c r="AG23" s="165"/>
      <c r="AH23" s="165"/>
      <c r="AI23" s="165"/>
      <c r="AJ23" s="165"/>
      <c r="AK23" s="165"/>
      <c r="AL23" s="165"/>
      <c r="AM23" s="165"/>
      <c r="AN23" s="165"/>
      <c r="AO23" s="165"/>
      <c r="AP23" s="165"/>
      <c r="AQ23" s="165"/>
      <c r="AR23" s="165"/>
      <c r="AS23" s="165"/>
      <c r="AT23" s="165"/>
      <c r="AU23" s="165"/>
      <c r="AV23" s="165"/>
      <c r="AW23" s="165"/>
      <c r="AX23" s="165"/>
      <c r="AY23" s="165"/>
      <c r="AZ23" s="165"/>
      <c r="BA23" s="165"/>
      <c r="BB23" s="165"/>
      <c r="BC23" s="165"/>
      <c r="BD23" s="165"/>
      <c r="BE23" s="165"/>
      <c r="BF23" s="165"/>
      <c r="BG23" s="165"/>
      <c r="BH23" s="165"/>
      <c r="BI23" s="165"/>
      <c r="BJ23" s="165"/>
      <c r="BK23" s="165"/>
      <c r="BL23" s="165"/>
      <c r="BM23" s="247"/>
      <c r="BN23" s="247"/>
      <c r="BO23" s="165"/>
      <c r="BP23" s="165"/>
      <c r="BQ23" s="165"/>
      <c r="BR23" s="165"/>
      <c r="BS23" s="165"/>
      <c r="BT23" s="165"/>
      <c r="BU23" s="165"/>
      <c r="BV23" s="165"/>
      <c r="BW23" s="165"/>
      <c r="BX23" s="165"/>
      <c r="BY23" s="165"/>
      <c r="BZ23" s="165"/>
      <c r="CA23" s="165"/>
      <c r="CB23" s="165"/>
      <c r="CC23" s="165"/>
      <c r="CD23" s="165"/>
    </row>
    <row r="24" spans="1:86" ht="12.75" customHeight="1">
      <c r="A24" s="215" t="s">
        <v>2346</v>
      </c>
      <c r="B24" s="165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>
        <v>0</v>
      </c>
      <c r="R24" s="165"/>
      <c r="S24" s="165"/>
      <c r="T24" s="165"/>
      <c r="U24" s="165"/>
      <c r="V24" s="165">
        <v>0</v>
      </c>
      <c r="W24" s="194">
        <v>0</v>
      </c>
      <c r="X24" s="194">
        <v>0</v>
      </c>
      <c r="Y24" s="194">
        <v>0</v>
      </c>
      <c r="Z24" s="194">
        <v>0</v>
      </c>
      <c r="AA24" s="165">
        <v>0</v>
      </c>
      <c r="AB24" s="194">
        <v>0</v>
      </c>
      <c r="AC24" s="194">
        <v>0</v>
      </c>
      <c r="AD24" s="194">
        <v>0</v>
      </c>
      <c r="AE24" s="194">
        <v>0</v>
      </c>
      <c r="AF24" s="165">
        <v>0</v>
      </c>
      <c r="AG24" s="194">
        <f>AG27-AG22</f>
        <v>-506.65723999999977</v>
      </c>
      <c r="AH24" s="194">
        <f>AH27-AH22</f>
        <v>-404.80629999999996</v>
      </c>
      <c r="AI24" s="194">
        <f>AI27-AI22</f>
        <v>-52.063429999999926</v>
      </c>
      <c r="AJ24" s="194">
        <f>AJ27-AJ22</f>
        <v>-211.17712000000006</v>
      </c>
      <c r="AK24" s="165">
        <f>SUM(AG24:AJ24)</f>
        <v>-1174.7040899999997</v>
      </c>
      <c r="AL24" s="194">
        <f>AL27-AJ22</f>
        <v>-306.17712000000006</v>
      </c>
      <c r="AM24" s="194">
        <f>AM27-AL22</f>
        <v>-22.296639999999798</v>
      </c>
      <c r="AN24" s="194">
        <f>AN27-AM22</f>
        <v>-83.296639999999798</v>
      </c>
      <c r="AO24" s="194">
        <f>AO27-AN22</f>
        <v>-487.66802999999982</v>
      </c>
      <c r="AP24" s="165">
        <f>SUM(AL24:AO24)</f>
        <v>-899.43842999999947</v>
      </c>
      <c r="AQ24" s="194">
        <f t="shared" ref="AQ24" si="9">AQ27-AO22</f>
        <v>-33.778130000000147</v>
      </c>
      <c r="AR24" s="194">
        <f t="shared" ref="AR24:AT24" si="10">AR27-AQ22</f>
        <v>-154.82274000000007</v>
      </c>
      <c r="AS24" s="194">
        <f t="shared" si="10"/>
        <v>-363.20147999999995</v>
      </c>
      <c r="AT24" s="194">
        <f t="shared" si="10"/>
        <v>-475.01551999999992</v>
      </c>
      <c r="AU24" s="165">
        <f t="shared" ref="AU24" si="11">SUM(AQ24:AT24)</f>
        <v>-1026.8178700000001</v>
      </c>
      <c r="AV24" s="194">
        <f t="shared" ref="AV24" si="12">AV27-AT22</f>
        <v>-263.09145500000022</v>
      </c>
      <c r="AW24" s="194">
        <f t="shared" ref="AW24:AY24" si="13">AW27-AV22</f>
        <v>-152.55837749999978</v>
      </c>
      <c r="AX24" s="194">
        <f t="shared" si="13"/>
        <v>-613.4384349999998</v>
      </c>
      <c r="AY24" s="194">
        <f t="shared" si="13"/>
        <v>-62.146099999999933</v>
      </c>
      <c r="AZ24" s="165">
        <f t="shared" ref="AZ24" si="14">SUM(AV24:AY24)</f>
        <v>-1091.2343674999997</v>
      </c>
      <c r="BA24" s="194">
        <f t="shared" ref="BA24" si="15">BA27-AY22</f>
        <v>-98.988200000000006</v>
      </c>
      <c r="BB24" s="194">
        <f t="shared" ref="BB24:BD24" si="16">BB27-BA22</f>
        <v>-103.94219999999973</v>
      </c>
      <c r="BC24" s="194">
        <f t="shared" si="16"/>
        <v>-84.892399999999952</v>
      </c>
      <c r="BD24" s="194">
        <f t="shared" si="16"/>
        <v>-273.99630000000002</v>
      </c>
      <c r="BE24" s="165">
        <f t="shared" ref="BE24" si="17">SUM(BA24:BD24)</f>
        <v>-561.81909999999971</v>
      </c>
      <c r="BF24" s="194">
        <f>BF27-BD22</f>
        <v>-733.23919999999976</v>
      </c>
      <c r="BG24" s="194">
        <f>BG27-BF22</f>
        <v>-651.58610000000022</v>
      </c>
      <c r="BH24" s="194">
        <f>BH27-BG22</f>
        <v>-685.71559999999999</v>
      </c>
      <c r="BI24" s="194">
        <f>BI27-BH22</f>
        <v>-685.29890000000023</v>
      </c>
      <c r="BJ24" s="165">
        <f>SUM(BF24:BI24)</f>
        <v>-2755.8398000000002</v>
      </c>
      <c r="BK24" s="194">
        <f>BK27-BI22</f>
        <v>-624.89900000000034</v>
      </c>
      <c r="BL24" s="194">
        <f>BL27-BK22</f>
        <v>-358.4527999999998</v>
      </c>
      <c r="BM24" s="734">
        <f>BM27-BL22</f>
        <v>-265.85659999999984</v>
      </c>
      <c r="BN24" s="734">
        <f ca="1">-BM22*BN25</f>
        <v>-1.2506935921538667E-15</v>
      </c>
      <c r="BO24" s="165">
        <f ca="1">SUM(BK24:BN24)</f>
        <v>-1249.2084</v>
      </c>
      <c r="BP24" s="194">
        <f t="shared" ref="BP24" si="18">-BN22*BP25</f>
        <v>-396.34650000000005</v>
      </c>
      <c r="BQ24" s="194">
        <f t="shared" ref="BQ24:BS24" si="19">-BP22*BQ25</f>
        <v>-396.30961982867115</v>
      </c>
      <c r="BR24" s="194">
        <f t="shared" si="19"/>
        <v>-396.30952406873485</v>
      </c>
      <c r="BS24" s="194">
        <f t="shared" si="19"/>
        <v>-396.30952382009269</v>
      </c>
      <c r="BT24" s="165">
        <f t="shared" ref="BT24" si="20">SUM(BP24:BS24)</f>
        <v>-1585.2751677174988</v>
      </c>
      <c r="BU24" s="194">
        <f t="shared" ref="BU24" si="21">-BS22*BU25</f>
        <v>-396.30952381944707</v>
      </c>
      <c r="BV24" s="194">
        <f t="shared" ref="BV24:BX24" si="22">-BU22*BV25</f>
        <v>-396.30952381944542</v>
      </c>
      <c r="BW24" s="194">
        <f t="shared" si="22"/>
        <v>-396.30952381944542</v>
      </c>
      <c r="BX24" s="194">
        <f t="shared" si="22"/>
        <v>-396.30952381944542</v>
      </c>
      <c r="BY24" s="165">
        <f t="shared" ref="BY24" si="23">SUM(BU24:BX24)</f>
        <v>-1585.2380952777835</v>
      </c>
      <c r="BZ24" s="194">
        <f t="shared" ref="BZ24" si="24">-BX22*BZ25</f>
        <v>-396.30952381944542</v>
      </c>
      <c r="CA24" s="194">
        <f t="shared" ref="CA24:CC24" si="25">-BZ22*CA25</f>
        <v>-396.30952381944542</v>
      </c>
      <c r="CB24" s="194">
        <f t="shared" si="25"/>
        <v>-396.30952381944542</v>
      </c>
      <c r="CC24" s="194">
        <f t="shared" si="25"/>
        <v>-396.30952381944542</v>
      </c>
      <c r="CD24" s="165">
        <f t="shared" ref="CD24" si="26">SUM(BZ24:CC24)</f>
        <v>-1585.2380952777817</v>
      </c>
    </row>
    <row r="25" spans="1:86" ht="12.75" customHeight="1">
      <c r="A25" s="164"/>
      <c r="B25" s="4" t="s">
        <v>1292</v>
      </c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94"/>
      <c r="X25" s="194"/>
      <c r="Y25" s="194"/>
      <c r="Z25" s="194"/>
      <c r="AA25" s="165"/>
      <c r="AB25" s="194"/>
      <c r="AC25" s="194"/>
      <c r="AD25" s="194"/>
      <c r="AE25" s="194"/>
      <c r="AF25" s="165"/>
      <c r="AG25" s="117">
        <f t="shared" ref="AG25:AX25" si="27">-AG24/AG22</f>
        <v>0.38364022446884088</v>
      </c>
      <c r="AH25" s="117">
        <f t="shared" si="27"/>
        <v>0.30532838771395188</v>
      </c>
      <c r="AI25" s="117">
        <f t="shared" si="27"/>
        <v>3.9232058410350386E-2</v>
      </c>
      <c r="AJ25" s="117">
        <f t="shared" si="27"/>
        <v>0.13909913225408116</v>
      </c>
      <c r="AK25" s="271">
        <f t="shared" si="27"/>
        <v>0.21345091848680678</v>
      </c>
      <c r="AL25" s="117">
        <f t="shared" si="27"/>
        <v>0.20126062987952179</v>
      </c>
      <c r="AM25" s="117">
        <f t="shared" si="27"/>
        <v>1.4656339476303452E-2</v>
      </c>
      <c r="AN25" s="117">
        <f t="shared" si="27"/>
        <v>4.8578872727917957E-2</v>
      </c>
      <c r="AO25" s="117">
        <f t="shared" si="27"/>
        <v>0.28339971405842995</v>
      </c>
      <c r="AP25" s="271">
        <f>-AP24/AP22</f>
        <v>0.13835987282991211</v>
      </c>
      <c r="AQ25" s="117">
        <f t="shared" si="27"/>
        <v>1.9594897558898743E-2</v>
      </c>
      <c r="AR25" s="117">
        <f t="shared" si="27"/>
        <v>9.0847673715199487E-2</v>
      </c>
      <c r="AS25" s="117">
        <f t="shared" si="27"/>
        <v>0.20313105559620645</v>
      </c>
      <c r="AT25" s="117">
        <f t="shared" si="27"/>
        <v>0.26866003942086802</v>
      </c>
      <c r="AU25" s="271">
        <f>-AU24/AU22</f>
        <v>0.14911130605576117</v>
      </c>
      <c r="AV25" s="117">
        <f t="shared" si="27"/>
        <v>0.14619778846268647</v>
      </c>
      <c r="AW25" s="117">
        <f t="shared" si="27"/>
        <v>8.4875439697604887E-2</v>
      </c>
      <c r="AX25" s="117">
        <f t="shared" si="27"/>
        <v>0.33500245283541263</v>
      </c>
      <c r="AY25" s="117">
        <f t="shared" ref="AY25:BH25" si="28">-AY24/AY22</f>
        <v>3.4146430180151684E-2</v>
      </c>
      <c r="AZ25" s="271">
        <f t="shared" si="28"/>
        <v>0.15179321777463906</v>
      </c>
      <c r="BA25" s="117">
        <f t="shared" si="28"/>
        <v>5.4241827494591346E-2</v>
      </c>
      <c r="BB25" s="117">
        <f t="shared" si="28"/>
        <v>5.6740341299521595E-2</v>
      </c>
      <c r="BC25" s="117">
        <f t="shared" si="28"/>
        <v>4.6262981565684876E-2</v>
      </c>
      <c r="BD25" s="117">
        <f t="shared" si="28"/>
        <v>0.14881081176199162</v>
      </c>
      <c r="BE25" s="271">
        <f t="shared" si="28"/>
        <v>7.6282742079356092E-2</v>
      </c>
      <c r="BF25" s="117">
        <f t="shared" si="28"/>
        <v>0.39345603618743435</v>
      </c>
      <c r="BG25" s="117">
        <f t="shared" si="28"/>
        <v>0.34701000513602814</v>
      </c>
      <c r="BH25" s="117">
        <f t="shared" si="28"/>
        <v>0.36256331561341254</v>
      </c>
      <c r="BI25" s="117">
        <f t="shared" ref="BI25" si="29">-BI24/BI22</f>
        <v>0.35253832632250959</v>
      </c>
      <c r="BJ25" s="271">
        <f>-BJ24/BJ22</f>
        <v>0.35442168034450344</v>
      </c>
      <c r="BK25" s="117">
        <f t="shared" ref="BK25:BN25" si="30">-BK24/BK22</f>
        <v>0.31777981144525841</v>
      </c>
      <c r="BL25" s="117">
        <f t="shared" si="30"/>
        <v>0.18160022364339934</v>
      </c>
      <c r="BM25" s="720">
        <f t="shared" si="30"/>
        <v>0.13428690071759491</v>
      </c>
      <c r="BN25" s="720">
        <f t="shared" ca="1" si="30"/>
        <v>6.3111120807367632E-19</v>
      </c>
      <c r="BO25" s="271">
        <f ca="1">-BO24/BO22</f>
        <v>0.15759044169684858</v>
      </c>
      <c r="BP25" s="270">
        <v>0.2</v>
      </c>
      <c r="BQ25" s="270">
        <v>0.2</v>
      </c>
      <c r="BR25" s="270">
        <v>0.2</v>
      </c>
      <c r="BS25" s="270">
        <v>0.2</v>
      </c>
      <c r="BT25" s="271">
        <f>-BT24/BT22</f>
        <v>0.20000467720777354</v>
      </c>
      <c r="BU25" s="270">
        <v>0.2</v>
      </c>
      <c r="BV25" s="270">
        <v>0.2</v>
      </c>
      <c r="BW25" s="270">
        <v>0.2</v>
      </c>
      <c r="BX25" s="270">
        <v>0.2</v>
      </c>
      <c r="BY25" s="271">
        <f>-BY24/BY22</f>
        <v>0.20000000000000023</v>
      </c>
      <c r="BZ25" s="270">
        <v>0.2</v>
      </c>
      <c r="CA25" s="270">
        <v>0.2</v>
      </c>
      <c r="CB25" s="270">
        <v>0.2</v>
      </c>
      <c r="CC25" s="270">
        <v>0.2</v>
      </c>
      <c r="CD25" s="271">
        <f>-CD24/CD22</f>
        <v>0.2</v>
      </c>
    </row>
    <row r="26" spans="1:86" ht="12.75" customHeight="1">
      <c r="A26" s="164"/>
      <c r="B26" s="165"/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247"/>
      <c r="BN26" s="247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5"/>
      <c r="CB26" s="165"/>
      <c r="CC26" s="165"/>
      <c r="CD26" s="165"/>
    </row>
    <row r="27" spans="1:86" ht="12.75" customHeight="1">
      <c r="A27" s="164" t="s">
        <v>1443</v>
      </c>
      <c r="B27" s="165"/>
      <c r="C27" s="165">
        <f>-'Cash flow statement'!C179</f>
        <v>4827</v>
      </c>
      <c r="D27" s="165">
        <f>-'Cash flow statement'!D179</f>
        <v>5264</v>
      </c>
      <c r="E27" s="165">
        <f>-'Cash flow statement'!E179</f>
        <v>5654</v>
      </c>
      <c r="F27" s="165">
        <f>-'Cash flow statement'!F179</f>
        <v>6041</v>
      </c>
      <c r="G27" s="165">
        <f>-'Cash flow statement'!G179</f>
        <v>7359</v>
      </c>
      <c r="H27" s="316"/>
      <c r="I27" s="316"/>
      <c r="J27" s="316"/>
      <c r="K27" s="316"/>
      <c r="L27" s="165">
        <f>-'Cash flow statement'!L179</f>
        <v>7686</v>
      </c>
      <c r="M27" s="316"/>
      <c r="N27" s="316"/>
      <c r="O27" s="316"/>
      <c r="P27" s="316"/>
      <c r="Q27" s="165">
        <f>-'Cash flow statement'!Q179</f>
        <v>8106</v>
      </c>
      <c r="R27" s="316"/>
      <c r="S27" s="316"/>
      <c r="T27" s="316"/>
      <c r="U27" s="316"/>
      <c r="V27" s="165">
        <f>-'Cash flow statement'!V179</f>
        <v>10342</v>
      </c>
      <c r="W27" s="194">
        <f>-'Cash flow statement'!W179</f>
        <v>2619</v>
      </c>
      <c r="X27" s="194">
        <f>-'Cash flow statement'!X179</f>
        <v>2620</v>
      </c>
      <c r="Y27" s="194">
        <f>-'Cash flow statement'!Y179</f>
        <v>2621</v>
      </c>
      <c r="Z27" s="194">
        <f>-'Cash flow statement'!Z179</f>
        <v>2623</v>
      </c>
      <c r="AA27" s="165">
        <f>-'Cash flow statement'!AA179</f>
        <v>10483</v>
      </c>
      <c r="AB27" s="194">
        <f>-'Cash flow statement'!AB179</f>
        <v>2626</v>
      </c>
      <c r="AC27" s="194">
        <f>-'Cash flow statement'!AC179</f>
        <v>0</v>
      </c>
      <c r="AD27" s="194">
        <f>-'Cash flow statement'!AD179</f>
        <v>1</v>
      </c>
      <c r="AE27" s="194">
        <f>-'Cash flow statement'!AE179</f>
        <v>0</v>
      </c>
      <c r="AF27" s="165">
        <f>-'Cash flow statement'!AF179</f>
        <v>2627</v>
      </c>
      <c r="AG27" s="194">
        <f>-'Income statement'!AG114</f>
        <v>814</v>
      </c>
      <c r="AH27" s="194">
        <f>-'Income statement'!AH114</f>
        <v>921</v>
      </c>
      <c r="AI27" s="194">
        <f>-'Income statement'!AI114</f>
        <v>1275</v>
      </c>
      <c r="AJ27" s="194">
        <f>-'Income statement'!AJ114</f>
        <v>1307</v>
      </c>
      <c r="AK27" s="165">
        <f>SUM(AG27:AJ27)</f>
        <v>4317</v>
      </c>
      <c r="AL27" s="194">
        <f>-'Income statement'!AL114</f>
        <v>1212</v>
      </c>
      <c r="AM27" s="194">
        <f>-'Income statement'!AM114</f>
        <v>1499</v>
      </c>
      <c r="AN27" s="194">
        <f>-'Income statement'!AN114</f>
        <v>1438</v>
      </c>
      <c r="AO27" s="194">
        <f>-'Income statement'!AO114</f>
        <v>1227</v>
      </c>
      <c r="AP27" s="165">
        <f>SUM(AL27:AO27)</f>
        <v>5376</v>
      </c>
      <c r="AQ27" s="194">
        <f>-'Income statement'!AQ114</f>
        <v>1687</v>
      </c>
      <c r="AR27" s="194">
        <f>-'Income statement'!AR114</f>
        <v>1569</v>
      </c>
      <c r="AS27" s="194">
        <f>-'Income statement'!AS114</f>
        <v>1341</v>
      </c>
      <c r="AT27" s="194">
        <f>-'Income statement'!AT114</f>
        <v>1313</v>
      </c>
      <c r="AU27" s="165">
        <f>SUM(AQ27:AT27)</f>
        <v>5910</v>
      </c>
      <c r="AV27" s="194">
        <f>-'Income statement'!AV114</f>
        <v>1505</v>
      </c>
      <c r="AW27" s="194">
        <f>-'Income statement'!AW114</f>
        <v>1647</v>
      </c>
      <c r="AX27" s="194">
        <f>-'Income statement'!AX114</f>
        <v>1184</v>
      </c>
      <c r="AY27" s="194">
        <f>-'Income statement'!AY114</f>
        <v>1769</v>
      </c>
      <c r="AZ27" s="165">
        <f>SUM(AV27:AY27)</f>
        <v>6105</v>
      </c>
      <c r="BA27" s="194">
        <f>-'Income statement'!BA114</f>
        <v>1721</v>
      </c>
      <c r="BB27" s="194">
        <f>-'Income statement'!BB114</f>
        <v>1721</v>
      </c>
      <c r="BC27" s="194">
        <f>-'Income statement'!BC114</f>
        <v>1747</v>
      </c>
      <c r="BD27" s="194">
        <f>-'Income statement'!BD114</f>
        <v>1561</v>
      </c>
      <c r="BE27" s="165">
        <f>SUM(BA27:BD27)</f>
        <v>6750</v>
      </c>
      <c r="BF27" s="194">
        <f>-'Income statement'!BF114</f>
        <v>1108</v>
      </c>
      <c r="BG27" s="194">
        <f>-'Income statement'!BG114</f>
        <v>1212</v>
      </c>
      <c r="BH27" s="194">
        <f>-'Income statement'!BH114</f>
        <v>1192</v>
      </c>
      <c r="BI27" s="194">
        <f>-'Income statement'!BI114</f>
        <v>1206</v>
      </c>
      <c r="BJ27" s="165">
        <f>SUM(BF27:BI27)</f>
        <v>4718</v>
      </c>
      <c r="BK27" s="194">
        <f>-'Income statement'!BK114</f>
        <v>1319</v>
      </c>
      <c r="BL27" s="194">
        <f>-'Income statement'!BL114</f>
        <v>1608</v>
      </c>
      <c r="BM27" s="734">
        <f>-'Income statement'!BM114</f>
        <v>1708</v>
      </c>
      <c r="BN27" s="734">
        <f ca="1">BM22+BN24</f>
        <v>1979.7657000000002</v>
      </c>
      <c r="BO27" s="165">
        <f ca="1">SUM(BK27:BN27)</f>
        <v>6614.7656999999999</v>
      </c>
      <c r="BP27" s="194">
        <f t="shared" ref="BP27" si="31">BN22+BP24</f>
        <v>1585.386</v>
      </c>
      <c r="BQ27" s="194">
        <f t="shared" ref="BQ27:BS27" si="32">BP22+BQ24</f>
        <v>1585.2384793146844</v>
      </c>
      <c r="BR27" s="194">
        <f t="shared" si="32"/>
        <v>1585.2380962749394</v>
      </c>
      <c r="BS27" s="194">
        <f t="shared" si="32"/>
        <v>1585.2380952803708</v>
      </c>
      <c r="BT27" s="165">
        <f t="shared" ref="BT27" si="33">SUM(BP27:BS27)</f>
        <v>6341.1006708699942</v>
      </c>
      <c r="BU27" s="194">
        <f t="shared" ref="BU27" si="34">BS22+BU24</f>
        <v>1585.238095277788</v>
      </c>
      <c r="BV27" s="194">
        <f t="shared" ref="BV27:BX27" si="35">BU22+BV24</f>
        <v>1585.2380952777817</v>
      </c>
      <c r="BW27" s="194">
        <f t="shared" si="35"/>
        <v>1585.2380952777817</v>
      </c>
      <c r="BX27" s="194">
        <f t="shared" si="35"/>
        <v>1585.2380952777817</v>
      </c>
      <c r="BY27" s="165">
        <f t="shared" ref="BY27" si="36">SUM(BU27:BX27)</f>
        <v>6340.9523811111339</v>
      </c>
      <c r="BZ27" s="194">
        <f t="shared" ref="BZ27" si="37">BX22+BZ24</f>
        <v>1585.2380952777817</v>
      </c>
      <c r="CA27" s="194">
        <f t="shared" ref="CA27:CC27" si="38">BZ22+CA24</f>
        <v>1585.2380952777817</v>
      </c>
      <c r="CB27" s="194">
        <f t="shared" si="38"/>
        <v>1585.2380952777817</v>
      </c>
      <c r="CC27" s="194">
        <f t="shared" si="38"/>
        <v>1585.2380952777817</v>
      </c>
      <c r="CD27" s="165">
        <f t="shared" ref="CD27" si="39">SUM(BZ27:CC27)</f>
        <v>6340.9523811111267</v>
      </c>
    </row>
    <row r="28" spans="1:86" ht="12.75" customHeight="1">
      <c r="A28" s="165"/>
      <c r="B28" s="165"/>
      <c r="C28" s="165"/>
      <c r="D28" s="165"/>
      <c r="E28" s="165"/>
      <c r="F28" s="165"/>
      <c r="G28" s="165"/>
      <c r="H28" s="165"/>
      <c r="I28" s="165"/>
      <c r="J28" s="165"/>
      <c r="K28" s="165"/>
      <c r="L28" s="165"/>
      <c r="M28" s="165"/>
      <c r="N28" s="165"/>
      <c r="O28" s="165"/>
      <c r="P28" s="165"/>
      <c r="Q28" s="165"/>
      <c r="R28" s="165"/>
      <c r="S28" s="165"/>
      <c r="T28" s="165"/>
      <c r="U28" s="165"/>
      <c r="V28" s="165"/>
      <c r="W28" s="165"/>
      <c r="X28" s="165"/>
      <c r="Y28" s="165"/>
      <c r="Z28" s="165"/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247"/>
      <c r="BN28" s="247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5"/>
      <c r="CB28" s="165"/>
      <c r="CC28" s="165"/>
      <c r="CD28" s="165"/>
    </row>
    <row r="29" spans="1:86" ht="12.75" customHeight="1">
      <c r="A29" s="215" t="s">
        <v>339</v>
      </c>
      <c r="B29" s="165"/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P29" s="316"/>
      <c r="Q29" s="316"/>
      <c r="R29" s="316"/>
      <c r="S29" s="316"/>
      <c r="T29" s="316"/>
      <c r="U29" s="316"/>
      <c r="V29" s="316"/>
      <c r="W29" s="316"/>
      <c r="X29" s="316"/>
      <c r="Y29" s="316"/>
      <c r="Z29" s="316"/>
      <c r="AA29" s="316"/>
      <c r="AB29" s="316"/>
      <c r="AC29" s="316"/>
      <c r="AD29" s="316"/>
      <c r="AE29" s="316"/>
      <c r="AF29" s="316"/>
      <c r="AG29" s="316"/>
      <c r="AH29" s="316"/>
      <c r="AI29" s="316"/>
      <c r="AJ29" s="316"/>
      <c r="AK29" s="316"/>
      <c r="AL29" s="316"/>
      <c r="AM29" s="316"/>
      <c r="AN29" s="316"/>
      <c r="AO29" s="316"/>
      <c r="AP29" s="316"/>
      <c r="AQ29" s="316"/>
      <c r="AR29" s="316"/>
      <c r="AS29" s="316"/>
      <c r="AT29" s="316"/>
      <c r="AU29" s="316"/>
      <c r="AV29" s="316"/>
      <c r="AW29" s="316"/>
      <c r="AX29" s="316"/>
      <c r="AY29" s="641">
        <f>95/AY30</f>
        <v>6.9343065693430663</v>
      </c>
      <c r="AZ29" s="230">
        <f>1318/AZ30</f>
        <v>7.9589371980676331</v>
      </c>
      <c r="BA29" s="641">
        <f>109/BA30</f>
        <v>6.9426751592356695</v>
      </c>
      <c r="BB29" s="641">
        <f>(642-(109+110+289))/BB30</f>
        <v>7.089947089947092</v>
      </c>
      <c r="BC29" s="641">
        <f>110/BC30</f>
        <v>5.9459459459459456</v>
      </c>
      <c r="BD29" s="641">
        <f>289/BD30</f>
        <v>5.8148893360160958</v>
      </c>
      <c r="BE29" s="230">
        <f>642/BE30</f>
        <v>6.245136186770428</v>
      </c>
      <c r="BF29" s="641">
        <f>739/BF30</f>
        <v>4.7862694300518136</v>
      </c>
      <c r="BG29" s="641">
        <f>695/BG30</f>
        <v>5.1711309523809526</v>
      </c>
      <c r="BH29" s="641">
        <f>714/BH30</f>
        <v>5.4923076923076923</v>
      </c>
      <c r="BI29" s="641">
        <f>710/BI30</f>
        <v>5.4953560371517032</v>
      </c>
      <c r="BJ29" s="230">
        <f>2858/BJ30</f>
        <v>5.2153284671532845</v>
      </c>
      <c r="BK29" s="641">
        <f>642/BK30</f>
        <v>5.5777584708948744</v>
      </c>
      <c r="BL29" s="641">
        <f>420/BL30</f>
        <v>5.9914407988587737</v>
      </c>
      <c r="BM29" s="735">
        <f>298/BM30</f>
        <v>5.8089668615984404</v>
      </c>
      <c r="BN29" s="735">
        <f>354/BN30</f>
        <v>6.6416510318949351</v>
      </c>
      <c r="BO29" s="230"/>
      <c r="BP29" s="232">
        <f>DDM!$D$26/100</f>
        <v>7.7026307133114775</v>
      </c>
      <c r="BQ29" s="232">
        <f>DDM!$D$26/100</f>
        <v>7.7026307133114775</v>
      </c>
      <c r="BR29" s="232">
        <f>DDM!$D$26/100</f>
        <v>7.7026307133114775</v>
      </c>
      <c r="BS29" s="232">
        <f>DDM!$D$26/100</f>
        <v>7.7026307133114775</v>
      </c>
      <c r="BT29" s="110"/>
      <c r="BU29" s="232">
        <f>DDM!$D$26/100</f>
        <v>7.7026307133114775</v>
      </c>
      <c r="BV29" s="232">
        <f>DDM!$D$26/100</f>
        <v>7.7026307133114775</v>
      </c>
      <c r="BW29" s="232">
        <f>DDM!$D$26/100</f>
        <v>7.7026307133114775</v>
      </c>
      <c r="BX29" s="232">
        <f>DDM!$D$26/100</f>
        <v>7.7026307133114775</v>
      </c>
      <c r="BY29" s="110"/>
      <c r="BZ29" s="232">
        <f>DDM!$D$26/100</f>
        <v>7.7026307133114775</v>
      </c>
      <c r="CA29" s="232">
        <f>DDM!$D$26/100</f>
        <v>7.7026307133114775</v>
      </c>
      <c r="CB29" s="232">
        <f>DDM!$D$26/100</f>
        <v>7.7026307133114775</v>
      </c>
      <c r="CC29" s="232">
        <f>DDM!$D$26/100</f>
        <v>7.7026307133114775</v>
      </c>
      <c r="CD29" s="110"/>
    </row>
    <row r="30" spans="1:86" ht="12.75" customHeight="1">
      <c r="A30" s="215" t="s">
        <v>2915</v>
      </c>
      <c r="B30" s="164"/>
      <c r="C30" s="316"/>
      <c r="D30" s="316"/>
      <c r="E30" s="316"/>
      <c r="F30" s="316"/>
      <c r="G30" s="316"/>
      <c r="H30" s="316"/>
      <c r="I30" s="316"/>
      <c r="J30" s="316"/>
      <c r="K30" s="316"/>
      <c r="L30" s="316"/>
      <c r="M30" s="316"/>
      <c r="N30" s="316"/>
      <c r="O30" s="316"/>
      <c r="P30" s="316"/>
      <c r="Q30" s="316"/>
      <c r="R30" s="316"/>
      <c r="S30" s="316"/>
      <c r="T30" s="316"/>
      <c r="U30" s="316"/>
      <c r="V30" s="316"/>
      <c r="W30" s="316"/>
      <c r="X30" s="316"/>
      <c r="Y30" s="316"/>
      <c r="Z30" s="316"/>
      <c r="AA30" s="316"/>
      <c r="AB30" s="316"/>
      <c r="AC30" s="316"/>
      <c r="AD30" s="316"/>
      <c r="AE30" s="316"/>
      <c r="AF30" s="316"/>
      <c r="AG30" s="316"/>
      <c r="AH30" s="316"/>
      <c r="AI30" s="316"/>
      <c r="AJ30" s="316"/>
      <c r="AK30" s="316"/>
      <c r="AL30" s="316"/>
      <c r="AM30" s="316"/>
      <c r="AN30" s="316"/>
      <c r="AO30" s="316"/>
      <c r="AP30" s="316"/>
      <c r="AQ30" s="316"/>
      <c r="AR30" s="316"/>
      <c r="AS30" s="316"/>
      <c r="AT30" s="316"/>
      <c r="AU30" s="316"/>
      <c r="AV30" s="316"/>
      <c r="AW30" s="316"/>
      <c r="AX30" s="316"/>
      <c r="AY30" s="194">
        <v>13.7</v>
      </c>
      <c r="AZ30" s="165">
        <v>165.6</v>
      </c>
      <c r="BA30" s="194">
        <v>15.7</v>
      </c>
      <c r="BB30" s="194">
        <f>BE30-BD30-BC30-BA30</f>
        <v>18.899999999999995</v>
      </c>
      <c r="BC30" s="194">
        <v>18.5</v>
      </c>
      <c r="BD30" s="194">
        <v>49.7</v>
      </c>
      <c r="BE30" s="165">
        <v>102.8</v>
      </c>
      <c r="BF30" s="194">
        <v>154.4</v>
      </c>
      <c r="BG30" s="194">
        <v>134.4</v>
      </c>
      <c r="BH30" s="194">
        <v>130</v>
      </c>
      <c r="BI30" s="194">
        <v>129.19999999999999</v>
      </c>
      <c r="BJ30" s="165">
        <f>SUM(BF30:BI30)</f>
        <v>548</v>
      </c>
      <c r="BK30" s="194">
        <v>115.1</v>
      </c>
      <c r="BL30" s="194">
        <v>70.099999999999994</v>
      </c>
      <c r="BM30" s="734">
        <v>51.3</v>
      </c>
      <c r="BN30" s="734">
        <v>53.3</v>
      </c>
      <c r="BO30" s="165">
        <f>SUM(BK30:BN30)</f>
        <v>289.8</v>
      </c>
      <c r="BP30" s="194">
        <f>-BP24/BP29</f>
        <v>51.455991433555909</v>
      </c>
      <c r="BQ30" s="194">
        <f>-BQ24/BQ29</f>
        <v>51.451203436740073</v>
      </c>
      <c r="BR30" s="194">
        <f>-BR24/BR29</f>
        <v>51.451191004632157</v>
      </c>
      <c r="BS30" s="194">
        <f>-BS24/BS29</f>
        <v>51.451190972351995</v>
      </c>
      <c r="BT30" s="165">
        <f>SUM(BP30:BS30)</f>
        <v>205.80957684728014</v>
      </c>
      <c r="BU30" s="194">
        <f>-BU24/BU29</f>
        <v>51.451190972268172</v>
      </c>
      <c r="BV30" s="194">
        <f>-BV24/BV29</f>
        <v>51.451190972267959</v>
      </c>
      <c r="BW30" s="194">
        <f>-BW24/BW29</f>
        <v>51.451190972267959</v>
      </c>
      <c r="BX30" s="194">
        <f>-BX24/BX29</f>
        <v>51.451190972267959</v>
      </c>
      <c r="BY30" s="165">
        <f>SUM(BU30:BX30)</f>
        <v>205.80476388907206</v>
      </c>
      <c r="BZ30" s="194">
        <f>-BZ24/BZ29</f>
        <v>51.451190972267959</v>
      </c>
      <c r="CA30" s="194">
        <f>-CA24/CA29</f>
        <v>51.451190972267959</v>
      </c>
      <c r="CB30" s="194">
        <f>-CB24/CB29</f>
        <v>51.451190972267959</v>
      </c>
      <c r="CC30" s="194">
        <f>-CC24/CC29</f>
        <v>51.451190972267959</v>
      </c>
      <c r="CD30" s="165">
        <f>SUM(BZ30:CC30)</f>
        <v>205.80476388907184</v>
      </c>
    </row>
    <row r="31" spans="1:86" ht="12.75" customHeight="1">
      <c r="A31" s="215"/>
      <c r="B31" s="164"/>
      <c r="C31" s="165"/>
      <c r="D31" s="165"/>
      <c r="E31" s="165"/>
      <c r="F31" s="165"/>
      <c r="G31" s="165"/>
      <c r="H31" s="165"/>
      <c r="I31" s="165"/>
      <c r="J31" s="165"/>
      <c r="K31" s="165"/>
      <c r="L31" s="165"/>
      <c r="M31" s="165"/>
      <c r="N31" s="165"/>
      <c r="O31" s="165"/>
      <c r="P31" s="165"/>
      <c r="Q31" s="165"/>
      <c r="R31" s="165"/>
      <c r="S31" s="165"/>
      <c r="T31" s="165"/>
      <c r="U31" s="165"/>
      <c r="V31" s="165"/>
      <c r="W31" s="165"/>
      <c r="X31" s="165"/>
      <c r="Y31" s="165"/>
      <c r="Z31" s="165"/>
      <c r="AA31" s="165"/>
      <c r="AB31" s="165"/>
      <c r="AC31" s="165"/>
      <c r="AD31" s="165"/>
      <c r="AE31" s="165"/>
      <c r="AF31" s="165"/>
      <c r="AG31" s="165"/>
      <c r="AH31" s="165"/>
      <c r="AI31" s="165"/>
      <c r="AJ31" s="165"/>
      <c r="AK31" s="165"/>
      <c r="AL31" s="165"/>
      <c r="AM31" s="165"/>
      <c r="AN31" s="165"/>
      <c r="AO31" s="194"/>
      <c r="AP31" s="165"/>
      <c r="AQ31" s="194"/>
      <c r="AR31" s="194"/>
      <c r="AS31" s="194"/>
      <c r="AT31" s="194"/>
      <c r="AU31" s="165"/>
      <c r="AV31" s="194"/>
      <c r="AW31" s="194"/>
      <c r="AX31" s="194"/>
      <c r="AY31" s="194"/>
      <c r="AZ31" s="165"/>
      <c r="BA31" s="194"/>
      <c r="BB31" s="194"/>
      <c r="BC31" s="194"/>
      <c r="BD31" s="194"/>
      <c r="BE31" s="165"/>
      <c r="BF31" s="194"/>
      <c r="BG31" s="194"/>
      <c r="BH31" s="194"/>
      <c r="BI31" s="194"/>
      <c r="BJ31" s="165"/>
      <c r="BK31" s="194"/>
      <c r="BL31" s="194"/>
      <c r="BM31" s="734"/>
      <c r="BN31" s="734"/>
      <c r="BO31" s="165"/>
      <c r="BP31" s="194"/>
      <c r="BQ31" s="194"/>
      <c r="BR31" s="194"/>
      <c r="BS31" s="194"/>
      <c r="BT31" s="165"/>
      <c r="BU31" s="194"/>
      <c r="BV31" s="194"/>
      <c r="BW31" s="194"/>
      <c r="BX31" s="194"/>
      <c r="BY31" s="165"/>
      <c r="BZ31" s="194"/>
      <c r="CA31" s="194"/>
      <c r="CB31" s="194"/>
      <c r="CC31" s="194"/>
      <c r="CD31" s="165"/>
    </row>
    <row r="32" spans="1:86" ht="12.75" customHeight="1">
      <c r="A32" s="215"/>
      <c r="B32" s="164"/>
      <c r="C32" s="165"/>
      <c r="D32" s="165"/>
      <c r="E32" s="165"/>
      <c r="F32" s="165"/>
      <c r="G32" s="165"/>
      <c r="H32" s="165"/>
      <c r="I32" s="165"/>
      <c r="J32" s="165"/>
      <c r="K32" s="165"/>
      <c r="L32" s="165"/>
      <c r="M32" s="165"/>
      <c r="N32" s="165"/>
      <c r="O32" s="165"/>
      <c r="P32" s="165"/>
      <c r="Q32" s="165"/>
      <c r="R32" s="165"/>
      <c r="S32" s="165"/>
      <c r="T32" s="165"/>
      <c r="U32" s="165"/>
      <c r="V32" s="165"/>
      <c r="W32" s="165"/>
      <c r="X32" s="165"/>
      <c r="Y32" s="165"/>
      <c r="Z32" s="165"/>
      <c r="AA32" s="165"/>
      <c r="AB32" s="165"/>
      <c r="AC32" s="165"/>
      <c r="AD32" s="165"/>
      <c r="AE32" s="165"/>
      <c r="AF32" s="165"/>
      <c r="AG32" s="165"/>
      <c r="AH32" s="165"/>
      <c r="AI32" s="165"/>
      <c r="AJ32" s="165"/>
      <c r="AK32" s="165"/>
      <c r="AL32" s="165"/>
      <c r="AM32" s="165"/>
      <c r="AN32" s="165"/>
      <c r="AO32" s="194"/>
      <c r="AP32" s="165"/>
      <c r="AQ32" s="194"/>
      <c r="AR32" s="194"/>
      <c r="AS32" s="194"/>
      <c r="AT32" s="194"/>
      <c r="AU32" s="165"/>
      <c r="AV32" s="194"/>
      <c r="AW32" s="194"/>
      <c r="AX32" s="194"/>
      <c r="AY32" s="194"/>
      <c r="AZ32" s="165"/>
      <c r="BA32" s="194"/>
      <c r="BB32" s="194"/>
      <c r="BC32" s="194"/>
      <c r="BD32" s="194"/>
      <c r="BE32" s="165"/>
      <c r="BF32" s="194"/>
      <c r="BG32" s="194"/>
      <c r="BH32" s="194"/>
      <c r="BI32" s="194"/>
      <c r="BJ32" s="165"/>
      <c r="BK32" s="194"/>
      <c r="BL32" s="194"/>
      <c r="BM32" s="194"/>
      <c r="BN32" s="194"/>
      <c r="BO32" s="165"/>
      <c r="BP32" s="194"/>
      <c r="BQ32" s="194"/>
      <c r="BR32" s="194"/>
      <c r="BS32" s="194"/>
      <c r="BT32" s="165"/>
      <c r="BU32" s="194"/>
      <c r="BV32" s="194"/>
      <c r="BW32" s="194"/>
      <c r="BX32" s="194"/>
      <c r="BY32" s="165"/>
      <c r="BZ32" s="194"/>
      <c r="CA32" s="194"/>
      <c r="CB32" s="194"/>
      <c r="CC32" s="194"/>
      <c r="CD32" s="165"/>
    </row>
    <row r="33" spans="1:82" ht="12.75" customHeight="1">
      <c r="A33" s="215"/>
      <c r="B33" s="164"/>
      <c r="C33" s="165"/>
      <c r="D33" s="165"/>
      <c r="E33" s="165"/>
      <c r="F33" s="165"/>
      <c r="G33" s="165"/>
      <c r="H33" s="165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5"/>
      <c r="T33" s="165"/>
      <c r="U33" s="165"/>
      <c r="V33" s="165"/>
      <c r="W33" s="165"/>
      <c r="X33" s="165"/>
      <c r="Y33" s="165"/>
      <c r="Z33" s="165"/>
      <c r="AA33" s="165"/>
      <c r="AB33" s="165"/>
      <c r="AC33" s="165"/>
      <c r="AD33" s="165"/>
      <c r="AE33" s="165"/>
      <c r="AF33" s="165"/>
      <c r="AG33" s="165"/>
      <c r="AH33" s="165"/>
      <c r="AI33" s="165"/>
      <c r="AJ33" s="165"/>
      <c r="AK33" s="165"/>
      <c r="AL33" s="165"/>
      <c r="AM33" s="194"/>
      <c r="AN33" s="194"/>
      <c r="AO33" s="194"/>
      <c r="AP33" s="165"/>
      <c r="AQ33" s="194"/>
      <c r="AR33" s="194"/>
      <c r="AS33" s="194"/>
      <c r="AT33" s="194"/>
      <c r="AU33" s="165"/>
      <c r="AV33" s="194"/>
      <c r="AW33" s="194"/>
      <c r="AX33" s="194"/>
      <c r="AY33" s="194"/>
      <c r="AZ33" s="165"/>
      <c r="BA33" s="194"/>
      <c r="BB33" s="194"/>
      <c r="BC33" s="194"/>
      <c r="BD33" s="194"/>
      <c r="BE33" s="165"/>
      <c r="BF33" s="194"/>
      <c r="BG33" s="194"/>
      <c r="BH33" s="194"/>
      <c r="BI33" s="194"/>
      <c r="BJ33" s="165"/>
      <c r="BK33" s="194"/>
      <c r="BL33" s="194"/>
      <c r="BM33" s="194"/>
      <c r="BN33" s="194"/>
      <c r="BO33" s="165"/>
      <c r="BP33" s="194"/>
      <c r="BQ33" s="194"/>
      <c r="BR33" s="194"/>
      <c r="BS33" s="194"/>
      <c r="BT33" s="165"/>
      <c r="BU33" s="194"/>
      <c r="BV33" s="194"/>
      <c r="BW33" s="194"/>
      <c r="BX33" s="194"/>
      <c r="BY33" s="165"/>
      <c r="BZ33" s="194"/>
      <c r="CA33" s="194"/>
      <c r="CB33" s="194"/>
      <c r="CC33" s="194"/>
      <c r="CD33" s="165"/>
    </row>
    <row r="34" spans="1:82" ht="12.75" customHeight="1">
      <c r="A34" s="188" t="s">
        <v>736</v>
      </c>
      <c r="B34" s="164"/>
      <c r="C34" s="167"/>
      <c r="D34" s="189"/>
      <c r="E34" s="167"/>
      <c r="F34" s="167"/>
      <c r="G34" s="167"/>
      <c r="H34" s="167"/>
      <c r="I34" s="167"/>
      <c r="J34" s="167"/>
      <c r="K34" s="167"/>
      <c r="L34" s="167"/>
      <c r="M34" s="167"/>
      <c r="N34" s="167"/>
      <c r="O34" s="167"/>
      <c r="P34" s="167"/>
      <c r="Q34" s="167"/>
      <c r="R34" s="16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E34" s="167"/>
      <c r="AF34" s="167"/>
      <c r="AG34" s="167"/>
      <c r="AH34" s="167"/>
      <c r="AI34" s="167"/>
      <c r="AJ34" s="167"/>
      <c r="AK34" s="167"/>
      <c r="AL34" s="167"/>
      <c r="AM34" s="167"/>
      <c r="AN34" s="167"/>
      <c r="AO34" s="167"/>
      <c r="AP34" s="167"/>
      <c r="AQ34" s="167"/>
      <c r="AR34" s="167"/>
      <c r="AS34" s="167"/>
      <c r="AT34" s="167"/>
      <c r="AU34" s="167"/>
      <c r="AV34" s="167"/>
      <c r="AW34" s="167"/>
      <c r="AX34" s="167"/>
      <c r="AY34" s="167"/>
      <c r="AZ34" s="167"/>
      <c r="BA34" s="167"/>
      <c r="BB34" s="167"/>
      <c r="BC34" s="167"/>
      <c r="BD34" s="167"/>
      <c r="BE34" s="167"/>
      <c r="BF34" s="167"/>
      <c r="BG34" s="167"/>
      <c r="BH34" s="167"/>
      <c r="BI34" s="167"/>
      <c r="BJ34" s="167"/>
      <c r="BK34" s="167"/>
      <c r="BL34" s="167"/>
      <c r="BM34" s="167"/>
      <c r="BN34" s="167"/>
      <c r="BO34" s="167"/>
      <c r="BP34" s="167"/>
      <c r="BQ34" s="167"/>
      <c r="BR34" s="167"/>
      <c r="BS34" s="167"/>
      <c r="BT34" s="167"/>
      <c r="BU34" s="167"/>
      <c r="BV34" s="167"/>
      <c r="BW34" s="167"/>
      <c r="BX34" s="167"/>
      <c r="BY34" s="167"/>
      <c r="BZ34" s="167"/>
      <c r="CA34" s="167"/>
      <c r="CB34" s="167"/>
      <c r="CC34" s="167"/>
      <c r="CD34" s="167"/>
    </row>
    <row r="35" spans="1:82" ht="12.75" customHeight="1">
      <c r="A35" s="190"/>
      <c r="B35" s="190"/>
      <c r="C35" s="191">
        <v>2001</v>
      </c>
      <c r="D35" s="192">
        <v>2002</v>
      </c>
      <c r="E35" s="192">
        <v>2003</v>
      </c>
      <c r="F35" s="192">
        <v>2004</v>
      </c>
      <c r="G35" s="191">
        <v>2005</v>
      </c>
      <c r="H35" s="193" t="s">
        <v>714</v>
      </c>
      <c r="I35" s="193" t="s">
        <v>715</v>
      </c>
      <c r="J35" s="193" t="s">
        <v>716</v>
      </c>
      <c r="K35" s="193" t="s">
        <v>717</v>
      </c>
      <c r="L35" s="191">
        <v>2006</v>
      </c>
      <c r="M35" s="193" t="s">
        <v>718</v>
      </c>
      <c r="N35" s="193" t="s">
        <v>719</v>
      </c>
      <c r="O35" s="193" t="s">
        <v>1970</v>
      </c>
      <c r="P35" s="193" t="s">
        <v>1971</v>
      </c>
      <c r="Q35" s="191">
        <v>2007</v>
      </c>
      <c r="R35" s="193" t="s">
        <v>1972</v>
      </c>
      <c r="S35" s="193" t="s">
        <v>1973</v>
      </c>
      <c r="T35" s="193" t="s">
        <v>1974</v>
      </c>
      <c r="U35" s="193" t="s">
        <v>1975</v>
      </c>
      <c r="V35" s="191">
        <v>2008</v>
      </c>
      <c r="W35" s="193" t="s">
        <v>1976</v>
      </c>
      <c r="X35" s="193" t="s">
        <v>1977</v>
      </c>
      <c r="Y35" s="193" t="s">
        <v>1978</v>
      </c>
      <c r="Z35" s="193" t="s">
        <v>1979</v>
      </c>
      <c r="AA35" s="191">
        <v>2009</v>
      </c>
      <c r="AB35" s="193" t="s">
        <v>1980</v>
      </c>
      <c r="AC35" s="193" t="s">
        <v>1981</v>
      </c>
      <c r="AD35" s="193" t="s">
        <v>1982</v>
      </c>
      <c r="AE35" s="193" t="s">
        <v>2392</v>
      </c>
      <c r="AF35" s="191">
        <v>2010</v>
      </c>
      <c r="AG35" s="193" t="s">
        <v>2393</v>
      </c>
      <c r="AH35" s="193" t="s">
        <v>2394</v>
      </c>
      <c r="AI35" s="193" t="s">
        <v>2395</v>
      </c>
      <c r="AJ35" s="368" t="s">
        <v>2396</v>
      </c>
      <c r="AK35" s="369">
        <v>2011</v>
      </c>
      <c r="AL35" s="368" t="s">
        <v>2397</v>
      </c>
      <c r="AM35" s="368" t="s">
        <v>2398</v>
      </c>
      <c r="AN35" s="368" t="s">
        <v>2399</v>
      </c>
      <c r="AO35" s="368" t="s">
        <v>2400</v>
      </c>
      <c r="AP35" s="369">
        <v>2012</v>
      </c>
      <c r="AQ35" s="368" t="s">
        <v>2401</v>
      </c>
      <c r="AR35" s="368" t="s">
        <v>2402</v>
      </c>
      <c r="AS35" s="368" t="s">
        <v>2403</v>
      </c>
      <c r="AT35" s="368" t="s">
        <v>2404</v>
      </c>
      <c r="AU35" s="369">
        <v>2013</v>
      </c>
      <c r="AV35" s="368" t="s">
        <v>2405</v>
      </c>
      <c r="AW35" s="368" t="s">
        <v>2406</v>
      </c>
      <c r="AX35" s="368" t="s">
        <v>2407</v>
      </c>
      <c r="AY35" s="368" t="s">
        <v>2408</v>
      </c>
      <c r="AZ35" s="369">
        <v>2014</v>
      </c>
      <c r="BA35" s="368" t="s">
        <v>2409</v>
      </c>
      <c r="BB35" s="368" t="s">
        <v>2410</v>
      </c>
      <c r="BC35" s="368" t="s">
        <v>2411</v>
      </c>
      <c r="BD35" s="368" t="s">
        <v>2412</v>
      </c>
      <c r="BE35" s="31">
        <v>2015</v>
      </c>
      <c r="BF35" s="368" t="s">
        <v>2413</v>
      </c>
      <c r="BG35" s="368" t="s">
        <v>2414</v>
      </c>
      <c r="BH35" s="368" t="s">
        <v>2415</v>
      </c>
      <c r="BI35" s="368" t="s">
        <v>2416</v>
      </c>
      <c r="BJ35" s="31">
        <v>2016</v>
      </c>
      <c r="BK35" s="368" t="s">
        <v>2417</v>
      </c>
      <c r="BL35" s="368" t="s">
        <v>2418</v>
      </c>
      <c r="BM35" s="368" t="s">
        <v>2419</v>
      </c>
      <c r="BN35" s="368" t="s">
        <v>2420</v>
      </c>
      <c r="BO35" s="31">
        <v>2017</v>
      </c>
      <c r="BP35" s="363" t="s">
        <v>2244</v>
      </c>
      <c r="BQ35" s="363" t="s">
        <v>2245</v>
      </c>
      <c r="BR35" s="363" t="s">
        <v>2508</v>
      </c>
      <c r="BS35" s="363" t="s">
        <v>2509</v>
      </c>
      <c r="BT35" s="364">
        <v>2018</v>
      </c>
      <c r="BU35" s="363" t="s">
        <v>2510</v>
      </c>
      <c r="BV35" s="363" t="s">
        <v>2511</v>
      </c>
      <c r="BW35" s="363" t="s">
        <v>3125</v>
      </c>
      <c r="BX35" s="363" t="s">
        <v>1405</v>
      </c>
      <c r="BY35" s="364">
        <v>2019</v>
      </c>
      <c r="BZ35" s="363" t="s">
        <v>1406</v>
      </c>
      <c r="CA35" s="363" t="s">
        <v>1407</v>
      </c>
      <c r="CB35" s="363" t="s">
        <v>1408</v>
      </c>
      <c r="CC35" s="363" t="s">
        <v>1409</v>
      </c>
      <c r="CD35" s="364">
        <v>2020</v>
      </c>
    </row>
    <row r="36" spans="1:82" ht="12.75" customHeight="1">
      <c r="A36" s="4" t="s">
        <v>3282</v>
      </c>
      <c r="B36" s="164"/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P36" s="316"/>
      <c r="Q36" s="316"/>
      <c r="R36" s="316"/>
      <c r="S36" s="316"/>
      <c r="T36" s="316"/>
      <c r="U36" s="316"/>
      <c r="V36" s="316"/>
      <c r="W36" s="316"/>
      <c r="X36" s="316"/>
      <c r="Y36" s="316"/>
      <c r="Z36" s="316"/>
      <c r="AA36" s="316"/>
      <c r="AB36" s="316"/>
      <c r="AC36" s="316"/>
      <c r="AD36" s="316"/>
      <c r="AE36" s="316"/>
      <c r="AF36" s="316"/>
      <c r="AG36" s="316"/>
      <c r="AH36" s="316"/>
      <c r="AI36" s="316"/>
      <c r="AJ36" s="316"/>
      <c r="AK36" s="316"/>
      <c r="AL36" s="316"/>
      <c r="AM36" s="316"/>
      <c r="AN36" s="316"/>
      <c r="AO36" s="316"/>
      <c r="AP36" s="316"/>
      <c r="AQ36" s="435">
        <f>'Income statement'!AQ115</f>
        <v>-850</v>
      </c>
      <c r="AR36" s="435">
        <f>'Income statement'!AR115</f>
        <v>-1619</v>
      </c>
      <c r="AS36" s="435">
        <f>'Income statement'!AS115</f>
        <v>-1494</v>
      </c>
      <c r="AT36" s="435">
        <f>'Income statement'!AT115</f>
        <v>-2960</v>
      </c>
      <c r="AU36" s="108">
        <f>SUM(AQ36:AT36)</f>
        <v>-6923</v>
      </c>
      <c r="AV36" s="435">
        <f>'Income statement'!AV115</f>
        <v>-1026</v>
      </c>
      <c r="AW36" s="435">
        <f>'Income statement'!AW115</f>
        <v>-501</v>
      </c>
      <c r="AX36" s="435">
        <f>'Income statement'!AX115</f>
        <v>-1620</v>
      </c>
      <c r="AY36" s="435">
        <f>'Income statement'!AY115</f>
        <v>-219</v>
      </c>
      <c r="AZ36" s="108">
        <f>SUM(AV36:AY36)</f>
        <v>-3366</v>
      </c>
      <c r="BA36" s="435">
        <f>'Income statement'!BA115</f>
        <v>0</v>
      </c>
      <c r="BB36" s="435">
        <f ca="1">'Income statement'!BB115</f>
        <v>0</v>
      </c>
      <c r="BC36" s="435">
        <f ca="1">'Income statement'!BC115</f>
        <v>0</v>
      </c>
      <c r="BD36" s="435">
        <f ca="1">'Income statement'!BD115</f>
        <v>0</v>
      </c>
      <c r="BE36" s="108">
        <f ca="1">SUM(BA36:BD36)</f>
        <v>0</v>
      </c>
      <c r="BF36" s="435">
        <f>'Income statement'!BF115</f>
        <v>0</v>
      </c>
      <c r="BG36" s="435">
        <f ca="1">'Income statement'!BG115</f>
        <v>0</v>
      </c>
      <c r="BH36" s="435">
        <f ca="1">'Income statement'!BH115</f>
        <v>0</v>
      </c>
      <c r="BI36" s="435">
        <f>'Income statement'!BI115</f>
        <v>0</v>
      </c>
      <c r="BJ36" s="108">
        <f ca="1">SUM(BF36:BI36)</f>
        <v>0</v>
      </c>
      <c r="BK36" s="435">
        <f ca="1">'Income statement'!BK115</f>
        <v>0</v>
      </c>
      <c r="BL36" s="435">
        <f>'Income statement'!BL115</f>
        <v>0</v>
      </c>
      <c r="BM36" s="435">
        <f>'Income statement'!BM115</f>
        <v>0</v>
      </c>
      <c r="BN36" s="435">
        <v>-343</v>
      </c>
      <c r="BO36" s="108">
        <f ca="1">SUM(BK36:BN36)</f>
        <v>-343</v>
      </c>
      <c r="BP36" s="87">
        <f>BP38*BP37</f>
        <v>-357.11</v>
      </c>
      <c r="BQ36" s="87">
        <f>BQ38*BQ37</f>
        <v>-344.75514260482458</v>
      </c>
      <c r="BR36" s="87">
        <f>BR38*BR37</f>
        <v>-344.72306302615851</v>
      </c>
      <c r="BS36" s="87">
        <f>BS38*BS37</f>
        <v>-344.72297973103548</v>
      </c>
      <c r="BT36" s="108">
        <f>SUM(BP36:BS36)</f>
        <v>-1391.3111853620185</v>
      </c>
      <c r="BU36" s="87">
        <f t="shared" ref="BU36:BX36" si="40">BU38*BU37</f>
        <v>-344.72297951475838</v>
      </c>
      <c r="BV36" s="87">
        <f t="shared" si="40"/>
        <v>-344.72297951419677</v>
      </c>
      <c r="BW36" s="87">
        <f t="shared" si="40"/>
        <v>-344.72297951419534</v>
      </c>
      <c r="BX36" s="87">
        <f t="shared" si="40"/>
        <v>-344.72297951419534</v>
      </c>
      <c r="BY36" s="108">
        <f t="shared" ref="BY36" si="41">SUM(BU36:BX36)</f>
        <v>-1378.8919180573457</v>
      </c>
      <c r="BZ36" s="87">
        <f t="shared" ref="BZ36:CC36" si="42">BZ38*BZ37</f>
        <v>-344.72297951419534</v>
      </c>
      <c r="CA36" s="87">
        <f t="shared" si="42"/>
        <v>-344.72297951419534</v>
      </c>
      <c r="CB36" s="87">
        <f t="shared" si="42"/>
        <v>-344.72297951419534</v>
      </c>
      <c r="CC36" s="87">
        <f t="shared" si="42"/>
        <v>-344.72297951419534</v>
      </c>
      <c r="CD36" s="108">
        <f t="shared" ref="CD36" si="43">SUM(BZ36:CC36)</f>
        <v>-1378.8919180567814</v>
      </c>
    </row>
    <row r="37" spans="1:82" ht="12.75" customHeight="1">
      <c r="A37" s="215" t="s">
        <v>339</v>
      </c>
      <c r="B37" s="164"/>
      <c r="C37" s="316"/>
      <c r="D37" s="316"/>
      <c r="E37" s="316"/>
      <c r="F37" s="316"/>
      <c r="G37" s="316"/>
      <c r="H37" s="316"/>
      <c r="I37" s="316"/>
      <c r="J37" s="316"/>
      <c r="K37" s="316"/>
      <c r="L37" s="316"/>
      <c r="M37" s="316"/>
      <c r="N37" s="316"/>
      <c r="O37" s="316"/>
      <c r="P37" s="316"/>
      <c r="Q37" s="316"/>
      <c r="R37" s="316"/>
      <c r="S37" s="316"/>
      <c r="T37" s="316"/>
      <c r="U37" s="316"/>
      <c r="V37" s="316"/>
      <c r="W37" s="316"/>
      <c r="X37" s="316"/>
      <c r="Y37" s="316"/>
      <c r="Z37" s="316"/>
      <c r="AA37" s="316"/>
      <c r="AB37" s="316"/>
      <c r="AC37" s="316"/>
      <c r="AD37" s="316"/>
      <c r="AE37" s="316"/>
      <c r="AF37" s="316"/>
      <c r="AG37" s="316"/>
      <c r="AH37" s="316"/>
      <c r="AI37" s="316"/>
      <c r="AJ37" s="316"/>
      <c r="AK37" s="316"/>
      <c r="AL37" s="316"/>
      <c r="AM37" s="316"/>
      <c r="AN37" s="316"/>
      <c r="AO37" s="316"/>
      <c r="AP37" s="316"/>
      <c r="AQ37" s="316"/>
      <c r="AR37" s="316"/>
      <c r="AS37" s="316"/>
      <c r="AT37" s="316"/>
      <c r="AU37" s="316"/>
      <c r="AV37" s="316"/>
      <c r="AW37" s="316"/>
      <c r="AX37" s="316"/>
      <c r="AY37" s="316"/>
      <c r="AZ37" s="316"/>
      <c r="BA37" s="316"/>
      <c r="BB37" s="316"/>
      <c r="BC37" s="316"/>
      <c r="BD37" s="316"/>
      <c r="BE37" s="316"/>
      <c r="BF37" s="316"/>
      <c r="BG37" s="316"/>
      <c r="BH37" s="316"/>
      <c r="BI37" s="316"/>
      <c r="BJ37" s="316"/>
      <c r="BK37" s="316"/>
      <c r="BL37" s="316"/>
      <c r="BM37" s="316"/>
      <c r="BN37" s="435">
        <f>BN36/BN38</f>
        <v>6.7254901960784315</v>
      </c>
      <c r="BO37" s="108">
        <f>AVERAGE(BK37:BN37)</f>
        <v>6.7254901960784315</v>
      </c>
      <c r="BP37" s="232">
        <v>6.7</v>
      </c>
      <c r="BQ37" s="232">
        <v>6.7</v>
      </c>
      <c r="BR37" s="232">
        <v>6.7</v>
      </c>
      <c r="BS37" s="232">
        <v>6.7</v>
      </c>
      <c r="BT37" s="110">
        <f>AVERAGE(BP37:BS37)</f>
        <v>6.7</v>
      </c>
      <c r="BU37" s="232">
        <v>6.7</v>
      </c>
      <c r="BV37" s="232">
        <v>6.7</v>
      </c>
      <c r="BW37" s="232">
        <v>6.7</v>
      </c>
      <c r="BX37" s="232">
        <v>6.7</v>
      </c>
      <c r="BY37" s="110">
        <f t="shared" ref="BY37" si="44">AVERAGE(BU37:BX37)</f>
        <v>6.7</v>
      </c>
      <c r="BZ37" s="232">
        <v>6.7</v>
      </c>
      <c r="CA37" s="232">
        <v>6.7</v>
      </c>
      <c r="CB37" s="232">
        <v>6.7</v>
      </c>
      <c r="CC37" s="232">
        <v>6.7</v>
      </c>
      <c r="CD37" s="110">
        <f t="shared" ref="CD37" si="45">AVERAGE(BZ37:CC37)</f>
        <v>6.7</v>
      </c>
    </row>
    <row r="38" spans="1:82" ht="12.75" customHeight="1">
      <c r="A38" s="215" t="s">
        <v>3283</v>
      </c>
      <c r="B38" s="164"/>
      <c r="C38" s="316"/>
      <c r="D38" s="316"/>
      <c r="E38" s="316"/>
      <c r="F38" s="316"/>
      <c r="G38" s="316"/>
      <c r="H38" s="316"/>
      <c r="I38" s="316"/>
      <c r="J38" s="316"/>
      <c r="K38" s="316"/>
      <c r="L38" s="316"/>
      <c r="M38" s="316"/>
      <c r="N38" s="316"/>
      <c r="O38" s="316"/>
      <c r="P38" s="316"/>
      <c r="Q38" s="316"/>
      <c r="R38" s="316"/>
      <c r="S38" s="316"/>
      <c r="T38" s="316"/>
      <c r="U38" s="316"/>
      <c r="V38" s="316"/>
      <c r="W38" s="316"/>
      <c r="X38" s="316"/>
      <c r="Y38" s="316"/>
      <c r="Z38" s="316"/>
      <c r="AA38" s="316"/>
      <c r="AB38" s="316"/>
      <c r="AC38" s="316"/>
      <c r="AD38" s="316"/>
      <c r="AE38" s="316"/>
      <c r="AF38" s="316"/>
      <c r="AG38" s="316"/>
      <c r="AH38" s="316"/>
      <c r="AI38" s="316"/>
      <c r="AJ38" s="316"/>
      <c r="AK38" s="316"/>
      <c r="AL38" s="316"/>
      <c r="AM38" s="316"/>
      <c r="AN38" s="316"/>
      <c r="AO38" s="316"/>
      <c r="AP38" s="316"/>
      <c r="AQ38" s="316"/>
      <c r="AR38" s="316"/>
      <c r="AS38" s="316"/>
      <c r="AT38" s="316"/>
      <c r="AU38" s="316"/>
      <c r="AV38" s="316"/>
      <c r="AW38" s="316"/>
      <c r="AX38" s="316"/>
      <c r="AY38" s="316"/>
      <c r="AZ38" s="316"/>
      <c r="BA38" s="316"/>
      <c r="BB38" s="316"/>
      <c r="BC38" s="316"/>
      <c r="BD38" s="316"/>
      <c r="BE38" s="316"/>
      <c r="BF38" s="316"/>
      <c r="BG38" s="316"/>
      <c r="BH38" s="316"/>
      <c r="BI38" s="316"/>
      <c r="BJ38" s="316"/>
      <c r="BK38" s="316"/>
      <c r="BL38" s="316"/>
      <c r="BM38" s="316"/>
      <c r="BN38" s="435">
        <v>-51</v>
      </c>
      <c r="BO38" s="108">
        <f>SUM(BK38:BN38)</f>
        <v>-51</v>
      </c>
      <c r="BP38" s="65">
        <f>-BN30</f>
        <v>-53.3</v>
      </c>
      <c r="BQ38" s="65">
        <f>-BP30</f>
        <v>-51.455991433555909</v>
      </c>
      <c r="BR38" s="65">
        <f>-BQ30</f>
        <v>-51.451203436740073</v>
      </c>
      <c r="BS38" s="65">
        <f>-BR30</f>
        <v>-51.451191004632157</v>
      </c>
      <c r="BT38" s="108">
        <f>SUM(BP38:BS38)</f>
        <v>-207.65838587492814</v>
      </c>
      <c r="BU38" s="65">
        <f t="shared" ref="BU38" si="46">-BS30</f>
        <v>-51.451190972351995</v>
      </c>
      <c r="BV38" s="65">
        <f t="shared" ref="BV38:BX38" si="47">-BU30</f>
        <v>-51.451190972268172</v>
      </c>
      <c r="BW38" s="65">
        <f t="shared" si="47"/>
        <v>-51.451190972267959</v>
      </c>
      <c r="BX38" s="65">
        <f t="shared" si="47"/>
        <v>-51.451190972267959</v>
      </c>
      <c r="BY38" s="108">
        <f t="shared" ref="BY38" si="48">SUM(BU38:BX38)</f>
        <v>-205.80476388915611</v>
      </c>
      <c r="BZ38" s="65">
        <f t="shared" ref="BZ38" si="49">-BX30</f>
        <v>-51.451190972267959</v>
      </c>
      <c r="CA38" s="65">
        <f t="shared" ref="CA38:CC38" si="50">-BZ30</f>
        <v>-51.451190972267959</v>
      </c>
      <c r="CB38" s="65">
        <f t="shared" si="50"/>
        <v>-51.451190972267959</v>
      </c>
      <c r="CC38" s="65">
        <f t="shared" si="50"/>
        <v>-51.451190972267959</v>
      </c>
      <c r="CD38" s="108">
        <f t="shared" ref="CD38" si="51">SUM(BZ38:CC38)</f>
        <v>-205.80476388907184</v>
      </c>
    </row>
    <row r="39" spans="1:82" ht="12.75" customHeight="1">
      <c r="A39" s="215"/>
      <c r="B39" s="164"/>
      <c r="C39" s="165"/>
      <c r="D39" s="165"/>
      <c r="E39" s="165"/>
      <c r="F39" s="165"/>
      <c r="G39" s="165"/>
      <c r="H39" s="165"/>
      <c r="I39" s="165"/>
      <c r="J39" s="165"/>
      <c r="K39" s="165"/>
      <c r="L39" s="165"/>
      <c r="M39" s="165"/>
      <c r="N39" s="165"/>
      <c r="O39" s="165"/>
      <c r="P39" s="165"/>
      <c r="Q39" s="165"/>
      <c r="R39" s="165"/>
      <c r="S39" s="165"/>
      <c r="T39" s="165"/>
      <c r="U39" s="165"/>
      <c r="V39" s="165"/>
      <c r="W39" s="165"/>
      <c r="X39" s="165"/>
      <c r="Y39" s="165"/>
      <c r="Z39" s="165"/>
      <c r="AA39" s="165"/>
      <c r="AB39" s="165"/>
      <c r="AC39" s="165"/>
      <c r="AD39" s="165"/>
      <c r="AE39" s="165"/>
      <c r="AF39" s="165"/>
      <c r="AG39" s="165"/>
      <c r="AH39" s="165"/>
      <c r="AI39" s="165"/>
      <c r="AJ39" s="165"/>
      <c r="AK39" s="165"/>
      <c r="AL39" s="165"/>
      <c r="AM39" s="194"/>
      <c r="AN39" s="194"/>
      <c r="AO39" s="194"/>
      <c r="AP39" s="165"/>
      <c r="AQ39" s="462"/>
      <c r="AR39" s="194"/>
      <c r="AS39" s="194"/>
      <c r="AT39" s="194"/>
      <c r="AU39" s="165"/>
      <c r="AV39" s="194"/>
      <c r="AW39" s="194"/>
      <c r="AX39" s="194"/>
      <c r="AY39" s="194"/>
      <c r="AZ39" s="165"/>
      <c r="BA39" s="194"/>
      <c r="BB39" s="194"/>
      <c r="BC39" s="194"/>
      <c r="BD39" s="194"/>
      <c r="BE39" s="165"/>
      <c r="BF39" s="194"/>
      <c r="BG39" s="194"/>
      <c r="BH39" s="194"/>
      <c r="BI39" s="194"/>
      <c r="BJ39" s="165"/>
      <c r="BK39" s="194"/>
      <c r="BL39" s="194"/>
      <c r="BM39" s="194"/>
      <c r="BN39" s="194"/>
      <c r="BO39" s="165"/>
      <c r="BP39" s="194"/>
      <c r="BQ39" s="194"/>
      <c r="BR39" s="194"/>
      <c r="BS39" s="194"/>
      <c r="BT39" s="165"/>
      <c r="BU39" s="194"/>
      <c r="BV39" s="194"/>
      <c r="BW39" s="194"/>
      <c r="BX39" s="194"/>
      <c r="BY39" s="165"/>
      <c r="BZ39" s="194"/>
      <c r="CA39" s="194"/>
      <c r="CB39" s="194"/>
      <c r="CC39" s="194"/>
      <c r="CD39" s="165"/>
    </row>
    <row r="40" spans="1:82" ht="12.75" customHeight="1">
      <c r="A40" s="215"/>
      <c r="B40" s="164"/>
      <c r="C40" s="165"/>
      <c r="D40" s="165"/>
      <c r="E40" s="165"/>
      <c r="F40" s="165"/>
      <c r="G40" s="165"/>
      <c r="H40" s="165"/>
      <c r="I40" s="165"/>
      <c r="J40" s="165"/>
      <c r="K40" s="165"/>
      <c r="L40" s="165"/>
      <c r="M40" s="165"/>
      <c r="N40" s="165"/>
      <c r="O40" s="165"/>
      <c r="P40" s="165"/>
      <c r="Q40" s="165"/>
      <c r="R40" s="165"/>
      <c r="S40" s="165"/>
      <c r="T40" s="165"/>
      <c r="U40" s="165"/>
      <c r="V40" s="165"/>
      <c r="W40" s="165"/>
      <c r="X40" s="165"/>
      <c r="Y40" s="165"/>
      <c r="Z40" s="165"/>
      <c r="AA40" s="165"/>
      <c r="AB40" s="165"/>
      <c r="AC40" s="165"/>
      <c r="AD40" s="165"/>
      <c r="AE40" s="165"/>
      <c r="AF40" s="165"/>
      <c r="AG40" s="165"/>
      <c r="AH40" s="165"/>
      <c r="AI40" s="165"/>
      <c r="AJ40" s="165"/>
      <c r="AK40" s="165"/>
      <c r="AL40" s="165"/>
      <c r="AM40" s="194"/>
      <c r="AN40" s="194"/>
      <c r="AO40" s="194"/>
      <c r="AP40" s="165"/>
      <c r="AQ40" s="194"/>
      <c r="AR40" s="194"/>
      <c r="AS40" s="194"/>
      <c r="AT40" s="194"/>
      <c r="AU40" s="165"/>
      <c r="AV40" s="194"/>
      <c r="AW40" s="194"/>
      <c r="AX40" s="194"/>
      <c r="AY40" s="194"/>
      <c r="AZ40" s="165"/>
      <c r="BA40" s="194"/>
      <c r="BB40" s="194"/>
      <c r="BC40" s="194"/>
      <c r="BD40" s="194"/>
      <c r="BE40" s="165"/>
      <c r="BF40" s="194"/>
      <c r="BG40" s="194"/>
      <c r="BH40" s="194"/>
      <c r="BI40" s="194"/>
      <c r="BJ40" s="165"/>
      <c r="BK40" s="194"/>
      <c r="BL40" s="194"/>
      <c r="BM40" s="194"/>
      <c r="BN40" s="194"/>
      <c r="BO40" s="165"/>
      <c r="BP40" s="194"/>
      <c r="BQ40" s="194"/>
      <c r="BR40" s="194"/>
      <c r="BS40" s="194"/>
      <c r="BT40" s="165"/>
      <c r="BU40" s="194"/>
      <c r="BV40" s="194"/>
      <c r="BW40" s="194"/>
      <c r="BX40" s="194"/>
      <c r="BY40" s="165"/>
      <c r="BZ40" s="194"/>
      <c r="CA40" s="194"/>
      <c r="CB40" s="194"/>
      <c r="CC40" s="194"/>
      <c r="CD40" s="165"/>
    </row>
    <row r="41" spans="1:82" ht="12.75" customHeight="1">
      <c r="A41" s="164"/>
      <c r="B41" s="164"/>
      <c r="C41" s="165"/>
      <c r="D41" s="165"/>
      <c r="E41" s="165"/>
      <c r="F41" s="165"/>
      <c r="G41" s="165"/>
      <c r="H41" s="165"/>
      <c r="I41" s="165"/>
      <c r="J41" s="165"/>
      <c r="K41" s="165"/>
      <c r="L41" s="165"/>
      <c r="M41" s="165"/>
      <c r="N41" s="165"/>
      <c r="O41" s="165"/>
      <c r="P41" s="165"/>
      <c r="Q41" s="165"/>
      <c r="R41" s="165"/>
      <c r="S41" s="165"/>
      <c r="T41" s="165"/>
      <c r="U41" s="165"/>
      <c r="V41" s="165"/>
      <c r="W41" s="165"/>
      <c r="X41" s="165"/>
      <c r="Y41" s="165"/>
      <c r="Z41" s="165"/>
      <c r="AA41" s="165"/>
      <c r="AB41" s="165"/>
      <c r="AC41" s="165"/>
      <c r="AD41" s="165"/>
      <c r="AE41" s="165"/>
      <c r="AF41" s="165"/>
      <c r="AG41" s="165"/>
      <c r="AH41" s="165"/>
      <c r="AI41" s="165"/>
      <c r="AJ41" s="165"/>
      <c r="AK41" s="165"/>
      <c r="AL41" s="165"/>
      <c r="AM41" s="165"/>
      <c r="AN41" s="165"/>
      <c r="AO41" s="165"/>
      <c r="AP41" s="165"/>
      <c r="AQ41" s="165"/>
      <c r="AR41" s="165"/>
      <c r="AS41" s="165"/>
      <c r="AT41" s="165"/>
      <c r="AU41" s="165"/>
      <c r="AV41" s="165"/>
      <c r="AW41" s="165"/>
      <c r="AX41" s="165"/>
      <c r="AY41" s="165"/>
      <c r="AZ41" s="165"/>
      <c r="BA41" s="165"/>
      <c r="BB41" s="165"/>
      <c r="BC41" s="165"/>
      <c r="BD41" s="165"/>
      <c r="BE41" s="165"/>
      <c r="BF41" s="165"/>
      <c r="BG41" s="165"/>
      <c r="BH41" s="165"/>
      <c r="BI41" s="165"/>
      <c r="BJ41" s="165"/>
      <c r="BK41" s="165"/>
      <c r="BL41" s="165"/>
      <c r="BM41" s="165"/>
      <c r="BN41" s="165"/>
      <c r="BO41" s="165"/>
      <c r="BP41" s="165"/>
      <c r="BQ41" s="165"/>
      <c r="BR41" s="165"/>
      <c r="BS41" s="165"/>
      <c r="BT41" s="165"/>
      <c r="BU41" s="165"/>
      <c r="BV41" s="165"/>
      <c r="BW41" s="165"/>
      <c r="BX41" s="165"/>
      <c r="BY41" s="165"/>
      <c r="BZ41" s="165"/>
      <c r="CA41" s="165"/>
      <c r="CB41" s="165"/>
      <c r="CC41" s="165"/>
      <c r="CD41" s="165"/>
    </row>
    <row r="42" spans="1:82" ht="12.75" customHeight="1">
      <c r="A42" s="188" t="s">
        <v>3394</v>
      </c>
      <c r="B42" s="164"/>
      <c r="C42" s="167"/>
      <c r="D42" s="189"/>
      <c r="E42" s="167"/>
      <c r="F42" s="167"/>
      <c r="G42" s="167"/>
      <c r="H42" s="167"/>
      <c r="I42" s="167"/>
      <c r="J42" s="167"/>
      <c r="K42" s="167"/>
      <c r="L42" s="167"/>
      <c r="M42" s="167"/>
      <c r="N42" s="167"/>
      <c r="O42" s="167"/>
      <c r="P42" s="167"/>
      <c r="Q42" s="167"/>
      <c r="R42" s="167"/>
      <c r="S42" s="167"/>
      <c r="T42" s="167"/>
      <c r="U42" s="167"/>
      <c r="V42" s="167"/>
      <c r="W42" s="167"/>
      <c r="X42" s="167"/>
      <c r="Y42" s="167"/>
      <c r="Z42" s="167"/>
      <c r="AA42" s="167"/>
      <c r="AB42" s="167"/>
      <c r="AC42" s="167"/>
      <c r="AD42" s="167"/>
      <c r="AE42" s="167"/>
      <c r="AF42" s="167"/>
      <c r="AG42" s="167"/>
      <c r="AH42" s="167"/>
      <c r="AI42" s="167"/>
      <c r="AJ42" s="167"/>
      <c r="AK42" s="167"/>
      <c r="AL42" s="167"/>
      <c r="AM42" s="167"/>
      <c r="AN42" s="167"/>
      <c r="AO42" s="167"/>
      <c r="AP42" s="167"/>
      <c r="AQ42" s="167"/>
      <c r="AR42" s="167"/>
      <c r="AS42" s="167"/>
      <c r="AT42" s="167"/>
      <c r="AU42" s="167"/>
      <c r="AV42" s="167"/>
      <c r="AW42" s="167"/>
      <c r="AX42" s="167"/>
      <c r="AY42" s="167"/>
      <c r="AZ42" s="167"/>
      <c r="BA42" s="167"/>
      <c r="BB42" s="167"/>
      <c r="BC42" s="167"/>
      <c r="BD42" s="167"/>
      <c r="BE42" s="167"/>
      <c r="BF42" s="167"/>
      <c r="BG42" s="167"/>
      <c r="BH42" s="167"/>
      <c r="BI42" s="167"/>
      <c r="BJ42" s="167"/>
      <c r="BK42" s="167"/>
      <c r="BL42" s="167"/>
      <c r="BM42" s="167"/>
      <c r="BN42" s="167"/>
      <c r="BO42" s="167"/>
      <c r="BP42" s="167"/>
      <c r="BQ42" s="167"/>
      <c r="BR42" s="167"/>
      <c r="BS42" s="167"/>
      <c r="BT42" s="167"/>
      <c r="BU42" s="167"/>
      <c r="BV42" s="167"/>
      <c r="BW42" s="167"/>
      <c r="BX42" s="167"/>
      <c r="BY42" s="167"/>
      <c r="BZ42" s="167"/>
      <c r="CA42" s="167"/>
      <c r="CB42" s="167"/>
      <c r="CC42" s="167"/>
      <c r="CD42" s="167"/>
    </row>
    <row r="43" spans="1:82" ht="12.75" customHeight="1">
      <c r="A43" s="190"/>
      <c r="B43" s="190"/>
      <c r="C43" s="191">
        <v>2001</v>
      </c>
      <c r="D43" s="192">
        <v>2002</v>
      </c>
      <c r="E43" s="192">
        <v>2003</v>
      </c>
      <c r="F43" s="192">
        <v>2004</v>
      </c>
      <c r="G43" s="191">
        <v>2005</v>
      </c>
      <c r="H43" s="193" t="s">
        <v>714</v>
      </c>
      <c r="I43" s="193" t="s">
        <v>715</v>
      </c>
      <c r="J43" s="193" t="s">
        <v>716</v>
      </c>
      <c r="K43" s="193" t="s">
        <v>717</v>
      </c>
      <c r="L43" s="191">
        <v>2006</v>
      </c>
      <c r="M43" s="193" t="s">
        <v>718</v>
      </c>
      <c r="N43" s="193" t="s">
        <v>719</v>
      </c>
      <c r="O43" s="193" t="s">
        <v>1970</v>
      </c>
      <c r="P43" s="193" t="s">
        <v>1971</v>
      </c>
      <c r="Q43" s="191">
        <v>2007</v>
      </c>
      <c r="R43" s="193" t="s">
        <v>1972</v>
      </c>
      <c r="S43" s="193" t="s">
        <v>1973</v>
      </c>
      <c r="T43" s="193" t="s">
        <v>1974</v>
      </c>
      <c r="U43" s="193" t="s">
        <v>1975</v>
      </c>
      <c r="V43" s="191">
        <v>2008</v>
      </c>
      <c r="W43" s="193" t="s">
        <v>1976</v>
      </c>
      <c r="X43" s="193" t="s">
        <v>1977</v>
      </c>
      <c r="Y43" s="193" t="s">
        <v>1978</v>
      </c>
      <c r="Z43" s="193" t="s">
        <v>1979</v>
      </c>
      <c r="AA43" s="191">
        <v>2009</v>
      </c>
      <c r="AB43" s="193" t="s">
        <v>1980</v>
      </c>
      <c r="AC43" s="193" t="s">
        <v>1981</v>
      </c>
      <c r="AD43" s="193" t="s">
        <v>1982</v>
      </c>
      <c r="AE43" s="193" t="s">
        <v>2392</v>
      </c>
      <c r="AF43" s="191">
        <v>2010</v>
      </c>
      <c r="AG43" s="193" t="s">
        <v>2393</v>
      </c>
      <c r="AH43" s="193" t="s">
        <v>2394</v>
      </c>
      <c r="AI43" s="193" t="s">
        <v>2395</v>
      </c>
      <c r="AJ43" s="193" t="s">
        <v>2396</v>
      </c>
      <c r="AK43" s="191">
        <v>2011</v>
      </c>
      <c r="AL43" s="368" t="s">
        <v>2397</v>
      </c>
      <c r="AM43" s="368" t="s">
        <v>2398</v>
      </c>
      <c r="AN43" s="368" t="s">
        <v>2399</v>
      </c>
      <c r="AO43" s="368" t="s">
        <v>2400</v>
      </c>
      <c r="AP43" s="369">
        <v>2012</v>
      </c>
      <c r="AQ43" s="368" t="s">
        <v>2401</v>
      </c>
      <c r="AR43" s="368" t="s">
        <v>2402</v>
      </c>
      <c r="AS43" s="368" t="s">
        <v>2403</v>
      </c>
      <c r="AT43" s="368" t="s">
        <v>2404</v>
      </c>
      <c r="AU43" s="369">
        <v>2013</v>
      </c>
      <c r="AV43" s="368" t="s">
        <v>2405</v>
      </c>
      <c r="AW43" s="368" t="s">
        <v>2406</v>
      </c>
      <c r="AX43" s="368" t="s">
        <v>2407</v>
      </c>
      <c r="AY43" s="368" t="s">
        <v>2408</v>
      </c>
      <c r="AZ43" s="369">
        <v>2014</v>
      </c>
      <c r="BA43" s="368" t="s">
        <v>2409</v>
      </c>
      <c r="BB43" s="368" t="s">
        <v>2410</v>
      </c>
      <c r="BC43" s="368" t="s">
        <v>2411</v>
      </c>
      <c r="BD43" s="368" t="s">
        <v>2412</v>
      </c>
      <c r="BE43" s="31">
        <v>2015</v>
      </c>
      <c r="BF43" s="368" t="s">
        <v>2413</v>
      </c>
      <c r="BG43" s="368" t="s">
        <v>2414</v>
      </c>
      <c r="BH43" s="368" t="s">
        <v>2415</v>
      </c>
      <c r="BI43" s="368" t="s">
        <v>2416</v>
      </c>
      <c r="BJ43" s="31">
        <v>2016</v>
      </c>
      <c r="BK43" s="368" t="s">
        <v>2417</v>
      </c>
      <c r="BL43" s="368" t="s">
        <v>2418</v>
      </c>
      <c r="BM43" s="368" t="s">
        <v>2419</v>
      </c>
      <c r="BN43" s="368" t="s">
        <v>2420</v>
      </c>
      <c r="BO43" s="31">
        <v>2017</v>
      </c>
      <c r="BP43" s="363" t="s">
        <v>2244</v>
      </c>
      <c r="BQ43" s="363" t="s">
        <v>2245</v>
      </c>
      <c r="BR43" s="363" t="s">
        <v>2508</v>
      </c>
      <c r="BS43" s="363" t="s">
        <v>2509</v>
      </c>
      <c r="BT43" s="364">
        <v>2018</v>
      </c>
      <c r="BU43" s="363" t="s">
        <v>2510</v>
      </c>
      <c r="BV43" s="363" t="s">
        <v>2511</v>
      </c>
      <c r="BW43" s="363" t="s">
        <v>3125</v>
      </c>
      <c r="BX43" s="363" t="s">
        <v>1405</v>
      </c>
      <c r="BY43" s="364">
        <v>2019</v>
      </c>
      <c r="BZ43" s="363" t="s">
        <v>1406</v>
      </c>
      <c r="CA43" s="363" t="s">
        <v>1407</v>
      </c>
      <c r="CB43" s="363" t="s">
        <v>1408</v>
      </c>
      <c r="CC43" s="363" t="s">
        <v>1409</v>
      </c>
      <c r="CD43" s="364">
        <v>2020</v>
      </c>
    </row>
    <row r="44" spans="1:82" ht="12.75" customHeight="1">
      <c r="A44" s="164" t="s">
        <v>3394</v>
      </c>
      <c r="B44" s="164"/>
      <c r="C44" s="165">
        <f>-'Income statement'!C27</f>
        <v>1670</v>
      </c>
      <c r="D44" s="165">
        <f>-'Income statement'!D27</f>
        <v>1140</v>
      </c>
      <c r="E44" s="165">
        <f>-'Income statement'!E27</f>
        <v>720</v>
      </c>
      <c r="F44" s="165">
        <f>-'Income statement'!F27</f>
        <v>440</v>
      </c>
      <c r="G44" s="165">
        <f>-'Income statement'!G27</f>
        <v>616</v>
      </c>
      <c r="H44" s="194">
        <f>-'Income statement'!H27</f>
        <v>191</v>
      </c>
      <c r="I44" s="194">
        <f>-'Income statement'!I27</f>
        <v>153</v>
      </c>
      <c r="J44" s="194">
        <f>-'Income statement'!J27</f>
        <v>169</v>
      </c>
      <c r="K44" s="194">
        <f>-'Income statement'!K27</f>
        <v>205</v>
      </c>
      <c r="L44" s="165">
        <f>-'Income statement'!L27</f>
        <v>718</v>
      </c>
      <c r="M44" s="194">
        <f>-'Income statement'!M27</f>
        <v>331</v>
      </c>
      <c r="N44" s="194">
        <f>-'Income statement'!N27</f>
        <v>317</v>
      </c>
      <c r="O44" s="194">
        <f>-'Income statement'!O27</f>
        <v>337</v>
      </c>
      <c r="P44" s="194">
        <f>-'Income statement'!P27</f>
        <v>408</v>
      </c>
      <c r="Q44" s="165">
        <f>-'Income statement'!Q27</f>
        <v>1393</v>
      </c>
      <c r="R44" s="194">
        <f>-'Income statement'!R27</f>
        <v>406</v>
      </c>
      <c r="S44" s="194">
        <f>-'Income statement'!S27</f>
        <v>381</v>
      </c>
      <c r="T44" s="194">
        <f>-'Income statement'!T27</f>
        <v>391</v>
      </c>
      <c r="U44" s="194">
        <f>-'Income statement'!U27</f>
        <v>369</v>
      </c>
      <c r="V44" s="165">
        <f>-'Income statement'!V27</f>
        <v>1547</v>
      </c>
      <c r="W44" s="194">
        <f>-'Income statement'!W27</f>
        <v>318</v>
      </c>
      <c r="X44" s="194">
        <f>-'Income statement'!X27</f>
        <v>274</v>
      </c>
      <c r="Y44" s="194">
        <f>-'Income statement'!Y27</f>
        <v>266</v>
      </c>
      <c r="Z44" s="194">
        <f>-'Income statement'!Z27</f>
        <v>252</v>
      </c>
      <c r="AA44" s="165">
        <f>-'Income statement'!AA27</f>
        <v>1110</v>
      </c>
      <c r="AB44" s="194">
        <f>-'Income statement'!AB27+'GoM oil spill'!AB13</f>
        <v>238</v>
      </c>
      <c r="AC44" s="194">
        <f>-'Income statement'!AC27+'GoM oil spill'!AC13</f>
        <v>225</v>
      </c>
      <c r="AD44" s="194">
        <f>-'Income statement'!AD27+'GoM oil spill'!AD13</f>
        <v>301</v>
      </c>
      <c r="AE44" s="194">
        <f>-'Income statement'!AE27+'GoM oil spill'!AE13</f>
        <v>329</v>
      </c>
      <c r="AF44" s="165">
        <f>SUM(AB44:AE44)</f>
        <v>1093</v>
      </c>
      <c r="AG44" s="194">
        <f>-'Income statement'!AG27+'GoM oil spill'!AG13</f>
        <v>292</v>
      </c>
      <c r="AH44" s="194">
        <f>-'Income statement'!AH27+'GoM oil spill'!AH13</f>
        <v>299</v>
      </c>
      <c r="AI44" s="194">
        <f>-'Income statement'!AI27+'GoM oil spill'!AI13</f>
        <v>284</v>
      </c>
      <c r="AJ44" s="194">
        <f>-'Income statement'!AJ27+'GoM oil spill'!AJ13</f>
        <v>313</v>
      </c>
      <c r="AK44" s="165">
        <f t="shared" ref="AK44" si="52">SUM(AG44:AJ44)</f>
        <v>1188</v>
      </c>
      <c r="AL44" s="194">
        <f>-'Income statement'!AL27+'GoM oil spill'!AL13</f>
        <v>277</v>
      </c>
      <c r="AM44" s="194">
        <f>-'Income statement'!AM27+'GoM oil spill'!AM13</f>
        <v>263</v>
      </c>
      <c r="AN44" s="194">
        <f>-'Income statement'!AN27+'GoM oil spill'!AN13</f>
        <v>253</v>
      </c>
      <c r="AO44" s="194">
        <f>-'Income statement'!AO27+'GoM oil spill'!AO13</f>
        <v>313</v>
      </c>
      <c r="AP44" s="165">
        <f t="shared" ref="AP44" si="53">SUM(AL44:AO44)</f>
        <v>1106</v>
      </c>
      <c r="AQ44" s="194">
        <f>-'Income statement'!AQ27+'GoM oil spill'!AQ13</f>
        <v>272</v>
      </c>
      <c r="AR44" s="194">
        <f>-'Income statement'!AR27+'GoM oil spill'!AR13</f>
        <v>242</v>
      </c>
      <c r="AS44" s="194">
        <f>-'Income statement'!AS27+'GoM oil spill'!AS13</f>
        <v>270</v>
      </c>
      <c r="AT44" s="194">
        <f>-'Income statement'!AT27+'GoM oil spill'!AT13</f>
        <v>245</v>
      </c>
      <c r="AU44" s="165">
        <f t="shared" ref="AU44" si="54">SUM(AQ44:AT44)</f>
        <v>1029</v>
      </c>
      <c r="AV44" s="194">
        <f>-'Income statement'!AV27+'GoM oil spill'!AV13</f>
        <v>277</v>
      </c>
      <c r="AW44" s="194">
        <f>-'Income statement'!AW27+'GoM oil spill'!AW13</f>
        <v>268</v>
      </c>
      <c r="AX44" s="194">
        <f>-'Income statement'!AX27+'GoM oil spill'!AX13</f>
        <v>275</v>
      </c>
      <c r="AY44" s="194">
        <f>-'Income statement'!AY27+'GoM oil spill'!AY13</f>
        <v>290</v>
      </c>
      <c r="AZ44" s="165">
        <f t="shared" ref="AZ44" si="55">SUM(AV44:AY44)</f>
        <v>1110</v>
      </c>
      <c r="BA44" s="194">
        <f>-'Income statement'!BA27+'GoM oil spill'!BA13</f>
        <v>272</v>
      </c>
      <c r="BB44" s="194">
        <f>-'Income statement'!BB27+'GoM oil spill'!BB13</f>
        <v>281</v>
      </c>
      <c r="BC44" s="194">
        <f>-'Income statement'!BC27+'GoM oil spill'!BC13</f>
        <v>283</v>
      </c>
      <c r="BD44" s="194">
        <f>-'Income statement'!BD27+'GoM oil spill'!BD13</f>
        <v>264</v>
      </c>
      <c r="BE44" s="165">
        <f t="shared" ref="BE44" si="56">SUM(BA44:BD44)</f>
        <v>1100</v>
      </c>
      <c r="BF44" s="194">
        <f>-'Income statement'!BF27+'GoM oil spill'!BF13</f>
        <v>271</v>
      </c>
      <c r="BG44" s="194">
        <f>-'Income statement'!BG27+'GoM oil spill'!BG13</f>
        <v>291</v>
      </c>
      <c r="BH44" s="194">
        <f>-'Income statement'!BH27+'GoM oil spill'!BH13</f>
        <v>310</v>
      </c>
      <c r="BI44" s="194">
        <f>-'Income statement'!BI27+'GoM oil spill'!BI13</f>
        <v>309</v>
      </c>
      <c r="BJ44" s="165">
        <f t="shared" ref="BJ44" si="57">SUM(BF44:BI44)</f>
        <v>1181</v>
      </c>
      <c r="BK44" s="194">
        <f>-'Income statement'!BK27+'GoM oil spill'!BK13</f>
        <v>334</v>
      </c>
      <c r="BL44" s="194">
        <f>-'Income statement'!BL27+'GoM oil spill'!BL13</f>
        <v>366</v>
      </c>
      <c r="BM44" s="194">
        <f>-'Income statement'!BM27+'GoM oil spill'!BM13</f>
        <v>389</v>
      </c>
      <c r="BN44" s="194">
        <f>-'Income statement'!BN27+'GoM oil spill'!BN13</f>
        <v>492</v>
      </c>
      <c r="BO44" s="165">
        <f>SUM(BK44:BN44)</f>
        <v>1581</v>
      </c>
      <c r="BP44" s="194">
        <f ca="1">BP46*AVERAGE(BO45:BP45)/4</f>
        <v>411.06181065416735</v>
      </c>
      <c r="BQ44" s="194">
        <f ca="1">BQ46*AVERAGE(BP45:BQ45)/4</f>
        <v>425.4952484562242</v>
      </c>
      <c r="BR44" s="194">
        <f ca="1">BR46*AVERAGE(BQ45:BR45)/4</f>
        <v>418.9860997653534</v>
      </c>
      <c r="BS44" s="194">
        <f ca="1">BS46*AVERAGE(BR45:BS45)/4</f>
        <v>410.88033264278096</v>
      </c>
      <c r="BT44" s="165">
        <f ca="1">SUM(BP44:BS44)</f>
        <v>1666.4234915185259</v>
      </c>
      <c r="BU44" s="194">
        <f ca="1">BU46*AVERAGE(BT45:BU45)/4</f>
        <v>402.03946019946136</v>
      </c>
      <c r="BV44" s="194">
        <f ca="1">BV46*AVERAGE(BU45:BV45)/4</f>
        <v>395.61732357387882</v>
      </c>
      <c r="BW44" s="194">
        <f ca="1">BW46*AVERAGE(BV45:BW45)/4</f>
        <v>389.0916922985881</v>
      </c>
      <c r="BX44" s="194">
        <f ca="1">BX46*AVERAGE(BW45:BX45)/4</f>
        <v>378.79776288834887</v>
      </c>
      <c r="BY44" s="165">
        <f ca="1">SUM(BU44:BX44)</f>
        <v>1565.5462389602772</v>
      </c>
      <c r="BZ44" s="194">
        <f ca="1">BZ46*AVERAGE(BY45:BZ45)/4</f>
        <v>368.95458332456269</v>
      </c>
      <c r="CA44" s="194">
        <f ca="1">CA46*AVERAGE(BZ45:CA45)/4</f>
        <v>361.79168334079213</v>
      </c>
      <c r="CB44" s="194">
        <f ca="1">CB46*AVERAGE(CA45:CB45)/4</f>
        <v>352.74162001601212</v>
      </c>
      <c r="CC44" s="194">
        <f ca="1">CC46*AVERAGE(CB45:CC45)/4</f>
        <v>339.75621696160056</v>
      </c>
      <c r="CD44" s="165">
        <f ca="1">SUM(BZ44:CC44)</f>
        <v>1423.2441036429675</v>
      </c>
    </row>
    <row r="45" spans="1:82" ht="12.75" customHeight="1">
      <c r="A45" s="226" t="s">
        <v>3395</v>
      </c>
      <c r="B45" s="226"/>
      <c r="C45" s="195">
        <f>'Balance sheet'!C73</f>
        <v>21417</v>
      </c>
      <c r="D45" s="195">
        <f>'Balance sheet'!D73</f>
        <v>22008</v>
      </c>
      <c r="E45" s="195">
        <f>'Balance sheet'!E73</f>
        <v>22325</v>
      </c>
      <c r="F45" s="195">
        <f>'Balance sheet'!F73</f>
        <v>23091</v>
      </c>
      <c r="G45" s="195">
        <f>'Balance sheet'!G73</f>
        <v>19162</v>
      </c>
      <c r="H45" s="194">
        <f>'Balance sheet'!H73</f>
        <v>18679</v>
      </c>
      <c r="I45" s="194">
        <f>'Balance sheet'!I73</f>
        <v>19286</v>
      </c>
      <c r="J45" s="194">
        <f>'Balance sheet'!J73</f>
        <v>19973</v>
      </c>
      <c r="K45" s="194">
        <f>'Balance sheet'!K73</f>
        <v>24010</v>
      </c>
      <c r="L45" s="165">
        <f>'Balance sheet'!L73</f>
        <v>24010</v>
      </c>
      <c r="M45" s="194">
        <f>'Balance sheet'!M73</f>
        <v>23728</v>
      </c>
      <c r="N45" s="194">
        <f>'Balance sheet'!N73</f>
        <v>23754</v>
      </c>
      <c r="O45" s="194">
        <f>'Balance sheet'!O73</f>
        <v>25245</v>
      </c>
      <c r="P45" s="194">
        <f>'Balance sheet'!P73</f>
        <v>31045</v>
      </c>
      <c r="Q45" s="165">
        <f>'Balance sheet'!Q73</f>
        <v>31045</v>
      </c>
      <c r="R45" s="194">
        <f>'Balance sheet'!R73</f>
        <v>29871</v>
      </c>
      <c r="S45" s="194">
        <f>'Balance sheet'!S73</f>
        <v>30189</v>
      </c>
      <c r="T45" s="194">
        <f>'Balance sheet'!T73</f>
        <v>28300</v>
      </c>
      <c r="U45" s="194">
        <f>'Balance sheet'!U73</f>
        <v>33204</v>
      </c>
      <c r="V45" s="165">
        <f>'Balance sheet'!V73</f>
        <v>33204</v>
      </c>
      <c r="W45" s="194">
        <f>'Balance sheet'!W73</f>
        <v>34698</v>
      </c>
      <c r="X45" s="194">
        <f>'Balance sheet'!X73</f>
        <v>36240</v>
      </c>
      <c r="Y45" s="194">
        <f>'Balance sheet'!Y73</f>
        <v>36555</v>
      </c>
      <c r="Z45" s="194">
        <f>'Balance sheet'!Z73</f>
        <v>34627</v>
      </c>
      <c r="AA45" s="165">
        <f>'Balance sheet'!AA73</f>
        <v>34627</v>
      </c>
      <c r="AB45" s="194">
        <f>'Balance sheet'!AB73</f>
        <v>32153</v>
      </c>
      <c r="AC45" s="194">
        <f>'Balance sheet'!AC73</f>
        <v>30580</v>
      </c>
      <c r="AD45" s="194">
        <f>'Balance sheet'!AD73</f>
        <v>39979</v>
      </c>
      <c r="AE45" s="194">
        <f>'Balance sheet'!AE73</f>
        <v>45336</v>
      </c>
      <c r="AF45" s="165">
        <f>'Balance sheet'!AF73</f>
        <v>45336</v>
      </c>
      <c r="AG45" s="194">
        <f>'Balance sheet'!AG73</f>
        <v>47102</v>
      </c>
      <c r="AH45" s="194">
        <f>'Balance sheet'!AH73</f>
        <v>46890</v>
      </c>
      <c r="AI45" s="194">
        <f>'Balance sheet'!AI73</f>
        <v>45283</v>
      </c>
      <c r="AJ45" s="194">
        <f>'Balance sheet'!AJ73</f>
        <v>44213</v>
      </c>
      <c r="AK45" s="165">
        <f>'Balance sheet'!AK73</f>
        <v>44213</v>
      </c>
      <c r="AL45" s="194">
        <f>'Balance sheet'!AL73</f>
        <v>46470</v>
      </c>
      <c r="AM45" s="194">
        <f>'Balance sheet'!AM73</f>
        <v>47662</v>
      </c>
      <c r="AN45" s="194">
        <f>'Balance sheet'!AN73</f>
        <v>49077</v>
      </c>
      <c r="AO45" s="194">
        <f>'Balance sheet'!AO73</f>
        <v>48797</v>
      </c>
      <c r="AP45" s="165">
        <f>AO45</f>
        <v>48797</v>
      </c>
      <c r="AQ45" s="194">
        <f>'Balance sheet'!AQ73</f>
        <v>46425</v>
      </c>
      <c r="AR45" s="194">
        <f>'Balance sheet'!AR73</f>
        <v>46990</v>
      </c>
      <c r="AS45" s="194">
        <f>'Balance sheet'!AS73</f>
        <v>50284</v>
      </c>
      <c r="AT45" s="194">
        <f>'Balance sheet'!AT73</f>
        <v>48192</v>
      </c>
      <c r="AU45" s="165">
        <f>AT45</f>
        <v>48192</v>
      </c>
      <c r="AV45" s="194">
        <f>'Balance sheet'!AV73</f>
        <v>53249</v>
      </c>
      <c r="AW45" s="194">
        <f>'Balance sheet'!AW73</f>
        <v>52906</v>
      </c>
      <c r="AX45" s="194">
        <f>'Balance sheet'!AX73</f>
        <v>53610</v>
      </c>
      <c r="AY45" s="194">
        <f>'Balance sheet'!AY73</f>
        <v>52854</v>
      </c>
      <c r="AZ45" s="165">
        <f>AY45</f>
        <v>52854</v>
      </c>
      <c r="BA45" s="194">
        <f>'Balance sheet'!BA73</f>
        <v>57731</v>
      </c>
      <c r="BB45" s="194">
        <f>'Balance sheet'!BB73</f>
        <v>57104</v>
      </c>
      <c r="BC45" s="194">
        <f>'Balance sheet'!BC73</f>
        <v>57405</v>
      </c>
      <c r="BD45" s="194">
        <f>'Balance sheet'!BD73</f>
        <v>53168</v>
      </c>
      <c r="BE45" s="165">
        <f>BD45</f>
        <v>53168</v>
      </c>
      <c r="BF45" s="194">
        <f>'Balance sheet'!BF73</f>
        <v>54012</v>
      </c>
      <c r="BG45" s="194">
        <f>'Balance sheet'!BG73</f>
        <v>55727</v>
      </c>
      <c r="BH45" s="194">
        <f>'Balance sheet'!BH73</f>
        <v>58997</v>
      </c>
      <c r="BI45" s="194">
        <f>'Balance sheet'!BI73</f>
        <v>58300</v>
      </c>
      <c r="BJ45" s="165">
        <f>BI45</f>
        <v>58300</v>
      </c>
      <c r="BK45" s="194">
        <f>'Balance sheet'!BK73</f>
        <v>61832</v>
      </c>
      <c r="BL45" s="194">
        <f>'Balance sheet'!BL73</f>
        <v>63004</v>
      </c>
      <c r="BM45" s="194">
        <f>'Balance sheet'!BM73</f>
        <v>65784</v>
      </c>
      <c r="BN45" s="194">
        <f>'Balance sheet'!BN73</f>
        <v>63230</v>
      </c>
      <c r="BO45" s="165">
        <f>BN45</f>
        <v>63230</v>
      </c>
      <c r="BP45" s="194">
        <f ca="1">'Balance sheet'!BP73</f>
        <v>68309.77940933354</v>
      </c>
      <c r="BQ45" s="194">
        <f ca="1">'Balance sheet'!BQ73</f>
        <v>67848.700096658198</v>
      </c>
      <c r="BR45" s="194">
        <f ca="1">'Balance sheet'!BR73</f>
        <v>66226.851828254876</v>
      </c>
      <c r="BS45" s="194">
        <f ca="1">'Balance sheet'!BS73</f>
        <v>65254.854617435019</v>
      </c>
      <c r="BT45" s="165">
        <f ca="1">BS45</f>
        <v>65254.854617435019</v>
      </c>
      <c r="BU45" s="194">
        <f ca="1">'Balance sheet'!BU73</f>
        <v>63397.772646392608</v>
      </c>
      <c r="BV45" s="194">
        <f ca="1">'Balance sheet'!BV73</f>
        <v>63199.770897248614</v>
      </c>
      <c r="BW45" s="194">
        <f ca="1">'Balance sheet'!BW73</f>
        <v>61309.57063829957</v>
      </c>
      <c r="BX45" s="194">
        <f ca="1">'Balance sheet'!BX73</f>
        <v>59905.713485972054</v>
      </c>
      <c r="BY45" s="165">
        <f ca="1">BX45</f>
        <v>59905.713485972054</v>
      </c>
      <c r="BZ45" s="194">
        <f ca="1">'Balance sheet'!BZ73</f>
        <v>58159.753177887993</v>
      </c>
      <c r="CA45" s="194">
        <f ca="1">'Balance sheet'!CA73</f>
        <v>57613.58549116549</v>
      </c>
      <c r="CB45" s="194">
        <f ca="1">'Balance sheet'!CB73</f>
        <v>55263.732913958374</v>
      </c>
      <c r="CC45" s="194">
        <f ca="1">'Balance sheet'!CC73</f>
        <v>53458.256513753789</v>
      </c>
      <c r="CD45" s="165">
        <f ca="1">CC45</f>
        <v>53458.256513753789</v>
      </c>
    </row>
    <row r="46" spans="1:82" ht="12.75" customHeight="1">
      <c r="A46" s="166" t="s">
        <v>3396</v>
      </c>
      <c r="B46" s="164"/>
      <c r="C46" s="196">
        <f>C44/C45</f>
        <v>7.7975440070971652E-2</v>
      </c>
      <c r="D46" s="196">
        <f>D44/AVERAGE(C45,D45)</f>
        <v>5.2504317789291884E-2</v>
      </c>
      <c r="E46" s="196">
        <f>E44/AVERAGE(D45,E45)</f>
        <v>3.2481447228926534E-2</v>
      </c>
      <c r="F46" s="196">
        <f>F44/AVERAGE(E45,F45)</f>
        <v>1.9376431213669193E-2</v>
      </c>
      <c r="G46" s="196">
        <f>G44/AVERAGE(F45,G45)</f>
        <v>2.9157692944879653E-2</v>
      </c>
      <c r="H46" s="248">
        <f>4*H44/AVERAGE(G45:H45)</f>
        <v>4.0379482571813639E-2</v>
      </c>
      <c r="I46" s="248">
        <f>4*I44/AVERAGE(H45:I45)</f>
        <v>3.2240221256420384E-2</v>
      </c>
      <c r="J46" s="248">
        <f>4*J44/AVERAGE(I45:J45)</f>
        <v>3.4437963269568758E-2</v>
      </c>
      <c r="K46" s="248">
        <f>4*K44/AVERAGE(J45:K45)</f>
        <v>3.7287133665279769E-2</v>
      </c>
      <c r="L46" s="196">
        <f>L44/AVERAGE(H45:K45,AVERAGE(G45,L45))</f>
        <v>3.4674599648424675E-2</v>
      </c>
      <c r="M46" s="248">
        <f>4*M44/AVERAGE(L45:M45)</f>
        <v>5.5469437345510915E-2</v>
      </c>
      <c r="N46" s="248">
        <f>4*N44/AVERAGE(M45:N45)</f>
        <v>5.3409713154458534E-2</v>
      </c>
      <c r="O46" s="248">
        <f>4*O44/AVERAGE(N45:O45)</f>
        <v>5.5021531051654117E-2</v>
      </c>
      <c r="P46" s="248">
        <f>4*P44/AVERAGE(O45:P45)</f>
        <v>5.7985432581275538E-2</v>
      </c>
      <c r="Q46" s="196">
        <f>Q44/AVERAGE(M45:P45,AVERAGE(L45,Q45))</f>
        <v>5.3046660497564728E-2</v>
      </c>
      <c r="R46" s="248">
        <f>4*R44/AVERAGE(Q45:R45)</f>
        <v>5.331932497209272E-2</v>
      </c>
      <c r="S46" s="248">
        <f>4*S44/AVERAGE(R45:S45)</f>
        <v>5.0749250749250747E-2</v>
      </c>
      <c r="T46" s="248">
        <f>4*T44/AVERAGE(S45:T45)</f>
        <v>5.3480141565080616E-2</v>
      </c>
      <c r="U46" s="248">
        <f>4*U44/AVERAGE(T45:U45)</f>
        <v>4.7996878251821022E-2</v>
      </c>
      <c r="V46" s="196">
        <f>V44/AVERAGE(R45:U45,AVERAGE(Q45,V45))</f>
        <v>5.032907471931862E-2</v>
      </c>
      <c r="W46" s="248">
        <f>4*W44/AVERAGE(V45:W45)</f>
        <v>3.7465759476893172E-2</v>
      </c>
      <c r="X46" s="248">
        <f>4*X44/AVERAGE(W45:X45)</f>
        <v>3.0900222729707633E-2</v>
      </c>
      <c r="Y46" s="248">
        <f>4*Y44/AVERAGE(X45:Y45)</f>
        <v>2.9232776976440691E-2</v>
      </c>
      <c r="Z46" s="248">
        <f>4*Z44/AVERAGE(Y45:Z45)</f>
        <v>2.8321766738782277E-2</v>
      </c>
      <c r="AA46" s="196">
        <f>AA44/AVERAGE(W45:Z45,AVERAGE(V45,AA45))</f>
        <v>3.1527731622314821E-2</v>
      </c>
      <c r="AB46" s="248">
        <f>4*AB44/AVERAGE(AA45:AB45)</f>
        <v>2.8511530398322851E-2</v>
      </c>
      <c r="AC46" s="248">
        <f>4*AC44/AVERAGE(AB45:AC45)</f>
        <v>2.8693032375304864E-2</v>
      </c>
      <c r="AD46" s="248">
        <f>4*AD44/AVERAGE(AC45:AD45)</f>
        <v>3.4127467792910898E-2</v>
      </c>
      <c r="AE46" s="248">
        <f>4*AE44/AVERAGE(AD45:AE45)</f>
        <v>3.0850378010900778E-2</v>
      </c>
      <c r="AF46" s="196">
        <f>AF44/AVERAGE(AB45:AE45,AVERAGE(AA45,AF45))</f>
        <v>2.9064588269393898E-2</v>
      </c>
      <c r="AG46" s="248">
        <f>4*AG44/AVERAGE(AF45:AG45)</f>
        <v>2.5270992448992839E-2</v>
      </c>
      <c r="AH46" s="248">
        <f>4*AH44/AVERAGE(AG45:AH45)</f>
        <v>2.5448974380798364E-2</v>
      </c>
      <c r="AI46" s="248">
        <f>4*AI44/AVERAGE(AH45:AI45)</f>
        <v>2.4649300771375567E-2</v>
      </c>
      <c r="AJ46" s="248">
        <f>4*AJ44/AVERAGE(AI45:AJ45)</f>
        <v>2.7978904085098774E-2</v>
      </c>
      <c r="AK46" s="196">
        <f>AK44/AVERAGE(AG45:AJ45,AVERAGE(AF45,AK45))</f>
        <v>2.6022671266633809E-2</v>
      </c>
      <c r="AL46" s="248">
        <f>4*AL44/AVERAGE(AK45:AL45)</f>
        <v>2.4436774257578599E-2</v>
      </c>
      <c r="AM46" s="248">
        <f>4*AM44/AVERAGE(AL45:AM45)</f>
        <v>2.2351591382314198E-2</v>
      </c>
      <c r="AN46" s="248">
        <f>4*AN44/AVERAGE(AM45:AN45)</f>
        <v>2.0922275400820766E-2</v>
      </c>
      <c r="AO46" s="248">
        <f>4*AO44/AVERAGE(AN45:AO45)</f>
        <v>2.558391401189284E-2</v>
      </c>
      <c r="AP46" s="196">
        <f>AP44/AVERAGE(AL45:AO45,AVERAGE(AK45,AP45))</f>
        <v>2.3185513456402431E-2</v>
      </c>
      <c r="AQ46" s="248">
        <f>4*AQ44/AVERAGE(AP45:AQ45)</f>
        <v>2.2851861964672031E-2</v>
      </c>
      <c r="AR46" s="248">
        <f>4*AR44/AVERAGE(AQ45:AR45)</f>
        <v>2.0724723010223198E-2</v>
      </c>
      <c r="AS46" s="248">
        <f>4*AS44/AVERAGE(AR45:AS45)</f>
        <v>2.2205316939778359E-2</v>
      </c>
      <c r="AT46" s="248">
        <f>4*AT44/AVERAGE(AS45:AT45)</f>
        <v>1.99033266988911E-2</v>
      </c>
      <c r="AU46" s="196">
        <f>AU44/AVERAGE(AQ45:AT45,AVERAGE(AP45,AU45))</f>
        <v>2.1403121236513851E-2</v>
      </c>
      <c r="AV46" s="248">
        <f>4*AV44/AVERAGE(AU45:AV45)</f>
        <v>2.1845210516457842E-2</v>
      </c>
      <c r="AW46" s="248">
        <f>4*AW44/AVERAGE(AV45:AW45)</f>
        <v>2.0196881917950167E-2</v>
      </c>
      <c r="AX46" s="248">
        <f>4*AX44/AVERAGE(AW45:AX45)</f>
        <v>2.0654174020804387E-2</v>
      </c>
      <c r="AY46" s="248">
        <f>4*AY44/AVERAGE(AX45:AY45)</f>
        <v>2.1791403666967239E-2</v>
      </c>
      <c r="AZ46" s="196">
        <f>AZ44/AVERAGE(AV45:AY45,AVERAGE(AU45,AZ45))</f>
        <v>2.1091273912944342E-2</v>
      </c>
      <c r="BA46" s="248">
        <f>4*BA44/AVERAGE(AZ45:BA45)</f>
        <v>1.9677171406610301E-2</v>
      </c>
      <c r="BB46" s="248">
        <f>4*BB44/AVERAGE(BA45:BB45)</f>
        <v>1.9575913266861148E-2</v>
      </c>
      <c r="BC46" s="248">
        <f>4*BC44/AVERAGE(BB45:BC45)</f>
        <v>1.9771371682575169E-2</v>
      </c>
      <c r="BD46" s="248">
        <f>4*BD44/AVERAGE(BC45:BD45)</f>
        <v>1.9100503739610936E-2</v>
      </c>
      <c r="BE46" s="196">
        <f>BE44/AVERAGE(BA45:BD45,AVERAGE(AZ45,BE45))</f>
        <v>1.9754398945474268E-2</v>
      </c>
      <c r="BF46" s="248">
        <f>4*BF44/AVERAGE(BE45:BF45)</f>
        <v>2.0227654413136779E-2</v>
      </c>
      <c r="BG46" s="248">
        <f>4*BG44/AVERAGE(BF45:BG45)</f>
        <v>2.1213971331978602E-2</v>
      </c>
      <c r="BH46" s="248">
        <f>4*BH44/AVERAGE(BG45:BH45)</f>
        <v>2.1617098427530422E-2</v>
      </c>
      <c r="BI46" s="248">
        <f>4*BI44/AVERAGE(BH45:BI45)</f>
        <v>2.1074707793038185E-2</v>
      </c>
      <c r="BJ46" s="196">
        <f>BJ44/AVERAGE(BF45:BI45,AVERAGE(BE45,BJ45))</f>
        <v>2.0882696184177953E-2</v>
      </c>
      <c r="BK46" s="248">
        <f>4*BK44/AVERAGE(BJ45:BK45)</f>
        <v>2.224220024639563E-2</v>
      </c>
      <c r="BL46" s="248">
        <f>4*BL44/AVERAGE(BK45:BL45)</f>
        <v>2.3454772661732192E-2</v>
      </c>
      <c r="BM46" s="248">
        <f>4*BM44/AVERAGE(BL45:BM45)</f>
        <v>2.4163741963536975E-2</v>
      </c>
      <c r="BN46" s="248">
        <f>4*BN44/AVERAGE(BM45:BN45)</f>
        <v>3.050831692684515E-2</v>
      </c>
      <c r="BO46" s="196">
        <f>BO44/AVERAGE(BK45:BN45,AVERAGE(BJ45,BO45))</f>
        <v>2.5125947586732991E-2</v>
      </c>
      <c r="BP46" s="198">
        <v>2.5000000000000001E-2</v>
      </c>
      <c r="BQ46" s="198">
        <v>2.5000000000000001E-2</v>
      </c>
      <c r="BR46" s="198">
        <v>2.5000000000000001E-2</v>
      </c>
      <c r="BS46" s="198">
        <v>2.5000000000000001E-2</v>
      </c>
      <c r="BT46" s="196">
        <f t="shared" ref="BT46" ca="1" si="58">BT44/AVERAGE(BP45:BS45,AVERAGE(BO45,BT45))</f>
        <v>2.510561603615899E-2</v>
      </c>
      <c r="BU46" s="198">
        <v>2.5000000000000001E-2</v>
      </c>
      <c r="BV46" s="198">
        <v>2.5000000000000001E-2</v>
      </c>
      <c r="BW46" s="198">
        <v>2.5000000000000001E-2</v>
      </c>
      <c r="BX46" s="198">
        <v>2.5000000000000001E-2</v>
      </c>
      <c r="BY46" s="196">
        <f t="shared" ref="BY46" ca="1" si="59">BY44/AVERAGE(BU45:BX45,AVERAGE(BT45,BY45))</f>
        <v>2.5218765814211477E-2</v>
      </c>
      <c r="BZ46" s="198">
        <v>2.5000000000000001E-2</v>
      </c>
      <c r="CA46" s="198">
        <v>2.5000000000000001E-2</v>
      </c>
      <c r="CB46" s="198">
        <v>2.5000000000000001E-2</v>
      </c>
      <c r="CC46" s="198">
        <v>2.5000000000000001E-2</v>
      </c>
      <c r="CD46" s="196">
        <f t="shared" ref="CD46" ca="1" si="60">CD44/AVERAGE(BZ45:CC45,AVERAGE(BY45,CD45))</f>
        <v>2.5308658226523766E-2</v>
      </c>
    </row>
    <row r="47" spans="1:82" ht="12.75" customHeight="1">
      <c r="A47" s="164"/>
      <c r="B47" s="164"/>
      <c r="C47" s="165"/>
      <c r="D47" s="165"/>
      <c r="E47" s="165"/>
      <c r="F47" s="165"/>
      <c r="G47" s="165"/>
      <c r="H47" s="165"/>
      <c r="I47" s="165"/>
      <c r="J47" s="165"/>
      <c r="K47" s="165"/>
      <c r="L47" s="165"/>
      <c r="M47" s="165"/>
      <c r="N47" s="165"/>
      <c r="O47" s="165"/>
      <c r="P47" s="165"/>
      <c r="Q47" s="165"/>
      <c r="R47" s="165"/>
      <c r="S47" s="165"/>
      <c r="T47" s="165"/>
      <c r="U47" s="165"/>
      <c r="V47" s="165"/>
      <c r="W47" s="165"/>
      <c r="X47" s="165"/>
      <c r="Y47" s="165"/>
      <c r="Z47" s="165"/>
      <c r="AA47" s="165"/>
      <c r="AB47" s="165"/>
      <c r="AC47" s="165"/>
      <c r="AD47" s="165"/>
      <c r="AE47" s="165"/>
      <c r="AF47" s="165"/>
      <c r="AG47" s="165"/>
      <c r="AH47" s="165"/>
      <c r="AI47" s="165"/>
      <c r="AJ47" s="165"/>
      <c r="AK47" s="165"/>
      <c r="AL47" s="165"/>
      <c r="AM47" s="165"/>
      <c r="AN47" s="165"/>
      <c r="AO47" s="165"/>
      <c r="AP47" s="165"/>
      <c r="AQ47" s="165"/>
      <c r="AR47" s="165"/>
      <c r="AS47" s="165"/>
      <c r="AT47" s="165"/>
      <c r="AU47" s="165"/>
      <c r="AV47" s="165"/>
      <c r="AW47" s="165"/>
      <c r="AX47" s="165"/>
      <c r="AY47" s="165"/>
      <c r="AZ47" s="165"/>
      <c r="BA47" s="165"/>
      <c r="BB47" s="165"/>
      <c r="BC47" s="165"/>
      <c r="BD47" s="165"/>
      <c r="BE47" s="165"/>
      <c r="BF47" s="165"/>
      <c r="BG47" s="165"/>
      <c r="BH47" s="165"/>
      <c r="BI47" s="165"/>
      <c r="BJ47" s="165"/>
      <c r="BK47" s="165"/>
      <c r="BL47" s="165"/>
      <c r="BM47" s="165"/>
      <c r="BN47" s="165"/>
      <c r="BO47" s="165"/>
      <c r="BP47" s="165"/>
      <c r="BQ47" s="165"/>
      <c r="BR47" s="165"/>
      <c r="BS47" s="165"/>
      <c r="BT47" s="165"/>
      <c r="BU47" s="165"/>
      <c r="BV47" s="165"/>
      <c r="BW47" s="165"/>
      <c r="BX47" s="165"/>
      <c r="BY47" s="165"/>
      <c r="BZ47" s="165"/>
      <c r="CA47" s="165"/>
      <c r="CB47" s="165"/>
      <c r="CC47" s="165"/>
      <c r="CD47" s="165"/>
    </row>
    <row r="48" spans="1:82" ht="12.75" customHeight="1">
      <c r="A48" s="164"/>
      <c r="B48" s="164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5"/>
      <c r="AI48" s="165"/>
      <c r="AJ48" s="165"/>
      <c r="AK48" s="165"/>
      <c r="AL48" s="165"/>
      <c r="AM48" s="165"/>
      <c r="AN48" s="165"/>
      <c r="AO48" s="165"/>
      <c r="AP48" s="165"/>
      <c r="AQ48" s="165"/>
      <c r="AR48" s="165"/>
      <c r="AS48" s="165"/>
      <c r="AT48" s="165"/>
      <c r="AU48" s="165"/>
      <c r="AV48" s="165"/>
      <c r="AW48" s="165"/>
      <c r="AX48" s="165"/>
      <c r="AY48" s="165"/>
      <c r="AZ48" s="165"/>
      <c r="BA48" s="165"/>
      <c r="BB48" s="165"/>
      <c r="BC48" s="165"/>
      <c r="BD48" s="165"/>
      <c r="BE48" s="165"/>
      <c r="BF48" s="165"/>
      <c r="BG48" s="165"/>
      <c r="BH48" s="165"/>
      <c r="BI48" s="165"/>
      <c r="BJ48" s="165"/>
      <c r="BK48" s="165"/>
      <c r="BL48" s="165"/>
      <c r="BM48" s="165"/>
      <c r="BN48" s="165"/>
      <c r="BO48" s="165"/>
      <c r="BP48" s="165"/>
      <c r="BQ48" s="165"/>
      <c r="BR48" s="165"/>
      <c r="BS48" s="165"/>
      <c r="BT48" s="165"/>
      <c r="BU48" s="165"/>
      <c r="BV48" s="165"/>
      <c r="BW48" s="165"/>
      <c r="BX48" s="165"/>
      <c r="BY48" s="165"/>
      <c r="BZ48" s="165"/>
      <c r="CA48" s="165"/>
      <c r="CB48" s="165"/>
      <c r="CC48" s="165"/>
      <c r="CD48" s="165"/>
    </row>
    <row r="49" spans="1:82" ht="12.75" customHeight="1">
      <c r="A49" s="164"/>
      <c r="B49" s="164"/>
      <c r="C49" s="165"/>
      <c r="D49" s="165"/>
      <c r="E49" s="165"/>
      <c r="F49" s="165"/>
      <c r="G49" s="165"/>
      <c r="H49" s="165"/>
      <c r="I49" s="165"/>
      <c r="J49" s="165"/>
      <c r="K49" s="165"/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5"/>
      <c r="W49" s="165"/>
      <c r="X49" s="165"/>
      <c r="Y49" s="165"/>
      <c r="Z49" s="165"/>
      <c r="AA49" s="165"/>
      <c r="AB49" s="165"/>
      <c r="AC49" s="165"/>
      <c r="AD49" s="165"/>
      <c r="AE49" s="165"/>
      <c r="AF49" s="165"/>
      <c r="AG49" s="165"/>
      <c r="AH49" s="165"/>
      <c r="AI49" s="165"/>
      <c r="AJ49" s="165"/>
      <c r="AK49" s="165"/>
      <c r="AL49" s="165"/>
      <c r="AM49" s="165"/>
      <c r="AN49" s="165"/>
      <c r="AO49" s="165"/>
      <c r="AP49" s="165"/>
      <c r="AQ49" s="165"/>
      <c r="AR49" s="165"/>
      <c r="AS49" s="165"/>
      <c r="AT49" s="165"/>
      <c r="AU49" s="165"/>
      <c r="AV49" s="165"/>
      <c r="AW49" s="165"/>
      <c r="AX49" s="165"/>
      <c r="AY49" s="165"/>
      <c r="AZ49" s="165"/>
      <c r="BA49" s="165"/>
      <c r="BB49" s="165"/>
      <c r="BC49" s="165"/>
      <c r="BD49" s="165"/>
      <c r="BE49" s="165"/>
      <c r="BF49" s="165"/>
      <c r="BG49" s="165"/>
      <c r="BH49" s="165"/>
      <c r="BI49" s="165"/>
      <c r="BJ49" s="165"/>
      <c r="BK49" s="165"/>
      <c r="BL49" s="165"/>
      <c r="BM49" s="165"/>
      <c r="BN49" s="165"/>
      <c r="BO49" s="165"/>
      <c r="BP49" s="165"/>
      <c r="BQ49" s="165"/>
      <c r="BR49" s="165"/>
      <c r="BS49" s="165"/>
      <c r="BT49" s="165"/>
      <c r="BU49" s="165"/>
      <c r="BV49" s="165"/>
      <c r="BW49" s="165"/>
      <c r="BX49" s="165"/>
      <c r="BY49" s="165"/>
      <c r="BZ49" s="165"/>
      <c r="CA49" s="165"/>
      <c r="CB49" s="165"/>
      <c r="CC49" s="165"/>
      <c r="CD49" s="165"/>
    </row>
    <row r="50" spans="1:82" ht="12.75" customHeight="1">
      <c r="A50" s="9" t="s">
        <v>394</v>
      </c>
      <c r="B50" s="4"/>
      <c r="C50" s="11"/>
      <c r="D50" s="48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</row>
    <row r="51" spans="1:82" ht="12.75" customHeight="1">
      <c r="A51" s="190"/>
      <c r="B51" s="190"/>
      <c r="C51" s="191">
        <v>2001</v>
      </c>
      <c r="D51" s="192">
        <v>2002</v>
      </c>
      <c r="E51" s="192">
        <v>2003</v>
      </c>
      <c r="F51" s="192">
        <v>2004</v>
      </c>
      <c r="G51" s="191">
        <v>2005</v>
      </c>
      <c r="H51" s="193" t="s">
        <v>714</v>
      </c>
      <c r="I51" s="193" t="s">
        <v>715</v>
      </c>
      <c r="J51" s="193" t="s">
        <v>716</v>
      </c>
      <c r="K51" s="193" t="s">
        <v>717</v>
      </c>
      <c r="L51" s="191">
        <v>2006</v>
      </c>
      <c r="M51" s="193" t="s">
        <v>718</v>
      </c>
      <c r="N51" s="193" t="s">
        <v>719</v>
      </c>
      <c r="O51" s="193" t="s">
        <v>1970</v>
      </c>
      <c r="P51" s="193" t="s">
        <v>1971</v>
      </c>
      <c r="Q51" s="191">
        <v>2007</v>
      </c>
      <c r="R51" s="193" t="s">
        <v>1972</v>
      </c>
      <c r="S51" s="193" t="s">
        <v>1973</v>
      </c>
      <c r="T51" s="193" t="s">
        <v>1974</v>
      </c>
      <c r="U51" s="193" t="s">
        <v>1975</v>
      </c>
      <c r="V51" s="191">
        <v>2008</v>
      </c>
      <c r="W51" s="193" t="s">
        <v>1976</v>
      </c>
      <c r="X51" s="193" t="s">
        <v>1977</v>
      </c>
      <c r="Y51" s="193" t="s">
        <v>1978</v>
      </c>
      <c r="Z51" s="193" t="s">
        <v>1979</v>
      </c>
      <c r="AA51" s="191">
        <v>2009</v>
      </c>
      <c r="AB51" s="193" t="s">
        <v>1980</v>
      </c>
      <c r="AC51" s="193" t="s">
        <v>1981</v>
      </c>
      <c r="AD51" s="193" t="s">
        <v>1982</v>
      </c>
      <c r="AE51" s="193" t="s">
        <v>2392</v>
      </c>
      <c r="AF51" s="191">
        <v>2010</v>
      </c>
      <c r="AG51" s="193" t="s">
        <v>2393</v>
      </c>
      <c r="AH51" s="193" t="s">
        <v>2394</v>
      </c>
      <c r="AI51" s="193" t="s">
        <v>2395</v>
      </c>
      <c r="AJ51" s="193" t="s">
        <v>2396</v>
      </c>
      <c r="AK51" s="191">
        <v>2011</v>
      </c>
      <c r="AL51" s="368" t="s">
        <v>2397</v>
      </c>
      <c r="AM51" s="368" t="s">
        <v>2398</v>
      </c>
      <c r="AN51" s="368" t="s">
        <v>2399</v>
      </c>
      <c r="AO51" s="368" t="s">
        <v>2400</v>
      </c>
      <c r="AP51" s="369">
        <v>2012</v>
      </c>
      <c r="AQ51" s="368" t="s">
        <v>2401</v>
      </c>
      <c r="AR51" s="368" t="s">
        <v>2402</v>
      </c>
      <c r="AS51" s="368" t="s">
        <v>2403</v>
      </c>
      <c r="AT51" s="368" t="s">
        <v>2404</v>
      </c>
      <c r="AU51" s="369">
        <v>2013</v>
      </c>
      <c r="AV51" s="368" t="s">
        <v>2405</v>
      </c>
      <c r="AW51" s="368" t="s">
        <v>2406</v>
      </c>
      <c r="AX51" s="368" t="s">
        <v>2407</v>
      </c>
      <c r="AY51" s="368" t="s">
        <v>2408</v>
      </c>
      <c r="AZ51" s="369">
        <v>2014</v>
      </c>
      <c r="BA51" s="368" t="s">
        <v>2409</v>
      </c>
      <c r="BB51" s="368" t="s">
        <v>2410</v>
      </c>
      <c r="BC51" s="368" t="s">
        <v>2411</v>
      </c>
      <c r="BD51" s="368" t="s">
        <v>2412</v>
      </c>
      <c r="BE51" s="31">
        <v>2015</v>
      </c>
      <c r="BF51" s="368" t="s">
        <v>2413</v>
      </c>
      <c r="BG51" s="368" t="s">
        <v>2414</v>
      </c>
      <c r="BH51" s="368" t="s">
        <v>2415</v>
      </c>
      <c r="BI51" s="368" t="s">
        <v>2416</v>
      </c>
      <c r="BJ51" s="31">
        <v>2016</v>
      </c>
      <c r="BK51" s="368" t="s">
        <v>2417</v>
      </c>
      <c r="BL51" s="368" t="s">
        <v>2418</v>
      </c>
      <c r="BM51" s="368" t="s">
        <v>2419</v>
      </c>
      <c r="BN51" s="368" t="s">
        <v>2420</v>
      </c>
      <c r="BO51" s="31">
        <v>2017</v>
      </c>
      <c r="BP51" s="363" t="s">
        <v>2244</v>
      </c>
      <c r="BQ51" s="363" t="s">
        <v>2245</v>
      </c>
      <c r="BR51" s="363" t="s">
        <v>2508</v>
      </c>
      <c r="BS51" s="363" t="s">
        <v>2509</v>
      </c>
      <c r="BT51" s="364">
        <v>2018</v>
      </c>
      <c r="BU51" s="363" t="s">
        <v>2510</v>
      </c>
      <c r="BV51" s="363" t="s">
        <v>2511</v>
      </c>
      <c r="BW51" s="363" t="s">
        <v>3125</v>
      </c>
      <c r="BX51" s="363" t="s">
        <v>1405</v>
      </c>
      <c r="BY51" s="364">
        <v>2019</v>
      </c>
      <c r="BZ51" s="363" t="s">
        <v>1406</v>
      </c>
      <c r="CA51" s="363" t="s">
        <v>1407</v>
      </c>
      <c r="CB51" s="363" t="s">
        <v>1408</v>
      </c>
      <c r="CC51" s="363" t="s">
        <v>1409</v>
      </c>
      <c r="CD51" s="364">
        <v>2020</v>
      </c>
    </row>
    <row r="52" spans="1:82" ht="12.75" customHeight="1">
      <c r="A52" s="4" t="s">
        <v>3398</v>
      </c>
      <c r="B52" s="4"/>
      <c r="C52" s="5">
        <f>'Balance sheet'!C33</f>
        <v>1808</v>
      </c>
      <c r="D52" s="5">
        <f>'Balance sheet'!D33</f>
        <v>1735</v>
      </c>
      <c r="E52" s="5">
        <f>'Balance sheet'!E33</f>
        <v>2056</v>
      </c>
      <c r="F52" s="5">
        <f>'Balance sheet'!F33</f>
        <v>1359</v>
      </c>
      <c r="G52" s="5">
        <f>'Balance sheet'!G33</f>
        <v>2960</v>
      </c>
      <c r="H52" s="12">
        <f>'Balance sheet'!H33</f>
        <v>2939</v>
      </c>
      <c r="I52" s="12">
        <f>'Balance sheet'!I33</f>
        <v>4852</v>
      </c>
      <c r="J52" s="12">
        <f>'Balance sheet'!J33</f>
        <v>3199</v>
      </c>
      <c r="K52" s="12">
        <f>'Balance sheet'!K33</f>
        <v>2590</v>
      </c>
      <c r="L52" s="5">
        <f>'Balance sheet'!L33</f>
        <v>2590</v>
      </c>
      <c r="M52" s="12">
        <f>'Balance sheet'!M33</f>
        <v>1956</v>
      </c>
      <c r="N52" s="12">
        <f>'Balance sheet'!N33</f>
        <v>2643</v>
      </c>
      <c r="O52" s="12">
        <f>'Balance sheet'!O33</f>
        <v>2410</v>
      </c>
      <c r="P52" s="12">
        <f>'Balance sheet'!P33</f>
        <v>3562</v>
      </c>
      <c r="Q52" s="5">
        <f>'Balance sheet'!Q33</f>
        <v>3562</v>
      </c>
      <c r="R52" s="12">
        <f>'Balance sheet'!R33</f>
        <v>4820</v>
      </c>
      <c r="S52" s="12">
        <f>'Balance sheet'!S33</f>
        <v>3593</v>
      </c>
      <c r="T52" s="12">
        <f>'Balance sheet'!T33</f>
        <v>6142</v>
      </c>
      <c r="U52" s="12">
        <f>'Balance sheet'!U33</f>
        <v>8197</v>
      </c>
      <c r="V52" s="5">
        <f>'Balance sheet'!V33</f>
        <v>8197</v>
      </c>
      <c r="W52" s="12">
        <f>'Balance sheet'!W33</f>
        <v>8360</v>
      </c>
      <c r="X52" s="12">
        <f>'Balance sheet'!X33</f>
        <v>8959</v>
      </c>
      <c r="Y52" s="12">
        <f>'Balance sheet'!Y33</f>
        <v>9883</v>
      </c>
      <c r="Z52" s="12">
        <f>'Balance sheet'!Z33</f>
        <v>8339</v>
      </c>
      <c r="AA52" s="5">
        <f>'Balance sheet'!AA33</f>
        <v>8339</v>
      </c>
      <c r="AB52" s="12">
        <f>'Balance sheet'!AB33</f>
        <v>6841</v>
      </c>
      <c r="AC52" s="12">
        <f>'Balance sheet'!AC33</f>
        <v>7310</v>
      </c>
      <c r="AD52" s="12">
        <f>'Balance sheet'!AD33</f>
        <v>12803</v>
      </c>
      <c r="AE52" s="12">
        <f>'Balance sheet'!AE33</f>
        <v>18556</v>
      </c>
      <c r="AF52" s="5">
        <f>'Balance sheet'!AF33</f>
        <v>18556</v>
      </c>
      <c r="AG52" s="12">
        <f>'Balance sheet'!AG33</f>
        <v>18726</v>
      </c>
      <c r="AH52" s="12">
        <f>'Balance sheet'!AH33</f>
        <v>18749</v>
      </c>
      <c r="AI52" s="12">
        <f>'Balance sheet'!AI33</f>
        <v>17997</v>
      </c>
      <c r="AJ52" s="12">
        <f>'Balance sheet'!AJ33</f>
        <v>14067</v>
      </c>
      <c r="AK52" s="5">
        <f>'Balance sheet'!AK33</f>
        <v>14067</v>
      </c>
      <c r="AL52" s="12">
        <f>'Balance sheet'!AL33</f>
        <v>14092</v>
      </c>
      <c r="AM52" s="12">
        <f>'Balance sheet'!AM33</f>
        <v>14881</v>
      </c>
      <c r="AN52" s="12">
        <f>'Balance sheet'!AN33</f>
        <v>16041</v>
      </c>
      <c r="AO52" s="12">
        <f>'Balance sheet'!AO33</f>
        <v>19548</v>
      </c>
      <c r="AP52" s="5">
        <f>'Balance sheet'!AP33</f>
        <v>19548</v>
      </c>
      <c r="AQ52" s="12">
        <f>'Balance sheet'!AQ33</f>
        <v>27679</v>
      </c>
      <c r="AR52" s="12">
        <f>'Balance sheet'!AR33</f>
        <v>28313</v>
      </c>
      <c r="AS52" s="12">
        <f>'Balance sheet'!AS33</f>
        <v>29499</v>
      </c>
      <c r="AT52" s="12">
        <f>'Balance sheet'!AT33</f>
        <v>22520</v>
      </c>
      <c r="AU52" s="5">
        <f>'Balance sheet'!AU33</f>
        <v>22520</v>
      </c>
      <c r="AV52" s="12">
        <f>'Balance sheet'!AV33</f>
        <v>27358</v>
      </c>
      <c r="AW52" s="12">
        <f>'Balance sheet'!AW33</f>
        <v>27506</v>
      </c>
      <c r="AX52" s="12">
        <f>'Balance sheet'!AX33</f>
        <v>30729</v>
      </c>
      <c r="AY52" s="12">
        <f>'Balance sheet'!AY33</f>
        <v>29763</v>
      </c>
      <c r="AZ52" s="5">
        <f>'Balance sheet'!AZ33</f>
        <v>29763</v>
      </c>
      <c r="BA52" s="12">
        <f>'Balance sheet'!BA33</f>
        <v>32434</v>
      </c>
      <c r="BB52" s="12">
        <f>'Balance sheet'!BB33</f>
        <v>32589</v>
      </c>
      <c r="BC52" s="12">
        <f>'Balance sheet'!BC33</f>
        <v>31702</v>
      </c>
      <c r="BD52" s="12">
        <f>'Balance sheet'!BD33</f>
        <v>26389</v>
      </c>
      <c r="BE52" s="5">
        <f>'Balance sheet'!BE33</f>
        <v>26389</v>
      </c>
      <c r="BF52" s="12">
        <f>'Balance sheet'!BF33</f>
        <v>23049</v>
      </c>
      <c r="BG52" s="12">
        <f>'Balance sheet'!BG33</f>
        <v>23517</v>
      </c>
      <c r="BH52" s="12">
        <f>'Balance sheet'!BH33</f>
        <v>25520</v>
      </c>
      <c r="BI52" s="12">
        <f>'Balance sheet'!BI33</f>
        <v>23484</v>
      </c>
      <c r="BJ52" s="5">
        <f>'Balance sheet'!BJ33</f>
        <v>23484</v>
      </c>
      <c r="BK52" s="12">
        <f>'Balance sheet'!BK33</f>
        <v>23794</v>
      </c>
      <c r="BL52" s="181">
        <f>'Balance sheet'!BL33</f>
        <v>23270</v>
      </c>
      <c r="BM52" s="181">
        <f>'Balance sheet'!BM33</f>
        <v>25780</v>
      </c>
      <c r="BN52" s="181">
        <f>'Balance sheet'!BN33</f>
        <v>25586</v>
      </c>
      <c r="BO52" s="5">
        <f>'Balance sheet'!BO33</f>
        <v>25586</v>
      </c>
      <c r="BP52" s="12">
        <f ca="1">'Balance sheet'!BP33</f>
        <v>25586</v>
      </c>
      <c r="BQ52" s="12">
        <f ca="1">'Balance sheet'!BQ33</f>
        <v>25586</v>
      </c>
      <c r="BR52" s="12">
        <f ca="1">'Balance sheet'!BR33</f>
        <v>25586</v>
      </c>
      <c r="BS52" s="12">
        <f ca="1">'Balance sheet'!BS33</f>
        <v>25586</v>
      </c>
      <c r="BT52" s="5">
        <f ca="1">'Balance sheet'!BT33</f>
        <v>25586</v>
      </c>
      <c r="BU52" s="12">
        <f ca="1">'Balance sheet'!BU33</f>
        <v>25586</v>
      </c>
      <c r="BV52" s="12">
        <f ca="1">'Balance sheet'!BV33</f>
        <v>25586</v>
      </c>
      <c r="BW52" s="12">
        <f ca="1">'Balance sheet'!BW33</f>
        <v>25586</v>
      </c>
      <c r="BX52" s="12">
        <f ca="1">'Balance sheet'!BX33</f>
        <v>25586</v>
      </c>
      <c r="BY52" s="5">
        <f ca="1">'Balance sheet'!BY33</f>
        <v>25586</v>
      </c>
      <c r="BZ52" s="12">
        <f ca="1">'Balance sheet'!BZ33</f>
        <v>25586</v>
      </c>
      <c r="CA52" s="12">
        <f ca="1">'Balance sheet'!CA33</f>
        <v>25586</v>
      </c>
      <c r="CB52" s="12">
        <f ca="1">'Balance sheet'!CB33</f>
        <v>25586</v>
      </c>
      <c r="CC52" s="12">
        <f ca="1">'Balance sheet'!CC33</f>
        <v>25586</v>
      </c>
      <c r="CD52" s="5">
        <f ca="1">'Balance sheet'!CD33</f>
        <v>25586</v>
      </c>
    </row>
    <row r="53" spans="1:82" ht="12.75" customHeight="1">
      <c r="A53" s="4" t="s">
        <v>82</v>
      </c>
      <c r="B53" s="4"/>
      <c r="C53" s="200">
        <f t="shared" ref="C53:H53" si="61">C46</f>
        <v>7.7975440070971652E-2</v>
      </c>
      <c r="D53" s="200">
        <f t="shared" si="61"/>
        <v>5.2504317789291884E-2</v>
      </c>
      <c r="E53" s="200">
        <f t="shared" si="61"/>
        <v>3.2481447228926534E-2</v>
      </c>
      <c r="F53" s="200">
        <f t="shared" si="61"/>
        <v>1.9376431213669193E-2</v>
      </c>
      <c r="G53" s="200">
        <f t="shared" si="61"/>
        <v>2.9157692944879653E-2</v>
      </c>
      <c r="H53" s="199">
        <f t="shared" si="61"/>
        <v>4.0379482571813639E-2</v>
      </c>
      <c r="I53" s="199">
        <f t="shared" ref="I53:BT53" si="62">I46</f>
        <v>3.2240221256420384E-2</v>
      </c>
      <c r="J53" s="199">
        <f t="shared" si="62"/>
        <v>3.4437963269568758E-2</v>
      </c>
      <c r="K53" s="199">
        <f t="shared" si="62"/>
        <v>3.7287133665279769E-2</v>
      </c>
      <c r="L53" s="200">
        <f t="shared" si="62"/>
        <v>3.4674599648424675E-2</v>
      </c>
      <c r="M53" s="199">
        <f t="shared" si="62"/>
        <v>5.5469437345510915E-2</v>
      </c>
      <c r="N53" s="199">
        <f t="shared" si="62"/>
        <v>5.3409713154458534E-2</v>
      </c>
      <c r="O53" s="199">
        <f t="shared" si="62"/>
        <v>5.5021531051654117E-2</v>
      </c>
      <c r="P53" s="199">
        <f t="shared" si="62"/>
        <v>5.7985432581275538E-2</v>
      </c>
      <c r="Q53" s="200">
        <f t="shared" si="62"/>
        <v>5.3046660497564728E-2</v>
      </c>
      <c r="R53" s="199">
        <f t="shared" si="62"/>
        <v>5.331932497209272E-2</v>
      </c>
      <c r="S53" s="199">
        <f t="shared" si="62"/>
        <v>5.0749250749250747E-2</v>
      </c>
      <c r="T53" s="199">
        <f t="shared" si="62"/>
        <v>5.3480141565080616E-2</v>
      </c>
      <c r="U53" s="199">
        <f t="shared" si="62"/>
        <v>4.7996878251821022E-2</v>
      </c>
      <c r="V53" s="200">
        <f t="shared" si="62"/>
        <v>5.032907471931862E-2</v>
      </c>
      <c r="W53" s="199">
        <f t="shared" si="62"/>
        <v>3.7465759476893172E-2</v>
      </c>
      <c r="X53" s="199">
        <f t="shared" si="62"/>
        <v>3.0900222729707633E-2</v>
      </c>
      <c r="Y53" s="199">
        <f t="shared" si="62"/>
        <v>2.9232776976440691E-2</v>
      </c>
      <c r="Z53" s="199">
        <f t="shared" si="62"/>
        <v>2.8321766738782277E-2</v>
      </c>
      <c r="AA53" s="200">
        <f t="shared" si="62"/>
        <v>3.1527731622314821E-2</v>
      </c>
      <c r="AB53" s="199">
        <f t="shared" si="62"/>
        <v>2.8511530398322851E-2</v>
      </c>
      <c r="AC53" s="199">
        <f t="shared" si="62"/>
        <v>2.8693032375304864E-2</v>
      </c>
      <c r="AD53" s="199">
        <f t="shared" si="62"/>
        <v>3.4127467792910898E-2</v>
      </c>
      <c r="AE53" s="199">
        <f t="shared" si="62"/>
        <v>3.0850378010900778E-2</v>
      </c>
      <c r="AF53" s="200">
        <f t="shared" si="62"/>
        <v>2.9064588269393898E-2</v>
      </c>
      <c r="AG53" s="199">
        <f t="shared" si="62"/>
        <v>2.5270992448992839E-2</v>
      </c>
      <c r="AH53" s="199">
        <f t="shared" si="62"/>
        <v>2.5448974380798364E-2</v>
      </c>
      <c r="AI53" s="199">
        <f t="shared" si="62"/>
        <v>2.4649300771375567E-2</v>
      </c>
      <c r="AJ53" s="199">
        <f t="shared" si="62"/>
        <v>2.7978904085098774E-2</v>
      </c>
      <c r="AK53" s="200">
        <f t="shared" si="62"/>
        <v>2.6022671266633809E-2</v>
      </c>
      <c r="AL53" s="199">
        <f t="shared" si="62"/>
        <v>2.4436774257578599E-2</v>
      </c>
      <c r="AM53" s="199">
        <f t="shared" si="62"/>
        <v>2.2351591382314198E-2</v>
      </c>
      <c r="AN53" s="199">
        <f t="shared" si="62"/>
        <v>2.0922275400820766E-2</v>
      </c>
      <c r="AO53" s="199">
        <f t="shared" si="62"/>
        <v>2.558391401189284E-2</v>
      </c>
      <c r="AP53" s="200">
        <f t="shared" si="62"/>
        <v>2.3185513456402431E-2</v>
      </c>
      <c r="AQ53" s="199">
        <f t="shared" si="62"/>
        <v>2.2851861964672031E-2</v>
      </c>
      <c r="AR53" s="199">
        <f t="shared" si="62"/>
        <v>2.0724723010223198E-2</v>
      </c>
      <c r="AS53" s="199">
        <f t="shared" si="62"/>
        <v>2.2205316939778359E-2</v>
      </c>
      <c r="AT53" s="199">
        <f t="shared" si="62"/>
        <v>1.99033266988911E-2</v>
      </c>
      <c r="AU53" s="200">
        <f t="shared" si="62"/>
        <v>2.1403121236513851E-2</v>
      </c>
      <c r="AV53" s="199">
        <f t="shared" si="62"/>
        <v>2.1845210516457842E-2</v>
      </c>
      <c r="AW53" s="199">
        <f t="shared" si="62"/>
        <v>2.0196881917950167E-2</v>
      </c>
      <c r="AX53" s="199">
        <f>AX46</f>
        <v>2.0654174020804387E-2</v>
      </c>
      <c r="AY53" s="199">
        <f>AY46</f>
        <v>2.1791403666967239E-2</v>
      </c>
      <c r="AZ53" s="200">
        <f t="shared" si="62"/>
        <v>2.1091273912944342E-2</v>
      </c>
      <c r="BA53" s="199">
        <f>BA46</f>
        <v>1.9677171406610301E-2</v>
      </c>
      <c r="BB53" s="199">
        <f t="shared" si="62"/>
        <v>1.9575913266861148E-2</v>
      </c>
      <c r="BC53" s="199">
        <f>BC46</f>
        <v>1.9771371682575169E-2</v>
      </c>
      <c r="BD53" s="199">
        <f t="shared" si="62"/>
        <v>1.9100503739610936E-2</v>
      </c>
      <c r="BE53" s="200">
        <f>BE46</f>
        <v>1.9754398945474268E-2</v>
      </c>
      <c r="BF53" s="199">
        <f>BF46</f>
        <v>2.0227654413136779E-2</v>
      </c>
      <c r="BG53" s="199">
        <f>BG46</f>
        <v>2.1213971331978602E-2</v>
      </c>
      <c r="BH53" s="199">
        <f>BH46</f>
        <v>2.1617098427530422E-2</v>
      </c>
      <c r="BI53" s="199">
        <f>BI46</f>
        <v>2.1074707793038185E-2</v>
      </c>
      <c r="BJ53" s="200">
        <f t="shared" si="62"/>
        <v>2.0882696184177953E-2</v>
      </c>
      <c r="BK53" s="199">
        <f>BK46</f>
        <v>2.224220024639563E-2</v>
      </c>
      <c r="BL53" s="736">
        <f>BL46</f>
        <v>2.3454772661732192E-2</v>
      </c>
      <c r="BM53" s="736">
        <f>BM46</f>
        <v>2.4163741963536975E-2</v>
      </c>
      <c r="BN53" s="736">
        <f>BN46</f>
        <v>3.050831692684515E-2</v>
      </c>
      <c r="BO53" s="200">
        <f t="shared" si="62"/>
        <v>2.5125947586732991E-2</v>
      </c>
      <c r="BP53" s="199">
        <f t="shared" si="62"/>
        <v>2.5000000000000001E-2</v>
      </c>
      <c r="BQ53" s="199">
        <f t="shared" si="62"/>
        <v>2.5000000000000001E-2</v>
      </c>
      <c r="BR53" s="199">
        <f t="shared" si="62"/>
        <v>2.5000000000000001E-2</v>
      </c>
      <c r="BS53" s="199">
        <f t="shared" si="62"/>
        <v>2.5000000000000001E-2</v>
      </c>
      <c r="BT53" s="200">
        <f t="shared" ca="1" si="62"/>
        <v>2.510561603615899E-2</v>
      </c>
      <c r="BU53" s="199">
        <f t="shared" ref="BU53:CD53" si="63">BU46</f>
        <v>2.5000000000000001E-2</v>
      </c>
      <c r="BV53" s="199">
        <f t="shared" si="63"/>
        <v>2.5000000000000001E-2</v>
      </c>
      <c r="BW53" s="199">
        <f t="shared" si="63"/>
        <v>2.5000000000000001E-2</v>
      </c>
      <c r="BX53" s="199">
        <f t="shared" si="63"/>
        <v>2.5000000000000001E-2</v>
      </c>
      <c r="BY53" s="200">
        <f t="shared" ca="1" si="63"/>
        <v>2.5218765814211477E-2</v>
      </c>
      <c r="BZ53" s="199">
        <f t="shared" si="63"/>
        <v>2.5000000000000001E-2</v>
      </c>
      <c r="CA53" s="199">
        <f t="shared" si="63"/>
        <v>2.5000000000000001E-2</v>
      </c>
      <c r="CB53" s="199">
        <f t="shared" si="63"/>
        <v>2.5000000000000001E-2</v>
      </c>
      <c r="CC53" s="199">
        <f t="shared" si="63"/>
        <v>2.5000000000000001E-2</v>
      </c>
      <c r="CD53" s="200">
        <f t="shared" ca="1" si="63"/>
        <v>2.5308658226523766E-2</v>
      </c>
    </row>
    <row r="54" spans="1:82" ht="12.75" customHeight="1">
      <c r="A54" s="7" t="s">
        <v>909</v>
      </c>
      <c r="B54" s="4"/>
      <c r="C54" s="5">
        <f>C53*AVERAGE(B52:C52)</f>
        <v>140.97959564831675</v>
      </c>
      <c r="D54" s="5">
        <f>D53*AVERAGE(C52:D52)</f>
        <v>93.011398963730571</v>
      </c>
      <c r="E54" s="5">
        <f>E53*AVERAGE(D52:E52)</f>
        <v>61.568583222430249</v>
      </c>
      <c r="F54" s="5">
        <f>F53*AVERAGE(E52:F52)</f>
        <v>33.085256297340145</v>
      </c>
      <c r="G54" s="5">
        <f>G53*AVERAGE(F52:G52)</f>
        <v>62.966037914467613</v>
      </c>
      <c r="H54" s="19">
        <f>H53*AVERAGE(G52:H52)/4</f>
        <v>29.774820961391082</v>
      </c>
      <c r="I54" s="19">
        <f>I53*AVERAGE(H52:I52)/4</f>
        <v>31.397945476096403</v>
      </c>
      <c r="J54" s="19">
        <f>J53*AVERAGE(I52:J52)/4</f>
        <v>34.657505285412256</v>
      </c>
      <c r="K54" s="19">
        <f>K53*AVERAGE(J52:K52)/4</f>
        <v>26.981902098538072</v>
      </c>
      <c r="L54" s="8">
        <f>SUM(H54:K54)</f>
        <v>122.81217382143781</v>
      </c>
      <c r="M54" s="19">
        <f>M53*AVERAGE(L52:M52)/4</f>
        <v>31.520507771586576</v>
      </c>
      <c r="N54" s="19">
        <f>N53*AVERAGE(M52:N52)/4</f>
        <v>30.70390884966935</v>
      </c>
      <c r="O54" s="19">
        <f>O53*AVERAGE(N52:O52)/4</f>
        <v>34.75297455050103</v>
      </c>
      <c r="P54" s="19">
        <f>P53*AVERAGE(O52:P52)/4</f>
        <v>43.286125421922186</v>
      </c>
      <c r="Q54" s="8">
        <f>SUM(M54:P54)</f>
        <v>140.26351659367913</v>
      </c>
      <c r="R54" s="19">
        <f>R53*AVERAGE(Q52:R52)/4</f>
        <v>55.865322739510148</v>
      </c>
      <c r="S54" s="19">
        <f>S53*AVERAGE(R52:S52)/4</f>
        <v>53.369180819180819</v>
      </c>
      <c r="T54" s="19">
        <f>T53*AVERAGE(S52:T52)/4</f>
        <v>65.078647267007469</v>
      </c>
      <c r="U54" s="19">
        <f>U53*AVERAGE(T52:U52)/4</f>
        <v>86.028404656607705</v>
      </c>
      <c r="V54" s="8">
        <f>SUM(R54:U54)</f>
        <v>260.34155548230615</v>
      </c>
      <c r="W54" s="19">
        <f>W53*AVERAGE(V52:W52)/4</f>
        <v>77.540072457365028</v>
      </c>
      <c r="X54" s="19">
        <f>X53*AVERAGE(W52:X52)/4</f>
        <v>66.895119681975814</v>
      </c>
      <c r="Y54" s="19">
        <f>Y53*AVERAGE(X52:Y52)/4</f>
        <v>68.850497973761932</v>
      </c>
      <c r="Z54" s="19">
        <f>Z53*AVERAGE(Y52:Z52)/4</f>
        <v>64.509904189261334</v>
      </c>
      <c r="AA54" s="8">
        <f>SUM(W54:Z54)</f>
        <v>277.79559430236407</v>
      </c>
      <c r="AB54" s="19">
        <f>AB53*AVERAGE(AA52:AB52)/4</f>
        <v>54.100628930817606</v>
      </c>
      <c r="AC54" s="19">
        <f>AC53*AVERAGE(AB52:AC52)/4</f>
        <v>50.754387642867393</v>
      </c>
      <c r="AD54" s="19">
        <f>AD53*AVERAGE(AC52:AD52)/4</f>
        <v>85.800719964852107</v>
      </c>
      <c r="AE54" s="19">
        <f>AE53*AVERAGE(AD52:AE52)/4</f>
        <v>120.92962550547969</v>
      </c>
      <c r="AF54" s="8">
        <f>SUM(AB54:AE54)</f>
        <v>311.58536204401679</v>
      </c>
      <c r="AG54" s="19">
        <f>AG53*AVERAGE(AF52:AG52)/4</f>
        <v>117.76914256041887</v>
      </c>
      <c r="AH54" s="19">
        <f>AH53*AVERAGE(AG52:AH52)/4</f>
        <v>119.21253936505234</v>
      </c>
      <c r="AI54" s="19">
        <f>AI53*AVERAGE(AH52:AI52)/4</f>
        <v>113.22040076812083</v>
      </c>
      <c r="AJ54" s="19">
        <f>AJ53*AVERAGE(AI52:AJ52)/4</f>
        <v>112.13944757307588</v>
      </c>
      <c r="AK54" s="8">
        <f>SUM(AG54:AJ54)</f>
        <v>462.34153026666792</v>
      </c>
      <c r="AL54" s="19">
        <f>AL53*AVERAGE(AK52:AL52)/4</f>
        <v>86.014390789894463</v>
      </c>
      <c r="AM54" s="19">
        <f>AM53*AVERAGE(AL52:AM52)/4</f>
        <v>80.949082139973655</v>
      </c>
      <c r="AN54" s="19">
        <f>AN53*AVERAGE(AM52:AN52)/4</f>
        <v>80.869824993022462</v>
      </c>
      <c r="AO54" s="19">
        <f>AO53*AVERAGE(AN52:AO52)/4</f>
        <v>113.81323947115679</v>
      </c>
      <c r="AP54" s="8">
        <f>SUM(AL54:AO54)</f>
        <v>361.64653739404736</v>
      </c>
      <c r="AQ54" s="19">
        <f>AQ53*AVERAGE(AP52:AQ52)/4</f>
        <v>134.90311062569575</v>
      </c>
      <c r="AR54" s="19">
        <f>AR53*AVERAGE(AQ52:AR52)/4</f>
        <v>145.05233634855216</v>
      </c>
      <c r="AS54" s="19">
        <f>AS53*AVERAGE(AR52:AS52)/4</f>
        <v>160.4667228653083</v>
      </c>
      <c r="AT54" s="19">
        <f>AT53*AVERAGE(AS52:AT52)/4</f>
        <v>129.41889394370202</v>
      </c>
      <c r="AU54" s="8">
        <f>SUM(AQ54:AT54)</f>
        <v>569.84106378325828</v>
      </c>
      <c r="AV54" s="19">
        <f>AV53*AVERAGE(AU52:AV52)/4</f>
        <v>136.19942626748553</v>
      </c>
      <c r="AW54" s="19">
        <f>AW53*AVERAGE(AV52:AW52)/4</f>
        <v>138.51021619330226</v>
      </c>
      <c r="AX54" s="19">
        <f>AX53*AVERAGE(AW52:AX52)/4</f>
        <v>150.34947801269294</v>
      </c>
      <c r="AY54" s="19">
        <f>AY53*AVERAGE(AX52:AY52)/4</f>
        <v>164.77569882777277</v>
      </c>
      <c r="AZ54" s="8">
        <f>SUM(AV54:AY54)</f>
        <v>589.83481930125345</v>
      </c>
      <c r="BA54" s="19">
        <f>BA53*AVERAGE(AZ52:BA52)/4</f>
        <v>152.98262874711762</v>
      </c>
      <c r="BB54" s="19">
        <f>BB53*AVERAGE(BA52:BB52)/4</f>
        <v>159.11057604388904</v>
      </c>
      <c r="BC54" s="19">
        <f>BC53*AVERAGE(BB52:BC52)/4</f>
        <v>158.89015710555503</v>
      </c>
      <c r="BD54" s="19">
        <f>BD53*AVERAGE(BC52:BD52)/4</f>
        <v>138.69592034221736</v>
      </c>
      <c r="BE54" s="8">
        <f>SUM(BA54:BD54)</f>
        <v>609.67928223877902</v>
      </c>
      <c r="BF54" s="19">
        <f>BF53*AVERAGE(BE52:BF52)/4</f>
        <v>125.00184735958202</v>
      </c>
      <c r="BG54" s="19">
        <f>BG53*AVERAGE(BF52:BG52)/4</f>
        <v>123.48122363061445</v>
      </c>
      <c r="BH54" s="19">
        <f>BH53*AVERAGE(BG52:BH52)/4</f>
        <v>132.50470694885115</v>
      </c>
      <c r="BI54" s="19">
        <f>BI53*AVERAGE(BH52:BI52)/4</f>
        <v>129.09312258625539</v>
      </c>
      <c r="BJ54" s="8">
        <f>SUM(BF54:BI54)</f>
        <v>510.08090052530304</v>
      </c>
      <c r="BK54" s="19">
        <f>BK53*AVERAGE(BJ52:BK52)/4</f>
        <v>131.44584290613656</v>
      </c>
      <c r="BL54" s="180">
        <f>BL53*AVERAGE(BK52:BL52)/4</f>
        <v>137.98442756897049</v>
      </c>
      <c r="BM54" s="180">
        <f>BM53*AVERAGE(BL52:BM52)/4</f>
        <v>148.15394291393608</v>
      </c>
      <c r="BN54" s="180">
        <f>BN53*AVERAGE(BM52:BN52)/4</f>
        <v>195.886275908041</v>
      </c>
      <c r="BO54" s="8">
        <f>SUM(BK54:BN54)</f>
        <v>613.4704892970841</v>
      </c>
      <c r="BP54" s="19">
        <f ca="1">BP53*AVERAGE(BO52:BP52)/4</f>
        <v>159.91250000000002</v>
      </c>
      <c r="BQ54" s="19">
        <f ca="1">BQ53*AVERAGE(BP52:BQ52)/4</f>
        <v>159.91250000000002</v>
      </c>
      <c r="BR54" s="19">
        <f ca="1">BR53*AVERAGE(BQ52:BR52)/4</f>
        <v>159.91250000000002</v>
      </c>
      <c r="BS54" s="19">
        <f ca="1">BS53*AVERAGE(BR52:BS52)/4</f>
        <v>159.91250000000002</v>
      </c>
      <c r="BT54" s="8">
        <f ca="1">SUM(BP54:BS54)</f>
        <v>639.65000000000009</v>
      </c>
      <c r="BU54" s="19">
        <f ca="1">BU53*AVERAGE(BT52:BU52)/4</f>
        <v>159.91250000000002</v>
      </c>
      <c r="BV54" s="19">
        <f ca="1">BV53*AVERAGE(BU52:BV52)/4</f>
        <v>159.91250000000002</v>
      </c>
      <c r="BW54" s="19">
        <f ca="1">BW53*AVERAGE(BV52:BW52)/4</f>
        <v>159.91250000000002</v>
      </c>
      <c r="BX54" s="19">
        <f ca="1">BX53*AVERAGE(BW52:BX52)/4</f>
        <v>159.91250000000002</v>
      </c>
      <c r="BY54" s="8">
        <f ca="1">SUM(BU54:BX54)</f>
        <v>639.65000000000009</v>
      </c>
      <c r="BZ54" s="19">
        <f ca="1">BZ53*AVERAGE(BY52:BZ52)/4</f>
        <v>159.91250000000002</v>
      </c>
      <c r="CA54" s="19">
        <f ca="1">CA53*AVERAGE(BZ52:CA52)/4</f>
        <v>159.91250000000002</v>
      </c>
      <c r="CB54" s="19">
        <f ca="1">CB53*AVERAGE(CA52:CB52)/4</f>
        <v>159.91250000000002</v>
      </c>
      <c r="CC54" s="19">
        <f ca="1">CC53*AVERAGE(CB52:CC52)/4</f>
        <v>159.91250000000002</v>
      </c>
      <c r="CD54" s="8">
        <f ca="1">SUM(BZ54:CC54)</f>
        <v>639.65000000000009</v>
      </c>
    </row>
    <row r="55" spans="1:82" ht="12.75" customHeight="1">
      <c r="A55" s="164"/>
      <c r="B55" s="164"/>
      <c r="C55" s="165"/>
      <c r="D55" s="165"/>
      <c r="E55" s="165"/>
      <c r="F55" s="165"/>
      <c r="G55" s="165"/>
      <c r="H55" s="165"/>
      <c r="I55" s="165"/>
      <c r="J55" s="165"/>
      <c r="K55" s="165"/>
      <c r="L55" s="165"/>
      <c r="M55" s="165"/>
      <c r="N55" s="165"/>
      <c r="O55" s="165"/>
      <c r="P55" s="165"/>
      <c r="Q55" s="165"/>
      <c r="R55" s="165"/>
      <c r="S55" s="165"/>
      <c r="T55" s="165"/>
      <c r="U55" s="165"/>
      <c r="V55" s="165"/>
      <c r="W55" s="165"/>
      <c r="X55" s="165"/>
      <c r="Y55" s="165"/>
      <c r="Z55" s="165"/>
      <c r="AA55" s="165"/>
      <c r="AB55" s="165"/>
      <c r="AC55" s="165"/>
      <c r="AD55" s="165"/>
      <c r="AE55" s="165"/>
      <c r="AF55" s="165"/>
      <c r="AG55" s="165"/>
      <c r="AH55" s="165"/>
      <c r="AI55" s="165"/>
      <c r="AJ55" s="165"/>
      <c r="AK55" s="165"/>
      <c r="AL55" s="165"/>
      <c r="AM55" s="165"/>
      <c r="AN55" s="165"/>
      <c r="AO55" s="165"/>
      <c r="AP55" s="165"/>
      <c r="AQ55" s="165"/>
      <c r="AR55" s="165"/>
      <c r="AS55" s="165"/>
      <c r="AT55" s="165"/>
      <c r="AU55" s="165"/>
      <c r="AV55" s="165"/>
      <c r="AW55" s="165"/>
      <c r="AX55" s="165"/>
      <c r="AY55" s="165"/>
      <c r="AZ55" s="165"/>
      <c r="BA55" s="165"/>
      <c r="BB55" s="165"/>
      <c r="BC55" s="165"/>
      <c r="BD55" s="165"/>
      <c r="BE55" s="165"/>
      <c r="BF55" s="165"/>
      <c r="BG55" s="165"/>
      <c r="BH55" s="165"/>
      <c r="BI55" s="165"/>
      <c r="BJ55" s="165"/>
      <c r="BK55" s="165"/>
      <c r="BL55" s="247"/>
      <c r="BM55" s="247"/>
      <c r="BN55" s="247"/>
      <c r="BO55" s="165"/>
      <c r="BP55" s="165"/>
      <c r="BQ55" s="165"/>
      <c r="BR55" s="165"/>
      <c r="BS55" s="165"/>
      <c r="BT55" s="165"/>
      <c r="BU55" s="165"/>
      <c r="BV55" s="165"/>
      <c r="BW55" s="165"/>
      <c r="BX55" s="165"/>
      <c r="BY55" s="165"/>
      <c r="BZ55" s="165"/>
      <c r="CA55" s="165"/>
      <c r="CB55" s="165"/>
      <c r="CC55" s="165"/>
      <c r="CD55" s="165"/>
    </row>
    <row r="56" spans="1:82" ht="12.75" customHeight="1">
      <c r="A56" s="4" t="s">
        <v>928</v>
      </c>
      <c r="B56" s="4"/>
      <c r="C56" s="165">
        <f t="shared" ref="C56:K56" si="64">C57-C54</f>
        <v>553.02040435168328</v>
      </c>
      <c r="D56" s="165">
        <f t="shared" si="64"/>
        <v>547.98860103626942</v>
      </c>
      <c r="E56" s="165">
        <f t="shared" si="64"/>
        <v>684.43141677756978</v>
      </c>
      <c r="F56" s="165">
        <f t="shared" si="64"/>
        <v>581.91474370265985</v>
      </c>
      <c r="G56" s="165">
        <f t="shared" si="64"/>
        <v>550.03396208553238</v>
      </c>
      <c r="H56" s="194">
        <f t="shared" si="64"/>
        <v>168.22517903860893</v>
      </c>
      <c r="I56" s="194">
        <f t="shared" si="64"/>
        <v>74.602054523903604</v>
      </c>
      <c r="J56" s="194">
        <f t="shared" si="64"/>
        <v>185.34249471458776</v>
      </c>
      <c r="K56" s="194">
        <f t="shared" si="64"/>
        <v>150.01809790146194</v>
      </c>
      <c r="L56" s="165">
        <f>L57-L54</f>
        <v>578.1878261785622</v>
      </c>
      <c r="M56" s="194">
        <f t="shared" ref="M56:AM56" si="65">M57-M54</f>
        <v>201.47949222841342</v>
      </c>
      <c r="N56" s="194">
        <f t="shared" si="65"/>
        <v>97.296091150330653</v>
      </c>
      <c r="O56" s="194">
        <f t="shared" si="65"/>
        <v>137.24702544949898</v>
      </c>
      <c r="P56" s="194">
        <f t="shared" si="65"/>
        <v>177.71387457807782</v>
      </c>
      <c r="Q56" s="165">
        <f t="shared" si="65"/>
        <v>613.73648340632087</v>
      </c>
      <c r="R56" s="194">
        <f t="shared" si="65"/>
        <v>222.13467726048987</v>
      </c>
      <c r="S56" s="194">
        <f t="shared" si="65"/>
        <v>99.630819180819174</v>
      </c>
      <c r="T56" s="194">
        <f t="shared" si="65"/>
        <v>69.921352732992531</v>
      </c>
      <c r="U56" s="194">
        <f t="shared" si="65"/>
        <v>83.971595343392295</v>
      </c>
      <c r="V56" s="165">
        <f t="shared" si="65"/>
        <v>475.65844451769385</v>
      </c>
      <c r="W56" s="194">
        <f t="shared" si="65"/>
        <v>125.45992754263497</v>
      </c>
      <c r="X56" s="194">
        <f t="shared" si="65"/>
        <v>124.10488031802419</v>
      </c>
      <c r="Y56" s="194">
        <f t="shared" si="65"/>
        <v>88.149502026238068</v>
      </c>
      <c r="Z56" s="194">
        <f t="shared" si="65"/>
        <v>176.49009581073867</v>
      </c>
      <c r="AA56" s="165">
        <f t="shared" si="65"/>
        <v>514.20440569763593</v>
      </c>
      <c r="AB56" s="194">
        <f t="shared" si="65"/>
        <v>87.899371069182394</v>
      </c>
      <c r="AC56" s="194">
        <f t="shared" si="65"/>
        <v>107.24561235713261</v>
      </c>
      <c r="AD56" s="194">
        <f t="shared" si="65"/>
        <v>121.19928003514789</v>
      </c>
      <c r="AE56" s="194">
        <f t="shared" si="65"/>
        <v>53.070374494520308</v>
      </c>
      <c r="AF56" s="165">
        <f t="shared" si="65"/>
        <v>369.41463795598321</v>
      </c>
      <c r="AG56" s="194">
        <f t="shared" si="65"/>
        <v>6.2308574395811291</v>
      </c>
      <c r="AH56" s="194">
        <f t="shared" si="65"/>
        <v>31.787460634947664</v>
      </c>
      <c r="AI56" s="194">
        <f t="shared" si="65"/>
        <v>37.779599231879175</v>
      </c>
      <c r="AJ56" s="194">
        <f t="shared" si="65"/>
        <v>57.860552426924116</v>
      </c>
      <c r="AK56" s="5">
        <f>SUM(AG56:AJ56)</f>
        <v>133.65846973333208</v>
      </c>
      <c r="AL56" s="194">
        <f t="shared" si="65"/>
        <v>88.985609210105537</v>
      </c>
      <c r="AM56" s="194">
        <f t="shared" si="65"/>
        <v>95.050917860026345</v>
      </c>
      <c r="AN56" s="194">
        <f>AN57-AN54</f>
        <v>56.130175006977538</v>
      </c>
      <c r="AO56" s="194">
        <f>AO57-AO54</f>
        <v>988.18676052884325</v>
      </c>
      <c r="AP56" s="5">
        <f>SUM(AL56:AO56)</f>
        <v>1228.3534626059527</v>
      </c>
      <c r="AQ56" s="194">
        <f>AQ57-AQ54</f>
        <v>22.096889374304254</v>
      </c>
      <c r="AR56" s="194">
        <f>AR57-AR54</f>
        <v>61.94766365144784</v>
      </c>
      <c r="AS56" s="194">
        <f>AS57-AS54</f>
        <v>17.533277134691701</v>
      </c>
      <c r="AT56" s="194">
        <f>AT57-AT54</f>
        <v>105.58110605629798</v>
      </c>
      <c r="AU56" s="5">
        <f>SUM(AQ56:AT56)</f>
        <v>207.15893621674178</v>
      </c>
      <c r="AV56" s="194">
        <f>AV57-AV54</f>
        <v>194.80057373251447</v>
      </c>
      <c r="AW56" s="194">
        <f>AW57-AW54</f>
        <v>18.489783806697744</v>
      </c>
      <c r="AX56" s="194">
        <f>AX57-AX54</f>
        <v>-33.349478012692941</v>
      </c>
      <c r="AY56" s="194">
        <f>AY57-AY54</f>
        <v>73.224301172227229</v>
      </c>
      <c r="AZ56" s="5">
        <f>SUM(AV56:AY56)</f>
        <v>253.1651806987465</v>
      </c>
      <c r="BA56" s="194">
        <f>BA57-BA54</f>
        <v>-32.982628747117616</v>
      </c>
      <c r="BB56" s="194">
        <f>BB57-BB54</f>
        <v>35.88942395611096</v>
      </c>
      <c r="BC56" s="194">
        <f>BC57-BC54</f>
        <v>-7.8901571055550335</v>
      </c>
      <c r="BD56" s="194">
        <f>BD57-BD54</f>
        <v>6.304079657782637</v>
      </c>
      <c r="BE56" s="5">
        <f>SUM(BA56:BD56)</f>
        <v>1.3207177612209478</v>
      </c>
      <c r="BF56" s="194">
        <f>BF57-BF54</f>
        <v>19.998152640417985</v>
      </c>
      <c r="BG56" s="194">
        <f>BG57-BG54</f>
        <v>-22.481223630614451</v>
      </c>
      <c r="BH56" s="194">
        <f>BH57-BH54</f>
        <v>13.495293051148849</v>
      </c>
      <c r="BI56" s="194">
        <f>BI57-BI54</f>
        <v>-15.09312258625539</v>
      </c>
      <c r="BJ56" s="5">
        <f>SUM(BF56:BI56)</f>
        <v>-4.080900525303008</v>
      </c>
      <c r="BK56" s="194">
        <f>BK57-BK54</f>
        <v>-9.4458429061365621</v>
      </c>
      <c r="BL56" s="734">
        <f>BL57-BL54</f>
        <v>-10.984427568970489</v>
      </c>
      <c r="BM56" s="734">
        <f>BM57-BM54</f>
        <v>36.846057086063922</v>
      </c>
      <c r="BN56" s="734">
        <f>BN57-BN54</f>
        <v>27.113724091959</v>
      </c>
      <c r="BO56" s="5">
        <f>SUM(BK56:BN56)</f>
        <v>43.529510702915871</v>
      </c>
      <c r="BP56" s="240">
        <v>0</v>
      </c>
      <c r="BQ56" s="240">
        <v>0</v>
      </c>
      <c r="BR56" s="240">
        <v>0</v>
      </c>
      <c r="BS56" s="240">
        <v>0</v>
      </c>
      <c r="BT56" s="5">
        <f t="shared" ref="BT56" si="66">SUM(BP56:BS56)</f>
        <v>0</v>
      </c>
      <c r="BU56" s="240">
        <v>0</v>
      </c>
      <c r="BV56" s="240">
        <v>0</v>
      </c>
      <c r="BW56" s="240">
        <v>0</v>
      </c>
      <c r="BX56" s="240">
        <v>0</v>
      </c>
      <c r="BY56" s="5">
        <f t="shared" ref="BY56" si="67">SUM(BU56:BX56)</f>
        <v>0</v>
      </c>
      <c r="BZ56" s="240">
        <v>0</v>
      </c>
      <c r="CA56" s="240">
        <v>0</v>
      </c>
      <c r="CB56" s="240">
        <v>0</v>
      </c>
      <c r="CC56" s="240">
        <v>0</v>
      </c>
      <c r="CD56" s="5">
        <f t="shared" ref="CD56" si="68">SUM(BZ56:CC56)</f>
        <v>0</v>
      </c>
    </row>
    <row r="57" spans="1:82" ht="12.75" customHeight="1">
      <c r="A57" s="7" t="s">
        <v>394</v>
      </c>
      <c r="B57" s="7"/>
      <c r="C57" s="171">
        <f>'Income statement'!C13</f>
        <v>694</v>
      </c>
      <c r="D57" s="171">
        <f>'Income statement'!D13</f>
        <v>641</v>
      </c>
      <c r="E57" s="171">
        <f>'Income statement'!E13</f>
        <v>746</v>
      </c>
      <c r="F57" s="171">
        <f>'Income statement'!F13</f>
        <v>615</v>
      </c>
      <c r="G57" s="171">
        <f>'Income statement'!G13</f>
        <v>613</v>
      </c>
      <c r="H57" s="216">
        <f>'Income statement'!H13</f>
        <v>198</v>
      </c>
      <c r="I57" s="216">
        <f>'Income statement'!I13</f>
        <v>106</v>
      </c>
      <c r="J57" s="216">
        <f>'Income statement'!J13</f>
        <v>220</v>
      </c>
      <c r="K57" s="216">
        <f>'Income statement'!K13</f>
        <v>177</v>
      </c>
      <c r="L57" s="171">
        <f>'Income statement'!L13</f>
        <v>701</v>
      </c>
      <c r="M57" s="216">
        <f>'Income statement'!M13</f>
        <v>233</v>
      </c>
      <c r="N57" s="216">
        <f>'Income statement'!N13</f>
        <v>128</v>
      </c>
      <c r="O57" s="216">
        <f>'Income statement'!O13</f>
        <v>172</v>
      </c>
      <c r="P57" s="216">
        <f>'Income statement'!P13</f>
        <v>221</v>
      </c>
      <c r="Q57" s="171">
        <f>'Income statement'!Q13</f>
        <v>754</v>
      </c>
      <c r="R57" s="216">
        <f>'Income statement'!R13</f>
        <v>278</v>
      </c>
      <c r="S57" s="216">
        <f>'Income statement'!S13</f>
        <v>153</v>
      </c>
      <c r="T57" s="216">
        <f>'Income statement'!T13</f>
        <v>135</v>
      </c>
      <c r="U57" s="216">
        <f>'Income statement'!U13</f>
        <v>170</v>
      </c>
      <c r="V57" s="171">
        <f>'Income statement'!V13</f>
        <v>736</v>
      </c>
      <c r="W57" s="216">
        <f>'Income statement'!W13</f>
        <v>203</v>
      </c>
      <c r="X57" s="216">
        <f>'Income statement'!X13</f>
        <v>191</v>
      </c>
      <c r="Y57" s="216">
        <f>'Income statement'!Y13</f>
        <v>157</v>
      </c>
      <c r="Z57" s="216">
        <f>'Income statement'!Z13</f>
        <v>241</v>
      </c>
      <c r="AA57" s="171">
        <f>'Income statement'!AA13</f>
        <v>792</v>
      </c>
      <c r="AB57" s="216">
        <f>'Income statement'!AB13</f>
        <v>142</v>
      </c>
      <c r="AC57" s="216">
        <f>'Income statement'!AC13</f>
        <v>158</v>
      </c>
      <c r="AD57" s="216">
        <f>'Income statement'!AD13</f>
        <v>207</v>
      </c>
      <c r="AE57" s="216">
        <f>'Income statement'!AE13</f>
        <v>174</v>
      </c>
      <c r="AF57" s="171">
        <f>'Income statement'!AF13</f>
        <v>681</v>
      </c>
      <c r="AG57" s="216">
        <f>'Income statement'!AG13</f>
        <v>124</v>
      </c>
      <c r="AH57" s="216">
        <f>'Income statement'!AH13</f>
        <v>151</v>
      </c>
      <c r="AI57" s="216">
        <f>'Income statement'!AI13</f>
        <v>151</v>
      </c>
      <c r="AJ57" s="216">
        <f>'Income statement'!AJ13</f>
        <v>170</v>
      </c>
      <c r="AK57" s="171">
        <f t="shared" ref="AK57:CD57" si="69">AK54+AK56</f>
        <v>596</v>
      </c>
      <c r="AL57" s="216">
        <f>'Income statement'!AL13</f>
        <v>175</v>
      </c>
      <c r="AM57" s="216">
        <f>'Income statement'!AM13</f>
        <v>176</v>
      </c>
      <c r="AN57" s="216">
        <f>'Income statement'!AN13</f>
        <v>137</v>
      </c>
      <c r="AO57" s="216">
        <f>'Income statement'!AO13</f>
        <v>1102</v>
      </c>
      <c r="AP57" s="171">
        <f t="shared" si="69"/>
        <v>1590</v>
      </c>
      <c r="AQ57" s="216">
        <f>'Income statement'!AQ13</f>
        <v>157</v>
      </c>
      <c r="AR57" s="216">
        <f>'Income statement'!AR13</f>
        <v>207</v>
      </c>
      <c r="AS57" s="216">
        <f>'Income statement'!AS13</f>
        <v>178</v>
      </c>
      <c r="AT57" s="216">
        <f>'Income statement'!AT13</f>
        <v>235</v>
      </c>
      <c r="AU57" s="171">
        <f t="shared" si="69"/>
        <v>777</v>
      </c>
      <c r="AV57" s="216">
        <f>'Income statement'!AV13</f>
        <v>331</v>
      </c>
      <c r="AW57" s="216">
        <f>'Income statement'!AW13</f>
        <v>157</v>
      </c>
      <c r="AX57" s="216">
        <f>'Income statement'!AX13</f>
        <v>117</v>
      </c>
      <c r="AY57" s="216">
        <f>'Income statement'!AY13</f>
        <v>238</v>
      </c>
      <c r="AZ57" s="171">
        <f t="shared" si="69"/>
        <v>843</v>
      </c>
      <c r="BA57" s="216">
        <f>'Income statement'!BA13</f>
        <v>120</v>
      </c>
      <c r="BB57" s="216">
        <f>'Income statement'!BB13</f>
        <v>195</v>
      </c>
      <c r="BC57" s="216">
        <f>'Income statement'!BC13</f>
        <v>151</v>
      </c>
      <c r="BD57" s="216">
        <f>'Income statement'!BD13</f>
        <v>145</v>
      </c>
      <c r="BE57" s="171">
        <f>BE54+BE56</f>
        <v>611</v>
      </c>
      <c r="BF57" s="216">
        <f>'Income statement'!BF13</f>
        <v>145</v>
      </c>
      <c r="BG57" s="216">
        <f>'Income statement'!BG13</f>
        <v>101</v>
      </c>
      <c r="BH57" s="216">
        <f>'Income statement'!BH13</f>
        <v>146</v>
      </c>
      <c r="BI57" s="216">
        <f>'Income statement'!BI13</f>
        <v>114</v>
      </c>
      <c r="BJ57" s="171">
        <f t="shared" si="69"/>
        <v>506</v>
      </c>
      <c r="BK57" s="216">
        <f>'Income statement'!BK13</f>
        <v>122</v>
      </c>
      <c r="BL57" s="737">
        <f>'Income statement'!BL13</f>
        <v>127</v>
      </c>
      <c r="BM57" s="737">
        <f>'Income statement'!BM13</f>
        <v>185</v>
      </c>
      <c r="BN57" s="737">
        <f>'Income statement'!BN13</f>
        <v>223</v>
      </c>
      <c r="BO57" s="171">
        <f t="shared" si="69"/>
        <v>657</v>
      </c>
      <c r="BP57" s="216">
        <f t="shared" ca="1" si="69"/>
        <v>159.91250000000002</v>
      </c>
      <c r="BQ57" s="216">
        <f t="shared" ca="1" si="69"/>
        <v>159.91250000000002</v>
      </c>
      <c r="BR57" s="216">
        <f t="shared" ca="1" si="69"/>
        <v>159.91250000000002</v>
      </c>
      <c r="BS57" s="216">
        <f t="shared" ca="1" si="69"/>
        <v>159.91250000000002</v>
      </c>
      <c r="BT57" s="171">
        <f t="shared" ca="1" si="69"/>
        <v>639.65000000000009</v>
      </c>
      <c r="BU57" s="216">
        <f t="shared" ca="1" si="69"/>
        <v>159.91250000000002</v>
      </c>
      <c r="BV57" s="216">
        <f t="shared" ca="1" si="69"/>
        <v>159.91250000000002</v>
      </c>
      <c r="BW57" s="216">
        <f t="shared" ca="1" si="69"/>
        <v>159.91250000000002</v>
      </c>
      <c r="BX57" s="216">
        <f t="shared" ca="1" si="69"/>
        <v>159.91250000000002</v>
      </c>
      <c r="BY57" s="171">
        <f t="shared" ca="1" si="69"/>
        <v>639.65000000000009</v>
      </c>
      <c r="BZ57" s="216">
        <f t="shared" ca="1" si="69"/>
        <v>159.91250000000002</v>
      </c>
      <c r="CA57" s="216">
        <f t="shared" ca="1" si="69"/>
        <v>159.91250000000002</v>
      </c>
      <c r="CB57" s="216">
        <f t="shared" ca="1" si="69"/>
        <v>159.91250000000002</v>
      </c>
      <c r="CC57" s="216">
        <f t="shared" ca="1" si="69"/>
        <v>159.91250000000002</v>
      </c>
      <c r="CD57" s="171">
        <f t="shared" ca="1" si="69"/>
        <v>639.65000000000009</v>
      </c>
    </row>
    <row r="61" spans="1:82" ht="12.75" customHeight="1">
      <c r="A61" s="9" t="s">
        <v>3518</v>
      </c>
      <c r="B61" s="4"/>
      <c r="C61" s="11"/>
      <c r="D61" s="48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  <c r="BU61" s="11"/>
      <c r="BV61" s="11"/>
      <c r="BW61" s="11"/>
      <c r="BX61" s="11"/>
      <c r="BY61" s="11"/>
      <c r="BZ61" s="11"/>
      <c r="CA61" s="11"/>
      <c r="CB61" s="11"/>
      <c r="CC61" s="11"/>
      <c r="CD61" s="11"/>
    </row>
    <row r="62" spans="1:82" ht="12.75" customHeight="1">
      <c r="A62" s="190"/>
      <c r="B62" s="190"/>
      <c r="C62" s="191">
        <v>2001</v>
      </c>
      <c r="D62" s="192">
        <v>2002</v>
      </c>
      <c r="E62" s="192">
        <v>2003</v>
      </c>
      <c r="F62" s="192">
        <v>2004</v>
      </c>
      <c r="G62" s="191">
        <v>2005</v>
      </c>
      <c r="H62" s="193" t="s">
        <v>714</v>
      </c>
      <c r="I62" s="193" t="s">
        <v>715</v>
      </c>
      <c r="J62" s="193" t="s">
        <v>716</v>
      </c>
      <c r="K62" s="193" t="s">
        <v>717</v>
      </c>
      <c r="L62" s="191">
        <v>2006</v>
      </c>
      <c r="M62" s="193" t="s">
        <v>718</v>
      </c>
      <c r="N62" s="193" t="s">
        <v>719</v>
      </c>
      <c r="O62" s="193" t="s">
        <v>1970</v>
      </c>
      <c r="P62" s="193" t="s">
        <v>1971</v>
      </c>
      <c r="Q62" s="191">
        <v>2007</v>
      </c>
      <c r="R62" s="193" t="s">
        <v>1972</v>
      </c>
      <c r="S62" s="193" t="s">
        <v>1973</v>
      </c>
      <c r="T62" s="193" t="s">
        <v>1974</v>
      </c>
      <c r="U62" s="193" t="s">
        <v>1975</v>
      </c>
      <c r="V62" s="191">
        <v>2008</v>
      </c>
      <c r="W62" s="193" t="s">
        <v>1976</v>
      </c>
      <c r="X62" s="193" t="s">
        <v>1977</v>
      </c>
      <c r="Y62" s="193" t="s">
        <v>1978</v>
      </c>
      <c r="Z62" s="193" t="s">
        <v>1979</v>
      </c>
      <c r="AA62" s="191">
        <v>2009</v>
      </c>
      <c r="AB62" s="193" t="s">
        <v>1980</v>
      </c>
      <c r="AC62" s="193" t="s">
        <v>1981</v>
      </c>
      <c r="AD62" s="193" t="s">
        <v>1982</v>
      </c>
      <c r="AE62" s="193" t="s">
        <v>2392</v>
      </c>
      <c r="AF62" s="191">
        <v>2010</v>
      </c>
      <c r="AG62" s="193" t="s">
        <v>2393</v>
      </c>
      <c r="AH62" s="193" t="s">
        <v>2394</v>
      </c>
      <c r="AI62" s="193" t="s">
        <v>2395</v>
      </c>
      <c r="AJ62" s="193" t="s">
        <v>2396</v>
      </c>
      <c r="AK62" s="191">
        <v>2011</v>
      </c>
      <c r="AL62" s="368" t="s">
        <v>2397</v>
      </c>
      <c r="AM62" s="368" t="s">
        <v>2398</v>
      </c>
      <c r="AN62" s="368" t="s">
        <v>2399</v>
      </c>
      <c r="AO62" s="368" t="s">
        <v>2400</v>
      </c>
      <c r="AP62" s="369">
        <v>2012</v>
      </c>
      <c r="AQ62" s="368" t="s">
        <v>2401</v>
      </c>
      <c r="AR62" s="368" t="s">
        <v>2402</v>
      </c>
      <c r="AS62" s="368" t="s">
        <v>2403</v>
      </c>
      <c r="AT62" s="368" t="s">
        <v>2404</v>
      </c>
      <c r="AU62" s="369">
        <v>2013</v>
      </c>
      <c r="AV62" s="368" t="s">
        <v>2405</v>
      </c>
      <c r="AW62" s="368" t="s">
        <v>2406</v>
      </c>
      <c r="AX62" s="368" t="s">
        <v>2407</v>
      </c>
      <c r="AY62" s="368" t="s">
        <v>2408</v>
      </c>
      <c r="AZ62" s="369">
        <v>2014</v>
      </c>
      <c r="BA62" s="368" t="s">
        <v>2409</v>
      </c>
      <c r="BB62" s="368" t="s">
        <v>2410</v>
      </c>
      <c r="BC62" s="368" t="s">
        <v>2411</v>
      </c>
      <c r="BD62" s="368" t="s">
        <v>2412</v>
      </c>
      <c r="BE62" s="31">
        <v>2015</v>
      </c>
      <c r="BF62" s="368" t="s">
        <v>2413</v>
      </c>
      <c r="BG62" s="368" t="s">
        <v>2414</v>
      </c>
      <c r="BH62" s="368" t="s">
        <v>2415</v>
      </c>
      <c r="BI62" s="368" t="s">
        <v>2416</v>
      </c>
      <c r="BJ62" s="31">
        <v>2016</v>
      </c>
      <c r="BK62" s="368" t="s">
        <v>2417</v>
      </c>
      <c r="BL62" s="368" t="s">
        <v>2418</v>
      </c>
      <c r="BM62" s="368" t="s">
        <v>2419</v>
      </c>
      <c r="BN62" s="368" t="s">
        <v>2420</v>
      </c>
      <c r="BO62" s="31">
        <v>2017</v>
      </c>
      <c r="BP62" s="363" t="s">
        <v>2244</v>
      </c>
      <c r="BQ62" s="363" t="s">
        <v>2245</v>
      </c>
      <c r="BR62" s="363" t="s">
        <v>2508</v>
      </c>
      <c r="BS62" s="363" t="s">
        <v>2509</v>
      </c>
      <c r="BT62" s="364">
        <v>2018</v>
      </c>
      <c r="BU62" s="363" t="s">
        <v>2510</v>
      </c>
      <c r="BV62" s="363" t="s">
        <v>2511</v>
      </c>
      <c r="BW62" s="363" t="s">
        <v>3125</v>
      </c>
      <c r="BX62" s="363" t="s">
        <v>1405</v>
      </c>
      <c r="BY62" s="364">
        <v>2019</v>
      </c>
      <c r="BZ62" s="363" t="s">
        <v>1406</v>
      </c>
      <c r="CA62" s="363" t="s">
        <v>1407</v>
      </c>
      <c r="CB62" s="363" t="s">
        <v>1408</v>
      </c>
      <c r="CC62" s="363" t="s">
        <v>1409</v>
      </c>
      <c r="CD62" s="364">
        <v>2020</v>
      </c>
    </row>
    <row r="63" spans="1:82" ht="12.75" customHeight="1">
      <c r="A63" s="121" t="s">
        <v>1675</v>
      </c>
      <c r="B63" s="489"/>
      <c r="C63" s="5"/>
      <c r="D63" s="5"/>
      <c r="E63" s="5"/>
      <c r="F63" s="5"/>
      <c r="G63" s="5"/>
      <c r="H63" s="65">
        <f>-'Income statement'!H31</f>
        <v>2929</v>
      </c>
      <c r="I63" s="65">
        <f>-'Income statement'!I31</f>
        <v>3441</v>
      </c>
      <c r="J63" s="65">
        <f>-'Income statement'!J31</f>
        <v>4614</v>
      </c>
      <c r="K63" s="65">
        <f>-'Income statement'!K31</f>
        <v>1347</v>
      </c>
      <c r="L63" s="338">
        <f>-'Income statement'!L31</f>
        <v>12331</v>
      </c>
      <c r="M63" s="65">
        <f>-'Income statement'!M31</f>
        <v>2440</v>
      </c>
      <c r="N63" s="65">
        <f>-'Income statement'!N31</f>
        <v>3283</v>
      </c>
      <c r="O63" s="65">
        <f>-'Income statement'!O31</f>
        <v>2158</v>
      </c>
      <c r="P63" s="65">
        <f>-'Income statement'!P31</f>
        <v>2561</v>
      </c>
      <c r="Q63" s="338">
        <f>-'Income statement'!Q31</f>
        <v>10442</v>
      </c>
      <c r="R63" s="65">
        <f>-'Income statement'!R31</f>
        <v>4192</v>
      </c>
      <c r="S63" s="65">
        <f>-'Income statement'!S31</f>
        <v>5036</v>
      </c>
      <c r="T63" s="65">
        <f>-'Income statement'!T31</f>
        <v>4101</v>
      </c>
      <c r="U63" s="65">
        <f>-'Income statement'!U31</f>
        <v>-712</v>
      </c>
      <c r="V63" s="338">
        <f>-'Income statement'!V31</f>
        <v>12617</v>
      </c>
      <c r="W63" s="65">
        <f>-'Income statement'!W31</f>
        <v>1533</v>
      </c>
      <c r="X63" s="65">
        <f>-'Income statement'!X31</f>
        <v>2343</v>
      </c>
      <c r="Y63" s="65">
        <f>-'Income statement'!Y31</f>
        <v>2235</v>
      </c>
      <c r="Z63" s="65">
        <f>-'Income statement'!Z31</f>
        <v>2254</v>
      </c>
      <c r="AA63" s="338">
        <f>-'Income statement'!AA31</f>
        <v>8365</v>
      </c>
      <c r="AB63" s="65">
        <f>-'Income statement'!AB31</f>
        <v>3190</v>
      </c>
      <c r="AC63" s="65">
        <f>-'Income statement'!AC31</f>
        <v>-7295</v>
      </c>
      <c r="AD63" s="65">
        <f>-'Income statement'!AD31</f>
        <v>-292</v>
      </c>
      <c r="AE63" s="65">
        <f>-'Income statement'!AE31</f>
        <v>2896</v>
      </c>
      <c r="AF63" s="338">
        <f>-'Income statement'!AF31</f>
        <v>-1501</v>
      </c>
      <c r="AG63" s="65">
        <f>-'Income statement'!AG31</f>
        <v>4083</v>
      </c>
      <c r="AH63" s="65">
        <f>-'Income statement'!AH31</f>
        <v>3040</v>
      </c>
      <c r="AI63" s="65">
        <f>-'Income statement'!AI31</f>
        <v>2270</v>
      </c>
      <c r="AJ63" s="65">
        <f>-'Income statement'!AJ31</f>
        <v>3344</v>
      </c>
      <c r="AK63" s="338">
        <f>-'Income statement'!AK31</f>
        <v>12737</v>
      </c>
      <c r="AL63" s="65">
        <f>-'Income statement'!AL31</f>
        <v>2947</v>
      </c>
      <c r="AM63" s="65">
        <f>-'Income statement'!AM31</f>
        <v>-475</v>
      </c>
      <c r="AN63" s="65">
        <f>-'Income statement'!AN31</f>
        <v>2739</v>
      </c>
      <c r="AO63" s="65">
        <f>-'Income statement'!AO31</f>
        <v>1782</v>
      </c>
      <c r="AP63" s="338">
        <f>-'Income statement'!AP31</f>
        <v>6993</v>
      </c>
      <c r="AQ63" s="65">
        <f>-'Income statement'!AQ31</f>
        <v>2792</v>
      </c>
      <c r="AR63" s="65">
        <f>-'Income statement'!AR31</f>
        <v>1990</v>
      </c>
      <c r="AS63" s="65">
        <f>-'Income statement'!AS31</f>
        <v>1580</v>
      </c>
      <c r="AT63" s="65">
        <f>-'Income statement'!AT31</f>
        <v>101</v>
      </c>
      <c r="AU63" s="338">
        <f>-'Income statement'!AU31</f>
        <v>6463</v>
      </c>
      <c r="AV63" s="65">
        <f>-'Income statement'!AV31</f>
        <v>1651</v>
      </c>
      <c r="AW63" s="65">
        <f>-'Income statement'!AW31</f>
        <v>1714</v>
      </c>
      <c r="AX63" s="65">
        <f>-'Income statement'!AX31</f>
        <v>1287</v>
      </c>
      <c r="AY63" s="65">
        <f>-'Income statement'!AY31</f>
        <v>-3705</v>
      </c>
      <c r="AZ63" s="338">
        <f>SUM(AV63:AY63)</f>
        <v>947</v>
      </c>
      <c r="BA63" s="65">
        <f>-'Income statement'!BA31</f>
        <v>-375</v>
      </c>
      <c r="BB63" s="65">
        <f>-'Income statement'!BB31</f>
        <v>-2829</v>
      </c>
      <c r="BC63" s="65">
        <f>-'Income statement'!BC31</f>
        <v>809</v>
      </c>
      <c r="BD63" s="65">
        <f>-'Income statement'!BD31</f>
        <v>-776</v>
      </c>
      <c r="BE63" s="338">
        <f>SUM(BA63:BD63)</f>
        <v>-3171</v>
      </c>
      <c r="BF63" s="65">
        <f>-'Income statement'!BF31</f>
        <v>-307</v>
      </c>
      <c r="BG63" s="65">
        <f>-'Income statement'!BG31</f>
        <v>-1986</v>
      </c>
      <c r="BH63" s="65">
        <f>-'Income statement'!BH31</f>
        <v>-248</v>
      </c>
      <c r="BI63" s="65">
        <f>-'Income statement'!BI31</f>
        <v>74</v>
      </c>
      <c r="BJ63" s="338">
        <f>SUM(BF63:BI63)</f>
        <v>-2467</v>
      </c>
      <c r="BK63" s="65">
        <f>-'Income statement'!BK31</f>
        <v>623</v>
      </c>
      <c r="BL63" s="738">
        <f>-'Income statement'!BL31</f>
        <v>772</v>
      </c>
      <c r="BM63" s="738">
        <f>-'Income statement'!BM31</f>
        <v>1198</v>
      </c>
      <c r="BN63" s="738">
        <f>-'Income statement'!BN31</f>
        <v>1119</v>
      </c>
      <c r="BO63" s="338">
        <f>SUM(BK63:BN63)</f>
        <v>3712</v>
      </c>
      <c r="BP63" s="65">
        <f ca="1">-'Income statement'!BP31</f>
        <v>1397.0446265134608</v>
      </c>
      <c r="BQ63" s="65">
        <f ca="1">-'Income statement'!BQ31</f>
        <v>1958.69827809249</v>
      </c>
      <c r="BR63" s="65">
        <f ca="1">-'Income statement'!BR31</f>
        <v>2094.8869256961757</v>
      </c>
      <c r="BS63" s="65">
        <f ca="1">-'Income statement'!BS31</f>
        <v>1950.0409779436663</v>
      </c>
      <c r="BT63" s="338">
        <f t="shared" ref="BT63:BT64" ca="1" si="70">SUM(BP63:BS63)</f>
        <v>7400.6708082457935</v>
      </c>
      <c r="BU63" s="65">
        <f ca="1">-'Income statement'!BU31</f>
        <v>2172.3038137018975</v>
      </c>
      <c r="BV63" s="65">
        <f ca="1">-'Income statement'!BV31</f>
        <v>2065.9542372065371</v>
      </c>
      <c r="BW63" s="65">
        <f ca="1">-'Income statement'!BW31</f>
        <v>2203.5607646724775</v>
      </c>
      <c r="BX63" s="65">
        <f ca="1">-'Income statement'!BX31</f>
        <v>2028.9346729592799</v>
      </c>
      <c r="BY63" s="338">
        <f t="shared" ref="BY63:BY64" ca="1" si="71">SUM(BU63:BX63)</f>
        <v>8470.753488540191</v>
      </c>
      <c r="BZ63" s="65">
        <f ca="1">-'Income statement'!BZ31</f>
        <v>2160.6836209744733</v>
      </c>
      <c r="CA63" s="65">
        <f ca="1">-'Income statement'!CA31</f>
        <v>2153.3575096280233</v>
      </c>
      <c r="CB63" s="65">
        <f ca="1">-'Income statement'!CB31</f>
        <v>2342.0442853220311</v>
      </c>
      <c r="CC63" s="65">
        <f ca="1">-'Income statement'!CC31</f>
        <v>2198.871399580943</v>
      </c>
      <c r="CD63" s="338">
        <f t="shared" ref="CD63:CD64" ca="1" si="72">SUM(BZ63:CC63)</f>
        <v>8854.9568155054694</v>
      </c>
    </row>
    <row r="64" spans="1:82" ht="12.75" customHeight="1">
      <c r="A64" s="121" t="s">
        <v>2242</v>
      </c>
      <c r="B64" s="489"/>
      <c r="C64" s="5"/>
      <c r="D64" s="5"/>
      <c r="E64" s="5"/>
      <c r="F64" s="5"/>
      <c r="G64" s="5"/>
      <c r="H64" s="12">
        <f>-'Cash flow statement'!H157</f>
        <v>2761</v>
      </c>
      <c r="I64" s="12">
        <f>-'Cash flow statement'!I157</f>
        <v>2615</v>
      </c>
      <c r="J64" s="12">
        <f>-'Cash flow statement'!J157</f>
        <v>4666</v>
      </c>
      <c r="K64" s="12">
        <f>-'Cash flow statement'!K157</f>
        <v>3691</v>
      </c>
      <c r="L64" s="5">
        <f>-'Cash flow statement'!L157</f>
        <v>13733</v>
      </c>
      <c r="M64" s="12">
        <f>-'Cash flow statement'!M157</f>
        <v>1208</v>
      </c>
      <c r="N64" s="12">
        <f>-'Cash flow statement'!N157</f>
        <v>2025</v>
      </c>
      <c r="O64" s="12">
        <f>-'Cash flow statement'!O157</f>
        <v>3138</v>
      </c>
      <c r="P64" s="12">
        <f>-'Cash flow statement'!P157</f>
        <v>2701</v>
      </c>
      <c r="Q64" s="5">
        <f>-'Cash flow statement'!Q157</f>
        <v>9072</v>
      </c>
      <c r="R64" s="12">
        <f>-'Cash flow statement'!R157</f>
        <v>1960</v>
      </c>
      <c r="S64" s="12">
        <f>-'Cash flow statement'!S157</f>
        <v>3421</v>
      </c>
      <c r="T64" s="12">
        <f>-'Cash flow statement'!T157</f>
        <v>4528</v>
      </c>
      <c r="U64" s="12">
        <f>-'Cash flow statement'!U157</f>
        <v>2915</v>
      </c>
      <c r="V64" s="5">
        <f>-'Cash flow statement'!V157</f>
        <v>12824</v>
      </c>
      <c r="W64" s="12">
        <f>-'Cash flow statement'!W157</f>
        <v>1725</v>
      </c>
      <c r="X64" s="12">
        <f>-'Cash flow statement'!X157</f>
        <v>1725</v>
      </c>
      <c r="Y64" s="12">
        <f>-'Cash flow statement'!Y157</f>
        <v>1910</v>
      </c>
      <c r="Z64" s="12">
        <f>-'Cash flow statement'!Z157</f>
        <v>964</v>
      </c>
      <c r="AA64" s="5">
        <f>-'Cash flow statement'!AA157</f>
        <v>6324</v>
      </c>
      <c r="AB64" s="12">
        <f>-'Cash flow statement'!AB157</f>
        <v>1581</v>
      </c>
      <c r="AC64" s="12">
        <f>-'Cash flow statement'!AC157</f>
        <v>1739</v>
      </c>
      <c r="AD64" s="12">
        <f>-'Cash flow statement'!AD157</f>
        <v>1735</v>
      </c>
      <c r="AE64" s="12">
        <f>-'Cash flow statement'!AE157</f>
        <v>1555</v>
      </c>
      <c r="AF64" s="5">
        <f>-'Cash flow statement'!AF157</f>
        <v>6610</v>
      </c>
      <c r="AG64" s="12">
        <f>-'Cash flow statement'!AG157</f>
        <v>1354</v>
      </c>
      <c r="AH64" s="12">
        <f>-'Cash flow statement'!AH157</f>
        <v>1917</v>
      </c>
      <c r="AI64" s="12">
        <f>-'Cash flow statement'!AI157</f>
        <v>2226</v>
      </c>
      <c r="AJ64" s="12">
        <f>-'Cash flow statement'!AJ157</f>
        <v>2538</v>
      </c>
      <c r="AK64" s="5">
        <f>-'Cash flow statement'!AK157</f>
        <v>8035</v>
      </c>
      <c r="AL64" s="12">
        <f>-'Cash flow statement'!AL157</f>
        <v>1392</v>
      </c>
      <c r="AM64" s="12">
        <f>-'Cash flow statement'!AM157</f>
        <v>1855</v>
      </c>
      <c r="AN64" s="12">
        <f>-'Cash flow statement'!AN157</f>
        <v>1948</v>
      </c>
      <c r="AO64" s="12">
        <f>-'Cash flow statement'!AO157</f>
        <v>1257</v>
      </c>
      <c r="AP64" s="5">
        <f>-'Cash flow statement'!AP157</f>
        <v>6452</v>
      </c>
      <c r="AQ64" s="12">
        <f>-'Cash flow statement'!AQ157</f>
        <v>1291</v>
      </c>
      <c r="AR64" s="12">
        <f>-'Cash flow statement'!AR157</f>
        <v>1924</v>
      </c>
      <c r="AS64" s="12">
        <f>-'Cash flow statement'!AS157</f>
        <v>1672</v>
      </c>
      <c r="AT64" s="12">
        <f>-'Cash flow statement'!AT157</f>
        <v>1420</v>
      </c>
      <c r="AU64" s="5">
        <f>-'Cash flow statement'!AU157</f>
        <v>6307</v>
      </c>
      <c r="AV64" s="12">
        <f>-'Cash flow statement'!AV157</f>
        <v>820</v>
      </c>
      <c r="AW64" s="12">
        <f>-'Cash flow statement'!AW157</f>
        <v>1367</v>
      </c>
      <c r="AX64" s="12">
        <f>-'Cash flow statement'!AX157</f>
        <v>1607</v>
      </c>
      <c r="AY64" s="12">
        <f>-'Cash flow statement'!AY157</f>
        <v>993</v>
      </c>
      <c r="AZ64" s="5">
        <f>SUM(AV64:AY64)</f>
        <v>4787</v>
      </c>
      <c r="BA64" s="12">
        <f>-'Cash flow statement'!BA157</f>
        <v>493</v>
      </c>
      <c r="BB64" s="12">
        <f>-'Cash flow statement'!BB157</f>
        <v>602</v>
      </c>
      <c r="BC64" s="12">
        <f>-'Cash flow statement'!BC157</f>
        <v>867</v>
      </c>
      <c r="BD64" s="12">
        <f>-'Cash flow statement'!BD157</f>
        <v>294</v>
      </c>
      <c r="BE64" s="5">
        <f>SUM(BA64:BD64)</f>
        <v>2256</v>
      </c>
      <c r="BF64" s="12">
        <f>-'Cash flow statement'!BF157</f>
        <v>272</v>
      </c>
      <c r="BG64" s="12">
        <f>-'Cash flow statement'!BG157</f>
        <v>89</v>
      </c>
      <c r="BH64" s="12">
        <f>-'Cash flow statement'!BH157</f>
        <v>461</v>
      </c>
      <c r="BI64" s="12">
        <f>-'Cash flow statement'!BI157</f>
        <v>716</v>
      </c>
      <c r="BJ64" s="5">
        <f>SUM(BF64:BI64)</f>
        <v>1538</v>
      </c>
      <c r="BK64" s="12">
        <f>-'Cash flow statement'!BK157</f>
        <v>856</v>
      </c>
      <c r="BL64" s="181">
        <f>-'Cash flow statement'!BL157</f>
        <v>815</v>
      </c>
      <c r="BM64" s="181">
        <f>-'Cash flow statement'!BM157</f>
        <v>1298</v>
      </c>
      <c r="BN64" s="181">
        <f>-'Cash flow statement'!BN157</f>
        <v>1033</v>
      </c>
      <c r="BO64" s="5">
        <f>SUM(BK64:BN64)</f>
        <v>4002</v>
      </c>
      <c r="BP64" s="65">
        <f t="shared" ref="BP64" ca="1" si="73">SUM(BP63,BP67)</f>
        <v>1397.0446265134608</v>
      </c>
      <c r="BQ64" s="65">
        <f t="shared" ref="BQ64" ca="1" si="74">SUM(BQ63,BQ67)</f>
        <v>1958.69827809249</v>
      </c>
      <c r="BR64" s="65">
        <f t="shared" ref="BR64" ca="1" si="75">SUM(BR63,BR67)</f>
        <v>2094.8869256961757</v>
      </c>
      <c r="BS64" s="65">
        <f t="shared" ref="BS64" ca="1" si="76">SUM(BS63,BS67)</f>
        <v>1950.0409779436663</v>
      </c>
      <c r="BT64" s="5">
        <f t="shared" ca="1" si="70"/>
        <v>7400.6708082457935</v>
      </c>
      <c r="BU64" s="65">
        <f t="shared" ref="BU64" ca="1" si="77">SUM(BU63,BU67)</f>
        <v>2172.3038137018975</v>
      </c>
      <c r="BV64" s="65">
        <f t="shared" ref="BV64" ca="1" si="78">SUM(BV63,BV67)</f>
        <v>2065.9542372065371</v>
      </c>
      <c r="BW64" s="65">
        <f t="shared" ref="BW64" ca="1" si="79">SUM(BW63,BW67)</f>
        <v>2203.5607646724775</v>
      </c>
      <c r="BX64" s="65">
        <f t="shared" ref="BX64" ca="1" si="80">SUM(BX63,BX67)</f>
        <v>2028.9346729592799</v>
      </c>
      <c r="BY64" s="5">
        <f t="shared" ca="1" si="71"/>
        <v>8470.753488540191</v>
      </c>
      <c r="BZ64" s="65">
        <f t="shared" ref="BZ64" ca="1" si="81">SUM(BZ63,BZ67)</f>
        <v>2160.6836209744733</v>
      </c>
      <c r="CA64" s="65">
        <f t="shared" ref="CA64" ca="1" si="82">SUM(CA63,CA67)</f>
        <v>2153.3575096280233</v>
      </c>
      <c r="CB64" s="65">
        <f t="shared" ref="CB64" ca="1" si="83">SUM(CB63,CB67)</f>
        <v>2342.0442853220311</v>
      </c>
      <c r="CC64" s="65">
        <f t="shared" ref="CC64" ca="1" si="84">SUM(CC63,CC67)</f>
        <v>2198.871399580943</v>
      </c>
      <c r="CD64" s="5">
        <f t="shared" ca="1" si="72"/>
        <v>8854.9568155054694</v>
      </c>
    </row>
    <row r="65" spans="1:82" ht="12.75" customHeight="1">
      <c r="A65" s="7" t="s">
        <v>2243</v>
      </c>
      <c r="B65" s="7"/>
      <c r="C65" s="8"/>
      <c r="D65" s="8"/>
      <c r="E65" s="8"/>
      <c r="F65" s="8"/>
      <c r="G65" s="8"/>
      <c r="H65" s="203">
        <f t="shared" ref="H65:K65" si="85">H64/H63</f>
        <v>0.94264254011608062</v>
      </c>
      <c r="I65" s="203">
        <f t="shared" si="85"/>
        <v>0.75995350188898581</v>
      </c>
      <c r="J65" s="203">
        <f t="shared" si="85"/>
        <v>1.0112700476809711</v>
      </c>
      <c r="K65" s="203">
        <f t="shared" si="85"/>
        <v>2.7401633259094282</v>
      </c>
      <c r="L65" s="172">
        <f>L64/L63</f>
        <v>1.1136971859540994</v>
      </c>
      <c r="M65" s="203">
        <f t="shared" ref="M65" si="86">M64/M63</f>
        <v>0.49508196721311476</v>
      </c>
      <c r="N65" s="203">
        <f t="shared" ref="N65" si="87">N64/N63</f>
        <v>0.61681388973499851</v>
      </c>
      <c r="O65" s="203">
        <f t="shared" ref="O65" si="88">O64/O63</f>
        <v>1.454124189063948</v>
      </c>
      <c r="P65" s="203">
        <f t="shared" ref="P65:Q65" si="89">P64/P63</f>
        <v>1.0546661460367044</v>
      </c>
      <c r="Q65" s="172">
        <f t="shared" si="89"/>
        <v>0.86879908063589351</v>
      </c>
      <c r="R65" s="203">
        <f t="shared" ref="R65" si="90">R64/R63</f>
        <v>0.46755725190839692</v>
      </c>
      <c r="S65" s="203">
        <f t="shared" ref="S65" si="91">S64/S63</f>
        <v>0.67930897537728352</v>
      </c>
      <c r="T65" s="203">
        <f t="shared" ref="T65" si="92">T64/T63</f>
        <v>1.1041209461107047</v>
      </c>
      <c r="U65" s="203">
        <f t="shared" ref="U65:V65" si="93">U64/U63</f>
        <v>-4.0941011235955056</v>
      </c>
      <c r="V65" s="172">
        <f t="shared" si="93"/>
        <v>1.0164064357612745</v>
      </c>
      <c r="W65" s="203">
        <f t="shared" ref="W65" si="94">W64/W63</f>
        <v>1.1252446183953033</v>
      </c>
      <c r="X65" s="203">
        <f t="shared" ref="X65" si="95">X64/X63</f>
        <v>0.73623559539052497</v>
      </c>
      <c r="Y65" s="203">
        <f t="shared" ref="Y65" si="96">Y64/Y63</f>
        <v>0.85458612975391501</v>
      </c>
      <c r="Z65" s="203">
        <f t="shared" ref="Z65:AA65" si="97">Z64/Z63</f>
        <v>0.4276841171251109</v>
      </c>
      <c r="AA65" s="172">
        <f t="shared" si="97"/>
        <v>0.75600717274357443</v>
      </c>
      <c r="AB65" s="203">
        <f t="shared" ref="AB65" si="98">AB64/AB63</f>
        <v>0.4956112852664577</v>
      </c>
      <c r="AC65" s="203">
        <f t="shared" ref="AC65" si="99">AC64/AC63</f>
        <v>-0.23838245373543523</v>
      </c>
      <c r="AD65" s="203">
        <f t="shared" ref="AD65" si="100">AD64/AD63</f>
        <v>-5.9417808219178081</v>
      </c>
      <c r="AE65" s="203">
        <f t="shared" ref="AE65:AF65" si="101">AE64/AE63</f>
        <v>0.53694751381215466</v>
      </c>
      <c r="AF65" s="172">
        <f t="shared" si="101"/>
        <v>-4.4037308461025981</v>
      </c>
      <c r="AG65" s="203">
        <f t="shared" ref="AG65" si="102">AG64/AG63</f>
        <v>0.33161890766593194</v>
      </c>
      <c r="AH65" s="203">
        <f t="shared" ref="AH65" si="103">AH64/AH63</f>
        <v>0.6305921052631579</v>
      </c>
      <c r="AI65" s="203">
        <f t="shared" ref="AI65" si="104">AI64/AI63</f>
        <v>0.98061674008810573</v>
      </c>
      <c r="AJ65" s="203">
        <f t="shared" ref="AJ65:AK65" si="105">AJ64/AJ63</f>
        <v>0.75897129186602874</v>
      </c>
      <c r="AK65" s="172">
        <f t="shared" si="105"/>
        <v>0.63083928711627546</v>
      </c>
      <c r="AL65" s="203">
        <f t="shared" ref="AL65" si="106">AL64/AL63</f>
        <v>0.47234475738038684</v>
      </c>
      <c r="AM65" s="203">
        <f t="shared" ref="AM65" si="107">AM64/AM63</f>
        <v>-3.905263157894737</v>
      </c>
      <c r="AN65" s="203">
        <f t="shared" ref="AN65" si="108">AN64/AN63</f>
        <v>0.71120847024461487</v>
      </c>
      <c r="AO65" s="203">
        <f t="shared" ref="AO65:AP65" si="109">AO64/AO63</f>
        <v>0.70538720538720534</v>
      </c>
      <c r="AP65" s="172">
        <f t="shared" si="109"/>
        <v>0.92263692263692265</v>
      </c>
      <c r="AQ65" s="203">
        <f t="shared" ref="AQ65" si="110">AQ64/AQ63</f>
        <v>0.46239255014326647</v>
      </c>
      <c r="AR65" s="203">
        <f t="shared" ref="AR65" si="111">AR64/AR63</f>
        <v>0.96683417085427137</v>
      </c>
      <c r="AS65" s="203">
        <f t="shared" ref="AS65" si="112">AS64/AS63</f>
        <v>1.0582278481012659</v>
      </c>
      <c r="AT65" s="203">
        <f t="shared" ref="AT65:AU65" si="113">AT64/AT63</f>
        <v>14.059405940594059</v>
      </c>
      <c r="AU65" s="172">
        <f t="shared" si="113"/>
        <v>0.97586260250657586</v>
      </c>
      <c r="AV65" s="203">
        <f t="shared" ref="AV65" si="114">AV64/AV63</f>
        <v>0.49666868564506361</v>
      </c>
      <c r="AW65" s="203">
        <f t="shared" ref="AW65" si="115">AW64/AW63</f>
        <v>0.79754959159859973</v>
      </c>
      <c r="AX65" s="203">
        <f t="shared" ref="AX65" si="116">AX64/AX63</f>
        <v>1.2486402486402486</v>
      </c>
      <c r="AY65" s="203">
        <f t="shared" ref="AY65:AZ65" si="117">AY64/AY63</f>
        <v>-0.26801619433198381</v>
      </c>
      <c r="AZ65" s="172">
        <f t="shared" si="117"/>
        <v>5.0549102428722277</v>
      </c>
      <c r="BA65" s="203">
        <f t="shared" ref="BA65" si="118">BA64/BA63</f>
        <v>-1.3146666666666667</v>
      </c>
      <c r="BB65" s="203">
        <f t="shared" ref="BB65" si="119">BB64/BB63</f>
        <v>-0.2127960410038883</v>
      </c>
      <c r="BC65" s="203">
        <f t="shared" ref="BC65" si="120">BC64/BC63</f>
        <v>1.0716934487021013</v>
      </c>
      <c r="BD65" s="203">
        <f t="shared" ref="BD65:BG65" si="121">BD64/BD63</f>
        <v>-0.37886597938144329</v>
      </c>
      <c r="BE65" s="172">
        <f t="shared" si="121"/>
        <v>-0.71144749290444653</v>
      </c>
      <c r="BF65" s="203">
        <f t="shared" si="121"/>
        <v>-0.88599348534201949</v>
      </c>
      <c r="BG65" s="203">
        <f t="shared" si="121"/>
        <v>-4.4813695871097681E-2</v>
      </c>
      <c r="BH65" s="203">
        <f t="shared" ref="BH65:BJ65" si="122">BH64/BH63</f>
        <v>-1.8588709677419355</v>
      </c>
      <c r="BI65" s="203">
        <f t="shared" si="122"/>
        <v>9.6756756756756754</v>
      </c>
      <c r="BJ65" s="172">
        <f t="shared" si="122"/>
        <v>-0.62342926631536277</v>
      </c>
      <c r="BK65" s="203">
        <f t="shared" ref="BK65:CD65" si="123">BK64/BK63</f>
        <v>1.3739967897271268</v>
      </c>
      <c r="BL65" s="739">
        <f t="shared" ref="BL65:BM65" si="124">BL64/BL63</f>
        <v>1.0556994818652849</v>
      </c>
      <c r="BM65" s="739">
        <f t="shared" si="124"/>
        <v>1.0834724540901504</v>
      </c>
      <c r="BN65" s="739">
        <f t="shared" ref="BN65" si="125">BN64/BN63</f>
        <v>0.9231456657730116</v>
      </c>
      <c r="BO65" s="172">
        <f t="shared" si="123"/>
        <v>1.078125</v>
      </c>
      <c r="BP65" s="203">
        <f t="shared" ca="1" si="123"/>
        <v>1</v>
      </c>
      <c r="BQ65" s="203">
        <f t="shared" ca="1" si="123"/>
        <v>1</v>
      </c>
      <c r="BR65" s="203">
        <f t="shared" ca="1" si="123"/>
        <v>1</v>
      </c>
      <c r="BS65" s="203">
        <f t="shared" ca="1" si="123"/>
        <v>1</v>
      </c>
      <c r="BT65" s="172">
        <f t="shared" ca="1" si="123"/>
        <v>1</v>
      </c>
      <c r="BU65" s="203">
        <f t="shared" ca="1" si="123"/>
        <v>1</v>
      </c>
      <c r="BV65" s="203">
        <f t="shared" ca="1" si="123"/>
        <v>1</v>
      </c>
      <c r="BW65" s="203">
        <f t="shared" ca="1" si="123"/>
        <v>1</v>
      </c>
      <c r="BX65" s="203">
        <f t="shared" ca="1" si="123"/>
        <v>1</v>
      </c>
      <c r="BY65" s="172">
        <f t="shared" ca="1" si="123"/>
        <v>1</v>
      </c>
      <c r="BZ65" s="203">
        <f t="shared" ca="1" si="123"/>
        <v>1</v>
      </c>
      <c r="CA65" s="203">
        <f t="shared" ca="1" si="123"/>
        <v>1</v>
      </c>
      <c r="CB65" s="203">
        <f t="shared" ca="1" si="123"/>
        <v>1</v>
      </c>
      <c r="CC65" s="203">
        <f t="shared" ca="1" si="123"/>
        <v>1</v>
      </c>
      <c r="CD65" s="172">
        <f t="shared" ca="1" si="123"/>
        <v>1</v>
      </c>
    </row>
    <row r="66" spans="1:82" ht="12.75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138"/>
      <c r="BM66" s="138"/>
      <c r="BN66" s="138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</row>
    <row r="67" spans="1:82" ht="12.75" customHeight="1">
      <c r="A67" s="121" t="s">
        <v>3624</v>
      </c>
      <c r="B67" s="5"/>
      <c r="C67" s="5"/>
      <c r="D67" s="5"/>
      <c r="E67" s="5"/>
      <c r="F67" s="5"/>
      <c r="G67" s="5"/>
      <c r="H67" s="65">
        <f t="shared" ref="H67:AM67" si="126">H64-H63</f>
        <v>-168</v>
      </c>
      <c r="I67" s="65">
        <f t="shared" si="126"/>
        <v>-826</v>
      </c>
      <c r="J67" s="65">
        <f t="shared" si="126"/>
        <v>52</v>
      </c>
      <c r="K67" s="65">
        <f t="shared" si="126"/>
        <v>2344</v>
      </c>
      <c r="L67" s="338">
        <f t="shared" si="126"/>
        <v>1402</v>
      </c>
      <c r="M67" s="65">
        <f t="shared" si="126"/>
        <v>-1232</v>
      </c>
      <c r="N67" s="65">
        <f t="shared" si="126"/>
        <v>-1258</v>
      </c>
      <c r="O67" s="65">
        <f t="shared" si="126"/>
        <v>980</v>
      </c>
      <c r="P67" s="65">
        <f t="shared" si="126"/>
        <v>140</v>
      </c>
      <c r="Q67" s="338">
        <f t="shared" si="126"/>
        <v>-1370</v>
      </c>
      <c r="R67" s="65">
        <f t="shared" si="126"/>
        <v>-2232</v>
      </c>
      <c r="S67" s="65">
        <f t="shared" si="126"/>
        <v>-1615</v>
      </c>
      <c r="T67" s="65">
        <f t="shared" si="126"/>
        <v>427</v>
      </c>
      <c r="U67" s="65">
        <f t="shared" si="126"/>
        <v>3627</v>
      </c>
      <c r="V67" s="338">
        <f t="shared" si="126"/>
        <v>207</v>
      </c>
      <c r="W67" s="65">
        <f t="shared" si="126"/>
        <v>192</v>
      </c>
      <c r="X67" s="65">
        <f t="shared" si="126"/>
        <v>-618</v>
      </c>
      <c r="Y67" s="65">
        <f t="shared" si="126"/>
        <v>-325</v>
      </c>
      <c r="Z67" s="65">
        <f t="shared" si="126"/>
        <v>-1290</v>
      </c>
      <c r="AA67" s="338">
        <f t="shared" si="126"/>
        <v>-2041</v>
      </c>
      <c r="AB67" s="65">
        <f t="shared" si="126"/>
        <v>-1609</v>
      </c>
      <c r="AC67" s="65">
        <f t="shared" si="126"/>
        <v>9034</v>
      </c>
      <c r="AD67" s="65">
        <f t="shared" si="126"/>
        <v>2027</v>
      </c>
      <c r="AE67" s="65">
        <f t="shared" si="126"/>
        <v>-1341</v>
      </c>
      <c r="AF67" s="338">
        <f t="shared" si="126"/>
        <v>8111</v>
      </c>
      <c r="AG67" s="65">
        <f t="shared" si="126"/>
        <v>-2729</v>
      </c>
      <c r="AH67" s="65">
        <f t="shared" si="126"/>
        <v>-1123</v>
      </c>
      <c r="AI67" s="65">
        <f t="shared" si="126"/>
        <v>-44</v>
      </c>
      <c r="AJ67" s="65">
        <f t="shared" si="126"/>
        <v>-806</v>
      </c>
      <c r="AK67" s="338">
        <f t="shared" si="126"/>
        <v>-4702</v>
      </c>
      <c r="AL67" s="65">
        <f t="shared" si="126"/>
        <v>-1555</v>
      </c>
      <c r="AM67" s="65">
        <f t="shared" si="126"/>
        <v>2330</v>
      </c>
      <c r="AN67" s="65">
        <f t="shared" ref="AN67:BO67" si="127">AN64-AN63</f>
        <v>-791</v>
      </c>
      <c r="AO67" s="65">
        <f t="shared" si="127"/>
        <v>-525</v>
      </c>
      <c r="AP67" s="338">
        <f t="shared" si="127"/>
        <v>-541</v>
      </c>
      <c r="AQ67" s="65">
        <f t="shared" si="127"/>
        <v>-1501</v>
      </c>
      <c r="AR67" s="65">
        <f t="shared" si="127"/>
        <v>-66</v>
      </c>
      <c r="AS67" s="65">
        <f t="shared" si="127"/>
        <v>92</v>
      </c>
      <c r="AT67" s="65">
        <f t="shared" si="127"/>
        <v>1319</v>
      </c>
      <c r="AU67" s="338">
        <f t="shared" si="127"/>
        <v>-156</v>
      </c>
      <c r="AV67" s="65">
        <f t="shared" si="127"/>
        <v>-831</v>
      </c>
      <c r="AW67" s="65">
        <f t="shared" si="127"/>
        <v>-347</v>
      </c>
      <c r="AX67" s="65">
        <f t="shared" si="127"/>
        <v>320</v>
      </c>
      <c r="AY67" s="65">
        <f t="shared" si="127"/>
        <v>4698</v>
      </c>
      <c r="AZ67" s="338">
        <f t="shared" si="127"/>
        <v>3840</v>
      </c>
      <c r="BA67" s="65">
        <f t="shared" si="127"/>
        <v>868</v>
      </c>
      <c r="BB67" s="65">
        <f t="shared" si="127"/>
        <v>3431</v>
      </c>
      <c r="BC67" s="65">
        <f t="shared" si="127"/>
        <v>58</v>
      </c>
      <c r="BD67" s="65">
        <f t="shared" si="127"/>
        <v>1070</v>
      </c>
      <c r="BE67" s="338">
        <f t="shared" si="127"/>
        <v>5427</v>
      </c>
      <c r="BF67" s="65">
        <f t="shared" si="127"/>
        <v>579</v>
      </c>
      <c r="BG67" s="65">
        <f t="shared" si="127"/>
        <v>2075</v>
      </c>
      <c r="BH67" s="65">
        <f t="shared" si="127"/>
        <v>709</v>
      </c>
      <c r="BI67" s="65">
        <f t="shared" ref="BI67" si="128">BI64-BI63</f>
        <v>642</v>
      </c>
      <c r="BJ67" s="5">
        <f t="shared" si="127"/>
        <v>4005</v>
      </c>
      <c r="BK67" s="65">
        <f t="shared" ref="BK67:BL67" si="129">BK64-BK63</f>
        <v>233</v>
      </c>
      <c r="BL67" s="738">
        <f t="shared" si="129"/>
        <v>43</v>
      </c>
      <c r="BM67" s="738">
        <f t="shared" ref="BM67" si="130">BM64-BM63</f>
        <v>100</v>
      </c>
      <c r="BN67" s="738">
        <f t="shared" ref="BN67" si="131">BN64-BN63</f>
        <v>-86</v>
      </c>
      <c r="BO67" s="5">
        <f t="shared" si="127"/>
        <v>290</v>
      </c>
      <c r="BP67" s="240">
        <v>0</v>
      </c>
      <c r="BQ67" s="240">
        <v>0</v>
      </c>
      <c r="BR67" s="240">
        <v>0</v>
      </c>
      <c r="BS67" s="240">
        <v>0</v>
      </c>
      <c r="BT67" s="5">
        <f t="shared" ref="BT67" ca="1" si="132">BT64-BT63</f>
        <v>0</v>
      </c>
      <c r="BU67" s="240">
        <v>0</v>
      </c>
      <c r="BV67" s="240">
        <v>0</v>
      </c>
      <c r="BW67" s="240">
        <v>0</v>
      </c>
      <c r="BX67" s="240">
        <v>0</v>
      </c>
      <c r="BY67" s="5">
        <f t="shared" ref="BY67" ca="1" si="133">BY64-BY63</f>
        <v>0</v>
      </c>
      <c r="BZ67" s="240">
        <v>0</v>
      </c>
      <c r="CA67" s="240">
        <v>0</v>
      </c>
      <c r="CB67" s="240">
        <v>0</v>
      </c>
      <c r="CC67" s="240">
        <v>0</v>
      </c>
      <c r="CD67" s="5">
        <f t="shared" ref="CD67" ca="1" si="134">CD64-CD63</f>
        <v>0</v>
      </c>
    </row>
    <row r="68" spans="1:82" ht="12.75" customHeight="1">
      <c r="A68" s="35" t="s">
        <v>3625</v>
      </c>
      <c r="L68" s="338">
        <f>'Balance sheet'!L57-'Balance sheet'!L158-'Balance sheet'!L21</f>
        <v>18116</v>
      </c>
      <c r="M68" s="65">
        <f>'Balance sheet'!M57-'Balance sheet'!M158-'Balance sheet'!M21</f>
        <v>18593</v>
      </c>
      <c r="N68" s="65">
        <f>'Balance sheet'!N57-'Balance sheet'!N158-'Balance sheet'!N21</f>
        <v>18582</v>
      </c>
      <c r="O68" s="65">
        <f>'Balance sheet'!O57-'Balance sheet'!O158-'Balance sheet'!O21</f>
        <v>19072</v>
      </c>
      <c r="P68" s="65">
        <f>'Balance sheet'!P57-'Balance sheet'!P158-'Balance sheet'!P21</f>
        <v>19215</v>
      </c>
      <c r="Q68" s="338">
        <f>'Balance sheet'!Q57-'Balance sheet'!Q158-'Balance sheet'!Q21</f>
        <v>19215</v>
      </c>
      <c r="R68" s="65">
        <f>'Balance sheet'!R57-'Balance sheet'!R158-'Balance sheet'!R21</f>
        <v>19947</v>
      </c>
      <c r="S68" s="65">
        <f>'Balance sheet'!S57-'Balance sheet'!S158-'Balance sheet'!S21</f>
        <v>20653</v>
      </c>
      <c r="T68" s="65">
        <f>'Balance sheet'!T57-'Balance sheet'!T158-'Balance sheet'!T21</f>
        <v>21573</v>
      </c>
      <c r="U68" s="65">
        <f>'Balance sheet'!U57-'Balance sheet'!U158-'Balance sheet'!U21</f>
        <v>16198</v>
      </c>
      <c r="V68" s="338">
        <f>'Balance sheet'!V57-'Balance sheet'!V158-'Balance sheet'!V21</f>
        <v>16198</v>
      </c>
      <c r="W68" s="65">
        <f>'Balance sheet'!W57-'Balance sheet'!W158-'Balance sheet'!W21</f>
        <v>16177</v>
      </c>
      <c r="X68" s="65">
        <f>'Balance sheet'!X57-'Balance sheet'!X158-'Balance sheet'!X21</f>
        <v>16800</v>
      </c>
      <c r="Y68" s="65">
        <f>'Balance sheet'!Y57-'Balance sheet'!Y158-'Balance sheet'!Y21</f>
        <v>17388</v>
      </c>
      <c r="Z68" s="65">
        <f>'Balance sheet'!Z57-'Balance sheet'!Z158-'Balance sheet'!Z21</f>
        <v>18146</v>
      </c>
      <c r="AA68" s="338">
        <f>'Balance sheet'!AA57-'Balance sheet'!AA158-'Balance sheet'!AA21</f>
        <v>18146</v>
      </c>
      <c r="AB68" s="65">
        <f>'Balance sheet'!AB57-'Balance sheet'!AB158-'Balance sheet'!AB21</f>
        <v>19692</v>
      </c>
      <c r="AC68" s="65">
        <f>'Balance sheet'!AC57-'Balance sheet'!AC158-'Balance sheet'!AC21</f>
        <v>20068</v>
      </c>
      <c r="AD68" s="65">
        <f>'Balance sheet'!AD57-'Balance sheet'!AD158-'Balance sheet'!AD21</f>
        <v>20900</v>
      </c>
      <c r="AE68" s="65">
        <f>'Balance sheet'!AE57-'Balance sheet'!AE158-'Balance sheet'!AE21</f>
        <v>21635</v>
      </c>
      <c r="AF68" s="338">
        <f>'Balance sheet'!AF57-'Balance sheet'!AF158-'Balance sheet'!AF21</f>
        <v>21635</v>
      </c>
      <c r="AG68" s="65">
        <f>'Balance sheet'!AG57-'Balance sheet'!AG158-'Balance sheet'!AG21</f>
        <v>23071</v>
      </c>
      <c r="AH68" s="65">
        <f>'Balance sheet'!AH57-'Balance sheet'!AH158-'Balance sheet'!AH21</f>
        <v>23702</v>
      </c>
      <c r="AI68" s="65">
        <f>'Balance sheet'!AI57-'Balance sheet'!AI158-'Balance sheet'!AI21</f>
        <v>23784</v>
      </c>
      <c r="AJ68" s="65">
        <f>'Balance sheet'!AJ57-'Balance sheet'!AJ158-'Balance sheet'!AJ21</f>
        <v>22242</v>
      </c>
      <c r="AK68" s="338">
        <f>'Balance sheet'!AK57-'Balance sheet'!AK158-'Balance sheet'!AK21</f>
        <v>22242</v>
      </c>
      <c r="AL68" s="65">
        <f>'Balance sheet'!AL57-'Balance sheet'!AL158-'Balance sheet'!AL21</f>
        <v>22811</v>
      </c>
      <c r="AM68" s="65">
        <f>'Balance sheet'!AM57-'Balance sheet'!AM158-'Balance sheet'!AM21</f>
        <v>20924</v>
      </c>
      <c r="AN68" s="65">
        <f>'Balance sheet'!AN57-'Balance sheet'!AN158-'Balance sheet'!AN21</f>
        <v>19936</v>
      </c>
      <c r="AO68" s="65">
        <f>'Balance sheet'!AO57-'Balance sheet'!AO158-'Balance sheet'!AO21</f>
        <v>18192</v>
      </c>
      <c r="AP68" s="338">
        <f>'Balance sheet'!AP57-'Balance sheet'!AP158-'Balance sheet'!AP21</f>
        <v>18192</v>
      </c>
      <c r="AQ68" s="65">
        <f>'Balance sheet'!AQ57-'Balance sheet'!AQ158-'Balance sheet'!AQ21</f>
        <v>19039</v>
      </c>
      <c r="AR68" s="65">
        <f>'Balance sheet'!AR57-'Balance sheet'!AR158-'Balance sheet'!AR21</f>
        <v>19715</v>
      </c>
      <c r="AS68" s="65">
        <f>'Balance sheet'!AS57-'Balance sheet'!AS158-'Balance sheet'!AS21</f>
        <v>19515</v>
      </c>
      <c r="AT68" s="65">
        <f>'Balance sheet'!AT57-'Balance sheet'!AT158-'Balance sheet'!AT21</f>
        <v>19202</v>
      </c>
      <c r="AU68" s="338">
        <f>'Balance sheet'!AU57-'Balance sheet'!AU158-'Balance sheet'!AU21</f>
        <v>19202</v>
      </c>
      <c r="AV68" s="65">
        <f>'Balance sheet'!AV57-'Balance sheet'!AV158-'Balance sheet'!AV21</f>
        <v>19361</v>
      </c>
      <c r="AW68" s="65">
        <f>'Balance sheet'!AW57-'Balance sheet'!AW158-'Balance sheet'!AW21</f>
        <v>19305</v>
      </c>
      <c r="AX68" s="65">
        <f>'Balance sheet'!AX57-'Balance sheet'!AX158-'Balance sheet'!AX21</f>
        <v>18778</v>
      </c>
      <c r="AY68" s="65">
        <f>'Balance sheet'!AY57-'Balance sheet'!AY158-'Balance sheet'!AY21</f>
        <v>13307</v>
      </c>
      <c r="AZ68" s="338">
        <f>'Balance sheet'!AZ57-'Balance sheet'!AZ158-'Balance sheet'!AZ21</f>
        <v>13307</v>
      </c>
      <c r="BA68" s="65">
        <f>'Balance sheet'!BA57-'Balance sheet'!BA158-'Balance sheet'!BA21</f>
        <v>12389</v>
      </c>
      <c r="BB68" s="65">
        <f>'Balance sheet'!BB57-'Balance sheet'!BB158-'Balance sheet'!BB21</f>
        <v>13400</v>
      </c>
      <c r="BC68" s="65">
        <f>'Balance sheet'!BC57-'Balance sheet'!BC158-'Balance sheet'!BC21</f>
        <v>13329</v>
      </c>
      <c r="BD68" s="65">
        <f>'Balance sheet'!BD57-'Balance sheet'!BD158-'Balance sheet'!BD21</f>
        <v>13254</v>
      </c>
      <c r="BE68" s="338">
        <f>'Balance sheet'!BE57-'Balance sheet'!BE158-'Balance sheet'!BE21</f>
        <v>13254</v>
      </c>
      <c r="BF68" s="65">
        <f>'Balance sheet'!BF57-'Balance sheet'!BF158-'Balance sheet'!BF21</f>
        <v>12316</v>
      </c>
      <c r="BG68" s="65">
        <f>'Balance sheet'!BG57-'Balance sheet'!BG158-'Balance sheet'!BG21</f>
        <v>10995</v>
      </c>
      <c r="BH68" s="65">
        <f>'Balance sheet'!BH57-'Balance sheet'!BH158-'Balance sheet'!BH21</f>
        <v>9953</v>
      </c>
      <c r="BI68" s="65">
        <f>'Balance sheet'!BI57-'Balance sheet'!BI158-'Balance sheet'!BI21</f>
        <v>10589</v>
      </c>
      <c r="BJ68" s="338">
        <f>'Balance sheet'!BJ57-'Balance sheet'!BJ158-'Balance sheet'!BJ21</f>
        <v>10589</v>
      </c>
      <c r="BK68" s="65">
        <f>'Balance sheet'!BK57-'Balance sheet'!BK158-'Balance sheet'!BK21</f>
        <v>10553</v>
      </c>
      <c r="BL68" s="738">
        <f>'Balance sheet'!BL57-'Balance sheet'!BL158-'Balance sheet'!BL21</f>
        <v>10616</v>
      </c>
      <c r="BM68" s="738">
        <f>'Balance sheet'!BM57-'Balance sheet'!BM158-'Balance sheet'!BM21</f>
        <v>11165</v>
      </c>
      <c r="BN68" s="738">
        <f>'Balance sheet'!BN57-'Balance sheet'!BN158-'Balance sheet'!BN21</f>
        <v>9214</v>
      </c>
      <c r="BO68" s="338">
        <f>'Balance sheet'!BO57-'Balance sheet'!BO158-'Balance sheet'!BO21</f>
        <v>9214</v>
      </c>
      <c r="BP68" s="65">
        <f ca="1">'Balance sheet'!BP57-'Balance sheet'!BP158-'Balance sheet'!BP21</f>
        <v>9214</v>
      </c>
      <c r="BQ68" s="65">
        <f ca="1">'Balance sheet'!BQ57-'Balance sheet'!BQ158-'Balance sheet'!BQ21</f>
        <v>9214</v>
      </c>
      <c r="BR68" s="65">
        <f ca="1">'Balance sheet'!BR57-'Balance sheet'!BR158-'Balance sheet'!BR21</f>
        <v>9214</v>
      </c>
      <c r="BS68" s="65">
        <f ca="1">'Balance sheet'!BS57-'Balance sheet'!BS158-'Balance sheet'!BS21</f>
        <v>9214</v>
      </c>
      <c r="BT68" s="338">
        <f ca="1">'Balance sheet'!BT57-'Balance sheet'!BT158-'Balance sheet'!BT21</f>
        <v>9214</v>
      </c>
      <c r="BU68" s="65">
        <f ca="1">'Balance sheet'!BU57-'Balance sheet'!BU158-'Balance sheet'!BU21</f>
        <v>9214</v>
      </c>
      <c r="BV68" s="65">
        <f ca="1">'Balance sheet'!BV57-'Balance sheet'!BV158-'Balance sheet'!BV21</f>
        <v>9214</v>
      </c>
      <c r="BW68" s="65">
        <f ca="1">'Balance sheet'!BW57-'Balance sheet'!BW158-'Balance sheet'!BW21</f>
        <v>9214</v>
      </c>
      <c r="BX68" s="65">
        <f ca="1">'Balance sheet'!BX57-'Balance sheet'!BX158-'Balance sheet'!BX21</f>
        <v>9214</v>
      </c>
      <c r="BY68" s="338">
        <f ca="1">'Balance sheet'!BY57-'Balance sheet'!BY158-'Balance sheet'!BY21</f>
        <v>9214</v>
      </c>
      <c r="BZ68" s="65">
        <f ca="1">'Balance sheet'!BZ57-'Balance sheet'!BZ158-'Balance sheet'!BZ21</f>
        <v>9214</v>
      </c>
      <c r="CA68" s="65">
        <f ca="1">'Balance sheet'!CA57-'Balance sheet'!CA158-'Balance sheet'!CA21</f>
        <v>9214</v>
      </c>
      <c r="CB68" s="65">
        <f ca="1">'Balance sheet'!CB57-'Balance sheet'!CB158-'Balance sheet'!CB21</f>
        <v>9214</v>
      </c>
      <c r="CC68" s="65">
        <f ca="1">'Balance sheet'!CC57-'Balance sheet'!CC158-'Balance sheet'!CC21</f>
        <v>9214</v>
      </c>
      <c r="CD68" s="338">
        <f ca="1">'Balance sheet'!CD57-'Balance sheet'!CD158-'Balance sheet'!CD21</f>
        <v>9214</v>
      </c>
    </row>
  </sheetData>
  <phoneticPr fontId="1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>
    <tabColor indexed="26"/>
    <pageSetUpPr fitToPage="1"/>
  </sheetPr>
  <dimension ref="A1:IV901"/>
  <sheetViews>
    <sheetView zoomScale="85" zoomScaleNormal="85" workbookViewId="0">
      <pane xSplit="2" ySplit="8" topLeftCell="AF9" activePane="bottomRight" state="frozen"/>
      <selection sqref="A1:IV65536"/>
      <selection pane="topRight" sqref="A1:IV65536"/>
      <selection pane="bottomLeft" sqref="A1:IV65536"/>
      <selection pane="bottomRight" sqref="A1:XFD1048576"/>
    </sheetView>
  </sheetViews>
  <sheetFormatPr defaultColWidth="9.7109375" defaultRowHeight="12.75" outlineLevelRow="1" outlineLevelCol="1"/>
  <cols>
    <col min="1" max="1" width="3.7109375" customWidth="1"/>
    <col min="2" max="2" width="35.7109375" customWidth="1"/>
    <col min="3" max="7" width="9.7109375" customWidth="1"/>
    <col min="8" max="11" width="9.7109375" hidden="1" customWidth="1" outlineLevel="1"/>
    <col min="12" max="12" width="9.7109375" customWidth="1" collapsed="1"/>
    <col min="13" max="16" width="9.7109375" hidden="1" customWidth="1" outlineLevel="1"/>
    <col min="17" max="17" width="9.7109375" customWidth="1" collapsed="1"/>
    <col min="18" max="21" width="9.7109375" hidden="1" customWidth="1" outlineLevel="1"/>
    <col min="22" max="22" width="9.7109375" customWidth="1" collapsed="1"/>
    <col min="23" max="26" width="9.7109375" hidden="1" customWidth="1" outlineLevel="1"/>
    <col min="27" max="27" width="9.7109375" customWidth="1" collapsed="1"/>
    <col min="28" max="31" width="9.7109375" hidden="1" customWidth="1" outlineLevel="1"/>
    <col min="32" max="32" width="9.7109375" customWidth="1" collapsed="1"/>
    <col min="33" max="36" width="9.7109375" hidden="1" customWidth="1" outlineLevel="1"/>
    <col min="37" max="37" width="9.7109375" customWidth="1" collapsed="1"/>
    <col min="38" max="41" width="9.7109375" hidden="1" customWidth="1" outlineLevel="1"/>
    <col min="42" max="42" width="9.7109375" customWidth="1" collapsed="1"/>
    <col min="43" max="46" width="9.7109375" hidden="1" customWidth="1" outlineLevel="1"/>
    <col min="47" max="47" width="9.7109375" customWidth="1" collapsed="1"/>
    <col min="48" max="51" width="9.7109375" hidden="1" customWidth="1" outlineLevel="1"/>
    <col min="52" max="52" width="9.7109375" customWidth="1" collapsed="1"/>
    <col min="53" max="56" width="9.7109375" hidden="1" customWidth="1" outlineLevel="1"/>
    <col min="57" max="57" width="9.7109375" customWidth="1" collapsed="1"/>
    <col min="58" max="61" width="9.7109375" hidden="1" customWidth="1" outlineLevel="1"/>
    <col min="62" max="62" width="9.7109375" customWidth="1" collapsed="1"/>
    <col min="63" max="66" width="9.7109375" hidden="1" customWidth="1" outlineLevel="1"/>
    <col min="67" max="67" width="9.7109375" customWidth="1" collapsed="1"/>
    <col min="68" max="71" width="9.7109375" hidden="1" customWidth="1" outlineLevel="1"/>
    <col min="72" max="72" width="9.7109375" customWidth="1" collapsed="1"/>
    <col min="73" max="76" width="9.7109375" hidden="1" customWidth="1" outlineLevel="1"/>
    <col min="77" max="77" width="9.7109375" customWidth="1" collapsed="1"/>
    <col min="78" max="81" width="9.7109375" hidden="1" customWidth="1" outlineLevel="1"/>
    <col min="82" max="82" width="9.7109375" customWidth="1" collapsed="1"/>
    <col min="98" max="98" width="9.7109375" customWidth="1"/>
  </cols>
  <sheetData>
    <row r="1" spans="1:114" ht="12.75" customHeight="1">
      <c r="A1" s="1"/>
      <c r="B1" s="1"/>
      <c r="C1" s="1"/>
      <c r="D1" s="2"/>
      <c r="E1" s="2"/>
      <c r="F1" s="2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3"/>
      <c r="T1" s="3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 t="s">
        <v>3421</v>
      </c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</row>
    <row r="2" spans="1:114" ht="18" customHeight="1">
      <c r="A2" s="1"/>
      <c r="B2" s="20" t="s">
        <v>3369</v>
      </c>
      <c r="C2" s="1"/>
      <c r="D2" s="2"/>
      <c r="E2" s="2"/>
      <c r="F2" s="2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3"/>
      <c r="T2" s="3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 t="s">
        <v>3421</v>
      </c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</row>
    <row r="3" spans="1:114" ht="12.75" customHeight="1">
      <c r="A3" s="1"/>
      <c r="B3" s="21" t="s">
        <v>195</v>
      </c>
      <c r="C3" s="1"/>
      <c r="D3" s="2"/>
      <c r="E3" s="2"/>
      <c r="F3" s="2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3"/>
      <c r="T3" s="3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 t="s">
        <v>3421</v>
      </c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</row>
    <row r="4" spans="1:114" ht="12.75" customHeight="1">
      <c r="A4" s="1"/>
      <c r="B4" s="1"/>
      <c r="C4" s="1"/>
      <c r="D4" s="2"/>
      <c r="E4" s="2"/>
      <c r="F4" s="2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3"/>
      <c r="T4" s="3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 t="s">
        <v>3421</v>
      </c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</row>
    <row r="5" spans="1:114" ht="12.75" customHeight="1">
      <c r="A5" s="4"/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49"/>
      <c r="AP5" s="5"/>
      <c r="AQ5" s="5"/>
      <c r="AR5" s="5"/>
      <c r="AS5" s="5"/>
      <c r="AT5" s="5"/>
      <c r="AU5" s="5"/>
      <c r="AV5" s="5"/>
      <c r="AW5" s="5"/>
      <c r="AX5" s="5"/>
      <c r="AY5" s="70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</row>
    <row r="6" spans="1:114" ht="12.75" customHeight="1">
      <c r="A6" s="42" t="s">
        <v>931</v>
      </c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49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F6" s="336"/>
      <c r="CG6" s="336"/>
      <c r="CH6" s="336"/>
      <c r="CI6" s="336"/>
      <c r="CJ6" s="336"/>
      <c r="CK6" s="336"/>
      <c r="CL6" s="336"/>
      <c r="CM6" s="336"/>
      <c r="CN6" s="336"/>
      <c r="CO6" s="336"/>
    </row>
    <row r="7" spans="1:114" ht="12.75" customHeight="1">
      <c r="A7" s="4"/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49"/>
      <c r="AP7" s="5"/>
      <c r="AQ7" s="5"/>
      <c r="AR7" s="5"/>
      <c r="AS7" s="5"/>
      <c r="AT7" s="5"/>
      <c r="AU7" s="5"/>
      <c r="AV7" s="5"/>
      <c r="AW7" s="5"/>
      <c r="AX7" s="5"/>
      <c r="AY7" s="116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F7" s="336"/>
      <c r="CG7" s="336"/>
      <c r="CH7" s="336"/>
      <c r="CI7" s="336"/>
      <c r="CJ7" s="336"/>
      <c r="CK7" s="336"/>
      <c r="CL7" s="336"/>
      <c r="CM7" s="336"/>
      <c r="CN7" s="336"/>
      <c r="CO7" s="336"/>
    </row>
    <row r="8" spans="1:114" ht="12.75" customHeight="1">
      <c r="A8" s="10"/>
      <c r="B8" s="10"/>
      <c r="C8" s="31">
        <v>2001</v>
      </c>
      <c r="D8" s="32">
        <v>2002</v>
      </c>
      <c r="E8" s="32">
        <v>2003</v>
      </c>
      <c r="F8" s="32">
        <v>2004</v>
      </c>
      <c r="G8" s="31">
        <v>2005</v>
      </c>
      <c r="H8" s="33" t="s">
        <v>714</v>
      </c>
      <c r="I8" s="33" t="s">
        <v>715</v>
      </c>
      <c r="J8" s="33" t="s">
        <v>716</v>
      </c>
      <c r="K8" s="33" t="s">
        <v>717</v>
      </c>
      <c r="L8" s="31">
        <v>2006</v>
      </c>
      <c r="M8" s="33" t="s">
        <v>718</v>
      </c>
      <c r="N8" s="33" t="s">
        <v>719</v>
      </c>
      <c r="O8" s="33" t="s">
        <v>1970</v>
      </c>
      <c r="P8" s="33" t="s">
        <v>1971</v>
      </c>
      <c r="Q8" s="31">
        <v>2007</v>
      </c>
      <c r="R8" s="33" t="s">
        <v>1972</v>
      </c>
      <c r="S8" s="33" t="s">
        <v>1973</v>
      </c>
      <c r="T8" s="33" t="s">
        <v>1974</v>
      </c>
      <c r="U8" s="33" t="s">
        <v>1975</v>
      </c>
      <c r="V8" s="31">
        <v>2008</v>
      </c>
      <c r="W8" s="33" t="s">
        <v>1976</v>
      </c>
      <c r="X8" s="33" t="s">
        <v>1977</v>
      </c>
      <c r="Y8" s="33" t="s">
        <v>1978</v>
      </c>
      <c r="Z8" s="33" t="s">
        <v>1979</v>
      </c>
      <c r="AA8" s="31">
        <v>2009</v>
      </c>
      <c r="AB8" s="33" t="s">
        <v>1980</v>
      </c>
      <c r="AC8" s="33" t="s">
        <v>1981</v>
      </c>
      <c r="AD8" s="33" t="s">
        <v>1982</v>
      </c>
      <c r="AE8" s="33" t="s">
        <v>2392</v>
      </c>
      <c r="AF8" s="31">
        <v>2010</v>
      </c>
      <c r="AG8" s="33" t="s">
        <v>2393</v>
      </c>
      <c r="AH8" s="33" t="s">
        <v>2394</v>
      </c>
      <c r="AI8" s="33" t="s">
        <v>2395</v>
      </c>
      <c r="AJ8" s="33" t="s">
        <v>2396</v>
      </c>
      <c r="AK8" s="31">
        <v>2011</v>
      </c>
      <c r="AL8" s="33" t="s">
        <v>2397</v>
      </c>
      <c r="AM8" s="33" t="s">
        <v>2398</v>
      </c>
      <c r="AN8" s="33" t="s">
        <v>2399</v>
      </c>
      <c r="AO8" s="33" t="s">
        <v>2400</v>
      </c>
      <c r="AP8" s="31">
        <v>2012</v>
      </c>
      <c r="AQ8" s="33" t="s">
        <v>2401</v>
      </c>
      <c r="AR8" s="33" t="s">
        <v>2402</v>
      </c>
      <c r="AS8" s="33" t="s">
        <v>2403</v>
      </c>
      <c r="AT8" s="33" t="s">
        <v>2404</v>
      </c>
      <c r="AU8" s="31">
        <v>2013</v>
      </c>
      <c r="AV8" s="33" t="s">
        <v>2405</v>
      </c>
      <c r="AW8" s="33" t="s">
        <v>2406</v>
      </c>
      <c r="AX8" s="33" t="s">
        <v>2407</v>
      </c>
      <c r="AY8" s="33" t="s">
        <v>2408</v>
      </c>
      <c r="AZ8" s="31">
        <v>2014</v>
      </c>
      <c r="BA8" s="33" t="s">
        <v>2409</v>
      </c>
      <c r="BB8" s="33" t="s">
        <v>2410</v>
      </c>
      <c r="BC8" s="33" t="s">
        <v>2411</v>
      </c>
      <c r="BD8" s="33" t="s">
        <v>2412</v>
      </c>
      <c r="BE8" s="31">
        <v>2015</v>
      </c>
      <c r="BF8" s="33" t="s">
        <v>2413</v>
      </c>
      <c r="BG8" s="33" t="s">
        <v>2414</v>
      </c>
      <c r="BH8" s="33" t="s">
        <v>2415</v>
      </c>
      <c r="BI8" s="33" t="s">
        <v>2416</v>
      </c>
      <c r="BJ8" s="31">
        <v>2016</v>
      </c>
      <c r="BK8" s="33" t="s">
        <v>2417</v>
      </c>
      <c r="BL8" s="33" t="s">
        <v>2418</v>
      </c>
      <c r="BM8" s="33" t="s">
        <v>2419</v>
      </c>
      <c r="BN8" s="33" t="s">
        <v>2420</v>
      </c>
      <c r="BO8" s="31">
        <v>2017</v>
      </c>
      <c r="BP8" s="363" t="s">
        <v>2244</v>
      </c>
      <c r="BQ8" s="363" t="s">
        <v>2245</v>
      </c>
      <c r="BR8" s="363" t="s">
        <v>2508</v>
      </c>
      <c r="BS8" s="363" t="s">
        <v>2509</v>
      </c>
      <c r="BT8" s="364">
        <v>2018</v>
      </c>
      <c r="BU8" s="363" t="s">
        <v>2510</v>
      </c>
      <c r="BV8" s="363" t="s">
        <v>2511</v>
      </c>
      <c r="BW8" s="363" t="s">
        <v>3125</v>
      </c>
      <c r="BX8" s="363" t="s">
        <v>1405</v>
      </c>
      <c r="BY8" s="364">
        <v>2019</v>
      </c>
      <c r="BZ8" s="363" t="s">
        <v>1406</v>
      </c>
      <c r="CA8" s="363" t="s">
        <v>1407</v>
      </c>
      <c r="CB8" s="363" t="s">
        <v>1408</v>
      </c>
      <c r="CC8" s="363" t="s">
        <v>1409</v>
      </c>
      <c r="CD8" s="364">
        <v>2020</v>
      </c>
      <c r="CF8" s="336"/>
      <c r="CG8" s="336"/>
      <c r="CH8" s="587"/>
      <c r="CI8" s="587"/>
      <c r="CJ8" s="587"/>
      <c r="CK8" s="587"/>
      <c r="CL8" s="587"/>
      <c r="CM8" s="587"/>
      <c r="CN8" s="336"/>
      <c r="CO8" s="336"/>
    </row>
    <row r="9" spans="1:114" ht="12.75" customHeight="1">
      <c r="A9" s="121" t="s">
        <v>606</v>
      </c>
      <c r="B9" s="4"/>
      <c r="C9" s="5">
        <f>C46</f>
        <v>11497</v>
      </c>
      <c r="D9" s="5">
        <f>D46</f>
        <v>7092</v>
      </c>
      <c r="E9" s="5">
        <f>E46</f>
        <v>13683</v>
      </c>
      <c r="F9" s="5">
        <f>F46</f>
        <v>16045</v>
      </c>
      <c r="G9" s="5">
        <f>G46</f>
        <v>22147.833333333336</v>
      </c>
      <c r="H9" s="93"/>
      <c r="I9" s="93"/>
      <c r="J9" s="93"/>
      <c r="K9" s="93"/>
      <c r="L9" s="5">
        <f>L46</f>
        <v>26085</v>
      </c>
      <c r="M9" s="93"/>
      <c r="N9" s="93"/>
      <c r="O9" s="93"/>
      <c r="P9" s="93"/>
      <c r="Q9" s="5">
        <f>Q46</f>
        <v>23604</v>
      </c>
      <c r="R9" s="93"/>
      <c r="S9" s="93"/>
      <c r="T9" s="93"/>
      <c r="U9" s="93"/>
      <c r="V9" s="5">
        <f>V46</f>
        <v>33608</v>
      </c>
      <c r="W9" s="93"/>
      <c r="X9" s="93"/>
      <c r="Y9" s="93"/>
      <c r="Z9" s="93"/>
      <c r="AA9" s="5">
        <f>AA46</f>
        <v>18841</v>
      </c>
      <c r="AB9" s="93"/>
      <c r="AC9" s="93"/>
      <c r="AD9" s="93"/>
      <c r="AE9" s="93"/>
      <c r="AF9" s="5">
        <f>AF46</f>
        <v>27195</v>
      </c>
      <c r="AG9" s="93"/>
      <c r="AH9" s="93"/>
      <c r="AI9" s="93"/>
      <c r="AJ9" s="93"/>
      <c r="AK9" s="5">
        <f t="shared" ref="AK9:CD9" si="0">AK46</f>
        <v>24769</v>
      </c>
      <c r="AL9" s="93"/>
      <c r="AM9" s="93"/>
      <c r="AN9" s="93"/>
      <c r="AO9" s="93"/>
      <c r="AP9" s="5">
        <f t="shared" si="0"/>
        <v>21196</v>
      </c>
      <c r="AQ9" s="93"/>
      <c r="AR9" s="93"/>
      <c r="AS9" s="93"/>
      <c r="AT9" s="93"/>
      <c r="AU9" s="5">
        <f>AU46</f>
        <v>14826</v>
      </c>
      <c r="AV9" s="93"/>
      <c r="AW9" s="93"/>
      <c r="AX9" s="93"/>
      <c r="AY9" s="93"/>
      <c r="AZ9" s="5">
        <f>AZ46</f>
        <v>6156</v>
      </c>
      <c r="BA9" s="93"/>
      <c r="BB9" s="93"/>
      <c r="BC9" s="93"/>
      <c r="BD9" s="93"/>
      <c r="BE9" s="138">
        <f>BE46</f>
        <v>-1947</v>
      </c>
      <c r="BF9" s="93"/>
      <c r="BG9" s="93"/>
      <c r="BH9" s="93"/>
      <c r="BI9" s="93"/>
      <c r="BJ9" s="138">
        <f>BJ46</f>
        <v>386</v>
      </c>
      <c r="BK9" s="93"/>
      <c r="BL9" s="93"/>
      <c r="BM9" s="93"/>
      <c r="BN9" s="93"/>
      <c r="BO9" s="138">
        <f>BO46</f>
        <v>4279</v>
      </c>
      <c r="BP9" s="12">
        <f t="shared" si="0"/>
        <v>2889.5466797062336</v>
      </c>
      <c r="BQ9" s="12">
        <f t="shared" si="0"/>
        <v>3165.8555716325027</v>
      </c>
      <c r="BR9" s="12">
        <f t="shared" si="0"/>
        <v>3117.2188145844111</v>
      </c>
      <c r="BS9" s="12">
        <f t="shared" si="0"/>
        <v>3028.3666749052009</v>
      </c>
      <c r="BT9" s="5">
        <f t="shared" si="0"/>
        <v>12200.98774082835</v>
      </c>
      <c r="BU9" s="12">
        <f t="shared" si="0"/>
        <v>2726.1891652007052</v>
      </c>
      <c r="BV9" s="12">
        <f t="shared" si="0"/>
        <v>2729.9960064700208</v>
      </c>
      <c r="BW9" s="12">
        <f t="shared" si="0"/>
        <v>2754.5711977451156</v>
      </c>
      <c r="BX9" s="12">
        <f t="shared" si="0"/>
        <v>2764.3481765846864</v>
      </c>
      <c r="BY9" s="5">
        <f t="shared" si="0"/>
        <v>10975.104546000533</v>
      </c>
      <c r="BZ9" s="12">
        <f t="shared" si="0"/>
        <v>2628.8833079149372</v>
      </c>
      <c r="CA9" s="12">
        <f t="shared" si="0"/>
        <v>2764.9743208313612</v>
      </c>
      <c r="CB9" s="12">
        <f t="shared" si="0"/>
        <v>2856.5915064433593</v>
      </c>
      <c r="CC9" s="12">
        <f t="shared" si="0"/>
        <v>2924.1030398915391</v>
      </c>
      <c r="CD9" s="5">
        <f t="shared" si="0"/>
        <v>11174.552175081189</v>
      </c>
      <c r="CF9" s="336"/>
      <c r="CG9" s="336"/>
      <c r="CH9" s="205"/>
      <c r="CI9" s="205"/>
      <c r="CJ9" s="205"/>
      <c r="CK9" s="205"/>
      <c r="CL9" s="205"/>
      <c r="CM9" s="205"/>
      <c r="CN9" s="336"/>
      <c r="CO9" s="336"/>
    </row>
    <row r="10" spans="1:114" s="406" customFormat="1" ht="12.75" customHeight="1">
      <c r="A10" s="253"/>
      <c r="B10" s="137"/>
      <c r="C10" s="138"/>
      <c r="D10" s="138"/>
      <c r="E10" s="138"/>
      <c r="F10" s="138"/>
      <c r="G10" s="138"/>
      <c r="H10" s="181"/>
      <c r="I10" s="181"/>
      <c r="J10" s="181"/>
      <c r="K10" s="181"/>
      <c r="L10" s="138"/>
      <c r="M10" s="181"/>
      <c r="N10" s="181"/>
      <c r="O10" s="181"/>
      <c r="P10" s="181"/>
      <c r="Q10" s="138"/>
      <c r="R10" s="181"/>
      <c r="S10" s="181"/>
      <c r="T10" s="181"/>
      <c r="U10" s="181"/>
      <c r="V10" s="138"/>
      <c r="W10" s="181"/>
      <c r="X10" s="181"/>
      <c r="Y10" s="181"/>
      <c r="Z10" s="181"/>
      <c r="AA10" s="138"/>
      <c r="AB10" s="181"/>
      <c r="AC10" s="181"/>
      <c r="AD10" s="181"/>
      <c r="AE10" s="181"/>
      <c r="AF10" s="138"/>
      <c r="AG10" s="181"/>
      <c r="AH10" s="181"/>
      <c r="AI10" s="181"/>
      <c r="AJ10" s="181"/>
      <c r="AK10" s="138"/>
      <c r="AL10" s="181"/>
      <c r="AM10" s="181"/>
      <c r="AN10" s="181"/>
      <c r="AO10" s="181"/>
      <c r="AP10" s="138"/>
      <c r="AQ10" s="181"/>
      <c r="AR10" s="181"/>
      <c r="AS10" s="181"/>
      <c r="AT10" s="181"/>
      <c r="AU10" s="138"/>
      <c r="AV10" s="181"/>
      <c r="AW10" s="181"/>
      <c r="AX10" s="181"/>
      <c r="AY10" s="181"/>
      <c r="AZ10" s="138"/>
      <c r="BA10" s="181"/>
      <c r="BB10" s="181"/>
      <c r="BC10" s="181"/>
      <c r="BD10" s="181"/>
      <c r="BE10" s="138"/>
      <c r="BF10" s="181"/>
      <c r="BG10" s="181"/>
      <c r="BH10" s="181"/>
      <c r="BI10" s="181"/>
      <c r="BJ10" s="138"/>
      <c r="BK10" s="181"/>
      <c r="BL10" s="181"/>
      <c r="BM10" s="181"/>
      <c r="BN10" s="181"/>
      <c r="BO10" s="138"/>
      <c r="BP10" s="181"/>
      <c r="BQ10" s="181"/>
      <c r="BR10" s="181"/>
      <c r="BS10" s="181"/>
      <c r="BT10" s="138"/>
      <c r="BU10" s="181"/>
      <c r="BV10" s="181"/>
      <c r="BW10" s="181"/>
      <c r="BX10" s="181"/>
      <c r="BY10" s="138"/>
      <c r="BZ10" s="181"/>
      <c r="CA10" s="181"/>
      <c r="CB10" s="181"/>
      <c r="CC10" s="181"/>
      <c r="CD10" s="138"/>
      <c r="CF10" s="336"/>
      <c r="CG10" s="336"/>
      <c r="CH10" s="205"/>
      <c r="CI10" s="205"/>
      <c r="CJ10" s="205"/>
      <c r="CK10" s="205"/>
      <c r="CL10" s="205"/>
      <c r="CM10" s="205"/>
      <c r="CN10" s="336"/>
      <c r="CO10" s="336"/>
    </row>
    <row r="11" spans="1:114" ht="12.75" customHeight="1">
      <c r="A11" s="121" t="s">
        <v>607</v>
      </c>
      <c r="B11" s="4"/>
      <c r="C11" s="5">
        <v>384</v>
      </c>
      <c r="D11" s="5">
        <v>482</v>
      </c>
      <c r="E11" s="5">
        <v>790</v>
      </c>
      <c r="F11" s="5">
        <v>1814</v>
      </c>
      <c r="G11" s="5">
        <v>3029</v>
      </c>
      <c r="H11" s="93"/>
      <c r="I11" s="93"/>
      <c r="J11" s="93"/>
      <c r="K11" s="93"/>
      <c r="L11" s="5">
        <v>3302</v>
      </c>
      <c r="M11" s="93"/>
      <c r="N11" s="93"/>
      <c r="O11" s="93"/>
      <c r="P11" s="93"/>
      <c r="Q11" s="5">
        <v>2704</v>
      </c>
      <c r="R11" s="93"/>
      <c r="S11" s="93"/>
      <c r="T11" s="93"/>
      <c r="U11" s="93"/>
      <c r="V11" s="5">
        <v>2793</v>
      </c>
      <c r="W11" s="93"/>
      <c r="X11" s="93"/>
      <c r="Y11" s="93"/>
      <c r="Z11" s="93"/>
      <c r="AA11" s="5">
        <f>AA540</f>
        <v>3309</v>
      </c>
      <c r="AB11" s="93"/>
      <c r="AC11" s="93"/>
      <c r="AD11" s="93"/>
      <c r="AE11" s="93"/>
      <c r="AF11" s="5">
        <f>AF540</f>
        <v>3979</v>
      </c>
      <c r="AG11" s="93"/>
      <c r="AH11" s="93"/>
      <c r="AI11" s="93"/>
      <c r="AJ11" s="93"/>
      <c r="AK11" s="5">
        <f t="shared" ref="AK11:CD11" si="1">AK540</f>
        <v>5415</v>
      </c>
      <c r="AL11" s="93"/>
      <c r="AM11" s="93"/>
      <c r="AN11" s="93"/>
      <c r="AO11" s="93"/>
      <c r="AP11" s="5">
        <f t="shared" si="1"/>
        <v>4043</v>
      </c>
      <c r="AQ11" s="93"/>
      <c r="AR11" s="93"/>
      <c r="AS11" s="93"/>
      <c r="AT11" s="93"/>
      <c r="AU11" s="5">
        <f t="shared" si="1"/>
        <v>3185</v>
      </c>
      <c r="AV11" s="93"/>
      <c r="AW11" s="93"/>
      <c r="AX11" s="93"/>
      <c r="AY11" s="93"/>
      <c r="AZ11" s="5">
        <f>AZ540</f>
        <v>3214</v>
      </c>
      <c r="BA11" s="93"/>
      <c r="BB11" s="93"/>
      <c r="BC11" s="93"/>
      <c r="BD11" s="93"/>
      <c r="BE11" s="5">
        <f>BE540</f>
        <v>1519</v>
      </c>
      <c r="BF11" s="93"/>
      <c r="BG11" s="93"/>
      <c r="BH11" s="93"/>
      <c r="BI11" s="93"/>
      <c r="BJ11" s="5">
        <f t="shared" si="1"/>
        <v>1317</v>
      </c>
      <c r="BK11" s="93"/>
      <c r="BL11" s="93"/>
      <c r="BM11" s="93"/>
      <c r="BN11" s="93"/>
      <c r="BO11" s="5">
        <f t="shared" ref="BO11" si="2">BO540</f>
        <v>1764</v>
      </c>
      <c r="BP11" s="12">
        <f t="shared" ca="1" si="1"/>
        <v>694.07014232235588</v>
      </c>
      <c r="BQ11" s="12">
        <f t="shared" ca="1" si="1"/>
        <v>693.79598902209614</v>
      </c>
      <c r="BR11" s="12">
        <f t="shared" ca="1" si="1"/>
        <v>680.74288529781165</v>
      </c>
      <c r="BS11" s="12">
        <f t="shared" ca="1" si="1"/>
        <v>681.02642049870462</v>
      </c>
      <c r="BT11" s="5">
        <f t="shared" ca="1" si="1"/>
        <v>2820.8961303752067</v>
      </c>
      <c r="BU11" s="12">
        <f t="shared" ca="1" si="1"/>
        <v>693.37119821548663</v>
      </c>
      <c r="BV11" s="12">
        <f t="shared" ca="1" si="1"/>
        <v>700.68037890477331</v>
      </c>
      <c r="BW11" s="12">
        <f t="shared" ca="1" si="1"/>
        <v>691.01174154579837</v>
      </c>
      <c r="BX11" s="12">
        <f t="shared" ca="1" si="1"/>
        <v>692.26747809062442</v>
      </c>
      <c r="BY11" s="5">
        <f t="shared" ca="1" si="1"/>
        <v>2773.6663885654857</v>
      </c>
      <c r="BZ11" s="12">
        <f t="shared" ca="1" si="1"/>
        <v>1084.5072630136588</v>
      </c>
      <c r="CA11" s="12">
        <f t="shared" ca="1" si="1"/>
        <v>1081.8511870720949</v>
      </c>
      <c r="CB11" s="12">
        <f t="shared" ca="1" si="1"/>
        <v>1072.7636285955941</v>
      </c>
      <c r="CC11" s="12">
        <f t="shared" ca="1" si="1"/>
        <v>1073.9605977110064</v>
      </c>
      <c r="CD11" s="5">
        <f t="shared" ca="1" si="1"/>
        <v>4308.3173118611994</v>
      </c>
      <c r="CF11" s="336"/>
      <c r="CG11" s="336"/>
      <c r="CH11" s="205"/>
      <c r="CI11" s="205"/>
      <c r="CJ11" s="205"/>
      <c r="CK11" s="205"/>
      <c r="CL11" s="205"/>
      <c r="CM11" s="205"/>
      <c r="CN11" s="336"/>
      <c r="CO11" s="336"/>
    </row>
    <row r="12" spans="1:114" ht="12.75" customHeight="1">
      <c r="A12" s="121"/>
      <c r="B12" s="4" t="s">
        <v>608</v>
      </c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  <c r="AA12" s="5">
        <f>AA753</f>
        <v>1924</v>
      </c>
      <c r="AB12" s="93"/>
      <c r="AC12" s="93"/>
      <c r="AD12" s="93"/>
      <c r="AE12" s="93"/>
      <c r="AF12" s="5">
        <f>AF753</f>
        <v>2613</v>
      </c>
      <c r="AG12" s="93"/>
      <c r="AH12" s="93"/>
      <c r="AI12" s="93"/>
      <c r="AJ12" s="93"/>
      <c r="AK12" s="5">
        <f>AK753</f>
        <v>4095</v>
      </c>
      <c r="AL12" s="93"/>
      <c r="AM12" s="93"/>
      <c r="AN12" s="93"/>
      <c r="AO12" s="93"/>
      <c r="AP12" s="5">
        <f>AP753</f>
        <v>3005</v>
      </c>
      <c r="AQ12" s="93"/>
      <c r="AR12" s="93"/>
      <c r="AS12" s="93"/>
      <c r="AT12" s="93"/>
      <c r="AU12" s="5">
        <f>AU753</f>
        <v>2158</v>
      </c>
      <c r="AV12" s="93"/>
      <c r="AW12" s="93"/>
      <c r="AX12" s="93"/>
      <c r="AY12" s="93"/>
      <c r="AZ12" s="5">
        <f>AZ753</f>
        <v>2125</v>
      </c>
      <c r="BA12" s="93"/>
      <c r="BB12" s="93"/>
      <c r="BC12" s="93"/>
      <c r="BD12" s="93"/>
      <c r="BE12" s="5">
        <f>BE753</f>
        <v>1326</v>
      </c>
      <c r="BF12" s="93"/>
      <c r="BG12" s="93"/>
      <c r="BH12" s="93"/>
      <c r="BI12" s="93"/>
      <c r="BJ12" s="5">
        <f>BJ753</f>
        <v>597</v>
      </c>
      <c r="BK12" s="93"/>
      <c r="BL12" s="93"/>
      <c r="BM12" s="93"/>
      <c r="BN12" s="93"/>
      <c r="BO12" s="5">
        <f>BO753</f>
        <v>837</v>
      </c>
      <c r="BP12" s="12">
        <f t="shared" ref="BP12:CD12" ca="1" si="3">BP753</f>
        <v>456.09817834995982</v>
      </c>
      <c r="BQ12" s="12">
        <f t="shared" ca="1" si="3"/>
        <v>450.84421033314067</v>
      </c>
      <c r="BR12" s="12">
        <f t="shared" ca="1" si="3"/>
        <v>440.28892284330129</v>
      </c>
      <c r="BS12" s="12">
        <f t="shared" ca="1" si="3"/>
        <v>442.48144185590229</v>
      </c>
      <c r="BT12" s="5">
        <f t="shared" ca="1" si="3"/>
        <v>1789.7127533823032</v>
      </c>
      <c r="BU12" s="12">
        <f t="shared" ca="1" si="3"/>
        <v>461.00409165746134</v>
      </c>
      <c r="BV12" s="12">
        <f t="shared" ca="1" si="3"/>
        <v>468.45114509473188</v>
      </c>
      <c r="BW12" s="12">
        <f t="shared" ca="1" si="3"/>
        <v>459.44950906956944</v>
      </c>
      <c r="BX12" s="12">
        <f t="shared" ca="1" si="3"/>
        <v>460.02334409286203</v>
      </c>
      <c r="BY12" s="5">
        <f t="shared" ca="1" si="3"/>
        <v>1848.9280899146247</v>
      </c>
      <c r="BZ12" s="12">
        <f t="shared" ca="1" si="3"/>
        <v>840.68313937295204</v>
      </c>
      <c r="CA12" s="12">
        <f t="shared" ca="1" si="3"/>
        <v>834.35548965307885</v>
      </c>
      <c r="CB12" s="12">
        <f t="shared" ca="1" si="3"/>
        <v>823.89999314176282</v>
      </c>
      <c r="CC12" s="12">
        <f t="shared" ca="1" si="3"/>
        <v>822.98507996752778</v>
      </c>
      <c r="CD12" s="5">
        <f t="shared" ca="1" si="3"/>
        <v>3321.9237021353215</v>
      </c>
      <c r="CF12" s="336"/>
      <c r="CG12" s="336"/>
      <c r="CH12" s="205"/>
      <c r="CI12" s="205"/>
      <c r="CJ12" s="205"/>
      <c r="CK12" s="205"/>
      <c r="CL12" s="205"/>
      <c r="CM12" s="205"/>
      <c r="CN12" s="336"/>
      <c r="CO12" s="336"/>
    </row>
    <row r="13" spans="1:114" s="432" customFormat="1" ht="12.75" customHeight="1">
      <c r="A13" s="121"/>
      <c r="B13" s="4" t="s">
        <v>609</v>
      </c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  <c r="AA13" s="5">
        <f>+Segments!AA12</f>
        <v>1948</v>
      </c>
      <c r="AB13" s="93"/>
      <c r="AC13" s="93"/>
      <c r="AD13" s="93"/>
      <c r="AE13" s="93"/>
      <c r="AF13" s="5">
        <f>+Segments!AF12</f>
        <v>2617</v>
      </c>
      <c r="AG13" s="93"/>
      <c r="AH13" s="93"/>
      <c r="AI13" s="93"/>
      <c r="AJ13" s="93"/>
      <c r="AK13" s="5">
        <f>+Segments!AK12</f>
        <v>4134</v>
      </c>
      <c r="AL13" s="93"/>
      <c r="AM13" s="93"/>
      <c r="AN13" s="93"/>
      <c r="AO13" s="93"/>
      <c r="AP13" s="5">
        <f>+Segments!AP12</f>
        <v>3373</v>
      </c>
      <c r="AQ13" s="93"/>
      <c r="AR13" s="93"/>
      <c r="AS13" s="93"/>
      <c r="AT13" s="93"/>
      <c r="AU13" s="5">
        <f>+Segments!AU12-Segments!AQ35</f>
        <v>2153</v>
      </c>
      <c r="AV13" s="93"/>
      <c r="AW13" s="93"/>
      <c r="AX13" s="93"/>
      <c r="AY13" s="93"/>
      <c r="AZ13" s="5">
        <f>+Segments!AZ12-Segments!AV35</f>
        <v>1853</v>
      </c>
      <c r="BA13" s="93"/>
      <c r="BB13" s="93"/>
      <c r="BC13" s="93"/>
      <c r="BD13" s="93"/>
      <c r="BE13" s="5">
        <f>+Segments!BE12-Segments!BA35</f>
        <v>1310</v>
      </c>
      <c r="BF13" s="93"/>
      <c r="BG13" s="93"/>
      <c r="BH13" s="93"/>
      <c r="BI13" s="93"/>
      <c r="BJ13" s="5">
        <f>+Segments!BJ12-Segments!BF35</f>
        <v>590</v>
      </c>
      <c r="BK13" s="93"/>
      <c r="BL13" s="93"/>
      <c r="BM13" s="93"/>
      <c r="BN13" s="93"/>
      <c r="BO13" s="5">
        <f>+Segments!BO12-Segments!BK35</f>
        <v>836</v>
      </c>
      <c r="BP13" s="12">
        <f t="shared" ref="BP13:CD13" ca="1" si="4">+BP12+BP14</f>
        <v>166.09817834995982</v>
      </c>
      <c r="BQ13" s="12">
        <f t="shared" ca="1" si="4"/>
        <v>450.84421033314067</v>
      </c>
      <c r="BR13" s="12">
        <f t="shared" ca="1" si="4"/>
        <v>440.28892284330129</v>
      </c>
      <c r="BS13" s="12">
        <f t="shared" ca="1" si="4"/>
        <v>442.48144185590229</v>
      </c>
      <c r="BT13" s="5">
        <f t="shared" ca="1" si="4"/>
        <v>1789.7127533823032</v>
      </c>
      <c r="BU13" s="12">
        <f t="shared" ca="1" si="4"/>
        <v>461.00409165746134</v>
      </c>
      <c r="BV13" s="12">
        <f t="shared" ca="1" si="4"/>
        <v>468.45114509473188</v>
      </c>
      <c r="BW13" s="12">
        <f t="shared" ca="1" si="4"/>
        <v>459.44950906956944</v>
      </c>
      <c r="BX13" s="12">
        <f t="shared" ca="1" si="4"/>
        <v>460.02334409286203</v>
      </c>
      <c r="BY13" s="5">
        <f t="shared" ca="1" si="4"/>
        <v>1848.9280899146247</v>
      </c>
      <c r="BZ13" s="12">
        <f t="shared" ca="1" si="4"/>
        <v>840.68313937295204</v>
      </c>
      <c r="CA13" s="12">
        <f t="shared" ca="1" si="4"/>
        <v>834.35548965307885</v>
      </c>
      <c r="CB13" s="12">
        <f t="shared" ca="1" si="4"/>
        <v>823.89999314176282</v>
      </c>
      <c r="CC13" s="12">
        <f t="shared" ca="1" si="4"/>
        <v>822.98507996752778</v>
      </c>
      <c r="CD13" s="5">
        <f t="shared" ca="1" si="4"/>
        <v>3321.9237021353215</v>
      </c>
      <c r="CF13" s="336"/>
      <c r="CG13" s="336"/>
      <c r="CH13" s="205"/>
      <c r="CI13" s="205"/>
      <c r="CJ13" s="205"/>
      <c r="CK13" s="205"/>
      <c r="CL13" s="205"/>
      <c r="CM13" s="205"/>
      <c r="CN13" s="588"/>
      <c r="CO13" s="588"/>
      <c r="DJ13" s="655"/>
    </row>
    <row r="14" spans="1:114" ht="12.75" customHeight="1">
      <c r="A14" s="121"/>
      <c r="B14" s="4" t="s">
        <v>1536</v>
      </c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  <c r="AA14" s="13">
        <f>AA13-AA12</f>
        <v>24</v>
      </c>
      <c r="AB14" s="444"/>
      <c r="AC14" s="444"/>
      <c r="AD14" s="444"/>
      <c r="AE14" s="444"/>
      <c r="AF14" s="13">
        <f>AF13-AF12</f>
        <v>4</v>
      </c>
      <c r="AG14" s="444"/>
      <c r="AH14" s="444"/>
      <c r="AI14" s="444"/>
      <c r="AJ14" s="444"/>
      <c r="AK14" s="13">
        <f>AK13-AK12</f>
        <v>39</v>
      </c>
      <c r="AL14" s="444"/>
      <c r="AM14" s="444"/>
      <c r="AN14" s="444"/>
      <c r="AO14" s="444"/>
      <c r="AP14" s="13">
        <f>AP13-AP12</f>
        <v>368</v>
      </c>
      <c r="AQ14" s="444"/>
      <c r="AR14" s="444"/>
      <c r="AS14" s="444"/>
      <c r="AT14" s="444"/>
      <c r="AU14" s="13">
        <f>AU13-AU12</f>
        <v>-5</v>
      </c>
      <c r="AV14" s="444"/>
      <c r="AW14" s="444"/>
      <c r="AX14" s="444"/>
      <c r="AY14" s="444"/>
      <c r="AZ14" s="13">
        <f t="shared" ref="AZ14:BE14" si="5">AZ13-AZ12</f>
        <v>-272</v>
      </c>
      <c r="BA14" s="444"/>
      <c r="BB14" s="444"/>
      <c r="BC14" s="444"/>
      <c r="BD14" s="444"/>
      <c r="BE14" s="13">
        <f t="shared" si="5"/>
        <v>-16</v>
      </c>
      <c r="BF14" s="444"/>
      <c r="BG14" s="444"/>
      <c r="BH14" s="444"/>
      <c r="BI14" s="444"/>
      <c r="BJ14" s="13">
        <f t="shared" ref="BJ14" si="6">BJ13-BJ12</f>
        <v>-7</v>
      </c>
      <c r="BK14" s="444"/>
      <c r="BL14" s="444"/>
      <c r="BM14" s="444"/>
      <c r="BN14" s="444"/>
      <c r="BO14" s="13">
        <f t="shared" ref="BO14" si="7">BO13-BO12</f>
        <v>-1</v>
      </c>
      <c r="BP14" s="187">
        <v>-290</v>
      </c>
      <c r="BQ14" s="93"/>
      <c r="BR14" s="93"/>
      <c r="BS14" s="93"/>
      <c r="BT14" s="93"/>
      <c r="BU14" s="93"/>
      <c r="BV14" s="93"/>
      <c r="BW14" s="93"/>
      <c r="BX14" s="93"/>
      <c r="BY14" s="93"/>
      <c r="BZ14" s="93"/>
      <c r="CA14" s="93"/>
      <c r="CB14" s="93"/>
      <c r="CC14" s="93"/>
      <c r="CD14" s="93"/>
      <c r="CF14" s="336"/>
      <c r="CG14" s="336"/>
      <c r="CH14" s="206"/>
      <c r="CI14" s="206"/>
      <c r="CJ14" s="206"/>
      <c r="CK14" s="206"/>
      <c r="CL14" s="206"/>
      <c r="CM14" s="206"/>
      <c r="CN14" s="336"/>
      <c r="CO14" s="336"/>
      <c r="DJ14" s="654" t="s">
        <v>3593</v>
      </c>
    </row>
    <row r="15" spans="1:114">
      <c r="CF15" s="336"/>
      <c r="CG15" s="336"/>
      <c r="CH15" s="336"/>
      <c r="CI15" s="336"/>
      <c r="CJ15" s="336"/>
      <c r="CK15" s="336"/>
      <c r="CL15" s="336"/>
      <c r="CM15" s="336"/>
      <c r="CN15" s="336"/>
      <c r="CO15" s="336"/>
      <c r="DJ15" s="655" t="s">
        <v>3594</v>
      </c>
    </row>
    <row r="16" spans="1:114" ht="12.75" customHeight="1">
      <c r="A16" s="121"/>
      <c r="B16" s="4" t="s">
        <v>3411</v>
      </c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  <c r="AA16" s="5">
        <f>AA594+AA699+AA814+AA537</f>
        <v>1385</v>
      </c>
      <c r="AB16" s="93"/>
      <c r="AC16" s="93"/>
      <c r="AD16" s="93"/>
      <c r="AE16" s="93"/>
      <c r="AF16" s="5">
        <f>AF594+AF699+AF814+AF537</f>
        <v>1366</v>
      </c>
      <c r="AG16" s="93"/>
      <c r="AH16" s="93"/>
      <c r="AI16" s="93"/>
      <c r="AJ16" s="93"/>
      <c r="AK16" s="5">
        <f>AK594+AK699+AK814+AK537</f>
        <v>1320</v>
      </c>
      <c r="AL16" s="93"/>
      <c r="AM16" s="93"/>
      <c r="AN16" s="93"/>
      <c r="AO16" s="93"/>
      <c r="AP16" s="5">
        <f>AP594+AP699+AP814+AP537</f>
        <v>1038</v>
      </c>
      <c r="AQ16" s="93"/>
      <c r="AR16" s="93"/>
      <c r="AS16" s="93"/>
      <c r="AT16" s="93"/>
      <c r="AU16" s="5">
        <f>AU594+AU699+AU814+AU537</f>
        <v>1027</v>
      </c>
      <c r="AV16" s="93"/>
      <c r="AW16" s="93"/>
      <c r="AX16" s="93"/>
      <c r="AY16" s="93"/>
      <c r="AZ16" s="5">
        <f>AZ594+AZ699+AZ814+AZ537</f>
        <v>1089</v>
      </c>
      <c r="BA16" s="93"/>
      <c r="BB16" s="93"/>
      <c r="BC16" s="93"/>
      <c r="BD16" s="93"/>
      <c r="BE16" s="5">
        <f>BE594+BE699+BE814+BE537</f>
        <v>193</v>
      </c>
      <c r="BF16" s="93"/>
      <c r="BG16" s="93"/>
      <c r="BH16" s="93"/>
      <c r="BI16" s="93"/>
      <c r="BJ16" s="5">
        <f>BJ594+BJ699+BJ814+BJ537</f>
        <v>717</v>
      </c>
      <c r="BK16" s="93"/>
      <c r="BL16" s="93"/>
      <c r="BM16" s="93"/>
      <c r="BN16" s="93"/>
      <c r="BO16" s="5">
        <f>BO594+BO699+BO814+BO537</f>
        <v>834</v>
      </c>
      <c r="BP16" s="12">
        <f>BP594+BP699+BP814+BP537</f>
        <v>199.05256567421361</v>
      </c>
      <c r="BQ16" s="12">
        <f>BQ594+BQ699+BQ814+BQ537</f>
        <v>203.43920567875639</v>
      </c>
      <c r="BR16" s="12">
        <f>BR594+BR699+BR814+BR537</f>
        <v>202.61626842495866</v>
      </c>
      <c r="BS16" s="12">
        <f>BS594+BS699+BS814+BS537</f>
        <v>200.45342082832161</v>
      </c>
      <c r="BT16" s="5">
        <f>SUM(BP16:BS16)</f>
        <v>805.56146060625019</v>
      </c>
      <c r="BU16" s="12">
        <f>BU594+BU699+BU814+BU537</f>
        <v>195.90484249031246</v>
      </c>
      <c r="BV16" s="12">
        <f>BV594+BV699+BV814+BV537</f>
        <v>195.98127354278029</v>
      </c>
      <c r="BW16" s="12">
        <f>BW594+BW699+BW814+BW537</f>
        <v>195.94695491780567</v>
      </c>
      <c r="BX16" s="12">
        <f>BX594+BX699+BX814+BX537</f>
        <v>195.83503667888704</v>
      </c>
      <c r="BY16" s="5">
        <f>SUM(BU16:BX16)</f>
        <v>783.66810762978548</v>
      </c>
      <c r="BZ16" s="12">
        <f>BZ594+BZ699+BZ814+BZ537</f>
        <v>194.41622566455266</v>
      </c>
      <c r="CA16" s="12">
        <f>CA594+CA699+CA814+CA537</f>
        <v>196.80550159065146</v>
      </c>
      <c r="CB16" s="12">
        <f>CB594+CB699+CB814+CB537</f>
        <v>197.92192416126474</v>
      </c>
      <c r="CC16" s="12">
        <f>CC594+CC699+CC814+CC537</f>
        <v>198.56513378943265</v>
      </c>
      <c r="CD16" s="5">
        <f>SUM(BZ16:CC16)</f>
        <v>787.70878520590145</v>
      </c>
      <c r="CF16" s="336"/>
      <c r="CG16" s="336"/>
      <c r="CH16" s="205"/>
      <c r="CI16" s="205"/>
      <c r="CJ16" s="205"/>
      <c r="CK16" s="205"/>
      <c r="CL16" s="205"/>
      <c r="CM16" s="205"/>
      <c r="CN16" s="336"/>
      <c r="CO16" s="336"/>
      <c r="DJ16" s="654" t="s">
        <v>3595</v>
      </c>
    </row>
    <row r="17" spans="1:256" s="406" customFormat="1" ht="12.75" customHeight="1">
      <c r="A17" s="253"/>
      <c r="B17" s="137"/>
      <c r="C17" s="138"/>
      <c r="D17" s="138"/>
      <c r="E17" s="138"/>
      <c r="F17" s="138"/>
      <c r="G17" s="138"/>
      <c r="H17" s="181"/>
      <c r="I17" s="181"/>
      <c r="J17" s="181"/>
      <c r="K17" s="181"/>
      <c r="L17" s="138"/>
      <c r="M17" s="181"/>
      <c r="N17" s="181"/>
      <c r="O17" s="181"/>
      <c r="P17" s="181"/>
      <c r="Q17" s="138"/>
      <c r="R17" s="181"/>
      <c r="S17" s="181"/>
      <c r="T17" s="181"/>
      <c r="U17" s="181"/>
      <c r="V17" s="138"/>
      <c r="W17" s="181"/>
      <c r="X17" s="181"/>
      <c r="Y17" s="181"/>
      <c r="Z17" s="181"/>
      <c r="AA17" s="138"/>
      <c r="AB17" s="181"/>
      <c r="AC17" s="181"/>
      <c r="AD17" s="181"/>
      <c r="AE17" s="181"/>
      <c r="AF17" s="138"/>
      <c r="AG17" s="181"/>
      <c r="AH17" s="181"/>
      <c r="AI17" s="181"/>
      <c r="AJ17" s="181"/>
      <c r="AK17" s="138"/>
      <c r="AL17" s="181"/>
      <c r="AM17" s="181"/>
      <c r="AN17" s="181"/>
      <c r="AO17" s="181"/>
      <c r="AP17" s="138"/>
      <c r="AQ17" s="181"/>
      <c r="AR17" s="181"/>
      <c r="AS17" s="181"/>
      <c r="AT17" s="181"/>
      <c r="AU17" s="138"/>
      <c r="AV17" s="181"/>
      <c r="AW17" s="181"/>
      <c r="AX17" s="181"/>
      <c r="AY17" s="181"/>
      <c r="AZ17" s="138"/>
      <c r="BA17" s="181"/>
      <c r="BB17" s="181"/>
      <c r="BC17" s="181"/>
      <c r="BD17" s="181"/>
      <c r="BE17" s="205"/>
      <c r="BF17" s="181"/>
      <c r="BG17" s="181"/>
      <c r="BH17" s="181"/>
      <c r="BI17" s="181"/>
      <c r="BJ17" s="205"/>
      <c r="BK17" s="181"/>
      <c r="BL17" s="181"/>
      <c r="BM17" s="181"/>
      <c r="BN17" s="181"/>
      <c r="BO17" s="205"/>
      <c r="BP17" s="181"/>
      <c r="BQ17" s="181"/>
      <c r="BR17" s="181"/>
      <c r="BS17" s="181"/>
      <c r="BT17" s="138"/>
      <c r="BU17" s="181"/>
      <c r="BV17" s="181"/>
      <c r="BW17" s="181"/>
      <c r="BX17" s="181"/>
      <c r="BY17" s="138"/>
      <c r="BZ17" s="181"/>
      <c r="CA17" s="181"/>
      <c r="CB17" s="181"/>
      <c r="CC17" s="181"/>
      <c r="CD17" s="138"/>
      <c r="CF17" s="336"/>
      <c r="CG17" s="336"/>
      <c r="CH17" s="205"/>
      <c r="CI17" s="205"/>
      <c r="CJ17" s="205"/>
      <c r="CK17" s="205"/>
      <c r="CL17" s="205"/>
      <c r="CM17" s="205"/>
      <c r="CN17" s="336"/>
      <c r="CO17" s="336"/>
      <c r="DJ17" s="655" t="s">
        <v>3596</v>
      </c>
    </row>
    <row r="18" spans="1:256" ht="12.75" customHeight="1">
      <c r="A18" s="4" t="s">
        <v>2319</v>
      </c>
      <c r="B18" s="4"/>
      <c r="C18" s="5">
        <v>591</v>
      </c>
      <c r="D18" s="5">
        <v>703</v>
      </c>
      <c r="E18" s="5">
        <v>1305</v>
      </c>
      <c r="F18" s="5">
        <v>1118</v>
      </c>
      <c r="G18" s="5">
        <v>1131</v>
      </c>
      <c r="H18" s="93"/>
      <c r="I18" s="93"/>
      <c r="J18" s="93"/>
      <c r="K18" s="93"/>
      <c r="L18" s="5">
        <v>1639</v>
      </c>
      <c r="M18" s="93"/>
      <c r="N18" s="93"/>
      <c r="O18" s="93"/>
      <c r="P18" s="93"/>
      <c r="Q18" s="5">
        <v>1294</v>
      </c>
      <c r="R18" s="93"/>
      <c r="S18" s="93"/>
      <c r="T18" s="93"/>
      <c r="U18" s="93"/>
      <c r="V18" s="5">
        <v>1907</v>
      </c>
      <c r="W18" s="93"/>
      <c r="X18" s="93"/>
      <c r="Y18" s="93"/>
      <c r="Z18" s="93"/>
      <c r="AA18" s="5">
        <v>2650</v>
      </c>
      <c r="AB18" s="93"/>
      <c r="AC18" s="93"/>
      <c r="AD18" s="93"/>
      <c r="AE18" s="93"/>
      <c r="AF18" s="5">
        <v>-288</v>
      </c>
      <c r="AG18" s="93"/>
      <c r="AH18" s="93"/>
      <c r="AI18" s="93"/>
      <c r="AJ18" s="93"/>
      <c r="AK18" s="205">
        <v>316</v>
      </c>
      <c r="AL18" s="93"/>
      <c r="AM18" s="93"/>
      <c r="AN18" s="93"/>
      <c r="AO18" s="93"/>
      <c r="AP18" s="205">
        <v>608</v>
      </c>
      <c r="AQ18" s="93"/>
      <c r="AR18" s="93"/>
      <c r="AS18" s="93"/>
      <c r="AT18" s="93"/>
      <c r="AU18" s="205">
        <v>799</v>
      </c>
      <c r="AV18" s="93"/>
      <c r="AW18" s="93"/>
      <c r="AX18" s="93"/>
      <c r="AY18" s="93"/>
      <c r="AZ18" s="205">
        <v>1664</v>
      </c>
      <c r="BA18" s="93"/>
      <c r="BB18" s="93"/>
      <c r="BC18" s="93"/>
      <c r="BD18" s="93"/>
      <c r="BE18" s="205">
        <v>801</v>
      </c>
      <c r="BF18" s="93"/>
      <c r="BG18" s="93"/>
      <c r="BH18" s="93"/>
      <c r="BI18" s="93"/>
      <c r="BJ18" s="205">
        <v>-539</v>
      </c>
      <c r="BK18" s="93"/>
      <c r="BL18" s="93"/>
      <c r="BM18" s="93"/>
      <c r="BN18" s="93"/>
      <c r="BO18" s="205">
        <v>14</v>
      </c>
      <c r="BP18" s="12">
        <f>BT18/4</f>
        <v>100</v>
      </c>
      <c r="BQ18" s="12">
        <f>(BT18-BP18)/3</f>
        <v>100</v>
      </c>
      <c r="BR18" s="12">
        <f>(BT18-BP18-BQ18)/2</f>
        <v>100</v>
      </c>
      <c r="BS18" s="12">
        <f>BT18-SUM(BP18:BR18)</f>
        <v>100</v>
      </c>
      <c r="BT18" s="139">
        <v>400</v>
      </c>
      <c r="BU18" s="12">
        <f>BY18/4</f>
        <v>100</v>
      </c>
      <c r="BV18" s="12">
        <f>(BY18-BU18)/3</f>
        <v>100</v>
      </c>
      <c r="BW18" s="12">
        <f>(BY18-BU18-BV18)/2</f>
        <v>100</v>
      </c>
      <c r="BX18" s="12">
        <f>BY18-SUM(BU18:BW18)</f>
        <v>100</v>
      </c>
      <c r="BY18" s="139">
        <v>400</v>
      </c>
      <c r="BZ18" s="12">
        <f>CD18/4</f>
        <v>100</v>
      </c>
      <c r="CA18" s="12">
        <f>(CD18-BZ18)/3</f>
        <v>100</v>
      </c>
      <c r="CB18" s="12">
        <f>(CD18-BZ18-CA18)/2</f>
        <v>100</v>
      </c>
      <c r="CC18" s="12">
        <f>CD18-SUM(BZ18:CB18)</f>
        <v>100</v>
      </c>
      <c r="CD18" s="139">
        <v>400</v>
      </c>
      <c r="CF18" s="336"/>
      <c r="CG18" s="336"/>
      <c r="CH18" s="205"/>
      <c r="CI18" s="205"/>
      <c r="CJ18" s="205"/>
      <c r="CK18" s="205"/>
      <c r="CL18" s="205"/>
      <c r="CM18" s="205"/>
      <c r="CN18" s="336"/>
      <c r="CO18" s="336"/>
      <c r="DJ18" s="654" t="s">
        <v>3597</v>
      </c>
    </row>
    <row r="19" spans="1:256" ht="12.75" customHeight="1">
      <c r="A19" s="7" t="s">
        <v>2226</v>
      </c>
      <c r="B19" s="4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  <c r="AA19" s="8">
        <f>+AA9+AA11+AA18-AA13</f>
        <v>22852</v>
      </c>
      <c r="AB19" s="94"/>
      <c r="AC19" s="94"/>
      <c r="AD19" s="94"/>
      <c r="AE19" s="94"/>
      <c r="AF19" s="8">
        <f>+AF9+AF11+AF18-AF13</f>
        <v>28269</v>
      </c>
      <c r="AG19" s="94"/>
      <c r="AH19" s="94"/>
      <c r="AI19" s="94"/>
      <c r="AJ19" s="94"/>
      <c r="AK19" s="8">
        <f>+AK9+AK11+AK18-AK13</f>
        <v>26366</v>
      </c>
      <c r="AL19" s="94"/>
      <c r="AM19" s="94"/>
      <c r="AN19" s="94"/>
      <c r="AO19" s="94"/>
      <c r="AP19" s="8">
        <f>+AP9+AP11+AP18-AP13</f>
        <v>22474</v>
      </c>
      <c r="AQ19" s="94"/>
      <c r="AR19" s="94"/>
      <c r="AS19" s="94"/>
      <c r="AT19" s="94"/>
      <c r="AU19" s="8">
        <f>+AU9+AU11+AU18-AU13</f>
        <v>16657</v>
      </c>
      <c r="AV19" s="107">
        <f>Segments!AV10</f>
        <v>4659</v>
      </c>
      <c r="AW19" s="107">
        <f>Segments!AW10</f>
        <v>4049</v>
      </c>
      <c r="AX19" s="107">
        <f>Segments!AX10</f>
        <v>3311</v>
      </c>
      <c r="AY19" s="107">
        <f>Segments!AY10</f>
        <v>-3085</v>
      </c>
      <c r="AZ19" s="8">
        <f>+AZ9+AZ11+AZ18-AZ13</f>
        <v>9181</v>
      </c>
      <c r="BA19" s="107">
        <f>Segments!BA10</f>
        <v>372</v>
      </c>
      <c r="BB19" s="107">
        <f>Segments!BB10</f>
        <v>228</v>
      </c>
      <c r="BC19" s="107">
        <f>Segments!BC10</f>
        <v>743</v>
      </c>
      <c r="BD19" s="107">
        <f>Segments!BD10</f>
        <v>-2280</v>
      </c>
      <c r="BE19" s="8">
        <f>+BE9+BE11+BE18-BE13</f>
        <v>-937</v>
      </c>
      <c r="BF19" s="107">
        <f>Segments!BF10</f>
        <v>-1205</v>
      </c>
      <c r="BG19" s="107">
        <f>Segments!BG10</f>
        <v>-109</v>
      </c>
      <c r="BH19" s="107">
        <f>Segments!BH10</f>
        <v>1196</v>
      </c>
      <c r="BI19" s="107">
        <f>Segments!BI10</f>
        <v>692</v>
      </c>
      <c r="BJ19" s="8">
        <f>+BJ9+BJ11+BJ18-BJ13</f>
        <v>574</v>
      </c>
      <c r="BK19" s="107">
        <f>Segments!BK10</f>
        <v>1256</v>
      </c>
      <c r="BL19" s="107">
        <f>Segments!BL10</f>
        <v>795</v>
      </c>
      <c r="BM19" s="107">
        <f>Segments!BM10</f>
        <v>1242</v>
      </c>
      <c r="BN19" s="107">
        <f>Segments!BN10</f>
        <v>1928</v>
      </c>
      <c r="BO19" s="8">
        <f>+BO9+BO11+BO18-BO13</f>
        <v>5221</v>
      </c>
      <c r="BP19" s="266">
        <f>+BP9+BP16+BP18</f>
        <v>3188.5992453804474</v>
      </c>
      <c r="BQ19" s="266">
        <f>+BQ9+BQ16+BQ18</f>
        <v>3469.2947773112592</v>
      </c>
      <c r="BR19" s="266">
        <f>+BR9+BR16+BR18</f>
        <v>3419.8350830093696</v>
      </c>
      <c r="BS19" s="266">
        <f>+BS9+BS16+BS18</f>
        <v>3328.8200957335225</v>
      </c>
      <c r="BT19" s="76">
        <f>SUM(BP19:BS19)</f>
        <v>13406.5492014346</v>
      </c>
      <c r="BU19" s="266">
        <f>+BU9+BU16+BU18</f>
        <v>3022.0940076910179</v>
      </c>
      <c r="BV19" s="266">
        <f>+BV9+BV16+BV18</f>
        <v>3025.9772800128012</v>
      </c>
      <c r="BW19" s="266">
        <f>+BW9+BW16+BW18</f>
        <v>3050.5181526629212</v>
      </c>
      <c r="BX19" s="266">
        <f>+BX9+BX16+BX18</f>
        <v>3060.1832132635736</v>
      </c>
      <c r="BY19" s="76">
        <f>SUM(BU19:BX19)</f>
        <v>12158.772653630314</v>
      </c>
      <c r="BZ19" s="266">
        <f>+BZ9+BZ16+BZ18</f>
        <v>2923.2995335794899</v>
      </c>
      <c r="CA19" s="266">
        <f>+CA9+CA16+CA18</f>
        <v>3061.7798224220128</v>
      </c>
      <c r="CB19" s="266">
        <f>+CB9+CB16+CB18</f>
        <v>3154.5134306046239</v>
      </c>
      <c r="CC19" s="266">
        <f>+CC9+CC16+CC18</f>
        <v>3222.6681736809719</v>
      </c>
      <c r="CD19" s="76">
        <f>SUM(BZ19:CC19)</f>
        <v>12362.260960287098</v>
      </c>
      <c r="CF19" s="336"/>
      <c r="CG19" s="336"/>
      <c r="CH19" s="264"/>
      <c r="CI19" s="264"/>
      <c r="CJ19" s="264"/>
      <c r="CK19" s="264"/>
      <c r="CL19" s="264"/>
      <c r="CM19" s="264"/>
      <c r="CN19" s="336"/>
      <c r="CO19" s="336"/>
      <c r="DJ19" s="655" t="s">
        <v>3598</v>
      </c>
    </row>
    <row r="20" spans="1:256" ht="12.75" customHeight="1">
      <c r="A20" s="7"/>
      <c r="B20" s="4"/>
      <c r="C20" s="266"/>
      <c r="D20" s="266"/>
      <c r="E20" s="266"/>
      <c r="F20" s="266"/>
      <c r="G20" s="266"/>
      <c r="H20" s="266"/>
      <c r="I20" s="266"/>
      <c r="J20" s="266"/>
      <c r="K20" s="266"/>
      <c r="L20" s="266"/>
      <c r="M20" s="266"/>
      <c r="N20" s="266"/>
      <c r="O20" s="266"/>
      <c r="P20" s="266"/>
      <c r="Q20" s="266"/>
      <c r="R20" s="266"/>
      <c r="S20" s="266"/>
      <c r="T20" s="266"/>
      <c r="U20" s="266"/>
      <c r="V20" s="266"/>
      <c r="W20" s="266"/>
      <c r="X20" s="266"/>
      <c r="Y20" s="266"/>
      <c r="Z20" s="266"/>
      <c r="AA20" s="266"/>
      <c r="AB20" s="266"/>
      <c r="AC20" s="266"/>
      <c r="AD20" s="266"/>
      <c r="AE20" s="266"/>
      <c r="AF20" s="266"/>
      <c r="AG20" s="266"/>
      <c r="AH20" s="266"/>
      <c r="AI20" s="266"/>
      <c r="AJ20" s="266"/>
      <c r="AK20" s="266"/>
      <c r="AL20" s="266"/>
      <c r="AM20" s="266"/>
      <c r="AN20" s="266"/>
      <c r="AO20" s="266"/>
      <c r="AP20" s="266"/>
      <c r="AQ20" s="266"/>
      <c r="AR20" s="266"/>
      <c r="AS20" s="266"/>
      <c r="AT20" s="266"/>
      <c r="AU20" s="76"/>
      <c r="AV20" s="266"/>
      <c r="AW20" s="266"/>
      <c r="AX20" s="266"/>
      <c r="AY20" s="266"/>
      <c r="AZ20" s="76"/>
      <c r="BA20" s="266"/>
      <c r="BB20" s="266"/>
      <c r="BC20" s="266"/>
      <c r="BD20" s="266"/>
      <c r="BE20" s="76"/>
      <c r="BF20" s="266"/>
      <c r="BG20" s="266"/>
      <c r="BH20" s="266"/>
      <c r="BI20" s="266"/>
      <c r="BJ20" s="76"/>
      <c r="BK20" s="266"/>
      <c r="BL20" s="266"/>
      <c r="BM20" s="266"/>
      <c r="BN20" s="266"/>
      <c r="BO20" s="76"/>
      <c r="BP20" s="266"/>
      <c r="BQ20" s="266"/>
      <c r="BR20" s="266"/>
      <c r="BS20" s="266"/>
      <c r="BT20" s="76"/>
      <c r="BU20" s="266"/>
      <c r="BV20" s="266"/>
      <c r="BW20" s="266"/>
      <c r="BX20" s="266"/>
      <c r="BY20" s="76"/>
      <c r="BZ20" s="266"/>
      <c r="CA20" s="266"/>
      <c r="CB20" s="266"/>
      <c r="CC20" s="266"/>
      <c r="CD20" s="76"/>
      <c r="CF20" s="336"/>
      <c r="CG20" s="336"/>
      <c r="CH20" s="264"/>
      <c r="CI20" s="264"/>
      <c r="CJ20" s="264"/>
      <c r="CK20" s="264"/>
      <c r="CL20" s="264"/>
      <c r="CM20" s="264"/>
      <c r="CN20" s="336"/>
      <c r="CO20" s="336"/>
      <c r="DJ20" s="654" t="s">
        <v>3599</v>
      </c>
    </row>
    <row r="21" spans="1:256" ht="12.75" customHeight="1">
      <c r="A21" s="4" t="s">
        <v>364</v>
      </c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  <c r="AA21" s="207">
        <f>-Segments!AA33</f>
        <v>-3184</v>
      </c>
      <c r="AB21" s="94"/>
      <c r="AC21" s="94"/>
      <c r="AD21" s="94"/>
      <c r="AE21" s="94"/>
      <c r="AF21" s="207">
        <f>-Segments!AF33</f>
        <v>-3196</v>
      </c>
      <c r="AG21" s="94"/>
      <c r="AH21" s="94"/>
      <c r="AI21" s="94"/>
      <c r="AJ21" s="94"/>
      <c r="AK21" s="207">
        <f>-Segments!AK33</f>
        <v>-1141</v>
      </c>
      <c r="AL21" s="94"/>
      <c r="AM21" s="94"/>
      <c r="AN21" s="94"/>
      <c r="AO21" s="94"/>
      <c r="AP21" s="207">
        <f>-Segments!AP33</f>
        <v>-3055</v>
      </c>
      <c r="AQ21" s="94"/>
      <c r="AR21" s="94"/>
      <c r="AS21" s="94"/>
      <c r="AT21" s="94"/>
      <c r="AU21" s="207">
        <f>-Segments!AU33</f>
        <v>1608</v>
      </c>
      <c r="AV21" s="94"/>
      <c r="AW21" s="94"/>
      <c r="AX21" s="94"/>
      <c r="AY21" s="94"/>
      <c r="AZ21" s="207">
        <f>-Segments!AZ33</f>
        <v>6267</v>
      </c>
      <c r="BA21" s="94"/>
      <c r="BB21" s="94"/>
      <c r="BC21" s="94"/>
      <c r="BD21" s="94"/>
      <c r="BE21" s="207">
        <f>-Segments!BE33</f>
        <v>2130</v>
      </c>
      <c r="BF21" s="94"/>
      <c r="BG21" s="94"/>
      <c r="BH21" s="94"/>
      <c r="BI21" s="94"/>
      <c r="BJ21" s="207">
        <f>-Segments!BJ33</f>
        <v>-1116</v>
      </c>
      <c r="BK21" s="94"/>
      <c r="BL21" s="94"/>
      <c r="BM21" s="94"/>
      <c r="BN21" s="94"/>
      <c r="BO21" s="207">
        <f>-Segments!BO33</f>
        <v>644</v>
      </c>
      <c r="BP21" s="93"/>
      <c r="BQ21" s="93"/>
      <c r="BR21" s="93"/>
      <c r="BS21" s="93"/>
      <c r="BT21" s="93"/>
      <c r="BU21" s="93"/>
      <c r="BV21" s="93"/>
      <c r="BW21" s="93"/>
      <c r="BX21" s="93"/>
      <c r="BY21" s="93"/>
      <c r="BZ21" s="93"/>
      <c r="CA21" s="93"/>
      <c r="CB21" s="93"/>
      <c r="CC21" s="93"/>
      <c r="CD21" s="93"/>
      <c r="CF21" s="336"/>
      <c r="CG21" s="336"/>
      <c r="CH21" s="206"/>
      <c r="CI21" s="206"/>
      <c r="CJ21" s="206"/>
      <c r="CK21" s="206"/>
      <c r="CL21" s="206"/>
      <c r="CM21" s="206"/>
      <c r="CN21" s="336"/>
      <c r="CO21" s="336"/>
      <c r="DJ21" s="655" t="s">
        <v>3600</v>
      </c>
    </row>
    <row r="22" spans="1:256" ht="12.75" customHeight="1">
      <c r="A22" s="7" t="s">
        <v>2227</v>
      </c>
      <c r="B22" s="4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  <c r="AA22" s="8">
        <f>Segments!AA51</f>
        <v>19668</v>
      </c>
      <c r="AB22" s="94"/>
      <c r="AC22" s="94"/>
      <c r="AD22" s="94"/>
      <c r="AE22" s="94"/>
      <c r="AF22" s="8">
        <f>Segments!AF51</f>
        <v>25073</v>
      </c>
      <c r="AG22" s="94"/>
      <c r="AH22" s="94"/>
      <c r="AI22" s="94"/>
      <c r="AJ22" s="94"/>
      <c r="AK22" s="8">
        <f>Segments!AK51</f>
        <v>25225</v>
      </c>
      <c r="AL22" s="107">
        <f>Segments!AL51</f>
        <v>6290</v>
      </c>
      <c r="AM22" s="107">
        <f>Segments!AM51</f>
        <v>4401</v>
      </c>
      <c r="AN22" s="107">
        <f>Segments!AN51</f>
        <v>4369</v>
      </c>
      <c r="AO22" s="107">
        <f>Segments!AO51</f>
        <v>4359</v>
      </c>
      <c r="AP22" s="8">
        <f>Segments!AP51</f>
        <v>19419</v>
      </c>
      <c r="AQ22" s="107">
        <f>Segments!AQ51</f>
        <v>5702</v>
      </c>
      <c r="AR22" s="107">
        <f>Segments!AR51</f>
        <v>4288</v>
      </c>
      <c r="AS22" s="107">
        <f>Segments!AS51</f>
        <v>4423</v>
      </c>
      <c r="AT22" s="107">
        <f>Segments!AT51</f>
        <v>3852</v>
      </c>
      <c r="AU22" s="8">
        <f>Segments!AU51</f>
        <v>18265</v>
      </c>
      <c r="AV22" s="107">
        <f>Segments!AV51</f>
        <v>4401</v>
      </c>
      <c r="AW22" s="107">
        <f>Segments!AW51</f>
        <v>4655</v>
      </c>
      <c r="AX22" s="107">
        <f>Segments!AX51</f>
        <v>3899</v>
      </c>
      <c r="AY22" s="107">
        <f>Segments!AY51</f>
        <v>2246</v>
      </c>
      <c r="AZ22" s="8">
        <f>Segments!AZ51</f>
        <v>15201</v>
      </c>
      <c r="BA22" s="107">
        <f>Segments!BA51</f>
        <v>604</v>
      </c>
      <c r="BB22" s="107">
        <f>Segments!BB51</f>
        <v>494</v>
      </c>
      <c r="BC22" s="107">
        <f>Segments!BC51</f>
        <v>823</v>
      </c>
      <c r="BD22" s="107">
        <f>Segments!BD51</f>
        <v>-728</v>
      </c>
      <c r="BE22" s="8">
        <f>Segments!BE51</f>
        <v>1193</v>
      </c>
      <c r="BF22" s="107">
        <f>Segments!BF51</f>
        <v>-747</v>
      </c>
      <c r="BG22" s="107">
        <f>Segments!BG51</f>
        <v>29</v>
      </c>
      <c r="BH22" s="107">
        <f>Segments!BH51</f>
        <v>-224</v>
      </c>
      <c r="BI22" s="107">
        <f>Segments!BI51</f>
        <v>400</v>
      </c>
      <c r="BJ22" s="8">
        <f>Segments!BJ51</f>
        <v>-542</v>
      </c>
      <c r="BK22" s="107">
        <f>Segments!BK51</f>
        <v>1370</v>
      </c>
      <c r="BL22" s="107">
        <f>Segments!BL51</f>
        <v>710</v>
      </c>
      <c r="BM22" s="107">
        <f>Segments!BM51</f>
        <v>1562</v>
      </c>
      <c r="BN22" s="107">
        <f>Segments!BN51</f>
        <v>2223</v>
      </c>
      <c r="BO22" s="8">
        <f>Segments!BO51</f>
        <v>5865</v>
      </c>
      <c r="BP22" s="93"/>
      <c r="BQ22" s="93"/>
      <c r="BR22" s="93"/>
      <c r="BS22" s="93"/>
      <c r="BT22" s="93"/>
      <c r="BU22" s="93"/>
      <c r="BV22" s="93"/>
      <c r="BW22" s="93"/>
      <c r="BX22" s="93"/>
      <c r="BY22" s="93"/>
      <c r="BZ22" s="93"/>
      <c r="CA22" s="93"/>
      <c r="CB22" s="93"/>
      <c r="CC22" s="93"/>
      <c r="CD22" s="93"/>
      <c r="CF22" s="336"/>
      <c r="CG22" s="336"/>
      <c r="CH22" s="206"/>
      <c r="CI22" s="206"/>
      <c r="CJ22" s="206"/>
      <c r="CK22" s="206"/>
      <c r="CL22" s="206"/>
      <c r="CM22" s="206"/>
      <c r="CN22" s="336"/>
      <c r="CO22" s="336"/>
      <c r="DJ22" s="654" t="s">
        <v>3601</v>
      </c>
    </row>
    <row r="23" spans="1:256" s="406" customFormat="1" ht="12.75" customHeight="1">
      <c r="A23" s="148"/>
      <c r="B23" s="137"/>
      <c r="C23" s="179"/>
      <c r="D23" s="179"/>
      <c r="E23" s="179"/>
      <c r="F23" s="179"/>
      <c r="G23" s="179"/>
      <c r="H23" s="179"/>
      <c r="I23" s="179"/>
      <c r="J23" s="179"/>
      <c r="K23" s="179"/>
      <c r="L23" s="179"/>
      <c r="M23" s="179"/>
      <c r="N23" s="179"/>
      <c r="O23" s="179"/>
      <c r="P23" s="179"/>
      <c r="Q23" s="179"/>
      <c r="R23" s="179"/>
      <c r="S23" s="179"/>
      <c r="T23" s="179"/>
      <c r="U23" s="179"/>
      <c r="V23" s="179"/>
      <c r="W23" s="179"/>
      <c r="X23" s="179"/>
      <c r="Y23" s="179"/>
      <c r="Z23" s="179"/>
      <c r="AA23" s="179"/>
      <c r="AB23" s="180"/>
      <c r="AC23" s="180"/>
      <c r="AD23" s="180"/>
      <c r="AE23" s="180"/>
      <c r="AF23" s="179"/>
      <c r="AG23" s="180"/>
      <c r="AH23" s="180"/>
      <c r="AI23" s="180"/>
      <c r="AJ23" s="180"/>
      <c r="AK23" s="179"/>
      <c r="AL23" s="265"/>
      <c r="AM23" s="265"/>
      <c r="AN23" s="265"/>
      <c r="AO23" s="265"/>
      <c r="AP23" s="179"/>
      <c r="AQ23" s="265"/>
      <c r="AR23" s="265"/>
      <c r="AS23" s="265"/>
      <c r="AT23" s="265"/>
      <c r="AU23" s="264"/>
      <c r="AV23" s="265"/>
      <c r="AW23" s="265"/>
      <c r="AX23" s="265"/>
      <c r="AY23" s="265"/>
      <c r="AZ23" s="264"/>
      <c r="BA23" s="265"/>
      <c r="BB23" s="265"/>
      <c r="BC23" s="265"/>
      <c r="BD23" s="265"/>
      <c r="BE23" s="264"/>
      <c r="BF23" s="265"/>
      <c r="BG23" s="265"/>
      <c r="BH23" s="265"/>
      <c r="BI23" s="265"/>
      <c r="BJ23" s="264"/>
      <c r="BK23" s="265"/>
      <c r="BL23" s="265"/>
      <c r="BM23" s="265"/>
      <c r="BN23" s="265"/>
      <c r="BO23" s="264"/>
      <c r="BP23" s="265"/>
      <c r="BQ23" s="265"/>
      <c r="BR23" s="265"/>
      <c r="BS23" s="265"/>
      <c r="BT23" s="264"/>
      <c r="BU23" s="265"/>
      <c r="BV23" s="265"/>
      <c r="BW23" s="265"/>
      <c r="BX23" s="265"/>
      <c r="BY23" s="264"/>
      <c r="BZ23" s="265"/>
      <c r="CA23" s="265"/>
      <c r="CB23" s="265"/>
      <c r="CC23" s="265"/>
      <c r="CD23" s="264"/>
      <c r="CF23" s="336"/>
      <c r="CG23" s="336"/>
      <c r="CH23" s="264"/>
      <c r="CI23" s="264"/>
      <c r="CJ23" s="264"/>
      <c r="CK23" s="264"/>
      <c r="CL23" s="264"/>
      <c r="CM23" s="264"/>
      <c r="CN23" s="336"/>
      <c r="CO23" s="336"/>
      <c r="DJ23" s="655" t="s">
        <v>3602</v>
      </c>
    </row>
    <row r="24" spans="1:256" ht="12.75" customHeight="1">
      <c r="A24" s="121" t="s">
        <v>1361</v>
      </c>
      <c r="B24" s="4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  <c r="AA24" s="93"/>
      <c r="AB24" s="94"/>
      <c r="AC24" s="94"/>
      <c r="AD24" s="94"/>
      <c r="AE24" s="94"/>
      <c r="AF24" s="93"/>
      <c r="AG24" s="94"/>
      <c r="AH24" s="94"/>
      <c r="AI24" s="94"/>
      <c r="AJ24" s="94"/>
      <c r="AK24" s="93"/>
      <c r="AL24" s="93"/>
      <c r="AM24" s="93"/>
      <c r="AN24" s="93"/>
      <c r="AO24" s="93"/>
      <c r="AP24" s="93"/>
      <c r="AQ24" s="93"/>
      <c r="AR24" s="93"/>
      <c r="AS24" s="93"/>
      <c r="AT24" s="93"/>
      <c r="AU24" s="93"/>
      <c r="AV24" s="93"/>
      <c r="AW24" s="93"/>
      <c r="AX24" s="93"/>
      <c r="AY24" s="93"/>
      <c r="AZ24" s="93"/>
      <c r="BA24" s="93"/>
      <c r="BB24" s="93"/>
      <c r="BC24" s="93"/>
      <c r="BD24" s="93"/>
      <c r="BE24" s="93"/>
      <c r="BF24" s="93"/>
      <c r="BG24" s="93"/>
      <c r="BH24" s="93"/>
      <c r="BI24" s="93"/>
      <c r="BJ24" s="93"/>
      <c r="BK24" s="93"/>
      <c r="BL24" s="93"/>
      <c r="BM24" s="93"/>
      <c r="BN24" s="93"/>
      <c r="BO24" s="93"/>
      <c r="BP24" s="448">
        <v>-475</v>
      </c>
      <c r="BQ24" s="448">
        <v>0</v>
      </c>
      <c r="BR24" s="448">
        <v>0</v>
      </c>
      <c r="BS24" s="448">
        <v>0</v>
      </c>
      <c r="BT24" s="207">
        <f>SUM(BP24:BS24)</f>
        <v>-475</v>
      </c>
      <c r="BU24" s="448">
        <v>0</v>
      </c>
      <c r="BV24" s="448">
        <v>0</v>
      </c>
      <c r="BW24" s="448">
        <v>0</v>
      </c>
      <c r="BX24" s="448">
        <v>0</v>
      </c>
      <c r="BY24" s="207">
        <f t="shared" ref="BY24" si="8">SUM(BU24:BX24)</f>
        <v>0</v>
      </c>
      <c r="BZ24" s="448">
        <v>0</v>
      </c>
      <c r="CA24" s="448">
        <v>0</v>
      </c>
      <c r="CB24" s="448">
        <v>0</v>
      </c>
      <c r="CC24" s="448">
        <v>0</v>
      </c>
      <c r="CD24" s="207">
        <f t="shared" ref="CD24" si="9">SUM(BZ24:CC24)</f>
        <v>0</v>
      </c>
      <c r="CF24" s="336"/>
      <c r="CG24" s="336"/>
      <c r="CH24" s="586"/>
      <c r="CI24" s="586"/>
      <c r="CJ24" s="586"/>
      <c r="CK24" s="586"/>
      <c r="CL24" s="586"/>
      <c r="CM24" s="586"/>
      <c r="CN24" s="336"/>
      <c r="CO24" s="336"/>
      <c r="DJ24" s="654" t="s">
        <v>3603</v>
      </c>
    </row>
    <row r="25" spans="1:256" ht="12.75" customHeight="1">
      <c r="A25" s="14" t="s">
        <v>1428</v>
      </c>
      <c r="B25" s="269"/>
      <c r="C25" s="378"/>
      <c r="D25" s="378"/>
      <c r="E25" s="378"/>
      <c r="F25" s="378"/>
      <c r="G25" s="378"/>
      <c r="H25" s="378"/>
      <c r="I25" s="378"/>
      <c r="J25" s="378"/>
      <c r="K25" s="378"/>
      <c r="L25" s="378"/>
      <c r="M25" s="378"/>
      <c r="N25" s="378"/>
      <c r="O25" s="378"/>
      <c r="P25" s="378"/>
      <c r="Q25" s="378"/>
      <c r="R25" s="378"/>
      <c r="S25" s="378"/>
      <c r="T25" s="378"/>
      <c r="U25" s="378"/>
      <c r="V25" s="378"/>
      <c r="W25" s="378"/>
      <c r="X25" s="378"/>
      <c r="Y25" s="378"/>
      <c r="Z25" s="378"/>
      <c r="AA25" s="15">
        <f>Segments!AA51</f>
        <v>19668</v>
      </c>
      <c r="AB25" s="304"/>
      <c r="AC25" s="304"/>
      <c r="AD25" s="304"/>
      <c r="AE25" s="304"/>
      <c r="AF25" s="15">
        <f>Segments!AF51</f>
        <v>25073</v>
      </c>
      <c r="AG25" s="16">
        <f>Segments!AG51</f>
        <v>6684</v>
      </c>
      <c r="AH25" s="16">
        <f>Segments!AH51</f>
        <v>6330</v>
      </c>
      <c r="AI25" s="16">
        <f>Segments!AI51</f>
        <v>6287</v>
      </c>
      <c r="AJ25" s="16">
        <f>Segments!AJ51</f>
        <v>5924</v>
      </c>
      <c r="AK25" s="15">
        <f>Segments!AK51</f>
        <v>25225</v>
      </c>
      <c r="AL25" s="16">
        <f>Segments!AL51</f>
        <v>6290</v>
      </c>
      <c r="AM25" s="16">
        <f>Segments!AM51</f>
        <v>4401</v>
      </c>
      <c r="AN25" s="16">
        <f>Segments!AN51</f>
        <v>4369</v>
      </c>
      <c r="AO25" s="16">
        <f>Segments!AO51</f>
        <v>4359</v>
      </c>
      <c r="AP25" s="15">
        <f>Segments!AP51</f>
        <v>19419</v>
      </c>
      <c r="AQ25" s="16">
        <f>Segments!AQ51</f>
        <v>5702</v>
      </c>
      <c r="AR25" s="16">
        <f>Segments!AR51</f>
        <v>4288</v>
      </c>
      <c r="AS25" s="16">
        <f>Segments!AS51</f>
        <v>4423</v>
      </c>
      <c r="AT25" s="16">
        <f>Segments!AT51</f>
        <v>3852</v>
      </c>
      <c r="AU25" s="15">
        <f>Segments!AU51</f>
        <v>18265</v>
      </c>
      <c r="AV25" s="16">
        <f>Segments!AV51</f>
        <v>4401</v>
      </c>
      <c r="AW25" s="16">
        <f>Segments!AW51</f>
        <v>4655</v>
      </c>
      <c r="AX25" s="16">
        <f>Segments!AX51</f>
        <v>3899</v>
      </c>
      <c r="AY25" s="16">
        <f>Segments!AY51</f>
        <v>2246</v>
      </c>
      <c r="AZ25" s="15">
        <f>Segments!AZ51</f>
        <v>15201</v>
      </c>
      <c r="BA25" s="16">
        <f>Segments!BA51</f>
        <v>604</v>
      </c>
      <c r="BB25" s="16">
        <f>Segments!BB51</f>
        <v>494</v>
      </c>
      <c r="BC25" s="16">
        <f>Segments!BC51</f>
        <v>823</v>
      </c>
      <c r="BD25" s="16">
        <f>Segments!BD51</f>
        <v>-728</v>
      </c>
      <c r="BE25" s="15">
        <f>Segments!BE51</f>
        <v>1193</v>
      </c>
      <c r="BF25" s="16">
        <f>Segments!BF51</f>
        <v>-747</v>
      </c>
      <c r="BG25" s="16">
        <f>Segments!BG51</f>
        <v>29</v>
      </c>
      <c r="BH25" s="16">
        <f>Segments!BH51</f>
        <v>-224</v>
      </c>
      <c r="BI25" s="16">
        <f>Segments!BI51</f>
        <v>400</v>
      </c>
      <c r="BJ25" s="15">
        <f>Segments!BJ51</f>
        <v>-542</v>
      </c>
      <c r="BK25" s="16">
        <f>Segments!BK51</f>
        <v>1370</v>
      </c>
      <c r="BL25" s="16">
        <f>Segments!BL51</f>
        <v>710</v>
      </c>
      <c r="BM25" s="16">
        <f>Segments!BM51</f>
        <v>1562</v>
      </c>
      <c r="BN25" s="16">
        <f>Segments!BN51</f>
        <v>2223</v>
      </c>
      <c r="BO25" s="15">
        <f>Segments!BO51</f>
        <v>5865</v>
      </c>
      <c r="BP25" s="16">
        <f t="shared" ref="BP25:CD25" si="10">SUM(BP19,BP24)</f>
        <v>2713.5992453804474</v>
      </c>
      <c r="BQ25" s="16">
        <f t="shared" si="10"/>
        <v>3469.2947773112592</v>
      </c>
      <c r="BR25" s="16">
        <f t="shared" si="10"/>
        <v>3419.8350830093696</v>
      </c>
      <c r="BS25" s="16">
        <f t="shared" si="10"/>
        <v>3328.8200957335225</v>
      </c>
      <c r="BT25" s="15">
        <f t="shared" si="10"/>
        <v>12931.5492014346</v>
      </c>
      <c r="BU25" s="16">
        <f t="shared" si="10"/>
        <v>3022.0940076910179</v>
      </c>
      <c r="BV25" s="16">
        <f t="shared" si="10"/>
        <v>3025.9772800128012</v>
      </c>
      <c r="BW25" s="16">
        <f t="shared" si="10"/>
        <v>3050.5181526629212</v>
      </c>
      <c r="BX25" s="16">
        <f t="shared" si="10"/>
        <v>3060.1832132635736</v>
      </c>
      <c r="BY25" s="15">
        <f t="shared" si="10"/>
        <v>12158.772653630314</v>
      </c>
      <c r="BZ25" s="16">
        <f t="shared" si="10"/>
        <v>2923.2995335794899</v>
      </c>
      <c r="CA25" s="16">
        <f t="shared" si="10"/>
        <v>3061.7798224220128</v>
      </c>
      <c r="CB25" s="16">
        <f t="shared" si="10"/>
        <v>3154.5134306046239</v>
      </c>
      <c r="CC25" s="16">
        <f t="shared" si="10"/>
        <v>3222.6681736809719</v>
      </c>
      <c r="CD25" s="15">
        <f t="shared" si="10"/>
        <v>12362.260960287098</v>
      </c>
      <c r="CF25" s="336"/>
      <c r="CG25" s="336"/>
      <c r="CH25" s="264"/>
      <c r="CI25" s="264"/>
      <c r="CJ25" s="264"/>
      <c r="CK25" s="264"/>
      <c r="CL25" s="264"/>
      <c r="CM25" s="264"/>
      <c r="CN25" s="336"/>
      <c r="CO25" s="336"/>
      <c r="DJ25" s="655" t="s">
        <v>3604</v>
      </c>
    </row>
    <row r="26" spans="1:256">
      <c r="AZ26" s="632"/>
      <c r="BA26" s="632"/>
      <c r="BB26" s="632"/>
      <c r="BC26" s="632"/>
      <c r="BD26" s="632"/>
      <c r="BE26" s="632"/>
      <c r="BF26" s="632"/>
      <c r="BG26" s="632"/>
      <c r="BH26" s="632"/>
      <c r="BI26" s="632"/>
      <c r="BJ26" s="632"/>
      <c r="BK26" s="632"/>
      <c r="BL26" s="632"/>
      <c r="BM26" s="632"/>
      <c r="BN26" s="632"/>
      <c r="BO26" s="632"/>
      <c r="BP26" s="632"/>
      <c r="BQ26" s="632"/>
      <c r="BR26" s="632"/>
      <c r="BS26" s="632"/>
      <c r="BT26" s="632"/>
      <c r="BU26" s="632"/>
      <c r="BV26" s="632"/>
      <c r="BW26" s="632"/>
      <c r="BX26" s="632"/>
      <c r="BY26" s="632"/>
      <c r="BZ26" s="632"/>
      <c r="CA26" s="632"/>
      <c r="CB26" s="632"/>
      <c r="CC26" s="632"/>
      <c r="CD26" s="632"/>
      <c r="CF26" s="336"/>
      <c r="CG26" s="336"/>
      <c r="CH26" s="336"/>
      <c r="CI26" s="336"/>
      <c r="CJ26" s="336"/>
      <c r="CK26" s="336"/>
      <c r="CL26" s="336"/>
      <c r="CM26" s="336"/>
      <c r="CN26" s="336"/>
      <c r="CO26" s="336"/>
      <c r="DJ26" s="654" t="s">
        <v>3605</v>
      </c>
    </row>
    <row r="27" spans="1:256" ht="12.75" customHeight="1">
      <c r="A27" s="121" t="s">
        <v>3515</v>
      </c>
      <c r="B27" s="4"/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  <c r="AA27" s="93"/>
      <c r="AB27" s="93"/>
      <c r="AC27" s="93"/>
      <c r="AD27" s="93"/>
      <c r="AE27" s="93"/>
      <c r="AF27" s="93"/>
      <c r="AG27" s="93"/>
      <c r="AH27" s="93"/>
      <c r="AI27" s="93"/>
      <c r="AJ27" s="93"/>
      <c r="AK27" s="93"/>
      <c r="AL27" s="93"/>
      <c r="AM27" s="93"/>
      <c r="AN27" s="93"/>
      <c r="AO27" s="93"/>
      <c r="AP27" s="93"/>
      <c r="AQ27" s="93"/>
      <c r="AR27" s="93"/>
      <c r="AS27" s="93"/>
      <c r="AT27" s="93"/>
      <c r="AU27" s="93"/>
      <c r="AV27" s="93"/>
      <c r="AW27" s="93"/>
      <c r="AX27" s="93"/>
      <c r="AY27" s="93"/>
      <c r="AZ27" s="93"/>
      <c r="BA27" s="93"/>
      <c r="BB27" s="93"/>
      <c r="BC27" s="93"/>
      <c r="BD27" s="93"/>
      <c r="BE27" s="93"/>
      <c r="BF27" s="93"/>
      <c r="BG27" s="93"/>
      <c r="BH27" s="93"/>
      <c r="BI27" s="93"/>
      <c r="BJ27" s="93"/>
      <c r="BK27" s="93"/>
      <c r="BL27" s="93"/>
      <c r="BM27" s="93"/>
      <c r="BN27" s="93"/>
      <c r="BO27" s="93"/>
      <c r="BP27" s="12">
        <f>BP24-BP14</f>
        <v>-185</v>
      </c>
      <c r="BQ27" s="12">
        <f>BQ24-BQ14</f>
        <v>0</v>
      </c>
      <c r="BR27" s="12">
        <f>BR24-BR14</f>
        <v>0</v>
      </c>
      <c r="BS27" s="12">
        <f>BS24-BS14</f>
        <v>0</v>
      </c>
      <c r="BT27" s="93"/>
      <c r="BU27" s="12">
        <f>BU24-BU14</f>
        <v>0</v>
      </c>
      <c r="BV27" s="12">
        <f>BV24-BV14</f>
        <v>0</v>
      </c>
      <c r="BW27" s="12">
        <f>BW24-BW14</f>
        <v>0</v>
      </c>
      <c r="BX27" s="12">
        <f>BX24-BX14</f>
        <v>0</v>
      </c>
      <c r="BY27" s="93"/>
      <c r="BZ27" s="12">
        <f>BZ24-BZ14</f>
        <v>0</v>
      </c>
      <c r="CA27" s="12">
        <f>CA24-CA14</f>
        <v>0</v>
      </c>
      <c r="CB27" s="12">
        <f>CB24-CB14</f>
        <v>0</v>
      </c>
      <c r="CC27" s="12">
        <f>CC24-CC14</f>
        <v>0</v>
      </c>
      <c r="CD27" s="93"/>
      <c r="CF27" s="336"/>
      <c r="CG27" s="336"/>
      <c r="CH27" s="206"/>
      <c r="CI27" s="206"/>
      <c r="CJ27" s="206"/>
      <c r="CK27" s="206"/>
      <c r="CL27" s="206"/>
      <c r="CM27" s="206"/>
      <c r="CN27" s="336"/>
      <c r="CO27" s="336"/>
      <c r="DJ27" s="655" t="s">
        <v>3606</v>
      </c>
    </row>
    <row r="28" spans="1:256" ht="12.75" customHeight="1">
      <c r="A28" s="518" t="s">
        <v>710</v>
      </c>
      <c r="B28" s="4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  <c r="AA28" s="93"/>
      <c r="AB28" s="93"/>
      <c r="AC28" s="93"/>
      <c r="AD28" s="93"/>
      <c r="AE28" s="93"/>
      <c r="AF28" s="5">
        <f>AF25+Assets!AF35+Capex!AF112</f>
        <v>34064</v>
      </c>
      <c r="AG28" s="93"/>
      <c r="AH28" s="93"/>
      <c r="AI28" s="93"/>
      <c r="AJ28" s="93"/>
      <c r="AK28" s="5">
        <f>AK25+Assets!AK35+Capex!AK112</f>
        <v>34942</v>
      </c>
      <c r="AL28" s="93"/>
      <c r="AM28" s="93"/>
      <c r="AN28" s="93"/>
      <c r="AO28" s="93"/>
      <c r="AP28" s="5">
        <f>AP25+Assets!AP35+Capex!AP112</f>
        <v>30473</v>
      </c>
      <c r="AQ28" s="93"/>
      <c r="AR28" s="93"/>
      <c r="AS28" s="93"/>
      <c r="AT28" s="93"/>
      <c r="AU28" s="5">
        <f>AU25+Assets!AU35+Capex!AU112</f>
        <v>32027</v>
      </c>
      <c r="AV28" s="93"/>
      <c r="AW28" s="93"/>
      <c r="AX28" s="93"/>
      <c r="AY28" s="93"/>
      <c r="AZ28" s="5">
        <f>AZ25+Assets!AZ35+Capex!AZ112</f>
        <v>30763</v>
      </c>
      <c r="BA28" s="93"/>
      <c r="BB28" s="93"/>
      <c r="BC28" s="93"/>
      <c r="BD28" s="93"/>
      <c r="BE28" s="5">
        <f>BE25+Assets!BE35+Capex!BE112</f>
        <v>15895</v>
      </c>
      <c r="BF28" s="93"/>
      <c r="BG28" s="93"/>
      <c r="BH28" s="93"/>
      <c r="BI28" s="93"/>
      <c r="BJ28" s="5">
        <f>BJ25+Assets!BJ35+Capex!BJ112</f>
        <v>12963</v>
      </c>
      <c r="BK28" s="93"/>
      <c r="BL28" s="93"/>
      <c r="BM28" s="93"/>
      <c r="BN28" s="93"/>
      <c r="BO28" s="5">
        <f>BO25+Assets!BO35+Capex!BO112</f>
        <v>20736</v>
      </c>
      <c r="BP28" s="93"/>
      <c r="BQ28" s="93"/>
      <c r="BR28" s="93"/>
      <c r="BS28" s="93"/>
      <c r="BT28" s="5">
        <f>BT25+Assets!BT35+Capex!BT112</f>
        <v>28178.880390002079</v>
      </c>
      <c r="BU28" s="93"/>
      <c r="BV28" s="93"/>
      <c r="BW28" s="93"/>
      <c r="BX28" s="93"/>
      <c r="BY28" s="5">
        <f>BY25+Assets!BY35+Capex!BY112</f>
        <v>28304.902242256067</v>
      </c>
      <c r="BZ28" s="93"/>
      <c r="CA28" s="93"/>
      <c r="CB28" s="93"/>
      <c r="CC28" s="93"/>
      <c r="CD28" s="5">
        <f>CD25+Assets!CD35+Capex!CD112</f>
        <v>29038.570074811003</v>
      </c>
      <c r="CF28" s="336"/>
      <c r="CG28" s="336"/>
      <c r="CH28" s="205"/>
      <c r="CI28" s="205"/>
      <c r="CJ28" s="205"/>
      <c r="CK28" s="205"/>
      <c r="CL28" s="205"/>
      <c r="CM28" s="205"/>
      <c r="CN28" s="336"/>
      <c r="CO28" s="336"/>
      <c r="DJ28" s="654" t="s">
        <v>3607</v>
      </c>
    </row>
    <row r="29" spans="1:256" ht="12.75" customHeight="1">
      <c r="A29" s="35" t="s">
        <v>3592</v>
      </c>
      <c r="B29" s="4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  <c r="AA29" s="93"/>
      <c r="AB29" s="93"/>
      <c r="AC29" s="93"/>
      <c r="AD29" s="93"/>
      <c r="AE29" s="93"/>
      <c r="AF29" s="5">
        <f>AF28-Capex!AF11</f>
        <v>16311</v>
      </c>
      <c r="AG29" s="93"/>
      <c r="AH29" s="93"/>
      <c r="AI29" s="93"/>
      <c r="AJ29" s="93"/>
      <c r="AK29" s="5">
        <f>AK28-Capex!AK11</f>
        <v>9407</v>
      </c>
      <c r="AL29" s="93"/>
      <c r="AM29" s="93"/>
      <c r="AN29" s="93"/>
      <c r="AO29" s="93"/>
      <c r="AP29" s="5">
        <f>AP28-Capex!AP11</f>
        <v>12614</v>
      </c>
      <c r="AQ29" s="93"/>
      <c r="AR29" s="93"/>
      <c r="AS29" s="93"/>
      <c r="AT29" s="93"/>
      <c r="AU29" s="5">
        <f>AU28-Capex!AU11</f>
        <v>971</v>
      </c>
      <c r="AV29" s="93"/>
      <c r="AW29" s="93"/>
      <c r="AX29" s="93"/>
      <c r="AY29" s="93"/>
      <c r="AZ29" s="5">
        <f>AZ28-Capex!AZ11</f>
        <v>10991</v>
      </c>
      <c r="BA29" s="93"/>
      <c r="BB29" s="93"/>
      <c r="BC29" s="93"/>
      <c r="BD29" s="93"/>
      <c r="BE29" s="5">
        <f>BE28-Capex!BE11</f>
        <v>-1187</v>
      </c>
      <c r="BF29" s="93"/>
      <c r="BG29" s="93"/>
      <c r="BH29" s="93"/>
      <c r="BI29" s="93"/>
      <c r="BJ29" s="5">
        <f>BJ28-Capex!BJ11</f>
        <v>-4024</v>
      </c>
      <c r="BK29" s="93"/>
      <c r="BL29" s="93"/>
      <c r="BM29" s="93"/>
      <c r="BN29" s="93"/>
      <c r="BO29" s="5">
        <f>BO28-Capex!BO11</f>
        <v>5634</v>
      </c>
      <c r="BP29" s="93"/>
      <c r="BQ29" s="93"/>
      <c r="BR29" s="93"/>
      <c r="BS29" s="93"/>
      <c r="BT29" s="5">
        <f>BT28-Capex!BT11</f>
        <v>15028.880390002079</v>
      </c>
      <c r="BU29" s="93"/>
      <c r="BV29" s="93"/>
      <c r="BW29" s="93"/>
      <c r="BX29" s="93"/>
      <c r="BY29" s="5">
        <f>BY28-Capex!BY11</f>
        <v>14804.902242256067</v>
      </c>
      <c r="BZ29" s="93"/>
      <c r="CA29" s="93"/>
      <c r="CB29" s="93"/>
      <c r="CC29" s="93"/>
      <c r="CD29" s="5">
        <f>CD28-Capex!CD11</f>
        <v>15538.570074811003</v>
      </c>
      <c r="CE29" s="5"/>
      <c r="CF29" s="336"/>
      <c r="CG29" s="336"/>
      <c r="CH29" s="205"/>
      <c r="CI29" s="205"/>
      <c r="CJ29" s="205"/>
      <c r="CK29" s="205"/>
      <c r="CL29" s="205"/>
      <c r="CM29" s="205"/>
      <c r="CN29" s="205"/>
      <c r="CO29" s="20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655" t="s">
        <v>3720</v>
      </c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</row>
    <row r="30" spans="1:256">
      <c r="DJ30" s="654" t="s">
        <v>3608</v>
      </c>
    </row>
    <row r="31" spans="1:256" ht="12.75" customHeight="1">
      <c r="A31" s="4"/>
      <c r="B31" s="4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49"/>
      <c r="AM31" s="49"/>
      <c r="AN31" s="49"/>
      <c r="AO31" s="49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F31" s="336"/>
      <c r="CG31" s="336"/>
      <c r="CH31" s="336"/>
      <c r="CI31" s="336"/>
      <c r="CJ31" s="336"/>
      <c r="CK31" s="336"/>
      <c r="CL31" s="336"/>
      <c r="CM31" s="336"/>
      <c r="CN31" s="336"/>
      <c r="CO31" s="336"/>
      <c r="DJ31" s="655" t="s">
        <v>3609</v>
      </c>
    </row>
    <row r="32" spans="1:256" ht="12.75" customHeight="1">
      <c r="A32" s="42" t="s">
        <v>303</v>
      </c>
      <c r="B32" s="7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375"/>
      <c r="AL32" s="375"/>
      <c r="AM32" s="375"/>
      <c r="AN32" s="375"/>
      <c r="AO32" s="375"/>
      <c r="AP32" s="375"/>
      <c r="AQ32" s="375"/>
      <c r="AR32" s="375"/>
      <c r="AS32" s="375"/>
      <c r="AT32" s="375"/>
      <c r="AU32" s="375"/>
      <c r="AV32" s="375"/>
      <c r="AW32" s="375"/>
      <c r="AX32" s="375"/>
      <c r="AY32" s="375"/>
      <c r="AZ32" s="375"/>
      <c r="BA32" s="375"/>
      <c r="BB32" s="375"/>
      <c r="BC32" s="375"/>
      <c r="BD32" s="375"/>
      <c r="BE32" s="375"/>
      <c r="BF32" s="375"/>
      <c r="BG32" s="375"/>
      <c r="BH32" s="375"/>
      <c r="BI32" s="375"/>
      <c r="BJ32" s="375"/>
      <c r="BK32" s="375"/>
      <c r="BL32" s="375"/>
      <c r="BM32" s="375"/>
      <c r="BN32" s="375"/>
      <c r="BO32" s="651"/>
      <c r="BP32" s="375"/>
      <c r="BQ32" s="375"/>
      <c r="BR32" s="375"/>
      <c r="BS32" s="375"/>
      <c r="BT32" s="375"/>
      <c r="BU32" s="375"/>
      <c r="BV32" s="375"/>
      <c r="BW32" s="375"/>
      <c r="BX32" s="375"/>
      <c r="BY32" s="375"/>
      <c r="BZ32" s="375"/>
      <c r="CA32" s="375"/>
      <c r="CB32" s="375"/>
      <c r="CC32" s="375"/>
      <c r="CD32" s="375"/>
      <c r="CF32" s="336"/>
      <c r="CG32" s="336"/>
      <c r="CH32" s="336"/>
      <c r="CI32" s="336"/>
      <c r="CJ32" s="336"/>
      <c r="CK32" s="336"/>
      <c r="CL32" s="336"/>
      <c r="CM32" s="336"/>
      <c r="CN32" s="336"/>
      <c r="CO32" s="336"/>
      <c r="DJ32" s="655" t="s">
        <v>3721</v>
      </c>
    </row>
    <row r="33" spans="1:93" ht="12.75" customHeight="1">
      <c r="A33" s="11"/>
      <c r="B33" s="4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49"/>
      <c r="AM33" s="49"/>
      <c r="AN33" s="49"/>
      <c r="AO33" s="49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116"/>
      <c r="BF33" s="5"/>
      <c r="BG33" s="5"/>
      <c r="BH33" s="5"/>
      <c r="BI33" s="5"/>
      <c r="BJ33" s="116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F33" s="376"/>
      <c r="CG33" s="376"/>
      <c r="CH33" s="376"/>
    </row>
    <row r="34" spans="1:93" ht="12.75" customHeight="1">
      <c r="A34" s="24" t="s">
        <v>2161</v>
      </c>
      <c r="B34" s="4"/>
      <c r="C34" s="5"/>
      <c r="D34" s="5"/>
      <c r="E34" s="5"/>
      <c r="F34" s="71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F34" s="376" t="s">
        <v>1527</v>
      </c>
      <c r="CG34" s="376"/>
      <c r="CH34" s="376"/>
    </row>
    <row r="35" spans="1:93" ht="12.75" customHeight="1">
      <c r="A35" s="10"/>
      <c r="B35" s="10"/>
      <c r="C35" s="31">
        <v>2001</v>
      </c>
      <c r="D35" s="32">
        <v>2002</v>
      </c>
      <c r="E35" s="32">
        <v>2003</v>
      </c>
      <c r="F35" s="32">
        <v>2004</v>
      </c>
      <c r="G35" s="31">
        <v>2005</v>
      </c>
      <c r="H35" s="33" t="str">
        <f>H8</f>
        <v>1Q06</v>
      </c>
      <c r="I35" s="33" t="str">
        <f>I8</f>
        <v>2Q06</v>
      </c>
      <c r="J35" s="33" t="str">
        <f>J8</f>
        <v>3Q06</v>
      </c>
      <c r="K35" s="33" t="str">
        <f>K8</f>
        <v>4Q06</v>
      </c>
      <c r="L35" s="31">
        <v>2006</v>
      </c>
      <c r="M35" s="33" t="str">
        <f>M8</f>
        <v>1Q07</v>
      </c>
      <c r="N35" s="33" t="str">
        <f>N8</f>
        <v>2Q07</v>
      </c>
      <c r="O35" s="33" t="str">
        <f>O8</f>
        <v>3Q07</v>
      </c>
      <c r="P35" s="33" t="str">
        <f>P8</f>
        <v>4Q07</v>
      </c>
      <c r="Q35" s="31">
        <v>2007</v>
      </c>
      <c r="R35" s="33" t="str">
        <f>R8</f>
        <v>1Q08</v>
      </c>
      <c r="S35" s="33" t="str">
        <f>S8</f>
        <v>2Q08</v>
      </c>
      <c r="T35" s="33" t="str">
        <f>T8</f>
        <v>3Q08</v>
      </c>
      <c r="U35" s="33" t="str">
        <f>U8</f>
        <v>4Q08</v>
      </c>
      <c r="V35" s="31">
        <v>2008</v>
      </c>
      <c r="W35" s="33" t="str">
        <f>W8</f>
        <v>1Q09</v>
      </c>
      <c r="X35" s="33" t="str">
        <f>X8</f>
        <v>2Q09</v>
      </c>
      <c r="Y35" s="33" t="str">
        <f>Y8</f>
        <v>3Q09</v>
      </c>
      <c r="Z35" s="33" t="str">
        <f>Z8</f>
        <v>4Q09</v>
      </c>
      <c r="AA35" s="31">
        <v>2009</v>
      </c>
      <c r="AB35" s="33" t="str">
        <f>AB8</f>
        <v>1Q10</v>
      </c>
      <c r="AC35" s="33" t="str">
        <f>AC8</f>
        <v>2Q10</v>
      </c>
      <c r="AD35" s="33" t="str">
        <f>AD8</f>
        <v>3Q10</v>
      </c>
      <c r="AE35" s="33" t="str">
        <f>AE8</f>
        <v>4Q10</v>
      </c>
      <c r="AF35" s="31">
        <v>2010</v>
      </c>
      <c r="AG35" s="33" t="str">
        <f>AG8</f>
        <v>1Q11</v>
      </c>
      <c r="AH35" s="33" t="str">
        <f>AH8</f>
        <v>2Q11</v>
      </c>
      <c r="AI35" s="33" t="str">
        <f>AI8</f>
        <v>3Q11</v>
      </c>
      <c r="AJ35" s="33" t="str">
        <f>AJ8</f>
        <v>4Q11</v>
      </c>
      <c r="AK35" s="31">
        <v>2011</v>
      </c>
      <c r="AL35" s="33" t="s">
        <v>2397</v>
      </c>
      <c r="AM35" s="33" t="s">
        <v>2398</v>
      </c>
      <c r="AN35" s="33" t="s">
        <v>2399</v>
      </c>
      <c r="AO35" s="33" t="s">
        <v>2400</v>
      </c>
      <c r="AP35" s="31">
        <v>2012</v>
      </c>
      <c r="AQ35" s="363" t="s">
        <v>2401</v>
      </c>
      <c r="AR35" s="363" t="s">
        <v>2402</v>
      </c>
      <c r="AS35" s="363" t="s">
        <v>2403</v>
      </c>
      <c r="AT35" s="363" t="s">
        <v>2404</v>
      </c>
      <c r="AU35" s="364">
        <v>2013</v>
      </c>
      <c r="AV35" s="363" t="s">
        <v>2405</v>
      </c>
      <c r="AW35" s="363" t="s">
        <v>2406</v>
      </c>
      <c r="AX35" s="363" t="s">
        <v>2407</v>
      </c>
      <c r="AY35" s="363" t="s">
        <v>2408</v>
      </c>
      <c r="AZ35" s="364">
        <v>2014</v>
      </c>
      <c r="BA35" s="33" t="str">
        <f t="shared" ref="BA35:BI35" si="11">BA$8</f>
        <v>1Q15</v>
      </c>
      <c r="BB35" s="33" t="str">
        <f t="shared" si="11"/>
        <v>2Q15</v>
      </c>
      <c r="BC35" s="33" t="str">
        <f t="shared" si="11"/>
        <v>3Q15</v>
      </c>
      <c r="BD35" s="33" t="str">
        <f t="shared" si="11"/>
        <v>4Q15</v>
      </c>
      <c r="BE35" s="31">
        <f t="shared" si="11"/>
        <v>2015</v>
      </c>
      <c r="BF35" s="33" t="str">
        <f t="shared" si="11"/>
        <v>1Q16</v>
      </c>
      <c r="BG35" s="33" t="str">
        <f t="shared" si="11"/>
        <v>2Q16</v>
      </c>
      <c r="BH35" s="33" t="str">
        <f t="shared" si="11"/>
        <v>3Q16</v>
      </c>
      <c r="BI35" s="33" t="str">
        <f t="shared" si="11"/>
        <v>4Q16</v>
      </c>
      <c r="BJ35" s="31">
        <v>2016</v>
      </c>
      <c r="BK35" s="363" t="s">
        <v>2417</v>
      </c>
      <c r="BL35" s="363" t="s">
        <v>2418</v>
      </c>
      <c r="BM35" s="363" t="s">
        <v>2419</v>
      </c>
      <c r="BN35" s="363" t="s">
        <v>2420</v>
      </c>
      <c r="BO35" s="31">
        <v>2017</v>
      </c>
      <c r="BP35" s="363" t="s">
        <v>2244</v>
      </c>
      <c r="BQ35" s="363" t="s">
        <v>2245</v>
      </c>
      <c r="BR35" s="363" t="s">
        <v>2508</v>
      </c>
      <c r="BS35" s="363" t="s">
        <v>2509</v>
      </c>
      <c r="BT35" s="364">
        <v>2018</v>
      </c>
      <c r="BU35" s="363" t="s">
        <v>2510</v>
      </c>
      <c r="BV35" s="363" t="s">
        <v>2511</v>
      </c>
      <c r="BW35" s="363" t="s">
        <v>3125</v>
      </c>
      <c r="BX35" s="363" t="s">
        <v>1405</v>
      </c>
      <c r="BY35" s="364">
        <v>2019</v>
      </c>
      <c r="BZ35" s="363" t="s">
        <v>1406</v>
      </c>
      <c r="CA35" s="363" t="s">
        <v>1407</v>
      </c>
      <c r="CB35" s="363" t="s">
        <v>1408</v>
      </c>
      <c r="CC35" s="363" t="s">
        <v>1409</v>
      </c>
      <c r="CD35" s="364">
        <v>2020</v>
      </c>
      <c r="CF35" s="364"/>
      <c r="CG35" s="364" t="s">
        <v>3551</v>
      </c>
      <c r="CH35" s="364" t="s">
        <v>543</v>
      </c>
      <c r="CI35" s="364" t="s">
        <v>3654</v>
      </c>
      <c r="CJ35" s="364" t="s">
        <v>3655</v>
      </c>
      <c r="CK35" s="364" t="s">
        <v>2637</v>
      </c>
      <c r="CM35" s="614" t="s">
        <v>1043</v>
      </c>
      <c r="CN35" s="614" t="s">
        <v>2154</v>
      </c>
      <c r="CO35" s="614" t="s">
        <v>3557</v>
      </c>
    </row>
    <row r="36" spans="1:93" ht="12.75" customHeight="1">
      <c r="A36" s="4" t="s">
        <v>2156</v>
      </c>
      <c r="B36" s="5"/>
      <c r="C36" s="5">
        <v>7725</v>
      </c>
      <c r="D36" s="5">
        <v>6501</v>
      </c>
      <c r="E36" s="5">
        <v>7064</v>
      </c>
      <c r="F36" s="5">
        <v>9472</v>
      </c>
      <c r="G36" s="5">
        <f>SUM(G129,G219,G272,G324,G414,G466)</f>
        <v>12695</v>
      </c>
      <c r="H36" s="93"/>
      <c r="I36" s="93"/>
      <c r="J36" s="93"/>
      <c r="K36" s="93"/>
      <c r="L36" s="5">
        <f>SUM(L129,L219,L272,L324,L414,L466)</f>
        <v>13157</v>
      </c>
      <c r="M36" s="93"/>
      <c r="N36" s="93"/>
      <c r="O36" s="93"/>
      <c r="P36" s="93"/>
      <c r="Q36" s="5">
        <f>SUM(Q129,Q219,Q272,Q324,Q414,Q466)</f>
        <v>12803</v>
      </c>
      <c r="R36" s="93"/>
      <c r="S36" s="93"/>
      <c r="T36" s="93"/>
      <c r="U36" s="93"/>
      <c r="V36" s="5">
        <f>SUM(V129,V219,V272,V324,V414,V466)</f>
        <v>21257</v>
      </c>
      <c r="W36" s="93"/>
      <c r="X36" s="93"/>
      <c r="Y36" s="93"/>
      <c r="Z36" s="93"/>
      <c r="AA36" s="5">
        <f>SUM(AA129,AA219,AA272,AA324,AA414,AA466)</f>
        <v>11957</v>
      </c>
      <c r="AB36" s="93"/>
      <c r="AC36" s="93"/>
      <c r="AD36" s="93"/>
      <c r="AE36" s="93"/>
      <c r="AF36" s="5">
        <f>SUM(AF129,AF219,AF272,AF324,AF414,AF466)</f>
        <v>10492</v>
      </c>
      <c r="AG36" s="93"/>
      <c r="AH36" s="93"/>
      <c r="AI36" s="93"/>
      <c r="AJ36" s="93"/>
      <c r="AK36" s="5">
        <f>SUM(AK129,AK219,AK272,AK324,AK414,AK466)</f>
        <v>11450</v>
      </c>
      <c r="AL36" s="93"/>
      <c r="AM36" s="93"/>
      <c r="AN36" s="93"/>
      <c r="AO36" s="93"/>
      <c r="AP36" s="5">
        <f>SUM(AP129,AP219,AP272,AP324,AP414,AP466)</f>
        <v>10632</v>
      </c>
      <c r="AQ36" s="93"/>
      <c r="AR36" s="93"/>
      <c r="AS36" s="93"/>
      <c r="AT36" s="93"/>
      <c r="AU36" s="5">
        <f>SUM(AU129,AU219,AU272,AU324,AU414,AU466)</f>
        <v>10648</v>
      </c>
      <c r="AV36" s="93"/>
      <c r="AW36" s="93"/>
      <c r="AX36" s="93"/>
      <c r="AY36" s="93"/>
      <c r="AZ36" s="5">
        <f>SUM(AZ129,AZ219,AZ272,AZ324,AZ414,AZ466)</f>
        <v>10192</v>
      </c>
      <c r="BA36" s="93"/>
      <c r="BB36" s="93"/>
      <c r="BC36" s="93"/>
      <c r="BD36" s="93"/>
      <c r="BE36" s="5">
        <f>SUM(BE129,BE219,BE272,BE324,BE414,BE466)</f>
        <v>7043</v>
      </c>
      <c r="BF36" s="93"/>
      <c r="BG36" s="93"/>
      <c r="BH36" s="93"/>
      <c r="BI36" s="93"/>
      <c r="BJ36" s="5">
        <f>SUM(BJ129,BJ219,BJ272,BJ324,BJ414,BJ466)</f>
        <v>4085</v>
      </c>
      <c r="BK36" s="93"/>
      <c r="BL36" s="93"/>
      <c r="BM36" s="93"/>
      <c r="BN36" s="93"/>
      <c r="BO36" s="5">
        <f>SUM(BO129,BO219,BO272,BO324,BO414,BO466)</f>
        <v>6687</v>
      </c>
      <c r="BP36" s="93"/>
      <c r="BQ36" s="93"/>
      <c r="BR36" s="93"/>
      <c r="BS36" s="93"/>
      <c r="BT36" s="72"/>
      <c r="BU36" s="93"/>
      <c r="BV36" s="93"/>
      <c r="BW36" s="93"/>
      <c r="BX36" s="93"/>
      <c r="BY36" s="72"/>
      <c r="BZ36" s="93"/>
      <c r="CA36" s="93"/>
      <c r="CB36" s="93"/>
      <c r="CC36" s="93"/>
      <c r="CD36" s="72"/>
      <c r="CE36" s="707"/>
      <c r="CF36" s="468">
        <v>2006</v>
      </c>
      <c r="CG36" s="115">
        <v>24261.262409119448</v>
      </c>
      <c r="CH36" s="115">
        <f t="shared" ref="CH36:CH50" si="12">INDEX($49:$49,MATCH(CF36,$8:$8,0))-INDEX($44:$44,MATCH(CF36,$8:$8,0))-INDEX($40:$40,MATCH(CF36,$8:$8,0))-INDEX($45:$45,MATCH(CF36,$8:$8,0))</f>
        <v>20319</v>
      </c>
      <c r="CI36">
        <f>INDEX($540:$540,MATCH(CF36,$8:$8,0))-INDEX($528:$528,MATCH(CF36,$8:$8,0))-INDEX($524:$524,MATCH(CF36,$8:$8,0))-INDEX($529:$529,MATCH(CF36,$8:$8,0))</f>
        <v>3302</v>
      </c>
      <c r="CJ36">
        <f>INDEX($753:$753,MATCH(CF36,$8:$8,0))-INDEX($745:$745,MATCH(CF36,$8:$8,0))-INDEX($741:$741,MATCH(CF36,$8:$8,0))-INDEX($746:$746,MATCH(CF36,$8:$8,0))</f>
        <v>0</v>
      </c>
      <c r="CK36" s="115">
        <f>CH36+CI36-CJ36</f>
        <v>23621</v>
      </c>
      <c r="CM36" s="468">
        <v>2006</v>
      </c>
      <c r="CN36" s="440">
        <f t="shared" ref="CN36:CN50" si="13">INDEX($68:$68,MATCH(CM36,$35:$35,0))+INDEX($64:$64,MATCH(CM36,$35:$35,0))</f>
        <v>7.4909346904210938</v>
      </c>
      <c r="CO36" s="613">
        <f>INDEX(Reserves!$205:$205,MATCH('E&amp;P - FAS69'!CM36,Reserves!$199:$199,0))+INDEX(Reserves!$209:$209,MATCH('E&amp;P - FAS69'!CM36,Reserves!$199:$199,0))</f>
        <v>17.352491282771403</v>
      </c>
    </row>
    <row r="37" spans="1:93" ht="12.75" customHeight="1">
      <c r="A37" s="4" t="s">
        <v>2157</v>
      </c>
      <c r="B37" s="5"/>
      <c r="C37" s="5">
        <v>17897</v>
      </c>
      <c r="D37" s="5">
        <v>16491</v>
      </c>
      <c r="E37" s="5">
        <v>20655</v>
      </c>
      <c r="F37" s="5">
        <v>22264</v>
      </c>
      <c r="G37" s="5">
        <f>SUM(G130,G220,G273,G325,G415,G467)</f>
        <v>29119</v>
      </c>
      <c r="H37" s="93"/>
      <c r="I37" s="93"/>
      <c r="J37" s="93"/>
      <c r="K37" s="93"/>
      <c r="L37" s="5">
        <f>SUM(L130,L220,L273,L325,L415,L467)</f>
        <v>32476</v>
      </c>
      <c r="M37" s="93"/>
      <c r="N37" s="93"/>
      <c r="O37" s="93"/>
      <c r="P37" s="93"/>
      <c r="Q37" s="5">
        <f>SUM(Q130,Q220,Q273,Q325,Q415,Q467)</f>
        <v>34833</v>
      </c>
      <c r="R37" s="93"/>
      <c r="S37" s="93"/>
      <c r="T37" s="93"/>
      <c r="U37" s="93"/>
      <c r="V37" s="5">
        <f>SUM(V130,V220,V273,V325,V415,V467)</f>
        <v>43684</v>
      </c>
      <c r="W37" s="93"/>
      <c r="X37" s="93"/>
      <c r="Y37" s="93"/>
      <c r="Z37" s="93"/>
      <c r="AA37" s="5">
        <f>SUM(AA130,AA220,AA273,AA325,AA415,AA467)</f>
        <v>28793</v>
      </c>
      <c r="AB37" s="93"/>
      <c r="AC37" s="93"/>
      <c r="AD37" s="93"/>
      <c r="AE37" s="93"/>
      <c r="AF37" s="5">
        <f>SUM(AF130,AF220,AF273,AF325,AF415,AF467)</f>
        <v>37364</v>
      </c>
      <c r="AG37" s="93"/>
      <c r="AH37" s="93"/>
      <c r="AI37" s="93"/>
      <c r="AJ37" s="93"/>
      <c r="AK37" s="5">
        <f>SUM(AK130,AK220,AK273,AK325,AK415,AK467)</f>
        <v>41922</v>
      </c>
      <c r="AL37" s="93"/>
      <c r="AM37" s="93"/>
      <c r="AN37" s="93"/>
      <c r="AO37" s="93"/>
      <c r="AP37" s="5">
        <f>SUM(AP130,AP220,AP273,AP325,AP415,AP467)</f>
        <v>38358</v>
      </c>
      <c r="AQ37" s="93"/>
      <c r="AR37" s="93"/>
      <c r="AS37" s="93"/>
      <c r="AT37" s="93"/>
      <c r="AU37" s="5">
        <f>SUM(AU130,AU220,AU273,AU325,AU415,AU467)</f>
        <v>37045</v>
      </c>
      <c r="AV37" s="93"/>
      <c r="AW37" s="93"/>
      <c r="AX37" s="93"/>
      <c r="AY37" s="93"/>
      <c r="AZ37" s="5">
        <f>SUM(AZ130,AZ220,AZ273,AZ325,AZ415,AZ467)</f>
        <v>31961</v>
      </c>
      <c r="BA37" s="93"/>
      <c r="BB37" s="93"/>
      <c r="BC37" s="93"/>
      <c r="BD37" s="93"/>
      <c r="BE37" s="5">
        <f>SUM(BE130,BE220,BE273,BE325,BE415,BE467)</f>
        <v>17702</v>
      </c>
      <c r="BF37" s="93"/>
      <c r="BG37" s="93"/>
      <c r="BH37" s="93"/>
      <c r="BI37" s="93"/>
      <c r="BJ37" s="5">
        <f>SUM(BJ130,BJ220,BJ273,BJ325,BJ415,BJ467)</f>
        <v>15725</v>
      </c>
      <c r="BK37" s="93"/>
      <c r="BL37" s="93"/>
      <c r="BM37" s="93"/>
      <c r="BN37" s="93"/>
      <c r="BO37" s="5">
        <f>SUM(BO130,BO220,BO273,BO325,BO415,BO467)</f>
        <v>22094</v>
      </c>
      <c r="BP37" s="93"/>
      <c r="BQ37" s="93"/>
      <c r="BR37" s="93"/>
      <c r="BS37" s="93"/>
      <c r="BT37" s="72"/>
      <c r="BU37" s="93"/>
      <c r="BV37" s="93"/>
      <c r="BW37" s="93"/>
      <c r="BX37" s="93"/>
      <c r="BY37" s="72"/>
      <c r="BZ37" s="93"/>
      <c r="CA37" s="93"/>
      <c r="CB37" s="93"/>
      <c r="CC37" s="93"/>
      <c r="CD37" s="72"/>
      <c r="CE37" s="707"/>
      <c r="CF37" s="468">
        <v>2007</v>
      </c>
      <c r="CG37" s="115">
        <v>26301.041845755692</v>
      </c>
      <c r="CH37" s="115">
        <f t="shared" si="12"/>
        <v>21792</v>
      </c>
      <c r="CI37">
        <f t="shared" ref="CI37:CI50" si="14">INDEX($540:$540,MATCH(CF37,$8:$8,0))-INDEX($528:$528,MATCH(CF37,$8:$8,0))-INDEX($524:$524,MATCH(CF37,$8:$8,0))-INDEX($529:$529,MATCH(CF37,$8:$8,0))</f>
        <v>2704</v>
      </c>
      <c r="CJ37">
        <f t="shared" ref="CJ37:CJ50" si="15">INDEX($753:$753,MATCH(CF37,$8:$8,0))-INDEX($745:$745,MATCH(CF37,$8:$8,0))-INDEX($741:$741,MATCH(CF37,$8:$8,0))-INDEX($746:$746,MATCH(CF37,$8:$8,0))</f>
        <v>0</v>
      </c>
      <c r="CK37" s="115">
        <f t="shared" ref="CK37:CK50" si="16">CH37+CI37-CJ37</f>
        <v>24496</v>
      </c>
      <c r="CM37" s="468">
        <v>2007</v>
      </c>
      <c r="CN37" s="440">
        <f t="shared" si="13"/>
        <v>8.645298389837448</v>
      </c>
      <c r="CO37" s="613">
        <f>INDEX(Reserves!$205:$205,MATCH('E&amp;P - FAS69'!CM37,Reserves!$199:$199,0))+INDEX(Reserves!$209:$209,MATCH('E&amp;P - FAS69'!CM37,Reserves!$199:$199,0))</f>
        <v>16.403280468694327</v>
      </c>
    </row>
    <row r="38" spans="1:93" ht="12.75" customHeight="1">
      <c r="A38" s="7" t="s">
        <v>2155</v>
      </c>
      <c r="B38" s="8"/>
      <c r="C38" s="8">
        <f>C36+C37</f>
        <v>25622</v>
      </c>
      <c r="D38" s="8">
        <f>D36+D37</f>
        <v>22992</v>
      </c>
      <c r="E38" s="8">
        <f>E36+E37</f>
        <v>27719</v>
      </c>
      <c r="F38" s="8">
        <f>F36+F37</f>
        <v>31736</v>
      </c>
      <c r="G38" s="8">
        <f>G36+G37</f>
        <v>41814</v>
      </c>
      <c r="H38" s="93"/>
      <c r="I38" s="93"/>
      <c r="J38" s="93"/>
      <c r="K38" s="93"/>
      <c r="L38" s="8">
        <f>L36+L37</f>
        <v>45633</v>
      </c>
      <c r="M38" s="93"/>
      <c r="N38" s="93"/>
      <c r="O38" s="93"/>
      <c r="P38" s="93"/>
      <c r="Q38" s="8">
        <f>Q36+Q37</f>
        <v>47636</v>
      </c>
      <c r="R38" s="93"/>
      <c r="S38" s="93"/>
      <c r="T38" s="93"/>
      <c r="U38" s="93"/>
      <c r="V38" s="8">
        <f>V36+V37</f>
        <v>64941</v>
      </c>
      <c r="W38" s="93"/>
      <c r="X38" s="93"/>
      <c r="Y38" s="93"/>
      <c r="Z38" s="93"/>
      <c r="AA38" s="8">
        <f>AA36+AA37</f>
        <v>40750</v>
      </c>
      <c r="AB38" s="93"/>
      <c r="AC38" s="93"/>
      <c r="AD38" s="93"/>
      <c r="AE38" s="93"/>
      <c r="AF38" s="8">
        <f>AF36+AF37</f>
        <v>47856</v>
      </c>
      <c r="AG38" s="93"/>
      <c r="AH38" s="93"/>
      <c r="AI38" s="93"/>
      <c r="AJ38" s="93"/>
      <c r="AK38" s="8">
        <f>SUM(AK131,AK221,AK274,AK326,AK416,AK468)</f>
        <v>53372</v>
      </c>
      <c r="AL38" s="93"/>
      <c r="AM38" s="93"/>
      <c r="AN38" s="93"/>
      <c r="AO38" s="93"/>
      <c r="AP38" s="8">
        <f>SUM(AP131,AP221,AP274,AP326,AP416,AP468)</f>
        <v>48990</v>
      </c>
      <c r="AQ38" s="93"/>
      <c r="AR38" s="93"/>
      <c r="AS38" s="93"/>
      <c r="AT38" s="93"/>
      <c r="AU38" s="8">
        <f>SUM(AU131,AU221,AU274,AU326,AU416,AU468)</f>
        <v>47693</v>
      </c>
      <c r="AV38" s="93"/>
      <c r="AW38" s="93"/>
      <c r="AX38" s="93"/>
      <c r="AY38" s="93"/>
      <c r="AZ38" s="8">
        <f>SUM(AZ131,AZ221,AZ274,AZ326,AZ416,AZ468)</f>
        <v>42153</v>
      </c>
      <c r="BA38" s="93"/>
      <c r="BB38" s="93"/>
      <c r="BC38" s="93"/>
      <c r="BD38" s="93"/>
      <c r="BE38" s="8">
        <f>SUM(BE131,BE221,BE274,BE326,BE416,BE468)</f>
        <v>24745</v>
      </c>
      <c r="BF38" s="93"/>
      <c r="BG38" s="93"/>
      <c r="BH38" s="93"/>
      <c r="BI38" s="93"/>
      <c r="BJ38" s="8">
        <f>SUM(BJ131,BJ221,BJ274,BJ326,BJ416,BJ468)</f>
        <v>19810</v>
      </c>
      <c r="BK38" s="93"/>
      <c r="BL38" s="93"/>
      <c r="BM38" s="93"/>
      <c r="BN38" s="93"/>
      <c r="BO38" s="8">
        <f>SUM(BO131,BO221,BO274,BO326,BO416,BO468)</f>
        <v>28781</v>
      </c>
      <c r="BP38" s="66">
        <f t="shared" ref="BP38:CD38" si="17">SUM(BP131,BP221,BP274,BP326,BP416,BP468)</f>
        <v>9269.5325212393727</v>
      </c>
      <c r="BQ38" s="66">
        <f t="shared" si="17"/>
        <v>9405.368720258597</v>
      </c>
      <c r="BR38" s="66">
        <f t="shared" si="17"/>
        <v>9378.8709342702059</v>
      </c>
      <c r="BS38" s="66">
        <f t="shared" si="17"/>
        <v>9319.8940895359865</v>
      </c>
      <c r="BT38" s="8">
        <f t="shared" si="17"/>
        <v>37373.666265304164</v>
      </c>
      <c r="BU38" s="66">
        <f t="shared" si="17"/>
        <v>9343.0591184186105</v>
      </c>
      <c r="BV38" s="66">
        <f t="shared" si="17"/>
        <v>9342.1359794176988</v>
      </c>
      <c r="BW38" s="66">
        <f t="shared" si="17"/>
        <v>9396.4302953345723</v>
      </c>
      <c r="BX38" s="66">
        <f t="shared" si="17"/>
        <v>9453.7339022827437</v>
      </c>
      <c r="BY38" s="8">
        <f t="shared" si="17"/>
        <v>37535.359295453629</v>
      </c>
      <c r="BZ38" s="66">
        <f t="shared" si="17"/>
        <v>9581.9304969000241</v>
      </c>
      <c r="CA38" s="66">
        <f t="shared" si="17"/>
        <v>9643.7053743363649</v>
      </c>
      <c r="CB38" s="66">
        <f t="shared" si="17"/>
        <v>9759.6074082395917</v>
      </c>
      <c r="CC38" s="66">
        <f t="shared" si="17"/>
        <v>9894.0940372283549</v>
      </c>
      <c r="CD38" s="8">
        <f t="shared" si="17"/>
        <v>38879.337316704332</v>
      </c>
      <c r="CE38" s="707"/>
      <c r="CF38" s="468">
        <v>2008</v>
      </c>
      <c r="CG38" s="115">
        <v>33883.367356477276</v>
      </c>
      <c r="CH38" s="115">
        <f t="shared" si="12"/>
        <v>29338</v>
      </c>
      <c r="CI38">
        <f t="shared" si="14"/>
        <v>2793</v>
      </c>
      <c r="CJ38">
        <f t="shared" si="15"/>
        <v>0</v>
      </c>
      <c r="CK38" s="115">
        <f t="shared" si="16"/>
        <v>32131</v>
      </c>
      <c r="CM38" s="468">
        <v>2008</v>
      </c>
      <c r="CN38" s="440">
        <f t="shared" si="13"/>
        <v>9.5381205866703098</v>
      </c>
      <c r="CO38" s="613">
        <f>INDEX(Reserves!$205:$205,MATCH('E&amp;P - FAS69'!CM38,Reserves!$199:$199,0))+INDEX(Reserves!$209:$209,MATCH('E&amp;P - FAS69'!CM38,Reserves!$199:$199,0))</f>
        <v>17.728014439230403</v>
      </c>
    </row>
    <row r="39" spans="1:93" ht="12.75" customHeight="1">
      <c r="A39" s="4"/>
      <c r="B39" s="5"/>
      <c r="C39" s="5"/>
      <c r="D39" s="5"/>
      <c r="E39" s="5"/>
      <c r="F39" s="5"/>
      <c r="G39" s="5"/>
      <c r="H39" s="12"/>
      <c r="I39" s="12"/>
      <c r="J39" s="12"/>
      <c r="K39" s="12"/>
      <c r="L39" s="5"/>
      <c r="M39" s="12"/>
      <c r="N39" s="12"/>
      <c r="O39" s="12"/>
      <c r="P39" s="12"/>
      <c r="Q39" s="5"/>
      <c r="R39" s="12"/>
      <c r="S39" s="12"/>
      <c r="T39" s="12"/>
      <c r="U39" s="12"/>
      <c r="V39" s="5"/>
      <c r="W39" s="12"/>
      <c r="X39" s="12"/>
      <c r="Y39" s="12"/>
      <c r="Z39" s="12"/>
      <c r="AA39" s="5"/>
      <c r="AB39" s="12"/>
      <c r="AC39" s="12"/>
      <c r="AD39" s="12"/>
      <c r="AE39" s="12"/>
      <c r="AF39" s="5"/>
      <c r="AG39" s="12"/>
      <c r="AH39" s="12"/>
      <c r="AI39" s="12"/>
      <c r="AJ39" s="12"/>
      <c r="AK39" s="5"/>
      <c r="AL39" s="12"/>
      <c r="AM39" s="12"/>
      <c r="AN39" s="12"/>
      <c r="AO39" s="12"/>
      <c r="AP39" s="5"/>
      <c r="AQ39" s="12"/>
      <c r="AR39" s="12"/>
      <c r="AS39" s="12"/>
      <c r="AT39" s="12"/>
      <c r="AU39" s="5"/>
      <c r="AV39" s="12"/>
      <c r="AW39" s="12"/>
      <c r="AX39" s="12"/>
      <c r="AY39" s="12"/>
      <c r="AZ39" s="5"/>
      <c r="BA39" s="12"/>
      <c r="BB39" s="12"/>
      <c r="BC39" s="12"/>
      <c r="BD39" s="12"/>
      <c r="BE39" s="5"/>
      <c r="BF39" s="12"/>
      <c r="BG39" s="12"/>
      <c r="BH39" s="12"/>
      <c r="BI39" s="12"/>
      <c r="BJ39" s="5"/>
      <c r="BK39" s="12"/>
      <c r="BL39" s="12"/>
      <c r="BM39" s="12"/>
      <c r="BN39" s="12"/>
      <c r="BO39" s="5"/>
      <c r="BP39" s="12"/>
      <c r="BQ39" s="12"/>
      <c r="BR39" s="12"/>
      <c r="BS39" s="12"/>
      <c r="BT39" s="5"/>
      <c r="BU39" s="12"/>
      <c r="BV39" s="12"/>
      <c r="BW39" s="12"/>
      <c r="BX39" s="12"/>
      <c r="BY39" s="5"/>
      <c r="BZ39" s="12"/>
      <c r="CA39" s="12"/>
      <c r="CB39" s="12"/>
      <c r="CC39" s="12"/>
      <c r="CD39" s="5"/>
      <c r="CE39" s="707"/>
      <c r="CF39" s="468">
        <v>2009</v>
      </c>
      <c r="CG39" s="115">
        <v>22487.468750427361</v>
      </c>
      <c r="CH39" s="115">
        <f t="shared" si="12"/>
        <v>21277</v>
      </c>
      <c r="CI39">
        <f t="shared" si="14"/>
        <v>5069</v>
      </c>
      <c r="CJ39">
        <f t="shared" si="15"/>
        <v>3106</v>
      </c>
      <c r="CK39" s="115">
        <f t="shared" si="16"/>
        <v>23240</v>
      </c>
      <c r="CM39" s="468">
        <v>2009</v>
      </c>
      <c r="CN39" s="440">
        <f t="shared" si="13"/>
        <v>10.274166160776344</v>
      </c>
      <c r="CO39" s="613">
        <f>INDEX(Reserves!$205:$205,MATCH('E&amp;P - FAS69'!CM39,Reserves!$199:$199,0))+INDEX(Reserves!$209:$209,MATCH('E&amp;P - FAS69'!CM39,Reserves!$199:$199,0))</f>
        <v>9.9328395162889471</v>
      </c>
    </row>
    <row r="40" spans="1:93" ht="12.75" customHeight="1">
      <c r="A40" s="4" t="s">
        <v>1897</v>
      </c>
      <c r="B40" s="5"/>
      <c r="C40" s="5">
        <v>-480</v>
      </c>
      <c r="D40" s="5">
        <v>-644</v>
      </c>
      <c r="E40" s="5">
        <v>-542</v>
      </c>
      <c r="F40" s="5">
        <v>-637</v>
      </c>
      <c r="G40" s="5">
        <f t="shared" ref="G40:G45" si="18">SUM(G133,G223,G276,G328,G418,G470)</f>
        <v>-684.3</v>
      </c>
      <c r="H40" s="93"/>
      <c r="I40" s="93"/>
      <c r="J40" s="93"/>
      <c r="K40" s="93"/>
      <c r="L40" s="5">
        <f t="shared" ref="L40:L45" si="19">SUM(L133,L223,L276,L328,L418,L470)</f>
        <v>-1045</v>
      </c>
      <c r="M40" s="93"/>
      <c r="N40" s="93"/>
      <c r="O40" s="93"/>
      <c r="P40" s="93"/>
      <c r="Q40" s="5">
        <f t="shared" ref="Q40:Q45" si="20">SUM(Q133,Q223,Q276,Q328,Q418,Q470)</f>
        <v>-756</v>
      </c>
      <c r="R40" s="93"/>
      <c r="S40" s="93"/>
      <c r="T40" s="93"/>
      <c r="U40" s="93"/>
      <c r="V40" s="5">
        <f t="shared" ref="V40:V45" si="21">SUM(V133,V223,V276,V328,V418,V470)</f>
        <v>-882</v>
      </c>
      <c r="W40" s="93"/>
      <c r="X40" s="93"/>
      <c r="Y40" s="93"/>
      <c r="Z40" s="93"/>
      <c r="AA40" s="5">
        <f t="shared" ref="AA40:AA45" si="22">SUM(AA133,AA223,AA276,AA328,AA418,AA470)</f>
        <v>-1116</v>
      </c>
      <c r="AB40" s="93"/>
      <c r="AC40" s="93"/>
      <c r="AD40" s="93"/>
      <c r="AE40" s="93"/>
      <c r="AF40" s="5">
        <f t="shared" ref="AF40:AF45" si="23">SUM(AF133,AF223,AF276,AF328,AF418,AF470)</f>
        <v>-843</v>
      </c>
      <c r="AG40" s="93"/>
      <c r="AH40" s="93"/>
      <c r="AI40" s="93"/>
      <c r="AJ40" s="93"/>
      <c r="AK40" s="5">
        <f t="shared" ref="AK40:AK45" si="24">SUM(AK133,AK223,AK276,AK328,AK418,AK470)</f>
        <v>-1520</v>
      </c>
      <c r="AL40" s="93"/>
      <c r="AM40" s="93"/>
      <c r="AN40" s="93"/>
      <c r="AO40" s="93"/>
      <c r="AP40" s="5">
        <f t="shared" ref="AP40:AP45" si="25">SUM(AP133,AP223,AP276,AP328,AP418,AP470)</f>
        <v>-1475</v>
      </c>
      <c r="AQ40" s="93"/>
      <c r="AR40" s="93"/>
      <c r="AS40" s="93"/>
      <c r="AT40" s="93"/>
      <c r="AU40" s="5">
        <f>SUM(AU133,AU223,AU276,AU328,AU418,AU470)</f>
        <v>-3441</v>
      </c>
      <c r="AV40" s="93"/>
      <c r="AW40" s="93"/>
      <c r="AX40" s="93"/>
      <c r="AY40" s="93"/>
      <c r="AZ40" s="5">
        <f t="shared" ref="AZ40:AZ45" si="26">SUM(AZ133,AZ223,AZ276,AZ328,AZ418,AZ470)</f>
        <v>-3632</v>
      </c>
      <c r="BA40" s="93"/>
      <c r="BB40" s="93"/>
      <c r="BC40" s="93"/>
      <c r="BD40" s="93"/>
      <c r="BE40" s="5">
        <f t="shared" ref="BE40:CD40" si="27">SUM(BE133,BE223,BE276,BE328,BE418,BE470)</f>
        <v>-2353</v>
      </c>
      <c r="BF40" s="93"/>
      <c r="BG40" s="93"/>
      <c r="BH40" s="93"/>
      <c r="BI40" s="93"/>
      <c r="BJ40" s="5">
        <f t="shared" ref="BJ40" si="28">SUM(BJ133,BJ223,BJ276,BJ328,BJ418,BJ470)</f>
        <v>-1721</v>
      </c>
      <c r="BK40" s="93"/>
      <c r="BL40" s="93"/>
      <c r="BM40" s="93"/>
      <c r="BN40" s="93"/>
      <c r="BO40" s="5">
        <f t="shared" ref="BO40" si="29">SUM(BO133,BO223,BO276,BO328,BO418,BO470)</f>
        <v>-2080</v>
      </c>
      <c r="BP40" s="12">
        <f t="shared" si="27"/>
        <v>-375</v>
      </c>
      <c r="BQ40" s="12">
        <f t="shared" si="27"/>
        <v>-242.68888888888887</v>
      </c>
      <c r="BR40" s="12">
        <f t="shared" si="27"/>
        <v>-242.68888888888887</v>
      </c>
      <c r="BS40" s="12">
        <f t="shared" si="27"/>
        <v>-242.68888888888887</v>
      </c>
      <c r="BT40" s="5">
        <f t="shared" si="27"/>
        <v>-1103.0666666666666</v>
      </c>
      <c r="BU40" s="12">
        <f t="shared" si="27"/>
        <v>-226.0916666666667</v>
      </c>
      <c r="BV40" s="12">
        <f t="shared" si="27"/>
        <v>-226.0916666666667</v>
      </c>
      <c r="BW40" s="12">
        <f t="shared" si="27"/>
        <v>-226.0916666666667</v>
      </c>
      <c r="BX40" s="12">
        <f t="shared" si="27"/>
        <v>-226.09166666666673</v>
      </c>
      <c r="BY40" s="5">
        <f t="shared" si="27"/>
        <v>-904.36666666666679</v>
      </c>
      <c r="BZ40" s="12">
        <f t="shared" si="27"/>
        <v>-145.60000000000002</v>
      </c>
      <c r="CA40" s="12">
        <f t="shared" si="27"/>
        <v>-145.60000000000002</v>
      </c>
      <c r="CB40" s="12">
        <f t="shared" si="27"/>
        <v>-145.60000000000002</v>
      </c>
      <c r="CC40" s="12">
        <f t="shared" si="27"/>
        <v>-145.60000000000002</v>
      </c>
      <c r="CD40" s="5">
        <f t="shared" si="27"/>
        <v>-582.40000000000009</v>
      </c>
      <c r="CE40" s="707"/>
      <c r="CF40" s="468">
        <v>2010</v>
      </c>
      <c r="CG40" s="115">
        <v>25865.325221553045</v>
      </c>
      <c r="CH40" s="115">
        <f t="shared" si="12"/>
        <v>22306</v>
      </c>
      <c r="CI40">
        <f t="shared" si="14"/>
        <v>5670</v>
      </c>
      <c r="CJ40">
        <f t="shared" si="15"/>
        <v>3650</v>
      </c>
      <c r="CK40" s="115">
        <f t="shared" si="16"/>
        <v>24326</v>
      </c>
      <c r="CM40" s="468">
        <v>2010</v>
      </c>
      <c r="CN40" s="440">
        <f t="shared" si="13"/>
        <v>9.7407091699786985</v>
      </c>
      <c r="CO40" s="613">
        <f>INDEX(Reserves!$205:$205,MATCH('E&amp;P - FAS69'!CM40,Reserves!$199:$199,0))+INDEX(Reserves!$209:$209,MATCH('E&amp;P - FAS69'!CM40,Reserves!$199:$199,0))</f>
        <v>20.021711407426579</v>
      </c>
    </row>
    <row r="41" spans="1:93" ht="12.75" customHeight="1">
      <c r="A41" s="4" t="s">
        <v>2149</v>
      </c>
      <c r="B41" s="5"/>
      <c r="C41" s="5">
        <v>-3209</v>
      </c>
      <c r="D41" s="5">
        <v>-3194</v>
      </c>
      <c r="E41" s="5">
        <v>-3205</v>
      </c>
      <c r="F41" s="5">
        <v>-3577</v>
      </c>
      <c r="G41" s="5">
        <f t="shared" si="18"/>
        <v>-4390.8666666666659</v>
      </c>
      <c r="H41" s="93"/>
      <c r="I41" s="93"/>
      <c r="J41" s="93"/>
      <c r="K41" s="93"/>
      <c r="L41" s="5">
        <f t="shared" si="19"/>
        <v>-5308</v>
      </c>
      <c r="M41" s="93"/>
      <c r="N41" s="93"/>
      <c r="O41" s="93"/>
      <c r="P41" s="93"/>
      <c r="Q41" s="5">
        <f t="shared" si="20"/>
        <v>-6530</v>
      </c>
      <c r="R41" s="93"/>
      <c r="S41" s="93"/>
      <c r="T41" s="93"/>
      <c r="U41" s="93"/>
      <c r="V41" s="5">
        <f t="shared" si="21"/>
        <v>-6667</v>
      </c>
      <c r="W41" s="93"/>
      <c r="X41" s="93"/>
      <c r="Y41" s="93"/>
      <c r="Z41" s="93"/>
      <c r="AA41" s="5">
        <f t="shared" si="22"/>
        <v>-6261</v>
      </c>
      <c r="AB41" s="5">
        <f t="shared" ref="AB41:AO41" si="30">SUM(AB134,AB224,AB277,AB329,AB419,AB471)</f>
        <v>0</v>
      </c>
      <c r="AC41" s="5">
        <f t="shared" si="30"/>
        <v>0</v>
      </c>
      <c r="AD41" s="5">
        <f t="shared" si="30"/>
        <v>0</v>
      </c>
      <c r="AE41" s="5">
        <f t="shared" si="30"/>
        <v>0</v>
      </c>
      <c r="AF41" s="5">
        <f t="shared" si="30"/>
        <v>-6158</v>
      </c>
      <c r="AG41" s="5">
        <f t="shared" si="30"/>
        <v>0</v>
      </c>
      <c r="AH41" s="5">
        <f t="shared" si="30"/>
        <v>0</v>
      </c>
      <c r="AI41" s="5">
        <f t="shared" si="30"/>
        <v>0</v>
      </c>
      <c r="AJ41" s="5">
        <f t="shared" si="30"/>
        <v>0</v>
      </c>
      <c r="AK41" s="5">
        <f t="shared" si="30"/>
        <v>-7704</v>
      </c>
      <c r="AL41" s="5">
        <f t="shared" si="30"/>
        <v>0</v>
      </c>
      <c r="AM41" s="5">
        <f t="shared" si="30"/>
        <v>0</v>
      </c>
      <c r="AN41" s="5">
        <f t="shared" si="30"/>
        <v>0</v>
      </c>
      <c r="AO41" s="5">
        <f t="shared" si="30"/>
        <v>0</v>
      </c>
      <c r="AP41" s="5">
        <f t="shared" si="25"/>
        <v>-8985</v>
      </c>
      <c r="AQ41" s="93"/>
      <c r="AR41" s="93"/>
      <c r="AS41" s="93"/>
      <c r="AT41" s="93"/>
      <c r="AU41" s="5">
        <f t="shared" ref="AU41:CD41" si="31">SUM(AU134,AU224,AU277,AU329,AU419,AU471)</f>
        <v>-9058</v>
      </c>
      <c r="AV41" s="93"/>
      <c r="AW41" s="93"/>
      <c r="AX41" s="93"/>
      <c r="AY41" s="93"/>
      <c r="AZ41" s="5">
        <f t="shared" si="26"/>
        <v>-8787</v>
      </c>
      <c r="BA41" s="93"/>
      <c r="BB41" s="93"/>
      <c r="BC41" s="93"/>
      <c r="BD41" s="93"/>
      <c r="BE41" s="5">
        <f>SUM(BE134,BE224,BE277,BE329,BE419,BE471)</f>
        <v>-7519</v>
      </c>
      <c r="BF41" s="93"/>
      <c r="BG41" s="93"/>
      <c r="BH41" s="93"/>
      <c r="BI41" s="93"/>
      <c r="BJ41" s="5">
        <f>SUM(BJ134,BJ224,BJ277,BJ329,BJ419,BJ471)</f>
        <v>-6006</v>
      </c>
      <c r="BK41" s="93"/>
      <c r="BL41" s="93"/>
      <c r="BM41" s="93"/>
      <c r="BN41" s="93"/>
      <c r="BO41" s="5">
        <f>SUM(BO134,BO224,BO277,BO329,BO419,BO471)</f>
        <v>-5614</v>
      </c>
      <c r="BP41" s="12">
        <f t="shared" si="31"/>
        <v>-1474.6342585205921</v>
      </c>
      <c r="BQ41" s="12">
        <f t="shared" si="31"/>
        <v>-1466.1293946600476</v>
      </c>
      <c r="BR41" s="12">
        <f t="shared" si="31"/>
        <v>-1469.1606361090742</v>
      </c>
      <c r="BS41" s="12">
        <f t="shared" si="31"/>
        <v>-1482.9417891915812</v>
      </c>
      <c r="BT41" s="5">
        <f t="shared" si="31"/>
        <v>-5892.8660784812946</v>
      </c>
      <c r="BU41" s="12">
        <f t="shared" si="31"/>
        <v>-1596.1161049534019</v>
      </c>
      <c r="BV41" s="12">
        <f t="shared" si="31"/>
        <v>-1592.7807666316446</v>
      </c>
      <c r="BW41" s="12">
        <f t="shared" si="31"/>
        <v>-1594.1126007041025</v>
      </c>
      <c r="BX41" s="12">
        <f t="shared" si="31"/>
        <v>-1611.0895674419928</v>
      </c>
      <c r="BY41" s="5">
        <f t="shared" si="31"/>
        <v>-6394.0990397311416</v>
      </c>
      <c r="BZ41" s="12">
        <f t="shared" si="31"/>
        <v>-1714.2695757719928</v>
      </c>
      <c r="CA41" s="12">
        <f t="shared" si="31"/>
        <v>-1687.6688665562956</v>
      </c>
      <c r="CB41" s="12">
        <f t="shared" si="31"/>
        <v>-1683.3405334527913</v>
      </c>
      <c r="CC41" s="12">
        <f t="shared" si="31"/>
        <v>-1706.448407626744</v>
      </c>
      <c r="CD41" s="5">
        <f t="shared" si="31"/>
        <v>-6791.7273834078233</v>
      </c>
      <c r="CE41" s="707"/>
      <c r="CF41" s="468">
        <v>2011</v>
      </c>
      <c r="CG41" s="115">
        <v>28222.858333924305</v>
      </c>
      <c r="CH41" s="115">
        <f t="shared" si="12"/>
        <v>22377</v>
      </c>
      <c r="CI41">
        <f t="shared" si="14"/>
        <v>7246</v>
      </c>
      <c r="CJ41">
        <f t="shared" si="15"/>
        <v>5155</v>
      </c>
      <c r="CK41" s="115">
        <f t="shared" si="16"/>
        <v>24468</v>
      </c>
      <c r="CM41" s="468">
        <v>2011</v>
      </c>
      <c r="CN41" s="440">
        <f t="shared" si="13"/>
        <v>12.603380302148928</v>
      </c>
      <c r="CO41" s="613">
        <f>INDEX(Reserves!$205:$205,MATCH('E&amp;P - FAS69'!CM41,Reserves!$199:$199,0))+INDEX(Reserves!$209:$209,MATCH('E&amp;P - FAS69'!CM41,Reserves!$199:$199,0))</f>
        <v>48.26252013473551</v>
      </c>
    </row>
    <row r="42" spans="1:93" ht="12.75" customHeight="1">
      <c r="A42" s="4" t="s">
        <v>2150</v>
      </c>
      <c r="B42" s="5"/>
      <c r="C42" s="5">
        <v>-1648</v>
      </c>
      <c r="D42" s="5">
        <v>-1244</v>
      </c>
      <c r="E42" s="5">
        <v>-1657</v>
      </c>
      <c r="F42" s="5">
        <v>-2087</v>
      </c>
      <c r="G42" s="5">
        <f t="shared" si="18"/>
        <v>-4127</v>
      </c>
      <c r="H42" s="93"/>
      <c r="I42" s="93"/>
      <c r="J42" s="93"/>
      <c r="K42" s="93"/>
      <c r="L42" s="5">
        <f t="shared" si="19"/>
        <v>-5417</v>
      </c>
      <c r="M42" s="93"/>
      <c r="N42" s="93"/>
      <c r="O42" s="93"/>
      <c r="P42" s="93"/>
      <c r="Q42" s="5">
        <f t="shared" si="20"/>
        <v>-5733</v>
      </c>
      <c r="R42" s="93"/>
      <c r="S42" s="93"/>
      <c r="T42" s="93"/>
      <c r="U42" s="93"/>
      <c r="V42" s="5">
        <f t="shared" si="21"/>
        <v>-9086</v>
      </c>
      <c r="W42" s="93"/>
      <c r="X42" s="93"/>
      <c r="Y42" s="93"/>
      <c r="Z42" s="93"/>
      <c r="AA42" s="5">
        <f t="shared" si="22"/>
        <v>-3793</v>
      </c>
      <c r="AB42" s="93"/>
      <c r="AC42" s="93"/>
      <c r="AD42" s="93"/>
      <c r="AE42" s="93"/>
      <c r="AF42" s="5">
        <f t="shared" si="23"/>
        <v>-5269</v>
      </c>
      <c r="AG42" s="93"/>
      <c r="AH42" s="93"/>
      <c r="AI42" s="93"/>
      <c r="AJ42" s="93"/>
      <c r="AK42" s="5">
        <f t="shared" si="24"/>
        <v>-8307</v>
      </c>
      <c r="AL42" s="93"/>
      <c r="AM42" s="93"/>
      <c r="AN42" s="93"/>
      <c r="AO42" s="93"/>
      <c r="AP42" s="5">
        <f t="shared" si="25"/>
        <v>-8158</v>
      </c>
      <c r="AQ42" s="93"/>
      <c r="AR42" s="93"/>
      <c r="AS42" s="93"/>
      <c r="AT42" s="93"/>
      <c r="AU42" s="5">
        <f t="shared" ref="AU42:CD42" si="32">SUM(AU135,AU225,AU278,AU330,AU420,AU472)</f>
        <v>-7047</v>
      </c>
      <c r="AV42" s="93"/>
      <c r="AW42" s="93"/>
      <c r="AX42" s="93"/>
      <c r="AY42" s="93"/>
      <c r="AZ42" s="5">
        <f t="shared" si="26"/>
        <v>-2958</v>
      </c>
      <c r="BA42" s="93"/>
      <c r="BB42" s="93"/>
      <c r="BC42" s="93"/>
      <c r="BD42" s="93"/>
      <c r="BE42" s="5">
        <f>SUM(BE135,BE225,BE278,BE330,BE420,BE472)</f>
        <v>-1036</v>
      </c>
      <c r="BF42" s="93"/>
      <c r="BG42" s="93"/>
      <c r="BH42" s="93"/>
      <c r="BI42" s="93"/>
      <c r="BJ42" s="5">
        <f>SUM(BJ135,BJ225,BJ278,BJ330,BJ420,BJ472)</f>
        <v>-683</v>
      </c>
      <c r="BK42" s="93"/>
      <c r="BL42" s="93"/>
      <c r="BM42" s="93"/>
      <c r="BN42" s="93"/>
      <c r="BO42" s="5">
        <f>SUM(BO135,BO225,BO278,BO330,BO420,BO472)</f>
        <v>-1775</v>
      </c>
      <c r="BP42" s="12">
        <f t="shared" si="32"/>
        <v>-552.94564949370579</v>
      </c>
      <c r="BQ42" s="12">
        <f t="shared" si="32"/>
        <v>-563.95595765226221</v>
      </c>
      <c r="BR42" s="12">
        <f t="shared" si="32"/>
        <v>-564.87582232273121</v>
      </c>
      <c r="BS42" s="12">
        <f t="shared" si="32"/>
        <v>-555.15382795833784</v>
      </c>
      <c r="BT42" s="5">
        <f t="shared" si="32"/>
        <v>-2236.9312574270366</v>
      </c>
      <c r="BU42" s="12">
        <f t="shared" si="32"/>
        <v>-573.34097154038579</v>
      </c>
      <c r="BV42" s="12">
        <f t="shared" si="32"/>
        <v>-576.33472733163114</v>
      </c>
      <c r="BW42" s="12">
        <f t="shared" si="32"/>
        <v>-587.78723090918652</v>
      </c>
      <c r="BX42" s="12">
        <f t="shared" si="32"/>
        <v>-587.0131913149977</v>
      </c>
      <c r="BY42" s="5">
        <f t="shared" si="32"/>
        <v>-2324.4761210962015</v>
      </c>
      <c r="BZ42" s="12">
        <f t="shared" si="32"/>
        <v>-619.74446392478524</v>
      </c>
      <c r="CA42" s="12">
        <f t="shared" si="32"/>
        <v>-627.32114203788262</v>
      </c>
      <c r="CB42" s="12">
        <f t="shared" si="32"/>
        <v>-645.79397186982351</v>
      </c>
      <c r="CC42" s="12">
        <f t="shared" si="32"/>
        <v>-648.33906585891884</v>
      </c>
      <c r="CD42" s="5">
        <f t="shared" si="32"/>
        <v>-2541.1986436914103</v>
      </c>
      <c r="CE42" s="707"/>
      <c r="CF42" s="468">
        <v>2012</v>
      </c>
      <c r="CG42" s="115">
        <v>24856.863921709853</v>
      </c>
      <c r="CH42" s="115">
        <f t="shared" si="12"/>
        <v>21247</v>
      </c>
      <c r="CI42">
        <f t="shared" si="14"/>
        <v>5793</v>
      </c>
      <c r="CJ42">
        <f t="shared" si="15"/>
        <v>3857</v>
      </c>
      <c r="CK42" s="115">
        <f t="shared" si="16"/>
        <v>23183</v>
      </c>
      <c r="CM42" s="468">
        <v>2012</v>
      </c>
      <c r="CN42" s="440">
        <f t="shared" si="13"/>
        <v>15.532137983588775</v>
      </c>
      <c r="CO42" s="612">
        <f>AVERAGE(CO41,CO43)</f>
        <v>40.987713775757896</v>
      </c>
    </row>
    <row r="43" spans="1:93">
      <c r="A43" s="4" t="s">
        <v>2158</v>
      </c>
      <c r="B43" s="5"/>
      <c r="C43" s="5">
        <v>-3333</v>
      </c>
      <c r="D43" s="5">
        <v>-3401</v>
      </c>
      <c r="E43" s="5">
        <v>-3537</v>
      </c>
      <c r="F43" s="5">
        <v>-3764</v>
      </c>
      <c r="G43" s="5">
        <f t="shared" si="18"/>
        <v>-5729</v>
      </c>
      <c r="H43" s="93"/>
      <c r="I43" s="93"/>
      <c r="J43" s="93"/>
      <c r="K43" s="93"/>
      <c r="L43" s="5">
        <f t="shared" si="19"/>
        <v>-4110</v>
      </c>
      <c r="M43" s="93"/>
      <c r="N43" s="93"/>
      <c r="O43" s="93"/>
      <c r="P43" s="93"/>
      <c r="Q43" s="5">
        <f t="shared" si="20"/>
        <v>-4679</v>
      </c>
      <c r="R43" s="93"/>
      <c r="S43" s="93"/>
      <c r="T43" s="93"/>
      <c r="U43" s="93"/>
      <c r="V43" s="5">
        <f t="shared" si="21"/>
        <v>-6274</v>
      </c>
      <c r="W43" s="93"/>
      <c r="X43" s="93"/>
      <c r="Y43" s="93"/>
      <c r="Z43" s="93"/>
      <c r="AA43" s="5">
        <f t="shared" si="22"/>
        <v>-2839</v>
      </c>
      <c r="AB43" s="93"/>
      <c r="AC43" s="93"/>
      <c r="AD43" s="93"/>
      <c r="AE43" s="93"/>
      <c r="AF43" s="5">
        <f t="shared" si="23"/>
        <v>-4091</v>
      </c>
      <c r="AG43" s="93"/>
      <c r="AH43" s="93"/>
      <c r="AI43" s="93"/>
      <c r="AJ43" s="93"/>
      <c r="AK43" s="5">
        <f t="shared" si="24"/>
        <v>-5078</v>
      </c>
      <c r="AL43" s="93"/>
      <c r="AM43" s="93"/>
      <c r="AN43" s="93"/>
      <c r="AO43" s="93"/>
      <c r="AP43" s="5">
        <f t="shared" si="25"/>
        <v>-2517</v>
      </c>
      <c r="AQ43" s="93"/>
      <c r="AR43" s="93"/>
      <c r="AS43" s="93"/>
      <c r="AT43" s="93"/>
      <c r="AU43" s="5">
        <f t="shared" ref="AU43:CD43" si="33">SUM(AU136,AU226,AU279,AU331,AU421,AU473)</f>
        <v>-2562</v>
      </c>
      <c r="AV43" s="93"/>
      <c r="AW43" s="93"/>
      <c r="AX43" s="93"/>
      <c r="AY43" s="93"/>
      <c r="AZ43" s="5">
        <f t="shared" si="26"/>
        <v>-2575</v>
      </c>
      <c r="BA43" s="93"/>
      <c r="BB43" s="93"/>
      <c r="BC43" s="93"/>
      <c r="BD43" s="93"/>
      <c r="BE43" s="5">
        <f>SUM(BE136,BE226,BE279,BE331,BE421,BE473)</f>
        <v>-2621</v>
      </c>
      <c r="BF43" s="93"/>
      <c r="BG43" s="93"/>
      <c r="BH43" s="93"/>
      <c r="BI43" s="93"/>
      <c r="BJ43" s="5">
        <f>SUM(BJ136,BJ226,BJ279,BJ331,BJ421,BJ473)</f>
        <v>-2548</v>
      </c>
      <c r="BK43" s="93"/>
      <c r="BL43" s="93"/>
      <c r="BM43" s="93"/>
      <c r="BN43" s="93"/>
      <c r="BO43" s="5">
        <f>SUM(BO136,BO226,BO279,BO331,BO421,BO473)</f>
        <v>-2469</v>
      </c>
      <c r="BP43" s="12">
        <f t="shared" si="33"/>
        <v>-586.38750000000005</v>
      </c>
      <c r="BQ43" s="12">
        <f t="shared" si="33"/>
        <v>-586.38750000000005</v>
      </c>
      <c r="BR43" s="12">
        <f t="shared" si="33"/>
        <v>-586.38749999999993</v>
      </c>
      <c r="BS43" s="12">
        <f t="shared" si="33"/>
        <v>-586.38750000000005</v>
      </c>
      <c r="BT43" s="5">
        <f t="shared" si="33"/>
        <v>-2345.5500000000002</v>
      </c>
      <c r="BU43" s="12">
        <f t="shared" si="33"/>
        <v>-586.38750000000005</v>
      </c>
      <c r="BV43" s="12">
        <f t="shared" si="33"/>
        <v>-586.38750000000005</v>
      </c>
      <c r="BW43" s="12">
        <f t="shared" si="33"/>
        <v>-586.38749999999993</v>
      </c>
      <c r="BX43" s="12">
        <f t="shared" si="33"/>
        <v>-586.38750000000005</v>
      </c>
      <c r="BY43" s="5">
        <f t="shared" si="33"/>
        <v>-2345.5500000000002</v>
      </c>
      <c r="BZ43" s="12">
        <f t="shared" si="33"/>
        <v>-586.38750000000005</v>
      </c>
      <c r="CA43" s="12">
        <f t="shared" si="33"/>
        <v>-586.38750000000005</v>
      </c>
      <c r="CB43" s="12">
        <f t="shared" si="33"/>
        <v>-586.38749999999993</v>
      </c>
      <c r="CC43" s="12">
        <f t="shared" si="33"/>
        <v>-586.38750000000005</v>
      </c>
      <c r="CD43" s="5">
        <f t="shared" si="33"/>
        <v>-2345.5500000000002</v>
      </c>
      <c r="CE43" s="707"/>
      <c r="CF43" s="468">
        <v>2013</v>
      </c>
      <c r="CG43" s="115">
        <v>26257.501960481732</v>
      </c>
      <c r="CH43" s="115">
        <f t="shared" si="12"/>
        <v>22942</v>
      </c>
      <c r="CI43">
        <f t="shared" si="14"/>
        <v>5442</v>
      </c>
      <c r="CJ43">
        <f t="shared" si="15"/>
        <v>3553</v>
      </c>
      <c r="CK43" s="115">
        <f>CH43+CI43-CJ43</f>
        <v>24831</v>
      </c>
      <c r="CM43" s="468">
        <v>2013</v>
      </c>
      <c r="CN43" s="440">
        <f t="shared" si="13"/>
        <v>19.993643675457079</v>
      </c>
      <c r="CO43" s="613">
        <f>INDEX(Reserves!$205:$205,MATCH('E&amp;P - FAS69'!CM43,Reserves!$199:$199,0))+INDEX(Reserves!$209:$209,MATCH('E&amp;P - FAS69'!CM43,Reserves!$199:$199,0))</f>
        <v>33.712907416780283</v>
      </c>
    </row>
    <row r="44" spans="1:93">
      <c r="A44" s="4" t="s">
        <v>2154</v>
      </c>
      <c r="B44" s="5"/>
      <c r="C44" s="5">
        <v>-5475</v>
      </c>
      <c r="D44" s="5">
        <v>-6130</v>
      </c>
      <c r="E44" s="5">
        <v>-5270</v>
      </c>
      <c r="F44" s="5">
        <v>-5157</v>
      </c>
      <c r="G44" s="5">
        <f t="shared" si="18"/>
        <v>-5628</v>
      </c>
      <c r="H44" s="93"/>
      <c r="I44" s="93"/>
      <c r="J44" s="93"/>
      <c r="K44" s="93"/>
      <c r="L44" s="5">
        <f t="shared" si="19"/>
        <v>-6143</v>
      </c>
      <c r="M44" s="93"/>
      <c r="N44" s="93"/>
      <c r="O44" s="93"/>
      <c r="P44" s="93"/>
      <c r="Q44" s="5">
        <f t="shared" si="20"/>
        <v>-7288</v>
      </c>
      <c r="R44" s="93"/>
      <c r="S44" s="93"/>
      <c r="T44" s="93"/>
      <c r="U44" s="93"/>
      <c r="V44" s="5">
        <f t="shared" si="21"/>
        <v>-7883</v>
      </c>
      <c r="W44" s="93"/>
      <c r="X44" s="93"/>
      <c r="Y44" s="93"/>
      <c r="Z44" s="93"/>
      <c r="AA44" s="5">
        <f t="shared" si="22"/>
        <v>-8951</v>
      </c>
      <c r="AB44" s="93"/>
      <c r="AC44" s="93"/>
      <c r="AD44" s="93"/>
      <c r="AE44" s="93"/>
      <c r="AF44" s="5">
        <f t="shared" si="23"/>
        <v>-8021</v>
      </c>
      <c r="AG44" s="93"/>
      <c r="AH44" s="93"/>
      <c r="AI44" s="93"/>
      <c r="AJ44" s="93"/>
      <c r="AK44" s="5">
        <f t="shared" si="24"/>
        <v>-8114</v>
      </c>
      <c r="AL44" s="93"/>
      <c r="AM44" s="93"/>
      <c r="AN44" s="93"/>
      <c r="AO44" s="93"/>
      <c r="AP44" s="5">
        <f t="shared" si="25"/>
        <v>-9658</v>
      </c>
      <c r="AQ44" s="93"/>
      <c r="AR44" s="93"/>
      <c r="AS44" s="93"/>
      <c r="AT44" s="93"/>
      <c r="AU44" s="5">
        <f t="shared" ref="AU44:CD44" si="34">SUM(AU137,AU227,AU280,AU332,AU422,AU474)</f>
        <v>-10334</v>
      </c>
      <c r="AV44" s="93"/>
      <c r="AW44" s="93"/>
      <c r="AX44" s="93"/>
      <c r="AY44" s="93"/>
      <c r="AZ44" s="5">
        <f t="shared" si="26"/>
        <v>-11728</v>
      </c>
      <c r="BA44" s="93"/>
      <c r="BB44" s="93"/>
      <c r="BC44" s="93"/>
      <c r="BD44" s="93"/>
      <c r="BE44" s="5">
        <f>SUM(BE137,BE227,BE280,BE332,BE422,BE474)</f>
        <v>-12004</v>
      </c>
      <c r="BF44" s="93"/>
      <c r="BG44" s="93"/>
      <c r="BH44" s="93"/>
      <c r="BI44" s="93"/>
      <c r="BJ44" s="5">
        <f>SUM(BJ137,BJ227,BJ280,BJ332,BJ422,BJ474)</f>
        <v>-11213</v>
      </c>
      <c r="BK44" s="93"/>
      <c r="BL44" s="93"/>
      <c r="BM44" s="93"/>
      <c r="BN44" s="93"/>
      <c r="BO44" s="5">
        <f>SUM(BO137,BO227,BO280,BO332,BO422,BO474)</f>
        <v>-12385</v>
      </c>
      <c r="BP44" s="12">
        <f t="shared" si="34"/>
        <v>-3391.0184335188414</v>
      </c>
      <c r="BQ44" s="12">
        <f t="shared" si="34"/>
        <v>-3380.3514074248965</v>
      </c>
      <c r="BR44" s="12">
        <f t="shared" si="34"/>
        <v>-3398.5392723651007</v>
      </c>
      <c r="BS44" s="12">
        <f t="shared" si="34"/>
        <v>-3424.3554085919777</v>
      </c>
      <c r="BT44" s="5">
        <f t="shared" si="34"/>
        <v>-13594.264521900814</v>
      </c>
      <c r="BU44" s="12">
        <f t="shared" si="34"/>
        <v>-3634.9337100574517</v>
      </c>
      <c r="BV44" s="12">
        <f t="shared" si="34"/>
        <v>-3630.5453123177354</v>
      </c>
      <c r="BW44" s="12">
        <f t="shared" si="34"/>
        <v>-3647.4800993095009</v>
      </c>
      <c r="BX44" s="12">
        <f t="shared" si="34"/>
        <v>-3678.8038002743997</v>
      </c>
      <c r="BY44" s="5">
        <f t="shared" si="34"/>
        <v>-14591.762921959087</v>
      </c>
      <c r="BZ44" s="12">
        <f t="shared" si="34"/>
        <v>-3887.0456492883086</v>
      </c>
      <c r="CA44" s="12">
        <f t="shared" si="34"/>
        <v>-3831.753544910825</v>
      </c>
      <c r="CB44" s="12">
        <f t="shared" si="34"/>
        <v>-3841.893896473618</v>
      </c>
      <c r="CC44" s="12">
        <f t="shared" si="34"/>
        <v>-3883.2160238511533</v>
      </c>
      <c r="CD44" s="5">
        <f t="shared" si="34"/>
        <v>-15443.909114523905</v>
      </c>
      <c r="CE44" s="707"/>
      <c r="CF44" s="468">
        <v>2014</v>
      </c>
      <c r="CG44" s="115">
        <v>27361.958576098172</v>
      </c>
      <c r="CH44" s="115">
        <f t="shared" si="12"/>
        <v>26290</v>
      </c>
      <c r="CI44">
        <f t="shared" si="14"/>
        <v>5556</v>
      </c>
      <c r="CJ44">
        <f t="shared" si="15"/>
        <v>3696</v>
      </c>
      <c r="CK44" s="115">
        <f t="shared" si="16"/>
        <v>28150</v>
      </c>
      <c r="CM44" s="468">
        <v>2014</v>
      </c>
      <c r="CN44" s="440">
        <f t="shared" si="13"/>
        <v>22.292146527424158</v>
      </c>
      <c r="CO44" s="613">
        <f>INDEX(Reserves!$205:$205,MATCH('E&amp;P - FAS69'!CM44,Reserves!$199:$199,0))+INDEX(Reserves!$209:$209,MATCH('E&amp;P - FAS69'!CM44,Reserves!$199:$199,0))</f>
        <v>44.096748743242173</v>
      </c>
    </row>
    <row r="45" spans="1:93">
      <c r="A45" s="4" t="s">
        <v>610</v>
      </c>
      <c r="B45" s="5"/>
      <c r="C45" s="5">
        <v>20</v>
      </c>
      <c r="D45" s="5">
        <v>-1287</v>
      </c>
      <c r="E45" s="5">
        <v>175</v>
      </c>
      <c r="F45" s="5">
        <v>-469</v>
      </c>
      <c r="G45" s="5">
        <f t="shared" si="18"/>
        <v>893</v>
      </c>
      <c r="H45" s="93"/>
      <c r="I45" s="93"/>
      <c r="J45" s="93"/>
      <c r="K45" s="93"/>
      <c r="L45" s="5">
        <f t="shared" si="19"/>
        <v>2475</v>
      </c>
      <c r="M45" s="93"/>
      <c r="N45" s="93"/>
      <c r="O45" s="93"/>
      <c r="P45" s="93"/>
      <c r="Q45" s="5">
        <f t="shared" si="20"/>
        <v>954</v>
      </c>
      <c r="R45" s="93"/>
      <c r="S45" s="93"/>
      <c r="T45" s="93"/>
      <c r="U45" s="93"/>
      <c r="V45" s="5">
        <f t="shared" si="21"/>
        <v>-541</v>
      </c>
      <c r="W45" s="93"/>
      <c r="X45" s="93"/>
      <c r="Y45" s="93"/>
      <c r="Z45" s="93"/>
      <c r="AA45" s="5">
        <f t="shared" si="22"/>
        <v>1051</v>
      </c>
      <c r="AB45" s="93"/>
      <c r="AC45" s="93"/>
      <c r="AD45" s="93"/>
      <c r="AE45" s="93"/>
      <c r="AF45" s="5">
        <f t="shared" si="23"/>
        <v>3721</v>
      </c>
      <c r="AG45" s="93"/>
      <c r="AH45" s="93"/>
      <c r="AI45" s="93"/>
      <c r="AJ45" s="93"/>
      <c r="AK45" s="5">
        <f t="shared" si="24"/>
        <v>2120</v>
      </c>
      <c r="AL45" s="93"/>
      <c r="AM45" s="93"/>
      <c r="AN45" s="93"/>
      <c r="AO45" s="93"/>
      <c r="AP45" s="5">
        <f t="shared" si="25"/>
        <v>2999</v>
      </c>
      <c r="AQ45" s="93"/>
      <c r="AR45" s="93"/>
      <c r="AS45" s="93"/>
      <c r="AT45" s="93"/>
      <c r="AU45" s="5">
        <f t="shared" ref="AU45:CD45" si="35">SUM(AU138,AU228,AU281,AU333,AU423,AU475)</f>
        <v>-425</v>
      </c>
      <c r="AV45" s="93"/>
      <c r="AW45" s="93"/>
      <c r="AX45" s="93"/>
      <c r="AY45" s="93"/>
      <c r="AZ45" s="5">
        <f t="shared" si="26"/>
        <v>-6317</v>
      </c>
      <c r="BA45" s="93"/>
      <c r="BB45" s="93"/>
      <c r="BC45" s="93"/>
      <c r="BD45" s="93"/>
      <c r="BE45" s="5">
        <f>SUM(BE138,BE228,BE281,BE333,BE423,BE475)</f>
        <v>-1159</v>
      </c>
      <c r="BF45" s="93"/>
      <c r="BG45" s="93"/>
      <c r="BH45" s="93"/>
      <c r="BI45" s="93"/>
      <c r="BJ45" s="5">
        <f>SUM(BJ138,BJ228,BJ281,BJ333,BJ423,BJ475)</f>
        <v>2747</v>
      </c>
      <c r="BK45" s="93"/>
      <c r="BL45" s="93"/>
      <c r="BM45" s="93"/>
      <c r="BN45" s="93"/>
      <c r="BO45" s="5">
        <f>SUM(BO138,BO228,BO281,BO333,BO423,BO475)</f>
        <v>-179</v>
      </c>
      <c r="BP45" s="12">
        <f t="shared" si="35"/>
        <v>0</v>
      </c>
      <c r="BQ45" s="12">
        <f t="shared" si="35"/>
        <v>0</v>
      </c>
      <c r="BR45" s="12">
        <f t="shared" si="35"/>
        <v>0</v>
      </c>
      <c r="BS45" s="12">
        <f t="shared" si="35"/>
        <v>0</v>
      </c>
      <c r="BT45" s="5">
        <f t="shared" si="35"/>
        <v>0</v>
      </c>
      <c r="BU45" s="12">
        <f t="shared" si="35"/>
        <v>0</v>
      </c>
      <c r="BV45" s="12">
        <f t="shared" si="35"/>
        <v>0</v>
      </c>
      <c r="BW45" s="12">
        <f t="shared" si="35"/>
        <v>0</v>
      </c>
      <c r="BX45" s="12">
        <f t="shared" si="35"/>
        <v>0</v>
      </c>
      <c r="BY45" s="5">
        <f t="shared" si="35"/>
        <v>0</v>
      </c>
      <c r="BZ45" s="12">
        <f t="shared" si="35"/>
        <v>0</v>
      </c>
      <c r="CA45" s="12">
        <f t="shared" si="35"/>
        <v>0</v>
      </c>
      <c r="CB45" s="12">
        <f t="shared" si="35"/>
        <v>0</v>
      </c>
      <c r="CC45" s="12">
        <f t="shared" si="35"/>
        <v>0</v>
      </c>
      <c r="CD45" s="5">
        <f t="shared" si="35"/>
        <v>0</v>
      </c>
      <c r="CE45" s="707"/>
      <c r="CF45" s="468">
        <v>2015</v>
      </c>
      <c r="CG45" s="115">
        <v>16401.435318135314</v>
      </c>
      <c r="CH45" s="115">
        <f t="shared" si="12"/>
        <v>14135</v>
      </c>
      <c r="CI45">
        <f t="shared" si="14"/>
        <v>3630</v>
      </c>
      <c r="CJ45">
        <f t="shared" si="15"/>
        <v>2370</v>
      </c>
      <c r="CK45" s="115">
        <f t="shared" si="16"/>
        <v>15395</v>
      </c>
      <c r="CM45" s="468">
        <v>2015</v>
      </c>
      <c r="CN45" s="440">
        <f t="shared" si="13"/>
        <v>19.950558812874835</v>
      </c>
      <c r="CO45" s="613">
        <f>INDEX(Reserves!$205:$205,MATCH('E&amp;P - FAS69'!CM45,Reserves!$199:$199,0))+INDEX(Reserves!$209:$209,MATCH('E&amp;P - FAS69'!CM45,Reserves!$199:$199,0))</f>
        <v>31.866886130366581</v>
      </c>
    </row>
    <row r="46" spans="1:93">
      <c r="A46" s="7" t="s">
        <v>2160</v>
      </c>
      <c r="B46" s="8"/>
      <c r="C46" s="8">
        <f>C38+SUM(C40:C45)</f>
        <v>11497</v>
      </c>
      <c r="D46" s="8">
        <f>D38+SUM(D40:D45)</f>
        <v>7092</v>
      </c>
      <c r="E46" s="8">
        <f>E38+SUM(E40:E45)</f>
        <v>13683</v>
      </c>
      <c r="F46" s="8">
        <f>F38+SUM(F40:F45)</f>
        <v>16045</v>
      </c>
      <c r="G46" s="8">
        <f>G38+SUM(G40:G45)</f>
        <v>22147.833333333336</v>
      </c>
      <c r="H46" s="93"/>
      <c r="I46" s="93"/>
      <c r="J46" s="93"/>
      <c r="K46" s="93"/>
      <c r="L46" s="8">
        <f>L38+SUM(L40:L45)</f>
        <v>26085</v>
      </c>
      <c r="M46" s="93"/>
      <c r="N46" s="93"/>
      <c r="O46" s="93"/>
      <c r="P46" s="93"/>
      <c r="Q46" s="8">
        <f>Q38+SUM(Q40:Q45)</f>
        <v>23604</v>
      </c>
      <c r="R46" s="93"/>
      <c r="S46" s="93"/>
      <c r="T46" s="93"/>
      <c r="U46" s="93"/>
      <c r="V46" s="8">
        <f>V38+SUM(V40:V45)</f>
        <v>33608</v>
      </c>
      <c r="W46" s="93"/>
      <c r="X46" s="93"/>
      <c r="Y46" s="93"/>
      <c r="Z46" s="93"/>
      <c r="AA46" s="8">
        <f>AA38+SUM(AA40:AA45)</f>
        <v>18841</v>
      </c>
      <c r="AB46" s="93"/>
      <c r="AC46" s="93"/>
      <c r="AD46" s="93"/>
      <c r="AE46" s="93"/>
      <c r="AF46" s="8">
        <f>AF38+SUM(AF40:AF45)</f>
        <v>27195</v>
      </c>
      <c r="AG46" s="93"/>
      <c r="AH46" s="93"/>
      <c r="AI46" s="93"/>
      <c r="AJ46" s="93"/>
      <c r="AK46" s="8">
        <f>AK38+SUM(AK40:AK45)</f>
        <v>24769</v>
      </c>
      <c r="AL46" s="93"/>
      <c r="AM46" s="93"/>
      <c r="AN46" s="93"/>
      <c r="AO46" s="93"/>
      <c r="AP46" s="8">
        <f>AP38+SUM(AP40:AP45)</f>
        <v>21196</v>
      </c>
      <c r="AQ46" s="93"/>
      <c r="AR46" s="93"/>
      <c r="AS46" s="93"/>
      <c r="AT46" s="93"/>
      <c r="AU46" s="8">
        <f>AU38+SUM(AU40:AU45)</f>
        <v>14826</v>
      </c>
      <c r="AV46" s="93"/>
      <c r="AW46" s="93"/>
      <c r="AX46" s="93"/>
      <c r="AY46" s="93"/>
      <c r="AZ46" s="8">
        <f>AZ38+SUM(AZ40:AZ45)</f>
        <v>6156</v>
      </c>
      <c r="BA46" s="93"/>
      <c r="BB46" s="93"/>
      <c r="BC46" s="93"/>
      <c r="BD46" s="93"/>
      <c r="BE46" s="8">
        <f t="shared" ref="BE46" si="36">BE38+SUM(BE40:BE45)</f>
        <v>-1947</v>
      </c>
      <c r="BF46" s="93"/>
      <c r="BG46" s="93"/>
      <c r="BH46" s="93"/>
      <c r="BI46" s="93"/>
      <c r="BJ46" s="8">
        <f t="shared" ref="BJ46" si="37">BJ38+SUM(BJ40:BJ45)</f>
        <v>386</v>
      </c>
      <c r="BK46" s="93"/>
      <c r="BL46" s="93"/>
      <c r="BM46" s="93"/>
      <c r="BN46" s="93"/>
      <c r="BO46" s="8">
        <f t="shared" ref="BO46" si="38">BO38+SUM(BO40:BO45)</f>
        <v>4279</v>
      </c>
      <c r="BP46" s="66">
        <f t="shared" ref="BP46:CD46" si="39">BP38+SUM(BP40:BP45)</f>
        <v>2889.5466797062336</v>
      </c>
      <c r="BQ46" s="66">
        <f t="shared" si="39"/>
        <v>3165.8555716325027</v>
      </c>
      <c r="BR46" s="66">
        <f t="shared" si="39"/>
        <v>3117.2188145844111</v>
      </c>
      <c r="BS46" s="66">
        <f t="shared" si="39"/>
        <v>3028.3666749052009</v>
      </c>
      <c r="BT46" s="8">
        <f t="shared" si="39"/>
        <v>12200.98774082835</v>
      </c>
      <c r="BU46" s="66">
        <f t="shared" si="39"/>
        <v>2726.1891652007052</v>
      </c>
      <c r="BV46" s="66">
        <f t="shared" si="39"/>
        <v>2729.9960064700208</v>
      </c>
      <c r="BW46" s="66">
        <f t="shared" si="39"/>
        <v>2754.5711977451156</v>
      </c>
      <c r="BX46" s="66">
        <f t="shared" si="39"/>
        <v>2764.3481765846864</v>
      </c>
      <c r="BY46" s="8">
        <f t="shared" si="39"/>
        <v>10975.104546000533</v>
      </c>
      <c r="BZ46" s="66">
        <f t="shared" si="39"/>
        <v>2628.8833079149372</v>
      </c>
      <c r="CA46" s="66">
        <f t="shared" si="39"/>
        <v>2764.9743208313612</v>
      </c>
      <c r="CB46" s="66">
        <f t="shared" si="39"/>
        <v>2856.5915064433593</v>
      </c>
      <c r="CC46" s="66">
        <f t="shared" si="39"/>
        <v>2924.1030398915391</v>
      </c>
      <c r="CD46" s="8">
        <f t="shared" si="39"/>
        <v>11174.552175081189</v>
      </c>
      <c r="CE46" s="707"/>
      <c r="CF46" s="468">
        <v>2016</v>
      </c>
      <c r="CG46" s="115">
        <v>14040.318001487634</v>
      </c>
      <c r="CH46" s="115">
        <f t="shared" si="12"/>
        <v>10908</v>
      </c>
      <c r="CI46">
        <f t="shared" si="14"/>
        <v>3574</v>
      </c>
      <c r="CJ46">
        <f t="shared" si="15"/>
        <v>1744</v>
      </c>
      <c r="CK46" s="115">
        <f t="shared" si="16"/>
        <v>12738</v>
      </c>
      <c r="CM46" s="468">
        <v>2016</v>
      </c>
      <c r="CN46" s="440">
        <f t="shared" si="13"/>
        <v>18.281704234266044</v>
      </c>
      <c r="CO46" s="613">
        <f>INDEX(Reserves!$205:$205,MATCH('E&amp;P - FAS69'!CM46,Reserves!$199:$199,0))+INDEX(Reserves!$209:$209,MATCH('E&amp;P - FAS69'!CM46,Reserves!$199:$199,0))</f>
        <v>17.975343495449582</v>
      </c>
    </row>
    <row r="47" spans="1:93">
      <c r="A47" s="4"/>
      <c r="B47" s="5"/>
      <c r="C47" s="5"/>
      <c r="D47" s="5"/>
      <c r="E47" s="5"/>
      <c r="F47" s="5"/>
      <c r="G47" s="5"/>
      <c r="H47" s="12"/>
      <c r="I47" s="12"/>
      <c r="J47" s="12"/>
      <c r="K47" s="12"/>
      <c r="L47" s="5"/>
      <c r="M47" s="12"/>
      <c r="N47" s="12"/>
      <c r="O47" s="12"/>
      <c r="P47" s="12"/>
      <c r="Q47" s="5"/>
      <c r="R47" s="12"/>
      <c r="S47" s="12"/>
      <c r="T47" s="12"/>
      <c r="U47" s="12"/>
      <c r="V47" s="5"/>
      <c r="W47" s="12"/>
      <c r="X47" s="12"/>
      <c r="Y47" s="12"/>
      <c r="Z47" s="12"/>
      <c r="AA47" s="5"/>
      <c r="AB47" s="12"/>
      <c r="AC47" s="12"/>
      <c r="AD47" s="12"/>
      <c r="AE47" s="12"/>
      <c r="AF47" s="5"/>
      <c r="AG47" s="12"/>
      <c r="AH47" s="12"/>
      <c r="AI47" s="12"/>
      <c r="AJ47" s="12"/>
      <c r="AK47" s="5"/>
      <c r="AL47" s="12"/>
      <c r="AM47" s="12"/>
      <c r="AN47" s="12"/>
      <c r="AO47" s="12"/>
      <c r="AP47" s="5"/>
      <c r="AQ47" s="12"/>
      <c r="AR47" s="12"/>
      <c r="AS47" s="12"/>
      <c r="AT47" s="12"/>
      <c r="AU47" s="5"/>
      <c r="AV47" s="12"/>
      <c r="AW47" s="12"/>
      <c r="AX47" s="12"/>
      <c r="AY47" s="12"/>
      <c r="AZ47" s="5"/>
      <c r="BA47" s="12"/>
      <c r="BB47" s="12"/>
      <c r="BC47" s="12"/>
      <c r="BD47" s="12"/>
      <c r="BE47" s="5"/>
      <c r="BF47" s="12"/>
      <c r="BG47" s="12"/>
      <c r="BH47" s="12"/>
      <c r="BI47" s="12"/>
      <c r="BJ47" s="5"/>
      <c r="BK47" s="12"/>
      <c r="BL47" s="12"/>
      <c r="BM47" s="12"/>
      <c r="BN47" s="12"/>
      <c r="BO47" s="5"/>
      <c r="BP47" s="12"/>
      <c r="BQ47" s="12"/>
      <c r="BR47" s="12"/>
      <c r="BS47" s="12"/>
      <c r="BT47" s="5"/>
      <c r="BU47" s="12"/>
      <c r="BV47" s="12"/>
      <c r="BW47" s="12"/>
      <c r="BX47" s="12"/>
      <c r="BY47" s="5"/>
      <c r="BZ47" s="12"/>
      <c r="CA47" s="12"/>
      <c r="CB47" s="12"/>
      <c r="CC47" s="12"/>
      <c r="CD47" s="5"/>
      <c r="CE47" s="707"/>
      <c r="CF47" s="468">
        <v>2017</v>
      </c>
      <c r="CG47" s="115">
        <v>17919.3751383989</v>
      </c>
      <c r="CH47" s="115">
        <f t="shared" si="12"/>
        <v>18291</v>
      </c>
      <c r="CI47">
        <f t="shared" si="14"/>
        <v>4749</v>
      </c>
      <c r="CJ47">
        <f t="shared" si="15"/>
        <v>2489</v>
      </c>
      <c r="CK47" s="115">
        <f t="shared" si="16"/>
        <v>20551</v>
      </c>
      <c r="CM47" s="468">
        <v>2017</v>
      </c>
      <c r="CN47" s="440">
        <f t="shared" si="13"/>
        <v>18.310454268278047</v>
      </c>
      <c r="CO47" s="613">
        <f>INDEX(Reserves!$205:$205,MATCH('E&amp;P - FAS69'!CM47,Reserves!$199:$199,0))+INDEX(Reserves!$209:$209,MATCH('E&amp;P - FAS69'!CM47,Reserves!$199:$199,0))</f>
        <v>11.766964362563575</v>
      </c>
    </row>
    <row r="48" spans="1:93">
      <c r="A48" s="4" t="s">
        <v>2152</v>
      </c>
      <c r="B48" s="5"/>
      <c r="C48" s="5">
        <v>-4167</v>
      </c>
      <c r="D48" s="5">
        <v>-3551</v>
      </c>
      <c r="E48" s="5">
        <v>-4521</v>
      </c>
      <c r="F48" s="5">
        <v>-5327</v>
      </c>
      <c r="G48" s="5">
        <f>SUM(G141,G231,G284,G336,G426,G478)</f>
        <v>-7950.666666666667</v>
      </c>
      <c r="H48" s="93"/>
      <c r="I48" s="93"/>
      <c r="J48" s="93"/>
      <c r="K48" s="93"/>
      <c r="L48" s="5">
        <f>SUM(L141,L231,L284,L336,L426,L478)</f>
        <v>-10479</v>
      </c>
      <c r="M48" s="93"/>
      <c r="N48" s="93"/>
      <c r="O48" s="93"/>
      <c r="P48" s="93"/>
      <c r="Q48" s="5">
        <f>SUM(Q141,Q231,Q284,Q336,Q426,Q478)</f>
        <v>-8902</v>
      </c>
      <c r="R48" s="93"/>
      <c r="S48" s="93"/>
      <c r="T48" s="93"/>
      <c r="U48" s="93"/>
      <c r="V48" s="5">
        <f>SUM(V141,V231,V284,V336,V426,V478)</f>
        <v>-13576</v>
      </c>
      <c r="W48" s="93"/>
      <c r="X48" s="93"/>
      <c r="Y48" s="93"/>
      <c r="Z48" s="93"/>
      <c r="AA48" s="5">
        <f>SUM(AA141,AA231,AA284,AA336,AA426,AA478)</f>
        <v>-6580</v>
      </c>
      <c r="AB48" s="93"/>
      <c r="AC48" s="93"/>
      <c r="AD48" s="93"/>
      <c r="AE48" s="93"/>
      <c r="AF48" s="5">
        <f>SUM(AF141,AF231,AF284,AF336,AF426,AF478)</f>
        <v>-10032</v>
      </c>
      <c r="AG48" s="93"/>
      <c r="AH48" s="93"/>
      <c r="AI48" s="93"/>
      <c r="AJ48" s="93"/>
      <c r="AK48" s="5">
        <f>SUM(AK141,AK231,AK284,AK336,AK426,AK478)</f>
        <v>-9906</v>
      </c>
      <c r="AL48" s="93"/>
      <c r="AM48" s="93"/>
      <c r="AN48" s="93"/>
      <c r="AO48" s="93"/>
      <c r="AP48" s="5">
        <f>SUM(AP141,AP231,AP284,AP336,AP426,AP478)</f>
        <v>-8083</v>
      </c>
      <c r="AQ48" s="93"/>
      <c r="AR48" s="93"/>
      <c r="AS48" s="93"/>
      <c r="AT48" s="93"/>
      <c r="AU48" s="5">
        <f t="shared" ref="AU48:CD48" si="40">SUM(AU141,AU231,AU284,AU336,AU426,AU478)</f>
        <v>-6084</v>
      </c>
      <c r="AV48" s="93"/>
      <c r="AW48" s="93"/>
      <c r="AX48" s="93"/>
      <c r="AY48" s="93"/>
      <c r="AZ48" s="5">
        <f>SUM(AZ141,AZ231,AZ284,AZ336,AZ426,AZ478)</f>
        <v>-1543</v>
      </c>
      <c r="BA48" s="93"/>
      <c r="BB48" s="93"/>
      <c r="BC48" s="93"/>
      <c r="BD48" s="93"/>
      <c r="BE48" s="5">
        <f>SUM(BE141,BE231,BE284,BE336,BE426,BE478)</f>
        <v>566</v>
      </c>
      <c r="BF48" s="93"/>
      <c r="BG48" s="93"/>
      <c r="BH48" s="93"/>
      <c r="BI48" s="93"/>
      <c r="BJ48" s="5">
        <f>SUM(BJ141,BJ231,BJ284,BJ336,BJ426,BJ478)</f>
        <v>335</v>
      </c>
      <c r="BK48" s="93"/>
      <c r="BL48" s="93"/>
      <c r="BM48" s="93"/>
      <c r="BN48" s="93"/>
      <c r="BO48" s="5">
        <f>SUM(BO141,BO231,BO284,BO336,BO426,BO478)</f>
        <v>-632</v>
      </c>
      <c r="BP48" s="12">
        <f t="shared" si="40"/>
        <v>-1008.4548636750076</v>
      </c>
      <c r="BQ48" s="12">
        <f t="shared" si="40"/>
        <v>-1232.3326213910459</v>
      </c>
      <c r="BR48" s="12">
        <f t="shared" si="40"/>
        <v>-1250.9281632761949</v>
      </c>
      <c r="BS48" s="12">
        <f t="shared" si="40"/>
        <v>-1209.1247113241288</v>
      </c>
      <c r="BT48" s="5">
        <f t="shared" si="40"/>
        <v>-4700.8403596663775</v>
      </c>
      <c r="BU48" s="12">
        <f t="shared" si="40"/>
        <v>-1092.1835527991243</v>
      </c>
      <c r="BV48" s="12">
        <f t="shared" si="40"/>
        <v>-1073.7348356969333</v>
      </c>
      <c r="BW48" s="12">
        <f t="shared" si="40"/>
        <v>-1069.7465755726839</v>
      </c>
      <c r="BX48" s="12">
        <f t="shared" si="40"/>
        <v>-1072.6112771566941</v>
      </c>
      <c r="BY48" s="5">
        <f t="shared" si="40"/>
        <v>-4308.276241225436</v>
      </c>
      <c r="BZ48" s="12">
        <f t="shared" si="40"/>
        <v>-1002.0412951321916</v>
      </c>
      <c r="CA48" s="12">
        <f t="shared" si="40"/>
        <v>-1080.7838782398196</v>
      </c>
      <c r="CB48" s="12">
        <f t="shared" si="40"/>
        <v>-1125.6707623965917</v>
      </c>
      <c r="CC48" s="12">
        <f t="shared" si="40"/>
        <v>-1157.9207090459556</v>
      </c>
      <c r="CD48" s="5">
        <f t="shared" si="40"/>
        <v>-4366.4166448145588</v>
      </c>
      <c r="CE48" s="707"/>
      <c r="CF48" s="468">
        <v>2018</v>
      </c>
      <c r="CG48" s="115">
        <v>21150.871742981966</v>
      </c>
      <c r="CH48" s="115">
        <f t="shared" si="12"/>
        <v>22197.47856972945</v>
      </c>
      <c r="CI48">
        <f t="shared" ca="1" si="14"/>
        <v>4849.2593384962966</v>
      </c>
      <c r="CJ48">
        <f t="shared" ca="1" si="15"/>
        <v>2965.7948760620329</v>
      </c>
      <c r="CK48" s="115">
        <f t="shared" ca="1" si="16"/>
        <v>24080.943032163712</v>
      </c>
      <c r="CM48" s="468">
        <v>2018</v>
      </c>
      <c r="CN48" s="440">
        <f t="shared" si="13"/>
        <v>16.959625823773099</v>
      </c>
      <c r="CO48" s="613">
        <f>INDEX(Reserves!$205:$205,MATCH('E&amp;P - FAS69'!CM48,Reserves!$199:$199,0))+INDEX(Reserves!$209:$209,MATCH('E&amp;P - FAS69'!CM48,Reserves!$199:$199,0))</f>
        <v>19.625625000000003</v>
      </c>
    </row>
    <row r="49" spans="1:131">
      <c r="A49" s="14" t="s">
        <v>2153</v>
      </c>
      <c r="B49" s="15"/>
      <c r="C49" s="15">
        <f>SUM(C46,C48)</f>
        <v>7330</v>
      </c>
      <c r="D49" s="15">
        <f>SUM(D46,D48)</f>
        <v>3541</v>
      </c>
      <c r="E49" s="15">
        <f>SUM(E46,E48)</f>
        <v>9162</v>
      </c>
      <c r="F49" s="15">
        <f>SUM(F46,F48)</f>
        <v>10718</v>
      </c>
      <c r="G49" s="15">
        <f>SUM(G46,G48)</f>
        <v>14197.166666666668</v>
      </c>
      <c r="H49" s="378"/>
      <c r="I49" s="378"/>
      <c r="J49" s="378"/>
      <c r="K49" s="378"/>
      <c r="L49" s="15">
        <f>SUM(L46,L48)</f>
        <v>15606</v>
      </c>
      <c r="M49" s="378"/>
      <c r="N49" s="378"/>
      <c r="O49" s="378"/>
      <c r="P49" s="378"/>
      <c r="Q49" s="15">
        <f>SUM(Q46,Q48)</f>
        <v>14702</v>
      </c>
      <c r="R49" s="378"/>
      <c r="S49" s="378"/>
      <c r="T49" s="378"/>
      <c r="U49" s="378"/>
      <c r="V49" s="15">
        <f>SUM(V46,V48)</f>
        <v>20032</v>
      </c>
      <c r="W49" s="378"/>
      <c r="X49" s="378"/>
      <c r="Y49" s="378"/>
      <c r="Z49" s="378"/>
      <c r="AA49" s="15">
        <f>SUM(AA46,AA48)</f>
        <v>12261</v>
      </c>
      <c r="AB49" s="378"/>
      <c r="AC49" s="378"/>
      <c r="AD49" s="378"/>
      <c r="AE49" s="378"/>
      <c r="AF49" s="15">
        <f>SUM(AF46,AF48)</f>
        <v>17163</v>
      </c>
      <c r="AG49" s="378"/>
      <c r="AH49" s="378"/>
      <c r="AI49" s="378"/>
      <c r="AJ49" s="378"/>
      <c r="AK49" s="15">
        <f>SUM(AK46,AK48)</f>
        <v>14863</v>
      </c>
      <c r="AL49" s="378"/>
      <c r="AM49" s="378"/>
      <c r="AN49" s="378"/>
      <c r="AO49" s="378"/>
      <c r="AP49" s="15">
        <f>SUM(AP46,AP48)</f>
        <v>13113</v>
      </c>
      <c r="AQ49" s="378"/>
      <c r="AR49" s="378"/>
      <c r="AS49" s="378"/>
      <c r="AT49" s="378"/>
      <c r="AU49" s="15">
        <f>SUM(AU46,AU48)</f>
        <v>8742</v>
      </c>
      <c r="AV49" s="378"/>
      <c r="AW49" s="378"/>
      <c r="AX49" s="378"/>
      <c r="AY49" s="378"/>
      <c r="AZ49" s="15">
        <f>SUM(AZ46,AZ48)</f>
        <v>4613</v>
      </c>
      <c r="BA49" s="378"/>
      <c r="BB49" s="378"/>
      <c r="BC49" s="378"/>
      <c r="BD49" s="378"/>
      <c r="BE49" s="15">
        <f t="shared" ref="BE49" si="41">SUM(BE46,BE48)</f>
        <v>-1381</v>
      </c>
      <c r="BF49" s="378"/>
      <c r="BG49" s="378"/>
      <c r="BH49" s="378"/>
      <c r="BI49" s="378"/>
      <c r="BJ49" s="15">
        <f t="shared" ref="BJ49" si="42">SUM(BJ46,BJ48)</f>
        <v>721</v>
      </c>
      <c r="BK49" s="378"/>
      <c r="BL49" s="378"/>
      <c r="BM49" s="378"/>
      <c r="BN49" s="378"/>
      <c r="BO49" s="15">
        <f t="shared" ref="BO49" si="43">SUM(BO46,BO48)</f>
        <v>3647</v>
      </c>
      <c r="BP49" s="67">
        <f t="shared" ref="BP49:CD49" si="44">SUM(BP46,BP48)</f>
        <v>1881.091816031226</v>
      </c>
      <c r="BQ49" s="67">
        <f t="shared" si="44"/>
        <v>1933.5229502414568</v>
      </c>
      <c r="BR49" s="67">
        <f t="shared" si="44"/>
        <v>1866.2906513082162</v>
      </c>
      <c r="BS49" s="67">
        <f t="shared" si="44"/>
        <v>1819.241963581072</v>
      </c>
      <c r="BT49" s="15">
        <f t="shared" si="44"/>
        <v>7500.1473811619726</v>
      </c>
      <c r="BU49" s="67">
        <f t="shared" si="44"/>
        <v>1634.0056124015809</v>
      </c>
      <c r="BV49" s="67">
        <f t="shared" si="44"/>
        <v>1656.2611707730875</v>
      </c>
      <c r="BW49" s="67">
        <f t="shared" si="44"/>
        <v>1684.8246221724316</v>
      </c>
      <c r="BX49" s="67">
        <f t="shared" si="44"/>
        <v>1691.7368994279923</v>
      </c>
      <c r="BY49" s="15">
        <f t="shared" si="44"/>
        <v>6666.8283047750974</v>
      </c>
      <c r="BZ49" s="67">
        <f t="shared" si="44"/>
        <v>1626.8420127827455</v>
      </c>
      <c r="CA49" s="67">
        <f t="shared" si="44"/>
        <v>1684.1904425915416</v>
      </c>
      <c r="CB49" s="67">
        <f t="shared" si="44"/>
        <v>1730.9207440467676</v>
      </c>
      <c r="CC49" s="67">
        <f t="shared" si="44"/>
        <v>1766.1823308455835</v>
      </c>
      <c r="CD49" s="15">
        <f t="shared" si="44"/>
        <v>6808.1355302666307</v>
      </c>
      <c r="CE49" s="707"/>
      <c r="CF49" s="468">
        <v>2019</v>
      </c>
      <c r="CG49" s="115">
        <v>19973.969301313056</v>
      </c>
      <c r="CH49" s="115">
        <f t="shared" si="12"/>
        <v>22162.957893400853</v>
      </c>
      <c r="CI49">
        <f t="shared" ca="1" si="14"/>
        <v>4771.9732092761733</v>
      </c>
      <c r="CJ49">
        <f t="shared" ca="1" si="15"/>
        <v>3098.1269330332116</v>
      </c>
      <c r="CK49" s="115">
        <f t="shared" ca="1" si="16"/>
        <v>23836.804169643816</v>
      </c>
      <c r="CM49" s="468">
        <v>2019</v>
      </c>
      <c r="CN49" s="440">
        <f t="shared" si="13"/>
        <v>16.954740194252462</v>
      </c>
      <c r="CO49" s="613">
        <f>INDEX(Reserves!$205:$205,MATCH('E&amp;P - FAS69'!CM49,Reserves!$199:$199,0))+INDEX(Reserves!$209:$209,MATCH('E&amp;P - FAS69'!CM49,Reserves!$199:$199,0))</f>
        <v>18.737500000000001</v>
      </c>
    </row>
    <row r="50" spans="1:131">
      <c r="A50" s="5"/>
      <c r="B50" s="5"/>
      <c r="C50" s="5"/>
      <c r="D50" s="5"/>
      <c r="E50" s="71"/>
      <c r="F50" s="71"/>
      <c r="G50" s="71"/>
      <c r="H50" s="12"/>
      <c r="I50" s="12"/>
      <c r="J50" s="12"/>
      <c r="K50" s="12"/>
      <c r="L50" s="5"/>
      <c r="M50" s="12"/>
      <c r="N50" s="12"/>
      <c r="O50" s="12"/>
      <c r="P50" s="12"/>
      <c r="Q50" s="5"/>
      <c r="R50" s="12"/>
      <c r="S50" s="12"/>
      <c r="T50" s="12"/>
      <c r="U50" s="12"/>
      <c r="V50" s="5"/>
      <c r="W50" s="12"/>
      <c r="X50" s="12"/>
      <c r="Y50" s="12"/>
      <c r="Z50" s="12"/>
      <c r="AA50" s="5"/>
      <c r="AB50" s="12"/>
      <c r="AC50" s="12"/>
      <c r="AD50" s="12"/>
      <c r="AE50" s="12"/>
      <c r="AF50" s="5"/>
      <c r="AG50" s="12"/>
      <c r="AH50" s="12"/>
      <c r="AI50" s="12"/>
      <c r="AJ50" s="12"/>
      <c r="AK50" s="5"/>
      <c r="AL50" s="12"/>
      <c r="AM50" s="12"/>
      <c r="AN50" s="12"/>
      <c r="AO50" s="12"/>
      <c r="AP50" s="5"/>
      <c r="AQ50" s="12"/>
      <c r="AR50" s="12"/>
      <c r="AS50" s="12"/>
      <c r="AT50" s="12"/>
      <c r="AU50" s="5"/>
      <c r="AV50" s="12"/>
      <c r="AW50" s="12"/>
      <c r="AX50" s="12"/>
      <c r="AY50" s="12"/>
      <c r="AZ50" s="5"/>
      <c r="BA50" s="12"/>
      <c r="BB50" s="12"/>
      <c r="BC50" s="12"/>
      <c r="BD50" s="12"/>
      <c r="BE50" s="5"/>
      <c r="BF50" s="12"/>
      <c r="BG50" s="12"/>
      <c r="BH50" s="12"/>
      <c r="BI50" s="12"/>
      <c r="BJ50" s="5"/>
      <c r="BK50" s="12"/>
      <c r="BL50" s="12"/>
      <c r="BM50" s="12"/>
      <c r="BN50" s="12"/>
      <c r="BO50" s="5"/>
      <c r="BP50" s="12"/>
      <c r="BQ50" s="12"/>
      <c r="BR50" s="12"/>
      <c r="BS50" s="12"/>
      <c r="BT50" s="5"/>
      <c r="BU50" s="12"/>
      <c r="BV50" s="12"/>
      <c r="BW50" s="12"/>
      <c r="BX50" s="12"/>
      <c r="BY50" s="5"/>
      <c r="BZ50" s="12"/>
      <c r="CA50" s="12"/>
      <c r="CB50" s="12"/>
      <c r="CC50" s="12"/>
      <c r="CD50" s="5"/>
      <c r="CE50" s="707"/>
      <c r="CF50" s="468">
        <v>2020</v>
      </c>
      <c r="CG50" s="115">
        <v>21215.221046141971</v>
      </c>
      <c r="CH50" s="115">
        <f t="shared" si="12"/>
        <v>22834.444644790536</v>
      </c>
      <c r="CI50">
        <f t="shared" ca="1" si="14"/>
        <v>6487.5371793877275</v>
      </c>
      <c r="CJ50">
        <f t="shared" ca="1" si="15"/>
        <v>4618.4956544665683</v>
      </c>
      <c r="CK50" s="115">
        <f t="shared" ca="1" si="16"/>
        <v>24703.486169711694</v>
      </c>
      <c r="CL50" s="336"/>
      <c r="CM50" s="468">
        <v>2020</v>
      </c>
      <c r="CN50" s="440">
        <f t="shared" si="13"/>
        <v>17.032572132289779</v>
      </c>
      <c r="CO50" s="613">
        <f>INDEX(Reserves!$205:$205,MATCH('E&amp;P - FAS69'!CM50,Reserves!$199:$199,0))+INDEX(Reserves!$209:$209,MATCH('E&amp;P - FAS69'!CM50,Reserves!$199:$199,0))</f>
        <v>18.982639461338081</v>
      </c>
    </row>
    <row r="51" spans="1:131" hidden="1" outlineLevel="1">
      <c r="A51" s="39" t="s">
        <v>196</v>
      </c>
      <c r="B51" s="11"/>
      <c r="C51" s="5"/>
      <c r="D51" s="5"/>
      <c r="E51" s="5"/>
      <c r="F51" s="5"/>
      <c r="G51" s="5"/>
      <c r="H51" s="12"/>
      <c r="I51" s="12"/>
      <c r="J51" s="12"/>
      <c r="K51" s="12"/>
      <c r="L51" s="5"/>
      <c r="M51" s="12"/>
      <c r="N51" s="12"/>
      <c r="O51" s="12"/>
      <c r="P51" s="12"/>
      <c r="Q51" s="5"/>
      <c r="R51" s="12"/>
      <c r="S51" s="12"/>
      <c r="T51" s="12"/>
      <c r="U51" s="12"/>
      <c r="V51" s="5"/>
      <c r="W51" s="12"/>
      <c r="X51" s="12"/>
      <c r="Y51" s="12"/>
      <c r="Z51" s="12"/>
      <c r="AA51" s="5"/>
      <c r="AB51" s="12"/>
      <c r="AC51" s="12"/>
      <c r="AD51" s="12"/>
      <c r="AE51" s="12"/>
      <c r="AF51" s="5"/>
      <c r="AG51" s="12"/>
      <c r="AH51" s="12"/>
      <c r="AI51" s="12"/>
      <c r="AJ51" s="12"/>
      <c r="AK51" s="5"/>
      <c r="AL51" s="12"/>
      <c r="AM51" s="12"/>
      <c r="AN51" s="12"/>
      <c r="AO51" s="12"/>
      <c r="AP51" s="5"/>
      <c r="AQ51" s="12"/>
      <c r="AR51" s="12"/>
      <c r="AS51" s="12"/>
      <c r="AT51" s="12"/>
      <c r="AU51" s="5"/>
      <c r="AV51" s="12"/>
      <c r="AW51" s="12"/>
      <c r="AX51" s="12"/>
      <c r="AY51" s="12"/>
      <c r="AZ51" s="5"/>
      <c r="BA51" s="12"/>
      <c r="BB51" s="12"/>
      <c r="BC51" s="12"/>
      <c r="BD51" s="12"/>
      <c r="BE51" s="5"/>
      <c r="BF51" s="12"/>
      <c r="BG51" s="12"/>
      <c r="BH51" s="12"/>
      <c r="BI51" s="12"/>
      <c r="BJ51" s="5"/>
      <c r="BK51" s="12"/>
      <c r="BL51" s="12"/>
      <c r="BM51" s="12"/>
      <c r="BN51" s="12"/>
      <c r="BO51" s="5"/>
      <c r="BP51" s="12"/>
      <c r="BQ51" s="12"/>
      <c r="BR51" s="12"/>
      <c r="BS51" s="12"/>
      <c r="BT51" s="5"/>
      <c r="BU51" s="12"/>
      <c r="BV51" s="12"/>
      <c r="BW51" s="12"/>
      <c r="BX51" s="12"/>
      <c r="BY51" s="5"/>
      <c r="BZ51" s="12"/>
      <c r="CA51" s="12"/>
      <c r="CB51" s="12"/>
      <c r="CC51" s="12"/>
      <c r="CD51" s="5"/>
      <c r="CF51" s="336"/>
      <c r="CG51" s="336"/>
      <c r="CH51" s="336"/>
      <c r="CI51" s="336"/>
      <c r="CJ51" s="336"/>
      <c r="CK51" s="336"/>
      <c r="CL51" s="336"/>
      <c r="CM51" s="336"/>
      <c r="CN51" s="336"/>
      <c r="CO51" s="336"/>
    </row>
    <row r="52" spans="1:131" hidden="1" outlineLevel="1">
      <c r="A52" s="11"/>
      <c r="B52" s="11" t="s">
        <v>932</v>
      </c>
      <c r="C52" s="5">
        <f t="shared" ref="C52:G54" si="45">SUM(C145,C235,C288,C340,C430,C482)</f>
        <v>1723</v>
      </c>
      <c r="D52" s="5">
        <f t="shared" si="45"/>
        <v>1766</v>
      </c>
      <c r="E52" s="5">
        <f t="shared" si="45"/>
        <v>1615</v>
      </c>
      <c r="F52" s="5">
        <f t="shared" si="45"/>
        <v>1480</v>
      </c>
      <c r="G52" s="5">
        <f t="shared" si="45"/>
        <v>1423</v>
      </c>
      <c r="H52" s="93"/>
      <c r="I52" s="93"/>
      <c r="J52" s="93"/>
      <c r="K52" s="93"/>
      <c r="L52" s="5">
        <f>SUM(L145,L235,L288,L340,L430,L482)</f>
        <v>1351</v>
      </c>
      <c r="M52" s="93"/>
      <c r="N52" s="93"/>
      <c r="O52" s="93"/>
      <c r="P52" s="93"/>
      <c r="Q52" s="5">
        <f>SUM(Q145,Q235,Q288,Q340,Q430,Q482)</f>
        <v>1304</v>
      </c>
      <c r="R52" s="93"/>
      <c r="S52" s="93"/>
      <c r="T52" s="93"/>
      <c r="U52" s="93"/>
      <c r="V52" s="5">
        <f>SUM(V145,V235,V288,V340,V430,V482)</f>
        <v>1263</v>
      </c>
      <c r="W52" s="93"/>
      <c r="X52" s="93"/>
      <c r="Y52" s="93"/>
      <c r="Z52" s="93"/>
      <c r="AA52" s="5">
        <f>SUM(AA145,AA235,AA288,AA340,AA430,AA482)</f>
        <v>1400</v>
      </c>
      <c r="AB52" s="93"/>
      <c r="AC52" s="93"/>
      <c r="AD52" s="93"/>
      <c r="AE52" s="93"/>
      <c r="AF52" s="5">
        <f>SUM(AF145,AF235,AF288,AF340,AF430,AF482)</f>
        <v>1229</v>
      </c>
      <c r="AG52" s="93"/>
      <c r="AH52" s="93"/>
      <c r="AI52" s="93"/>
      <c r="AJ52" s="93"/>
      <c r="AK52" s="5">
        <f>SUM(AK145,AK235,AK288,AK340,AK430,AK482)</f>
        <v>992</v>
      </c>
      <c r="AL52" s="93"/>
      <c r="AM52" s="93"/>
      <c r="AN52" s="93"/>
      <c r="AO52" s="93"/>
      <c r="AP52" s="5">
        <f>SUM(AP145,AP235,AP288,AP340,AP430,AP482)</f>
        <v>896</v>
      </c>
      <c r="AQ52" s="93"/>
      <c r="AR52" s="93"/>
      <c r="AS52" s="93"/>
      <c r="AT52" s="93"/>
      <c r="AU52" s="5">
        <f>SUM(AU145,AU235,AU288,AU340,AU430,AU482)</f>
        <v>880</v>
      </c>
      <c r="AV52" s="93"/>
      <c r="AW52" s="93"/>
      <c r="AX52" s="93"/>
      <c r="AY52" s="93"/>
      <c r="AZ52" s="5">
        <f>SUM(AZ145,AZ235,AZ288,AZ340,AZ430,AZ482)</f>
        <v>925</v>
      </c>
      <c r="BA52" s="93"/>
      <c r="BB52" s="93"/>
      <c r="BC52" s="93"/>
      <c r="BD52" s="93"/>
      <c r="BE52" s="5">
        <f t="shared" ref="BE52:CD52" si="46">SUM(BE145,BE235,BE288,BE340,BE430,BE482)</f>
        <v>1024</v>
      </c>
      <c r="BF52" s="93"/>
      <c r="BG52" s="93"/>
      <c r="BH52" s="93"/>
      <c r="BI52" s="93"/>
      <c r="BJ52" s="5">
        <f t="shared" si="46"/>
        <v>1024</v>
      </c>
      <c r="BK52" s="93"/>
      <c r="BL52" s="93"/>
      <c r="BM52" s="93"/>
      <c r="BN52" s="93"/>
      <c r="BO52" s="5">
        <f t="shared" si="46"/>
        <v>1149</v>
      </c>
      <c r="BP52" s="12">
        <f t="shared" si="46"/>
        <v>1217.5693199999998</v>
      </c>
      <c r="BQ52" s="12">
        <f t="shared" si="46"/>
        <v>1212.5693199999998</v>
      </c>
      <c r="BR52" s="12">
        <f t="shared" si="46"/>
        <v>1212.5693199999998</v>
      </c>
      <c r="BS52" s="12">
        <f t="shared" si="46"/>
        <v>1212.5693199999998</v>
      </c>
      <c r="BT52" s="5">
        <f t="shared" si="46"/>
        <v>1213.8193199999998</v>
      </c>
      <c r="BU52" s="12">
        <f t="shared" si="46"/>
        <v>1227.4128000000003</v>
      </c>
      <c r="BV52" s="12">
        <f t="shared" si="46"/>
        <v>1227.4128000000003</v>
      </c>
      <c r="BW52" s="12">
        <f t="shared" si="46"/>
        <v>1227.4128000000003</v>
      </c>
      <c r="BX52" s="12">
        <f t="shared" si="46"/>
        <v>1227.4128000000003</v>
      </c>
      <c r="BY52" s="5">
        <f t="shared" si="46"/>
        <v>1227.4128000000003</v>
      </c>
      <c r="BZ52" s="12">
        <f t="shared" si="46"/>
        <v>1196.2302400000001</v>
      </c>
      <c r="CA52" s="12">
        <f t="shared" si="46"/>
        <v>1196.2302400000001</v>
      </c>
      <c r="CB52" s="12">
        <f t="shared" si="46"/>
        <v>1196.2302400000001</v>
      </c>
      <c r="CC52" s="12">
        <f t="shared" si="46"/>
        <v>1196.2302400000001</v>
      </c>
      <c r="CD52" s="5">
        <f t="shared" si="46"/>
        <v>1196.2302400000001</v>
      </c>
      <c r="CF52" s="336"/>
      <c r="CG52" s="336"/>
      <c r="CH52" s="205"/>
      <c r="CI52" s="205"/>
      <c r="CJ52" s="205"/>
      <c r="CK52" s="205"/>
      <c r="CL52" s="205"/>
      <c r="CM52" s="205"/>
      <c r="CN52" s="336"/>
      <c r="CO52" s="336"/>
    </row>
    <row r="53" spans="1:131" hidden="1" outlineLevel="1">
      <c r="A53" s="11"/>
      <c r="B53" s="11" t="s">
        <v>933</v>
      </c>
      <c r="C53" s="5">
        <f t="shared" si="45"/>
        <v>8287</v>
      </c>
      <c r="D53" s="5">
        <f t="shared" si="45"/>
        <v>8324</v>
      </c>
      <c r="E53" s="5">
        <f t="shared" si="45"/>
        <v>8092</v>
      </c>
      <c r="F53" s="5">
        <f t="shared" si="45"/>
        <v>7624</v>
      </c>
      <c r="G53" s="5">
        <f t="shared" si="45"/>
        <v>7512</v>
      </c>
      <c r="H53" s="93"/>
      <c r="I53" s="93"/>
      <c r="J53" s="93"/>
      <c r="K53" s="93"/>
      <c r="L53" s="5">
        <f>SUM(L146,L236,L289,L341,L431,L483)</f>
        <v>7412</v>
      </c>
      <c r="M53" s="93"/>
      <c r="N53" s="93"/>
      <c r="O53" s="93"/>
      <c r="P53" s="93"/>
      <c r="Q53" s="5">
        <f>SUM(Q146,Q236,Q289,Q341,Q431,Q483)</f>
        <v>7222</v>
      </c>
      <c r="R53" s="93"/>
      <c r="S53" s="93"/>
      <c r="T53" s="93"/>
      <c r="U53" s="93"/>
      <c r="V53" s="5">
        <f>SUM(V146,V236,V289,V341,V431,V483)</f>
        <v>7277</v>
      </c>
      <c r="W53" s="93"/>
      <c r="X53" s="93"/>
      <c r="Y53" s="93"/>
      <c r="Z53" s="93"/>
      <c r="AA53" s="5">
        <f>SUM(AA146,AA236,AA289,AA341,AA431,AA483)</f>
        <v>7450</v>
      </c>
      <c r="AB53" s="93"/>
      <c r="AC53" s="93"/>
      <c r="AD53" s="93"/>
      <c r="AE53" s="93"/>
      <c r="AF53" s="5">
        <f>SUM(AF146,AF236,AF289,AF341,AF431,AF483)</f>
        <v>7332</v>
      </c>
      <c r="AG53" s="93"/>
      <c r="AH53" s="93"/>
      <c r="AI53" s="93"/>
      <c r="AJ53" s="93"/>
      <c r="AK53" s="5">
        <f>SUM(AK146,AK236,AK289,AK341,AK431,AK483)</f>
        <v>6393</v>
      </c>
      <c r="AL53" s="93"/>
      <c r="AM53" s="93"/>
      <c r="AN53" s="93"/>
      <c r="AO53" s="93"/>
      <c r="AP53" s="5">
        <f>SUM(AP146,AP236,AP289,AP341,AP431,AP483)</f>
        <v>6193</v>
      </c>
      <c r="AQ53" s="93"/>
      <c r="AR53" s="93"/>
      <c r="AS53" s="93"/>
      <c r="AT53" s="93"/>
      <c r="AU53" s="5">
        <f t="shared" ref="AU53:CD53" si="47">SUM(AU146,AU236,AU289,AU341,AU431,AU483)</f>
        <v>5844</v>
      </c>
      <c r="AV53" s="93"/>
      <c r="AW53" s="93"/>
      <c r="AX53" s="93"/>
      <c r="AY53" s="93"/>
      <c r="AZ53" s="5">
        <f>SUM(AZ146,AZ236,AZ289,AZ341,AZ431,AZ483)</f>
        <v>5584</v>
      </c>
      <c r="BA53" s="93"/>
      <c r="BB53" s="93"/>
      <c r="BC53" s="93"/>
      <c r="BD53" s="93"/>
      <c r="BE53" s="5">
        <f>SUM(BE146,BE236,BE289,BE341,BE431,BE483)</f>
        <v>5496</v>
      </c>
      <c r="BF53" s="93"/>
      <c r="BG53" s="93"/>
      <c r="BH53" s="93"/>
      <c r="BI53" s="93"/>
      <c r="BJ53" s="5">
        <f t="shared" si="47"/>
        <v>5303</v>
      </c>
      <c r="BK53" s="93"/>
      <c r="BL53" s="93"/>
      <c r="BM53" s="93"/>
      <c r="BN53" s="93"/>
      <c r="BO53" s="5">
        <f t="shared" si="47"/>
        <v>5889</v>
      </c>
      <c r="BP53" s="12">
        <f t="shared" si="47"/>
        <v>6871.3890104755292</v>
      </c>
      <c r="BQ53" s="12">
        <f t="shared" si="47"/>
        <v>6684.607594170684</v>
      </c>
      <c r="BR53" s="12">
        <f t="shared" si="47"/>
        <v>6634.2907680474964</v>
      </c>
      <c r="BS53" s="12">
        <f t="shared" si="47"/>
        <v>6732.0726273062901</v>
      </c>
      <c r="BT53" s="5">
        <f t="shared" si="47"/>
        <v>6730.59</v>
      </c>
      <c r="BU53" s="12">
        <f t="shared" si="47"/>
        <v>7545.5612005015219</v>
      </c>
      <c r="BV53" s="12">
        <f t="shared" si="47"/>
        <v>7359.7090806024326</v>
      </c>
      <c r="BW53" s="12">
        <f t="shared" si="47"/>
        <v>7298.7039361581874</v>
      </c>
      <c r="BX53" s="12">
        <f t="shared" si="47"/>
        <v>7413.5057827378605</v>
      </c>
      <c r="BY53" s="5">
        <f t="shared" si="47"/>
        <v>7404.3700000000008</v>
      </c>
      <c r="BZ53" s="12">
        <f t="shared" si="47"/>
        <v>8182.0499955336763</v>
      </c>
      <c r="CA53" s="12">
        <f t="shared" si="47"/>
        <v>7967.6870589668088</v>
      </c>
      <c r="CB53" s="12">
        <f t="shared" si="47"/>
        <v>7880.9427147333627</v>
      </c>
      <c r="CC53" s="12">
        <f t="shared" si="47"/>
        <v>8023.2802307661532</v>
      </c>
      <c r="CD53" s="5">
        <f t="shared" si="47"/>
        <v>8013.4900000000007</v>
      </c>
      <c r="CF53" s="336"/>
      <c r="CG53" s="336"/>
      <c r="CH53" s="205"/>
      <c r="CI53" s="205"/>
      <c r="CJ53" s="205"/>
      <c r="CK53" s="205"/>
      <c r="CL53" s="205"/>
      <c r="CM53" s="205"/>
      <c r="CN53" s="336"/>
      <c r="CO53" s="336"/>
      <c r="DX53" s="443"/>
      <c r="DY53" s="443"/>
    </row>
    <row r="54" spans="1:131" hidden="1" outlineLevel="1">
      <c r="A54" s="11"/>
      <c r="B54" s="39" t="s">
        <v>896</v>
      </c>
      <c r="C54" s="8">
        <f t="shared" si="45"/>
        <v>3151.7931034482758</v>
      </c>
      <c r="D54" s="8">
        <f t="shared" si="45"/>
        <v>3201.1724137931033</v>
      </c>
      <c r="E54" s="8">
        <f t="shared" si="45"/>
        <v>3010.1724137931033</v>
      </c>
      <c r="F54" s="8">
        <f t="shared" si="45"/>
        <v>2794.4827586206893</v>
      </c>
      <c r="G54" s="8">
        <f t="shared" si="45"/>
        <v>2718.1724137931033</v>
      </c>
      <c r="H54" s="93"/>
      <c r="I54" s="93"/>
      <c r="J54" s="93"/>
      <c r="K54" s="93"/>
      <c r="L54" s="8">
        <f>SUM(L147,L237,L290,L342,L432,L484)</f>
        <v>2628.9310344827586</v>
      </c>
      <c r="M54" s="93"/>
      <c r="N54" s="93"/>
      <c r="O54" s="93"/>
      <c r="P54" s="93"/>
      <c r="Q54" s="8">
        <f>SUM(Q147,Q237,Q290,Q342,Q432,Q484)</f>
        <v>2549.1724137931037</v>
      </c>
      <c r="R54" s="93"/>
      <c r="S54" s="93"/>
      <c r="T54" s="93"/>
      <c r="U54" s="93"/>
      <c r="V54" s="8">
        <f>SUM(V147,V237,V290,V342,V432,V484)</f>
        <v>2517.655172413793</v>
      </c>
      <c r="W54" s="93"/>
      <c r="X54" s="93"/>
      <c r="Y54" s="93"/>
      <c r="Z54" s="93"/>
      <c r="AA54" s="8">
        <f>SUM(AA147,AA237,AA290,AA342,AA432,AA484)</f>
        <v>2684.4827586206898</v>
      </c>
      <c r="AB54" s="93"/>
      <c r="AC54" s="93"/>
      <c r="AD54" s="93"/>
      <c r="AE54" s="93"/>
      <c r="AF54" s="8">
        <f>SUM(AF147,AF237,AF290,AF342,AF432,AF484)</f>
        <v>2493.1379310344832</v>
      </c>
      <c r="AG54" s="93"/>
      <c r="AH54" s="93"/>
      <c r="AI54" s="93"/>
      <c r="AJ54" s="93"/>
      <c r="AK54" s="8">
        <f>SUM(AK147,AK237,AK290,AK342,AK432,AK484)</f>
        <v>2094.2413793103451</v>
      </c>
      <c r="AL54" s="93"/>
      <c r="AM54" s="93"/>
      <c r="AN54" s="93"/>
      <c r="AO54" s="93"/>
      <c r="AP54" s="8">
        <f>SUM(AP147,AP237,AP290,AP342,AP432,AP484)</f>
        <v>1963.7586206896551</v>
      </c>
      <c r="AQ54" s="93"/>
      <c r="AR54" s="93"/>
      <c r="AS54" s="93"/>
      <c r="AT54" s="93"/>
      <c r="AU54" s="8">
        <f t="shared" ref="AU54:CD54" si="48">SUM(AU147,AU237,AU290,AU342,AU432,AU484)</f>
        <v>1887.5862068965516</v>
      </c>
      <c r="AV54" s="93"/>
      <c r="AW54" s="93"/>
      <c r="AX54" s="93"/>
      <c r="AY54" s="93"/>
      <c r="AZ54" s="8">
        <f>SUM(AZ147,AZ237,AZ290,AZ342,AZ432,AZ484)</f>
        <v>1887.7586206896553</v>
      </c>
      <c r="BA54" s="93"/>
      <c r="BB54" s="93"/>
      <c r="BC54" s="93"/>
      <c r="BD54" s="93"/>
      <c r="BE54" s="8">
        <f>SUM(BE147,BE237,BE290,BE342,BE432,BE484)</f>
        <v>1971.5862068965519</v>
      </c>
      <c r="BF54" s="93"/>
      <c r="BG54" s="93"/>
      <c r="BH54" s="93"/>
      <c r="BI54" s="93"/>
      <c r="BJ54" s="8">
        <f t="shared" si="48"/>
        <v>1938.3103448275863</v>
      </c>
      <c r="BK54" s="93"/>
      <c r="BL54" s="93"/>
      <c r="BM54" s="93"/>
      <c r="BN54" s="93"/>
      <c r="BO54" s="8">
        <f t="shared" si="48"/>
        <v>2164.3448275862065</v>
      </c>
      <c r="BP54" s="66">
        <f t="shared" si="48"/>
        <v>2402.2915631854362</v>
      </c>
      <c r="BQ54" s="66">
        <f t="shared" si="48"/>
        <v>2365.0878707190836</v>
      </c>
      <c r="BR54" s="66">
        <f t="shared" si="48"/>
        <v>2356.4125558702581</v>
      </c>
      <c r="BS54" s="66">
        <f t="shared" si="48"/>
        <v>2373.2714971217738</v>
      </c>
      <c r="BT54" s="8">
        <f t="shared" si="48"/>
        <v>2374.2658717241379</v>
      </c>
      <c r="BU54" s="66">
        <f t="shared" si="48"/>
        <v>2528.3716276726768</v>
      </c>
      <c r="BV54" s="66">
        <f t="shared" si="48"/>
        <v>2496.3281587245579</v>
      </c>
      <c r="BW54" s="66">
        <f t="shared" si="48"/>
        <v>2485.8100303721017</v>
      </c>
      <c r="BX54" s="66">
        <f t="shared" si="48"/>
        <v>2505.6034521961828</v>
      </c>
      <c r="BY54" s="8">
        <f t="shared" si="48"/>
        <v>2504.0283172413797</v>
      </c>
      <c r="BZ54" s="66">
        <f t="shared" si="48"/>
        <v>2606.9285150920132</v>
      </c>
      <c r="CA54" s="66">
        <f t="shared" si="48"/>
        <v>2569.9693880977261</v>
      </c>
      <c r="CB54" s="66">
        <f t="shared" si="48"/>
        <v>2555.0134666781655</v>
      </c>
      <c r="CC54" s="66">
        <f t="shared" si="48"/>
        <v>2579.5544177183024</v>
      </c>
      <c r="CD54" s="8">
        <f t="shared" si="48"/>
        <v>2577.8664468965521</v>
      </c>
      <c r="CF54" s="336"/>
      <c r="CG54" s="336"/>
      <c r="CH54" s="264"/>
      <c r="CI54" s="264"/>
      <c r="CJ54" s="264"/>
      <c r="CK54" s="264"/>
      <c r="CL54" s="264"/>
      <c r="CM54" s="264"/>
      <c r="CN54" s="336"/>
      <c r="CO54" s="336"/>
      <c r="DX54" s="443"/>
      <c r="DY54" s="443"/>
    </row>
    <row r="55" spans="1:131" hidden="1" outlineLevel="1">
      <c r="A55" s="24"/>
      <c r="B55" s="24"/>
      <c r="C55" s="29"/>
      <c r="D55" s="29"/>
      <c r="E55" s="29"/>
      <c r="F55" s="29"/>
      <c r="G55" s="29"/>
      <c r="H55" s="157"/>
      <c r="I55" s="157"/>
      <c r="J55" s="157"/>
      <c r="K55" s="157"/>
      <c r="L55" s="29"/>
      <c r="M55" s="157"/>
      <c r="N55" s="157"/>
      <c r="O55" s="157"/>
      <c r="P55" s="157"/>
      <c r="Q55" s="29"/>
      <c r="R55" s="157"/>
      <c r="S55" s="157"/>
      <c r="T55" s="157"/>
      <c r="U55" s="157"/>
      <c r="V55" s="29"/>
      <c r="W55" s="157"/>
      <c r="X55" s="157"/>
      <c r="Y55" s="157"/>
      <c r="Z55" s="157"/>
      <c r="AA55" s="29"/>
      <c r="AB55" s="157"/>
      <c r="AC55" s="157"/>
      <c r="AD55" s="157"/>
      <c r="AE55" s="157"/>
      <c r="AF55" s="29"/>
      <c r="AG55" s="157"/>
      <c r="AH55" s="157"/>
      <c r="AI55" s="157"/>
      <c r="AJ55" s="157"/>
      <c r="AK55" s="29"/>
      <c r="AL55" s="157"/>
      <c r="AM55" s="157"/>
      <c r="AN55" s="157"/>
      <c r="AO55" s="157"/>
      <c r="AP55" s="29"/>
      <c r="AQ55" s="157"/>
      <c r="AR55" s="157"/>
      <c r="AS55" s="157"/>
      <c r="AT55" s="157"/>
      <c r="AU55" s="29"/>
      <c r="AV55" s="157"/>
      <c r="AW55" s="157"/>
      <c r="AX55" s="157"/>
      <c r="AY55" s="157"/>
      <c r="AZ55" s="29"/>
      <c r="BA55" s="157"/>
      <c r="BB55" s="157"/>
      <c r="BC55" s="157"/>
      <c r="BD55" s="157"/>
      <c r="BE55" s="29"/>
      <c r="BF55" s="157"/>
      <c r="BG55" s="157"/>
      <c r="BH55" s="157"/>
      <c r="BI55" s="157"/>
      <c r="BJ55" s="29"/>
      <c r="BK55" s="157"/>
      <c r="BL55" s="157"/>
      <c r="BM55" s="157"/>
      <c r="BN55" s="157"/>
      <c r="BO55" s="29"/>
      <c r="BP55" s="157"/>
      <c r="BQ55" s="157"/>
      <c r="BR55" s="157"/>
      <c r="BS55" s="157"/>
      <c r="BT55" s="29"/>
      <c r="BU55" s="157"/>
      <c r="BV55" s="157"/>
      <c r="BW55" s="157"/>
      <c r="BX55" s="157"/>
      <c r="BY55" s="29"/>
      <c r="BZ55" s="157"/>
      <c r="CA55" s="157"/>
      <c r="CB55" s="157"/>
      <c r="CC55" s="157"/>
      <c r="CD55" s="29"/>
      <c r="CF55" s="336"/>
      <c r="CG55" s="336"/>
      <c r="CH55" s="336"/>
      <c r="CI55" s="336"/>
      <c r="CJ55" s="336"/>
      <c r="CK55" s="336"/>
      <c r="CL55" s="336"/>
      <c r="CM55" s="336"/>
      <c r="CN55" s="336"/>
      <c r="CO55" s="336"/>
    </row>
    <row r="56" spans="1:131" hidden="1" outlineLevel="1">
      <c r="A56" s="39" t="s">
        <v>199</v>
      </c>
      <c r="B56" s="11"/>
      <c r="C56" s="5"/>
      <c r="D56" s="5"/>
      <c r="E56" s="5"/>
      <c r="F56" s="5"/>
      <c r="G56" s="5"/>
      <c r="H56" s="12"/>
      <c r="I56" s="12"/>
      <c r="J56" s="12"/>
      <c r="K56" s="12"/>
      <c r="L56" s="5"/>
      <c r="M56" s="12"/>
      <c r="N56" s="12"/>
      <c r="O56" s="12"/>
      <c r="P56" s="12"/>
      <c r="Q56" s="5"/>
      <c r="R56" s="12"/>
      <c r="S56" s="12"/>
      <c r="T56" s="12"/>
      <c r="U56" s="12"/>
      <c r="V56" s="5"/>
      <c r="W56" s="12"/>
      <c r="X56" s="12"/>
      <c r="Y56" s="12"/>
      <c r="Z56" s="12"/>
      <c r="AA56" s="5"/>
      <c r="AB56" s="12"/>
      <c r="AC56" s="12"/>
      <c r="AD56" s="12"/>
      <c r="AE56" s="12"/>
      <c r="AF56" s="5"/>
      <c r="AG56" s="12"/>
      <c r="AH56" s="12"/>
      <c r="AI56" s="12"/>
      <c r="AJ56" s="12"/>
      <c r="AK56" s="5"/>
      <c r="AL56" s="12"/>
      <c r="AM56" s="12"/>
      <c r="AN56" s="12"/>
      <c r="AO56" s="12"/>
      <c r="AP56" s="5"/>
      <c r="AQ56" s="12"/>
      <c r="AR56" s="12"/>
      <c r="AS56" s="12"/>
      <c r="AT56" s="12"/>
      <c r="AU56" s="5"/>
      <c r="AV56" s="12"/>
      <c r="AW56" s="12"/>
      <c r="AX56" s="12"/>
      <c r="AY56" s="12"/>
      <c r="AZ56" s="5"/>
      <c r="BA56" s="12"/>
      <c r="BB56" s="12"/>
      <c r="BC56" s="12"/>
      <c r="BD56" s="12"/>
      <c r="BE56" s="5"/>
      <c r="BF56" s="12"/>
      <c r="BG56" s="12"/>
      <c r="BH56" s="12"/>
      <c r="BI56" s="12"/>
      <c r="BJ56" s="5"/>
      <c r="BK56" s="12"/>
      <c r="BL56" s="12"/>
      <c r="BM56" s="12"/>
      <c r="BN56" s="12"/>
      <c r="BO56" s="5"/>
      <c r="BP56" s="12"/>
      <c r="BQ56" s="12"/>
      <c r="BR56" s="12"/>
      <c r="BS56" s="12"/>
      <c r="BT56" s="5"/>
      <c r="BU56" s="12"/>
      <c r="BV56" s="12"/>
      <c r="BW56" s="12"/>
      <c r="BX56" s="12"/>
      <c r="BY56" s="5"/>
      <c r="BZ56" s="12"/>
      <c r="CA56" s="12"/>
      <c r="CB56" s="12"/>
      <c r="CC56" s="12"/>
      <c r="CD56" s="5"/>
      <c r="CF56" s="336"/>
      <c r="CG56" s="336"/>
      <c r="CH56" s="336"/>
      <c r="CI56" s="336"/>
      <c r="CJ56" s="336"/>
      <c r="CK56" s="336"/>
      <c r="CL56" s="336"/>
      <c r="CM56" s="336"/>
      <c r="CN56" s="336"/>
      <c r="CO56" s="336"/>
      <c r="DY56" s="443"/>
    </row>
    <row r="57" spans="1:131" hidden="1" outlineLevel="1">
      <c r="A57" s="11"/>
      <c r="B57" s="11" t="s">
        <v>197</v>
      </c>
      <c r="C57" s="104">
        <f>'Key assumptions'!C26</f>
        <v>22.5</v>
      </c>
      <c r="D57" s="104">
        <f>'Key assumptions'!D26</f>
        <v>22.69</v>
      </c>
      <c r="E57" s="104">
        <f>'Key assumptions'!E26</f>
        <v>27.25</v>
      </c>
      <c r="F57" s="104">
        <f>'Key assumptions'!F26</f>
        <v>35.39</v>
      </c>
      <c r="G57" s="104">
        <f>'Key assumptions'!G26</f>
        <v>48.51</v>
      </c>
      <c r="H57" s="93"/>
      <c r="I57" s="93"/>
      <c r="J57" s="93"/>
      <c r="K57" s="93"/>
      <c r="L57" s="104">
        <f>'Key assumptions'!L26</f>
        <v>59.23</v>
      </c>
      <c r="M57" s="93"/>
      <c r="N57" s="93"/>
      <c r="O57" s="93"/>
      <c r="P57" s="93"/>
      <c r="Q57" s="104">
        <f>'Key assumptions'!Q26</f>
        <v>67.45</v>
      </c>
      <c r="R57" s="93"/>
      <c r="S57" s="93"/>
      <c r="T57" s="93"/>
      <c r="U57" s="93"/>
      <c r="V57" s="104">
        <f>'Key assumptions'!V26</f>
        <v>90.2</v>
      </c>
      <c r="W57" s="93"/>
      <c r="X57" s="93"/>
      <c r="Y57" s="93"/>
      <c r="Z57" s="93"/>
      <c r="AA57" s="104">
        <f>'Key assumptions'!AA26</f>
        <v>56.26</v>
      </c>
      <c r="AB57" s="93"/>
      <c r="AC57" s="93"/>
      <c r="AD57" s="93"/>
      <c r="AE57" s="93"/>
      <c r="AF57" s="104">
        <f>'Key assumptions'!AF26</f>
        <v>73.41</v>
      </c>
      <c r="AG57" s="93"/>
      <c r="AH57" s="93"/>
      <c r="AI57" s="93"/>
      <c r="AJ57" s="93"/>
      <c r="AK57" s="104">
        <f>'Key assumptions'!AK26</f>
        <v>101.57250000000002</v>
      </c>
      <c r="AL57" s="93"/>
      <c r="AM57" s="93"/>
      <c r="AN57" s="93"/>
      <c r="AO57" s="93"/>
      <c r="AP57" s="104">
        <f>'Key assumptions'!AP26</f>
        <v>102.005</v>
      </c>
      <c r="AQ57" s="93"/>
      <c r="AR57" s="93"/>
      <c r="AS57" s="93"/>
      <c r="AT57" s="93"/>
      <c r="AU57" s="104">
        <f>'Key assumptions'!AU26</f>
        <v>99.237499999999997</v>
      </c>
      <c r="AV57" s="93"/>
      <c r="AW57" s="93"/>
      <c r="AX57" s="93"/>
      <c r="AY57" s="93"/>
      <c r="AZ57" s="104">
        <f>'Key assumptions'!AZ26</f>
        <v>88.627499999999998</v>
      </c>
      <c r="BA57" s="93"/>
      <c r="BB57" s="93"/>
      <c r="BC57" s="93"/>
      <c r="BD57" s="93"/>
      <c r="BE57" s="104">
        <f>'Key assumptions'!BE26</f>
        <v>46.134999999999991</v>
      </c>
      <c r="BF57" s="93"/>
      <c r="BG57" s="93"/>
      <c r="BH57" s="93"/>
      <c r="BI57" s="93"/>
      <c r="BJ57" s="104">
        <f>'Key assumptions'!BJ26</f>
        <v>39.269999999999996</v>
      </c>
      <c r="BK57" s="93"/>
      <c r="BL57" s="93"/>
      <c r="BM57" s="93"/>
      <c r="BN57" s="93"/>
      <c r="BO57" s="104">
        <f>'Key assumptions'!BO26</f>
        <v>49.9375</v>
      </c>
      <c r="BP57" s="114">
        <f>'Key assumptions'!BP26</f>
        <v>61.033614817796355</v>
      </c>
      <c r="BQ57" s="114">
        <f>'Key assumptions'!BQ26</f>
        <v>61.606123930792457</v>
      </c>
      <c r="BR57" s="114">
        <f>'Key assumptions'!BR26</f>
        <v>60.442637668897142</v>
      </c>
      <c r="BS57" s="114">
        <f>'Key assumptions'!BS26</f>
        <v>59.47306578398436</v>
      </c>
      <c r="BT57" s="104">
        <f>'Key assumptions'!BT26</f>
        <v>60.638860550367582</v>
      </c>
      <c r="BU57" s="114">
        <f>'Key assumptions'!BU26</f>
        <v>57.358475673079376</v>
      </c>
      <c r="BV57" s="114">
        <f>'Key assumptions'!BV26</f>
        <v>57.358475673079376</v>
      </c>
      <c r="BW57" s="114">
        <f>'Key assumptions'!BW26</f>
        <v>57.358475673079376</v>
      </c>
      <c r="BX57" s="114">
        <f>'Key assumptions'!BX26</f>
        <v>57.358475673079376</v>
      </c>
      <c r="BY57" s="104">
        <f>'Key assumptions'!BY26</f>
        <v>57.358475673079376</v>
      </c>
      <c r="BZ57" s="114">
        <f>'Key assumptions'!BZ26</f>
        <v>57.718419453018186</v>
      </c>
      <c r="CA57" s="114">
        <f>'Key assumptions'!CA26</f>
        <v>58.080592093505764</v>
      </c>
      <c r="CB57" s="114">
        <f>'Key assumptions'!CB26</f>
        <v>58.445007396195635</v>
      </c>
      <c r="CC57" s="114">
        <f>'Key assumptions'!CC26</f>
        <v>58.811679248204605</v>
      </c>
      <c r="CD57" s="104">
        <f>'Key assumptions'!CD26</f>
        <v>58.263924547731051</v>
      </c>
      <c r="CF57" s="336"/>
      <c r="CG57" s="336"/>
      <c r="CH57" s="336"/>
      <c r="CI57" s="336"/>
      <c r="CJ57" s="336"/>
      <c r="CK57" s="336"/>
      <c r="CL57" s="336"/>
      <c r="CM57" s="336"/>
      <c r="CN57" s="336"/>
      <c r="CO57" s="336"/>
      <c r="DY57" s="443"/>
    </row>
    <row r="58" spans="1:131" hidden="1" outlineLevel="1">
      <c r="A58" s="11"/>
      <c r="B58" s="11" t="s">
        <v>198</v>
      </c>
      <c r="C58" s="104">
        <f>'Key assumptions'!C33</f>
        <v>3.3</v>
      </c>
      <c r="D58" s="104">
        <f>'Key assumptions'!D33</f>
        <v>2.46</v>
      </c>
      <c r="E58" s="104">
        <f>'Key assumptions'!E33</f>
        <v>3.39</v>
      </c>
      <c r="F58" s="104">
        <f>'Key assumptions'!F33</f>
        <v>3.86</v>
      </c>
      <c r="G58" s="104">
        <f>'Key assumptions'!G33</f>
        <v>4.9000000000000004</v>
      </c>
      <c r="H58" s="93"/>
      <c r="I58" s="93"/>
      <c r="J58" s="93"/>
      <c r="K58" s="93"/>
      <c r="L58" s="104">
        <f>'Key assumptions'!L33</f>
        <v>4.72</v>
      </c>
      <c r="M58" s="93"/>
      <c r="N58" s="93"/>
      <c r="O58" s="93"/>
      <c r="P58" s="93"/>
      <c r="Q58" s="104">
        <f>'Key assumptions'!Q33</f>
        <v>4.53</v>
      </c>
      <c r="R58" s="93"/>
      <c r="S58" s="93"/>
      <c r="T58" s="93"/>
      <c r="U58" s="93"/>
      <c r="V58" s="104">
        <f>'Key assumptions'!V33</f>
        <v>6</v>
      </c>
      <c r="W58" s="93"/>
      <c r="X58" s="93"/>
      <c r="Y58" s="93"/>
      <c r="Z58" s="93"/>
      <c r="AA58" s="104">
        <f>'Key assumptions'!AA33</f>
        <v>3.25</v>
      </c>
      <c r="AB58" s="93"/>
      <c r="AC58" s="93"/>
      <c r="AD58" s="93"/>
      <c r="AE58" s="93"/>
      <c r="AF58" s="104">
        <f>'Key assumptions'!AF33</f>
        <v>3.97</v>
      </c>
      <c r="AG58" s="93"/>
      <c r="AH58" s="93"/>
      <c r="AI58" s="93"/>
      <c r="AJ58" s="93"/>
      <c r="AK58" s="104">
        <f>'Key assumptions'!AK33</f>
        <v>4.6924999999999999</v>
      </c>
      <c r="AL58" s="93"/>
      <c r="AM58" s="93"/>
      <c r="AN58" s="93"/>
      <c r="AO58" s="93"/>
      <c r="AP58" s="104">
        <f>'Key assumptions'!AP33</f>
        <v>4.7549999999999999</v>
      </c>
      <c r="AQ58" s="93"/>
      <c r="AR58" s="93"/>
      <c r="AS58" s="93"/>
      <c r="AT58" s="93"/>
      <c r="AU58" s="104">
        <f>'Key assumptions'!AU33</f>
        <v>5.3475000000000001</v>
      </c>
      <c r="AV58" s="93"/>
      <c r="AW58" s="93"/>
      <c r="AX58" s="93"/>
      <c r="AY58" s="93"/>
      <c r="AZ58" s="104">
        <f>'Key assumptions'!AZ33</f>
        <v>5.7025000000000006</v>
      </c>
      <c r="BA58" s="93"/>
      <c r="BB58" s="93"/>
      <c r="BC58" s="93"/>
      <c r="BD58" s="93"/>
      <c r="BE58" s="104">
        <f>'Key assumptions'!BE33</f>
        <v>3.8000000000000003</v>
      </c>
      <c r="BF58" s="93"/>
      <c r="BG58" s="93"/>
      <c r="BH58" s="93"/>
      <c r="BI58" s="93"/>
      <c r="BJ58" s="104">
        <f>'Key assumptions'!BJ33</f>
        <v>2.8374999999999999</v>
      </c>
      <c r="BK58" s="93"/>
      <c r="BL58" s="93"/>
      <c r="BM58" s="93"/>
      <c r="BN58" s="93"/>
      <c r="BO58" s="104">
        <f>'Key assumptions'!BO33</f>
        <v>3.2025000000000001</v>
      </c>
      <c r="BP58" s="114">
        <f>'Key assumptions'!BP33</f>
        <v>3.9293804736676887</v>
      </c>
      <c r="BQ58" s="114">
        <f>'Key assumptions'!BQ33</f>
        <v>3.8732537763797099</v>
      </c>
      <c r="BR58" s="114">
        <f>'Key assumptions'!BR33</f>
        <v>3.8939320332752807</v>
      </c>
      <c r="BS58" s="114">
        <f>'Key assumptions'!BS33</f>
        <v>3.9411966204651581</v>
      </c>
      <c r="BT58" s="104">
        <f>'Key assumptions'!BT33</f>
        <v>3.9094407259469595</v>
      </c>
      <c r="BU58" s="114">
        <f>'Key assumptions'!BU33</f>
        <v>3.8791618497784444</v>
      </c>
      <c r="BV58" s="114">
        <f>'Key assumptions'!BV33</f>
        <v>3.8791618497784444</v>
      </c>
      <c r="BW58" s="114">
        <f>'Key assumptions'!BW33</f>
        <v>3.8791618497784444</v>
      </c>
      <c r="BX58" s="114">
        <f>'Key assumptions'!BX33</f>
        <v>3.8791618497784444</v>
      </c>
      <c r="BY58" s="104">
        <f>'Key assumptions'!BY33</f>
        <v>3.8791618497784444</v>
      </c>
      <c r="BZ58" s="114">
        <f>'Key assumptions'!BZ33</f>
        <v>3.8842653520668335</v>
      </c>
      <c r="CA58" s="114">
        <f>'Key assumptions'!CA33</f>
        <v>3.8894004564985156</v>
      </c>
      <c r="CB58" s="114">
        <f>'Key assumptions'!CB33</f>
        <v>3.8945673587617464</v>
      </c>
      <c r="CC58" s="114">
        <f>'Key assumptions'!CC33</f>
        <v>3.899766255756532</v>
      </c>
      <c r="CD58" s="104">
        <f>'Key assumptions'!CD33</f>
        <v>3.8919998557709068</v>
      </c>
      <c r="CF58" s="336"/>
      <c r="CG58" s="336"/>
    </row>
    <row r="59" spans="1:131" hidden="1" outlineLevel="1">
      <c r="A59" s="11"/>
      <c r="B59" s="39"/>
      <c r="C59" s="5"/>
      <c r="D59" s="5"/>
      <c r="E59" s="5"/>
      <c r="F59" s="5"/>
      <c r="G59" s="5"/>
      <c r="H59" s="12"/>
      <c r="I59" s="12"/>
      <c r="J59" s="12"/>
      <c r="K59" s="12"/>
      <c r="L59" s="5"/>
      <c r="M59" s="12"/>
      <c r="N59" s="12"/>
      <c r="O59" s="12"/>
      <c r="P59" s="12"/>
      <c r="Q59" s="5"/>
      <c r="R59" s="12"/>
      <c r="S59" s="12"/>
      <c r="T59" s="12"/>
      <c r="U59" s="12"/>
      <c r="V59" s="5"/>
      <c r="W59" s="12"/>
      <c r="X59" s="12"/>
      <c r="Y59" s="12"/>
      <c r="Z59" s="12"/>
      <c r="AA59" s="5"/>
      <c r="AB59" s="12"/>
      <c r="AC59" s="12"/>
      <c r="AD59" s="12"/>
      <c r="AE59" s="12"/>
      <c r="AF59" s="5"/>
      <c r="AG59" s="12"/>
      <c r="AH59" s="12"/>
      <c r="AI59" s="12"/>
      <c r="AJ59" s="12"/>
      <c r="AK59" s="5"/>
      <c r="AL59" s="12"/>
      <c r="AM59" s="12"/>
      <c r="AN59" s="12"/>
      <c r="AO59" s="12"/>
      <c r="AP59" s="5"/>
      <c r="AQ59" s="12"/>
      <c r="AR59" s="12"/>
      <c r="AS59" s="12"/>
      <c r="AT59" s="12"/>
      <c r="AU59" s="5"/>
      <c r="AV59" s="12"/>
      <c r="AW59" s="12"/>
      <c r="AX59" s="12"/>
      <c r="AY59" s="12"/>
      <c r="AZ59" s="5"/>
      <c r="BA59" s="12"/>
      <c r="BB59" s="12"/>
      <c r="BC59" s="12"/>
      <c r="BD59" s="12"/>
      <c r="BE59" s="5"/>
      <c r="BF59" s="12"/>
      <c r="BG59" s="12"/>
      <c r="BH59" s="12"/>
      <c r="BI59" s="12"/>
      <c r="BJ59" s="5"/>
      <c r="BK59" s="12"/>
      <c r="BL59" s="12"/>
      <c r="BM59" s="12"/>
      <c r="BN59" s="12"/>
      <c r="BO59" s="5"/>
      <c r="BP59" s="12"/>
      <c r="BQ59" s="12"/>
      <c r="BR59" s="12"/>
      <c r="BS59" s="12"/>
      <c r="BT59" s="5"/>
      <c r="BU59" s="12"/>
      <c r="BV59" s="12"/>
      <c r="BW59" s="12"/>
      <c r="BX59" s="12"/>
      <c r="BY59" s="5"/>
      <c r="BZ59" s="12"/>
      <c r="CA59" s="12"/>
      <c r="CB59" s="12"/>
      <c r="CC59" s="12"/>
      <c r="CD59" s="5"/>
      <c r="CF59" s="336"/>
      <c r="CG59" s="336"/>
    </row>
    <row r="60" spans="1:131" hidden="1" outlineLevel="1">
      <c r="A60" s="11" t="s">
        <v>200</v>
      </c>
      <c r="B60" s="11"/>
      <c r="C60" s="93"/>
      <c r="D60" s="93"/>
      <c r="E60" s="93"/>
      <c r="F60" s="115">
        <f t="shared" ref="F60:BP60" si="49">SUM(F153,F243,F296,F348,F438,F490)</f>
        <v>32873.896549999998</v>
      </c>
      <c r="G60" s="115">
        <f t="shared" si="49"/>
        <v>41539.959274000008</v>
      </c>
      <c r="H60" s="93">
        <f t="shared" si="49"/>
        <v>0</v>
      </c>
      <c r="I60" s="93">
        <f t="shared" si="49"/>
        <v>0</v>
      </c>
      <c r="J60" s="93">
        <f t="shared" si="49"/>
        <v>0</v>
      </c>
      <c r="K60" s="93">
        <f t="shared" si="49"/>
        <v>0</v>
      </c>
      <c r="L60" s="115">
        <f t="shared" si="49"/>
        <v>43857.914675862063</v>
      </c>
      <c r="M60" s="93">
        <f t="shared" si="49"/>
        <v>0</v>
      </c>
      <c r="N60" s="93">
        <f t="shared" si="49"/>
        <v>0</v>
      </c>
      <c r="O60" s="93">
        <f t="shared" si="49"/>
        <v>0</v>
      </c>
      <c r="P60" s="93">
        <f t="shared" si="49"/>
        <v>0</v>
      </c>
      <c r="Q60" s="115">
        <f t="shared" si="49"/>
        <v>45994.336200000005</v>
      </c>
      <c r="R60" s="93">
        <f t="shared" si="49"/>
        <v>0</v>
      </c>
      <c r="S60" s="93">
        <f t="shared" si="49"/>
        <v>0</v>
      </c>
      <c r="T60" s="93">
        <f t="shared" si="49"/>
        <v>0</v>
      </c>
      <c r="U60" s="93">
        <f t="shared" si="49"/>
        <v>0</v>
      </c>
      <c r="V60" s="115">
        <f t="shared" si="49"/>
        <v>60321.144650000002</v>
      </c>
      <c r="W60" s="93">
        <f t="shared" si="49"/>
        <v>0</v>
      </c>
      <c r="X60" s="93">
        <f t="shared" si="49"/>
        <v>0</v>
      </c>
      <c r="Y60" s="93">
        <f t="shared" si="49"/>
        <v>0</v>
      </c>
      <c r="Z60" s="93">
        <f t="shared" si="49"/>
        <v>0</v>
      </c>
      <c r="AA60" s="115">
        <f t="shared" si="49"/>
        <v>39084.40716896551</v>
      </c>
      <c r="AB60" s="93">
        <f t="shared" si="49"/>
        <v>0</v>
      </c>
      <c r="AC60" s="93">
        <f t="shared" si="49"/>
        <v>0</v>
      </c>
      <c r="AD60" s="93">
        <f t="shared" si="49"/>
        <v>0</v>
      </c>
      <c r="AE60" s="93">
        <f t="shared" si="49"/>
        <v>0</v>
      </c>
      <c r="AF60" s="115">
        <f t="shared" si="49"/>
        <v>45458.609589655171</v>
      </c>
      <c r="AG60" s="93">
        <f t="shared" si="49"/>
        <v>0</v>
      </c>
      <c r="AH60" s="93">
        <f t="shared" si="49"/>
        <v>0</v>
      </c>
      <c r="AI60" s="93">
        <f t="shared" si="49"/>
        <v>0</v>
      </c>
      <c r="AJ60" s="93">
        <f t="shared" si="49"/>
        <v>0</v>
      </c>
      <c r="AK60" s="115">
        <f t="shared" si="49"/>
        <v>50659.884919396551</v>
      </c>
      <c r="AL60" s="93">
        <f t="shared" si="49"/>
        <v>0</v>
      </c>
      <c r="AM60" s="93">
        <f t="shared" si="49"/>
        <v>0</v>
      </c>
      <c r="AN60" s="93">
        <f t="shared" si="49"/>
        <v>0</v>
      </c>
      <c r="AO60" s="93">
        <f t="shared" si="49"/>
        <v>0</v>
      </c>
      <c r="AP60" s="115">
        <f t="shared" si="49"/>
        <v>47106.506932758624</v>
      </c>
      <c r="AQ60" s="93">
        <f t="shared" si="49"/>
        <v>0</v>
      </c>
      <c r="AR60" s="93">
        <f t="shared" si="49"/>
        <v>0</v>
      </c>
      <c r="AS60" s="93">
        <f t="shared" si="49"/>
        <v>0</v>
      </c>
      <c r="AT60" s="93">
        <f t="shared" si="49"/>
        <v>0</v>
      </c>
      <c r="AU60" s="115">
        <f t="shared" si="49"/>
        <v>45460.268703448281</v>
      </c>
      <c r="AV60" s="93">
        <f t="shared" si="49"/>
        <v>0</v>
      </c>
      <c r="AW60" s="93">
        <f t="shared" si="49"/>
        <v>0</v>
      </c>
      <c r="AX60" s="93">
        <f t="shared" si="49"/>
        <v>0</v>
      </c>
      <c r="AY60" s="93">
        <f t="shared" si="49"/>
        <v>0</v>
      </c>
      <c r="AZ60" s="115">
        <f t="shared" si="49"/>
        <v>42979.836441379302</v>
      </c>
      <c r="BA60" s="93"/>
      <c r="BB60" s="93"/>
      <c r="BC60" s="93"/>
      <c r="BD60" s="93"/>
      <c r="BE60" s="115">
        <f>SUM(BE153,BE243,BE296,BE348,BE438,BE490)</f>
        <v>25398.010475862069</v>
      </c>
      <c r="BF60" s="93"/>
      <c r="BG60" s="93"/>
      <c r="BH60" s="93"/>
      <c r="BI60" s="93"/>
      <c r="BJ60" s="115">
        <f t="shared" si="49"/>
        <v>20828.668204741374</v>
      </c>
      <c r="BK60" s="93"/>
      <c r="BL60" s="93"/>
      <c r="BM60" s="93"/>
      <c r="BN60" s="93"/>
      <c r="BO60" s="115">
        <f t="shared" si="49"/>
        <v>28525.658283620691</v>
      </c>
      <c r="BP60" s="65">
        <f t="shared" si="49"/>
        <v>9288.231427621562</v>
      </c>
      <c r="BQ60" s="65">
        <f t="shared" ref="BQ60:CD60" si="50">SUM(BQ153,BQ243,BQ296,BQ348,BQ438,BQ490)</f>
        <v>9426.239841664823</v>
      </c>
      <c r="BR60" s="65">
        <f t="shared" si="50"/>
        <v>9413.7702039464093</v>
      </c>
      <c r="BS60" s="65">
        <f t="shared" si="50"/>
        <v>9360.2560894425042</v>
      </c>
      <c r="BT60" s="115">
        <f t="shared" si="50"/>
        <v>37488.497562675293</v>
      </c>
      <c r="BU60" s="65">
        <f t="shared" si="50"/>
        <v>9265.2442517716408</v>
      </c>
      <c r="BV60" s="65">
        <f t="shared" si="50"/>
        <v>9253.2621157595531</v>
      </c>
      <c r="BW60" s="65">
        <f t="shared" si="50"/>
        <v>9302.7387794899696</v>
      </c>
      <c r="BX60" s="65">
        <f t="shared" si="50"/>
        <v>9363.5666571242327</v>
      </c>
      <c r="BY60" s="115">
        <f t="shared" si="50"/>
        <v>37184.811804145393</v>
      </c>
      <c r="BZ60" s="65">
        <f t="shared" si="50"/>
        <v>9487.4113809027458</v>
      </c>
      <c r="CA60" s="65">
        <f t="shared" si="50"/>
        <v>9541.2687910465411</v>
      </c>
      <c r="CB60" s="65">
        <f t="shared" si="50"/>
        <v>9653.2171277536308</v>
      </c>
      <c r="CC60" s="65">
        <f t="shared" si="50"/>
        <v>9790.4282047953875</v>
      </c>
      <c r="CD60" s="115">
        <f t="shared" si="50"/>
        <v>38472.325504498309</v>
      </c>
      <c r="CF60" s="336"/>
      <c r="CG60" s="336"/>
    </row>
    <row r="61" spans="1:131" hidden="1" outlineLevel="1">
      <c r="A61" s="11" t="s">
        <v>550</v>
      </c>
      <c r="B61" s="11"/>
      <c r="C61" s="93"/>
      <c r="D61" s="93"/>
      <c r="E61" s="93"/>
      <c r="F61" s="116">
        <f>F38/F60-1</f>
        <v>-3.4613984632740458E-2</v>
      </c>
      <c r="G61" s="116">
        <f>G38/G60-1</f>
        <v>6.5970388702696336E-3</v>
      </c>
      <c r="H61" s="93"/>
      <c r="I61" s="93"/>
      <c r="J61" s="93"/>
      <c r="K61" s="93"/>
      <c r="L61" s="116">
        <f>L38/L60-1</f>
        <v>4.0473545932517618E-2</v>
      </c>
      <c r="M61" s="93"/>
      <c r="N61" s="93"/>
      <c r="O61" s="93"/>
      <c r="P61" s="93"/>
      <c r="Q61" s="116">
        <f>Q38/Q60-1</f>
        <v>3.5692738185446382E-2</v>
      </c>
      <c r="R61" s="93"/>
      <c r="S61" s="93"/>
      <c r="T61" s="93"/>
      <c r="U61" s="93"/>
      <c r="V61" s="116">
        <f>V38/V60-1</f>
        <v>7.6587660542678293E-2</v>
      </c>
      <c r="W61" s="93"/>
      <c r="X61" s="93"/>
      <c r="Y61" s="93"/>
      <c r="Z61" s="93"/>
      <c r="AA61" s="116">
        <f>AA38/AA60-1</f>
        <v>4.2615276824693238E-2</v>
      </c>
      <c r="AB61" s="93"/>
      <c r="AC61" s="93"/>
      <c r="AD61" s="93"/>
      <c r="AE61" s="93"/>
      <c r="AF61" s="116">
        <f>AF38/AF60-1</f>
        <v>5.27378736830173E-2</v>
      </c>
      <c r="AG61" s="93"/>
      <c r="AH61" s="93"/>
      <c r="AI61" s="93"/>
      <c r="AJ61" s="93"/>
      <c r="AK61" s="116">
        <f>AK38/AK60-1</f>
        <v>5.3535752892424071E-2</v>
      </c>
      <c r="AL61" s="93"/>
      <c r="AM61" s="93"/>
      <c r="AN61" s="93"/>
      <c r="AO61" s="93"/>
      <c r="AP61" s="116">
        <f>AP38/AP60-1</f>
        <v>3.998371328890804E-2</v>
      </c>
      <c r="AQ61" s="93"/>
      <c r="AR61" s="93"/>
      <c r="AS61" s="93"/>
      <c r="AT61" s="93"/>
      <c r="AU61" s="116">
        <f>AU38/AU60-1</f>
        <v>4.911390451993447E-2</v>
      </c>
      <c r="AV61" s="93"/>
      <c r="AW61" s="93"/>
      <c r="AX61" s="93"/>
      <c r="AY61" s="93"/>
      <c r="AZ61" s="116">
        <f>AZ38/AZ60-1</f>
        <v>-1.9237775427717985E-2</v>
      </c>
      <c r="BA61" s="93"/>
      <c r="BB61" s="93"/>
      <c r="BC61" s="93"/>
      <c r="BD61" s="93"/>
      <c r="BE61" s="116">
        <f>BE38/BE60-1</f>
        <v>-2.5711087743769623E-2</v>
      </c>
      <c r="BF61" s="93"/>
      <c r="BG61" s="93"/>
      <c r="BH61" s="93"/>
      <c r="BI61" s="93"/>
      <c r="BJ61" s="116">
        <f t="shared" ref="BJ61:CD61" si="51">BJ38/BJ60-1</f>
        <v>-4.8907025390585779E-2</v>
      </c>
      <c r="BK61" s="93"/>
      <c r="BL61" s="93"/>
      <c r="BM61" s="93"/>
      <c r="BN61" s="93"/>
      <c r="BO61" s="116">
        <f t="shared" si="51"/>
        <v>8.951299697995907E-3</v>
      </c>
      <c r="BP61" s="117">
        <f t="shared" si="51"/>
        <v>-2.0131826524673047E-3</v>
      </c>
      <c r="BQ61" s="117">
        <f t="shared" si="51"/>
        <v>-2.2141513219272602E-3</v>
      </c>
      <c r="BR61" s="117">
        <f t="shared" si="51"/>
        <v>-3.7072574452234885E-3</v>
      </c>
      <c r="BS61" s="117">
        <f t="shared" si="51"/>
        <v>-4.3120614992619988E-3</v>
      </c>
      <c r="BT61" s="116">
        <f t="shared" si="51"/>
        <v>-3.0631074819456039E-3</v>
      </c>
      <c r="BU61" s="117">
        <f t="shared" si="51"/>
        <v>8.3985769325067849E-3</v>
      </c>
      <c r="BV61" s="117">
        <f t="shared" si="51"/>
        <v>9.6045980916050766E-3</v>
      </c>
      <c r="BW61" s="117">
        <f t="shared" si="51"/>
        <v>1.0071390594258878E-2</v>
      </c>
      <c r="BX61" s="117">
        <f t="shared" si="51"/>
        <v>9.6295833051935897E-3</v>
      </c>
      <c r="BY61" s="116">
        <f t="shared" si="51"/>
        <v>9.4271686288098788E-3</v>
      </c>
      <c r="BZ61" s="117">
        <f t="shared" si="51"/>
        <v>9.9625822263316177E-3</v>
      </c>
      <c r="CA61" s="117">
        <f t="shared" si="51"/>
        <v>1.073615947031592E-2</v>
      </c>
      <c r="CB61" s="117">
        <f t="shared" si="51"/>
        <v>1.1021225263863732E-2</v>
      </c>
      <c r="CC61" s="117">
        <f t="shared" si="51"/>
        <v>1.0588488089028791E-2</v>
      </c>
      <c r="CD61" s="116">
        <f t="shared" si="51"/>
        <v>1.0579340002684123E-2</v>
      </c>
      <c r="CF61" s="336"/>
      <c r="CG61" s="336"/>
      <c r="DX61" s="440"/>
      <c r="DY61" s="443"/>
      <c r="DZ61" s="443"/>
    </row>
    <row r="62" spans="1:131" hidden="1" outlineLevel="1">
      <c r="A62" s="11"/>
      <c r="B62" s="11"/>
      <c r="C62" s="11"/>
      <c r="D62" s="11"/>
      <c r="E62" s="5"/>
      <c r="F62" s="5"/>
      <c r="G62" s="5"/>
      <c r="H62" s="12"/>
      <c r="I62" s="12"/>
      <c r="J62" s="12"/>
      <c r="K62" s="12"/>
      <c r="L62" s="5"/>
      <c r="M62" s="12"/>
      <c r="N62" s="12"/>
      <c r="O62" s="12"/>
      <c r="P62" s="12"/>
      <c r="Q62" s="5"/>
      <c r="R62" s="12"/>
      <c r="S62" s="12"/>
      <c r="T62" s="12"/>
      <c r="U62" s="12"/>
      <c r="V62" s="5"/>
      <c r="W62" s="12"/>
      <c r="X62" s="12"/>
      <c r="Y62" s="12"/>
      <c r="Z62" s="12"/>
      <c r="AA62" s="5"/>
      <c r="AB62" s="12"/>
      <c r="AC62" s="12"/>
      <c r="AD62" s="12"/>
      <c r="AE62" s="12"/>
      <c r="AF62" s="5"/>
      <c r="AG62" s="12"/>
      <c r="AH62" s="12"/>
      <c r="AI62" s="12"/>
      <c r="AJ62" s="12"/>
      <c r="AK62" s="5"/>
      <c r="AL62" s="12"/>
      <c r="AM62" s="12"/>
      <c r="AN62" s="12"/>
      <c r="AO62" s="12"/>
      <c r="AP62" s="5"/>
      <c r="AQ62" s="12"/>
      <c r="AR62" s="12"/>
      <c r="AS62" s="12"/>
      <c r="AT62" s="12"/>
      <c r="AU62" s="5"/>
      <c r="AV62" s="12"/>
      <c r="AW62" s="12"/>
      <c r="AX62" s="12"/>
      <c r="AY62" s="12"/>
      <c r="AZ62" s="5"/>
      <c r="BA62" s="12"/>
      <c r="BB62" s="12"/>
      <c r="BC62" s="12"/>
      <c r="BD62" s="12"/>
      <c r="BE62" s="5"/>
      <c r="BF62" s="12"/>
      <c r="BG62" s="12"/>
      <c r="BH62" s="12"/>
      <c r="BI62" s="12"/>
      <c r="BJ62" s="5"/>
      <c r="BK62" s="12"/>
      <c r="BL62" s="12"/>
      <c r="BM62" s="12"/>
      <c r="BN62" s="12"/>
      <c r="BO62" s="5"/>
      <c r="BP62" s="12"/>
      <c r="BQ62" s="12"/>
      <c r="BR62" s="12"/>
      <c r="BS62" s="12"/>
      <c r="BT62" s="5"/>
      <c r="BU62" s="12"/>
      <c r="BV62" s="12"/>
      <c r="BW62" s="12"/>
      <c r="BX62" s="12"/>
      <c r="BY62" s="5"/>
      <c r="BZ62" s="12"/>
      <c r="CA62" s="12"/>
      <c r="CB62" s="12"/>
      <c r="CC62" s="12"/>
      <c r="CD62" s="5"/>
      <c r="CF62" s="336"/>
      <c r="CG62" s="336"/>
      <c r="DX62" s="440"/>
      <c r="DY62" s="443"/>
      <c r="DZ62" s="443"/>
    </row>
    <row r="63" spans="1:131" hidden="1" outlineLevel="1">
      <c r="A63" s="39" t="s">
        <v>3090</v>
      </c>
      <c r="B63" s="11"/>
      <c r="C63" s="5"/>
      <c r="D63" s="5"/>
      <c r="E63" s="5"/>
      <c r="F63" s="5"/>
      <c r="G63" s="5"/>
      <c r="H63" s="12"/>
      <c r="I63" s="12"/>
      <c r="J63" s="12"/>
      <c r="K63" s="12"/>
      <c r="L63" s="5"/>
      <c r="M63" s="12"/>
      <c r="N63" s="12"/>
      <c r="O63" s="12"/>
      <c r="P63" s="12"/>
      <c r="Q63" s="5"/>
      <c r="R63" s="12"/>
      <c r="S63" s="12"/>
      <c r="T63" s="12"/>
      <c r="U63" s="12"/>
      <c r="V63" s="5"/>
      <c r="W63" s="12"/>
      <c r="X63" s="12"/>
      <c r="Y63" s="12"/>
      <c r="Z63" s="12"/>
      <c r="AA63" s="5"/>
      <c r="AB63" s="12"/>
      <c r="AC63" s="12"/>
      <c r="AD63" s="12"/>
      <c r="AE63" s="12"/>
      <c r="AF63" s="5"/>
      <c r="AG63" s="12"/>
      <c r="AH63" s="12"/>
      <c r="AI63" s="12"/>
      <c r="AJ63" s="12"/>
      <c r="AK63" s="5"/>
      <c r="AL63" s="12"/>
      <c r="AM63" s="12"/>
      <c r="AN63" s="12"/>
      <c r="AO63" s="12"/>
      <c r="AP63" s="5"/>
      <c r="AQ63" s="12"/>
      <c r="AR63" s="12"/>
      <c r="AS63" s="12"/>
      <c r="AT63" s="12"/>
      <c r="AU63" s="5"/>
      <c r="AV63" s="12"/>
      <c r="AW63" s="12"/>
      <c r="AX63" s="12"/>
      <c r="AY63" s="12"/>
      <c r="AZ63" s="5"/>
      <c r="BA63" s="12"/>
      <c r="BB63" s="12"/>
      <c r="BC63" s="12"/>
      <c r="BD63" s="12"/>
      <c r="BE63" s="116"/>
      <c r="BF63" s="12"/>
      <c r="BG63" s="12"/>
      <c r="BH63" s="12"/>
      <c r="BI63" s="12"/>
      <c r="BJ63" s="116"/>
      <c r="BK63" s="12"/>
      <c r="BL63" s="12"/>
      <c r="BM63" s="12"/>
      <c r="BN63" s="12"/>
      <c r="BO63" s="116"/>
      <c r="BP63" s="12"/>
      <c r="BQ63" s="12"/>
      <c r="BR63" s="12"/>
      <c r="BS63" s="12"/>
      <c r="BT63" s="5"/>
      <c r="BU63" s="12"/>
      <c r="BV63" s="12"/>
      <c r="BW63" s="12"/>
      <c r="BX63" s="12"/>
      <c r="BY63" s="5"/>
      <c r="BZ63" s="12"/>
      <c r="CA63" s="12"/>
      <c r="CB63" s="12"/>
      <c r="CC63" s="12"/>
      <c r="CD63" s="5"/>
      <c r="CF63" s="336"/>
      <c r="CG63" s="336"/>
      <c r="DX63" s="440"/>
      <c r="DY63" s="443"/>
      <c r="DZ63" s="443"/>
      <c r="EA63" s="381"/>
    </row>
    <row r="64" spans="1:131" hidden="1" outlineLevel="1">
      <c r="A64" s="11"/>
      <c r="B64" s="11" t="s">
        <v>1897</v>
      </c>
      <c r="C64" s="119">
        <f>-1000*C40/(C54*365)</f>
        <v>0.41724454936839306</v>
      </c>
      <c r="D64" s="119">
        <f>-1000*D40/(D54*365)</f>
        <v>0.55116792648890744</v>
      </c>
      <c r="E64" s="119">
        <f>-1000*E40/(E54*365)</f>
        <v>0.49330446988521837</v>
      </c>
      <c r="F64" s="119">
        <f>-1000*F40/(F54*365)</f>
        <v>0.62451824906354381</v>
      </c>
      <c r="G64" s="119">
        <f>-1000*G40/(G54*365)</f>
        <v>0.68972612297677716</v>
      </c>
      <c r="H64" s="93"/>
      <c r="I64" s="93"/>
      <c r="J64" s="93"/>
      <c r="K64" s="93"/>
      <c r="L64" s="119">
        <f>-1000*L40/(L54*365)</f>
        <v>1.0890410060503677</v>
      </c>
      <c r="M64" s="93"/>
      <c r="N64" s="93"/>
      <c r="O64" s="93"/>
      <c r="P64" s="93"/>
      <c r="Q64" s="119">
        <f>-1000*Q40/(Q54*365)</f>
        <v>0.81251188248596606</v>
      </c>
      <c r="R64" s="93"/>
      <c r="S64" s="93"/>
      <c r="T64" s="93"/>
      <c r="U64" s="93"/>
      <c r="V64" s="119">
        <f>-1000*V40/(V54*365)</f>
        <v>0.95979718852746299</v>
      </c>
      <c r="W64" s="93"/>
      <c r="X64" s="93"/>
      <c r="Y64" s="93"/>
      <c r="Z64" s="93"/>
      <c r="AA64" s="119">
        <f>-1000*AA40/(AA54*365)</f>
        <v>1.1389658721989073</v>
      </c>
      <c r="AB64" s="93"/>
      <c r="AC64" s="93"/>
      <c r="AD64" s="93"/>
      <c r="AE64" s="93"/>
      <c r="AF64" s="119">
        <f>-1000*AF40/(AF54*365)</f>
        <v>0.92637836533078111</v>
      </c>
      <c r="AG64" s="93"/>
      <c r="AH64" s="93"/>
      <c r="AI64" s="93"/>
      <c r="AJ64" s="93"/>
      <c r="AK64" s="119">
        <f>-1000*AK40/(AK54*365)</f>
        <v>1.9884926364195943</v>
      </c>
      <c r="AL64" s="93"/>
      <c r="AM64" s="93"/>
      <c r="AN64" s="93"/>
      <c r="AO64" s="93"/>
      <c r="AP64" s="119">
        <f>-1000*AP40/(AP54*365)</f>
        <v>2.057837377687366</v>
      </c>
      <c r="AQ64" s="93"/>
      <c r="AR64" s="93"/>
      <c r="AS64" s="93"/>
      <c r="AT64" s="93"/>
      <c r="AU64" s="119">
        <f>-1000*AU40/(AU54*365)</f>
        <v>4.9944194473501131</v>
      </c>
      <c r="AV64" s="93"/>
      <c r="AW64" s="93"/>
      <c r="AX64" s="93"/>
      <c r="AY64" s="93"/>
      <c r="AZ64" s="119">
        <f>-1000*AZ40/(AZ54*365)</f>
        <v>5.2711638142971706</v>
      </c>
      <c r="BA64" s="93"/>
      <c r="BB64" s="93"/>
      <c r="BC64" s="93"/>
      <c r="BD64" s="93"/>
      <c r="BE64" s="119">
        <f>-1000*BE40/(BE54*365)</f>
        <v>3.2697405367900316</v>
      </c>
      <c r="BF64" s="93"/>
      <c r="BG64" s="93"/>
      <c r="BH64" s="93"/>
      <c r="BI64" s="93"/>
      <c r="BJ64" s="119">
        <f>-1000*BJ40/(BJ54*365)</f>
        <v>2.4325663357949487</v>
      </c>
      <c r="BK64" s="93"/>
      <c r="BL64" s="93"/>
      <c r="BM64" s="93"/>
      <c r="BN64" s="93"/>
      <c r="BO64" s="119">
        <f>-1000*BO40/(BO54*365)</f>
        <v>2.6329585121340022</v>
      </c>
      <c r="BP64" s="109">
        <f>-1000*BP40/(BP54*90)</f>
        <v>1.734455022246205</v>
      </c>
      <c r="BQ64" s="109">
        <f>-1000*BQ40/(BQ54*91)</f>
        <v>1.1276159756804369</v>
      </c>
      <c r="BR64" s="109">
        <f>-1000*BR40/(BR54*92)</f>
        <v>1.1194655616404936</v>
      </c>
      <c r="BS64" s="109">
        <f>-1000*BS40/(BS54*92)</f>
        <v>1.111513245961617</v>
      </c>
      <c r="BT64" s="119">
        <f>-1000*BT40/(BT54*365)</f>
        <v>1.2728567986475849</v>
      </c>
      <c r="BU64" s="109">
        <f>-1000*BU40/(BU54*90)</f>
        <v>0.99357610334442903</v>
      </c>
      <c r="BV64" s="109">
        <f>-1000*BV40/(BV54*91)</f>
        <v>0.99527131512758349</v>
      </c>
      <c r="BW64" s="109">
        <f>-1000*BW40/(BW54*92)</f>
        <v>0.98861863373130032</v>
      </c>
      <c r="BX64" s="109">
        <f>-1000*BX40/(BX54*92)</f>
        <v>0.98080888010750222</v>
      </c>
      <c r="BY64" s="119">
        <f>-1000*BY40/(BY54*365)</f>
        <v>0.98949236233350701</v>
      </c>
      <c r="BZ64" s="109">
        <f>-1000*BZ40/(BZ54*90)</f>
        <v>0.62056852284677155</v>
      </c>
      <c r="CA64" s="109">
        <f>-1000*CA40/(CA54*91)</f>
        <v>0.62257550903526893</v>
      </c>
      <c r="CB64" s="109">
        <f>-1000*CB40/(CB54*92)</f>
        <v>0.61941305448763906</v>
      </c>
      <c r="CC64" s="109">
        <f>-1000*CC40/(CC54*92)</f>
        <v>0.61352018192818036</v>
      </c>
      <c r="CD64" s="119">
        <f>-1000*CD40/(CD54*365)</f>
        <v>0.61896784462092636</v>
      </c>
      <c r="CF64" s="336"/>
      <c r="CG64" s="336"/>
    </row>
    <row r="65" spans="1:92" hidden="1" outlineLevel="1">
      <c r="A65" s="11"/>
      <c r="B65" s="11" t="s">
        <v>2149</v>
      </c>
      <c r="C65" s="119">
        <f>-1000*C41/(C54*365)</f>
        <v>2.7894536644232777</v>
      </c>
      <c r="D65" s="119">
        <f>-1000*D41/(D54*365)</f>
        <v>2.733587511188774</v>
      </c>
      <c r="E65" s="119">
        <f>-1000*E41/(E54*365)</f>
        <v>2.9170494944319647</v>
      </c>
      <c r="F65" s="119">
        <f>-1000*F41/(F54*365)</f>
        <v>3.5069101678183614</v>
      </c>
      <c r="G65" s="119">
        <f>-1000*G41/(G54*365)</f>
        <v>4.4256838265497072</v>
      </c>
      <c r="H65" s="93"/>
      <c r="I65" s="93"/>
      <c r="J65" s="93"/>
      <c r="K65" s="93"/>
      <c r="L65" s="119">
        <f>-1000*L41/(L54*365)</f>
        <v>5.5317030240338294</v>
      </c>
      <c r="M65" s="93"/>
      <c r="N65" s="93"/>
      <c r="O65" s="93"/>
      <c r="P65" s="93"/>
      <c r="Q65" s="119">
        <f>-1000*Q41/(Q54*365)</f>
        <v>7.0181251225308969</v>
      </c>
      <c r="R65" s="93"/>
      <c r="S65" s="93"/>
      <c r="T65" s="93"/>
      <c r="U65" s="93"/>
      <c r="V65" s="119">
        <f>-1000*V41/(V54*365)</f>
        <v>7.2550655962727841</v>
      </c>
      <c r="W65" s="93"/>
      <c r="X65" s="93"/>
      <c r="Y65" s="93"/>
      <c r="Z65" s="93"/>
      <c r="AA65" s="119">
        <f>-1000*AA41/(AA54*365)</f>
        <v>6.3898434819331165</v>
      </c>
      <c r="AB65" s="93"/>
      <c r="AC65" s="93"/>
      <c r="AD65" s="93"/>
      <c r="AE65" s="93"/>
      <c r="AF65" s="119">
        <f>-1000*AF41/(AF54*365)</f>
        <v>6.7670675844685055</v>
      </c>
      <c r="AG65" s="93"/>
      <c r="AH65" s="93"/>
      <c r="AI65" s="93"/>
      <c r="AJ65" s="93"/>
      <c r="AK65" s="119">
        <f>-1000*AK41/(AK54*365)</f>
        <v>10.078517941431944</v>
      </c>
      <c r="AL65" s="93"/>
      <c r="AM65" s="93"/>
      <c r="AN65" s="93"/>
      <c r="AO65" s="93"/>
      <c r="AP65" s="119">
        <f>-1000*AP41/(AP54*365)</f>
        <v>12.535368704082023</v>
      </c>
      <c r="AQ65" s="93"/>
      <c r="AR65" s="93"/>
      <c r="AS65" s="93"/>
      <c r="AT65" s="93"/>
      <c r="AU65" s="119">
        <f>-1000*AU41/(AU54*365)</f>
        <v>13.14718144553831</v>
      </c>
      <c r="AV65" s="93"/>
      <c r="AW65" s="93"/>
      <c r="AX65" s="93"/>
      <c r="AY65" s="93"/>
      <c r="AZ65" s="119">
        <f>-1000*AZ41/(AZ54*365)</f>
        <v>12.752675230239328</v>
      </c>
      <c r="BA65" s="93"/>
      <c r="BB65" s="93"/>
      <c r="BC65" s="93"/>
      <c r="BD65" s="93"/>
      <c r="BE65" s="119">
        <f>-1000*BE41/(BE54*365)</f>
        <v>10.448439904855183</v>
      </c>
      <c r="BF65" s="93"/>
      <c r="BG65" s="93"/>
      <c r="BH65" s="93"/>
      <c r="BI65" s="93"/>
      <c r="BJ65" s="119">
        <f>-1000*BJ41/(BJ54*365)</f>
        <v>8.489246608241988</v>
      </c>
      <c r="BK65" s="93"/>
      <c r="BL65" s="93"/>
      <c r="BM65" s="93"/>
      <c r="BN65" s="93"/>
      <c r="BO65" s="119">
        <f>-1000*BO41/(BO54*365)</f>
        <v>7.1064562918847543</v>
      </c>
      <c r="BP65" s="109">
        <f>-1000*BP41/(BP$54*90)</f>
        <v>6.8204981217795986</v>
      </c>
      <c r="BQ65" s="109">
        <f>-1000*BQ41/(BQ$54*91)</f>
        <v>6.8121409900651155</v>
      </c>
      <c r="BR65" s="109">
        <f t="shared" ref="BR65:BS69" si="52">-1000*BR41/(BR$54*92)</f>
        <v>6.7768851889834023</v>
      </c>
      <c r="BS65" s="109">
        <f t="shared" si="52"/>
        <v>6.7918619975680627</v>
      </c>
      <c r="BT65" s="119">
        <f>-1000*BT41/(BT54*365)</f>
        <v>6.7999286699335038</v>
      </c>
      <c r="BU65" s="109">
        <f>-1000*BU41/(BU$54*90)</f>
        <v>7.0142471123580643</v>
      </c>
      <c r="BV65" s="109">
        <f>-1000*BV41/(BV$54*91)</f>
        <v>7.011532232422236</v>
      </c>
      <c r="BW65" s="109">
        <f t="shared" ref="BW65:BX69" si="53">-1000*BW41/(BW$54*92)</f>
        <v>6.9704887604081218</v>
      </c>
      <c r="BX65" s="109">
        <f t="shared" si="53"/>
        <v>6.9890720772356092</v>
      </c>
      <c r="BY65" s="119">
        <f>-1000*BY41/(BY54*365)</f>
        <v>6.9959590473826712</v>
      </c>
      <c r="BZ65" s="109">
        <f>-1000*BZ41/(BZ$54*90)</f>
        <v>7.3064679835026585</v>
      </c>
      <c r="CA65" s="109">
        <f>-1000*CA41/(CA$54*91)</f>
        <v>7.2163551076872308</v>
      </c>
      <c r="CB65" s="109">
        <f t="shared" ref="CB65:CC69" si="54">-1000*CB41/(CB$54*92)</f>
        <v>7.1612850382475628</v>
      </c>
      <c r="CC65" s="109">
        <f t="shared" si="54"/>
        <v>7.1905256696305875</v>
      </c>
      <c r="CD65" s="119">
        <f>-1000*CD41/(CD54*365)</f>
        <v>7.2181676850289547</v>
      </c>
      <c r="CF65" s="336"/>
      <c r="CG65" s="336"/>
    </row>
    <row r="66" spans="1:92" hidden="1" outlineLevel="1">
      <c r="A66" s="11"/>
      <c r="B66" s="11" t="s">
        <v>2150</v>
      </c>
      <c r="C66" s="119">
        <f>-1000*C42/(C54*365)</f>
        <v>1.4325396194981495</v>
      </c>
      <c r="D66" s="119">
        <f>-1000*D42/(D54*365)</f>
        <v>1.0646784170065231</v>
      </c>
      <c r="E66" s="119">
        <f>-1000*E42/(E54*365)</f>
        <v>1.5081282409590531</v>
      </c>
      <c r="F66" s="119">
        <f>-1000*F42/(F54*365)</f>
        <v>2.0461061001501037</v>
      </c>
      <c r="G66" s="119">
        <f>-1000*G42/(G54*365)</f>
        <v>4.1597248422112516</v>
      </c>
      <c r="H66" s="93"/>
      <c r="I66" s="93"/>
      <c r="J66" s="93"/>
      <c r="K66" s="93"/>
      <c r="L66" s="119">
        <f>-1000*L42/(L54*365)</f>
        <v>5.6452967749041543</v>
      </c>
      <c r="M66" s="93"/>
      <c r="N66" s="93"/>
      <c r="O66" s="93"/>
      <c r="P66" s="93"/>
      <c r="Q66" s="119">
        <f>-1000*Q42/(Q54*365)</f>
        <v>6.161548442185242</v>
      </c>
      <c r="R66" s="93"/>
      <c r="S66" s="93"/>
      <c r="T66" s="93"/>
      <c r="U66" s="93"/>
      <c r="V66" s="119">
        <f>-1000*V42/(V54*365)</f>
        <v>9.8874345294337065</v>
      </c>
      <c r="W66" s="93"/>
      <c r="X66" s="93"/>
      <c r="Y66" s="93"/>
      <c r="Z66" s="93"/>
      <c r="AA66" s="119">
        <f>-1000*AA42/(AA54*365)</f>
        <v>3.8710551552423431</v>
      </c>
      <c r="AB66" s="93"/>
      <c r="AC66" s="93"/>
      <c r="AD66" s="93"/>
      <c r="AE66" s="93"/>
      <c r="AF66" s="119">
        <f>-1000*AF42/(AF54*365)</f>
        <v>5.7901395099974922</v>
      </c>
      <c r="AG66" s="93"/>
      <c r="AH66" s="93"/>
      <c r="AI66" s="93"/>
      <c r="AJ66" s="93"/>
      <c r="AK66" s="119">
        <f>-1000*AK42/(AK54*365)</f>
        <v>10.867373901801033</v>
      </c>
      <c r="AL66" s="93"/>
      <c r="AM66" s="93"/>
      <c r="AN66" s="93"/>
      <c r="AO66" s="93"/>
      <c r="AP66" s="119">
        <f>-1000*AP42/(AP54*365)</f>
        <v>11.381584628592224</v>
      </c>
      <c r="AQ66" s="93"/>
      <c r="AR66" s="93"/>
      <c r="AS66" s="93"/>
      <c r="AT66" s="93"/>
      <c r="AU66" s="119">
        <f>-1000*AU42/(AU54*365)</f>
        <v>10.228327185549622</v>
      </c>
      <c r="AV66" s="93"/>
      <c r="AW66" s="93"/>
      <c r="AX66" s="93"/>
      <c r="AY66" s="93"/>
      <c r="AZ66" s="119">
        <f>-1000*AZ42/(AZ54*365)</f>
        <v>4.2929797804766059</v>
      </c>
      <c r="BA66" s="93"/>
      <c r="BB66" s="93"/>
      <c r="BC66" s="93"/>
      <c r="BD66" s="93"/>
      <c r="BE66" s="119">
        <f>-1000*BE42/(BE54*365)</f>
        <v>1.4396307675794615</v>
      </c>
      <c r="BF66" s="93"/>
      <c r="BG66" s="93"/>
      <c r="BH66" s="93"/>
      <c r="BI66" s="93"/>
      <c r="BJ66" s="119">
        <f>-1000*BJ42/(BJ54*365)</f>
        <v>0.96539384505981984</v>
      </c>
      <c r="BK66" s="93"/>
      <c r="BL66" s="93"/>
      <c r="BM66" s="93"/>
      <c r="BN66" s="93"/>
      <c r="BO66" s="119">
        <f>-1000*BO42/(BO54*365)</f>
        <v>2.2468756533835834</v>
      </c>
      <c r="BP66" s="109">
        <f>-1000*BP42/(BP$54*90)</f>
        <v>2.5574916234494611</v>
      </c>
      <c r="BQ66" s="109">
        <f>-1000*BQ42/(BQ$54*91)</f>
        <v>2.6203331777582903</v>
      </c>
      <c r="BR66" s="109">
        <f t="shared" si="52"/>
        <v>2.605636510961848</v>
      </c>
      <c r="BS66" s="109">
        <f t="shared" si="52"/>
        <v>2.5426002654967053</v>
      </c>
      <c r="BT66" s="119">
        <f>-1000*BT42/(BT54*365)</f>
        <v>2.5812521084763342</v>
      </c>
      <c r="BU66" s="109">
        <f>-1000*BU42/(BU$54*90)</f>
        <v>2.5195881687699191</v>
      </c>
      <c r="BV66" s="109">
        <f>-1000*BV42/(BV$54*91)</f>
        <v>2.5370657418821998</v>
      </c>
      <c r="BW66" s="109">
        <f t="shared" si="53"/>
        <v>2.5701849949333719</v>
      </c>
      <c r="BX66" s="109">
        <f t="shared" si="53"/>
        <v>2.5465235374235839</v>
      </c>
      <c r="BY66" s="119">
        <f>-1000*BY42/(BY54*365)</f>
        <v>2.5432730473458123</v>
      </c>
      <c r="BZ66" s="109">
        <f>-1000*BZ42/(BZ$54*90)</f>
        <v>2.6414416656611825</v>
      </c>
      <c r="CA66" s="109">
        <f>-1000*CA42/(CA$54*91)</f>
        <v>2.6823817261869567</v>
      </c>
      <c r="CB66" s="109">
        <f t="shared" si="54"/>
        <v>2.7473435211922514</v>
      </c>
      <c r="CC66" s="109">
        <f t="shared" si="54"/>
        <v>2.7319306431106476</v>
      </c>
      <c r="CD66" s="119">
        <f>-1000*CD42/(CD54*365)</f>
        <v>2.700755919023512</v>
      </c>
      <c r="CF66" s="336"/>
      <c r="CG66" s="336"/>
    </row>
    <row r="67" spans="1:92" hidden="1" outlineLevel="1">
      <c r="A67" s="11"/>
      <c r="B67" s="11" t="s">
        <v>2158</v>
      </c>
      <c r="C67" s="119">
        <f>-1000*C43/(C54*365)</f>
        <v>2.8972418396767794</v>
      </c>
      <c r="D67" s="119">
        <f>-1000*D43/(D54*365)</f>
        <v>2.9107486304173511</v>
      </c>
      <c r="E67" s="119">
        <f>-1000*E43/(E54*365)</f>
        <v>3.2192212361328734</v>
      </c>
      <c r="F67" s="119">
        <f>-1000*F43/(F54*365)</f>
        <v>3.6902459803378007</v>
      </c>
      <c r="G67" s="119">
        <f>-1000*G43/(G54*365)</f>
        <v>5.7744278219113792</v>
      </c>
      <c r="H67" s="93"/>
      <c r="I67" s="93"/>
      <c r="J67" s="93"/>
      <c r="K67" s="93"/>
      <c r="L67" s="119">
        <f>-1000*L43/(L54*365)</f>
        <v>4.2832139089636465</v>
      </c>
      <c r="M67" s="93"/>
      <c r="N67" s="93"/>
      <c r="O67" s="93"/>
      <c r="P67" s="93"/>
      <c r="Q67" s="119">
        <f>-1000*Q43/(Q54*365)</f>
        <v>5.028760711841052</v>
      </c>
      <c r="R67" s="93"/>
      <c r="S67" s="93"/>
      <c r="T67" s="93"/>
      <c r="U67" s="93"/>
      <c r="V67" s="119">
        <f>-1000*V43/(V54*365)</f>
        <v>6.8274008626091867</v>
      </c>
      <c r="W67" s="93"/>
      <c r="X67" s="93"/>
      <c r="Y67" s="93"/>
      <c r="Z67" s="93"/>
      <c r="AA67" s="119">
        <f>-1000*AA43/(AA54*365)</f>
        <v>2.8974230386852131</v>
      </c>
      <c r="AB67" s="93"/>
      <c r="AC67" s="93"/>
      <c r="AD67" s="93"/>
      <c r="AE67" s="93"/>
      <c r="AF67" s="119">
        <f>-1000*AF43/(AF54*365)</f>
        <v>4.4956273933193662</v>
      </c>
      <c r="AG67" s="93"/>
      <c r="AH67" s="93"/>
      <c r="AI67" s="93"/>
      <c r="AJ67" s="93"/>
      <c r="AK67" s="119">
        <f>-1000*AK43/(AK54*365)</f>
        <v>6.6431352682491447</v>
      </c>
      <c r="AL67" s="93"/>
      <c r="AM67" s="93"/>
      <c r="AN67" s="93"/>
      <c r="AO67" s="93"/>
      <c r="AP67" s="119">
        <f>-1000*AP43/(AP54*365)</f>
        <v>3.5115774099248136</v>
      </c>
      <c r="AQ67" s="93"/>
      <c r="AR67" s="93"/>
      <c r="AS67" s="93"/>
      <c r="AT67" s="93"/>
      <c r="AU67" s="119">
        <f>-1000*AU43/(AU54*365)</f>
        <v>3.7186000070069718</v>
      </c>
      <c r="AV67" s="93"/>
      <c r="AW67" s="93"/>
      <c r="AX67" s="93"/>
      <c r="AY67" s="93"/>
      <c r="AZ67" s="119">
        <f>-1000*AZ43/(AZ54*365)</f>
        <v>3.7371274289138809</v>
      </c>
      <c r="BA67" s="93"/>
      <c r="BB67" s="93"/>
      <c r="BC67" s="93"/>
      <c r="BD67" s="93"/>
      <c r="BE67" s="119">
        <f>-1000*BE43/(BE54*365)</f>
        <v>3.6421546735769965</v>
      </c>
      <c r="BF67" s="93"/>
      <c r="BG67" s="93"/>
      <c r="BH67" s="93"/>
      <c r="BI67" s="93"/>
      <c r="BJ67" s="119">
        <f>-1000*BJ43/(BJ54*365)</f>
        <v>3.6014985610723587</v>
      </c>
      <c r="BK67" s="93"/>
      <c r="BL67" s="93"/>
      <c r="BM67" s="93"/>
      <c r="BN67" s="93"/>
      <c r="BO67" s="119">
        <f>-1000*BO43/(BO54*365)</f>
        <v>3.1253723877206014</v>
      </c>
      <c r="BP67" s="109">
        <f>-1000*BP43/(BP$54*90)</f>
        <v>2.712167318286391</v>
      </c>
      <c r="BQ67" s="109">
        <f>-1000*BQ43/(BQ$54*91)</f>
        <v>2.7245578319081636</v>
      </c>
      <c r="BR67" s="109">
        <f t="shared" si="52"/>
        <v>2.704864713963091</v>
      </c>
      <c r="BS67" s="109">
        <f t="shared" si="52"/>
        <v>2.6856502434057594</v>
      </c>
      <c r="BT67" s="119">
        <f>-1000*BT43/(BT54*365)</f>
        <v>2.7065900496203104</v>
      </c>
      <c r="BU67" s="109">
        <f>-1000*BU43/(BU$54*90)</f>
        <v>2.5769220771805594</v>
      </c>
      <c r="BV67" s="109">
        <f>-1000*BV43/(BV$54*91)</f>
        <v>2.5813187496194425</v>
      </c>
      <c r="BW67" s="109">
        <f t="shared" si="53"/>
        <v>2.5640644683370875</v>
      </c>
      <c r="BX67" s="109">
        <f t="shared" si="53"/>
        <v>2.5438092242115862</v>
      </c>
      <c r="BY67" s="119">
        <f>-1000*BY43/(BY54*365)</f>
        <v>2.566330555974373</v>
      </c>
      <c r="BZ67" s="109">
        <f>-1000*BZ43/(BZ$54*90)</f>
        <v>2.4992694003489779</v>
      </c>
      <c r="CA67" s="109">
        <f>-1000*CA43/(CA$54*91)</f>
        <v>2.5073523097830952</v>
      </c>
      <c r="CB67" s="109">
        <f t="shared" si="54"/>
        <v>2.4946158824750708</v>
      </c>
      <c r="CC67" s="109">
        <f t="shared" si="54"/>
        <v>2.4708830060467775</v>
      </c>
      <c r="CD67" s="119">
        <f>-1000*CD43/(CD54*365)</f>
        <v>2.4928228501899272</v>
      </c>
      <c r="CF67" s="336"/>
      <c r="CG67" s="364"/>
      <c r="CH67" s="364" t="s">
        <v>3693</v>
      </c>
      <c r="CI67" s="364" t="s">
        <v>3694</v>
      </c>
    </row>
    <row r="68" spans="1:92" hidden="1" outlineLevel="1">
      <c r="A68" s="11"/>
      <c r="B68" s="11" t="s">
        <v>2154</v>
      </c>
      <c r="C68" s="119">
        <f>-1000*C44/(C54*365)</f>
        <v>4.7591956412332328</v>
      </c>
      <c r="D68" s="119">
        <f>-1000*D44/(D54*365)</f>
        <v>5.2463655114549725</v>
      </c>
      <c r="E68" s="119">
        <f>-1000*E44/(E54*365)</f>
        <v>4.7965213215776767</v>
      </c>
      <c r="F68" s="119">
        <f>-1000*F44/(F54*365)</f>
        <v>5.0559507227954406</v>
      </c>
      <c r="G68" s="119">
        <f>-1000*G44/(G54*365)</f>
        <v>5.6726269474109339</v>
      </c>
      <c r="H68" s="93"/>
      <c r="I68" s="93"/>
      <c r="J68" s="93"/>
      <c r="K68" s="93"/>
      <c r="L68" s="119">
        <f>-1000*L44/(L54*365)</f>
        <v>6.4018936843707257</v>
      </c>
      <c r="M68" s="93"/>
      <c r="N68" s="93"/>
      <c r="O68" s="93"/>
      <c r="P68" s="93"/>
      <c r="Q68" s="119">
        <f>-1000*Q44/(Q54*365)</f>
        <v>7.8327865073514822</v>
      </c>
      <c r="R68" s="93"/>
      <c r="S68" s="93"/>
      <c r="T68" s="93"/>
      <c r="U68" s="93"/>
      <c r="V68" s="119">
        <f>-1000*V44/(V54*365)</f>
        <v>8.5783233981428459</v>
      </c>
      <c r="W68" s="93"/>
      <c r="X68" s="93"/>
      <c r="Y68" s="93"/>
      <c r="Z68" s="93"/>
      <c r="AA68" s="119">
        <f>-1000*AA44/(AA54*365)</f>
        <v>9.1352002885774368</v>
      </c>
      <c r="AB68" s="93"/>
      <c r="AC68" s="93"/>
      <c r="AD68" s="93"/>
      <c r="AE68" s="93"/>
      <c r="AF68" s="119">
        <f>-1000*AF44/(AF54*365)</f>
        <v>8.8143308046479181</v>
      </c>
      <c r="AG68" s="93"/>
      <c r="AH68" s="93"/>
      <c r="AI68" s="93"/>
      <c r="AJ68" s="93"/>
      <c r="AK68" s="119">
        <f>-1000*AK44/(AK54*365)</f>
        <v>10.614887665729334</v>
      </c>
      <c r="AL68" s="93"/>
      <c r="AM68" s="93"/>
      <c r="AN68" s="93"/>
      <c r="AO68" s="93"/>
      <c r="AP68" s="119">
        <f>-1000*AP44/(AP54*365)</f>
        <v>13.47430060590141</v>
      </c>
      <c r="AQ68" s="93"/>
      <c r="AR68" s="93"/>
      <c r="AS68" s="93"/>
      <c r="AT68" s="93"/>
      <c r="AU68" s="119">
        <f>-1000*AU44/(AU54*365)</f>
        <v>14.999224228106966</v>
      </c>
      <c r="AV68" s="93"/>
      <c r="AW68" s="93"/>
      <c r="AX68" s="93"/>
      <c r="AY68" s="93"/>
      <c r="AZ68" s="119">
        <f>-1000*AZ44/(AZ54*365)</f>
        <v>17.020982713126987</v>
      </c>
      <c r="BA68" s="93"/>
      <c r="BB68" s="93"/>
      <c r="BC68" s="93"/>
      <c r="BD68" s="93"/>
      <c r="BE68" s="119">
        <f>-1000*BE44/(BE54*365)</f>
        <v>16.680818276084803</v>
      </c>
      <c r="BF68" s="93"/>
      <c r="BG68" s="93"/>
      <c r="BH68" s="93"/>
      <c r="BI68" s="93"/>
      <c r="BJ68" s="119">
        <f>-1000*BJ44/(BJ54*365)</f>
        <v>15.849137898471097</v>
      </c>
      <c r="BK68" s="93"/>
      <c r="BL68" s="93"/>
      <c r="BM68" s="93"/>
      <c r="BN68" s="93"/>
      <c r="BO68" s="119">
        <f>-1000*BO44/(BO54*365)</f>
        <v>15.677495756144046</v>
      </c>
      <c r="BP68" s="109">
        <f>-1000*BP44/(BP$54*90)</f>
        <v>15.684183873456568</v>
      </c>
      <c r="BQ68" s="109">
        <f>-1000*BQ44/(BQ$54*91)</f>
        <v>15.706274266933187</v>
      </c>
      <c r="BR68" s="109">
        <f t="shared" si="52"/>
        <v>15.676645489268038</v>
      </c>
      <c r="BS68" s="109">
        <f t="shared" si="52"/>
        <v>15.683521453975187</v>
      </c>
      <c r="BT68" s="119">
        <f>-1000*BT44/(BT54*365)</f>
        <v>15.686769025125512</v>
      </c>
      <c r="BU68" s="109">
        <f>-1000*BU44/(BU$54*90)</f>
        <v>15.973977832977146</v>
      </c>
      <c r="BV68" s="109">
        <f>-1000*BV44/(BV$54*91)</f>
        <v>15.981914154085388</v>
      </c>
      <c r="BW68" s="109">
        <f t="shared" si="53"/>
        <v>15.949136230915776</v>
      </c>
      <c r="BX68" s="109">
        <f t="shared" si="53"/>
        <v>15.95902886948077</v>
      </c>
      <c r="BY68" s="119">
        <f>-1000*BY44/(BY54*365)</f>
        <v>15.965247831918957</v>
      </c>
      <c r="BZ68" s="109">
        <f>-1000*BZ44/(BZ$54*90)</f>
        <v>16.567157807807796</v>
      </c>
      <c r="CA68" s="109">
        <f>-1000*CA44/(CA$54*91)</f>
        <v>16.384312594234562</v>
      </c>
      <c r="CB68" s="109">
        <f t="shared" si="54"/>
        <v>16.344225504341626</v>
      </c>
      <c r="CC68" s="109">
        <f t="shared" si="54"/>
        <v>16.362853031727912</v>
      </c>
      <c r="CD68" s="119">
        <f>-1000*CD44/(CD54*365)</f>
        <v>16.413604287668853</v>
      </c>
      <c r="CF68" s="336"/>
      <c r="CG68" s="468">
        <v>2005</v>
      </c>
      <c r="CH68" s="627">
        <f>INDEX($46:$46,MATCH(CG68,$35:$35,0))</f>
        <v>22147.833333333336</v>
      </c>
      <c r="CI68" s="627">
        <f>INDEX($48:$48,MATCH(CG68,$35:$35,0))</f>
        <v>-7950.666666666667</v>
      </c>
    </row>
    <row r="69" spans="1:92" hidden="1" outlineLevel="1">
      <c r="A69" s="11"/>
      <c r="B69" s="4" t="s">
        <v>930</v>
      </c>
      <c r="C69" s="119">
        <f>1000*C45/(C54*365)</f>
        <v>1.7385189557016376E-2</v>
      </c>
      <c r="D69" s="119">
        <f>1000*D45/(D54*365)</f>
        <v>-1.1014800021602855</v>
      </c>
      <c r="E69" s="119">
        <f>1000*E45/(E54*365)</f>
        <v>0.15927727348692475</v>
      </c>
      <c r="F69" s="119">
        <f>1000*F45/(F54*365)</f>
        <v>-0.45981013942041138</v>
      </c>
      <c r="G69" s="119">
        <f>1000*G45/(G54*365)</f>
        <v>0.90008099929601348</v>
      </c>
      <c r="H69" s="93"/>
      <c r="I69" s="93"/>
      <c r="J69" s="93"/>
      <c r="K69" s="93"/>
      <c r="L69" s="119">
        <f>1000*L45/(L54*365)</f>
        <v>2.5793076459087656</v>
      </c>
      <c r="M69" s="93"/>
      <c r="N69" s="93"/>
      <c r="O69" s="93"/>
      <c r="P69" s="93"/>
      <c r="Q69" s="119">
        <f>1000*Q45/(Q54*365)</f>
        <v>1.0253126136132429</v>
      </c>
      <c r="R69" s="93"/>
      <c r="S69" s="93"/>
      <c r="T69" s="93"/>
      <c r="U69" s="93"/>
      <c r="V69" s="119">
        <f>1000*V45/(V54*365)</f>
        <v>-0.58871913718067737</v>
      </c>
      <c r="W69" s="93"/>
      <c r="X69" s="93"/>
      <c r="Y69" s="93"/>
      <c r="Z69" s="93"/>
      <c r="AA69" s="119">
        <f>1000*AA45/(AA54*365)</f>
        <v>1.0726282541944905</v>
      </c>
      <c r="AB69" s="93"/>
      <c r="AC69" s="93"/>
      <c r="AD69" s="93"/>
      <c r="AE69" s="93"/>
      <c r="AF69" s="119">
        <f>1000*AF45/(AF54*365)</f>
        <v>4.0890319067566265</v>
      </c>
      <c r="AG69" s="93"/>
      <c r="AH69" s="93"/>
      <c r="AI69" s="93"/>
      <c r="AJ69" s="93"/>
      <c r="AK69" s="119">
        <f>-1000*AK45/(AK54*365)</f>
        <v>-2.7734239402694341</v>
      </c>
      <c r="AL69" s="93"/>
      <c r="AM69" s="93"/>
      <c r="AN69" s="93"/>
      <c r="AO69" s="93"/>
      <c r="AP69" s="119">
        <f>-1000*AP45/(AP54*365)</f>
        <v>-4.1840368106334989</v>
      </c>
      <c r="AQ69" s="93"/>
      <c r="AR69" s="93"/>
      <c r="AS69" s="93"/>
      <c r="AT69" s="93"/>
      <c r="AU69" s="119">
        <f>-1000*AU45/(AU54*365)</f>
        <v>0.61686377946056326</v>
      </c>
      <c r="AV69" s="93"/>
      <c r="AW69" s="93"/>
      <c r="AX69" s="93"/>
      <c r="AY69" s="93"/>
      <c r="AZ69" s="119">
        <f>-1000*AZ45/(AZ54*365)</f>
        <v>9.1679355217277614</v>
      </c>
      <c r="BA69" s="93"/>
      <c r="BB69" s="93"/>
      <c r="BC69" s="93"/>
      <c r="BD69" s="93"/>
      <c r="BE69" s="119">
        <f>-1000*BE45/(BE54*365)</f>
        <v>1.6105521811048222</v>
      </c>
      <c r="BF69" s="93"/>
      <c r="BG69" s="93"/>
      <c r="BH69" s="93"/>
      <c r="BI69" s="93"/>
      <c r="BJ69" s="119">
        <f>-1000*BJ45/(BJ54*365)</f>
        <v>-3.8827772948452783</v>
      </c>
      <c r="BK69" s="93"/>
      <c r="BL69" s="93"/>
      <c r="BM69" s="93"/>
      <c r="BN69" s="93"/>
      <c r="BO69" s="119">
        <f>-1000*BO45/(BO54*365)</f>
        <v>0.22658633349614729</v>
      </c>
      <c r="BP69" s="109">
        <f>-1000*BP45/(BP$54*90)</f>
        <v>0</v>
      </c>
      <c r="BQ69" s="109">
        <f>-1000*BQ45/(BQ$54*91)</f>
        <v>0</v>
      </c>
      <c r="BR69" s="109">
        <f t="shared" si="52"/>
        <v>0</v>
      </c>
      <c r="BS69" s="109">
        <f t="shared" si="52"/>
        <v>0</v>
      </c>
      <c r="BT69" s="119">
        <f>-1000*BT45/(BT54*365)</f>
        <v>0</v>
      </c>
      <c r="BU69" s="109">
        <f>-1000*BU45/(BU$54*90)</f>
        <v>0</v>
      </c>
      <c r="BV69" s="109">
        <f>-1000*BV45/(BV$54*91)</f>
        <v>0</v>
      </c>
      <c r="BW69" s="109">
        <f t="shared" si="53"/>
        <v>0</v>
      </c>
      <c r="BX69" s="109">
        <f t="shared" si="53"/>
        <v>0</v>
      </c>
      <c r="BY69" s="119">
        <f>-1000*BY45/(BY54*365)</f>
        <v>0</v>
      </c>
      <c r="BZ69" s="109">
        <f>-1000*BZ45/(BZ$54*90)</f>
        <v>0</v>
      </c>
      <c r="CA69" s="109">
        <f>-1000*CA45/(CA$54*91)</f>
        <v>0</v>
      </c>
      <c r="CB69" s="109">
        <f t="shared" si="54"/>
        <v>0</v>
      </c>
      <c r="CC69" s="109">
        <f t="shared" si="54"/>
        <v>0</v>
      </c>
      <c r="CD69" s="119">
        <f>-1000*CD45/(CD54*365)</f>
        <v>0</v>
      </c>
      <c r="CF69" s="336"/>
      <c r="CG69" s="468">
        <v>2006</v>
      </c>
      <c r="CH69" s="627">
        <f t="shared" ref="CH69:CH83" si="55">INDEX($46:$46,MATCH(CG69,$35:$35,0))</f>
        <v>26085</v>
      </c>
      <c r="CI69" s="627">
        <f t="shared" ref="CI69:CI83" si="56">INDEX($48:$48,MATCH(CG69,$35:$35,0))</f>
        <v>-10479</v>
      </c>
      <c r="CJ69" s="406"/>
      <c r="CK69" s="406"/>
      <c r="CL69" s="406"/>
      <c r="CM69" s="406"/>
      <c r="CN69" s="406"/>
    </row>
    <row r="70" spans="1:92" s="391" customFormat="1" hidden="1" outlineLevel="1">
      <c r="A70" s="22"/>
      <c r="B70" s="60" t="s">
        <v>646</v>
      </c>
      <c r="C70" s="173"/>
      <c r="D70" s="158"/>
      <c r="E70" s="158"/>
      <c r="F70" s="158"/>
      <c r="G70" s="158"/>
      <c r="H70" s="173"/>
      <c r="I70" s="173"/>
      <c r="J70" s="173"/>
      <c r="K70" s="173"/>
      <c r="L70" s="158">
        <f>1000*(L38+L40+L41+L43+L42+L44)/(L54*365)</f>
        <v>24.605031725214527</v>
      </c>
      <c r="M70" s="173"/>
      <c r="N70" s="173"/>
      <c r="O70" s="173"/>
      <c r="P70" s="173"/>
      <c r="Q70" s="158">
        <f>1000*(Q38+Q40+Q41+Q43+Q42+Q44)/(Q54*365)</f>
        <v>24.343113939559696</v>
      </c>
      <c r="R70" s="173"/>
      <c r="S70" s="173"/>
      <c r="T70" s="173"/>
      <c r="U70" s="173"/>
      <c r="V70" s="158">
        <f>1000*(V38+V40+V41+V43+V42+V44)/(V54*365)</f>
        <v>37.16112720070786</v>
      </c>
      <c r="W70" s="173"/>
      <c r="X70" s="173"/>
      <c r="Y70" s="173"/>
      <c r="Z70" s="173"/>
      <c r="AA70" s="158">
        <f>1000*(AA38+AA40+AA41+AA43+AA42+AA44)/(AA54*365)</f>
        <v>18.156095758439569</v>
      </c>
      <c r="AB70" s="173"/>
      <c r="AC70" s="173"/>
      <c r="AD70" s="173"/>
      <c r="AE70" s="173"/>
      <c r="AF70" s="158">
        <f>1000*(AF38+AF40+AF41+AF43+AF42+AF44)/(AF54*365)</f>
        <v>25.795736355604692</v>
      </c>
      <c r="AG70" s="173"/>
      <c r="AH70" s="173"/>
      <c r="AI70" s="173"/>
      <c r="AJ70" s="173"/>
      <c r="AK70" s="158">
        <f>1000*(AK38+AK40+AK41+AK43+AK42+AK44)/(AK54*365)</f>
        <v>29.629848501491704</v>
      </c>
      <c r="AL70" s="173"/>
      <c r="AM70" s="173"/>
      <c r="AN70" s="173"/>
      <c r="AO70" s="173"/>
      <c r="AP70" s="158">
        <f>1000*(AP38+AP40+AP41+AP43+AP42+AP44)/(AP54*365)</f>
        <v>25.387435092730168</v>
      </c>
      <c r="AQ70" s="93"/>
      <c r="AR70" s="93"/>
      <c r="AS70" s="93"/>
      <c r="AT70" s="93"/>
      <c r="AU70" s="158">
        <f>1000*(AU38+AU40+AU41+AU43+AU42+AU44)/(AU54*365)</f>
        <v>22.135975295418941</v>
      </c>
      <c r="AV70" s="93"/>
      <c r="AW70" s="93"/>
      <c r="AX70" s="93"/>
      <c r="AY70" s="93"/>
      <c r="AZ70" s="158">
        <f>1000*(AZ38+AZ40+AZ41+AZ43+AZ42+AZ44)/(AZ54*365)</f>
        <v>18.102209872171976</v>
      </c>
      <c r="BA70" s="93"/>
      <c r="BB70" s="93"/>
      <c r="BC70" s="93"/>
      <c r="BD70" s="93"/>
      <c r="BE70" s="158">
        <f>1000*(BE38+BE40+BE41+BE43+BE42+BE44)/(BE54*365)</f>
        <v>-1.0950087305527179</v>
      </c>
      <c r="BF70" s="93"/>
      <c r="BG70" s="93"/>
      <c r="BH70" s="93"/>
      <c r="BI70" s="93"/>
      <c r="BJ70" s="158">
        <f>1000*(BJ38+BJ40+BJ41+BJ43+BJ42+BJ44)/(BJ54*365)</f>
        <v>-3.3371813589842381</v>
      </c>
      <c r="BK70" s="93"/>
      <c r="BL70" s="93"/>
      <c r="BM70" s="93"/>
      <c r="BN70" s="93"/>
      <c r="BO70" s="158">
        <f>1000*(BO38+BO40+BO41+BO43+BO42+BO44)/(BO54*365)</f>
        <v>5.6431389649487409</v>
      </c>
      <c r="BP70" s="25"/>
      <c r="BQ70" s="25"/>
      <c r="BR70" s="25"/>
      <c r="BS70" s="25"/>
      <c r="BT70" s="158">
        <f>1000*(BT38+BT40+BT41+BT43+BT42+BT44)/(BT54*365)</f>
        <v>14.079031363588671</v>
      </c>
      <c r="BU70" s="25"/>
      <c r="BV70" s="25"/>
      <c r="BW70" s="25"/>
      <c r="BX70" s="25"/>
      <c r="BY70" s="158">
        <f>1000*(BY38+BY40+BY41+BY43+BY42+BY44)/(BY54*365)</f>
        <v>12.008162755607177</v>
      </c>
      <c r="BZ70" s="25"/>
      <c r="CA70" s="25"/>
      <c r="CB70" s="25"/>
      <c r="CC70" s="25"/>
      <c r="CD70" s="158">
        <f>1000*(CD38+CD40+CD41+CD43+CD42+CD44)/(CD54*365)</f>
        <v>11.876182133265949</v>
      </c>
      <c r="CF70" s="336"/>
      <c r="CG70" s="468">
        <v>2007</v>
      </c>
      <c r="CH70" s="627">
        <f t="shared" si="55"/>
        <v>23604</v>
      </c>
      <c r="CI70" s="627">
        <f t="shared" si="56"/>
        <v>-8902</v>
      </c>
      <c r="CJ70" s="538"/>
      <c r="CK70" s="406"/>
      <c r="CL70" s="406"/>
      <c r="CM70" s="406"/>
      <c r="CN70" s="538"/>
    </row>
    <row r="71" spans="1:92" hidden="1" outlineLevel="1">
      <c r="A71" s="11"/>
      <c r="B71" s="461"/>
      <c r="C71" s="5"/>
      <c r="D71" s="449"/>
      <c r="E71" s="449"/>
      <c r="F71" s="449"/>
      <c r="G71" s="449"/>
      <c r="H71" s="12"/>
      <c r="I71" s="12"/>
      <c r="J71" s="12"/>
      <c r="K71" s="12"/>
      <c r="L71" s="449"/>
      <c r="M71" s="12"/>
      <c r="N71" s="12"/>
      <c r="O71" s="12"/>
      <c r="P71" s="12"/>
      <c r="Q71" s="449"/>
      <c r="R71" s="12"/>
      <c r="S71" s="12"/>
      <c r="T71" s="12"/>
      <c r="U71" s="12"/>
      <c r="V71" s="449"/>
      <c r="W71" s="12"/>
      <c r="X71" s="12"/>
      <c r="Y71" s="12"/>
      <c r="Z71" s="12"/>
      <c r="AA71" s="449"/>
      <c r="AB71" s="12"/>
      <c r="AC71" s="12"/>
      <c r="AD71" s="12"/>
      <c r="AE71" s="12"/>
      <c r="AF71" s="449"/>
      <c r="AG71" s="12"/>
      <c r="AH71" s="12"/>
      <c r="AI71" s="12"/>
      <c r="AJ71" s="12"/>
      <c r="AK71" s="449"/>
      <c r="AL71" s="12"/>
      <c r="AM71" s="12"/>
      <c r="AN71" s="12"/>
      <c r="AO71" s="12"/>
      <c r="AP71" s="449"/>
      <c r="AQ71" s="12"/>
      <c r="AR71" s="12"/>
      <c r="AS71" s="12"/>
      <c r="AT71" s="12"/>
      <c r="AU71" s="449"/>
      <c r="AV71" s="12"/>
      <c r="AW71" s="12"/>
      <c r="AX71" s="12"/>
      <c r="AY71" s="12"/>
      <c r="AZ71" s="449"/>
      <c r="BA71" s="12"/>
      <c r="BB71" s="12"/>
      <c r="BC71" s="12"/>
      <c r="BD71" s="12"/>
      <c r="BE71" s="449"/>
      <c r="BF71" s="12"/>
      <c r="BG71" s="12"/>
      <c r="BH71" s="12"/>
      <c r="BI71" s="12"/>
      <c r="BJ71" s="449"/>
      <c r="BK71" s="12"/>
      <c r="BL71" s="12"/>
      <c r="BM71" s="12"/>
      <c r="BN71" s="12"/>
      <c r="BO71" s="449"/>
      <c r="BP71" s="109"/>
      <c r="BQ71" s="109"/>
      <c r="BR71" s="109"/>
      <c r="BS71" s="109"/>
      <c r="BT71" s="449"/>
      <c r="BU71" s="109"/>
      <c r="BV71" s="109"/>
      <c r="BW71" s="109"/>
      <c r="BX71" s="109"/>
      <c r="BY71" s="449"/>
      <c r="BZ71" s="109"/>
      <c r="CA71" s="109"/>
      <c r="CB71" s="109"/>
      <c r="CC71" s="109"/>
      <c r="CD71" s="449"/>
      <c r="CF71" s="336"/>
      <c r="CG71" s="468">
        <v>2008</v>
      </c>
      <c r="CH71" s="627">
        <f t="shared" si="55"/>
        <v>33608</v>
      </c>
      <c r="CI71" s="627">
        <f t="shared" si="56"/>
        <v>-13576</v>
      </c>
      <c r="CJ71" s="406"/>
      <c r="CK71" s="406"/>
      <c r="CL71" s="406"/>
      <c r="CM71" s="406"/>
      <c r="CN71" s="406"/>
    </row>
    <row r="72" spans="1:92" hidden="1" outlineLevel="1">
      <c r="A72" s="59" t="s">
        <v>2137</v>
      </c>
      <c r="B72" s="5"/>
      <c r="C72" s="119">
        <f>Reserves!C183+Reserves!C187</f>
        <v>0.56027361143660648</v>
      </c>
      <c r="D72" s="93"/>
      <c r="E72" s="93"/>
      <c r="F72" s="119">
        <f>Reserves!F206+Reserves!F212</f>
        <v>10.435285665323907</v>
      </c>
      <c r="G72" s="119">
        <f>Reserves!G206+Reserves!G212</f>
        <v>12.678673973599915</v>
      </c>
      <c r="H72" s="93"/>
      <c r="I72" s="93"/>
      <c r="J72" s="93"/>
      <c r="K72" s="93"/>
      <c r="L72" s="119">
        <f>Reserves!L206+Reserves!L212</f>
        <v>12.696921324134852</v>
      </c>
      <c r="M72" s="93"/>
      <c r="N72" s="93"/>
      <c r="O72" s="93"/>
      <c r="P72" s="93"/>
      <c r="Q72" s="119">
        <f>Reserves!Q206+Reserves!Q212</f>
        <v>14.692871926569177</v>
      </c>
      <c r="R72" s="93"/>
      <c r="S72" s="93"/>
      <c r="T72" s="93"/>
      <c r="U72" s="93"/>
      <c r="V72" s="119">
        <f>Reserves!V206+Reserves!V212</f>
        <v>16.902931143050445</v>
      </c>
      <c r="W72" s="93"/>
      <c r="X72" s="93"/>
      <c r="Y72" s="93"/>
      <c r="Z72" s="93"/>
      <c r="AA72" s="119">
        <f>Reserves!AA206+Reserves!AA212</f>
        <v>13.822663224314766</v>
      </c>
      <c r="AB72" s="93"/>
      <c r="AC72" s="93"/>
      <c r="AD72" s="93"/>
      <c r="AE72" s="93"/>
      <c r="AF72" s="119">
        <f>Reserves!AF206+Reserves!AF212</f>
        <v>14.830144591813252</v>
      </c>
      <c r="AG72" s="93"/>
      <c r="AH72" s="93"/>
      <c r="AI72" s="93"/>
      <c r="AJ72" s="93"/>
      <c r="AK72" s="119">
        <f>Reserves!AK206+Reserves!AK212</f>
        <v>19.36614909922454</v>
      </c>
      <c r="AL72" s="93"/>
      <c r="AM72" s="93"/>
      <c r="AN72" s="93"/>
      <c r="AO72" s="93"/>
      <c r="AP72" s="119">
        <f>Reserves!AP206+Reserves!AP212</f>
        <v>36.944747061604076</v>
      </c>
      <c r="AQ72" s="93"/>
      <c r="AR72" s="93"/>
      <c r="AS72" s="93"/>
      <c r="AT72" s="93"/>
      <c r="AU72" s="119">
        <f>Reserves!AU206+Reserves!AU212</f>
        <v>40.849197072833519</v>
      </c>
      <c r="AV72" s="93"/>
      <c r="AW72" s="93"/>
      <c r="AX72" s="93"/>
      <c r="AY72" s="93"/>
      <c r="AZ72" s="119">
        <f>Reserves!AZ206+Reserves!AZ212</f>
        <v>39.394681275196533</v>
      </c>
      <c r="BA72" s="93"/>
      <c r="BB72" s="93"/>
      <c r="BC72" s="93"/>
      <c r="BD72" s="93"/>
      <c r="BE72" s="119">
        <f>Reserves!BE206+Reserves!BE212</f>
        <v>35.111007343070774</v>
      </c>
      <c r="BF72" s="93"/>
      <c r="BG72" s="93"/>
      <c r="BH72" s="93"/>
      <c r="BI72" s="93"/>
      <c r="BJ72" s="119">
        <f>Reserves!BJ206+Reserves!BJ212</f>
        <v>27.897834239600343</v>
      </c>
      <c r="BK72" s="93"/>
      <c r="BL72" s="93"/>
      <c r="BM72" s="93"/>
      <c r="BN72" s="93"/>
      <c r="BO72" s="119">
        <f>Reserves!BO206+Reserves!BO212</f>
        <v>17.677410681377498</v>
      </c>
      <c r="BP72" s="93"/>
      <c r="BQ72" s="93"/>
      <c r="BR72" s="93"/>
      <c r="BS72" s="93"/>
      <c r="BT72" s="119">
        <f>Reserves!BT206+Reserves!BT212</f>
        <v>19.625625000000003</v>
      </c>
      <c r="BU72" s="93"/>
      <c r="BV72" s="93"/>
      <c r="BW72" s="93"/>
      <c r="BX72" s="93"/>
      <c r="BY72" s="119">
        <f>Reserves!BY206+Reserves!BY212</f>
        <v>18.737500000000001</v>
      </c>
      <c r="BZ72" s="93"/>
      <c r="CA72" s="93"/>
      <c r="CB72" s="93"/>
      <c r="CC72" s="93"/>
      <c r="CD72" s="119">
        <f>Reserves!CD206+Reserves!CD212</f>
        <v>18.982639461338081</v>
      </c>
      <c r="CF72" s="336"/>
      <c r="CG72" s="468">
        <v>2009</v>
      </c>
      <c r="CH72" s="627">
        <f t="shared" si="55"/>
        <v>18841</v>
      </c>
      <c r="CI72" s="627">
        <f t="shared" si="56"/>
        <v>-6580</v>
      </c>
      <c r="CJ72" s="406"/>
      <c r="CK72" s="406"/>
      <c r="CL72" s="406"/>
      <c r="CM72" s="406"/>
      <c r="CN72" s="406"/>
    </row>
    <row r="73" spans="1:92" hidden="1" outlineLevel="1">
      <c r="A73" s="59"/>
      <c r="B73" s="5" t="s">
        <v>1536</v>
      </c>
      <c r="C73" s="116">
        <f>C68/C72-1</f>
        <v>7.4944133439197742</v>
      </c>
      <c r="D73" s="93"/>
      <c r="E73" s="93"/>
      <c r="F73" s="116">
        <f>F68/F72-1</f>
        <v>-0.515494746866759</v>
      </c>
      <c r="G73" s="116">
        <f>G68/G72-1</f>
        <v>-0.55258515525971219</v>
      </c>
      <c r="H73" s="93"/>
      <c r="I73" s="93"/>
      <c r="J73" s="93"/>
      <c r="K73" s="93"/>
      <c r="L73" s="116">
        <f>L68/L72-1</f>
        <v>-0.49579165524151658</v>
      </c>
      <c r="M73" s="93"/>
      <c r="N73" s="93"/>
      <c r="O73" s="93"/>
      <c r="P73" s="93"/>
      <c r="Q73" s="116">
        <f>Q68/Q72-1</f>
        <v>-0.46689887814325637</v>
      </c>
      <c r="R73" s="93"/>
      <c r="S73" s="93"/>
      <c r="T73" s="93"/>
      <c r="U73" s="93"/>
      <c r="V73" s="116">
        <f>V68/V72-1</f>
        <v>-0.49249492141072937</v>
      </c>
      <c r="W73" s="93"/>
      <c r="X73" s="93"/>
      <c r="Y73" s="93"/>
      <c r="Z73" s="93"/>
      <c r="AA73" s="116">
        <f>AA68/AA72-1</f>
        <v>-0.33911431246417434</v>
      </c>
      <c r="AB73" s="93"/>
      <c r="AC73" s="93"/>
      <c r="AD73" s="93"/>
      <c r="AE73" s="93"/>
      <c r="AF73" s="116">
        <f>AF68/AF72-1</f>
        <v>-0.40564768265889117</v>
      </c>
      <c r="AG73" s="93"/>
      <c r="AH73" s="93"/>
      <c r="AI73" s="93"/>
      <c r="AJ73" s="93"/>
      <c r="AK73" s="116">
        <f>AK68/AK72-1</f>
        <v>-0.45188443963005653</v>
      </c>
      <c r="AL73" s="93"/>
      <c r="AM73" s="93"/>
      <c r="AN73" s="93"/>
      <c r="AO73" s="93"/>
      <c r="AP73" s="116">
        <f>AP68/AP72-1</f>
        <v>-0.63528507629424324</v>
      </c>
      <c r="AQ73" s="93"/>
      <c r="AR73" s="93"/>
      <c r="AS73" s="93"/>
      <c r="AT73" s="93"/>
      <c r="AU73" s="116">
        <f>AU68/AU72-1</f>
        <v>-0.63281471111014564</v>
      </c>
      <c r="AV73" s="93"/>
      <c r="AW73" s="93"/>
      <c r="AX73" s="93"/>
      <c r="AY73" s="93"/>
      <c r="AZ73" s="116">
        <f>AZ68/AZ72-1</f>
        <v>-0.56793703712882571</v>
      </c>
      <c r="BA73" s="93"/>
      <c r="BB73" s="93"/>
      <c r="BC73" s="93"/>
      <c r="BD73" s="93"/>
      <c r="BE73" s="116">
        <f>BE68/BE72-1</f>
        <v>-0.52491199944518829</v>
      </c>
      <c r="BF73" s="93"/>
      <c r="BG73" s="93"/>
      <c r="BH73" s="93"/>
      <c r="BI73" s="93"/>
      <c r="BJ73" s="116">
        <f>BJ68/BJ72-1</f>
        <v>-0.43188644099212525</v>
      </c>
      <c r="BK73" s="93"/>
      <c r="BL73" s="93"/>
      <c r="BM73" s="93"/>
      <c r="BN73" s="93"/>
      <c r="BO73" s="116">
        <f>BO68/BO72-1</f>
        <v>-0.11313392901712072</v>
      </c>
      <c r="BP73" s="93"/>
      <c r="BQ73" s="93"/>
      <c r="BR73" s="93"/>
      <c r="BS73" s="93"/>
      <c r="BT73" s="116">
        <f>BT68/BT72-1</f>
        <v>-0.20069964522783301</v>
      </c>
      <c r="BU73" s="93"/>
      <c r="BV73" s="93"/>
      <c r="BW73" s="93"/>
      <c r="BX73" s="93"/>
      <c r="BY73" s="116">
        <f>BY68/BY72-1</f>
        <v>-0.14795208368678026</v>
      </c>
      <c r="BZ73" s="93"/>
      <c r="CA73" s="93"/>
      <c r="CB73" s="93"/>
      <c r="CC73" s="93"/>
      <c r="CD73" s="116">
        <f>CD68/CD72-1</f>
        <v>-0.13533603579742315</v>
      </c>
      <c r="CF73" s="336"/>
      <c r="CG73" s="468">
        <v>2010</v>
      </c>
      <c r="CH73" s="627">
        <f t="shared" si="55"/>
        <v>27195</v>
      </c>
      <c r="CI73" s="627">
        <f t="shared" si="56"/>
        <v>-10032</v>
      </c>
      <c r="CJ73" s="406"/>
      <c r="CK73" s="406"/>
      <c r="CL73" s="406"/>
      <c r="CM73" s="406"/>
      <c r="CN73" s="406"/>
    </row>
    <row r="74" spans="1:92" hidden="1" outlineLevel="1">
      <c r="A74" s="59"/>
      <c r="B74" s="5" t="s">
        <v>2138</v>
      </c>
      <c r="C74" s="257">
        <f>C68</f>
        <v>4.7591956412332328</v>
      </c>
      <c r="D74" s="93"/>
      <c r="E74" s="93"/>
      <c r="F74" s="257">
        <f>F68</f>
        <v>5.0559507227954406</v>
      </c>
      <c r="G74" s="257">
        <f>G68</f>
        <v>5.6726269474109339</v>
      </c>
      <c r="H74" s="93"/>
      <c r="I74" s="93"/>
      <c r="J74" s="93"/>
      <c r="K74" s="93"/>
      <c r="L74" s="257">
        <f>L68</f>
        <v>6.4018936843707257</v>
      </c>
      <c r="M74" s="93"/>
      <c r="N74" s="93"/>
      <c r="O74" s="93"/>
      <c r="P74" s="93"/>
      <c r="Q74" s="257">
        <f>Q68</f>
        <v>7.8327865073514822</v>
      </c>
      <c r="R74" s="93"/>
      <c r="S74" s="93"/>
      <c r="T74" s="93"/>
      <c r="U74" s="93"/>
      <c r="V74" s="257">
        <f>V68</f>
        <v>8.5783233981428459</v>
      </c>
      <c r="W74" s="93"/>
      <c r="X74" s="93"/>
      <c r="Y74" s="93"/>
      <c r="Z74" s="93"/>
      <c r="AA74" s="257">
        <f>AA68</f>
        <v>9.1352002885774368</v>
      </c>
      <c r="AB74" s="93"/>
      <c r="AC74" s="93"/>
      <c r="AD74" s="93"/>
      <c r="AE74" s="93"/>
      <c r="AF74" s="257">
        <f>AF68</f>
        <v>8.8143308046479181</v>
      </c>
      <c r="AG74" s="93"/>
      <c r="AH74" s="93"/>
      <c r="AI74" s="93"/>
      <c r="AJ74" s="93"/>
      <c r="AK74" s="257">
        <f>AK68</f>
        <v>10.614887665729334</v>
      </c>
      <c r="AL74" s="93"/>
      <c r="AM74" s="93"/>
      <c r="AN74" s="93"/>
      <c r="AO74" s="93"/>
      <c r="AP74" s="257">
        <f>AP68</f>
        <v>13.47430060590141</v>
      </c>
      <c r="AQ74" s="93"/>
      <c r="AR74" s="93"/>
      <c r="AS74" s="93"/>
      <c r="AT74" s="93"/>
      <c r="AU74" s="257">
        <f>AU68</f>
        <v>14.999224228106966</v>
      </c>
      <c r="AV74" s="93"/>
      <c r="AW74" s="93"/>
      <c r="AX74" s="93"/>
      <c r="AY74" s="93"/>
      <c r="AZ74" s="257">
        <f>AZ68</f>
        <v>17.020982713126987</v>
      </c>
      <c r="BA74" s="93"/>
      <c r="BB74" s="93"/>
      <c r="BC74" s="93"/>
      <c r="BD74" s="93"/>
      <c r="BE74" s="257">
        <f>BE68</f>
        <v>16.680818276084803</v>
      </c>
      <c r="BF74" s="93"/>
      <c r="BG74" s="93"/>
      <c r="BH74" s="93"/>
      <c r="BI74" s="93"/>
      <c r="BJ74" s="257">
        <f>BJ68</f>
        <v>15.849137898471097</v>
      </c>
      <c r="BK74" s="93"/>
      <c r="BL74" s="93"/>
      <c r="BM74" s="93"/>
      <c r="BN74" s="93"/>
      <c r="BO74" s="257">
        <f>BO68</f>
        <v>15.677495756144046</v>
      </c>
      <c r="BP74" s="93"/>
      <c r="BQ74" s="93"/>
      <c r="BR74" s="93"/>
      <c r="BS74" s="93"/>
      <c r="BT74" s="119">
        <f>BO74+($CD$74-$BO$74)/3</f>
        <v>15.851663837429363</v>
      </c>
      <c r="BU74" s="93"/>
      <c r="BV74" s="93"/>
      <c r="BW74" s="93"/>
      <c r="BX74" s="93"/>
      <c r="BY74" s="119">
        <f>BT74+($CD$74-$BO$74)/3</f>
        <v>16.02583191871468</v>
      </c>
      <c r="BZ74" s="93"/>
      <c r="CA74" s="93"/>
      <c r="CB74" s="93"/>
      <c r="CC74" s="93"/>
      <c r="CD74" s="120">
        <v>16.2</v>
      </c>
      <c r="CF74" s="336"/>
      <c r="CG74" s="468">
        <v>2011</v>
      </c>
      <c r="CH74" s="627">
        <f t="shared" si="55"/>
        <v>24769</v>
      </c>
      <c r="CI74" s="627">
        <f t="shared" si="56"/>
        <v>-9906</v>
      </c>
      <c r="CJ74" s="589"/>
      <c r="CK74" s="589"/>
      <c r="CL74" s="589"/>
      <c r="CM74" s="589"/>
      <c r="CN74" s="406"/>
    </row>
    <row r="75" spans="1:92" hidden="1" outlineLevel="1">
      <c r="A75" s="11"/>
      <c r="B75" s="11"/>
      <c r="C75" s="5"/>
      <c r="D75" s="5"/>
      <c r="E75" s="5"/>
      <c r="F75" s="5"/>
      <c r="G75" s="5"/>
      <c r="H75" s="12"/>
      <c r="I75" s="12"/>
      <c r="J75" s="12"/>
      <c r="K75" s="12"/>
      <c r="L75" s="5"/>
      <c r="M75" s="12"/>
      <c r="N75" s="12"/>
      <c r="O75" s="12"/>
      <c r="P75" s="12"/>
      <c r="Q75" s="5"/>
      <c r="R75" s="12"/>
      <c r="S75" s="12"/>
      <c r="T75" s="12"/>
      <c r="U75" s="12"/>
      <c r="V75" s="5"/>
      <c r="W75" s="12"/>
      <c r="X75" s="12"/>
      <c r="Y75" s="12"/>
      <c r="Z75" s="12"/>
      <c r="AA75" s="5"/>
      <c r="AB75" s="12"/>
      <c r="AC75" s="12"/>
      <c r="AD75" s="12"/>
      <c r="AE75" s="12"/>
      <c r="AF75" s="5"/>
      <c r="AG75" s="12"/>
      <c r="AH75" s="12"/>
      <c r="AI75" s="12"/>
      <c r="AJ75" s="12"/>
      <c r="AK75" s="5"/>
      <c r="AL75" s="12"/>
      <c r="AM75" s="12"/>
      <c r="AN75" s="12"/>
      <c r="AO75" s="12"/>
      <c r="AP75" s="5"/>
      <c r="AQ75" s="12"/>
      <c r="AR75" s="12"/>
      <c r="AS75" s="12"/>
      <c r="AT75" s="12"/>
      <c r="AU75" s="119"/>
      <c r="AV75" s="12"/>
      <c r="AW75" s="12"/>
      <c r="AX75" s="12"/>
      <c r="AY75" s="12"/>
      <c r="AZ75" s="119"/>
      <c r="BA75" s="109"/>
      <c r="BB75" s="109"/>
      <c r="BC75" s="109"/>
      <c r="BD75" s="109"/>
      <c r="BE75" s="119"/>
      <c r="BF75" s="109"/>
      <c r="BG75" s="109"/>
      <c r="BH75" s="109"/>
      <c r="BI75" s="109"/>
      <c r="BJ75" s="119"/>
      <c r="BK75" s="109"/>
      <c r="BL75" s="109"/>
      <c r="BM75" s="109"/>
      <c r="BN75" s="109"/>
      <c r="BO75" s="119"/>
      <c r="BP75" s="109"/>
      <c r="BQ75" s="109"/>
      <c r="BR75" s="109"/>
      <c r="BS75" s="109"/>
      <c r="BT75" s="119"/>
      <c r="BU75" s="109"/>
      <c r="BV75" s="109"/>
      <c r="BW75" s="109"/>
      <c r="BX75" s="109"/>
      <c r="BY75" s="119"/>
      <c r="BZ75" s="109"/>
      <c r="CA75" s="109"/>
      <c r="CB75" s="109"/>
      <c r="CC75" s="109"/>
      <c r="CD75" s="119"/>
      <c r="CF75" s="336"/>
      <c r="CG75" s="468">
        <v>2012</v>
      </c>
      <c r="CH75" s="627">
        <f t="shared" si="55"/>
        <v>21196</v>
      </c>
      <c r="CI75" s="627">
        <f t="shared" si="56"/>
        <v>-8083</v>
      </c>
      <c r="CJ75" s="406"/>
      <c r="CK75" s="406"/>
      <c r="CL75" s="406"/>
      <c r="CM75" s="406"/>
      <c r="CN75" s="406"/>
    </row>
    <row r="76" spans="1:92" hidden="1" outlineLevel="1">
      <c r="A76" s="39" t="s">
        <v>3094</v>
      </c>
      <c r="B76" s="11"/>
      <c r="C76" s="5"/>
      <c r="D76" s="5"/>
      <c r="E76" s="5"/>
      <c r="F76" s="5"/>
      <c r="G76" s="5"/>
      <c r="H76" s="12"/>
      <c r="I76" s="12"/>
      <c r="J76" s="12"/>
      <c r="K76" s="12"/>
      <c r="L76" s="5"/>
      <c r="M76" s="12"/>
      <c r="N76" s="12"/>
      <c r="O76" s="12"/>
      <c r="P76" s="12"/>
      <c r="Q76" s="5"/>
      <c r="R76" s="12"/>
      <c r="S76" s="12"/>
      <c r="T76" s="12"/>
      <c r="U76" s="12"/>
      <c r="V76" s="5"/>
      <c r="W76" s="12"/>
      <c r="X76" s="12"/>
      <c r="Y76" s="12"/>
      <c r="Z76" s="12"/>
      <c r="AA76" s="5"/>
      <c r="AB76" s="12"/>
      <c r="AC76" s="12"/>
      <c r="AD76" s="12"/>
      <c r="AE76" s="12"/>
      <c r="AF76" s="5"/>
      <c r="AG76" s="12"/>
      <c r="AH76" s="12"/>
      <c r="AI76" s="12"/>
      <c r="AJ76" s="12"/>
      <c r="AK76" s="5"/>
      <c r="AL76" s="12"/>
      <c r="AM76" s="12"/>
      <c r="AN76" s="12"/>
      <c r="AO76" s="12"/>
      <c r="AP76" s="5"/>
      <c r="AQ76" s="12"/>
      <c r="AR76" s="12"/>
      <c r="AS76" s="12"/>
      <c r="AT76" s="12"/>
      <c r="AU76" s="116"/>
      <c r="AV76" s="12"/>
      <c r="AW76" s="12"/>
      <c r="AX76" s="12"/>
      <c r="AY76" s="12"/>
      <c r="AZ76" s="116"/>
      <c r="BA76" s="12"/>
      <c r="BB76" s="12"/>
      <c r="BC76" s="12"/>
      <c r="BD76" s="12"/>
      <c r="BE76" s="116"/>
      <c r="BF76" s="12"/>
      <c r="BG76" s="12"/>
      <c r="BH76" s="12"/>
      <c r="BI76" s="12"/>
      <c r="BJ76" s="5"/>
      <c r="BK76" s="12"/>
      <c r="BL76" s="12"/>
      <c r="BM76" s="12"/>
      <c r="BN76" s="12"/>
      <c r="BO76" s="5"/>
      <c r="BP76" s="12"/>
      <c r="BQ76" s="12"/>
      <c r="BR76" s="12"/>
      <c r="BS76" s="12"/>
      <c r="BT76" s="5"/>
      <c r="BU76" s="12"/>
      <c r="BV76" s="12"/>
      <c r="BW76" s="12"/>
      <c r="BX76" s="12"/>
      <c r="BY76" s="5"/>
      <c r="BZ76" s="12"/>
      <c r="CA76" s="12"/>
      <c r="CB76" s="12"/>
      <c r="CC76" s="12"/>
      <c r="CD76" s="5"/>
      <c r="CF76" s="336"/>
      <c r="CG76" s="468">
        <v>2013</v>
      </c>
      <c r="CH76" s="627">
        <f t="shared" si="55"/>
        <v>14826</v>
      </c>
      <c r="CI76" s="627">
        <f t="shared" si="56"/>
        <v>-6084</v>
      </c>
      <c r="CJ76" s="406"/>
      <c r="CK76" s="406"/>
      <c r="CL76" s="406"/>
      <c r="CM76" s="406"/>
      <c r="CN76" s="406"/>
    </row>
    <row r="77" spans="1:92" hidden="1" outlineLevel="1">
      <c r="A77" s="11"/>
      <c r="B77" s="11" t="s">
        <v>1897</v>
      </c>
      <c r="C77" s="116">
        <f>-C40/C38</f>
        <v>1.8733900554211223E-2</v>
      </c>
      <c r="D77" s="116">
        <f>-D40/D38</f>
        <v>2.8009742519137092E-2</v>
      </c>
      <c r="E77" s="116">
        <f>-E40/E38</f>
        <v>1.9553374941375951E-2</v>
      </c>
      <c r="F77" s="116">
        <f>-F40/F38</f>
        <v>2.0071842702293924E-2</v>
      </c>
      <c r="G77" s="116">
        <f>-G40/G38</f>
        <v>1.6365332185392451E-2</v>
      </c>
      <c r="H77" s="93"/>
      <c r="I77" s="93"/>
      <c r="J77" s="93"/>
      <c r="K77" s="93"/>
      <c r="L77" s="116">
        <f>-L40/L38</f>
        <v>2.2900094230052813E-2</v>
      </c>
      <c r="M77" s="93"/>
      <c r="N77" s="93"/>
      <c r="O77" s="93"/>
      <c r="P77" s="93"/>
      <c r="Q77" s="116">
        <f>-Q40/Q38</f>
        <v>1.5870350155344697E-2</v>
      </c>
      <c r="R77" s="93"/>
      <c r="S77" s="93"/>
      <c r="T77" s="93"/>
      <c r="U77" s="93"/>
      <c r="V77" s="116">
        <f>-V40/V38</f>
        <v>1.3581558645539797E-2</v>
      </c>
      <c r="W77" s="93"/>
      <c r="X77" s="93"/>
      <c r="Y77" s="93"/>
      <c r="Z77" s="93"/>
      <c r="AA77" s="116">
        <f>-AA40/AA38</f>
        <v>2.7386503067484663E-2</v>
      </c>
      <c r="AB77" s="93"/>
      <c r="AC77" s="93"/>
      <c r="AD77" s="93"/>
      <c r="AE77" s="93"/>
      <c r="AF77" s="116">
        <f>-AF40/AF38</f>
        <v>1.7615346038114342E-2</v>
      </c>
      <c r="AG77" s="93"/>
      <c r="AH77" s="93"/>
      <c r="AI77" s="93"/>
      <c r="AJ77" s="93"/>
      <c r="AK77" s="116">
        <f>-AK40/AK38</f>
        <v>2.8479352469459641E-2</v>
      </c>
      <c r="AL77" s="93"/>
      <c r="AM77" s="93"/>
      <c r="AN77" s="93"/>
      <c r="AO77" s="93"/>
      <c r="AP77" s="116">
        <f>-AP40/AP38</f>
        <v>3.0108185343947744E-2</v>
      </c>
      <c r="AQ77" s="93"/>
      <c r="AR77" s="93"/>
      <c r="AS77" s="93"/>
      <c r="AT77" s="93"/>
      <c r="AU77" s="116">
        <f>-AU40/AU38</f>
        <v>7.2148952676493405E-2</v>
      </c>
      <c r="AV77" s="93"/>
      <c r="AW77" s="93"/>
      <c r="AX77" s="93"/>
      <c r="AY77" s="93"/>
      <c r="AZ77" s="116">
        <f>-AZ40/AZ38</f>
        <v>8.616231347709534E-2</v>
      </c>
      <c r="BA77" s="93"/>
      <c r="BB77" s="93"/>
      <c r="BC77" s="93"/>
      <c r="BD77" s="93"/>
      <c r="BE77" s="116">
        <f>-BE40/BE38</f>
        <v>9.5089917154980802E-2</v>
      </c>
      <c r="BF77" s="93"/>
      <c r="BG77" s="93"/>
      <c r="BH77" s="93"/>
      <c r="BI77" s="93"/>
      <c r="BJ77" s="116">
        <f t="shared" ref="BJ77:CD77" si="57">-BJ40/BJ38</f>
        <v>8.6875315497223618E-2</v>
      </c>
      <c r="BK77" s="93"/>
      <c r="BL77" s="93"/>
      <c r="BM77" s="93"/>
      <c r="BN77" s="93"/>
      <c r="BO77" s="116">
        <f t="shared" si="57"/>
        <v>7.2269900281435664E-2</v>
      </c>
      <c r="BP77" s="117">
        <f t="shared" si="57"/>
        <v>4.0455114553054186E-2</v>
      </c>
      <c r="BQ77" s="117">
        <f t="shared" si="57"/>
        <v>2.5803229634809705E-2</v>
      </c>
      <c r="BR77" s="117">
        <f t="shared" si="57"/>
        <v>2.5876130569417323E-2</v>
      </c>
      <c r="BS77" s="117">
        <f t="shared" si="57"/>
        <v>2.603987626440632E-2</v>
      </c>
      <c r="BT77" s="116">
        <f t="shared" si="57"/>
        <v>2.9514542641771765E-2</v>
      </c>
      <c r="BU77" s="117">
        <f t="shared" si="57"/>
        <v>2.4198890727444584E-2</v>
      </c>
      <c r="BV77" s="117">
        <f t="shared" si="57"/>
        <v>2.4201281930040921E-2</v>
      </c>
      <c r="BW77" s="117">
        <f t="shared" si="57"/>
        <v>2.4061442437233172E-2</v>
      </c>
      <c r="BX77" s="117">
        <f t="shared" si="57"/>
        <v>2.3915594515736639E-2</v>
      </c>
      <c r="BY77" s="116">
        <f t="shared" si="57"/>
        <v>2.4093726119632636E-2</v>
      </c>
      <c r="BZ77" s="117">
        <f t="shared" si="57"/>
        <v>1.5195267806117461E-2</v>
      </c>
      <c r="CA77" s="117">
        <f t="shared" si="57"/>
        <v>1.5097931173578553E-2</v>
      </c>
      <c r="CB77" s="117">
        <f t="shared" si="57"/>
        <v>1.4918632882412523E-2</v>
      </c>
      <c r="CC77" s="117">
        <f t="shared" si="57"/>
        <v>1.4715849622224445E-2</v>
      </c>
      <c r="CD77" s="116">
        <f t="shared" si="57"/>
        <v>1.4979679186809971E-2</v>
      </c>
      <c r="CF77" s="336"/>
      <c r="CG77" s="468">
        <v>2014</v>
      </c>
      <c r="CH77" s="627">
        <f t="shared" si="55"/>
        <v>6156</v>
      </c>
      <c r="CI77" s="627">
        <f t="shared" si="56"/>
        <v>-1543</v>
      </c>
    </row>
    <row r="78" spans="1:92" hidden="1" outlineLevel="1">
      <c r="A78" s="11"/>
      <c r="B78" s="11" t="s">
        <v>2149</v>
      </c>
      <c r="C78" s="116">
        <f>-C41/C38</f>
        <v>0.12524393099679962</v>
      </c>
      <c r="D78" s="116">
        <f>-D41/D38</f>
        <v>0.13891788448155881</v>
      </c>
      <c r="E78" s="116">
        <f>-E41/E38</f>
        <v>0.11562466178433566</v>
      </c>
      <c r="F78" s="116">
        <f>-F41/F38</f>
        <v>0.11271111671288127</v>
      </c>
      <c r="G78" s="116">
        <f>-G41/G38</f>
        <v>0.10500948645589195</v>
      </c>
      <c r="H78" s="93"/>
      <c r="I78" s="93"/>
      <c r="J78" s="93"/>
      <c r="K78" s="93"/>
      <c r="L78" s="116">
        <f>-L41/L38</f>
        <v>0.11631933030920606</v>
      </c>
      <c r="M78" s="93"/>
      <c r="N78" s="93"/>
      <c r="O78" s="93"/>
      <c r="P78" s="93"/>
      <c r="Q78" s="116">
        <f>-Q41/Q38</f>
        <v>0.13708119909312286</v>
      </c>
      <c r="R78" s="93"/>
      <c r="S78" s="93"/>
      <c r="T78" s="93"/>
      <c r="U78" s="93"/>
      <c r="V78" s="116">
        <f>-V41/V38</f>
        <v>0.10266241665511772</v>
      </c>
      <c r="W78" s="93"/>
      <c r="X78" s="93"/>
      <c r="Y78" s="93"/>
      <c r="Z78" s="93"/>
      <c r="AA78" s="116">
        <f>-AA41/AA38</f>
        <v>0.15364417177914111</v>
      </c>
      <c r="AB78" s="93"/>
      <c r="AC78" s="93"/>
      <c r="AD78" s="93"/>
      <c r="AE78" s="93"/>
      <c r="AF78" s="116">
        <f>-AF41/AF38</f>
        <v>0.12867769976596455</v>
      </c>
      <c r="AG78" s="93"/>
      <c r="AH78" s="93"/>
      <c r="AI78" s="93"/>
      <c r="AJ78" s="93"/>
      <c r="AK78" s="116">
        <f>-AK41/AK38</f>
        <v>0.1443453496215244</v>
      </c>
      <c r="AL78" s="93"/>
      <c r="AM78" s="93"/>
      <c r="AN78" s="93"/>
      <c r="AO78" s="93"/>
      <c r="AP78" s="116">
        <f>-AP41/AP38</f>
        <v>0.18340477648499695</v>
      </c>
      <c r="AQ78" s="93"/>
      <c r="AR78" s="93"/>
      <c r="AS78" s="93"/>
      <c r="AT78" s="93"/>
      <c r="AU78" s="116">
        <f>-AU41/AU38</f>
        <v>0.18992304950412009</v>
      </c>
      <c r="AV78" s="93"/>
      <c r="AW78" s="93"/>
      <c r="AX78" s="93"/>
      <c r="AY78" s="93"/>
      <c r="AZ78" s="116">
        <f>-AZ41/AZ38</f>
        <v>0.20845491424097928</v>
      </c>
      <c r="BA78" s="93"/>
      <c r="BB78" s="93"/>
      <c r="BC78" s="93"/>
      <c r="BD78" s="93"/>
      <c r="BE78" s="116">
        <f>-BE41/BE38</f>
        <v>0.30385936552838955</v>
      </c>
      <c r="BF78" s="93"/>
      <c r="BG78" s="93"/>
      <c r="BH78" s="93"/>
      <c r="BI78" s="93"/>
      <c r="BJ78" s="116">
        <f t="shared" ref="BJ78:CD78" si="58">-BJ41/BJ38</f>
        <v>0.30318021201413425</v>
      </c>
      <c r="BK78" s="93"/>
      <c r="BL78" s="93"/>
      <c r="BM78" s="93"/>
      <c r="BN78" s="93"/>
      <c r="BO78" s="116">
        <f t="shared" si="58"/>
        <v>0.19505924047114415</v>
      </c>
      <c r="BP78" s="117">
        <f t="shared" si="58"/>
        <v>0.15908399427282313</v>
      </c>
      <c r="BQ78" s="117">
        <f t="shared" si="58"/>
        <v>0.15588218157806968</v>
      </c>
      <c r="BR78" s="117">
        <f t="shared" si="58"/>
        <v>0.1566457888593808</v>
      </c>
      <c r="BS78" s="117">
        <f t="shared" si="58"/>
        <v>0.15911573403570867</v>
      </c>
      <c r="BT78" s="116">
        <f t="shared" si="58"/>
        <v>0.15767428425805621</v>
      </c>
      <c r="BU78" s="117">
        <f t="shared" si="58"/>
        <v>0.17083442207990199</v>
      </c>
      <c r="BV78" s="117">
        <f t="shared" si="58"/>
        <v>0.17049428205078682</v>
      </c>
      <c r="BW78" s="117">
        <f t="shared" si="58"/>
        <v>0.16965087278895652</v>
      </c>
      <c r="BX78" s="117">
        <f t="shared" si="58"/>
        <v>0.17041833249114102</v>
      </c>
      <c r="BY78" s="116">
        <f t="shared" si="58"/>
        <v>0.1703486834747206</v>
      </c>
      <c r="BZ78" s="117">
        <f t="shared" si="58"/>
        <v>0.17890649241576095</v>
      </c>
      <c r="CA78" s="117">
        <f t="shared" si="58"/>
        <v>0.17500211807045518</v>
      </c>
      <c r="CB78" s="117">
        <f t="shared" si="58"/>
        <v>0.1724803532600731</v>
      </c>
      <c r="CC78" s="117">
        <f t="shared" si="58"/>
        <v>0.17247141589779894</v>
      </c>
      <c r="CD78" s="116">
        <f t="shared" si="58"/>
        <v>0.174687323708313</v>
      </c>
      <c r="CF78" s="336"/>
      <c r="CG78" s="468">
        <v>2015</v>
      </c>
      <c r="CH78" s="627">
        <f t="shared" si="55"/>
        <v>-1947</v>
      </c>
      <c r="CI78" s="627">
        <f t="shared" si="56"/>
        <v>566</v>
      </c>
    </row>
    <row r="79" spans="1:92" hidden="1" outlineLevel="1">
      <c r="A79" s="11"/>
      <c r="B79" s="11" t="s">
        <v>2150</v>
      </c>
      <c r="C79" s="116">
        <f>-C42/C38</f>
        <v>6.4319725236125211E-2</v>
      </c>
      <c r="D79" s="116">
        <f>-D42/D38</f>
        <v>5.4105775922059847E-2</v>
      </c>
      <c r="E79" s="116">
        <f>-E42/E38</f>
        <v>5.9778491287564489E-2</v>
      </c>
      <c r="F79" s="116">
        <f>-F42/F38</f>
        <v>6.5761280564658436E-2</v>
      </c>
      <c r="G79" s="116">
        <f>-G42/G38</f>
        <v>9.8699000334816087E-2</v>
      </c>
      <c r="H79" s="93"/>
      <c r="I79" s="93"/>
      <c r="J79" s="93"/>
      <c r="K79" s="93"/>
      <c r="L79" s="116">
        <f>-L42/L38</f>
        <v>0.11870795257817807</v>
      </c>
      <c r="M79" s="93"/>
      <c r="N79" s="93"/>
      <c r="O79" s="93"/>
      <c r="P79" s="93"/>
      <c r="Q79" s="116">
        <f>-Q42/Q38</f>
        <v>0.12035015534469728</v>
      </c>
      <c r="R79" s="93"/>
      <c r="S79" s="93"/>
      <c r="T79" s="93"/>
      <c r="U79" s="93"/>
      <c r="V79" s="116">
        <f>-V42/V38</f>
        <v>0.13991161207865602</v>
      </c>
      <c r="W79" s="93"/>
      <c r="X79" s="93"/>
      <c r="Y79" s="93"/>
      <c r="Z79" s="93"/>
      <c r="AA79" s="116">
        <f>-AA42/AA38</f>
        <v>9.3079754601226999E-2</v>
      </c>
      <c r="AB79" s="93"/>
      <c r="AC79" s="93"/>
      <c r="AD79" s="93"/>
      <c r="AE79" s="93"/>
      <c r="AF79" s="116">
        <f>-AF42/AF38</f>
        <v>0.11010113674356403</v>
      </c>
      <c r="AG79" s="93"/>
      <c r="AH79" s="93"/>
      <c r="AI79" s="93"/>
      <c r="AJ79" s="93"/>
      <c r="AK79" s="116">
        <f>-AK42/AK38</f>
        <v>0.15564340852881661</v>
      </c>
      <c r="AL79" s="93"/>
      <c r="AM79" s="93"/>
      <c r="AN79" s="93"/>
      <c r="AO79" s="93"/>
      <c r="AP79" s="116">
        <f>-AP42/AP38</f>
        <v>0.16652378036333945</v>
      </c>
      <c r="AQ79" s="93"/>
      <c r="AR79" s="93"/>
      <c r="AS79" s="93"/>
      <c r="AT79" s="93"/>
      <c r="AU79" s="116">
        <f>-AU42/AU38</f>
        <v>0.14775753255194682</v>
      </c>
      <c r="AV79" s="93"/>
      <c r="AW79" s="93"/>
      <c r="AX79" s="93"/>
      <c r="AY79" s="93"/>
      <c r="AZ79" s="116">
        <f>-AZ42/AZ38</f>
        <v>7.0172941427656399E-2</v>
      </c>
      <c r="BA79" s="93"/>
      <c r="BB79" s="93"/>
      <c r="BC79" s="93"/>
      <c r="BD79" s="93"/>
      <c r="BE79" s="116">
        <f>-BE42/BE38</f>
        <v>4.1867043847241867E-2</v>
      </c>
      <c r="BF79" s="93"/>
      <c r="BG79" s="93"/>
      <c r="BH79" s="93"/>
      <c r="BI79" s="93"/>
      <c r="BJ79" s="116">
        <f t="shared" ref="BJ79:CD79" si="59">-BJ42/BJ38</f>
        <v>3.4477536597677938E-2</v>
      </c>
      <c r="BK79" s="93"/>
      <c r="BL79" s="93"/>
      <c r="BM79" s="93"/>
      <c r="BN79" s="93"/>
      <c r="BO79" s="116">
        <f t="shared" si="59"/>
        <v>6.1672631249782846E-2</v>
      </c>
      <c r="BP79" s="117">
        <f t="shared" si="59"/>
        <v>5.9651945578348839E-2</v>
      </c>
      <c r="BQ79" s="117">
        <f t="shared" si="59"/>
        <v>5.9961068452057079E-2</v>
      </c>
      <c r="BR79" s="117">
        <f t="shared" si="59"/>
        <v>6.0228552699097958E-2</v>
      </c>
      <c r="BS79" s="117">
        <f t="shared" si="59"/>
        <v>5.9566538270176578E-2</v>
      </c>
      <c r="BT79" s="116">
        <f t="shared" si="59"/>
        <v>5.9853139415002782E-2</v>
      </c>
      <c r="BU79" s="117">
        <f t="shared" si="59"/>
        <v>6.1365444044993743E-2</v>
      </c>
      <c r="BV79" s="117">
        <f t="shared" si="59"/>
        <v>6.16919651567258E-2</v>
      </c>
      <c r="BW79" s="117">
        <f t="shared" si="59"/>
        <v>6.2554311843406013E-2</v>
      </c>
      <c r="BX79" s="117">
        <f t="shared" si="59"/>
        <v>6.2093263612301879E-2</v>
      </c>
      <c r="BY79" s="116">
        <f t="shared" si="59"/>
        <v>6.1927637425805794E-2</v>
      </c>
      <c r="BZ79" s="117">
        <f t="shared" si="59"/>
        <v>6.467845536192178E-2</v>
      </c>
      <c r="CA79" s="117">
        <f t="shared" si="59"/>
        <v>6.5049803751501684E-2</v>
      </c>
      <c r="CB79" s="117">
        <f t="shared" si="59"/>
        <v>6.6170076813193229E-2</v>
      </c>
      <c r="CC79" s="117">
        <f t="shared" si="59"/>
        <v>6.5527885971107966E-2</v>
      </c>
      <c r="CD79" s="116">
        <f t="shared" si="59"/>
        <v>6.5361161456823386E-2</v>
      </c>
      <c r="CF79" s="336"/>
      <c r="CG79" s="468">
        <v>2016</v>
      </c>
      <c r="CH79" s="627">
        <f t="shared" si="55"/>
        <v>386</v>
      </c>
      <c r="CI79" s="627">
        <f t="shared" si="56"/>
        <v>335</v>
      </c>
    </row>
    <row r="80" spans="1:92" hidden="1" outlineLevel="1">
      <c r="A80" s="11"/>
      <c r="B80" s="11" t="s">
        <v>2158</v>
      </c>
      <c r="C80" s="116">
        <f>-C43/C38</f>
        <v>0.13008352197330419</v>
      </c>
      <c r="D80" s="116">
        <f>-D43/D38</f>
        <v>0.14792101600556715</v>
      </c>
      <c r="E80" s="116">
        <f>-E43/E38</f>
        <v>0.12760200584436668</v>
      </c>
      <c r="F80" s="116">
        <f>-F43/F38</f>
        <v>0.11860347869926897</v>
      </c>
      <c r="G80" s="116">
        <f>-G43/G38</f>
        <v>0.13701152723968049</v>
      </c>
      <c r="H80" s="93"/>
      <c r="I80" s="93"/>
      <c r="J80" s="93"/>
      <c r="K80" s="93"/>
      <c r="L80" s="116">
        <f>-L43/L38</f>
        <v>9.0066399316284268E-2</v>
      </c>
      <c r="M80" s="93"/>
      <c r="N80" s="93"/>
      <c r="O80" s="93"/>
      <c r="P80" s="93"/>
      <c r="Q80" s="116">
        <f>-Q43/Q38</f>
        <v>9.8224032244520948E-2</v>
      </c>
      <c r="R80" s="93"/>
      <c r="S80" s="93"/>
      <c r="T80" s="93"/>
      <c r="U80" s="93"/>
      <c r="V80" s="116">
        <f>-V43/V38</f>
        <v>9.6610769775642508E-2</v>
      </c>
      <c r="W80" s="93"/>
      <c r="X80" s="93"/>
      <c r="Y80" s="93"/>
      <c r="Z80" s="93"/>
      <c r="AA80" s="116">
        <f>-AA43/AA38</f>
        <v>6.9668711656441715E-2</v>
      </c>
      <c r="AB80" s="93"/>
      <c r="AC80" s="93"/>
      <c r="AD80" s="93"/>
      <c r="AE80" s="93"/>
      <c r="AF80" s="116">
        <f>-AF43/AF38</f>
        <v>8.5485623537278496E-2</v>
      </c>
      <c r="AG80" s="93"/>
      <c r="AH80" s="93"/>
      <c r="AI80" s="93"/>
      <c r="AJ80" s="93"/>
      <c r="AK80" s="116">
        <f>-AK43/AK38</f>
        <v>9.5143520947313195E-2</v>
      </c>
      <c r="AL80" s="93"/>
      <c r="AM80" s="93"/>
      <c r="AN80" s="93"/>
      <c r="AO80" s="93"/>
      <c r="AP80" s="116">
        <f>-AP43/AP38</f>
        <v>5.1377832210655235E-2</v>
      </c>
      <c r="AQ80" s="93"/>
      <c r="AR80" s="93"/>
      <c r="AS80" s="93"/>
      <c r="AT80" s="93"/>
      <c r="AU80" s="116">
        <f>-AU43/AU38</f>
        <v>5.371857505294278E-2</v>
      </c>
      <c r="AV80" s="93"/>
      <c r="AW80" s="93"/>
      <c r="AX80" s="93"/>
      <c r="AY80" s="93"/>
      <c r="AZ80" s="116">
        <f>-AZ43/AZ38</f>
        <v>6.1086992622114679E-2</v>
      </c>
      <c r="BA80" s="93"/>
      <c r="BB80" s="93"/>
      <c r="BC80" s="93"/>
      <c r="BD80" s="93"/>
      <c r="BE80" s="116">
        <f>-BE43/BE38</f>
        <v>0.10592038795716306</v>
      </c>
      <c r="BF80" s="93"/>
      <c r="BG80" s="93"/>
      <c r="BH80" s="93"/>
      <c r="BI80" s="93"/>
      <c r="BJ80" s="116">
        <f t="shared" ref="BJ80:CD80" si="60">-BJ43/BJ38</f>
        <v>0.12862190812720847</v>
      </c>
      <c r="BK80" s="93"/>
      <c r="BL80" s="93"/>
      <c r="BM80" s="93"/>
      <c r="BN80" s="93"/>
      <c r="BO80" s="116">
        <f t="shared" si="60"/>
        <v>8.5785761439838779E-2</v>
      </c>
      <c r="BP80" s="117">
        <f t="shared" si="60"/>
        <v>6.3259662626610841E-2</v>
      </c>
      <c r="BQ80" s="117">
        <f t="shared" si="60"/>
        <v>6.2346040590302083E-2</v>
      </c>
      <c r="BR80" s="117">
        <f t="shared" si="60"/>
        <v>6.2522184611513501E-2</v>
      </c>
      <c r="BS80" s="117">
        <f t="shared" si="60"/>
        <v>6.2917828718501545E-2</v>
      </c>
      <c r="BT80" s="116">
        <f t="shared" si="60"/>
        <v>6.2759430218851484E-2</v>
      </c>
      <c r="BU80" s="117">
        <f t="shared" si="60"/>
        <v>6.2761831276868865E-2</v>
      </c>
      <c r="BV80" s="117">
        <f t="shared" si="60"/>
        <v>6.2768033059239406E-2</v>
      </c>
      <c r="BW80" s="117">
        <f t="shared" si="60"/>
        <v>6.2405347729887123E-2</v>
      </c>
      <c r="BX80" s="117">
        <f t="shared" si="60"/>
        <v>6.202707904211352E-2</v>
      </c>
      <c r="BY80" s="116">
        <f t="shared" si="60"/>
        <v>6.2489078139291949E-2</v>
      </c>
      <c r="BZ80" s="117">
        <f t="shared" si="60"/>
        <v>6.1197219097937516E-2</v>
      </c>
      <c r="CA80" s="117">
        <f t="shared" si="60"/>
        <v>6.0805206840980716E-2</v>
      </c>
      <c r="CB80" s="117">
        <f t="shared" si="60"/>
        <v>6.0083103292140595E-2</v>
      </c>
      <c r="CC80" s="117">
        <f t="shared" si="60"/>
        <v>5.9266416691978956E-2</v>
      </c>
      <c r="CD80" s="116">
        <f t="shared" si="60"/>
        <v>6.0328960365079197E-2</v>
      </c>
      <c r="CF80" s="336"/>
      <c r="CG80" s="468">
        <v>2017</v>
      </c>
      <c r="CH80" s="627">
        <f t="shared" si="55"/>
        <v>4279</v>
      </c>
      <c r="CI80" s="627">
        <f t="shared" si="56"/>
        <v>-632</v>
      </c>
    </row>
    <row r="81" spans="1:87" hidden="1" outlineLevel="1">
      <c r="A81" s="11"/>
      <c r="B81" s="11" t="s">
        <v>2154</v>
      </c>
      <c r="C81" s="116">
        <f>-C44/C38</f>
        <v>0.21368355319647178</v>
      </c>
      <c r="D81" s="116">
        <f>-D44/D38</f>
        <v>0.26661447459986082</v>
      </c>
      <c r="E81" s="116">
        <f>-E44/E38</f>
        <v>0.19012229878422743</v>
      </c>
      <c r="F81" s="116">
        <f>-F44/F38</f>
        <v>0.16249684900428535</v>
      </c>
      <c r="G81" s="116">
        <f>-G44/G38</f>
        <v>0.13459606830248241</v>
      </c>
      <c r="H81" s="93"/>
      <c r="I81" s="93"/>
      <c r="J81" s="93"/>
      <c r="K81" s="93"/>
      <c r="L81" s="116">
        <f>-L44/L38</f>
        <v>0.13461749172747792</v>
      </c>
      <c r="M81" s="93"/>
      <c r="N81" s="93"/>
      <c r="O81" s="93"/>
      <c r="P81" s="93"/>
      <c r="Q81" s="116">
        <f>-Q44/Q38</f>
        <v>0.15299353430178855</v>
      </c>
      <c r="R81" s="93"/>
      <c r="S81" s="93"/>
      <c r="T81" s="93"/>
      <c r="U81" s="93"/>
      <c r="V81" s="116">
        <f>-V44/V38</f>
        <v>0.12138710521858302</v>
      </c>
      <c r="W81" s="93"/>
      <c r="X81" s="93"/>
      <c r="Y81" s="93"/>
      <c r="Z81" s="93"/>
      <c r="AA81" s="116">
        <f>-AA44/AA38</f>
        <v>0.21965644171779142</v>
      </c>
      <c r="AB81" s="93"/>
      <c r="AC81" s="93"/>
      <c r="AD81" s="93"/>
      <c r="AE81" s="93"/>
      <c r="AF81" s="116">
        <f>-AF44/AF38</f>
        <v>0.16760698762955534</v>
      </c>
      <c r="AG81" s="93"/>
      <c r="AH81" s="93"/>
      <c r="AI81" s="93"/>
      <c r="AJ81" s="93"/>
      <c r="AK81" s="116">
        <f>-AK44/AK38</f>
        <v>0.15202728022183917</v>
      </c>
      <c r="AL81" s="93"/>
      <c r="AM81" s="93"/>
      <c r="AN81" s="93"/>
      <c r="AO81" s="93"/>
      <c r="AP81" s="116">
        <f>-AP44/AP38</f>
        <v>0.19714227393345582</v>
      </c>
      <c r="AQ81" s="93"/>
      <c r="AR81" s="93"/>
      <c r="AS81" s="93"/>
      <c r="AT81" s="93"/>
      <c r="AU81" s="116">
        <f>-AU44/AU38</f>
        <v>0.21667749984274423</v>
      </c>
      <c r="AV81" s="93"/>
      <c r="AW81" s="93"/>
      <c r="AX81" s="93"/>
      <c r="AY81" s="93"/>
      <c r="AZ81" s="116">
        <f>-AZ44/AZ38</f>
        <v>0.27822456290181008</v>
      </c>
      <c r="BA81" s="93"/>
      <c r="BB81" s="93"/>
      <c r="BC81" s="93"/>
      <c r="BD81" s="93"/>
      <c r="BE81" s="116">
        <f>-BE44/BE38</f>
        <v>0.48510810264699938</v>
      </c>
      <c r="BF81" s="93"/>
      <c r="BG81" s="93"/>
      <c r="BH81" s="93"/>
      <c r="BI81" s="93"/>
      <c r="BJ81" s="116">
        <f t="shared" ref="BJ81:CD81" si="61">-BJ44/BJ38</f>
        <v>0.56602725896012118</v>
      </c>
      <c r="BK81" s="93"/>
      <c r="BL81" s="93"/>
      <c r="BM81" s="93"/>
      <c r="BN81" s="93"/>
      <c r="BO81" s="116">
        <f t="shared" si="61"/>
        <v>0.43031861297383689</v>
      </c>
      <c r="BP81" s="117">
        <f t="shared" si="61"/>
        <v>0.36582410447872826</v>
      </c>
      <c r="BQ81" s="117">
        <f t="shared" si="61"/>
        <v>0.35940658021666111</v>
      </c>
      <c r="BR81" s="117">
        <f t="shared" si="61"/>
        <v>0.36236123688907013</v>
      </c>
      <c r="BS81" s="117">
        <f t="shared" si="61"/>
        <v>0.36742428354810497</v>
      </c>
      <c r="BT81" s="116">
        <f t="shared" si="61"/>
        <v>0.36373912116085455</v>
      </c>
      <c r="BU81" s="117">
        <f t="shared" si="61"/>
        <v>0.38905177244267442</v>
      </c>
      <c r="BV81" s="117">
        <f t="shared" si="61"/>
        <v>0.38862047398115795</v>
      </c>
      <c r="BW81" s="117">
        <f t="shared" si="61"/>
        <v>0.38817721035194758</v>
      </c>
      <c r="BX81" s="117">
        <f t="shared" si="61"/>
        <v>0.38913765061507583</v>
      </c>
      <c r="BY81" s="116">
        <f t="shared" si="61"/>
        <v>0.38874712260251298</v>
      </c>
      <c r="BZ81" s="117">
        <f t="shared" si="61"/>
        <v>0.40566414571112341</v>
      </c>
      <c r="CA81" s="117">
        <f t="shared" si="61"/>
        <v>0.39733208307128615</v>
      </c>
      <c r="CB81" s="117">
        <f t="shared" si="61"/>
        <v>0.39365250422164338</v>
      </c>
      <c r="CC81" s="117">
        <f t="shared" si="61"/>
        <v>0.39247818034069987</v>
      </c>
      <c r="CD81" s="116">
        <f t="shared" si="61"/>
        <v>0.39722665509240818</v>
      </c>
      <c r="CF81" s="336"/>
      <c r="CG81" s="468">
        <v>2018</v>
      </c>
      <c r="CH81" s="627">
        <f t="shared" si="55"/>
        <v>12200.98774082835</v>
      </c>
      <c r="CI81" s="627">
        <f t="shared" si="56"/>
        <v>-4700.8403596663775</v>
      </c>
    </row>
    <row r="82" spans="1:87" hidden="1" outlineLevel="1">
      <c r="A82" s="11"/>
      <c r="B82" s="4" t="s">
        <v>930</v>
      </c>
      <c r="C82" s="116">
        <f>-C45/C38</f>
        <v>-7.8057918975880101E-4</v>
      </c>
      <c r="D82" s="116">
        <f>-D45/D38</f>
        <v>5.5975991649269308E-2</v>
      </c>
      <c r="E82" s="116">
        <f>-E45/E38</f>
        <v>-6.3133590677874381E-3</v>
      </c>
      <c r="F82" s="116">
        <f>-F45/F38</f>
        <v>1.4778169901688934E-2</v>
      </c>
      <c r="G82" s="116">
        <f>-G45/G38</f>
        <v>-2.1356483474434401E-2</v>
      </c>
      <c r="H82" s="93"/>
      <c r="I82" s="93"/>
      <c r="J82" s="93"/>
      <c r="K82" s="93"/>
      <c r="L82" s="116">
        <f>-L45/L38</f>
        <v>-5.4237065281704029E-2</v>
      </c>
      <c r="M82" s="93"/>
      <c r="N82" s="93"/>
      <c r="O82" s="93"/>
      <c r="P82" s="93"/>
      <c r="Q82" s="116">
        <f>-Q45/Q38</f>
        <v>-2.0026870434125453E-2</v>
      </c>
      <c r="R82" s="93"/>
      <c r="S82" s="93"/>
      <c r="T82" s="93"/>
      <c r="U82" s="93"/>
      <c r="V82" s="116">
        <f>-V45/V38</f>
        <v>8.3306385796338214E-3</v>
      </c>
      <c r="W82" s="93"/>
      <c r="X82" s="93"/>
      <c r="Y82" s="93"/>
      <c r="Z82" s="93"/>
      <c r="AA82" s="116">
        <f>-AA45/AA38</f>
        <v>-2.5791411042944787E-2</v>
      </c>
      <c r="AB82" s="93"/>
      <c r="AC82" s="93"/>
      <c r="AD82" s="93"/>
      <c r="AE82" s="93"/>
      <c r="AF82" s="116">
        <f>-AF45/AF38</f>
        <v>-7.7754095620193919E-2</v>
      </c>
      <c r="AG82" s="93"/>
      <c r="AH82" s="93"/>
      <c r="AI82" s="93"/>
      <c r="AJ82" s="93"/>
      <c r="AK82" s="116">
        <f>-AK45/AK38</f>
        <v>-3.9721202128456867E-2</v>
      </c>
      <c r="AL82" s="93"/>
      <c r="AM82" s="93"/>
      <c r="AN82" s="93"/>
      <c r="AO82" s="93"/>
      <c r="AP82" s="116">
        <f>-AP45/AP38</f>
        <v>-6.1216574811185955E-2</v>
      </c>
      <c r="AQ82" s="93"/>
      <c r="AR82" s="93"/>
      <c r="AS82" s="93"/>
      <c r="AT82" s="93"/>
      <c r="AU82" s="116">
        <f>-AU45/AU38</f>
        <v>8.9111609670182203E-3</v>
      </c>
      <c r="AV82" s="93"/>
      <c r="AW82" s="93"/>
      <c r="AX82" s="93"/>
      <c r="AY82" s="93"/>
      <c r="AZ82" s="116">
        <f>-AZ45/AZ38</f>
        <v>0.14985884753161102</v>
      </c>
      <c r="BA82" s="93"/>
      <c r="BB82" s="93"/>
      <c r="BC82" s="93"/>
      <c r="BD82" s="93"/>
      <c r="BE82" s="116">
        <f>-BE45/BE38</f>
        <v>4.6837744998989697E-2</v>
      </c>
      <c r="BF82" s="93"/>
      <c r="BG82" s="93"/>
      <c r="BH82" s="93"/>
      <c r="BI82" s="93"/>
      <c r="BJ82" s="116">
        <f t="shared" ref="BJ82:CD82" si="62">-BJ45/BJ38</f>
        <v>-0.13866733972741041</v>
      </c>
      <c r="BK82" s="93"/>
      <c r="BL82" s="93"/>
      <c r="BM82" s="93"/>
      <c r="BN82" s="93"/>
      <c r="BO82" s="116">
        <f t="shared" si="62"/>
        <v>6.2193808415273964E-3</v>
      </c>
      <c r="BP82" s="117">
        <f t="shared" si="62"/>
        <v>0</v>
      </c>
      <c r="BQ82" s="117">
        <f t="shared" si="62"/>
        <v>0</v>
      </c>
      <c r="BR82" s="117">
        <f t="shared" si="62"/>
        <v>0</v>
      </c>
      <c r="BS82" s="117">
        <f t="shared" si="62"/>
        <v>0</v>
      </c>
      <c r="BT82" s="116">
        <f t="shared" si="62"/>
        <v>0</v>
      </c>
      <c r="BU82" s="117">
        <f t="shared" si="62"/>
        <v>0</v>
      </c>
      <c r="BV82" s="117">
        <f t="shared" si="62"/>
        <v>0</v>
      </c>
      <c r="BW82" s="117">
        <f t="shared" si="62"/>
        <v>0</v>
      </c>
      <c r="BX82" s="117">
        <f t="shared" si="62"/>
        <v>0</v>
      </c>
      <c r="BY82" s="116">
        <f t="shared" si="62"/>
        <v>0</v>
      </c>
      <c r="BZ82" s="117">
        <f t="shared" si="62"/>
        <v>0</v>
      </c>
      <c r="CA82" s="117">
        <f t="shared" si="62"/>
        <v>0</v>
      </c>
      <c r="CB82" s="117">
        <f t="shared" si="62"/>
        <v>0</v>
      </c>
      <c r="CC82" s="117">
        <f t="shared" si="62"/>
        <v>0</v>
      </c>
      <c r="CD82" s="116">
        <f t="shared" si="62"/>
        <v>0</v>
      </c>
      <c r="CF82" s="336"/>
      <c r="CG82" s="468">
        <v>2019</v>
      </c>
      <c r="CH82" s="627">
        <f t="shared" si="55"/>
        <v>10975.104546000533</v>
      </c>
      <c r="CI82" s="627">
        <f t="shared" si="56"/>
        <v>-4308.276241225436</v>
      </c>
    </row>
    <row r="83" spans="1:87" hidden="1" outlineLevel="1">
      <c r="A83" s="11"/>
      <c r="B83" s="11"/>
      <c r="C83" s="5"/>
      <c r="D83" s="5"/>
      <c r="E83" s="5"/>
      <c r="F83" s="5"/>
      <c r="G83" s="5"/>
      <c r="H83" s="12"/>
      <c r="I83" s="12"/>
      <c r="J83" s="12"/>
      <c r="K83" s="12"/>
      <c r="L83" s="5"/>
      <c r="M83" s="12"/>
      <c r="N83" s="12"/>
      <c r="O83" s="12"/>
      <c r="P83" s="12"/>
      <c r="Q83" s="5"/>
      <c r="R83" s="12"/>
      <c r="S83" s="12"/>
      <c r="T83" s="12"/>
      <c r="U83" s="12"/>
      <c r="V83" s="5"/>
      <c r="W83" s="12"/>
      <c r="X83" s="12"/>
      <c r="Y83" s="12"/>
      <c r="Z83" s="12"/>
      <c r="AA83" s="5"/>
      <c r="AB83" s="12"/>
      <c r="AC83" s="12"/>
      <c r="AD83" s="12"/>
      <c r="AE83" s="12"/>
      <c r="AF83" s="5"/>
      <c r="AG83" s="12"/>
      <c r="AH83" s="12"/>
      <c r="AI83" s="12"/>
      <c r="AJ83" s="12"/>
      <c r="AK83" s="5"/>
      <c r="AL83" s="12"/>
      <c r="AM83" s="12"/>
      <c r="AN83" s="12"/>
      <c r="AO83" s="12"/>
      <c r="AP83" s="5"/>
      <c r="AQ83" s="12"/>
      <c r="AR83" s="12"/>
      <c r="AS83" s="12"/>
      <c r="AT83" s="12"/>
      <c r="AU83" s="5"/>
      <c r="AV83" s="12"/>
      <c r="AW83" s="12"/>
      <c r="AX83" s="12"/>
      <c r="AY83" s="12"/>
      <c r="AZ83" s="5"/>
      <c r="BA83" s="12"/>
      <c r="BB83" s="12"/>
      <c r="BC83" s="12"/>
      <c r="BD83" s="12"/>
      <c r="BE83" s="5"/>
      <c r="BF83" s="12"/>
      <c r="BG83" s="12"/>
      <c r="BH83" s="12"/>
      <c r="BI83" s="12"/>
      <c r="BJ83" s="5"/>
      <c r="BK83" s="12"/>
      <c r="BL83" s="12"/>
      <c r="BM83" s="12"/>
      <c r="BN83" s="12"/>
      <c r="BO83" s="5"/>
      <c r="BP83" s="12"/>
      <c r="BQ83" s="12"/>
      <c r="BR83" s="12"/>
      <c r="BS83" s="12"/>
      <c r="BT83" s="5"/>
      <c r="BU83" s="12"/>
      <c r="BV83" s="12"/>
      <c r="BW83" s="12"/>
      <c r="BX83" s="12"/>
      <c r="BY83" s="5"/>
      <c r="BZ83" s="12"/>
      <c r="CA83" s="12"/>
      <c r="CB83" s="12"/>
      <c r="CC83" s="12"/>
      <c r="CD83" s="5"/>
      <c r="CF83" s="336"/>
      <c r="CG83" s="468">
        <v>2020</v>
      </c>
      <c r="CH83" s="627">
        <f t="shared" si="55"/>
        <v>11174.552175081189</v>
      </c>
      <c r="CI83" s="627">
        <f t="shared" si="56"/>
        <v>-4366.4166448145588</v>
      </c>
    </row>
    <row r="84" spans="1:87" hidden="1" outlineLevel="1">
      <c r="A84" s="11" t="s">
        <v>3095</v>
      </c>
      <c r="B84" s="11"/>
      <c r="C84" s="116">
        <f>-C48/C46</f>
        <v>0.36244237627207099</v>
      </c>
      <c r="D84" s="116">
        <f>-D48/D46</f>
        <v>0.5007050197405527</v>
      </c>
      <c r="E84" s="116">
        <f>-E48/E46</f>
        <v>0.33040999780749836</v>
      </c>
      <c r="F84" s="116">
        <f>-F48/F46</f>
        <v>0.3320037394827049</v>
      </c>
      <c r="G84" s="116">
        <f>-G48/G46</f>
        <v>0.35898169121132989</v>
      </c>
      <c r="H84" s="93"/>
      <c r="I84" s="93"/>
      <c r="J84" s="93"/>
      <c r="K84" s="93"/>
      <c r="L84" s="116">
        <f>-L48/L46</f>
        <v>0.40172512938470384</v>
      </c>
      <c r="M84" s="93"/>
      <c r="N84" s="93"/>
      <c r="O84" s="93"/>
      <c r="P84" s="93"/>
      <c r="Q84" s="116">
        <f>-Q48/Q46</f>
        <v>0.37713946788679886</v>
      </c>
      <c r="R84" s="93"/>
      <c r="S84" s="93"/>
      <c r="T84" s="93"/>
      <c r="U84" s="93"/>
      <c r="V84" s="116">
        <f>-V48/V46</f>
        <v>0.40395144013330159</v>
      </c>
      <c r="W84" s="93"/>
      <c r="X84" s="93"/>
      <c r="Y84" s="93"/>
      <c r="Z84" s="93"/>
      <c r="AA84" s="116">
        <f>-AA48/AA46</f>
        <v>0.34923836314420681</v>
      </c>
      <c r="AB84" s="93"/>
      <c r="AC84" s="93"/>
      <c r="AD84" s="93"/>
      <c r="AE84" s="93"/>
      <c r="AF84" s="116">
        <f>-AF48/AF46</f>
        <v>0.36889134031991178</v>
      </c>
      <c r="AG84" s="93"/>
      <c r="AH84" s="93"/>
      <c r="AI84" s="93"/>
      <c r="AJ84" s="93"/>
      <c r="AK84" s="116">
        <f>-AK48/AK46</f>
        <v>0.39993540312487386</v>
      </c>
      <c r="AL84" s="93"/>
      <c r="AM84" s="93"/>
      <c r="AN84" s="93"/>
      <c r="AO84" s="93"/>
      <c r="AP84" s="116">
        <f>-AP48/AP46</f>
        <v>0.38134553689375356</v>
      </c>
      <c r="AQ84" s="93"/>
      <c r="AR84" s="93"/>
      <c r="AS84" s="93"/>
      <c r="AT84" s="93"/>
      <c r="AU84" s="116">
        <f>-AU48/AU46</f>
        <v>0.41036017806556052</v>
      </c>
      <c r="AV84" s="93"/>
      <c r="AW84" s="93"/>
      <c r="AX84" s="93"/>
      <c r="AY84" s="93"/>
      <c r="AZ84" s="116">
        <f>-AZ48/AZ46</f>
        <v>0.25064977257959714</v>
      </c>
      <c r="BA84" s="93"/>
      <c r="BB84" s="93"/>
      <c r="BC84" s="93"/>
      <c r="BD84" s="93"/>
      <c r="BE84" s="116">
        <f>-BE48/BE46</f>
        <v>0.29070364663585002</v>
      </c>
      <c r="BF84" s="93"/>
      <c r="BG84" s="93"/>
      <c r="BH84" s="93"/>
      <c r="BI84" s="93"/>
      <c r="BJ84" s="116">
        <f t="shared" ref="BJ84:CD84" si="63">-BJ48/BJ46</f>
        <v>-0.86787564766839376</v>
      </c>
      <c r="BK84" s="93"/>
      <c r="BL84" s="93"/>
      <c r="BM84" s="93"/>
      <c r="BN84" s="93"/>
      <c r="BO84" s="116">
        <f t="shared" si="63"/>
        <v>0.14769806029446134</v>
      </c>
      <c r="BP84" s="117">
        <f t="shared" si="63"/>
        <v>0.34900106330088165</v>
      </c>
      <c r="BQ84" s="117">
        <f t="shared" si="63"/>
        <v>0.38925737245669179</v>
      </c>
      <c r="BR84" s="117">
        <f t="shared" si="63"/>
        <v>0.40129623157140132</v>
      </c>
      <c r="BS84" s="117">
        <f t="shared" si="63"/>
        <v>0.39926628480746273</v>
      </c>
      <c r="BT84" s="116">
        <f t="shared" si="63"/>
        <v>0.38528359010933877</v>
      </c>
      <c r="BU84" s="117">
        <f t="shared" si="63"/>
        <v>0.40062647403219226</v>
      </c>
      <c r="BV84" s="117">
        <f t="shared" si="63"/>
        <v>0.39331003897156225</v>
      </c>
      <c r="BW84" s="117">
        <f t="shared" si="63"/>
        <v>0.38835321317828908</v>
      </c>
      <c r="BX84" s="117">
        <f t="shared" si="63"/>
        <v>0.38801598374698604</v>
      </c>
      <c r="BY84" s="116">
        <f t="shared" si="63"/>
        <v>0.39254990448318111</v>
      </c>
      <c r="BZ84" s="117">
        <f t="shared" si="63"/>
        <v>0.3811661370115918</v>
      </c>
      <c r="CA84" s="117">
        <f t="shared" si="63"/>
        <v>0.39088387551999176</v>
      </c>
      <c r="CB84" s="117">
        <f t="shared" si="63"/>
        <v>0.3940608098349086</v>
      </c>
      <c r="CC84" s="117">
        <f t="shared" si="63"/>
        <v>0.39599175995142266</v>
      </c>
      <c r="CD84" s="116">
        <f t="shared" si="63"/>
        <v>0.39074645465896124</v>
      </c>
      <c r="CF84" s="336"/>
      <c r="CG84" s="336"/>
    </row>
    <row r="85" spans="1:87" hidden="1" outlineLevel="1">
      <c r="A85" s="11" t="s">
        <v>3471</v>
      </c>
      <c r="B85" s="11"/>
      <c r="C85" s="119">
        <f>(C49-C45-C44-C40)/(C54*0.365)</f>
        <v>11.530726973691113</v>
      </c>
      <c r="D85" s="119">
        <f>(D49-D45-D44-D40)/(D54*0.365)</f>
        <v>9.9295811849756284</v>
      </c>
      <c r="E85" s="119">
        <f>(E49-E45-E44-E40)/(E54*0.365)</f>
        <v>13.469396401902856</v>
      </c>
      <c r="F85" s="119">
        <f>(F49-F45-F44-F40)/(F54*0.365)</f>
        <v>16.648264344345428</v>
      </c>
      <c r="G85" s="119">
        <f>(G49-G45-G44-G40)/(G54*0.365)</f>
        <v>19.772014468074214</v>
      </c>
      <c r="H85" s="93"/>
      <c r="I85" s="93"/>
      <c r="J85" s="93"/>
      <c r="K85" s="93"/>
      <c r="L85" s="119">
        <f>(L49-L45-L44-L40)/(L54*0.365)</f>
        <v>21.175334164533414</v>
      </c>
      <c r="M85" s="93"/>
      <c r="N85" s="93"/>
      <c r="O85" s="93"/>
      <c r="P85" s="93"/>
      <c r="Q85" s="119">
        <f>(Q49-Q45-Q44-Q40)/(Q54*0.365)</f>
        <v>23.420977438008165</v>
      </c>
      <c r="R85" s="93"/>
      <c r="S85" s="93"/>
      <c r="T85" s="93"/>
      <c r="U85" s="93"/>
      <c r="V85" s="119">
        <f>(V49-V45-V44-V40)/(V54*0.365)</f>
        <v>31.925770880973591</v>
      </c>
      <c r="W85" s="93"/>
      <c r="X85" s="93"/>
      <c r="Y85" s="93"/>
      <c r="Z85" s="93"/>
      <c r="AA85" s="119">
        <f>(AA49-AA45-AA44-AA40)/(AA54*0.365)</f>
        <v>21.714853819691889</v>
      </c>
      <c r="AB85" s="93"/>
      <c r="AC85" s="93"/>
      <c r="AD85" s="93"/>
      <c r="AE85" s="93"/>
      <c r="AF85" s="119">
        <f>(AF49-AF45-AF44-AF40)/(AF54*0.365)</f>
        <v>24.512213306130967</v>
      </c>
      <c r="AG85" s="93"/>
      <c r="AH85" s="93"/>
      <c r="AI85" s="93"/>
      <c r="AJ85" s="93"/>
      <c r="AK85" s="119">
        <f>(AK49-AK45-AK44-AK40)/(AK54*0.365)</f>
        <v>29.274012977079778</v>
      </c>
      <c r="AL85" s="93"/>
      <c r="AM85" s="93"/>
      <c r="AN85" s="93"/>
      <c r="AO85" s="93"/>
      <c r="AP85" s="119">
        <f>(AP49-AP45-AP44-AP40)/(AP54*0.365)</f>
        <v>29.642624246592181</v>
      </c>
      <c r="AQ85" s="93"/>
      <c r="AR85" s="93"/>
      <c r="AS85" s="93"/>
      <c r="AT85" s="93"/>
      <c r="AU85" s="119">
        <f>(AU49-AU45-AU44-AU40)/(AU54*0.365)</f>
        <v>33.299032537374686</v>
      </c>
      <c r="AV85" s="93"/>
      <c r="AW85" s="93"/>
      <c r="AX85" s="93"/>
      <c r="AY85" s="93"/>
      <c r="AZ85" s="119">
        <f>(AZ49-AZ45-AZ44-AZ40)/(AZ54*0.365)</f>
        <v>38.154982565493562</v>
      </c>
      <c r="BA85" s="93"/>
      <c r="BB85" s="93"/>
      <c r="BC85" s="93"/>
      <c r="BD85" s="93"/>
      <c r="BE85" s="119">
        <f>(BE49-BE45-BE44-BE40)/(BE54*0.365)</f>
        <v>19.642066505536377</v>
      </c>
      <c r="BF85" s="93"/>
      <c r="BG85" s="93"/>
      <c r="BH85" s="93"/>
      <c r="BI85" s="93"/>
      <c r="BJ85" s="119">
        <f>(BJ49-BJ45-BJ44-BJ40)/(BJ54*0.365)</f>
        <v>15.418032301482453</v>
      </c>
      <c r="BK85" s="93"/>
      <c r="BL85" s="93"/>
      <c r="BM85" s="93"/>
      <c r="BN85" s="93"/>
      <c r="BO85" s="119">
        <f>(BO49-BO45-BO44-BO40)/(BO54*0.365)</f>
        <v>23.153578916078381</v>
      </c>
      <c r="BP85" s="93"/>
      <c r="BQ85" s="93"/>
      <c r="BR85" s="93"/>
      <c r="BS85" s="93"/>
      <c r="BT85" s="119">
        <f>(BT49-BT45-BT44-BT40)/(BT54*0.365)</f>
        <v>25.614237438336346</v>
      </c>
      <c r="BU85" s="93"/>
      <c r="BV85" s="93"/>
      <c r="BW85" s="93"/>
      <c r="BX85" s="93"/>
      <c r="BY85" s="119">
        <f>(BY49-BY45-BY44-BY40)/(BY54*0.365)</f>
        <v>24.249099807127553</v>
      </c>
      <c r="BZ85" s="93"/>
      <c r="CA85" s="93"/>
      <c r="CB85" s="93"/>
      <c r="CC85" s="93"/>
      <c r="CD85" s="119">
        <f>(CD49-CD45-CD44-CD40)/(CD54*0.365)</f>
        <v>24.26817820209796</v>
      </c>
      <c r="CF85" s="336"/>
      <c r="CG85" t="s">
        <v>3695</v>
      </c>
      <c r="CI85" s="440">
        <f>COVAR(CH68:CH79,CI68:CI79)/VARP(CH68:CH79)</f>
        <v>-0.4006557126558517</v>
      </c>
    </row>
    <row r="86" spans="1:87" collapsed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G86" t="s">
        <v>3696</v>
      </c>
      <c r="CI86">
        <f>AVERAGE(CI68:CI79)-CI85*AVERAGE(CH68:CH79)</f>
        <v>387.85574949315105</v>
      </c>
    </row>
    <row r="87" spans="1:87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G87" t="s">
        <v>3697</v>
      </c>
      <c r="CI87" s="381">
        <f>CORREL(CH68:CH79,CI68:CI79)^2</f>
        <v>0.98919715101950001</v>
      </c>
    </row>
    <row r="88" spans="1:87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8"/>
      <c r="AQ88" s="5"/>
      <c r="AR88" s="5"/>
      <c r="AS88" s="5"/>
      <c r="AT88" s="5"/>
      <c r="AU88" s="8"/>
      <c r="AV88" s="5"/>
      <c r="AW88" s="5"/>
      <c r="AX88" s="5"/>
      <c r="AY88" s="5"/>
      <c r="AZ88" s="8"/>
      <c r="BA88" s="5"/>
      <c r="BB88" s="5"/>
      <c r="BC88" s="5"/>
      <c r="BD88" s="5"/>
      <c r="BE88" s="179"/>
      <c r="BF88" s="5"/>
      <c r="BG88" s="5"/>
      <c r="BH88" s="5"/>
      <c r="BI88" s="5"/>
      <c r="BJ88" s="8"/>
      <c r="BK88" s="5"/>
      <c r="BL88" s="5"/>
      <c r="BM88" s="5"/>
      <c r="BN88" s="5"/>
      <c r="BO88" s="8"/>
      <c r="BP88" s="5"/>
      <c r="BQ88" s="5"/>
      <c r="BR88" s="5"/>
      <c r="BS88" s="5"/>
      <c r="BT88" s="8"/>
      <c r="BU88" s="5"/>
      <c r="BV88" s="5"/>
      <c r="BW88" s="5"/>
      <c r="BX88" s="5"/>
      <c r="BY88" s="8"/>
      <c r="BZ88" s="5"/>
      <c r="CA88" s="5"/>
      <c r="CB88" s="5"/>
      <c r="CC88" s="5"/>
      <c r="CD88" s="5"/>
    </row>
    <row r="89" spans="1:87" hidden="1" outlineLevel="1">
      <c r="A89" s="24" t="s">
        <v>1281</v>
      </c>
      <c r="B89" s="4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</row>
    <row r="90" spans="1:87" hidden="1" outlineLevel="1">
      <c r="A90" s="10"/>
      <c r="B90" s="10"/>
      <c r="C90" s="31">
        <v>2001</v>
      </c>
      <c r="D90" s="32">
        <v>2002</v>
      </c>
      <c r="E90" s="32">
        <v>2003</v>
      </c>
      <c r="F90" s="32">
        <v>2004</v>
      </c>
      <c r="G90" s="31">
        <v>2005</v>
      </c>
      <c r="H90" s="33" t="str">
        <f>H35</f>
        <v>1Q06</v>
      </c>
      <c r="I90" s="33" t="str">
        <f>I35</f>
        <v>2Q06</v>
      </c>
      <c r="J90" s="33" t="str">
        <f>J35</f>
        <v>3Q06</v>
      </c>
      <c r="K90" s="33" t="str">
        <f>K35</f>
        <v>4Q06</v>
      </c>
      <c r="L90" s="31">
        <v>2006</v>
      </c>
      <c r="M90" s="33" t="str">
        <f>M35</f>
        <v>1Q07</v>
      </c>
      <c r="N90" s="33" t="str">
        <f>N35</f>
        <v>2Q07</v>
      </c>
      <c r="O90" s="33" t="str">
        <f>O35</f>
        <v>3Q07</v>
      </c>
      <c r="P90" s="33" t="str">
        <f>P35</f>
        <v>4Q07</v>
      </c>
      <c r="Q90" s="31">
        <v>2007</v>
      </c>
      <c r="R90" s="33" t="str">
        <f>R35</f>
        <v>1Q08</v>
      </c>
      <c r="S90" s="33" t="str">
        <f>S35</f>
        <v>2Q08</v>
      </c>
      <c r="T90" s="33" t="str">
        <f>T35</f>
        <v>3Q08</v>
      </c>
      <c r="U90" s="33" t="str">
        <f>U35</f>
        <v>4Q08</v>
      </c>
      <c r="V90" s="31">
        <v>2008</v>
      </c>
      <c r="W90" s="33" t="str">
        <f>W35</f>
        <v>1Q09</v>
      </c>
      <c r="X90" s="33" t="str">
        <f>X35</f>
        <v>2Q09</v>
      </c>
      <c r="Y90" s="33" t="str">
        <f>Y35</f>
        <v>3Q09</v>
      </c>
      <c r="Z90" s="33" t="str">
        <f>Z35</f>
        <v>4Q09</v>
      </c>
      <c r="AA90" s="31">
        <v>2009</v>
      </c>
      <c r="AB90" s="33" t="str">
        <f>AB35</f>
        <v>1Q10</v>
      </c>
      <c r="AC90" s="33" t="str">
        <f>AC35</f>
        <v>2Q10</v>
      </c>
      <c r="AD90" s="33" t="str">
        <f>AD35</f>
        <v>3Q10</v>
      </c>
      <c r="AE90" s="33" t="str">
        <f>AE35</f>
        <v>4Q10</v>
      </c>
      <c r="AF90" s="31">
        <v>2010</v>
      </c>
      <c r="AG90" s="33" t="str">
        <f>AG35</f>
        <v>1Q11</v>
      </c>
      <c r="AH90" s="33" t="str">
        <f>AH35</f>
        <v>2Q11</v>
      </c>
      <c r="AI90" s="33" t="str">
        <f>AI35</f>
        <v>3Q11</v>
      </c>
      <c r="AJ90" s="33" t="str">
        <f>AJ35</f>
        <v>4Q11</v>
      </c>
      <c r="AK90" s="31">
        <v>2011</v>
      </c>
      <c r="AL90" s="33" t="s">
        <v>2397</v>
      </c>
      <c r="AM90" s="33" t="s">
        <v>2398</v>
      </c>
      <c r="AN90" s="33" t="s">
        <v>2399</v>
      </c>
      <c r="AO90" s="33" t="s">
        <v>2400</v>
      </c>
      <c r="AP90" s="31">
        <v>2012</v>
      </c>
      <c r="AQ90" s="33" t="s">
        <v>2401</v>
      </c>
      <c r="AR90" s="33" t="s">
        <v>2402</v>
      </c>
      <c r="AS90" s="33" t="s">
        <v>2403</v>
      </c>
      <c r="AT90" s="33" t="s">
        <v>2404</v>
      </c>
      <c r="AU90" s="31">
        <v>2013</v>
      </c>
      <c r="AV90" s="33" t="s">
        <v>2405</v>
      </c>
      <c r="AW90" s="33" t="s">
        <v>2406</v>
      </c>
      <c r="AX90" s="33" t="s">
        <v>2407</v>
      </c>
      <c r="AY90" s="33" t="s">
        <v>2408</v>
      </c>
      <c r="AZ90" s="31">
        <v>2014</v>
      </c>
      <c r="BA90" s="33" t="str">
        <f t="shared" ref="BA90:BI90" si="64">BA$8</f>
        <v>1Q15</v>
      </c>
      <c r="BB90" s="33" t="str">
        <f t="shared" si="64"/>
        <v>2Q15</v>
      </c>
      <c r="BC90" s="33" t="str">
        <f t="shared" si="64"/>
        <v>3Q15</v>
      </c>
      <c r="BD90" s="33" t="str">
        <f t="shared" si="64"/>
        <v>4Q15</v>
      </c>
      <c r="BE90" s="31">
        <f t="shared" si="64"/>
        <v>2015</v>
      </c>
      <c r="BF90" s="33" t="str">
        <f t="shared" si="64"/>
        <v>1Q16</v>
      </c>
      <c r="BG90" s="33" t="str">
        <f t="shared" si="64"/>
        <v>2Q16</v>
      </c>
      <c r="BH90" s="33" t="str">
        <f t="shared" si="64"/>
        <v>3Q16</v>
      </c>
      <c r="BI90" s="33" t="str">
        <f t="shared" si="64"/>
        <v>4Q16</v>
      </c>
      <c r="BJ90" s="31">
        <v>2016</v>
      </c>
      <c r="BK90" s="33" t="s">
        <v>2417</v>
      </c>
      <c r="BL90" s="33" t="s">
        <v>2418</v>
      </c>
      <c r="BM90" s="33" t="s">
        <v>2419</v>
      </c>
      <c r="BN90" s="33" t="s">
        <v>2420</v>
      </c>
      <c r="BO90" s="31">
        <v>2017</v>
      </c>
      <c r="BP90" s="33" t="s">
        <v>2244</v>
      </c>
      <c r="BQ90" s="33" t="s">
        <v>2245</v>
      </c>
      <c r="BR90" s="33" t="s">
        <v>2508</v>
      </c>
      <c r="BS90" s="33" t="s">
        <v>2509</v>
      </c>
      <c r="BT90" s="31">
        <v>2018</v>
      </c>
      <c r="BU90" s="33" t="s">
        <v>2510</v>
      </c>
      <c r="BV90" s="33" t="s">
        <v>2511</v>
      </c>
      <c r="BW90" s="33" t="s">
        <v>3125</v>
      </c>
      <c r="BX90" s="33" t="s">
        <v>1405</v>
      </c>
      <c r="BY90" s="31">
        <v>2019</v>
      </c>
      <c r="BZ90" s="33" t="s">
        <v>1406</v>
      </c>
      <c r="CA90" s="33" t="s">
        <v>1407</v>
      </c>
      <c r="CB90" s="33" t="s">
        <v>1408</v>
      </c>
      <c r="CC90" s="33" t="s">
        <v>1409</v>
      </c>
      <c r="CD90" s="31">
        <v>2020</v>
      </c>
    </row>
    <row r="91" spans="1:87" hidden="1" outlineLevel="1">
      <c r="A91" s="4" t="s">
        <v>2156</v>
      </c>
      <c r="B91" s="5"/>
      <c r="C91" s="5">
        <v>2979</v>
      </c>
      <c r="D91" s="5">
        <v>2249</v>
      </c>
      <c r="E91" s="5">
        <v>2257</v>
      </c>
      <c r="F91" s="5">
        <v>3458</v>
      </c>
      <c r="G91" s="5">
        <v>4667</v>
      </c>
      <c r="H91" s="93"/>
      <c r="I91" s="93"/>
      <c r="J91" s="93"/>
      <c r="K91" s="93"/>
      <c r="L91" s="5">
        <v>5378</v>
      </c>
      <c r="M91" s="93"/>
      <c r="N91" s="93"/>
      <c r="O91" s="93"/>
      <c r="P91" s="93"/>
      <c r="Q91" s="5">
        <v>4503</v>
      </c>
      <c r="R91" s="93"/>
      <c r="S91" s="93"/>
      <c r="T91" s="93"/>
      <c r="U91" s="93"/>
      <c r="V91" s="5">
        <v>3865</v>
      </c>
      <c r="W91" s="93"/>
      <c r="X91" s="93"/>
      <c r="Y91" s="93"/>
      <c r="Z91" s="93"/>
      <c r="AA91" s="5">
        <v>2239</v>
      </c>
      <c r="AB91" s="93"/>
      <c r="AC91" s="93"/>
      <c r="AD91" s="93"/>
      <c r="AE91" s="93"/>
      <c r="AF91" s="5">
        <v>1472</v>
      </c>
      <c r="AG91" s="93"/>
      <c r="AH91" s="93"/>
      <c r="AI91" s="93"/>
      <c r="AJ91" s="93"/>
      <c r="AK91" s="5">
        <v>1997</v>
      </c>
      <c r="AL91" s="93"/>
      <c r="AM91" s="93"/>
      <c r="AN91" s="93"/>
      <c r="AO91" s="93"/>
      <c r="AP91" s="5">
        <v>1595</v>
      </c>
      <c r="AQ91" s="93"/>
      <c r="AR91" s="93"/>
      <c r="AS91" s="93"/>
      <c r="AT91" s="93"/>
      <c r="AU91" s="5">
        <v>1129</v>
      </c>
      <c r="AV91" s="93"/>
      <c r="AW91" s="93"/>
      <c r="AX91" s="93"/>
      <c r="AY91" s="93"/>
      <c r="AZ91" s="5">
        <v>529</v>
      </c>
      <c r="BA91" s="93"/>
      <c r="BB91" s="93"/>
      <c r="BC91" s="93"/>
      <c r="BD91" s="93"/>
      <c r="BE91" s="5">
        <v>496</v>
      </c>
      <c r="BF91" s="93"/>
      <c r="BG91" s="93"/>
      <c r="BH91" s="93"/>
      <c r="BI91" s="93"/>
      <c r="BJ91" s="5">
        <v>244</v>
      </c>
      <c r="BK91" s="93"/>
      <c r="BL91" s="93"/>
      <c r="BM91" s="93"/>
      <c r="BN91" s="93"/>
      <c r="BO91" s="5">
        <v>204</v>
      </c>
      <c r="BP91" s="93"/>
      <c r="BQ91" s="93"/>
      <c r="BR91" s="93"/>
      <c r="BS91" s="93"/>
      <c r="BT91" s="93"/>
      <c r="BU91" s="93"/>
      <c r="BV91" s="93"/>
      <c r="BW91" s="93"/>
      <c r="BX91" s="93"/>
      <c r="BY91" s="93"/>
      <c r="BZ91" s="93"/>
      <c r="CA91" s="93"/>
      <c r="CB91" s="93"/>
      <c r="CC91" s="93"/>
      <c r="CD91" s="93"/>
    </row>
    <row r="92" spans="1:87" hidden="1" outlineLevel="1">
      <c r="A92" s="4" t="s">
        <v>2157</v>
      </c>
      <c r="B92" s="5"/>
      <c r="C92" s="5">
        <v>3003</v>
      </c>
      <c r="D92" s="5">
        <v>3169</v>
      </c>
      <c r="E92" s="5">
        <v>2901</v>
      </c>
      <c r="F92" s="5">
        <v>2424</v>
      </c>
      <c r="G92" s="5">
        <v>2458</v>
      </c>
      <c r="H92" s="93"/>
      <c r="I92" s="93"/>
      <c r="J92" s="93"/>
      <c r="K92" s="93"/>
      <c r="L92" s="5">
        <v>2329</v>
      </c>
      <c r="M92" s="93"/>
      <c r="N92" s="93"/>
      <c r="O92" s="93"/>
      <c r="P92" s="93"/>
      <c r="Q92" s="5">
        <v>2260</v>
      </c>
      <c r="R92" s="93"/>
      <c r="S92" s="93"/>
      <c r="T92" s="93"/>
      <c r="U92" s="93"/>
      <c r="V92" s="5">
        <v>4374</v>
      </c>
      <c r="W92" s="93"/>
      <c r="X92" s="93"/>
      <c r="Y92" s="93"/>
      <c r="Z92" s="93"/>
      <c r="AA92" s="5">
        <v>2482</v>
      </c>
      <c r="AB92" s="93"/>
      <c r="AC92" s="93"/>
      <c r="AD92" s="93"/>
      <c r="AE92" s="93"/>
      <c r="AF92" s="5">
        <v>3405</v>
      </c>
      <c r="AG92" s="93"/>
      <c r="AH92" s="93"/>
      <c r="AI92" s="93"/>
      <c r="AJ92" s="93"/>
      <c r="AK92" s="5">
        <v>3495</v>
      </c>
      <c r="AL92" s="93"/>
      <c r="AM92" s="93"/>
      <c r="AN92" s="93"/>
      <c r="AO92" s="93"/>
      <c r="AP92" s="5">
        <v>2975</v>
      </c>
      <c r="AQ92" s="93"/>
      <c r="AR92" s="93"/>
      <c r="AS92" s="93"/>
      <c r="AT92" s="93"/>
      <c r="AU92" s="5">
        <v>1661</v>
      </c>
      <c r="AV92" s="93"/>
      <c r="AW92" s="93"/>
      <c r="AX92" s="93"/>
      <c r="AY92" s="93"/>
      <c r="AZ92" s="5">
        <v>1069</v>
      </c>
      <c r="BA92" s="93"/>
      <c r="BB92" s="93"/>
      <c r="BC92" s="93"/>
      <c r="BD92" s="93"/>
      <c r="BE92" s="5">
        <v>1149</v>
      </c>
      <c r="BF92" s="93"/>
      <c r="BG92" s="93"/>
      <c r="BH92" s="93"/>
      <c r="BI92" s="93"/>
      <c r="BJ92" s="5">
        <v>1387</v>
      </c>
      <c r="BK92" s="93"/>
      <c r="BL92" s="93"/>
      <c r="BM92" s="93"/>
      <c r="BN92" s="93"/>
      <c r="BO92" s="5">
        <v>1745</v>
      </c>
      <c r="BP92" s="93"/>
      <c r="BQ92" s="93"/>
      <c r="BR92" s="93"/>
      <c r="BS92" s="93"/>
      <c r="BT92" s="93"/>
      <c r="BU92" s="93"/>
      <c r="BV92" s="93"/>
      <c r="BW92" s="93"/>
      <c r="BX92" s="93"/>
      <c r="BY92" s="93"/>
      <c r="BZ92" s="93"/>
      <c r="CA92" s="93"/>
      <c r="CB92" s="93"/>
      <c r="CC92" s="93"/>
      <c r="CD92" s="93"/>
    </row>
    <row r="93" spans="1:87" hidden="1" outlineLevel="1">
      <c r="A93" s="7" t="s">
        <v>2155</v>
      </c>
      <c r="B93" s="8"/>
      <c r="C93" s="8">
        <f>C91+C92</f>
        <v>5982</v>
      </c>
      <c r="D93" s="8">
        <f>D91+D92</f>
        <v>5418</v>
      </c>
      <c r="E93" s="8">
        <f>E91+E92</f>
        <v>5158</v>
      </c>
      <c r="F93" s="8">
        <f>F91+F92</f>
        <v>5882</v>
      </c>
      <c r="G93" s="8">
        <f>G91+G92</f>
        <v>7125</v>
      </c>
      <c r="H93" s="93"/>
      <c r="I93" s="93"/>
      <c r="J93" s="93"/>
      <c r="K93" s="93"/>
      <c r="L93" s="8">
        <f>L91+L92</f>
        <v>7707</v>
      </c>
      <c r="M93" s="93"/>
      <c r="N93" s="93"/>
      <c r="O93" s="93"/>
      <c r="P93" s="93"/>
      <c r="Q93" s="8">
        <f>Q91+Q92</f>
        <v>6763</v>
      </c>
      <c r="R93" s="93"/>
      <c r="S93" s="93"/>
      <c r="T93" s="93"/>
      <c r="U93" s="93"/>
      <c r="V93" s="8">
        <f>V91+V92</f>
        <v>8239</v>
      </c>
      <c r="W93" s="93"/>
      <c r="X93" s="93"/>
      <c r="Y93" s="93"/>
      <c r="Z93" s="93"/>
      <c r="AA93" s="8">
        <f>AA91+AA92</f>
        <v>4721</v>
      </c>
      <c r="AB93" s="93"/>
      <c r="AC93" s="93"/>
      <c r="AD93" s="93"/>
      <c r="AE93" s="93"/>
      <c r="AF93" s="8">
        <f>AF91+AF92</f>
        <v>4877</v>
      </c>
      <c r="AG93" s="93"/>
      <c r="AH93" s="93"/>
      <c r="AI93" s="93"/>
      <c r="AJ93" s="93"/>
      <c r="AK93" s="8">
        <f>AK91+AK92</f>
        <v>5492</v>
      </c>
      <c r="AL93" s="93"/>
      <c r="AM93" s="93"/>
      <c r="AN93" s="93"/>
      <c r="AO93" s="93"/>
      <c r="AP93" s="8">
        <f>SUM(AP91:AP92)</f>
        <v>4570</v>
      </c>
      <c r="AQ93" s="93"/>
      <c r="AR93" s="93"/>
      <c r="AS93" s="93"/>
      <c r="AT93" s="93"/>
      <c r="AU93" s="8">
        <f>SUM(AU91:AU92)</f>
        <v>2790</v>
      </c>
      <c r="AV93" s="93"/>
      <c r="AW93" s="93"/>
      <c r="AX93" s="93"/>
      <c r="AY93" s="93"/>
      <c r="AZ93" s="8">
        <f>SUM(AZ91:AZ92)</f>
        <v>1598</v>
      </c>
      <c r="BA93" s="93"/>
      <c r="BB93" s="93"/>
      <c r="BC93" s="93"/>
      <c r="BD93" s="93"/>
      <c r="BE93" s="8">
        <f>SUM(BE91:BE92)</f>
        <v>1645</v>
      </c>
      <c r="BF93" s="93"/>
      <c r="BG93" s="93"/>
      <c r="BH93" s="93"/>
      <c r="BI93" s="93"/>
      <c r="BJ93" s="8">
        <f>SUM(BJ91:BJ92)</f>
        <v>1631</v>
      </c>
      <c r="BK93" s="93"/>
      <c r="BL93" s="93"/>
      <c r="BM93" s="93"/>
      <c r="BN93" s="93"/>
      <c r="BO93" s="8">
        <f>SUM(BO91:BO92)</f>
        <v>1949</v>
      </c>
      <c r="BP93" s="93"/>
      <c r="BQ93" s="93"/>
      <c r="BR93" s="93"/>
      <c r="BS93" s="93"/>
      <c r="BT93" s="93"/>
      <c r="BU93" s="93"/>
      <c r="BV93" s="93"/>
      <c r="BW93" s="93"/>
      <c r="BX93" s="93"/>
      <c r="BY93" s="93"/>
      <c r="BZ93" s="93"/>
      <c r="CA93" s="93"/>
      <c r="CB93" s="93"/>
      <c r="CC93" s="93"/>
      <c r="CD93" s="93"/>
    </row>
    <row r="94" spans="1:87" hidden="1" outlineLevel="1">
      <c r="A94" s="4"/>
      <c r="B94" s="5"/>
      <c r="C94" s="5"/>
      <c r="D94" s="5"/>
      <c r="E94" s="5"/>
      <c r="F94" s="5"/>
      <c r="G94" s="5"/>
      <c r="H94" s="12"/>
      <c r="I94" s="12"/>
      <c r="J94" s="12"/>
      <c r="K94" s="12"/>
      <c r="L94" s="5"/>
      <c r="M94" s="12"/>
      <c r="N94" s="12"/>
      <c r="O94" s="12"/>
      <c r="P94" s="12"/>
      <c r="Q94" s="5"/>
      <c r="R94" s="12"/>
      <c r="S94" s="12"/>
      <c r="T94" s="12"/>
      <c r="U94" s="12"/>
      <c r="V94" s="5"/>
      <c r="W94" s="12"/>
      <c r="X94" s="12"/>
      <c r="Y94" s="12"/>
      <c r="Z94" s="12"/>
      <c r="AA94" s="5"/>
      <c r="AB94" s="12"/>
      <c r="AC94" s="12"/>
      <c r="AD94" s="12"/>
      <c r="AE94" s="12"/>
      <c r="AF94" s="5"/>
      <c r="AG94" s="12"/>
      <c r="AH94" s="12"/>
      <c r="AI94" s="12"/>
      <c r="AJ94" s="12"/>
      <c r="AK94" s="5"/>
      <c r="AL94" s="12"/>
      <c r="AM94" s="12"/>
      <c r="AN94" s="12"/>
      <c r="AO94" s="12"/>
      <c r="AP94" s="5"/>
      <c r="AQ94" s="12"/>
      <c r="AR94" s="12"/>
      <c r="AS94" s="12"/>
      <c r="AT94" s="12"/>
      <c r="AU94" s="5"/>
      <c r="AV94" s="12"/>
      <c r="AW94" s="12"/>
      <c r="AX94" s="12"/>
      <c r="AY94" s="12"/>
      <c r="AZ94" s="5"/>
      <c r="BA94" s="12"/>
      <c r="BB94" s="12"/>
      <c r="BC94" s="12"/>
      <c r="BD94" s="12"/>
      <c r="BE94" s="5"/>
      <c r="BF94" s="12"/>
      <c r="BG94" s="12"/>
      <c r="BH94" s="12"/>
      <c r="BI94" s="12"/>
      <c r="BJ94" s="5"/>
      <c r="BK94" s="12"/>
      <c r="BL94" s="12"/>
      <c r="BM94" s="12"/>
      <c r="BN94" s="12"/>
      <c r="BO94" s="5"/>
      <c r="BP94" s="12"/>
      <c r="BQ94" s="12"/>
      <c r="BR94" s="12"/>
      <c r="BS94" s="12"/>
      <c r="BT94" s="12"/>
      <c r="BU94" s="12"/>
      <c r="BV94" s="12"/>
      <c r="BW94" s="12"/>
      <c r="BX94" s="12"/>
      <c r="BY94" s="12"/>
      <c r="BZ94" s="12"/>
      <c r="CA94" s="12"/>
      <c r="CB94" s="12"/>
      <c r="CC94" s="12"/>
      <c r="CD94" s="12"/>
    </row>
    <row r="95" spans="1:87" hidden="1" outlineLevel="1">
      <c r="A95" s="4" t="s">
        <v>1897</v>
      </c>
      <c r="B95" s="5"/>
      <c r="C95" s="5">
        <v>-14</v>
      </c>
      <c r="D95" s="5">
        <v>-27</v>
      </c>
      <c r="E95" s="5">
        <v>-17</v>
      </c>
      <c r="F95" s="5">
        <v>-26</v>
      </c>
      <c r="G95" s="5">
        <v>-32</v>
      </c>
      <c r="H95" s="93"/>
      <c r="I95" s="93"/>
      <c r="J95" s="93"/>
      <c r="K95" s="93"/>
      <c r="L95" s="5">
        <v>-20</v>
      </c>
      <c r="M95" s="93"/>
      <c r="N95" s="93"/>
      <c r="O95" s="93"/>
      <c r="P95" s="93"/>
      <c r="Q95" s="5">
        <v>-46</v>
      </c>
      <c r="R95" s="93"/>
      <c r="S95" s="93"/>
      <c r="T95" s="93"/>
      <c r="U95" s="93"/>
      <c r="V95" s="5">
        <v>-121</v>
      </c>
      <c r="W95" s="93"/>
      <c r="X95" s="93"/>
      <c r="Y95" s="93"/>
      <c r="Z95" s="93"/>
      <c r="AA95" s="5">
        <v>-59</v>
      </c>
      <c r="AB95" s="93"/>
      <c r="AC95" s="93"/>
      <c r="AD95" s="93"/>
      <c r="AE95" s="93"/>
      <c r="AF95" s="5">
        <v>-82</v>
      </c>
      <c r="AG95" s="93"/>
      <c r="AH95" s="93"/>
      <c r="AI95" s="93"/>
      <c r="AJ95" s="93"/>
      <c r="AK95" s="5">
        <v>-37</v>
      </c>
      <c r="AL95" s="93"/>
      <c r="AM95" s="93"/>
      <c r="AN95" s="93"/>
      <c r="AO95" s="93"/>
      <c r="AP95" s="5">
        <v>-105</v>
      </c>
      <c r="AQ95" s="93"/>
      <c r="AR95" s="93"/>
      <c r="AS95" s="93"/>
      <c r="AT95" s="93"/>
      <c r="AU95" s="5">
        <v>-280</v>
      </c>
      <c r="AV95" s="93"/>
      <c r="AW95" s="93"/>
      <c r="AX95" s="93"/>
      <c r="AY95" s="93"/>
      <c r="AZ95" s="5">
        <v>-94</v>
      </c>
      <c r="BA95" s="93"/>
      <c r="BB95" s="93"/>
      <c r="BC95" s="93"/>
      <c r="BD95" s="93"/>
      <c r="BE95" s="5">
        <v>-115</v>
      </c>
      <c r="BF95" s="93"/>
      <c r="BG95" s="93"/>
      <c r="BH95" s="93"/>
      <c r="BI95" s="93"/>
      <c r="BJ95" s="5">
        <v>-133</v>
      </c>
      <c r="BK95" s="93"/>
      <c r="BL95" s="93"/>
      <c r="BM95" s="93"/>
      <c r="BN95" s="93"/>
      <c r="BO95" s="5">
        <v>-331</v>
      </c>
      <c r="BP95" s="93"/>
      <c r="BQ95" s="93"/>
      <c r="BR95" s="93"/>
      <c r="BS95" s="93"/>
      <c r="BT95" s="93"/>
      <c r="BU95" s="93"/>
      <c r="BV95" s="93"/>
      <c r="BW95" s="93"/>
      <c r="BX95" s="93"/>
      <c r="BY95" s="93"/>
      <c r="BZ95" s="93"/>
      <c r="CA95" s="93"/>
      <c r="CB95" s="93"/>
      <c r="CC95" s="93"/>
      <c r="CD95" s="93"/>
    </row>
    <row r="96" spans="1:87" hidden="1" outlineLevel="1">
      <c r="A96" s="4" t="s">
        <v>2149</v>
      </c>
      <c r="B96" s="5"/>
      <c r="C96" s="5">
        <v>-878</v>
      </c>
      <c r="D96" s="5">
        <v>-820</v>
      </c>
      <c r="E96" s="5">
        <v>-825</v>
      </c>
      <c r="F96" s="5">
        <v>-901</v>
      </c>
      <c r="G96" s="5">
        <v>-1082</v>
      </c>
      <c r="H96" s="93"/>
      <c r="I96" s="93"/>
      <c r="J96" s="93"/>
      <c r="K96" s="93"/>
      <c r="L96" s="5">
        <v>-1312</v>
      </c>
      <c r="M96" s="93"/>
      <c r="N96" s="93"/>
      <c r="O96" s="93"/>
      <c r="P96" s="93"/>
      <c r="Q96" s="5">
        <v>-1658</v>
      </c>
      <c r="R96" s="93"/>
      <c r="S96" s="93"/>
      <c r="T96" s="93"/>
      <c r="U96" s="93"/>
      <c r="V96" s="5">
        <v>-1357</v>
      </c>
      <c r="W96" s="93"/>
      <c r="X96" s="93"/>
      <c r="Y96" s="93"/>
      <c r="Z96" s="93"/>
      <c r="AA96" s="5">
        <v>-1243</v>
      </c>
      <c r="AB96" s="93"/>
      <c r="AC96" s="93"/>
      <c r="AD96" s="93"/>
      <c r="AE96" s="93"/>
      <c r="AF96" s="5">
        <v>-1018</v>
      </c>
      <c r="AG96" s="93"/>
      <c r="AH96" s="93"/>
      <c r="AI96" s="93"/>
      <c r="AJ96" s="93"/>
      <c r="AK96" s="5">
        <v>-1372</v>
      </c>
      <c r="AL96" s="93"/>
      <c r="AM96" s="93"/>
      <c r="AN96" s="93"/>
      <c r="AO96" s="93"/>
      <c r="AP96" s="5">
        <v>-1310</v>
      </c>
      <c r="AQ96" s="93"/>
      <c r="AR96" s="93"/>
      <c r="AS96" s="93"/>
      <c r="AT96" s="93"/>
      <c r="AU96" s="5">
        <v>-1102</v>
      </c>
      <c r="AV96" s="93"/>
      <c r="AW96" s="93"/>
      <c r="AX96" s="93"/>
      <c r="AY96" s="93"/>
      <c r="AZ96" s="5">
        <v>-979</v>
      </c>
      <c r="BA96" s="93"/>
      <c r="BB96" s="93"/>
      <c r="BC96" s="93"/>
      <c r="BD96" s="93"/>
      <c r="BE96" s="5">
        <v>-879</v>
      </c>
      <c r="BF96" s="93"/>
      <c r="BG96" s="93"/>
      <c r="BH96" s="93"/>
      <c r="BI96" s="93"/>
      <c r="BJ96" s="5">
        <v>-619</v>
      </c>
      <c r="BK96" s="93"/>
      <c r="BL96" s="93"/>
      <c r="BM96" s="93"/>
      <c r="BN96" s="93"/>
      <c r="BO96" s="5">
        <v>-629</v>
      </c>
      <c r="BP96" s="93"/>
      <c r="BQ96" s="93"/>
      <c r="BR96" s="93"/>
      <c r="BS96" s="93"/>
      <c r="BT96" s="93"/>
      <c r="BU96" s="93"/>
      <c r="BV96" s="93"/>
      <c r="BW96" s="93"/>
      <c r="BX96" s="93"/>
      <c r="BY96" s="93"/>
      <c r="BZ96" s="93"/>
      <c r="CA96" s="93"/>
      <c r="CB96" s="93"/>
      <c r="CC96" s="93"/>
      <c r="CD96" s="93"/>
    </row>
    <row r="97" spans="1:82" hidden="1" outlineLevel="1">
      <c r="A97" s="4" t="s">
        <v>2150</v>
      </c>
      <c r="B97" s="5"/>
      <c r="C97" s="5">
        <v>-559</v>
      </c>
      <c r="D97" s="5">
        <v>-279</v>
      </c>
      <c r="E97" s="5">
        <v>-233</v>
      </c>
      <c r="F97" s="5">
        <v>-273</v>
      </c>
      <c r="G97" s="5">
        <v>-485</v>
      </c>
      <c r="H97" s="93"/>
      <c r="I97" s="93"/>
      <c r="J97" s="93"/>
      <c r="K97" s="93"/>
      <c r="L97" s="5">
        <v>-492</v>
      </c>
      <c r="M97" s="93"/>
      <c r="N97" s="93"/>
      <c r="O97" s="93"/>
      <c r="P97" s="93"/>
      <c r="Q97" s="5">
        <v>-227</v>
      </c>
      <c r="R97" s="93"/>
      <c r="S97" s="93"/>
      <c r="T97" s="93"/>
      <c r="U97" s="93"/>
      <c r="V97" s="5">
        <v>-503</v>
      </c>
      <c r="W97" s="93"/>
      <c r="X97" s="93"/>
      <c r="Y97" s="93"/>
      <c r="Z97" s="93"/>
      <c r="AA97" s="5">
        <v>3</v>
      </c>
      <c r="AB97" s="93"/>
      <c r="AC97" s="93"/>
      <c r="AD97" s="93"/>
      <c r="AE97" s="93"/>
      <c r="AF97" s="5">
        <v>-52</v>
      </c>
      <c r="AG97" s="93"/>
      <c r="AH97" s="93"/>
      <c r="AI97" s="93"/>
      <c r="AJ97" s="93"/>
      <c r="AK97" s="5">
        <v>-72</v>
      </c>
      <c r="AL97" s="93"/>
      <c r="AM97" s="93"/>
      <c r="AN97" s="93"/>
      <c r="AO97" s="93"/>
      <c r="AP97" s="5">
        <v>-92</v>
      </c>
      <c r="AQ97" s="93"/>
      <c r="AR97" s="93"/>
      <c r="AS97" s="93"/>
      <c r="AT97" s="93"/>
      <c r="AU97" s="5">
        <v>35</v>
      </c>
      <c r="AV97" s="93"/>
      <c r="AW97" s="93"/>
      <c r="AX97" s="93"/>
      <c r="AY97" s="93"/>
      <c r="AZ97" s="5">
        <v>234</v>
      </c>
      <c r="BA97" s="93"/>
      <c r="BB97" s="93"/>
      <c r="BC97" s="93"/>
      <c r="BD97" s="93"/>
      <c r="BE97" s="5">
        <v>273</v>
      </c>
      <c r="BF97" s="93"/>
      <c r="BG97" s="93"/>
      <c r="BH97" s="93"/>
      <c r="BI97" s="93"/>
      <c r="BJ97" s="5">
        <v>351</v>
      </c>
      <c r="BK97" s="93"/>
      <c r="BL97" s="93"/>
      <c r="BM97" s="93"/>
      <c r="BN97" s="93"/>
      <c r="BO97" s="5">
        <v>37</v>
      </c>
      <c r="BP97" s="93"/>
      <c r="BQ97" s="93"/>
      <c r="BR97" s="93"/>
      <c r="BS97" s="93"/>
      <c r="BT97" s="93"/>
      <c r="BU97" s="93"/>
      <c r="BV97" s="93"/>
      <c r="BW97" s="93"/>
      <c r="BX97" s="93"/>
      <c r="BY97" s="93"/>
      <c r="BZ97" s="93"/>
      <c r="CA97" s="93"/>
      <c r="CB97" s="93"/>
      <c r="CC97" s="93"/>
      <c r="CD97" s="93"/>
    </row>
    <row r="98" spans="1:82" hidden="1" outlineLevel="1">
      <c r="A98" s="4" t="s">
        <v>2158</v>
      </c>
      <c r="B98" s="5"/>
      <c r="C98" s="5">
        <v>-25</v>
      </c>
      <c r="D98" s="5">
        <v>-315</v>
      </c>
      <c r="E98" s="5">
        <v>151</v>
      </c>
      <c r="F98" s="5">
        <v>211</v>
      </c>
      <c r="G98" s="5">
        <v>-1857</v>
      </c>
      <c r="H98" s="93"/>
      <c r="I98" s="93"/>
      <c r="J98" s="93"/>
      <c r="K98" s="93"/>
      <c r="L98" s="5">
        <v>867</v>
      </c>
      <c r="M98" s="93"/>
      <c r="N98" s="93"/>
      <c r="O98" s="93"/>
      <c r="P98" s="93"/>
      <c r="Q98" s="5">
        <v>419</v>
      </c>
      <c r="R98" s="93"/>
      <c r="S98" s="93"/>
      <c r="T98" s="93"/>
      <c r="U98" s="93"/>
      <c r="V98" s="5">
        <v>28</v>
      </c>
      <c r="W98" s="93"/>
      <c r="X98" s="93"/>
      <c r="Y98" s="93"/>
      <c r="Z98" s="93"/>
      <c r="AA98" s="5">
        <v>1259</v>
      </c>
      <c r="AB98" s="93"/>
      <c r="AC98" s="93"/>
      <c r="AD98" s="93"/>
      <c r="AE98" s="93"/>
      <c r="AF98" s="5">
        <v>316</v>
      </c>
      <c r="AG98" s="93"/>
      <c r="AH98" s="93"/>
      <c r="AI98" s="93"/>
      <c r="AJ98" s="93"/>
      <c r="AK98" s="5">
        <v>1357</v>
      </c>
      <c r="AL98" s="93"/>
      <c r="AM98" s="93"/>
      <c r="AN98" s="93"/>
      <c r="AO98" s="93"/>
      <c r="AP98" s="5">
        <v>1474</v>
      </c>
      <c r="AQ98" s="93"/>
      <c r="AR98" s="93"/>
      <c r="AS98" s="93"/>
      <c r="AT98" s="93"/>
      <c r="AU98" s="5">
        <v>1731</v>
      </c>
      <c r="AV98" s="93"/>
      <c r="AW98" s="93"/>
      <c r="AX98" s="93"/>
      <c r="AY98" s="93"/>
      <c r="AZ98" s="5">
        <v>1515</v>
      </c>
      <c r="BA98" s="93"/>
      <c r="BB98" s="93"/>
      <c r="BC98" s="93"/>
      <c r="BD98" s="93"/>
      <c r="BE98" s="5">
        <v>795</v>
      </c>
      <c r="BF98" s="93"/>
      <c r="BG98" s="93"/>
      <c r="BH98" s="93"/>
      <c r="BI98" s="93"/>
      <c r="BJ98" s="5">
        <v>215</v>
      </c>
      <c r="BK98" s="93"/>
      <c r="BL98" s="93"/>
      <c r="BM98" s="93"/>
      <c r="BN98" s="93"/>
      <c r="BO98" s="5">
        <v>272</v>
      </c>
      <c r="BP98" s="93"/>
      <c r="BQ98" s="93"/>
      <c r="BR98" s="93"/>
      <c r="BS98" s="93"/>
      <c r="BT98" s="93"/>
      <c r="BU98" s="93"/>
      <c r="BV98" s="93"/>
      <c r="BW98" s="93"/>
      <c r="BX98" s="93"/>
      <c r="BY98" s="93"/>
      <c r="BZ98" s="93"/>
      <c r="CA98" s="93"/>
      <c r="CB98" s="93"/>
      <c r="CC98" s="93"/>
      <c r="CD98" s="93"/>
    </row>
    <row r="99" spans="1:82" hidden="1" outlineLevel="1">
      <c r="A99" s="4" t="s">
        <v>2154</v>
      </c>
      <c r="B99" s="5"/>
      <c r="C99" s="5">
        <v>-1353</v>
      </c>
      <c r="D99" s="5">
        <v>-1875</v>
      </c>
      <c r="E99" s="5">
        <v>-1530</v>
      </c>
      <c r="F99" s="5">
        <v>-1524</v>
      </c>
      <c r="G99" s="5">
        <v>-1548</v>
      </c>
      <c r="H99" s="93"/>
      <c r="I99" s="93"/>
      <c r="J99" s="93"/>
      <c r="K99" s="93"/>
      <c r="L99" s="5">
        <v>-1612</v>
      </c>
      <c r="M99" s="93"/>
      <c r="N99" s="93"/>
      <c r="O99" s="93"/>
      <c r="P99" s="93"/>
      <c r="Q99" s="5">
        <v>-1569</v>
      </c>
      <c r="R99" s="93"/>
      <c r="S99" s="93"/>
      <c r="T99" s="93"/>
      <c r="U99" s="93"/>
      <c r="V99" s="5">
        <v>-1049</v>
      </c>
      <c r="W99" s="93"/>
      <c r="X99" s="93"/>
      <c r="Y99" s="93"/>
      <c r="Z99" s="93"/>
      <c r="AA99" s="5">
        <v>-1148</v>
      </c>
      <c r="AB99" s="93"/>
      <c r="AC99" s="93"/>
      <c r="AD99" s="93"/>
      <c r="AE99" s="93"/>
      <c r="AF99" s="5">
        <v>-897</v>
      </c>
      <c r="AG99" s="93"/>
      <c r="AH99" s="93"/>
      <c r="AI99" s="93"/>
      <c r="AJ99" s="93"/>
      <c r="AK99" s="5">
        <v>-874</v>
      </c>
      <c r="AL99" s="93"/>
      <c r="AM99" s="93"/>
      <c r="AN99" s="93"/>
      <c r="AO99" s="93"/>
      <c r="AP99" s="5">
        <v>-1102</v>
      </c>
      <c r="AQ99" s="93"/>
      <c r="AR99" s="93"/>
      <c r="AS99" s="93"/>
      <c r="AT99" s="93"/>
      <c r="AU99" s="5">
        <v>-504</v>
      </c>
      <c r="AV99" s="93"/>
      <c r="AW99" s="93"/>
      <c r="AX99" s="93"/>
      <c r="AY99" s="93"/>
      <c r="AZ99" s="5">
        <v>-506</v>
      </c>
      <c r="BA99" s="93"/>
      <c r="BB99" s="93"/>
      <c r="BC99" s="93"/>
      <c r="BD99" s="93"/>
      <c r="BE99" s="5">
        <v>-949</v>
      </c>
      <c r="BF99" s="93"/>
      <c r="BG99" s="93"/>
      <c r="BH99" s="93"/>
      <c r="BI99" s="93"/>
      <c r="BJ99" s="5">
        <v>-1002</v>
      </c>
      <c r="BK99" s="93"/>
      <c r="BL99" s="93"/>
      <c r="BM99" s="93"/>
      <c r="BN99" s="93"/>
      <c r="BO99" s="5">
        <v>-1190</v>
      </c>
      <c r="BP99" s="93"/>
      <c r="BQ99" s="93"/>
      <c r="BR99" s="93"/>
      <c r="BS99" s="93"/>
      <c r="BT99" s="93"/>
      <c r="BU99" s="93"/>
      <c r="BV99" s="93"/>
      <c r="BW99" s="93"/>
      <c r="BX99" s="93"/>
      <c r="BY99" s="93"/>
      <c r="BZ99" s="93"/>
      <c r="CA99" s="93"/>
      <c r="CB99" s="93"/>
      <c r="CC99" s="93"/>
      <c r="CD99" s="93"/>
    </row>
    <row r="100" spans="1:82" hidden="1" outlineLevel="1">
      <c r="A100" s="4" t="s">
        <v>2159</v>
      </c>
      <c r="B100" s="5"/>
      <c r="C100" s="5">
        <v>-12</v>
      </c>
      <c r="D100" s="5">
        <v>-32</v>
      </c>
      <c r="E100" s="5">
        <v>533</v>
      </c>
      <c r="F100" s="5">
        <v>-21</v>
      </c>
      <c r="G100" s="5">
        <v>-44</v>
      </c>
      <c r="H100" s="93"/>
      <c r="I100" s="93"/>
      <c r="J100" s="93"/>
      <c r="K100" s="93"/>
      <c r="L100" s="5">
        <v>450</v>
      </c>
      <c r="M100" s="93"/>
      <c r="N100" s="93"/>
      <c r="O100" s="93"/>
      <c r="P100" s="93"/>
      <c r="Q100" s="5">
        <v>-112</v>
      </c>
      <c r="R100" s="93"/>
      <c r="S100" s="93"/>
      <c r="T100" s="93"/>
      <c r="U100" s="93"/>
      <c r="V100" s="5">
        <v>0</v>
      </c>
      <c r="W100" s="93"/>
      <c r="X100" s="93"/>
      <c r="Y100" s="93"/>
      <c r="Z100" s="93"/>
      <c r="AA100" s="5">
        <v>122</v>
      </c>
      <c r="AB100" s="93"/>
      <c r="AC100" s="93"/>
      <c r="AD100" s="93"/>
      <c r="AE100" s="93"/>
      <c r="AF100" s="5">
        <v>1</v>
      </c>
      <c r="AG100" s="93"/>
      <c r="AH100" s="93"/>
      <c r="AI100" s="93"/>
      <c r="AJ100" s="93"/>
      <c r="AK100" s="5">
        <v>-26</v>
      </c>
      <c r="AL100" s="93"/>
      <c r="AM100" s="93"/>
      <c r="AN100" s="93"/>
      <c r="AO100" s="93"/>
      <c r="AP100" s="5">
        <v>-373</v>
      </c>
      <c r="AQ100" s="93"/>
      <c r="AR100" s="93"/>
      <c r="AS100" s="93"/>
      <c r="AT100" s="93"/>
      <c r="AU100" s="5">
        <v>-118</v>
      </c>
      <c r="AV100" s="93"/>
      <c r="AW100" s="93"/>
      <c r="AX100" s="93"/>
      <c r="AY100" s="93"/>
      <c r="AZ100" s="5">
        <v>-2537</v>
      </c>
      <c r="BA100" s="93"/>
      <c r="BB100" s="93"/>
      <c r="BC100" s="93"/>
      <c r="BD100" s="93"/>
      <c r="BE100" s="5">
        <v>390</v>
      </c>
      <c r="BF100" s="93"/>
      <c r="BG100" s="93"/>
      <c r="BH100" s="93"/>
      <c r="BI100" s="93"/>
      <c r="BJ100" s="5">
        <v>809</v>
      </c>
      <c r="BK100" s="93"/>
      <c r="BL100" s="93"/>
      <c r="BM100" s="93"/>
      <c r="BN100" s="93"/>
      <c r="BO100" s="5">
        <v>-133</v>
      </c>
      <c r="BP100" s="93"/>
      <c r="BQ100" s="93"/>
      <c r="BR100" s="93"/>
      <c r="BS100" s="93"/>
      <c r="BT100" s="93"/>
      <c r="BU100" s="93"/>
      <c r="BV100" s="93"/>
      <c r="BW100" s="93"/>
      <c r="BX100" s="93"/>
      <c r="BY100" s="93"/>
      <c r="BZ100" s="93"/>
      <c r="CA100" s="93"/>
      <c r="CB100" s="93"/>
      <c r="CC100" s="93"/>
      <c r="CD100" s="93"/>
    </row>
    <row r="101" spans="1:82" hidden="1" outlineLevel="1">
      <c r="A101" s="7" t="s">
        <v>2160</v>
      </c>
      <c r="B101" s="8"/>
      <c r="C101" s="8">
        <f>C93+SUM(C95:C100)</f>
        <v>3141</v>
      </c>
      <c r="D101" s="8">
        <f>D93+SUM(D95:D100)</f>
        <v>2070</v>
      </c>
      <c r="E101" s="8">
        <f>E93+SUM(E95:E100)</f>
        <v>3237</v>
      </c>
      <c r="F101" s="8">
        <f>F93+SUM(F95:F100)</f>
        <v>3348</v>
      </c>
      <c r="G101" s="8">
        <f>G93+SUM(G95:G100)</f>
        <v>2077</v>
      </c>
      <c r="H101" s="93"/>
      <c r="I101" s="93"/>
      <c r="J101" s="93"/>
      <c r="K101" s="93"/>
      <c r="L101" s="8">
        <f>L93+SUM(L95:L100)</f>
        <v>5588</v>
      </c>
      <c r="M101" s="93"/>
      <c r="N101" s="93"/>
      <c r="O101" s="93"/>
      <c r="P101" s="93"/>
      <c r="Q101" s="8">
        <f>Q93+SUM(Q95:Q100)</f>
        <v>3570</v>
      </c>
      <c r="R101" s="93"/>
      <c r="S101" s="93"/>
      <c r="T101" s="93"/>
      <c r="U101" s="93"/>
      <c r="V101" s="8">
        <f>V93+SUM(V95:V100)</f>
        <v>5237</v>
      </c>
      <c r="W101" s="93"/>
      <c r="X101" s="93"/>
      <c r="Y101" s="93"/>
      <c r="Z101" s="93"/>
      <c r="AA101" s="8">
        <f>AA93+SUM(AA95:AA100)</f>
        <v>3655</v>
      </c>
      <c r="AB101" s="93"/>
      <c r="AC101" s="93"/>
      <c r="AD101" s="93"/>
      <c r="AE101" s="93"/>
      <c r="AF101" s="8">
        <f>AF93+SUM(AF95:AF100)</f>
        <v>3145</v>
      </c>
      <c r="AG101" s="93"/>
      <c r="AH101" s="93"/>
      <c r="AI101" s="93"/>
      <c r="AJ101" s="93"/>
      <c r="AK101" s="8">
        <f>AK93+SUM(AK95:AK100)</f>
        <v>4468</v>
      </c>
      <c r="AL101" s="93"/>
      <c r="AM101" s="93"/>
      <c r="AN101" s="93"/>
      <c r="AO101" s="93"/>
      <c r="AP101" s="8">
        <f>SUM(AP93:AP100)</f>
        <v>3062</v>
      </c>
      <c r="AQ101" s="93"/>
      <c r="AR101" s="93"/>
      <c r="AS101" s="93"/>
      <c r="AT101" s="93"/>
      <c r="AU101" s="8">
        <f>SUM(AU93:AU100)</f>
        <v>2552</v>
      </c>
      <c r="AV101" s="93"/>
      <c r="AW101" s="93"/>
      <c r="AX101" s="93"/>
      <c r="AY101" s="93"/>
      <c r="AZ101" s="8">
        <f>SUM(AZ93:AZ100)</f>
        <v>-769</v>
      </c>
      <c r="BA101" s="93"/>
      <c r="BB101" s="93"/>
      <c r="BC101" s="93"/>
      <c r="BD101" s="93"/>
      <c r="BE101" s="8">
        <f>SUM(BE93:BE100)</f>
        <v>1160</v>
      </c>
      <c r="BF101" s="93"/>
      <c r="BG101" s="93"/>
      <c r="BH101" s="93"/>
      <c r="BI101" s="93"/>
      <c r="BJ101" s="8">
        <f>SUM(BJ93:BJ100)</f>
        <v>1252</v>
      </c>
      <c r="BK101" s="93"/>
      <c r="BL101" s="93"/>
      <c r="BM101" s="93"/>
      <c r="BN101" s="93"/>
      <c r="BO101" s="8">
        <f>SUM(BO93:BO100)</f>
        <v>-25</v>
      </c>
      <c r="BP101" s="93"/>
      <c r="BQ101" s="93"/>
      <c r="BR101" s="93"/>
      <c r="BS101" s="93"/>
      <c r="BT101" s="93"/>
      <c r="BU101" s="93"/>
      <c r="BV101" s="93"/>
      <c r="BW101" s="93"/>
      <c r="BX101" s="93"/>
      <c r="BY101" s="93"/>
      <c r="BZ101" s="93"/>
      <c r="CA101" s="93"/>
      <c r="CB101" s="93"/>
      <c r="CC101" s="93"/>
      <c r="CD101" s="93"/>
    </row>
    <row r="102" spans="1:82" hidden="1" outlineLevel="1">
      <c r="A102" s="4"/>
      <c r="B102" s="5"/>
      <c r="C102" s="5"/>
      <c r="D102" s="5"/>
      <c r="E102" s="5"/>
      <c r="F102" s="5"/>
      <c r="G102" s="5"/>
      <c r="H102" s="12"/>
      <c r="I102" s="12"/>
      <c r="J102" s="12"/>
      <c r="K102" s="12"/>
      <c r="L102" s="5"/>
      <c r="M102" s="12"/>
      <c r="N102" s="12"/>
      <c r="O102" s="12"/>
      <c r="P102" s="12"/>
      <c r="Q102" s="5"/>
      <c r="R102" s="12"/>
      <c r="S102" s="12"/>
      <c r="T102" s="12"/>
      <c r="U102" s="12"/>
      <c r="V102" s="5"/>
      <c r="W102" s="12"/>
      <c r="X102" s="12"/>
      <c r="Y102" s="12"/>
      <c r="Z102" s="12"/>
      <c r="AA102" s="5"/>
      <c r="AB102" s="12"/>
      <c r="AC102" s="12"/>
      <c r="AD102" s="12"/>
      <c r="AE102" s="12"/>
      <c r="AF102" s="5"/>
      <c r="AG102" s="12"/>
      <c r="AH102" s="12"/>
      <c r="AI102" s="12"/>
      <c r="AJ102" s="12"/>
      <c r="AK102" s="5"/>
      <c r="AL102" s="12"/>
      <c r="AM102" s="12"/>
      <c r="AN102" s="12"/>
      <c r="AO102" s="12"/>
      <c r="AP102" s="5"/>
      <c r="AQ102" s="12"/>
      <c r="AR102" s="12"/>
      <c r="AS102" s="12"/>
      <c r="AT102" s="12"/>
      <c r="AU102" s="5"/>
      <c r="AV102" s="12"/>
      <c r="AW102" s="12"/>
      <c r="AX102" s="12"/>
      <c r="AY102" s="12"/>
      <c r="AZ102" s="5"/>
      <c r="BA102" s="12"/>
      <c r="BB102" s="12"/>
      <c r="BC102" s="12"/>
      <c r="BD102" s="12"/>
      <c r="BE102" s="5"/>
      <c r="BF102" s="12"/>
      <c r="BG102" s="12"/>
      <c r="BH102" s="12"/>
      <c r="BI102" s="12"/>
      <c r="BJ102" s="5"/>
      <c r="BK102" s="12"/>
      <c r="BL102" s="12"/>
      <c r="BM102" s="12"/>
      <c r="BN102" s="12"/>
      <c r="BO102" s="5"/>
      <c r="BP102" s="12"/>
      <c r="BQ102" s="12"/>
      <c r="BR102" s="12"/>
      <c r="BS102" s="12"/>
      <c r="BT102" s="12"/>
      <c r="BU102" s="12"/>
      <c r="BV102" s="12"/>
      <c r="BW102" s="12"/>
      <c r="BX102" s="12"/>
      <c r="BY102" s="12"/>
      <c r="BZ102" s="12"/>
      <c r="CA102" s="12"/>
      <c r="CB102" s="12"/>
      <c r="CC102" s="12"/>
      <c r="CD102" s="12"/>
    </row>
    <row r="103" spans="1:82" hidden="1" outlineLevel="1">
      <c r="A103" s="4" t="s">
        <v>2152</v>
      </c>
      <c r="B103" s="5"/>
      <c r="C103" s="5">
        <v>-1026</v>
      </c>
      <c r="D103" s="5">
        <v>-1327</v>
      </c>
      <c r="E103" s="5">
        <v>-1306</v>
      </c>
      <c r="F103" s="5">
        <v>-1242</v>
      </c>
      <c r="G103" s="5">
        <v>-405</v>
      </c>
      <c r="H103" s="93"/>
      <c r="I103" s="93"/>
      <c r="J103" s="93"/>
      <c r="K103" s="93"/>
      <c r="L103" s="5">
        <v>-2567</v>
      </c>
      <c r="M103" s="93"/>
      <c r="N103" s="93"/>
      <c r="O103" s="93"/>
      <c r="P103" s="93"/>
      <c r="Q103" s="5">
        <v>-1664</v>
      </c>
      <c r="R103" s="93"/>
      <c r="S103" s="93"/>
      <c r="T103" s="93"/>
      <c r="U103" s="93"/>
      <c r="V103" s="5">
        <v>-2280</v>
      </c>
      <c r="W103" s="93"/>
      <c r="X103" s="93"/>
      <c r="Y103" s="93"/>
      <c r="Z103" s="93"/>
      <c r="AA103" s="5">
        <v>-1568</v>
      </c>
      <c r="AB103" s="93"/>
      <c r="AC103" s="93"/>
      <c r="AD103" s="93"/>
      <c r="AE103" s="93"/>
      <c r="AF103" s="5">
        <v>-1333</v>
      </c>
      <c r="AG103" s="93"/>
      <c r="AH103" s="93"/>
      <c r="AI103" s="93"/>
      <c r="AJ103" s="93"/>
      <c r="AK103" s="5">
        <v>-2483</v>
      </c>
      <c r="AL103" s="93"/>
      <c r="AM103" s="93"/>
      <c r="AN103" s="93"/>
      <c r="AO103" s="93"/>
      <c r="AP103" s="5">
        <v>-1121</v>
      </c>
      <c r="AQ103" s="93"/>
      <c r="AR103" s="93"/>
      <c r="AS103" s="93"/>
      <c r="AT103" s="93"/>
      <c r="AU103" s="5">
        <v>-554</v>
      </c>
      <c r="AV103" s="93"/>
      <c r="AW103" s="93"/>
      <c r="AX103" s="93"/>
      <c r="AY103" s="93"/>
      <c r="AZ103" s="5">
        <v>1383</v>
      </c>
      <c r="BA103" s="93"/>
      <c r="BB103" s="93"/>
      <c r="BC103" s="93"/>
      <c r="BD103" s="93"/>
      <c r="BE103" s="5">
        <v>930</v>
      </c>
      <c r="BF103" s="93"/>
      <c r="BG103" s="93"/>
      <c r="BH103" s="93"/>
      <c r="BI103" s="93"/>
      <c r="BJ103" s="5">
        <v>286</v>
      </c>
      <c r="BK103" s="93"/>
      <c r="BL103" s="93"/>
      <c r="BM103" s="93"/>
      <c r="BN103" s="93"/>
      <c r="BO103" s="5">
        <v>104</v>
      </c>
      <c r="BP103" s="93"/>
      <c r="BQ103" s="93"/>
      <c r="BR103" s="93"/>
      <c r="BS103" s="93"/>
      <c r="BT103" s="93"/>
      <c r="BU103" s="93"/>
      <c r="BV103" s="93"/>
      <c r="BW103" s="93"/>
      <c r="BX103" s="93"/>
      <c r="BY103" s="93"/>
      <c r="BZ103" s="93"/>
      <c r="CA103" s="93"/>
      <c r="CB103" s="93"/>
      <c r="CC103" s="93"/>
      <c r="CD103" s="93"/>
    </row>
    <row r="104" spans="1:82" hidden="1" outlineLevel="1">
      <c r="A104" s="14" t="s">
        <v>2153</v>
      </c>
      <c r="B104" s="15"/>
      <c r="C104" s="15">
        <f>SUM(C101,C103)</f>
        <v>2115</v>
      </c>
      <c r="D104" s="15">
        <f>SUM(D101,D103)</f>
        <v>743</v>
      </c>
      <c r="E104" s="15">
        <f>SUM(E101,E103)</f>
        <v>1931</v>
      </c>
      <c r="F104" s="174">
        <f>SUM(F101,F103)</f>
        <v>2106</v>
      </c>
      <c r="G104" s="15">
        <f>SUM(G101,G103)</f>
        <v>1672</v>
      </c>
      <c r="H104" s="378"/>
      <c r="I104" s="378"/>
      <c r="J104" s="378"/>
      <c r="K104" s="378"/>
      <c r="L104" s="15">
        <f>SUM(L101,L103)</f>
        <v>3021</v>
      </c>
      <c r="M104" s="378"/>
      <c r="N104" s="378"/>
      <c r="O104" s="378"/>
      <c r="P104" s="378"/>
      <c r="Q104" s="15">
        <f>SUM(Q101,Q103)</f>
        <v>1906</v>
      </c>
      <c r="R104" s="378"/>
      <c r="S104" s="378"/>
      <c r="T104" s="378"/>
      <c r="U104" s="378"/>
      <c r="V104" s="15">
        <f>SUM(V101,V103)</f>
        <v>2957</v>
      </c>
      <c r="W104" s="378"/>
      <c r="X104" s="378"/>
      <c r="Y104" s="378"/>
      <c r="Z104" s="378"/>
      <c r="AA104" s="15">
        <f>SUM(AA101,AA103)</f>
        <v>2087</v>
      </c>
      <c r="AB104" s="378"/>
      <c r="AC104" s="378"/>
      <c r="AD104" s="378"/>
      <c r="AE104" s="378"/>
      <c r="AF104" s="15">
        <f>SUM(AF101,AF103)</f>
        <v>1812</v>
      </c>
      <c r="AG104" s="378"/>
      <c r="AH104" s="378"/>
      <c r="AI104" s="378"/>
      <c r="AJ104" s="378"/>
      <c r="AK104" s="15">
        <f>SUM(AK101,AK103)</f>
        <v>1985</v>
      </c>
      <c r="AL104" s="378"/>
      <c r="AM104" s="378"/>
      <c r="AN104" s="378"/>
      <c r="AO104" s="378"/>
      <c r="AP104" s="15">
        <f>SUM(AP101,AP103)</f>
        <v>1941</v>
      </c>
      <c r="AQ104" s="378"/>
      <c r="AR104" s="378"/>
      <c r="AS104" s="378"/>
      <c r="AT104" s="378"/>
      <c r="AU104" s="15">
        <f>SUM(AU101,AU103)</f>
        <v>1998</v>
      </c>
      <c r="AV104" s="378"/>
      <c r="AW104" s="378"/>
      <c r="AX104" s="378"/>
      <c r="AY104" s="378"/>
      <c r="AZ104" s="15">
        <f>SUM(AZ101,AZ103)</f>
        <v>614</v>
      </c>
      <c r="BA104" s="378"/>
      <c r="BB104" s="378"/>
      <c r="BC104" s="378"/>
      <c r="BD104" s="378"/>
      <c r="BE104" s="15">
        <f>SUM(BE101,BE103)</f>
        <v>2090</v>
      </c>
      <c r="BF104" s="378"/>
      <c r="BG104" s="378"/>
      <c r="BH104" s="378"/>
      <c r="BI104" s="378"/>
      <c r="BJ104" s="15">
        <f>SUM(BJ101,BJ103)</f>
        <v>1538</v>
      </c>
      <c r="BK104" s="378"/>
      <c r="BL104" s="378"/>
      <c r="BM104" s="378"/>
      <c r="BN104" s="378"/>
      <c r="BO104" s="15">
        <f>SUM(BO101,BO103)</f>
        <v>79</v>
      </c>
      <c r="BP104" s="378"/>
      <c r="BQ104" s="378"/>
      <c r="BR104" s="378"/>
      <c r="BS104" s="378"/>
      <c r="BT104" s="378"/>
      <c r="BU104" s="378"/>
      <c r="BV104" s="378"/>
      <c r="BW104" s="378"/>
      <c r="BX104" s="378"/>
      <c r="BY104" s="378"/>
      <c r="BZ104" s="378"/>
      <c r="CA104" s="378"/>
      <c r="CB104" s="378"/>
      <c r="CC104" s="378"/>
      <c r="CD104" s="378"/>
    </row>
    <row r="105" spans="1:82" hidden="1" outlineLevel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</row>
    <row r="106" spans="1:82" hidden="1" outlineLevel="1">
      <c r="A106" s="5"/>
      <c r="B106" s="5"/>
      <c r="C106" s="5"/>
      <c r="D106" s="5"/>
      <c r="E106" s="49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</row>
    <row r="107" spans="1:82" hidden="1" outlineLevel="1">
      <c r="A107" s="5"/>
      <c r="B107" s="5"/>
      <c r="C107" s="5"/>
      <c r="D107" s="5"/>
      <c r="E107" s="49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</row>
    <row r="108" spans="1:82" hidden="1" outlineLevel="1">
      <c r="A108" s="24" t="s">
        <v>1671</v>
      </c>
      <c r="B108" s="4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</row>
    <row r="109" spans="1:82" hidden="1" outlineLevel="1">
      <c r="A109" s="10"/>
      <c r="B109" s="10"/>
      <c r="C109" s="31">
        <v>2001</v>
      </c>
      <c r="D109" s="32">
        <v>2002</v>
      </c>
      <c r="E109" s="32">
        <v>2003</v>
      </c>
      <c r="F109" s="32">
        <v>2004</v>
      </c>
      <c r="G109" s="31">
        <v>2005</v>
      </c>
      <c r="H109" s="33" t="str">
        <f>H90</f>
        <v>1Q06</v>
      </c>
      <c r="I109" s="33" t="str">
        <f>I90</f>
        <v>2Q06</v>
      </c>
      <c r="J109" s="33" t="str">
        <f>J90</f>
        <v>3Q06</v>
      </c>
      <c r="K109" s="33" t="str">
        <f>K90</f>
        <v>4Q06</v>
      </c>
      <c r="L109" s="31">
        <v>2006</v>
      </c>
      <c r="M109" s="33" t="str">
        <f>M90</f>
        <v>1Q07</v>
      </c>
      <c r="N109" s="33" t="str">
        <f>N90</f>
        <v>2Q07</v>
      </c>
      <c r="O109" s="33" t="str">
        <f>O90</f>
        <v>3Q07</v>
      </c>
      <c r="P109" s="33" t="str">
        <f>P90</f>
        <v>4Q07</v>
      </c>
      <c r="Q109" s="31">
        <v>2007</v>
      </c>
      <c r="R109" s="33" t="str">
        <f>R90</f>
        <v>1Q08</v>
      </c>
      <c r="S109" s="33" t="str">
        <f>S90</f>
        <v>2Q08</v>
      </c>
      <c r="T109" s="33" t="str">
        <f>T90</f>
        <v>3Q08</v>
      </c>
      <c r="U109" s="33" t="str">
        <f>U90</f>
        <v>4Q08</v>
      </c>
      <c r="V109" s="31">
        <v>2008</v>
      </c>
      <c r="W109" s="33" t="str">
        <f>W90</f>
        <v>1Q09</v>
      </c>
      <c r="X109" s="33" t="str">
        <f>X90</f>
        <v>2Q09</v>
      </c>
      <c r="Y109" s="33" t="str">
        <f>Y90</f>
        <v>3Q09</v>
      </c>
      <c r="Z109" s="33" t="str">
        <f>Z90</f>
        <v>4Q09</v>
      </c>
      <c r="AA109" s="31">
        <v>2009</v>
      </c>
      <c r="AB109" s="33" t="str">
        <f>AB90</f>
        <v>1Q10</v>
      </c>
      <c r="AC109" s="33" t="str">
        <f>AC90</f>
        <v>2Q10</v>
      </c>
      <c r="AD109" s="33" t="str">
        <f>AD90</f>
        <v>3Q10</v>
      </c>
      <c r="AE109" s="33" t="str">
        <f>AE90</f>
        <v>4Q10</v>
      </c>
      <c r="AF109" s="31">
        <v>2010</v>
      </c>
      <c r="AG109" s="33" t="str">
        <f>AG90</f>
        <v>1Q11</v>
      </c>
      <c r="AH109" s="33" t="str">
        <f>AH90</f>
        <v>2Q11</v>
      </c>
      <c r="AI109" s="33" t="str">
        <f>AI90</f>
        <v>3Q11</v>
      </c>
      <c r="AJ109" s="33" t="str">
        <f>AJ90</f>
        <v>4Q11</v>
      </c>
      <c r="AK109" s="31">
        <v>2011</v>
      </c>
      <c r="AL109" s="33" t="s">
        <v>2397</v>
      </c>
      <c r="AM109" s="33" t="s">
        <v>2398</v>
      </c>
      <c r="AN109" s="33" t="s">
        <v>2399</v>
      </c>
      <c r="AO109" s="33" t="s">
        <v>2400</v>
      </c>
      <c r="AP109" s="31">
        <v>2012</v>
      </c>
      <c r="AQ109" s="33" t="s">
        <v>2401</v>
      </c>
      <c r="AR109" s="33" t="s">
        <v>2402</v>
      </c>
      <c r="AS109" s="33" t="s">
        <v>2403</v>
      </c>
      <c r="AT109" s="33" t="s">
        <v>2404</v>
      </c>
      <c r="AU109" s="31">
        <v>2013</v>
      </c>
      <c r="AV109" s="33" t="s">
        <v>2405</v>
      </c>
      <c r="AW109" s="33" t="s">
        <v>2406</v>
      </c>
      <c r="AX109" s="33" t="s">
        <v>2407</v>
      </c>
      <c r="AY109" s="33" t="s">
        <v>2408</v>
      </c>
      <c r="AZ109" s="31">
        <v>2014</v>
      </c>
      <c r="BA109" s="33" t="str">
        <f t="shared" ref="BA109:BI109" si="65">BA$8</f>
        <v>1Q15</v>
      </c>
      <c r="BB109" s="33" t="str">
        <f t="shared" si="65"/>
        <v>2Q15</v>
      </c>
      <c r="BC109" s="33" t="str">
        <f t="shared" si="65"/>
        <v>3Q15</v>
      </c>
      <c r="BD109" s="33" t="str">
        <f t="shared" si="65"/>
        <v>4Q15</v>
      </c>
      <c r="BE109" s="31">
        <f t="shared" si="65"/>
        <v>2015</v>
      </c>
      <c r="BF109" s="33" t="str">
        <f t="shared" si="65"/>
        <v>1Q16</v>
      </c>
      <c r="BG109" s="33" t="str">
        <f t="shared" si="65"/>
        <v>2Q16</v>
      </c>
      <c r="BH109" s="33" t="str">
        <f t="shared" si="65"/>
        <v>3Q16</v>
      </c>
      <c r="BI109" s="33" t="str">
        <f t="shared" si="65"/>
        <v>4Q16</v>
      </c>
      <c r="BJ109" s="31">
        <v>2016</v>
      </c>
      <c r="BK109" s="33" t="s">
        <v>2417</v>
      </c>
      <c r="BL109" s="33" t="s">
        <v>2418</v>
      </c>
      <c r="BM109" s="33" t="s">
        <v>2419</v>
      </c>
      <c r="BN109" s="33" t="s">
        <v>2420</v>
      </c>
      <c r="BO109" s="31">
        <f>BO90</f>
        <v>2017</v>
      </c>
      <c r="BP109" s="33" t="s">
        <v>2244</v>
      </c>
      <c r="BQ109" s="33" t="s">
        <v>2245</v>
      </c>
      <c r="BR109" s="33" t="s">
        <v>2508</v>
      </c>
      <c r="BS109" s="33" t="s">
        <v>2509</v>
      </c>
      <c r="BT109" s="31">
        <v>2018</v>
      </c>
      <c r="BU109" s="33" t="s">
        <v>2510</v>
      </c>
      <c r="BV109" s="33" t="s">
        <v>2511</v>
      </c>
      <c r="BW109" s="33" t="s">
        <v>3125</v>
      </c>
      <c r="BX109" s="33" t="s">
        <v>1405</v>
      </c>
      <c r="BY109" s="31">
        <v>2019</v>
      </c>
      <c r="BZ109" s="33" t="s">
        <v>1406</v>
      </c>
      <c r="CA109" s="33" t="s">
        <v>1407</v>
      </c>
      <c r="CB109" s="33" t="s">
        <v>1408</v>
      </c>
      <c r="CC109" s="33" t="s">
        <v>1409</v>
      </c>
      <c r="CD109" s="31">
        <v>2020</v>
      </c>
    </row>
    <row r="110" spans="1:82" hidden="1" outlineLevel="1">
      <c r="A110" s="4" t="s">
        <v>2156</v>
      </c>
      <c r="B110" s="5"/>
      <c r="C110" s="5">
        <v>564</v>
      </c>
      <c r="D110" s="5">
        <v>465</v>
      </c>
      <c r="E110" s="5">
        <v>441</v>
      </c>
      <c r="F110" s="5">
        <v>626</v>
      </c>
      <c r="G110" s="5">
        <v>635</v>
      </c>
      <c r="H110" s="93"/>
      <c r="I110" s="93"/>
      <c r="J110" s="93"/>
      <c r="K110" s="93"/>
      <c r="L110" s="5">
        <v>628</v>
      </c>
      <c r="M110" s="93"/>
      <c r="N110" s="93"/>
      <c r="O110" s="93"/>
      <c r="P110" s="93"/>
      <c r="Q110" s="5">
        <v>434</v>
      </c>
      <c r="R110" s="93"/>
      <c r="S110" s="93"/>
      <c r="T110" s="93"/>
      <c r="U110" s="93"/>
      <c r="V110" s="5">
        <v>105</v>
      </c>
      <c r="W110" s="93"/>
      <c r="X110" s="93"/>
      <c r="Y110" s="93"/>
      <c r="Z110" s="93"/>
      <c r="AA110" s="5">
        <v>68</v>
      </c>
      <c r="AB110" s="93"/>
      <c r="AC110" s="93"/>
      <c r="AD110" s="93"/>
      <c r="AE110" s="93"/>
      <c r="AF110" s="5">
        <v>58</v>
      </c>
      <c r="AG110" s="93"/>
      <c r="AH110" s="93"/>
      <c r="AI110" s="93"/>
      <c r="AJ110" s="93"/>
      <c r="AK110" s="5">
        <v>0</v>
      </c>
      <c r="AL110" s="93"/>
      <c r="AM110" s="93"/>
      <c r="AN110" s="93"/>
      <c r="AO110" s="93"/>
      <c r="AP110" s="5">
        <v>76</v>
      </c>
      <c r="AQ110" s="93"/>
      <c r="AR110" s="93"/>
      <c r="AS110" s="93"/>
      <c r="AT110" s="93"/>
      <c r="AU110" s="5">
        <v>183</v>
      </c>
      <c r="AV110" s="93"/>
      <c r="AW110" s="93"/>
      <c r="AX110" s="93"/>
      <c r="AY110" s="93"/>
      <c r="AZ110" s="5">
        <v>77</v>
      </c>
      <c r="BA110" s="93"/>
      <c r="BB110" s="93"/>
      <c r="BC110" s="93"/>
      <c r="BD110" s="93"/>
      <c r="BE110" s="5">
        <v>209</v>
      </c>
      <c r="BF110" s="93"/>
      <c r="BG110" s="93"/>
      <c r="BH110" s="93"/>
      <c r="BI110" s="93"/>
      <c r="BJ110" s="5">
        <v>26</v>
      </c>
      <c r="BK110" s="93"/>
      <c r="BL110" s="93"/>
      <c r="BM110" s="93"/>
      <c r="BN110" s="93"/>
      <c r="BO110" s="5">
        <v>0</v>
      </c>
      <c r="BP110" s="93"/>
      <c r="BQ110" s="93"/>
      <c r="BR110" s="93"/>
      <c r="BS110" s="93"/>
      <c r="BT110" s="93"/>
      <c r="BU110" s="93"/>
      <c r="BV110" s="93"/>
      <c r="BW110" s="93"/>
      <c r="BX110" s="93"/>
      <c r="BY110" s="93"/>
      <c r="BZ110" s="93"/>
      <c r="CA110" s="93"/>
      <c r="CB110" s="93"/>
      <c r="CC110" s="93"/>
      <c r="CD110" s="93"/>
    </row>
    <row r="111" spans="1:82" hidden="1" outlineLevel="1">
      <c r="A111" s="4" t="s">
        <v>2157</v>
      </c>
      <c r="B111" s="5"/>
      <c r="C111" s="5">
        <v>462</v>
      </c>
      <c r="D111" s="5">
        <v>594</v>
      </c>
      <c r="E111" s="5">
        <v>568</v>
      </c>
      <c r="F111" s="5">
        <v>609</v>
      </c>
      <c r="G111" s="5">
        <v>976</v>
      </c>
      <c r="H111" s="93"/>
      <c r="I111" s="93"/>
      <c r="J111" s="93"/>
      <c r="K111" s="93"/>
      <c r="L111" s="5">
        <v>1024</v>
      </c>
      <c r="M111" s="93"/>
      <c r="N111" s="93"/>
      <c r="O111" s="93"/>
      <c r="P111" s="93"/>
      <c r="Q111" s="5">
        <v>902</v>
      </c>
      <c r="R111" s="93"/>
      <c r="S111" s="93"/>
      <c r="T111" s="93"/>
      <c r="U111" s="93"/>
      <c r="V111" s="5">
        <v>1416</v>
      </c>
      <c r="W111" s="93"/>
      <c r="X111" s="93"/>
      <c r="Y111" s="93"/>
      <c r="Z111" s="93"/>
      <c r="AA111" s="5">
        <v>809</v>
      </c>
      <c r="AB111" s="93"/>
      <c r="AC111" s="93"/>
      <c r="AD111" s="93"/>
      <c r="AE111" s="93"/>
      <c r="AF111" s="5">
        <v>1134</v>
      </c>
      <c r="AG111" s="93"/>
      <c r="AH111" s="93"/>
      <c r="AI111" s="93"/>
      <c r="AJ111" s="93"/>
      <c r="AK111" s="5">
        <v>1273</v>
      </c>
      <c r="AL111" s="93"/>
      <c r="AM111" s="93"/>
      <c r="AN111" s="93"/>
      <c r="AO111" s="93"/>
      <c r="AP111" s="5">
        <v>783</v>
      </c>
      <c r="AQ111" s="93"/>
      <c r="AR111" s="93"/>
      <c r="AS111" s="93"/>
      <c r="AT111" s="93"/>
      <c r="AU111" s="5">
        <v>1280</v>
      </c>
      <c r="AV111" s="93"/>
      <c r="AW111" s="93"/>
      <c r="AX111" s="93"/>
      <c r="AY111" s="93"/>
      <c r="AZ111" s="5">
        <v>1662</v>
      </c>
      <c r="BA111" s="93"/>
      <c r="BB111" s="93"/>
      <c r="BC111" s="93"/>
      <c r="BD111" s="93"/>
      <c r="BE111" s="5">
        <v>718</v>
      </c>
      <c r="BF111" s="93"/>
      <c r="BG111" s="93"/>
      <c r="BH111" s="93"/>
      <c r="BI111" s="93"/>
      <c r="BJ111" s="5">
        <v>421</v>
      </c>
      <c r="BK111" s="93"/>
      <c r="BL111" s="93"/>
      <c r="BM111" s="93"/>
      <c r="BN111" s="93"/>
      <c r="BO111" s="5">
        <v>0</v>
      </c>
      <c r="BP111" s="93"/>
      <c r="BQ111" s="93"/>
      <c r="BR111" s="93"/>
      <c r="BS111" s="93"/>
      <c r="BT111" s="93"/>
      <c r="BU111" s="93"/>
      <c r="BV111" s="93"/>
      <c r="BW111" s="93"/>
      <c r="BX111" s="93"/>
      <c r="BY111" s="93"/>
      <c r="BZ111" s="93"/>
      <c r="CA111" s="93"/>
      <c r="CB111" s="93"/>
      <c r="CC111" s="93"/>
      <c r="CD111" s="93"/>
    </row>
    <row r="112" spans="1:82" hidden="1" outlineLevel="1">
      <c r="A112" s="7" t="s">
        <v>2155</v>
      </c>
      <c r="B112" s="8"/>
      <c r="C112" s="8">
        <f>C110+C111</f>
        <v>1026</v>
      </c>
      <c r="D112" s="8">
        <f>D110+D111</f>
        <v>1059</v>
      </c>
      <c r="E112" s="8">
        <f>E110+E111</f>
        <v>1009</v>
      </c>
      <c r="F112" s="8">
        <f>F110+F111</f>
        <v>1235</v>
      </c>
      <c r="G112" s="8">
        <f>G110+G111</f>
        <v>1611</v>
      </c>
      <c r="H112" s="93"/>
      <c r="I112" s="93"/>
      <c r="J112" s="93"/>
      <c r="K112" s="93"/>
      <c r="L112" s="8">
        <f>L110+L111</f>
        <v>1652</v>
      </c>
      <c r="M112" s="93"/>
      <c r="N112" s="93"/>
      <c r="O112" s="93"/>
      <c r="P112" s="93"/>
      <c r="Q112" s="8">
        <f>Q110+Q111</f>
        <v>1336</v>
      </c>
      <c r="R112" s="93"/>
      <c r="S112" s="93"/>
      <c r="T112" s="93"/>
      <c r="U112" s="93"/>
      <c r="V112" s="8">
        <f>V110+V111</f>
        <v>1521</v>
      </c>
      <c r="W112" s="93"/>
      <c r="X112" s="93"/>
      <c r="Y112" s="93"/>
      <c r="Z112" s="93"/>
      <c r="AA112" s="8">
        <f>AA110+AA111</f>
        <v>877</v>
      </c>
      <c r="AB112" s="93"/>
      <c r="AC112" s="93"/>
      <c r="AD112" s="93"/>
      <c r="AE112" s="93"/>
      <c r="AF112" s="8">
        <f>AF110+AF111</f>
        <v>1192</v>
      </c>
      <c r="AG112" s="93"/>
      <c r="AH112" s="93"/>
      <c r="AI112" s="93"/>
      <c r="AJ112" s="93"/>
      <c r="AK112" s="8">
        <f>AK110+AK111</f>
        <v>1273</v>
      </c>
      <c r="AL112" s="93"/>
      <c r="AM112" s="93"/>
      <c r="AN112" s="93"/>
      <c r="AO112" s="93"/>
      <c r="AP112" s="8">
        <f>AP110+AP111</f>
        <v>859</v>
      </c>
      <c r="AQ112" s="93"/>
      <c r="AR112" s="93"/>
      <c r="AS112" s="93"/>
      <c r="AT112" s="93"/>
      <c r="AU112" s="8">
        <f>AU110+AU111</f>
        <v>1463</v>
      </c>
      <c r="AV112" s="93"/>
      <c r="AW112" s="93"/>
      <c r="AX112" s="93"/>
      <c r="AY112" s="93"/>
      <c r="AZ112" s="8">
        <f>AZ110+AZ111</f>
        <v>1739</v>
      </c>
      <c r="BA112" s="93"/>
      <c r="BB112" s="93"/>
      <c r="BC112" s="93"/>
      <c r="BD112" s="93"/>
      <c r="BE112" s="8">
        <f>BE110+BE111</f>
        <v>927</v>
      </c>
      <c r="BF112" s="93"/>
      <c r="BG112" s="93"/>
      <c r="BH112" s="93"/>
      <c r="BI112" s="93"/>
      <c r="BJ112" s="8">
        <f>BJ110+BJ111</f>
        <v>447</v>
      </c>
      <c r="BK112" s="93"/>
      <c r="BL112" s="93"/>
      <c r="BM112" s="93"/>
      <c r="BN112" s="93"/>
      <c r="BO112" s="8">
        <f>BO110+BO111</f>
        <v>0</v>
      </c>
      <c r="BP112" s="93"/>
      <c r="BQ112" s="93"/>
      <c r="BR112" s="93"/>
      <c r="BS112" s="93"/>
      <c r="BT112" s="93"/>
      <c r="BU112" s="93"/>
      <c r="BV112" s="93"/>
      <c r="BW112" s="93"/>
      <c r="BX112" s="93"/>
      <c r="BY112" s="93"/>
      <c r="BZ112" s="93"/>
      <c r="CA112" s="93"/>
      <c r="CB112" s="93"/>
      <c r="CC112" s="93"/>
      <c r="CD112" s="93"/>
    </row>
    <row r="113" spans="1:90" hidden="1" outlineLevel="1">
      <c r="A113" s="4"/>
      <c r="B113" s="5"/>
      <c r="C113" s="5"/>
      <c r="D113" s="5"/>
      <c r="E113" s="5"/>
      <c r="F113" s="5"/>
      <c r="G113" s="5"/>
      <c r="H113" s="12"/>
      <c r="I113" s="12"/>
      <c r="J113" s="12"/>
      <c r="K113" s="12"/>
      <c r="L113" s="5"/>
      <c r="M113" s="12"/>
      <c r="N113" s="12"/>
      <c r="O113" s="12"/>
      <c r="P113" s="12"/>
      <c r="Q113" s="5"/>
      <c r="R113" s="12"/>
      <c r="S113" s="12"/>
      <c r="T113" s="12"/>
      <c r="U113" s="12"/>
      <c r="V113" s="5"/>
      <c r="W113" s="12"/>
      <c r="X113" s="12"/>
      <c r="Y113" s="12"/>
      <c r="Z113" s="12"/>
      <c r="AA113" s="5"/>
      <c r="AB113" s="12"/>
      <c r="AC113" s="12"/>
      <c r="AD113" s="12"/>
      <c r="AE113" s="12"/>
      <c r="AF113" s="5"/>
      <c r="AG113" s="12"/>
      <c r="AH113" s="12"/>
      <c r="AI113" s="12"/>
      <c r="AJ113" s="12"/>
      <c r="AK113" s="5"/>
      <c r="AL113" s="12"/>
      <c r="AM113" s="12"/>
      <c r="AN113" s="12"/>
      <c r="AO113" s="12"/>
      <c r="AP113" s="5"/>
      <c r="AQ113" s="12"/>
      <c r="AR113" s="12"/>
      <c r="AS113" s="12"/>
      <c r="AT113" s="12"/>
      <c r="AU113" s="5"/>
      <c r="AV113" s="12"/>
      <c r="AW113" s="12"/>
      <c r="AX113" s="12"/>
      <c r="AY113" s="12"/>
      <c r="AZ113" s="5"/>
      <c r="BA113" s="12"/>
      <c r="BB113" s="12"/>
      <c r="BC113" s="12"/>
      <c r="BD113" s="12"/>
      <c r="BE113" s="5"/>
      <c r="BF113" s="12"/>
      <c r="BG113" s="12"/>
      <c r="BH113" s="12"/>
      <c r="BI113" s="12"/>
      <c r="BJ113" s="5"/>
      <c r="BK113" s="12"/>
      <c r="BL113" s="12"/>
      <c r="BM113" s="12"/>
      <c r="BN113" s="12"/>
      <c r="BO113" s="5"/>
      <c r="BP113" s="12"/>
      <c r="BQ113" s="12"/>
      <c r="BR113" s="12"/>
      <c r="BS113" s="12"/>
      <c r="BT113" s="12"/>
      <c r="BU113" s="12"/>
      <c r="BV113" s="12"/>
      <c r="BW113" s="12"/>
      <c r="BX113" s="12"/>
      <c r="BY113" s="12"/>
      <c r="BZ113" s="12"/>
      <c r="CA113" s="12"/>
      <c r="CB113" s="12"/>
      <c r="CC113" s="12"/>
      <c r="CD113" s="12"/>
    </row>
    <row r="114" spans="1:90" hidden="1" outlineLevel="1">
      <c r="A114" s="4" t="s">
        <v>1897</v>
      </c>
      <c r="B114" s="5"/>
      <c r="C114" s="5">
        <v>-22</v>
      </c>
      <c r="D114" s="5">
        <v>-47</v>
      </c>
      <c r="E114" s="5">
        <v>-37</v>
      </c>
      <c r="F114" s="5">
        <v>-25</v>
      </c>
      <c r="G114" s="5">
        <v>-1</v>
      </c>
      <c r="H114" s="93"/>
      <c r="I114" s="93"/>
      <c r="J114" s="93"/>
      <c r="K114" s="93"/>
      <c r="L114" s="5">
        <v>1</v>
      </c>
      <c r="M114" s="93"/>
      <c r="N114" s="93"/>
      <c r="O114" s="93"/>
      <c r="P114" s="93"/>
      <c r="Q114" s="5">
        <v>0</v>
      </c>
      <c r="R114" s="93"/>
      <c r="S114" s="93"/>
      <c r="T114" s="93"/>
      <c r="U114" s="93"/>
      <c r="V114" s="5">
        <v>-1</v>
      </c>
      <c r="W114" s="93"/>
      <c r="X114" s="93"/>
      <c r="Y114" s="93"/>
      <c r="Z114" s="93"/>
      <c r="AA114" s="5">
        <v>0</v>
      </c>
      <c r="AB114" s="93"/>
      <c r="AC114" s="93"/>
      <c r="AD114" s="93"/>
      <c r="AE114" s="93"/>
      <c r="AF114" s="5">
        <v>2</v>
      </c>
      <c r="AG114" s="93"/>
      <c r="AH114" s="93"/>
      <c r="AI114" s="93"/>
      <c r="AJ114" s="93"/>
      <c r="AK114" s="5">
        <v>-1</v>
      </c>
      <c r="AL114" s="93"/>
      <c r="AM114" s="93"/>
      <c r="AN114" s="93"/>
      <c r="AO114" s="93"/>
      <c r="AP114" s="5">
        <v>-29</v>
      </c>
      <c r="AQ114" s="93"/>
      <c r="AR114" s="93"/>
      <c r="AS114" s="93"/>
      <c r="AT114" s="93"/>
      <c r="AU114" s="5">
        <v>-17</v>
      </c>
      <c r="AV114" s="93"/>
      <c r="AW114" s="93"/>
      <c r="AX114" s="93"/>
      <c r="AY114" s="93"/>
      <c r="AZ114" s="5">
        <v>-47</v>
      </c>
      <c r="BA114" s="93"/>
      <c r="BB114" s="93"/>
      <c r="BC114" s="93"/>
      <c r="BD114" s="93"/>
      <c r="BE114" s="5">
        <v>-8</v>
      </c>
      <c r="BF114" s="93"/>
      <c r="BG114" s="93"/>
      <c r="BH114" s="93"/>
      <c r="BI114" s="93"/>
      <c r="BJ114" s="5">
        <v>-3</v>
      </c>
      <c r="BK114" s="93"/>
      <c r="BL114" s="93"/>
      <c r="BM114" s="93"/>
      <c r="BN114" s="93"/>
      <c r="BO114" s="5">
        <v>0</v>
      </c>
      <c r="BP114" s="93"/>
      <c r="BQ114" s="93"/>
      <c r="BR114" s="93"/>
      <c r="BS114" s="93"/>
      <c r="BT114" s="93"/>
      <c r="BU114" s="93"/>
      <c r="BV114" s="93"/>
      <c r="BW114" s="93"/>
      <c r="BX114" s="93"/>
      <c r="BY114" s="93"/>
      <c r="BZ114" s="93"/>
      <c r="CA114" s="93"/>
      <c r="CB114" s="93"/>
      <c r="CC114" s="93"/>
      <c r="CD114" s="93"/>
    </row>
    <row r="115" spans="1:90" hidden="1" outlineLevel="1">
      <c r="A115" s="4" t="s">
        <v>2149</v>
      </c>
      <c r="B115" s="5"/>
      <c r="C115" s="5">
        <v>-91</v>
      </c>
      <c r="D115" s="5">
        <v>-104</v>
      </c>
      <c r="E115" s="5">
        <v>-113</v>
      </c>
      <c r="F115" s="5">
        <v>-117</v>
      </c>
      <c r="G115" s="5">
        <v>-118</v>
      </c>
      <c r="H115" s="93"/>
      <c r="I115" s="93"/>
      <c r="J115" s="93"/>
      <c r="K115" s="93"/>
      <c r="L115" s="5">
        <v>-145</v>
      </c>
      <c r="M115" s="93"/>
      <c r="N115" s="93"/>
      <c r="O115" s="93"/>
      <c r="P115" s="93"/>
      <c r="Q115" s="5">
        <v>-147</v>
      </c>
      <c r="R115" s="93"/>
      <c r="S115" s="93"/>
      <c r="T115" s="93"/>
      <c r="U115" s="93"/>
      <c r="V115" s="5">
        <v>-150</v>
      </c>
      <c r="W115" s="93"/>
      <c r="X115" s="93"/>
      <c r="Y115" s="93"/>
      <c r="Z115" s="93"/>
      <c r="AA115" s="5">
        <v>-164</v>
      </c>
      <c r="AB115" s="93"/>
      <c r="AC115" s="93"/>
      <c r="AD115" s="93"/>
      <c r="AE115" s="93"/>
      <c r="AF115" s="5">
        <v>-152</v>
      </c>
      <c r="AG115" s="93"/>
      <c r="AH115" s="93"/>
      <c r="AI115" s="93"/>
      <c r="AJ115" s="93"/>
      <c r="AK115" s="5">
        <v>-230</v>
      </c>
      <c r="AL115" s="93"/>
      <c r="AM115" s="93"/>
      <c r="AN115" s="93"/>
      <c r="AO115" s="93"/>
      <c r="AP115" s="5">
        <v>-348</v>
      </c>
      <c r="AQ115" s="93"/>
      <c r="AR115" s="93"/>
      <c r="AS115" s="93"/>
      <c r="AT115" s="93"/>
      <c r="AU115" s="5">
        <v>-430</v>
      </c>
      <c r="AV115" s="93"/>
      <c r="AW115" s="93"/>
      <c r="AX115" s="93"/>
      <c r="AY115" s="93"/>
      <c r="AZ115" s="5">
        <v>-436</v>
      </c>
      <c r="BA115" s="93"/>
      <c r="BB115" s="93"/>
      <c r="BC115" s="93"/>
      <c r="BD115" s="93"/>
      <c r="BE115" s="5">
        <v>-313</v>
      </c>
      <c r="BF115" s="93"/>
      <c r="BG115" s="93"/>
      <c r="BH115" s="93"/>
      <c r="BI115" s="93"/>
      <c r="BJ115" s="5">
        <v>-208</v>
      </c>
      <c r="BK115" s="93"/>
      <c r="BL115" s="93"/>
      <c r="BM115" s="93"/>
      <c r="BN115" s="93"/>
      <c r="BO115" s="5">
        <v>0</v>
      </c>
      <c r="BP115" s="93"/>
      <c r="BQ115" s="93"/>
      <c r="BR115" s="93"/>
      <c r="BS115" s="93"/>
      <c r="BT115" s="93"/>
      <c r="BU115" s="93"/>
      <c r="BV115" s="93"/>
      <c r="BW115" s="93"/>
      <c r="BX115" s="93"/>
      <c r="BY115" s="93"/>
      <c r="BZ115" s="93"/>
      <c r="CA115" s="93"/>
      <c r="CB115" s="93"/>
      <c r="CC115" s="93"/>
      <c r="CD115" s="93"/>
    </row>
    <row r="116" spans="1:90" hidden="1" outlineLevel="1">
      <c r="A116" s="4" t="s">
        <v>2150</v>
      </c>
      <c r="B116" s="5"/>
      <c r="C116" s="5">
        <v>-17</v>
      </c>
      <c r="D116" s="5">
        <v>-7</v>
      </c>
      <c r="E116" s="5">
        <v>-14</v>
      </c>
      <c r="F116" s="5">
        <v>-30</v>
      </c>
      <c r="G116" s="5">
        <v>-33</v>
      </c>
      <c r="H116" s="93"/>
      <c r="I116" s="93"/>
      <c r="J116" s="93"/>
      <c r="K116" s="93"/>
      <c r="L116" s="5">
        <v>-38</v>
      </c>
      <c r="M116" s="93"/>
      <c r="N116" s="93"/>
      <c r="O116" s="93"/>
      <c r="P116" s="93"/>
      <c r="Q116" s="5">
        <v>-3</v>
      </c>
      <c r="R116" s="93"/>
      <c r="S116" s="93"/>
      <c r="T116" s="93"/>
      <c r="U116" s="93"/>
      <c r="V116" s="5">
        <v>0</v>
      </c>
      <c r="W116" s="93"/>
      <c r="X116" s="93"/>
      <c r="Y116" s="93"/>
      <c r="Z116" s="93"/>
      <c r="AA116" s="5">
        <v>0</v>
      </c>
      <c r="AB116" s="93"/>
      <c r="AC116" s="93"/>
      <c r="AD116" s="93"/>
      <c r="AE116" s="93"/>
      <c r="AF116" s="5">
        <v>0</v>
      </c>
      <c r="AG116" s="93"/>
      <c r="AH116" s="93"/>
      <c r="AI116" s="93"/>
      <c r="AJ116" s="93"/>
      <c r="AK116" s="5">
        <v>0</v>
      </c>
      <c r="AL116" s="93"/>
      <c r="AM116" s="93"/>
      <c r="AN116" s="93"/>
      <c r="AO116" s="93"/>
      <c r="AP116" s="5">
        <v>0</v>
      </c>
      <c r="AQ116" s="93"/>
      <c r="AR116" s="93"/>
      <c r="AS116" s="93"/>
      <c r="AT116" s="93"/>
      <c r="AU116" s="5">
        <v>0</v>
      </c>
      <c r="AV116" s="93"/>
      <c r="AW116" s="93"/>
      <c r="AX116" s="93"/>
      <c r="AY116" s="93"/>
      <c r="AZ116" s="5"/>
      <c r="BA116" s="93"/>
      <c r="BB116" s="93"/>
      <c r="BC116" s="93"/>
      <c r="BD116" s="93"/>
      <c r="BE116" s="5">
        <v>0</v>
      </c>
      <c r="BF116" s="93"/>
      <c r="BG116" s="93"/>
      <c r="BH116" s="93"/>
      <c r="BI116" s="93"/>
      <c r="BJ116" s="5">
        <v>0</v>
      </c>
      <c r="BK116" s="93"/>
      <c r="BL116" s="93"/>
      <c r="BM116" s="93"/>
      <c r="BN116" s="93"/>
      <c r="BO116" s="5">
        <v>0</v>
      </c>
      <c r="BP116" s="93"/>
      <c r="BQ116" s="93"/>
      <c r="BR116" s="93"/>
      <c r="BS116" s="93"/>
      <c r="BT116" s="93"/>
      <c r="BU116" s="93"/>
      <c r="BV116" s="93"/>
      <c r="BW116" s="93"/>
      <c r="BX116" s="93"/>
      <c r="BY116" s="93"/>
      <c r="BZ116" s="93"/>
      <c r="CA116" s="93"/>
      <c r="CB116" s="93"/>
      <c r="CC116" s="93"/>
      <c r="CD116" s="93"/>
    </row>
    <row r="117" spans="1:90" hidden="1" outlineLevel="1">
      <c r="A117" s="4" t="s">
        <v>2158</v>
      </c>
      <c r="B117" s="5"/>
      <c r="C117" s="5">
        <v>-33</v>
      </c>
      <c r="D117" s="5">
        <v>-36</v>
      </c>
      <c r="E117" s="5">
        <v>-57</v>
      </c>
      <c r="F117" s="5">
        <v>-38</v>
      </c>
      <c r="G117" s="5">
        <v>55</v>
      </c>
      <c r="H117" s="93"/>
      <c r="I117" s="93"/>
      <c r="J117" s="93"/>
      <c r="K117" s="93"/>
      <c r="L117" s="5">
        <v>-90</v>
      </c>
      <c r="M117" s="93"/>
      <c r="N117" s="93"/>
      <c r="O117" s="93"/>
      <c r="P117" s="93"/>
      <c r="Q117" s="5">
        <v>-123</v>
      </c>
      <c r="R117" s="93"/>
      <c r="S117" s="93"/>
      <c r="T117" s="93"/>
      <c r="U117" s="93"/>
      <c r="V117" s="5">
        <v>43</v>
      </c>
      <c r="W117" s="93"/>
      <c r="X117" s="93"/>
      <c r="Y117" s="93"/>
      <c r="Z117" s="93"/>
      <c r="AA117" s="5">
        <v>-51</v>
      </c>
      <c r="AB117" s="93"/>
      <c r="AC117" s="93"/>
      <c r="AD117" s="93"/>
      <c r="AE117" s="93"/>
      <c r="AF117" s="5">
        <v>-76</v>
      </c>
      <c r="AG117" s="93"/>
      <c r="AH117" s="93"/>
      <c r="AI117" s="93"/>
      <c r="AJ117" s="93"/>
      <c r="AK117" s="5">
        <v>-101</v>
      </c>
      <c r="AL117" s="93"/>
      <c r="AM117" s="93"/>
      <c r="AN117" s="93"/>
      <c r="AO117" s="93"/>
      <c r="AP117" s="5">
        <v>-78</v>
      </c>
      <c r="AQ117" s="93"/>
      <c r="AR117" s="93"/>
      <c r="AS117" s="93"/>
      <c r="AT117" s="93"/>
      <c r="AU117" s="5">
        <v>-86</v>
      </c>
      <c r="AV117" s="93"/>
      <c r="AW117" s="93"/>
      <c r="AX117" s="93"/>
      <c r="AY117" s="93"/>
      <c r="AZ117" s="5">
        <v>-77</v>
      </c>
      <c r="BA117" s="93"/>
      <c r="BB117" s="93"/>
      <c r="BC117" s="93"/>
      <c r="BD117" s="93"/>
      <c r="BE117" s="5">
        <v>-92</v>
      </c>
      <c r="BF117" s="93"/>
      <c r="BG117" s="93"/>
      <c r="BH117" s="93"/>
      <c r="BI117" s="93"/>
      <c r="BJ117" s="5">
        <v>-37</v>
      </c>
      <c r="BK117" s="93"/>
      <c r="BL117" s="93"/>
      <c r="BM117" s="93"/>
      <c r="BN117" s="93"/>
      <c r="BO117" s="5">
        <v>-2</v>
      </c>
      <c r="BP117" s="93"/>
      <c r="BQ117" s="93"/>
      <c r="BR117" s="93"/>
      <c r="BS117" s="93"/>
      <c r="BT117" s="93"/>
      <c r="BU117" s="93"/>
      <c r="BV117" s="93"/>
      <c r="BW117" s="93"/>
      <c r="BX117" s="93"/>
      <c r="BY117" s="93"/>
      <c r="BZ117" s="93"/>
      <c r="CA117" s="93"/>
      <c r="CB117" s="93"/>
      <c r="CC117" s="93"/>
      <c r="CD117" s="93"/>
    </row>
    <row r="118" spans="1:90" hidden="1" outlineLevel="1">
      <c r="A118" s="4" t="s">
        <v>2154</v>
      </c>
      <c r="B118" s="5"/>
      <c r="C118" s="5">
        <v>-115</v>
      </c>
      <c r="D118" s="5">
        <v>-154</v>
      </c>
      <c r="E118" s="5">
        <v>-167</v>
      </c>
      <c r="F118" s="5">
        <v>-172</v>
      </c>
      <c r="G118" s="5">
        <v>-220</v>
      </c>
      <c r="H118" s="93"/>
      <c r="I118" s="93"/>
      <c r="J118" s="93"/>
      <c r="K118" s="93"/>
      <c r="L118" s="5">
        <v>-213</v>
      </c>
      <c r="M118" s="93"/>
      <c r="N118" s="93"/>
      <c r="O118" s="93"/>
      <c r="P118" s="93"/>
      <c r="Q118" s="5">
        <v>-207</v>
      </c>
      <c r="R118" s="93"/>
      <c r="S118" s="93"/>
      <c r="T118" s="93"/>
      <c r="U118" s="93"/>
      <c r="V118" s="5">
        <v>-199</v>
      </c>
      <c r="W118" s="93"/>
      <c r="X118" s="93"/>
      <c r="Y118" s="93"/>
      <c r="Z118" s="93"/>
      <c r="AA118" s="5">
        <v>-185</v>
      </c>
      <c r="AB118" s="93"/>
      <c r="AC118" s="93"/>
      <c r="AD118" s="93"/>
      <c r="AE118" s="93"/>
      <c r="AF118" s="5">
        <v>-209</v>
      </c>
      <c r="AG118" s="93"/>
      <c r="AH118" s="93"/>
      <c r="AI118" s="93"/>
      <c r="AJ118" s="93"/>
      <c r="AK118" s="5">
        <v>-199</v>
      </c>
      <c r="AL118" s="93"/>
      <c r="AM118" s="93"/>
      <c r="AN118" s="93"/>
      <c r="AO118" s="93"/>
      <c r="AP118" s="5">
        <v>-145</v>
      </c>
      <c r="AQ118" s="93"/>
      <c r="AR118" s="93"/>
      <c r="AS118" s="93"/>
      <c r="AT118" s="93"/>
      <c r="AU118" s="5">
        <v>-490</v>
      </c>
      <c r="AV118" s="93"/>
      <c r="AW118" s="93"/>
      <c r="AX118" s="93"/>
      <c r="AY118" s="93"/>
      <c r="AZ118" s="5">
        <v>-676</v>
      </c>
      <c r="BA118" s="93"/>
      <c r="BB118" s="93"/>
      <c r="BC118" s="93"/>
      <c r="BD118" s="93"/>
      <c r="BE118" s="5">
        <v>-544</v>
      </c>
      <c r="BF118" s="93"/>
      <c r="BG118" s="93"/>
      <c r="BH118" s="93"/>
      <c r="BI118" s="93"/>
      <c r="BJ118" s="5">
        <v>-209</v>
      </c>
      <c r="BK118" s="93"/>
      <c r="BL118" s="93"/>
      <c r="BM118" s="93"/>
      <c r="BN118" s="93"/>
      <c r="BO118" s="5">
        <v>0</v>
      </c>
      <c r="BP118" s="93"/>
      <c r="BQ118" s="93"/>
      <c r="BR118" s="93"/>
      <c r="BS118" s="93"/>
      <c r="BT118" s="93"/>
      <c r="BU118" s="93"/>
      <c r="BV118" s="93"/>
      <c r="BW118" s="93"/>
      <c r="BX118" s="93"/>
      <c r="BY118" s="93"/>
      <c r="BZ118" s="93"/>
      <c r="CA118" s="93"/>
      <c r="CB118" s="93"/>
      <c r="CC118" s="93"/>
      <c r="CD118" s="93"/>
    </row>
    <row r="119" spans="1:90" hidden="1" outlineLevel="1">
      <c r="A119" s="4" t="s">
        <v>610</v>
      </c>
      <c r="B119" s="5"/>
      <c r="C119" s="5">
        <v>8</v>
      </c>
      <c r="D119" s="5">
        <v>13</v>
      </c>
      <c r="E119" s="5">
        <v>-30</v>
      </c>
      <c r="F119" s="5">
        <v>-1</v>
      </c>
      <c r="G119" s="5">
        <v>1038</v>
      </c>
      <c r="H119" s="93"/>
      <c r="I119" s="93"/>
      <c r="J119" s="93"/>
      <c r="K119" s="93"/>
      <c r="L119" s="5">
        <v>57</v>
      </c>
      <c r="M119" s="93"/>
      <c r="N119" s="93"/>
      <c r="O119" s="93"/>
      <c r="P119" s="93"/>
      <c r="Q119" s="5">
        <v>534</v>
      </c>
      <c r="R119" s="93"/>
      <c r="S119" s="93"/>
      <c r="T119" s="93"/>
      <c r="U119" s="93"/>
      <c r="V119" s="5">
        <v>0</v>
      </c>
      <c r="W119" s="93"/>
      <c r="X119" s="93"/>
      <c r="Y119" s="93"/>
      <c r="Z119" s="93"/>
      <c r="AA119" s="5">
        <v>7</v>
      </c>
      <c r="AB119" s="93"/>
      <c r="AC119" s="93"/>
      <c r="AD119" s="93"/>
      <c r="AE119" s="93"/>
      <c r="AF119" s="5">
        <v>0</v>
      </c>
      <c r="AG119" s="93"/>
      <c r="AH119" s="93"/>
      <c r="AI119" s="93"/>
      <c r="AJ119" s="93"/>
      <c r="AK119" s="5">
        <v>64</v>
      </c>
      <c r="AL119" s="93"/>
      <c r="AM119" s="93"/>
      <c r="AN119" s="93"/>
      <c r="AO119" s="93"/>
      <c r="AP119" s="5">
        <v>-83</v>
      </c>
      <c r="AQ119" s="93"/>
      <c r="AR119" s="93"/>
      <c r="AS119" s="93"/>
      <c r="AT119" s="93"/>
      <c r="AU119" s="5">
        <v>-15</v>
      </c>
      <c r="AV119" s="93"/>
      <c r="AW119" s="93"/>
      <c r="AX119" s="93"/>
      <c r="AY119" s="93"/>
      <c r="AZ119" s="5">
        <v>-2278</v>
      </c>
      <c r="BA119" s="93"/>
      <c r="BB119" s="93"/>
      <c r="BC119" s="93"/>
      <c r="BD119" s="93"/>
      <c r="BE119" s="5">
        <v>-17</v>
      </c>
      <c r="BF119" s="93"/>
      <c r="BG119" s="93"/>
      <c r="BH119" s="93"/>
      <c r="BI119" s="93"/>
      <c r="BJ119" s="5">
        <v>345</v>
      </c>
      <c r="BK119" s="93"/>
      <c r="BL119" s="93"/>
      <c r="BM119" s="93"/>
      <c r="BN119" s="93"/>
      <c r="BO119" s="5">
        <v>12</v>
      </c>
      <c r="BP119" s="93"/>
      <c r="BQ119" s="93"/>
      <c r="BR119" s="93"/>
      <c r="BS119" s="93"/>
      <c r="BT119" s="93"/>
      <c r="BU119" s="93"/>
      <c r="BV119" s="93"/>
      <c r="BW119" s="93"/>
      <c r="BX119" s="93"/>
      <c r="BY119" s="93"/>
      <c r="BZ119" s="93"/>
      <c r="CA119" s="93"/>
      <c r="CB119" s="93"/>
      <c r="CC119" s="93"/>
      <c r="CD119" s="93"/>
    </row>
    <row r="120" spans="1:90" hidden="1" outlineLevel="1">
      <c r="A120" s="7" t="s">
        <v>2160</v>
      </c>
      <c r="B120" s="8"/>
      <c r="C120" s="8">
        <f>C112+SUM(C114:C119)</f>
        <v>756</v>
      </c>
      <c r="D120" s="8">
        <f>D112+SUM(D114:D119)</f>
        <v>724</v>
      </c>
      <c r="E120" s="8">
        <f>E112+SUM(E114:E119)</f>
        <v>591</v>
      </c>
      <c r="F120" s="8">
        <f>F112+SUM(F114:F119)</f>
        <v>852</v>
      </c>
      <c r="G120" s="8">
        <f>G112+SUM(G114:G119)</f>
        <v>2332</v>
      </c>
      <c r="H120" s="93"/>
      <c r="I120" s="93"/>
      <c r="J120" s="93"/>
      <c r="K120" s="93"/>
      <c r="L120" s="8">
        <f>L112+SUM(L114:L119)</f>
        <v>1224</v>
      </c>
      <c r="M120" s="93"/>
      <c r="N120" s="93"/>
      <c r="O120" s="93"/>
      <c r="P120" s="93"/>
      <c r="Q120" s="8">
        <f>Q112+SUM(Q114:Q119)</f>
        <v>1390</v>
      </c>
      <c r="R120" s="93"/>
      <c r="S120" s="93"/>
      <c r="T120" s="93"/>
      <c r="U120" s="93"/>
      <c r="V120" s="8">
        <f>V112+SUM(V114:V119)</f>
        <v>1214</v>
      </c>
      <c r="W120" s="93"/>
      <c r="X120" s="93"/>
      <c r="Y120" s="93"/>
      <c r="Z120" s="93"/>
      <c r="AA120" s="8">
        <f>AA112+SUM(AA114:AA119)</f>
        <v>484</v>
      </c>
      <c r="AB120" s="93"/>
      <c r="AC120" s="93"/>
      <c r="AD120" s="93"/>
      <c r="AE120" s="93"/>
      <c r="AF120" s="8">
        <f>AF112+SUM(AF114:AF119)</f>
        <v>757</v>
      </c>
      <c r="AG120" s="93"/>
      <c r="AH120" s="93"/>
      <c r="AI120" s="93"/>
      <c r="AJ120" s="93"/>
      <c r="AK120" s="8">
        <f>AK112+SUM(AK114:AK119)</f>
        <v>806</v>
      </c>
      <c r="AL120" s="93"/>
      <c r="AM120" s="93"/>
      <c r="AN120" s="93"/>
      <c r="AO120" s="93"/>
      <c r="AP120" s="8">
        <f>AP112+SUM(AP114:AP119)</f>
        <v>176</v>
      </c>
      <c r="AQ120" s="93"/>
      <c r="AR120" s="93"/>
      <c r="AS120" s="93"/>
      <c r="AT120" s="93"/>
      <c r="AU120" s="8">
        <f>AU112+SUM(AU114:AU119)</f>
        <v>425</v>
      </c>
      <c r="AV120" s="93"/>
      <c r="AW120" s="93"/>
      <c r="AX120" s="93"/>
      <c r="AY120" s="93"/>
      <c r="AZ120" s="8">
        <f>AZ112+SUM(AZ114:AZ119)</f>
        <v>-1775</v>
      </c>
      <c r="BA120" s="93"/>
      <c r="BB120" s="93"/>
      <c r="BC120" s="93"/>
      <c r="BD120" s="93"/>
      <c r="BE120" s="8">
        <f>BE112+SUM(BE114:BE119)</f>
        <v>-47</v>
      </c>
      <c r="BF120" s="93"/>
      <c r="BG120" s="93"/>
      <c r="BH120" s="93"/>
      <c r="BI120" s="93"/>
      <c r="BJ120" s="8">
        <f>BJ112+SUM(BJ114:BJ119)</f>
        <v>335</v>
      </c>
      <c r="BK120" s="93"/>
      <c r="BL120" s="93"/>
      <c r="BM120" s="93"/>
      <c r="BN120" s="93"/>
      <c r="BO120" s="8">
        <f>BO112+SUM(BO114:BO119)</f>
        <v>10</v>
      </c>
      <c r="BP120" s="93"/>
      <c r="BQ120" s="93"/>
      <c r="BR120" s="93"/>
      <c r="BS120" s="93"/>
      <c r="BT120" s="93"/>
      <c r="BU120" s="93"/>
      <c r="BV120" s="93"/>
      <c r="BW120" s="93"/>
      <c r="BX120" s="93"/>
      <c r="BY120" s="93"/>
      <c r="BZ120" s="93"/>
      <c r="CA120" s="93"/>
      <c r="CB120" s="93"/>
      <c r="CC120" s="93"/>
      <c r="CD120" s="93"/>
    </row>
    <row r="121" spans="1:90" hidden="1" outlineLevel="1">
      <c r="A121" s="4"/>
      <c r="B121" s="5"/>
      <c r="C121" s="5"/>
      <c r="D121" s="5"/>
      <c r="E121" s="5"/>
      <c r="F121" s="5"/>
      <c r="G121" s="5"/>
      <c r="H121" s="12"/>
      <c r="I121" s="12"/>
      <c r="J121" s="12"/>
      <c r="K121" s="12"/>
      <c r="L121" s="5"/>
      <c r="M121" s="12"/>
      <c r="N121" s="12"/>
      <c r="O121" s="12"/>
      <c r="P121" s="12"/>
      <c r="Q121" s="5"/>
      <c r="R121" s="12"/>
      <c r="S121" s="12"/>
      <c r="T121" s="12"/>
      <c r="U121" s="12"/>
      <c r="V121" s="5"/>
      <c r="W121" s="12"/>
      <c r="X121" s="12"/>
      <c r="Y121" s="12"/>
      <c r="Z121" s="12"/>
      <c r="AA121" s="5"/>
      <c r="AB121" s="12"/>
      <c r="AC121" s="12"/>
      <c r="AD121" s="12"/>
      <c r="AE121" s="12"/>
      <c r="AF121" s="5"/>
      <c r="AG121" s="12"/>
      <c r="AH121" s="12"/>
      <c r="AI121" s="12"/>
      <c r="AJ121" s="12"/>
      <c r="AK121" s="5"/>
      <c r="AL121" s="12"/>
      <c r="AM121" s="12"/>
      <c r="AN121" s="12"/>
      <c r="AO121" s="12"/>
      <c r="AP121" s="5"/>
      <c r="AQ121" s="12"/>
      <c r="AR121" s="12"/>
      <c r="AS121" s="12"/>
      <c r="AT121" s="12"/>
      <c r="AU121" s="5"/>
      <c r="AV121" s="12"/>
      <c r="AW121" s="12"/>
      <c r="AX121" s="12"/>
      <c r="AY121" s="12"/>
      <c r="AZ121" s="5"/>
      <c r="BA121" s="12"/>
      <c r="BB121" s="12"/>
      <c r="BC121" s="12"/>
      <c r="BD121" s="12"/>
      <c r="BE121" s="5"/>
      <c r="BF121" s="12"/>
      <c r="BG121" s="12"/>
      <c r="BH121" s="12"/>
      <c r="BI121" s="12"/>
      <c r="BJ121" s="5"/>
      <c r="BK121" s="12"/>
      <c r="BL121" s="12"/>
      <c r="BM121" s="12"/>
      <c r="BN121" s="12"/>
      <c r="BO121" s="5"/>
      <c r="BP121" s="12"/>
      <c r="BQ121" s="12"/>
      <c r="BR121" s="12"/>
      <c r="BS121" s="12"/>
      <c r="BT121" s="12"/>
      <c r="BU121" s="12"/>
      <c r="BV121" s="12"/>
      <c r="BW121" s="12"/>
      <c r="BX121" s="12"/>
      <c r="BY121" s="12"/>
      <c r="BZ121" s="12"/>
      <c r="CA121" s="12"/>
      <c r="CB121" s="12"/>
      <c r="CC121" s="12"/>
      <c r="CD121" s="12"/>
    </row>
    <row r="122" spans="1:90" hidden="1" outlineLevel="1">
      <c r="A122" s="4" t="s">
        <v>2152</v>
      </c>
      <c r="B122" s="5"/>
      <c r="C122" s="5">
        <v>-331</v>
      </c>
      <c r="D122" s="5">
        <v>-412</v>
      </c>
      <c r="E122" s="5">
        <v>-305</v>
      </c>
      <c r="F122" s="5">
        <v>-534</v>
      </c>
      <c r="G122" s="5">
        <v>-880</v>
      </c>
      <c r="H122" s="93"/>
      <c r="I122" s="93"/>
      <c r="J122" s="93"/>
      <c r="K122" s="93"/>
      <c r="L122" s="5">
        <v>-793</v>
      </c>
      <c r="M122" s="93"/>
      <c r="N122" s="93"/>
      <c r="O122" s="93"/>
      <c r="P122" s="93"/>
      <c r="Q122" s="5">
        <v>-611</v>
      </c>
      <c r="R122" s="93"/>
      <c r="S122" s="93"/>
      <c r="T122" s="93"/>
      <c r="U122" s="93"/>
      <c r="V122" s="5">
        <v>-883</v>
      </c>
      <c r="W122" s="93"/>
      <c r="X122" s="93"/>
      <c r="Y122" s="93"/>
      <c r="Z122" s="93"/>
      <c r="AA122" s="5">
        <v>-76</v>
      </c>
      <c r="AB122" s="93"/>
      <c r="AC122" s="93"/>
      <c r="AD122" s="93"/>
      <c r="AE122" s="93"/>
      <c r="AF122" s="5">
        <v>-530</v>
      </c>
      <c r="AG122" s="93"/>
      <c r="AH122" s="93"/>
      <c r="AI122" s="93"/>
      <c r="AJ122" s="93"/>
      <c r="AK122" s="5">
        <v>-384</v>
      </c>
      <c r="AL122" s="93"/>
      <c r="AM122" s="93"/>
      <c r="AN122" s="93"/>
      <c r="AO122" s="93"/>
      <c r="AP122" s="5">
        <v>313</v>
      </c>
      <c r="AQ122" s="93"/>
      <c r="AR122" s="93"/>
      <c r="AS122" s="93"/>
      <c r="AT122" s="93"/>
      <c r="AU122" s="5">
        <v>-475</v>
      </c>
      <c r="AV122" s="93"/>
      <c r="AW122" s="93"/>
      <c r="AX122" s="93"/>
      <c r="AY122" s="93"/>
      <c r="AZ122" s="5">
        <v>1108</v>
      </c>
      <c r="BA122" s="93"/>
      <c r="BB122" s="93"/>
      <c r="BC122" s="93"/>
      <c r="BD122" s="93"/>
      <c r="BE122" s="5">
        <v>-159</v>
      </c>
      <c r="BF122" s="93"/>
      <c r="BG122" s="93"/>
      <c r="BH122" s="93"/>
      <c r="BI122" s="93"/>
      <c r="BJ122" s="5">
        <v>287</v>
      </c>
      <c r="BK122" s="93"/>
      <c r="BL122" s="93"/>
      <c r="BM122" s="93"/>
      <c r="BN122" s="93"/>
      <c r="BO122" s="5">
        <v>0</v>
      </c>
      <c r="BP122" s="93"/>
      <c r="BQ122" s="93"/>
      <c r="BR122" s="93"/>
      <c r="BS122" s="93"/>
      <c r="BT122" s="93"/>
      <c r="BU122" s="93"/>
      <c r="BV122" s="93"/>
      <c r="BW122" s="93"/>
      <c r="BX122" s="93"/>
      <c r="BY122" s="93"/>
      <c r="BZ122" s="93"/>
      <c r="CA122" s="93"/>
      <c r="CB122" s="93"/>
      <c r="CC122" s="93"/>
      <c r="CD122" s="93"/>
    </row>
    <row r="123" spans="1:90" hidden="1" outlineLevel="1">
      <c r="A123" s="14" t="s">
        <v>2153</v>
      </c>
      <c r="B123" s="15"/>
      <c r="C123" s="15">
        <f>SUM(C120,C122)</f>
        <v>425</v>
      </c>
      <c r="D123" s="15">
        <f>SUM(D120,D122)</f>
        <v>312</v>
      </c>
      <c r="E123" s="15">
        <f>SUM(E120,E122)</f>
        <v>286</v>
      </c>
      <c r="F123" s="15">
        <f>SUM(F120,F122)</f>
        <v>318</v>
      </c>
      <c r="G123" s="15">
        <f>SUM(G120,G122)</f>
        <v>1452</v>
      </c>
      <c r="H123" s="378"/>
      <c r="I123" s="378"/>
      <c r="J123" s="378"/>
      <c r="K123" s="378"/>
      <c r="L123" s="15">
        <f>SUM(L120,L122)</f>
        <v>431</v>
      </c>
      <c r="M123" s="378"/>
      <c r="N123" s="378"/>
      <c r="O123" s="378"/>
      <c r="P123" s="378"/>
      <c r="Q123" s="15">
        <f>SUM(Q120,Q122)</f>
        <v>779</v>
      </c>
      <c r="R123" s="378"/>
      <c r="S123" s="378"/>
      <c r="T123" s="378"/>
      <c r="U123" s="378"/>
      <c r="V123" s="15">
        <f>SUM(V120,V122)</f>
        <v>331</v>
      </c>
      <c r="W123" s="378"/>
      <c r="X123" s="378"/>
      <c r="Y123" s="378"/>
      <c r="Z123" s="378"/>
      <c r="AA123" s="15">
        <f>SUM(AA120,AA122)</f>
        <v>408</v>
      </c>
      <c r="AB123" s="378"/>
      <c r="AC123" s="378"/>
      <c r="AD123" s="378"/>
      <c r="AE123" s="378"/>
      <c r="AF123" s="15">
        <f>SUM(AF120,AF122)</f>
        <v>227</v>
      </c>
      <c r="AG123" s="378"/>
      <c r="AH123" s="378"/>
      <c r="AI123" s="378"/>
      <c r="AJ123" s="378"/>
      <c r="AK123" s="15">
        <f>SUM(AK120,AK122)</f>
        <v>422</v>
      </c>
      <c r="AL123" s="378"/>
      <c r="AM123" s="378"/>
      <c r="AN123" s="378"/>
      <c r="AO123" s="378"/>
      <c r="AP123" s="15">
        <f>SUM(AP120,AP122)</f>
        <v>489</v>
      </c>
      <c r="AQ123" s="378"/>
      <c r="AR123" s="378"/>
      <c r="AS123" s="378"/>
      <c r="AT123" s="378"/>
      <c r="AU123" s="15">
        <f>SUM(AU120,AU122)</f>
        <v>-50</v>
      </c>
      <c r="AV123" s="378"/>
      <c r="AW123" s="378"/>
      <c r="AX123" s="378"/>
      <c r="AY123" s="378"/>
      <c r="AZ123" s="15">
        <f>SUM(AZ120,AZ122)</f>
        <v>-667</v>
      </c>
      <c r="BA123" s="378"/>
      <c r="BB123" s="378"/>
      <c r="BC123" s="378"/>
      <c r="BD123" s="378"/>
      <c r="BE123" s="15">
        <f>SUM(BE120,BE122)</f>
        <v>-206</v>
      </c>
      <c r="BF123" s="378"/>
      <c r="BG123" s="378"/>
      <c r="BH123" s="378"/>
      <c r="BI123" s="378"/>
      <c r="BJ123" s="15">
        <f>SUM(BJ120,BJ122)</f>
        <v>622</v>
      </c>
      <c r="BK123" s="378"/>
      <c r="BL123" s="378"/>
      <c r="BM123" s="378"/>
      <c r="BN123" s="378"/>
      <c r="BO123" s="15">
        <f>SUM(BO120,BO122)</f>
        <v>10</v>
      </c>
      <c r="BP123" s="378"/>
      <c r="BQ123" s="378"/>
      <c r="BR123" s="378"/>
      <c r="BS123" s="378"/>
      <c r="BT123" s="378"/>
      <c r="BU123" s="378"/>
      <c r="BV123" s="378"/>
      <c r="BW123" s="378"/>
      <c r="BX123" s="378"/>
      <c r="BY123" s="378"/>
      <c r="BZ123" s="378"/>
      <c r="CA123" s="378"/>
      <c r="CB123" s="378"/>
      <c r="CC123" s="378"/>
      <c r="CD123" s="378"/>
    </row>
    <row r="124" spans="1:90" hidden="1" outlineLevel="1">
      <c r="A124" s="75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D124" s="76"/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AT124" s="76"/>
      <c r="AU124" s="76"/>
      <c r="AV124" s="76"/>
      <c r="AW124" s="76"/>
      <c r="AX124" s="76"/>
      <c r="AY124" s="76"/>
      <c r="AZ124" s="76"/>
      <c r="BA124" s="76"/>
      <c r="BB124" s="76"/>
      <c r="BC124" s="76"/>
      <c r="BD124" s="76"/>
      <c r="BE124" s="76"/>
      <c r="BF124" s="76"/>
      <c r="BG124" s="76"/>
      <c r="BH124" s="76"/>
      <c r="BI124" s="76"/>
      <c r="BJ124" s="76"/>
      <c r="BK124" s="76"/>
      <c r="BL124" s="76"/>
      <c r="BM124" s="76"/>
      <c r="BN124" s="76"/>
      <c r="BO124" s="76"/>
      <c r="BP124" s="76"/>
      <c r="BQ124" s="76"/>
      <c r="BR124" s="76"/>
      <c r="BS124" s="76"/>
      <c r="BT124" s="76"/>
      <c r="BU124" s="76"/>
      <c r="BV124" s="76"/>
      <c r="BW124" s="76"/>
      <c r="BX124" s="76"/>
      <c r="BY124" s="76"/>
      <c r="BZ124" s="76"/>
      <c r="CA124" s="76"/>
      <c r="CB124" s="76"/>
      <c r="CC124" s="76"/>
      <c r="CD124" s="76"/>
    </row>
    <row r="125" spans="1:90" hidden="1" outlineLevel="1">
      <c r="A125" s="75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D125" s="76"/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AT125" s="76"/>
      <c r="AU125" s="76"/>
      <c r="AV125" s="76"/>
      <c r="AW125" s="76"/>
      <c r="AX125" s="76"/>
      <c r="AY125" s="76"/>
      <c r="AZ125" s="76"/>
      <c r="BA125" s="76"/>
      <c r="BB125" s="76"/>
      <c r="BC125" s="76"/>
      <c r="BD125" s="76"/>
      <c r="BE125" s="76"/>
      <c r="BF125" s="76"/>
      <c r="BG125" s="76"/>
      <c r="BH125" s="76"/>
      <c r="BI125" s="76"/>
      <c r="BJ125" s="76"/>
      <c r="BK125" s="76"/>
      <c r="BL125" s="76"/>
      <c r="BM125" s="76"/>
      <c r="BN125" s="76"/>
      <c r="BO125" s="76"/>
      <c r="BP125" s="76"/>
      <c r="BQ125" s="76"/>
      <c r="BR125" s="76"/>
      <c r="BS125" s="76"/>
      <c r="BT125" s="76"/>
      <c r="BU125" s="76"/>
      <c r="BV125" s="76"/>
      <c r="BW125" s="76"/>
      <c r="BX125" s="76"/>
      <c r="BY125" s="76"/>
      <c r="BZ125" s="76"/>
      <c r="CA125" s="76"/>
      <c r="CB125" s="76"/>
      <c r="CC125" s="76"/>
      <c r="CD125" s="76"/>
    </row>
    <row r="126" spans="1:90" hidden="1" outlineLevel="1">
      <c r="A126" s="75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76"/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AT126" s="76"/>
      <c r="AU126" s="76"/>
      <c r="AV126" s="76"/>
      <c r="AW126" s="76"/>
      <c r="AX126" s="76"/>
      <c r="AY126" s="76"/>
      <c r="AZ126" s="76"/>
      <c r="BA126" s="76"/>
      <c r="BB126" s="76"/>
      <c r="BC126" s="76"/>
      <c r="BD126" s="76"/>
      <c r="BE126" s="76"/>
      <c r="BF126" s="76"/>
      <c r="BG126" s="76"/>
      <c r="BH126" s="76"/>
      <c r="BI126" s="76"/>
      <c r="BJ126" s="76"/>
      <c r="BK126" s="76"/>
      <c r="BL126" s="76"/>
      <c r="BM126" s="76"/>
      <c r="BN126" s="76"/>
      <c r="BO126" s="76"/>
      <c r="BP126" s="76"/>
      <c r="BQ126" s="76"/>
      <c r="BR126" s="76"/>
      <c r="BS126" s="76"/>
      <c r="BT126" s="76"/>
      <c r="BU126" s="76"/>
      <c r="BV126" s="76"/>
      <c r="BW126" s="76"/>
      <c r="BX126" s="76"/>
      <c r="BY126" s="76"/>
      <c r="BZ126" s="76"/>
      <c r="CA126" s="76"/>
      <c r="CB126" s="76"/>
      <c r="CC126" s="76"/>
      <c r="CD126" s="76"/>
    </row>
    <row r="127" spans="1:90" collapsed="1">
      <c r="A127" s="24" t="s">
        <v>2891</v>
      </c>
      <c r="B127" s="4"/>
      <c r="C127" s="116"/>
      <c r="D127" s="116"/>
      <c r="E127" s="116"/>
      <c r="F127" s="116"/>
      <c r="G127" s="116"/>
      <c r="H127" s="5"/>
      <c r="I127" s="5"/>
      <c r="J127" s="5"/>
      <c r="K127" s="5"/>
      <c r="L127" s="116"/>
      <c r="M127" s="5"/>
      <c r="N127" s="5"/>
      <c r="O127" s="5"/>
      <c r="P127" s="5"/>
      <c r="Q127" s="116"/>
      <c r="R127" s="5"/>
      <c r="S127" s="5"/>
      <c r="T127" s="5"/>
      <c r="U127" s="5"/>
      <c r="V127" s="116"/>
      <c r="W127" s="5"/>
      <c r="X127" s="5"/>
      <c r="Y127" s="5"/>
      <c r="Z127" s="5"/>
      <c r="AA127" s="116"/>
      <c r="AB127" s="5"/>
      <c r="AC127" s="5"/>
      <c r="AD127" s="5"/>
      <c r="AE127" s="5"/>
      <c r="AF127" s="116"/>
      <c r="AG127" s="5"/>
      <c r="AH127" s="5"/>
      <c r="AI127" s="5"/>
      <c r="AJ127" s="5"/>
      <c r="AK127" s="116"/>
      <c r="AL127" s="5"/>
      <c r="AM127" s="5"/>
      <c r="AN127" s="5"/>
      <c r="AO127" s="5"/>
      <c r="AP127" s="116"/>
      <c r="AQ127" s="5"/>
      <c r="AR127" s="5"/>
      <c r="AS127" s="5"/>
      <c r="AT127" s="5"/>
      <c r="AU127" s="116"/>
      <c r="AV127" s="5"/>
      <c r="AW127" s="5"/>
      <c r="AX127" s="5"/>
      <c r="AY127" s="5"/>
      <c r="AZ127" s="116"/>
      <c r="BA127" s="5"/>
      <c r="BB127" s="5"/>
      <c r="BC127" s="5"/>
      <c r="BD127" s="5"/>
      <c r="BE127" s="116"/>
      <c r="BF127" s="5"/>
      <c r="BG127" s="5"/>
      <c r="BH127" s="5"/>
      <c r="BI127" s="5"/>
      <c r="BJ127" s="116"/>
      <c r="BK127" s="5"/>
      <c r="BL127" s="5"/>
      <c r="BM127" s="5"/>
      <c r="BN127" s="5"/>
      <c r="BO127" s="116"/>
      <c r="BP127" s="5"/>
      <c r="BQ127" s="5"/>
      <c r="BR127" s="5"/>
      <c r="BS127" s="5"/>
      <c r="BT127" s="116"/>
      <c r="BU127" s="5"/>
      <c r="BV127" s="5"/>
      <c r="BW127" s="5"/>
      <c r="BX127" s="5"/>
      <c r="BY127" s="116"/>
      <c r="BZ127" s="5"/>
      <c r="CA127" s="5"/>
      <c r="CB127" s="5"/>
      <c r="CC127" s="5"/>
      <c r="CD127" s="116"/>
      <c r="CG127" s="22" t="s">
        <v>305</v>
      </c>
      <c r="CH127" s="11"/>
      <c r="CI127" s="11"/>
    </row>
    <row r="128" spans="1:90">
      <c r="A128" s="10"/>
      <c r="B128" s="10"/>
      <c r="C128" s="31">
        <v>2001</v>
      </c>
      <c r="D128" s="32">
        <v>2002</v>
      </c>
      <c r="E128" s="32">
        <v>2003</v>
      </c>
      <c r="F128" s="32">
        <v>2004</v>
      </c>
      <c r="G128" s="31">
        <v>2005</v>
      </c>
      <c r="H128" s="33" t="str">
        <f>H109</f>
        <v>1Q06</v>
      </c>
      <c r="I128" s="33" t="str">
        <f>I109</f>
        <v>2Q06</v>
      </c>
      <c r="J128" s="33" t="str">
        <f>J109</f>
        <v>3Q06</v>
      </c>
      <c r="K128" s="33" t="str">
        <f>K109</f>
        <v>4Q06</v>
      </c>
      <c r="L128" s="31">
        <v>2006</v>
      </c>
      <c r="M128" s="33" t="str">
        <f>M109</f>
        <v>1Q07</v>
      </c>
      <c r="N128" s="33" t="str">
        <f>N109</f>
        <v>2Q07</v>
      </c>
      <c r="O128" s="33" t="str">
        <f>O109</f>
        <v>3Q07</v>
      </c>
      <c r="P128" s="33" t="str">
        <f>P109</f>
        <v>4Q07</v>
      </c>
      <c r="Q128" s="31">
        <v>2007</v>
      </c>
      <c r="R128" s="33" t="str">
        <f>R109</f>
        <v>1Q08</v>
      </c>
      <c r="S128" s="33" t="str">
        <f>S109</f>
        <v>2Q08</v>
      </c>
      <c r="T128" s="33" t="str">
        <f>T109</f>
        <v>3Q08</v>
      </c>
      <c r="U128" s="33" t="str">
        <f>U109</f>
        <v>4Q08</v>
      </c>
      <c r="V128" s="31">
        <v>2008</v>
      </c>
      <c r="W128" s="33" t="str">
        <f>W109</f>
        <v>1Q09</v>
      </c>
      <c r="X128" s="33" t="str">
        <f>X109</f>
        <v>2Q09</v>
      </c>
      <c r="Y128" s="33" t="str">
        <f>Y109</f>
        <v>3Q09</v>
      </c>
      <c r="Z128" s="33" t="str">
        <f>Z109</f>
        <v>4Q09</v>
      </c>
      <c r="AA128" s="31">
        <v>2009</v>
      </c>
      <c r="AB128" s="33" t="str">
        <f>AB109</f>
        <v>1Q10</v>
      </c>
      <c r="AC128" s="33" t="str">
        <f>AC109</f>
        <v>2Q10</v>
      </c>
      <c r="AD128" s="33" t="str">
        <f>AD109</f>
        <v>3Q10</v>
      </c>
      <c r="AE128" s="33" t="str">
        <f>AE109</f>
        <v>4Q10</v>
      </c>
      <c r="AF128" s="31">
        <v>2010</v>
      </c>
      <c r="AG128" s="33" t="str">
        <f>AG109</f>
        <v>1Q11</v>
      </c>
      <c r="AH128" s="33" t="str">
        <f>AH109</f>
        <v>2Q11</v>
      </c>
      <c r="AI128" s="33" t="str">
        <f>AI109</f>
        <v>3Q11</v>
      </c>
      <c r="AJ128" s="33" t="str">
        <f>AJ109</f>
        <v>4Q11</v>
      </c>
      <c r="AK128" s="31">
        <v>2011</v>
      </c>
      <c r="AL128" s="33" t="s">
        <v>2397</v>
      </c>
      <c r="AM128" s="33" t="s">
        <v>2398</v>
      </c>
      <c r="AN128" s="33" t="s">
        <v>2399</v>
      </c>
      <c r="AO128" s="33" t="s">
        <v>2400</v>
      </c>
      <c r="AP128" s="31">
        <v>2012</v>
      </c>
      <c r="AQ128" s="363" t="s">
        <v>2401</v>
      </c>
      <c r="AR128" s="363" t="s">
        <v>2402</v>
      </c>
      <c r="AS128" s="363" t="s">
        <v>2403</v>
      </c>
      <c r="AT128" s="363" t="s">
        <v>2404</v>
      </c>
      <c r="AU128" s="364">
        <v>2013</v>
      </c>
      <c r="AV128" s="363" t="s">
        <v>2405</v>
      </c>
      <c r="AW128" s="363" t="s">
        <v>2406</v>
      </c>
      <c r="AX128" s="363" t="s">
        <v>2407</v>
      </c>
      <c r="AY128" s="363" t="s">
        <v>2408</v>
      </c>
      <c r="AZ128" s="364">
        <v>2014</v>
      </c>
      <c r="BA128" s="33" t="str">
        <f t="shared" ref="BA128:BI128" si="66">BA$8</f>
        <v>1Q15</v>
      </c>
      <c r="BB128" s="33" t="str">
        <f t="shared" si="66"/>
        <v>2Q15</v>
      </c>
      <c r="BC128" s="33" t="str">
        <f t="shared" si="66"/>
        <v>3Q15</v>
      </c>
      <c r="BD128" s="33" t="str">
        <f t="shared" si="66"/>
        <v>4Q15</v>
      </c>
      <c r="BE128" s="31">
        <f t="shared" si="66"/>
        <v>2015</v>
      </c>
      <c r="BF128" s="33" t="str">
        <f t="shared" si="66"/>
        <v>1Q16</v>
      </c>
      <c r="BG128" s="33" t="str">
        <f t="shared" si="66"/>
        <v>2Q16</v>
      </c>
      <c r="BH128" s="33" t="str">
        <f t="shared" si="66"/>
        <v>3Q16</v>
      </c>
      <c r="BI128" s="33" t="str">
        <f t="shared" si="66"/>
        <v>4Q16</v>
      </c>
      <c r="BJ128" s="31">
        <v>2016</v>
      </c>
      <c r="BK128" s="363" t="s">
        <v>2417</v>
      </c>
      <c r="BL128" s="363" t="s">
        <v>2418</v>
      </c>
      <c r="BM128" s="363" t="s">
        <v>2419</v>
      </c>
      <c r="BN128" s="363" t="s">
        <v>2420</v>
      </c>
      <c r="BO128" s="364">
        <v>2017</v>
      </c>
      <c r="BP128" s="363" t="s">
        <v>2244</v>
      </c>
      <c r="BQ128" s="363" t="s">
        <v>2245</v>
      </c>
      <c r="BR128" s="363" t="s">
        <v>2508</v>
      </c>
      <c r="BS128" s="363" t="s">
        <v>2509</v>
      </c>
      <c r="BT128" s="364">
        <v>2018</v>
      </c>
      <c r="BU128" s="363" t="s">
        <v>2510</v>
      </c>
      <c r="BV128" s="363" t="s">
        <v>2511</v>
      </c>
      <c r="BW128" s="363" t="s">
        <v>3125</v>
      </c>
      <c r="BX128" s="363" t="s">
        <v>1405</v>
      </c>
      <c r="BY128" s="364">
        <v>2019</v>
      </c>
      <c r="BZ128" s="363" t="s">
        <v>1406</v>
      </c>
      <c r="CA128" s="363" t="s">
        <v>1407</v>
      </c>
      <c r="CB128" s="363" t="s">
        <v>1408</v>
      </c>
      <c r="CC128" s="363" t="s">
        <v>1409</v>
      </c>
      <c r="CD128" s="364">
        <v>2020</v>
      </c>
      <c r="CG128" s="364" t="s">
        <v>1043</v>
      </c>
      <c r="CH128" s="364" t="s">
        <v>2637</v>
      </c>
      <c r="CI128" s="364" t="s">
        <v>3715</v>
      </c>
      <c r="CJ128" s="364" t="s">
        <v>3551</v>
      </c>
      <c r="CK128" s="364" t="s">
        <v>3713</v>
      </c>
      <c r="CL128" s="364" t="s">
        <v>3714</v>
      </c>
    </row>
    <row r="129" spans="1:90">
      <c r="A129" s="4" t="s">
        <v>2156</v>
      </c>
      <c r="B129" s="5"/>
      <c r="C129" s="5">
        <f>C91+C110</f>
        <v>3543</v>
      </c>
      <c r="D129" s="5">
        <f>D91+D110</f>
        <v>2714</v>
      </c>
      <c r="E129" s="5">
        <f t="shared" ref="E129:G130" si="67">E91+E110</f>
        <v>2698</v>
      </c>
      <c r="F129" s="5">
        <f t="shared" si="67"/>
        <v>4084</v>
      </c>
      <c r="G129" s="5">
        <f t="shared" si="67"/>
        <v>5302</v>
      </c>
      <c r="H129" s="93"/>
      <c r="I129" s="93"/>
      <c r="J129" s="93"/>
      <c r="K129" s="93"/>
      <c r="L129" s="5">
        <f>L91+L110</f>
        <v>6006</v>
      </c>
      <c r="M129" s="93"/>
      <c r="N129" s="93"/>
      <c r="O129" s="93"/>
      <c r="P129" s="93"/>
      <c r="Q129" s="5">
        <f>Q91+Q110</f>
        <v>4937</v>
      </c>
      <c r="R129" s="93"/>
      <c r="S129" s="93"/>
      <c r="T129" s="93"/>
      <c r="U129" s="93"/>
      <c r="V129" s="5">
        <f>V91+V110</f>
        <v>3970</v>
      </c>
      <c r="W129" s="93"/>
      <c r="X129" s="93"/>
      <c r="Y129" s="93"/>
      <c r="Z129" s="93"/>
      <c r="AA129" s="5">
        <f>AA91+AA110</f>
        <v>2307</v>
      </c>
      <c r="AB129" s="93"/>
      <c r="AC129" s="93"/>
      <c r="AD129" s="93"/>
      <c r="AE129" s="93"/>
      <c r="AF129" s="5">
        <f>AF91+AF110</f>
        <v>1530</v>
      </c>
      <c r="AG129" s="93"/>
      <c r="AH129" s="93"/>
      <c r="AI129" s="93"/>
      <c r="AJ129" s="93"/>
      <c r="AK129" s="5">
        <f>AK91+AK110</f>
        <v>1997</v>
      </c>
      <c r="AL129" s="93"/>
      <c r="AM129" s="93"/>
      <c r="AN129" s="93"/>
      <c r="AO129" s="93"/>
      <c r="AP129" s="5">
        <f>AP91+AP110</f>
        <v>1671</v>
      </c>
      <c r="AQ129" s="93"/>
      <c r="AR129" s="93"/>
      <c r="AS129" s="93"/>
      <c r="AT129" s="93"/>
      <c r="AU129" s="5">
        <f>AU91+AU110</f>
        <v>1312</v>
      </c>
      <c r="AV129" s="93"/>
      <c r="AW129" s="93"/>
      <c r="AX129" s="93"/>
      <c r="AY129" s="93"/>
      <c r="AZ129" s="5">
        <f>AZ91+AZ110</f>
        <v>606</v>
      </c>
      <c r="BA129" s="93"/>
      <c r="BB129" s="93"/>
      <c r="BC129" s="93"/>
      <c r="BD129" s="93"/>
      <c r="BE129" s="5">
        <f>BE91+BE110</f>
        <v>705</v>
      </c>
      <c r="BF129" s="93"/>
      <c r="BG129" s="93"/>
      <c r="BH129" s="93"/>
      <c r="BI129" s="93"/>
      <c r="BJ129" s="5">
        <f>BJ91+BJ110</f>
        <v>270</v>
      </c>
      <c r="BK129" s="93"/>
      <c r="BL129" s="93"/>
      <c r="BM129" s="93"/>
      <c r="BN129" s="93"/>
      <c r="BO129" s="5">
        <f>BO91+BO110</f>
        <v>204</v>
      </c>
      <c r="BP129" s="72"/>
      <c r="BQ129" s="72"/>
      <c r="BR129" s="72"/>
      <c r="BS129" s="72"/>
      <c r="BT129" s="72"/>
      <c r="BU129" s="72"/>
      <c r="BV129" s="72"/>
      <c r="BW129" s="72"/>
      <c r="BX129" s="72"/>
      <c r="BY129" s="72"/>
      <c r="BZ129" s="72"/>
      <c r="CA129" s="72"/>
      <c r="CB129" s="72"/>
      <c r="CC129" s="72"/>
      <c r="CD129" s="72"/>
      <c r="CG129" s="468">
        <v>2006</v>
      </c>
      <c r="CH129" s="115">
        <f>HLOOKUP(CG129,$A$128:$CD$176,49,FALSE)*HLOOKUP(CG129,$A$128:$CD$176,20,FALSE)*0.365</f>
        <v>4789</v>
      </c>
      <c r="CI129" s="634">
        <v>1</v>
      </c>
      <c r="CJ129" s="115">
        <v>3956.3627165259504</v>
      </c>
      <c r="CK129" s="342">
        <f>CH129*CI129</f>
        <v>4789</v>
      </c>
      <c r="CL129" s="115">
        <f>CK129-CJ129</f>
        <v>832.63728347404958</v>
      </c>
    </row>
    <row r="130" spans="1:90">
      <c r="A130" s="137" t="s">
        <v>2157</v>
      </c>
      <c r="B130" s="5"/>
      <c r="C130" s="5">
        <f>C92+C111</f>
        <v>3465</v>
      </c>
      <c r="D130" s="5">
        <f>D92+D111</f>
        <v>3763</v>
      </c>
      <c r="E130" s="5">
        <f t="shared" si="67"/>
        <v>3469</v>
      </c>
      <c r="F130" s="5">
        <f t="shared" si="67"/>
        <v>3033</v>
      </c>
      <c r="G130" s="5">
        <f t="shared" si="67"/>
        <v>3434</v>
      </c>
      <c r="H130" s="93"/>
      <c r="I130" s="93"/>
      <c r="J130" s="93"/>
      <c r="K130" s="93"/>
      <c r="L130" s="5">
        <f>L92+L111</f>
        <v>3353</v>
      </c>
      <c r="M130" s="93"/>
      <c r="N130" s="93"/>
      <c r="O130" s="93"/>
      <c r="P130" s="93"/>
      <c r="Q130" s="5">
        <f>Q92+Q111</f>
        <v>3162</v>
      </c>
      <c r="R130" s="93"/>
      <c r="S130" s="93"/>
      <c r="T130" s="93"/>
      <c r="U130" s="93"/>
      <c r="V130" s="5">
        <f>V92+V111</f>
        <v>5790</v>
      </c>
      <c r="W130" s="93"/>
      <c r="X130" s="93"/>
      <c r="Y130" s="93"/>
      <c r="Z130" s="93"/>
      <c r="AA130" s="5">
        <f>AA92+AA111</f>
        <v>3291</v>
      </c>
      <c r="AB130" s="93"/>
      <c r="AC130" s="93"/>
      <c r="AD130" s="93"/>
      <c r="AE130" s="93"/>
      <c r="AF130" s="5">
        <f>AF92+AF111</f>
        <v>4539</v>
      </c>
      <c r="AG130" s="93"/>
      <c r="AH130" s="93"/>
      <c r="AI130" s="93"/>
      <c r="AJ130" s="93"/>
      <c r="AK130" s="5">
        <f>AK92+AK111</f>
        <v>4768</v>
      </c>
      <c r="AL130" s="93"/>
      <c r="AM130" s="93"/>
      <c r="AN130" s="93"/>
      <c r="AO130" s="93"/>
      <c r="AP130" s="5">
        <f>AP92+AP111</f>
        <v>3758</v>
      </c>
      <c r="AQ130" s="93"/>
      <c r="AR130" s="93"/>
      <c r="AS130" s="93"/>
      <c r="AT130" s="93"/>
      <c r="AU130" s="5">
        <f>AU92+AU111</f>
        <v>2941</v>
      </c>
      <c r="AV130" s="93"/>
      <c r="AW130" s="93"/>
      <c r="AX130" s="93"/>
      <c r="AY130" s="93"/>
      <c r="AZ130" s="5">
        <f>AZ92+AZ111</f>
        <v>2731</v>
      </c>
      <c r="BA130" s="93"/>
      <c r="BB130" s="93"/>
      <c r="BC130" s="93"/>
      <c r="BD130" s="93"/>
      <c r="BE130" s="5">
        <f>BE92+BE111</f>
        <v>1867</v>
      </c>
      <c r="BF130" s="93"/>
      <c r="BG130" s="93"/>
      <c r="BH130" s="93"/>
      <c r="BI130" s="93"/>
      <c r="BJ130" s="5">
        <f>BJ92+BJ111</f>
        <v>1808</v>
      </c>
      <c r="BK130" s="93"/>
      <c r="BL130" s="93"/>
      <c r="BM130" s="93"/>
      <c r="BN130" s="93"/>
      <c r="BO130" s="5">
        <f>BO92+BO111</f>
        <v>1745</v>
      </c>
      <c r="BP130" s="72"/>
      <c r="BQ130" s="72"/>
      <c r="BR130" s="72"/>
      <c r="BS130" s="72"/>
      <c r="BT130" s="72"/>
      <c r="BU130" s="72"/>
      <c r="BV130" s="72"/>
      <c r="BW130" s="72"/>
      <c r="BX130" s="72"/>
      <c r="BY130" s="72"/>
      <c r="BZ130" s="72"/>
      <c r="CA130" s="72"/>
      <c r="CB130" s="72"/>
      <c r="CC130" s="72"/>
      <c r="CD130" s="72"/>
      <c r="CG130" s="468">
        <v>2007</v>
      </c>
      <c r="CH130" s="115">
        <f t="shared" ref="CH130:CH143" si="68">HLOOKUP(CG130,$A$128:$CD$176,49,FALSE)*HLOOKUP(CG130,$A$128:$CD$176,20,FALSE)*0.365</f>
        <v>4084.9999999999995</v>
      </c>
      <c r="CI130" s="634">
        <v>1</v>
      </c>
      <c r="CJ130" s="115">
        <v>3015.1308613349543</v>
      </c>
      <c r="CK130" s="342">
        <f t="shared" ref="CK130:CK143" si="69">CH130*CI130</f>
        <v>4084.9999999999995</v>
      </c>
      <c r="CL130" s="115">
        <f t="shared" ref="CL130:CL143" si="70">CK130-CJ130</f>
        <v>1069.8691386650453</v>
      </c>
    </row>
    <row r="131" spans="1:90">
      <c r="A131" s="148" t="s">
        <v>2155</v>
      </c>
      <c r="B131" s="8"/>
      <c r="C131" s="8">
        <f>C129+C130</f>
        <v>7008</v>
      </c>
      <c r="D131" s="8">
        <f>D129+D130</f>
        <v>6477</v>
      </c>
      <c r="E131" s="8">
        <f>E129+E130</f>
        <v>6167</v>
      </c>
      <c r="F131" s="8">
        <f>F129+F130</f>
        <v>7117</v>
      </c>
      <c r="G131" s="8">
        <f>G129+G130</f>
        <v>8736</v>
      </c>
      <c r="H131" s="93"/>
      <c r="I131" s="93"/>
      <c r="J131" s="93"/>
      <c r="K131" s="93"/>
      <c r="L131" s="8">
        <f>L129+L130</f>
        <v>9359</v>
      </c>
      <c r="M131" s="93"/>
      <c r="N131" s="93"/>
      <c r="O131" s="93"/>
      <c r="P131" s="93"/>
      <c r="Q131" s="8">
        <f>Q129+Q130</f>
        <v>8099</v>
      </c>
      <c r="R131" s="93"/>
      <c r="S131" s="93"/>
      <c r="T131" s="93"/>
      <c r="U131" s="93"/>
      <c r="V131" s="8">
        <f>V129+V130</f>
        <v>9760</v>
      </c>
      <c r="W131" s="93"/>
      <c r="X131" s="93"/>
      <c r="Y131" s="93"/>
      <c r="Z131" s="93"/>
      <c r="AA131" s="8">
        <f>AA129+AA130</f>
        <v>5598</v>
      </c>
      <c r="AB131" s="93"/>
      <c r="AC131" s="93"/>
      <c r="AD131" s="93"/>
      <c r="AE131" s="93"/>
      <c r="AF131" s="8">
        <f>AF129+AF130</f>
        <v>6069</v>
      </c>
      <c r="AG131" s="93"/>
      <c r="AH131" s="93"/>
      <c r="AI131" s="93"/>
      <c r="AJ131" s="93"/>
      <c r="AK131" s="8">
        <f>AK129+AK130</f>
        <v>6765</v>
      </c>
      <c r="AL131" s="93"/>
      <c r="AM131" s="93"/>
      <c r="AN131" s="93"/>
      <c r="AO131" s="93"/>
      <c r="AP131" s="8">
        <f>AP129+AP130</f>
        <v>5429</v>
      </c>
      <c r="AQ131" s="93"/>
      <c r="AR131" s="93"/>
      <c r="AS131" s="93"/>
      <c r="AT131" s="93"/>
      <c r="AU131" s="8">
        <f>AU129+AU130</f>
        <v>4253</v>
      </c>
      <c r="AV131" s="93"/>
      <c r="AW131" s="93"/>
      <c r="AX131" s="93"/>
      <c r="AY131" s="93"/>
      <c r="AZ131" s="8">
        <f>AZ129+AZ130</f>
        <v>3337</v>
      </c>
      <c r="BA131" s="93"/>
      <c r="BB131" s="93"/>
      <c r="BC131" s="93"/>
      <c r="BD131" s="93"/>
      <c r="BE131" s="8">
        <f>BE129+BE130</f>
        <v>2572</v>
      </c>
      <c r="BF131" s="93"/>
      <c r="BG131" s="93"/>
      <c r="BH131" s="93"/>
      <c r="BI131" s="93"/>
      <c r="BJ131" s="8">
        <f>BJ129+BJ130</f>
        <v>2078</v>
      </c>
      <c r="BK131" s="93"/>
      <c r="BL131" s="93"/>
      <c r="BM131" s="93"/>
      <c r="BN131" s="93"/>
      <c r="BO131" s="8">
        <f>BO129+BO130</f>
        <v>1949</v>
      </c>
      <c r="BP131" s="19">
        <f t="shared" ref="BP131:CD131" si="71">BP153*(1+BP154)</f>
        <v>675.49858226643278</v>
      </c>
      <c r="BQ131" s="19">
        <f t="shared" si="71"/>
        <v>654.71928638193219</v>
      </c>
      <c r="BR131" s="19">
        <f t="shared" si="71"/>
        <v>619.9332615440677</v>
      </c>
      <c r="BS131" s="19">
        <f t="shared" si="71"/>
        <v>641.0767520024657</v>
      </c>
      <c r="BT131" s="8">
        <f t="shared" si="71"/>
        <v>2591.2278821948985</v>
      </c>
      <c r="BU131" s="19">
        <f t="shared" si="71"/>
        <v>705.54686901623688</v>
      </c>
      <c r="BV131" s="19">
        <f t="shared" si="71"/>
        <v>690.03843573509835</v>
      </c>
      <c r="BW131" s="19">
        <f t="shared" si="71"/>
        <v>656.59485739233571</v>
      </c>
      <c r="BX131" s="19">
        <f t="shared" si="71"/>
        <v>687.97510762143634</v>
      </c>
      <c r="BY131" s="8">
        <f t="shared" si="71"/>
        <v>2740.1552697651073</v>
      </c>
      <c r="BZ131" s="19">
        <f t="shared" si="71"/>
        <v>757.94572041273375</v>
      </c>
      <c r="CA131" s="19">
        <f t="shared" si="71"/>
        <v>738.88937078952415</v>
      </c>
      <c r="CB131" s="19">
        <f t="shared" si="71"/>
        <v>693.12762155816483</v>
      </c>
      <c r="CC131" s="19">
        <f t="shared" si="71"/>
        <v>742.88393143871872</v>
      </c>
      <c r="CD131" s="8">
        <f t="shared" si="71"/>
        <v>2932.8466441991418</v>
      </c>
      <c r="CG131" s="468">
        <v>2008</v>
      </c>
      <c r="CH131" s="115">
        <f t="shared" si="68"/>
        <v>4658</v>
      </c>
      <c r="CI131" s="634">
        <v>1</v>
      </c>
      <c r="CJ131" s="115">
        <v>4319.5646756823817</v>
      </c>
      <c r="CK131" s="342">
        <f t="shared" si="69"/>
        <v>4658</v>
      </c>
      <c r="CL131" s="115">
        <f t="shared" si="70"/>
        <v>338.43532431761832</v>
      </c>
    </row>
    <row r="132" spans="1:90">
      <c r="A132" s="137"/>
      <c r="B132" s="5"/>
      <c r="C132" s="5"/>
      <c r="D132" s="5"/>
      <c r="E132" s="5"/>
      <c r="F132" s="5"/>
      <c r="G132" s="5"/>
      <c r="H132" s="12"/>
      <c r="I132" s="12"/>
      <c r="J132" s="12"/>
      <c r="K132" s="12"/>
      <c r="L132" s="5"/>
      <c r="M132" s="12"/>
      <c r="N132" s="12"/>
      <c r="O132" s="12"/>
      <c r="P132" s="12"/>
      <c r="Q132" s="5"/>
      <c r="R132" s="12"/>
      <c r="S132" s="12"/>
      <c r="T132" s="12"/>
      <c r="U132" s="12"/>
      <c r="V132" s="5"/>
      <c r="W132" s="12"/>
      <c r="X132" s="12"/>
      <c r="Y132" s="12"/>
      <c r="Z132" s="12"/>
      <c r="AA132" s="5"/>
      <c r="AB132" s="12"/>
      <c r="AC132" s="12"/>
      <c r="AD132" s="12"/>
      <c r="AE132" s="12"/>
      <c r="AF132" s="5"/>
      <c r="AG132" s="12"/>
      <c r="AH132" s="12"/>
      <c r="AI132" s="12"/>
      <c r="AJ132" s="12"/>
      <c r="AK132" s="5"/>
      <c r="AL132" s="12"/>
      <c r="AM132" s="12"/>
      <c r="AN132" s="12"/>
      <c r="AO132" s="12"/>
      <c r="AP132" s="5"/>
      <c r="AQ132" s="12"/>
      <c r="AR132" s="12"/>
      <c r="AS132" s="12"/>
      <c r="AT132" s="12"/>
      <c r="AU132" s="5"/>
      <c r="AV132" s="12"/>
      <c r="AW132" s="12"/>
      <c r="AX132" s="12"/>
      <c r="AY132" s="12"/>
      <c r="AZ132" s="5"/>
      <c r="BA132" s="12"/>
      <c r="BB132" s="12"/>
      <c r="BC132" s="12"/>
      <c r="BD132" s="12"/>
      <c r="BE132" s="5"/>
      <c r="BF132" s="12"/>
      <c r="BG132" s="12"/>
      <c r="BH132" s="12"/>
      <c r="BI132" s="12"/>
      <c r="BJ132" s="5"/>
      <c r="BK132" s="12"/>
      <c r="BL132" s="12"/>
      <c r="BM132" s="12"/>
      <c r="BN132" s="12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G132" s="468">
        <v>2009</v>
      </c>
      <c r="CH132" s="115">
        <f t="shared" si="68"/>
        <v>3758</v>
      </c>
      <c r="CI132" s="634">
        <v>1</v>
      </c>
      <c r="CJ132" s="115">
        <v>1891.3216487677603</v>
      </c>
      <c r="CK132" s="342">
        <f t="shared" si="69"/>
        <v>3758</v>
      </c>
      <c r="CL132" s="115">
        <f t="shared" si="70"/>
        <v>1866.6783512322397</v>
      </c>
    </row>
    <row r="133" spans="1:90">
      <c r="A133" s="137" t="s">
        <v>1897</v>
      </c>
      <c r="B133" s="5"/>
      <c r="C133" s="5">
        <f t="shared" ref="C133:D138" si="72">C95+C114</f>
        <v>-36</v>
      </c>
      <c r="D133" s="5">
        <f t="shared" si="72"/>
        <v>-74</v>
      </c>
      <c r="E133" s="5">
        <f t="shared" ref="E133:G138" si="73">E95+E114</f>
        <v>-54</v>
      </c>
      <c r="F133" s="5">
        <f t="shared" si="73"/>
        <v>-51</v>
      </c>
      <c r="G133" s="5">
        <f t="shared" si="73"/>
        <v>-33</v>
      </c>
      <c r="H133" s="93"/>
      <c r="I133" s="93"/>
      <c r="J133" s="93"/>
      <c r="K133" s="93"/>
      <c r="L133" s="5">
        <f t="shared" ref="L133:L138" si="74">L95+L114</f>
        <v>-19</v>
      </c>
      <c r="M133" s="93"/>
      <c r="N133" s="93"/>
      <c r="O133" s="93"/>
      <c r="P133" s="93"/>
      <c r="Q133" s="5">
        <f t="shared" ref="Q133:Q138" si="75">Q95+Q114</f>
        <v>-46</v>
      </c>
      <c r="R133" s="93"/>
      <c r="S133" s="93"/>
      <c r="T133" s="93"/>
      <c r="U133" s="93"/>
      <c r="V133" s="5">
        <f t="shared" ref="V133:V138" si="76">V95+V114</f>
        <v>-122</v>
      </c>
      <c r="W133" s="93"/>
      <c r="X133" s="93"/>
      <c r="Y133" s="93"/>
      <c r="Z133" s="93"/>
      <c r="AA133" s="5">
        <f t="shared" ref="AA133:AA138" si="77">AA95+AA114</f>
        <v>-59</v>
      </c>
      <c r="AB133" s="93"/>
      <c r="AC133" s="93"/>
      <c r="AD133" s="93"/>
      <c r="AE133" s="93"/>
      <c r="AF133" s="5">
        <f t="shared" ref="AF133:AF138" si="78">AF95+AF114</f>
        <v>-80</v>
      </c>
      <c r="AG133" s="93"/>
      <c r="AH133" s="93"/>
      <c r="AI133" s="93"/>
      <c r="AJ133" s="93"/>
      <c r="AK133" s="5">
        <f t="shared" ref="AK133:AK138" si="79">AK95+AK114</f>
        <v>-38</v>
      </c>
      <c r="AL133" s="93"/>
      <c r="AM133" s="93"/>
      <c r="AN133" s="93"/>
      <c r="AO133" s="93"/>
      <c r="AP133" s="5">
        <f t="shared" ref="AP133:AP138" si="80">AP95+AP114</f>
        <v>-134</v>
      </c>
      <c r="AQ133" s="93"/>
      <c r="AR133" s="93"/>
      <c r="AS133" s="93"/>
      <c r="AT133" s="93"/>
      <c r="AU133" s="5">
        <f t="shared" ref="AU133:AU138" si="81">AU95+AU114</f>
        <v>-297</v>
      </c>
      <c r="AV133" s="93"/>
      <c r="AW133" s="93"/>
      <c r="AX133" s="93"/>
      <c r="AY133" s="93"/>
      <c r="AZ133" s="5">
        <f t="shared" ref="AZ133:AZ138" si="82">AZ95+AZ114</f>
        <v>-141</v>
      </c>
      <c r="BA133" s="93"/>
      <c r="BB133" s="93"/>
      <c r="BC133" s="93"/>
      <c r="BD133" s="93"/>
      <c r="BE133" s="5">
        <f t="shared" ref="BE133:BE138" si="83">BE95+BE114</f>
        <v>-123</v>
      </c>
      <c r="BF133" s="93"/>
      <c r="BG133" s="93"/>
      <c r="BH133" s="93"/>
      <c r="BI133" s="93"/>
      <c r="BJ133" s="5">
        <f t="shared" ref="BJ133:BJ138" si="84">BJ95+BJ114</f>
        <v>-136</v>
      </c>
      <c r="BK133" s="93"/>
      <c r="BL133" s="93"/>
      <c r="BM133" s="93"/>
      <c r="BN133" s="93"/>
      <c r="BO133" s="5">
        <f t="shared" ref="BO133:BO138" si="85">BO95+BO114</f>
        <v>-331</v>
      </c>
      <c r="BP133" s="12">
        <f>-Capex!BP119</f>
        <v>-18.75</v>
      </c>
      <c r="BQ133" s="12">
        <f>-Capex!BQ119</f>
        <v>-12.134444444444444</v>
      </c>
      <c r="BR133" s="12">
        <f>-Capex!BR119</f>
        <v>-12.134444444444444</v>
      </c>
      <c r="BS133" s="12">
        <f>-Capex!BS119</f>
        <v>-12.134444444444444</v>
      </c>
      <c r="BT133" s="5">
        <f t="shared" ref="BT133" si="86">SUM(BP133:BS133)</f>
        <v>-55.153333333333336</v>
      </c>
      <c r="BU133" s="12">
        <f>-Capex!BU119</f>
        <v>-11.304583333333333</v>
      </c>
      <c r="BV133" s="12">
        <f>-Capex!BV119</f>
        <v>-11.304583333333333</v>
      </c>
      <c r="BW133" s="12">
        <f>-Capex!BW119</f>
        <v>-11.304583333333333</v>
      </c>
      <c r="BX133" s="12">
        <f>-Capex!BX119</f>
        <v>-11.304583333333335</v>
      </c>
      <c r="BY133" s="5">
        <f t="shared" ref="BY133" si="87">SUM(BU133:BX133)</f>
        <v>-45.218333333333334</v>
      </c>
      <c r="BZ133" s="12">
        <f>-Capex!BZ119</f>
        <v>-7.2800000000000011</v>
      </c>
      <c r="CA133" s="12">
        <f>-Capex!CA119</f>
        <v>-7.2800000000000011</v>
      </c>
      <c r="CB133" s="12">
        <f>-Capex!CB119</f>
        <v>-7.2800000000000011</v>
      </c>
      <c r="CC133" s="12">
        <f>-Capex!CC119</f>
        <v>-7.2800000000000011</v>
      </c>
      <c r="CD133" s="5">
        <f t="shared" ref="CD133" si="88">SUM(BZ133:CC133)</f>
        <v>-29.120000000000005</v>
      </c>
      <c r="CG133" s="468">
        <v>2010</v>
      </c>
      <c r="CH133" s="115">
        <f t="shared" si="68"/>
        <v>3224.0000000000005</v>
      </c>
      <c r="CI133" s="634">
        <v>1</v>
      </c>
      <c r="CJ133" s="115">
        <v>2576.8802432069156</v>
      </c>
      <c r="CK133" s="342">
        <f t="shared" si="69"/>
        <v>3224.0000000000005</v>
      </c>
      <c r="CL133" s="115">
        <f t="shared" si="70"/>
        <v>647.11975679308489</v>
      </c>
    </row>
    <row r="134" spans="1:90">
      <c r="A134" s="137" t="s">
        <v>2149</v>
      </c>
      <c r="B134" s="5"/>
      <c r="C134" s="5">
        <f t="shared" si="72"/>
        <v>-969</v>
      </c>
      <c r="D134" s="5">
        <f t="shared" si="72"/>
        <v>-924</v>
      </c>
      <c r="E134" s="5">
        <f t="shared" si="73"/>
        <v>-938</v>
      </c>
      <c r="F134" s="5">
        <f t="shared" si="73"/>
        <v>-1018</v>
      </c>
      <c r="G134" s="5">
        <f t="shared" si="73"/>
        <v>-1200</v>
      </c>
      <c r="H134" s="93"/>
      <c r="I134" s="93"/>
      <c r="J134" s="93"/>
      <c r="K134" s="93"/>
      <c r="L134" s="5">
        <f t="shared" si="74"/>
        <v>-1457</v>
      </c>
      <c r="M134" s="93"/>
      <c r="N134" s="93"/>
      <c r="O134" s="93"/>
      <c r="P134" s="93"/>
      <c r="Q134" s="5">
        <f t="shared" si="75"/>
        <v>-1805</v>
      </c>
      <c r="R134" s="93"/>
      <c r="S134" s="93"/>
      <c r="T134" s="93"/>
      <c r="U134" s="93"/>
      <c r="V134" s="5">
        <f t="shared" si="76"/>
        <v>-1507</v>
      </c>
      <c r="W134" s="93"/>
      <c r="X134" s="93"/>
      <c r="Y134" s="93"/>
      <c r="Z134" s="93"/>
      <c r="AA134" s="5">
        <f t="shared" si="77"/>
        <v>-1407</v>
      </c>
      <c r="AB134" s="93"/>
      <c r="AC134" s="93"/>
      <c r="AD134" s="93"/>
      <c r="AE134" s="93"/>
      <c r="AF134" s="5">
        <f t="shared" si="78"/>
        <v>-1170</v>
      </c>
      <c r="AG134" s="93"/>
      <c r="AH134" s="93"/>
      <c r="AI134" s="93"/>
      <c r="AJ134" s="93"/>
      <c r="AK134" s="5">
        <f t="shared" si="79"/>
        <v>-1602</v>
      </c>
      <c r="AL134" s="93"/>
      <c r="AM134" s="93"/>
      <c r="AN134" s="93"/>
      <c r="AO134" s="93"/>
      <c r="AP134" s="5">
        <f t="shared" si="80"/>
        <v>-1658</v>
      </c>
      <c r="AQ134" s="93"/>
      <c r="AR134" s="93"/>
      <c r="AS134" s="93"/>
      <c r="AT134" s="93"/>
      <c r="AU134" s="5">
        <f t="shared" si="81"/>
        <v>-1532</v>
      </c>
      <c r="AV134" s="93"/>
      <c r="AW134" s="93"/>
      <c r="AX134" s="93"/>
      <c r="AY134" s="93"/>
      <c r="AZ134" s="5">
        <f t="shared" si="82"/>
        <v>-1415</v>
      </c>
      <c r="BA134" s="93"/>
      <c r="BB134" s="93"/>
      <c r="BC134" s="93"/>
      <c r="BD134" s="93"/>
      <c r="BE134" s="5">
        <f t="shared" si="83"/>
        <v>-1192</v>
      </c>
      <c r="BF134" s="93"/>
      <c r="BG134" s="93"/>
      <c r="BH134" s="93"/>
      <c r="BI134" s="93"/>
      <c r="BJ134" s="5">
        <f t="shared" si="84"/>
        <v>-827</v>
      </c>
      <c r="BK134" s="93"/>
      <c r="BL134" s="93"/>
      <c r="BM134" s="93"/>
      <c r="BN134" s="93"/>
      <c r="BO134" s="5">
        <f t="shared" si="85"/>
        <v>-629</v>
      </c>
      <c r="BP134" s="65">
        <f>-BP147*BP158*'Key assumptions'!BP$48/1000</f>
        <v>-170.23958311199939</v>
      </c>
      <c r="BQ134" s="65">
        <f>-BQ147*BQ158*'Key assumptions'!BQ$48/1000</f>
        <v>-160.20445334778353</v>
      </c>
      <c r="BR134" s="65">
        <f>-BR147*BR158*'Key assumptions'!BR$48/1000</f>
        <v>-150.18138145107258</v>
      </c>
      <c r="BS134" s="65">
        <f>-BS147*BS158*'Key assumptions'!BS$48/1000</f>
        <v>-159.33366023703459</v>
      </c>
      <c r="BT134" s="5">
        <f>SUM(BP134:BS134)</f>
        <v>-639.95907814789007</v>
      </c>
      <c r="BU134" s="65">
        <f>-BU147*BU158*'Key assumptions'!BU$48/1000</f>
        <v>-191.53249067197657</v>
      </c>
      <c r="BV134" s="65">
        <f>-BV147*BV158*'Key assumptions'!BV$48/1000</f>
        <v>-185.51564466309139</v>
      </c>
      <c r="BW134" s="65">
        <f>-BW147*BW158*'Key assumptions'!BW$48/1000</f>
        <v>-172.68791023163681</v>
      </c>
      <c r="BX134" s="65">
        <f>-BX147*BX158*'Key assumptions'!BX$48/1000</f>
        <v>-184.23460230908006</v>
      </c>
      <c r="BY134" s="5">
        <f>SUM(BU134:BX134)</f>
        <v>-733.97064787578483</v>
      </c>
      <c r="BZ134" s="65">
        <f>-BZ147*BZ158*'Key assumptions'!BZ$48/1000</f>
        <v>-219.79382661891105</v>
      </c>
      <c r="CA134" s="65">
        <f>-CA147*CA158*'Key assumptions'!CA$48/1000</f>
        <v>-207.86591619748881</v>
      </c>
      <c r="CB134" s="65">
        <f>-CB147*CB158*'Key assumptions'!CB$48/1000</f>
        <v>-188.37912750470394</v>
      </c>
      <c r="CC134" s="65">
        <f>-CC147*CC158*'Key assumptions'!CC$48/1000</f>
        <v>-205.28866291141929</v>
      </c>
      <c r="CD134" s="5">
        <f>SUM(BZ134:CC134)</f>
        <v>-821.32753323252314</v>
      </c>
      <c r="CG134" s="468">
        <v>2011</v>
      </c>
      <c r="CH134" s="115">
        <f t="shared" si="68"/>
        <v>3480</v>
      </c>
      <c r="CI134" s="634">
        <v>1</v>
      </c>
      <c r="CJ134" s="115">
        <v>2462.9043382112668</v>
      </c>
      <c r="CK134" s="342">
        <f t="shared" si="69"/>
        <v>3480</v>
      </c>
      <c r="CL134" s="115">
        <f t="shared" si="70"/>
        <v>1017.0956617887332</v>
      </c>
    </row>
    <row r="135" spans="1:90">
      <c r="A135" s="137" t="s">
        <v>2150</v>
      </c>
      <c r="B135" s="5"/>
      <c r="C135" s="5">
        <f t="shared" si="72"/>
        <v>-576</v>
      </c>
      <c r="D135" s="5">
        <f t="shared" si="72"/>
        <v>-286</v>
      </c>
      <c r="E135" s="5">
        <f t="shared" si="73"/>
        <v>-247</v>
      </c>
      <c r="F135" s="5">
        <f t="shared" si="73"/>
        <v>-303</v>
      </c>
      <c r="G135" s="5">
        <f t="shared" si="73"/>
        <v>-518</v>
      </c>
      <c r="H135" s="93"/>
      <c r="I135" s="93"/>
      <c r="J135" s="93"/>
      <c r="K135" s="93"/>
      <c r="L135" s="5">
        <f t="shared" si="74"/>
        <v>-530</v>
      </c>
      <c r="M135" s="93"/>
      <c r="N135" s="93"/>
      <c r="O135" s="93"/>
      <c r="P135" s="93"/>
      <c r="Q135" s="5">
        <f t="shared" si="75"/>
        <v>-230</v>
      </c>
      <c r="R135" s="93"/>
      <c r="S135" s="93"/>
      <c r="T135" s="93"/>
      <c r="U135" s="93"/>
      <c r="V135" s="5">
        <f t="shared" si="76"/>
        <v>-503</v>
      </c>
      <c r="W135" s="93"/>
      <c r="X135" s="93"/>
      <c r="Y135" s="93"/>
      <c r="Z135" s="93"/>
      <c r="AA135" s="5">
        <f t="shared" si="77"/>
        <v>3</v>
      </c>
      <c r="AB135" s="93"/>
      <c r="AC135" s="93"/>
      <c r="AD135" s="93"/>
      <c r="AE135" s="93"/>
      <c r="AF135" s="5">
        <f t="shared" si="78"/>
        <v>-52</v>
      </c>
      <c r="AG135" s="93"/>
      <c r="AH135" s="93"/>
      <c r="AI135" s="93"/>
      <c r="AJ135" s="93"/>
      <c r="AK135" s="5">
        <f t="shared" si="79"/>
        <v>-72</v>
      </c>
      <c r="AL135" s="93"/>
      <c r="AM135" s="93"/>
      <c r="AN135" s="93"/>
      <c r="AO135" s="93"/>
      <c r="AP135" s="5">
        <f t="shared" si="80"/>
        <v>-92</v>
      </c>
      <c r="AQ135" s="93"/>
      <c r="AR135" s="93"/>
      <c r="AS135" s="93"/>
      <c r="AT135" s="93"/>
      <c r="AU135" s="5">
        <f t="shared" si="81"/>
        <v>35</v>
      </c>
      <c r="AV135" s="93"/>
      <c r="AW135" s="93"/>
      <c r="AX135" s="93"/>
      <c r="AY135" s="93"/>
      <c r="AZ135" s="5">
        <f t="shared" si="82"/>
        <v>234</v>
      </c>
      <c r="BA135" s="93"/>
      <c r="BB135" s="93"/>
      <c r="BC135" s="93"/>
      <c r="BD135" s="93"/>
      <c r="BE135" s="5">
        <f t="shared" si="83"/>
        <v>273</v>
      </c>
      <c r="BF135" s="93"/>
      <c r="BG135" s="93"/>
      <c r="BH135" s="93"/>
      <c r="BI135" s="93"/>
      <c r="BJ135" s="5">
        <f t="shared" si="84"/>
        <v>351</v>
      </c>
      <c r="BK135" s="93"/>
      <c r="BL135" s="93"/>
      <c r="BM135" s="93"/>
      <c r="BN135" s="93"/>
      <c r="BO135" s="5">
        <f t="shared" si="85"/>
        <v>37</v>
      </c>
      <c r="BP135" s="12">
        <f>-BP131*BP170</f>
        <v>67.549858226643281</v>
      </c>
      <c r="BQ135" s="12">
        <f>-BQ131*BQ170</f>
        <v>65.471928638193219</v>
      </c>
      <c r="BR135" s="12">
        <f>-BR131*BR170</f>
        <v>61.993326154406773</v>
      </c>
      <c r="BS135" s="12">
        <f>-BS131*BS170</f>
        <v>64.107675200246575</v>
      </c>
      <c r="BT135" s="5">
        <f>SUM(BP135:BS135)</f>
        <v>259.12278821948985</v>
      </c>
      <c r="BU135" s="12">
        <f>-BU131*BU170</f>
        <v>70.554686901623697</v>
      </c>
      <c r="BV135" s="12">
        <f>-BV131*BV170</f>
        <v>69.00384357350984</v>
      </c>
      <c r="BW135" s="12">
        <f>-BW131*BW170</f>
        <v>65.659485739233574</v>
      </c>
      <c r="BX135" s="12">
        <f>-BX131*BX170</f>
        <v>68.797510762143631</v>
      </c>
      <c r="BY135" s="5">
        <f>SUM(BU135:BX135)</f>
        <v>274.01552697651073</v>
      </c>
      <c r="BZ135" s="12">
        <f>-BZ131*BZ170</f>
        <v>75.794572041273383</v>
      </c>
      <c r="CA135" s="12">
        <f>-CA131*CA170</f>
        <v>73.888937078952424</v>
      </c>
      <c r="CB135" s="12">
        <f>-CB131*CB170</f>
        <v>69.312762155816486</v>
      </c>
      <c r="CC135" s="12">
        <f>-CC131*CC170</f>
        <v>74.288393143871872</v>
      </c>
      <c r="CD135" s="5">
        <f>SUM(BZ135:CC135)</f>
        <v>293.28466441991418</v>
      </c>
      <c r="CG135" s="468">
        <v>2012</v>
      </c>
      <c r="CH135" s="115">
        <f t="shared" si="68"/>
        <v>4267</v>
      </c>
      <c r="CI135" s="634">
        <v>1</v>
      </c>
      <c r="CJ135" s="115">
        <v>903.23440343525658</v>
      </c>
      <c r="CK135" s="342">
        <f t="shared" si="69"/>
        <v>4267</v>
      </c>
      <c r="CL135" s="115">
        <f t="shared" si="70"/>
        <v>3363.7655965647436</v>
      </c>
    </row>
    <row r="136" spans="1:90">
      <c r="A136" s="4" t="s">
        <v>2261</v>
      </c>
      <c r="B136" s="5"/>
      <c r="C136" s="5">
        <f t="shared" si="72"/>
        <v>-58</v>
      </c>
      <c r="D136" s="5">
        <f t="shared" si="72"/>
        <v>-351</v>
      </c>
      <c r="E136" s="5">
        <f t="shared" si="73"/>
        <v>94</v>
      </c>
      <c r="F136" s="5">
        <f t="shared" si="73"/>
        <v>173</v>
      </c>
      <c r="G136" s="5">
        <f t="shared" si="73"/>
        <v>-1802</v>
      </c>
      <c r="H136" s="93"/>
      <c r="I136" s="93"/>
      <c r="J136" s="93"/>
      <c r="K136" s="93"/>
      <c r="L136" s="5">
        <f t="shared" si="74"/>
        <v>777</v>
      </c>
      <c r="M136" s="93"/>
      <c r="N136" s="93"/>
      <c r="O136" s="93"/>
      <c r="P136" s="93"/>
      <c r="Q136" s="5">
        <f t="shared" si="75"/>
        <v>296</v>
      </c>
      <c r="R136" s="93"/>
      <c r="S136" s="93"/>
      <c r="T136" s="93"/>
      <c r="U136" s="93"/>
      <c r="V136" s="5">
        <f t="shared" si="76"/>
        <v>71</v>
      </c>
      <c r="W136" s="93"/>
      <c r="X136" s="93"/>
      <c r="Y136" s="93"/>
      <c r="Z136" s="93"/>
      <c r="AA136" s="5">
        <f t="shared" si="77"/>
        <v>1208</v>
      </c>
      <c r="AB136" s="93"/>
      <c r="AC136" s="93"/>
      <c r="AD136" s="93"/>
      <c r="AE136" s="93"/>
      <c r="AF136" s="5">
        <f t="shared" si="78"/>
        <v>240</v>
      </c>
      <c r="AG136" s="93"/>
      <c r="AH136" s="93"/>
      <c r="AI136" s="93"/>
      <c r="AJ136" s="93"/>
      <c r="AK136" s="5">
        <f t="shared" si="79"/>
        <v>1256</v>
      </c>
      <c r="AL136" s="93"/>
      <c r="AM136" s="93"/>
      <c r="AN136" s="93"/>
      <c r="AO136" s="93"/>
      <c r="AP136" s="5">
        <f t="shared" si="80"/>
        <v>1396</v>
      </c>
      <c r="AQ136" s="93"/>
      <c r="AR136" s="93"/>
      <c r="AS136" s="93"/>
      <c r="AT136" s="93"/>
      <c r="AU136" s="5">
        <f t="shared" si="81"/>
        <v>1645</v>
      </c>
      <c r="AV136" s="93"/>
      <c r="AW136" s="93"/>
      <c r="AX136" s="93"/>
      <c r="AY136" s="93"/>
      <c r="AZ136" s="5">
        <f t="shared" si="82"/>
        <v>1438</v>
      </c>
      <c r="BA136" s="93"/>
      <c r="BB136" s="93"/>
      <c r="BC136" s="93"/>
      <c r="BD136" s="93"/>
      <c r="BE136" s="5">
        <f t="shared" si="83"/>
        <v>703</v>
      </c>
      <c r="BF136" s="93"/>
      <c r="BG136" s="93"/>
      <c r="BH136" s="93"/>
      <c r="BI136" s="93"/>
      <c r="BJ136" s="5">
        <f t="shared" si="84"/>
        <v>178</v>
      </c>
      <c r="BK136" s="93"/>
      <c r="BL136" s="93"/>
      <c r="BM136" s="93"/>
      <c r="BN136" s="93"/>
      <c r="BO136" s="5">
        <f t="shared" si="85"/>
        <v>270</v>
      </c>
      <c r="BP136" s="12">
        <f>BT136/4</f>
        <v>64.125</v>
      </c>
      <c r="BQ136" s="12">
        <f>(BT136-BP136)/3</f>
        <v>64.125</v>
      </c>
      <c r="BR136" s="12">
        <f>(BT136-BP136-BQ136)/2</f>
        <v>64.125</v>
      </c>
      <c r="BS136" s="12">
        <f>BT136-SUM(BP136:BR136)</f>
        <v>64.125</v>
      </c>
      <c r="BT136" s="147">
        <f>BO136*(1-5%)</f>
        <v>256.5</v>
      </c>
      <c r="BU136" s="12">
        <f>BY136/4</f>
        <v>64.125</v>
      </c>
      <c r="BV136" s="12">
        <f>(BY136-BU136)/3</f>
        <v>64.125</v>
      </c>
      <c r="BW136" s="12">
        <f>(BY136-BU136-BV136)/2</f>
        <v>64.125</v>
      </c>
      <c r="BX136" s="12">
        <f>BY136-SUM(BU136:BW136)</f>
        <v>64.125</v>
      </c>
      <c r="BY136" s="147">
        <f>BT136</f>
        <v>256.5</v>
      </c>
      <c r="BZ136" s="12">
        <f>CD136/4</f>
        <v>64.125</v>
      </c>
      <c r="CA136" s="12">
        <f>(CD136-BZ136)/3</f>
        <v>64.125</v>
      </c>
      <c r="CB136" s="12">
        <f>(CD136-BZ136-CA136)/2</f>
        <v>64.125</v>
      </c>
      <c r="CC136" s="12">
        <f>CD136-SUM(BZ136:CB136)</f>
        <v>64.125</v>
      </c>
      <c r="CD136" s="147">
        <f>BY136</f>
        <v>256.5</v>
      </c>
      <c r="CG136" s="468">
        <v>2013</v>
      </c>
      <c r="CH136" s="115">
        <f t="shared" si="68"/>
        <v>3372</v>
      </c>
      <c r="CI136" s="634">
        <v>1</v>
      </c>
      <c r="CJ136" s="115">
        <v>1829.1127602253889</v>
      </c>
      <c r="CK136" s="342">
        <f t="shared" si="69"/>
        <v>3372</v>
      </c>
      <c r="CL136" s="115">
        <f t="shared" si="70"/>
        <v>1542.8872397746111</v>
      </c>
    </row>
    <row r="137" spans="1:90">
      <c r="A137" s="4" t="s">
        <v>2154</v>
      </c>
      <c r="B137" s="5"/>
      <c r="C137" s="5">
        <f t="shared" si="72"/>
        <v>-1468</v>
      </c>
      <c r="D137" s="5">
        <f t="shared" si="72"/>
        <v>-2029</v>
      </c>
      <c r="E137" s="5">
        <f t="shared" si="73"/>
        <v>-1697</v>
      </c>
      <c r="F137" s="5">
        <f t="shared" si="73"/>
        <v>-1696</v>
      </c>
      <c r="G137" s="5">
        <f t="shared" si="73"/>
        <v>-1768</v>
      </c>
      <c r="H137" s="93"/>
      <c r="I137" s="93"/>
      <c r="J137" s="93"/>
      <c r="K137" s="93"/>
      <c r="L137" s="5">
        <f t="shared" si="74"/>
        <v>-1825</v>
      </c>
      <c r="M137" s="93"/>
      <c r="N137" s="93"/>
      <c r="O137" s="93"/>
      <c r="P137" s="93"/>
      <c r="Q137" s="5">
        <f t="shared" si="75"/>
        <v>-1776</v>
      </c>
      <c r="R137" s="93"/>
      <c r="S137" s="93"/>
      <c r="T137" s="93"/>
      <c r="U137" s="93"/>
      <c r="V137" s="5">
        <f t="shared" si="76"/>
        <v>-1248</v>
      </c>
      <c r="W137" s="93"/>
      <c r="X137" s="93"/>
      <c r="Y137" s="93"/>
      <c r="Z137" s="93"/>
      <c r="AA137" s="5">
        <f t="shared" si="77"/>
        <v>-1333</v>
      </c>
      <c r="AB137" s="93"/>
      <c r="AC137" s="93"/>
      <c r="AD137" s="93"/>
      <c r="AE137" s="93"/>
      <c r="AF137" s="5">
        <f t="shared" si="78"/>
        <v>-1106</v>
      </c>
      <c r="AG137" s="93"/>
      <c r="AH137" s="93"/>
      <c r="AI137" s="93"/>
      <c r="AJ137" s="93"/>
      <c r="AK137" s="5">
        <f t="shared" si="79"/>
        <v>-1073</v>
      </c>
      <c r="AL137" s="93"/>
      <c r="AM137" s="93"/>
      <c r="AN137" s="93"/>
      <c r="AO137" s="93"/>
      <c r="AP137" s="5">
        <f t="shared" si="80"/>
        <v>-1247</v>
      </c>
      <c r="AQ137" s="93"/>
      <c r="AR137" s="93"/>
      <c r="AS137" s="93"/>
      <c r="AT137" s="93"/>
      <c r="AU137" s="5">
        <f t="shared" si="81"/>
        <v>-994</v>
      </c>
      <c r="AV137" s="93"/>
      <c r="AW137" s="93"/>
      <c r="AX137" s="93"/>
      <c r="AY137" s="93"/>
      <c r="AZ137" s="5">
        <f t="shared" si="82"/>
        <v>-1182</v>
      </c>
      <c r="BA137" s="93"/>
      <c r="BB137" s="93"/>
      <c r="BC137" s="93"/>
      <c r="BD137" s="93"/>
      <c r="BE137" s="5">
        <f t="shared" si="83"/>
        <v>-1493</v>
      </c>
      <c r="BF137" s="93"/>
      <c r="BG137" s="93"/>
      <c r="BH137" s="93"/>
      <c r="BI137" s="93"/>
      <c r="BJ137" s="5">
        <f t="shared" si="84"/>
        <v>-1211</v>
      </c>
      <c r="BK137" s="93"/>
      <c r="BL137" s="93"/>
      <c r="BM137" s="93"/>
      <c r="BN137" s="93"/>
      <c r="BO137" s="5">
        <f t="shared" si="85"/>
        <v>-1190</v>
      </c>
      <c r="BP137" s="12">
        <f>-BP147*BP161*'Key assumptions'!BP$48/1000</f>
        <v>-260.55852870905602</v>
      </c>
      <c r="BQ137" s="12">
        <f>-BQ147*BQ161*'Key assumptions'!BQ$48/1000</f>
        <v>-245.19935900850334</v>
      </c>
      <c r="BR137" s="12">
        <f>-BR147*BR161*'Key assumptions'!BR$48/1000</f>
        <v>-229.85864435911455</v>
      </c>
      <c r="BS137" s="12">
        <f>-BS147*BS161*'Key assumptions'!BS$48/1000</f>
        <v>-243.86657513063486</v>
      </c>
      <c r="BT137" s="5">
        <f>SUM(BP137:BS137)</f>
        <v>-979.48310720730876</v>
      </c>
      <c r="BU137" s="12">
        <f>-BU147*BU161*'Key assumptions'!BU$48/1000</f>
        <v>-289.14059253496868</v>
      </c>
      <c r="BV137" s="12">
        <f>-BV147*BV161*'Key assumptions'!BV$48/1000</f>
        <v>-280.05746301424313</v>
      </c>
      <c r="BW137" s="12">
        <f>-BW147*BW161*'Key assumptions'!BW$48/1000</f>
        <v>-260.69250450835614</v>
      </c>
      <c r="BX137" s="12">
        <f>-BX147*BX161*'Key assumptions'!BX$48/1000</f>
        <v>-278.12358044423257</v>
      </c>
      <c r="BY137" s="5">
        <f>SUM(BU137:BX137)</f>
        <v>-1108.0141405018005</v>
      </c>
      <c r="BZ137" s="12">
        <f>-BZ147*BZ161*'Key assumptions'!BZ$48/1000</f>
        <v>-327.22966390314616</v>
      </c>
      <c r="CA137" s="12">
        <f>-CA147*CA161*'Key assumptions'!CA$48/1000</f>
        <v>-309.47135750159129</v>
      </c>
      <c r="CB137" s="12">
        <f>-CB147*CB161*'Key assumptions'!CB$48/1000</f>
        <v>-280.45937198505652</v>
      </c>
      <c r="CC137" s="12">
        <f>-CC147*CC161*'Key assumptions'!CC$48/1000</f>
        <v>-305.63433559989772</v>
      </c>
      <c r="CD137" s="5">
        <f>SUM(BZ137:CC137)</f>
        <v>-1222.7947289896917</v>
      </c>
      <c r="CG137" s="468">
        <v>2014</v>
      </c>
      <c r="CH137" s="115">
        <f t="shared" si="68"/>
        <v>6085</v>
      </c>
      <c r="CI137" s="634">
        <v>1</v>
      </c>
      <c r="CJ137" s="115">
        <v>1713.1015027936237</v>
      </c>
      <c r="CK137" s="342">
        <f t="shared" si="69"/>
        <v>6085</v>
      </c>
      <c r="CL137" s="115">
        <f t="shared" si="70"/>
        <v>4371.8984972063763</v>
      </c>
    </row>
    <row r="138" spans="1:90">
      <c r="A138" s="4" t="s">
        <v>610</v>
      </c>
      <c r="B138" s="5"/>
      <c r="C138" s="5">
        <f t="shared" si="72"/>
        <v>-4</v>
      </c>
      <c r="D138" s="5">
        <f t="shared" si="72"/>
        <v>-19</v>
      </c>
      <c r="E138" s="5">
        <f t="shared" si="73"/>
        <v>503</v>
      </c>
      <c r="F138" s="5">
        <f t="shared" si="73"/>
        <v>-22</v>
      </c>
      <c r="G138" s="5">
        <f t="shared" si="73"/>
        <v>994</v>
      </c>
      <c r="H138" s="93"/>
      <c r="I138" s="93"/>
      <c r="J138" s="93"/>
      <c r="K138" s="93"/>
      <c r="L138" s="5">
        <f t="shared" si="74"/>
        <v>507</v>
      </c>
      <c r="M138" s="93"/>
      <c r="N138" s="93"/>
      <c r="O138" s="93"/>
      <c r="P138" s="93"/>
      <c r="Q138" s="5">
        <f t="shared" si="75"/>
        <v>422</v>
      </c>
      <c r="R138" s="93"/>
      <c r="S138" s="93"/>
      <c r="T138" s="93"/>
      <c r="U138" s="93"/>
      <c r="V138" s="5">
        <f t="shared" si="76"/>
        <v>0</v>
      </c>
      <c r="W138" s="93"/>
      <c r="X138" s="93"/>
      <c r="Y138" s="93"/>
      <c r="Z138" s="93"/>
      <c r="AA138" s="5">
        <f t="shared" si="77"/>
        <v>129</v>
      </c>
      <c r="AB138" s="93"/>
      <c r="AC138" s="93"/>
      <c r="AD138" s="93"/>
      <c r="AE138" s="93"/>
      <c r="AF138" s="5">
        <f t="shared" si="78"/>
        <v>1</v>
      </c>
      <c r="AG138" s="93"/>
      <c r="AH138" s="93"/>
      <c r="AI138" s="93"/>
      <c r="AJ138" s="93"/>
      <c r="AK138" s="5">
        <f t="shared" si="79"/>
        <v>38</v>
      </c>
      <c r="AL138" s="93"/>
      <c r="AM138" s="93"/>
      <c r="AN138" s="93"/>
      <c r="AO138" s="93"/>
      <c r="AP138" s="5">
        <f t="shared" si="80"/>
        <v>-456</v>
      </c>
      <c r="AQ138" s="93"/>
      <c r="AR138" s="93"/>
      <c r="AS138" s="93"/>
      <c r="AT138" s="93"/>
      <c r="AU138" s="5">
        <f t="shared" si="81"/>
        <v>-133</v>
      </c>
      <c r="AV138" s="93"/>
      <c r="AW138" s="93"/>
      <c r="AX138" s="93"/>
      <c r="AY138" s="93"/>
      <c r="AZ138" s="5">
        <f t="shared" si="82"/>
        <v>-4815</v>
      </c>
      <c r="BA138" s="93"/>
      <c r="BB138" s="93"/>
      <c r="BC138" s="93"/>
      <c r="BD138" s="93"/>
      <c r="BE138" s="5">
        <f t="shared" si="83"/>
        <v>373</v>
      </c>
      <c r="BF138" s="93"/>
      <c r="BG138" s="93"/>
      <c r="BH138" s="93"/>
      <c r="BI138" s="93"/>
      <c r="BJ138" s="5">
        <f t="shared" si="84"/>
        <v>1154</v>
      </c>
      <c r="BK138" s="93"/>
      <c r="BL138" s="93"/>
      <c r="BM138" s="93"/>
      <c r="BN138" s="93"/>
      <c r="BO138" s="5">
        <f t="shared" si="85"/>
        <v>-121</v>
      </c>
      <c r="BP138" s="12">
        <f>BT138/4</f>
        <v>0</v>
      </c>
      <c r="BQ138" s="12">
        <f>(BT138-BP138)/3</f>
        <v>0</v>
      </c>
      <c r="BR138" s="12">
        <f>(BT138-BP138-BQ138)/2</f>
        <v>0</v>
      </c>
      <c r="BS138" s="12">
        <f>BT138-SUM(BP138:BR138)</f>
        <v>0</v>
      </c>
      <c r="BT138" s="147">
        <v>0</v>
      </c>
      <c r="BU138" s="12">
        <f>BY138/4</f>
        <v>0</v>
      </c>
      <c r="BV138" s="12">
        <f>(BY138-BU138)/3</f>
        <v>0</v>
      </c>
      <c r="BW138" s="12">
        <f>(BY138-BU138-BV138)/2</f>
        <v>0</v>
      </c>
      <c r="BX138" s="12">
        <f>BY138-SUM(BU138:BW138)</f>
        <v>0</v>
      </c>
      <c r="BY138" s="147">
        <v>0</v>
      </c>
      <c r="BZ138" s="12">
        <f>CD138/4</f>
        <v>0</v>
      </c>
      <c r="CA138" s="12">
        <f>(CD138-BZ138)/3</f>
        <v>0</v>
      </c>
      <c r="CB138" s="12">
        <f>(CD138-BZ138-CA138)/2</f>
        <v>0</v>
      </c>
      <c r="CC138" s="12">
        <f>CD138-SUM(BZ138:CB138)</f>
        <v>0</v>
      </c>
      <c r="CD138" s="147">
        <v>0</v>
      </c>
      <c r="CG138" s="468">
        <v>2015</v>
      </c>
      <c r="CH138" s="115">
        <f t="shared" si="68"/>
        <v>3127</v>
      </c>
      <c r="CI138" s="634">
        <v>1</v>
      </c>
      <c r="CJ138" s="115">
        <v>1322.2766528084389</v>
      </c>
      <c r="CK138" s="342">
        <f t="shared" si="69"/>
        <v>3127</v>
      </c>
      <c r="CL138" s="115">
        <f t="shared" si="70"/>
        <v>1804.7233471915611</v>
      </c>
    </row>
    <row r="139" spans="1:90">
      <c r="A139" s="7" t="s">
        <v>2160</v>
      </c>
      <c r="B139" s="8"/>
      <c r="C139" s="8">
        <f>C131+SUM(C133:C138)</f>
        <v>3897</v>
      </c>
      <c r="D139" s="8">
        <f>D131+SUM(D133:D138)</f>
        <v>2794</v>
      </c>
      <c r="E139" s="8">
        <f>E131+SUM(E133:E138)</f>
        <v>3828</v>
      </c>
      <c r="F139" s="8">
        <f>F131+SUM(F133:F138)</f>
        <v>4200</v>
      </c>
      <c r="G139" s="8">
        <f>G131+SUM(G133:G138)</f>
        <v>4409</v>
      </c>
      <c r="H139" s="93"/>
      <c r="I139" s="93"/>
      <c r="J139" s="93"/>
      <c r="K139" s="93"/>
      <c r="L139" s="8">
        <f>L131+SUM(L133:L138)</f>
        <v>6812</v>
      </c>
      <c r="M139" s="93"/>
      <c r="N139" s="93"/>
      <c r="O139" s="93"/>
      <c r="P139" s="93"/>
      <c r="Q139" s="8">
        <f>Q131+SUM(Q133:Q138)</f>
        <v>4960</v>
      </c>
      <c r="R139" s="93"/>
      <c r="S139" s="93"/>
      <c r="T139" s="93"/>
      <c r="U139" s="93"/>
      <c r="V139" s="8">
        <f>V131+SUM(V133:V138)</f>
        <v>6451</v>
      </c>
      <c r="W139" s="93"/>
      <c r="X139" s="93"/>
      <c r="Y139" s="93"/>
      <c r="Z139" s="93"/>
      <c r="AA139" s="8">
        <f>AA131+SUM(AA133:AA138)</f>
        <v>4139</v>
      </c>
      <c r="AB139" s="93"/>
      <c r="AC139" s="93"/>
      <c r="AD139" s="93"/>
      <c r="AE139" s="93"/>
      <c r="AF139" s="8">
        <f>AF131+SUM(AF133:AF138)</f>
        <v>3902</v>
      </c>
      <c r="AG139" s="93"/>
      <c r="AH139" s="93"/>
      <c r="AI139" s="93"/>
      <c r="AJ139" s="93"/>
      <c r="AK139" s="8">
        <f>AK131+SUM(AK133:AK138)</f>
        <v>5274</v>
      </c>
      <c r="AL139" s="93"/>
      <c r="AM139" s="93"/>
      <c r="AN139" s="93"/>
      <c r="AO139" s="93"/>
      <c r="AP139" s="8">
        <f>AP131+SUM(AP133:AP138)</f>
        <v>3238</v>
      </c>
      <c r="AQ139" s="93"/>
      <c r="AR139" s="93"/>
      <c r="AS139" s="93"/>
      <c r="AT139" s="93"/>
      <c r="AU139" s="8">
        <f>AU131+SUM(AU133:AU138)</f>
        <v>2977</v>
      </c>
      <c r="AV139" s="93"/>
      <c r="AW139" s="93"/>
      <c r="AX139" s="93"/>
      <c r="AY139" s="93"/>
      <c r="AZ139" s="8">
        <f>AZ131+SUM(AZ133:AZ138)</f>
        <v>-2544</v>
      </c>
      <c r="BA139" s="93"/>
      <c r="BB139" s="93"/>
      <c r="BC139" s="93"/>
      <c r="BD139" s="93"/>
      <c r="BE139" s="8">
        <f>BE131+SUM(BE133:BE138)</f>
        <v>1113</v>
      </c>
      <c r="BF139" s="93"/>
      <c r="BG139" s="93"/>
      <c r="BH139" s="93"/>
      <c r="BI139" s="93"/>
      <c r="BJ139" s="8">
        <f>BJ131+SUM(BJ133:BJ138)</f>
        <v>1587</v>
      </c>
      <c r="BK139" s="93"/>
      <c r="BL139" s="93"/>
      <c r="BM139" s="93"/>
      <c r="BN139" s="93"/>
      <c r="BO139" s="8">
        <f>BO131+SUM(BO133:BO138)</f>
        <v>-15</v>
      </c>
      <c r="BP139" s="66">
        <f t="shared" ref="BP139:CD139" si="89">BP131+SUM(BP133:BP138)</f>
        <v>357.62532867202066</v>
      </c>
      <c r="BQ139" s="66">
        <f t="shared" si="89"/>
        <v>366.77795821939412</v>
      </c>
      <c r="BR139" s="66">
        <f t="shared" si="89"/>
        <v>353.87711744384291</v>
      </c>
      <c r="BS139" s="66">
        <f t="shared" si="89"/>
        <v>353.9747473905984</v>
      </c>
      <c r="BT139" s="8">
        <f t="shared" si="89"/>
        <v>1432.2551517258562</v>
      </c>
      <c r="BU139" s="66">
        <f t="shared" si="89"/>
        <v>348.24888937758197</v>
      </c>
      <c r="BV139" s="66">
        <f t="shared" si="89"/>
        <v>346.28958829794033</v>
      </c>
      <c r="BW139" s="66">
        <f t="shared" si="89"/>
        <v>341.69434505824302</v>
      </c>
      <c r="BX139" s="66">
        <f t="shared" si="89"/>
        <v>347.23485229693398</v>
      </c>
      <c r="BY139" s="8">
        <f t="shared" si="89"/>
        <v>1383.4676750306994</v>
      </c>
      <c r="BZ139" s="66">
        <f t="shared" si="89"/>
        <v>343.5618019319499</v>
      </c>
      <c r="CA139" s="66">
        <f t="shared" si="89"/>
        <v>352.28603416939649</v>
      </c>
      <c r="CB139" s="66">
        <f t="shared" si="89"/>
        <v>350.44688422422087</v>
      </c>
      <c r="CC139" s="66">
        <f t="shared" si="89"/>
        <v>363.0943260712736</v>
      </c>
      <c r="CD139" s="8">
        <f t="shared" si="89"/>
        <v>1409.389046396841</v>
      </c>
      <c r="CG139" s="468">
        <v>2016</v>
      </c>
      <c r="CH139" s="115">
        <f t="shared" si="68"/>
        <v>2353</v>
      </c>
      <c r="CI139" s="634">
        <v>1</v>
      </c>
      <c r="CJ139" s="115">
        <v>1076.2648586025307</v>
      </c>
      <c r="CK139" s="342">
        <f t="shared" si="69"/>
        <v>2353</v>
      </c>
      <c r="CL139" s="115">
        <f t="shared" si="70"/>
        <v>1276.7351413974693</v>
      </c>
    </row>
    <row r="140" spans="1:90">
      <c r="A140" s="4"/>
      <c r="B140" s="5"/>
      <c r="C140" s="5"/>
      <c r="D140" s="5"/>
      <c r="E140" s="5"/>
      <c r="F140" s="5"/>
      <c r="G140" s="5"/>
      <c r="H140" s="12"/>
      <c r="I140" s="12"/>
      <c r="J140" s="12"/>
      <c r="K140" s="12"/>
      <c r="L140" s="5"/>
      <c r="M140" s="12"/>
      <c r="N140" s="12"/>
      <c r="O140" s="12"/>
      <c r="P140" s="12"/>
      <c r="Q140" s="5"/>
      <c r="R140" s="12"/>
      <c r="S140" s="12"/>
      <c r="T140" s="12"/>
      <c r="U140" s="12"/>
      <c r="V140" s="5"/>
      <c r="W140" s="12"/>
      <c r="X140" s="12"/>
      <c r="Y140" s="12"/>
      <c r="Z140" s="12"/>
      <c r="AA140" s="5"/>
      <c r="AB140" s="12"/>
      <c r="AC140" s="12"/>
      <c r="AD140" s="12"/>
      <c r="AE140" s="12"/>
      <c r="AF140" s="5"/>
      <c r="AG140" s="12"/>
      <c r="AH140" s="12"/>
      <c r="AI140" s="12"/>
      <c r="AJ140" s="12"/>
      <c r="AK140" s="5"/>
      <c r="AL140" s="12"/>
      <c r="AM140" s="12"/>
      <c r="AN140" s="12"/>
      <c r="AO140" s="12"/>
      <c r="AP140" s="5"/>
      <c r="AQ140" s="12"/>
      <c r="AR140" s="12"/>
      <c r="AS140" s="12"/>
      <c r="AT140" s="12"/>
      <c r="AU140" s="5"/>
      <c r="AV140" s="12"/>
      <c r="AW140" s="12"/>
      <c r="AX140" s="12"/>
      <c r="AY140" s="12"/>
      <c r="AZ140" s="5"/>
      <c r="BA140" s="12"/>
      <c r="BB140" s="12"/>
      <c r="BC140" s="12"/>
      <c r="BD140" s="12"/>
      <c r="BE140" s="5"/>
      <c r="BF140" s="12"/>
      <c r="BG140" s="12"/>
      <c r="BH140" s="12"/>
      <c r="BI140" s="12"/>
      <c r="BJ140" s="5"/>
      <c r="BK140" s="12"/>
      <c r="BL140" s="12"/>
      <c r="BM140" s="12"/>
      <c r="BN140" s="12"/>
      <c r="BO140" s="5"/>
      <c r="BP140" s="12"/>
      <c r="BQ140" s="12"/>
      <c r="BR140" s="12"/>
      <c r="BS140" s="12"/>
      <c r="BT140" s="5"/>
      <c r="BU140" s="12"/>
      <c r="BV140" s="12"/>
      <c r="BW140" s="12"/>
      <c r="BX140" s="12"/>
      <c r="BY140" s="5"/>
      <c r="BZ140" s="12"/>
      <c r="CA140" s="12"/>
      <c r="CB140" s="12"/>
      <c r="CC140" s="12"/>
      <c r="CD140" s="5"/>
      <c r="CG140" s="468">
        <v>2017</v>
      </c>
      <c r="CH140" s="115">
        <f t="shared" si="68"/>
        <v>1731.0000000000002</v>
      </c>
      <c r="CI140" s="634">
        <v>1</v>
      </c>
      <c r="CJ140" s="115">
        <v>2102.3221125389778</v>
      </c>
      <c r="CK140" s="342">
        <f t="shared" si="69"/>
        <v>1731.0000000000002</v>
      </c>
      <c r="CL140" s="115">
        <f t="shared" si="70"/>
        <v>-371.32211253897754</v>
      </c>
    </row>
    <row r="141" spans="1:90">
      <c r="A141" s="4" t="s">
        <v>2152</v>
      </c>
      <c r="B141" s="5"/>
      <c r="C141" s="5">
        <f>C103+C122</f>
        <v>-1357</v>
      </c>
      <c r="D141" s="5">
        <f>D103+D122</f>
        <v>-1739</v>
      </c>
      <c r="E141" s="5">
        <f>E103+E122</f>
        <v>-1611</v>
      </c>
      <c r="F141" s="5">
        <f>F103+F122</f>
        <v>-1776</v>
      </c>
      <c r="G141" s="5">
        <f>G103+G122</f>
        <v>-1285</v>
      </c>
      <c r="H141" s="93"/>
      <c r="I141" s="93"/>
      <c r="J141" s="93"/>
      <c r="K141" s="93"/>
      <c r="L141" s="5">
        <f>L103+L122</f>
        <v>-3360</v>
      </c>
      <c r="M141" s="93"/>
      <c r="N141" s="93"/>
      <c r="O141" s="93"/>
      <c r="P141" s="93"/>
      <c r="Q141" s="5">
        <f>Q103+Q122</f>
        <v>-2275</v>
      </c>
      <c r="R141" s="93"/>
      <c r="S141" s="93"/>
      <c r="T141" s="93"/>
      <c r="U141" s="93"/>
      <c r="V141" s="5">
        <f>V103+V122</f>
        <v>-3163</v>
      </c>
      <c r="W141" s="93"/>
      <c r="X141" s="93"/>
      <c r="Y141" s="93"/>
      <c r="Z141" s="93"/>
      <c r="AA141" s="5">
        <f>AA103+AA122</f>
        <v>-1644</v>
      </c>
      <c r="AB141" s="93"/>
      <c r="AC141" s="93"/>
      <c r="AD141" s="93"/>
      <c r="AE141" s="93"/>
      <c r="AF141" s="5">
        <f>AF103+AF122</f>
        <v>-1863</v>
      </c>
      <c r="AG141" s="93"/>
      <c r="AH141" s="93"/>
      <c r="AI141" s="93"/>
      <c r="AJ141" s="93"/>
      <c r="AK141" s="5">
        <f>AK103+AK122</f>
        <v>-2867</v>
      </c>
      <c r="AL141" s="93"/>
      <c r="AM141" s="93"/>
      <c r="AN141" s="93"/>
      <c r="AO141" s="93"/>
      <c r="AP141" s="5">
        <f>AP103+AP122</f>
        <v>-808</v>
      </c>
      <c r="AQ141" s="93"/>
      <c r="AR141" s="93"/>
      <c r="AS141" s="93"/>
      <c r="AT141" s="93"/>
      <c r="AU141" s="5">
        <f>AU103+AU122</f>
        <v>-1029</v>
      </c>
      <c r="AV141" s="93"/>
      <c r="AW141" s="93"/>
      <c r="AX141" s="93"/>
      <c r="AY141" s="93"/>
      <c r="AZ141" s="5">
        <f>AZ103+AZ122</f>
        <v>2491</v>
      </c>
      <c r="BA141" s="93"/>
      <c r="BB141" s="93"/>
      <c r="BC141" s="93"/>
      <c r="BD141" s="93"/>
      <c r="BE141" s="5">
        <f>BE103+BE122</f>
        <v>771</v>
      </c>
      <c r="BF141" s="93"/>
      <c r="BG141" s="93"/>
      <c r="BH141" s="93"/>
      <c r="BI141" s="93"/>
      <c r="BJ141" s="5">
        <f>BJ103+BJ122</f>
        <v>573</v>
      </c>
      <c r="BK141" s="93"/>
      <c r="BL141" s="93"/>
      <c r="BM141" s="93"/>
      <c r="BN141" s="93"/>
      <c r="BO141" s="5">
        <f>BO103+BO122</f>
        <v>104</v>
      </c>
      <c r="BP141" s="12">
        <f>-BP139*BP175</f>
        <v>-107.28759860160619</v>
      </c>
      <c r="BQ141" s="12">
        <f>-BQ139*BQ175</f>
        <v>-110.03338746581824</v>
      </c>
      <c r="BR141" s="12">
        <f>-BR139*BR175</f>
        <v>-106.16313523315287</v>
      </c>
      <c r="BS141" s="12">
        <f>-BS139*BS175</f>
        <v>-106.19242421717952</v>
      </c>
      <c r="BT141" s="5">
        <f>SUM(BP141:BS141)</f>
        <v>-429.67654551775678</v>
      </c>
      <c r="BU141" s="12">
        <f>-BU139*BU175</f>
        <v>-104.4746668132746</v>
      </c>
      <c r="BV141" s="12">
        <f>-BV139*BV175</f>
        <v>-103.88687648938209</v>
      </c>
      <c r="BW141" s="12">
        <f>-BW139*BW175</f>
        <v>-102.5083035174729</v>
      </c>
      <c r="BX141" s="12">
        <f>-BX139*BX175</f>
        <v>-104.17045568908019</v>
      </c>
      <c r="BY141" s="5">
        <f>SUM(BU141:BX141)</f>
        <v>-415.04030250920977</v>
      </c>
      <c r="BZ141" s="12">
        <f>-BZ139*BZ175</f>
        <v>-103.06854057958496</v>
      </c>
      <c r="CA141" s="12">
        <f>-CA139*CA175</f>
        <v>-105.68581025081895</v>
      </c>
      <c r="CB141" s="12">
        <f>-CB139*CB175</f>
        <v>-105.13406526726625</v>
      </c>
      <c r="CC141" s="12">
        <f>-CC139*CC175</f>
        <v>-108.92829782138207</v>
      </c>
      <c r="CD141" s="5">
        <f>SUM(BZ141:CC141)</f>
        <v>-422.81671391905218</v>
      </c>
      <c r="CG141" s="468">
        <v>2018</v>
      </c>
      <c r="CH141" s="115">
        <f t="shared" si="68"/>
        <v>2037.2150467487415</v>
      </c>
      <c r="CI141" s="634">
        <v>1</v>
      </c>
      <c r="CJ141" s="115">
        <v>2700.073042780547</v>
      </c>
      <c r="CK141" s="342">
        <f t="shared" si="69"/>
        <v>2037.2150467487415</v>
      </c>
      <c r="CL141" s="115">
        <f t="shared" si="70"/>
        <v>-662.85799603180544</v>
      </c>
    </row>
    <row r="142" spans="1:90">
      <c r="A142" s="14" t="s">
        <v>2153</v>
      </c>
      <c r="B142" s="15"/>
      <c r="C142" s="15">
        <f>SUM(C139,C141)</f>
        <v>2540</v>
      </c>
      <c r="D142" s="15">
        <f>SUM(D139,D141)</f>
        <v>1055</v>
      </c>
      <c r="E142" s="15">
        <f>SUM(E139,E141)</f>
        <v>2217</v>
      </c>
      <c r="F142" s="15">
        <f>SUM(F139,F141)</f>
        <v>2424</v>
      </c>
      <c r="G142" s="15">
        <f>SUM(G139,G141)</f>
        <v>3124</v>
      </c>
      <c r="H142" s="378"/>
      <c r="I142" s="378"/>
      <c r="J142" s="378"/>
      <c r="K142" s="378"/>
      <c r="L142" s="15">
        <f>SUM(L139,L141)</f>
        <v>3452</v>
      </c>
      <c r="M142" s="378"/>
      <c r="N142" s="378"/>
      <c r="O142" s="378"/>
      <c r="P142" s="378"/>
      <c r="Q142" s="15">
        <f>SUM(Q139,Q141)</f>
        <v>2685</v>
      </c>
      <c r="R142" s="378"/>
      <c r="S142" s="378"/>
      <c r="T142" s="378"/>
      <c r="U142" s="378"/>
      <c r="V142" s="15">
        <f>SUM(V139,V141)</f>
        <v>3288</v>
      </c>
      <c r="W142" s="378"/>
      <c r="X142" s="378"/>
      <c r="Y142" s="378"/>
      <c r="Z142" s="378"/>
      <c r="AA142" s="15">
        <f>SUM(AA139,AA141)</f>
        <v>2495</v>
      </c>
      <c r="AB142" s="378"/>
      <c r="AC142" s="378"/>
      <c r="AD142" s="378"/>
      <c r="AE142" s="378"/>
      <c r="AF142" s="15">
        <f>SUM(AF139,AF141)</f>
        <v>2039</v>
      </c>
      <c r="AG142" s="378"/>
      <c r="AH142" s="378"/>
      <c r="AI142" s="378"/>
      <c r="AJ142" s="378"/>
      <c r="AK142" s="15">
        <f>SUM(AK139,AK141)</f>
        <v>2407</v>
      </c>
      <c r="AL142" s="378"/>
      <c r="AM142" s="378"/>
      <c r="AN142" s="378"/>
      <c r="AO142" s="378"/>
      <c r="AP142" s="15">
        <f>SUM(AP139,AP141)</f>
        <v>2430</v>
      </c>
      <c r="AQ142" s="378"/>
      <c r="AR142" s="378"/>
      <c r="AS142" s="378"/>
      <c r="AT142" s="378"/>
      <c r="AU142" s="15">
        <f>SUM(AU139,AU141)</f>
        <v>1948</v>
      </c>
      <c r="AV142" s="378"/>
      <c r="AW142" s="378"/>
      <c r="AX142" s="378"/>
      <c r="AY142" s="378"/>
      <c r="AZ142" s="15">
        <f>SUM(AZ139,AZ141)</f>
        <v>-53</v>
      </c>
      <c r="BA142" s="378"/>
      <c r="BB142" s="378"/>
      <c r="BC142" s="378"/>
      <c r="BD142" s="378"/>
      <c r="BE142" s="15">
        <f>SUM(BE139,BE141)</f>
        <v>1884</v>
      </c>
      <c r="BF142" s="378"/>
      <c r="BG142" s="378"/>
      <c r="BH142" s="378"/>
      <c r="BI142" s="378"/>
      <c r="BJ142" s="15">
        <f>SUM(BJ139,BJ141)</f>
        <v>2160</v>
      </c>
      <c r="BK142" s="378"/>
      <c r="BL142" s="378"/>
      <c r="BM142" s="378"/>
      <c r="BN142" s="378"/>
      <c r="BO142" s="15">
        <f>SUM(BO139,BO141)</f>
        <v>89</v>
      </c>
      <c r="BP142" s="67">
        <f t="shared" ref="BP142:CD142" si="90">SUM(BP139,BP141)</f>
        <v>250.33773007041447</v>
      </c>
      <c r="BQ142" s="67">
        <f t="shared" si="90"/>
        <v>256.74457075357589</v>
      </c>
      <c r="BR142" s="67">
        <f t="shared" si="90"/>
        <v>247.71398221069003</v>
      </c>
      <c r="BS142" s="67">
        <f t="shared" si="90"/>
        <v>247.78232317341889</v>
      </c>
      <c r="BT142" s="15">
        <f t="shared" si="90"/>
        <v>1002.5786062080995</v>
      </c>
      <c r="BU142" s="67">
        <f t="shared" si="90"/>
        <v>243.77422256430737</v>
      </c>
      <c r="BV142" s="67">
        <f t="shared" si="90"/>
        <v>242.40271180855825</v>
      </c>
      <c r="BW142" s="67">
        <f t="shared" si="90"/>
        <v>239.18604154077013</v>
      </c>
      <c r="BX142" s="67">
        <f t="shared" si="90"/>
        <v>243.06439660785378</v>
      </c>
      <c r="BY142" s="15">
        <f t="shared" si="90"/>
        <v>968.42737252148959</v>
      </c>
      <c r="BZ142" s="67">
        <f t="shared" si="90"/>
        <v>240.49326135236493</v>
      </c>
      <c r="CA142" s="67">
        <f t="shared" si="90"/>
        <v>246.60022391857754</v>
      </c>
      <c r="CB142" s="67">
        <f t="shared" si="90"/>
        <v>245.31281895695463</v>
      </c>
      <c r="CC142" s="67">
        <f t="shared" si="90"/>
        <v>254.16602824989153</v>
      </c>
      <c r="CD142" s="15">
        <f t="shared" si="90"/>
        <v>986.57233247778879</v>
      </c>
      <c r="CG142" s="468">
        <v>2019</v>
      </c>
      <c r="CH142" s="115">
        <f t="shared" si="68"/>
        <v>2121.6598463566233</v>
      </c>
      <c r="CI142" s="634">
        <v>1</v>
      </c>
      <c r="CJ142" s="115">
        <v>2232.4639878301869</v>
      </c>
      <c r="CK142" s="342">
        <f t="shared" si="69"/>
        <v>2121.6598463566233</v>
      </c>
      <c r="CL142" s="115">
        <f t="shared" si="70"/>
        <v>-110.8041414735635</v>
      </c>
    </row>
    <row r="143" spans="1:90">
      <c r="A143" s="75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  <c r="Z143" s="76"/>
      <c r="AA143" s="76"/>
      <c r="AB143" s="76"/>
      <c r="AC143" s="76"/>
      <c r="AD143" s="76"/>
      <c r="AE143" s="76"/>
      <c r="AF143" s="76"/>
      <c r="AG143" s="76"/>
      <c r="AH143" s="76"/>
      <c r="AI143" s="76"/>
      <c r="AJ143" s="76"/>
      <c r="AK143" s="76"/>
      <c r="AL143" s="76"/>
      <c r="AM143" s="76"/>
      <c r="AN143" s="76"/>
      <c r="AO143" s="76"/>
      <c r="AP143" s="76"/>
      <c r="AQ143" s="76"/>
      <c r="AR143" s="76"/>
      <c r="AS143" s="76"/>
      <c r="AT143" s="76"/>
      <c r="AU143" s="76"/>
      <c r="AV143" s="76"/>
      <c r="AW143" s="76"/>
      <c r="AX143" s="76"/>
      <c r="AY143" s="76"/>
      <c r="AZ143" s="76"/>
      <c r="BA143" s="76"/>
      <c r="BB143" s="76"/>
      <c r="BC143" s="76"/>
      <c r="BD143" s="76"/>
      <c r="BE143" s="76"/>
      <c r="BF143" s="76"/>
      <c r="BG143" s="76"/>
      <c r="BH143" s="76"/>
      <c r="BI143" s="76"/>
      <c r="BJ143" s="76"/>
      <c r="BK143" s="76"/>
      <c r="BL143" s="76"/>
      <c r="BM143" s="76"/>
      <c r="BN143" s="76"/>
      <c r="BO143" s="76"/>
      <c r="BP143" s="76"/>
      <c r="BQ143" s="76"/>
      <c r="BR143" s="76"/>
      <c r="BS143" s="76"/>
      <c r="BT143" s="76"/>
      <c r="BU143" s="76"/>
      <c r="BV143" s="76"/>
      <c r="BW143" s="76"/>
      <c r="BX143" s="76"/>
      <c r="BY143" s="76"/>
      <c r="BZ143" s="76"/>
      <c r="CA143" s="76"/>
      <c r="CB143" s="76"/>
      <c r="CC143" s="76"/>
      <c r="CD143" s="76"/>
      <c r="CG143" s="468">
        <v>2020</v>
      </c>
      <c r="CH143" s="115">
        <f t="shared" si="68"/>
        <v>2238.4870614674805</v>
      </c>
      <c r="CI143" s="634">
        <v>1</v>
      </c>
      <c r="CJ143" s="115">
        <v>2536.9419562009944</v>
      </c>
      <c r="CK143" s="342">
        <f t="shared" si="69"/>
        <v>2238.4870614674805</v>
      </c>
      <c r="CL143" s="115">
        <f t="shared" si="70"/>
        <v>-298.45489473351381</v>
      </c>
    </row>
    <row r="144" spans="1:90" hidden="1" outlineLevel="1">
      <c r="A144" s="39" t="s">
        <v>196</v>
      </c>
      <c r="B144" s="11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</row>
    <row r="145" spans="1:87" hidden="1" outlineLevel="1">
      <c r="A145" s="11"/>
      <c r="B145" s="11" t="s">
        <v>932</v>
      </c>
      <c r="C145" s="5">
        <f>'Production - Oil'!C14</f>
        <v>585</v>
      </c>
      <c r="D145" s="5">
        <f>'Production - Oil'!D14</f>
        <v>565</v>
      </c>
      <c r="E145" s="5">
        <f>'Production - Oil'!E14</f>
        <v>461</v>
      </c>
      <c r="F145" s="5">
        <f>'Production - Oil'!F14</f>
        <v>407</v>
      </c>
      <c r="G145" s="5">
        <f>'Production - Oil'!G14</f>
        <v>352</v>
      </c>
      <c r="H145" s="93"/>
      <c r="I145" s="93"/>
      <c r="J145" s="93"/>
      <c r="K145" s="93"/>
      <c r="L145" s="5">
        <f>'Production - Oil'!L14</f>
        <v>314</v>
      </c>
      <c r="M145" s="93"/>
      <c r="N145" s="93"/>
      <c r="O145" s="93"/>
      <c r="P145" s="93"/>
      <c r="Q145" s="5">
        <f>'Production - Oil'!Q14</f>
        <v>252</v>
      </c>
      <c r="R145" s="93"/>
      <c r="S145" s="93"/>
      <c r="T145" s="93"/>
      <c r="U145" s="93"/>
      <c r="V145" s="5">
        <f>'Production - Oil'!V14</f>
        <v>216</v>
      </c>
      <c r="W145" s="93"/>
      <c r="X145" s="93"/>
      <c r="Y145" s="93"/>
      <c r="Z145" s="93"/>
      <c r="AA145" s="5">
        <f>'Production - Oil'!AA14</f>
        <v>208</v>
      </c>
      <c r="AB145" s="93"/>
      <c r="AC145" s="93"/>
      <c r="AD145" s="93"/>
      <c r="AE145" s="93"/>
      <c r="AF145" s="5">
        <f>'Production - Oil'!AF14</f>
        <v>177</v>
      </c>
      <c r="AG145" s="93"/>
      <c r="AH145" s="93"/>
      <c r="AI145" s="93"/>
      <c r="AJ145" s="93"/>
      <c r="AK145" s="5">
        <f>'Production - Oil'!AK$14</f>
        <v>145</v>
      </c>
      <c r="AL145" s="93"/>
      <c r="AM145" s="93"/>
      <c r="AN145" s="93"/>
      <c r="AO145" s="93"/>
      <c r="AP145" s="5">
        <f>'Production - Oil'!AP$14</f>
        <v>109</v>
      </c>
      <c r="AQ145" s="93"/>
      <c r="AR145" s="93"/>
      <c r="AS145" s="93"/>
      <c r="AT145" s="93"/>
      <c r="AU145" s="5">
        <f>'Production - Oil'!AU$14</f>
        <v>96</v>
      </c>
      <c r="AV145" s="93"/>
      <c r="AW145" s="93"/>
      <c r="AX145" s="93"/>
      <c r="AY145" s="93"/>
      <c r="AZ145" s="5">
        <f>'Production - Oil'!AZ$14</f>
        <v>94</v>
      </c>
      <c r="BA145" s="93"/>
      <c r="BB145" s="93"/>
      <c r="BC145" s="93"/>
      <c r="BD145" s="93"/>
      <c r="BE145" s="5">
        <f>'Production - Oil'!BE$14</f>
        <v>121</v>
      </c>
      <c r="BF145" s="93"/>
      <c r="BG145" s="93"/>
      <c r="BH145" s="93"/>
      <c r="BI145" s="93"/>
      <c r="BJ145" s="5">
        <f>'Production - Oil'!BJ$14</f>
        <v>112</v>
      </c>
      <c r="BK145" s="93"/>
      <c r="BL145" s="93"/>
      <c r="BM145" s="93"/>
      <c r="BN145" s="93"/>
      <c r="BO145" s="5">
        <f>'Production - Oil'!BO$14</f>
        <v>86</v>
      </c>
      <c r="BP145" s="12">
        <f>'Production - Oil'!BP$14</f>
        <v>103.06000000000002</v>
      </c>
      <c r="BQ145" s="12">
        <f>'Production - Oil'!BQ$14</f>
        <v>103.06000000000002</v>
      </c>
      <c r="BR145" s="12">
        <f>'Production - Oil'!BR$14</f>
        <v>103.06000000000002</v>
      </c>
      <c r="BS145" s="12">
        <f>'Production - Oil'!BS$14</f>
        <v>103.06000000000002</v>
      </c>
      <c r="BT145" s="5">
        <f>'Production - Oil'!BT$14</f>
        <v>103.06000000000002</v>
      </c>
      <c r="BU145" s="12">
        <f>'Production - Oil'!BU$14</f>
        <v>112.1</v>
      </c>
      <c r="BV145" s="12">
        <f>'Production - Oil'!BV$14</f>
        <v>112.1</v>
      </c>
      <c r="BW145" s="12">
        <f>'Production - Oil'!BW$14</f>
        <v>112.1</v>
      </c>
      <c r="BX145" s="12">
        <f>'Production - Oil'!BX$14</f>
        <v>112.1</v>
      </c>
      <c r="BY145" s="5">
        <f>'Production - Oil'!BY$14</f>
        <v>112.1</v>
      </c>
      <c r="BZ145" s="12">
        <f>'Production - Oil'!BZ$14</f>
        <v>108.60999999999999</v>
      </c>
      <c r="CA145" s="12">
        <f>'Production - Oil'!CA$14</f>
        <v>108.60999999999999</v>
      </c>
      <c r="CB145" s="12">
        <f>'Production - Oil'!CB$14</f>
        <v>108.60999999999999</v>
      </c>
      <c r="CC145" s="12">
        <f>'Production - Oil'!CC$14</f>
        <v>108.60999999999999</v>
      </c>
      <c r="CD145" s="5">
        <f>'Production - Oil'!CD$14</f>
        <v>108.60999999999999</v>
      </c>
    </row>
    <row r="146" spans="1:87" hidden="1" outlineLevel="1">
      <c r="A146" s="11"/>
      <c r="B146" s="11" t="s">
        <v>933</v>
      </c>
      <c r="C146" s="5">
        <f>'Production - Gas'!C14</f>
        <v>1860</v>
      </c>
      <c r="D146" s="5">
        <f>'Production - Gas'!D14</f>
        <v>1697</v>
      </c>
      <c r="E146" s="5">
        <f>'Production - Gas'!E14</f>
        <v>1565</v>
      </c>
      <c r="F146" s="5">
        <f>'Production - Gas'!F14</f>
        <v>1299</v>
      </c>
      <c r="G146" s="5">
        <f>'Production - Gas'!G14</f>
        <v>1198</v>
      </c>
      <c r="H146" s="93"/>
      <c r="I146" s="93"/>
      <c r="J146" s="93"/>
      <c r="K146" s="93"/>
      <c r="L146" s="5">
        <f>'Production - Gas'!L14</f>
        <v>1027</v>
      </c>
      <c r="M146" s="93"/>
      <c r="N146" s="93"/>
      <c r="O146" s="93"/>
      <c r="P146" s="93"/>
      <c r="Q146" s="5">
        <f>'Production - Gas'!Q14</f>
        <v>797</v>
      </c>
      <c r="R146" s="93"/>
      <c r="S146" s="93"/>
      <c r="T146" s="93"/>
      <c r="U146" s="93"/>
      <c r="V146" s="5">
        <f>'Production - Gas'!V14</f>
        <v>782</v>
      </c>
      <c r="W146" s="93"/>
      <c r="X146" s="93"/>
      <c r="Y146" s="93"/>
      <c r="Z146" s="93"/>
      <c r="AA146" s="5">
        <f>'Production - Gas'!AA14</f>
        <v>634</v>
      </c>
      <c r="AB146" s="93"/>
      <c r="AC146" s="93"/>
      <c r="AD146" s="93"/>
      <c r="AE146" s="93"/>
      <c r="AF146" s="5">
        <f>'Production - Gas'!AF14</f>
        <v>487</v>
      </c>
      <c r="AG146" s="93"/>
      <c r="AH146" s="93"/>
      <c r="AI146" s="93"/>
      <c r="AJ146" s="93"/>
      <c r="AK146" s="5">
        <f>'Production - Gas'!AK$14</f>
        <v>368</v>
      </c>
      <c r="AL146" s="93"/>
      <c r="AM146" s="93"/>
      <c r="AN146" s="93"/>
      <c r="AO146" s="93"/>
      <c r="AP146" s="5">
        <f>'Production - Gas'!AP$14</f>
        <v>422</v>
      </c>
      <c r="AQ146" s="93"/>
      <c r="AR146" s="93"/>
      <c r="AS146" s="93"/>
      <c r="AT146" s="93"/>
      <c r="AU146" s="5">
        <f>'Production - Gas'!AU$14</f>
        <v>237</v>
      </c>
      <c r="AV146" s="93"/>
      <c r="AW146" s="93"/>
      <c r="AX146" s="93"/>
      <c r="AY146" s="93"/>
      <c r="AZ146" s="5">
        <f>'Production - Gas'!AZ$14</f>
        <v>173</v>
      </c>
      <c r="BA146" s="93"/>
      <c r="BB146" s="93"/>
      <c r="BC146" s="93"/>
      <c r="BD146" s="93"/>
      <c r="BE146" s="5">
        <f>'Production - Gas'!BE$14</f>
        <v>266</v>
      </c>
      <c r="BF146" s="93"/>
      <c r="BG146" s="93"/>
      <c r="BH146" s="93"/>
      <c r="BI146" s="93"/>
      <c r="BJ146" s="5">
        <f>'Production - Gas'!BJ$14</f>
        <v>252</v>
      </c>
      <c r="BK146" s="93"/>
      <c r="BL146" s="93"/>
      <c r="BM146" s="93"/>
      <c r="BN146" s="93"/>
      <c r="BO146" s="5">
        <f>'Production - Gas'!BO$14</f>
        <v>182</v>
      </c>
      <c r="BP146" s="12">
        <f>'Production - Gas'!BP$14</f>
        <v>188.85608681127471</v>
      </c>
      <c r="BQ146" s="12">
        <f>'Production - Gas'!BQ$14</f>
        <v>134.35359472235857</v>
      </c>
      <c r="BR146" s="12">
        <f>'Production - Gas'!BR$14</f>
        <v>81.090442472340499</v>
      </c>
      <c r="BS146" s="12">
        <f>'Production - Gas'!BS$14</f>
        <v>122.45987599402622</v>
      </c>
      <c r="BT146" s="5">
        <f>'Production - Gas'!BT$14</f>
        <v>131.69</v>
      </c>
      <c r="BU146" s="12">
        <f>'Production - Gas'!BU$14</f>
        <v>213.22436950539594</v>
      </c>
      <c r="BV146" s="12">
        <f>'Production - Gas'!BV$14</f>
        <v>176.91128160252001</v>
      </c>
      <c r="BW146" s="12">
        <f>'Production - Gas'!BW$14</f>
        <v>111.35242902118793</v>
      </c>
      <c r="BX146" s="12">
        <f>'Production - Gas'!BX$14</f>
        <v>162.27191987089611</v>
      </c>
      <c r="BY146" s="5">
        <f>'Production - Gas'!BY$14</f>
        <v>165.94</v>
      </c>
      <c r="BZ146" s="12">
        <f>'Production - Gas'!BZ$14</f>
        <v>326.07660683432789</v>
      </c>
      <c r="CA146" s="12">
        <f>'Production - Gas'!CA$14</f>
        <v>274.19500138931875</v>
      </c>
      <c r="CB146" s="12">
        <f>'Production - Gas'!CB$14</f>
        <v>180.52908864321995</v>
      </c>
      <c r="CC146" s="12">
        <f>'Production - Gas'!CC$14</f>
        <v>253.27930313313368</v>
      </c>
      <c r="CD146" s="5">
        <f>'Production - Gas'!CD$14</f>
        <v>258.52000000000004</v>
      </c>
    </row>
    <row r="147" spans="1:87" hidden="1" outlineLevel="1">
      <c r="A147" s="11"/>
      <c r="B147" s="39" t="s">
        <v>896</v>
      </c>
      <c r="C147" s="8">
        <f>C145+C146/5.8</f>
        <v>905.68965517241372</v>
      </c>
      <c r="D147" s="8">
        <f>D145+D146/5.8</f>
        <v>857.58620689655174</v>
      </c>
      <c r="E147" s="8">
        <f>E145+E146/5.8</f>
        <v>730.82758620689651</v>
      </c>
      <c r="F147" s="8">
        <f>F145+F146/5.8</f>
        <v>630.9655172413793</v>
      </c>
      <c r="G147" s="8">
        <f>G145+G146/5.8</f>
        <v>558.55172413793105</v>
      </c>
      <c r="H147" s="93"/>
      <c r="I147" s="93"/>
      <c r="J147" s="93"/>
      <c r="K147" s="93"/>
      <c r="L147" s="8">
        <f>L145+L146/5.8</f>
        <v>491.06896551724139</v>
      </c>
      <c r="M147" s="93"/>
      <c r="N147" s="93"/>
      <c r="O147" s="93"/>
      <c r="P147" s="93"/>
      <c r="Q147" s="8">
        <f>Q145+Q146/5.8</f>
        <v>389.41379310344826</v>
      </c>
      <c r="R147" s="93"/>
      <c r="S147" s="93"/>
      <c r="T147" s="93"/>
      <c r="U147" s="93"/>
      <c r="V147" s="8">
        <f>V145+V146/5.8</f>
        <v>350.82758620689657</v>
      </c>
      <c r="W147" s="93"/>
      <c r="X147" s="93"/>
      <c r="Y147" s="93"/>
      <c r="Z147" s="93"/>
      <c r="AA147" s="8">
        <f>AA145+AA146/5.8</f>
        <v>317.31034482758622</v>
      </c>
      <c r="AB147" s="93"/>
      <c r="AC147" s="93"/>
      <c r="AD147" s="93"/>
      <c r="AE147" s="93"/>
      <c r="AF147" s="8">
        <f>AF145+AF146/5.8</f>
        <v>260.9655172413793</v>
      </c>
      <c r="AG147" s="93"/>
      <c r="AH147" s="93"/>
      <c r="AI147" s="93"/>
      <c r="AJ147" s="93"/>
      <c r="AK147" s="8">
        <f>AK145+AK146/5.8</f>
        <v>208.44827586206895</v>
      </c>
      <c r="AL147" s="93"/>
      <c r="AM147" s="93"/>
      <c r="AN147" s="93"/>
      <c r="AO147" s="93"/>
      <c r="AP147" s="8">
        <f>AP145+AP146/5.8</f>
        <v>181.75862068965517</v>
      </c>
      <c r="AQ147" s="93"/>
      <c r="AR147" s="93"/>
      <c r="AS147" s="93"/>
      <c r="AT147" s="93"/>
      <c r="AU147" s="8">
        <f>AU145+AU146/5.8</f>
        <v>136.86206896551724</v>
      </c>
      <c r="AV147" s="93"/>
      <c r="AW147" s="93"/>
      <c r="AX147" s="93"/>
      <c r="AY147" s="93"/>
      <c r="AZ147" s="8">
        <f>AZ145+AZ146/5.8</f>
        <v>123.82758620689656</v>
      </c>
      <c r="BA147" s="93"/>
      <c r="BB147" s="93"/>
      <c r="BC147" s="93"/>
      <c r="BD147" s="93"/>
      <c r="BE147" s="8">
        <f t="shared" ref="BE147:BO147" si="91">BE145+BE146/5.8</f>
        <v>166.86206896551724</v>
      </c>
      <c r="BF147" s="93"/>
      <c r="BG147" s="93"/>
      <c r="BH147" s="93"/>
      <c r="BI147" s="93"/>
      <c r="BJ147" s="8">
        <f t="shared" si="91"/>
        <v>155.44827586206895</v>
      </c>
      <c r="BK147" s="93"/>
      <c r="BL147" s="93"/>
      <c r="BM147" s="93"/>
      <c r="BN147" s="93"/>
      <c r="BO147" s="8">
        <f t="shared" si="91"/>
        <v>117.37931034482759</v>
      </c>
      <c r="BP147" s="66">
        <f t="shared" ref="BP147:CD147" si="92">BP145+BP146/5.8</f>
        <v>135.62139427780602</v>
      </c>
      <c r="BQ147" s="66">
        <f t="shared" si="92"/>
        <v>126.22441288316529</v>
      </c>
      <c r="BR147" s="66">
        <f t="shared" si="92"/>
        <v>117.0411107710932</v>
      </c>
      <c r="BS147" s="66">
        <f t="shared" si="92"/>
        <v>124.17377172310799</v>
      </c>
      <c r="BT147" s="8">
        <f t="shared" si="92"/>
        <v>125.76517241379312</v>
      </c>
      <c r="BU147" s="66">
        <f t="shared" si="92"/>
        <v>148.86282232851653</v>
      </c>
      <c r="BV147" s="66">
        <f t="shared" si="92"/>
        <v>142.60194510388277</v>
      </c>
      <c r="BW147" s="66">
        <f t="shared" si="92"/>
        <v>131.2986946588255</v>
      </c>
      <c r="BX147" s="66">
        <f t="shared" si="92"/>
        <v>140.07791721912002</v>
      </c>
      <c r="BY147" s="8">
        <f t="shared" si="92"/>
        <v>140.7103448275862</v>
      </c>
      <c r="BZ147" s="66">
        <f t="shared" si="92"/>
        <v>164.83010462660826</v>
      </c>
      <c r="CA147" s="66">
        <f t="shared" si="92"/>
        <v>155.8850002395377</v>
      </c>
      <c r="CB147" s="66">
        <f t="shared" si="92"/>
        <v>139.73570493848618</v>
      </c>
      <c r="CC147" s="66">
        <f t="shared" si="92"/>
        <v>152.27884536778166</v>
      </c>
      <c r="CD147" s="8">
        <f t="shared" si="92"/>
        <v>153.18241379310345</v>
      </c>
    </row>
    <row r="148" spans="1:87" hidden="1" outlineLevel="1">
      <c r="A148" s="11"/>
      <c r="B148" s="11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</row>
    <row r="149" spans="1:87" hidden="1" outlineLevel="1">
      <c r="A149" s="39" t="s">
        <v>199</v>
      </c>
      <c r="B149" s="11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</row>
    <row r="150" spans="1:87" hidden="1" outlineLevel="1">
      <c r="A150" s="11"/>
      <c r="B150" s="11" t="s">
        <v>197</v>
      </c>
      <c r="C150" s="72"/>
      <c r="D150" s="72"/>
      <c r="E150" s="296"/>
      <c r="F150" s="104">
        <f>'Key assumptions'!F$24</f>
        <v>35.869999999999997</v>
      </c>
      <c r="G150" s="104">
        <f>'Key assumptions'!G$24</f>
        <v>50.45</v>
      </c>
      <c r="H150" s="93"/>
      <c r="I150" s="93"/>
      <c r="J150" s="93"/>
      <c r="K150" s="93"/>
      <c r="L150" s="104">
        <f>'Key assumptions'!L$24</f>
        <v>61.67</v>
      </c>
      <c r="M150" s="93"/>
      <c r="N150" s="93"/>
      <c r="O150" s="93"/>
      <c r="P150" s="93"/>
      <c r="Q150" s="104">
        <f>'Key assumptions'!Q$24</f>
        <v>69.42</v>
      </c>
      <c r="R150" s="93"/>
      <c r="S150" s="93"/>
      <c r="T150" s="93"/>
      <c r="U150" s="93"/>
      <c r="V150" s="104">
        <f>'Key assumptions'!V$24</f>
        <v>90.61</v>
      </c>
      <c r="W150" s="93"/>
      <c r="X150" s="93"/>
      <c r="Y150" s="93"/>
      <c r="Z150" s="93"/>
      <c r="AA150" s="104">
        <f>'Key assumptions'!AA$24</f>
        <v>61.91</v>
      </c>
      <c r="AB150" s="93"/>
      <c r="AC150" s="93"/>
      <c r="AD150" s="93"/>
      <c r="AE150" s="93"/>
      <c r="AF150" s="104">
        <f>'Key assumptions'!AF$24</f>
        <v>77.39</v>
      </c>
      <c r="AG150" s="93"/>
      <c r="AH150" s="93"/>
      <c r="AI150" s="93"/>
      <c r="AJ150" s="93"/>
      <c r="AK150" s="104">
        <f>'Key assumptions'!AK$24</f>
        <v>107.1125</v>
      </c>
      <c r="AL150" s="93"/>
      <c r="AM150" s="93"/>
      <c r="AN150" s="93"/>
      <c r="AO150" s="93"/>
      <c r="AP150" s="104">
        <f>'Key assumptions'!AP$24</f>
        <v>108.67</v>
      </c>
      <c r="AQ150" s="93"/>
      <c r="AR150" s="93"/>
      <c r="AS150" s="93"/>
      <c r="AT150" s="93"/>
      <c r="AU150" s="104">
        <f>'Key assumptions'!AU$24</f>
        <v>104.82000000000001</v>
      </c>
      <c r="AV150" s="93"/>
      <c r="AW150" s="93"/>
      <c r="AX150" s="93"/>
      <c r="AY150" s="93"/>
      <c r="AZ150" s="104">
        <f>'Key assumptions'!AZ$24</f>
        <v>93.240000000000009</v>
      </c>
      <c r="BA150" s="93"/>
      <c r="BB150" s="93"/>
      <c r="BC150" s="93"/>
      <c r="BD150" s="93"/>
      <c r="BE150" s="104">
        <f>'Key assumptions'!BE$24</f>
        <v>49.467500000000001</v>
      </c>
      <c r="BF150" s="93"/>
      <c r="BG150" s="93"/>
      <c r="BH150" s="93"/>
      <c r="BI150" s="93"/>
      <c r="BJ150" s="104">
        <f>'Key assumptions'!BJ$24</f>
        <v>40.97</v>
      </c>
      <c r="BK150" s="93"/>
      <c r="BL150" s="93"/>
      <c r="BM150" s="93"/>
      <c r="BN150" s="93"/>
      <c r="BO150" s="104">
        <f>'Key assumptions'!BO$24</f>
        <v>52.252499999999998</v>
      </c>
      <c r="BP150" s="114">
        <f>'Key assumptions'!BP$24</f>
        <v>63.931696269293724</v>
      </c>
      <c r="BQ150" s="114">
        <f>'Key assumptions'!BQ$24</f>
        <v>64.542278110160112</v>
      </c>
      <c r="BR150" s="114">
        <f>'Key assumptions'!BR$24</f>
        <v>63.301418240012282</v>
      </c>
      <c r="BS150" s="114">
        <f>'Key assumptions'!BS$24</f>
        <v>62.267368348222405</v>
      </c>
      <c r="BT150" s="104">
        <f>'Key assumptions'!BT$24</f>
        <v>63.510690241922134</v>
      </c>
      <c r="BU150" s="114">
        <f>'Key assumptions'!BU$24</f>
        <v>60.012154774699752</v>
      </c>
      <c r="BV150" s="114">
        <f>'Key assumptions'!BV$24</f>
        <v>60.012154774699752</v>
      </c>
      <c r="BW150" s="114">
        <f>'Key assumptions'!BW$24</f>
        <v>60.012154774699752</v>
      </c>
      <c r="BX150" s="114">
        <f>'Key assumptions'!BX$24</f>
        <v>60.012154774699752</v>
      </c>
      <c r="BY150" s="104">
        <f>'Key assumptions'!BY$24</f>
        <v>60.012154774699752</v>
      </c>
      <c r="BZ150" s="114">
        <f>'Key assumptions'!BZ$24</f>
        <v>60.396035364151508</v>
      </c>
      <c r="CA150" s="114">
        <f>'Key assumptions'!CA$24</f>
        <v>60.782293036772778</v>
      </c>
      <c r="CB150" s="114">
        <f>'Key assumptions'!CB$24</f>
        <v>61.170942512048086</v>
      </c>
      <c r="CC150" s="114">
        <f>'Key assumptions'!CC$24</f>
        <v>61.561998600608625</v>
      </c>
      <c r="CD150" s="104">
        <f>'Key assumptions'!CD$24</f>
        <v>60.977817378395251</v>
      </c>
    </row>
    <row r="151" spans="1:87" hidden="1" outlineLevel="1">
      <c r="A151" s="11"/>
      <c r="B151" s="11" t="s">
        <v>198</v>
      </c>
      <c r="C151" s="72"/>
      <c r="D151" s="72"/>
      <c r="E151" s="296"/>
      <c r="F151" s="104">
        <f>'Key assumptions'!F31</f>
        <v>4.32</v>
      </c>
      <c r="G151" s="104">
        <f>'Key assumptions'!G31</f>
        <v>5.53</v>
      </c>
      <c r="H151" s="93"/>
      <c r="I151" s="93"/>
      <c r="J151" s="93"/>
      <c r="K151" s="93"/>
      <c r="L151" s="104">
        <f>'Key assumptions'!L31</f>
        <v>6.33</v>
      </c>
      <c r="M151" s="93"/>
      <c r="N151" s="93"/>
      <c r="O151" s="93"/>
      <c r="P151" s="93"/>
      <c r="Q151" s="104">
        <f>'Key assumptions'!Q31</f>
        <v>6.38</v>
      </c>
      <c r="R151" s="93"/>
      <c r="S151" s="93"/>
      <c r="T151" s="93"/>
      <c r="U151" s="93"/>
      <c r="V151" s="104">
        <f>'Key assumptions'!V31</f>
        <v>8.3699999999999992</v>
      </c>
      <c r="W151" s="93"/>
      <c r="X151" s="93"/>
      <c r="Y151" s="93"/>
      <c r="Z151" s="93"/>
      <c r="AA151" s="104">
        <f>'Key assumptions'!AA31</f>
        <v>4.75</v>
      </c>
      <c r="AB151" s="93"/>
      <c r="AC151" s="93"/>
      <c r="AD151" s="93"/>
      <c r="AE151" s="93"/>
      <c r="AF151" s="104">
        <f>'Key assumptions'!AF31</f>
        <v>5.49</v>
      </c>
      <c r="AG151" s="93"/>
      <c r="AH151" s="93"/>
      <c r="AI151" s="93"/>
      <c r="AJ151" s="93"/>
      <c r="AK151" s="104">
        <f>'Key assumptions'!AK31</f>
        <v>8.0274999999999999</v>
      </c>
      <c r="AL151" s="93"/>
      <c r="AM151" s="93"/>
      <c r="AN151" s="93"/>
      <c r="AO151" s="93"/>
      <c r="AP151" s="104">
        <f>'Key assumptions'!AP31</f>
        <v>8.67</v>
      </c>
      <c r="AQ151" s="93"/>
      <c r="AR151" s="93"/>
      <c r="AS151" s="93"/>
      <c r="AT151" s="93"/>
      <c r="AU151" s="104">
        <f>'Key assumptions'!AU31</f>
        <v>9.7049999999999983</v>
      </c>
      <c r="AV151" s="93"/>
      <c r="AW151" s="93"/>
      <c r="AX151" s="93"/>
      <c r="AY151" s="93"/>
      <c r="AZ151" s="104">
        <f>'Key assumptions'!AZ31</f>
        <v>8.1074999999999999</v>
      </c>
      <c r="BA151" s="93"/>
      <c r="BB151" s="93"/>
      <c r="BC151" s="93"/>
      <c r="BD151" s="93"/>
      <c r="BE151" s="104">
        <f>'Key assumptions'!BE31</f>
        <v>7.25</v>
      </c>
      <c r="BF151" s="93"/>
      <c r="BG151" s="93"/>
      <c r="BH151" s="93"/>
      <c r="BI151" s="93"/>
      <c r="BJ151" s="104">
        <f>'Key assumptions'!BJ31</f>
        <v>4.4224999999999994</v>
      </c>
      <c r="BK151" s="93"/>
      <c r="BL151" s="93"/>
      <c r="BM151" s="93"/>
      <c r="BN151" s="93"/>
      <c r="BO151" s="104">
        <f>'Key assumptions'!BO31</f>
        <v>5.1349999999999998</v>
      </c>
      <c r="BP151" s="114">
        <f>'Key assumptions'!BP31</f>
        <v>6.9458581837499178</v>
      </c>
      <c r="BQ151" s="114">
        <f>'Key assumptions'!BQ31</f>
        <v>6.8599548170389806</v>
      </c>
      <c r="BR151" s="114">
        <f>'Key assumptions'!BR31</f>
        <v>7.0194924485954164</v>
      </c>
      <c r="BS151" s="114">
        <f>'Key assumptions'!BS31</f>
        <v>7.493877400965018</v>
      </c>
      <c r="BT151" s="104">
        <f>'Key assumptions'!BT31</f>
        <v>7.0797957125873339</v>
      </c>
      <c r="BU151" s="114">
        <f>'Key assumptions'!BU31</f>
        <v>7.1504379036288919</v>
      </c>
      <c r="BV151" s="114">
        <f>'Key assumptions'!BV31</f>
        <v>7.0915445932183783</v>
      </c>
      <c r="BW151" s="114">
        <f>'Key assumptions'!BW31</f>
        <v>7.051165646859074</v>
      </c>
      <c r="BX151" s="114">
        <f>'Key assumptions'!BX31</f>
        <v>7.051165646859074</v>
      </c>
      <c r="BY151" s="104">
        <f>'Key assumptions'!BY31</f>
        <v>7.0860784476413556</v>
      </c>
      <c r="BZ151" s="114">
        <f>'Key assumptions'!BZ31</f>
        <v>7.0696541175683549</v>
      </c>
      <c r="CA151" s="114">
        <f>'Key assumptions'!CA31</f>
        <v>7.0951303442988509</v>
      </c>
      <c r="CB151" s="114">
        <f>'Key assumptions'!CB31</f>
        <v>7.1276375969571104</v>
      </c>
      <c r="CC151" s="114">
        <f>'Key assumptions'!CC31</f>
        <v>7.1603461425311998</v>
      </c>
      <c r="CD151" s="104">
        <f>'Key assumptions'!CD31</f>
        <v>7.1131920503388795</v>
      </c>
    </row>
    <row r="152" spans="1:87" hidden="1" outlineLevel="1">
      <c r="A152" s="11"/>
      <c r="B152" s="39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</row>
    <row r="153" spans="1:87" hidden="1" outlineLevel="1">
      <c r="A153" s="11" t="s">
        <v>200</v>
      </c>
      <c r="B153" s="11"/>
      <c r="C153" s="296"/>
      <c r="D153" s="296"/>
      <c r="E153" s="296"/>
      <c r="F153" s="115">
        <f>SUMPRODUCT(F145:F146,F150:F151)*365/1000</f>
        <v>7376.9310499999992</v>
      </c>
      <c r="G153" s="115">
        <f>SUMPRODUCT(G145:G146,G150:G151)*365/1000</f>
        <v>8899.919100000001</v>
      </c>
      <c r="H153" s="93"/>
      <c r="I153" s="93"/>
      <c r="J153" s="93"/>
      <c r="K153" s="93"/>
      <c r="L153" s="115">
        <f>SUMPRODUCT(L145:L146,L150:L151)*365/1000</f>
        <v>9440.8308500000003</v>
      </c>
      <c r="M153" s="93"/>
      <c r="N153" s="93"/>
      <c r="O153" s="93"/>
      <c r="P153" s="93"/>
      <c r="Q153" s="115">
        <f>SUMPRODUCT(Q145:Q146,Q150:Q151)*365/1000</f>
        <v>8241.2255000000005</v>
      </c>
      <c r="R153" s="93"/>
      <c r="S153" s="93"/>
      <c r="T153" s="93"/>
      <c r="U153" s="93"/>
      <c r="V153" s="115">
        <f>SUMPRODUCT(V145:V146,V150:V151)*365/1000</f>
        <v>9532.7415000000001</v>
      </c>
      <c r="W153" s="93"/>
      <c r="X153" s="93"/>
      <c r="Y153" s="93"/>
      <c r="Z153" s="93"/>
      <c r="AA153" s="115">
        <f>SUMPRODUCT(AA145:AA146,AA150:AA151)*365/1000</f>
        <v>5799.4046999999991</v>
      </c>
      <c r="AB153" s="93"/>
      <c r="AC153" s="93"/>
      <c r="AD153" s="93"/>
      <c r="AE153" s="93"/>
      <c r="AF153" s="115">
        <f>SUMPRODUCT(AF145:AF146,AF150:AF151)*365/1000</f>
        <v>5975.6559000000007</v>
      </c>
      <c r="AG153" s="93"/>
      <c r="AH153" s="93"/>
      <c r="AI153" s="93"/>
      <c r="AJ153" s="93"/>
      <c r="AK153" s="115">
        <f>SUMPRODUCT(AK145:AK146,AK150:AK151)*365/1000</f>
        <v>6747.1828624999998</v>
      </c>
      <c r="AL153" s="93"/>
      <c r="AM153" s="93"/>
      <c r="AN153" s="93"/>
      <c r="AO153" s="93"/>
      <c r="AP153" s="115">
        <f>SUMPRODUCT(AP145:AP146,AP150:AP151)*365/1000</f>
        <v>5658.8760499999999</v>
      </c>
      <c r="AQ153" s="93"/>
      <c r="AR153" s="93"/>
      <c r="AS153" s="93"/>
      <c r="AT153" s="93"/>
      <c r="AU153" s="115">
        <f>SUMPRODUCT(AU145:AU146,AU150:AU151)*365/1000</f>
        <v>4512.4238249999999</v>
      </c>
      <c r="AV153" s="93"/>
      <c r="AW153" s="93"/>
      <c r="AX153" s="93"/>
      <c r="AY153" s="93"/>
      <c r="AZ153" s="115">
        <f>SUMPRODUCT(AZ145:AZ146,AZ150:AZ151)*365/1000</f>
        <v>3711.0124875000001</v>
      </c>
      <c r="BA153" s="93"/>
      <c r="BB153" s="93"/>
      <c r="BC153" s="93"/>
      <c r="BD153" s="93"/>
      <c r="BE153" s="115">
        <f>SUMPRODUCT(BE145:BE146,BE150:BE151)*365/1000</f>
        <v>2888.6346375000003</v>
      </c>
      <c r="BF153" s="93"/>
      <c r="BG153" s="93"/>
      <c r="BH153" s="93"/>
      <c r="BI153" s="93"/>
      <c r="BJ153" s="115">
        <f>SUMPRODUCT(BJ145:BJ146,BJ150:BJ151)*365/1000</f>
        <v>2081.6351499999996</v>
      </c>
      <c r="BK153" s="93"/>
      <c r="BL153" s="93"/>
      <c r="BM153" s="93"/>
      <c r="BN153" s="93"/>
      <c r="BO153" s="115">
        <f>SUMPRODUCT(BO145:BO146,BO150:BO151)*365/1000</f>
        <v>1981.3240249999999</v>
      </c>
      <c r="BP153" s="65">
        <f>SUMPRODUCT(BP145:BP146,BP150:BP151)*90/1000</f>
        <v>711.05113922782402</v>
      </c>
      <c r="BQ153" s="65">
        <f>SUMPRODUCT(BQ145:BQ146,BQ150:BQ151)*91/1000</f>
        <v>689.1781961915076</v>
      </c>
      <c r="BR153" s="65">
        <f>SUMPRODUCT(BR145:BR146,BR150:BR151)*92/1000</f>
        <v>652.56132794112398</v>
      </c>
      <c r="BS153" s="65">
        <f>SUMPRODUCT(BS145:BS146,BS150:BS151)*92/1000</f>
        <v>674.81763368680606</v>
      </c>
      <c r="BT153" s="115">
        <f>SUM(BP153:BS153)</f>
        <v>2727.6082970472617</v>
      </c>
      <c r="BU153" s="65">
        <f>SUMPRODUCT(BU145:BU146,BU150:BU151)*90/1000</f>
        <v>742.68091475393362</v>
      </c>
      <c r="BV153" s="65">
        <f>SUMPRODUCT(BV145:BV146,BV150:BV151)*91/1000</f>
        <v>726.35624814220887</v>
      </c>
      <c r="BW153" s="65">
        <f>SUMPRODUCT(BW145:BW146,BW150:BW151)*92/1000</f>
        <v>691.15248146561657</v>
      </c>
      <c r="BX153" s="65">
        <f>SUMPRODUCT(BX145:BX146,BX150:BX151)*92/1000</f>
        <v>724.18432381203831</v>
      </c>
      <c r="BY153" s="115">
        <f>SUM(BU153:BX153)</f>
        <v>2884.373968173797</v>
      </c>
      <c r="BZ153" s="65">
        <f>SUMPRODUCT(BZ145:BZ146,BZ150:BZ151)*90/1000</f>
        <v>797.83760043445659</v>
      </c>
      <c r="CA153" s="65">
        <f>SUMPRODUCT(CA145:CA146,CA150:CA151)*91/1000</f>
        <v>777.77828504160436</v>
      </c>
      <c r="CB153" s="65">
        <f>SUMPRODUCT(CB145:CB146,CB150:CB151)*92/1000</f>
        <v>729.60802269280509</v>
      </c>
      <c r="CC153" s="65">
        <f>SUMPRODUCT(CC145:CC146,CC150:CC151)*92/1000</f>
        <v>781.98308572496717</v>
      </c>
      <c r="CD153" s="115">
        <f>SUM(BZ153:CC153)</f>
        <v>3087.2069938938334</v>
      </c>
    </row>
    <row r="154" spans="1:87" hidden="1" outlineLevel="1">
      <c r="A154" s="11" t="s">
        <v>550</v>
      </c>
      <c r="B154" s="11"/>
      <c r="C154" s="296"/>
      <c r="D154" s="296"/>
      <c r="E154" s="296"/>
      <c r="F154" s="116">
        <f>F131/F153-1</f>
        <v>-3.5235662125376543E-2</v>
      </c>
      <c r="G154" s="116">
        <f>G131/G153-1</f>
        <v>-1.8418043822443386E-2</v>
      </c>
      <c r="H154" s="93"/>
      <c r="I154" s="93"/>
      <c r="J154" s="93"/>
      <c r="K154" s="93"/>
      <c r="L154" s="116">
        <f>L131/L153-1</f>
        <v>-8.6677593635734462E-3</v>
      </c>
      <c r="M154" s="93"/>
      <c r="N154" s="93"/>
      <c r="O154" s="93"/>
      <c r="P154" s="93"/>
      <c r="Q154" s="116">
        <f>Q131/Q153-1</f>
        <v>-1.7257809533303137E-2</v>
      </c>
      <c r="R154" s="93"/>
      <c r="S154" s="93"/>
      <c r="T154" s="93"/>
      <c r="U154" s="93"/>
      <c r="V154" s="116">
        <f>V131/V153-1</f>
        <v>2.3839784179608747E-2</v>
      </c>
      <c r="W154" s="93"/>
      <c r="X154" s="93"/>
      <c r="Y154" s="93"/>
      <c r="Z154" s="93"/>
      <c r="AA154" s="116">
        <f>AA131/AA153-1</f>
        <v>-3.4728512738557371E-2</v>
      </c>
      <c r="AB154" s="93"/>
      <c r="AC154" s="93"/>
      <c r="AD154" s="93"/>
      <c r="AE154" s="93"/>
      <c r="AF154" s="116">
        <f>AF131/AF153-1</f>
        <v>1.56207287638499E-2</v>
      </c>
      <c r="AG154" s="93"/>
      <c r="AH154" s="93"/>
      <c r="AI154" s="93"/>
      <c r="AJ154" s="93"/>
      <c r="AK154" s="380">
        <f>AK131/AK153-1</f>
        <v>2.6406780226790882E-3</v>
      </c>
      <c r="AL154" s="93"/>
      <c r="AM154" s="93"/>
      <c r="AN154" s="93"/>
      <c r="AO154" s="93"/>
      <c r="AP154" s="380">
        <f>AP131/AP153-1</f>
        <v>-4.0622209776091434E-2</v>
      </c>
      <c r="AQ154" s="93"/>
      <c r="AR154" s="93"/>
      <c r="AS154" s="93"/>
      <c r="AT154" s="93"/>
      <c r="AU154" s="380">
        <f>AU131/AU153-1</f>
        <v>-5.7491014820621356E-2</v>
      </c>
      <c r="AV154" s="93"/>
      <c r="AW154" s="93"/>
      <c r="AX154" s="93"/>
      <c r="AY154" s="93"/>
      <c r="AZ154" s="380">
        <f>AZ131/AZ153-1</f>
        <v>-0.1007844863793389</v>
      </c>
      <c r="BA154" s="93"/>
      <c r="BB154" s="93"/>
      <c r="BC154" s="93"/>
      <c r="BD154" s="93"/>
      <c r="BE154" s="380">
        <f>BE131/BE153-1</f>
        <v>-0.10961394472996944</v>
      </c>
      <c r="BF154" s="93"/>
      <c r="BG154" s="93"/>
      <c r="BH154" s="93"/>
      <c r="BI154" s="93"/>
      <c r="BJ154" s="380">
        <f>BJ131/BJ153-1</f>
        <v>-1.746295454320923E-3</v>
      </c>
      <c r="BK154" s="93"/>
      <c r="BL154" s="93"/>
      <c r="BM154" s="93"/>
      <c r="BN154" s="93"/>
      <c r="BO154" s="380">
        <f>BO131/BO153-1</f>
        <v>-1.6314355750064569E-2</v>
      </c>
      <c r="BP154" s="117">
        <f>BT154</f>
        <v>-0.05</v>
      </c>
      <c r="BQ154" s="117">
        <f>BT154</f>
        <v>-0.05</v>
      </c>
      <c r="BR154" s="117">
        <f>BT154</f>
        <v>-0.05</v>
      </c>
      <c r="BS154" s="117">
        <f>BT154</f>
        <v>-0.05</v>
      </c>
      <c r="BT154" s="118">
        <v>-0.05</v>
      </c>
      <c r="BU154" s="117">
        <f>BY154</f>
        <v>-0.05</v>
      </c>
      <c r="BV154" s="117">
        <f>BY154</f>
        <v>-0.05</v>
      </c>
      <c r="BW154" s="117">
        <f>BY154</f>
        <v>-0.05</v>
      </c>
      <c r="BX154" s="117">
        <f>BY154</f>
        <v>-0.05</v>
      </c>
      <c r="BY154" s="118">
        <v>-0.05</v>
      </c>
      <c r="BZ154" s="117">
        <f>CD154</f>
        <v>-0.05</v>
      </c>
      <c r="CA154" s="117">
        <f>CD154</f>
        <v>-0.05</v>
      </c>
      <c r="CB154" s="117">
        <f>CD154</f>
        <v>-0.05</v>
      </c>
      <c r="CC154" s="117">
        <f>CD154</f>
        <v>-0.05</v>
      </c>
      <c r="CD154" s="118">
        <v>-0.05</v>
      </c>
    </row>
    <row r="155" spans="1:87" hidden="1" outlineLevel="1">
      <c r="A155" s="11"/>
      <c r="B155" s="11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11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62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</row>
    <row r="156" spans="1:87" hidden="1" outlineLevel="1">
      <c r="A156" s="39" t="s">
        <v>3090</v>
      </c>
      <c r="B156" s="11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104"/>
      <c r="AL156" s="5"/>
      <c r="AM156" s="5"/>
      <c r="AN156" s="5"/>
      <c r="AO156" s="5"/>
      <c r="AP156" s="104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</row>
    <row r="157" spans="1:87" hidden="1" outlineLevel="1">
      <c r="A157" s="11"/>
      <c r="B157" s="11" t="s">
        <v>1897</v>
      </c>
      <c r="C157" s="119">
        <f>-1000*C133/(C147*365)</f>
        <v>0.10890058909585912</v>
      </c>
      <c r="D157" s="119">
        <f>-1000*D133/(D147*365)</f>
        <v>0.23640740067529234</v>
      </c>
      <c r="E157" s="119">
        <f>-1000*E133/(E147*365)</f>
        <v>0.20243516839219167</v>
      </c>
      <c r="F157" s="119">
        <f>-1000*F133/(F147*365)</f>
        <v>0.22144796122639349</v>
      </c>
      <c r="G157" s="119">
        <f>-1000*G133/(G147*365)</f>
        <v>0.1618667618359784</v>
      </c>
      <c r="H157" s="93"/>
      <c r="I157" s="93"/>
      <c r="J157" s="93"/>
      <c r="K157" s="93"/>
      <c r="L157" s="119">
        <f>-1000*L133/(L147*365)</f>
        <v>0.10600302233662597</v>
      </c>
      <c r="M157" s="93"/>
      <c r="N157" s="93"/>
      <c r="O157" s="93"/>
      <c r="P157" s="93"/>
      <c r="Q157" s="119">
        <f>-1000*Q133/(Q147*365)</f>
        <v>0.32363362441759902</v>
      </c>
      <c r="R157" s="93"/>
      <c r="S157" s="93"/>
      <c r="T157" s="93"/>
      <c r="U157" s="93"/>
      <c r="V157" s="119">
        <f>-1000*V133/(V147*365)</f>
        <v>0.95273743708782255</v>
      </c>
      <c r="W157" s="93"/>
      <c r="X157" s="93"/>
      <c r="Y157" s="93"/>
      <c r="Z157" s="93"/>
      <c r="AA157" s="119">
        <f>-1000*AA133/(AA147*365)</f>
        <v>0.50941873863037512</v>
      </c>
      <c r="AB157" s="93"/>
      <c r="AC157" s="93"/>
      <c r="AD157" s="93"/>
      <c r="AE157" s="93"/>
      <c r="AF157" s="119">
        <f>-1000*AF133/(AF147*365)</f>
        <v>0.83987372932896986</v>
      </c>
      <c r="AG157" s="93"/>
      <c r="AH157" s="93"/>
      <c r="AI157" s="93"/>
      <c r="AJ157" s="93"/>
      <c r="AK157" s="119">
        <f>-1000*AK133/(AK147*365)</f>
        <v>0.49945046851807789</v>
      </c>
      <c r="AL157" s="93"/>
      <c r="AM157" s="93"/>
      <c r="AN157" s="93"/>
      <c r="AO157" s="93"/>
      <c r="AP157" s="119">
        <f>-1000*AP133/(AP147*365)</f>
        <v>2.0198397538352784</v>
      </c>
      <c r="AQ157" s="93"/>
      <c r="AR157" s="93"/>
      <c r="AS157" s="93"/>
      <c r="AT157" s="93"/>
      <c r="AU157" s="119">
        <f>-1000*AU133/(AU147*365)</f>
        <v>5.9453918553722866</v>
      </c>
      <c r="AV157" s="93"/>
      <c r="AW157" s="93"/>
      <c r="AX157" s="93"/>
      <c r="AY157" s="93"/>
      <c r="AZ157" s="119">
        <f>-1000*AZ133/(AZ147*365)</f>
        <v>3.1196713244297962</v>
      </c>
      <c r="BA157" s="93"/>
      <c r="BB157" s="93"/>
      <c r="BC157" s="93"/>
      <c r="BD157" s="93"/>
      <c r="BE157" s="119">
        <f>-1000*BE133/(BE147*365)</f>
        <v>2.01955005987312</v>
      </c>
      <c r="BF157" s="93"/>
      <c r="BG157" s="93"/>
      <c r="BH157" s="93"/>
      <c r="BI157" s="93"/>
      <c r="BJ157" s="119">
        <f>-1000*BJ133/(BJ147*365)</f>
        <v>2.3969564001896173</v>
      </c>
      <c r="BK157" s="93"/>
      <c r="BL157" s="93"/>
      <c r="BM157" s="93"/>
      <c r="BN157" s="93"/>
      <c r="BO157" s="119">
        <f>-1000*BO133/(BO147*365)</f>
        <v>7.7258020378925671</v>
      </c>
      <c r="BP157" s="114">
        <f>-1000*BP133/(BP$147*90)</f>
        <v>1.5361391500413617</v>
      </c>
      <c r="BQ157" s="114">
        <f>-1000*BQ133/(BQ$147*91)</f>
        <v>1.0564164276919192</v>
      </c>
      <c r="BR157" s="114">
        <f>-1000*BR133/(BR$147*92)</f>
        <v>1.1269214244186425</v>
      </c>
      <c r="BS157" s="114">
        <f>-1000*BS133/(BS$147*92)</f>
        <v>1.0621899732562878</v>
      </c>
      <c r="BT157" s="119">
        <f>-1000*BT133/(BT147*365)</f>
        <v>1.2014854345675592</v>
      </c>
      <c r="BU157" s="114">
        <f>-1000*BU133/(BU$147*90)</f>
        <v>0.84377334459162678</v>
      </c>
      <c r="BV157" s="114">
        <f>-1000*BV133/(BV$147*91)</f>
        <v>0.87113952327714816</v>
      </c>
      <c r="BW157" s="114">
        <f>-1000*BW133/(BW$147*92)</f>
        <v>0.93585017060824305</v>
      </c>
      <c r="BX157" s="114">
        <f>-1000*BX133/(BX$147*92)</f>
        <v>0.87719683613577781</v>
      </c>
      <c r="BY157" s="119">
        <f>-1000*BY133/(BY147*365)</f>
        <v>0.88043167615470652</v>
      </c>
      <c r="BZ157" s="114">
        <f>-1000*BZ133/(BZ$147*90)</f>
        <v>0.49074099098661333</v>
      </c>
      <c r="CA157" s="114">
        <f>-1000*CA133/(CA$147*91)</f>
        <v>0.513198831684059</v>
      </c>
      <c r="CB157" s="114">
        <f>-1000*CB133/(CB$147*92)</f>
        <v>0.56628643922784905</v>
      </c>
      <c r="CC157" s="114">
        <f>-1000*CC133/(CC$147*92)</f>
        <v>0.51964167834011366</v>
      </c>
      <c r="CD157" s="119">
        <f>-1000*CD133/(CD147*365)</f>
        <v>0.52082233163896063</v>
      </c>
    </row>
    <row r="158" spans="1:87" hidden="1" outlineLevel="1">
      <c r="A158" s="11"/>
      <c r="B158" s="11" t="s">
        <v>2149</v>
      </c>
      <c r="C158" s="119">
        <f>-1000*C134/(C147*365)</f>
        <v>2.9312408564968746</v>
      </c>
      <c r="D158" s="119">
        <f>-1000*D134/(D147*365)</f>
        <v>2.9518978138374341</v>
      </c>
      <c r="E158" s="119">
        <f>-1000*E134/(E147*365)</f>
        <v>3.5163738509606626</v>
      </c>
      <c r="F158" s="119">
        <f>-1000*F134/(F147*365)</f>
        <v>4.4202749907542858</v>
      </c>
      <c r="G158" s="119">
        <f>-1000*G134/(G147*365)</f>
        <v>5.8860640667628505</v>
      </c>
      <c r="H158" s="93"/>
      <c r="I158" s="93"/>
      <c r="J158" s="93"/>
      <c r="K158" s="93"/>
      <c r="L158" s="119">
        <f>-1000*L134/(L147*365)</f>
        <v>8.1287580812875806</v>
      </c>
      <c r="M158" s="93"/>
      <c r="N158" s="93"/>
      <c r="O158" s="93"/>
      <c r="P158" s="93"/>
      <c r="Q158" s="119">
        <f>-1000*Q134/(Q147*365)</f>
        <v>12.699102001603613</v>
      </c>
      <c r="R158" s="93"/>
      <c r="S158" s="93"/>
      <c r="T158" s="93"/>
      <c r="U158" s="93"/>
      <c r="V158" s="119">
        <f>-1000*V134/(V147*365)</f>
        <v>11.768650145011053</v>
      </c>
      <c r="W158" s="93"/>
      <c r="X158" s="93"/>
      <c r="Y158" s="93"/>
      <c r="Z158" s="93"/>
      <c r="AA158" s="119">
        <f>-1000*AA134/(AA147*365)</f>
        <v>12.1483417839481</v>
      </c>
      <c r="AB158" s="93"/>
      <c r="AC158" s="93"/>
      <c r="AD158" s="93"/>
      <c r="AE158" s="93"/>
      <c r="AF158" s="119">
        <f>-1000*AF134/(AF147*365)</f>
        <v>12.283153291436184</v>
      </c>
      <c r="AG158" s="93"/>
      <c r="AH158" s="93"/>
      <c r="AI158" s="93"/>
      <c r="AJ158" s="93"/>
      <c r="AK158" s="119">
        <f>-1000*AK134/(AK147*365)</f>
        <v>21.0557802780516</v>
      </c>
      <c r="AL158" s="93"/>
      <c r="AM158" s="93"/>
      <c r="AN158" s="93"/>
      <c r="AO158" s="93"/>
      <c r="AP158" s="119">
        <f>-1000*AP134/(AP147*365)</f>
        <v>24.991748595961877</v>
      </c>
      <c r="AQ158" s="93"/>
      <c r="AR158" s="93"/>
      <c r="AS158" s="93"/>
      <c r="AT158" s="93"/>
      <c r="AU158" s="119">
        <f>-1000*AU134/(AU147*365)</f>
        <v>30.667812533435498</v>
      </c>
      <c r="AV158" s="93"/>
      <c r="AW158" s="93"/>
      <c r="AX158" s="93"/>
      <c r="AY158" s="93"/>
      <c r="AZ158" s="119">
        <f>-1000*AZ134/(AZ147*365)</f>
        <v>31.307339887008236</v>
      </c>
      <c r="BA158" s="93"/>
      <c r="BB158" s="93"/>
      <c r="BC158" s="93"/>
      <c r="BD158" s="93"/>
      <c r="BE158" s="119">
        <f>-1000*BE134/(BE147*365)</f>
        <v>19.571574563973652</v>
      </c>
      <c r="BF158" s="93"/>
      <c r="BG158" s="93"/>
      <c r="BH158" s="93"/>
      <c r="BI158" s="93"/>
      <c r="BJ158" s="119">
        <f>-1000*BJ134/(BJ147*365)</f>
        <v>14.575609874682453</v>
      </c>
      <c r="BK158" s="93"/>
      <c r="BL158" s="93"/>
      <c r="BM158" s="93"/>
      <c r="BN158" s="93"/>
      <c r="BO158" s="119">
        <f>-1000*BO134/(BO147*365)</f>
        <v>14.681357951161404</v>
      </c>
      <c r="BP158" s="109">
        <f>BT158</f>
        <v>13.947290053603334</v>
      </c>
      <c r="BQ158" s="109">
        <f>BT158</f>
        <v>13.947290053603334</v>
      </c>
      <c r="BR158" s="109">
        <f>BT158</f>
        <v>13.947290053603334</v>
      </c>
      <c r="BS158" s="109">
        <f>BT158</f>
        <v>13.947290053603334</v>
      </c>
      <c r="BT158" s="120">
        <f>BO158*(1-5%)</f>
        <v>13.947290053603334</v>
      </c>
      <c r="BU158" s="109">
        <f>BY158</f>
        <v>14.295972304943415</v>
      </c>
      <c r="BV158" s="109">
        <f>BY158</f>
        <v>14.295972304943415</v>
      </c>
      <c r="BW158" s="109">
        <f>BY158</f>
        <v>14.295972304943415</v>
      </c>
      <c r="BX158" s="109">
        <f>BY158</f>
        <v>14.295972304943415</v>
      </c>
      <c r="BY158" s="120">
        <f>BT158*(1+2.5%)</f>
        <v>14.295972304943415</v>
      </c>
      <c r="BZ158" s="109">
        <f>CD158</f>
        <v>14.653371612567</v>
      </c>
      <c r="CA158" s="109">
        <f>CD158</f>
        <v>14.653371612567</v>
      </c>
      <c r="CB158" s="109">
        <f>CD158</f>
        <v>14.653371612567</v>
      </c>
      <c r="CC158" s="109">
        <f>CD158</f>
        <v>14.653371612567</v>
      </c>
      <c r="CD158" s="120">
        <f>BY158*(1+2.5%)</f>
        <v>14.653371612567</v>
      </c>
    </row>
    <row r="159" spans="1:87" hidden="1" outlineLevel="1">
      <c r="A159" s="11"/>
      <c r="B159" s="11" t="s">
        <v>2150</v>
      </c>
      <c r="C159" s="119">
        <f t="shared" ref="C159:D162" si="93">-1000*C135/(C$147*365)</f>
        <v>1.7424094255337459</v>
      </c>
      <c r="D159" s="119">
        <f t="shared" si="93"/>
        <v>0.91368265666396764</v>
      </c>
      <c r="E159" s="119">
        <f t="shared" ref="E159:G162" si="94">-1000*E135/(E$147*365)</f>
        <v>0.92595345542354335</v>
      </c>
      <c r="F159" s="119">
        <f t="shared" si="94"/>
        <v>1.3156614166979848</v>
      </c>
      <c r="G159" s="119">
        <f t="shared" si="94"/>
        <v>2.5408176554859638</v>
      </c>
      <c r="H159" s="93"/>
      <c r="I159" s="93"/>
      <c r="J159" s="93"/>
      <c r="K159" s="93"/>
      <c r="L159" s="119">
        <f>-1000*L135/(L$147*365)</f>
        <v>2.9569264125479875</v>
      </c>
      <c r="M159" s="93"/>
      <c r="N159" s="93"/>
      <c r="O159" s="93"/>
      <c r="P159" s="93"/>
      <c r="Q159" s="119">
        <f>-1000*Q135/(Q$147*365)</f>
        <v>1.6181681220879951</v>
      </c>
      <c r="R159" s="93"/>
      <c r="S159" s="93"/>
      <c r="T159" s="93"/>
      <c r="U159" s="93"/>
      <c r="V159" s="119">
        <f>-1000*V135/(V$147*365)</f>
        <v>3.9280895971735634</v>
      </c>
      <c r="W159" s="93"/>
      <c r="X159" s="93"/>
      <c r="Y159" s="93"/>
      <c r="Z159" s="93"/>
      <c r="AA159" s="119">
        <f>-1000*AA135/(AA$147*365)</f>
        <v>-2.590264772696823E-2</v>
      </c>
      <c r="AB159" s="93"/>
      <c r="AC159" s="93"/>
      <c r="AD159" s="93"/>
      <c r="AE159" s="93"/>
      <c r="AF159" s="119">
        <f>-1000*AF135/(AF$147*365)</f>
        <v>0.54591792406383044</v>
      </c>
      <c r="AG159" s="93"/>
      <c r="AH159" s="93"/>
      <c r="AI159" s="93"/>
      <c r="AJ159" s="93"/>
      <c r="AK159" s="119">
        <f>-1000*AK135/(AK$147*365)</f>
        <v>0.94632720350793698</v>
      </c>
      <c r="AL159" s="93"/>
      <c r="AM159" s="93"/>
      <c r="AN159" s="93"/>
      <c r="AO159" s="93"/>
      <c r="AP159" s="119">
        <f>-1000*AP135/(AP$147*365)</f>
        <v>1.3867556518869075</v>
      </c>
      <c r="AQ159" s="93"/>
      <c r="AR159" s="93"/>
      <c r="AS159" s="93"/>
      <c r="AT159" s="93"/>
      <c r="AU159" s="119">
        <f>-1000*AU135/(AU$147*365)</f>
        <v>-0.70063540383175094</v>
      </c>
      <c r="AV159" s="93"/>
      <c r="AW159" s="93"/>
      <c r="AX159" s="93"/>
      <c r="AY159" s="93"/>
      <c r="AZ159" s="119">
        <f>-1000*AZ135/(AZ$147*365)</f>
        <v>-5.1773268788409386</v>
      </c>
      <c r="BA159" s="93"/>
      <c r="BB159" s="93"/>
      <c r="BC159" s="93"/>
      <c r="BD159" s="93"/>
      <c r="BE159" s="119">
        <f>-1000*BE135/(BE$147*365)</f>
        <v>-4.4824159865476565</v>
      </c>
      <c r="BF159" s="93"/>
      <c r="BG159" s="93"/>
      <c r="BH159" s="93"/>
      <c r="BI159" s="93"/>
      <c r="BJ159" s="119">
        <f>-1000*BJ135/(BJ$147*365)</f>
        <v>-6.1862624740187924</v>
      </c>
      <c r="BK159" s="93"/>
      <c r="BL159" s="93"/>
      <c r="BM159" s="93"/>
      <c r="BN159" s="93"/>
      <c r="BO159" s="119">
        <f>-1000*BO135/(BO$147*365)</f>
        <v>-0.86360929124478847</v>
      </c>
      <c r="BP159" s="114">
        <f>-1000*BP135/(BP$147*90)</f>
        <v>-5.534185696090149</v>
      </c>
      <c r="BQ159" s="114">
        <f>-1000*BQ135/(BQ$147*91)</f>
        <v>-5.6999412937875942</v>
      </c>
      <c r="BR159" s="114">
        <f>-1000*BR135/(BR$147*92)</f>
        <v>-5.7572975618474693</v>
      </c>
      <c r="BS159" s="114">
        <f>-1000*BS135/(BS$147*92)</f>
        <v>-5.611672633076223</v>
      </c>
      <c r="BT159" s="119">
        <f>-1000*BT135/(BT147*365)</f>
        <v>-5.6448493136150981</v>
      </c>
      <c r="BU159" s="114">
        <f>-1000*BU135/(BU$147*90)</f>
        <v>-5.2661971156476124</v>
      </c>
      <c r="BV159" s="114">
        <f>-1000*BV135/(BV$147*91)</f>
        <v>-5.3174870424165652</v>
      </c>
      <c r="BW159" s="114">
        <f>-1000*BW135/(BW$147*92)</f>
        <v>-5.4356219171673352</v>
      </c>
      <c r="BX159" s="114">
        <f>-1000*BX135/(BX$147*92)</f>
        <v>-5.3384505200312118</v>
      </c>
      <c r="BY159" s="119">
        <f>-1000*BY135/(BY147*365)</f>
        <v>-5.3352685055842652</v>
      </c>
      <c r="BZ159" s="114">
        <f>-1000*BZ135/(BZ$147*90)</f>
        <v>-5.1092724443599931</v>
      </c>
      <c r="CA159" s="114">
        <f>-1000*CA135/(CA$147*91)</f>
        <v>-5.2087522229801282</v>
      </c>
      <c r="CB159" s="114">
        <f>-1000*CB135/(CB$147*92)</f>
        <v>-5.391604021190127</v>
      </c>
      <c r="CC159" s="114">
        <f>-1000*CC135/(CC$147*92)</f>
        <v>-5.3026573206691987</v>
      </c>
      <c r="CD159" s="119">
        <f>-1000*CD135/(CD147*365)</f>
        <v>-5.2455083364398973</v>
      </c>
    </row>
    <row r="160" spans="1:87" hidden="1" outlineLevel="1">
      <c r="A160" s="11"/>
      <c r="B160" s="11" t="s">
        <v>2158</v>
      </c>
      <c r="C160" s="119">
        <f t="shared" si="93"/>
        <v>0.17545094909888415</v>
      </c>
      <c r="D160" s="119">
        <f t="shared" si="93"/>
        <v>1.1213378059057786</v>
      </c>
      <c r="E160" s="119">
        <f t="shared" si="94"/>
        <v>-0.35238714497900031</v>
      </c>
      <c r="F160" s="119">
        <f t="shared" si="94"/>
        <v>-0.751186221415021</v>
      </c>
      <c r="G160" s="119">
        <f t="shared" si="94"/>
        <v>8.8389062069222142</v>
      </c>
      <c r="H160" s="93"/>
      <c r="I160" s="93"/>
      <c r="J160" s="93"/>
      <c r="K160" s="93"/>
      <c r="L160" s="119">
        <f>-1000*L136/(L$147*365)</f>
        <v>-4.3349657029241255</v>
      </c>
      <c r="M160" s="93"/>
      <c r="N160" s="93"/>
      <c r="O160" s="93"/>
      <c r="P160" s="93"/>
      <c r="Q160" s="119">
        <f>-1000*Q136/(Q$147*365)</f>
        <v>-2.0825120179915064</v>
      </c>
      <c r="R160" s="93"/>
      <c r="S160" s="93"/>
      <c r="T160" s="93"/>
      <c r="U160" s="93"/>
      <c r="V160" s="119">
        <f>-1000*V136/(V$147*365)</f>
        <v>-0.5544619510920934</v>
      </c>
      <c r="W160" s="93"/>
      <c r="X160" s="93"/>
      <c r="Y160" s="93"/>
      <c r="Z160" s="93"/>
      <c r="AA160" s="119">
        <f>-1000*AA136/(AA$147*365)</f>
        <v>-10.430132818059207</v>
      </c>
      <c r="AB160" s="93"/>
      <c r="AC160" s="93"/>
      <c r="AD160" s="93"/>
      <c r="AE160" s="93"/>
      <c r="AF160" s="119">
        <f>-1000*AF136/(AF$147*365)</f>
        <v>-2.5196211879869095</v>
      </c>
      <c r="AG160" s="93"/>
      <c r="AH160" s="93"/>
      <c r="AI160" s="93"/>
      <c r="AJ160" s="93"/>
      <c r="AK160" s="119">
        <f>-1000*AK136/(AK$147*365)</f>
        <v>-16.508152327860678</v>
      </c>
      <c r="AL160" s="93"/>
      <c r="AM160" s="93"/>
      <c r="AN160" s="93"/>
      <c r="AO160" s="93"/>
      <c r="AP160" s="119">
        <f>-1000*AP136/(AP$147*365)</f>
        <v>-21.042509674283945</v>
      </c>
      <c r="AQ160" s="93"/>
      <c r="AR160" s="93"/>
      <c r="AS160" s="93"/>
      <c r="AT160" s="93"/>
      <c r="AU160" s="119">
        <f>-1000*AU136/(AU$147*365)</f>
        <v>-32.929863980092293</v>
      </c>
      <c r="AV160" s="93"/>
      <c r="AW160" s="93"/>
      <c r="AX160" s="93"/>
      <c r="AY160" s="93"/>
      <c r="AZ160" s="119">
        <f>-1000*AZ136/(AZ$147*365)</f>
        <v>-31.81622244347551</v>
      </c>
      <c r="BA160" s="93"/>
      <c r="BB160" s="93"/>
      <c r="BC160" s="93"/>
      <c r="BD160" s="93"/>
      <c r="BE160" s="119">
        <f>-1000*BE136/(BE$147*365)</f>
        <v>-11.542631643014662</v>
      </c>
      <c r="BF160" s="93"/>
      <c r="BG160" s="93"/>
      <c r="BH160" s="93"/>
      <c r="BI160" s="93"/>
      <c r="BJ160" s="119">
        <f>-1000*BJ136/(BJ$147*365)</f>
        <v>-3.1371929355422936</v>
      </c>
      <c r="BK160" s="93"/>
      <c r="BL160" s="93"/>
      <c r="BM160" s="93"/>
      <c r="BN160" s="93"/>
      <c r="BO160" s="119">
        <f>-1000*BO136/(BO$147*365)</f>
        <v>-6.3020137469214292</v>
      </c>
      <c r="BP160" s="114">
        <f>-1000*BP136/(BP$147*90)</f>
        <v>-5.2535958931414575</v>
      </c>
      <c r="BQ160" s="114">
        <f>-1000*BQ136/(BQ$147*91)</f>
        <v>-5.5826786084763205</v>
      </c>
      <c r="BR160" s="114">
        <f>-1000*BR136/(BR$147*92)</f>
        <v>-5.9552653334640526</v>
      </c>
      <c r="BS160" s="114">
        <f>-1000*BS136/(BS$147*92)</f>
        <v>-5.6131891613912206</v>
      </c>
      <c r="BT160" s="104">
        <f>-1000*BT136/(BT147*365)</f>
        <v>-5.5877132956589923</v>
      </c>
      <c r="BU160" s="114">
        <f>-1000*BU136/(BU$147*90)</f>
        <v>-4.7862857149626388</v>
      </c>
      <c r="BV160" s="114">
        <f>-1000*BV136/(BV$147*91)</f>
        <v>-4.9415197608769708</v>
      </c>
      <c r="BW160" s="114">
        <f>-1000*BW136/(BW$147*92)</f>
        <v>-5.3085894827543623</v>
      </c>
      <c r="BX160" s="114">
        <f>-1000*BX136/(BX$147*92)</f>
        <v>-4.9758797346686885</v>
      </c>
      <c r="BY160" s="104">
        <f>-1000*BY136/(BY147*365)</f>
        <v>-4.9942292934358967</v>
      </c>
      <c r="BZ160" s="114">
        <f>-1000*BZ136/(BZ$147*90)</f>
        <v>-4.3226326987660135</v>
      </c>
      <c r="CA160" s="114">
        <f>-1000*CA136/(CA$147*91)</f>
        <v>-4.5204498738654237</v>
      </c>
      <c r="CB160" s="114">
        <f>-1000*CB136/(CB$147*92)</f>
        <v>-4.9880656477315686</v>
      </c>
      <c r="CC160" s="114">
        <f>-1000*CC136/(CC$147*92)</f>
        <v>-4.5772009098296405</v>
      </c>
      <c r="CD160" s="104">
        <f>-1000*CD136/(CD147*365)</f>
        <v>-4.5876005516962017</v>
      </c>
      <c r="CG160" s="364"/>
      <c r="CH160" s="364" t="s">
        <v>3693</v>
      </c>
      <c r="CI160" s="364" t="s">
        <v>3694</v>
      </c>
    </row>
    <row r="161" spans="1:103" hidden="1" outlineLevel="1">
      <c r="A161" s="11"/>
      <c r="B161" s="11" t="s">
        <v>2154</v>
      </c>
      <c r="C161" s="119">
        <f t="shared" si="93"/>
        <v>4.4407240220200332</v>
      </c>
      <c r="D161" s="119">
        <f t="shared" si="93"/>
        <v>6.4820353509482178</v>
      </c>
      <c r="E161" s="119">
        <f t="shared" si="94"/>
        <v>6.361712606695356</v>
      </c>
      <c r="F161" s="119">
        <f t="shared" si="94"/>
        <v>7.3642302399992809</v>
      </c>
      <c r="G161" s="119">
        <f t="shared" si="94"/>
        <v>8.6721343916972664</v>
      </c>
      <c r="H161" s="93"/>
      <c r="I161" s="93"/>
      <c r="J161" s="93"/>
      <c r="K161" s="93"/>
      <c r="L161" s="119">
        <f>-1000*L137/(L$147*365)</f>
        <v>10.181869250754863</v>
      </c>
      <c r="M161" s="93"/>
      <c r="N161" s="93"/>
      <c r="O161" s="93"/>
      <c r="P161" s="93"/>
      <c r="Q161" s="119">
        <f>-1000*Q137/(Q$147*365)</f>
        <v>12.49507210794904</v>
      </c>
      <c r="R161" s="93"/>
      <c r="S161" s="93"/>
      <c r="T161" s="93"/>
      <c r="U161" s="93"/>
      <c r="V161" s="119">
        <f>-1000*V137/(V$147*365)</f>
        <v>9.7460354220131347</v>
      </c>
      <c r="W161" s="93"/>
      <c r="X161" s="93"/>
      <c r="Y161" s="93"/>
      <c r="Z161" s="93"/>
      <c r="AA161" s="119">
        <f>-1000*AA137/(AA$147*365)</f>
        <v>11.509409806682882</v>
      </c>
      <c r="AB161" s="93"/>
      <c r="AC161" s="93"/>
      <c r="AD161" s="93"/>
      <c r="AE161" s="93"/>
      <c r="AF161" s="119">
        <f>-1000*AF137/(AF$147*365)</f>
        <v>11.611254307973008</v>
      </c>
      <c r="AG161" s="93"/>
      <c r="AH161" s="93"/>
      <c r="AI161" s="93"/>
      <c r="AJ161" s="93"/>
      <c r="AK161" s="119">
        <f>-1000*AK137/(AK$147*365)</f>
        <v>14.102904018944672</v>
      </c>
      <c r="AL161" s="93"/>
      <c r="AM161" s="93"/>
      <c r="AN161" s="93"/>
      <c r="AO161" s="93"/>
      <c r="AP161" s="119">
        <f>-1000*AP137/(AP$147*365)</f>
        <v>18.796568455467106</v>
      </c>
      <c r="AQ161" s="93"/>
      <c r="AR161" s="93"/>
      <c r="AS161" s="93"/>
      <c r="AT161" s="93"/>
      <c r="AU161" s="119">
        <f>-1000*AU137/(AU$147*365)</f>
        <v>19.898045468821724</v>
      </c>
      <c r="AV161" s="93"/>
      <c r="AW161" s="93"/>
      <c r="AX161" s="93"/>
      <c r="AY161" s="93"/>
      <c r="AZ161" s="119">
        <f>-1000*AZ137/(AZ$147*365)</f>
        <v>26.152138336709356</v>
      </c>
      <c r="BA161" s="93"/>
      <c r="BB161" s="93"/>
      <c r="BC161" s="93"/>
      <c r="BD161" s="93"/>
      <c r="BE161" s="119">
        <f>-1000*BE137/(BE$147*365)</f>
        <v>24.513725523500554</v>
      </c>
      <c r="BF161" s="93"/>
      <c r="BG161" s="93"/>
      <c r="BH161" s="93"/>
      <c r="BI161" s="93"/>
      <c r="BJ161" s="119">
        <f>-1000*BJ137/(BJ$147*365)</f>
        <v>21.343486769335492</v>
      </c>
      <c r="BK161" s="93"/>
      <c r="BL161" s="93"/>
      <c r="BM161" s="93"/>
      <c r="BN161" s="93"/>
      <c r="BO161" s="119">
        <f>-1000*BO137/(BO$147*365)</f>
        <v>27.775542069764818</v>
      </c>
      <c r="BP161" s="109">
        <f>BT161</f>
        <v>21.346888364115046</v>
      </c>
      <c r="BQ161" s="109">
        <f>BT161</f>
        <v>21.346888364115046</v>
      </c>
      <c r="BR161" s="109">
        <f>BT161</f>
        <v>21.346888364115046</v>
      </c>
      <c r="BS161" s="109">
        <f>BT161</f>
        <v>21.346888364115046</v>
      </c>
      <c r="BT161" s="120">
        <f>BT165</f>
        <v>21.346888364115046</v>
      </c>
      <c r="BU161" s="109">
        <f>BY161</f>
        <v>21.581434505511947</v>
      </c>
      <c r="BV161" s="109">
        <f>BY161</f>
        <v>21.581434505511947</v>
      </c>
      <c r="BW161" s="109">
        <f>BY161</f>
        <v>21.581434505511947</v>
      </c>
      <c r="BX161" s="109">
        <f>BY161</f>
        <v>21.581434505511947</v>
      </c>
      <c r="BY161" s="120">
        <f>BY165</f>
        <v>21.581434505511947</v>
      </c>
      <c r="BZ161" s="109">
        <f>CD161</f>
        <v>21.815980646908844</v>
      </c>
      <c r="CA161" s="109">
        <f>CD161</f>
        <v>21.815980646908844</v>
      </c>
      <c r="CB161" s="109">
        <f>CD161</f>
        <v>21.815980646908844</v>
      </c>
      <c r="CC161" s="109">
        <f>CD161</f>
        <v>21.815980646908844</v>
      </c>
      <c r="CD161" s="120">
        <f>CD165</f>
        <v>21.815980646908844</v>
      </c>
      <c r="CG161" s="468">
        <v>2005</v>
      </c>
      <c r="CH161" s="627">
        <f>INDEX(139:139,MATCH(CG161,8:8,0))</f>
        <v>4409</v>
      </c>
      <c r="CI161" s="627">
        <f>INDEX(141:141,MATCH(CG161,8:8,0))</f>
        <v>-1285</v>
      </c>
    </row>
    <row r="162" spans="1:103" hidden="1" outlineLevel="1">
      <c r="A162" s="11"/>
      <c r="B162" s="4" t="s">
        <v>930</v>
      </c>
      <c r="C162" s="119">
        <f t="shared" si="93"/>
        <v>1.2100065455095458E-2</v>
      </c>
      <c r="D162" s="119">
        <f t="shared" si="93"/>
        <v>6.0699197470683169E-2</v>
      </c>
      <c r="E162" s="119">
        <f t="shared" si="94"/>
        <v>-1.8856461055791185</v>
      </c>
      <c r="F162" s="119">
        <f t="shared" si="94"/>
        <v>9.5526571509424646E-2</v>
      </c>
      <c r="G162" s="119">
        <f t="shared" si="94"/>
        <v>-4.8756230686352282</v>
      </c>
      <c r="H162" s="93"/>
      <c r="I162" s="93"/>
      <c r="J162" s="93"/>
      <c r="K162" s="93"/>
      <c r="L162" s="119">
        <f>-1000*L138/(L$147*365)</f>
        <v>-2.8286069644562826</v>
      </c>
      <c r="M162" s="93"/>
      <c r="N162" s="93"/>
      <c r="O162" s="93"/>
      <c r="P162" s="93"/>
      <c r="Q162" s="119">
        <f>-1000*Q138/(Q$147*365)</f>
        <v>-2.968986728352756</v>
      </c>
      <c r="R162" s="93"/>
      <c r="S162" s="93"/>
      <c r="T162" s="93"/>
      <c r="U162" s="93"/>
      <c r="V162" s="119">
        <f>-1000*V138/(V$147*365)</f>
        <v>0</v>
      </c>
      <c r="W162" s="93"/>
      <c r="X162" s="93"/>
      <c r="Y162" s="93"/>
      <c r="Z162" s="93"/>
      <c r="AA162" s="119">
        <f>-1000*AA138/(AA$147*365)</f>
        <v>-1.1138138522596337</v>
      </c>
      <c r="AB162" s="93"/>
      <c r="AC162" s="93"/>
      <c r="AD162" s="93"/>
      <c r="AE162" s="93"/>
      <c r="AF162" s="119">
        <f>-1000*AF138/(AF$147*365)</f>
        <v>-1.0498421616612123E-2</v>
      </c>
      <c r="AG162" s="93"/>
      <c r="AH162" s="93"/>
      <c r="AI162" s="93"/>
      <c r="AJ162" s="93"/>
      <c r="AK162" s="119">
        <f>-1000*AK138/(AK$147*365)</f>
        <v>-0.49945046851807789</v>
      </c>
      <c r="AL162" s="93"/>
      <c r="AM162" s="93"/>
      <c r="AN162" s="93"/>
      <c r="AO162" s="93"/>
      <c r="AP162" s="119">
        <f>-1000*AP138/(AP$147*365)</f>
        <v>6.8734845354394549</v>
      </c>
      <c r="AQ162" s="93"/>
      <c r="AR162" s="93"/>
      <c r="AS162" s="93"/>
      <c r="AT162" s="93"/>
      <c r="AU162" s="119">
        <f>-1000*AU138/(AU$147*365)</f>
        <v>2.6624145345606536</v>
      </c>
      <c r="AV162" s="93"/>
      <c r="AW162" s="93"/>
      <c r="AX162" s="93"/>
      <c r="AY162" s="93"/>
      <c r="AZ162" s="119">
        <f>-1000*AZ138/(AZ$147*365)</f>
        <v>106.53345692999623</v>
      </c>
      <c r="BA162" s="93"/>
      <c r="BB162" s="93"/>
      <c r="BC162" s="93"/>
      <c r="BD162" s="93"/>
      <c r="BE162" s="119">
        <f>-1000*BE138/(BE$147*365)</f>
        <v>-6.1243266043306814</v>
      </c>
      <c r="BF162" s="93"/>
      <c r="BG162" s="93"/>
      <c r="BH162" s="93"/>
      <c r="BI162" s="93"/>
      <c r="BJ162" s="119">
        <f>-1000*BJ138/(BJ$147*365)</f>
        <v>-20.33888004278543</v>
      </c>
      <c r="BK162" s="93"/>
      <c r="BL162" s="93"/>
      <c r="BM162" s="93"/>
      <c r="BN162" s="93"/>
      <c r="BO162" s="119">
        <f>-1000*BO138/(BO$147*365)</f>
        <v>2.8242357902870112</v>
      </c>
      <c r="BP162" s="114">
        <f>-1000*BP138/(BP$147*90)</f>
        <v>0</v>
      </c>
      <c r="BQ162" s="114">
        <f>-1000*BQ138/(BQ$147*91)</f>
        <v>0</v>
      </c>
      <c r="BR162" s="114">
        <f>-1000*BR138/(BR$147*92)</f>
        <v>0</v>
      </c>
      <c r="BS162" s="114">
        <f>-1000*BS138/(BS$147*92)</f>
        <v>0</v>
      </c>
      <c r="BT162" s="104">
        <f>-1000*BT138/(BT147*365)</f>
        <v>0</v>
      </c>
      <c r="BU162" s="114">
        <f>-1000*BU138/(BU$147*90)</f>
        <v>0</v>
      </c>
      <c r="BV162" s="114">
        <f>-1000*BV138/(BV$147*91)</f>
        <v>0</v>
      </c>
      <c r="BW162" s="114">
        <f>-1000*BW138/(BW$147*92)</f>
        <v>0</v>
      </c>
      <c r="BX162" s="114">
        <f>-1000*BX138/(BX$147*92)</f>
        <v>0</v>
      </c>
      <c r="BY162" s="104">
        <f>-1000*BY138/(BY147*365)</f>
        <v>0</v>
      </c>
      <c r="BZ162" s="114">
        <f>-1000*BZ138/(BZ$147*90)</f>
        <v>0</v>
      </c>
      <c r="CA162" s="114">
        <f>-1000*CA138/(CA$147*91)</f>
        <v>0</v>
      </c>
      <c r="CB162" s="114">
        <f>-1000*CB138/(CB$147*92)</f>
        <v>0</v>
      </c>
      <c r="CC162" s="114">
        <f>-1000*CC138/(CC$147*92)</f>
        <v>0</v>
      </c>
      <c r="CD162" s="104">
        <f>-1000*CD138/(CD147*365)</f>
        <v>0</v>
      </c>
      <c r="CG162" s="468">
        <v>2006</v>
      </c>
      <c r="CH162" s="627">
        <f>INDEX(139:139,MATCH(CG162,8:8,0))</f>
        <v>6812</v>
      </c>
      <c r="CI162" s="627">
        <f>INDEX(141:141,MATCH(CG162,8:8,0))</f>
        <v>-3360</v>
      </c>
    </row>
    <row r="163" spans="1:103" s="391" customFormat="1" hidden="1" outlineLevel="1">
      <c r="A163" s="22"/>
      <c r="B163" s="60" t="s">
        <v>646</v>
      </c>
      <c r="C163" s="173"/>
      <c r="D163" s="158"/>
      <c r="E163" s="158"/>
      <c r="F163" s="158"/>
      <c r="G163" s="158"/>
      <c r="H163" s="173"/>
      <c r="I163" s="173"/>
      <c r="J163" s="173"/>
      <c r="K163" s="173"/>
      <c r="L163" s="158">
        <f>1000*(L131+L133+L134+L136+L135+L137)/(L147*365)</f>
        <v>35.176266096443513</v>
      </c>
      <c r="M163" s="173"/>
      <c r="N163" s="173"/>
      <c r="O163" s="173"/>
      <c r="P163" s="173"/>
      <c r="Q163" s="158">
        <f>1000*(Q131+Q133+Q134+Q136+Q135+Q137)/(Q147*365)</f>
        <v>31.92716060015357</v>
      </c>
      <c r="R163" s="173"/>
      <c r="S163" s="173"/>
      <c r="T163" s="173"/>
      <c r="U163" s="173"/>
      <c r="V163" s="158">
        <f>1000*(V131+V133+V134+V136+V135+V137)/(V147*365)</f>
        <v>50.37794431683232</v>
      </c>
      <c r="W163" s="173"/>
      <c r="X163" s="173"/>
      <c r="Y163" s="173"/>
      <c r="Z163" s="173"/>
      <c r="AA163" s="158">
        <f>1000*(AA131+AA133+AA134+AA136+AA135+AA137)/(AA147*365)</f>
        <v>34.623205795047532</v>
      </c>
      <c r="AB163" s="173"/>
      <c r="AC163" s="173"/>
      <c r="AD163" s="173"/>
      <c r="AE163" s="173"/>
      <c r="AF163" s="158">
        <f>1000*(AF131+AF133+AF134+AF136+AF135+AF137)/(AF147*365)</f>
        <v>40.954342726403894</v>
      </c>
      <c r="AG163" s="173"/>
      <c r="AH163" s="173"/>
      <c r="AI163" s="173"/>
      <c r="AJ163" s="173"/>
      <c r="AK163" s="158">
        <f>1000*(AK131+AK133+AK134+AK136+AK135+AK137)/(AK147*365)</f>
        <v>68.819017188438309</v>
      </c>
      <c r="AL163" s="173"/>
      <c r="AM163" s="173"/>
      <c r="AN163" s="173"/>
      <c r="AO163" s="173"/>
      <c r="AP163" s="158">
        <f>1000*(AP131+AP133+AP134+AP136+AP135+AP137)/(AP147*365)</f>
        <v>55.68125410945909</v>
      </c>
      <c r="AQ163" s="93"/>
      <c r="AR163" s="93"/>
      <c r="AS163" s="93"/>
      <c r="AT163" s="93"/>
      <c r="AU163" s="158">
        <f>1000*(AU131+AU133+AU134+AU136+AU135+AU137)/(AU147*365)</f>
        <v>62.256460169049866</v>
      </c>
      <c r="AV163" s="93"/>
      <c r="AW163" s="93"/>
      <c r="AX163" s="93"/>
      <c r="AY163" s="93"/>
      <c r="AZ163" s="158">
        <f>1000*(AZ131+AZ133+AZ134+AZ136+AZ135+AZ137)/(AZ147*365)</f>
        <v>50.246621119007564</v>
      </c>
      <c r="BA163" s="93"/>
      <c r="BB163" s="93"/>
      <c r="BC163" s="93"/>
      <c r="BD163" s="93"/>
      <c r="BE163" s="158">
        <f>1000*(BE131+BE133+BE134+BE136+BE135+BE137)/(BE147*365)</f>
        <v>12.150138571594381</v>
      </c>
      <c r="BF163" s="93"/>
      <c r="BG163" s="93"/>
      <c r="BH163" s="93"/>
      <c r="BI163" s="93"/>
      <c r="BJ163" s="158">
        <f>1000*(BJ131+BJ133+BJ134+BJ136+BJ135+BJ137)/(BJ147*365)</f>
        <v>7.6314861858978267</v>
      </c>
      <c r="BK163" s="93"/>
      <c r="BL163" s="93"/>
      <c r="BM163" s="93"/>
      <c r="BN163" s="93"/>
      <c r="BO163" s="158">
        <f>1000*(BO131+BO133+BO134+BO136+BO135+BO137)/(BO147*365)</f>
        <v>2.4741239154580428</v>
      </c>
      <c r="BP163" s="93"/>
      <c r="BQ163" s="93"/>
      <c r="BR163" s="93"/>
      <c r="BS163" s="93"/>
      <c r="BT163" s="158">
        <f>1000*(BT131+BT133+BT134+BT136+BT135+BT137)/(BT147*365)</f>
        <v>31.20090118547623</v>
      </c>
      <c r="BU163" s="93"/>
      <c r="BV163" s="93"/>
      <c r="BW163" s="93"/>
      <c r="BX163" s="93"/>
      <c r="BY163" s="158">
        <f>1000*(BY131+BY133+BY134+BY136+BY135+BY137)/(BY147*365)</f>
        <v>26.937055708226023</v>
      </c>
      <c r="BZ163" s="93"/>
      <c r="CA163" s="93"/>
      <c r="CB163" s="93"/>
      <c r="CC163" s="93"/>
      <c r="CD163" s="158">
        <f>1000*(CD131+CD133+CD134+CD136+CD135+CD137)/(CD147*365)</f>
        <v>25.207461858887847</v>
      </c>
      <c r="CE163"/>
      <c r="CF163"/>
      <c r="CG163" s="468">
        <v>2007</v>
      </c>
      <c r="CH163" s="627">
        <f>INDEX(139:139,MATCH(CG163,8:8,0))</f>
        <v>4960</v>
      </c>
      <c r="CI163" s="627">
        <f>INDEX(141:141,MATCH(CG163,8:8,0))</f>
        <v>-2275</v>
      </c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</row>
    <row r="164" spans="1:103" hidden="1" outlineLevel="1">
      <c r="A164" s="11"/>
      <c r="B164" s="461"/>
      <c r="C164" s="5"/>
      <c r="D164" s="449"/>
      <c r="E164" s="449"/>
      <c r="F164" s="449"/>
      <c r="G164" s="449"/>
      <c r="H164" s="12"/>
      <c r="I164" s="12"/>
      <c r="J164" s="12"/>
      <c r="K164" s="12"/>
      <c r="L164" s="449"/>
      <c r="M164" s="12"/>
      <c r="N164" s="12"/>
      <c r="O164" s="12"/>
      <c r="P164" s="12"/>
      <c r="Q164" s="449"/>
      <c r="R164" s="12"/>
      <c r="S164" s="12"/>
      <c r="T164" s="12"/>
      <c r="U164" s="12"/>
      <c r="V164" s="449"/>
      <c r="W164" s="12"/>
      <c r="X164" s="12"/>
      <c r="Y164" s="12"/>
      <c r="Z164" s="12"/>
      <c r="AA164" s="449"/>
      <c r="AB164" s="12"/>
      <c r="AC164" s="12"/>
      <c r="AD164" s="12"/>
      <c r="AE164" s="12"/>
      <c r="AF164" s="449"/>
      <c r="AG164" s="12"/>
      <c r="AH164" s="12"/>
      <c r="AI164" s="12"/>
      <c r="AJ164" s="12"/>
      <c r="AK164" s="449"/>
      <c r="AL164" s="12"/>
      <c r="AM164" s="12"/>
      <c r="AN164" s="12"/>
      <c r="AO164" s="12"/>
      <c r="AP164" s="449"/>
      <c r="AQ164" s="12"/>
      <c r="AR164" s="12"/>
      <c r="AS164" s="12"/>
      <c r="AT164" s="12"/>
      <c r="AU164" s="449"/>
      <c r="AV164" s="12"/>
      <c r="AW164" s="12"/>
      <c r="AX164" s="12"/>
      <c r="AY164" s="12"/>
      <c r="AZ164" s="449"/>
      <c r="BA164" s="12"/>
      <c r="BB164" s="12"/>
      <c r="BC164" s="12"/>
      <c r="BD164" s="12"/>
      <c r="BE164" s="449"/>
      <c r="BF164" s="12"/>
      <c r="BG164" s="12"/>
      <c r="BH164" s="12"/>
      <c r="BI164" s="12"/>
      <c r="BJ164" s="449"/>
      <c r="BK164" s="12"/>
      <c r="BL164" s="12"/>
      <c r="BM164" s="12"/>
      <c r="BN164" s="12"/>
      <c r="BO164" s="449"/>
      <c r="BP164" s="109"/>
      <c r="BQ164" s="109"/>
      <c r="BR164" s="109"/>
      <c r="BS164" s="109"/>
      <c r="BT164" s="449"/>
      <c r="BU164" s="109"/>
      <c r="BV164" s="109"/>
      <c r="BW164" s="109"/>
      <c r="BX164" s="109"/>
      <c r="BY164" s="449"/>
      <c r="BZ164" s="109"/>
      <c r="CA164" s="109"/>
      <c r="CB164" s="109"/>
      <c r="CC164" s="109"/>
      <c r="CD164" s="449"/>
      <c r="CG164" s="468">
        <v>2008</v>
      </c>
      <c r="CH164" s="627">
        <f>INDEX(139:139,MATCH(CG164,8:8,0))</f>
        <v>6451</v>
      </c>
      <c r="CI164" s="627">
        <f>INDEX(141:141,MATCH(CG164,8:8,0))</f>
        <v>-3163</v>
      </c>
    </row>
    <row r="165" spans="1:103" hidden="1" outlineLevel="1">
      <c r="A165" s="11"/>
      <c r="B165" s="5" t="s">
        <v>2138</v>
      </c>
      <c r="C165" s="119">
        <f>C161</f>
        <v>4.4407240220200332</v>
      </c>
      <c r="D165" s="119">
        <f>D161</f>
        <v>6.4820353509482178</v>
      </c>
      <c r="E165" s="119">
        <f>E161</f>
        <v>6.361712606695356</v>
      </c>
      <c r="F165" s="119">
        <f>F161</f>
        <v>7.3642302399992809</v>
      </c>
      <c r="G165" s="119">
        <f>G161</f>
        <v>8.6721343916972664</v>
      </c>
      <c r="H165" s="93"/>
      <c r="I165" s="93"/>
      <c r="J165" s="93"/>
      <c r="K165" s="93"/>
      <c r="L165" s="119">
        <f>L161</f>
        <v>10.181869250754863</v>
      </c>
      <c r="M165" s="93"/>
      <c r="N165" s="93"/>
      <c r="O165" s="93"/>
      <c r="P165" s="93"/>
      <c r="Q165" s="119">
        <f>Q161</f>
        <v>12.49507210794904</v>
      </c>
      <c r="R165" s="93"/>
      <c r="S165" s="93"/>
      <c r="T165" s="93"/>
      <c r="U165" s="93"/>
      <c r="V165" s="119">
        <f>V161</f>
        <v>9.7460354220131347</v>
      </c>
      <c r="W165" s="93"/>
      <c r="X165" s="93"/>
      <c r="Y165" s="93"/>
      <c r="Z165" s="93"/>
      <c r="AA165" s="119">
        <f>AA161</f>
        <v>11.509409806682882</v>
      </c>
      <c r="AB165" s="93"/>
      <c r="AC165" s="93"/>
      <c r="AD165" s="93"/>
      <c r="AE165" s="93"/>
      <c r="AF165" s="119">
        <f>AF161</f>
        <v>11.611254307973008</v>
      </c>
      <c r="AG165" s="93"/>
      <c r="AH165" s="93"/>
      <c r="AI165" s="93"/>
      <c r="AJ165" s="93"/>
      <c r="AK165" s="104">
        <f>AK161</f>
        <v>14.102904018944672</v>
      </c>
      <c r="AL165" s="93"/>
      <c r="AM165" s="93"/>
      <c r="AN165" s="93"/>
      <c r="AO165" s="93"/>
      <c r="AP165" s="104">
        <f>AP161</f>
        <v>18.796568455467106</v>
      </c>
      <c r="AQ165" s="93"/>
      <c r="AR165" s="93"/>
      <c r="AS165" s="93"/>
      <c r="AT165" s="93"/>
      <c r="AU165" s="104">
        <f>AU161</f>
        <v>19.898045468821724</v>
      </c>
      <c r="AV165" s="93"/>
      <c r="AW165" s="93"/>
      <c r="AX165" s="93"/>
      <c r="AY165" s="93"/>
      <c r="AZ165" s="104">
        <f>AZ161</f>
        <v>26.152138336709356</v>
      </c>
      <c r="BA165" s="93"/>
      <c r="BB165" s="93"/>
      <c r="BC165" s="93"/>
      <c r="BD165" s="93"/>
      <c r="BE165" s="104">
        <f>BE161</f>
        <v>24.513725523500554</v>
      </c>
      <c r="BF165" s="93"/>
      <c r="BG165" s="93"/>
      <c r="BH165" s="93"/>
      <c r="BI165" s="93"/>
      <c r="BJ165" s="104">
        <f>BJ161</f>
        <v>21.343486769335492</v>
      </c>
      <c r="BK165" s="93"/>
      <c r="BL165" s="93"/>
      <c r="BM165" s="93"/>
      <c r="BN165" s="93"/>
      <c r="BO165" s="751">
        <f>BO161</f>
        <v>27.775542069764818</v>
      </c>
      <c r="BP165" s="93"/>
      <c r="BQ165" s="93"/>
      <c r="BR165" s="93"/>
      <c r="BS165" s="93"/>
      <c r="BT165" s="104">
        <f>$BJ165*(BT$74/$BJ$74)</f>
        <v>21.346888364115046</v>
      </c>
      <c r="BU165" s="93"/>
      <c r="BV165" s="93"/>
      <c r="BW165" s="93"/>
      <c r="BX165" s="93"/>
      <c r="BY165" s="104">
        <f>$BJ165*(BY$74/$BJ$74)</f>
        <v>21.581434505511947</v>
      </c>
      <c r="BZ165" s="93"/>
      <c r="CA165" s="93"/>
      <c r="CB165" s="93"/>
      <c r="CC165" s="93"/>
      <c r="CD165" s="104">
        <f>$BJ165*(CD$74/$BJ$74)</f>
        <v>21.815980646908844</v>
      </c>
      <c r="CG165" s="468">
        <v>2009</v>
      </c>
      <c r="CH165" s="627">
        <f>INDEX(139:139,MATCH(CG165,8:8,0))</f>
        <v>4139</v>
      </c>
      <c r="CI165" s="627">
        <f>INDEX(141:141,MATCH(CG165,8:8,0))</f>
        <v>-1644</v>
      </c>
    </row>
    <row r="166" spans="1:103" hidden="1" outlineLevel="1">
      <c r="A166" s="11"/>
      <c r="B166" s="11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G166" s="468">
        <v>2010</v>
      </c>
      <c r="CH166" s="627">
        <f>INDEX(139:139,MATCH(CG166,8:8,0))</f>
        <v>3902</v>
      </c>
      <c r="CI166" s="627">
        <f>INDEX(141:141,MATCH(CG166,8:8,0))</f>
        <v>-1863</v>
      </c>
    </row>
    <row r="167" spans="1:103" hidden="1" outlineLevel="1">
      <c r="A167" s="39" t="s">
        <v>3094</v>
      </c>
      <c r="B167" s="11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G167" s="468">
        <v>2011</v>
      </c>
      <c r="CH167" s="627">
        <f>INDEX(139:139,MATCH(CG167,8:8,0))</f>
        <v>5274</v>
      </c>
      <c r="CI167" s="627">
        <f>INDEX(141:141,MATCH(CG167,8:8,0))</f>
        <v>-2867</v>
      </c>
    </row>
    <row r="168" spans="1:103" hidden="1" outlineLevel="1">
      <c r="A168" s="11"/>
      <c r="B168" s="11" t="s">
        <v>1897</v>
      </c>
      <c r="C168" s="116">
        <f>-C133/C131</f>
        <v>5.1369863013698627E-3</v>
      </c>
      <c r="D168" s="116">
        <f>-D133/D131</f>
        <v>1.1425042457928053E-2</v>
      </c>
      <c r="E168" s="116">
        <f>-E133/E131</f>
        <v>8.7562834441381552E-3</v>
      </c>
      <c r="F168" s="116">
        <f>-F133/F131</f>
        <v>7.165940705353379E-3</v>
      </c>
      <c r="G168" s="116">
        <f>-G133/G131</f>
        <v>3.7774725274725275E-3</v>
      </c>
      <c r="H168" s="93"/>
      <c r="I168" s="93"/>
      <c r="J168" s="93"/>
      <c r="K168" s="93"/>
      <c r="L168" s="116">
        <f>-L133/L131</f>
        <v>2.0301314242974675E-3</v>
      </c>
      <c r="M168" s="93"/>
      <c r="N168" s="93"/>
      <c r="O168" s="93"/>
      <c r="P168" s="93"/>
      <c r="Q168" s="116">
        <f>-Q133/Q131</f>
        <v>5.6797135448820842E-3</v>
      </c>
      <c r="R168" s="93"/>
      <c r="S168" s="93"/>
      <c r="T168" s="93"/>
      <c r="U168" s="93"/>
      <c r="V168" s="116">
        <f>-V133/V131</f>
        <v>1.2500000000000001E-2</v>
      </c>
      <c r="W168" s="93"/>
      <c r="X168" s="93"/>
      <c r="Y168" s="93"/>
      <c r="Z168" s="93"/>
      <c r="AA168" s="116">
        <f>-AA133/AA131</f>
        <v>1.0539478385137548E-2</v>
      </c>
      <c r="AB168" s="93"/>
      <c r="AC168" s="93"/>
      <c r="AD168" s="93"/>
      <c r="AE168" s="93"/>
      <c r="AF168" s="116">
        <f>-AF133/AF131</f>
        <v>1.3181743285549514E-2</v>
      </c>
      <c r="AG168" s="93"/>
      <c r="AH168" s="93"/>
      <c r="AI168" s="93"/>
      <c r="AJ168" s="93"/>
      <c r="AK168" s="116">
        <f>-AK133/AK131</f>
        <v>5.6171470805617147E-3</v>
      </c>
      <c r="AL168" s="93"/>
      <c r="AM168" s="93"/>
      <c r="AN168" s="93"/>
      <c r="AO168" s="93"/>
      <c r="AP168" s="116">
        <f>-AP133/AP131</f>
        <v>2.468226192669E-2</v>
      </c>
      <c r="AQ168" s="93"/>
      <c r="AR168" s="93"/>
      <c r="AS168" s="93"/>
      <c r="AT168" s="93"/>
      <c r="AU168" s="116">
        <f>-AU133/AU131</f>
        <v>6.9833059017164356E-2</v>
      </c>
      <c r="AV168" s="93"/>
      <c r="AW168" s="93"/>
      <c r="AX168" s="93"/>
      <c r="AY168" s="93"/>
      <c r="AZ168" s="116">
        <f>-AZ133/AZ131</f>
        <v>4.2253521126760563E-2</v>
      </c>
      <c r="BA168" s="93"/>
      <c r="BB168" s="93"/>
      <c r="BC168" s="93"/>
      <c r="BD168" s="93"/>
      <c r="BE168" s="116">
        <f>-BE133/BE131</f>
        <v>4.7822706065318819E-2</v>
      </c>
      <c r="BF168" s="93"/>
      <c r="BG168" s="93"/>
      <c r="BH168" s="93"/>
      <c r="BI168" s="93"/>
      <c r="BJ168" s="116">
        <f>-BJ133/BJ131</f>
        <v>6.5447545717035607E-2</v>
      </c>
      <c r="BK168" s="93"/>
      <c r="BL168" s="93"/>
      <c r="BM168" s="93"/>
      <c r="BN168" s="93"/>
      <c r="BO168" s="116">
        <f>-BO133/BO131</f>
        <v>0.16983068240123139</v>
      </c>
      <c r="BP168" s="117">
        <f t="shared" ref="BP168:CD168" si="95">-BP133/BP131</f>
        <v>2.7757275133117234E-2</v>
      </c>
      <c r="BQ168" s="117">
        <f t="shared" si="95"/>
        <v>1.8533812424407159E-2</v>
      </c>
      <c r="BR168" s="117">
        <f t="shared" si="95"/>
        <v>1.957379156301629E-2</v>
      </c>
      <c r="BS168" s="117">
        <f t="shared" si="95"/>
        <v>1.8928224126894828E-2</v>
      </c>
      <c r="BT168" s="116">
        <f t="shared" si="95"/>
        <v>2.1284632552894471E-2</v>
      </c>
      <c r="BU168" s="117">
        <f t="shared" si="95"/>
        <v>1.6022441356866368E-2</v>
      </c>
      <c r="BV168" s="117">
        <f t="shared" si="95"/>
        <v>1.6382541533777831E-2</v>
      </c>
      <c r="BW168" s="117">
        <f t="shared" si="95"/>
        <v>1.7216984272812381E-2</v>
      </c>
      <c r="BX168" s="117">
        <f t="shared" si="95"/>
        <v>1.643167493721847E-2</v>
      </c>
      <c r="BY168" s="116">
        <f t="shared" si="95"/>
        <v>1.6502106224516817E-2</v>
      </c>
      <c r="BZ168" s="117">
        <f t="shared" si="95"/>
        <v>9.6049094334033983E-3</v>
      </c>
      <c r="CA168" s="117">
        <f t="shared" si="95"/>
        <v>9.8526251531012229E-3</v>
      </c>
      <c r="CB168" s="117">
        <f t="shared" si="95"/>
        <v>1.0503116271191753E-2</v>
      </c>
      <c r="CC168" s="117">
        <f t="shared" si="95"/>
        <v>9.7996466095330217E-3</v>
      </c>
      <c r="CD168" s="116">
        <f t="shared" si="95"/>
        <v>9.9289201014298722E-3</v>
      </c>
      <c r="CG168" s="468">
        <v>2012</v>
      </c>
      <c r="CH168" s="627">
        <f>INDEX(139:139,MATCH(CG168,8:8,0))</f>
        <v>3238</v>
      </c>
      <c r="CI168" s="627">
        <f>INDEX(141:141,MATCH(CG168,8:8,0))</f>
        <v>-808</v>
      </c>
    </row>
    <row r="169" spans="1:103" hidden="1" outlineLevel="1">
      <c r="A169" s="11"/>
      <c r="B169" s="11" t="s">
        <v>2149</v>
      </c>
      <c r="C169" s="116">
        <f>-C134/C131</f>
        <v>0.13827054794520549</v>
      </c>
      <c r="D169" s="116">
        <f>-D134/D131</f>
        <v>0.14265863825845299</v>
      </c>
      <c r="E169" s="116">
        <f>-E134/E131</f>
        <v>0.15209988649262202</v>
      </c>
      <c r="F169" s="116">
        <f>-F134/F131</f>
        <v>0.14303779682450471</v>
      </c>
      <c r="G169" s="116">
        <f>-G134/G131</f>
        <v>0.13736263736263737</v>
      </c>
      <c r="H169" s="93"/>
      <c r="I169" s="93"/>
      <c r="J169" s="93"/>
      <c r="K169" s="93"/>
      <c r="L169" s="116">
        <f>-L134/L131</f>
        <v>0.15567902553691634</v>
      </c>
      <c r="M169" s="93"/>
      <c r="N169" s="93"/>
      <c r="O169" s="93"/>
      <c r="P169" s="93"/>
      <c r="Q169" s="116">
        <f>-Q134/Q131</f>
        <v>0.2228670206198296</v>
      </c>
      <c r="R169" s="93"/>
      <c r="S169" s="93"/>
      <c r="T169" s="93"/>
      <c r="U169" s="93"/>
      <c r="V169" s="116">
        <f>-V134/V131</f>
        <v>0.15440573770491803</v>
      </c>
      <c r="W169" s="93"/>
      <c r="X169" s="93"/>
      <c r="Y169" s="93"/>
      <c r="Z169" s="93"/>
      <c r="AA169" s="116">
        <f>-AA134/AA131</f>
        <v>0.25133976420150056</v>
      </c>
      <c r="AB169" s="93"/>
      <c r="AC169" s="93"/>
      <c r="AD169" s="93"/>
      <c r="AE169" s="93"/>
      <c r="AF169" s="116">
        <f>-AF134/AF131</f>
        <v>0.19278299555116163</v>
      </c>
      <c r="AG169" s="93"/>
      <c r="AH169" s="93"/>
      <c r="AI169" s="93"/>
      <c r="AJ169" s="93"/>
      <c r="AK169" s="116">
        <f>-AK134/AK131</f>
        <v>0.23680709534368072</v>
      </c>
      <c r="AL169" s="93"/>
      <c r="AM169" s="93"/>
      <c r="AN169" s="93"/>
      <c r="AO169" s="93"/>
      <c r="AP169" s="116">
        <f>-AP134/AP131</f>
        <v>0.30539694234665682</v>
      </c>
      <c r="AQ169" s="93"/>
      <c r="AR169" s="93"/>
      <c r="AS169" s="93"/>
      <c r="AT169" s="93"/>
      <c r="AU169" s="116">
        <f>-AU134/AU131</f>
        <v>0.36021631789325181</v>
      </c>
      <c r="AV169" s="93"/>
      <c r="AW169" s="93"/>
      <c r="AX169" s="93"/>
      <c r="AY169" s="93"/>
      <c r="AZ169" s="116">
        <f>-AZ134/AZ131</f>
        <v>0.42403356308061135</v>
      </c>
      <c r="BA169" s="93"/>
      <c r="BB169" s="93"/>
      <c r="BC169" s="93"/>
      <c r="BD169" s="93"/>
      <c r="BE169" s="116">
        <f>-BE134/BE131</f>
        <v>0.46345256609642299</v>
      </c>
      <c r="BF169" s="93"/>
      <c r="BG169" s="93"/>
      <c r="BH169" s="93"/>
      <c r="BI169" s="93"/>
      <c r="BJ169" s="116">
        <f>-BJ134/BJ131</f>
        <v>0.39797882579403271</v>
      </c>
      <c r="BK169" s="93"/>
      <c r="BL169" s="93"/>
      <c r="BM169" s="93"/>
      <c r="BN169" s="93"/>
      <c r="BO169" s="116">
        <f>-BO134/BO131</f>
        <v>0.32272960492560288</v>
      </c>
      <c r="BP169" s="117">
        <f t="shared" ref="BP169:CD169" si="96">-BP134/BP131</f>
        <v>0.25202063717263706</v>
      </c>
      <c r="BQ169" s="117">
        <f t="shared" si="96"/>
        <v>0.24469181934916737</v>
      </c>
      <c r="BR169" s="117">
        <f t="shared" si="96"/>
        <v>0.24225411147809012</v>
      </c>
      <c r="BS169" s="117">
        <f t="shared" si="96"/>
        <v>0.2485406930439146</v>
      </c>
      <c r="BT169" s="116">
        <f t="shared" si="96"/>
        <v>0.24697136154841504</v>
      </c>
      <c r="BU169" s="117">
        <f t="shared" si="96"/>
        <v>0.27146671480384504</v>
      </c>
      <c r="BV169" s="117">
        <f t="shared" si="96"/>
        <v>0.26884827722018334</v>
      </c>
      <c r="BW169" s="117">
        <f t="shared" si="96"/>
        <v>0.26300527378095262</v>
      </c>
      <c r="BX169" s="117">
        <f t="shared" si="96"/>
        <v>0.26779254113719558</v>
      </c>
      <c r="BY169" s="116">
        <f t="shared" si="96"/>
        <v>0.26785732034035525</v>
      </c>
      <c r="BZ169" s="117">
        <f t="shared" si="96"/>
        <v>0.28998623608458923</v>
      </c>
      <c r="CA169" s="117">
        <f t="shared" si="96"/>
        <v>0.28132210912085287</v>
      </c>
      <c r="CB169" s="117">
        <f t="shared" si="96"/>
        <v>0.27178130209444529</v>
      </c>
      <c r="CC169" s="117">
        <f t="shared" si="96"/>
        <v>0.27634015789498034</v>
      </c>
      <c r="CD169" s="116">
        <f t="shared" si="96"/>
        <v>0.28004448676408689</v>
      </c>
      <c r="CG169" s="468">
        <v>2013</v>
      </c>
      <c r="CH169" s="627">
        <f>INDEX(139:139,MATCH(CG169,8:8,0))</f>
        <v>2977</v>
      </c>
      <c r="CI169" s="627">
        <f>INDEX(141:141,MATCH(CG169,8:8,0))</f>
        <v>-1029</v>
      </c>
    </row>
    <row r="170" spans="1:103" hidden="1" outlineLevel="1">
      <c r="A170" s="11"/>
      <c r="B170" s="11" t="s">
        <v>2150</v>
      </c>
      <c r="C170" s="116">
        <f>-C135/C131</f>
        <v>8.2191780821917804E-2</v>
      </c>
      <c r="D170" s="116">
        <f>-D135/D131</f>
        <v>4.4156245175235448E-2</v>
      </c>
      <c r="E170" s="116">
        <f>-E135/E131</f>
        <v>4.0051889087076374E-2</v>
      </c>
      <c r="F170" s="116">
        <f>-F135/F131</f>
        <v>4.2574118308275961E-2</v>
      </c>
      <c r="G170" s="116">
        <f>-G135/G131</f>
        <v>5.9294871794871792E-2</v>
      </c>
      <c r="H170" s="93"/>
      <c r="I170" s="93"/>
      <c r="J170" s="93"/>
      <c r="K170" s="93"/>
      <c r="L170" s="116">
        <f>-L135/L131</f>
        <v>5.6629981835666206E-2</v>
      </c>
      <c r="M170" s="93"/>
      <c r="N170" s="93"/>
      <c r="O170" s="93"/>
      <c r="P170" s="93"/>
      <c r="Q170" s="116">
        <f>-Q135/Q131</f>
        <v>2.839856772441042E-2</v>
      </c>
      <c r="R170" s="93"/>
      <c r="S170" s="93"/>
      <c r="T170" s="93"/>
      <c r="U170" s="93"/>
      <c r="V170" s="116">
        <f>-V135/V131</f>
        <v>5.1536885245901637E-2</v>
      </c>
      <c r="W170" s="93"/>
      <c r="X170" s="93"/>
      <c r="Y170" s="93"/>
      <c r="Z170" s="93"/>
      <c r="AA170" s="116">
        <f>-AA135/AA131</f>
        <v>-5.3590568060021436E-4</v>
      </c>
      <c r="AB170" s="93"/>
      <c r="AC170" s="93"/>
      <c r="AD170" s="93"/>
      <c r="AE170" s="93"/>
      <c r="AF170" s="116">
        <f>-AF135/AF131</f>
        <v>8.5681331356071838E-3</v>
      </c>
      <c r="AG170" s="93"/>
      <c r="AH170" s="93"/>
      <c r="AI170" s="93"/>
      <c r="AJ170" s="93"/>
      <c r="AK170" s="116">
        <f>-AK135/AK131</f>
        <v>1.0643015521064302E-2</v>
      </c>
      <c r="AL170" s="93"/>
      <c r="AM170" s="93"/>
      <c r="AN170" s="93"/>
      <c r="AO170" s="93"/>
      <c r="AP170" s="116">
        <f>-AP135/AP131</f>
        <v>1.6946030576533433E-2</v>
      </c>
      <c r="AQ170" s="93"/>
      <c r="AR170" s="93"/>
      <c r="AS170" s="93"/>
      <c r="AT170" s="93"/>
      <c r="AU170" s="116">
        <f>-AU135/AU131</f>
        <v>-8.2294850693628019E-3</v>
      </c>
      <c r="AV170" s="93"/>
      <c r="AW170" s="93"/>
      <c r="AX170" s="93"/>
      <c r="AY170" s="93"/>
      <c r="AZ170" s="116">
        <f>-AZ135/AZ131</f>
        <v>-7.0122864848666464E-2</v>
      </c>
      <c r="BA170" s="93"/>
      <c r="BB170" s="93"/>
      <c r="BC170" s="93"/>
      <c r="BD170" s="93"/>
      <c r="BE170" s="116">
        <f>-BE135/BE131</f>
        <v>-0.10614307931570761</v>
      </c>
      <c r="BF170" s="93"/>
      <c r="BG170" s="93"/>
      <c r="BH170" s="93"/>
      <c r="BI170" s="93"/>
      <c r="BJ170" s="116">
        <f>-BJ135/BJ131</f>
        <v>-0.16891241578440808</v>
      </c>
      <c r="BK170" s="93"/>
      <c r="BL170" s="93"/>
      <c r="BM170" s="93"/>
      <c r="BN170" s="93"/>
      <c r="BO170" s="116">
        <f>-BO135/BO131</f>
        <v>-1.8984094407388404E-2</v>
      </c>
      <c r="BP170" s="117">
        <f>BT170</f>
        <v>-0.1</v>
      </c>
      <c r="BQ170" s="117">
        <f>BT170</f>
        <v>-0.1</v>
      </c>
      <c r="BR170" s="117">
        <f>BT170</f>
        <v>-0.1</v>
      </c>
      <c r="BS170" s="117">
        <f>BT170</f>
        <v>-0.1</v>
      </c>
      <c r="BT170" s="118">
        <v>-0.1</v>
      </c>
      <c r="BU170" s="117">
        <f>BY170</f>
        <v>-0.1</v>
      </c>
      <c r="BV170" s="117">
        <f>BY170</f>
        <v>-0.1</v>
      </c>
      <c r="BW170" s="117">
        <f>BY170</f>
        <v>-0.1</v>
      </c>
      <c r="BX170" s="117">
        <f>BY170</f>
        <v>-0.1</v>
      </c>
      <c r="BY170" s="118">
        <v>-0.1</v>
      </c>
      <c r="BZ170" s="117">
        <f>CD170</f>
        <v>-0.1</v>
      </c>
      <c r="CA170" s="117">
        <f>CD170</f>
        <v>-0.1</v>
      </c>
      <c r="CB170" s="117">
        <f>CD170</f>
        <v>-0.1</v>
      </c>
      <c r="CC170" s="117">
        <f>CD170</f>
        <v>-0.1</v>
      </c>
      <c r="CD170" s="118">
        <v>-0.1</v>
      </c>
      <c r="CG170" s="468">
        <v>2014</v>
      </c>
      <c r="CH170" s="627">
        <f>INDEX(139:139,MATCH(CG170,8:8,0))</f>
        <v>-2544</v>
      </c>
      <c r="CI170" s="627">
        <f>INDEX(141:141,MATCH(CG170,8:8,0))</f>
        <v>2491</v>
      </c>
    </row>
    <row r="171" spans="1:103" hidden="1" outlineLevel="1">
      <c r="A171" s="11"/>
      <c r="B171" s="11" t="s">
        <v>2158</v>
      </c>
      <c r="C171" s="116">
        <f>-C136/C131</f>
        <v>8.2762557077625566E-3</v>
      </c>
      <c r="D171" s="116">
        <f>-D136/D131</f>
        <v>5.4191755442334413E-2</v>
      </c>
      <c r="E171" s="116">
        <f>-E136/E131</f>
        <v>-1.5242419328684935E-2</v>
      </c>
      <c r="F171" s="116">
        <f>-F136/F131</f>
        <v>-2.4307994941688914E-2</v>
      </c>
      <c r="G171" s="116">
        <f>-G136/G131</f>
        <v>0.20627289377289376</v>
      </c>
      <c r="H171" s="93"/>
      <c r="I171" s="93"/>
      <c r="J171" s="93"/>
      <c r="K171" s="93"/>
      <c r="L171" s="116">
        <f>-L136/L131</f>
        <v>-8.3021690351533284E-2</v>
      </c>
      <c r="M171" s="93"/>
      <c r="N171" s="93"/>
      <c r="O171" s="93"/>
      <c r="P171" s="93"/>
      <c r="Q171" s="116">
        <f>-Q136/Q131</f>
        <v>-3.6547721940980368E-2</v>
      </c>
      <c r="R171" s="93"/>
      <c r="S171" s="93"/>
      <c r="T171" s="93"/>
      <c r="U171" s="93"/>
      <c r="V171" s="116">
        <f>-V136/V131</f>
        <v>-7.274590163934426E-3</v>
      </c>
      <c r="W171" s="93"/>
      <c r="X171" s="93"/>
      <c r="Y171" s="93"/>
      <c r="Z171" s="93"/>
      <c r="AA171" s="116">
        <f>-AA136/AA131</f>
        <v>-0.21579135405501965</v>
      </c>
      <c r="AB171" s="93"/>
      <c r="AC171" s="93"/>
      <c r="AD171" s="93"/>
      <c r="AE171" s="93"/>
      <c r="AF171" s="116">
        <f>-AF136/AF131</f>
        <v>-3.9545229856648545E-2</v>
      </c>
      <c r="AG171" s="93"/>
      <c r="AH171" s="93"/>
      <c r="AI171" s="93"/>
      <c r="AJ171" s="93"/>
      <c r="AK171" s="116">
        <f>-AK136/AK131</f>
        <v>-0.18566149297856616</v>
      </c>
      <c r="AL171" s="93"/>
      <c r="AM171" s="93"/>
      <c r="AN171" s="93"/>
      <c r="AO171" s="93"/>
      <c r="AP171" s="116">
        <f>-AP136/AP131</f>
        <v>-0.25713759440044209</v>
      </c>
      <c r="AQ171" s="93"/>
      <c r="AR171" s="93"/>
      <c r="AS171" s="93"/>
      <c r="AT171" s="93"/>
      <c r="AU171" s="116">
        <f>-AU136/AU131</f>
        <v>-0.38678579826005172</v>
      </c>
      <c r="AV171" s="93"/>
      <c r="AW171" s="93"/>
      <c r="AX171" s="93"/>
      <c r="AY171" s="93"/>
      <c r="AZ171" s="116">
        <f>-AZ136/AZ131</f>
        <v>-0.43092598142043753</v>
      </c>
      <c r="BA171" s="93"/>
      <c r="BB171" s="93"/>
      <c r="BC171" s="93"/>
      <c r="BD171" s="93"/>
      <c r="BE171" s="116">
        <f>-BE136/BE131</f>
        <v>-0.27332814930015553</v>
      </c>
      <c r="BF171" s="93"/>
      <c r="BG171" s="93"/>
      <c r="BH171" s="93"/>
      <c r="BI171" s="93"/>
      <c r="BJ171" s="116">
        <f>-BJ136/BJ131</f>
        <v>-8.5659287776708379E-2</v>
      </c>
      <c r="BK171" s="93"/>
      <c r="BL171" s="93"/>
      <c r="BM171" s="93"/>
      <c r="BN171" s="93"/>
      <c r="BO171" s="116">
        <f>-BO136/BO131</f>
        <v>-0.13853258081067213</v>
      </c>
      <c r="BP171" s="117">
        <f t="shared" ref="BP171:CD171" si="97">-BP136/BP131</f>
        <v>-9.4929880955260934E-2</v>
      </c>
      <c r="BQ171" s="117">
        <f t="shared" si="97"/>
        <v>-9.7942738718395594E-2</v>
      </c>
      <c r="BR171" s="117">
        <f t="shared" si="97"/>
        <v>-0.10343855375703487</v>
      </c>
      <c r="BS171" s="117">
        <f t="shared" si="97"/>
        <v>-0.10002702453286492</v>
      </c>
      <c r="BT171" s="116">
        <f t="shared" si="97"/>
        <v>-9.8987820315800168E-2</v>
      </c>
      <c r="BU171" s="117">
        <f t="shared" si="97"/>
        <v>-9.088694573814951E-2</v>
      </c>
      <c r="BV171" s="117">
        <f t="shared" si="97"/>
        <v>-9.2929606061273387E-2</v>
      </c>
      <c r="BW171" s="117">
        <f t="shared" si="97"/>
        <v>-9.7662964121699378E-2</v>
      </c>
      <c r="BX171" s="117">
        <f t="shared" si="97"/>
        <v>-9.3208314210236343E-2</v>
      </c>
      <c r="BY171" s="116">
        <f t="shared" si="97"/>
        <v>-9.360783413634359E-2</v>
      </c>
      <c r="BZ171" s="117">
        <f t="shared" si="97"/>
        <v>-8.4603683711125394E-2</v>
      </c>
      <c r="CA171" s="117">
        <f t="shared" si="97"/>
        <v>-8.6785657684425241E-2</v>
      </c>
      <c r="CB171" s="117">
        <f t="shared" si="97"/>
        <v>-9.2515430067331192E-2</v>
      </c>
      <c r="CC171" s="117">
        <f t="shared" si="97"/>
        <v>-8.631900258740452E-2</v>
      </c>
      <c r="CD171" s="116">
        <f t="shared" si="97"/>
        <v>-8.7457692514311874E-2</v>
      </c>
      <c r="CG171" s="468">
        <v>2015</v>
      </c>
      <c r="CH171" s="627">
        <f>INDEX(139:139,MATCH(CG171,8:8,0))</f>
        <v>1113</v>
      </c>
      <c r="CI171" s="627">
        <f>INDEX(141:141,MATCH(CG171,8:8,0))</f>
        <v>771</v>
      </c>
    </row>
    <row r="172" spans="1:103" hidden="1" outlineLevel="1">
      <c r="A172" s="11"/>
      <c r="B172" s="11" t="s">
        <v>2154</v>
      </c>
      <c r="C172" s="116">
        <f>-C137/C131</f>
        <v>0.20947488584474885</v>
      </c>
      <c r="D172" s="116">
        <f>-D137/D131</f>
        <v>0.31326231279913541</v>
      </c>
      <c r="E172" s="116">
        <f>-E137/E131</f>
        <v>0.2751743149018972</v>
      </c>
      <c r="F172" s="116">
        <f>-F137/F131</f>
        <v>0.23830265561332023</v>
      </c>
      <c r="G172" s="116">
        <f>-G137/G131</f>
        <v>0.20238095238095238</v>
      </c>
      <c r="H172" s="93"/>
      <c r="I172" s="93"/>
      <c r="J172" s="93"/>
      <c r="K172" s="93"/>
      <c r="L172" s="116">
        <f>-L137/L131</f>
        <v>0.19499946575488833</v>
      </c>
      <c r="M172" s="93"/>
      <c r="N172" s="93"/>
      <c r="O172" s="93"/>
      <c r="P172" s="93"/>
      <c r="Q172" s="116">
        <f>-Q137/Q131</f>
        <v>0.21928633164588221</v>
      </c>
      <c r="R172" s="93"/>
      <c r="S172" s="93"/>
      <c r="T172" s="93"/>
      <c r="U172" s="93"/>
      <c r="V172" s="116">
        <f>-V137/V131</f>
        <v>0.12786885245901639</v>
      </c>
      <c r="W172" s="93"/>
      <c r="X172" s="93"/>
      <c r="Y172" s="93"/>
      <c r="Z172" s="93"/>
      <c r="AA172" s="116">
        <f>-AA137/AA131</f>
        <v>0.23812075741336192</v>
      </c>
      <c r="AB172" s="93"/>
      <c r="AC172" s="93"/>
      <c r="AD172" s="93"/>
      <c r="AE172" s="93"/>
      <c r="AF172" s="116">
        <f>-AF137/AF131</f>
        <v>0.18223760092272204</v>
      </c>
      <c r="AG172" s="93"/>
      <c r="AH172" s="93"/>
      <c r="AI172" s="93"/>
      <c r="AJ172" s="93"/>
      <c r="AK172" s="116">
        <f>-AK137/AK131</f>
        <v>0.15861049519586104</v>
      </c>
      <c r="AL172" s="93"/>
      <c r="AM172" s="93"/>
      <c r="AN172" s="93"/>
      <c r="AO172" s="93"/>
      <c r="AP172" s="116">
        <f>-AP137/AP131</f>
        <v>0.22969239270583902</v>
      </c>
      <c r="AQ172" s="93"/>
      <c r="AR172" s="93"/>
      <c r="AS172" s="93"/>
      <c r="AT172" s="93"/>
      <c r="AU172" s="116">
        <f>-AU137/AU131</f>
        <v>0.23371737596990361</v>
      </c>
      <c r="AV172" s="93"/>
      <c r="AW172" s="93"/>
      <c r="AX172" s="93"/>
      <c r="AY172" s="93"/>
      <c r="AZ172" s="116">
        <f>-AZ137/AZ131</f>
        <v>0.35421036859454602</v>
      </c>
      <c r="BA172" s="93"/>
      <c r="BB172" s="93"/>
      <c r="BC172" s="93"/>
      <c r="BD172" s="93"/>
      <c r="BE172" s="116">
        <f>-BE137/BE131</f>
        <v>0.5804821150855366</v>
      </c>
      <c r="BF172" s="93"/>
      <c r="BG172" s="93"/>
      <c r="BH172" s="93"/>
      <c r="BI172" s="93"/>
      <c r="BJ172" s="116">
        <f>-BJ137/BJ131</f>
        <v>0.58277189605389801</v>
      </c>
      <c r="BK172" s="93"/>
      <c r="BL172" s="93"/>
      <c r="BM172" s="93"/>
      <c r="BN172" s="93"/>
      <c r="BO172" s="116">
        <f>-BO137/BO131</f>
        <v>0.61056952283222166</v>
      </c>
      <c r="BP172" s="117">
        <f t="shared" ref="BP172:CD172" si="98">-BP137/BP131</f>
        <v>0.38572772104839964</v>
      </c>
      <c r="BQ172" s="117">
        <f t="shared" si="98"/>
        <v>0.37451067061657572</v>
      </c>
      <c r="BR172" s="117">
        <f t="shared" si="98"/>
        <v>0.37077966067928936</v>
      </c>
      <c r="BS172" s="117">
        <f t="shared" si="98"/>
        <v>0.38040152660175847</v>
      </c>
      <c r="BT172" s="116">
        <f t="shared" si="98"/>
        <v>0.37799960163196378</v>
      </c>
      <c r="BU172" s="117">
        <f t="shared" si="98"/>
        <v>0.40981060965960381</v>
      </c>
      <c r="BV172" s="117">
        <f t="shared" si="98"/>
        <v>0.40585777329330613</v>
      </c>
      <c r="BW172" s="117">
        <f t="shared" si="98"/>
        <v>0.39703707936991089</v>
      </c>
      <c r="BX172" s="117">
        <f t="shared" si="98"/>
        <v>0.40426401676915358</v>
      </c>
      <c r="BY172" s="116">
        <f t="shared" si="98"/>
        <v>0.40436180851780057</v>
      </c>
      <c r="BZ172" s="117">
        <f t="shared" si="98"/>
        <v>0.4317323194660373</v>
      </c>
      <c r="CA172" s="117">
        <f t="shared" si="98"/>
        <v>0.41883314300612068</v>
      </c>
      <c r="CB172" s="117">
        <f t="shared" si="98"/>
        <v>0.40462876281654769</v>
      </c>
      <c r="CC172" s="117">
        <f t="shared" si="98"/>
        <v>0.41141600008494711</v>
      </c>
      <c r="CD172" s="116">
        <f t="shared" si="98"/>
        <v>0.41693101526745335</v>
      </c>
      <c r="CG172" s="468">
        <v>2016</v>
      </c>
      <c r="CH172" s="627">
        <f>INDEX(139:139,MATCH(CG172,8:8,0))</f>
        <v>1587</v>
      </c>
      <c r="CI172" s="627">
        <f>INDEX($141:$141,MATCH($CG172,$8:$8,0))</f>
        <v>573</v>
      </c>
    </row>
    <row r="173" spans="1:103" hidden="1" outlineLevel="1">
      <c r="A173" s="11"/>
      <c r="B173" s="4" t="s">
        <v>930</v>
      </c>
      <c r="C173" s="116">
        <f>-C138/C131</f>
        <v>5.7077625570776253E-4</v>
      </c>
      <c r="D173" s="116">
        <f>-D138/D131</f>
        <v>2.9334568473058514E-3</v>
      </c>
      <c r="E173" s="116">
        <f>-E138/E131</f>
        <v>-8.1563158748175768E-2</v>
      </c>
      <c r="F173" s="116">
        <f>-F138/F131</f>
        <v>3.0911901081916537E-3</v>
      </c>
      <c r="G173" s="116">
        <f>-G138/G131</f>
        <v>-0.11378205128205128</v>
      </c>
      <c r="H173" s="93"/>
      <c r="I173" s="93"/>
      <c r="J173" s="93"/>
      <c r="K173" s="93"/>
      <c r="L173" s="116">
        <f>-L138/L131</f>
        <v>-5.4172454322042957E-2</v>
      </c>
      <c r="M173" s="93"/>
      <c r="N173" s="93"/>
      <c r="O173" s="93"/>
      <c r="P173" s="93"/>
      <c r="Q173" s="116">
        <f>-Q138/Q131</f>
        <v>-5.2105198172613901E-2</v>
      </c>
      <c r="R173" s="93"/>
      <c r="S173" s="93"/>
      <c r="T173" s="93"/>
      <c r="U173" s="93"/>
      <c r="V173" s="116">
        <f>-V138/V131</f>
        <v>0</v>
      </c>
      <c r="W173" s="93"/>
      <c r="X173" s="93"/>
      <c r="Y173" s="93"/>
      <c r="Z173" s="93"/>
      <c r="AA173" s="116">
        <f>-AA138/AA131</f>
        <v>-2.3043944265809219E-2</v>
      </c>
      <c r="AB173" s="93"/>
      <c r="AC173" s="93"/>
      <c r="AD173" s="93"/>
      <c r="AE173" s="93"/>
      <c r="AF173" s="116">
        <f>-AF138/AF131</f>
        <v>-1.6477179106936892E-4</v>
      </c>
      <c r="AG173" s="93"/>
      <c r="AH173" s="93"/>
      <c r="AI173" s="93"/>
      <c r="AJ173" s="93"/>
      <c r="AK173" s="116">
        <f>-AK138/AK131</f>
        <v>-5.6171470805617147E-3</v>
      </c>
      <c r="AL173" s="93"/>
      <c r="AM173" s="93"/>
      <c r="AN173" s="93"/>
      <c r="AO173" s="93"/>
      <c r="AP173" s="116">
        <f>-AP138/AP131</f>
        <v>8.3993368944557015E-2</v>
      </c>
      <c r="AQ173" s="93"/>
      <c r="AR173" s="93"/>
      <c r="AS173" s="93"/>
      <c r="AT173" s="93"/>
      <c r="AU173" s="116">
        <f>-AU138/AU131</f>
        <v>3.1272043263578651E-2</v>
      </c>
      <c r="AV173" s="93"/>
      <c r="AW173" s="93"/>
      <c r="AX173" s="93"/>
      <c r="AY173" s="93"/>
      <c r="AZ173" s="116">
        <f>-AZ138/AZ131</f>
        <v>1.442912795924483</v>
      </c>
      <c r="BA173" s="93"/>
      <c r="BB173" s="93"/>
      <c r="BC173" s="93"/>
      <c r="BD173" s="93"/>
      <c r="BE173" s="116">
        <f>-BE138/BE131</f>
        <v>-0.14502332814930016</v>
      </c>
      <c r="BF173" s="93"/>
      <c r="BG173" s="93"/>
      <c r="BH173" s="93"/>
      <c r="BI173" s="93"/>
      <c r="BJ173" s="116">
        <f>-BJ138/BJ131</f>
        <v>-0.55534167468719919</v>
      </c>
      <c r="BK173" s="93"/>
      <c r="BL173" s="93"/>
      <c r="BM173" s="93"/>
      <c r="BN173" s="93"/>
      <c r="BO173" s="116">
        <f>-BO138/BO131</f>
        <v>6.2083119548486401E-2</v>
      </c>
      <c r="BP173" s="117">
        <f t="shared" ref="BP173:CD173" si="99">-BP138/BP131</f>
        <v>0</v>
      </c>
      <c r="BQ173" s="117">
        <f t="shared" si="99"/>
        <v>0</v>
      </c>
      <c r="BR173" s="117">
        <f t="shared" si="99"/>
        <v>0</v>
      </c>
      <c r="BS173" s="117">
        <f t="shared" si="99"/>
        <v>0</v>
      </c>
      <c r="BT173" s="116">
        <f t="shared" si="99"/>
        <v>0</v>
      </c>
      <c r="BU173" s="117">
        <f t="shared" si="99"/>
        <v>0</v>
      </c>
      <c r="BV173" s="117">
        <f t="shared" si="99"/>
        <v>0</v>
      </c>
      <c r="BW173" s="117">
        <f t="shared" si="99"/>
        <v>0</v>
      </c>
      <c r="BX173" s="117">
        <f t="shared" si="99"/>
        <v>0</v>
      </c>
      <c r="BY173" s="116">
        <f t="shared" si="99"/>
        <v>0</v>
      </c>
      <c r="BZ173" s="117">
        <f t="shared" si="99"/>
        <v>0</v>
      </c>
      <c r="CA173" s="117">
        <f t="shared" si="99"/>
        <v>0</v>
      </c>
      <c r="CB173" s="117">
        <f t="shared" si="99"/>
        <v>0</v>
      </c>
      <c r="CC173" s="117">
        <f t="shared" si="99"/>
        <v>0</v>
      </c>
      <c r="CD173" s="116">
        <f t="shared" si="99"/>
        <v>0</v>
      </c>
      <c r="CG173" s="468">
        <v>2017</v>
      </c>
      <c r="CH173" s="627">
        <f>INDEX(139:139,MATCH(CG173,8:8,0))</f>
        <v>-15</v>
      </c>
      <c r="CI173" s="627">
        <f>INDEX($141:$141,MATCH($CG173,$8:$8,0))</f>
        <v>104</v>
      </c>
    </row>
    <row r="174" spans="1:103" hidden="1" outlineLevel="1">
      <c r="A174" s="11"/>
      <c r="B174" s="11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</row>
    <row r="175" spans="1:103" hidden="1" outlineLevel="1">
      <c r="A175" s="11" t="s">
        <v>3095</v>
      </c>
      <c r="B175" s="11"/>
      <c r="C175" s="116">
        <f>-C141/C139</f>
        <v>0.34821657685399027</v>
      </c>
      <c r="D175" s="116">
        <f>-D141/D139</f>
        <v>0.62240515390121687</v>
      </c>
      <c r="E175" s="116">
        <f>-E141/E139</f>
        <v>0.42084639498432602</v>
      </c>
      <c r="F175" s="116">
        <f>-F141/F139</f>
        <v>0.42285714285714288</v>
      </c>
      <c r="G175" s="116">
        <f>-G141/G139</f>
        <v>0.29144930823315945</v>
      </c>
      <c r="H175" s="93"/>
      <c r="I175" s="93"/>
      <c r="J175" s="93"/>
      <c r="K175" s="93"/>
      <c r="L175" s="116">
        <f>-L141/L139</f>
        <v>0.49324721080446271</v>
      </c>
      <c r="M175" s="93"/>
      <c r="N175" s="93"/>
      <c r="O175" s="93"/>
      <c r="P175" s="93"/>
      <c r="Q175" s="116">
        <f>-Q141/Q139</f>
        <v>0.45866935483870969</v>
      </c>
      <c r="R175" s="93"/>
      <c r="S175" s="93"/>
      <c r="T175" s="93"/>
      <c r="U175" s="93"/>
      <c r="V175" s="116">
        <f>-V141/V139</f>
        <v>0.490311579600062</v>
      </c>
      <c r="W175" s="93"/>
      <c r="X175" s="93"/>
      <c r="Y175" s="93"/>
      <c r="Z175" s="93"/>
      <c r="AA175" s="116">
        <f>-AA141/AA139</f>
        <v>0.39719739067407589</v>
      </c>
      <c r="AB175" s="93"/>
      <c r="AC175" s="93"/>
      <c r="AD175" s="93"/>
      <c r="AE175" s="93"/>
      <c r="AF175" s="116">
        <f>-AF141/AF139</f>
        <v>0.47744746283956946</v>
      </c>
      <c r="AG175" s="93"/>
      <c r="AH175" s="93"/>
      <c r="AI175" s="93"/>
      <c r="AJ175" s="93"/>
      <c r="AK175" s="116">
        <f>-AK141/AK139</f>
        <v>0.54361016306408794</v>
      </c>
      <c r="AL175" s="93"/>
      <c r="AM175" s="93"/>
      <c r="AN175" s="93"/>
      <c r="AO175" s="93"/>
      <c r="AP175" s="116">
        <f>-AP141/AP139</f>
        <v>0.24953675108091414</v>
      </c>
      <c r="AQ175" s="93"/>
      <c r="AR175" s="93"/>
      <c r="AS175" s="93"/>
      <c r="AT175" s="93"/>
      <c r="AU175" s="116">
        <f>-AU141/AU139</f>
        <v>0.34564998320456836</v>
      </c>
      <c r="AV175" s="93"/>
      <c r="AW175" s="93"/>
      <c r="AX175" s="93"/>
      <c r="AY175" s="93"/>
      <c r="AZ175" s="116">
        <f>-AZ141/AZ139</f>
        <v>0.97916666666666663</v>
      </c>
      <c r="BA175" s="93"/>
      <c r="BB175" s="93"/>
      <c r="BC175" s="93"/>
      <c r="BD175" s="93"/>
      <c r="BE175" s="116">
        <f>-BE141/BE139</f>
        <v>-0.69272237196765496</v>
      </c>
      <c r="BF175" s="93"/>
      <c r="BG175" s="93"/>
      <c r="BH175" s="93"/>
      <c r="BI175" s="93"/>
      <c r="BJ175" s="116">
        <f>-BJ141/BJ139</f>
        <v>-0.36105860113421551</v>
      </c>
      <c r="BK175" s="93"/>
      <c r="BL175" s="93"/>
      <c r="BM175" s="93"/>
      <c r="BN175" s="93"/>
      <c r="BO175" s="116">
        <f>-BO141/BO139</f>
        <v>6.9333333333333336</v>
      </c>
      <c r="BP175" s="117">
        <f>BT175</f>
        <v>0.3</v>
      </c>
      <c r="BQ175" s="117">
        <f>BT175</f>
        <v>0.3</v>
      </c>
      <c r="BR175" s="117">
        <f>BT175</f>
        <v>0.3</v>
      </c>
      <c r="BS175" s="117">
        <f>BT175</f>
        <v>0.3</v>
      </c>
      <c r="BT175" s="118">
        <v>0.3</v>
      </c>
      <c r="BU175" s="117">
        <f>BY175</f>
        <v>0.3</v>
      </c>
      <c r="BV175" s="117">
        <f>BY175</f>
        <v>0.3</v>
      </c>
      <c r="BW175" s="117">
        <f>BY175</f>
        <v>0.3</v>
      </c>
      <c r="BX175" s="117">
        <f>BY175</f>
        <v>0.3</v>
      </c>
      <c r="BY175" s="118">
        <v>0.3</v>
      </c>
      <c r="BZ175" s="117">
        <f>CD175</f>
        <v>0.3</v>
      </c>
      <c r="CA175" s="117">
        <f>CD175</f>
        <v>0.3</v>
      </c>
      <c r="CB175" s="117">
        <f>CD175</f>
        <v>0.3</v>
      </c>
      <c r="CC175" s="117">
        <f>CD175</f>
        <v>0.3</v>
      </c>
      <c r="CD175" s="118">
        <v>0.3</v>
      </c>
      <c r="CE175" s="118"/>
      <c r="CG175" t="s">
        <v>3695</v>
      </c>
      <c r="CI175" s="440">
        <f>COVAR(CH161:CH173,CI161:CI173)/VARP(CH161:CH173)</f>
        <v>-0.62952785548411772</v>
      </c>
    </row>
    <row r="176" spans="1:103" hidden="1" outlineLevel="1">
      <c r="A176" s="11" t="s">
        <v>3471</v>
      </c>
      <c r="B176" s="11"/>
      <c r="C176" s="116"/>
      <c r="D176" s="116"/>
      <c r="E176" s="116"/>
      <c r="F176" s="116"/>
      <c r="G176" s="116"/>
      <c r="H176" s="93"/>
      <c r="I176" s="93"/>
      <c r="J176" s="93"/>
      <c r="K176" s="93"/>
      <c r="L176" s="119">
        <f>(L142-L138-L137-L133)/(L147*0.365)</f>
        <v>26.718340735268512</v>
      </c>
      <c r="M176" s="93"/>
      <c r="N176" s="93"/>
      <c r="O176" s="93"/>
      <c r="P176" s="93"/>
      <c r="Q176" s="119">
        <f>(Q142-Q138-Q137-Q133)/(Q147*0.365)</f>
        <v>28.74007295099765</v>
      </c>
      <c r="R176" s="93"/>
      <c r="S176" s="93"/>
      <c r="T176" s="93"/>
      <c r="U176" s="93"/>
      <c r="V176" s="119">
        <f>(V142-V138-V137-V133)/(V147*0.365)</f>
        <v>36.375827720943263</v>
      </c>
      <c r="W176" s="93"/>
      <c r="X176" s="93"/>
      <c r="Y176" s="93"/>
      <c r="Z176" s="93"/>
      <c r="AA176" s="119">
        <f>(AA142-AA138-AA137-AA133)/(AA147*0.365)</f>
        <v>32.447383385982199</v>
      </c>
      <c r="AB176" s="93"/>
      <c r="AC176" s="93"/>
      <c r="AD176" s="93"/>
      <c r="AE176" s="93"/>
      <c r="AF176" s="119">
        <f>(AF142-AF138-AF137-AF133)/(AF147*0.365)</f>
        <v>33.84691129195749</v>
      </c>
      <c r="AG176" s="93"/>
      <c r="AH176" s="93"/>
      <c r="AI176" s="93"/>
      <c r="AJ176" s="93"/>
      <c r="AK176" s="119">
        <f>(AK142-AK138-AK137-AK133)/(AK147*0.365)</f>
        <v>45.739148169550297</v>
      </c>
      <c r="AL176" s="93"/>
      <c r="AM176" s="93"/>
      <c r="AN176" s="93"/>
      <c r="AO176" s="93"/>
      <c r="AP176" s="119">
        <f>(AP142-AP138-AP137-AP133)/(AP147*0.365)</f>
        <v>64.31833007175473</v>
      </c>
      <c r="AQ176" s="93"/>
      <c r="AR176" s="93"/>
      <c r="AS176" s="93"/>
      <c r="AT176" s="93"/>
      <c r="AU176" s="119">
        <f>(AU142-AU138-AU137-AU133)/(AU147*0.365)</f>
        <v>67.501216620590398</v>
      </c>
      <c r="AV176" s="93"/>
      <c r="AW176" s="93"/>
      <c r="AX176" s="93"/>
      <c r="AY176" s="93"/>
      <c r="AZ176" s="119">
        <f>(AZ142-AZ138-AZ137-AZ133)/(AZ147*0.365)</f>
        <v>134.63262417840645</v>
      </c>
      <c r="BA176" s="93"/>
      <c r="BB176" s="93"/>
      <c r="BC176" s="93"/>
      <c r="BD176" s="93"/>
      <c r="BE176" s="119">
        <f>(BE142-BE138-BE137-BE133)/(BE147*0.365)</f>
        <v>51.342545018075171</v>
      </c>
      <c r="BF176" s="93"/>
      <c r="BG176" s="93"/>
      <c r="BH176" s="93"/>
      <c r="BI176" s="93"/>
      <c r="BJ176" s="119">
        <f>(BJ142-BJ138-BJ137-BJ133)/(BJ147*0.365)</f>
        <v>41.470870659163019</v>
      </c>
      <c r="BK176" s="93"/>
      <c r="BL176" s="93"/>
      <c r="BM176" s="93"/>
      <c r="BN176" s="93"/>
      <c r="BO176" s="119">
        <f>(BO142-BO138-BO137-BO133)/(BO147*0.365)</f>
        <v>40.402910355262946</v>
      </c>
      <c r="BP176" s="93"/>
      <c r="BQ176" s="93"/>
      <c r="BR176" s="93"/>
      <c r="BS176" s="93"/>
      <c r="BT176" s="119">
        <f>(BT142-BT138-BT137-BT133)/(BT147*0.365)</f>
        <v>44.379624182590632</v>
      </c>
      <c r="BU176" s="93"/>
      <c r="BV176" s="93"/>
      <c r="BW176" s="93"/>
      <c r="BX176" s="93"/>
      <c r="BY176" s="119">
        <f>(BY142-BY138-BY137-BY133)/(BY147*0.365)</f>
        <v>41.310158890374083</v>
      </c>
      <c r="BZ176" s="93"/>
      <c r="CA176" s="93"/>
      <c r="CB176" s="93"/>
      <c r="CC176" s="93"/>
      <c r="CD176" s="119">
        <f>(CD142-CD138-CD137-CD133)/(CD147*0.365)</f>
        <v>40.036196795918222</v>
      </c>
      <c r="CG176" t="s">
        <v>3696</v>
      </c>
      <c r="CI176">
        <f>AVERAGE(CI161:CI173)-CI175*AVERAGE(CH161:CH173)</f>
        <v>944.30129773420208</v>
      </c>
    </row>
    <row r="177" spans="1:87" collapsed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G177" t="s">
        <v>3697</v>
      </c>
      <c r="CI177" s="381">
        <f>CORREL(CH161:CH173,CI161:CI173)^2</f>
        <v>0.93906994831447377</v>
      </c>
    </row>
    <row r="178" spans="1:87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</row>
    <row r="179" spans="1:87" hidden="1" outlineLevel="1">
      <c r="A179" s="24" t="s">
        <v>2162</v>
      </c>
      <c r="B179" s="4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</row>
    <row r="180" spans="1:87" hidden="1" outlineLevel="1">
      <c r="A180" s="10"/>
      <c r="B180" s="10"/>
      <c r="C180" s="31">
        <v>2001</v>
      </c>
      <c r="D180" s="32">
        <v>2002</v>
      </c>
      <c r="E180" s="32">
        <v>2003</v>
      </c>
      <c r="F180" s="32">
        <v>2004</v>
      </c>
      <c r="G180" s="31">
        <v>2005</v>
      </c>
      <c r="H180" s="33" t="str">
        <f>H128</f>
        <v>1Q06</v>
      </c>
      <c r="I180" s="33" t="str">
        <f>I128</f>
        <v>2Q06</v>
      </c>
      <c r="J180" s="33" t="str">
        <f>J128</f>
        <v>3Q06</v>
      </c>
      <c r="K180" s="33" t="str">
        <f>K128</f>
        <v>4Q06</v>
      </c>
      <c r="L180" s="31">
        <v>2006</v>
      </c>
      <c r="M180" s="33" t="str">
        <f>M128</f>
        <v>1Q07</v>
      </c>
      <c r="N180" s="33" t="str">
        <f>N128</f>
        <v>2Q07</v>
      </c>
      <c r="O180" s="33" t="str">
        <f>O128</f>
        <v>3Q07</v>
      </c>
      <c r="P180" s="33" t="str">
        <f>P128</f>
        <v>4Q07</v>
      </c>
      <c r="Q180" s="31">
        <v>2007</v>
      </c>
      <c r="R180" s="33" t="str">
        <f>R128</f>
        <v>1Q08</v>
      </c>
      <c r="S180" s="33" t="str">
        <f>S128</f>
        <v>2Q08</v>
      </c>
      <c r="T180" s="33" t="str">
        <f>T128</f>
        <v>3Q08</v>
      </c>
      <c r="U180" s="33" t="str">
        <f>U128</f>
        <v>4Q08</v>
      </c>
      <c r="V180" s="31">
        <v>2008</v>
      </c>
      <c r="W180" s="33" t="str">
        <f>W128</f>
        <v>1Q09</v>
      </c>
      <c r="X180" s="33" t="str">
        <f>X128</f>
        <v>2Q09</v>
      </c>
      <c r="Y180" s="33" t="str">
        <f>Y128</f>
        <v>3Q09</v>
      </c>
      <c r="Z180" s="33" t="str">
        <f>Z128</f>
        <v>4Q09</v>
      </c>
      <c r="AA180" s="31">
        <v>2009</v>
      </c>
      <c r="AB180" s="33" t="str">
        <f>AB128</f>
        <v>1Q10</v>
      </c>
      <c r="AC180" s="33" t="str">
        <f>AC128</f>
        <v>2Q10</v>
      </c>
      <c r="AD180" s="33" t="str">
        <f>AD128</f>
        <v>3Q10</v>
      </c>
      <c r="AE180" s="33" t="str">
        <f>AE128</f>
        <v>4Q10</v>
      </c>
      <c r="AF180" s="31">
        <v>2010</v>
      </c>
      <c r="AG180" s="33" t="str">
        <f>AG128</f>
        <v>1Q11</v>
      </c>
      <c r="AH180" s="33" t="str">
        <f>AH128</f>
        <v>2Q11</v>
      </c>
      <c r="AI180" s="33" t="str">
        <f>AI128</f>
        <v>3Q11</v>
      </c>
      <c r="AJ180" s="33" t="str">
        <f>AJ128</f>
        <v>4Q11</v>
      </c>
      <c r="AK180" s="31">
        <v>2011</v>
      </c>
      <c r="AL180" s="33" t="s">
        <v>2397</v>
      </c>
      <c r="AM180" s="33" t="s">
        <v>2398</v>
      </c>
      <c r="AN180" s="33" t="s">
        <v>2399</v>
      </c>
      <c r="AO180" s="33" t="s">
        <v>2400</v>
      </c>
      <c r="AP180" s="31">
        <v>2012</v>
      </c>
      <c r="AQ180" s="33" t="s">
        <v>2401</v>
      </c>
      <c r="AR180" s="33" t="s">
        <v>2402</v>
      </c>
      <c r="AS180" s="33" t="s">
        <v>2403</v>
      </c>
      <c r="AT180" s="33" t="s">
        <v>2404</v>
      </c>
      <c r="AU180" s="31">
        <v>2013</v>
      </c>
      <c r="AV180" s="33" t="s">
        <v>2405</v>
      </c>
      <c r="AW180" s="33" t="s">
        <v>2406</v>
      </c>
      <c r="AX180" s="33" t="s">
        <v>2407</v>
      </c>
      <c r="AY180" s="33" t="s">
        <v>2408</v>
      </c>
      <c r="AZ180" s="31">
        <v>2014</v>
      </c>
      <c r="BA180" s="33" t="str">
        <f t="shared" ref="BA180:BI180" si="100">BA$8</f>
        <v>1Q15</v>
      </c>
      <c r="BB180" s="33" t="str">
        <f t="shared" si="100"/>
        <v>2Q15</v>
      </c>
      <c r="BC180" s="33" t="str">
        <f t="shared" si="100"/>
        <v>3Q15</v>
      </c>
      <c r="BD180" s="33" t="str">
        <f t="shared" si="100"/>
        <v>4Q15</v>
      </c>
      <c r="BE180" s="31">
        <f t="shared" si="100"/>
        <v>2015</v>
      </c>
      <c r="BF180" s="33" t="str">
        <f t="shared" si="100"/>
        <v>1Q16</v>
      </c>
      <c r="BG180" s="33" t="str">
        <f t="shared" si="100"/>
        <v>2Q16</v>
      </c>
      <c r="BH180" s="33" t="str">
        <f t="shared" si="100"/>
        <v>3Q16</v>
      </c>
      <c r="BI180" s="33" t="str">
        <f t="shared" si="100"/>
        <v>4Q16</v>
      </c>
      <c r="BJ180" s="31">
        <v>2016</v>
      </c>
      <c r="BK180" s="33" t="s">
        <v>2417</v>
      </c>
      <c r="BL180" s="33" t="s">
        <v>2418</v>
      </c>
      <c r="BM180" s="33" t="s">
        <v>2419</v>
      </c>
      <c r="BN180" s="33" t="s">
        <v>2420</v>
      </c>
      <c r="BO180" s="31">
        <v>2017</v>
      </c>
      <c r="BP180" s="33" t="s">
        <v>2244</v>
      </c>
      <c r="BQ180" s="33" t="s">
        <v>2245</v>
      </c>
      <c r="BR180" s="33" t="s">
        <v>2508</v>
      </c>
      <c r="BS180" s="33" t="s">
        <v>2509</v>
      </c>
      <c r="BT180" s="31">
        <v>2018</v>
      </c>
      <c r="BU180" s="33" t="s">
        <v>2510</v>
      </c>
      <c r="BV180" s="33" t="s">
        <v>2511</v>
      </c>
      <c r="BW180" s="33" t="s">
        <v>3125</v>
      </c>
      <c r="BX180" s="33" t="s">
        <v>1405</v>
      </c>
      <c r="BY180" s="31">
        <v>2019</v>
      </c>
      <c r="BZ180" s="33" t="s">
        <v>1406</v>
      </c>
      <c r="CA180" s="33" t="s">
        <v>1407</v>
      </c>
      <c r="CB180" s="33" t="s">
        <v>1408</v>
      </c>
      <c r="CC180" s="33" t="s">
        <v>1409</v>
      </c>
      <c r="CD180" s="31">
        <v>2020</v>
      </c>
    </row>
    <row r="181" spans="1:87" hidden="1" outlineLevel="1">
      <c r="A181" s="4" t="s">
        <v>2156</v>
      </c>
      <c r="B181" s="5"/>
      <c r="C181" s="5">
        <v>1601</v>
      </c>
      <c r="D181" s="5">
        <v>1290</v>
      </c>
      <c r="E181" s="5">
        <v>1491</v>
      </c>
      <c r="F181" s="5">
        <v>1735</v>
      </c>
      <c r="G181" s="5">
        <v>2048</v>
      </c>
      <c r="H181" s="93"/>
      <c r="I181" s="93"/>
      <c r="J181" s="93"/>
      <c r="K181" s="93"/>
      <c r="L181" s="5">
        <v>1381</v>
      </c>
      <c r="M181" s="93"/>
      <c r="N181" s="93"/>
      <c r="O181" s="93"/>
      <c r="P181" s="93"/>
      <c r="Q181" s="5">
        <v>1436</v>
      </c>
      <c r="R181" s="93"/>
      <c r="S181" s="93"/>
      <c r="T181" s="93"/>
      <c r="U181" s="93"/>
      <c r="V181" s="5">
        <v>8010</v>
      </c>
      <c r="W181" s="93"/>
      <c r="X181" s="93"/>
      <c r="Y181" s="93"/>
      <c r="Z181" s="93"/>
      <c r="AA181" s="5">
        <v>4759</v>
      </c>
      <c r="AB181" s="93"/>
      <c r="AC181" s="93"/>
      <c r="AD181" s="93"/>
      <c r="AE181" s="93"/>
      <c r="AF181" s="5">
        <v>1148</v>
      </c>
      <c r="AG181" s="93"/>
      <c r="AH181" s="93"/>
      <c r="AI181" s="93"/>
      <c r="AJ181" s="93"/>
      <c r="AK181" s="5">
        <v>751</v>
      </c>
      <c r="AL181" s="93"/>
      <c r="AM181" s="93"/>
      <c r="AN181" s="93"/>
      <c r="AO181" s="93"/>
      <c r="AP181" s="5">
        <v>453</v>
      </c>
      <c r="AQ181" s="93"/>
      <c r="AR181" s="93"/>
      <c r="AS181" s="93"/>
      <c r="AT181" s="93"/>
      <c r="AU181" s="5">
        <v>934</v>
      </c>
      <c r="AV181" s="93"/>
      <c r="AW181" s="93"/>
      <c r="AX181" s="93"/>
      <c r="AY181" s="93"/>
      <c r="AZ181" s="5">
        <v>1218</v>
      </c>
      <c r="BA181" s="93"/>
      <c r="BB181" s="93"/>
      <c r="BC181" s="93"/>
      <c r="BD181" s="93"/>
      <c r="BE181" s="5">
        <v>651</v>
      </c>
      <c r="BF181" s="93"/>
      <c r="BG181" s="93"/>
      <c r="BH181" s="93"/>
      <c r="BI181" s="93"/>
      <c r="BJ181" s="5">
        <v>640</v>
      </c>
      <c r="BK181" s="93"/>
      <c r="BL181" s="93"/>
      <c r="BM181" s="93"/>
      <c r="BN181" s="93"/>
      <c r="BO181" s="5">
        <v>724</v>
      </c>
      <c r="BP181" s="93"/>
      <c r="BQ181" s="93"/>
      <c r="BR181" s="93"/>
      <c r="BS181" s="93"/>
      <c r="BT181" s="93"/>
      <c r="BU181" s="93"/>
      <c r="BV181" s="93"/>
      <c r="BW181" s="93"/>
      <c r="BX181" s="93"/>
      <c r="BY181" s="93"/>
      <c r="BZ181" s="93"/>
      <c r="CA181" s="93"/>
      <c r="CB181" s="93"/>
      <c r="CC181" s="93"/>
      <c r="CD181" s="93"/>
    </row>
    <row r="182" spans="1:87" hidden="1" outlineLevel="1">
      <c r="A182" s="4" t="s">
        <v>2157</v>
      </c>
      <c r="B182" s="5"/>
      <c r="C182" s="5">
        <v>9540</v>
      </c>
      <c r="D182" s="5">
        <v>7776</v>
      </c>
      <c r="E182" s="5">
        <v>10991</v>
      </c>
      <c r="F182" s="5">
        <v>11794</v>
      </c>
      <c r="G182" s="5">
        <v>14842</v>
      </c>
      <c r="H182" s="93"/>
      <c r="I182" s="93"/>
      <c r="J182" s="93"/>
      <c r="K182" s="93"/>
      <c r="L182" s="5">
        <v>14572</v>
      </c>
      <c r="M182" s="93"/>
      <c r="N182" s="93"/>
      <c r="O182" s="93"/>
      <c r="P182" s="93"/>
      <c r="Q182" s="5">
        <v>14353</v>
      </c>
      <c r="R182" s="93"/>
      <c r="S182" s="93"/>
      <c r="T182" s="93"/>
      <c r="U182" s="93"/>
      <c r="V182" s="5">
        <v>15610</v>
      </c>
      <c r="W182" s="93"/>
      <c r="X182" s="93"/>
      <c r="Y182" s="93"/>
      <c r="Z182" s="93"/>
      <c r="AA182" s="5">
        <v>11313</v>
      </c>
      <c r="AB182" s="93"/>
      <c r="AC182" s="93"/>
      <c r="AD182" s="93"/>
      <c r="AE182" s="93"/>
      <c r="AF182" s="5">
        <v>18819</v>
      </c>
      <c r="AG182" s="93"/>
      <c r="AH182" s="93"/>
      <c r="AI182" s="93"/>
      <c r="AJ182" s="93"/>
      <c r="AK182" s="5">
        <v>19089</v>
      </c>
      <c r="AL182" s="93"/>
      <c r="AM182" s="93"/>
      <c r="AN182" s="93"/>
      <c r="AO182" s="93"/>
      <c r="AP182" s="5">
        <v>15713</v>
      </c>
      <c r="AQ182" s="93"/>
      <c r="AR182" s="93"/>
      <c r="AS182" s="93"/>
      <c r="AT182" s="93"/>
      <c r="AU182" s="5">
        <v>14047</v>
      </c>
      <c r="AV182" s="93"/>
      <c r="AW182" s="93"/>
      <c r="AX182" s="93"/>
      <c r="AY182" s="93"/>
      <c r="AZ182" s="5">
        <v>14894</v>
      </c>
      <c r="BA182" s="93"/>
      <c r="BB182" s="93"/>
      <c r="BC182" s="93"/>
      <c r="BD182" s="93"/>
      <c r="BE182" s="5">
        <v>7427</v>
      </c>
      <c r="BF182" s="93"/>
      <c r="BG182" s="93"/>
      <c r="BH182" s="93"/>
      <c r="BI182" s="93"/>
      <c r="BJ182" s="5">
        <v>6204</v>
      </c>
      <c r="BK182" s="93"/>
      <c r="BL182" s="93"/>
      <c r="BM182" s="93"/>
      <c r="BN182" s="93"/>
      <c r="BO182" s="5">
        <v>9117</v>
      </c>
      <c r="BP182" s="93"/>
      <c r="BQ182" s="93"/>
      <c r="BR182" s="93"/>
      <c r="BS182" s="93"/>
      <c r="BT182" s="93"/>
      <c r="BU182" s="93"/>
      <c r="BV182" s="93"/>
      <c r="BW182" s="93"/>
      <c r="BX182" s="93"/>
      <c r="BY182" s="93"/>
      <c r="BZ182" s="93"/>
      <c r="CA182" s="93"/>
      <c r="CB182" s="93"/>
      <c r="CC182" s="93"/>
      <c r="CD182" s="93"/>
    </row>
    <row r="183" spans="1:87" hidden="1" outlineLevel="1">
      <c r="A183" s="7" t="s">
        <v>2155</v>
      </c>
      <c r="B183" s="8"/>
      <c r="C183" s="8">
        <f>C181+C182</f>
        <v>11141</v>
      </c>
      <c r="D183" s="8">
        <f>D181+D182</f>
        <v>9066</v>
      </c>
      <c r="E183" s="8">
        <f>E181+E182</f>
        <v>12482</v>
      </c>
      <c r="F183" s="8">
        <f>F181+F182</f>
        <v>13529</v>
      </c>
      <c r="G183" s="8">
        <f>G181+G182</f>
        <v>16890</v>
      </c>
      <c r="H183" s="93"/>
      <c r="I183" s="93"/>
      <c r="J183" s="93"/>
      <c r="K183" s="93"/>
      <c r="L183" s="8">
        <f>L181+L182</f>
        <v>15953</v>
      </c>
      <c r="M183" s="93"/>
      <c r="N183" s="93"/>
      <c r="O183" s="93"/>
      <c r="P183" s="93"/>
      <c r="Q183" s="8">
        <f>Q181+Q182</f>
        <v>15789</v>
      </c>
      <c r="R183" s="93"/>
      <c r="S183" s="93"/>
      <c r="T183" s="93"/>
      <c r="U183" s="93"/>
      <c r="V183" s="8">
        <f>V181+V182</f>
        <v>23620</v>
      </c>
      <c r="W183" s="93"/>
      <c r="X183" s="93"/>
      <c r="Y183" s="93"/>
      <c r="Z183" s="93"/>
      <c r="AA183" s="8">
        <f>AA181+AA182</f>
        <v>16072</v>
      </c>
      <c r="AB183" s="93"/>
      <c r="AC183" s="93"/>
      <c r="AD183" s="93"/>
      <c r="AE183" s="93"/>
      <c r="AF183" s="8">
        <f>AF181+AF182</f>
        <v>19967</v>
      </c>
      <c r="AG183" s="93"/>
      <c r="AH183" s="93"/>
      <c r="AI183" s="93"/>
      <c r="AJ183" s="93"/>
      <c r="AK183" s="8">
        <f>AK181+AK182</f>
        <v>19840</v>
      </c>
      <c r="AL183" s="93"/>
      <c r="AM183" s="93"/>
      <c r="AN183" s="93"/>
      <c r="AO183" s="93"/>
      <c r="AP183" s="8">
        <f>AP181+AP182</f>
        <v>16166</v>
      </c>
      <c r="AQ183" s="93"/>
      <c r="AR183" s="93"/>
      <c r="AS183" s="93"/>
      <c r="AT183" s="93"/>
      <c r="AU183" s="8">
        <f>AU181+AU182</f>
        <v>14981</v>
      </c>
      <c r="AV183" s="93"/>
      <c r="AW183" s="93"/>
      <c r="AX183" s="93"/>
      <c r="AY183" s="93"/>
      <c r="AZ183" s="8">
        <f>AZ181+AZ182</f>
        <v>16112</v>
      </c>
      <c r="BA183" s="93"/>
      <c r="BB183" s="93"/>
      <c r="BC183" s="93"/>
      <c r="BD183" s="93"/>
      <c r="BE183" s="8">
        <f>BE181+BE182</f>
        <v>8078</v>
      </c>
      <c r="BF183" s="93"/>
      <c r="BG183" s="93"/>
      <c r="BH183" s="93"/>
      <c r="BI183" s="93"/>
      <c r="BJ183" s="8">
        <f>BJ181+BJ182</f>
        <v>6844</v>
      </c>
      <c r="BK183" s="93"/>
      <c r="BL183" s="93"/>
      <c r="BM183" s="93"/>
      <c r="BN183" s="93"/>
      <c r="BO183" s="8">
        <f>BO181+BO182</f>
        <v>9841</v>
      </c>
      <c r="BP183" s="93"/>
      <c r="BQ183" s="93"/>
      <c r="BR183" s="93"/>
      <c r="BS183" s="93"/>
      <c r="BT183" s="93"/>
      <c r="BU183" s="93"/>
      <c r="BV183" s="93"/>
      <c r="BW183" s="93"/>
      <c r="BX183" s="93"/>
      <c r="BY183" s="93"/>
      <c r="BZ183" s="93"/>
      <c r="CA183" s="93"/>
      <c r="CB183" s="93"/>
      <c r="CC183" s="93"/>
      <c r="CD183" s="93"/>
    </row>
    <row r="184" spans="1:87" hidden="1" outlineLevel="1">
      <c r="A184" s="4"/>
      <c r="B184" s="5"/>
      <c r="C184" s="5"/>
      <c r="D184" s="5"/>
      <c r="E184" s="5"/>
      <c r="F184" s="5"/>
      <c r="G184" s="5"/>
      <c r="H184" s="12"/>
      <c r="I184" s="12"/>
      <c r="J184" s="12"/>
      <c r="K184" s="12"/>
      <c r="L184" s="5"/>
      <c r="M184" s="12"/>
      <c r="N184" s="12"/>
      <c r="O184" s="12"/>
      <c r="P184" s="12"/>
      <c r="Q184" s="5"/>
      <c r="R184" s="12"/>
      <c r="S184" s="12"/>
      <c r="T184" s="12"/>
      <c r="U184" s="12"/>
      <c r="V184" s="5"/>
      <c r="W184" s="12"/>
      <c r="X184" s="12"/>
      <c r="Y184" s="12"/>
      <c r="Z184" s="12"/>
      <c r="AA184" s="5"/>
      <c r="AB184" s="12"/>
      <c r="AC184" s="12"/>
      <c r="AD184" s="12"/>
      <c r="AE184" s="12"/>
      <c r="AF184" s="5"/>
      <c r="AG184" s="12"/>
      <c r="AH184" s="12"/>
      <c r="AI184" s="12"/>
      <c r="AJ184" s="12"/>
      <c r="AK184" s="5"/>
      <c r="AL184" s="12"/>
      <c r="AM184" s="12"/>
      <c r="AN184" s="12"/>
      <c r="AO184" s="12"/>
      <c r="AP184" s="5"/>
      <c r="AQ184" s="12"/>
      <c r="AR184" s="12"/>
      <c r="AS184" s="12"/>
      <c r="AT184" s="12"/>
      <c r="AU184" s="5"/>
      <c r="AV184" s="12"/>
      <c r="AW184" s="12"/>
      <c r="AX184" s="12"/>
      <c r="AY184" s="12"/>
      <c r="AZ184" s="5"/>
      <c r="BA184" s="12"/>
      <c r="BB184" s="12"/>
      <c r="BC184" s="12"/>
      <c r="BD184" s="12"/>
      <c r="BE184" s="5"/>
      <c r="BF184" s="12"/>
      <c r="BG184" s="12"/>
      <c r="BH184" s="12"/>
      <c r="BI184" s="12"/>
      <c r="BJ184" s="5"/>
      <c r="BK184" s="12"/>
      <c r="BL184" s="12"/>
      <c r="BM184" s="12"/>
      <c r="BN184" s="12"/>
      <c r="BO184" s="5"/>
      <c r="BP184" s="12"/>
      <c r="BQ184" s="12"/>
      <c r="BR184" s="12"/>
      <c r="BS184" s="12"/>
      <c r="BT184" s="12"/>
      <c r="BU184" s="12"/>
      <c r="BV184" s="12"/>
      <c r="BW184" s="12"/>
      <c r="BX184" s="12"/>
      <c r="BY184" s="12"/>
      <c r="BZ184" s="12"/>
      <c r="CA184" s="12"/>
      <c r="CB184" s="12"/>
      <c r="CC184" s="12"/>
      <c r="CD184" s="12"/>
    </row>
    <row r="185" spans="1:87" hidden="1" outlineLevel="1">
      <c r="A185" s="4" t="s">
        <v>1897</v>
      </c>
      <c r="B185" s="5"/>
      <c r="C185" s="5">
        <v>-256</v>
      </c>
      <c r="D185" s="5">
        <v>-258</v>
      </c>
      <c r="E185" s="5">
        <v>-204</v>
      </c>
      <c r="F185" s="5">
        <v>-361</v>
      </c>
      <c r="G185" s="5">
        <v>-426</v>
      </c>
      <c r="H185" s="93"/>
      <c r="I185" s="93"/>
      <c r="J185" s="93"/>
      <c r="K185" s="93"/>
      <c r="L185" s="5">
        <v>-634</v>
      </c>
      <c r="M185" s="93"/>
      <c r="N185" s="93"/>
      <c r="O185" s="93"/>
      <c r="P185" s="93"/>
      <c r="Q185" s="5">
        <v>-252</v>
      </c>
      <c r="R185" s="93"/>
      <c r="S185" s="93"/>
      <c r="T185" s="93"/>
      <c r="U185" s="93"/>
      <c r="V185" s="5">
        <v>-305</v>
      </c>
      <c r="W185" s="93"/>
      <c r="X185" s="93"/>
      <c r="Y185" s="93"/>
      <c r="Z185" s="93"/>
      <c r="AA185" s="5">
        <v>-663</v>
      </c>
      <c r="AB185" s="93"/>
      <c r="AC185" s="93"/>
      <c r="AD185" s="93"/>
      <c r="AE185" s="93"/>
      <c r="AF185" s="5">
        <v>-465</v>
      </c>
      <c r="AG185" s="93"/>
      <c r="AH185" s="93"/>
      <c r="AI185" s="93"/>
      <c r="AJ185" s="93"/>
      <c r="AK185" s="5">
        <v>-1065</v>
      </c>
      <c r="AL185" s="93"/>
      <c r="AM185" s="93"/>
      <c r="AN185" s="93"/>
      <c r="AO185" s="93"/>
      <c r="AP185" s="5">
        <v>-649</v>
      </c>
      <c r="AQ185" s="93"/>
      <c r="AR185" s="93"/>
      <c r="AS185" s="93"/>
      <c r="AT185" s="93"/>
      <c r="AU185" s="5">
        <v>-437</v>
      </c>
      <c r="AV185" s="93"/>
      <c r="AW185" s="93"/>
      <c r="AX185" s="93"/>
      <c r="AY185" s="93"/>
      <c r="AZ185" s="5">
        <v>-1294</v>
      </c>
      <c r="BA185" s="93"/>
      <c r="BB185" s="93"/>
      <c r="BC185" s="93"/>
      <c r="BD185" s="93"/>
      <c r="BE185" s="5">
        <v>-960</v>
      </c>
      <c r="BF185" s="93"/>
      <c r="BG185" s="93"/>
      <c r="BH185" s="93"/>
      <c r="BI185" s="93"/>
      <c r="BJ185" s="5">
        <v>-693</v>
      </c>
      <c r="BK185" s="93"/>
      <c r="BL185" s="93"/>
      <c r="BM185" s="93"/>
      <c r="BN185" s="93"/>
      <c r="BO185" s="5">
        <v>-282</v>
      </c>
      <c r="BP185" s="93"/>
      <c r="BQ185" s="93"/>
      <c r="BR185" s="93"/>
      <c r="BS185" s="93"/>
      <c r="BT185" s="93"/>
      <c r="BU185" s="93"/>
      <c r="BV185" s="93"/>
      <c r="BW185" s="93"/>
      <c r="BX185" s="93"/>
      <c r="BY185" s="93"/>
      <c r="BZ185" s="93"/>
      <c r="CA185" s="93"/>
      <c r="CB185" s="93"/>
      <c r="CC185" s="93"/>
      <c r="CD185" s="93"/>
    </row>
    <row r="186" spans="1:87" hidden="1" outlineLevel="1">
      <c r="A186" s="4" t="s">
        <v>2149</v>
      </c>
      <c r="B186" s="5"/>
      <c r="C186" s="5">
        <v>-1325</v>
      </c>
      <c r="D186" s="5">
        <v>-1318</v>
      </c>
      <c r="E186" s="5">
        <v>-1262</v>
      </c>
      <c r="F186" s="5">
        <v>-1428</v>
      </c>
      <c r="G186" s="5">
        <v>-1814</v>
      </c>
      <c r="H186" s="93"/>
      <c r="I186" s="93"/>
      <c r="J186" s="93"/>
      <c r="K186" s="93"/>
      <c r="L186" s="5">
        <v>-2311</v>
      </c>
      <c r="M186" s="93"/>
      <c r="N186" s="93"/>
      <c r="O186" s="93"/>
      <c r="P186" s="93"/>
      <c r="Q186" s="5">
        <v>-2782</v>
      </c>
      <c r="R186" s="93"/>
      <c r="S186" s="93"/>
      <c r="T186" s="93"/>
      <c r="U186" s="93"/>
      <c r="V186" s="5">
        <v>-3002</v>
      </c>
      <c r="W186" s="93"/>
      <c r="X186" s="93"/>
      <c r="Y186" s="93"/>
      <c r="Z186" s="93"/>
      <c r="AA186" s="5">
        <v>-2821</v>
      </c>
      <c r="AB186" s="93"/>
      <c r="AC186" s="93"/>
      <c r="AD186" s="93"/>
      <c r="AE186" s="93"/>
      <c r="AF186" s="5">
        <v>-2867</v>
      </c>
      <c r="AG186" s="93"/>
      <c r="AH186" s="93"/>
      <c r="AI186" s="93"/>
      <c r="AJ186" s="93"/>
      <c r="AK186" s="5">
        <v>-3402</v>
      </c>
      <c r="AL186" s="93"/>
      <c r="AM186" s="93"/>
      <c r="AN186" s="93"/>
      <c r="AO186" s="93"/>
      <c r="AP186" s="5">
        <v>-3854</v>
      </c>
      <c r="AQ186" s="93"/>
      <c r="AR186" s="93"/>
      <c r="AS186" s="93"/>
      <c r="AT186" s="93"/>
      <c r="AU186" s="5">
        <v>-3691</v>
      </c>
      <c r="AV186" s="93"/>
      <c r="AW186" s="93"/>
      <c r="AX186" s="93"/>
      <c r="AY186" s="93"/>
      <c r="AZ186" s="5">
        <v>-3492</v>
      </c>
      <c r="BA186" s="93"/>
      <c r="BB186" s="93"/>
      <c r="BC186" s="93"/>
      <c r="BD186" s="93"/>
      <c r="BE186" s="5">
        <v>-2777</v>
      </c>
      <c r="BF186" s="93"/>
      <c r="BG186" s="93"/>
      <c r="BH186" s="93"/>
      <c r="BI186" s="93"/>
      <c r="BJ186" s="5">
        <v>-2524</v>
      </c>
      <c r="BK186" s="93"/>
      <c r="BL186" s="93"/>
      <c r="BM186" s="93"/>
      <c r="BN186" s="93"/>
      <c r="BO186" s="5">
        <v>-2256</v>
      </c>
      <c r="BP186" s="93"/>
      <c r="BQ186" s="93"/>
      <c r="BR186" s="93"/>
      <c r="BS186" s="93"/>
      <c r="BT186" s="93"/>
      <c r="BU186" s="93"/>
      <c r="BV186" s="93"/>
      <c r="BW186" s="93"/>
      <c r="BX186" s="93"/>
      <c r="BY186" s="93"/>
      <c r="BZ186" s="93"/>
      <c r="CA186" s="93"/>
      <c r="CB186" s="93"/>
      <c r="CC186" s="93"/>
      <c r="CD186" s="93"/>
    </row>
    <row r="187" spans="1:87" hidden="1" outlineLevel="1">
      <c r="A187" s="4" t="s">
        <v>2150</v>
      </c>
      <c r="B187" s="5"/>
      <c r="C187" s="5">
        <v>-384</v>
      </c>
      <c r="D187" s="5">
        <v>-288</v>
      </c>
      <c r="E187" s="5">
        <v>-439</v>
      </c>
      <c r="F187" s="5">
        <v>-477</v>
      </c>
      <c r="G187" s="5">
        <v>-610</v>
      </c>
      <c r="H187" s="93"/>
      <c r="I187" s="93"/>
      <c r="J187" s="93"/>
      <c r="K187" s="93"/>
      <c r="L187" s="5">
        <v>-887</v>
      </c>
      <c r="M187" s="93"/>
      <c r="N187" s="93"/>
      <c r="O187" s="93"/>
      <c r="P187" s="93"/>
      <c r="Q187" s="5">
        <v>-1260</v>
      </c>
      <c r="R187" s="93"/>
      <c r="S187" s="93"/>
      <c r="T187" s="93"/>
      <c r="U187" s="93"/>
      <c r="V187" s="5">
        <v>-2603</v>
      </c>
      <c r="W187" s="93"/>
      <c r="X187" s="93"/>
      <c r="Y187" s="93"/>
      <c r="Z187" s="93"/>
      <c r="AA187" s="5">
        <v>-649</v>
      </c>
      <c r="AB187" s="93"/>
      <c r="AC187" s="93"/>
      <c r="AD187" s="93"/>
      <c r="AE187" s="93"/>
      <c r="AF187" s="5">
        <v>-1093</v>
      </c>
      <c r="AG187" s="93"/>
      <c r="AH187" s="93"/>
      <c r="AI187" s="93"/>
      <c r="AJ187" s="93"/>
      <c r="AK187" s="5">
        <v>-1854</v>
      </c>
      <c r="AL187" s="93"/>
      <c r="AM187" s="93"/>
      <c r="AN187" s="93"/>
      <c r="AO187" s="93"/>
      <c r="AP187" s="5">
        <v>-1472</v>
      </c>
      <c r="AQ187" s="93"/>
      <c r="AR187" s="93"/>
      <c r="AS187" s="93"/>
      <c r="AT187" s="93"/>
      <c r="AU187" s="5">
        <v>-1112</v>
      </c>
      <c r="AV187" s="93"/>
      <c r="AW187" s="93"/>
      <c r="AX187" s="93"/>
      <c r="AY187" s="93"/>
      <c r="AZ187" s="5">
        <v>-690</v>
      </c>
      <c r="BA187" s="93"/>
      <c r="BB187" s="93"/>
      <c r="BC187" s="93"/>
      <c r="BD187" s="93"/>
      <c r="BE187" s="5">
        <v>-215</v>
      </c>
      <c r="BF187" s="93"/>
      <c r="BG187" s="93"/>
      <c r="BH187" s="93"/>
      <c r="BI187" s="93"/>
      <c r="BJ187" s="5">
        <v>-155</v>
      </c>
      <c r="BK187" s="93"/>
      <c r="BL187" s="93"/>
      <c r="BM187" s="93"/>
      <c r="BN187" s="93"/>
      <c r="BO187" s="5">
        <v>-52</v>
      </c>
      <c r="BP187" s="93"/>
      <c r="BQ187" s="93"/>
      <c r="BR187" s="93"/>
      <c r="BS187" s="93"/>
      <c r="BT187" s="93"/>
      <c r="BU187" s="93"/>
      <c r="BV187" s="93"/>
      <c r="BW187" s="93"/>
      <c r="BX187" s="93"/>
      <c r="BY187" s="93"/>
      <c r="BZ187" s="93"/>
      <c r="CA187" s="93"/>
      <c r="CB187" s="93"/>
      <c r="CC187" s="93"/>
      <c r="CD187" s="93"/>
    </row>
    <row r="188" spans="1:87" hidden="1" outlineLevel="1">
      <c r="A188" s="4" t="s">
        <v>2158</v>
      </c>
      <c r="B188" s="5"/>
      <c r="C188" s="5">
        <v>-1741</v>
      </c>
      <c r="D188" s="5">
        <v>-1556</v>
      </c>
      <c r="E188" s="5">
        <v>-2019</v>
      </c>
      <c r="F188" s="5">
        <v>-1884</v>
      </c>
      <c r="G188" s="5">
        <v>-2200</v>
      </c>
      <c r="H188" s="93"/>
      <c r="I188" s="93"/>
      <c r="J188" s="93"/>
      <c r="K188" s="93"/>
      <c r="L188" s="5">
        <v>-2561</v>
      </c>
      <c r="M188" s="93"/>
      <c r="N188" s="93"/>
      <c r="O188" s="93"/>
      <c r="P188" s="93"/>
      <c r="Q188" s="5">
        <v>-2505</v>
      </c>
      <c r="R188" s="93"/>
      <c r="S188" s="93"/>
      <c r="T188" s="93"/>
      <c r="U188" s="93"/>
      <c r="V188" s="5">
        <v>-3440</v>
      </c>
      <c r="W188" s="93"/>
      <c r="X188" s="93"/>
      <c r="Y188" s="93"/>
      <c r="Z188" s="93"/>
      <c r="AA188" s="5">
        <v>-2353</v>
      </c>
      <c r="AB188" s="93"/>
      <c r="AC188" s="93"/>
      <c r="AD188" s="93"/>
      <c r="AE188" s="93"/>
      <c r="AF188" s="5">
        <v>-3502</v>
      </c>
      <c r="AG188" s="93"/>
      <c r="AH188" s="93"/>
      <c r="AI188" s="93"/>
      <c r="AJ188" s="93"/>
      <c r="AK188" s="5">
        <v>-4688</v>
      </c>
      <c r="AL188" s="93"/>
      <c r="AM188" s="93"/>
      <c r="AN188" s="93"/>
      <c r="AO188" s="93"/>
      <c r="AP188" s="5">
        <v>-3505</v>
      </c>
      <c r="AQ188" s="93"/>
      <c r="AR188" s="93"/>
      <c r="AS188" s="93"/>
      <c r="AT188" s="93"/>
      <c r="AU188" s="5">
        <v>-3241</v>
      </c>
      <c r="AV188" s="93"/>
      <c r="AW188" s="93"/>
      <c r="AX188" s="93"/>
      <c r="AY188" s="93"/>
      <c r="AZ188" s="5">
        <v>-3260</v>
      </c>
      <c r="BA188" s="93"/>
      <c r="BB188" s="93"/>
      <c r="BC188" s="93"/>
      <c r="BD188" s="93"/>
      <c r="BE188" s="5">
        <v>-2460</v>
      </c>
      <c r="BF188" s="93"/>
      <c r="BG188" s="93"/>
      <c r="BH188" s="93"/>
      <c r="BI188" s="93"/>
      <c r="BJ188" s="5">
        <v>-1687</v>
      </c>
      <c r="BK188" s="93"/>
      <c r="BL188" s="93"/>
      <c r="BM188" s="93"/>
      <c r="BN188" s="93"/>
      <c r="BO188" s="5">
        <v>-1655</v>
      </c>
      <c r="BP188" s="93"/>
      <c r="BQ188" s="93"/>
      <c r="BR188" s="93"/>
      <c r="BS188" s="93"/>
      <c r="BT188" s="93"/>
      <c r="BU188" s="93"/>
      <c r="BV188" s="93"/>
      <c r="BW188" s="93"/>
      <c r="BX188" s="93"/>
      <c r="BY188" s="93"/>
      <c r="BZ188" s="93"/>
      <c r="CA188" s="93"/>
      <c r="CB188" s="93"/>
      <c r="CC188" s="93"/>
      <c r="CD188" s="93"/>
    </row>
    <row r="189" spans="1:87" hidden="1" outlineLevel="1">
      <c r="A189" s="4" t="s">
        <v>2154</v>
      </c>
      <c r="B189" s="5"/>
      <c r="C189" s="5">
        <v>-3067</v>
      </c>
      <c r="D189" s="5">
        <v>-3118</v>
      </c>
      <c r="E189" s="5">
        <v>-2492</v>
      </c>
      <c r="F189" s="5">
        <v>-2268</v>
      </c>
      <c r="G189" s="5">
        <v>-2288</v>
      </c>
      <c r="H189" s="93"/>
      <c r="I189" s="93"/>
      <c r="J189" s="93"/>
      <c r="K189" s="93"/>
      <c r="L189" s="5">
        <v>-2083</v>
      </c>
      <c r="M189" s="93"/>
      <c r="N189" s="93"/>
      <c r="O189" s="93"/>
      <c r="P189" s="93"/>
      <c r="Q189" s="5">
        <v>-2118</v>
      </c>
      <c r="R189" s="93"/>
      <c r="S189" s="93"/>
      <c r="T189" s="93"/>
      <c r="U189" s="93"/>
      <c r="V189" s="5">
        <v>-2729</v>
      </c>
      <c r="W189" s="93"/>
      <c r="X189" s="93"/>
      <c r="Y189" s="93"/>
      <c r="Z189" s="93"/>
      <c r="AA189" s="5">
        <v>-3857</v>
      </c>
      <c r="AB189" s="93"/>
      <c r="AC189" s="93"/>
      <c r="AD189" s="93"/>
      <c r="AE189" s="93"/>
      <c r="AF189" s="5">
        <v>-3477</v>
      </c>
      <c r="AG189" s="93"/>
      <c r="AH189" s="93"/>
      <c r="AI189" s="93"/>
      <c r="AJ189" s="93"/>
      <c r="AK189" s="5">
        <v>-2980</v>
      </c>
      <c r="AL189" s="93"/>
      <c r="AM189" s="93"/>
      <c r="AN189" s="93"/>
      <c r="AO189" s="93"/>
      <c r="AP189" s="5">
        <v>-3187</v>
      </c>
      <c r="AQ189" s="93"/>
      <c r="AR189" s="93"/>
      <c r="AS189" s="93"/>
      <c r="AT189" s="93"/>
      <c r="AU189" s="5">
        <v>-3268</v>
      </c>
      <c r="AV189" s="93"/>
      <c r="AW189" s="93"/>
      <c r="AX189" s="93"/>
      <c r="AY189" s="93"/>
      <c r="AZ189" s="5">
        <v>-3805</v>
      </c>
      <c r="BA189" s="93"/>
      <c r="BB189" s="93"/>
      <c r="BC189" s="93"/>
      <c r="BD189" s="93"/>
      <c r="BE189" s="5">
        <v>-3671</v>
      </c>
      <c r="BF189" s="93"/>
      <c r="BG189" s="93"/>
      <c r="BH189" s="93"/>
      <c r="BI189" s="93"/>
      <c r="BJ189" s="5">
        <v>-3940</v>
      </c>
      <c r="BK189" s="93"/>
      <c r="BL189" s="93"/>
      <c r="BM189" s="93"/>
      <c r="BN189" s="93"/>
      <c r="BO189" s="5">
        <v>-4258</v>
      </c>
      <c r="BP189" s="93"/>
      <c r="BQ189" s="93"/>
      <c r="BR189" s="93"/>
      <c r="BS189" s="93"/>
      <c r="BT189" s="93"/>
      <c r="BU189" s="93"/>
      <c r="BV189" s="93"/>
      <c r="BW189" s="93"/>
      <c r="BX189" s="93"/>
      <c r="BY189" s="93"/>
      <c r="BZ189" s="93"/>
      <c r="CA189" s="93"/>
      <c r="CB189" s="93"/>
      <c r="CC189" s="93"/>
      <c r="CD189" s="93"/>
    </row>
    <row r="190" spans="1:87" hidden="1" outlineLevel="1">
      <c r="A190" s="4" t="s">
        <v>610</v>
      </c>
      <c r="B190" s="5"/>
      <c r="C190" s="5">
        <v>-45</v>
      </c>
      <c r="D190" s="5">
        <v>-479</v>
      </c>
      <c r="E190" s="5">
        <v>-573</v>
      </c>
      <c r="F190" s="5">
        <v>-344</v>
      </c>
      <c r="G190" s="5">
        <v>-232</v>
      </c>
      <c r="H190" s="93"/>
      <c r="I190" s="93"/>
      <c r="J190" s="93"/>
      <c r="K190" s="93"/>
      <c r="L190" s="5">
        <v>1880</v>
      </c>
      <c r="M190" s="93"/>
      <c r="N190" s="93"/>
      <c r="O190" s="93"/>
      <c r="P190" s="93"/>
      <c r="Q190" s="5">
        <v>413</v>
      </c>
      <c r="R190" s="93"/>
      <c r="S190" s="93"/>
      <c r="T190" s="93"/>
      <c r="U190" s="93"/>
      <c r="V190" s="5">
        <v>-308</v>
      </c>
      <c r="W190" s="93"/>
      <c r="X190" s="93"/>
      <c r="Y190" s="93"/>
      <c r="Z190" s="93"/>
      <c r="AA190" s="5">
        <v>208</v>
      </c>
      <c r="AB190" s="93"/>
      <c r="AC190" s="93"/>
      <c r="AD190" s="93"/>
      <c r="AE190" s="93"/>
      <c r="AF190" s="5">
        <v>1441</v>
      </c>
      <c r="AG190" s="93"/>
      <c r="AH190" s="93"/>
      <c r="AI190" s="93"/>
      <c r="AJ190" s="93"/>
      <c r="AK190" s="5">
        <v>492</v>
      </c>
      <c r="AL190" s="93"/>
      <c r="AM190" s="93"/>
      <c r="AN190" s="93"/>
      <c r="AO190" s="93"/>
      <c r="AP190" s="5">
        <v>3576</v>
      </c>
      <c r="AQ190" s="93"/>
      <c r="AR190" s="93"/>
      <c r="AS190" s="93"/>
      <c r="AT190" s="93"/>
      <c r="AU190" s="5">
        <v>80</v>
      </c>
      <c r="AV190" s="93"/>
      <c r="AW190" s="93"/>
      <c r="AX190" s="93"/>
      <c r="AY190" s="93"/>
      <c r="AZ190" s="5">
        <v>28</v>
      </c>
      <c r="BA190" s="93"/>
      <c r="BB190" s="93"/>
      <c r="BC190" s="93"/>
      <c r="BD190" s="93"/>
      <c r="BE190" s="5">
        <v>-340</v>
      </c>
      <c r="BF190" s="93"/>
      <c r="BG190" s="93"/>
      <c r="BH190" s="93"/>
      <c r="BI190" s="93"/>
      <c r="BJ190" s="5">
        <v>627</v>
      </c>
      <c r="BK190" s="93"/>
      <c r="BL190" s="93"/>
      <c r="BM190" s="93"/>
      <c r="BN190" s="93"/>
      <c r="BO190" s="5">
        <v>-87</v>
      </c>
      <c r="BP190" s="93"/>
      <c r="BQ190" s="93"/>
      <c r="BR190" s="93"/>
      <c r="BS190" s="93"/>
      <c r="BT190" s="93"/>
      <c r="BU190" s="93"/>
      <c r="BV190" s="93"/>
      <c r="BW190" s="93"/>
      <c r="BX190" s="93"/>
      <c r="BY190" s="93"/>
      <c r="BZ190" s="93"/>
      <c r="CA190" s="93"/>
      <c r="CB190" s="93"/>
      <c r="CC190" s="93"/>
      <c r="CD190" s="93"/>
    </row>
    <row r="191" spans="1:87" hidden="1" outlineLevel="1">
      <c r="A191" s="7" t="s">
        <v>2160</v>
      </c>
      <c r="B191" s="8"/>
      <c r="C191" s="8">
        <f>C183+SUM(C185:C190)</f>
        <v>4323</v>
      </c>
      <c r="D191" s="8">
        <f>D183+SUM(D185:D190)</f>
        <v>2049</v>
      </c>
      <c r="E191" s="8">
        <f>E183+SUM(E185:E190)</f>
        <v>5493</v>
      </c>
      <c r="F191" s="8">
        <f>F183+SUM(F185:F190)</f>
        <v>6767</v>
      </c>
      <c r="G191" s="8">
        <f>G183+SUM(G185:G190)</f>
        <v>9320</v>
      </c>
      <c r="H191" s="93"/>
      <c r="I191" s="93"/>
      <c r="J191" s="93"/>
      <c r="K191" s="93"/>
      <c r="L191" s="8">
        <f>L183+SUM(L185:L190)</f>
        <v>9357</v>
      </c>
      <c r="M191" s="93"/>
      <c r="N191" s="93"/>
      <c r="O191" s="93"/>
      <c r="P191" s="93"/>
      <c r="Q191" s="8">
        <f>Q183+SUM(Q185:Q190)</f>
        <v>7285</v>
      </c>
      <c r="R191" s="93"/>
      <c r="S191" s="93"/>
      <c r="T191" s="93"/>
      <c r="U191" s="93"/>
      <c r="V191" s="8">
        <f>V183+SUM(V185:V190)</f>
        <v>11233</v>
      </c>
      <c r="W191" s="93"/>
      <c r="X191" s="93"/>
      <c r="Y191" s="93"/>
      <c r="Z191" s="93"/>
      <c r="AA191" s="8">
        <f>AA183+SUM(AA185:AA190)</f>
        <v>5937</v>
      </c>
      <c r="AB191" s="93"/>
      <c r="AC191" s="93"/>
      <c r="AD191" s="93"/>
      <c r="AE191" s="93"/>
      <c r="AF191" s="8">
        <f>AF183+SUM(AF185:AF190)</f>
        <v>10004</v>
      </c>
      <c r="AG191" s="93"/>
      <c r="AH191" s="93"/>
      <c r="AI191" s="93"/>
      <c r="AJ191" s="93"/>
      <c r="AK191" s="8">
        <f>AK183+SUM(AK185:AK190)</f>
        <v>6343</v>
      </c>
      <c r="AL191" s="93"/>
      <c r="AM191" s="93"/>
      <c r="AN191" s="93"/>
      <c r="AO191" s="93"/>
      <c r="AP191" s="8">
        <f>AP183+SUM(AP185:AP190)</f>
        <v>7075</v>
      </c>
      <c r="AQ191" s="93"/>
      <c r="AR191" s="93"/>
      <c r="AS191" s="93"/>
      <c r="AT191" s="93"/>
      <c r="AU191" s="8">
        <f>AU183+SUM(AU185:AU190)</f>
        <v>3312</v>
      </c>
      <c r="AV191" s="93"/>
      <c r="AW191" s="93"/>
      <c r="AX191" s="93"/>
      <c r="AY191" s="93"/>
      <c r="AZ191" s="8">
        <f>AZ183+SUM(AZ185:AZ190)</f>
        <v>3599</v>
      </c>
      <c r="BA191" s="93"/>
      <c r="BB191" s="93"/>
      <c r="BC191" s="93"/>
      <c r="BD191" s="93"/>
      <c r="BE191" s="8">
        <f>BE183+SUM(BE185:BE190)</f>
        <v>-2345</v>
      </c>
      <c r="BF191" s="93"/>
      <c r="BG191" s="93"/>
      <c r="BH191" s="93"/>
      <c r="BI191" s="93"/>
      <c r="BJ191" s="8">
        <f>BJ183+SUM(BJ185:BJ190)</f>
        <v>-1528</v>
      </c>
      <c r="BK191" s="93"/>
      <c r="BL191" s="93"/>
      <c r="BM191" s="93"/>
      <c r="BN191" s="93"/>
      <c r="BO191" s="8">
        <f>BO183+SUM(BO185:BO190)</f>
        <v>1251</v>
      </c>
      <c r="BP191" s="93"/>
      <c r="BQ191" s="93"/>
      <c r="BR191" s="93"/>
      <c r="BS191" s="93"/>
      <c r="BT191" s="93"/>
      <c r="BU191" s="93"/>
      <c r="BV191" s="93"/>
      <c r="BW191" s="93"/>
      <c r="BX191" s="93"/>
      <c r="BY191" s="93"/>
      <c r="BZ191" s="93"/>
      <c r="CA191" s="93"/>
      <c r="CB191" s="93"/>
      <c r="CC191" s="93"/>
      <c r="CD191" s="93"/>
    </row>
    <row r="192" spans="1:87" hidden="1" outlineLevel="1">
      <c r="A192" s="4"/>
      <c r="B192" s="5"/>
      <c r="C192" s="5"/>
      <c r="D192" s="5"/>
      <c r="E192" s="5"/>
      <c r="F192" s="5"/>
      <c r="G192" s="5"/>
      <c r="H192" s="12"/>
      <c r="I192" s="12"/>
      <c r="J192" s="12"/>
      <c r="K192" s="12"/>
      <c r="L192" s="5"/>
      <c r="M192" s="12"/>
      <c r="N192" s="12"/>
      <c r="O192" s="12"/>
      <c r="P192" s="12"/>
      <c r="Q192" s="5"/>
      <c r="R192" s="12"/>
      <c r="S192" s="12"/>
      <c r="T192" s="12"/>
      <c r="U192" s="12"/>
      <c r="V192" s="5"/>
      <c r="W192" s="12"/>
      <c r="X192" s="12"/>
      <c r="Y192" s="12"/>
      <c r="Z192" s="12"/>
      <c r="AA192" s="5"/>
      <c r="AB192" s="12"/>
      <c r="AC192" s="12"/>
      <c r="AD192" s="12"/>
      <c r="AE192" s="12"/>
      <c r="AF192" s="5"/>
      <c r="AG192" s="12"/>
      <c r="AH192" s="12"/>
      <c r="AI192" s="12"/>
      <c r="AJ192" s="12"/>
      <c r="AK192" s="5"/>
      <c r="AL192" s="12"/>
      <c r="AM192" s="12"/>
      <c r="AN192" s="12"/>
      <c r="AO192" s="12"/>
      <c r="AP192" s="5"/>
      <c r="AQ192" s="12"/>
      <c r="AR192" s="12"/>
      <c r="AS192" s="12"/>
      <c r="AT192" s="12"/>
      <c r="AU192" s="5"/>
      <c r="AV192" s="12"/>
      <c r="AW192" s="12"/>
      <c r="AX192" s="12"/>
      <c r="AY192" s="12"/>
      <c r="AZ192" s="5"/>
      <c r="BA192" s="12"/>
      <c r="BB192" s="12"/>
      <c r="BC192" s="12"/>
      <c r="BD192" s="12"/>
      <c r="BE192" s="5"/>
      <c r="BF192" s="12"/>
      <c r="BG192" s="12"/>
      <c r="BH192" s="12"/>
      <c r="BI192" s="12"/>
      <c r="BJ192" s="5"/>
      <c r="BK192" s="12"/>
      <c r="BL192" s="12"/>
      <c r="BM192" s="12"/>
      <c r="BN192" s="12"/>
      <c r="BO192" s="5"/>
      <c r="BP192" s="12"/>
      <c r="BQ192" s="12"/>
      <c r="BR192" s="12"/>
      <c r="BS192" s="12"/>
      <c r="BT192" s="12"/>
      <c r="BU192" s="12"/>
      <c r="BV192" s="12"/>
      <c r="BW192" s="12"/>
      <c r="BX192" s="12"/>
      <c r="BY192" s="12"/>
      <c r="BZ192" s="12"/>
      <c r="CA192" s="12"/>
      <c r="CB192" s="12"/>
      <c r="CC192" s="12"/>
      <c r="CD192" s="12"/>
    </row>
    <row r="193" spans="1:82" hidden="1" outlineLevel="1">
      <c r="A193" s="4" t="s">
        <v>2152</v>
      </c>
      <c r="B193" s="5"/>
      <c r="C193" s="5">
        <v>-1444</v>
      </c>
      <c r="D193" s="5">
        <v>-925</v>
      </c>
      <c r="E193" s="5">
        <v>-1574</v>
      </c>
      <c r="F193" s="5">
        <v>-2103</v>
      </c>
      <c r="G193" s="5">
        <v>-3377</v>
      </c>
      <c r="H193" s="93"/>
      <c r="I193" s="93"/>
      <c r="J193" s="93"/>
      <c r="K193" s="93"/>
      <c r="L193" s="5">
        <v>-3136</v>
      </c>
      <c r="M193" s="93"/>
      <c r="N193" s="93"/>
      <c r="O193" s="93"/>
      <c r="P193" s="93"/>
      <c r="Q193" s="5">
        <v>-2560</v>
      </c>
      <c r="R193" s="93"/>
      <c r="S193" s="93"/>
      <c r="T193" s="93"/>
      <c r="U193" s="93"/>
      <c r="V193" s="5">
        <v>-3857</v>
      </c>
      <c r="W193" s="93"/>
      <c r="X193" s="93"/>
      <c r="Y193" s="93"/>
      <c r="Z193" s="93"/>
      <c r="AA193" s="5">
        <v>-1902</v>
      </c>
      <c r="AB193" s="93"/>
      <c r="AC193" s="93"/>
      <c r="AD193" s="93"/>
      <c r="AE193" s="93"/>
      <c r="AF193" s="5">
        <v>-3504</v>
      </c>
      <c r="AG193" s="93"/>
      <c r="AH193" s="93"/>
      <c r="AI193" s="93"/>
      <c r="AJ193" s="93"/>
      <c r="AK193" s="5">
        <v>-2152</v>
      </c>
      <c r="AL193" s="93"/>
      <c r="AM193" s="93"/>
      <c r="AN193" s="93"/>
      <c r="AO193" s="93"/>
      <c r="AP193" s="5">
        <v>-2762</v>
      </c>
      <c r="AQ193" s="93"/>
      <c r="AR193" s="93"/>
      <c r="AS193" s="93"/>
      <c r="AT193" s="93"/>
      <c r="AU193" s="5">
        <v>-1204</v>
      </c>
      <c r="AV193" s="93"/>
      <c r="AW193" s="93"/>
      <c r="AX193" s="93"/>
      <c r="AY193" s="93"/>
      <c r="AZ193" s="5">
        <v>-1269</v>
      </c>
      <c r="BA193" s="93"/>
      <c r="BB193" s="93"/>
      <c r="BC193" s="93"/>
      <c r="BD193" s="93"/>
      <c r="BE193" s="5">
        <v>857</v>
      </c>
      <c r="BF193" s="93"/>
      <c r="BG193" s="93"/>
      <c r="BH193" s="93"/>
      <c r="BI193" s="93"/>
      <c r="BJ193" s="5">
        <v>402</v>
      </c>
      <c r="BK193" s="93"/>
      <c r="BL193" s="93"/>
      <c r="BM193" s="93"/>
      <c r="BN193" s="93"/>
      <c r="BO193" s="5">
        <v>1811</v>
      </c>
      <c r="BP193" s="93"/>
      <c r="BQ193" s="93"/>
      <c r="BR193" s="93"/>
      <c r="BS193" s="93"/>
      <c r="BT193" s="93"/>
      <c r="BU193" s="93"/>
      <c r="BV193" s="93"/>
      <c r="BW193" s="93"/>
      <c r="BX193" s="93"/>
      <c r="BY193" s="93"/>
      <c r="BZ193" s="93"/>
      <c r="CA193" s="93"/>
      <c r="CB193" s="93"/>
      <c r="CC193" s="93"/>
      <c r="CD193" s="93"/>
    </row>
    <row r="194" spans="1:82" hidden="1" outlineLevel="1">
      <c r="A194" s="14" t="s">
        <v>2153</v>
      </c>
      <c r="B194" s="15"/>
      <c r="C194" s="15">
        <f>SUM(C191,C193)</f>
        <v>2879</v>
      </c>
      <c r="D194" s="15">
        <f>SUM(D191,D193)</f>
        <v>1124</v>
      </c>
      <c r="E194" s="15">
        <f>SUM(E191,E193)</f>
        <v>3919</v>
      </c>
      <c r="F194" s="15">
        <f>SUM(F191,F193)</f>
        <v>4664</v>
      </c>
      <c r="G194" s="15">
        <f>SUM(G191,G193)</f>
        <v>5943</v>
      </c>
      <c r="H194" s="378"/>
      <c r="I194" s="378"/>
      <c r="J194" s="378"/>
      <c r="K194" s="378"/>
      <c r="L194" s="15">
        <f>SUM(L191,L193)</f>
        <v>6221</v>
      </c>
      <c r="M194" s="378"/>
      <c r="N194" s="378"/>
      <c r="O194" s="378"/>
      <c r="P194" s="378"/>
      <c r="Q194" s="15">
        <f>SUM(Q191,Q193)</f>
        <v>4725</v>
      </c>
      <c r="R194" s="378"/>
      <c r="S194" s="378"/>
      <c r="T194" s="378"/>
      <c r="U194" s="378"/>
      <c r="V194" s="15">
        <f>SUM(V191,V193)</f>
        <v>7376</v>
      </c>
      <c r="W194" s="378"/>
      <c r="X194" s="378"/>
      <c r="Y194" s="378"/>
      <c r="Z194" s="378"/>
      <c r="AA194" s="15">
        <f>SUM(AA191,AA193)</f>
        <v>4035</v>
      </c>
      <c r="AB194" s="378"/>
      <c r="AC194" s="378"/>
      <c r="AD194" s="378"/>
      <c r="AE194" s="378"/>
      <c r="AF194" s="15">
        <f>SUM(AF191,AF193)</f>
        <v>6500</v>
      </c>
      <c r="AG194" s="378"/>
      <c r="AH194" s="378"/>
      <c r="AI194" s="378"/>
      <c r="AJ194" s="378"/>
      <c r="AK194" s="15">
        <f>SUM(AK191,AK193)</f>
        <v>4191</v>
      </c>
      <c r="AL194" s="378"/>
      <c r="AM194" s="378"/>
      <c r="AN194" s="378"/>
      <c r="AO194" s="378"/>
      <c r="AP194" s="15">
        <f>SUM(AP191,AP193)</f>
        <v>4313</v>
      </c>
      <c r="AQ194" s="378"/>
      <c r="AR194" s="378"/>
      <c r="AS194" s="378"/>
      <c r="AT194" s="378"/>
      <c r="AU194" s="15">
        <f>SUM(AU191,AU193)</f>
        <v>2108</v>
      </c>
      <c r="AV194" s="378"/>
      <c r="AW194" s="378"/>
      <c r="AX194" s="378"/>
      <c r="AY194" s="378"/>
      <c r="AZ194" s="15">
        <f>SUM(AZ191,AZ193)</f>
        <v>2330</v>
      </c>
      <c r="BA194" s="378"/>
      <c r="BB194" s="378"/>
      <c r="BC194" s="378"/>
      <c r="BD194" s="378"/>
      <c r="BE194" s="15">
        <f>SUM(BE191,BE193)</f>
        <v>-1488</v>
      </c>
      <c r="BF194" s="378"/>
      <c r="BG194" s="378"/>
      <c r="BH194" s="378"/>
      <c r="BI194" s="378"/>
      <c r="BJ194" s="15">
        <f>SUM(BJ191,BJ193)</f>
        <v>-1126</v>
      </c>
      <c r="BK194" s="378"/>
      <c r="BL194" s="378"/>
      <c r="BM194" s="378"/>
      <c r="BN194" s="378"/>
      <c r="BO194" s="15">
        <f>SUM(BO191,BO193)</f>
        <v>3062</v>
      </c>
      <c r="BP194" s="378"/>
      <c r="BQ194" s="378"/>
      <c r="BR194" s="378"/>
      <c r="BS194" s="378"/>
      <c r="BT194" s="378"/>
      <c r="BU194" s="378"/>
      <c r="BV194" s="378"/>
      <c r="BW194" s="378"/>
      <c r="BX194" s="378"/>
      <c r="BY194" s="378"/>
      <c r="BZ194" s="378"/>
      <c r="CA194" s="378"/>
      <c r="CB194" s="378"/>
      <c r="CC194" s="378"/>
      <c r="CD194" s="378"/>
    </row>
    <row r="195" spans="1:82" hidden="1" outlineLevel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</row>
    <row r="196" spans="1:82" hidden="1" outlineLevel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</row>
    <row r="197" spans="1:82" hidden="1" outlineLevel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</row>
    <row r="198" spans="1:82" hidden="1" outlineLevel="1">
      <c r="A198" s="24" t="s">
        <v>1670</v>
      </c>
      <c r="B198" s="4"/>
      <c r="C198" s="5"/>
      <c r="D198" s="5"/>
      <c r="E198" s="5"/>
      <c r="F198" s="71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</row>
    <row r="199" spans="1:82" hidden="1" outlineLevel="1">
      <c r="A199" s="10"/>
      <c r="B199" s="10"/>
      <c r="C199" s="31">
        <v>2001</v>
      </c>
      <c r="D199" s="32">
        <v>2002</v>
      </c>
      <c r="E199" s="32">
        <v>2003</v>
      </c>
      <c r="F199" s="32">
        <v>2004</v>
      </c>
      <c r="G199" s="31">
        <v>2005</v>
      </c>
      <c r="H199" s="33" t="str">
        <f>H180</f>
        <v>1Q06</v>
      </c>
      <c r="I199" s="33" t="str">
        <f>I180</f>
        <v>2Q06</v>
      </c>
      <c r="J199" s="33" t="str">
        <f>J180</f>
        <v>3Q06</v>
      </c>
      <c r="K199" s="33" t="str">
        <f>K180</f>
        <v>4Q06</v>
      </c>
      <c r="L199" s="31">
        <v>2006</v>
      </c>
      <c r="M199" s="33" t="str">
        <f>M180</f>
        <v>1Q07</v>
      </c>
      <c r="N199" s="33" t="str">
        <f>N180</f>
        <v>2Q07</v>
      </c>
      <c r="O199" s="33" t="str">
        <f>O180</f>
        <v>3Q07</v>
      </c>
      <c r="P199" s="33" t="str">
        <f>P180</f>
        <v>4Q07</v>
      </c>
      <c r="Q199" s="31">
        <v>2007</v>
      </c>
      <c r="R199" s="33" t="str">
        <f>R180</f>
        <v>1Q08</v>
      </c>
      <c r="S199" s="33" t="str">
        <f>S180</f>
        <v>2Q08</v>
      </c>
      <c r="T199" s="33" t="str">
        <f>T180</f>
        <v>3Q08</v>
      </c>
      <c r="U199" s="33" t="str">
        <f>U180</f>
        <v>4Q08</v>
      </c>
      <c r="V199" s="31">
        <v>2008</v>
      </c>
      <c r="W199" s="33" t="str">
        <f>W180</f>
        <v>1Q09</v>
      </c>
      <c r="X199" s="33" t="str">
        <f>X180</f>
        <v>2Q09</v>
      </c>
      <c r="Y199" s="33" t="str">
        <f>Y180</f>
        <v>3Q09</v>
      </c>
      <c r="Z199" s="33" t="str">
        <f>Z180</f>
        <v>4Q09</v>
      </c>
      <c r="AA199" s="31">
        <v>2009</v>
      </c>
      <c r="AB199" s="33" t="str">
        <f>AB180</f>
        <v>1Q10</v>
      </c>
      <c r="AC199" s="33" t="str">
        <f>AC180</f>
        <v>2Q10</v>
      </c>
      <c r="AD199" s="33" t="str">
        <f>AD180</f>
        <v>3Q10</v>
      </c>
      <c r="AE199" s="33" t="str">
        <f>AE180</f>
        <v>4Q10</v>
      </c>
      <c r="AF199" s="31">
        <v>2010</v>
      </c>
      <c r="AG199" s="33" t="str">
        <f>AG180</f>
        <v>1Q11</v>
      </c>
      <c r="AH199" s="33" t="str">
        <f>AH180</f>
        <v>2Q11</v>
      </c>
      <c r="AI199" s="33" t="str">
        <f>AI180</f>
        <v>3Q11</v>
      </c>
      <c r="AJ199" s="33" t="str">
        <f>AJ180</f>
        <v>4Q11</v>
      </c>
      <c r="AK199" s="31">
        <v>2011</v>
      </c>
      <c r="AL199" s="33" t="s">
        <v>2397</v>
      </c>
      <c r="AM199" s="33" t="s">
        <v>2398</v>
      </c>
      <c r="AN199" s="33" t="s">
        <v>2399</v>
      </c>
      <c r="AO199" s="33" t="s">
        <v>2400</v>
      </c>
      <c r="AP199" s="31">
        <v>2012</v>
      </c>
      <c r="AQ199" s="33" t="s">
        <v>2401</v>
      </c>
      <c r="AR199" s="33" t="s">
        <v>2402</v>
      </c>
      <c r="AS199" s="33" t="s">
        <v>2403</v>
      </c>
      <c r="AT199" s="33" t="s">
        <v>2404</v>
      </c>
      <c r="AU199" s="31">
        <v>2012</v>
      </c>
      <c r="AV199" s="33" t="s">
        <v>2405</v>
      </c>
      <c r="AW199" s="33" t="s">
        <v>2406</v>
      </c>
      <c r="AX199" s="33" t="s">
        <v>2407</v>
      </c>
      <c r="AY199" s="33" t="s">
        <v>2408</v>
      </c>
      <c r="AZ199" s="31">
        <v>2014</v>
      </c>
      <c r="BA199" s="33" t="str">
        <f t="shared" ref="BA199:BI199" si="101">BA$8</f>
        <v>1Q15</v>
      </c>
      <c r="BB199" s="33" t="str">
        <f t="shared" si="101"/>
        <v>2Q15</v>
      </c>
      <c r="BC199" s="33" t="str">
        <f t="shared" si="101"/>
        <v>3Q15</v>
      </c>
      <c r="BD199" s="33" t="str">
        <f t="shared" si="101"/>
        <v>4Q15</v>
      </c>
      <c r="BE199" s="31">
        <f t="shared" si="101"/>
        <v>2015</v>
      </c>
      <c r="BF199" s="33" t="str">
        <f t="shared" si="101"/>
        <v>1Q16</v>
      </c>
      <c r="BG199" s="33" t="str">
        <f t="shared" si="101"/>
        <v>2Q16</v>
      </c>
      <c r="BH199" s="33" t="str">
        <f t="shared" si="101"/>
        <v>3Q16</v>
      </c>
      <c r="BI199" s="33" t="str">
        <f t="shared" si="101"/>
        <v>4Q16</v>
      </c>
      <c r="BJ199" s="31">
        <v>2016</v>
      </c>
      <c r="BK199" s="33" t="s">
        <v>2417</v>
      </c>
      <c r="BL199" s="33" t="s">
        <v>2418</v>
      </c>
      <c r="BM199" s="33" t="s">
        <v>2419</v>
      </c>
      <c r="BN199" s="33" t="s">
        <v>2420</v>
      </c>
      <c r="BO199" s="31">
        <v>2017</v>
      </c>
      <c r="BP199" s="33" t="s">
        <v>2244</v>
      </c>
      <c r="BQ199" s="33" t="s">
        <v>2245</v>
      </c>
      <c r="BR199" s="33" t="s">
        <v>2508</v>
      </c>
      <c r="BS199" s="33" t="s">
        <v>2509</v>
      </c>
      <c r="BT199" s="31">
        <v>2018</v>
      </c>
      <c r="BU199" s="33" t="s">
        <v>2510</v>
      </c>
      <c r="BV199" s="33" t="s">
        <v>2511</v>
      </c>
      <c r="BW199" s="33" t="s">
        <v>3125</v>
      </c>
      <c r="BX199" s="33" t="s">
        <v>1405</v>
      </c>
      <c r="BY199" s="31">
        <v>2019</v>
      </c>
      <c r="BZ199" s="33" t="s">
        <v>1406</v>
      </c>
      <c r="CA199" s="33" t="s">
        <v>1407</v>
      </c>
      <c r="CB199" s="33" t="s">
        <v>1408</v>
      </c>
      <c r="CC199" s="33" t="s">
        <v>1409</v>
      </c>
      <c r="CD199" s="31">
        <v>2020</v>
      </c>
    </row>
    <row r="200" spans="1:82" hidden="1" outlineLevel="1">
      <c r="A200" s="4" t="s">
        <v>2156</v>
      </c>
      <c r="B200" s="5"/>
      <c r="C200" s="72"/>
      <c r="D200" s="72"/>
      <c r="E200" s="72"/>
      <c r="F200" s="72"/>
      <c r="G200" s="5">
        <v>87</v>
      </c>
      <c r="H200" s="93"/>
      <c r="I200" s="93"/>
      <c r="J200" s="93"/>
      <c r="K200" s="93"/>
      <c r="L200" s="5">
        <v>74</v>
      </c>
      <c r="M200" s="93"/>
      <c r="N200" s="93"/>
      <c r="O200" s="93"/>
      <c r="P200" s="93"/>
      <c r="Q200" s="5">
        <v>147</v>
      </c>
      <c r="R200" s="93"/>
      <c r="S200" s="93"/>
      <c r="T200" s="93"/>
      <c r="U200" s="93"/>
      <c r="V200" s="5">
        <v>147</v>
      </c>
      <c r="W200" s="93"/>
      <c r="X200" s="93"/>
      <c r="Y200" s="93"/>
      <c r="Z200" s="93"/>
      <c r="AA200" s="5">
        <v>99</v>
      </c>
      <c r="AB200" s="93"/>
      <c r="AC200" s="93"/>
      <c r="AD200" s="93"/>
      <c r="AE200" s="93"/>
      <c r="AF200" s="5">
        <v>90</v>
      </c>
      <c r="AG200" s="93"/>
      <c r="AH200" s="93"/>
      <c r="AI200" s="93"/>
      <c r="AJ200" s="93"/>
      <c r="AK200" s="5">
        <v>25</v>
      </c>
      <c r="AL200" s="93"/>
      <c r="AM200" s="93"/>
      <c r="AN200" s="93"/>
      <c r="AO200" s="93"/>
      <c r="AP200" s="5">
        <v>10</v>
      </c>
      <c r="AQ200" s="93"/>
      <c r="AR200" s="93"/>
      <c r="AS200" s="93"/>
      <c r="AT200" s="93"/>
      <c r="AU200" s="5">
        <v>5</v>
      </c>
      <c r="AV200" s="93"/>
      <c r="AW200" s="93"/>
      <c r="AX200" s="93"/>
      <c r="AY200" s="93"/>
      <c r="AZ200" s="5">
        <v>4</v>
      </c>
      <c r="BA200" s="93"/>
      <c r="BB200" s="93"/>
      <c r="BC200" s="93"/>
      <c r="BD200" s="93"/>
      <c r="BE200" s="5">
        <v>14</v>
      </c>
      <c r="BF200" s="93"/>
      <c r="BG200" s="93"/>
      <c r="BH200" s="93"/>
      <c r="BI200" s="93"/>
      <c r="BJ200" s="5">
        <v>74</v>
      </c>
      <c r="BK200" s="93"/>
      <c r="BL200" s="93"/>
      <c r="BM200" s="93"/>
      <c r="BN200" s="93"/>
      <c r="BO200" s="5">
        <v>171</v>
      </c>
      <c r="BP200" s="93"/>
      <c r="BQ200" s="93"/>
      <c r="BR200" s="93"/>
      <c r="BS200" s="93"/>
      <c r="BT200" s="93"/>
      <c r="BU200" s="93"/>
      <c r="BV200" s="93"/>
      <c r="BW200" s="93"/>
      <c r="BX200" s="93"/>
      <c r="BY200" s="93"/>
      <c r="BZ200" s="93"/>
      <c r="CA200" s="93"/>
      <c r="CB200" s="93"/>
      <c r="CC200" s="93"/>
      <c r="CD200" s="93"/>
    </row>
    <row r="201" spans="1:82" hidden="1" outlineLevel="1">
      <c r="A201" s="4" t="s">
        <v>2157</v>
      </c>
      <c r="B201" s="5"/>
      <c r="C201" s="72"/>
      <c r="D201" s="72"/>
      <c r="E201" s="72"/>
      <c r="F201" s="72"/>
      <c r="G201" s="5">
        <v>1242</v>
      </c>
      <c r="H201" s="93"/>
      <c r="I201" s="93"/>
      <c r="J201" s="93"/>
      <c r="K201" s="93"/>
      <c r="L201" s="5">
        <v>1052</v>
      </c>
      <c r="M201" s="93"/>
      <c r="N201" s="93"/>
      <c r="O201" s="93"/>
      <c r="P201" s="93"/>
      <c r="Q201" s="5">
        <v>868</v>
      </c>
      <c r="R201" s="93"/>
      <c r="S201" s="93"/>
      <c r="T201" s="93"/>
      <c r="U201" s="93"/>
      <c r="V201" s="5">
        <v>1237</v>
      </c>
      <c r="W201" s="93"/>
      <c r="X201" s="93"/>
      <c r="Y201" s="93"/>
      <c r="Z201" s="93"/>
      <c r="AA201" s="5">
        <v>484</v>
      </c>
      <c r="AB201" s="93"/>
      <c r="AC201" s="93"/>
      <c r="AD201" s="93"/>
      <c r="AE201" s="93"/>
      <c r="AF201" s="5">
        <v>453</v>
      </c>
      <c r="AG201" s="93"/>
      <c r="AH201" s="93"/>
      <c r="AI201" s="93"/>
      <c r="AJ201" s="93"/>
      <c r="AK201" s="5">
        <v>20</v>
      </c>
      <c r="AL201" s="93"/>
      <c r="AM201" s="93"/>
      <c r="AN201" s="93"/>
      <c r="AO201" s="93"/>
      <c r="AP201" s="5">
        <v>10</v>
      </c>
      <c r="AQ201" s="93"/>
      <c r="AR201" s="93"/>
      <c r="AS201" s="93"/>
      <c r="AT201" s="93"/>
      <c r="AU201" s="5">
        <v>12</v>
      </c>
      <c r="AV201" s="93"/>
      <c r="AW201" s="93"/>
      <c r="AX201" s="93"/>
      <c r="AY201" s="93"/>
      <c r="AZ201" s="5">
        <v>15</v>
      </c>
      <c r="BA201" s="93"/>
      <c r="BB201" s="93"/>
      <c r="BC201" s="93"/>
      <c r="BD201" s="93"/>
      <c r="BE201" s="5">
        <v>2</v>
      </c>
      <c r="BF201" s="93"/>
      <c r="BG201" s="93"/>
      <c r="BH201" s="93"/>
      <c r="BI201" s="93"/>
      <c r="BJ201" s="5">
        <v>2</v>
      </c>
      <c r="BK201" s="93"/>
      <c r="BL201" s="93"/>
      <c r="BM201" s="93"/>
      <c r="BN201" s="93"/>
      <c r="BO201" s="5">
        <v>2</v>
      </c>
      <c r="BP201" s="93"/>
      <c r="BQ201" s="93"/>
      <c r="BR201" s="93"/>
      <c r="BS201" s="93"/>
      <c r="BT201" s="93"/>
      <c r="BU201" s="93"/>
      <c r="BV201" s="93"/>
      <c r="BW201" s="93"/>
      <c r="BX201" s="93"/>
      <c r="BY201" s="93"/>
      <c r="BZ201" s="93"/>
      <c r="CA201" s="93"/>
      <c r="CB201" s="93"/>
      <c r="CC201" s="93"/>
      <c r="CD201" s="93"/>
    </row>
    <row r="202" spans="1:82" hidden="1" outlineLevel="1">
      <c r="A202" s="7" t="s">
        <v>2155</v>
      </c>
      <c r="B202" s="8"/>
      <c r="C202" s="73">
        <f>C200+C201</f>
        <v>0</v>
      </c>
      <c r="D202" s="73">
        <f>D200+D201</f>
        <v>0</v>
      </c>
      <c r="E202" s="73">
        <f>E200+E201</f>
        <v>0</v>
      </c>
      <c r="F202" s="73">
        <f>F200+F201</f>
        <v>0</v>
      </c>
      <c r="G202" s="8">
        <f>G200+G201</f>
        <v>1329</v>
      </c>
      <c r="H202" s="93"/>
      <c r="I202" s="93"/>
      <c r="J202" s="93"/>
      <c r="K202" s="93"/>
      <c r="L202" s="8">
        <f>L200+L201</f>
        <v>1126</v>
      </c>
      <c r="M202" s="93"/>
      <c r="N202" s="93"/>
      <c r="O202" s="93"/>
      <c r="P202" s="93"/>
      <c r="Q202" s="8">
        <f>Q200+Q201</f>
        <v>1015</v>
      </c>
      <c r="R202" s="93"/>
      <c r="S202" s="93"/>
      <c r="T202" s="93"/>
      <c r="U202" s="93"/>
      <c r="V202" s="8">
        <f>V200+V201</f>
        <v>1384</v>
      </c>
      <c r="W202" s="93"/>
      <c r="X202" s="93"/>
      <c r="Y202" s="93"/>
      <c r="Z202" s="93"/>
      <c r="AA202" s="8">
        <f>AA200+AA201</f>
        <v>583</v>
      </c>
      <c r="AB202" s="93"/>
      <c r="AC202" s="93"/>
      <c r="AD202" s="93"/>
      <c r="AE202" s="93"/>
      <c r="AF202" s="8">
        <f>AF200+AF201</f>
        <v>543</v>
      </c>
      <c r="AG202" s="93"/>
      <c r="AH202" s="93"/>
      <c r="AI202" s="93"/>
      <c r="AJ202" s="93"/>
      <c r="AK202" s="8">
        <f>AK200+AK201</f>
        <v>45</v>
      </c>
      <c r="AL202" s="93"/>
      <c r="AM202" s="93"/>
      <c r="AN202" s="93"/>
      <c r="AO202" s="93"/>
      <c r="AP202" s="8">
        <f>SUM(AP200:AP201)</f>
        <v>20</v>
      </c>
      <c r="AQ202" s="93"/>
      <c r="AR202" s="93"/>
      <c r="AS202" s="93"/>
      <c r="AT202" s="93"/>
      <c r="AU202" s="8">
        <f>SUM(AU200:AU201)</f>
        <v>17</v>
      </c>
      <c r="AV202" s="93"/>
      <c r="AW202" s="93"/>
      <c r="AX202" s="93"/>
      <c r="AY202" s="93"/>
      <c r="AZ202" s="8">
        <f>SUM(AZ200:AZ201)</f>
        <v>19</v>
      </c>
      <c r="BA202" s="93"/>
      <c r="BB202" s="93"/>
      <c r="BC202" s="93"/>
      <c r="BD202" s="93"/>
      <c r="BE202" s="8">
        <f>SUM(BE200:BE201)</f>
        <v>16</v>
      </c>
      <c r="BF202" s="93"/>
      <c r="BG202" s="93"/>
      <c r="BH202" s="93"/>
      <c r="BI202" s="93"/>
      <c r="BJ202" s="8">
        <v>76</v>
      </c>
      <c r="BK202" s="93"/>
      <c r="BL202" s="93"/>
      <c r="BM202" s="93"/>
      <c r="BN202" s="93"/>
      <c r="BO202" s="8">
        <f>+BO200+BO201</f>
        <v>173</v>
      </c>
      <c r="BP202" s="93"/>
      <c r="BQ202" s="93"/>
      <c r="BR202" s="93"/>
      <c r="BS202" s="93"/>
      <c r="BT202" s="93"/>
      <c r="BU202" s="93"/>
      <c r="BV202" s="93"/>
      <c r="BW202" s="93"/>
      <c r="BX202" s="93"/>
      <c r="BY202" s="93"/>
      <c r="BZ202" s="93"/>
      <c r="CA202" s="93"/>
      <c r="CB202" s="93"/>
      <c r="CC202" s="93"/>
      <c r="CD202" s="93"/>
    </row>
    <row r="203" spans="1:82" hidden="1" outlineLevel="1">
      <c r="A203" s="4"/>
      <c r="B203" s="5"/>
      <c r="C203" s="72"/>
      <c r="D203" s="72"/>
      <c r="E203" s="72"/>
      <c r="F203" s="72"/>
      <c r="G203" s="5"/>
      <c r="H203" s="12"/>
      <c r="I203" s="12"/>
      <c r="J203" s="12"/>
      <c r="K203" s="12"/>
      <c r="L203" s="5"/>
      <c r="M203" s="12"/>
      <c r="N203" s="12"/>
      <c r="O203" s="12"/>
      <c r="P203" s="12"/>
      <c r="Q203" s="5"/>
      <c r="R203" s="12"/>
      <c r="S203" s="12"/>
      <c r="T203" s="12"/>
      <c r="U203" s="12"/>
      <c r="V203" s="5"/>
      <c r="W203" s="12"/>
      <c r="X203" s="12"/>
      <c r="Y203" s="12"/>
      <c r="Z203" s="12"/>
      <c r="AA203" s="5"/>
      <c r="AB203" s="12"/>
      <c r="AC203" s="12"/>
      <c r="AD203" s="12"/>
      <c r="AE203" s="12"/>
      <c r="AF203" s="5"/>
      <c r="AG203" s="12"/>
      <c r="AH203" s="12"/>
      <c r="AI203" s="12"/>
      <c r="AJ203" s="12"/>
      <c r="AK203" s="5"/>
      <c r="AL203" s="12"/>
      <c r="AM203" s="12"/>
      <c r="AN203" s="12"/>
      <c r="AO203" s="12"/>
      <c r="AP203" s="5"/>
      <c r="AQ203" s="12"/>
      <c r="AR203" s="12"/>
      <c r="AS203" s="12"/>
      <c r="AT203" s="12"/>
      <c r="AU203" s="5"/>
      <c r="AV203" s="12"/>
      <c r="AW203" s="12"/>
      <c r="AX203" s="12"/>
      <c r="AY203" s="12"/>
      <c r="AZ203" s="5"/>
      <c r="BA203" s="12"/>
      <c r="BB203" s="12"/>
      <c r="BC203" s="12"/>
      <c r="BD203" s="12"/>
      <c r="BE203" s="5"/>
      <c r="BF203" s="12"/>
      <c r="BG203" s="12"/>
      <c r="BH203" s="12"/>
      <c r="BI203" s="12"/>
      <c r="BJ203" s="5"/>
      <c r="BK203" s="12"/>
      <c r="BL203" s="12"/>
      <c r="BM203" s="12"/>
      <c r="BN203" s="12"/>
      <c r="BO203" s="5"/>
      <c r="BP203" s="12"/>
      <c r="BQ203" s="12"/>
      <c r="BR203" s="12"/>
      <c r="BS203" s="12"/>
      <c r="BT203" s="12"/>
      <c r="BU203" s="12"/>
      <c r="BV203" s="12"/>
      <c r="BW203" s="12"/>
      <c r="BX203" s="12"/>
      <c r="BY203" s="12"/>
      <c r="BZ203" s="12"/>
      <c r="CA203" s="12"/>
      <c r="CB203" s="12"/>
      <c r="CC203" s="12"/>
      <c r="CD203" s="12"/>
    </row>
    <row r="204" spans="1:82" hidden="1" outlineLevel="1">
      <c r="A204" s="4" t="s">
        <v>1897</v>
      </c>
      <c r="B204" s="5"/>
      <c r="C204" s="72"/>
      <c r="D204" s="72"/>
      <c r="E204" s="72"/>
      <c r="F204" s="72"/>
      <c r="G204" s="5">
        <v>-37</v>
      </c>
      <c r="H204" s="93"/>
      <c r="I204" s="93"/>
      <c r="J204" s="93"/>
      <c r="K204" s="93"/>
      <c r="L204" s="5">
        <v>-24</v>
      </c>
      <c r="M204" s="93"/>
      <c r="N204" s="93"/>
      <c r="O204" s="93"/>
      <c r="P204" s="93"/>
      <c r="Q204" s="5">
        <v>-57</v>
      </c>
      <c r="R204" s="93"/>
      <c r="S204" s="93"/>
      <c r="T204" s="93"/>
      <c r="U204" s="93"/>
      <c r="V204" s="5">
        <v>-32</v>
      </c>
      <c r="W204" s="93"/>
      <c r="X204" s="93"/>
      <c r="Y204" s="93"/>
      <c r="Z204" s="93"/>
      <c r="AA204" s="5">
        <v>-80</v>
      </c>
      <c r="AB204" s="93"/>
      <c r="AC204" s="93"/>
      <c r="AD204" s="93"/>
      <c r="AE204" s="93"/>
      <c r="AF204" s="5">
        <v>-25</v>
      </c>
      <c r="AG204" s="93"/>
      <c r="AH204" s="93"/>
      <c r="AI204" s="93"/>
      <c r="AJ204" s="93"/>
      <c r="AK204" s="5">
        <v>-9</v>
      </c>
      <c r="AL204" s="93"/>
      <c r="AM204" s="93"/>
      <c r="AN204" s="93"/>
      <c r="AO204" s="93"/>
      <c r="AP204" s="5">
        <v>-4</v>
      </c>
      <c r="AQ204" s="93"/>
      <c r="AR204" s="93"/>
      <c r="AS204" s="93"/>
      <c r="AT204" s="93"/>
      <c r="AU204" s="5">
        <v>-28</v>
      </c>
      <c r="AV204" s="93"/>
      <c r="AW204" s="93"/>
      <c r="AX204" s="93"/>
      <c r="AY204" s="93"/>
      <c r="AZ204" s="5">
        <v>-63</v>
      </c>
      <c r="BA204" s="93"/>
      <c r="BB204" s="93"/>
      <c r="BC204" s="93"/>
      <c r="BD204" s="93"/>
      <c r="BE204" s="5">
        <v>-108</v>
      </c>
      <c r="BF204" s="93"/>
      <c r="BG204" s="93"/>
      <c r="BH204" s="93"/>
      <c r="BI204" s="93"/>
      <c r="BJ204" s="5">
        <v>-61</v>
      </c>
      <c r="BK204" s="93"/>
      <c r="BL204" s="93"/>
      <c r="BM204" s="93"/>
      <c r="BN204" s="93"/>
      <c r="BO204" s="5">
        <v>-39</v>
      </c>
      <c r="BP204" s="93"/>
      <c r="BQ204" s="93"/>
      <c r="BR204" s="93"/>
      <c r="BS204" s="93"/>
      <c r="BT204" s="93"/>
      <c r="BU204" s="93"/>
      <c r="BV204" s="93"/>
      <c r="BW204" s="93"/>
      <c r="BX204" s="93"/>
      <c r="BY204" s="93"/>
      <c r="BZ204" s="93"/>
      <c r="CA204" s="93"/>
      <c r="CB204" s="93"/>
      <c r="CC204" s="93"/>
      <c r="CD204" s="93"/>
    </row>
    <row r="205" spans="1:82" hidden="1" outlineLevel="1">
      <c r="A205" s="4" t="s">
        <v>2149</v>
      </c>
      <c r="B205" s="5"/>
      <c r="C205" s="72"/>
      <c r="D205" s="72"/>
      <c r="E205" s="72"/>
      <c r="F205" s="72"/>
      <c r="G205" s="5">
        <v>-189.33333333333334</v>
      </c>
      <c r="H205" s="93"/>
      <c r="I205" s="93"/>
      <c r="J205" s="93"/>
      <c r="K205" s="93"/>
      <c r="L205" s="5">
        <v>-230</v>
      </c>
      <c r="M205" s="93"/>
      <c r="N205" s="93"/>
      <c r="O205" s="93"/>
      <c r="P205" s="93"/>
      <c r="Q205" s="5">
        <v>-267</v>
      </c>
      <c r="R205" s="93"/>
      <c r="S205" s="93"/>
      <c r="T205" s="93"/>
      <c r="U205" s="93"/>
      <c r="V205" s="5">
        <v>-289</v>
      </c>
      <c r="W205" s="93"/>
      <c r="X205" s="93"/>
      <c r="Y205" s="93"/>
      <c r="Z205" s="93"/>
      <c r="AA205" s="5">
        <v>-284</v>
      </c>
      <c r="AB205" s="93"/>
      <c r="AC205" s="93"/>
      <c r="AD205" s="93"/>
      <c r="AE205" s="93"/>
      <c r="AF205" s="5">
        <v>-240</v>
      </c>
      <c r="AG205" s="93"/>
      <c r="AH205" s="93"/>
      <c r="AI205" s="93"/>
      <c r="AJ205" s="93"/>
      <c r="AK205" s="5">
        <v>-66</v>
      </c>
      <c r="AL205" s="93"/>
      <c r="AM205" s="93"/>
      <c r="AN205" s="93"/>
      <c r="AO205" s="93"/>
      <c r="AP205" s="5">
        <v>-71</v>
      </c>
      <c r="AQ205" s="93"/>
      <c r="AR205" s="93"/>
      <c r="AS205" s="93"/>
      <c r="AT205" s="93"/>
      <c r="AU205" s="5">
        <v>-42</v>
      </c>
      <c r="AV205" s="93"/>
      <c r="AW205" s="93"/>
      <c r="AX205" s="93"/>
      <c r="AY205" s="93"/>
      <c r="AZ205" s="5">
        <v>-34</v>
      </c>
      <c r="BA205" s="93"/>
      <c r="BB205" s="93"/>
      <c r="BC205" s="93"/>
      <c r="BD205" s="93"/>
      <c r="BE205" s="5">
        <v>-77</v>
      </c>
      <c r="BF205" s="93"/>
      <c r="BG205" s="93"/>
      <c r="BH205" s="93"/>
      <c r="BI205" s="93"/>
      <c r="BJ205" s="5">
        <v>-114</v>
      </c>
      <c r="BK205" s="93"/>
      <c r="BL205" s="93"/>
      <c r="BM205" s="93"/>
      <c r="BN205" s="93"/>
      <c r="BO205" s="5">
        <v>-116</v>
      </c>
      <c r="BP205" s="93"/>
      <c r="BQ205" s="93"/>
      <c r="BR205" s="93"/>
      <c r="BS205" s="93"/>
      <c r="BT205" s="93"/>
      <c r="BU205" s="93"/>
      <c r="BV205" s="93"/>
      <c r="BW205" s="93"/>
      <c r="BX205" s="93"/>
      <c r="BY205" s="93"/>
      <c r="BZ205" s="93"/>
      <c r="CA205" s="93"/>
      <c r="CB205" s="93"/>
      <c r="CC205" s="93"/>
      <c r="CD205" s="93"/>
    </row>
    <row r="206" spans="1:82" hidden="1" outlineLevel="1">
      <c r="A206" s="4" t="s">
        <v>2150</v>
      </c>
      <c r="B206" s="5"/>
      <c r="C206" s="72"/>
      <c r="D206" s="72"/>
      <c r="E206" s="72"/>
      <c r="F206" s="72"/>
      <c r="G206" s="5">
        <v>-2</v>
      </c>
      <c r="H206" s="93"/>
      <c r="I206" s="93"/>
      <c r="J206" s="93"/>
      <c r="K206" s="93"/>
      <c r="L206" s="5">
        <v>-1</v>
      </c>
      <c r="M206" s="93"/>
      <c r="N206" s="93"/>
      <c r="O206" s="93"/>
      <c r="P206" s="93"/>
      <c r="Q206" s="5">
        <v>-1</v>
      </c>
      <c r="R206" s="93"/>
      <c r="S206" s="93"/>
      <c r="T206" s="93"/>
      <c r="U206" s="93"/>
      <c r="V206" s="5">
        <v>-2</v>
      </c>
      <c r="W206" s="93"/>
      <c r="X206" s="93"/>
      <c r="Y206" s="93"/>
      <c r="Z206" s="93"/>
      <c r="AA206" s="5">
        <v>-1</v>
      </c>
      <c r="AB206" s="93"/>
      <c r="AC206" s="93"/>
      <c r="AD206" s="93"/>
      <c r="AE206" s="93"/>
      <c r="AF206" s="5">
        <v>-2</v>
      </c>
      <c r="AG206" s="93"/>
      <c r="AH206" s="93"/>
      <c r="AI206" s="93"/>
      <c r="AJ206" s="93"/>
      <c r="AK206" s="5">
        <v>0</v>
      </c>
      <c r="AL206" s="93"/>
      <c r="AM206" s="93"/>
      <c r="AN206" s="93"/>
      <c r="AO206" s="93"/>
      <c r="AP206" s="5">
        <v>0</v>
      </c>
      <c r="AQ206" s="93"/>
      <c r="AR206" s="93"/>
      <c r="AS206" s="93"/>
      <c r="AT206" s="93"/>
      <c r="AU206" s="5">
        <v>0</v>
      </c>
      <c r="AV206" s="93"/>
      <c r="AW206" s="93"/>
      <c r="AX206" s="93"/>
      <c r="AY206" s="93"/>
      <c r="AZ206" s="5">
        <v>0</v>
      </c>
      <c r="BA206" s="93"/>
      <c r="BB206" s="93"/>
      <c r="BC206" s="93"/>
      <c r="BD206" s="93"/>
      <c r="BE206" s="5">
        <v>0</v>
      </c>
      <c r="BF206" s="93"/>
      <c r="BG206" s="93"/>
      <c r="BH206" s="93"/>
      <c r="BI206" s="93"/>
      <c r="BJ206" s="5">
        <v>0</v>
      </c>
      <c r="BK206" s="93"/>
      <c r="BL206" s="93"/>
      <c r="BM206" s="93"/>
      <c r="BN206" s="93"/>
      <c r="BO206" s="5">
        <v>0</v>
      </c>
      <c r="BP206" s="93"/>
      <c r="BQ206" s="93"/>
      <c r="BR206" s="93"/>
      <c r="BS206" s="93"/>
      <c r="BT206" s="93"/>
      <c r="BU206" s="93"/>
      <c r="BV206" s="93"/>
      <c r="BW206" s="93"/>
      <c r="BX206" s="93"/>
      <c r="BY206" s="93"/>
      <c r="BZ206" s="93"/>
      <c r="CA206" s="93"/>
      <c r="CB206" s="93"/>
      <c r="CC206" s="93"/>
      <c r="CD206" s="93"/>
    </row>
    <row r="207" spans="1:82" hidden="1" outlineLevel="1">
      <c r="A207" s="4" t="s">
        <v>2158</v>
      </c>
      <c r="B207" s="5"/>
      <c r="C207" s="72"/>
      <c r="D207" s="72"/>
      <c r="E207" s="72"/>
      <c r="F207" s="72"/>
      <c r="G207" s="5">
        <v>-306</v>
      </c>
      <c r="H207" s="93"/>
      <c r="I207" s="93"/>
      <c r="J207" s="93"/>
      <c r="K207" s="93"/>
      <c r="L207" s="5">
        <v>-290</v>
      </c>
      <c r="M207" s="93"/>
      <c r="N207" s="93"/>
      <c r="O207" s="93"/>
      <c r="P207" s="93"/>
      <c r="Q207" s="5">
        <v>-237</v>
      </c>
      <c r="R207" s="93"/>
      <c r="S207" s="93"/>
      <c r="T207" s="93"/>
      <c r="U207" s="93"/>
      <c r="V207" s="5">
        <v>-343</v>
      </c>
      <c r="W207" s="93"/>
      <c r="X207" s="93"/>
      <c r="Y207" s="93"/>
      <c r="Z207" s="93"/>
      <c r="AA207" s="5">
        <v>-145</v>
      </c>
      <c r="AB207" s="93"/>
      <c r="AC207" s="93"/>
      <c r="AD207" s="93"/>
      <c r="AE207" s="93"/>
      <c r="AF207" s="5">
        <v>-129</v>
      </c>
      <c r="AG207" s="93"/>
      <c r="AH207" s="93"/>
      <c r="AI207" s="93"/>
      <c r="AJ207" s="93"/>
      <c r="AK207" s="5">
        <v>-49</v>
      </c>
      <c r="AL207" s="93"/>
      <c r="AM207" s="93"/>
      <c r="AN207" s="93"/>
      <c r="AO207" s="93"/>
      <c r="AP207" s="5">
        <v>-60</v>
      </c>
      <c r="AQ207" s="93"/>
      <c r="AR207" s="93"/>
      <c r="AS207" s="93"/>
      <c r="AT207" s="93"/>
      <c r="AU207" s="5">
        <v>-55</v>
      </c>
      <c r="AV207" s="93"/>
      <c r="AW207" s="93"/>
      <c r="AX207" s="93"/>
      <c r="AY207" s="93"/>
      <c r="AZ207" s="5">
        <v>-55</v>
      </c>
      <c r="BA207" s="93"/>
      <c r="BB207" s="93"/>
      <c r="BC207" s="93"/>
      <c r="BD207" s="93"/>
      <c r="BE207" s="5">
        <v>-48</v>
      </c>
      <c r="BF207" s="93"/>
      <c r="BG207" s="93"/>
      <c r="BH207" s="93"/>
      <c r="BI207" s="93"/>
      <c r="BJ207" s="5">
        <v>-25</v>
      </c>
      <c r="BK207" s="93"/>
      <c r="BL207" s="93"/>
      <c r="BM207" s="93"/>
      <c r="BN207" s="93"/>
      <c r="BO207" s="5">
        <v>-34</v>
      </c>
      <c r="BP207" s="93"/>
      <c r="BQ207" s="93"/>
      <c r="BR207" s="93"/>
      <c r="BS207" s="93"/>
      <c r="BT207" s="93"/>
      <c r="BU207" s="93"/>
      <c r="BV207" s="93"/>
      <c r="BW207" s="93"/>
      <c r="BX207" s="93"/>
      <c r="BY207" s="93"/>
      <c r="BZ207" s="93"/>
      <c r="CA207" s="93"/>
      <c r="CB207" s="93"/>
      <c r="CC207" s="93"/>
      <c r="CD207" s="93"/>
    </row>
    <row r="208" spans="1:82" hidden="1" outlineLevel="1">
      <c r="A208" s="4" t="s">
        <v>2154</v>
      </c>
      <c r="B208" s="5"/>
      <c r="C208" s="72"/>
      <c r="D208" s="72"/>
      <c r="E208" s="72"/>
      <c r="F208" s="72"/>
      <c r="G208" s="5">
        <v>-186</v>
      </c>
      <c r="H208" s="93"/>
      <c r="I208" s="93"/>
      <c r="J208" s="93"/>
      <c r="K208" s="93"/>
      <c r="L208" s="5">
        <v>-176</v>
      </c>
      <c r="M208" s="93"/>
      <c r="N208" s="93"/>
      <c r="O208" s="93"/>
      <c r="P208" s="93"/>
      <c r="Q208" s="5">
        <v>-169</v>
      </c>
      <c r="R208" s="93"/>
      <c r="S208" s="93"/>
      <c r="T208" s="93"/>
      <c r="U208" s="93"/>
      <c r="V208" s="5">
        <v>-181</v>
      </c>
      <c r="W208" s="93"/>
      <c r="X208" s="93"/>
      <c r="Y208" s="93"/>
      <c r="Z208" s="93"/>
      <c r="AA208" s="5">
        <v>-170</v>
      </c>
      <c r="AB208" s="93"/>
      <c r="AC208" s="93"/>
      <c r="AD208" s="93"/>
      <c r="AE208" s="93"/>
      <c r="AF208" s="5">
        <v>-95</v>
      </c>
      <c r="AG208" s="93"/>
      <c r="AH208" s="93"/>
      <c r="AI208" s="93"/>
      <c r="AJ208" s="93"/>
      <c r="AK208" s="5">
        <v>-6</v>
      </c>
      <c r="AL208" s="93"/>
      <c r="AM208" s="93"/>
      <c r="AN208" s="93"/>
      <c r="AO208" s="93"/>
      <c r="AP208" s="5">
        <v>-10</v>
      </c>
      <c r="AQ208" s="93"/>
      <c r="AR208" s="93"/>
      <c r="AS208" s="93"/>
      <c r="AT208" s="93"/>
      <c r="AU208" s="5">
        <v>0</v>
      </c>
      <c r="AV208" s="93"/>
      <c r="AW208" s="93"/>
      <c r="AX208" s="93"/>
      <c r="AY208" s="93"/>
      <c r="AZ208" s="5">
        <v>-4</v>
      </c>
      <c r="BA208" s="93"/>
      <c r="BB208" s="93"/>
      <c r="BC208" s="93"/>
      <c r="BD208" s="93"/>
      <c r="BE208" s="5">
        <v>-13</v>
      </c>
      <c r="BF208" s="93"/>
      <c r="BG208" s="93"/>
      <c r="BH208" s="93"/>
      <c r="BI208" s="93"/>
      <c r="BJ208" s="5">
        <v>-66</v>
      </c>
      <c r="BK208" s="93"/>
      <c r="BL208" s="93"/>
      <c r="BM208" s="93"/>
      <c r="BN208" s="93"/>
      <c r="BO208" s="5">
        <v>-96</v>
      </c>
      <c r="BP208" s="93"/>
      <c r="BQ208" s="93"/>
      <c r="BR208" s="93"/>
      <c r="BS208" s="93"/>
      <c r="BT208" s="93"/>
      <c r="BU208" s="93"/>
      <c r="BV208" s="93"/>
      <c r="BW208" s="93"/>
      <c r="BX208" s="93"/>
      <c r="BY208" s="93"/>
      <c r="BZ208" s="93"/>
      <c r="CA208" s="93"/>
      <c r="CB208" s="93"/>
      <c r="CC208" s="93"/>
      <c r="CD208" s="93"/>
    </row>
    <row r="209" spans="1:90" hidden="1" outlineLevel="1">
      <c r="A209" s="4" t="s">
        <v>610</v>
      </c>
      <c r="B209" s="5"/>
      <c r="C209" s="72"/>
      <c r="D209" s="72"/>
      <c r="E209" s="72"/>
      <c r="F209" s="72"/>
      <c r="G209" s="5">
        <v>32</v>
      </c>
      <c r="H209" s="93"/>
      <c r="I209" s="93"/>
      <c r="J209" s="93"/>
      <c r="K209" s="93"/>
      <c r="L209" s="5">
        <v>0</v>
      </c>
      <c r="M209" s="93"/>
      <c r="N209" s="93"/>
      <c r="O209" s="93"/>
      <c r="P209" s="93"/>
      <c r="Q209" s="5">
        <v>38</v>
      </c>
      <c r="R209" s="93"/>
      <c r="S209" s="93"/>
      <c r="T209" s="93"/>
      <c r="U209" s="93"/>
      <c r="V209" s="5">
        <v>-2</v>
      </c>
      <c r="W209" s="93"/>
      <c r="X209" s="93"/>
      <c r="Y209" s="93"/>
      <c r="Z209" s="93"/>
      <c r="AA209" s="5">
        <v>0</v>
      </c>
      <c r="AB209" s="93"/>
      <c r="AC209" s="93"/>
      <c r="AD209" s="93"/>
      <c r="AE209" s="93"/>
      <c r="AF209" s="5">
        <v>2190</v>
      </c>
      <c r="AG209" s="93"/>
      <c r="AH209" s="93"/>
      <c r="AI209" s="93"/>
      <c r="AJ209" s="93"/>
      <c r="AK209" s="5">
        <v>-15</v>
      </c>
      <c r="AL209" s="93"/>
      <c r="AM209" s="93"/>
      <c r="AN209" s="93"/>
      <c r="AO209" s="93"/>
      <c r="AP209" s="5">
        <v>-98</v>
      </c>
      <c r="AQ209" s="93"/>
      <c r="AR209" s="93"/>
      <c r="AS209" s="93"/>
      <c r="AT209" s="93"/>
      <c r="AU209" s="5">
        <v>0</v>
      </c>
      <c r="AV209" s="93"/>
      <c r="AW209" s="93"/>
      <c r="AX209" s="93"/>
      <c r="AY209" s="93"/>
      <c r="AZ209" s="5">
        <v>0</v>
      </c>
      <c r="BA209" s="93"/>
      <c r="BB209" s="93"/>
      <c r="BC209" s="93"/>
      <c r="BD209" s="93"/>
      <c r="BE209" s="5">
        <v>0</v>
      </c>
      <c r="BF209" s="93"/>
      <c r="BG209" s="93"/>
      <c r="BH209" s="93"/>
      <c r="BI209" s="93"/>
      <c r="BJ209" s="5">
        <v>5</v>
      </c>
      <c r="BK209" s="93"/>
      <c r="BL209" s="93"/>
      <c r="BM209" s="93"/>
      <c r="BN209" s="93"/>
      <c r="BO209" s="5">
        <v>1</v>
      </c>
      <c r="BP209" s="93"/>
      <c r="BQ209" s="93"/>
      <c r="BR209" s="93"/>
      <c r="BS209" s="93"/>
      <c r="BT209" s="93"/>
      <c r="BU209" s="93"/>
      <c r="BV209" s="93"/>
      <c r="BW209" s="93"/>
      <c r="BX209" s="93"/>
      <c r="BY209" s="93"/>
      <c r="BZ209" s="93"/>
      <c r="CA209" s="93"/>
      <c r="CB209" s="93"/>
      <c r="CC209" s="93"/>
      <c r="CD209" s="93"/>
    </row>
    <row r="210" spans="1:90" hidden="1" outlineLevel="1">
      <c r="A210" s="7" t="s">
        <v>2160</v>
      </c>
      <c r="B210" s="8"/>
      <c r="C210" s="73">
        <f>C202+SUM(C204:C209)</f>
        <v>0</v>
      </c>
      <c r="D210" s="73">
        <f>D202+SUM(D204:D209)</f>
        <v>0</v>
      </c>
      <c r="E210" s="73">
        <f>E202+SUM(E204:E209)</f>
        <v>0</v>
      </c>
      <c r="F210" s="73">
        <f>F202+SUM(F204:F209)</f>
        <v>0</v>
      </c>
      <c r="G210" s="8">
        <f>G202+SUM(G204:G209)</f>
        <v>640.66666666666663</v>
      </c>
      <c r="H210" s="93"/>
      <c r="I210" s="93"/>
      <c r="J210" s="93"/>
      <c r="K210" s="93"/>
      <c r="L210" s="8">
        <f>L202+SUM(L204:L209)</f>
        <v>405</v>
      </c>
      <c r="M210" s="93"/>
      <c r="N210" s="93"/>
      <c r="O210" s="93"/>
      <c r="P210" s="93"/>
      <c r="Q210" s="8">
        <f>Q202+SUM(Q204:Q209)</f>
        <v>322</v>
      </c>
      <c r="R210" s="93"/>
      <c r="S210" s="93"/>
      <c r="T210" s="93"/>
      <c r="U210" s="93"/>
      <c r="V210" s="8">
        <f>V202+SUM(V204:V209)</f>
        <v>535</v>
      </c>
      <c r="W210" s="93"/>
      <c r="X210" s="93"/>
      <c r="Y210" s="93"/>
      <c r="Z210" s="93"/>
      <c r="AA210" s="8">
        <f>AA202+SUM(AA204:AA209)</f>
        <v>-97</v>
      </c>
      <c r="AB210" s="93"/>
      <c r="AC210" s="93"/>
      <c r="AD210" s="93"/>
      <c r="AE210" s="93"/>
      <c r="AF210" s="8">
        <f>AF202+SUM(AF204:AF209)</f>
        <v>2242</v>
      </c>
      <c r="AG210" s="93"/>
      <c r="AH210" s="93"/>
      <c r="AI210" s="93"/>
      <c r="AJ210" s="93"/>
      <c r="AK210" s="8">
        <f>AK202+SUM(AK204:AK209)</f>
        <v>-100</v>
      </c>
      <c r="AL210" s="93"/>
      <c r="AM210" s="93"/>
      <c r="AN210" s="93"/>
      <c r="AO210" s="93"/>
      <c r="AP210" s="8">
        <f>AP202+SUM(AP204:AP209)</f>
        <v>-223</v>
      </c>
      <c r="AQ210" s="93"/>
      <c r="AR210" s="93"/>
      <c r="AS210" s="93"/>
      <c r="AT210" s="93"/>
      <c r="AU210" s="8">
        <f>AU202+SUM(AU204:AU209)</f>
        <v>-108</v>
      </c>
      <c r="AV210" s="93"/>
      <c r="AW210" s="93"/>
      <c r="AX210" s="93"/>
      <c r="AY210" s="93"/>
      <c r="AZ210" s="8">
        <f>AZ202+SUM(AZ204:AZ209)</f>
        <v>-137</v>
      </c>
      <c r="BA210" s="93"/>
      <c r="BB210" s="93"/>
      <c r="BC210" s="93"/>
      <c r="BD210" s="93"/>
      <c r="BE210" s="8">
        <f>BE202+SUM(BE204:BE209)</f>
        <v>-230</v>
      </c>
      <c r="BF210" s="93"/>
      <c r="BG210" s="93"/>
      <c r="BH210" s="93"/>
      <c r="BI210" s="93"/>
      <c r="BJ210" s="8">
        <f>BJ202+SUM(BJ204:BJ209)</f>
        <v>-185</v>
      </c>
      <c r="BK210" s="93"/>
      <c r="BL210" s="93"/>
      <c r="BM210" s="93"/>
      <c r="BN210" s="93"/>
      <c r="BO210" s="8">
        <f>BO202+SUM(BO204:BO209)</f>
        <v>-111</v>
      </c>
      <c r="BP210" s="93"/>
      <c r="BQ210" s="93"/>
      <c r="BR210" s="93"/>
      <c r="BS210" s="93"/>
      <c r="BT210" s="93"/>
      <c r="BU210" s="93"/>
      <c r="BV210" s="93"/>
      <c r="BW210" s="93"/>
      <c r="BX210" s="93"/>
      <c r="BY210" s="93"/>
      <c r="BZ210" s="93"/>
      <c r="CA210" s="93"/>
      <c r="CB210" s="93"/>
      <c r="CC210" s="93"/>
      <c r="CD210" s="93"/>
    </row>
    <row r="211" spans="1:90" hidden="1" outlineLevel="1">
      <c r="A211" s="4"/>
      <c r="B211" s="5"/>
      <c r="C211" s="72"/>
      <c r="D211" s="72"/>
      <c r="E211" s="72"/>
      <c r="F211" s="72"/>
      <c r="G211" s="5"/>
      <c r="H211" s="12"/>
      <c r="I211" s="12"/>
      <c r="J211" s="12"/>
      <c r="K211" s="12"/>
      <c r="L211" s="5"/>
      <c r="M211" s="12"/>
      <c r="N211" s="12"/>
      <c r="O211" s="12"/>
      <c r="P211" s="12"/>
      <c r="Q211" s="5"/>
      <c r="R211" s="12"/>
      <c r="S211" s="12"/>
      <c r="T211" s="12"/>
      <c r="U211" s="12"/>
      <c r="V211" s="5"/>
      <c r="W211" s="12"/>
      <c r="X211" s="12"/>
      <c r="Y211" s="12"/>
      <c r="Z211" s="12"/>
      <c r="AA211" s="5"/>
      <c r="AB211" s="12"/>
      <c r="AC211" s="12"/>
      <c r="AD211" s="12"/>
      <c r="AE211" s="12"/>
      <c r="AF211" s="5"/>
      <c r="AG211" s="12"/>
      <c r="AH211" s="12"/>
      <c r="AI211" s="12"/>
      <c r="AJ211" s="12"/>
      <c r="AK211" s="5"/>
      <c r="AL211" s="12"/>
      <c r="AM211" s="12"/>
      <c r="AN211" s="12"/>
      <c r="AO211" s="12"/>
      <c r="AP211" s="5"/>
      <c r="AQ211" s="12"/>
      <c r="AR211" s="12"/>
      <c r="AS211" s="12"/>
      <c r="AT211" s="12"/>
      <c r="AU211" s="5"/>
      <c r="AV211" s="12"/>
      <c r="AW211" s="12"/>
      <c r="AX211" s="12"/>
      <c r="AY211" s="12"/>
      <c r="AZ211" s="5"/>
      <c r="BA211" s="12"/>
      <c r="BB211" s="12"/>
      <c r="BC211" s="12"/>
      <c r="BD211" s="12"/>
      <c r="BE211" s="5"/>
      <c r="BF211" s="12"/>
      <c r="BG211" s="12"/>
      <c r="BH211" s="12"/>
      <c r="BI211" s="12"/>
      <c r="BJ211" s="5"/>
      <c r="BK211" s="12"/>
      <c r="BL211" s="12"/>
      <c r="BM211" s="12"/>
      <c r="BN211" s="12"/>
      <c r="BO211" s="5"/>
      <c r="BP211" s="12"/>
      <c r="BQ211" s="12"/>
      <c r="BR211" s="12"/>
      <c r="BS211" s="12"/>
      <c r="BT211" s="12"/>
      <c r="BU211" s="12"/>
      <c r="BV211" s="12"/>
      <c r="BW211" s="12"/>
      <c r="BX211" s="12"/>
      <c r="BY211" s="12"/>
      <c r="BZ211" s="12"/>
      <c r="CA211" s="12"/>
      <c r="CB211" s="12"/>
      <c r="CC211" s="12"/>
      <c r="CD211" s="12"/>
    </row>
    <row r="212" spans="1:90" hidden="1" outlineLevel="1">
      <c r="A212" s="4" t="s">
        <v>2152</v>
      </c>
      <c r="B212" s="5"/>
      <c r="C212" s="72"/>
      <c r="D212" s="72"/>
      <c r="E212" s="72"/>
      <c r="F212" s="72"/>
      <c r="G212" s="5">
        <v>-190.16666666666666</v>
      </c>
      <c r="H212" s="93"/>
      <c r="I212" s="93"/>
      <c r="J212" s="93"/>
      <c r="K212" s="93"/>
      <c r="L212" s="5">
        <v>-87</v>
      </c>
      <c r="M212" s="93"/>
      <c r="N212" s="93"/>
      <c r="O212" s="93"/>
      <c r="P212" s="93"/>
      <c r="Q212" s="5">
        <v>-35</v>
      </c>
      <c r="R212" s="93"/>
      <c r="S212" s="93"/>
      <c r="T212" s="93"/>
      <c r="U212" s="93"/>
      <c r="V212" s="5">
        <v>-205</v>
      </c>
      <c r="W212" s="93"/>
      <c r="X212" s="93"/>
      <c r="Y212" s="93"/>
      <c r="Z212" s="93"/>
      <c r="AA212" s="5">
        <v>58</v>
      </c>
      <c r="AB212" s="93"/>
      <c r="AC212" s="93"/>
      <c r="AD212" s="93"/>
      <c r="AE212" s="93"/>
      <c r="AF212" s="5">
        <v>-610</v>
      </c>
      <c r="AG212" s="93"/>
      <c r="AH212" s="93"/>
      <c r="AI212" s="93"/>
      <c r="AJ212" s="93"/>
      <c r="AK212" s="5">
        <v>159</v>
      </c>
      <c r="AL212" s="93"/>
      <c r="AM212" s="93"/>
      <c r="AN212" s="93"/>
      <c r="AO212" s="93"/>
      <c r="AP212" s="5">
        <v>67</v>
      </c>
      <c r="AQ212" s="93"/>
      <c r="AR212" s="93"/>
      <c r="AS212" s="93"/>
      <c r="AT212" s="93"/>
      <c r="AU212" s="5">
        <v>26</v>
      </c>
      <c r="AV212" s="93"/>
      <c r="AW212" s="93"/>
      <c r="AX212" s="93"/>
      <c r="AY212" s="93"/>
      <c r="AZ212" s="5">
        <v>-15</v>
      </c>
      <c r="BA212" s="93"/>
      <c r="BB212" s="93"/>
      <c r="BC212" s="93"/>
      <c r="BD212" s="93"/>
      <c r="BE212" s="5">
        <v>5</v>
      </c>
      <c r="BF212" s="93"/>
      <c r="BG212" s="93"/>
      <c r="BH212" s="93"/>
      <c r="BI212" s="93"/>
      <c r="BJ212" s="5">
        <v>40</v>
      </c>
      <c r="BK212" s="93"/>
      <c r="BL212" s="93"/>
      <c r="BM212" s="93"/>
      <c r="BN212" s="93"/>
      <c r="BO212" s="5">
        <v>28</v>
      </c>
      <c r="BP212" s="93"/>
      <c r="BQ212" s="93"/>
      <c r="BR212" s="93"/>
      <c r="BS212" s="93"/>
      <c r="BT212" s="93"/>
      <c r="BU212" s="93"/>
      <c r="BV212" s="93"/>
      <c r="BW212" s="93"/>
      <c r="BX212" s="93"/>
      <c r="BY212" s="93"/>
      <c r="BZ212" s="93"/>
      <c r="CA212" s="93"/>
      <c r="CB212" s="93"/>
      <c r="CC212" s="93"/>
      <c r="CD212" s="93"/>
    </row>
    <row r="213" spans="1:90" hidden="1" outlineLevel="1">
      <c r="A213" s="14" t="s">
        <v>2153</v>
      </c>
      <c r="B213" s="15"/>
      <c r="C213" s="74">
        <f>SUM(C210,C212)</f>
        <v>0</v>
      </c>
      <c r="D213" s="74">
        <f>SUM(D210,D212)</f>
        <v>0</v>
      </c>
      <c r="E213" s="74">
        <f>SUM(E210,E212)</f>
        <v>0</v>
      </c>
      <c r="F213" s="74">
        <f>SUM(F210,F212)</f>
        <v>0</v>
      </c>
      <c r="G213" s="15">
        <f>SUM(G210,G212)</f>
        <v>450.5</v>
      </c>
      <c r="H213" s="378"/>
      <c r="I213" s="378"/>
      <c r="J213" s="378"/>
      <c r="K213" s="378"/>
      <c r="L213" s="15">
        <f>SUM(L210,L212)</f>
        <v>318</v>
      </c>
      <c r="M213" s="378"/>
      <c r="N213" s="378"/>
      <c r="O213" s="378"/>
      <c r="P213" s="378"/>
      <c r="Q213" s="15">
        <f>SUM(Q210,Q212)</f>
        <v>287</v>
      </c>
      <c r="R213" s="378"/>
      <c r="S213" s="378"/>
      <c r="T213" s="378"/>
      <c r="U213" s="378"/>
      <c r="V213" s="15">
        <f>SUM(V210,V212)</f>
        <v>330</v>
      </c>
      <c r="W213" s="378"/>
      <c r="X213" s="378"/>
      <c r="Y213" s="378"/>
      <c r="Z213" s="378"/>
      <c r="AA213" s="15">
        <f>SUM(AA210,AA212)</f>
        <v>-39</v>
      </c>
      <c r="AB213" s="378"/>
      <c r="AC213" s="378"/>
      <c r="AD213" s="378"/>
      <c r="AE213" s="378"/>
      <c r="AF213" s="15">
        <f>SUM(AF210,AF212)</f>
        <v>1632</v>
      </c>
      <c r="AG213" s="378"/>
      <c r="AH213" s="378"/>
      <c r="AI213" s="378"/>
      <c r="AJ213" s="378"/>
      <c r="AK213" s="15">
        <f>SUM(AK210,AK212)</f>
        <v>59</v>
      </c>
      <c r="AL213" s="378"/>
      <c r="AM213" s="378"/>
      <c r="AN213" s="378"/>
      <c r="AO213" s="378"/>
      <c r="AP213" s="15">
        <f>SUM(AP210,AP212)</f>
        <v>-156</v>
      </c>
      <c r="AQ213" s="378"/>
      <c r="AR213" s="378"/>
      <c r="AS213" s="378"/>
      <c r="AT213" s="378"/>
      <c r="AU213" s="15">
        <f>SUM(AU210,AU212)</f>
        <v>-82</v>
      </c>
      <c r="AV213" s="378"/>
      <c r="AW213" s="378"/>
      <c r="AX213" s="378"/>
      <c r="AY213" s="378"/>
      <c r="AZ213" s="15">
        <f>SUM(AZ210,AZ212)</f>
        <v>-152</v>
      </c>
      <c r="BA213" s="378"/>
      <c r="BB213" s="378"/>
      <c r="BC213" s="378"/>
      <c r="BD213" s="378"/>
      <c r="BE213" s="15">
        <f>SUM(BE210,BE212)</f>
        <v>-225</v>
      </c>
      <c r="BF213" s="378"/>
      <c r="BG213" s="378"/>
      <c r="BH213" s="378"/>
      <c r="BI213" s="378"/>
      <c r="BJ213" s="15">
        <f>SUM(BJ210,BJ212)</f>
        <v>-145</v>
      </c>
      <c r="BK213" s="378"/>
      <c r="BL213" s="378"/>
      <c r="BM213" s="378"/>
      <c r="BN213" s="378"/>
      <c r="BO213" s="15">
        <f>SUM(BO210,BO212)</f>
        <v>-83</v>
      </c>
      <c r="BP213" s="378"/>
      <c r="BQ213" s="378"/>
      <c r="BR213" s="378"/>
      <c r="BS213" s="378"/>
      <c r="BT213" s="378"/>
      <c r="BU213" s="378"/>
      <c r="BV213" s="378"/>
      <c r="BW213" s="378"/>
      <c r="BX213" s="378"/>
      <c r="BY213" s="378"/>
      <c r="BZ213" s="378"/>
      <c r="CA213" s="378"/>
      <c r="CB213" s="378"/>
      <c r="CC213" s="378"/>
      <c r="CD213" s="378"/>
    </row>
    <row r="214" spans="1:90" hidden="1" outlineLevel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</row>
    <row r="215" spans="1:90" hidden="1" outlineLevel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</row>
    <row r="216" spans="1:90" hidden="1" outlineLevel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138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</row>
    <row r="217" spans="1:90" collapsed="1">
      <c r="A217" s="24" t="s">
        <v>2219</v>
      </c>
      <c r="B217" s="4"/>
      <c r="C217" s="5"/>
      <c r="D217" s="5"/>
      <c r="E217" s="5"/>
      <c r="F217" s="71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G217" s="24" t="s">
        <v>2219</v>
      </c>
    </row>
    <row r="218" spans="1:90">
      <c r="A218" s="10"/>
      <c r="B218" s="10"/>
      <c r="C218" s="31">
        <v>2001</v>
      </c>
      <c r="D218" s="32">
        <v>2002</v>
      </c>
      <c r="E218" s="32">
        <v>2003</v>
      </c>
      <c r="F218" s="32">
        <v>2004</v>
      </c>
      <c r="G218" s="31">
        <v>2005</v>
      </c>
      <c r="H218" s="33" t="str">
        <f>H199</f>
        <v>1Q06</v>
      </c>
      <c r="I218" s="33" t="str">
        <f>I199</f>
        <v>2Q06</v>
      </c>
      <c r="J218" s="33" t="str">
        <f>J199</f>
        <v>3Q06</v>
      </c>
      <c r="K218" s="33" t="str">
        <f>K199</f>
        <v>4Q06</v>
      </c>
      <c r="L218" s="31">
        <v>2006</v>
      </c>
      <c r="M218" s="33" t="str">
        <f>M199</f>
        <v>1Q07</v>
      </c>
      <c r="N218" s="33" t="str">
        <f>N199</f>
        <v>2Q07</v>
      </c>
      <c r="O218" s="33" t="str">
        <f>O199</f>
        <v>3Q07</v>
      </c>
      <c r="P218" s="33" t="str">
        <f>P199</f>
        <v>4Q07</v>
      </c>
      <c r="Q218" s="31">
        <v>2007</v>
      </c>
      <c r="R218" s="33" t="str">
        <f>R199</f>
        <v>1Q08</v>
      </c>
      <c r="S218" s="33" t="str">
        <f>S199</f>
        <v>2Q08</v>
      </c>
      <c r="T218" s="33" t="str">
        <f>T199</f>
        <v>3Q08</v>
      </c>
      <c r="U218" s="33" t="str">
        <f>U199</f>
        <v>4Q08</v>
      </c>
      <c r="V218" s="31">
        <v>2008</v>
      </c>
      <c r="W218" s="33" t="str">
        <f>W199</f>
        <v>1Q09</v>
      </c>
      <c r="X218" s="33" t="str">
        <f>X199</f>
        <v>2Q09</v>
      </c>
      <c r="Y218" s="33" t="str">
        <f>Y199</f>
        <v>3Q09</v>
      </c>
      <c r="Z218" s="33" t="str">
        <f>Z199</f>
        <v>4Q09</v>
      </c>
      <c r="AA218" s="31">
        <v>2009</v>
      </c>
      <c r="AB218" s="33" t="str">
        <f>AB199</f>
        <v>1Q10</v>
      </c>
      <c r="AC218" s="33" t="str">
        <f>AC199</f>
        <v>2Q10</v>
      </c>
      <c r="AD218" s="33" t="str">
        <f>AD199</f>
        <v>3Q10</v>
      </c>
      <c r="AE218" s="33" t="str">
        <f>AE199</f>
        <v>4Q10</v>
      </c>
      <c r="AF218" s="31">
        <v>2010</v>
      </c>
      <c r="AG218" s="33" t="str">
        <f>AG199</f>
        <v>1Q11</v>
      </c>
      <c r="AH218" s="33" t="str">
        <f>AH199</f>
        <v>2Q11</v>
      </c>
      <c r="AI218" s="33" t="str">
        <f>AI199</f>
        <v>3Q11</v>
      </c>
      <c r="AJ218" s="33" t="str">
        <f>AJ199</f>
        <v>4Q11</v>
      </c>
      <c r="AK218" s="31">
        <v>2011</v>
      </c>
      <c r="AL218" s="33" t="s">
        <v>2397</v>
      </c>
      <c r="AM218" s="33" t="s">
        <v>2398</v>
      </c>
      <c r="AN218" s="33" t="s">
        <v>2399</v>
      </c>
      <c r="AO218" s="33" t="s">
        <v>2400</v>
      </c>
      <c r="AP218" s="31">
        <v>2012</v>
      </c>
      <c r="AQ218" s="363" t="s">
        <v>2401</v>
      </c>
      <c r="AR218" s="363" t="s">
        <v>2402</v>
      </c>
      <c r="AS218" s="363" t="s">
        <v>2403</v>
      </c>
      <c r="AT218" s="363" t="s">
        <v>2404</v>
      </c>
      <c r="AU218" s="364">
        <v>2013</v>
      </c>
      <c r="AV218" s="363" t="s">
        <v>2405</v>
      </c>
      <c r="AW218" s="363" t="s">
        <v>2406</v>
      </c>
      <c r="AX218" s="363" t="s">
        <v>2407</v>
      </c>
      <c r="AY218" s="363" t="s">
        <v>2408</v>
      </c>
      <c r="AZ218" s="364">
        <v>2014</v>
      </c>
      <c r="BA218" s="33" t="str">
        <f t="shared" ref="BA218:BI218" si="102">BA$8</f>
        <v>1Q15</v>
      </c>
      <c r="BB218" s="33" t="str">
        <f t="shared" si="102"/>
        <v>2Q15</v>
      </c>
      <c r="BC218" s="33" t="str">
        <f t="shared" si="102"/>
        <v>3Q15</v>
      </c>
      <c r="BD218" s="33" t="str">
        <f t="shared" si="102"/>
        <v>4Q15</v>
      </c>
      <c r="BE218" s="31">
        <f t="shared" si="102"/>
        <v>2015</v>
      </c>
      <c r="BF218" s="33" t="str">
        <f t="shared" si="102"/>
        <v>1Q16</v>
      </c>
      <c r="BG218" s="33" t="str">
        <f t="shared" si="102"/>
        <v>2Q16</v>
      </c>
      <c r="BH218" s="33" t="str">
        <f t="shared" si="102"/>
        <v>3Q16</v>
      </c>
      <c r="BI218" s="33" t="str">
        <f t="shared" si="102"/>
        <v>4Q16</v>
      </c>
      <c r="BJ218" s="31">
        <v>2016</v>
      </c>
      <c r="BK218" s="363" t="s">
        <v>2417</v>
      </c>
      <c r="BL218" s="363" t="s">
        <v>2418</v>
      </c>
      <c r="BM218" s="363" t="s">
        <v>2419</v>
      </c>
      <c r="BN218" s="363" t="s">
        <v>2420</v>
      </c>
      <c r="BO218" s="364">
        <v>2017</v>
      </c>
      <c r="BP218" s="363" t="s">
        <v>2244</v>
      </c>
      <c r="BQ218" s="363" t="s">
        <v>2245</v>
      </c>
      <c r="BR218" s="363" t="s">
        <v>2508</v>
      </c>
      <c r="BS218" s="363" t="s">
        <v>2509</v>
      </c>
      <c r="BT218" s="364">
        <v>2018</v>
      </c>
      <c r="BU218" s="363" t="s">
        <v>2510</v>
      </c>
      <c r="BV218" s="363" t="s">
        <v>2511</v>
      </c>
      <c r="BW218" s="363" t="s">
        <v>3125</v>
      </c>
      <c r="BX218" s="363" t="s">
        <v>1405</v>
      </c>
      <c r="BY218" s="364">
        <v>2019</v>
      </c>
      <c r="BZ218" s="363" t="s">
        <v>1406</v>
      </c>
      <c r="CA218" s="363" t="s">
        <v>1407</v>
      </c>
      <c r="CB218" s="363" t="s">
        <v>1408</v>
      </c>
      <c r="CC218" s="363" t="s">
        <v>1409</v>
      </c>
      <c r="CD218" s="364">
        <v>2020</v>
      </c>
      <c r="CG218" s="364" t="s">
        <v>1043</v>
      </c>
      <c r="CH218" s="364" t="s">
        <v>2637</v>
      </c>
      <c r="CI218" s="364" t="s">
        <v>3715</v>
      </c>
      <c r="CJ218" s="364" t="s">
        <v>3551</v>
      </c>
      <c r="CK218" s="364" t="s">
        <v>3713</v>
      </c>
      <c r="CL218" s="364" t="s">
        <v>3714</v>
      </c>
    </row>
    <row r="219" spans="1:90">
      <c r="A219" s="4" t="s">
        <v>2156</v>
      </c>
      <c r="B219" s="5"/>
      <c r="C219" s="72"/>
      <c r="D219" s="72"/>
      <c r="E219" s="72"/>
      <c r="F219" s="72"/>
      <c r="G219" s="5">
        <f>SUM(G181,G200)</f>
        <v>2135</v>
      </c>
      <c r="H219" s="93"/>
      <c r="I219" s="93"/>
      <c r="J219" s="93"/>
      <c r="K219" s="93"/>
      <c r="L219" s="5">
        <f>SUM(L181,L200)</f>
        <v>1455</v>
      </c>
      <c r="M219" s="93"/>
      <c r="N219" s="93"/>
      <c r="O219" s="93"/>
      <c r="P219" s="93"/>
      <c r="Q219" s="5">
        <f>SUM(Q181,Q200)</f>
        <v>1583</v>
      </c>
      <c r="R219" s="93"/>
      <c r="S219" s="93"/>
      <c r="T219" s="93"/>
      <c r="U219" s="93"/>
      <c r="V219" s="5">
        <f>SUM(V181,V200)</f>
        <v>8157</v>
      </c>
      <c r="W219" s="93"/>
      <c r="X219" s="93"/>
      <c r="Y219" s="93"/>
      <c r="Z219" s="93"/>
      <c r="AA219" s="5">
        <f>SUM(AA181,AA200)</f>
        <v>4858</v>
      </c>
      <c r="AB219" s="93"/>
      <c r="AC219" s="93"/>
      <c r="AD219" s="93"/>
      <c r="AE219" s="93"/>
      <c r="AF219" s="5">
        <f>SUM(AF181,AF200)</f>
        <v>1238</v>
      </c>
      <c r="AG219" s="93"/>
      <c r="AH219" s="93"/>
      <c r="AI219" s="93"/>
      <c r="AJ219" s="93"/>
      <c r="AK219" s="5">
        <f>SUM(AK181,AK200)</f>
        <v>776</v>
      </c>
      <c r="AL219" s="93"/>
      <c r="AM219" s="93"/>
      <c r="AN219" s="93"/>
      <c r="AO219" s="93"/>
      <c r="AP219" s="5">
        <f>SUM(AP181,AP200)</f>
        <v>463</v>
      </c>
      <c r="AQ219" s="93"/>
      <c r="AR219" s="93"/>
      <c r="AS219" s="93"/>
      <c r="AT219" s="93"/>
      <c r="AU219" s="5">
        <f>SUM(AU181,AU200)</f>
        <v>939</v>
      </c>
      <c r="AV219" s="72"/>
      <c r="AW219" s="72"/>
      <c r="AX219" s="72"/>
      <c r="AY219" s="72"/>
      <c r="AZ219" s="5">
        <f>SUM(AZ181,AZ200)</f>
        <v>1222</v>
      </c>
      <c r="BA219" s="72"/>
      <c r="BB219" s="72"/>
      <c r="BC219" s="72"/>
      <c r="BD219" s="72"/>
      <c r="BE219" s="5">
        <f>SUM(BE181,BE200)</f>
        <v>665</v>
      </c>
      <c r="BF219" s="72"/>
      <c r="BG219" s="72"/>
      <c r="BH219" s="72"/>
      <c r="BI219" s="72"/>
      <c r="BJ219" s="5">
        <f>SUM(BJ181,BJ200)</f>
        <v>714</v>
      </c>
      <c r="BK219" s="72"/>
      <c r="BL219" s="72"/>
      <c r="BM219" s="72"/>
      <c r="BN219" s="72"/>
      <c r="BO219" s="5">
        <f>SUM(BO181,BO200)</f>
        <v>895</v>
      </c>
      <c r="BP219" s="72"/>
      <c r="BQ219" s="72"/>
      <c r="BR219" s="72"/>
      <c r="BS219" s="72"/>
      <c r="BT219" s="72"/>
      <c r="BU219" s="72"/>
      <c r="BV219" s="72"/>
      <c r="BW219" s="72"/>
      <c r="BX219" s="72"/>
      <c r="BY219" s="72"/>
      <c r="BZ219" s="72"/>
      <c r="CA219" s="72"/>
      <c r="CB219" s="72"/>
      <c r="CC219" s="72"/>
      <c r="CD219" s="72"/>
      <c r="CG219" s="468">
        <v>2006</v>
      </c>
      <c r="CH219" s="115">
        <f>HLOOKUP(CG219,$A$218:$CD$267,50,FALSE)*HLOOKUP(CG219,$A$218:$CD$267,20,FALSE)*0.365</f>
        <v>7576</v>
      </c>
      <c r="CI219" s="634">
        <v>1</v>
      </c>
      <c r="CJ219" s="115">
        <v>10256.813345651917</v>
      </c>
      <c r="CK219" s="342">
        <f>CH219*CI219</f>
        <v>7576</v>
      </c>
      <c r="CL219" s="115">
        <f>CK219-CJ219</f>
        <v>-2680.8133456519172</v>
      </c>
    </row>
    <row r="220" spans="1:90">
      <c r="A220" s="4" t="s">
        <v>2157</v>
      </c>
      <c r="B220" s="5"/>
      <c r="C220" s="72"/>
      <c r="D220" s="72"/>
      <c r="E220" s="72"/>
      <c r="F220" s="72"/>
      <c r="G220" s="5">
        <f>SUM(G182,G201)</f>
        <v>16084</v>
      </c>
      <c r="H220" s="93"/>
      <c r="I220" s="93"/>
      <c r="J220" s="93"/>
      <c r="K220" s="93"/>
      <c r="L220" s="5">
        <f>SUM(L182,L201)</f>
        <v>15624</v>
      </c>
      <c r="M220" s="93"/>
      <c r="N220" s="93"/>
      <c r="O220" s="93"/>
      <c r="P220" s="93"/>
      <c r="Q220" s="5">
        <f>SUM(Q182,Q201)</f>
        <v>15221</v>
      </c>
      <c r="R220" s="93"/>
      <c r="S220" s="93"/>
      <c r="T220" s="93"/>
      <c r="U220" s="93"/>
      <c r="V220" s="5">
        <f>SUM(V182,V201)</f>
        <v>16847</v>
      </c>
      <c r="W220" s="93"/>
      <c r="X220" s="93"/>
      <c r="Y220" s="93"/>
      <c r="Z220" s="93"/>
      <c r="AA220" s="5">
        <f>SUM(AA182,AA201)</f>
        <v>11797</v>
      </c>
      <c r="AB220" s="93"/>
      <c r="AC220" s="93"/>
      <c r="AD220" s="93"/>
      <c r="AE220" s="93"/>
      <c r="AF220" s="5">
        <f>SUM(AF182,AF201)</f>
        <v>19272</v>
      </c>
      <c r="AG220" s="93"/>
      <c r="AH220" s="93"/>
      <c r="AI220" s="93"/>
      <c r="AJ220" s="93"/>
      <c r="AK220" s="5">
        <f>SUM(AK182,AK201)</f>
        <v>19109</v>
      </c>
      <c r="AL220" s="93"/>
      <c r="AM220" s="93"/>
      <c r="AN220" s="93"/>
      <c r="AO220" s="93"/>
      <c r="AP220" s="5">
        <f>SUM(AP182,AP201)</f>
        <v>15723</v>
      </c>
      <c r="AQ220" s="93"/>
      <c r="AR220" s="93"/>
      <c r="AS220" s="93"/>
      <c r="AT220" s="93"/>
      <c r="AU220" s="5">
        <f>SUM(AU182,AU201)</f>
        <v>14059</v>
      </c>
      <c r="AV220" s="72"/>
      <c r="AW220" s="72"/>
      <c r="AX220" s="72"/>
      <c r="AY220" s="72"/>
      <c r="AZ220" s="5">
        <f>SUM(AZ182,AZ201)</f>
        <v>14909</v>
      </c>
      <c r="BA220" s="72"/>
      <c r="BB220" s="72"/>
      <c r="BC220" s="72"/>
      <c r="BD220" s="72"/>
      <c r="BE220" s="5">
        <f>SUM(BE182,BE201)</f>
        <v>7429</v>
      </c>
      <c r="BF220" s="72"/>
      <c r="BG220" s="72"/>
      <c r="BH220" s="72"/>
      <c r="BI220" s="72"/>
      <c r="BJ220" s="5">
        <f>SUM(BJ182,BJ201)</f>
        <v>6206</v>
      </c>
      <c r="BK220" s="72"/>
      <c r="BL220" s="72"/>
      <c r="BM220" s="72"/>
      <c r="BN220" s="72"/>
      <c r="BO220" s="5">
        <f>SUM(BO182,BO201)</f>
        <v>9119</v>
      </c>
      <c r="BP220" s="72"/>
      <c r="BQ220" s="72"/>
      <c r="BR220" s="72"/>
      <c r="BS220" s="72"/>
      <c r="BT220" s="72"/>
      <c r="BU220" s="72"/>
      <c r="BV220" s="72"/>
      <c r="BW220" s="72"/>
      <c r="BX220" s="72"/>
      <c r="BY220" s="72"/>
      <c r="BZ220" s="72"/>
      <c r="CA220" s="72"/>
      <c r="CB220" s="72"/>
      <c r="CC220" s="72"/>
      <c r="CD220" s="72"/>
      <c r="CG220" s="468">
        <v>2007</v>
      </c>
      <c r="CH220" s="115">
        <f t="shared" ref="CH220:CH233" si="103">HLOOKUP(CG220,$A$218:$CD$267,50,FALSE)*HLOOKUP(CG220,$A$218:$CD$267,20,FALSE)*0.365</f>
        <v>7157.0000000000009</v>
      </c>
      <c r="CI220" s="634">
        <v>1</v>
      </c>
      <c r="CJ220" s="115">
        <v>10325.581049611788</v>
      </c>
      <c r="CK220" s="342">
        <f t="shared" ref="CK220:CK233" si="104">CH220*CI220</f>
        <v>7157.0000000000009</v>
      </c>
      <c r="CL220" s="115">
        <f t="shared" ref="CL220:CL233" si="105">CK220-CJ220</f>
        <v>-3168.5810496117874</v>
      </c>
    </row>
    <row r="221" spans="1:90">
      <c r="A221" s="7" t="s">
        <v>2155</v>
      </c>
      <c r="B221" s="8"/>
      <c r="C221" s="73">
        <f>C219+C220</f>
        <v>0</v>
      </c>
      <c r="D221" s="73">
        <f>D219+D220</f>
        <v>0</v>
      </c>
      <c r="E221" s="73">
        <f>E219+E220</f>
        <v>0</v>
      </c>
      <c r="F221" s="73">
        <f>F219+F220</f>
        <v>0</v>
      </c>
      <c r="G221" s="8">
        <f>G219+G220</f>
        <v>18219</v>
      </c>
      <c r="H221" s="93"/>
      <c r="I221" s="93"/>
      <c r="J221" s="93"/>
      <c r="K221" s="93"/>
      <c r="L221" s="8">
        <f>L219+L220</f>
        <v>17079</v>
      </c>
      <c r="M221" s="93"/>
      <c r="N221" s="93"/>
      <c r="O221" s="93"/>
      <c r="P221" s="93"/>
      <c r="Q221" s="8">
        <f>Q219+Q220</f>
        <v>16804</v>
      </c>
      <c r="R221" s="93"/>
      <c r="S221" s="93"/>
      <c r="T221" s="93"/>
      <c r="U221" s="93"/>
      <c r="V221" s="8">
        <f>V219+V220</f>
        <v>25004</v>
      </c>
      <c r="W221" s="93"/>
      <c r="X221" s="93"/>
      <c r="Y221" s="93"/>
      <c r="Z221" s="93"/>
      <c r="AA221" s="8">
        <f>AA219+AA220</f>
        <v>16655</v>
      </c>
      <c r="AB221" s="93"/>
      <c r="AC221" s="93"/>
      <c r="AD221" s="93"/>
      <c r="AE221" s="93"/>
      <c r="AF221" s="8">
        <f>AF219+AF220</f>
        <v>20510</v>
      </c>
      <c r="AG221" s="93"/>
      <c r="AH221" s="93"/>
      <c r="AI221" s="93"/>
      <c r="AJ221" s="93"/>
      <c r="AK221" s="8">
        <f>AK219+AK220</f>
        <v>19885</v>
      </c>
      <c r="AL221" s="93"/>
      <c r="AM221" s="93"/>
      <c r="AN221" s="93"/>
      <c r="AO221" s="93"/>
      <c r="AP221" s="8">
        <f>AP219+AP220</f>
        <v>16186</v>
      </c>
      <c r="AQ221" s="93"/>
      <c r="AR221" s="93"/>
      <c r="AS221" s="93"/>
      <c r="AT221" s="93"/>
      <c r="AU221" s="8">
        <f>AU219+AU220</f>
        <v>14998</v>
      </c>
      <c r="AV221" s="93"/>
      <c r="AW221" s="93"/>
      <c r="AX221" s="93"/>
      <c r="AY221" s="93"/>
      <c r="AZ221" s="8">
        <f>AZ219+AZ220</f>
        <v>16131</v>
      </c>
      <c r="BA221" s="93"/>
      <c r="BB221" s="93"/>
      <c r="BC221" s="93"/>
      <c r="BD221" s="93"/>
      <c r="BE221" s="8">
        <f>BE219+BE220</f>
        <v>8094</v>
      </c>
      <c r="BF221" s="93"/>
      <c r="BG221" s="93"/>
      <c r="BH221" s="93"/>
      <c r="BI221" s="93"/>
      <c r="BJ221" s="8">
        <f>BJ219+BJ220</f>
        <v>6920</v>
      </c>
      <c r="BK221" s="93"/>
      <c r="BL221" s="93"/>
      <c r="BM221" s="93"/>
      <c r="BN221" s="93"/>
      <c r="BO221" s="8">
        <f>BO219+BO220</f>
        <v>10014</v>
      </c>
      <c r="BP221" s="19">
        <f t="shared" ref="BP221:CD221" si="106">BP243*(1+BP244)</f>
        <v>3068.1841257117871</v>
      </c>
      <c r="BQ221" s="19">
        <f t="shared" si="106"/>
        <v>3096.6504421318655</v>
      </c>
      <c r="BR221" s="19">
        <f t="shared" si="106"/>
        <v>3082.4802942861429</v>
      </c>
      <c r="BS221" s="19">
        <f t="shared" si="106"/>
        <v>3058.0403536577387</v>
      </c>
      <c r="BT221" s="8">
        <f t="shared" si="106"/>
        <v>12305.355215787535</v>
      </c>
      <c r="BU221" s="19">
        <f t="shared" si="106"/>
        <v>2892.1205755086116</v>
      </c>
      <c r="BV221" s="19">
        <f t="shared" si="106"/>
        <v>2920.2916009734386</v>
      </c>
      <c r="BW221" s="19">
        <f t="shared" si="106"/>
        <v>2945.5946926908628</v>
      </c>
      <c r="BX221" s="19">
        <f t="shared" si="106"/>
        <v>2946.6901756785537</v>
      </c>
      <c r="BY221" s="8">
        <f t="shared" si="106"/>
        <v>11704.697044851468</v>
      </c>
      <c r="BZ221" s="19">
        <f t="shared" si="106"/>
        <v>2821.5190011007653</v>
      </c>
      <c r="CA221" s="19">
        <f t="shared" si="106"/>
        <v>2866.3298768796631</v>
      </c>
      <c r="CB221" s="19">
        <f t="shared" si="106"/>
        <v>2908.5805574407918</v>
      </c>
      <c r="CC221" s="19">
        <f t="shared" si="106"/>
        <v>2927.664116458121</v>
      </c>
      <c r="CD221" s="8">
        <f t="shared" si="106"/>
        <v>11524.093551879341</v>
      </c>
      <c r="CG221" s="468">
        <v>2008</v>
      </c>
      <c r="CH221" s="115">
        <f t="shared" si="103"/>
        <v>11262.999999999998</v>
      </c>
      <c r="CI221" s="634">
        <v>1</v>
      </c>
      <c r="CJ221" s="115">
        <v>14038.931511852847</v>
      </c>
      <c r="CK221" s="342">
        <f t="shared" si="104"/>
        <v>11262.999999999998</v>
      </c>
      <c r="CL221" s="115">
        <f t="shared" si="105"/>
        <v>-2775.9315118528484</v>
      </c>
    </row>
    <row r="222" spans="1:90">
      <c r="A222" s="4"/>
      <c r="B222" s="5"/>
      <c r="C222" s="72"/>
      <c r="D222" s="72"/>
      <c r="E222" s="72"/>
      <c r="F222" s="72"/>
      <c r="G222" s="5"/>
      <c r="H222" s="12"/>
      <c r="I222" s="12"/>
      <c r="J222" s="12"/>
      <c r="K222" s="12"/>
      <c r="L222" s="5"/>
      <c r="M222" s="12"/>
      <c r="N222" s="12"/>
      <c r="O222" s="12"/>
      <c r="P222" s="12"/>
      <c r="Q222" s="5"/>
      <c r="R222" s="12"/>
      <c r="S222" s="12"/>
      <c r="T222" s="12"/>
      <c r="U222" s="12"/>
      <c r="V222" s="5"/>
      <c r="W222" s="12"/>
      <c r="X222" s="12"/>
      <c r="Y222" s="12"/>
      <c r="Z222" s="12"/>
      <c r="AA222" s="5"/>
      <c r="AB222" s="12"/>
      <c r="AC222" s="12"/>
      <c r="AD222" s="12"/>
      <c r="AE222" s="12"/>
      <c r="AF222" s="5"/>
      <c r="AG222" s="12"/>
      <c r="AH222" s="12"/>
      <c r="AI222" s="12"/>
      <c r="AJ222" s="12"/>
      <c r="AK222" s="5"/>
      <c r="AL222" s="12"/>
      <c r="AM222" s="12"/>
      <c r="AN222" s="12"/>
      <c r="AO222" s="12"/>
      <c r="AP222" s="5"/>
      <c r="AQ222" s="12"/>
      <c r="AR222" s="12"/>
      <c r="AS222" s="12"/>
      <c r="AT222" s="12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G222" s="468">
        <v>2009</v>
      </c>
      <c r="CH222" s="115">
        <f t="shared" si="103"/>
        <v>8558</v>
      </c>
      <c r="CI222" s="634">
        <v>1</v>
      </c>
      <c r="CJ222" s="115">
        <v>11006.201774082529</v>
      </c>
      <c r="CK222" s="342">
        <f t="shared" si="104"/>
        <v>8558</v>
      </c>
      <c r="CL222" s="115">
        <f t="shared" si="105"/>
        <v>-2448.2017740825286</v>
      </c>
    </row>
    <row r="223" spans="1:90">
      <c r="A223" s="4" t="s">
        <v>1897</v>
      </c>
      <c r="B223" s="5"/>
      <c r="C223" s="72"/>
      <c r="D223" s="72"/>
      <c r="E223" s="72"/>
      <c r="F223" s="72"/>
      <c r="G223" s="5">
        <f t="shared" ref="G223:G228" si="107">SUM(G185,G204)</f>
        <v>-463</v>
      </c>
      <c r="H223" s="93"/>
      <c r="I223" s="93"/>
      <c r="J223" s="93"/>
      <c r="K223" s="93"/>
      <c r="L223" s="5">
        <f t="shared" ref="L223:L228" si="108">SUM(L185,L204)</f>
        <v>-658</v>
      </c>
      <c r="M223" s="93"/>
      <c r="N223" s="93"/>
      <c r="O223" s="93"/>
      <c r="P223" s="93"/>
      <c r="Q223" s="5">
        <f t="shared" ref="Q223:Q228" si="109">SUM(Q185,Q204)</f>
        <v>-309</v>
      </c>
      <c r="R223" s="93"/>
      <c r="S223" s="93"/>
      <c r="T223" s="93"/>
      <c r="U223" s="93"/>
      <c r="V223" s="5">
        <f t="shared" ref="V223:V228" si="110">SUM(V185,V204)</f>
        <v>-337</v>
      </c>
      <c r="W223" s="93"/>
      <c r="X223" s="93"/>
      <c r="Y223" s="93"/>
      <c r="Z223" s="93"/>
      <c r="AA223" s="5">
        <f t="shared" ref="AA223:AA228" si="111">SUM(AA185,AA204)</f>
        <v>-743</v>
      </c>
      <c r="AB223" s="93"/>
      <c r="AC223" s="93"/>
      <c r="AD223" s="93"/>
      <c r="AE223" s="93"/>
      <c r="AF223" s="5">
        <f t="shared" ref="AF223:AF228" si="112">SUM(AF185,AF204)</f>
        <v>-490</v>
      </c>
      <c r="AG223" s="93"/>
      <c r="AH223" s="93"/>
      <c r="AI223" s="93"/>
      <c r="AJ223" s="93"/>
      <c r="AK223" s="5">
        <f t="shared" ref="AK223:AK228" si="113">SUM(AK185,AK204)</f>
        <v>-1074</v>
      </c>
      <c r="AL223" s="93"/>
      <c r="AM223" s="93"/>
      <c r="AN223" s="93"/>
      <c r="AO223" s="93"/>
      <c r="AP223" s="5">
        <f t="shared" ref="AP223:AP228" si="114">SUM(AP185,AP204)</f>
        <v>-653</v>
      </c>
      <c r="AQ223" s="93"/>
      <c r="AR223" s="93"/>
      <c r="AS223" s="93"/>
      <c r="AT223" s="93"/>
      <c r="AU223" s="5">
        <f t="shared" ref="AU223:AU228" si="115">SUM(AU185,AU204)</f>
        <v>-465</v>
      </c>
      <c r="AV223" s="93"/>
      <c r="AW223" s="93"/>
      <c r="AX223" s="93"/>
      <c r="AY223" s="93"/>
      <c r="AZ223" s="5">
        <f t="shared" ref="AZ223:AZ228" si="116">SUM(AZ185,AZ204)</f>
        <v>-1357</v>
      </c>
      <c r="BA223" s="93"/>
      <c r="BB223" s="93"/>
      <c r="BC223" s="93"/>
      <c r="BD223" s="93"/>
      <c r="BE223" s="5">
        <f t="shared" ref="BE223:BE228" si="117">SUM(BE185,BE204)</f>
        <v>-1068</v>
      </c>
      <c r="BF223" s="93"/>
      <c r="BG223" s="93"/>
      <c r="BH223" s="93"/>
      <c r="BI223" s="93"/>
      <c r="BJ223" s="5">
        <f t="shared" ref="BJ223:BJ228" si="118">SUM(BJ185,BJ204)</f>
        <v>-754</v>
      </c>
      <c r="BK223" s="93"/>
      <c r="BL223" s="93"/>
      <c r="BM223" s="93"/>
      <c r="BN223" s="93"/>
      <c r="BO223" s="5">
        <f t="shared" ref="BO223:BO228" si="119">SUM(BO185,BO204)</f>
        <v>-321</v>
      </c>
      <c r="BP223" s="12">
        <f>-Capex!BP120</f>
        <v>-142.5</v>
      </c>
      <c r="BQ223" s="12">
        <f>-Capex!BQ120</f>
        <v>-92.221777777777774</v>
      </c>
      <c r="BR223" s="12">
        <f>-Capex!BR120</f>
        <v>-92.221777777777774</v>
      </c>
      <c r="BS223" s="12">
        <f>-Capex!BS120</f>
        <v>-92.221777777777774</v>
      </c>
      <c r="BT223" s="5">
        <f>SUM(BP223:BS223)</f>
        <v>-419.16533333333336</v>
      </c>
      <c r="BU223" s="12">
        <f>-Capex!BU120</f>
        <v>-85.914833333333334</v>
      </c>
      <c r="BV223" s="12">
        <f>-Capex!BV120</f>
        <v>-85.914833333333334</v>
      </c>
      <c r="BW223" s="12">
        <f>-Capex!BW120</f>
        <v>-85.914833333333334</v>
      </c>
      <c r="BX223" s="12">
        <f>-Capex!BX120</f>
        <v>-85.914833333333348</v>
      </c>
      <c r="BY223" s="5">
        <f>SUM(BU223:BX223)</f>
        <v>-343.65933333333339</v>
      </c>
      <c r="BZ223" s="12">
        <f>-Capex!BZ120</f>
        <v>-55.32800000000001</v>
      </c>
      <c r="CA223" s="12">
        <f>-Capex!CA120</f>
        <v>-55.32800000000001</v>
      </c>
      <c r="CB223" s="12">
        <f>-Capex!CB120</f>
        <v>-55.32800000000001</v>
      </c>
      <c r="CC223" s="12">
        <f>-Capex!CC120</f>
        <v>-55.32800000000001</v>
      </c>
      <c r="CD223" s="5">
        <f>SUM(BZ223:CC223)</f>
        <v>-221.31200000000004</v>
      </c>
      <c r="CG223" s="468">
        <v>2010</v>
      </c>
      <c r="CH223" s="115">
        <f t="shared" si="103"/>
        <v>8562.9999999999982</v>
      </c>
      <c r="CI223" s="634">
        <v>1</v>
      </c>
      <c r="CJ223" s="115">
        <v>11454.752103550698</v>
      </c>
      <c r="CK223" s="342">
        <f t="shared" si="104"/>
        <v>8562.9999999999982</v>
      </c>
      <c r="CL223" s="115">
        <f t="shared" si="105"/>
        <v>-2891.7521035506998</v>
      </c>
    </row>
    <row r="224" spans="1:90">
      <c r="A224" s="4" t="s">
        <v>2149</v>
      </c>
      <c r="B224" s="5"/>
      <c r="C224" s="72"/>
      <c r="D224" s="72"/>
      <c r="E224" s="72"/>
      <c r="F224" s="72"/>
      <c r="G224" s="5">
        <f t="shared" si="107"/>
        <v>-2003.3333333333333</v>
      </c>
      <c r="H224" s="93"/>
      <c r="I224" s="93"/>
      <c r="J224" s="93"/>
      <c r="K224" s="93"/>
      <c r="L224" s="5">
        <f t="shared" si="108"/>
        <v>-2541</v>
      </c>
      <c r="M224" s="93"/>
      <c r="N224" s="93"/>
      <c r="O224" s="93"/>
      <c r="P224" s="93"/>
      <c r="Q224" s="5">
        <f t="shared" si="109"/>
        <v>-3049</v>
      </c>
      <c r="R224" s="93"/>
      <c r="S224" s="93"/>
      <c r="T224" s="93"/>
      <c r="U224" s="93"/>
      <c r="V224" s="5">
        <f t="shared" si="110"/>
        <v>-3291</v>
      </c>
      <c r="W224" s="93"/>
      <c r="X224" s="93"/>
      <c r="Y224" s="93"/>
      <c r="Z224" s="93"/>
      <c r="AA224" s="5">
        <f t="shared" si="111"/>
        <v>-3105</v>
      </c>
      <c r="AB224" s="93"/>
      <c r="AC224" s="93"/>
      <c r="AD224" s="93"/>
      <c r="AE224" s="93"/>
      <c r="AF224" s="5">
        <f t="shared" si="112"/>
        <v>-3107</v>
      </c>
      <c r="AG224" s="93"/>
      <c r="AH224" s="93"/>
      <c r="AI224" s="93"/>
      <c r="AJ224" s="93"/>
      <c r="AK224" s="5">
        <f t="shared" si="113"/>
        <v>-3468</v>
      </c>
      <c r="AL224" s="93"/>
      <c r="AM224" s="93"/>
      <c r="AN224" s="93"/>
      <c r="AO224" s="93"/>
      <c r="AP224" s="5">
        <f t="shared" si="114"/>
        <v>-3925</v>
      </c>
      <c r="AQ224" s="93"/>
      <c r="AR224" s="93"/>
      <c r="AS224" s="93"/>
      <c r="AT224" s="93"/>
      <c r="AU224" s="5">
        <f t="shared" si="115"/>
        <v>-3733</v>
      </c>
      <c r="AV224" s="93"/>
      <c r="AW224" s="93"/>
      <c r="AX224" s="93"/>
      <c r="AY224" s="93"/>
      <c r="AZ224" s="5">
        <f t="shared" si="116"/>
        <v>-3526</v>
      </c>
      <c r="BA224" s="93"/>
      <c r="BB224" s="93"/>
      <c r="BC224" s="93"/>
      <c r="BD224" s="93"/>
      <c r="BE224" s="5">
        <f t="shared" si="117"/>
        <v>-2854</v>
      </c>
      <c r="BF224" s="93"/>
      <c r="BG224" s="93"/>
      <c r="BH224" s="93"/>
      <c r="BI224" s="93"/>
      <c r="BJ224" s="5">
        <f t="shared" si="118"/>
        <v>-2638</v>
      </c>
      <c r="BK224" s="93"/>
      <c r="BL224" s="93"/>
      <c r="BM224" s="93"/>
      <c r="BN224" s="93"/>
      <c r="BO224" s="5">
        <f t="shared" si="119"/>
        <v>-2372</v>
      </c>
      <c r="BP224" s="65">
        <f>-BP237*BP248*'Key assumptions'!BP$48/1000</f>
        <v>-580.13421057818414</v>
      </c>
      <c r="BQ224" s="65">
        <f>-BQ237*BQ248*'Key assumptions'!BQ$48/1000</f>
        <v>-584.44586544329752</v>
      </c>
      <c r="BR224" s="65">
        <f>-BR237*BR248*'Key assumptions'!BR$48/1000</f>
        <v>-587.22144930315676</v>
      </c>
      <c r="BS224" s="65">
        <f>-BS237*BS248*'Key assumptions'!BS$48/1000</f>
        <v>-587.8120593639668</v>
      </c>
      <c r="BT224" s="5">
        <f>SUM(BP224:BS224)</f>
        <v>-2339.613584688605</v>
      </c>
      <c r="BU224" s="65">
        <f>-BU237*BU248*'Key assumptions'!BU$48/1000</f>
        <v>-612.07148329808535</v>
      </c>
      <c r="BV224" s="65">
        <f>-BV237*BV248*'Key assumptions'!BV$48/1000</f>
        <v>-616.4887056053816</v>
      </c>
      <c r="BW224" s="65">
        <f>-BW237*BW248*'Key assumptions'!BW$48/1000</f>
        <v>-619.18127246008009</v>
      </c>
      <c r="BX224" s="65">
        <f>-BX237*BX248*'Key assumptions'!BX$48/1000</f>
        <v>-619.84005012872763</v>
      </c>
      <c r="BY224" s="5">
        <f>SUM(BU224:BX224)</f>
        <v>-2467.5815114922743</v>
      </c>
      <c r="BZ224" s="65">
        <f>-BZ237*BZ248*'Key assumptions'!BZ$48/1000</f>
        <v>-626.46755211740481</v>
      </c>
      <c r="CA224" s="65">
        <f>-CA237*CA248*'Key assumptions'!CA$48/1000</f>
        <v>-623.95567313620131</v>
      </c>
      <c r="CB224" s="65">
        <f>-CB237*CB248*'Key assumptions'!CB$48/1000</f>
        <v>-626.50539875241907</v>
      </c>
      <c r="CC224" s="65">
        <f>-CC237*CC248*'Key assumptions'!CC$48/1000</f>
        <v>-627.19917788065254</v>
      </c>
      <c r="CD224" s="5">
        <f>SUM(BZ224:CC224)</f>
        <v>-2504.1278018866778</v>
      </c>
      <c r="CG224" s="468">
        <v>2011</v>
      </c>
      <c r="CH224" s="115">
        <f t="shared" si="103"/>
        <v>7833.0000000000009</v>
      </c>
      <c r="CI224" s="634">
        <v>1</v>
      </c>
      <c r="CJ224" s="115">
        <v>10541.389393244992</v>
      </c>
      <c r="CK224" s="342">
        <f t="shared" si="104"/>
        <v>7833.0000000000009</v>
      </c>
      <c r="CL224" s="115">
        <f t="shared" si="105"/>
        <v>-2708.389393244991</v>
      </c>
    </row>
    <row r="225" spans="1:90">
      <c r="A225" s="4" t="s">
        <v>2150</v>
      </c>
      <c r="B225" s="5"/>
      <c r="C225" s="72"/>
      <c r="D225" s="72"/>
      <c r="E225" s="72"/>
      <c r="F225" s="72"/>
      <c r="G225" s="5">
        <f t="shared" si="107"/>
        <v>-612</v>
      </c>
      <c r="H225" s="93"/>
      <c r="I225" s="93"/>
      <c r="J225" s="93"/>
      <c r="K225" s="93"/>
      <c r="L225" s="5">
        <f t="shared" si="108"/>
        <v>-888</v>
      </c>
      <c r="M225" s="93"/>
      <c r="N225" s="93"/>
      <c r="O225" s="93"/>
      <c r="P225" s="93"/>
      <c r="Q225" s="5">
        <f t="shared" si="109"/>
        <v>-1261</v>
      </c>
      <c r="R225" s="93"/>
      <c r="S225" s="93"/>
      <c r="T225" s="93"/>
      <c r="U225" s="93"/>
      <c r="V225" s="5">
        <f t="shared" si="110"/>
        <v>-2605</v>
      </c>
      <c r="W225" s="93"/>
      <c r="X225" s="93"/>
      <c r="Y225" s="93"/>
      <c r="Z225" s="93"/>
      <c r="AA225" s="5">
        <f t="shared" si="111"/>
        <v>-650</v>
      </c>
      <c r="AB225" s="93"/>
      <c r="AC225" s="93"/>
      <c r="AD225" s="93"/>
      <c r="AE225" s="93"/>
      <c r="AF225" s="5">
        <f t="shared" si="112"/>
        <v>-1095</v>
      </c>
      <c r="AG225" s="93"/>
      <c r="AH225" s="93"/>
      <c r="AI225" s="93"/>
      <c r="AJ225" s="93"/>
      <c r="AK225" s="5">
        <f t="shared" si="113"/>
        <v>-1854</v>
      </c>
      <c r="AL225" s="93"/>
      <c r="AM225" s="93"/>
      <c r="AN225" s="93"/>
      <c r="AO225" s="93"/>
      <c r="AP225" s="5">
        <f t="shared" si="114"/>
        <v>-1472</v>
      </c>
      <c r="AQ225" s="93"/>
      <c r="AR225" s="93"/>
      <c r="AS225" s="93"/>
      <c r="AT225" s="93"/>
      <c r="AU225" s="5">
        <f t="shared" si="115"/>
        <v>-1112</v>
      </c>
      <c r="AV225" s="93"/>
      <c r="AW225" s="93"/>
      <c r="AX225" s="93"/>
      <c r="AY225" s="93"/>
      <c r="AZ225" s="5">
        <f t="shared" si="116"/>
        <v>-690</v>
      </c>
      <c r="BA225" s="93"/>
      <c r="BB225" s="93"/>
      <c r="BC225" s="93"/>
      <c r="BD225" s="93"/>
      <c r="BE225" s="5">
        <f t="shared" si="117"/>
        <v>-215</v>
      </c>
      <c r="BF225" s="93"/>
      <c r="BG225" s="93"/>
      <c r="BH225" s="93"/>
      <c r="BI225" s="93"/>
      <c r="BJ225" s="5">
        <f t="shared" si="118"/>
        <v>-155</v>
      </c>
      <c r="BK225" s="93"/>
      <c r="BL225" s="93"/>
      <c r="BM225" s="93"/>
      <c r="BN225" s="93"/>
      <c r="BO225" s="5">
        <f t="shared" si="119"/>
        <v>-52</v>
      </c>
      <c r="BP225" s="12">
        <f>-BP221*BP261</f>
        <v>-15.93225230048062</v>
      </c>
      <c r="BQ225" s="12">
        <f>-BQ221*BQ261</f>
        <v>-16.080070200804574</v>
      </c>
      <c r="BR225" s="12">
        <f>-BR221*BR261</f>
        <v>-16.006488446462896</v>
      </c>
      <c r="BS225" s="12">
        <f>-BS221*BS261</f>
        <v>-15.879578429219334</v>
      </c>
      <c r="BT225" s="5">
        <f>SUM(BP225:BS225)</f>
        <v>-63.89838937696743</v>
      </c>
      <c r="BU225" s="12">
        <f>-BU221*BU261</f>
        <v>-15.018001790138587</v>
      </c>
      <c r="BV225" s="12">
        <f>-BV221*BV261</f>
        <v>-15.164286324207989</v>
      </c>
      <c r="BW225" s="12">
        <f>-BW221*BW261</f>
        <v>-15.295678452159462</v>
      </c>
      <c r="BX225" s="12">
        <f>-BX221*BX261</f>
        <v>-15.301366999728859</v>
      </c>
      <c r="BY225" s="5">
        <f>SUM(BU225:BX225)</f>
        <v>-60.779333566234897</v>
      </c>
      <c r="BZ225" s="12">
        <f>-BZ221*BZ261</f>
        <v>-14.651386864114221</v>
      </c>
      <c r="CA225" s="12">
        <f>-CA221*CA261</f>
        <v>-14.884077651062761</v>
      </c>
      <c r="CB225" s="12">
        <f>-CB221*CB261</f>
        <v>-15.103474035043057</v>
      </c>
      <c r="CC225" s="12">
        <f>-CC221*CC261</f>
        <v>-15.202569807851237</v>
      </c>
      <c r="CD225" s="5">
        <f>SUM(BZ225:CC225)</f>
        <v>-59.84150835807128</v>
      </c>
      <c r="CG225" s="468">
        <v>2012</v>
      </c>
      <c r="CH225" s="115">
        <f t="shared" si="103"/>
        <v>4529</v>
      </c>
      <c r="CI225" s="634">
        <v>1</v>
      </c>
      <c r="CJ225" s="115">
        <v>9033.1390338742167</v>
      </c>
      <c r="CK225" s="342">
        <f t="shared" si="104"/>
        <v>4529</v>
      </c>
      <c r="CL225" s="115">
        <f t="shared" si="105"/>
        <v>-4504.1390338742167</v>
      </c>
    </row>
    <row r="226" spans="1:90">
      <c r="A226" s="4" t="s">
        <v>2158</v>
      </c>
      <c r="B226" s="5"/>
      <c r="C226" s="72"/>
      <c r="D226" s="72"/>
      <c r="E226" s="72"/>
      <c r="F226" s="72"/>
      <c r="G226" s="5">
        <f t="shared" si="107"/>
        <v>-2506</v>
      </c>
      <c r="H226" s="93"/>
      <c r="I226" s="93"/>
      <c r="J226" s="93"/>
      <c r="K226" s="93"/>
      <c r="L226" s="5">
        <f t="shared" si="108"/>
        <v>-2851</v>
      </c>
      <c r="M226" s="93"/>
      <c r="N226" s="93"/>
      <c r="O226" s="93"/>
      <c r="P226" s="93"/>
      <c r="Q226" s="5">
        <f t="shared" si="109"/>
        <v>-2742</v>
      </c>
      <c r="R226" s="93"/>
      <c r="S226" s="93"/>
      <c r="T226" s="93"/>
      <c r="U226" s="93"/>
      <c r="V226" s="5">
        <f t="shared" si="110"/>
        <v>-3783</v>
      </c>
      <c r="W226" s="93"/>
      <c r="X226" s="93"/>
      <c r="Y226" s="93"/>
      <c r="Z226" s="93"/>
      <c r="AA226" s="5">
        <f t="shared" si="111"/>
        <v>-2498</v>
      </c>
      <c r="AB226" s="93"/>
      <c r="AC226" s="93"/>
      <c r="AD226" s="93"/>
      <c r="AE226" s="93"/>
      <c r="AF226" s="5">
        <f t="shared" si="112"/>
        <v>-3631</v>
      </c>
      <c r="AG226" s="93"/>
      <c r="AH226" s="93"/>
      <c r="AI226" s="93"/>
      <c r="AJ226" s="93"/>
      <c r="AK226" s="5">
        <f t="shared" si="113"/>
        <v>-4737</v>
      </c>
      <c r="AL226" s="93"/>
      <c r="AM226" s="93"/>
      <c r="AN226" s="93"/>
      <c r="AO226" s="93"/>
      <c r="AP226" s="5">
        <f t="shared" si="114"/>
        <v>-3565</v>
      </c>
      <c r="AQ226" s="93"/>
      <c r="AR226" s="93"/>
      <c r="AS226" s="93"/>
      <c r="AT226" s="93"/>
      <c r="AU226" s="5">
        <f t="shared" si="115"/>
        <v>-3296</v>
      </c>
      <c r="AV226" s="93"/>
      <c r="AW226" s="93"/>
      <c r="AX226" s="93"/>
      <c r="AY226" s="93"/>
      <c r="AZ226" s="5">
        <f t="shared" si="116"/>
        <v>-3315</v>
      </c>
      <c r="BA226" s="93"/>
      <c r="BB226" s="93"/>
      <c r="BC226" s="93"/>
      <c r="BD226" s="93"/>
      <c r="BE226" s="5">
        <f t="shared" si="117"/>
        <v>-2508</v>
      </c>
      <c r="BF226" s="93"/>
      <c r="BG226" s="93"/>
      <c r="BH226" s="93"/>
      <c r="BI226" s="93"/>
      <c r="BJ226" s="5">
        <f t="shared" si="118"/>
        <v>-1712</v>
      </c>
      <c r="BK226" s="93"/>
      <c r="BL226" s="93"/>
      <c r="BM226" s="93"/>
      <c r="BN226" s="93"/>
      <c r="BO226" s="5">
        <f t="shared" si="119"/>
        <v>-1689</v>
      </c>
      <c r="BP226" s="12">
        <f>BT226/4</f>
        <v>-401.13749999999999</v>
      </c>
      <c r="BQ226" s="12">
        <f>(BT226-BP226)/3</f>
        <v>-401.13749999999999</v>
      </c>
      <c r="BR226" s="12">
        <f>(BT226-BP226-BQ226)/2</f>
        <v>-401.13749999999993</v>
      </c>
      <c r="BS226" s="12">
        <f>BT226-SUM(BP226:BR226)</f>
        <v>-401.13750000000005</v>
      </c>
      <c r="BT226" s="147">
        <f>BO226*(1-5%)</f>
        <v>-1604.55</v>
      </c>
      <c r="BU226" s="12">
        <f>BY226/4</f>
        <v>-401.13749999999999</v>
      </c>
      <c r="BV226" s="12">
        <f>(BY226-BU226)/3</f>
        <v>-401.13749999999999</v>
      </c>
      <c r="BW226" s="12">
        <f>(BY226-BU226-BV226)/2</f>
        <v>-401.13749999999993</v>
      </c>
      <c r="BX226" s="12">
        <f>BY226-SUM(BU226:BW226)</f>
        <v>-401.13750000000005</v>
      </c>
      <c r="BY226" s="147">
        <f>BT226</f>
        <v>-1604.55</v>
      </c>
      <c r="BZ226" s="12">
        <f>CD226/4</f>
        <v>-401.13749999999999</v>
      </c>
      <c r="CA226" s="12">
        <f>(CD226-BZ226)/3</f>
        <v>-401.13749999999999</v>
      </c>
      <c r="CB226" s="12">
        <f>(CD226-BZ226-CA226)/2</f>
        <v>-401.13749999999993</v>
      </c>
      <c r="CC226" s="12">
        <f>CD226-SUM(BZ226:CB226)</f>
        <v>-401.13750000000005</v>
      </c>
      <c r="CD226" s="147">
        <f>BY226</f>
        <v>-1604.55</v>
      </c>
      <c r="CG226" s="468">
        <v>2013</v>
      </c>
      <c r="CH226" s="115">
        <f t="shared" si="103"/>
        <v>5679</v>
      </c>
      <c r="CI226" s="634">
        <v>1</v>
      </c>
      <c r="CJ226" s="115">
        <v>8947.2623821591296</v>
      </c>
      <c r="CK226" s="342">
        <f t="shared" si="104"/>
        <v>5679</v>
      </c>
      <c r="CL226" s="115">
        <f t="shared" si="105"/>
        <v>-3268.2623821591296</v>
      </c>
    </row>
    <row r="227" spans="1:90">
      <c r="A227" s="4" t="s">
        <v>2154</v>
      </c>
      <c r="B227" s="5"/>
      <c r="C227" s="72"/>
      <c r="D227" s="72"/>
      <c r="E227" s="72"/>
      <c r="F227" s="72"/>
      <c r="G227" s="5">
        <f t="shared" si="107"/>
        <v>-2474</v>
      </c>
      <c r="H227" s="93"/>
      <c r="I227" s="93"/>
      <c r="J227" s="93"/>
      <c r="K227" s="93"/>
      <c r="L227" s="5">
        <f t="shared" si="108"/>
        <v>-2259</v>
      </c>
      <c r="M227" s="93"/>
      <c r="N227" s="93"/>
      <c r="O227" s="93"/>
      <c r="P227" s="93"/>
      <c r="Q227" s="5">
        <f t="shared" si="109"/>
        <v>-2287</v>
      </c>
      <c r="R227" s="93"/>
      <c r="S227" s="93"/>
      <c r="T227" s="93"/>
      <c r="U227" s="93"/>
      <c r="V227" s="5">
        <f t="shared" si="110"/>
        <v>-2910</v>
      </c>
      <c r="W227" s="93"/>
      <c r="X227" s="93"/>
      <c r="Y227" s="93"/>
      <c r="Z227" s="93"/>
      <c r="AA227" s="5">
        <f t="shared" si="111"/>
        <v>-4027</v>
      </c>
      <c r="AB227" s="93"/>
      <c r="AC227" s="93"/>
      <c r="AD227" s="93"/>
      <c r="AE227" s="93"/>
      <c r="AF227" s="5">
        <f t="shared" si="112"/>
        <v>-3572</v>
      </c>
      <c r="AG227" s="93"/>
      <c r="AH227" s="93"/>
      <c r="AI227" s="93"/>
      <c r="AJ227" s="93"/>
      <c r="AK227" s="5">
        <f t="shared" si="113"/>
        <v>-2986</v>
      </c>
      <c r="AL227" s="93"/>
      <c r="AM227" s="93"/>
      <c r="AN227" s="93"/>
      <c r="AO227" s="93"/>
      <c r="AP227" s="5">
        <f t="shared" si="114"/>
        <v>-3197</v>
      </c>
      <c r="AQ227" s="93"/>
      <c r="AR227" s="93"/>
      <c r="AS227" s="93"/>
      <c r="AT227" s="93"/>
      <c r="AU227" s="5">
        <f t="shared" si="115"/>
        <v>-3268</v>
      </c>
      <c r="AV227" s="93"/>
      <c r="AW227" s="93"/>
      <c r="AX227" s="93"/>
      <c r="AY227" s="93"/>
      <c r="AZ227" s="5">
        <f t="shared" si="116"/>
        <v>-3809</v>
      </c>
      <c r="BA227" s="93"/>
      <c r="BB227" s="93"/>
      <c r="BC227" s="93"/>
      <c r="BD227" s="93"/>
      <c r="BE227" s="5">
        <f t="shared" si="117"/>
        <v>-3684</v>
      </c>
      <c r="BF227" s="93"/>
      <c r="BG227" s="93"/>
      <c r="BH227" s="93"/>
      <c r="BI227" s="93"/>
      <c r="BJ227" s="5">
        <f t="shared" si="118"/>
        <v>-4006</v>
      </c>
      <c r="BK227" s="93"/>
      <c r="BL227" s="93"/>
      <c r="BM227" s="93"/>
      <c r="BN227" s="93"/>
      <c r="BO227" s="5">
        <f t="shared" si="119"/>
        <v>-4354</v>
      </c>
      <c r="BP227" s="12">
        <f>-BP237*BP251*'Key assumptions'!BP$48/1000</f>
        <v>-1133.3832061922183</v>
      </c>
      <c r="BQ227" s="12">
        <f>-BQ237*BQ251*'Key assumptions'!BQ$48/1000</f>
        <v>-1141.8067004904535</v>
      </c>
      <c r="BR227" s="12">
        <f>-BR237*BR251*'Key assumptions'!BR$48/1000</f>
        <v>-1147.2292390630491</v>
      </c>
      <c r="BS227" s="12">
        <f>-BS237*BS251*'Key assumptions'!BS$48/1000</f>
        <v>-1148.3830884863803</v>
      </c>
      <c r="BT227" s="5">
        <f>SUM(BP227:BS227)</f>
        <v>-4570.802234232101</v>
      </c>
      <c r="BU227" s="12">
        <f>-BU237*BU251*'Key assumptions'!BU$48/1000</f>
        <v>-1179.4303710019769</v>
      </c>
      <c r="BV227" s="12">
        <f>-BV237*BV251*'Key assumptions'!BV$48/1000</f>
        <v>-1187.9421319430685</v>
      </c>
      <c r="BW227" s="12">
        <f>-BW237*BW251*'Key assumptions'!BW$48/1000</f>
        <v>-1193.1305702399691</v>
      </c>
      <c r="BX227" s="12">
        <f>-BX237*BX251*'Key assumptions'!BX$48/1000</f>
        <v>-1194.4000010357877</v>
      </c>
      <c r="BY227" s="5">
        <f>SUM(BU227:BX227)</f>
        <v>-4754.9030742208015</v>
      </c>
      <c r="BZ227" s="12">
        <f>-BZ237*BZ251*'Key assumptions'!BZ$48/1000</f>
        <v>-1190.5271617359106</v>
      </c>
      <c r="CA227" s="12">
        <f>-CA237*CA251*'Key assumptions'!CA$48/1000</f>
        <v>-1185.753634130197</v>
      </c>
      <c r="CB227" s="12">
        <f>-CB237*CB251*'Key assumptions'!CB$48/1000</f>
        <v>-1190.5990847697731</v>
      </c>
      <c r="CC227" s="12">
        <f>-CC237*CC251*'Key assumptions'!CC$48/1000</f>
        <v>-1191.9175295856553</v>
      </c>
      <c r="CD227" s="5">
        <f>SUM(BZ227:CC227)</f>
        <v>-4758.7974102215358</v>
      </c>
      <c r="CG227" s="468">
        <v>2014</v>
      </c>
      <c r="CH227" s="115">
        <f t="shared" si="103"/>
        <v>7316.0000000000009</v>
      </c>
      <c r="CI227" s="634">
        <v>1</v>
      </c>
      <c r="CJ227" s="115">
        <v>10274.615373723671</v>
      </c>
      <c r="CK227" s="342">
        <f t="shared" si="104"/>
        <v>7316.0000000000009</v>
      </c>
      <c r="CL227" s="115">
        <f t="shared" si="105"/>
        <v>-2958.61537372367</v>
      </c>
    </row>
    <row r="228" spans="1:90">
      <c r="A228" s="4" t="s">
        <v>610</v>
      </c>
      <c r="B228" s="5"/>
      <c r="C228" s="72"/>
      <c r="D228" s="72"/>
      <c r="E228" s="72"/>
      <c r="F228" s="72"/>
      <c r="G228" s="5">
        <f t="shared" si="107"/>
        <v>-200</v>
      </c>
      <c r="H228" s="93"/>
      <c r="I228" s="93"/>
      <c r="J228" s="93"/>
      <c r="K228" s="93"/>
      <c r="L228" s="5">
        <f t="shared" si="108"/>
        <v>1880</v>
      </c>
      <c r="M228" s="93"/>
      <c r="N228" s="93"/>
      <c r="O228" s="93"/>
      <c r="P228" s="93"/>
      <c r="Q228" s="5">
        <f t="shared" si="109"/>
        <v>451</v>
      </c>
      <c r="R228" s="93"/>
      <c r="S228" s="93"/>
      <c r="T228" s="93"/>
      <c r="U228" s="93"/>
      <c r="V228" s="5">
        <f t="shared" si="110"/>
        <v>-310</v>
      </c>
      <c r="W228" s="93"/>
      <c r="X228" s="93"/>
      <c r="Y228" s="93"/>
      <c r="Z228" s="93"/>
      <c r="AA228" s="5">
        <f t="shared" si="111"/>
        <v>208</v>
      </c>
      <c r="AB228" s="93"/>
      <c r="AC228" s="93"/>
      <c r="AD228" s="93"/>
      <c r="AE228" s="93"/>
      <c r="AF228" s="5">
        <f t="shared" si="112"/>
        <v>3631</v>
      </c>
      <c r="AG228" s="93"/>
      <c r="AH228" s="93"/>
      <c r="AI228" s="93"/>
      <c r="AJ228" s="93"/>
      <c r="AK228" s="5">
        <f t="shared" si="113"/>
        <v>477</v>
      </c>
      <c r="AL228" s="93"/>
      <c r="AM228" s="93"/>
      <c r="AN228" s="93"/>
      <c r="AO228" s="93"/>
      <c r="AP228" s="5">
        <f t="shared" si="114"/>
        <v>3478</v>
      </c>
      <c r="AQ228" s="93"/>
      <c r="AR228" s="93"/>
      <c r="AS228" s="93"/>
      <c r="AT228" s="93"/>
      <c r="AU228" s="5">
        <f t="shared" si="115"/>
        <v>80</v>
      </c>
      <c r="AV228" s="93"/>
      <c r="AW228" s="93"/>
      <c r="AX228" s="93"/>
      <c r="AY228" s="93"/>
      <c r="AZ228" s="5">
        <f t="shared" si="116"/>
        <v>28</v>
      </c>
      <c r="BA228" s="93"/>
      <c r="BB228" s="93"/>
      <c r="BC228" s="93"/>
      <c r="BD228" s="93"/>
      <c r="BE228" s="5">
        <f t="shared" si="117"/>
        <v>-340</v>
      </c>
      <c r="BF228" s="93"/>
      <c r="BG228" s="93"/>
      <c r="BH228" s="93"/>
      <c r="BI228" s="93"/>
      <c r="BJ228" s="5">
        <f t="shared" si="118"/>
        <v>632</v>
      </c>
      <c r="BK228" s="93"/>
      <c r="BL228" s="93"/>
      <c r="BM228" s="93"/>
      <c r="BN228" s="93"/>
      <c r="BO228" s="5">
        <f t="shared" si="119"/>
        <v>-86</v>
      </c>
      <c r="BP228" s="12">
        <f>BT228/4</f>
        <v>0</v>
      </c>
      <c r="BQ228" s="12">
        <f>(BT228-BP228)/3</f>
        <v>0</v>
      </c>
      <c r="BR228" s="12">
        <f>(BT228-BP228-BQ228)/2</f>
        <v>0</v>
      </c>
      <c r="BS228" s="12">
        <f>BT228-SUM(BP228:BR228)</f>
        <v>0</v>
      </c>
      <c r="BT228" s="147">
        <v>0</v>
      </c>
      <c r="BU228" s="12">
        <f>BY228/4</f>
        <v>0</v>
      </c>
      <c r="BV228" s="12">
        <f>(BY228-BU228)/3</f>
        <v>0</v>
      </c>
      <c r="BW228" s="12">
        <f>(BY228-BU228-BV228)/2</f>
        <v>0</v>
      </c>
      <c r="BX228" s="12">
        <f>BY228-SUM(BU228:BW228)</f>
        <v>0</v>
      </c>
      <c r="BY228" s="147">
        <v>0</v>
      </c>
      <c r="BZ228" s="12">
        <f>CD228/4</f>
        <v>0</v>
      </c>
      <c r="CA228" s="12">
        <f>(CD228-BZ228)/3</f>
        <v>0</v>
      </c>
      <c r="CB228" s="12">
        <f>(CD228-BZ228-CA228)/2</f>
        <v>0</v>
      </c>
      <c r="CC228" s="12">
        <f>CD228-SUM(BZ228:CB228)</f>
        <v>0</v>
      </c>
      <c r="CD228" s="147">
        <v>0</v>
      </c>
      <c r="CG228" s="468">
        <v>2015</v>
      </c>
      <c r="CH228" s="115">
        <f t="shared" si="103"/>
        <v>3379.0000000000005</v>
      </c>
      <c r="CI228" s="634">
        <v>1</v>
      </c>
      <c r="CJ228" s="115">
        <v>4794.4440587188092</v>
      </c>
      <c r="CK228" s="342">
        <f t="shared" si="104"/>
        <v>3379.0000000000005</v>
      </c>
      <c r="CL228" s="115">
        <f t="shared" si="105"/>
        <v>-1415.4440587188087</v>
      </c>
    </row>
    <row r="229" spans="1:90">
      <c r="A229" s="7" t="s">
        <v>2160</v>
      </c>
      <c r="B229" s="8"/>
      <c r="C229" s="73">
        <f>C221+SUM(C223:C228)</f>
        <v>0</v>
      </c>
      <c r="D229" s="73">
        <f>D221+SUM(D223:D228)</f>
        <v>0</v>
      </c>
      <c r="E229" s="73">
        <f>E221+SUM(E223:E228)</f>
        <v>0</v>
      </c>
      <c r="F229" s="73">
        <f>F221+SUM(F223:F228)</f>
        <v>0</v>
      </c>
      <c r="G229" s="8">
        <f>G221+SUM(G223:G228)</f>
        <v>9960.6666666666679</v>
      </c>
      <c r="H229" s="93"/>
      <c r="I229" s="93"/>
      <c r="J229" s="93"/>
      <c r="K229" s="93"/>
      <c r="L229" s="8">
        <f>L221+SUM(L223:L228)</f>
        <v>9762</v>
      </c>
      <c r="M229" s="93"/>
      <c r="N229" s="93"/>
      <c r="O229" s="93"/>
      <c r="P229" s="93"/>
      <c r="Q229" s="8">
        <f>Q221+SUM(Q223:Q228)</f>
        <v>7607</v>
      </c>
      <c r="R229" s="93"/>
      <c r="S229" s="93"/>
      <c r="T229" s="93"/>
      <c r="U229" s="93"/>
      <c r="V229" s="8">
        <f>V221+SUM(V223:V228)</f>
        <v>11768</v>
      </c>
      <c r="W229" s="93"/>
      <c r="X229" s="93"/>
      <c r="Y229" s="93"/>
      <c r="Z229" s="93"/>
      <c r="AA229" s="8">
        <f>AA221+SUM(AA223:AA228)</f>
        <v>5840</v>
      </c>
      <c r="AB229" s="93"/>
      <c r="AC229" s="93"/>
      <c r="AD229" s="93"/>
      <c r="AE229" s="93"/>
      <c r="AF229" s="8">
        <f>AF221+SUM(AF223:AF228)</f>
        <v>12246</v>
      </c>
      <c r="AG229" s="93"/>
      <c r="AH229" s="93"/>
      <c r="AI229" s="93"/>
      <c r="AJ229" s="93"/>
      <c r="AK229" s="8">
        <f>AK221+SUM(AK223:AK228)</f>
        <v>6243</v>
      </c>
      <c r="AL229" s="93"/>
      <c r="AM229" s="93"/>
      <c r="AN229" s="93"/>
      <c r="AO229" s="93"/>
      <c r="AP229" s="8">
        <f>AP221+SUM(AP223:AP228)</f>
        <v>6852</v>
      </c>
      <c r="AQ229" s="93"/>
      <c r="AR229" s="93"/>
      <c r="AS229" s="93"/>
      <c r="AT229" s="93"/>
      <c r="AU229" s="8">
        <f>AU221+SUM(AU223:AU228)</f>
        <v>3204</v>
      </c>
      <c r="AV229" s="93"/>
      <c r="AW229" s="93"/>
      <c r="AX229" s="93"/>
      <c r="AY229" s="93"/>
      <c r="AZ229" s="8">
        <f>AZ221+SUM(AZ223:AZ228)</f>
        <v>3462</v>
      </c>
      <c r="BA229" s="93"/>
      <c r="BB229" s="93"/>
      <c r="BC229" s="93"/>
      <c r="BD229" s="93"/>
      <c r="BE229" s="8">
        <f t="shared" ref="BE229" si="120">BE221+SUM(BE223:BE228)</f>
        <v>-2575</v>
      </c>
      <c r="BF229" s="93"/>
      <c r="BG229" s="93"/>
      <c r="BH229" s="93"/>
      <c r="BI229" s="93"/>
      <c r="BJ229" s="8">
        <f t="shared" ref="BJ229" si="121">BJ221+SUM(BJ223:BJ228)</f>
        <v>-1713</v>
      </c>
      <c r="BK229" s="93"/>
      <c r="BL229" s="93"/>
      <c r="BM229" s="93"/>
      <c r="BN229" s="93"/>
      <c r="BO229" s="8">
        <f t="shared" ref="BO229" si="122">BO221+SUM(BO223:BO228)</f>
        <v>1140</v>
      </c>
      <c r="BP229" s="66">
        <f t="shared" ref="BP229:CD229" si="123">BP221+SUM(BP223:BP228)</f>
        <v>795.09695664090441</v>
      </c>
      <c r="BQ229" s="66">
        <f t="shared" si="123"/>
        <v>860.95852821953213</v>
      </c>
      <c r="BR229" s="66">
        <f t="shared" si="123"/>
        <v>838.66383969569642</v>
      </c>
      <c r="BS229" s="66">
        <f t="shared" si="123"/>
        <v>812.60634960039442</v>
      </c>
      <c r="BT229" s="8">
        <f t="shared" si="123"/>
        <v>3307.3256741565274</v>
      </c>
      <c r="BU229" s="66">
        <f t="shared" si="123"/>
        <v>598.54838608507771</v>
      </c>
      <c r="BV229" s="66">
        <f t="shared" si="123"/>
        <v>613.64414376744708</v>
      </c>
      <c r="BW229" s="66">
        <f t="shared" si="123"/>
        <v>630.93483820532083</v>
      </c>
      <c r="BX229" s="66">
        <f t="shared" si="123"/>
        <v>630.0964241809761</v>
      </c>
      <c r="BY229" s="8">
        <f t="shared" si="123"/>
        <v>2473.2237922388231</v>
      </c>
      <c r="BZ229" s="66">
        <f t="shared" si="123"/>
        <v>533.4074003833357</v>
      </c>
      <c r="CA229" s="66">
        <f t="shared" si="123"/>
        <v>585.27099196220206</v>
      </c>
      <c r="CB229" s="66">
        <f t="shared" si="123"/>
        <v>619.90709988355684</v>
      </c>
      <c r="CC229" s="66">
        <f t="shared" si="123"/>
        <v>636.8793391839622</v>
      </c>
      <c r="CD229" s="8">
        <f t="shared" si="123"/>
        <v>2375.4648314130573</v>
      </c>
      <c r="CG229" s="468">
        <v>2016</v>
      </c>
      <c r="CH229" s="115">
        <f t="shared" si="103"/>
        <v>2857</v>
      </c>
      <c r="CI229" s="634">
        <v>1</v>
      </c>
      <c r="CJ229" s="115">
        <v>4366.1134355220765</v>
      </c>
      <c r="CK229" s="342">
        <f t="shared" si="104"/>
        <v>2857</v>
      </c>
      <c r="CL229" s="115">
        <f t="shared" si="105"/>
        <v>-1509.1134355220765</v>
      </c>
    </row>
    <row r="230" spans="1:90">
      <c r="A230" s="4"/>
      <c r="B230" s="5"/>
      <c r="C230" s="72"/>
      <c r="D230" s="72"/>
      <c r="E230" s="72"/>
      <c r="F230" s="72"/>
      <c r="G230" s="5"/>
      <c r="H230" s="12"/>
      <c r="I230" s="12"/>
      <c r="J230" s="12"/>
      <c r="K230" s="12"/>
      <c r="L230" s="5"/>
      <c r="M230" s="12"/>
      <c r="N230" s="12"/>
      <c r="O230" s="12"/>
      <c r="P230" s="12"/>
      <c r="Q230" s="5"/>
      <c r="R230" s="12"/>
      <c r="S230" s="12"/>
      <c r="T230" s="12"/>
      <c r="U230" s="12"/>
      <c r="V230" s="5"/>
      <c r="W230" s="12"/>
      <c r="X230" s="12"/>
      <c r="Y230" s="12"/>
      <c r="Z230" s="12"/>
      <c r="AA230" s="5"/>
      <c r="AB230" s="12"/>
      <c r="AC230" s="12"/>
      <c r="AD230" s="12"/>
      <c r="AE230" s="12"/>
      <c r="AF230" s="5"/>
      <c r="AG230" s="12"/>
      <c r="AH230" s="12"/>
      <c r="AI230" s="12"/>
      <c r="AJ230" s="12"/>
      <c r="AK230" s="5"/>
      <c r="AL230" s="12"/>
      <c r="AM230" s="12"/>
      <c r="AN230" s="12"/>
      <c r="AO230" s="12"/>
      <c r="AP230" s="5"/>
      <c r="AQ230" s="12"/>
      <c r="AR230" s="12"/>
      <c r="AS230" s="12"/>
      <c r="AT230" s="12"/>
      <c r="AU230" s="5"/>
      <c r="AV230" s="12"/>
      <c r="AW230" s="12"/>
      <c r="AX230" s="12"/>
      <c r="AY230" s="12"/>
      <c r="AZ230" s="5"/>
      <c r="BA230" s="12"/>
      <c r="BB230" s="12"/>
      <c r="BC230" s="12"/>
      <c r="BD230" s="12"/>
      <c r="BE230" s="5"/>
      <c r="BF230" s="12"/>
      <c r="BG230" s="12"/>
      <c r="BH230" s="12"/>
      <c r="BI230" s="12"/>
      <c r="BJ230" s="5"/>
      <c r="BK230" s="12"/>
      <c r="BL230" s="12"/>
      <c r="BM230" s="12"/>
      <c r="BN230" s="12"/>
      <c r="BO230" s="5"/>
      <c r="BP230" s="12"/>
      <c r="BQ230" s="12"/>
      <c r="BR230" s="12"/>
      <c r="BS230" s="12"/>
      <c r="BT230" s="5"/>
      <c r="BU230" s="12"/>
      <c r="BV230" s="12"/>
      <c r="BW230" s="12"/>
      <c r="BX230" s="12"/>
      <c r="BY230" s="5"/>
      <c r="BZ230" s="12"/>
      <c r="CA230" s="12"/>
      <c r="CB230" s="12"/>
      <c r="CC230" s="12"/>
      <c r="CD230" s="5"/>
      <c r="CG230" s="468">
        <v>2017</v>
      </c>
      <c r="CH230" s="115">
        <f t="shared" si="103"/>
        <v>7740.0000000000009</v>
      </c>
      <c r="CI230" s="634">
        <v>1</v>
      </c>
      <c r="CJ230" s="115">
        <v>5179.2524768236635</v>
      </c>
      <c r="CK230" s="342">
        <f t="shared" si="104"/>
        <v>7740.0000000000009</v>
      </c>
      <c r="CL230" s="115">
        <f t="shared" si="105"/>
        <v>2560.7475231763374</v>
      </c>
    </row>
    <row r="231" spans="1:90">
      <c r="A231" s="4" t="s">
        <v>2152</v>
      </c>
      <c r="B231" s="5"/>
      <c r="C231" s="72"/>
      <c r="D231" s="72"/>
      <c r="E231" s="72"/>
      <c r="F231" s="72"/>
      <c r="G231" s="5">
        <f>SUM(G193,G212)</f>
        <v>-3567.1666666666665</v>
      </c>
      <c r="H231" s="93"/>
      <c r="I231" s="93"/>
      <c r="J231" s="93"/>
      <c r="K231" s="93"/>
      <c r="L231" s="5">
        <f>SUM(L193,L212)</f>
        <v>-3223</v>
      </c>
      <c r="M231" s="93"/>
      <c r="N231" s="93"/>
      <c r="O231" s="93"/>
      <c r="P231" s="93"/>
      <c r="Q231" s="5">
        <f>SUM(Q193,Q212)</f>
        <v>-2595</v>
      </c>
      <c r="R231" s="93"/>
      <c r="S231" s="93"/>
      <c r="T231" s="93"/>
      <c r="U231" s="93"/>
      <c r="V231" s="5">
        <f>SUM(V193,V212)</f>
        <v>-4062</v>
      </c>
      <c r="W231" s="93"/>
      <c r="X231" s="93"/>
      <c r="Y231" s="93"/>
      <c r="Z231" s="93"/>
      <c r="AA231" s="5">
        <f>SUM(AA193,AA212)</f>
        <v>-1844</v>
      </c>
      <c r="AB231" s="93"/>
      <c r="AC231" s="93"/>
      <c r="AD231" s="93"/>
      <c r="AE231" s="93"/>
      <c r="AF231" s="5">
        <f>SUM(AF193,AF212)</f>
        <v>-4114</v>
      </c>
      <c r="AG231" s="93"/>
      <c r="AH231" s="93"/>
      <c r="AI231" s="93"/>
      <c r="AJ231" s="93"/>
      <c r="AK231" s="5">
        <f>SUM(AK193,AK212)</f>
        <v>-1993</v>
      </c>
      <c r="AL231" s="93"/>
      <c r="AM231" s="93"/>
      <c r="AN231" s="93"/>
      <c r="AO231" s="93"/>
      <c r="AP231" s="5">
        <f>SUM(AP193,AP212)</f>
        <v>-2695</v>
      </c>
      <c r="AQ231" s="93"/>
      <c r="AR231" s="93"/>
      <c r="AS231" s="93"/>
      <c r="AT231" s="93"/>
      <c r="AU231" s="5">
        <f>SUM(AU193,AU212)</f>
        <v>-1178</v>
      </c>
      <c r="AV231" s="93"/>
      <c r="AW231" s="93"/>
      <c r="AX231" s="93"/>
      <c r="AY231" s="93"/>
      <c r="AZ231" s="5">
        <f>SUM(AZ193,AZ212)</f>
        <v>-1284</v>
      </c>
      <c r="BA231" s="93"/>
      <c r="BB231" s="93"/>
      <c r="BC231" s="93"/>
      <c r="BD231" s="93"/>
      <c r="BE231" s="5">
        <f>SUM(BE193,BE212)</f>
        <v>862</v>
      </c>
      <c r="BF231" s="93"/>
      <c r="BG231" s="93"/>
      <c r="BH231" s="93"/>
      <c r="BI231" s="93"/>
      <c r="BJ231" s="5">
        <f>SUM(BJ193,BJ212)</f>
        <v>442</v>
      </c>
      <c r="BK231" s="93"/>
      <c r="BL231" s="93"/>
      <c r="BM231" s="93"/>
      <c r="BN231" s="93"/>
      <c r="BO231" s="5">
        <f>SUM(BO193,BO212)</f>
        <v>1839</v>
      </c>
      <c r="BP231" s="12">
        <f>-BP229*BP266</f>
        <v>-284.01932518792569</v>
      </c>
      <c r="BQ231" s="12">
        <f>-BQ229*BQ266</f>
        <v>-307.54596424664669</v>
      </c>
      <c r="BR231" s="12">
        <f>-BR229*BR266</f>
        <v>-299.58200169223505</v>
      </c>
      <c r="BS231" s="12">
        <f>-BS229*BS266</f>
        <v>-290.27391581523023</v>
      </c>
      <c r="BT231" s="5">
        <f>SUM(BP231:BS231)</f>
        <v>-1181.4212069420378</v>
      </c>
      <c r="BU231" s="12">
        <f>-BU229*BU266</f>
        <v>-218.11248604000758</v>
      </c>
      <c r="BV231" s="12">
        <f>-BV229*BV266</f>
        <v>-223.61341681403377</v>
      </c>
      <c r="BW231" s="12">
        <f>-BW229*BW266</f>
        <v>-229.9141878742814</v>
      </c>
      <c r="BX231" s="12">
        <f>-BX229*BX266</f>
        <v>-229.60866776691509</v>
      </c>
      <c r="BY231" s="5">
        <f>SUM(BU231:BX231)</f>
        <v>-901.24875849523789</v>
      </c>
      <c r="BZ231" s="12">
        <f>-BZ229*BZ266</f>
        <v>-195.0006901856072</v>
      </c>
      <c r="CA231" s="12">
        <f>-CA229*CA266</f>
        <v>-213.96074988128319</v>
      </c>
      <c r="CB231" s="12">
        <f>-CB229*CB266</f>
        <v>-226.62286320245855</v>
      </c>
      <c r="CC231" s="12">
        <f>-CC229*CC266</f>
        <v>-232.82749848722565</v>
      </c>
      <c r="CD231" s="5">
        <f>SUM(BZ231:CC231)</f>
        <v>-868.41180175657462</v>
      </c>
      <c r="CG231" s="468">
        <v>2018</v>
      </c>
      <c r="CH231" s="115">
        <f t="shared" si="103"/>
        <v>7115.8720347799244</v>
      </c>
      <c r="CI231" s="634">
        <v>1</v>
      </c>
      <c r="CJ231" s="115">
        <v>6223.4949407490321</v>
      </c>
      <c r="CK231" s="342">
        <f t="shared" si="104"/>
        <v>7115.8720347799244</v>
      </c>
      <c r="CL231" s="115">
        <f t="shared" si="105"/>
        <v>892.37709403089229</v>
      </c>
    </row>
    <row r="232" spans="1:90">
      <c r="A232" s="14" t="s">
        <v>2153</v>
      </c>
      <c r="B232" s="15"/>
      <c r="C232" s="74">
        <f>SUM(C229,C231)</f>
        <v>0</v>
      </c>
      <c r="D232" s="74">
        <f>SUM(D229,D231)</f>
        <v>0</v>
      </c>
      <c r="E232" s="74">
        <f>SUM(E229,E231)</f>
        <v>0</v>
      </c>
      <c r="F232" s="74">
        <f>SUM(F229,F231)</f>
        <v>0</v>
      </c>
      <c r="G232" s="15">
        <f>SUM(G229,G231)</f>
        <v>6393.5000000000018</v>
      </c>
      <c r="H232" s="378"/>
      <c r="I232" s="378"/>
      <c r="J232" s="378"/>
      <c r="K232" s="378"/>
      <c r="L232" s="15">
        <f>SUM(L229,L231)</f>
        <v>6539</v>
      </c>
      <c r="M232" s="378"/>
      <c r="N232" s="378"/>
      <c r="O232" s="378"/>
      <c r="P232" s="378"/>
      <c r="Q232" s="15">
        <f>SUM(Q229,Q231)</f>
        <v>5012</v>
      </c>
      <c r="R232" s="378"/>
      <c r="S232" s="378"/>
      <c r="T232" s="378"/>
      <c r="U232" s="378"/>
      <c r="V232" s="15">
        <f>SUM(V229,V231)</f>
        <v>7706</v>
      </c>
      <c r="W232" s="378"/>
      <c r="X232" s="378"/>
      <c r="Y232" s="378"/>
      <c r="Z232" s="378"/>
      <c r="AA232" s="15">
        <f>SUM(AA229,AA231)</f>
        <v>3996</v>
      </c>
      <c r="AB232" s="378"/>
      <c r="AC232" s="378"/>
      <c r="AD232" s="378"/>
      <c r="AE232" s="378"/>
      <c r="AF232" s="15">
        <f>SUM(AF229,AF231)</f>
        <v>8132</v>
      </c>
      <c r="AG232" s="378"/>
      <c r="AH232" s="378"/>
      <c r="AI232" s="378"/>
      <c r="AJ232" s="378"/>
      <c r="AK232" s="15">
        <f>SUM(AK229,AK231)</f>
        <v>4250</v>
      </c>
      <c r="AL232" s="378"/>
      <c r="AM232" s="378"/>
      <c r="AN232" s="378"/>
      <c r="AO232" s="378"/>
      <c r="AP232" s="15">
        <f>SUM(AP229,AP231)</f>
        <v>4157</v>
      </c>
      <c r="AQ232" s="378"/>
      <c r="AR232" s="378"/>
      <c r="AS232" s="378"/>
      <c r="AT232" s="378"/>
      <c r="AU232" s="15">
        <f>SUM(AU229,AU231)</f>
        <v>2026</v>
      </c>
      <c r="AV232" s="378"/>
      <c r="AW232" s="378"/>
      <c r="AX232" s="378"/>
      <c r="AY232" s="378"/>
      <c r="AZ232" s="15">
        <f>SUM(AZ229,AZ231)</f>
        <v>2178</v>
      </c>
      <c r="BA232" s="378"/>
      <c r="BB232" s="378"/>
      <c r="BC232" s="378"/>
      <c r="BD232" s="378"/>
      <c r="BE232" s="15">
        <f t="shared" ref="BE232" si="124">SUM(BE229,BE231)</f>
        <v>-1713</v>
      </c>
      <c r="BF232" s="378"/>
      <c r="BG232" s="378"/>
      <c r="BH232" s="378"/>
      <c r="BI232" s="378"/>
      <c r="BJ232" s="15">
        <f t="shared" ref="BJ232" si="125">SUM(BJ229,BJ231)</f>
        <v>-1271</v>
      </c>
      <c r="BK232" s="378"/>
      <c r="BL232" s="378"/>
      <c r="BM232" s="378"/>
      <c r="BN232" s="378"/>
      <c r="BO232" s="15">
        <f t="shared" ref="BO232" si="126">SUM(BO229,BO231)</f>
        <v>2979</v>
      </c>
      <c r="BP232" s="67">
        <f t="shared" ref="BP232:CD232" si="127">SUM(BP229,BP231)</f>
        <v>511.07763145297872</v>
      </c>
      <c r="BQ232" s="67">
        <f t="shared" si="127"/>
        <v>553.41256397288544</v>
      </c>
      <c r="BR232" s="67">
        <f t="shared" si="127"/>
        <v>539.08183800346137</v>
      </c>
      <c r="BS232" s="67">
        <f t="shared" si="127"/>
        <v>522.3324337851642</v>
      </c>
      <c r="BT232" s="15">
        <f t="shared" si="127"/>
        <v>2125.9044672144896</v>
      </c>
      <c r="BU232" s="67">
        <f t="shared" si="127"/>
        <v>380.43590004507013</v>
      </c>
      <c r="BV232" s="67">
        <f t="shared" si="127"/>
        <v>390.03072695341331</v>
      </c>
      <c r="BW232" s="67">
        <f t="shared" si="127"/>
        <v>401.02065033103941</v>
      </c>
      <c r="BX232" s="67">
        <f t="shared" si="127"/>
        <v>400.48775641406098</v>
      </c>
      <c r="BY232" s="15">
        <f t="shared" si="127"/>
        <v>1571.9750337435853</v>
      </c>
      <c r="BZ232" s="67">
        <f t="shared" si="127"/>
        <v>338.4067101977285</v>
      </c>
      <c r="CA232" s="67">
        <f t="shared" si="127"/>
        <v>371.3102420809189</v>
      </c>
      <c r="CB232" s="67">
        <f t="shared" si="127"/>
        <v>393.28423668109826</v>
      </c>
      <c r="CC232" s="67">
        <f t="shared" si="127"/>
        <v>404.05184069673658</v>
      </c>
      <c r="CD232" s="15">
        <f t="shared" si="127"/>
        <v>1507.0530296564825</v>
      </c>
      <c r="CG232" s="468">
        <v>2019</v>
      </c>
      <c r="CH232" s="115">
        <f t="shared" si="103"/>
        <v>6670.5374412977189</v>
      </c>
      <c r="CI232" s="634">
        <v>1</v>
      </c>
      <c r="CJ232" s="115">
        <v>5950.6835344460851</v>
      </c>
      <c r="CK232" s="342">
        <f t="shared" si="104"/>
        <v>6670.5374412977189</v>
      </c>
      <c r="CL232" s="115">
        <f t="shared" si="105"/>
        <v>719.85390685163384</v>
      </c>
    </row>
    <row r="233" spans="1:90">
      <c r="A233" s="5"/>
      <c r="B233" s="5"/>
      <c r="C233" s="5"/>
      <c r="D233" s="5"/>
      <c r="E233" s="5"/>
      <c r="F233" s="5"/>
      <c r="G233" s="5"/>
      <c r="H233" s="76"/>
      <c r="I233" s="76"/>
      <c r="J233" s="76"/>
      <c r="K233" s="76"/>
      <c r="L233" s="5"/>
      <c r="M233" s="76"/>
      <c r="N233" s="76"/>
      <c r="O233" s="76"/>
      <c r="P233" s="76"/>
      <c r="Q233" s="5"/>
      <c r="R233" s="76"/>
      <c r="S233" s="76"/>
      <c r="T233" s="76"/>
      <c r="U233" s="76"/>
      <c r="V233" s="5"/>
      <c r="W233" s="76"/>
      <c r="X233" s="76"/>
      <c r="Y233" s="76"/>
      <c r="Z233" s="76"/>
      <c r="AA233" s="5"/>
      <c r="AB233" s="76"/>
      <c r="AC233" s="76"/>
      <c r="AD233" s="76"/>
      <c r="AE233" s="76"/>
      <c r="AF233" s="5"/>
      <c r="AG233" s="76"/>
      <c r="AH233" s="76"/>
      <c r="AI233" s="76"/>
      <c r="AJ233" s="76"/>
      <c r="AK233" s="5"/>
      <c r="AL233" s="76"/>
      <c r="AM233" s="76"/>
      <c r="AN233" s="76"/>
      <c r="AO233" s="76"/>
      <c r="AP233" s="5"/>
      <c r="AQ233" s="76"/>
      <c r="AR233" s="76"/>
      <c r="AS233" s="76"/>
      <c r="AT233" s="76"/>
      <c r="AU233" s="5"/>
      <c r="AV233" s="76"/>
      <c r="AW233" s="76"/>
      <c r="AX233" s="76"/>
      <c r="AY233" s="76"/>
      <c r="AZ233" s="5"/>
      <c r="BA233" s="76"/>
      <c r="BB233" s="76"/>
      <c r="BC233" s="76"/>
      <c r="BD233" s="76"/>
      <c r="BE233" s="5"/>
      <c r="BF233" s="76"/>
      <c r="BG233" s="76"/>
      <c r="BH233" s="76"/>
      <c r="BI233" s="76"/>
      <c r="BJ233" s="5"/>
      <c r="BK233" s="76"/>
      <c r="BL233" s="76"/>
      <c r="BM233" s="76"/>
      <c r="BN233" s="76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G233" s="468">
        <v>2020</v>
      </c>
      <c r="CH233" s="115">
        <f t="shared" si="103"/>
        <v>6487.1624398780186</v>
      </c>
      <c r="CI233" s="634">
        <v>1</v>
      </c>
      <c r="CJ233" s="115">
        <v>5872.2782976841418</v>
      </c>
      <c r="CK233" s="342">
        <f t="shared" si="104"/>
        <v>6487.1624398780186</v>
      </c>
      <c r="CL233" s="115">
        <f t="shared" si="105"/>
        <v>614.88414219387687</v>
      </c>
    </row>
    <row r="234" spans="1:90" hidden="1" outlineLevel="1">
      <c r="A234" s="39" t="s">
        <v>196</v>
      </c>
      <c r="B234" s="11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12"/>
      <c r="BQ234" s="12"/>
      <c r="BR234" s="12"/>
      <c r="BS234" s="12"/>
      <c r="BT234" s="5"/>
      <c r="BU234" s="12"/>
      <c r="BV234" s="12"/>
      <c r="BW234" s="12"/>
      <c r="BX234" s="12"/>
      <c r="BY234" s="5"/>
      <c r="BZ234" s="12"/>
      <c r="CA234" s="12"/>
      <c r="CB234" s="12"/>
      <c r="CC234" s="12"/>
      <c r="CD234" s="5"/>
    </row>
    <row r="235" spans="1:90" hidden="1" outlineLevel="1">
      <c r="A235" s="11"/>
      <c r="B235" s="11" t="s">
        <v>932</v>
      </c>
      <c r="C235" s="5">
        <f>'Production - Oil'!C19</f>
        <v>762</v>
      </c>
      <c r="D235" s="5">
        <f>'Production - Oil'!D19</f>
        <v>781</v>
      </c>
      <c r="E235" s="5">
        <f>'Production - Oil'!E19</f>
        <v>739</v>
      </c>
      <c r="F235" s="5">
        <f>'Production - Oil'!F19</f>
        <v>677</v>
      </c>
      <c r="G235" s="5">
        <f>'Production - Oil'!G19</f>
        <v>622</v>
      </c>
      <c r="H235" s="93"/>
      <c r="I235" s="93"/>
      <c r="J235" s="93"/>
      <c r="K235" s="93"/>
      <c r="L235" s="5">
        <f>'Production - Oil'!L19</f>
        <v>555</v>
      </c>
      <c r="M235" s="93"/>
      <c r="N235" s="93"/>
      <c r="O235" s="93"/>
      <c r="P235" s="93"/>
      <c r="Q235" s="5">
        <f>'Production - Oil'!Q19</f>
        <v>521</v>
      </c>
      <c r="R235" s="93"/>
      <c r="S235" s="93"/>
      <c r="T235" s="93"/>
      <c r="U235" s="93"/>
      <c r="V235" s="5">
        <f>'Production - Oil'!V19</f>
        <v>547</v>
      </c>
      <c r="W235" s="93"/>
      <c r="X235" s="93"/>
      <c r="Y235" s="93"/>
      <c r="Z235" s="93"/>
      <c r="AA235" s="5">
        <f>'Production - Oil'!AA19</f>
        <v>673</v>
      </c>
      <c r="AB235" s="93"/>
      <c r="AC235" s="93"/>
      <c r="AD235" s="93"/>
      <c r="AE235" s="93"/>
      <c r="AF235" s="5">
        <f>'Production - Oil'!AF19</f>
        <v>601</v>
      </c>
      <c r="AG235" s="93"/>
      <c r="AH235" s="93"/>
      <c r="AI235" s="93"/>
      <c r="AJ235" s="93"/>
      <c r="AK235" s="5">
        <f>'Production - Oil'!AK19</f>
        <v>455</v>
      </c>
      <c r="AL235" s="93"/>
      <c r="AM235" s="93"/>
      <c r="AN235" s="93"/>
      <c r="AO235" s="93"/>
      <c r="AP235" s="5">
        <f>'Production - Oil'!AP19</f>
        <v>391</v>
      </c>
      <c r="AQ235" s="93"/>
      <c r="AR235" s="93"/>
      <c r="AS235" s="93"/>
      <c r="AT235" s="93"/>
      <c r="AU235" s="5">
        <f>'Production - Oil'!AU19</f>
        <v>363</v>
      </c>
      <c r="AV235" s="93"/>
      <c r="AW235" s="93"/>
      <c r="AX235" s="93"/>
      <c r="AY235" s="93"/>
      <c r="AZ235" s="5">
        <f>'Production - Oil'!AZ19</f>
        <v>410</v>
      </c>
      <c r="BA235" s="93"/>
      <c r="BB235" s="93"/>
      <c r="BC235" s="93"/>
      <c r="BD235" s="93"/>
      <c r="BE235" s="5">
        <f>'Production - Oil'!BE19</f>
        <v>383</v>
      </c>
      <c r="BF235" s="93"/>
      <c r="BG235" s="93"/>
      <c r="BH235" s="93"/>
      <c r="BI235" s="93"/>
      <c r="BJ235" s="5">
        <f>'Production - Oil'!BJ19</f>
        <v>403</v>
      </c>
      <c r="BK235" s="93"/>
      <c r="BL235" s="93"/>
      <c r="BM235" s="93"/>
      <c r="BN235" s="93"/>
      <c r="BO235" s="5">
        <f>'Production - Oil'!BO19</f>
        <v>446</v>
      </c>
      <c r="BP235" s="12">
        <f>'Production - Oil'!BP19</f>
        <v>471.14931999999999</v>
      </c>
      <c r="BQ235" s="12">
        <f>'Production - Oil'!BQ19</f>
        <v>471.14931999999999</v>
      </c>
      <c r="BR235" s="12">
        <f>'Production - Oil'!BR19</f>
        <v>471.14931999999999</v>
      </c>
      <c r="BS235" s="12">
        <f>'Production - Oil'!BS19</f>
        <v>471.14931999999999</v>
      </c>
      <c r="BT235" s="5">
        <f>'Production - Oil'!BT19</f>
        <v>471.14931999999999</v>
      </c>
      <c r="BU235" s="12">
        <f>'Production - Oil'!BU19</f>
        <v>467.6028</v>
      </c>
      <c r="BV235" s="12">
        <f>'Production - Oil'!BV19</f>
        <v>467.6028</v>
      </c>
      <c r="BW235" s="12">
        <f>'Production - Oil'!BW19</f>
        <v>467.6028</v>
      </c>
      <c r="BX235" s="12">
        <f>'Production - Oil'!BX19</f>
        <v>467.6028</v>
      </c>
      <c r="BY235" s="5">
        <f>'Production - Oil'!BY19</f>
        <v>467.6028</v>
      </c>
      <c r="BZ235" s="12">
        <f>'Production - Oil'!BZ19</f>
        <v>448.83024</v>
      </c>
      <c r="CA235" s="12">
        <f>'Production - Oil'!CA19</f>
        <v>448.83024</v>
      </c>
      <c r="CB235" s="12">
        <f>'Production - Oil'!CB19</f>
        <v>448.83024</v>
      </c>
      <c r="CC235" s="12">
        <f>'Production - Oil'!CC19</f>
        <v>448.83024</v>
      </c>
      <c r="CD235" s="5">
        <f>'Production - Oil'!CD19</f>
        <v>448.83024</v>
      </c>
    </row>
    <row r="236" spans="1:90" hidden="1" outlineLevel="1">
      <c r="A236" s="11"/>
      <c r="B236" s="11" t="s">
        <v>933</v>
      </c>
      <c r="C236" s="5">
        <f>'Production - Gas'!C19</f>
        <v>4138</v>
      </c>
      <c r="D236" s="5">
        <f>'Production - Gas'!D19</f>
        <v>3997</v>
      </c>
      <c r="E236" s="5">
        <f>'Production - Gas'!E19</f>
        <v>3550</v>
      </c>
      <c r="F236" s="5">
        <f>'Production - Gas'!F19</f>
        <v>3098</v>
      </c>
      <c r="G236" s="5">
        <f>'Production - Gas'!G19</f>
        <v>2853</v>
      </c>
      <c r="H236" s="93"/>
      <c r="I236" s="93"/>
      <c r="J236" s="93"/>
      <c r="K236" s="93"/>
      <c r="L236" s="5">
        <f>'Production - Gas'!L19</f>
        <v>2658</v>
      </c>
      <c r="M236" s="93"/>
      <c r="N236" s="93"/>
      <c r="O236" s="93"/>
      <c r="P236" s="93"/>
      <c r="Q236" s="5">
        <f>'Production - Gas'!Q19</f>
        <v>2429</v>
      </c>
      <c r="R236" s="93"/>
      <c r="S236" s="93"/>
      <c r="T236" s="93"/>
      <c r="U236" s="93"/>
      <c r="V236" s="5">
        <f>'Production - Gas'!V19</f>
        <v>2402</v>
      </c>
      <c r="W236" s="93"/>
      <c r="X236" s="93"/>
      <c r="Y236" s="93"/>
      <c r="Z236" s="93"/>
      <c r="AA236" s="5">
        <f>'Production - Gas'!AA19</f>
        <v>2579</v>
      </c>
      <c r="AB236" s="93"/>
      <c r="AC236" s="93"/>
      <c r="AD236" s="93"/>
      <c r="AE236" s="93"/>
      <c r="AF236" s="5">
        <f>'Production - Gas'!AF19</f>
        <v>2386</v>
      </c>
      <c r="AG236" s="93"/>
      <c r="AH236" s="93"/>
      <c r="AI236" s="93"/>
      <c r="AJ236" s="93"/>
      <c r="AK236" s="5">
        <f>'Production - Gas'!AK19</f>
        <v>1857</v>
      </c>
      <c r="AL236" s="93"/>
      <c r="AM236" s="93"/>
      <c r="AN236" s="93"/>
      <c r="AO236" s="93"/>
      <c r="AP236" s="5">
        <f>'Production - Gas'!AP19</f>
        <v>1664</v>
      </c>
      <c r="AQ236" s="93"/>
      <c r="AR236" s="93"/>
      <c r="AS236" s="93"/>
      <c r="AT236" s="93"/>
      <c r="AU236" s="5">
        <f>'Production - Gas'!AU19</f>
        <v>1551</v>
      </c>
      <c r="AV236" s="93"/>
      <c r="AW236" s="93"/>
      <c r="AX236" s="93"/>
      <c r="AY236" s="93"/>
      <c r="AZ236" s="5">
        <f>'Production - Gas'!AZ19</f>
        <v>1529</v>
      </c>
      <c r="BA236" s="93"/>
      <c r="BB236" s="93"/>
      <c r="BC236" s="93"/>
      <c r="BD236" s="93"/>
      <c r="BE236" s="5">
        <f>'Production - Gas'!BE19</f>
        <v>1538</v>
      </c>
      <c r="BF236" s="93"/>
      <c r="BG236" s="93"/>
      <c r="BH236" s="93"/>
      <c r="BI236" s="93"/>
      <c r="BJ236" s="5">
        <f>'Production - Gas'!BJ19</f>
        <v>1666</v>
      </c>
      <c r="BK236" s="93"/>
      <c r="BL236" s="93"/>
      <c r="BM236" s="93"/>
      <c r="BN236" s="93"/>
      <c r="BO236" s="5">
        <f>'Production - Gas'!BO19</f>
        <v>1667</v>
      </c>
      <c r="BP236" s="12">
        <f>'Production - Gas'!BP19</f>
        <v>1708.7106306339263</v>
      </c>
      <c r="BQ236" s="12">
        <f>'Production - Gas'!BQ19</f>
        <v>1692.5506138248659</v>
      </c>
      <c r="BR236" s="12">
        <f>'Production - Gas'!BR19</f>
        <v>1665.2377366346343</v>
      </c>
      <c r="BS236" s="12">
        <f>'Production - Gas'!BS19</f>
        <v>1669.6610189065732</v>
      </c>
      <c r="BT236" s="5">
        <f>'Production - Gas'!BT19</f>
        <v>1684.04</v>
      </c>
      <c r="BU236" s="12">
        <f>'Production - Gas'!BU19</f>
        <v>1859.4952177669907</v>
      </c>
      <c r="BV236" s="12">
        <f>'Production - Gas'!BV19</f>
        <v>1841.8878413050936</v>
      </c>
      <c r="BW236" s="12">
        <f>'Production - Gas'!BW19</f>
        <v>1812.061732425979</v>
      </c>
      <c r="BX236" s="12">
        <f>'Production - Gas'!BX19</f>
        <v>1816.8752085019373</v>
      </c>
      <c r="BY236" s="5">
        <f>'Production - Gas'!BY19</f>
        <v>1832.5800000000002</v>
      </c>
      <c r="BZ236" s="12">
        <f>'Production - Gas'!BZ19</f>
        <v>1911.6114658939343</v>
      </c>
      <c r="CA236" s="12">
        <f>'Production - Gas'!CA19</f>
        <v>1893.5088544341943</v>
      </c>
      <c r="CB236" s="12">
        <f>'Production - Gas'!CB19</f>
        <v>1862.8070493681967</v>
      </c>
      <c r="CC236" s="12">
        <f>'Production - Gas'!CC19</f>
        <v>1867.7526303036743</v>
      </c>
      <c r="CD236" s="5">
        <f>'Production - Gas'!CD19</f>
        <v>1883.9199999999998</v>
      </c>
    </row>
    <row r="237" spans="1:90" hidden="1" outlineLevel="1">
      <c r="A237" s="11"/>
      <c r="B237" s="39" t="s">
        <v>896</v>
      </c>
      <c r="C237" s="8">
        <f>C235+C236/5.8</f>
        <v>1475.4482758620688</v>
      </c>
      <c r="D237" s="8">
        <f>D235+D236/5.8</f>
        <v>1470.1379310344828</v>
      </c>
      <c r="E237" s="8">
        <f>E235+E236/5.8</f>
        <v>1351.0689655172414</v>
      </c>
      <c r="F237" s="8">
        <f>F235+F236/5.8</f>
        <v>1211.1379310344828</v>
      </c>
      <c r="G237" s="8">
        <f>G235+G236/5.8</f>
        <v>1113.8965517241379</v>
      </c>
      <c r="H237" s="93"/>
      <c r="I237" s="93"/>
      <c r="J237" s="93"/>
      <c r="K237" s="93"/>
      <c r="L237" s="8">
        <f>L235+L236/5.8</f>
        <v>1013.2758620689656</v>
      </c>
      <c r="M237" s="93"/>
      <c r="N237" s="93"/>
      <c r="O237" s="93"/>
      <c r="P237" s="93"/>
      <c r="Q237" s="8">
        <f>Q235+Q236/5.8</f>
        <v>939.79310344827582</v>
      </c>
      <c r="R237" s="93"/>
      <c r="S237" s="93"/>
      <c r="T237" s="93"/>
      <c r="U237" s="93"/>
      <c r="V237" s="8">
        <f>V235+V236/5.8</f>
        <v>961.13793103448279</v>
      </c>
      <c r="W237" s="93"/>
      <c r="X237" s="93"/>
      <c r="Y237" s="93"/>
      <c r="Z237" s="93"/>
      <c r="AA237" s="8">
        <f>AA235+AA236/5.8</f>
        <v>1117.655172413793</v>
      </c>
      <c r="AB237" s="93"/>
      <c r="AC237" s="93"/>
      <c r="AD237" s="93"/>
      <c r="AE237" s="93"/>
      <c r="AF237" s="8">
        <f>AF235+AF236/5.8</f>
        <v>1012.3793103448277</v>
      </c>
      <c r="AG237" s="93"/>
      <c r="AH237" s="93"/>
      <c r="AI237" s="93"/>
      <c r="AJ237" s="93"/>
      <c r="AK237" s="8">
        <f>AK235+AK236/5.8</f>
        <v>775.17241379310349</v>
      </c>
      <c r="AL237" s="93"/>
      <c r="AM237" s="93"/>
      <c r="AN237" s="93"/>
      <c r="AO237" s="93"/>
      <c r="AP237" s="8">
        <f>AP235+AP236/5.8</f>
        <v>677.89655172413791</v>
      </c>
      <c r="AQ237" s="93"/>
      <c r="AR237" s="93"/>
      <c r="AS237" s="93"/>
      <c r="AT237" s="93"/>
      <c r="AU237" s="8">
        <f>AU235+AU236/5.8</f>
        <v>630.41379310344826</v>
      </c>
      <c r="AV237" s="93"/>
      <c r="AW237" s="93"/>
      <c r="AX237" s="93"/>
      <c r="AY237" s="93"/>
      <c r="AZ237" s="8">
        <f>AZ235+AZ236/5.8</f>
        <v>673.62068965517244</v>
      </c>
      <c r="BA237" s="93"/>
      <c r="BB237" s="93"/>
      <c r="BC237" s="93"/>
      <c r="BD237" s="93"/>
      <c r="BE237" s="8">
        <f t="shared" ref="BE237:BJ237" si="128">BE235+BE236/5.8</f>
        <v>648.17241379310349</v>
      </c>
      <c r="BF237" s="93"/>
      <c r="BG237" s="93"/>
      <c r="BH237" s="93"/>
      <c r="BI237" s="93"/>
      <c r="BJ237" s="8">
        <f t="shared" si="128"/>
        <v>690.24137931034488</v>
      </c>
      <c r="BK237" s="93"/>
      <c r="BL237" s="93"/>
      <c r="BM237" s="93"/>
      <c r="BN237" s="93"/>
      <c r="BO237" s="8">
        <f t="shared" ref="BO237:CD237" si="129">BO235+BO236/5.8</f>
        <v>733.41379310344826</v>
      </c>
      <c r="BP237" s="19">
        <f t="shared" si="129"/>
        <v>765.75460114378041</v>
      </c>
      <c r="BQ237" s="19">
        <f t="shared" si="129"/>
        <v>762.96839134911488</v>
      </c>
      <c r="BR237" s="19">
        <f t="shared" si="129"/>
        <v>758.25927459217837</v>
      </c>
      <c r="BS237" s="19">
        <f t="shared" si="129"/>
        <v>759.02190946665053</v>
      </c>
      <c r="BT237" s="8">
        <f t="shared" si="129"/>
        <v>761.5010441379311</v>
      </c>
      <c r="BU237" s="19">
        <f t="shared" si="129"/>
        <v>788.20542375292939</v>
      </c>
      <c r="BV237" s="19">
        <f t="shared" si="129"/>
        <v>785.16966919053334</v>
      </c>
      <c r="BW237" s="19">
        <f t="shared" si="129"/>
        <v>780.02723662516883</v>
      </c>
      <c r="BX237" s="19">
        <f t="shared" si="129"/>
        <v>780.85714629343749</v>
      </c>
      <c r="BY237" s="8">
        <f t="shared" si="129"/>
        <v>783.56486896551723</v>
      </c>
      <c r="BZ237" s="19">
        <f t="shared" si="129"/>
        <v>778.41842377481635</v>
      </c>
      <c r="CA237" s="19">
        <f t="shared" si="129"/>
        <v>775.29728386796455</v>
      </c>
      <c r="CB237" s="19">
        <f t="shared" si="129"/>
        <v>770.00386920141318</v>
      </c>
      <c r="CC237" s="19">
        <f t="shared" si="129"/>
        <v>770.8565555695991</v>
      </c>
      <c r="CD237" s="8">
        <f t="shared" si="129"/>
        <v>773.64403310344824</v>
      </c>
    </row>
    <row r="238" spans="1:90" hidden="1" outlineLevel="1">
      <c r="A238" s="11"/>
      <c r="B238" s="11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</row>
    <row r="239" spans="1:90" hidden="1" outlineLevel="1">
      <c r="A239" s="39" t="s">
        <v>199</v>
      </c>
      <c r="B239" s="11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</row>
    <row r="240" spans="1:90" hidden="1" outlineLevel="1">
      <c r="A240" s="11"/>
      <c r="B240" s="11" t="s">
        <v>197</v>
      </c>
      <c r="C240" s="72"/>
      <c r="D240" s="72"/>
      <c r="E240" s="72"/>
      <c r="F240" s="104">
        <f>'Key assumptions'!F$23</f>
        <v>35.409999999999997</v>
      </c>
      <c r="G240" s="104">
        <f>'Key assumptions'!G$23</f>
        <v>47.83</v>
      </c>
      <c r="H240" s="93"/>
      <c r="I240" s="93"/>
      <c r="J240" s="93"/>
      <c r="K240" s="93"/>
      <c r="L240" s="104">
        <f>'Key assumptions'!L$23</f>
        <v>57.25</v>
      </c>
      <c r="M240" s="93"/>
      <c r="N240" s="93"/>
      <c r="O240" s="93"/>
      <c r="P240" s="93"/>
      <c r="Q240" s="104">
        <f>'Key assumptions'!Q$23</f>
        <v>64.180000000000007</v>
      </c>
      <c r="R240" s="93"/>
      <c r="S240" s="93"/>
      <c r="T240" s="93"/>
      <c r="U240" s="93"/>
      <c r="V240" s="104">
        <f>'Key assumptions'!V$23</f>
        <v>89.22</v>
      </c>
      <c r="W240" s="93"/>
      <c r="X240" s="93"/>
      <c r="Y240" s="93"/>
      <c r="Z240" s="93"/>
      <c r="AA240" s="104">
        <f>'Key assumptions'!AA$23</f>
        <v>53.68</v>
      </c>
      <c r="AB240" s="93"/>
      <c r="AC240" s="93"/>
      <c r="AD240" s="93"/>
      <c r="AE240" s="93"/>
      <c r="AF240" s="104">
        <f>'Key assumptions'!AF$23</f>
        <v>70.790000000000006</v>
      </c>
      <c r="AG240" s="93"/>
      <c r="AH240" s="93"/>
      <c r="AI240" s="93"/>
      <c r="AJ240" s="93"/>
      <c r="AK240" s="104">
        <f>'Key assumptions'!AK$23</f>
        <v>96.75500000000001</v>
      </c>
      <c r="AL240" s="93"/>
      <c r="AM240" s="93"/>
      <c r="AN240" s="93"/>
      <c r="AO240" s="93"/>
      <c r="AP240" s="104">
        <f>'Key assumptions'!AP$23</f>
        <v>96.382500000000007</v>
      </c>
      <c r="AQ240" s="93"/>
      <c r="AR240" s="93"/>
      <c r="AS240" s="93"/>
      <c r="AT240" s="93"/>
      <c r="AU240" s="104">
        <f>'Key assumptions'!AU$23</f>
        <v>91.922499999999999</v>
      </c>
      <c r="AV240" s="93"/>
      <c r="AW240" s="93"/>
      <c r="AX240" s="93"/>
      <c r="AY240" s="93"/>
      <c r="AZ240" s="104">
        <f>'Key assumptions'!AZ$23</f>
        <v>84.454999999999998</v>
      </c>
      <c r="BA240" s="93"/>
      <c r="BB240" s="93"/>
      <c r="BC240" s="93"/>
      <c r="BD240" s="93"/>
      <c r="BE240" s="104">
        <f>'Key assumptions'!BE$23</f>
        <v>45.212500000000006</v>
      </c>
      <c r="BF240" s="93"/>
      <c r="BG240" s="93"/>
      <c r="BH240" s="93"/>
      <c r="BI240" s="93"/>
      <c r="BJ240" s="104">
        <f>'Key assumptions'!BJ$23</f>
        <v>36.182499999999997</v>
      </c>
      <c r="BK240" s="93"/>
      <c r="BL240" s="93"/>
      <c r="BM240" s="93"/>
      <c r="BN240" s="93"/>
      <c r="BO240" s="104">
        <f>'Key assumptions'!BO$23</f>
        <v>46.517499999999998</v>
      </c>
      <c r="BP240" s="114">
        <f>'Key assumptions'!BP$23</f>
        <v>58.215519437221346</v>
      </c>
      <c r="BQ240" s="114">
        <f>'Key assumptions'!BQ$23</f>
        <v>58.702577046314595</v>
      </c>
      <c r="BR240" s="114">
        <f>'Key assumptions'!BR$23</f>
        <v>57.614391465752192</v>
      </c>
      <c r="BS240" s="114">
        <f>'Key assumptions'!BS$23</f>
        <v>56.633932994893144</v>
      </c>
      <c r="BT240" s="104">
        <f>'Key assumptions'!BT$23</f>
        <v>57.791605236045321</v>
      </c>
      <c r="BU240" s="114">
        <f>'Key assumptions'!BU$23</f>
        <v>54.522993991767621</v>
      </c>
      <c r="BV240" s="114">
        <f>'Key assumptions'!BV$23</f>
        <v>54.522993991767621</v>
      </c>
      <c r="BW240" s="114">
        <f>'Key assumptions'!BW$23</f>
        <v>54.522993991767621</v>
      </c>
      <c r="BX240" s="114">
        <f>'Key assumptions'!BX$23</f>
        <v>54.522993991767621</v>
      </c>
      <c r="BY240" s="104">
        <f>'Key assumptions'!BY$23</f>
        <v>54.522993991767621</v>
      </c>
      <c r="BZ240" s="114">
        <f>'Key assumptions'!BZ$23</f>
        <v>54.862506536266586</v>
      </c>
      <c r="CA240" s="114">
        <f>'Key assumptions'!CA$23</f>
        <v>55.204121426071744</v>
      </c>
      <c r="CB240" s="114">
        <f>'Key assumptions'!CB$23</f>
        <v>55.547851679423076</v>
      </c>
      <c r="CC240" s="114">
        <f>'Key assumptions'!CC$23</f>
        <v>55.893710395172732</v>
      </c>
      <c r="CD240" s="104">
        <f>'Key assumptions'!CD$23</f>
        <v>55.377047509233535</v>
      </c>
    </row>
    <row r="241" spans="1:103" hidden="1" outlineLevel="1">
      <c r="A241" s="11"/>
      <c r="B241" s="11" t="s">
        <v>198</v>
      </c>
      <c r="C241" s="72"/>
      <c r="D241" s="72"/>
      <c r="E241" s="72"/>
      <c r="F241" s="104">
        <f>'Key assumptions'!F$30</f>
        <v>5.1100000000000003</v>
      </c>
      <c r="G241" s="104">
        <f>'Key assumptions'!G$30</f>
        <v>6.78</v>
      </c>
      <c r="H241" s="93"/>
      <c r="I241" s="93"/>
      <c r="J241" s="93"/>
      <c r="K241" s="93"/>
      <c r="L241" s="104">
        <f>'Key assumptions'!L$30</f>
        <v>5.74</v>
      </c>
      <c r="M241" s="93"/>
      <c r="N241" s="93"/>
      <c r="O241" s="93"/>
      <c r="P241" s="93"/>
      <c r="Q241" s="104">
        <f>'Key assumptions'!Q$30</f>
        <v>5.43</v>
      </c>
      <c r="R241" s="93"/>
      <c r="S241" s="93"/>
      <c r="T241" s="93"/>
      <c r="U241" s="93"/>
      <c r="V241" s="104">
        <f>'Key assumptions'!V$30</f>
        <v>6.77</v>
      </c>
      <c r="W241" s="93"/>
      <c r="X241" s="93"/>
      <c r="Y241" s="93"/>
      <c r="Z241" s="93"/>
      <c r="AA241" s="104">
        <f>'Key assumptions'!AA$30</f>
        <v>3.07</v>
      </c>
      <c r="AB241" s="93"/>
      <c r="AC241" s="93"/>
      <c r="AD241" s="93"/>
      <c r="AE241" s="93"/>
      <c r="AF241" s="104">
        <f>'Key assumptions'!AF$30</f>
        <v>3.88</v>
      </c>
      <c r="AG241" s="93"/>
      <c r="AH241" s="93"/>
      <c r="AI241" s="93"/>
      <c r="AJ241" s="93"/>
      <c r="AK241" s="104">
        <f>'Key assumptions'!AK$30</f>
        <v>3.3400000000000003</v>
      </c>
      <c r="AL241" s="93"/>
      <c r="AM241" s="93"/>
      <c r="AN241" s="93"/>
      <c r="AO241" s="93"/>
      <c r="AP241" s="104">
        <f>'Key assumptions'!AP$30</f>
        <v>2.3275000000000001</v>
      </c>
      <c r="AQ241" s="93"/>
      <c r="AR241" s="93"/>
      <c r="AS241" s="93"/>
      <c r="AT241" s="93"/>
      <c r="AU241" s="104">
        <f>'Key assumptions'!AU$30</f>
        <v>3.07</v>
      </c>
      <c r="AV241" s="93"/>
      <c r="AW241" s="93"/>
      <c r="AX241" s="93"/>
      <c r="AY241" s="93"/>
      <c r="AZ241" s="104">
        <f>'Key assumptions'!AZ$30</f>
        <v>3.8150000000000004</v>
      </c>
      <c r="BA241" s="93"/>
      <c r="BB241" s="93"/>
      <c r="BC241" s="93"/>
      <c r="BD241" s="93"/>
      <c r="BE241" s="104">
        <f>'Key assumptions'!BE$30</f>
        <v>2.1074999999999999</v>
      </c>
      <c r="BF241" s="93"/>
      <c r="BG241" s="93"/>
      <c r="BH241" s="93"/>
      <c r="BI241" s="93"/>
      <c r="BJ241" s="104">
        <f>'Key assumptions'!BJ$30</f>
        <v>1.895</v>
      </c>
      <c r="BK241" s="93"/>
      <c r="BL241" s="93"/>
      <c r="BM241" s="93"/>
      <c r="BN241" s="93"/>
      <c r="BO241" s="104">
        <f>'Key assumptions'!BO$30</f>
        <v>2.36</v>
      </c>
      <c r="BP241" s="114">
        <f>'Key assumptions'!BP$30</f>
        <v>2.421403504611082</v>
      </c>
      <c r="BQ241" s="114">
        <f>'Key assumptions'!BQ$30</f>
        <v>2.275128712884217</v>
      </c>
      <c r="BR241" s="114">
        <f>'Key assumptions'!BR$30</f>
        <v>2.3290194256256935</v>
      </c>
      <c r="BS241" s="114">
        <f>'Key assumptions'!BS$30</f>
        <v>2.4521981976062115</v>
      </c>
      <c r="BT241" s="104">
        <f>'Key assumptions'!BT$30</f>
        <v>2.3694374601818011</v>
      </c>
      <c r="BU241" s="114">
        <f>'Key assumptions'!BU$30</f>
        <v>2.2905260593817816</v>
      </c>
      <c r="BV241" s="114">
        <f>'Key assumptions'!BV$30</f>
        <v>2.2905260593817816</v>
      </c>
      <c r="BW241" s="114">
        <f>'Key assumptions'!BW$30</f>
        <v>2.2905260593817816</v>
      </c>
      <c r="BX241" s="114">
        <f>'Key assumptions'!BX$30</f>
        <v>2.2905260593817816</v>
      </c>
      <c r="BY241" s="104">
        <f>'Key assumptions'!BY$30</f>
        <v>2.2905260593817816</v>
      </c>
      <c r="BZ241" s="114">
        <f>'Key assumptions'!BZ$30</f>
        <v>2.3038265700190173</v>
      </c>
      <c r="CA241" s="114">
        <f>'Key assumptions'!CA$30</f>
        <v>2.3172094406943757</v>
      </c>
      <c r="CB241" s="114">
        <f>'Key assumptions'!CB$30</f>
        <v>2.3306751814014999</v>
      </c>
      <c r="CC241" s="114">
        <f>'Key assumptions'!CC$30</f>
        <v>2.3442243052920397</v>
      </c>
      <c r="CD241" s="104">
        <f>'Key assumptions'!CD$30</f>
        <v>2.3239838743517329</v>
      </c>
    </row>
    <row r="242" spans="1:103" hidden="1" outlineLevel="1">
      <c r="A242" s="11"/>
      <c r="B242" s="39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</row>
    <row r="243" spans="1:103" hidden="1" outlineLevel="1">
      <c r="A243" s="11" t="s">
        <v>200</v>
      </c>
      <c r="B243" s="11"/>
      <c r="C243" s="72"/>
      <c r="D243" s="72"/>
      <c r="E243" s="72"/>
      <c r="F243" s="115">
        <f>SUMPRODUCT(F235:F236,F240:F241)*365/1000</f>
        <v>14528.222750000001</v>
      </c>
      <c r="G243" s="115">
        <f>SUMPRODUCT(G235:G236,G240:G241)*365/1000</f>
        <v>17919.164000000001</v>
      </c>
      <c r="H243" s="93"/>
      <c r="I243" s="93"/>
      <c r="J243" s="93"/>
      <c r="K243" s="93"/>
      <c r="L243" s="115">
        <f>SUMPRODUCT(L235:L236,L240:L241)*365/1000</f>
        <v>17166.19455</v>
      </c>
      <c r="M243" s="93"/>
      <c r="N243" s="93"/>
      <c r="O243" s="93"/>
      <c r="P243" s="93"/>
      <c r="Q243" s="115">
        <f>SUMPRODUCT(Q235:Q236,Q240:Q241)*365/1000</f>
        <v>17018.946250000005</v>
      </c>
      <c r="R243" s="93"/>
      <c r="S243" s="93"/>
      <c r="T243" s="93"/>
      <c r="U243" s="93"/>
      <c r="V243" s="115">
        <f>SUMPRODUCT(V235:V236,V240:V241)*365/1000</f>
        <v>23748.681199999999</v>
      </c>
      <c r="W243" s="93"/>
      <c r="X243" s="93"/>
      <c r="Y243" s="93"/>
      <c r="Z243" s="93"/>
      <c r="AA243" s="115">
        <f>SUMPRODUCT(AA235:AA236,AA240:AA241)*365/1000</f>
        <v>16076.122049999998</v>
      </c>
      <c r="AB243" s="93"/>
      <c r="AC243" s="93"/>
      <c r="AD243" s="93"/>
      <c r="AE243" s="93"/>
      <c r="AF243" s="115">
        <f>SUMPRODUCT(AF235:AF236,AF240:AF241)*365/1000</f>
        <v>18907.901550000002</v>
      </c>
      <c r="AG243" s="93"/>
      <c r="AH243" s="93"/>
      <c r="AI243" s="93"/>
      <c r="AJ243" s="93"/>
      <c r="AK243" s="115">
        <f>SUMPRODUCT(AK235:AK236,AK240:AK241)*365/1000</f>
        <v>18332.455324999999</v>
      </c>
      <c r="AL243" s="93"/>
      <c r="AM243" s="93"/>
      <c r="AN243" s="93"/>
      <c r="AO243" s="93"/>
      <c r="AP243" s="115">
        <f>SUMPRODUCT(AP235:AP236,AP240:AP241)*365/1000</f>
        <v>15168.8588875</v>
      </c>
      <c r="AQ243" s="93"/>
      <c r="AR243" s="93"/>
      <c r="AS243" s="93"/>
      <c r="AT243" s="93"/>
      <c r="AU243" s="115">
        <f>SUMPRODUCT(AU235:AU236,AU240:AU241)*365/1000</f>
        <v>13917.244687500001</v>
      </c>
      <c r="AV243" s="93"/>
      <c r="AW243" s="93"/>
      <c r="AX243" s="93"/>
      <c r="AY243" s="93"/>
      <c r="AZ243" s="115">
        <f>SUMPRODUCT(AZ235:AZ236,AZ240:AZ241)*365/1000</f>
        <v>14767.785025000003</v>
      </c>
      <c r="BA243" s="93"/>
      <c r="BB243" s="93"/>
      <c r="BC243" s="93"/>
      <c r="BD243" s="93"/>
      <c r="BE243" s="115">
        <f>SUMPRODUCT(BE235:BE236,BE240:BE241)*365/1000</f>
        <v>7503.5687125000004</v>
      </c>
      <c r="BF243" s="93"/>
      <c r="BG243" s="93"/>
      <c r="BH243" s="93"/>
      <c r="BI243" s="93"/>
      <c r="BJ243" s="115">
        <f>SUMPRODUCT(BJ235:BJ236,BJ240:BJ241)*365/1000</f>
        <v>6474.5953875000005</v>
      </c>
      <c r="BK243" s="93"/>
      <c r="BL243" s="93"/>
      <c r="BM243" s="93"/>
      <c r="BN243" s="93"/>
      <c r="BO243" s="115">
        <f>SUMPRODUCT(BO235:BO236,BO240:BO241)*365/1000</f>
        <v>9008.5376250000008</v>
      </c>
      <c r="BP243" s="65">
        <f>SUMPRODUCT(BP235:BP236,BP240:BP241)*90/1000</f>
        <v>2840.9112275109137</v>
      </c>
      <c r="BQ243" s="65">
        <f>SUMPRODUCT(BQ235:BQ236,BQ240:BQ241)*91/1000</f>
        <v>2867.2689278998751</v>
      </c>
      <c r="BR243" s="65">
        <f>SUMPRODUCT(BR235:BR236,BR240:BR241)*92/1000</f>
        <v>2854.1484206353175</v>
      </c>
      <c r="BS243" s="65">
        <f>SUMPRODUCT(BS235:BS236,BS240:BS241)*92/1000</f>
        <v>2831.5188459793876</v>
      </c>
      <c r="BT243" s="115">
        <f>SUM(BP243:BS243)</f>
        <v>11393.847422025494</v>
      </c>
      <c r="BU243" s="65">
        <f>SUMPRODUCT(BU235:BU236,BU240:BU241)*90/1000</f>
        <v>2677.8894217672328</v>
      </c>
      <c r="BV243" s="65">
        <f>SUMPRODUCT(BV235:BV236,BV240:BV241)*91/1000</f>
        <v>2703.9737046050354</v>
      </c>
      <c r="BW243" s="65">
        <f>SUMPRODUCT(BW235:BW236,BW240:BW241)*92/1000</f>
        <v>2727.40249323228</v>
      </c>
      <c r="BX243" s="65">
        <f>SUMPRODUCT(BX235:BX236,BX240:BX241)*92/1000</f>
        <v>2728.416829331994</v>
      </c>
      <c r="BY243" s="115">
        <f>SUM(BU243:BX243)</f>
        <v>10837.682448936543</v>
      </c>
      <c r="BZ243" s="65">
        <f>SUMPRODUCT(BZ235:BZ236,BZ240:BZ241)*90/1000</f>
        <v>2612.5175936118194</v>
      </c>
      <c r="CA243" s="65">
        <f>SUMPRODUCT(CA235:CA236,CA240:CA241)*91/1000</f>
        <v>2654.0091452589472</v>
      </c>
      <c r="CB243" s="65">
        <f>SUMPRODUCT(CB235:CB236,CB240:CB241)*92/1000</f>
        <v>2693.1301457785107</v>
      </c>
      <c r="CC243" s="65">
        <f>SUMPRODUCT(CC235:CC236,CC240:CC241)*92/1000</f>
        <v>2710.8001078315933</v>
      </c>
      <c r="CD243" s="115">
        <f>SUM(BZ243:CC243)</f>
        <v>10670.456992480871</v>
      </c>
    </row>
    <row r="244" spans="1:103" hidden="1" outlineLevel="1">
      <c r="A244" s="11" t="s">
        <v>550</v>
      </c>
      <c r="B244" s="11"/>
      <c r="C244" s="72"/>
      <c r="D244" s="72"/>
      <c r="E244" s="72"/>
      <c r="F244" s="72"/>
      <c r="G244" s="116">
        <f>G221/G243-1</f>
        <v>1.6732700253203836E-2</v>
      </c>
      <c r="H244" s="93"/>
      <c r="I244" s="93"/>
      <c r="J244" s="93"/>
      <c r="K244" s="93"/>
      <c r="L244" s="116">
        <f>L221/L243-1</f>
        <v>-5.0794338690516305E-3</v>
      </c>
      <c r="M244" s="93"/>
      <c r="N244" s="93"/>
      <c r="O244" s="93"/>
      <c r="P244" s="93"/>
      <c r="Q244" s="116">
        <f>Q221/Q243-1</f>
        <v>-1.2629821308707934E-2</v>
      </c>
      <c r="R244" s="93"/>
      <c r="S244" s="93"/>
      <c r="T244" s="93"/>
      <c r="U244" s="93"/>
      <c r="V244" s="116">
        <f>V221/V243-1</f>
        <v>5.2858463568073777E-2</v>
      </c>
      <c r="W244" s="93"/>
      <c r="X244" s="93"/>
      <c r="Y244" s="93"/>
      <c r="Z244" s="93"/>
      <c r="AA244" s="116">
        <f>AA221/AA243-1</f>
        <v>3.6008556553600135E-2</v>
      </c>
      <c r="AB244" s="93"/>
      <c r="AC244" s="93"/>
      <c r="AD244" s="93"/>
      <c r="AE244" s="93"/>
      <c r="AF244" s="116">
        <f>AF221/AF243-1</f>
        <v>8.4731689857989512E-2</v>
      </c>
      <c r="AG244" s="93"/>
      <c r="AH244" s="93"/>
      <c r="AI244" s="93"/>
      <c r="AJ244" s="93"/>
      <c r="AK244" s="116">
        <f>AK221/AK243-1</f>
        <v>8.4688310838690217E-2</v>
      </c>
      <c r="AL244" s="93"/>
      <c r="AM244" s="93"/>
      <c r="AN244" s="93"/>
      <c r="AO244" s="93"/>
      <c r="AP244" s="116">
        <f>AP221/AP243-1</f>
        <v>6.7054556973839441E-2</v>
      </c>
      <c r="AQ244" s="93"/>
      <c r="AR244" s="93"/>
      <c r="AS244" s="93"/>
      <c r="AT244" s="93"/>
      <c r="AU244" s="116">
        <f>AU221/AU243-1</f>
        <v>7.7655838980160929E-2</v>
      </c>
      <c r="AV244" s="93"/>
      <c r="AW244" s="93"/>
      <c r="AX244" s="93"/>
      <c r="AY244" s="93"/>
      <c r="AZ244" s="116">
        <f>AZ221/AZ243-1</f>
        <v>9.2310050064531968E-2</v>
      </c>
      <c r="BA244" s="93"/>
      <c r="BB244" s="93"/>
      <c r="BC244" s="93"/>
      <c r="BD244" s="93"/>
      <c r="BE244" s="116">
        <f>BE221/BE243-1</f>
        <v>7.8686730290936868E-2</v>
      </c>
      <c r="BF244" s="93"/>
      <c r="BG244" s="93"/>
      <c r="BH244" s="93"/>
      <c r="BI244" s="93"/>
      <c r="BJ244" s="116">
        <f>BJ221/BJ243-1</f>
        <v>6.8792655887023768E-2</v>
      </c>
      <c r="BK244" s="93"/>
      <c r="BL244" s="93"/>
      <c r="BM244" s="93"/>
      <c r="BN244" s="93"/>
      <c r="BO244" s="116">
        <f>BO221/BO243-1</f>
        <v>0.11161216357799231</v>
      </c>
      <c r="BP244" s="117">
        <f>BT244</f>
        <v>0.08</v>
      </c>
      <c r="BQ244" s="117">
        <f>BT244</f>
        <v>0.08</v>
      </c>
      <c r="BR244" s="117">
        <f>BT244</f>
        <v>0.08</v>
      </c>
      <c r="BS244" s="117">
        <f>BT244</f>
        <v>0.08</v>
      </c>
      <c r="BT244" s="118">
        <v>0.08</v>
      </c>
      <c r="BU244" s="117">
        <f>BY244</f>
        <v>0.08</v>
      </c>
      <c r="BV244" s="117">
        <f>BY244</f>
        <v>0.08</v>
      </c>
      <c r="BW244" s="117">
        <f>BY244</f>
        <v>0.08</v>
      </c>
      <c r="BX244" s="117">
        <f>BY244</f>
        <v>0.08</v>
      </c>
      <c r="BY244" s="118">
        <v>0.08</v>
      </c>
      <c r="BZ244" s="117">
        <f>CD244</f>
        <v>0.08</v>
      </c>
      <c r="CA244" s="117">
        <f>CD244</f>
        <v>0.08</v>
      </c>
      <c r="CB244" s="117">
        <f>CD244</f>
        <v>0.08</v>
      </c>
      <c r="CC244" s="117">
        <f>CD244</f>
        <v>0.08</v>
      </c>
      <c r="CD244" s="118">
        <v>0.08</v>
      </c>
    </row>
    <row r="245" spans="1:103" hidden="1" outlineLevel="1">
      <c r="A245" s="11"/>
      <c r="B245" s="11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62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</row>
    <row r="246" spans="1:103" hidden="1" outlineLevel="1">
      <c r="A246" s="39" t="s">
        <v>3090</v>
      </c>
      <c r="B246" s="11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</row>
    <row r="247" spans="1:103" hidden="1" outlineLevel="1">
      <c r="A247" s="11"/>
      <c r="B247" s="11" t="s">
        <v>1897</v>
      </c>
      <c r="C247" s="72"/>
      <c r="D247" s="72"/>
      <c r="E247" s="72"/>
      <c r="F247" s="72"/>
      <c r="G247" s="119">
        <f>-1000*G223/(G237*365)</f>
        <v>1.1387890093756932</v>
      </c>
      <c r="H247" s="93"/>
      <c r="I247" s="93"/>
      <c r="J247" s="93"/>
      <c r="K247" s="93"/>
      <c r="L247" s="119">
        <f>-1000*L223/(L237*365)</f>
        <v>1.7791203693991666</v>
      </c>
      <c r="M247" s="93"/>
      <c r="N247" s="93"/>
      <c r="O247" s="93"/>
      <c r="P247" s="93"/>
      <c r="Q247" s="119">
        <f>-1000*Q223/(Q237*365)</f>
        <v>0.90081033725349857</v>
      </c>
      <c r="R247" s="93"/>
      <c r="S247" s="93"/>
      <c r="T247" s="93"/>
      <c r="U247" s="93"/>
      <c r="V247" s="119">
        <f>-1000*V223/(V237*365)</f>
        <v>0.96061932571856012</v>
      </c>
      <c r="W247" s="93"/>
      <c r="X247" s="93"/>
      <c r="Y247" s="93"/>
      <c r="Z247" s="93"/>
      <c r="AA247" s="119">
        <f>-1000*AA223/(AA237*365)</f>
        <v>1.8213278018119454</v>
      </c>
      <c r="AB247" s="93"/>
      <c r="AC247" s="93"/>
      <c r="AD247" s="93"/>
      <c r="AE247" s="93"/>
      <c r="AF247" s="119">
        <f>-1000*AF223/(AF237*365)</f>
        <v>1.326050166876088</v>
      </c>
      <c r="AG247" s="93"/>
      <c r="AH247" s="93"/>
      <c r="AI247" s="93"/>
      <c r="AJ247" s="93"/>
      <c r="AK247" s="119">
        <f>-1000*AK223/(AK237*365)</f>
        <v>3.7958855360015598</v>
      </c>
      <c r="AL247" s="93"/>
      <c r="AM247" s="93"/>
      <c r="AN247" s="93"/>
      <c r="AO247" s="93"/>
      <c r="AP247" s="119">
        <f>-1000*AP223/(AP237*365)</f>
        <v>2.63910635234864</v>
      </c>
      <c r="AQ247" s="93"/>
      <c r="AR247" s="93"/>
      <c r="AS247" s="93"/>
      <c r="AT247" s="93"/>
      <c r="AU247" s="119">
        <f>-1000*AU223/(AU237*365)</f>
        <v>2.0208514101002111</v>
      </c>
      <c r="AV247" s="93"/>
      <c r="AW247" s="93"/>
      <c r="AX247" s="93"/>
      <c r="AY247" s="93"/>
      <c r="AZ247" s="119">
        <f>-1000*AZ223/(AZ237*365)</f>
        <v>5.5191419685776495</v>
      </c>
      <c r="BA247" s="93"/>
      <c r="BB247" s="93"/>
      <c r="BC247" s="93"/>
      <c r="BD247" s="93"/>
      <c r="BE247" s="119">
        <f>-1000*BE223/(BE237*365)</f>
        <v>4.5142732627838456</v>
      </c>
      <c r="BF247" s="93"/>
      <c r="BG247" s="93"/>
      <c r="BH247" s="93"/>
      <c r="BI247" s="93"/>
      <c r="BJ247" s="119">
        <f>-1000*BJ223/(BJ237*365)</f>
        <v>2.9927985869545131</v>
      </c>
      <c r="BK247" s="93"/>
      <c r="BL247" s="93"/>
      <c r="BM247" s="93"/>
      <c r="BN247" s="93"/>
      <c r="BO247" s="119">
        <f>-1000*BO223/(BO237*365)</f>
        <v>1.1991212369665285</v>
      </c>
      <c r="BP247" s="114">
        <f>-1000*BP223/(BP$237*90)</f>
        <v>2.0676772049013672</v>
      </c>
      <c r="BQ247" s="114">
        <f>-1000*BQ223/(BQ$237*91)</f>
        <v>1.328267515295285</v>
      </c>
      <c r="BR247" s="114">
        <f>-1000*BR223/(BR$237*92)</f>
        <v>1.3219892741285091</v>
      </c>
      <c r="BS247" s="114">
        <f>-1000*BS223/(BS$237*92)</f>
        <v>1.3206609921493537</v>
      </c>
      <c r="BT247" s="119">
        <f>-1000*BT223/(BT237*365)</f>
        <v>1.5080716991216259</v>
      </c>
      <c r="BU247" s="114">
        <f>-1000*BU223/(BU$237*90)</f>
        <v>1.2111173438949725</v>
      </c>
      <c r="BV247" s="114">
        <f>-1000*BV223/(BV$237*91)</f>
        <v>1.2024395295253603</v>
      </c>
      <c r="BW247" s="114">
        <f>-1000*BW223/(BW$237*92)</f>
        <v>1.1972106103606777</v>
      </c>
      <c r="BX247" s="114">
        <f>-1000*BX223/(BX$237*92)</f>
        <v>1.1959381923963823</v>
      </c>
      <c r="BY247" s="119">
        <f>-1000*BY223/(BY237*365)</f>
        <v>1.2016011148309391</v>
      </c>
      <c r="BZ247" s="114">
        <f>-1000*BZ223/(BZ$237*90)</f>
        <v>0.78974949304821995</v>
      </c>
      <c r="CA247" s="114">
        <f>-1000*CA223/(CA$237*91)</f>
        <v>0.78421531024419822</v>
      </c>
      <c r="CB247" s="114">
        <f>-1000*CB223/(CB$237*92)</f>
        <v>0.7810237433891617</v>
      </c>
      <c r="CC247" s="114">
        <f>-1000*CC223/(CC$237*92)</f>
        <v>0.78015981054146699</v>
      </c>
      <c r="CD247" s="119">
        <f>-1000*CD223/(CD237*365)</f>
        <v>0.78373802502302281</v>
      </c>
    </row>
    <row r="248" spans="1:103" hidden="1" outlineLevel="1">
      <c r="A248" s="11"/>
      <c r="B248" s="11" t="s">
        <v>2149</v>
      </c>
      <c r="C248" s="72"/>
      <c r="D248" s="72"/>
      <c r="E248" s="72"/>
      <c r="F248" s="72"/>
      <c r="G248" s="119">
        <f>-1000*G224/(G237*365)</f>
        <v>4.9273736114815812</v>
      </c>
      <c r="H248" s="93"/>
      <c r="I248" s="93"/>
      <c r="J248" s="93"/>
      <c r="K248" s="93"/>
      <c r="L248" s="119">
        <f>-1000*L224/(L237*365)</f>
        <v>6.87043291587125</v>
      </c>
      <c r="M248" s="93"/>
      <c r="N248" s="93"/>
      <c r="O248" s="93"/>
      <c r="P248" s="93"/>
      <c r="Q248" s="119">
        <f>-1000*Q224/(Q237*365)</f>
        <v>8.8885783763298285</v>
      </c>
      <c r="R248" s="93"/>
      <c r="S248" s="93"/>
      <c r="T248" s="93"/>
      <c r="U248" s="93"/>
      <c r="V248" s="119">
        <f>-1000*V224/(V237*365)</f>
        <v>9.3810035636195295</v>
      </c>
      <c r="W248" s="93"/>
      <c r="X248" s="93"/>
      <c r="Y248" s="93"/>
      <c r="Z248" s="93"/>
      <c r="AA248" s="119">
        <f>-1000*AA224/(AA237*365)</f>
        <v>7.6113362377201756</v>
      </c>
      <c r="AB248" s="93"/>
      <c r="AC248" s="93"/>
      <c r="AD248" s="93"/>
      <c r="AE248" s="93"/>
      <c r="AF248" s="119">
        <f>-1000*AF224/(AF237*365)</f>
        <v>8.4082405479265407</v>
      </c>
      <c r="AG248" s="93"/>
      <c r="AH248" s="93"/>
      <c r="AI248" s="93"/>
      <c r="AJ248" s="93"/>
      <c r="AK248" s="119">
        <f>-1000*AK224/(AK237*365)</f>
        <v>12.257105250329058</v>
      </c>
      <c r="AL248" s="93"/>
      <c r="AM248" s="93"/>
      <c r="AN248" s="93"/>
      <c r="AO248" s="93"/>
      <c r="AP248" s="119">
        <f>-1000*AP224/(AP237*365)</f>
        <v>15.86292868754734</v>
      </c>
      <c r="AQ248" s="93"/>
      <c r="AR248" s="93"/>
      <c r="AS248" s="93"/>
      <c r="AT248" s="93"/>
      <c r="AU248" s="119">
        <f>-1000*AU224/(AU237*365)</f>
        <v>16.223308201944274</v>
      </c>
      <c r="AV248" s="93"/>
      <c r="AW248" s="93"/>
      <c r="AX248" s="93"/>
      <c r="AY248" s="93"/>
      <c r="AZ248" s="119">
        <f>-1000*AZ224/(AZ237*365)</f>
        <v>14.340821356820038</v>
      </c>
      <c r="BA248" s="93"/>
      <c r="BB248" s="93"/>
      <c r="BC248" s="93"/>
      <c r="BD248" s="93"/>
      <c r="BE248" s="119">
        <f>-1000*BE224/(BE237*365)</f>
        <v>12.06342311983623</v>
      </c>
      <c r="BF248" s="93"/>
      <c r="BG248" s="93"/>
      <c r="BH248" s="93"/>
      <c r="BI248" s="93"/>
      <c r="BJ248" s="119">
        <f>-1000*BJ224/(BJ237*365)</f>
        <v>10.470825825445631</v>
      </c>
      <c r="BK248" s="93"/>
      <c r="BL248" s="93"/>
      <c r="BM248" s="93"/>
      <c r="BN248" s="93"/>
      <c r="BO248" s="119">
        <f>-1000*BO224/(BO237*365)</f>
        <v>8.8607961809489275</v>
      </c>
      <c r="BP248" s="109">
        <f>BT248</f>
        <v>8.417756371901481</v>
      </c>
      <c r="BQ248" s="109">
        <f>BT248</f>
        <v>8.417756371901481</v>
      </c>
      <c r="BR248" s="109">
        <f>BT248</f>
        <v>8.417756371901481</v>
      </c>
      <c r="BS248" s="109">
        <f>BT248</f>
        <v>8.417756371901481</v>
      </c>
      <c r="BT248" s="120">
        <f>BO248*(1-5%)</f>
        <v>8.417756371901481</v>
      </c>
      <c r="BU248" s="109">
        <f>BY248</f>
        <v>8.6282002811990175</v>
      </c>
      <c r="BV248" s="109">
        <f>BY248</f>
        <v>8.6282002811990175</v>
      </c>
      <c r="BW248" s="109">
        <f>BY248</f>
        <v>8.6282002811990175</v>
      </c>
      <c r="BX248" s="109">
        <f>BY248</f>
        <v>8.6282002811990175</v>
      </c>
      <c r="BY248" s="120">
        <f>BT248*(1+2.5%)</f>
        <v>8.6282002811990175</v>
      </c>
      <c r="BZ248" s="109">
        <f>CD248</f>
        <v>8.8439052882289921</v>
      </c>
      <c r="CA248" s="109">
        <f>CD248</f>
        <v>8.8439052882289921</v>
      </c>
      <c r="CB248" s="109">
        <f>CD248</f>
        <v>8.8439052882289921</v>
      </c>
      <c r="CC248" s="109">
        <f>CD248</f>
        <v>8.8439052882289921</v>
      </c>
      <c r="CD248" s="120">
        <f>BY248*(1+2.5%)</f>
        <v>8.8439052882289921</v>
      </c>
    </row>
    <row r="249" spans="1:103" hidden="1" outlineLevel="1">
      <c r="A249" s="11"/>
      <c r="B249" s="11" t="s">
        <v>2150</v>
      </c>
      <c r="C249" s="72"/>
      <c r="D249" s="72"/>
      <c r="E249" s="72"/>
      <c r="F249" s="72"/>
      <c r="G249" s="119">
        <f>-1000*G225/(G237*365)</f>
        <v>1.5052675458702467</v>
      </c>
      <c r="H249" s="93"/>
      <c r="I249" s="93"/>
      <c r="J249" s="93"/>
      <c r="K249" s="93"/>
      <c r="L249" s="119">
        <f>-1000*L225/(L237*365)</f>
        <v>2.4010013495842859</v>
      </c>
      <c r="M249" s="93"/>
      <c r="N249" s="93"/>
      <c r="O249" s="93"/>
      <c r="P249" s="93"/>
      <c r="Q249" s="119">
        <f>-1000*Q225/(Q237*365)</f>
        <v>3.6761224442610407</v>
      </c>
      <c r="R249" s="93"/>
      <c r="S249" s="93"/>
      <c r="T249" s="93"/>
      <c r="U249" s="93"/>
      <c r="V249" s="119">
        <f>-1000*V225/(V237*365)</f>
        <v>7.425558882779967</v>
      </c>
      <c r="W249" s="93"/>
      <c r="X249" s="93"/>
      <c r="Y249" s="93"/>
      <c r="Z249" s="93"/>
      <c r="AA249" s="119">
        <f>-1000*AA225/(AA237*365)</f>
        <v>1.5933554120831286</v>
      </c>
      <c r="AB249" s="93"/>
      <c r="AC249" s="93"/>
      <c r="AD249" s="93"/>
      <c r="AE249" s="93"/>
      <c r="AF249" s="119">
        <f>-1000*AF225/(AF237*365)</f>
        <v>2.9633161892435025</v>
      </c>
      <c r="AG249" s="93"/>
      <c r="AH249" s="93"/>
      <c r="AI249" s="93"/>
      <c r="AJ249" s="93"/>
      <c r="AK249" s="119">
        <f>-1000*AK225/(AK237*365)</f>
        <v>6.5526739141032513</v>
      </c>
      <c r="AL249" s="93"/>
      <c r="AM249" s="93"/>
      <c r="AN249" s="93"/>
      <c r="AO249" s="93"/>
      <c r="AP249" s="119">
        <f>-1000*AP225/(AP237*365)</f>
        <v>5.9491034466419572</v>
      </c>
      <c r="AQ249" s="93"/>
      <c r="AR249" s="93"/>
      <c r="AS249" s="93"/>
      <c r="AT249" s="93"/>
      <c r="AU249" s="119">
        <f>-1000*AU225/(AU237*365)</f>
        <v>4.8326597161966331</v>
      </c>
      <c r="AV249" s="93"/>
      <c r="AW249" s="93"/>
      <c r="AX249" s="93"/>
      <c r="AY249" s="93"/>
      <c r="AZ249" s="119">
        <f>-1000*AZ225/(AZ237*365)</f>
        <v>2.8063433738530419</v>
      </c>
      <c r="BA249" s="93"/>
      <c r="BB249" s="93"/>
      <c r="BC249" s="93"/>
      <c r="BD249" s="93"/>
      <c r="BE249" s="119">
        <f>-1000*BE225/(BE237*365)</f>
        <v>0.90877223923083028</v>
      </c>
      <c r="BF249" s="93"/>
      <c r="BG249" s="93"/>
      <c r="BH249" s="93"/>
      <c r="BI249" s="93"/>
      <c r="BJ249" s="119">
        <f>-1000*BJ225/(BJ237*365)</f>
        <v>0.61523047875059622</v>
      </c>
      <c r="BK249" s="93"/>
      <c r="BL249" s="93"/>
      <c r="BM249" s="93"/>
      <c r="BN249" s="93"/>
      <c r="BO249" s="119">
        <f>-1000*BO225/(BO237*365)</f>
        <v>0.19425016922822269</v>
      </c>
      <c r="BP249" s="114">
        <f>-1000*BP225/(BP$237*90)</f>
        <v>0.23117722739958702</v>
      </c>
      <c r="BQ249" s="114">
        <f>-1000*BQ225/(BQ$237*91)</f>
        <v>0.23160077159717396</v>
      </c>
      <c r="BR249" s="114">
        <f>-1000*BR225/(BR$237*92)</f>
        <v>0.22945129179438534</v>
      </c>
      <c r="BS249" s="114">
        <f>-1000*BS225/(BS$237*92)</f>
        <v>0.22740333475006691</v>
      </c>
      <c r="BT249" s="119">
        <f>-1000*BT225/(BT237*365)</f>
        <v>0.22989342146342853</v>
      </c>
      <c r="BU249" s="114">
        <f>-1000*BU225/(BU$237*90)</f>
        <v>0.21170456524212067</v>
      </c>
      <c r="BV249" s="114">
        <f>-1000*BV225/(BV$237*91)</f>
        <v>0.21223503096983845</v>
      </c>
      <c r="BW249" s="114">
        <f>-1000*BW225/(BW$237*92)</f>
        <v>0.21314303741407278</v>
      </c>
      <c r="BX249" s="114">
        <f>-1000*BX225/(BX$237*92)</f>
        <v>0.21299568981122063</v>
      </c>
      <c r="BY249" s="119">
        <f>-1000*BY225/(BY237*365)</f>
        <v>0.2125142776233907</v>
      </c>
      <c r="BZ249" s="114">
        <f>-1000*BZ225/(BZ$237*90)</f>
        <v>0.20913326612904051</v>
      </c>
      <c r="CA249" s="114">
        <f>-1000*CA225/(CA$237*91)</f>
        <v>0.21096590465635695</v>
      </c>
      <c r="CB249" s="114">
        <f>-1000*CB225/(CB$237*92)</f>
        <v>0.21320437805505951</v>
      </c>
      <c r="CC249" s="114">
        <f>-1000*CC225/(CC$237*92)</f>
        <v>0.21436585419745238</v>
      </c>
      <c r="CD249" s="119">
        <f>-1000*CD225/(CD237*365)</f>
        <v>0.21191831249527135</v>
      </c>
    </row>
    <row r="250" spans="1:103" hidden="1" outlineLevel="1">
      <c r="A250" s="11"/>
      <c r="B250" s="11" t="s">
        <v>2158</v>
      </c>
      <c r="C250" s="72"/>
      <c r="D250" s="72"/>
      <c r="E250" s="72"/>
      <c r="F250" s="72"/>
      <c r="G250" s="119">
        <f>-1000*G226/(G237*365)</f>
        <v>6.1637262580896053</v>
      </c>
      <c r="H250" s="93"/>
      <c r="I250" s="93"/>
      <c r="J250" s="93"/>
      <c r="K250" s="93"/>
      <c r="L250" s="119">
        <f>-1000*L226/(L237*365)</f>
        <v>7.7086203239468452</v>
      </c>
      <c r="M250" s="93"/>
      <c r="N250" s="93"/>
      <c r="O250" s="93"/>
      <c r="P250" s="93"/>
      <c r="Q250" s="119">
        <f>-1000*Q226/(Q237*365)</f>
        <v>7.9935985266960934</v>
      </c>
      <c r="R250" s="93"/>
      <c r="S250" s="93"/>
      <c r="T250" s="93"/>
      <c r="U250" s="93"/>
      <c r="V250" s="119">
        <f>-1000*V226/(V237*365)</f>
        <v>10.783450769119623</v>
      </c>
      <c r="W250" s="93"/>
      <c r="X250" s="93"/>
      <c r="Y250" s="93"/>
      <c r="Z250" s="93"/>
      <c r="AA250" s="119">
        <f>-1000*AA226/(AA237*365)</f>
        <v>6.1233874144363929</v>
      </c>
      <c r="AB250" s="93"/>
      <c r="AC250" s="93"/>
      <c r="AD250" s="93"/>
      <c r="AE250" s="93"/>
      <c r="AF250" s="119">
        <f>-1000*AF226/(AF237*365)</f>
        <v>9.8263023590348482</v>
      </c>
      <c r="AG250" s="93"/>
      <c r="AH250" s="93"/>
      <c r="AI250" s="93"/>
      <c r="AJ250" s="93"/>
      <c r="AK250" s="119">
        <f>-1000*AK226/(AK237*365)</f>
        <v>16.74218788085604</v>
      </c>
      <c r="AL250" s="93"/>
      <c r="AM250" s="93"/>
      <c r="AN250" s="93"/>
      <c r="AO250" s="93"/>
      <c r="AP250" s="119">
        <f>-1000*AP226/(AP237*365)</f>
        <v>14.40798490983599</v>
      </c>
      <c r="AQ250" s="93"/>
      <c r="AR250" s="93"/>
      <c r="AS250" s="93"/>
      <c r="AT250" s="93"/>
      <c r="AU250" s="119">
        <f>-1000*AU226/(AU237*365)</f>
        <v>14.324142468151173</v>
      </c>
      <c r="AV250" s="93"/>
      <c r="AW250" s="93"/>
      <c r="AX250" s="93"/>
      <c r="AY250" s="93"/>
      <c r="AZ250" s="119">
        <f>-1000*AZ226/(AZ237*365)</f>
        <v>13.482649687424397</v>
      </c>
      <c r="BA250" s="93"/>
      <c r="BB250" s="93"/>
      <c r="BC250" s="93"/>
      <c r="BD250" s="93"/>
      <c r="BE250" s="119">
        <f>-1000*BE226/(BE237*365)</f>
        <v>10.600933841818243</v>
      </c>
      <c r="BF250" s="93"/>
      <c r="BG250" s="93"/>
      <c r="BH250" s="93"/>
      <c r="BI250" s="93"/>
      <c r="BJ250" s="119">
        <f>-1000*BJ226/(BJ237*365)</f>
        <v>6.7953198685227143</v>
      </c>
      <c r="BK250" s="93"/>
      <c r="BL250" s="93"/>
      <c r="BM250" s="93"/>
      <c r="BN250" s="93"/>
      <c r="BO250" s="119">
        <f>-1000*BO226/(BO237*365)</f>
        <v>6.3093949197397716</v>
      </c>
      <c r="BP250" s="114">
        <f>-1000*BP226/(BP$237*90)</f>
        <v>5.8205113317973494</v>
      </c>
      <c r="BQ250" s="114">
        <f>-1000*BQ226/(BQ$237*91)</f>
        <v>5.7775714506465832</v>
      </c>
      <c r="BR250" s="114">
        <f>-1000*BR226/(BR$237*92)</f>
        <v>5.7502629555522224</v>
      </c>
      <c r="BS250" s="114">
        <f>-1000*BS226/(BS$237*92)</f>
        <v>5.7444853211880575</v>
      </c>
      <c r="BT250" s="104">
        <f>-1000*BT226/(BT237*365)</f>
        <v>5.772844871456301</v>
      </c>
      <c r="BU250" s="114">
        <f>-1000*BU226/(BU$237*90)</f>
        <v>5.6547229935459677</v>
      </c>
      <c r="BV250" s="114">
        <f>-1000*BV226/(BV$237*91)</f>
        <v>5.6142061627888769</v>
      </c>
      <c r="BW250" s="114">
        <f>-1000*BW226/(BW$237*92)</f>
        <v>5.5897922696339544</v>
      </c>
      <c r="BX250" s="114">
        <f>-1000*BX226/(BX$237*92)</f>
        <v>5.5838513332281057</v>
      </c>
      <c r="BY250" s="104">
        <f>-1000*BY226/(BY237*365)</f>
        <v>5.6102915934248356</v>
      </c>
      <c r="BZ250" s="114">
        <f>-1000*BZ226/(BZ$237*90)</f>
        <v>5.7258194271911202</v>
      </c>
      <c r="CA250" s="114">
        <f>-1000*CA226/(CA$237*91)</f>
        <v>5.6856956516245303</v>
      </c>
      <c r="CB250" s="114">
        <f>-1000*CB226/(CB$237*92)</f>
        <v>5.662556243922964</v>
      </c>
      <c r="CC250" s="114">
        <f>-1000*CC226/(CC$237*92)</f>
        <v>5.6562925824370609</v>
      </c>
      <c r="CD250" s="104">
        <f>-1000*CD226/(CD237*365)</f>
        <v>5.6822352518195629</v>
      </c>
      <c r="CG250" s="364"/>
      <c r="CH250" s="364" t="s">
        <v>3693</v>
      </c>
      <c r="CI250" s="364" t="s">
        <v>3694</v>
      </c>
    </row>
    <row r="251" spans="1:103" hidden="1" outlineLevel="1">
      <c r="A251" s="11"/>
      <c r="B251" s="11" t="s">
        <v>2154</v>
      </c>
      <c r="C251" s="72"/>
      <c r="D251" s="72"/>
      <c r="E251" s="72"/>
      <c r="F251" s="72"/>
      <c r="G251" s="119">
        <f>-1000*G227/(G237*365)</f>
        <v>6.0850194583055393</v>
      </c>
      <c r="H251" s="93"/>
      <c r="I251" s="93"/>
      <c r="J251" s="93"/>
      <c r="K251" s="93"/>
      <c r="L251" s="119">
        <f>-1000*L227/(L237*365)</f>
        <v>6.1079527575573218</v>
      </c>
      <c r="M251" s="93"/>
      <c r="N251" s="93"/>
      <c r="O251" s="93"/>
      <c r="P251" s="93"/>
      <c r="Q251" s="119">
        <f>-1000*Q227/(Q237*365)</f>
        <v>6.6671625931998415</v>
      </c>
      <c r="R251" s="93"/>
      <c r="S251" s="93"/>
      <c r="T251" s="93"/>
      <c r="U251" s="93"/>
      <c r="V251" s="119">
        <f>-1000*V227/(V237*365)</f>
        <v>8.2949621300920171</v>
      </c>
      <c r="W251" s="93"/>
      <c r="X251" s="93"/>
      <c r="Y251" s="93"/>
      <c r="Z251" s="93"/>
      <c r="AA251" s="119">
        <f>-1000*AA227/(AA237*365)</f>
        <v>9.8714496068596294</v>
      </c>
      <c r="AB251" s="93"/>
      <c r="AC251" s="93"/>
      <c r="AD251" s="93"/>
      <c r="AE251" s="93"/>
      <c r="AF251" s="119">
        <f>-1000*AF227/(AF237*365)</f>
        <v>9.6666350940436452</v>
      </c>
      <c r="AG251" s="93"/>
      <c r="AH251" s="93"/>
      <c r="AI251" s="93"/>
      <c r="AJ251" s="93"/>
      <c r="AK251" s="119">
        <f>-1000*AK227/(AK237*365)</f>
        <v>10.553551406425193</v>
      </c>
      <c r="AL251" s="93"/>
      <c r="AM251" s="93"/>
      <c r="AN251" s="93"/>
      <c r="AO251" s="93"/>
      <c r="AP251" s="119">
        <f>-1000*AP227/(AP237*365)</f>
        <v>12.920709048175501</v>
      </c>
      <c r="AQ251" s="93"/>
      <c r="AR251" s="93"/>
      <c r="AS251" s="93"/>
      <c r="AT251" s="93"/>
      <c r="AU251" s="119">
        <f>-1000*AU227/(AU237*365)</f>
        <v>14.202456791844064</v>
      </c>
      <c r="AV251" s="93"/>
      <c r="AW251" s="93"/>
      <c r="AX251" s="93"/>
      <c r="AY251" s="93"/>
      <c r="AZ251" s="119">
        <f>-1000*AZ227/(AZ237*365)</f>
        <v>15.491828856530779</v>
      </c>
      <c r="BA251" s="93"/>
      <c r="BB251" s="93"/>
      <c r="BC251" s="93"/>
      <c r="BD251" s="93"/>
      <c r="BE251" s="119">
        <f>-1000*BE227/(BE237*365)</f>
        <v>15.571706648029668</v>
      </c>
      <c r="BF251" s="93"/>
      <c r="BG251" s="93"/>
      <c r="BH251" s="93"/>
      <c r="BI251" s="93"/>
      <c r="BJ251" s="119">
        <f>-1000*BJ227/(BJ237*365)</f>
        <v>15.900730954031538</v>
      </c>
      <c r="BK251" s="93"/>
      <c r="BL251" s="93"/>
      <c r="BM251" s="93"/>
      <c r="BN251" s="93"/>
      <c r="BO251" s="119">
        <f>-1000*BO227/(BO237*365)</f>
        <v>16.264716092686186</v>
      </c>
      <c r="BP251" s="109">
        <f>BT251</f>
        <v>16.445407858678429</v>
      </c>
      <c r="BQ251" s="109">
        <f>BT251</f>
        <v>16.445407858678429</v>
      </c>
      <c r="BR251" s="109">
        <f>BT251</f>
        <v>16.445407858678429</v>
      </c>
      <c r="BS251" s="109">
        <f>BT251</f>
        <v>16.445407858678429</v>
      </c>
      <c r="BT251" s="120">
        <f>BT256</f>
        <v>16.445407858678429</v>
      </c>
      <c r="BU251" s="109">
        <f>BY251</f>
        <v>16.626099624670672</v>
      </c>
      <c r="BV251" s="109">
        <f>BY251</f>
        <v>16.626099624670672</v>
      </c>
      <c r="BW251" s="109">
        <f>BY251</f>
        <v>16.626099624670672</v>
      </c>
      <c r="BX251" s="109">
        <f>BY251</f>
        <v>16.626099624670672</v>
      </c>
      <c r="BY251" s="120">
        <f>BY256</f>
        <v>16.626099624670672</v>
      </c>
      <c r="BZ251" s="109">
        <f>CD251</f>
        <v>16.806791390662919</v>
      </c>
      <c r="CA251" s="109">
        <f>CD251</f>
        <v>16.806791390662919</v>
      </c>
      <c r="CB251" s="109">
        <f>CD251</f>
        <v>16.806791390662919</v>
      </c>
      <c r="CC251" s="109">
        <f>CD251</f>
        <v>16.806791390662919</v>
      </c>
      <c r="CD251" s="120">
        <f>CD256</f>
        <v>16.806791390662919</v>
      </c>
      <c r="CG251" s="468">
        <v>2005</v>
      </c>
      <c r="CH251" s="627">
        <f>INDEX(229:229,MATCH(CG251,218:218,0))</f>
        <v>9960.6666666666679</v>
      </c>
      <c r="CI251" s="627">
        <f>INDEX(231:231,MATCH(CG251,218:218,0))</f>
        <v>-3567.1666666666665</v>
      </c>
    </row>
    <row r="252" spans="1:103" hidden="1" outlineLevel="1">
      <c r="A252" s="11"/>
      <c r="B252" s="4" t="s">
        <v>930</v>
      </c>
      <c r="C252" s="72"/>
      <c r="D252" s="72"/>
      <c r="E252" s="72"/>
      <c r="F252" s="72"/>
      <c r="G252" s="119">
        <f>-1000*G228/(G237*365)</f>
        <v>0.4919174986504074</v>
      </c>
      <c r="H252" s="93"/>
      <c r="I252" s="93"/>
      <c r="J252" s="93"/>
      <c r="K252" s="93"/>
      <c r="L252" s="119">
        <f>-1000*L228/(L237*365)</f>
        <v>-5.0832010554261906</v>
      </c>
      <c r="M252" s="93"/>
      <c r="N252" s="93"/>
      <c r="O252" s="93"/>
      <c r="P252" s="93"/>
      <c r="Q252" s="119">
        <f>-1000*Q228/(Q237*365)</f>
        <v>-1.3147749582567243</v>
      </c>
      <c r="R252" s="93"/>
      <c r="S252" s="93"/>
      <c r="T252" s="93"/>
      <c r="U252" s="93"/>
      <c r="V252" s="119">
        <f>-1000*V228/(V237*365)</f>
        <v>0.88365575956306708</v>
      </c>
      <c r="W252" s="93"/>
      <c r="X252" s="93"/>
      <c r="Y252" s="93"/>
      <c r="Z252" s="93"/>
      <c r="AA252" s="119">
        <f>-1000*AA228/(AA237*365)</f>
        <v>-0.50987373186660112</v>
      </c>
      <c r="AB252" s="93"/>
      <c r="AC252" s="93"/>
      <c r="AD252" s="93"/>
      <c r="AE252" s="93"/>
      <c r="AF252" s="119">
        <f>-1000*AF228/(AF237*365)</f>
        <v>-9.8263023590348482</v>
      </c>
      <c r="AG252" s="93"/>
      <c r="AH252" s="93"/>
      <c r="AI252" s="93"/>
      <c r="AJ252" s="93"/>
      <c r="AK252" s="119">
        <f>-1000*AK228/(AK237*365)</f>
        <v>-1.685882123531419</v>
      </c>
      <c r="AL252" s="93"/>
      <c r="AM252" s="93"/>
      <c r="AN252" s="93"/>
      <c r="AO252" s="93"/>
      <c r="AP252" s="119">
        <f>-1000*AP228/(AP237*365)</f>
        <v>-14.056373496889082</v>
      </c>
      <c r="AQ252" s="93"/>
      <c r="AR252" s="93"/>
      <c r="AS252" s="93"/>
      <c r="AT252" s="93"/>
      <c r="AU252" s="119">
        <f>-1000*AU228/(AU237*365)</f>
        <v>-0.34767336087745565</v>
      </c>
      <c r="AV252" s="93"/>
      <c r="AW252" s="93"/>
      <c r="AX252" s="93"/>
      <c r="AY252" s="93"/>
      <c r="AZ252" s="119">
        <f>-1000*AZ228/(AZ237*365)</f>
        <v>-0.11388060067809445</v>
      </c>
      <c r="BA252" s="93"/>
      <c r="BB252" s="93"/>
      <c r="BC252" s="93"/>
      <c r="BD252" s="93"/>
      <c r="BE252" s="119">
        <f>-1000*BE228/(BE237*365)</f>
        <v>1.4371281922720107</v>
      </c>
      <c r="BF252" s="93"/>
      <c r="BG252" s="93"/>
      <c r="BH252" s="93"/>
      <c r="BI252" s="93"/>
      <c r="BJ252" s="119">
        <f>-1000*BJ228/(BJ237*365)</f>
        <v>-2.5085526617443663</v>
      </c>
      <c r="BK252" s="93"/>
      <c r="BL252" s="93"/>
      <c r="BM252" s="93"/>
      <c r="BN252" s="93"/>
      <c r="BO252" s="119">
        <f>-1000*BO228/(BO237*365)</f>
        <v>0.32125989526206061</v>
      </c>
      <c r="BP252" s="114">
        <f>-1000*BP228/(BP$237*90)</f>
        <v>0</v>
      </c>
      <c r="BQ252" s="114">
        <f>-1000*BQ228/(BQ$237*91)</f>
        <v>0</v>
      </c>
      <c r="BR252" s="114">
        <f>-1000*BR228/(BR$237*92)</f>
        <v>0</v>
      </c>
      <c r="BS252" s="114">
        <f>-1000*BS228/(BS$237*92)</f>
        <v>0</v>
      </c>
      <c r="BT252" s="104">
        <f>-1000*BT228/(BT237*365)</f>
        <v>0</v>
      </c>
      <c r="BU252" s="114">
        <f>-1000*BU228/(BU$237*90)</f>
        <v>0</v>
      </c>
      <c r="BV252" s="114">
        <f>-1000*BV228/(BV$237*91)</f>
        <v>0</v>
      </c>
      <c r="BW252" s="114">
        <f>-1000*BW228/(BW$237*92)</f>
        <v>0</v>
      </c>
      <c r="BX252" s="114">
        <f>-1000*BX228/(BX$237*92)</f>
        <v>0</v>
      </c>
      <c r="BY252" s="104">
        <f>-1000*BY228/(BY237*365)</f>
        <v>0</v>
      </c>
      <c r="BZ252" s="114">
        <f>-1000*BZ228/(BZ$237*90)</f>
        <v>0</v>
      </c>
      <c r="CA252" s="114">
        <f>-1000*CA228/(CA$237*91)</f>
        <v>0</v>
      </c>
      <c r="CB252" s="114">
        <f>-1000*CB228/(CB$237*92)</f>
        <v>0</v>
      </c>
      <c r="CC252" s="114">
        <f>-1000*CC228/(CC$237*92)</f>
        <v>0</v>
      </c>
      <c r="CD252" s="104">
        <f>-1000*CD228/(CD237*365)</f>
        <v>0</v>
      </c>
      <c r="CG252" s="468">
        <v>2006</v>
      </c>
      <c r="CH252" s="627">
        <f>INDEX(229:229,MATCH(CG252,218:218,0))</f>
        <v>9762</v>
      </c>
      <c r="CI252" s="627">
        <f>INDEX(231:231,MATCH(CG252,218:218,0))</f>
        <v>-3223</v>
      </c>
    </row>
    <row r="253" spans="1:103" s="391" customFormat="1" hidden="1" outlineLevel="1">
      <c r="A253" s="22"/>
      <c r="B253" s="60" t="s">
        <v>646</v>
      </c>
      <c r="C253" s="173"/>
      <c r="D253" s="158"/>
      <c r="E253" s="158"/>
      <c r="F253" s="158"/>
      <c r="G253" s="158"/>
      <c r="H253" s="173"/>
      <c r="I253" s="173"/>
      <c r="J253" s="173"/>
      <c r="K253" s="173"/>
      <c r="L253" s="158">
        <f>1000*(L221+L223+L224+L226+L225+L227)/(L237*365)</f>
        <v>21.311590807909166</v>
      </c>
      <c r="M253" s="173"/>
      <c r="N253" s="173"/>
      <c r="O253" s="173"/>
      <c r="P253" s="173"/>
      <c r="Q253" s="158">
        <f>1000*(Q221+Q223+Q224+Q226+Q225+Q227)/(Q237*365)</f>
        <v>20.861484703514677</v>
      </c>
      <c r="R253" s="173"/>
      <c r="S253" s="173"/>
      <c r="T253" s="173"/>
      <c r="U253" s="173"/>
      <c r="V253" s="158">
        <f>1000*(V221+V223+V224+V226+V225+V227)/(V237*365)</f>
        <v>34.428368593557174</v>
      </c>
      <c r="W253" s="173"/>
      <c r="X253" s="173"/>
      <c r="Y253" s="173"/>
      <c r="Z253" s="173"/>
      <c r="AA253" s="158">
        <f>1000*(AA221+AA223+AA224+AA226+AA225+AA227)/(AA237*365)</f>
        <v>13.805811816695661</v>
      </c>
      <c r="AB253" s="173"/>
      <c r="AC253" s="173"/>
      <c r="AD253" s="173"/>
      <c r="AE253" s="173"/>
      <c r="AF253" s="158">
        <f>1000*(AF221+AF223+AF224+AF226+AF225+AF227)/(AF237*365)</f>
        <v>23.314126913545913</v>
      </c>
      <c r="AG253" s="173"/>
      <c r="AH253" s="173"/>
      <c r="AI253" s="173"/>
      <c r="AJ253" s="173"/>
      <c r="AK253" s="158">
        <f>1000*(AK221+AK223+AK224+AK226+AK225+AK227)/(AK237*365)</f>
        <v>20.379027933505579</v>
      </c>
      <c r="AL253" s="173"/>
      <c r="AM253" s="173"/>
      <c r="AN253" s="173"/>
      <c r="AO253" s="173"/>
      <c r="AP253" s="158">
        <f>1000*(AP221+AP223+AP224+AP226+AP225+AP227)/(AP237*365)</f>
        <v>13.636056405550248</v>
      </c>
      <c r="AQ253" s="93"/>
      <c r="AR253" s="93"/>
      <c r="AS253" s="93"/>
      <c r="AT253" s="93"/>
      <c r="AU253" s="158">
        <f>1000*(AU221+AU223+AU224+AU226+AU225+AU227)/(AU237*365)</f>
        <v>13.576644742264643</v>
      </c>
      <c r="AV253" s="93"/>
      <c r="AW253" s="93"/>
      <c r="AX253" s="93"/>
      <c r="AY253" s="93"/>
      <c r="AZ253" s="158">
        <f>1000*(AZ221+AZ223+AZ224+AZ226+AZ225+AZ227)/(AZ237*365)</f>
        <v>13.9666422403063</v>
      </c>
      <c r="BA253" s="93"/>
      <c r="BB253" s="93"/>
      <c r="BC253" s="93"/>
      <c r="BD253" s="93"/>
      <c r="BE253" s="158">
        <f>1000*(BE221+BE223+BE224+BE226+BE225+BE227)/(BE237*365)</f>
        <v>-9.4470044403763058</v>
      </c>
      <c r="BF253" s="93"/>
      <c r="BG253" s="93"/>
      <c r="BH253" s="93"/>
      <c r="BI253" s="93"/>
      <c r="BJ253" s="158">
        <f>1000*(BJ221+BJ223+BJ224+BJ226+BJ225+BJ227)/(BJ237*365)</f>
        <v>-9.3078417591622458</v>
      </c>
      <c r="BK253" s="93"/>
      <c r="BL253" s="93"/>
      <c r="BM253" s="93"/>
      <c r="BN253" s="93"/>
      <c r="BO253" s="158">
        <f>1000*(BO221+BO223+BO224+BO226+BO225+BO227)/(BO237*365)</f>
        <v>4.5798212975730967</v>
      </c>
      <c r="BP253" s="93"/>
      <c r="BQ253" s="93"/>
      <c r="BR253" s="93"/>
      <c r="BS253" s="93"/>
      <c r="BT253" s="158">
        <f>1000*(BT221+BT223+BT224+BT226+BT225+BT227)/(BT237*365)</f>
        <v>11.899085760051269</v>
      </c>
      <c r="BU253" s="93"/>
      <c r="BV253" s="93"/>
      <c r="BW253" s="93"/>
      <c r="BX253" s="93"/>
      <c r="BY253" s="158">
        <f>1000*(BY221+BY223+BY224+BY226+BY225+BY227)/(BY237*365)</f>
        <v>8.6476000437853351</v>
      </c>
      <c r="BZ253" s="93"/>
      <c r="CA253" s="93"/>
      <c r="CB253" s="93"/>
      <c r="CC253" s="93"/>
      <c r="CD253" s="158">
        <f>1000*(CD221+CD223+CD224+CD226+CD225+CD227)/(CD237*365)</f>
        <v>8.4122962852593446</v>
      </c>
      <c r="CE253"/>
      <c r="CF253"/>
      <c r="CG253" s="468">
        <v>2007</v>
      </c>
      <c r="CH253" s="627">
        <f>INDEX(229:229,MATCH(CG253,218:218,0))</f>
        <v>7607</v>
      </c>
      <c r="CI253" s="627">
        <f>INDEX(231:231,MATCH(CG253,218:218,0))</f>
        <v>-2595</v>
      </c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</row>
    <row r="254" spans="1:103" s="391" customFormat="1" hidden="1" outlineLevel="1">
      <c r="A254" s="22"/>
      <c r="B254" s="60" t="s">
        <v>3057</v>
      </c>
      <c r="C254" s="173"/>
      <c r="D254" s="158"/>
      <c r="E254" s="158"/>
      <c r="F254" s="158"/>
      <c r="G254" s="158"/>
      <c r="H254" s="173"/>
      <c r="I254" s="173"/>
      <c r="J254" s="173"/>
      <c r="K254" s="173"/>
      <c r="L254" s="158"/>
      <c r="M254" s="173"/>
      <c r="N254" s="173"/>
      <c r="O254" s="173"/>
      <c r="P254" s="173"/>
      <c r="Q254" s="158">
        <f>1000*(Q221+Q224+Q226+Q225)/(Q237*365)</f>
        <v>28.429457633968017</v>
      </c>
      <c r="R254" s="173"/>
      <c r="S254" s="173"/>
      <c r="T254" s="173"/>
      <c r="U254" s="173"/>
      <c r="V254" s="158">
        <f>1000*(V221+V224+V226+V225)/(V237*365)</f>
        <v>43.683950049367752</v>
      </c>
      <c r="W254" s="173"/>
      <c r="X254" s="173"/>
      <c r="Y254" s="173"/>
      <c r="Z254" s="173"/>
      <c r="AA254" s="158">
        <f>1000*(AA221+AA224+AA226+AA225)/(AA237*365)</f>
        <v>25.498589225367237</v>
      </c>
      <c r="AB254" s="173"/>
      <c r="AC254" s="173"/>
      <c r="AD254" s="173"/>
      <c r="AE254" s="173"/>
      <c r="AF254" s="158">
        <f>1000*(AF221+AF224+AF226+AF225)/(AF237*365)</f>
        <v>34.306812174465648</v>
      </c>
      <c r="AG254" s="173"/>
      <c r="AH254" s="173"/>
      <c r="AI254" s="173"/>
      <c r="AJ254" s="173"/>
      <c r="AK254" s="158">
        <f>1000*(AK221+AK224+AK226+AK225)/(AK237*365)</f>
        <v>34.728464875932332</v>
      </c>
      <c r="AL254" s="173"/>
      <c r="AM254" s="173"/>
      <c r="AN254" s="173"/>
      <c r="AO254" s="173"/>
      <c r="AP254" s="158">
        <f>1000*(AP221+AP224+AP226+AP225)/(AP237*365)</f>
        <v>29.19587180607439</v>
      </c>
      <c r="AQ254" s="93"/>
      <c r="AR254" s="93"/>
      <c r="AS254" s="93"/>
      <c r="AT254" s="93"/>
      <c r="AU254" s="158">
        <f>1000*(AU221+AU224+AU226+AU225)/(AU237*365)</f>
        <v>29.799952944208918</v>
      </c>
      <c r="AV254" s="93"/>
      <c r="AW254" s="93"/>
      <c r="AX254" s="93"/>
      <c r="AY254" s="93"/>
      <c r="AZ254" s="158">
        <f>1000*(AZ221+AZ224+AZ226+AZ225)/(AZ237*365)</f>
        <v>34.977613065414729</v>
      </c>
      <c r="BA254" s="93"/>
      <c r="BB254" s="93"/>
      <c r="BC254" s="93"/>
      <c r="BD254" s="93"/>
      <c r="BE254" s="158">
        <f>1000*(BE221+BE224+BE226+BE225)/(BE237*365)</f>
        <v>10.638975470437208</v>
      </c>
      <c r="BF254" s="93"/>
      <c r="BG254" s="93"/>
      <c r="BH254" s="93"/>
      <c r="BI254" s="93"/>
      <c r="BJ254" s="158">
        <f>1000*(BJ221+BJ224+BJ226+BJ225)/(BJ237*365)</f>
        <v>9.5856877818238058</v>
      </c>
      <c r="BK254" s="93"/>
      <c r="BL254" s="93"/>
      <c r="BM254" s="93"/>
      <c r="BN254" s="93"/>
      <c r="BO254" s="158">
        <f>1000*(BO221+BO224+BO226+BO225)/(BO237*365)</f>
        <v>22.04365862722581</v>
      </c>
      <c r="BP254" s="93"/>
      <c r="BQ254" s="93"/>
      <c r="BR254" s="93"/>
      <c r="BS254" s="93"/>
      <c r="BT254" s="158">
        <f>1000*(BT221+BT224+BT226+BT225)/(BT237*365)</f>
        <v>29.85197515655085</v>
      </c>
      <c r="BU254" s="93"/>
      <c r="BV254" s="93"/>
      <c r="BW254" s="93"/>
      <c r="BX254" s="93"/>
      <c r="BY254" s="158">
        <f>1000*(BY221+BY224+BY226+BY225)/(BY237*365)</f>
        <v>26.474667952951677</v>
      </c>
      <c r="BZ254" s="93"/>
      <c r="CA254" s="93"/>
      <c r="CB254" s="93"/>
      <c r="CC254" s="93"/>
      <c r="CD254" s="158">
        <f>1000*(CD221+CD224+CD226+CD225)/(CD237*365)</f>
        <v>26.048489142246751</v>
      </c>
      <c r="CE254"/>
      <c r="CF254"/>
      <c r="CG254" s="468">
        <v>2008</v>
      </c>
      <c r="CH254" s="627">
        <f>INDEX(229:229,MATCH(CG254,218:218,0))</f>
        <v>11768</v>
      </c>
      <c r="CI254" s="627">
        <f>INDEX(231:231,MATCH(CG254,218:218,0))</f>
        <v>-4062</v>
      </c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</row>
    <row r="255" spans="1:103" hidden="1" outlineLevel="1">
      <c r="A255" s="11"/>
      <c r="B255" s="461"/>
      <c r="C255" s="5"/>
      <c r="D255" s="449"/>
      <c r="E255" s="449"/>
      <c r="F255" s="449"/>
      <c r="G255" s="449"/>
      <c r="H255" s="12"/>
      <c r="I255" s="12"/>
      <c r="J255" s="12"/>
      <c r="K255" s="12"/>
      <c r="L255" s="449"/>
      <c r="M255" s="12"/>
      <c r="N255" s="12"/>
      <c r="O255" s="12"/>
      <c r="P255" s="12"/>
      <c r="Q255" s="449"/>
      <c r="R255" s="12"/>
      <c r="S255" s="12"/>
      <c r="T255" s="12"/>
      <c r="U255" s="12"/>
      <c r="V255" s="449"/>
      <c r="W255" s="12"/>
      <c r="X255" s="12"/>
      <c r="Y255" s="12"/>
      <c r="Z255" s="12"/>
      <c r="AA255" s="449"/>
      <c r="AB255" s="12"/>
      <c r="AC255" s="12"/>
      <c r="AD255" s="12"/>
      <c r="AE255" s="12"/>
      <c r="AF255" s="449"/>
      <c r="AG255" s="12"/>
      <c r="AH255" s="12"/>
      <c r="AI255" s="12"/>
      <c r="AJ255" s="12"/>
      <c r="AK255" s="449"/>
      <c r="AL255" s="12"/>
      <c r="AM255" s="12"/>
      <c r="AN255" s="12"/>
      <c r="AO255" s="12"/>
      <c r="AP255" s="449"/>
      <c r="AQ255" s="12"/>
      <c r="AR255" s="12"/>
      <c r="AS255" s="12"/>
      <c r="AT255" s="12"/>
      <c r="AU255" s="449"/>
      <c r="AV255" s="12"/>
      <c r="AW255" s="12"/>
      <c r="AX255" s="12"/>
      <c r="AY255" s="12"/>
      <c r="AZ255" s="449"/>
      <c r="BA255" s="12"/>
      <c r="BB255" s="12"/>
      <c r="BC255" s="12"/>
      <c r="BD255" s="12"/>
      <c r="BE255" s="449"/>
      <c r="BF255" s="12"/>
      <c r="BG255" s="12"/>
      <c r="BH255" s="12"/>
      <c r="BI255" s="12"/>
      <c r="BJ255" s="449"/>
      <c r="BK255" s="12"/>
      <c r="BL255" s="12"/>
      <c r="BM255" s="12"/>
      <c r="BN255" s="12"/>
      <c r="BO255" s="449"/>
      <c r="BP255" s="109"/>
      <c r="BQ255" s="109"/>
      <c r="BR255" s="109"/>
      <c r="BS255" s="109"/>
      <c r="BT255" s="449"/>
      <c r="BU255" s="109"/>
      <c r="BV255" s="109"/>
      <c r="BW255" s="109"/>
      <c r="BX255" s="109"/>
      <c r="BY255" s="449"/>
      <c r="BZ255" s="109"/>
      <c r="CA255" s="109"/>
      <c r="CB255" s="109"/>
      <c r="CC255" s="109"/>
      <c r="CD255" s="449"/>
      <c r="CG255" s="468">
        <v>2009</v>
      </c>
      <c r="CH255" s="627">
        <f>INDEX(229:229,MATCH(CG255,218:218,0))</f>
        <v>5840</v>
      </c>
      <c r="CI255" s="627">
        <f>INDEX(231:231,MATCH(CG255,218:218,0))</f>
        <v>-1844</v>
      </c>
    </row>
    <row r="256" spans="1:103" hidden="1" outlineLevel="1">
      <c r="A256" s="11"/>
      <c r="B256" s="5" t="s">
        <v>2138</v>
      </c>
      <c r="C256" s="72"/>
      <c r="D256" s="72"/>
      <c r="E256" s="72"/>
      <c r="F256" s="72"/>
      <c r="G256" s="119">
        <f>G251</f>
        <v>6.0850194583055393</v>
      </c>
      <c r="H256" s="93"/>
      <c r="I256" s="93"/>
      <c r="J256" s="93"/>
      <c r="K256" s="93"/>
      <c r="L256" s="119">
        <f>L251</f>
        <v>6.1079527575573218</v>
      </c>
      <c r="M256" s="93"/>
      <c r="N256" s="93"/>
      <c r="O256" s="93"/>
      <c r="P256" s="93"/>
      <c r="Q256" s="119">
        <f>Q251</f>
        <v>6.6671625931998415</v>
      </c>
      <c r="R256" s="93"/>
      <c r="S256" s="93"/>
      <c r="T256" s="93"/>
      <c r="U256" s="93"/>
      <c r="V256" s="119">
        <f>V251</f>
        <v>8.2949621300920171</v>
      </c>
      <c r="W256" s="93"/>
      <c r="X256" s="93"/>
      <c r="Y256" s="93"/>
      <c r="Z256" s="93"/>
      <c r="AA256" s="119">
        <f>AA251</f>
        <v>9.8714496068596294</v>
      </c>
      <c r="AB256" s="93"/>
      <c r="AC256" s="93"/>
      <c r="AD256" s="93"/>
      <c r="AE256" s="93"/>
      <c r="AF256" s="119">
        <f>AF251</f>
        <v>9.6666350940436452</v>
      </c>
      <c r="AG256" s="93"/>
      <c r="AH256" s="93"/>
      <c r="AI256" s="93"/>
      <c r="AJ256" s="93"/>
      <c r="AK256" s="119">
        <f>AK251</f>
        <v>10.553551406425193</v>
      </c>
      <c r="AL256" s="93"/>
      <c r="AM256" s="93"/>
      <c r="AN256" s="93"/>
      <c r="AO256" s="93"/>
      <c r="AP256" s="119">
        <f>AP251</f>
        <v>12.920709048175501</v>
      </c>
      <c r="AQ256" s="93"/>
      <c r="AR256" s="93"/>
      <c r="AS256" s="93"/>
      <c r="AT256" s="93"/>
      <c r="AU256" s="119">
        <f>AU251</f>
        <v>14.202456791844064</v>
      </c>
      <c r="AV256" s="93"/>
      <c r="AW256" s="93"/>
      <c r="AX256" s="93"/>
      <c r="AY256" s="93"/>
      <c r="AZ256" s="119">
        <f>AZ251</f>
        <v>15.491828856530779</v>
      </c>
      <c r="BA256" s="93"/>
      <c r="BB256" s="93"/>
      <c r="BC256" s="93"/>
      <c r="BD256" s="93"/>
      <c r="BE256" s="119">
        <f>BE251</f>
        <v>15.571706648029668</v>
      </c>
      <c r="BF256" s="93"/>
      <c r="BG256" s="93"/>
      <c r="BH256" s="93"/>
      <c r="BI256" s="93"/>
      <c r="BJ256" s="119">
        <f>BJ251</f>
        <v>15.900730954031538</v>
      </c>
      <c r="BK256" s="93"/>
      <c r="BL256" s="93"/>
      <c r="BM256" s="93"/>
      <c r="BN256" s="93"/>
      <c r="BO256" s="119">
        <f>BO251</f>
        <v>16.264716092686186</v>
      </c>
      <c r="BP256" s="93"/>
      <c r="BQ256" s="93"/>
      <c r="BR256" s="93"/>
      <c r="BS256" s="93"/>
      <c r="BT256" s="104">
        <f>$BO256*(BT$74/$BO$74)</f>
        <v>16.445407858678429</v>
      </c>
      <c r="BU256" s="93"/>
      <c r="BV256" s="93"/>
      <c r="BW256" s="93"/>
      <c r="BX256" s="93"/>
      <c r="BY256" s="104">
        <f>$BO256*(BY$74/$BO$74)</f>
        <v>16.626099624670672</v>
      </c>
      <c r="BZ256" s="93"/>
      <c r="CA256" s="93"/>
      <c r="CB256" s="93"/>
      <c r="CC256" s="93"/>
      <c r="CD256" s="104">
        <f>$BO256*(CD$74/$BO$74)</f>
        <v>16.806791390662919</v>
      </c>
      <c r="CG256" s="468">
        <v>2010</v>
      </c>
      <c r="CH256" s="627">
        <f>INDEX(229:229,MATCH(CG256,218:218,0))</f>
        <v>12246</v>
      </c>
      <c r="CI256" s="627">
        <f>INDEX(231:231,MATCH(CG256,218:218,0))</f>
        <v>-4114</v>
      </c>
    </row>
    <row r="257" spans="1:90" hidden="1" outlineLevel="1">
      <c r="A257" s="11"/>
      <c r="B257" s="11"/>
      <c r="C257" s="72"/>
      <c r="D257" s="72"/>
      <c r="E257" s="72"/>
      <c r="F257" s="72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G257" s="468">
        <v>2011</v>
      </c>
      <c r="CH257" s="627">
        <f>INDEX(229:229,MATCH(CG257,218:218,0))</f>
        <v>6243</v>
      </c>
      <c r="CI257" s="627">
        <f>INDEX(231:231,MATCH(CG257,218:218,0))</f>
        <v>-1993</v>
      </c>
    </row>
    <row r="258" spans="1:90" hidden="1" outlineLevel="1">
      <c r="A258" s="39" t="s">
        <v>3094</v>
      </c>
      <c r="B258" s="11"/>
      <c r="C258" s="72"/>
      <c r="D258" s="72"/>
      <c r="E258" s="72"/>
      <c r="F258" s="72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G258" s="468">
        <v>2012</v>
      </c>
      <c r="CH258" s="627">
        <f>INDEX(229:229,MATCH(CG258,218:218,0))</f>
        <v>6852</v>
      </c>
      <c r="CI258" s="627">
        <f>INDEX(231:231,MATCH(CG258,218:218,0))</f>
        <v>-2695</v>
      </c>
    </row>
    <row r="259" spans="1:90" hidden="1" outlineLevel="1">
      <c r="A259" s="11"/>
      <c r="B259" s="11" t="s">
        <v>1897</v>
      </c>
      <c r="C259" s="72"/>
      <c r="D259" s="72"/>
      <c r="E259" s="72"/>
      <c r="F259" s="72"/>
      <c r="G259" s="116">
        <f>-G223/G221</f>
        <v>2.5413030352928263E-2</v>
      </c>
      <c r="H259" s="93"/>
      <c r="I259" s="93"/>
      <c r="J259" s="93"/>
      <c r="K259" s="93"/>
      <c r="L259" s="116">
        <f>-L223/L221</f>
        <v>3.8526845834065224E-2</v>
      </c>
      <c r="M259" s="93"/>
      <c r="N259" s="93"/>
      <c r="O259" s="93"/>
      <c r="P259" s="93"/>
      <c r="Q259" s="116">
        <f>-Q223/Q221</f>
        <v>1.8388478933587242E-2</v>
      </c>
      <c r="R259" s="93"/>
      <c r="S259" s="93"/>
      <c r="T259" s="93"/>
      <c r="U259" s="93"/>
      <c r="V259" s="116">
        <f>-V223/V221</f>
        <v>1.3477843545032795E-2</v>
      </c>
      <c r="W259" s="93"/>
      <c r="X259" s="93"/>
      <c r="Y259" s="93"/>
      <c r="Z259" s="93"/>
      <c r="AA259" s="116">
        <f>-AA223/AA221</f>
        <v>4.4611227859501654E-2</v>
      </c>
      <c r="AB259" s="93"/>
      <c r="AC259" s="93"/>
      <c r="AD259" s="93"/>
      <c r="AE259" s="93"/>
      <c r="AF259" s="116">
        <f>-AF223/AF221</f>
        <v>2.3890784982935155E-2</v>
      </c>
      <c r="AG259" s="93"/>
      <c r="AH259" s="93"/>
      <c r="AI259" s="93"/>
      <c r="AJ259" s="93"/>
      <c r="AK259" s="116">
        <f>-AK223/AK221</f>
        <v>5.4010560724163943E-2</v>
      </c>
      <c r="AL259" s="93"/>
      <c r="AM259" s="93"/>
      <c r="AN259" s="93"/>
      <c r="AO259" s="93"/>
      <c r="AP259" s="116">
        <f>-AP223/AP221</f>
        <v>4.0343506734214753E-2</v>
      </c>
      <c r="AQ259" s="93"/>
      <c r="AR259" s="93"/>
      <c r="AS259" s="93"/>
      <c r="AT259" s="93"/>
      <c r="AU259" s="116">
        <f>-AU223/AU221</f>
        <v>3.1004133884517934E-2</v>
      </c>
      <c r="AV259" s="93"/>
      <c r="AW259" s="93"/>
      <c r="AX259" s="93"/>
      <c r="AY259" s="93"/>
      <c r="AZ259" s="116">
        <f>-AZ223/AZ221</f>
        <v>8.4123736904097704E-2</v>
      </c>
      <c r="BA259" s="93"/>
      <c r="BB259" s="93"/>
      <c r="BC259" s="93"/>
      <c r="BD259" s="93"/>
      <c r="BE259" s="116">
        <f>-BE223/BE221</f>
        <v>0.13194959229058562</v>
      </c>
      <c r="BF259" s="93"/>
      <c r="BG259" s="93"/>
      <c r="BH259" s="93"/>
      <c r="BI259" s="93"/>
      <c r="BJ259" s="116">
        <f>-BJ223/BJ221</f>
        <v>0.10895953757225434</v>
      </c>
      <c r="BK259" s="93"/>
      <c r="BL259" s="93"/>
      <c r="BM259" s="93"/>
      <c r="BN259" s="93"/>
      <c r="BO259" s="116">
        <f>-BO223/BO221</f>
        <v>3.2055122828040745E-2</v>
      </c>
      <c r="BP259" s="117">
        <f t="shared" ref="BP259:CD259" si="130">-BP223/BP221</f>
        <v>4.6444409514354509E-2</v>
      </c>
      <c r="BQ259" s="117">
        <f t="shared" si="130"/>
        <v>2.9781139169937562E-2</v>
      </c>
      <c r="BR259" s="117">
        <f t="shared" si="130"/>
        <v>2.991804293079349E-2</v>
      </c>
      <c r="BS259" s="117">
        <f t="shared" si="130"/>
        <v>3.0157148733328781E-2</v>
      </c>
      <c r="BT259" s="116">
        <f t="shared" si="130"/>
        <v>3.4063651636447867E-2</v>
      </c>
      <c r="BU259" s="117">
        <f t="shared" si="130"/>
        <v>2.970651848366462E-2</v>
      </c>
      <c r="BV259" s="117">
        <f t="shared" si="130"/>
        <v>2.9419950153161012E-2</v>
      </c>
      <c r="BW259" s="117">
        <f t="shared" si="130"/>
        <v>2.9167228453568513E-2</v>
      </c>
      <c r="BX259" s="117">
        <f t="shared" si="130"/>
        <v>2.9156385032420035E-2</v>
      </c>
      <c r="BY259" s="116">
        <f t="shared" si="130"/>
        <v>2.9360805496840985E-2</v>
      </c>
      <c r="BZ259" s="117">
        <f t="shared" si="130"/>
        <v>1.9609295552649043E-2</v>
      </c>
      <c r="CA259" s="117">
        <f t="shared" si="130"/>
        <v>1.9302732894174428E-2</v>
      </c>
      <c r="CB259" s="117">
        <f t="shared" si="130"/>
        <v>1.9022337152897056E-2</v>
      </c>
      <c r="CC259" s="117">
        <f t="shared" si="130"/>
        <v>1.8898342774011812E-2</v>
      </c>
      <c r="CD259" s="116">
        <f t="shared" si="130"/>
        <v>1.9204287001289455E-2</v>
      </c>
      <c r="CG259" s="468">
        <v>2013</v>
      </c>
      <c r="CH259" s="627">
        <f>INDEX(229:229,MATCH(CG259,218:218,0))</f>
        <v>3204</v>
      </c>
      <c r="CI259" s="627">
        <f>INDEX(231:231,MATCH(CG259,218:218,0))</f>
        <v>-1178</v>
      </c>
    </row>
    <row r="260" spans="1:90" hidden="1" outlineLevel="1">
      <c r="A260" s="11"/>
      <c r="B260" s="11" t="s">
        <v>2149</v>
      </c>
      <c r="C260" s="72"/>
      <c r="D260" s="72"/>
      <c r="E260" s="72"/>
      <c r="F260" s="72"/>
      <c r="G260" s="116">
        <f>-G224/G221</f>
        <v>0.10995846826572991</v>
      </c>
      <c r="H260" s="93"/>
      <c r="I260" s="93"/>
      <c r="J260" s="93"/>
      <c r="K260" s="93"/>
      <c r="L260" s="116">
        <f>-L224/L221</f>
        <v>0.14877920252942209</v>
      </c>
      <c r="M260" s="93"/>
      <c r="N260" s="93"/>
      <c r="O260" s="93"/>
      <c r="P260" s="93"/>
      <c r="Q260" s="116">
        <f>-Q224/Q221</f>
        <v>0.18144489407283981</v>
      </c>
      <c r="R260" s="93"/>
      <c r="S260" s="93"/>
      <c r="T260" s="93"/>
      <c r="U260" s="93"/>
      <c r="V260" s="116">
        <f>-V224/V221</f>
        <v>0.13161894096944488</v>
      </c>
      <c r="W260" s="93"/>
      <c r="X260" s="93"/>
      <c r="Y260" s="93"/>
      <c r="Z260" s="93"/>
      <c r="AA260" s="116">
        <f>-AA224/AA221</f>
        <v>0.18643050135094566</v>
      </c>
      <c r="AB260" s="93"/>
      <c r="AC260" s="93"/>
      <c r="AD260" s="93"/>
      <c r="AE260" s="93"/>
      <c r="AF260" s="116">
        <f>-AF224/AF221</f>
        <v>0.1514870794734276</v>
      </c>
      <c r="AG260" s="93"/>
      <c r="AH260" s="93"/>
      <c r="AI260" s="93"/>
      <c r="AJ260" s="93"/>
      <c r="AK260" s="116">
        <f>-AK224/AK221</f>
        <v>0.17440281619311038</v>
      </c>
      <c r="AL260" s="93"/>
      <c r="AM260" s="93"/>
      <c r="AN260" s="93"/>
      <c r="AO260" s="93"/>
      <c r="AP260" s="116">
        <f>-AP224/AP221</f>
        <v>0.24249351291239343</v>
      </c>
      <c r="AQ260" s="93"/>
      <c r="AR260" s="93"/>
      <c r="AS260" s="93"/>
      <c r="AT260" s="93"/>
      <c r="AU260" s="116">
        <f>-AU224/AU221</f>
        <v>0.24889985331377518</v>
      </c>
      <c r="AV260" s="93"/>
      <c r="AW260" s="93"/>
      <c r="AX260" s="93"/>
      <c r="AY260" s="93"/>
      <c r="AZ260" s="116">
        <f>-AZ224/AZ221</f>
        <v>0.21858533258942409</v>
      </c>
      <c r="BA260" s="93"/>
      <c r="BB260" s="93"/>
      <c r="BC260" s="93"/>
      <c r="BD260" s="93"/>
      <c r="BE260" s="116">
        <f>-BE224/BE221</f>
        <v>0.3526068692858908</v>
      </c>
      <c r="BF260" s="93"/>
      <c r="BG260" s="93"/>
      <c r="BH260" s="93"/>
      <c r="BI260" s="93"/>
      <c r="BJ260" s="116">
        <f>-BJ224/BJ221</f>
        <v>0.38121387283236996</v>
      </c>
      <c r="BK260" s="93"/>
      <c r="BL260" s="93"/>
      <c r="BM260" s="93"/>
      <c r="BN260" s="93"/>
      <c r="BO260" s="116">
        <f>-BO224/BO221</f>
        <v>0.23686838426203316</v>
      </c>
      <c r="BP260" s="117">
        <f t="shared" ref="BP260:CD260" si="131">-BP224/BP221</f>
        <v>0.18908063753950849</v>
      </c>
      <c r="BQ260" s="117">
        <f t="shared" si="131"/>
        <v>0.18873485282405339</v>
      </c>
      <c r="BR260" s="117">
        <f t="shared" si="131"/>
        <v>0.19050290455762625</v>
      </c>
      <c r="BS260" s="117">
        <f t="shared" si="131"/>
        <v>0.19221854239460301</v>
      </c>
      <c r="BT260" s="116">
        <f t="shared" si="131"/>
        <v>0.19012970724217093</v>
      </c>
      <c r="BU260" s="117">
        <f t="shared" si="131"/>
        <v>0.21163415124573282</v>
      </c>
      <c r="BV260" s="117">
        <f t="shared" si="131"/>
        <v>0.21110518737234449</v>
      </c>
      <c r="BW260" s="117">
        <f t="shared" si="131"/>
        <v>0.21020586233282657</v>
      </c>
      <c r="BX260" s="117">
        <f t="shared" si="131"/>
        <v>0.21035127996990488</v>
      </c>
      <c r="BY260" s="116">
        <f t="shared" si="131"/>
        <v>0.21081976765709512</v>
      </c>
      <c r="BZ260" s="117">
        <f t="shared" si="131"/>
        <v>0.22203201604277684</v>
      </c>
      <c r="CA260" s="117">
        <f t="shared" si="131"/>
        <v>0.21768453037075075</v>
      </c>
      <c r="CB260" s="117">
        <f t="shared" si="131"/>
        <v>0.2153990189990371</v>
      </c>
      <c r="CC260" s="117">
        <f t="shared" si="131"/>
        <v>0.21423194496759285</v>
      </c>
      <c r="CD260" s="116">
        <f t="shared" si="131"/>
        <v>0.21729499076118713</v>
      </c>
      <c r="CG260" s="468">
        <v>2014</v>
      </c>
      <c r="CH260" s="627">
        <f>INDEX(229:229,MATCH(CG260,218:218,0))</f>
        <v>3462</v>
      </c>
      <c r="CI260" s="627">
        <f>INDEX(231:231,MATCH(CG260,218:218,0))</f>
        <v>-1284</v>
      </c>
    </row>
    <row r="261" spans="1:90" hidden="1" outlineLevel="1">
      <c r="A261" s="11"/>
      <c r="B261" s="11" t="s">
        <v>2150</v>
      </c>
      <c r="C261" s="72"/>
      <c r="D261" s="72"/>
      <c r="E261" s="72"/>
      <c r="F261" s="72"/>
      <c r="G261" s="116">
        <f>-G225/G221</f>
        <v>3.3591305779680551E-2</v>
      </c>
      <c r="H261" s="93"/>
      <c r="I261" s="93"/>
      <c r="J261" s="93"/>
      <c r="K261" s="93"/>
      <c r="L261" s="116">
        <f>-L225/L221</f>
        <v>5.199367644475672E-2</v>
      </c>
      <c r="M261" s="93"/>
      <c r="N261" s="93"/>
      <c r="O261" s="93"/>
      <c r="P261" s="93"/>
      <c r="Q261" s="116">
        <f>-Q225/Q221</f>
        <v>7.5041656748393235E-2</v>
      </c>
      <c r="R261" s="93"/>
      <c r="S261" s="93"/>
      <c r="T261" s="93"/>
      <c r="U261" s="93"/>
      <c r="V261" s="116">
        <f>-V225/V221</f>
        <v>0.10418333066709326</v>
      </c>
      <c r="W261" s="93"/>
      <c r="X261" s="93"/>
      <c r="Y261" s="93"/>
      <c r="Z261" s="93"/>
      <c r="AA261" s="116">
        <f>-AA225/AA221</f>
        <v>3.9027319123386368E-2</v>
      </c>
      <c r="AB261" s="93"/>
      <c r="AC261" s="93"/>
      <c r="AD261" s="93"/>
      <c r="AE261" s="93"/>
      <c r="AF261" s="116">
        <f>-AF225/AF221</f>
        <v>5.3388590931253047E-2</v>
      </c>
      <c r="AG261" s="93"/>
      <c r="AH261" s="93"/>
      <c r="AI261" s="93"/>
      <c r="AJ261" s="93"/>
      <c r="AK261" s="116">
        <f>-AK225/AK221</f>
        <v>9.3236107618808142E-2</v>
      </c>
      <c r="AL261" s="93"/>
      <c r="AM261" s="93"/>
      <c r="AN261" s="93"/>
      <c r="AO261" s="93"/>
      <c r="AP261" s="116">
        <f>-AP225/AP221</f>
        <v>9.0942790065488693E-2</v>
      </c>
      <c r="AQ261" s="93"/>
      <c r="AR261" s="93"/>
      <c r="AS261" s="93"/>
      <c r="AT261" s="93"/>
      <c r="AU261" s="116">
        <f>-AU225/AU221</f>
        <v>7.4143219095879453E-2</v>
      </c>
      <c r="AV261" s="93"/>
      <c r="AW261" s="93"/>
      <c r="AX261" s="93"/>
      <c r="AY261" s="93"/>
      <c r="AZ261" s="116">
        <f>-AZ225/AZ221</f>
        <v>4.2774781476659848E-2</v>
      </c>
      <c r="BA261" s="93"/>
      <c r="BB261" s="93"/>
      <c r="BC261" s="93"/>
      <c r="BD261" s="93"/>
      <c r="BE261" s="116">
        <f>-BE225/BE221</f>
        <v>2.6562886088460587E-2</v>
      </c>
      <c r="BF261" s="93"/>
      <c r="BG261" s="93"/>
      <c r="BH261" s="93"/>
      <c r="BI261" s="93"/>
      <c r="BJ261" s="116">
        <f>-BJ225/BJ221</f>
        <v>2.2398843930635837E-2</v>
      </c>
      <c r="BK261" s="93"/>
      <c r="BL261" s="93"/>
      <c r="BM261" s="93"/>
      <c r="BN261" s="93"/>
      <c r="BO261" s="116">
        <f>-BO225/BO221</f>
        <v>5.1927301777511484E-3</v>
      </c>
      <c r="BP261" s="117">
        <f>BT261</f>
        <v>5.1927301777511484E-3</v>
      </c>
      <c r="BQ261" s="117">
        <f>BT261</f>
        <v>5.1927301777511484E-3</v>
      </c>
      <c r="BR261" s="117">
        <f>BT261</f>
        <v>5.1927301777511484E-3</v>
      </c>
      <c r="BS261" s="117">
        <f>BT261</f>
        <v>5.1927301777511484E-3</v>
      </c>
      <c r="BT261" s="118">
        <f>BO261</f>
        <v>5.1927301777511484E-3</v>
      </c>
      <c r="BU261" s="117">
        <f>BY261</f>
        <v>5.1927301777511484E-3</v>
      </c>
      <c r="BV261" s="117">
        <f>BY261</f>
        <v>5.1927301777511484E-3</v>
      </c>
      <c r="BW261" s="117">
        <f>BY261</f>
        <v>5.1927301777511484E-3</v>
      </c>
      <c r="BX261" s="117">
        <f>BY261</f>
        <v>5.1927301777511484E-3</v>
      </c>
      <c r="BY261" s="118">
        <f>BT261</f>
        <v>5.1927301777511484E-3</v>
      </c>
      <c r="BZ261" s="117">
        <f>CD261</f>
        <v>5.1927301777511484E-3</v>
      </c>
      <c r="CA261" s="117">
        <f>CD261</f>
        <v>5.1927301777511484E-3</v>
      </c>
      <c r="CB261" s="117">
        <f>CD261</f>
        <v>5.1927301777511484E-3</v>
      </c>
      <c r="CC261" s="117">
        <f>CD261</f>
        <v>5.1927301777511484E-3</v>
      </c>
      <c r="CD261" s="118">
        <f>BY261</f>
        <v>5.1927301777511484E-3</v>
      </c>
      <c r="CG261" s="468">
        <v>2015</v>
      </c>
      <c r="CH261" s="627">
        <f>INDEX(229:229,MATCH(CG261,218:218,0))</f>
        <v>-2575</v>
      </c>
      <c r="CI261" s="627">
        <f>INDEX(231:231,MATCH(CG261,218:218,0))</f>
        <v>862</v>
      </c>
    </row>
    <row r="262" spans="1:90" hidden="1" outlineLevel="1">
      <c r="A262" s="11"/>
      <c r="B262" s="11" t="s">
        <v>2158</v>
      </c>
      <c r="C262" s="72"/>
      <c r="D262" s="72"/>
      <c r="E262" s="72"/>
      <c r="F262" s="72"/>
      <c r="G262" s="116">
        <f>-G226/G221</f>
        <v>0.137548712882156</v>
      </c>
      <c r="H262" s="93"/>
      <c r="I262" s="93"/>
      <c r="J262" s="93"/>
      <c r="K262" s="93"/>
      <c r="L262" s="116">
        <f>-L226/L221</f>
        <v>0.16693014813513671</v>
      </c>
      <c r="M262" s="93"/>
      <c r="N262" s="93"/>
      <c r="O262" s="93"/>
      <c r="P262" s="93"/>
      <c r="Q262" s="116">
        <f>-Q226/Q221</f>
        <v>0.1631754344203761</v>
      </c>
      <c r="R262" s="93"/>
      <c r="S262" s="93"/>
      <c r="T262" s="93"/>
      <c r="U262" s="93"/>
      <c r="V262" s="116">
        <f>-V226/V221</f>
        <v>0.15129579267317228</v>
      </c>
      <c r="W262" s="93"/>
      <c r="X262" s="93"/>
      <c r="Y262" s="93"/>
      <c r="Z262" s="93"/>
      <c r="AA262" s="116">
        <f>-AA226/AA221</f>
        <v>0.14998498949264485</v>
      </c>
      <c r="AB262" s="93"/>
      <c r="AC262" s="93"/>
      <c r="AD262" s="93"/>
      <c r="AE262" s="93"/>
      <c r="AF262" s="116">
        <f>-AF226/AF221</f>
        <v>0.17703559239395417</v>
      </c>
      <c r="AG262" s="93"/>
      <c r="AH262" s="93"/>
      <c r="AI262" s="93"/>
      <c r="AJ262" s="93"/>
      <c r="AK262" s="116">
        <f>-AK226/AK221</f>
        <v>0.23821976364093539</v>
      </c>
      <c r="AL262" s="93"/>
      <c r="AM262" s="93"/>
      <c r="AN262" s="93"/>
      <c r="AO262" s="93"/>
      <c r="AP262" s="116">
        <f>-AP226/AP221</f>
        <v>0.22025206968985542</v>
      </c>
      <c r="AQ262" s="93"/>
      <c r="AR262" s="93"/>
      <c r="AS262" s="93"/>
      <c r="AT262" s="93"/>
      <c r="AU262" s="116">
        <f>-AU226/AU221</f>
        <v>0.21976263501800239</v>
      </c>
      <c r="AV262" s="93"/>
      <c r="AW262" s="93"/>
      <c r="AX262" s="93"/>
      <c r="AY262" s="93"/>
      <c r="AZ262" s="116">
        <f>-AZ226/AZ221</f>
        <v>0.20550492839873535</v>
      </c>
      <c r="BA262" s="93"/>
      <c r="BB262" s="93"/>
      <c r="BC262" s="93"/>
      <c r="BD262" s="93"/>
      <c r="BE262" s="116">
        <f>-BE226/BE221</f>
        <v>0.30985915492957744</v>
      </c>
      <c r="BF262" s="93"/>
      <c r="BG262" s="93"/>
      <c r="BH262" s="93"/>
      <c r="BI262" s="93"/>
      <c r="BJ262" s="116">
        <f>-BJ226/BJ221</f>
        <v>0.24739884393063583</v>
      </c>
      <c r="BK262" s="93"/>
      <c r="BL262" s="93"/>
      <c r="BM262" s="93"/>
      <c r="BN262" s="93"/>
      <c r="BO262" s="116">
        <f>-BO226/BO221</f>
        <v>0.16866387058118634</v>
      </c>
      <c r="BP262" s="117">
        <f t="shared" ref="BP262:CD262" si="132">-BP226/BP221</f>
        <v>0.13074101278290795</v>
      </c>
      <c r="BQ262" s="117">
        <f t="shared" si="132"/>
        <v>0.12953916094056775</v>
      </c>
      <c r="BR262" s="117">
        <f t="shared" si="132"/>
        <v>0.13013465187225065</v>
      </c>
      <c r="BS262" s="117">
        <f t="shared" si="132"/>
        <v>0.13117469150470734</v>
      </c>
      <c r="BT262" s="116">
        <f t="shared" si="132"/>
        <v>0.13039444793445645</v>
      </c>
      <c r="BU262" s="117">
        <f t="shared" si="132"/>
        <v>0.13870013006959625</v>
      </c>
      <c r="BV262" s="117">
        <f t="shared" si="132"/>
        <v>0.13736213872145042</v>
      </c>
      <c r="BW262" s="117">
        <f t="shared" si="132"/>
        <v>0.13618217774338545</v>
      </c>
      <c r="BX262" s="117">
        <f t="shared" si="132"/>
        <v>0.13613154966576269</v>
      </c>
      <c r="BY262" s="116">
        <f t="shared" si="132"/>
        <v>0.13708599153412446</v>
      </c>
      <c r="BZ262" s="117">
        <f t="shared" si="132"/>
        <v>0.14217075973739796</v>
      </c>
      <c r="CA262" s="117">
        <f t="shared" si="132"/>
        <v>0.1399481278256379</v>
      </c>
      <c r="CB262" s="117">
        <f t="shared" si="132"/>
        <v>0.13791521055650377</v>
      </c>
      <c r="CC262" s="117">
        <f t="shared" si="132"/>
        <v>0.13701623001934216</v>
      </c>
      <c r="CD262" s="116">
        <f t="shared" si="132"/>
        <v>0.13923437819873746</v>
      </c>
      <c r="CG262" s="468">
        <v>2016</v>
      </c>
      <c r="CH262" s="627">
        <f>INDEX(229:229,MATCH(CG262,218:218,0))</f>
        <v>-1713</v>
      </c>
      <c r="CI262" s="627">
        <f>INDEX(231:231,MATCH(CG262,218:218,0))</f>
        <v>442</v>
      </c>
    </row>
    <row r="263" spans="1:90" hidden="1" outlineLevel="1">
      <c r="A263" s="11"/>
      <c r="B263" s="11" t="s">
        <v>2154</v>
      </c>
      <c r="C263" s="72"/>
      <c r="D263" s="72"/>
      <c r="E263" s="72"/>
      <c r="F263" s="72"/>
      <c r="G263" s="116">
        <f>-G227/G221</f>
        <v>0.13579230473681322</v>
      </c>
      <c r="H263" s="93"/>
      <c r="I263" s="93"/>
      <c r="J263" s="93"/>
      <c r="K263" s="93"/>
      <c r="L263" s="116">
        <f>-L227/L221</f>
        <v>0.13226769717196557</v>
      </c>
      <c r="M263" s="93"/>
      <c r="N263" s="93"/>
      <c r="O263" s="93"/>
      <c r="P263" s="93"/>
      <c r="Q263" s="116">
        <f>-Q227/Q221</f>
        <v>0.13609854796477031</v>
      </c>
      <c r="R263" s="93"/>
      <c r="S263" s="93"/>
      <c r="T263" s="93"/>
      <c r="U263" s="93"/>
      <c r="V263" s="116">
        <f>-V227/V221</f>
        <v>0.11638137897936331</v>
      </c>
      <c r="W263" s="93"/>
      <c r="X263" s="93"/>
      <c r="Y263" s="93"/>
      <c r="Z263" s="93"/>
      <c r="AA263" s="116">
        <f>-AA227/AA221</f>
        <v>0.24178925247673372</v>
      </c>
      <c r="AB263" s="93"/>
      <c r="AC263" s="93"/>
      <c r="AD263" s="93"/>
      <c r="AE263" s="93"/>
      <c r="AF263" s="116">
        <f>-AF227/AF221</f>
        <v>0.17415894685519259</v>
      </c>
      <c r="AG263" s="93"/>
      <c r="AH263" s="93"/>
      <c r="AI263" s="93"/>
      <c r="AJ263" s="93"/>
      <c r="AK263" s="116">
        <f>-AK227/AK221</f>
        <v>0.15016343977872768</v>
      </c>
      <c r="AL263" s="93"/>
      <c r="AM263" s="93"/>
      <c r="AN263" s="93"/>
      <c r="AO263" s="93"/>
      <c r="AP263" s="116">
        <f>-AP227/AP221</f>
        <v>0.19751637217348325</v>
      </c>
      <c r="AQ263" s="93"/>
      <c r="AR263" s="93"/>
      <c r="AS263" s="93"/>
      <c r="AT263" s="93"/>
      <c r="AU263" s="116">
        <f>-AU227/AU221</f>
        <v>0.21789571942925723</v>
      </c>
      <c r="AV263" s="93"/>
      <c r="AW263" s="93"/>
      <c r="AX263" s="93"/>
      <c r="AY263" s="93"/>
      <c r="AZ263" s="116">
        <f>-AZ227/AZ221</f>
        <v>0.23612919223854689</v>
      </c>
      <c r="BA263" s="93"/>
      <c r="BB263" s="93"/>
      <c r="BC263" s="93"/>
      <c r="BD263" s="93"/>
      <c r="BE263" s="116">
        <f>-BE227/BE221</f>
        <v>0.45515196441808747</v>
      </c>
      <c r="BF263" s="93"/>
      <c r="BG263" s="93"/>
      <c r="BH263" s="93"/>
      <c r="BI263" s="93"/>
      <c r="BJ263" s="116">
        <f>-BJ227/BJ221</f>
        <v>0.57890173410404622</v>
      </c>
      <c r="BK263" s="93"/>
      <c r="BL263" s="93"/>
      <c r="BM263" s="93"/>
      <c r="BN263" s="93"/>
      <c r="BO263" s="116">
        <f>-BO227/BO221</f>
        <v>0.43479129219093271</v>
      </c>
      <c r="BP263" s="117">
        <f t="shared" ref="BP263:CD263" si="133">-BP227/BP221</f>
        <v>0.36939869308830514</v>
      </c>
      <c r="BQ263" s="117">
        <f t="shared" si="133"/>
        <v>0.3687231483913907</v>
      </c>
      <c r="BR263" s="117">
        <f t="shared" si="133"/>
        <v>0.37217731486868449</v>
      </c>
      <c r="BS263" s="117">
        <f t="shared" si="133"/>
        <v>0.37552908257498729</v>
      </c>
      <c r="BT263" s="116">
        <f t="shared" si="133"/>
        <v>0.3714482153565018</v>
      </c>
      <c r="BU263" s="117">
        <f t="shared" si="133"/>
        <v>0.40780816020942035</v>
      </c>
      <c r="BV263" s="117">
        <f t="shared" si="133"/>
        <v>0.40678887394227498</v>
      </c>
      <c r="BW263" s="117">
        <f t="shared" si="133"/>
        <v>0.40505592069424162</v>
      </c>
      <c r="BX263" s="117">
        <f t="shared" si="133"/>
        <v>0.4053361330261826</v>
      </c>
      <c r="BY263" s="116">
        <f t="shared" si="133"/>
        <v>0.40623888478278347</v>
      </c>
      <c r="BZ263" s="117">
        <f t="shared" si="133"/>
        <v>0.4219454702489856</v>
      </c>
      <c r="CA263" s="117">
        <f t="shared" si="133"/>
        <v>0.41368359018782208</v>
      </c>
      <c r="CB263" s="117">
        <f t="shared" si="133"/>
        <v>0.40934024733265767</v>
      </c>
      <c r="CC263" s="117">
        <f t="shared" si="133"/>
        <v>0.40712236177817879</v>
      </c>
      <c r="CD263" s="116">
        <f t="shared" si="133"/>
        <v>0.41294331643511123</v>
      </c>
    </row>
    <row r="264" spans="1:90" hidden="1" outlineLevel="1">
      <c r="A264" s="11"/>
      <c r="B264" s="4" t="s">
        <v>930</v>
      </c>
      <c r="C264" s="72"/>
      <c r="D264" s="72"/>
      <c r="E264" s="72"/>
      <c r="F264" s="72"/>
      <c r="G264" s="116">
        <f>-G228/G221</f>
        <v>1.0977550908392338E-2</v>
      </c>
      <c r="H264" s="93"/>
      <c r="I264" s="93"/>
      <c r="J264" s="93"/>
      <c r="K264" s="93"/>
      <c r="L264" s="116">
        <f>-L228/L221</f>
        <v>-0.1100767023830435</v>
      </c>
      <c r="M264" s="93"/>
      <c r="N264" s="93"/>
      <c r="O264" s="93"/>
      <c r="P264" s="93"/>
      <c r="Q264" s="116">
        <f>-Q228/Q221</f>
        <v>-2.6838847893358723E-2</v>
      </c>
      <c r="R264" s="93"/>
      <c r="S264" s="93"/>
      <c r="T264" s="93"/>
      <c r="U264" s="93"/>
      <c r="V264" s="116">
        <f>-V228/V221</f>
        <v>1.2398016317389217E-2</v>
      </c>
      <c r="W264" s="93"/>
      <c r="X264" s="93"/>
      <c r="Y264" s="93"/>
      <c r="Z264" s="93"/>
      <c r="AA264" s="116">
        <f>-AA228/AA221</f>
        <v>-1.2488742119483639E-2</v>
      </c>
      <c r="AB264" s="93"/>
      <c r="AC264" s="93"/>
      <c r="AD264" s="93"/>
      <c r="AE264" s="93"/>
      <c r="AF264" s="116">
        <f>-AF228/AF221</f>
        <v>-0.17703559239395417</v>
      </c>
      <c r="AG264" s="93"/>
      <c r="AH264" s="93"/>
      <c r="AI264" s="93"/>
      <c r="AJ264" s="93"/>
      <c r="AK264" s="116">
        <f>-AK228/AK221</f>
        <v>-2.3987930600955495E-2</v>
      </c>
      <c r="AL264" s="93"/>
      <c r="AM264" s="93"/>
      <c r="AN264" s="93"/>
      <c r="AO264" s="93"/>
      <c r="AP264" s="116">
        <f>-AP228/AP221</f>
        <v>-0.21487705424440876</v>
      </c>
      <c r="AQ264" s="93"/>
      <c r="AR264" s="93"/>
      <c r="AS264" s="93"/>
      <c r="AT264" s="93"/>
      <c r="AU264" s="116">
        <f>-AU228/AU221</f>
        <v>-5.3340445392719028E-3</v>
      </c>
      <c r="AV264" s="93"/>
      <c r="AW264" s="93"/>
      <c r="AX264" s="93"/>
      <c r="AY264" s="93"/>
      <c r="AZ264" s="116">
        <f>-AZ228/AZ221</f>
        <v>-1.7357882338354721E-3</v>
      </c>
      <c r="BA264" s="93"/>
      <c r="BB264" s="93"/>
      <c r="BC264" s="93"/>
      <c r="BD264" s="93"/>
      <c r="BE264" s="116">
        <f>-BE228/BE221</f>
        <v>4.2006424511984185E-2</v>
      </c>
      <c r="BF264" s="93"/>
      <c r="BG264" s="93"/>
      <c r="BH264" s="93"/>
      <c r="BI264" s="93"/>
      <c r="BJ264" s="116">
        <f>-BJ228/BJ221</f>
        <v>-9.1329479768786123E-2</v>
      </c>
      <c r="BK264" s="93"/>
      <c r="BL264" s="93"/>
      <c r="BM264" s="93"/>
      <c r="BN264" s="93"/>
      <c r="BO264" s="116">
        <f>-BO228/BO221</f>
        <v>8.5879768324345924E-3</v>
      </c>
      <c r="BP264" s="117">
        <f t="shared" ref="BP264:CD264" si="134">-BP228/BP221</f>
        <v>0</v>
      </c>
      <c r="BQ264" s="117">
        <f t="shared" si="134"/>
        <v>0</v>
      </c>
      <c r="BR264" s="117">
        <f t="shared" si="134"/>
        <v>0</v>
      </c>
      <c r="BS264" s="117">
        <f t="shared" si="134"/>
        <v>0</v>
      </c>
      <c r="BT264" s="116">
        <f t="shared" si="134"/>
        <v>0</v>
      </c>
      <c r="BU264" s="117">
        <f t="shared" si="134"/>
        <v>0</v>
      </c>
      <c r="BV264" s="117">
        <f t="shared" si="134"/>
        <v>0</v>
      </c>
      <c r="BW264" s="117">
        <f t="shared" si="134"/>
        <v>0</v>
      </c>
      <c r="BX264" s="117">
        <f t="shared" si="134"/>
        <v>0</v>
      </c>
      <c r="BY264" s="116">
        <f t="shared" si="134"/>
        <v>0</v>
      </c>
      <c r="BZ264" s="117">
        <f t="shared" si="134"/>
        <v>0</v>
      </c>
      <c r="CA264" s="117">
        <f t="shared" si="134"/>
        <v>0</v>
      </c>
      <c r="CB264" s="117">
        <f t="shared" si="134"/>
        <v>0</v>
      </c>
      <c r="CC264" s="117">
        <f t="shared" si="134"/>
        <v>0</v>
      </c>
      <c r="CD264" s="116">
        <f t="shared" si="134"/>
        <v>0</v>
      </c>
      <c r="CG264" t="s">
        <v>3695</v>
      </c>
      <c r="CI264" s="440">
        <f>COVAR(CH251:CH262,CI251:CI262)/VARP(CH251:CH262)</f>
        <v>-0.3358971541973359</v>
      </c>
    </row>
    <row r="265" spans="1:90" hidden="1" outlineLevel="1">
      <c r="A265" s="11"/>
      <c r="B265" s="11"/>
      <c r="C265" s="11"/>
      <c r="D265" s="11"/>
      <c r="E265" s="11"/>
      <c r="F265" s="11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G265" t="s">
        <v>3696</v>
      </c>
      <c r="CI265">
        <f>AVERAGE(CI251:CI262)-CI264*AVERAGE(CH251:CH262)</f>
        <v>-70.499924989074543</v>
      </c>
    </row>
    <row r="266" spans="1:90" hidden="1" outlineLevel="1">
      <c r="A266" s="11" t="s">
        <v>3095</v>
      </c>
      <c r="B266" s="11"/>
      <c r="C266" s="72"/>
      <c r="D266" s="72"/>
      <c r="E266" s="72"/>
      <c r="F266" s="72"/>
      <c r="G266" s="116">
        <f>-G231/G229</f>
        <v>0.35812529281841904</v>
      </c>
      <c r="H266" s="93"/>
      <c r="I266" s="93"/>
      <c r="J266" s="93"/>
      <c r="K266" s="93"/>
      <c r="L266" s="116">
        <f>-L231/L229</f>
        <v>0.33015775455849211</v>
      </c>
      <c r="M266" s="93"/>
      <c r="N266" s="93"/>
      <c r="O266" s="93"/>
      <c r="P266" s="93"/>
      <c r="Q266" s="116">
        <f>-Q231/Q229</f>
        <v>0.34113316682003419</v>
      </c>
      <c r="R266" s="93"/>
      <c r="S266" s="93"/>
      <c r="T266" s="93"/>
      <c r="U266" s="93"/>
      <c r="V266" s="116">
        <f>-V231/V229</f>
        <v>0.34517335146159073</v>
      </c>
      <c r="W266" s="93"/>
      <c r="X266" s="93"/>
      <c r="Y266" s="93"/>
      <c r="Z266" s="93"/>
      <c r="AA266" s="116">
        <f>-AA231/AA229</f>
        <v>0.31575342465753425</v>
      </c>
      <c r="AB266" s="93"/>
      <c r="AC266" s="93"/>
      <c r="AD266" s="93"/>
      <c r="AE266" s="93"/>
      <c r="AF266" s="116">
        <f>-AF231/AF229</f>
        <v>0.33594643148783276</v>
      </c>
      <c r="AG266" s="93"/>
      <c r="AH266" s="93"/>
      <c r="AI266" s="93"/>
      <c r="AJ266" s="93"/>
      <c r="AK266" s="116">
        <f>-AK231/AK229</f>
        <v>0.31923754605157778</v>
      </c>
      <c r="AL266" s="93"/>
      <c r="AM266" s="93"/>
      <c r="AN266" s="93"/>
      <c r="AO266" s="93"/>
      <c r="AP266" s="116">
        <f>-AP231/AP229</f>
        <v>0.39331582019848221</v>
      </c>
      <c r="AQ266" s="93"/>
      <c r="AR266" s="93"/>
      <c r="AS266" s="93"/>
      <c r="AT266" s="93"/>
      <c r="AU266" s="116">
        <f>-AU231/AU229</f>
        <v>0.36766541822721599</v>
      </c>
      <c r="AV266" s="93"/>
      <c r="AW266" s="93"/>
      <c r="AX266" s="93"/>
      <c r="AY266" s="93"/>
      <c r="AZ266" s="116">
        <f>-AZ231/AZ229</f>
        <v>0.37088388214904677</v>
      </c>
      <c r="BA266" s="93"/>
      <c r="BB266" s="93"/>
      <c r="BC266" s="93"/>
      <c r="BD266" s="93"/>
      <c r="BE266" s="116">
        <f>-BE231/BE229</f>
        <v>0.33475728155339807</v>
      </c>
      <c r="BF266" s="93"/>
      <c r="BG266" s="93"/>
      <c r="BH266" s="93"/>
      <c r="BI266" s="93"/>
      <c r="BJ266" s="116">
        <f>-BJ231/BJ229</f>
        <v>0.2580268534734384</v>
      </c>
      <c r="BK266" s="93"/>
      <c r="BL266" s="93"/>
      <c r="BM266" s="93"/>
      <c r="BN266" s="93"/>
      <c r="BO266" s="116">
        <f>-BO231/BO229</f>
        <v>-1.6131578947368421</v>
      </c>
      <c r="BP266" s="117">
        <f>BT266</f>
        <v>0.35721344776345237</v>
      </c>
      <c r="BQ266" s="117">
        <f>BT266</f>
        <v>0.35721344776345237</v>
      </c>
      <c r="BR266" s="117">
        <f>BT266</f>
        <v>0.35721344776345237</v>
      </c>
      <c r="BS266" s="117">
        <f>BT266</f>
        <v>0.35721344776345237</v>
      </c>
      <c r="BT266" s="118">
        <f>-(BT229*$CI$264+$CI$265)/BT229</f>
        <v>0.35721344776345237</v>
      </c>
      <c r="BU266" s="117">
        <f>BY266</f>
        <v>0.36440242946207702</v>
      </c>
      <c r="BV266" s="117">
        <f>BY266</f>
        <v>0.36440242946207702</v>
      </c>
      <c r="BW266" s="117">
        <f>BY266</f>
        <v>0.36440242946207702</v>
      </c>
      <c r="BX266" s="117">
        <f>BY266</f>
        <v>0.36440242946207702</v>
      </c>
      <c r="BY266" s="118">
        <f>-(BY229*$CI$264+$CI$265)/BY229</f>
        <v>0.36440242946207702</v>
      </c>
      <c r="BZ266" s="117">
        <f>CD266</f>
        <v>0.36557552453428477</v>
      </c>
      <c r="CA266" s="117">
        <f>CD266</f>
        <v>0.36557552453428477</v>
      </c>
      <c r="CB266" s="117">
        <f>CD266</f>
        <v>0.36557552453428477</v>
      </c>
      <c r="CC266" s="117">
        <f>CD266</f>
        <v>0.36557552453428477</v>
      </c>
      <c r="CD266" s="118">
        <f>-(CD229*$CI$264+$CI$265)/CD229</f>
        <v>0.36557552453428477</v>
      </c>
      <c r="CG266" t="s">
        <v>3697</v>
      </c>
      <c r="CI266" s="381">
        <f>CORREL(CH251:CH262,CI251:CI262)^2</f>
        <v>0.99205813055235381</v>
      </c>
    </row>
    <row r="267" spans="1:90" hidden="1" outlineLevel="1">
      <c r="A267" s="11" t="s">
        <v>3471</v>
      </c>
      <c r="B267" s="11"/>
      <c r="C267" s="72"/>
      <c r="D267" s="72"/>
      <c r="E267" s="72"/>
      <c r="F267" s="72"/>
      <c r="G267" s="119">
        <f>(G232-G228-G227-G223)/(G237*0.365)</f>
        <v>23.441098604438544</v>
      </c>
      <c r="H267" s="93"/>
      <c r="I267" s="93"/>
      <c r="J267" s="93"/>
      <c r="K267" s="93"/>
      <c r="L267" s="119">
        <f>(L232-L228-L227-L223)/(L237*0.365)</f>
        <v>20.4842187212281</v>
      </c>
      <c r="M267" s="93"/>
      <c r="N267" s="93"/>
      <c r="O267" s="93"/>
      <c r="P267" s="93"/>
      <c r="Q267" s="119">
        <f>(Q232-Q228-Q227-Q223)/(Q237*0.365)</f>
        <v>20.864399947324564</v>
      </c>
      <c r="R267" s="93"/>
      <c r="S267" s="93"/>
      <c r="T267" s="93"/>
      <c r="U267" s="93"/>
      <c r="V267" s="119">
        <f>(V232-V228-V227-V223)/(V237*0.365)</f>
        <v>32.105209096641367</v>
      </c>
      <c r="W267" s="93"/>
      <c r="X267" s="93"/>
      <c r="Y267" s="93"/>
      <c r="Z267" s="93"/>
      <c r="AA267" s="119">
        <f>(AA232-AA228-AA227-AA223)/(AA237*0.365)</f>
        <v>20.978362487088329</v>
      </c>
      <c r="AB267" s="93"/>
      <c r="AC267" s="93"/>
      <c r="AD267" s="93"/>
      <c r="AE267" s="93"/>
      <c r="AF267" s="119">
        <f>(AF232-AF228-AF227-AF223)/(AF237*0.365)</f>
        <v>23.173403222367224</v>
      </c>
      <c r="AG267" s="93"/>
      <c r="AH267" s="93"/>
      <c r="AI267" s="93"/>
      <c r="AJ267" s="93"/>
      <c r="AK267" s="119">
        <f>(AK232-AK228-AK227-AK223)/(AK237*0.365)</f>
        <v>27.684517135475065</v>
      </c>
      <c r="AL267" s="93"/>
      <c r="AM267" s="93"/>
      <c r="AN267" s="93"/>
      <c r="AO267" s="93"/>
      <c r="AP267" s="119">
        <f>(AP232-AP228-AP227-AP223)/(AP237*0.365)</f>
        <v>18.304001025707493</v>
      </c>
      <c r="AQ267" s="93"/>
      <c r="AR267" s="93"/>
      <c r="AS267" s="93"/>
      <c r="AT267" s="93"/>
      <c r="AU267" s="119">
        <f>(AU232-AU228-AU227-AU223)/(AU237*0.365)</f>
        <v>24.680462705288381</v>
      </c>
      <c r="AV267" s="93"/>
      <c r="AW267" s="93"/>
      <c r="AX267" s="93"/>
      <c r="AY267" s="93"/>
      <c r="AZ267" s="119">
        <f>(AZ232-AZ228-AZ227-AZ223)/(AZ237*0.365)</f>
        <v>29.755374091462112</v>
      </c>
      <c r="BA267" s="93"/>
      <c r="BB267" s="93"/>
      <c r="BC267" s="93"/>
      <c r="BD267" s="93"/>
      <c r="BE267" s="119">
        <f>(BE232-BE228-BE227-BE223)/(BE237*0.365)</f>
        <v>14.28251812260919</v>
      </c>
      <c r="BF267" s="93"/>
      <c r="BG267" s="93"/>
      <c r="BH267" s="93"/>
      <c r="BI267" s="93"/>
      <c r="BJ267" s="119">
        <f>(BJ232-BJ228-BJ227-BJ223)/(BJ237*0.365)</f>
        <v>11.340086953486795</v>
      </c>
      <c r="BK267" s="93"/>
      <c r="BL267" s="93"/>
      <c r="BM267" s="93"/>
      <c r="BN267" s="93"/>
      <c r="BO267" s="119">
        <f>(BO232-BO228-BO227-BO223)/(BO237*0.365)</f>
        <v>28.91339057358546</v>
      </c>
      <c r="BP267" s="93"/>
      <c r="BQ267" s="93"/>
      <c r="BR267" s="93"/>
      <c r="BS267" s="93"/>
      <c r="BT267" s="119">
        <f>(BT232-BT228-BT227-BT223)/(BT237*0.365)</f>
        <v>25.601461706969928</v>
      </c>
      <c r="BU267" s="93"/>
      <c r="BV267" s="93"/>
      <c r="BW267" s="93"/>
      <c r="BX267" s="93"/>
      <c r="BY267" s="119">
        <f>(BY232-BY228-BY227-BY223)/(BY237*0.365)</f>
        <v>23.323461487979937</v>
      </c>
      <c r="BZ267" s="93"/>
      <c r="CA267" s="93"/>
      <c r="CB267" s="93"/>
      <c r="CC267" s="93"/>
      <c r="CD267" s="119">
        <f>(CD232-CD228-CD227-CD223)/(CD237*0.365)</f>
        <v>22.973159515225252</v>
      </c>
    </row>
    <row r="268" spans="1:90" collapsed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</row>
    <row r="269" spans="1:90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</row>
    <row r="270" spans="1:90">
      <c r="A270" s="24" t="s">
        <v>1994</v>
      </c>
      <c r="B270" s="4"/>
      <c r="C270" s="5"/>
      <c r="D270" s="5"/>
      <c r="E270" s="5"/>
      <c r="F270" s="71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G270" s="24" t="s">
        <v>1994</v>
      </c>
    </row>
    <row r="271" spans="1:90">
      <c r="A271" s="10"/>
      <c r="B271" s="10"/>
      <c r="C271" s="31">
        <v>2001</v>
      </c>
      <c r="D271" s="32">
        <v>2002</v>
      </c>
      <c r="E271" s="32">
        <v>2003</v>
      </c>
      <c r="F271" s="32">
        <v>2004</v>
      </c>
      <c r="G271" s="31">
        <v>2005</v>
      </c>
      <c r="H271" s="33" t="str">
        <f>H218</f>
        <v>1Q06</v>
      </c>
      <c r="I271" s="33" t="str">
        <f>I218</f>
        <v>2Q06</v>
      </c>
      <c r="J271" s="33" t="str">
        <f>J218</f>
        <v>3Q06</v>
      </c>
      <c r="K271" s="33" t="str">
        <f>K218</f>
        <v>4Q06</v>
      </c>
      <c r="L271" s="31">
        <v>2006</v>
      </c>
      <c r="M271" s="33" t="str">
        <f>M218</f>
        <v>1Q07</v>
      </c>
      <c r="N271" s="33" t="str">
        <f>N218</f>
        <v>2Q07</v>
      </c>
      <c r="O271" s="33" t="str">
        <f>O218</f>
        <v>3Q07</v>
      </c>
      <c r="P271" s="33" t="str">
        <f>P218</f>
        <v>4Q07</v>
      </c>
      <c r="Q271" s="31">
        <v>2007</v>
      </c>
      <c r="R271" s="33" t="str">
        <f>R218</f>
        <v>1Q08</v>
      </c>
      <c r="S271" s="33" t="str">
        <f>S218</f>
        <v>2Q08</v>
      </c>
      <c r="T271" s="33" t="str">
        <f>T218</f>
        <v>3Q08</v>
      </c>
      <c r="U271" s="33" t="str">
        <f>U218</f>
        <v>4Q08</v>
      </c>
      <c r="V271" s="31">
        <v>2008</v>
      </c>
      <c r="W271" s="33" t="str">
        <f>W218</f>
        <v>1Q09</v>
      </c>
      <c r="X271" s="33" t="str">
        <f>X218</f>
        <v>2Q09</v>
      </c>
      <c r="Y271" s="33" t="str">
        <f>Y218</f>
        <v>3Q09</v>
      </c>
      <c r="Z271" s="33" t="str">
        <f>Z218</f>
        <v>4Q09</v>
      </c>
      <c r="AA271" s="31">
        <v>2009</v>
      </c>
      <c r="AB271" s="33" t="str">
        <f>AB218</f>
        <v>1Q10</v>
      </c>
      <c r="AC271" s="33" t="str">
        <f>AC218</f>
        <v>2Q10</v>
      </c>
      <c r="AD271" s="33" t="str">
        <f>AD218</f>
        <v>3Q10</v>
      </c>
      <c r="AE271" s="33" t="str">
        <f>AE218</f>
        <v>4Q10</v>
      </c>
      <c r="AF271" s="31">
        <v>2010</v>
      </c>
      <c r="AG271" s="33" t="str">
        <f>AG218</f>
        <v>1Q11</v>
      </c>
      <c r="AH271" s="33" t="str">
        <f>AH218</f>
        <v>2Q11</v>
      </c>
      <c r="AI271" s="33" t="str">
        <f>AI218</f>
        <v>3Q11</v>
      </c>
      <c r="AJ271" s="33" t="str">
        <f>AJ218</f>
        <v>4Q11</v>
      </c>
      <c r="AK271" s="31">
        <v>2011</v>
      </c>
      <c r="AL271" s="33" t="s">
        <v>2397</v>
      </c>
      <c r="AM271" s="33" t="s">
        <v>2398</v>
      </c>
      <c r="AN271" s="33" t="s">
        <v>2399</v>
      </c>
      <c r="AO271" s="33" t="s">
        <v>2400</v>
      </c>
      <c r="AP271" s="31">
        <v>2012</v>
      </c>
      <c r="AQ271" s="363" t="s">
        <v>2401</v>
      </c>
      <c r="AR271" s="363" t="s">
        <v>2402</v>
      </c>
      <c r="AS271" s="363" t="s">
        <v>2403</v>
      </c>
      <c r="AT271" s="363" t="s">
        <v>2404</v>
      </c>
      <c r="AU271" s="31">
        <v>2013</v>
      </c>
      <c r="AV271" s="363" t="s">
        <v>2405</v>
      </c>
      <c r="AW271" s="363" t="s">
        <v>2406</v>
      </c>
      <c r="AX271" s="363" t="s">
        <v>2407</v>
      </c>
      <c r="AY271" s="363" t="s">
        <v>2408</v>
      </c>
      <c r="AZ271" s="31">
        <v>2014</v>
      </c>
      <c r="BA271" s="33" t="str">
        <f t="shared" ref="BA271:BI271" si="135">BA$8</f>
        <v>1Q15</v>
      </c>
      <c r="BB271" s="33" t="str">
        <f t="shared" si="135"/>
        <v>2Q15</v>
      </c>
      <c r="BC271" s="33" t="str">
        <f t="shared" si="135"/>
        <v>3Q15</v>
      </c>
      <c r="BD271" s="33" t="str">
        <f t="shared" si="135"/>
        <v>4Q15</v>
      </c>
      <c r="BE271" s="31">
        <f t="shared" si="135"/>
        <v>2015</v>
      </c>
      <c r="BF271" s="33" t="str">
        <f t="shared" si="135"/>
        <v>1Q16</v>
      </c>
      <c r="BG271" s="33" t="str">
        <f t="shared" si="135"/>
        <v>2Q16</v>
      </c>
      <c r="BH271" s="33" t="str">
        <f t="shared" si="135"/>
        <v>3Q16</v>
      </c>
      <c r="BI271" s="33" t="str">
        <f t="shared" si="135"/>
        <v>4Q16</v>
      </c>
      <c r="BJ271" s="31">
        <v>2016</v>
      </c>
      <c r="BK271" s="363" t="s">
        <v>2417</v>
      </c>
      <c r="BL271" s="363" t="s">
        <v>2418</v>
      </c>
      <c r="BM271" s="363" t="s">
        <v>2419</v>
      </c>
      <c r="BN271" s="363" t="s">
        <v>2420</v>
      </c>
      <c r="BO271" s="364">
        <v>2017</v>
      </c>
      <c r="BP271" s="363" t="s">
        <v>2244</v>
      </c>
      <c r="BQ271" s="363" t="s">
        <v>2245</v>
      </c>
      <c r="BR271" s="363" t="s">
        <v>2508</v>
      </c>
      <c r="BS271" s="363" t="s">
        <v>2509</v>
      </c>
      <c r="BT271" s="364">
        <v>2018</v>
      </c>
      <c r="BU271" s="363" t="s">
        <v>2510</v>
      </c>
      <c r="BV271" s="363" t="s">
        <v>2511</v>
      </c>
      <c r="BW271" s="363" t="s">
        <v>3125</v>
      </c>
      <c r="BX271" s="363" t="s">
        <v>1405</v>
      </c>
      <c r="BY271" s="364">
        <v>2019</v>
      </c>
      <c r="BZ271" s="363" t="s">
        <v>1406</v>
      </c>
      <c r="CA271" s="363" t="s">
        <v>1407</v>
      </c>
      <c r="CB271" s="363" t="s">
        <v>1408</v>
      </c>
      <c r="CC271" s="363" t="s">
        <v>1409</v>
      </c>
      <c r="CD271" s="364">
        <v>2020</v>
      </c>
      <c r="CG271" s="364" t="s">
        <v>1043</v>
      </c>
      <c r="CH271" s="364" t="s">
        <v>2637</v>
      </c>
      <c r="CI271" s="364" t="s">
        <v>3715</v>
      </c>
      <c r="CJ271" s="364" t="s">
        <v>3551</v>
      </c>
      <c r="CK271" s="364" t="s">
        <v>3713</v>
      </c>
      <c r="CL271" s="364" t="s">
        <v>3714</v>
      </c>
    </row>
    <row r="272" spans="1:90">
      <c r="A272" s="4" t="s">
        <v>2156</v>
      </c>
      <c r="B272" s="5"/>
      <c r="C272" s="72"/>
      <c r="D272" s="72"/>
      <c r="E272" s="72"/>
      <c r="F272" s="72"/>
      <c r="G272" s="5">
        <v>2173</v>
      </c>
      <c r="H272" s="93"/>
      <c r="I272" s="93"/>
      <c r="J272" s="93"/>
      <c r="K272" s="93"/>
      <c r="L272" s="5">
        <v>2122</v>
      </c>
      <c r="M272" s="93"/>
      <c r="N272" s="93"/>
      <c r="O272" s="93"/>
      <c r="P272" s="93"/>
      <c r="Q272" s="5">
        <v>1995</v>
      </c>
      <c r="R272" s="93"/>
      <c r="S272" s="93"/>
      <c r="T272" s="93"/>
      <c r="U272" s="93"/>
      <c r="V272" s="5">
        <v>3339</v>
      </c>
      <c r="W272" s="93"/>
      <c r="X272" s="93"/>
      <c r="Y272" s="93"/>
      <c r="Z272" s="93"/>
      <c r="AA272" s="5">
        <v>1525</v>
      </c>
      <c r="AB272" s="93"/>
      <c r="AC272" s="93"/>
      <c r="AD272" s="93"/>
      <c r="AE272" s="93"/>
      <c r="AF272" s="5">
        <v>1896</v>
      </c>
      <c r="AG272" s="93"/>
      <c r="AH272" s="93"/>
      <c r="AI272" s="93"/>
      <c r="AJ272" s="93"/>
      <c r="AK272" s="5">
        <v>2263</v>
      </c>
      <c r="AL272" s="93"/>
      <c r="AM272" s="93"/>
      <c r="AN272" s="93"/>
      <c r="AO272" s="93"/>
      <c r="AP272" s="5">
        <v>2026</v>
      </c>
      <c r="AQ272" s="93"/>
      <c r="AR272" s="93"/>
      <c r="AS272" s="93"/>
      <c r="AT272" s="93"/>
      <c r="AU272" s="138">
        <v>2413</v>
      </c>
      <c r="AV272" s="93"/>
      <c r="AW272" s="93"/>
      <c r="AX272" s="93"/>
      <c r="AY272" s="93"/>
      <c r="AZ272" s="138">
        <v>2802</v>
      </c>
      <c r="BA272" s="93"/>
      <c r="BB272" s="93"/>
      <c r="BC272" s="93"/>
      <c r="BD272" s="93"/>
      <c r="BE272" s="138">
        <v>1594</v>
      </c>
      <c r="BF272" s="93"/>
      <c r="BG272" s="93"/>
      <c r="BH272" s="93"/>
      <c r="BI272" s="93"/>
      <c r="BJ272" s="138">
        <v>747</v>
      </c>
      <c r="BK272" s="93"/>
      <c r="BL272" s="93"/>
      <c r="BM272" s="93"/>
      <c r="BN272" s="93"/>
      <c r="BO272" s="138">
        <v>1134</v>
      </c>
      <c r="BP272" s="72"/>
      <c r="BQ272" s="72"/>
      <c r="BR272" s="72"/>
      <c r="BS272" s="72"/>
      <c r="BT272" s="72"/>
      <c r="BU272" s="72"/>
      <c r="BV272" s="72"/>
      <c r="BW272" s="72"/>
      <c r="BX272" s="72"/>
      <c r="BY272" s="72"/>
      <c r="BZ272" s="72"/>
      <c r="CA272" s="72"/>
      <c r="CB272" s="72"/>
      <c r="CC272" s="72"/>
      <c r="CD272" s="72"/>
      <c r="CG272" s="468">
        <v>2006</v>
      </c>
      <c r="CH272" s="115">
        <f>HLOOKUP(CG272,$A$271:$CD$319,49,FALSE)*HLOOKUP(CG272,$A$271:$CD$319,20,FALSE)*0.365</f>
        <v>2053</v>
      </c>
      <c r="CI272" s="634">
        <v>1</v>
      </c>
      <c r="CJ272" s="115">
        <v>2525.5444818930923</v>
      </c>
      <c r="CK272" s="342">
        <f>CH272*CI272</f>
        <v>2053</v>
      </c>
      <c r="CL272" s="115">
        <f>CK272-CJ272</f>
        <v>-472.54448189309232</v>
      </c>
    </row>
    <row r="273" spans="1:90">
      <c r="A273" s="4" t="s">
        <v>2157</v>
      </c>
      <c r="B273" s="5"/>
      <c r="C273" s="72"/>
      <c r="D273" s="72"/>
      <c r="E273" s="72"/>
      <c r="F273" s="72"/>
      <c r="G273" s="5">
        <v>1621</v>
      </c>
      <c r="H273" s="93"/>
      <c r="I273" s="93"/>
      <c r="J273" s="93"/>
      <c r="K273" s="93"/>
      <c r="L273" s="5">
        <v>2177</v>
      </c>
      <c r="M273" s="93"/>
      <c r="N273" s="93"/>
      <c r="O273" s="93"/>
      <c r="P273" s="93"/>
      <c r="Q273" s="5">
        <v>2274</v>
      </c>
      <c r="R273" s="93"/>
      <c r="S273" s="93"/>
      <c r="T273" s="93"/>
      <c r="U273" s="93"/>
      <c r="V273" s="5">
        <v>2605</v>
      </c>
      <c r="W273" s="93"/>
      <c r="X273" s="93"/>
      <c r="Y273" s="93"/>
      <c r="Z273" s="93"/>
      <c r="AA273" s="5">
        <v>1409</v>
      </c>
      <c r="AB273" s="93"/>
      <c r="AC273" s="93"/>
      <c r="AD273" s="93"/>
      <c r="AE273" s="93"/>
      <c r="AF273" s="5">
        <v>1574</v>
      </c>
      <c r="AG273" s="93"/>
      <c r="AH273" s="93"/>
      <c r="AI273" s="93"/>
      <c r="AJ273" s="93"/>
      <c r="AK273" s="5">
        <v>1409</v>
      </c>
      <c r="AL273" s="93"/>
      <c r="AM273" s="93"/>
      <c r="AN273" s="93"/>
      <c r="AO273" s="93"/>
      <c r="AP273" s="5">
        <v>984</v>
      </c>
      <c r="AQ273" s="93"/>
      <c r="AR273" s="93"/>
      <c r="AS273" s="93"/>
      <c r="AT273" s="93"/>
      <c r="AU273" s="138">
        <v>1154</v>
      </c>
      <c r="AV273" s="93"/>
      <c r="AW273" s="93"/>
      <c r="AX273" s="93"/>
      <c r="AY273" s="93"/>
      <c r="AZ273" s="138">
        <v>450</v>
      </c>
      <c r="BA273" s="93"/>
      <c r="BB273" s="93"/>
      <c r="BC273" s="93"/>
      <c r="BD273" s="93"/>
      <c r="BE273" s="138">
        <v>33</v>
      </c>
      <c r="BF273" s="93"/>
      <c r="BG273" s="93"/>
      <c r="BH273" s="93"/>
      <c r="BI273" s="93"/>
      <c r="BJ273" s="138">
        <v>103</v>
      </c>
      <c r="BK273" s="93"/>
      <c r="BL273" s="93"/>
      <c r="BM273" s="93"/>
      <c r="BN273" s="93"/>
      <c r="BO273" s="138">
        <v>327</v>
      </c>
      <c r="BP273" s="72"/>
      <c r="BQ273" s="72"/>
      <c r="BR273" s="72"/>
      <c r="BS273" s="72"/>
      <c r="BT273" s="72"/>
      <c r="BU273" s="72"/>
      <c r="BV273" s="72"/>
      <c r="BW273" s="72"/>
      <c r="BX273" s="72"/>
      <c r="BY273" s="72"/>
      <c r="BZ273" s="72"/>
      <c r="CA273" s="72"/>
      <c r="CB273" s="72"/>
      <c r="CC273" s="72"/>
      <c r="CD273" s="72"/>
      <c r="CG273" s="468">
        <v>2007</v>
      </c>
      <c r="CH273" s="115">
        <f t="shared" ref="CH273:CH286" si="136">HLOOKUP(CG273,$A$271:$CD$319,49,FALSE)*HLOOKUP(CG273,$A$271:$CD$319,20,FALSE)*0.365</f>
        <v>2169</v>
      </c>
      <c r="CI273" s="634">
        <v>1</v>
      </c>
      <c r="CJ273" s="115">
        <v>2667.0870957895272</v>
      </c>
      <c r="CK273" s="342">
        <f t="shared" ref="CK273:CK286" si="137">CH273*CI273</f>
        <v>2169</v>
      </c>
      <c r="CL273" s="115">
        <f t="shared" ref="CL273:CL286" si="138">CK273-CJ273</f>
        <v>-498.08709578952721</v>
      </c>
    </row>
    <row r="274" spans="1:90">
      <c r="A274" s="7" t="s">
        <v>2155</v>
      </c>
      <c r="B274" s="8"/>
      <c r="C274" s="73">
        <f>C272+C273</f>
        <v>0</v>
      </c>
      <c r="D274" s="73">
        <f>D272+D273</f>
        <v>0</v>
      </c>
      <c r="E274" s="73">
        <f>E272+E273</f>
        <v>0</v>
      </c>
      <c r="F274" s="73">
        <f>F272+F273</f>
        <v>0</v>
      </c>
      <c r="G274" s="8">
        <f>G272+G273</f>
        <v>3794</v>
      </c>
      <c r="H274" s="93"/>
      <c r="I274" s="93"/>
      <c r="J274" s="93"/>
      <c r="K274" s="93"/>
      <c r="L274" s="8">
        <f>L272+L273</f>
        <v>4299</v>
      </c>
      <c r="M274" s="93"/>
      <c r="N274" s="93"/>
      <c r="O274" s="93"/>
      <c r="P274" s="93"/>
      <c r="Q274" s="8">
        <f>Q272+Q273</f>
        <v>4269</v>
      </c>
      <c r="R274" s="93"/>
      <c r="S274" s="93"/>
      <c r="T274" s="93"/>
      <c r="U274" s="93"/>
      <c r="V274" s="8">
        <f>V272+V273</f>
        <v>5944</v>
      </c>
      <c r="W274" s="93"/>
      <c r="X274" s="93"/>
      <c r="Y274" s="93"/>
      <c r="Z274" s="93"/>
      <c r="AA274" s="8">
        <f>AA272+AA273</f>
        <v>2934</v>
      </c>
      <c r="AB274" s="93"/>
      <c r="AC274" s="93"/>
      <c r="AD274" s="93"/>
      <c r="AE274" s="93"/>
      <c r="AF274" s="8">
        <f>AF272+AF273</f>
        <v>3470</v>
      </c>
      <c r="AG274" s="93"/>
      <c r="AH274" s="93"/>
      <c r="AI274" s="93"/>
      <c r="AJ274" s="93"/>
      <c r="AK274" s="8">
        <f>AK272+AK273</f>
        <v>3672</v>
      </c>
      <c r="AL274" s="93"/>
      <c r="AM274" s="93"/>
      <c r="AN274" s="93"/>
      <c r="AO274" s="93"/>
      <c r="AP274" s="8">
        <f>SUM(AP272:AP273)</f>
        <v>3010</v>
      </c>
      <c r="AQ274" s="93"/>
      <c r="AR274" s="93"/>
      <c r="AS274" s="93"/>
      <c r="AT274" s="93"/>
      <c r="AU274" s="179">
        <f>SUM(AU272:AU273)</f>
        <v>3567</v>
      </c>
      <c r="AV274" s="93"/>
      <c r="AW274" s="93"/>
      <c r="AX274" s="93"/>
      <c r="AY274" s="93"/>
      <c r="AZ274" s="179">
        <f>SUM(AZ272:AZ273)</f>
        <v>3252</v>
      </c>
      <c r="BA274" s="93"/>
      <c r="BB274" s="93"/>
      <c r="BC274" s="93"/>
      <c r="BD274" s="93"/>
      <c r="BE274" s="179">
        <f>SUM(BE272:BE273)</f>
        <v>1627</v>
      </c>
      <c r="BF274" s="93"/>
      <c r="BG274" s="93"/>
      <c r="BH274" s="93"/>
      <c r="BI274" s="93"/>
      <c r="BJ274" s="179">
        <f>SUM(BJ272:BJ273)</f>
        <v>850</v>
      </c>
      <c r="BK274" s="93"/>
      <c r="BL274" s="93"/>
      <c r="BM274" s="93"/>
      <c r="BN274" s="93"/>
      <c r="BO274" s="179">
        <f>SUM(BO272:BO273)</f>
        <v>1461</v>
      </c>
      <c r="BP274" s="19">
        <f t="shared" ref="BP274:CD274" si="139">BP296*(1+BP297)</f>
        <v>389.05256512169933</v>
      </c>
      <c r="BQ274" s="19">
        <f t="shared" si="139"/>
        <v>399.81010705875832</v>
      </c>
      <c r="BR274" s="19">
        <f t="shared" si="139"/>
        <v>416.09385734984306</v>
      </c>
      <c r="BS274" s="19">
        <f t="shared" si="139"/>
        <v>417.07865473135206</v>
      </c>
      <c r="BT274" s="8">
        <f t="shared" si="139"/>
        <v>1622.0351842616528</v>
      </c>
      <c r="BU274" s="19">
        <f t="shared" si="139"/>
        <v>423.02575804126457</v>
      </c>
      <c r="BV274" s="19">
        <f t="shared" si="139"/>
        <v>413.91924941754166</v>
      </c>
      <c r="BW274" s="19">
        <f t="shared" si="139"/>
        <v>416.12088786478438</v>
      </c>
      <c r="BX274" s="19">
        <f t="shared" si="139"/>
        <v>419.46816709177529</v>
      </c>
      <c r="BY274" s="8">
        <f t="shared" si="139"/>
        <v>1672.534062415366</v>
      </c>
      <c r="BZ274" s="19">
        <f t="shared" si="139"/>
        <v>403.40586993748332</v>
      </c>
      <c r="CA274" s="19">
        <f t="shared" si="139"/>
        <v>401.68824673890299</v>
      </c>
      <c r="CB274" s="19">
        <f t="shared" si="139"/>
        <v>409.77636055070235</v>
      </c>
      <c r="CC274" s="19">
        <f t="shared" si="139"/>
        <v>414.85716922875542</v>
      </c>
      <c r="CD274" s="8">
        <f t="shared" si="139"/>
        <v>1629.727646455844</v>
      </c>
      <c r="CG274" s="468">
        <v>2008</v>
      </c>
      <c r="CH274" s="115">
        <f t="shared" si="136"/>
        <v>2741</v>
      </c>
      <c r="CI274" s="634">
        <v>1</v>
      </c>
      <c r="CJ274" s="115">
        <v>3387.7218428431579</v>
      </c>
      <c r="CK274" s="342">
        <f t="shared" si="137"/>
        <v>2741</v>
      </c>
      <c r="CL274" s="115">
        <f t="shared" si="138"/>
        <v>-646.7218428431579</v>
      </c>
    </row>
    <row r="275" spans="1:90">
      <c r="A275" s="4"/>
      <c r="B275" s="5"/>
      <c r="C275" s="72"/>
      <c r="D275" s="72"/>
      <c r="E275" s="72"/>
      <c r="F275" s="72"/>
      <c r="G275" s="5"/>
      <c r="H275" s="12"/>
      <c r="I275" s="12"/>
      <c r="J275" s="12"/>
      <c r="K275" s="12"/>
      <c r="L275" s="5"/>
      <c r="M275" s="12"/>
      <c r="N275" s="12"/>
      <c r="O275" s="12"/>
      <c r="P275" s="12"/>
      <c r="Q275" s="5"/>
      <c r="R275" s="12"/>
      <c r="S275" s="12"/>
      <c r="T275" s="12"/>
      <c r="U275" s="12"/>
      <c r="V275" s="5"/>
      <c r="W275" s="12"/>
      <c r="X275" s="12"/>
      <c r="Y275" s="12"/>
      <c r="Z275" s="12"/>
      <c r="AA275" s="5"/>
      <c r="AB275" s="12"/>
      <c r="AC275" s="12"/>
      <c r="AD275" s="12"/>
      <c r="AE275" s="12"/>
      <c r="AF275" s="5"/>
      <c r="AG275" s="12"/>
      <c r="AH275" s="12"/>
      <c r="AI275" s="12"/>
      <c r="AJ275" s="12"/>
      <c r="AK275" s="5"/>
      <c r="AL275" s="12"/>
      <c r="AM275" s="12"/>
      <c r="AN275" s="12"/>
      <c r="AO275" s="12"/>
      <c r="AP275" s="5"/>
      <c r="AQ275" s="12"/>
      <c r="AR275" s="12"/>
      <c r="AS275" s="12"/>
      <c r="AT275" s="12"/>
      <c r="AU275" s="138"/>
      <c r="AV275" s="12"/>
      <c r="AW275" s="12"/>
      <c r="AX275" s="12"/>
      <c r="AY275" s="12"/>
      <c r="AZ275" s="138"/>
      <c r="BA275" s="12"/>
      <c r="BB275" s="12"/>
      <c r="BC275" s="12"/>
      <c r="BD275" s="12"/>
      <c r="BE275" s="138"/>
      <c r="BF275" s="12"/>
      <c r="BG275" s="12"/>
      <c r="BH275" s="12"/>
      <c r="BI275" s="12"/>
      <c r="BJ275" s="138"/>
      <c r="BK275" s="12"/>
      <c r="BL275" s="12"/>
      <c r="BM275" s="12"/>
      <c r="BN275" s="12"/>
      <c r="BO275" s="138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G275" s="468">
        <v>2009</v>
      </c>
      <c r="CH275" s="115">
        <f t="shared" si="136"/>
        <v>1219</v>
      </c>
      <c r="CI275" s="634">
        <v>1</v>
      </c>
      <c r="CJ275" s="115">
        <v>2087.7049475662034</v>
      </c>
      <c r="CK275" s="342">
        <f t="shared" si="137"/>
        <v>1219</v>
      </c>
      <c r="CL275" s="115">
        <f t="shared" si="138"/>
        <v>-868.70494756620337</v>
      </c>
    </row>
    <row r="276" spans="1:90">
      <c r="A276" s="4" t="s">
        <v>1897</v>
      </c>
      <c r="B276" s="5"/>
      <c r="C276" s="72"/>
      <c r="D276" s="72"/>
      <c r="E276" s="72"/>
      <c r="F276" s="72"/>
      <c r="G276" s="5">
        <v>-47.3</v>
      </c>
      <c r="H276" s="93"/>
      <c r="I276" s="93"/>
      <c r="J276" s="93"/>
      <c r="K276" s="93"/>
      <c r="L276" s="5">
        <v>-108</v>
      </c>
      <c r="M276" s="93"/>
      <c r="N276" s="93"/>
      <c r="O276" s="93"/>
      <c r="P276" s="93"/>
      <c r="Q276" s="5">
        <v>-77</v>
      </c>
      <c r="R276" s="93"/>
      <c r="S276" s="93"/>
      <c r="T276" s="93"/>
      <c r="U276" s="93"/>
      <c r="V276" s="5">
        <v>-30</v>
      </c>
      <c r="W276" s="93"/>
      <c r="X276" s="93"/>
      <c r="Y276" s="93"/>
      <c r="Z276" s="93"/>
      <c r="AA276" s="5">
        <v>-16</v>
      </c>
      <c r="AB276" s="93"/>
      <c r="AC276" s="93"/>
      <c r="AD276" s="93"/>
      <c r="AE276" s="93"/>
      <c r="AF276" s="5">
        <v>-9</v>
      </c>
      <c r="AG276" s="93"/>
      <c r="AH276" s="93"/>
      <c r="AI276" s="93"/>
      <c r="AJ276" s="93"/>
      <c r="AK276" s="5">
        <v>-35</v>
      </c>
      <c r="AL276" s="93"/>
      <c r="AM276" s="93"/>
      <c r="AN276" s="93"/>
      <c r="AO276" s="93"/>
      <c r="AP276" s="5">
        <v>-120</v>
      </c>
      <c r="AQ276" s="93"/>
      <c r="AR276" s="93"/>
      <c r="AS276" s="93"/>
      <c r="AT276" s="93"/>
      <c r="AU276" s="138">
        <v>-1477</v>
      </c>
      <c r="AV276" s="93"/>
      <c r="AW276" s="93"/>
      <c r="AX276" s="93"/>
      <c r="AY276" s="93"/>
      <c r="AZ276" s="138">
        <v>-502</v>
      </c>
      <c r="BA276" s="93"/>
      <c r="BB276" s="93"/>
      <c r="BC276" s="93"/>
      <c r="BD276" s="93"/>
      <c r="BE276" s="138">
        <v>-51</v>
      </c>
      <c r="BF276" s="93"/>
      <c r="BG276" s="93"/>
      <c r="BH276" s="93"/>
      <c r="BI276" s="93"/>
      <c r="BJ276" s="138">
        <v>-672</v>
      </c>
      <c r="BK276" s="93"/>
      <c r="BL276" s="93"/>
      <c r="BM276" s="93"/>
      <c r="BN276" s="93"/>
      <c r="BO276" s="138">
        <v>-83</v>
      </c>
      <c r="BP276" s="12">
        <f>-Capex!BP121</f>
        <v>-37.5</v>
      </c>
      <c r="BQ276" s="12">
        <f>-Capex!BQ121</f>
        <v>-24.268888888888888</v>
      </c>
      <c r="BR276" s="12">
        <f>-Capex!BR121</f>
        <v>-24.268888888888888</v>
      </c>
      <c r="BS276" s="12">
        <f>-Capex!BS121</f>
        <v>-24.268888888888888</v>
      </c>
      <c r="BT276" s="5">
        <f>SUM(BP276:BS276)</f>
        <v>-110.30666666666667</v>
      </c>
      <c r="BU276" s="12">
        <f>-Capex!BU121</f>
        <v>-22.609166666666667</v>
      </c>
      <c r="BV276" s="12">
        <f>-Capex!BV121</f>
        <v>-22.609166666666667</v>
      </c>
      <c r="BW276" s="12">
        <f>-Capex!BW121</f>
        <v>-22.609166666666667</v>
      </c>
      <c r="BX276" s="12">
        <f>-Capex!BX121</f>
        <v>-22.60916666666667</v>
      </c>
      <c r="BY276" s="5">
        <f>SUM(BU276:BX276)</f>
        <v>-90.436666666666667</v>
      </c>
      <c r="BZ276" s="12">
        <f>-Capex!BZ121</f>
        <v>-14.560000000000002</v>
      </c>
      <c r="CA276" s="12">
        <f>-Capex!CA121</f>
        <v>-14.560000000000002</v>
      </c>
      <c r="CB276" s="12">
        <f>-Capex!CB121</f>
        <v>-14.560000000000002</v>
      </c>
      <c r="CC276" s="12">
        <f>-Capex!CC121</f>
        <v>-14.560000000000002</v>
      </c>
      <c r="CD276" s="5">
        <f>SUM(BZ276:CC276)</f>
        <v>-58.240000000000009</v>
      </c>
      <c r="CG276" s="468">
        <v>2010</v>
      </c>
      <c r="CH276" s="115">
        <f t="shared" si="136"/>
        <v>1483.0000000000002</v>
      </c>
      <c r="CI276" s="634">
        <v>1</v>
      </c>
      <c r="CJ276" s="115">
        <v>2380.9996451157913</v>
      </c>
      <c r="CK276" s="342">
        <f t="shared" si="137"/>
        <v>1483.0000000000002</v>
      </c>
      <c r="CL276" s="115">
        <f t="shared" si="138"/>
        <v>-897.99964511579105</v>
      </c>
    </row>
    <row r="277" spans="1:90">
      <c r="A277" s="4" t="s">
        <v>2149</v>
      </c>
      <c r="B277" s="5"/>
      <c r="C277" s="72"/>
      <c r="D277" s="72"/>
      <c r="E277" s="72"/>
      <c r="F277" s="72"/>
      <c r="G277" s="5">
        <v>-388.53333333333336</v>
      </c>
      <c r="H277" s="93"/>
      <c r="I277" s="93"/>
      <c r="J277" s="93"/>
      <c r="K277" s="93"/>
      <c r="L277" s="5">
        <v>-408</v>
      </c>
      <c r="M277" s="93"/>
      <c r="N277" s="93"/>
      <c r="O277" s="93"/>
      <c r="P277" s="93"/>
      <c r="Q277" s="5">
        <v>-503</v>
      </c>
      <c r="R277" s="93"/>
      <c r="S277" s="93"/>
      <c r="T277" s="93"/>
      <c r="U277" s="93"/>
      <c r="V277" s="5">
        <v>-429</v>
      </c>
      <c r="W277" s="93"/>
      <c r="X277" s="93"/>
      <c r="Y277" s="93"/>
      <c r="Z277" s="93"/>
      <c r="AA277" s="5">
        <v>-395</v>
      </c>
      <c r="AB277" s="93"/>
      <c r="AC277" s="93"/>
      <c r="AD277" s="93"/>
      <c r="AE277" s="93"/>
      <c r="AF277" s="5">
        <v>-445</v>
      </c>
      <c r="AG277" s="93"/>
      <c r="AH277" s="93"/>
      <c r="AI277" s="93"/>
      <c r="AJ277" s="93"/>
      <c r="AK277" s="5">
        <v>-503</v>
      </c>
      <c r="AL277" s="93"/>
      <c r="AM277" s="93"/>
      <c r="AN277" s="93"/>
      <c r="AO277" s="93"/>
      <c r="AP277" s="5">
        <v>-812</v>
      </c>
      <c r="AQ277" s="93"/>
      <c r="AR277" s="93"/>
      <c r="AS277" s="93"/>
      <c r="AT277" s="93"/>
      <c r="AU277" s="138">
        <v>-892</v>
      </c>
      <c r="AV277" s="93"/>
      <c r="AW277" s="93"/>
      <c r="AX277" s="93"/>
      <c r="AY277" s="93"/>
      <c r="AZ277" s="138">
        <v>-783</v>
      </c>
      <c r="BA277" s="93"/>
      <c r="BB277" s="93"/>
      <c r="BC277" s="93"/>
      <c r="BD277" s="93"/>
      <c r="BE277" s="138">
        <v>-703</v>
      </c>
      <c r="BF277" s="93"/>
      <c r="BG277" s="93"/>
      <c r="BH277" s="93"/>
      <c r="BI277" s="93"/>
      <c r="BJ277" s="138">
        <v>-476</v>
      </c>
      <c r="BK277" s="93"/>
      <c r="BL277" s="93"/>
      <c r="BM277" s="93"/>
      <c r="BN277" s="93"/>
      <c r="BO277" s="138">
        <v>-573</v>
      </c>
      <c r="BP277" s="65">
        <f>-BP290*BP301*'Key assumptions'!BP$48/1000</f>
        <v>-140.58796198117815</v>
      </c>
      <c r="BQ277" s="65">
        <f>-BQ290*BQ301*'Key assumptions'!BQ$48/1000</f>
        <v>-137.77591888038197</v>
      </c>
      <c r="BR277" s="65">
        <f>-BR290*BR301*'Key assumptions'!BR$48/1000</f>
        <v>-139.93985378384522</v>
      </c>
      <c r="BS277" s="65">
        <f>-BS290*BS301*'Key assumptions'!BS$48/1000</f>
        <v>-141.05648802933356</v>
      </c>
      <c r="BT277" s="5">
        <f>SUM(BP277:BS277)</f>
        <v>-559.36022267473891</v>
      </c>
      <c r="BU277" s="65">
        <f>-BU290*BU301*'Key assumptions'!BU$48/1000</f>
        <v>-149.51638390308455</v>
      </c>
      <c r="BV277" s="65">
        <f>-BV290*BV301*'Key assumptions'!BV$48/1000</f>
        <v>-148.2741068024001</v>
      </c>
      <c r="BW277" s="65">
        <f>-BW290*BW301*'Key assumptions'!BW$48/1000</f>
        <v>-150.6684430731305</v>
      </c>
      <c r="BX277" s="65">
        <f>-BX290*BX301*'Key assumptions'!BX$48/1000</f>
        <v>-151.9827248775714</v>
      </c>
      <c r="BY277" s="5">
        <f>SUM(BU277:BX277)</f>
        <v>-600.44165865618652</v>
      </c>
      <c r="BZ277" s="65">
        <f>-BZ290*BZ301*'Key assumptions'!BZ$48/1000</f>
        <v>-151.89320146948754</v>
      </c>
      <c r="CA277" s="65">
        <f>-CA290*CA301*'Key assumptions'!CA$48/1000</f>
        <v>-148.98607396515155</v>
      </c>
      <c r="CB277" s="65">
        <f>-CB290*CB301*'Key assumptions'!CB$48/1000</f>
        <v>-151.38917121415253</v>
      </c>
      <c r="CC277" s="65">
        <f>-CC290*CC301*'Key assumptions'!CC$48/1000</f>
        <v>-152.70506318382132</v>
      </c>
      <c r="CD277" s="5">
        <f>SUM(BZ277:CC277)</f>
        <v>-604.97350983261299</v>
      </c>
      <c r="CG277" s="468">
        <v>2011</v>
      </c>
      <c r="CH277" s="115">
        <f t="shared" si="136"/>
        <v>751</v>
      </c>
      <c r="CI277" s="634">
        <v>1</v>
      </c>
      <c r="CJ277" s="115">
        <v>2253.4208392450082</v>
      </c>
      <c r="CK277" s="342">
        <f t="shared" si="137"/>
        <v>751</v>
      </c>
      <c r="CL277" s="115">
        <f t="shared" si="138"/>
        <v>-1502.4208392450082</v>
      </c>
    </row>
    <row r="278" spans="1:90">
      <c r="A278" s="4" t="s">
        <v>2150</v>
      </c>
      <c r="B278" s="5"/>
      <c r="C278" s="72"/>
      <c r="D278" s="72"/>
      <c r="E278" s="72"/>
      <c r="F278" s="72"/>
      <c r="G278" s="5">
        <v>-279</v>
      </c>
      <c r="H278" s="93"/>
      <c r="I278" s="93"/>
      <c r="J278" s="93"/>
      <c r="K278" s="93"/>
      <c r="L278" s="5">
        <v>-294</v>
      </c>
      <c r="M278" s="93"/>
      <c r="N278" s="93"/>
      <c r="O278" s="93"/>
      <c r="P278" s="93"/>
      <c r="Q278" s="5">
        <v>-272</v>
      </c>
      <c r="R278" s="93"/>
      <c r="S278" s="93"/>
      <c r="T278" s="93"/>
      <c r="U278" s="93"/>
      <c r="V278" s="5">
        <v>-358</v>
      </c>
      <c r="W278" s="93"/>
      <c r="X278" s="93"/>
      <c r="Y278" s="93"/>
      <c r="Z278" s="93"/>
      <c r="AA278" s="5">
        <v>-220</v>
      </c>
      <c r="AB278" s="93"/>
      <c r="AC278" s="93"/>
      <c r="AD278" s="93"/>
      <c r="AE278" s="93"/>
      <c r="AF278" s="5">
        <v>-249</v>
      </c>
      <c r="AG278" s="93"/>
      <c r="AH278" s="93"/>
      <c r="AI278" s="93"/>
      <c r="AJ278" s="93"/>
      <c r="AK278" s="5">
        <v>-278</v>
      </c>
      <c r="AL278" s="93"/>
      <c r="AM278" s="93"/>
      <c r="AN278" s="93"/>
      <c r="AO278" s="93"/>
      <c r="AP278" s="5">
        <v>-162</v>
      </c>
      <c r="AQ278" s="93"/>
      <c r="AR278" s="93"/>
      <c r="AS278" s="93"/>
      <c r="AT278" s="93"/>
      <c r="AU278" s="138">
        <v>-184</v>
      </c>
      <c r="AV278" s="93"/>
      <c r="AW278" s="93"/>
      <c r="AX278" s="93"/>
      <c r="AY278" s="93"/>
      <c r="AZ278" s="138">
        <v>-175</v>
      </c>
      <c r="BA278" s="93"/>
      <c r="BB278" s="93"/>
      <c r="BC278" s="93"/>
      <c r="BD278" s="93"/>
      <c r="BE278" s="138">
        <v>-214</v>
      </c>
      <c r="BF278" s="93"/>
      <c r="BG278" s="93"/>
      <c r="BH278" s="93"/>
      <c r="BI278" s="93"/>
      <c r="BJ278" s="138">
        <v>-38</v>
      </c>
      <c r="BK278" s="93"/>
      <c r="BL278" s="93"/>
      <c r="BM278" s="93"/>
      <c r="BN278" s="93"/>
      <c r="BO278" s="138">
        <v>-86</v>
      </c>
      <c r="BP278" s="12">
        <f>-BP274*BP313</f>
        <v>-22.901109240565464</v>
      </c>
      <c r="BQ278" s="12">
        <f>-BQ274*BQ313</f>
        <v>-23.53433895075511</v>
      </c>
      <c r="BR278" s="12">
        <f>-BR274*BR313</f>
        <v>-24.492862239621154</v>
      </c>
      <c r="BS278" s="12">
        <f>-BS274*BS313</f>
        <v>-24.55083114777295</v>
      </c>
      <c r="BT278" s="5">
        <f>SUM(BP278:BS278)</f>
        <v>-95.479141578714689</v>
      </c>
      <c r="BU278" s="12">
        <f>-BU274*BU313</f>
        <v>-21.151287902063231</v>
      </c>
      <c r="BV278" s="12">
        <f>-BV274*BV313</f>
        <v>-20.695962470877085</v>
      </c>
      <c r="BW278" s="12">
        <f>-BW274*BW313</f>
        <v>-20.806044393239219</v>
      </c>
      <c r="BX278" s="12">
        <f>-BX274*BX313</f>
        <v>-20.973408354588766</v>
      </c>
      <c r="BY278" s="5">
        <f>SUM(BU278:BX278)</f>
        <v>-83.626703120768298</v>
      </c>
      <c r="BZ278" s="12">
        <f>-BZ274*BZ313</f>
        <v>-20.170293496874166</v>
      </c>
      <c r="CA278" s="12">
        <f>-CA274*CA313</f>
        <v>-20.084412336945149</v>
      </c>
      <c r="CB278" s="12">
        <f>-CB274*CB313</f>
        <v>-20.488818027535117</v>
      </c>
      <c r="CC278" s="12">
        <f>-CC274*CC313</f>
        <v>-20.742858461437773</v>
      </c>
      <c r="CD278" s="5">
        <f>SUM(BZ278:CC278)</f>
        <v>-81.48638232279221</v>
      </c>
      <c r="CG278" s="468">
        <v>2012</v>
      </c>
      <c r="CH278" s="115">
        <f t="shared" si="136"/>
        <v>1123.0000000000002</v>
      </c>
      <c r="CI278" s="634">
        <v>1</v>
      </c>
      <c r="CJ278" s="115">
        <v>2142.9007745247809</v>
      </c>
      <c r="CK278" s="342">
        <f t="shared" si="137"/>
        <v>1123.0000000000002</v>
      </c>
      <c r="CL278" s="115">
        <f t="shared" si="138"/>
        <v>-1019.9007745247807</v>
      </c>
    </row>
    <row r="279" spans="1:90">
      <c r="A279" s="4" t="s">
        <v>2158</v>
      </c>
      <c r="B279" s="5"/>
      <c r="C279" s="72"/>
      <c r="D279" s="72"/>
      <c r="E279" s="72"/>
      <c r="F279" s="72"/>
      <c r="G279" s="5">
        <v>-231</v>
      </c>
      <c r="H279" s="93"/>
      <c r="I279" s="93"/>
      <c r="J279" s="93"/>
      <c r="K279" s="93"/>
      <c r="L279" s="5">
        <v>-188</v>
      </c>
      <c r="M279" s="93"/>
      <c r="N279" s="93"/>
      <c r="O279" s="93"/>
      <c r="P279" s="93"/>
      <c r="Q279" s="5">
        <v>-158</v>
      </c>
      <c r="R279" s="93"/>
      <c r="S279" s="93"/>
      <c r="T279" s="93"/>
      <c r="U279" s="93"/>
      <c r="V279" s="5">
        <v>-198</v>
      </c>
      <c r="W279" s="93"/>
      <c r="X279" s="93"/>
      <c r="Y279" s="93"/>
      <c r="Z279" s="93"/>
      <c r="AA279" s="5">
        <v>-184</v>
      </c>
      <c r="AB279" s="93"/>
      <c r="AC279" s="93"/>
      <c r="AD279" s="93"/>
      <c r="AE279" s="93"/>
      <c r="AF279" s="5">
        <v>-209</v>
      </c>
      <c r="AG279" s="93"/>
      <c r="AH279" s="93"/>
      <c r="AI279" s="93"/>
      <c r="AJ279" s="93"/>
      <c r="AK279" s="5">
        <v>-935</v>
      </c>
      <c r="AL279" s="93"/>
      <c r="AM279" s="93"/>
      <c r="AN279" s="93"/>
      <c r="AO279" s="93"/>
      <c r="AP279" s="5">
        <v>-109</v>
      </c>
      <c r="AQ279" s="93"/>
      <c r="AR279" s="93"/>
      <c r="AS279" s="93"/>
      <c r="AT279" s="93"/>
      <c r="AU279" s="138">
        <v>-322</v>
      </c>
      <c r="AV279" s="93"/>
      <c r="AW279" s="93"/>
      <c r="AX279" s="93"/>
      <c r="AY279" s="93"/>
      <c r="AZ279" s="138">
        <v>-284</v>
      </c>
      <c r="BA279" s="93"/>
      <c r="BB279" s="93"/>
      <c r="BC279" s="93"/>
      <c r="BD279" s="93"/>
      <c r="BE279" s="138">
        <v>-140</v>
      </c>
      <c r="BF279" s="93"/>
      <c r="BG279" s="93"/>
      <c r="BH279" s="93"/>
      <c r="BI279" s="93"/>
      <c r="BJ279" s="138">
        <v>-115</v>
      </c>
      <c r="BK279" s="93"/>
      <c r="BL279" s="93"/>
      <c r="BM279" s="93"/>
      <c r="BN279" s="93"/>
      <c r="BO279" s="138">
        <v>-71</v>
      </c>
      <c r="BP279" s="12">
        <f>BT279/4</f>
        <v>-16.862500000000001</v>
      </c>
      <c r="BQ279" s="12">
        <f>(BT279-BP279)/3</f>
        <v>-16.862500000000001</v>
      </c>
      <c r="BR279" s="12">
        <f>(BT279-BP279-BQ279)/2</f>
        <v>-16.862500000000004</v>
      </c>
      <c r="BS279" s="12">
        <f>BT279-SUM(BP279:BR279)</f>
        <v>-16.862499999999997</v>
      </c>
      <c r="BT279" s="147">
        <f>BO279*(1-5%)</f>
        <v>-67.45</v>
      </c>
      <c r="BU279" s="12">
        <f>BY279/4</f>
        <v>-16.862500000000001</v>
      </c>
      <c r="BV279" s="12">
        <f>(BY279-BU279)/3</f>
        <v>-16.862500000000001</v>
      </c>
      <c r="BW279" s="12">
        <f>(BY279-BU279-BV279)/2</f>
        <v>-16.862500000000004</v>
      </c>
      <c r="BX279" s="12">
        <f>BY279-SUM(BU279:BW279)</f>
        <v>-16.862499999999997</v>
      </c>
      <c r="BY279" s="147">
        <f>BT279</f>
        <v>-67.45</v>
      </c>
      <c r="BZ279" s="12">
        <f>CD279/4</f>
        <v>-16.862500000000001</v>
      </c>
      <c r="CA279" s="12">
        <f>(CD279-BZ279)/3</f>
        <v>-16.862500000000001</v>
      </c>
      <c r="CB279" s="12">
        <f>(CD279-BZ279-CA279)/2</f>
        <v>-16.862500000000004</v>
      </c>
      <c r="CC279" s="12">
        <f>CD279-SUM(BZ279:CB279)</f>
        <v>-16.862499999999997</v>
      </c>
      <c r="CD279" s="147">
        <f>BY279</f>
        <v>-67.45</v>
      </c>
      <c r="CG279" s="468">
        <v>2013</v>
      </c>
      <c r="CH279" s="115">
        <f t="shared" si="136"/>
        <v>1527</v>
      </c>
      <c r="CI279" s="634">
        <v>1</v>
      </c>
      <c r="CJ279" s="115">
        <v>2394.0025386673005</v>
      </c>
      <c r="CK279" s="342">
        <f t="shared" si="137"/>
        <v>1527</v>
      </c>
      <c r="CL279" s="115">
        <f t="shared" si="138"/>
        <v>-867.00253866730054</v>
      </c>
    </row>
    <row r="280" spans="1:90">
      <c r="A280" s="4" t="s">
        <v>2154</v>
      </c>
      <c r="B280" s="5"/>
      <c r="C280" s="72"/>
      <c r="D280" s="72"/>
      <c r="E280" s="72"/>
      <c r="F280" s="72"/>
      <c r="G280" s="5">
        <v>-489</v>
      </c>
      <c r="H280" s="93"/>
      <c r="I280" s="93"/>
      <c r="J280" s="93"/>
      <c r="K280" s="93"/>
      <c r="L280" s="5">
        <v>-509</v>
      </c>
      <c r="M280" s="93"/>
      <c r="N280" s="93"/>
      <c r="O280" s="93"/>
      <c r="P280" s="93"/>
      <c r="Q280" s="5">
        <v>-653</v>
      </c>
      <c r="R280" s="93"/>
      <c r="S280" s="93"/>
      <c r="T280" s="93"/>
      <c r="U280" s="93"/>
      <c r="V280" s="5">
        <v>-730</v>
      </c>
      <c r="W280" s="93"/>
      <c r="X280" s="93"/>
      <c r="Y280" s="93"/>
      <c r="Z280" s="93"/>
      <c r="AA280" s="5">
        <v>-697</v>
      </c>
      <c r="AB280" s="93"/>
      <c r="AC280" s="93"/>
      <c r="AD280" s="93"/>
      <c r="AE280" s="93"/>
      <c r="AF280" s="5">
        <v>-575</v>
      </c>
      <c r="AG280" s="93"/>
      <c r="AH280" s="93"/>
      <c r="AI280" s="93"/>
      <c r="AJ280" s="93"/>
      <c r="AK280" s="5">
        <v>-523</v>
      </c>
      <c r="AL280" s="93"/>
      <c r="AM280" s="93"/>
      <c r="AN280" s="93"/>
      <c r="AO280" s="93"/>
      <c r="AP280" s="5">
        <v>-606</v>
      </c>
      <c r="AQ280" s="93"/>
      <c r="AR280" s="93"/>
      <c r="AS280" s="93"/>
      <c r="AT280" s="93"/>
      <c r="AU280" s="138">
        <v>-559</v>
      </c>
      <c r="AV280" s="93"/>
      <c r="AW280" s="93"/>
      <c r="AX280" s="93"/>
      <c r="AY280" s="93"/>
      <c r="AZ280" s="138">
        <v>-678</v>
      </c>
      <c r="BA280" s="93"/>
      <c r="BB280" s="93"/>
      <c r="BC280" s="93"/>
      <c r="BD280" s="93"/>
      <c r="BE280" s="138">
        <v>-673</v>
      </c>
      <c r="BF280" s="93"/>
      <c r="BG280" s="93"/>
      <c r="BH280" s="93"/>
      <c r="BI280" s="93"/>
      <c r="BJ280" s="138">
        <v>-591</v>
      </c>
      <c r="BK280" s="93"/>
      <c r="BL280" s="93"/>
      <c r="BM280" s="93"/>
      <c r="BN280" s="93"/>
      <c r="BO280" s="138">
        <v>-742</v>
      </c>
      <c r="BP280" s="12">
        <f>-BP290*BP304*'Key assumptions'!BP$48/1000</f>
        <v>-175.66083885699473</v>
      </c>
      <c r="BQ280" s="12">
        <f>-BQ290*BQ304*'Key assumptions'!BQ$48/1000</f>
        <v>-172.14726740303189</v>
      </c>
      <c r="BR280" s="12">
        <f>-BR290*BR304*'Key assumptions'!BR$48/1000</f>
        <v>-174.85104527289801</v>
      </c>
      <c r="BS280" s="12">
        <f>-BS290*BS304*'Key assumptions'!BS$48/1000</f>
        <v>-176.24624942476689</v>
      </c>
      <c r="BT280" s="5">
        <f>SUM(BP280:BS280)</f>
        <v>-698.90540095769154</v>
      </c>
      <c r="BU280" s="12">
        <f>-BU290*BU304*'Key assumptions'!BU$48/1000</f>
        <v>-184.26271518223226</v>
      </c>
      <c r="BV280" s="12">
        <f>-BV290*BV304*'Key assumptions'!BV$48/1000</f>
        <v>-182.73174348799165</v>
      </c>
      <c r="BW280" s="12">
        <f>-BW290*BW304*'Key assumptions'!BW$48/1000</f>
        <v>-185.68250306889527</v>
      </c>
      <c r="BX280" s="12">
        <f>-BX290*BX304*'Key assumptions'!BX$48/1000</f>
        <v>-187.30221274538033</v>
      </c>
      <c r="BY280" s="5">
        <f>SUM(BU280:BX280)</f>
        <v>-739.97917448449948</v>
      </c>
      <c r="BZ280" s="12">
        <f>-BZ290*BZ304*'Key assumptions'!BZ$48/1000</f>
        <v>-184.61100347008897</v>
      </c>
      <c r="CA280" s="12">
        <f>-CA290*CA304*'Key assumptions'!CA$48/1000</f>
        <v>-181.07768057874961</v>
      </c>
      <c r="CB280" s="12">
        <f>-CB290*CB304*'Key assumptions'!CB$48/1000</f>
        <v>-183.99840507650399</v>
      </c>
      <c r="CC280" s="12">
        <f>-CC290*CC304*'Key assumptions'!CC$48/1000</f>
        <v>-185.59774023191969</v>
      </c>
      <c r="CD280" s="5">
        <f>SUM(BZ280:CC280)</f>
        <v>-735.28482935726231</v>
      </c>
      <c r="CG280" s="468">
        <v>2014</v>
      </c>
      <c r="CH280" s="115">
        <f t="shared" si="136"/>
        <v>1145</v>
      </c>
      <c r="CI280" s="634">
        <v>1</v>
      </c>
      <c r="CJ280" s="115">
        <v>2634.1487353472362</v>
      </c>
      <c r="CK280" s="342">
        <f t="shared" si="137"/>
        <v>1145</v>
      </c>
      <c r="CL280" s="115">
        <f t="shared" si="138"/>
        <v>-1489.1487353472362</v>
      </c>
    </row>
    <row r="281" spans="1:90">
      <c r="A281" s="4" t="s">
        <v>610</v>
      </c>
      <c r="B281" s="5"/>
      <c r="C281" s="72"/>
      <c r="D281" s="72"/>
      <c r="E281" s="72"/>
      <c r="F281" s="72"/>
      <c r="G281" s="5">
        <v>101</v>
      </c>
      <c r="H281" s="93"/>
      <c r="I281" s="93"/>
      <c r="J281" s="93"/>
      <c r="K281" s="93"/>
      <c r="L281" s="5">
        <v>-42</v>
      </c>
      <c r="M281" s="93"/>
      <c r="N281" s="93"/>
      <c r="O281" s="93"/>
      <c r="P281" s="93"/>
      <c r="Q281" s="5">
        <v>5</v>
      </c>
      <c r="R281" s="93"/>
      <c r="S281" s="93"/>
      <c r="T281" s="93"/>
      <c r="U281" s="93"/>
      <c r="V281" s="5">
        <v>-4</v>
      </c>
      <c r="W281" s="93"/>
      <c r="X281" s="93"/>
      <c r="Y281" s="93"/>
      <c r="Z281" s="93"/>
      <c r="AA281" s="5">
        <v>11</v>
      </c>
      <c r="AB281" s="93"/>
      <c r="AC281" s="93"/>
      <c r="AD281" s="93"/>
      <c r="AE281" s="93"/>
      <c r="AF281" s="5">
        <v>3</v>
      </c>
      <c r="AG281" s="93"/>
      <c r="AH281" s="93"/>
      <c r="AI281" s="93"/>
      <c r="AJ281" s="93"/>
      <c r="AK281" s="5">
        <v>1085</v>
      </c>
      <c r="AL281" s="93"/>
      <c r="AM281" s="93"/>
      <c r="AN281" s="93"/>
      <c r="AO281" s="93"/>
      <c r="AP281" s="5">
        <v>-6</v>
      </c>
      <c r="AQ281" s="93"/>
      <c r="AR281" s="93"/>
      <c r="AS281" s="93"/>
      <c r="AT281" s="93"/>
      <c r="AU281" s="138">
        <v>-129</v>
      </c>
      <c r="AV281" s="93"/>
      <c r="AW281" s="93"/>
      <c r="AX281" s="93"/>
      <c r="AY281" s="93"/>
      <c r="AZ281" s="138">
        <v>-11</v>
      </c>
      <c r="BA281" s="93"/>
      <c r="BB281" s="93"/>
      <c r="BC281" s="93"/>
      <c r="BD281" s="93"/>
      <c r="BE281" s="138">
        <v>-101</v>
      </c>
      <c r="BF281" s="93"/>
      <c r="BG281" s="93"/>
      <c r="BH281" s="93"/>
      <c r="BI281" s="93"/>
      <c r="BJ281" s="138">
        <v>77</v>
      </c>
      <c r="BK281" s="93"/>
      <c r="BL281" s="93"/>
      <c r="BM281" s="93"/>
      <c r="BN281" s="93"/>
      <c r="BO281" s="138">
        <v>31</v>
      </c>
      <c r="BP281" s="12">
        <f>BT281/4</f>
        <v>0</v>
      </c>
      <c r="BQ281" s="12">
        <f>(BT281-BP281)/3</f>
        <v>0</v>
      </c>
      <c r="BR281" s="12">
        <f>(BT281-BP281-BQ281)/2</f>
        <v>0</v>
      </c>
      <c r="BS281" s="12">
        <f>BT281-SUM(BP281:BR281)</f>
        <v>0</v>
      </c>
      <c r="BT281" s="147">
        <v>0</v>
      </c>
      <c r="BU281" s="12">
        <f>BY281/4</f>
        <v>0</v>
      </c>
      <c r="BV281" s="12">
        <f>(BY281-BU281)/3</f>
        <v>0</v>
      </c>
      <c r="BW281" s="12">
        <f>(BY281-BU281-BV281)/2</f>
        <v>0</v>
      </c>
      <c r="BX281" s="12">
        <f>BY281-SUM(BU281:BW281)</f>
        <v>0</v>
      </c>
      <c r="BY281" s="147">
        <v>0</v>
      </c>
      <c r="BZ281" s="12">
        <f>CD281/4</f>
        <v>0</v>
      </c>
      <c r="CA281" s="12">
        <f>(CD281-BZ281)/3</f>
        <v>0</v>
      </c>
      <c r="CB281" s="12">
        <f>(CD281-BZ281-CA281)/2</f>
        <v>0</v>
      </c>
      <c r="CC281" s="12">
        <f>CD281-SUM(BZ281:CB281)</f>
        <v>0</v>
      </c>
      <c r="CD281" s="147">
        <v>0</v>
      </c>
      <c r="CG281" s="468">
        <v>2015</v>
      </c>
      <c r="CH281" s="115">
        <f t="shared" si="136"/>
        <v>598</v>
      </c>
      <c r="CI281" s="634">
        <v>1</v>
      </c>
      <c r="CJ281" s="115">
        <v>1932.6198019583987</v>
      </c>
      <c r="CK281" s="342">
        <f t="shared" si="137"/>
        <v>598</v>
      </c>
      <c r="CL281" s="115">
        <f t="shared" si="138"/>
        <v>-1334.6198019583987</v>
      </c>
    </row>
    <row r="282" spans="1:90">
      <c r="A282" s="7" t="s">
        <v>2160</v>
      </c>
      <c r="B282" s="8"/>
      <c r="C282" s="73">
        <f>C274+SUM(C276:C281)</f>
        <v>0</v>
      </c>
      <c r="D282" s="73">
        <f>D274+SUM(D276:D281)</f>
        <v>0</v>
      </c>
      <c r="E282" s="73">
        <f>E274+SUM(E276:E281)</f>
        <v>0</v>
      </c>
      <c r="F282" s="73">
        <f>F274+SUM(F276:F281)</f>
        <v>0</v>
      </c>
      <c r="G282" s="8">
        <f>G274+SUM(G276:G281)</f>
        <v>2460.1666666666665</v>
      </c>
      <c r="H282" s="93"/>
      <c r="I282" s="93"/>
      <c r="J282" s="93"/>
      <c r="K282" s="93"/>
      <c r="L282" s="8">
        <f>L274+SUM(L276:L281)</f>
        <v>2750</v>
      </c>
      <c r="M282" s="93"/>
      <c r="N282" s="93"/>
      <c r="O282" s="93"/>
      <c r="P282" s="93"/>
      <c r="Q282" s="8">
        <f>Q274+SUM(Q276:Q281)</f>
        <v>2611</v>
      </c>
      <c r="R282" s="93"/>
      <c r="S282" s="93"/>
      <c r="T282" s="93"/>
      <c r="U282" s="93"/>
      <c r="V282" s="8">
        <f>V274+SUM(V276:V281)</f>
        <v>4195</v>
      </c>
      <c r="W282" s="93"/>
      <c r="X282" s="93"/>
      <c r="Y282" s="93"/>
      <c r="Z282" s="93"/>
      <c r="AA282" s="8">
        <f>AA274+SUM(AA276:AA281)</f>
        <v>1433</v>
      </c>
      <c r="AB282" s="93"/>
      <c r="AC282" s="93"/>
      <c r="AD282" s="93"/>
      <c r="AE282" s="93"/>
      <c r="AF282" s="8">
        <f>AF274+SUM(AF276:AF281)</f>
        <v>1986</v>
      </c>
      <c r="AG282" s="93"/>
      <c r="AH282" s="93"/>
      <c r="AI282" s="93"/>
      <c r="AJ282" s="93"/>
      <c r="AK282" s="8">
        <f>AK274+SUM(AK276:AK281)</f>
        <v>2483</v>
      </c>
      <c r="AL282" s="93"/>
      <c r="AM282" s="93"/>
      <c r="AN282" s="93"/>
      <c r="AO282" s="93"/>
      <c r="AP282" s="8">
        <f>AP274+SUM(AP276:AP281)</f>
        <v>1195</v>
      </c>
      <c r="AQ282" s="93"/>
      <c r="AR282" s="93"/>
      <c r="AS282" s="93"/>
      <c r="AT282" s="93"/>
      <c r="AU282" s="179">
        <f>AU274+SUM(AU276:AU281)</f>
        <v>4</v>
      </c>
      <c r="AV282" s="93"/>
      <c r="AW282" s="93"/>
      <c r="AX282" s="93"/>
      <c r="AY282" s="93"/>
      <c r="AZ282" s="179">
        <f>AZ274+SUM(AZ276:AZ281)</f>
        <v>819</v>
      </c>
      <c r="BA282" s="93"/>
      <c r="BB282" s="93"/>
      <c r="BC282" s="93"/>
      <c r="BD282" s="93"/>
      <c r="BE282" s="179">
        <f t="shared" ref="BE282:BJ282" si="140">BE274+SUM(BE276:BE281)</f>
        <v>-255</v>
      </c>
      <c r="BF282" s="93"/>
      <c r="BG282" s="93"/>
      <c r="BH282" s="93"/>
      <c r="BI282" s="93"/>
      <c r="BJ282" s="179">
        <f t="shared" si="140"/>
        <v>-965</v>
      </c>
      <c r="BK282" s="93"/>
      <c r="BL282" s="93"/>
      <c r="BM282" s="93"/>
      <c r="BN282" s="93"/>
      <c r="BO282" s="179">
        <f t="shared" ref="BO282" si="141">BO274+SUM(BO276:BO281)</f>
        <v>-63</v>
      </c>
      <c r="BP282" s="66">
        <f t="shared" ref="BP282:CD282" si="142">BP274+SUM(BP276:BP281)</f>
        <v>-4.4598449570390244</v>
      </c>
      <c r="BQ282" s="66">
        <f t="shared" si="142"/>
        <v>25.221192935700458</v>
      </c>
      <c r="BR282" s="66">
        <f t="shared" si="142"/>
        <v>35.678707164589753</v>
      </c>
      <c r="BS282" s="66">
        <f t="shared" si="142"/>
        <v>34.093697240589734</v>
      </c>
      <c r="BT282" s="8">
        <f t="shared" si="142"/>
        <v>90.533752383841147</v>
      </c>
      <c r="BU282" s="66">
        <f t="shared" si="142"/>
        <v>28.623704387217799</v>
      </c>
      <c r="BV282" s="66">
        <f t="shared" si="142"/>
        <v>22.745769989606174</v>
      </c>
      <c r="BW282" s="66">
        <f t="shared" si="142"/>
        <v>19.492230662852705</v>
      </c>
      <c r="BX282" s="66">
        <f t="shared" si="142"/>
        <v>19.738154447568149</v>
      </c>
      <c r="BY282" s="8">
        <f t="shared" si="142"/>
        <v>90.599859487244885</v>
      </c>
      <c r="BZ282" s="66">
        <f t="shared" si="142"/>
        <v>15.308871501032627</v>
      </c>
      <c r="CA282" s="66">
        <f t="shared" si="142"/>
        <v>20.117579858056672</v>
      </c>
      <c r="CB282" s="66">
        <f t="shared" si="142"/>
        <v>22.477466232510722</v>
      </c>
      <c r="CC282" s="66">
        <f t="shared" si="142"/>
        <v>24.389007351576652</v>
      </c>
      <c r="CD282" s="8">
        <f t="shared" si="142"/>
        <v>82.292924943176331</v>
      </c>
      <c r="CG282" s="468">
        <v>2016</v>
      </c>
      <c r="CH282" s="115">
        <f t="shared" si="136"/>
        <v>415</v>
      </c>
      <c r="CI282" s="634">
        <v>1</v>
      </c>
      <c r="CJ282" s="115">
        <v>1611.4010482624774</v>
      </c>
      <c r="CK282" s="342">
        <f t="shared" si="137"/>
        <v>415</v>
      </c>
      <c r="CL282" s="115">
        <f t="shared" si="138"/>
        <v>-1196.4010482624774</v>
      </c>
    </row>
    <row r="283" spans="1:90">
      <c r="A283" s="4"/>
      <c r="B283" s="5"/>
      <c r="C283" s="72"/>
      <c r="D283" s="72"/>
      <c r="E283" s="72"/>
      <c r="F283" s="72"/>
      <c r="G283" s="5"/>
      <c r="H283" s="12"/>
      <c r="I283" s="12"/>
      <c r="J283" s="12"/>
      <c r="K283" s="12"/>
      <c r="L283" s="5"/>
      <c r="M283" s="12"/>
      <c r="N283" s="12"/>
      <c r="O283" s="12"/>
      <c r="P283" s="12"/>
      <c r="Q283" s="5"/>
      <c r="R283" s="12"/>
      <c r="S283" s="12"/>
      <c r="T283" s="12"/>
      <c r="U283" s="12"/>
      <c r="V283" s="5"/>
      <c r="W283" s="12"/>
      <c r="X283" s="12"/>
      <c r="Y283" s="12"/>
      <c r="Z283" s="12"/>
      <c r="AA283" s="5"/>
      <c r="AB283" s="12"/>
      <c r="AC283" s="12"/>
      <c r="AD283" s="12"/>
      <c r="AE283" s="12"/>
      <c r="AF283" s="5"/>
      <c r="AG283" s="12"/>
      <c r="AH283" s="12"/>
      <c r="AI283" s="12"/>
      <c r="AJ283" s="12"/>
      <c r="AK283" s="5"/>
      <c r="AL283" s="12"/>
      <c r="AM283" s="12"/>
      <c r="AN283" s="12"/>
      <c r="AO283" s="12"/>
      <c r="AP283" s="5"/>
      <c r="AQ283" s="12"/>
      <c r="AR283" s="12"/>
      <c r="AS283" s="12"/>
      <c r="AT283" s="12"/>
      <c r="AU283" s="138"/>
      <c r="AV283" s="12"/>
      <c r="AW283" s="12"/>
      <c r="AX283" s="12"/>
      <c r="AY283" s="12"/>
      <c r="AZ283" s="138"/>
      <c r="BA283" s="12"/>
      <c r="BB283" s="12"/>
      <c r="BC283" s="12"/>
      <c r="BD283" s="12"/>
      <c r="BE283" s="138"/>
      <c r="BF283" s="12"/>
      <c r="BG283" s="12"/>
      <c r="BH283" s="12"/>
      <c r="BI283" s="12"/>
      <c r="BJ283" s="138"/>
      <c r="BK283" s="12"/>
      <c r="BL283" s="12"/>
      <c r="BM283" s="12"/>
      <c r="BN283" s="12"/>
      <c r="BO283" s="138"/>
      <c r="BP283" s="12"/>
      <c r="BQ283" s="12"/>
      <c r="BR283" s="12"/>
      <c r="BS283" s="12"/>
      <c r="BT283" s="5"/>
      <c r="BU283" s="12"/>
      <c r="BV283" s="12"/>
      <c r="BW283" s="12"/>
      <c r="BX283" s="12"/>
      <c r="BY283" s="5"/>
      <c r="BZ283" s="12"/>
      <c r="CA283" s="12"/>
      <c r="CB283" s="12"/>
      <c r="CC283" s="12"/>
      <c r="CD283" s="5"/>
      <c r="CG283" s="468">
        <v>2017</v>
      </c>
      <c r="CH283" s="115">
        <f t="shared" si="136"/>
        <v>576</v>
      </c>
      <c r="CI283" s="634">
        <v>1</v>
      </c>
      <c r="CJ283" s="115">
        <v>1820.8364764881887</v>
      </c>
      <c r="CK283" s="342">
        <f t="shared" si="137"/>
        <v>576</v>
      </c>
      <c r="CL283" s="115">
        <f t="shared" si="138"/>
        <v>-1244.8364764881887</v>
      </c>
    </row>
    <row r="284" spans="1:90">
      <c r="A284" s="4" t="s">
        <v>2152</v>
      </c>
      <c r="B284" s="5"/>
      <c r="C284" s="72"/>
      <c r="D284" s="72"/>
      <c r="E284" s="72"/>
      <c r="F284" s="72"/>
      <c r="G284" s="5">
        <v>-1200.1666666666667</v>
      </c>
      <c r="H284" s="93"/>
      <c r="I284" s="93"/>
      <c r="J284" s="93"/>
      <c r="K284" s="93"/>
      <c r="L284" s="5">
        <v>-1356</v>
      </c>
      <c r="M284" s="93"/>
      <c r="N284" s="93"/>
      <c r="O284" s="93"/>
      <c r="P284" s="93"/>
      <c r="Q284" s="5">
        <v>-1167</v>
      </c>
      <c r="R284" s="93"/>
      <c r="S284" s="93"/>
      <c r="T284" s="93"/>
      <c r="U284" s="93"/>
      <c r="V284" s="5">
        <v>-2218</v>
      </c>
      <c r="W284" s="93"/>
      <c r="X284" s="93"/>
      <c r="Y284" s="93"/>
      <c r="Z284" s="93"/>
      <c r="AA284" s="5">
        <v>-916</v>
      </c>
      <c r="AB284" s="93"/>
      <c r="AC284" s="93"/>
      <c r="AD284" s="93"/>
      <c r="AE284" s="93"/>
      <c r="AF284" s="5">
        <v>-1084</v>
      </c>
      <c r="AG284" s="93"/>
      <c r="AH284" s="93"/>
      <c r="AI284" s="93"/>
      <c r="AJ284" s="93"/>
      <c r="AK284" s="5">
        <v>-1205</v>
      </c>
      <c r="AL284" s="93"/>
      <c r="AM284" s="93"/>
      <c r="AN284" s="93"/>
      <c r="AO284" s="93"/>
      <c r="AP284" s="5">
        <v>-804</v>
      </c>
      <c r="AQ284" s="93"/>
      <c r="AR284" s="93"/>
      <c r="AS284" s="93"/>
      <c r="AT284" s="93"/>
      <c r="AU284" s="138">
        <v>-642</v>
      </c>
      <c r="AV284" s="93"/>
      <c r="AW284" s="93"/>
      <c r="AX284" s="93"/>
      <c r="AY284" s="93"/>
      <c r="AZ284" s="138">
        <v>-865</v>
      </c>
      <c r="BA284" s="93"/>
      <c r="BB284" s="93"/>
      <c r="BC284" s="93"/>
      <c r="BD284" s="93"/>
      <c r="BE284" s="138">
        <v>28</v>
      </c>
      <c r="BF284" s="93"/>
      <c r="BG284" s="93"/>
      <c r="BH284" s="93"/>
      <c r="BI284" s="93"/>
      <c r="BJ284" s="138">
        <v>194</v>
      </c>
      <c r="BK284" s="93"/>
      <c r="BL284" s="93"/>
      <c r="BM284" s="93"/>
      <c r="BN284" s="93"/>
      <c r="BO284" s="138">
        <v>-155</v>
      </c>
      <c r="BP284" s="12">
        <f>-BP282*BP318</f>
        <v>16.588221582783074</v>
      </c>
      <c r="BQ284" s="12">
        <f>-BQ282*BQ318</f>
        <v>-93.809255933706112</v>
      </c>
      <c r="BR284" s="12">
        <f>-BR282*BR318</f>
        <v>-132.70557742132428</v>
      </c>
      <c r="BS284" s="12">
        <f>-BS282*BS318</f>
        <v>-126.81019404286742</v>
      </c>
      <c r="BT284" s="5">
        <f>SUM(BP284:BS284)</f>
        <v>-336.73680581511474</v>
      </c>
      <c r="BU284" s="12">
        <f>-BU282*BU318</f>
        <v>-106.39560611658143</v>
      </c>
      <c r="BV284" s="12">
        <f>-BV282*BV318</f>
        <v>-84.547057637766628</v>
      </c>
      <c r="BW284" s="12">
        <f>-BW282*BW318</f>
        <v>-72.453504545852653</v>
      </c>
      <c r="BX284" s="12">
        <f>-BX282*BX318</f>
        <v>-73.367614396182432</v>
      </c>
      <c r="BY284" s="5">
        <f>SUM(BU284:BX284)</f>
        <v>-336.76378269638315</v>
      </c>
      <c r="BZ284" s="12">
        <f>-BZ282*BZ318</f>
        <v>-62.017217550852692</v>
      </c>
      <c r="CA284" s="12">
        <f>-CA282*CA318</f>
        <v>-81.497602652788373</v>
      </c>
      <c r="CB284" s="12">
        <f>-CB282*CB318</f>
        <v>-91.057653285517105</v>
      </c>
      <c r="CC284" s="12">
        <f>-CC282*CC318</f>
        <v>-98.801428614124163</v>
      </c>
      <c r="CD284" s="5">
        <f>SUM(BZ284:CC284)</f>
        <v>-333.37390210328238</v>
      </c>
      <c r="CG284" s="468">
        <v>2018</v>
      </c>
      <c r="CH284" s="115">
        <f t="shared" si="136"/>
        <v>563.00901419308457</v>
      </c>
      <c r="CI284" s="634">
        <v>1</v>
      </c>
      <c r="CJ284" s="115">
        <v>2252.8880496842103</v>
      </c>
      <c r="CK284" s="342">
        <f t="shared" si="137"/>
        <v>563.00901419308457</v>
      </c>
      <c r="CL284" s="115">
        <f t="shared" si="138"/>
        <v>-1689.8790354911257</v>
      </c>
    </row>
    <row r="285" spans="1:90">
      <c r="A285" s="14" t="s">
        <v>2153</v>
      </c>
      <c r="B285" s="15"/>
      <c r="C285" s="74">
        <f>SUM(C282,C284)</f>
        <v>0</v>
      </c>
      <c r="D285" s="74">
        <f>SUM(D282,D284)</f>
        <v>0</v>
      </c>
      <c r="E285" s="74">
        <f>SUM(E282,E284)</f>
        <v>0</v>
      </c>
      <c r="F285" s="74">
        <f>SUM(F282,F284)</f>
        <v>0</v>
      </c>
      <c r="G285" s="15">
        <f>SUM(G282,G284)</f>
        <v>1259.9999999999998</v>
      </c>
      <c r="H285" s="378"/>
      <c r="I285" s="378"/>
      <c r="J285" s="378"/>
      <c r="K285" s="378"/>
      <c r="L285" s="15">
        <f>SUM(L282,L284)</f>
        <v>1394</v>
      </c>
      <c r="M285" s="378"/>
      <c r="N285" s="378"/>
      <c r="O285" s="378"/>
      <c r="P285" s="378"/>
      <c r="Q285" s="15">
        <f>SUM(Q282,Q284)</f>
        <v>1444</v>
      </c>
      <c r="R285" s="378"/>
      <c r="S285" s="378"/>
      <c r="T285" s="378"/>
      <c r="U285" s="378"/>
      <c r="V285" s="15">
        <f>SUM(V282,V284)</f>
        <v>1977</v>
      </c>
      <c r="W285" s="378"/>
      <c r="X285" s="378"/>
      <c r="Y285" s="378"/>
      <c r="Z285" s="378"/>
      <c r="AA285" s="15">
        <f>SUM(AA282,AA284)</f>
        <v>517</v>
      </c>
      <c r="AB285" s="378"/>
      <c r="AC285" s="378"/>
      <c r="AD285" s="378"/>
      <c r="AE285" s="378"/>
      <c r="AF285" s="15">
        <f>SUM(AF282,AF284)</f>
        <v>902</v>
      </c>
      <c r="AG285" s="378"/>
      <c r="AH285" s="378"/>
      <c r="AI285" s="378"/>
      <c r="AJ285" s="378"/>
      <c r="AK285" s="15">
        <f>SUM(AK282,AK284)</f>
        <v>1278</v>
      </c>
      <c r="AL285" s="378"/>
      <c r="AM285" s="378"/>
      <c r="AN285" s="378"/>
      <c r="AO285" s="378"/>
      <c r="AP285" s="15">
        <f>SUM(AP282,AP284)</f>
        <v>391</v>
      </c>
      <c r="AQ285" s="378"/>
      <c r="AR285" s="378"/>
      <c r="AS285" s="378"/>
      <c r="AT285" s="378"/>
      <c r="AU285" s="15">
        <f>SUM(AU282,AU284)</f>
        <v>-638</v>
      </c>
      <c r="AV285" s="378"/>
      <c r="AW285" s="378"/>
      <c r="AX285" s="378"/>
      <c r="AY285" s="378"/>
      <c r="AZ285" s="15">
        <f>SUM(AZ282,AZ284)</f>
        <v>-46</v>
      </c>
      <c r="BA285" s="378"/>
      <c r="BB285" s="378"/>
      <c r="BC285" s="378"/>
      <c r="BD285" s="378"/>
      <c r="BE285" s="15">
        <f t="shared" ref="BE285:BJ285" si="143">SUM(BE282,BE284)</f>
        <v>-227</v>
      </c>
      <c r="BF285" s="378"/>
      <c r="BG285" s="378"/>
      <c r="BH285" s="378"/>
      <c r="BI285" s="378"/>
      <c r="BJ285" s="15">
        <f t="shared" si="143"/>
        <v>-771</v>
      </c>
      <c r="BK285" s="378"/>
      <c r="BL285" s="378"/>
      <c r="BM285" s="378"/>
      <c r="BN285" s="378"/>
      <c r="BO285" s="15">
        <f t="shared" ref="BO285" si="144">SUM(BO282,BO284)</f>
        <v>-218</v>
      </c>
      <c r="BP285" s="67">
        <f t="shared" ref="BP285:CD285" si="145">SUM(BP282,BP284)</f>
        <v>12.12837662574405</v>
      </c>
      <c r="BQ285" s="67">
        <f t="shared" si="145"/>
        <v>-68.588062998005654</v>
      </c>
      <c r="BR285" s="67">
        <f t="shared" si="145"/>
        <v>-97.026870256734526</v>
      </c>
      <c r="BS285" s="67">
        <f t="shared" si="145"/>
        <v>-92.716496802277689</v>
      </c>
      <c r="BT285" s="15">
        <f t="shared" si="145"/>
        <v>-246.20305343127359</v>
      </c>
      <c r="BU285" s="67">
        <f t="shared" si="145"/>
        <v>-77.771901729363634</v>
      </c>
      <c r="BV285" s="67">
        <f t="shared" si="145"/>
        <v>-61.801287648160454</v>
      </c>
      <c r="BW285" s="67">
        <f t="shared" si="145"/>
        <v>-52.961273882999947</v>
      </c>
      <c r="BX285" s="67">
        <f t="shared" si="145"/>
        <v>-53.629459948614283</v>
      </c>
      <c r="BY285" s="15">
        <f t="shared" si="145"/>
        <v>-246.16392320913826</v>
      </c>
      <c r="BZ285" s="67">
        <f t="shared" si="145"/>
        <v>-46.708346049820065</v>
      </c>
      <c r="CA285" s="67">
        <f t="shared" si="145"/>
        <v>-61.380022794731701</v>
      </c>
      <c r="CB285" s="67">
        <f t="shared" si="145"/>
        <v>-68.580187053006384</v>
      </c>
      <c r="CC285" s="67">
        <f t="shared" si="145"/>
        <v>-74.412421262547511</v>
      </c>
      <c r="CD285" s="15">
        <f t="shared" si="145"/>
        <v>-251.08097716010604</v>
      </c>
      <c r="CG285" s="468">
        <v>2019</v>
      </c>
      <c r="CH285" s="115">
        <f t="shared" si="136"/>
        <v>584.25191794202783</v>
      </c>
      <c r="CI285" s="634">
        <v>1</v>
      </c>
      <c r="CJ285" s="115">
        <v>1883.2708548076489</v>
      </c>
      <c r="CK285" s="342">
        <f t="shared" si="137"/>
        <v>584.25191794202783</v>
      </c>
      <c r="CL285" s="115">
        <f t="shared" si="138"/>
        <v>-1299.0189368656211</v>
      </c>
    </row>
    <row r="286" spans="1:90">
      <c r="A286" s="5"/>
      <c r="B286" s="5"/>
      <c r="C286" s="5"/>
      <c r="D286" s="5"/>
      <c r="E286" s="5"/>
      <c r="F286" s="5"/>
      <c r="G286" s="5"/>
      <c r="H286" s="76"/>
      <c r="I286" s="76"/>
      <c r="J286" s="76"/>
      <c r="K286" s="76"/>
      <c r="L286" s="5"/>
      <c r="M286" s="76"/>
      <c r="N286" s="76"/>
      <c r="O286" s="76"/>
      <c r="P286" s="76"/>
      <c r="Q286" s="5"/>
      <c r="R286" s="76"/>
      <c r="S286" s="76"/>
      <c r="T286" s="76"/>
      <c r="U286" s="76"/>
      <c r="V286" s="5"/>
      <c r="W286" s="76"/>
      <c r="X286" s="76"/>
      <c r="Y286" s="76"/>
      <c r="Z286" s="76"/>
      <c r="AA286" s="5"/>
      <c r="AB286" s="76"/>
      <c r="AC286" s="76"/>
      <c r="AD286" s="76"/>
      <c r="AE286" s="76"/>
      <c r="AF286" s="5"/>
      <c r="AG286" s="76"/>
      <c r="AH286" s="76"/>
      <c r="AI286" s="76"/>
      <c r="AJ286" s="76"/>
      <c r="AK286" s="5"/>
      <c r="AL286" s="76"/>
      <c r="AM286" s="76"/>
      <c r="AN286" s="76"/>
      <c r="AO286" s="76"/>
      <c r="AP286" s="5"/>
      <c r="AQ286" s="76"/>
      <c r="AR286" s="76"/>
      <c r="AS286" s="76"/>
      <c r="AT286" s="76"/>
      <c r="AU286" s="5"/>
      <c r="AV286" s="76"/>
      <c r="AW286" s="76"/>
      <c r="AX286" s="76"/>
      <c r="AY286" s="76"/>
      <c r="AZ286" s="5"/>
      <c r="BA286" s="76"/>
      <c r="BB286" s="76"/>
      <c r="BC286" s="76"/>
      <c r="BD286" s="76"/>
      <c r="BE286" s="5"/>
      <c r="BF286" s="76"/>
      <c r="BG286" s="76"/>
      <c r="BH286" s="76"/>
      <c r="BI286" s="76"/>
      <c r="BJ286" s="5"/>
      <c r="BK286" s="76"/>
      <c r="BL286" s="76"/>
      <c r="BM286" s="76"/>
      <c r="BN286" s="76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G286" s="468">
        <v>2020</v>
      </c>
      <c r="CH286" s="115">
        <f t="shared" si="136"/>
        <v>542.44385219715627</v>
      </c>
      <c r="CI286" s="634">
        <v>1</v>
      </c>
      <c r="CJ286" s="115">
        <v>1887.7418826216435</v>
      </c>
      <c r="CK286" s="342">
        <f t="shared" si="137"/>
        <v>542.44385219715627</v>
      </c>
      <c r="CL286" s="115">
        <f t="shared" si="138"/>
        <v>-1345.2980304244873</v>
      </c>
    </row>
    <row r="287" spans="1:90" hidden="1" outlineLevel="1">
      <c r="A287" s="39" t="s">
        <v>196</v>
      </c>
      <c r="B287" s="11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12"/>
      <c r="BQ287" s="12"/>
      <c r="BR287" s="12"/>
      <c r="BS287" s="12"/>
      <c r="BT287" s="5"/>
      <c r="BU287" s="12"/>
      <c r="BV287" s="12"/>
      <c r="BW287" s="12"/>
      <c r="BX287" s="12"/>
      <c r="BY287" s="5"/>
      <c r="BZ287" s="12"/>
      <c r="CA287" s="12"/>
      <c r="CB287" s="12"/>
      <c r="CC287" s="12"/>
      <c r="CD287" s="5"/>
    </row>
    <row r="288" spans="1:90" hidden="1" outlineLevel="1">
      <c r="A288" s="11"/>
      <c r="B288" s="11" t="s">
        <v>932</v>
      </c>
      <c r="C288" s="5">
        <f>'Production - Oil'!C28</f>
        <v>150</v>
      </c>
      <c r="D288" s="5">
        <f>'Production - Oil'!D28</f>
        <v>164</v>
      </c>
      <c r="E288" s="5">
        <f>'Production - Oil'!E28</f>
        <v>180</v>
      </c>
      <c r="F288" s="5">
        <f>'Production - Oil'!F28</f>
        <v>162</v>
      </c>
      <c r="G288" s="5">
        <f>'Production - Oil'!G28</f>
        <v>136</v>
      </c>
      <c r="H288" s="93"/>
      <c r="I288" s="93"/>
      <c r="J288" s="93"/>
      <c r="K288" s="93"/>
      <c r="L288" s="5">
        <f>'Production - Oil'!L28</f>
        <v>100</v>
      </c>
      <c r="M288" s="93"/>
      <c r="N288" s="93"/>
      <c r="O288" s="93"/>
      <c r="P288" s="93"/>
      <c r="Q288" s="5">
        <f>'Production - Oil'!Q28</f>
        <v>74</v>
      </c>
      <c r="R288" s="93"/>
      <c r="S288" s="93"/>
      <c r="T288" s="93"/>
      <c r="U288" s="93"/>
      <c r="V288" s="5">
        <f>'Production - Oil'!V28</f>
        <v>66</v>
      </c>
      <c r="W288" s="93"/>
      <c r="X288" s="93"/>
      <c r="Y288" s="93"/>
      <c r="Z288" s="93"/>
      <c r="AA288" s="5">
        <f>'Production - Oil'!AA28</f>
        <v>61</v>
      </c>
      <c r="AB288" s="93"/>
      <c r="AC288" s="93"/>
      <c r="AD288" s="93"/>
      <c r="AE288" s="93"/>
      <c r="AF288" s="5">
        <f>'Production - Oil'!AF28</f>
        <v>54</v>
      </c>
      <c r="AG288" s="93"/>
      <c r="AH288" s="93"/>
      <c r="AI288" s="93"/>
      <c r="AJ288" s="93"/>
      <c r="AK288" s="5">
        <f>'Production - Oil'!AK28</f>
        <v>39</v>
      </c>
      <c r="AL288" s="93"/>
      <c r="AM288" s="93"/>
      <c r="AN288" s="93"/>
      <c r="AO288" s="93"/>
      <c r="AP288" s="5">
        <f>'Production - Oil'!AP28</f>
        <v>28</v>
      </c>
      <c r="AQ288" s="93"/>
      <c r="AR288" s="93"/>
      <c r="AS288" s="93"/>
      <c r="AT288" s="93"/>
      <c r="AU288" s="5">
        <f>'Production - Oil'!AU28</f>
        <v>30</v>
      </c>
      <c r="AV288" s="93"/>
      <c r="AW288" s="93"/>
      <c r="AX288" s="93"/>
      <c r="AY288" s="93"/>
      <c r="AZ288" s="5">
        <f>'Production - Oil'!AZ28</f>
        <v>25</v>
      </c>
      <c r="BA288" s="93"/>
      <c r="BB288" s="93"/>
      <c r="BC288" s="93"/>
      <c r="BD288" s="93"/>
      <c r="BE288" s="5">
        <f>'Production - Oil'!BE28</f>
        <v>23</v>
      </c>
      <c r="BF288" s="93"/>
      <c r="BG288" s="93"/>
      <c r="BH288" s="93"/>
      <c r="BI288" s="93"/>
      <c r="BJ288" s="5">
        <f>'Production - Oil'!BJ28</f>
        <v>18</v>
      </c>
      <c r="BK288" s="93"/>
      <c r="BL288" s="93"/>
      <c r="BM288" s="93"/>
      <c r="BN288" s="93"/>
      <c r="BO288" s="5">
        <f>'Production - Oil'!BO28</f>
        <v>22</v>
      </c>
      <c r="BP288" s="12">
        <f>'Production - Oil'!BP28</f>
        <v>24.22</v>
      </c>
      <c r="BQ288" s="12">
        <f>'Production - Oil'!BQ28</f>
        <v>19.22</v>
      </c>
      <c r="BR288" s="12">
        <f>'Production - Oil'!BR28</f>
        <v>19.22</v>
      </c>
      <c r="BS288" s="12">
        <f>'Production - Oil'!BS28</f>
        <v>19.22</v>
      </c>
      <c r="BT288" s="5">
        <f>'Production - Oil'!BT28</f>
        <v>20.47</v>
      </c>
      <c r="BU288" s="12">
        <f>'Production - Oil'!BU28</f>
        <v>19.130000000000003</v>
      </c>
      <c r="BV288" s="12">
        <f>'Production - Oil'!BV28</f>
        <v>19.130000000000003</v>
      </c>
      <c r="BW288" s="12">
        <f>'Production - Oil'!BW28</f>
        <v>19.130000000000003</v>
      </c>
      <c r="BX288" s="12">
        <f>'Production - Oil'!BX28</f>
        <v>19.130000000000003</v>
      </c>
      <c r="BY288" s="5">
        <f>'Production - Oil'!BY28</f>
        <v>19.130000000000003</v>
      </c>
      <c r="BZ288" s="12">
        <f>'Production - Oil'!BZ28</f>
        <v>18.010000000000005</v>
      </c>
      <c r="CA288" s="12">
        <f>'Production - Oil'!CA28</f>
        <v>18.010000000000005</v>
      </c>
      <c r="CB288" s="12">
        <f>'Production - Oil'!CB28</f>
        <v>18.010000000000005</v>
      </c>
      <c r="CC288" s="12">
        <f>'Production - Oil'!CC28</f>
        <v>18.010000000000005</v>
      </c>
      <c r="CD288" s="5">
        <f>'Production - Oil'!CD28</f>
        <v>18.010000000000005</v>
      </c>
    </row>
    <row r="289" spans="1:87" hidden="1" outlineLevel="1">
      <c r="A289" s="11"/>
      <c r="B289" s="11" t="s">
        <v>933</v>
      </c>
      <c r="C289" s="5">
        <f>'Production - Gas'!C28</f>
        <v>1011</v>
      </c>
      <c r="D289" s="5">
        <f>'Production - Gas'!D28</f>
        <v>1238</v>
      </c>
      <c r="E289" s="5">
        <f>'Production - Gas'!E28</f>
        <v>1694</v>
      </c>
      <c r="F289" s="5">
        <f>'Production - Gas'!F28</f>
        <v>1923</v>
      </c>
      <c r="G289" s="5">
        <f>'Production - Gas'!G28</f>
        <v>1989.5</v>
      </c>
      <c r="H289" s="93"/>
      <c r="I289" s="93"/>
      <c r="J289" s="93"/>
      <c r="K289" s="93"/>
      <c r="L289" s="5">
        <f>'Production - Gas'!L28</f>
        <v>2362</v>
      </c>
      <c r="M289" s="93"/>
      <c r="N289" s="93"/>
      <c r="O289" s="93"/>
      <c r="P289" s="93"/>
      <c r="Q289" s="5">
        <f>'Production - Gas'!Q28</f>
        <v>2543</v>
      </c>
      <c r="R289" s="93"/>
      <c r="S289" s="93"/>
      <c r="T289" s="93"/>
      <c r="U289" s="93"/>
      <c r="V289" s="5">
        <f>'Production - Gas'!V28</f>
        <v>2532</v>
      </c>
      <c r="W289" s="93"/>
      <c r="X289" s="93"/>
      <c r="Y289" s="93"/>
      <c r="Z289" s="93"/>
      <c r="AA289" s="5">
        <f>'Production - Gas'!AA28</f>
        <v>2492</v>
      </c>
      <c r="AB289" s="93"/>
      <c r="AC289" s="93"/>
      <c r="AD289" s="93"/>
      <c r="AE289" s="93"/>
      <c r="AF289" s="5">
        <f>'Production - Gas'!AF28</f>
        <v>2544</v>
      </c>
      <c r="AG289" s="93"/>
      <c r="AH289" s="93"/>
      <c r="AI289" s="93"/>
      <c r="AJ289" s="93"/>
      <c r="AK289" s="5">
        <f>'Production - Gas'!AK28</f>
        <v>2197</v>
      </c>
      <c r="AL289" s="93"/>
      <c r="AM289" s="93"/>
      <c r="AN289" s="93"/>
      <c r="AO289" s="93"/>
      <c r="AP289" s="5">
        <f>'Production - Gas'!AP28</f>
        <v>2097</v>
      </c>
      <c r="AQ289" s="93"/>
      <c r="AR289" s="93"/>
      <c r="AS289" s="93"/>
      <c r="AT289" s="93"/>
      <c r="AU289" s="5">
        <f>'Production - Gas'!AU28</f>
        <v>2221</v>
      </c>
      <c r="AV289" s="93"/>
      <c r="AW289" s="93"/>
      <c r="AX289" s="93"/>
      <c r="AY289" s="93"/>
      <c r="AZ289" s="5">
        <f>'Production - Gas'!AZ28</f>
        <v>2147</v>
      </c>
      <c r="BA289" s="93"/>
      <c r="BB289" s="93"/>
      <c r="BC289" s="93"/>
      <c r="BD289" s="93"/>
      <c r="BE289" s="5">
        <f>'Production - Gas'!BE28</f>
        <v>1922</v>
      </c>
      <c r="BF289" s="93"/>
      <c r="BG289" s="93"/>
      <c r="BH289" s="93"/>
      <c r="BI289" s="93"/>
      <c r="BJ289" s="5">
        <f>'Production - Gas'!BJ28</f>
        <v>1689</v>
      </c>
      <c r="BK289" s="93"/>
      <c r="BL289" s="93"/>
      <c r="BM289" s="93"/>
      <c r="BN289" s="93"/>
      <c r="BO289" s="5">
        <f>'Production - Gas'!BO28</f>
        <v>1936</v>
      </c>
      <c r="BP289" s="12">
        <f>'Production - Gas'!BP28</f>
        <v>2020.976929501875</v>
      </c>
      <c r="BQ289" s="12">
        <f>'Production - Gas'!BQ28</f>
        <v>1983.4663692854372</v>
      </c>
      <c r="BR289" s="12">
        <f>'Production - Gas'!BR28</f>
        <v>1993.2411742114689</v>
      </c>
      <c r="BS289" s="12">
        <f>'Production - Gas'!BS28</f>
        <v>2010.0355270012187</v>
      </c>
      <c r="BT289" s="5">
        <f>'Production - Gas'!BT28</f>
        <v>2001.93</v>
      </c>
      <c r="BU289" s="12">
        <f>'Production - Gas'!BU28</f>
        <v>2131.7015046543006</v>
      </c>
      <c r="BV289" s="12">
        <f>'Production - Gas'!BV28</f>
        <v>2088.6282947556406</v>
      </c>
      <c r="BW289" s="12">
        <f>'Production - Gas'!BW28</f>
        <v>2099.8526598908998</v>
      </c>
      <c r="BX289" s="12">
        <f>'Production - Gas'!BX28</f>
        <v>2119.1375406991592</v>
      </c>
      <c r="BY289" s="5">
        <f>'Production - Gas'!BY28</f>
        <v>2109.83</v>
      </c>
      <c r="BZ289" s="12">
        <f>'Production - Gas'!BZ28</f>
        <v>2093.85419519691</v>
      </c>
      <c r="CA289" s="12">
        <f>'Production - Gas'!CA28</f>
        <v>2051.7800682185675</v>
      </c>
      <c r="CB289" s="12">
        <f>'Production - Gas'!CB28</f>
        <v>2062.7440842522756</v>
      </c>
      <c r="CC289" s="12">
        <f>'Production - Gas'!CC28</f>
        <v>2081.5816523322469</v>
      </c>
      <c r="CD289" s="5">
        <f>'Production - Gas'!CD28</f>
        <v>2072.4899999999998</v>
      </c>
    </row>
    <row r="290" spans="1:87" hidden="1" outlineLevel="1">
      <c r="A290" s="11"/>
      <c r="B290" s="39" t="s">
        <v>896</v>
      </c>
      <c r="C290" s="8">
        <f>C288+C289/5.8</f>
        <v>324.31034482758622</v>
      </c>
      <c r="D290" s="5">
        <f>D288+D289/5.8</f>
        <v>377.44827586206895</v>
      </c>
      <c r="E290" s="8">
        <f>E288+E289/5.8</f>
        <v>472.06896551724139</v>
      </c>
      <c r="F290" s="8">
        <f>F288+F289/5.8</f>
        <v>493.55172413793105</v>
      </c>
      <c r="G290" s="8">
        <f>G288+G289/5.8</f>
        <v>479.01724137931035</v>
      </c>
      <c r="H290" s="93"/>
      <c r="I290" s="93"/>
      <c r="J290" s="93"/>
      <c r="K290" s="93"/>
      <c r="L290" s="8">
        <f>L288+L289/5.8</f>
        <v>507.24137931034483</v>
      </c>
      <c r="M290" s="93"/>
      <c r="N290" s="93"/>
      <c r="O290" s="93"/>
      <c r="P290" s="93"/>
      <c r="Q290" s="8">
        <f>Q288+Q289/5.8</f>
        <v>512.44827586206895</v>
      </c>
      <c r="R290" s="93"/>
      <c r="S290" s="93"/>
      <c r="T290" s="93"/>
      <c r="U290" s="93"/>
      <c r="V290" s="8">
        <f>V288+V289/5.8</f>
        <v>502.55172413793105</v>
      </c>
      <c r="W290" s="93"/>
      <c r="X290" s="93"/>
      <c r="Y290" s="93"/>
      <c r="Z290" s="93"/>
      <c r="AA290" s="8">
        <f>AA288+AA289/5.8</f>
        <v>490.65517241379314</v>
      </c>
      <c r="AB290" s="93"/>
      <c r="AC290" s="93"/>
      <c r="AD290" s="93"/>
      <c r="AE290" s="93"/>
      <c r="AF290" s="8">
        <f>AF288+AF289/5.8</f>
        <v>492.62068965517244</v>
      </c>
      <c r="AG290" s="93"/>
      <c r="AH290" s="93"/>
      <c r="AI290" s="93"/>
      <c r="AJ290" s="93"/>
      <c r="AK290" s="8">
        <f>AK288+AK289/5.8</f>
        <v>417.79310344827587</v>
      </c>
      <c r="AL290" s="93"/>
      <c r="AM290" s="93"/>
      <c r="AN290" s="93"/>
      <c r="AO290" s="93"/>
      <c r="AP290" s="8">
        <f>AP288+AP289/5.8</f>
        <v>389.55172413793105</v>
      </c>
      <c r="AQ290" s="93"/>
      <c r="AR290" s="93"/>
      <c r="AS290" s="93"/>
      <c r="AT290" s="93"/>
      <c r="AU290" s="8">
        <f>AU288+AU289/5.8</f>
        <v>412.93103448275861</v>
      </c>
      <c r="AV290" s="93"/>
      <c r="AW290" s="93"/>
      <c r="AX290" s="93"/>
      <c r="AY290" s="93"/>
      <c r="AZ290" s="8">
        <f>AZ288+AZ289/5.8</f>
        <v>395.17241379310349</v>
      </c>
      <c r="BA290" s="93"/>
      <c r="BB290" s="93"/>
      <c r="BC290" s="93"/>
      <c r="BD290" s="93"/>
      <c r="BE290" s="8">
        <f t="shared" ref="BE290:BJ290" si="146">BE288+BE289/5.8</f>
        <v>354.37931034482762</v>
      </c>
      <c r="BF290" s="93"/>
      <c r="BG290" s="93"/>
      <c r="BH290" s="93"/>
      <c r="BI290" s="93"/>
      <c r="BJ290" s="8">
        <f t="shared" si="146"/>
        <v>309.20689655172413</v>
      </c>
      <c r="BK290" s="93"/>
      <c r="BL290" s="93"/>
      <c r="BM290" s="93"/>
      <c r="BN290" s="93"/>
      <c r="BO290" s="8">
        <f t="shared" ref="BO290:CD290" si="147">BO288+BO289/5.8</f>
        <v>355.79310344827587</v>
      </c>
      <c r="BP290" s="66">
        <f t="shared" si="147"/>
        <v>372.66429818997847</v>
      </c>
      <c r="BQ290" s="66">
        <f t="shared" si="147"/>
        <v>361.19696022162714</v>
      </c>
      <c r="BR290" s="66">
        <f t="shared" si="147"/>
        <v>362.88227141577056</v>
      </c>
      <c r="BS290" s="66">
        <f t="shared" si="147"/>
        <v>365.7778494829688</v>
      </c>
      <c r="BT290" s="8">
        <f t="shared" si="147"/>
        <v>365.63034482758621</v>
      </c>
      <c r="BU290" s="66">
        <f t="shared" si="147"/>
        <v>386.66474218177598</v>
      </c>
      <c r="BV290" s="66">
        <f t="shared" si="147"/>
        <v>379.23832668200703</v>
      </c>
      <c r="BW290" s="66">
        <f t="shared" si="147"/>
        <v>381.17356205015511</v>
      </c>
      <c r="BX290" s="66">
        <f t="shared" si="147"/>
        <v>384.49854149985504</v>
      </c>
      <c r="BY290" s="8">
        <f t="shared" si="147"/>
        <v>382.89379310344827</v>
      </c>
      <c r="BZ290" s="66">
        <f t="shared" si="147"/>
        <v>379.01934399946725</v>
      </c>
      <c r="CA290" s="66">
        <f t="shared" si="147"/>
        <v>371.7651841756151</v>
      </c>
      <c r="CB290" s="66">
        <f t="shared" si="147"/>
        <v>373.6555317676337</v>
      </c>
      <c r="CC290" s="66">
        <f t="shared" si="147"/>
        <v>376.90338833314604</v>
      </c>
      <c r="CD290" s="8">
        <f t="shared" si="147"/>
        <v>375.33586206896547</v>
      </c>
    </row>
    <row r="291" spans="1:87" hidden="1" outlineLevel="1">
      <c r="A291" s="11"/>
      <c r="B291" s="11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</row>
    <row r="292" spans="1:87" hidden="1" outlineLevel="1">
      <c r="A292" s="39" t="s">
        <v>199</v>
      </c>
      <c r="B292" s="11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</row>
    <row r="293" spans="1:87" hidden="1" outlineLevel="1">
      <c r="A293" s="11"/>
      <c r="B293" s="11" t="s">
        <v>197</v>
      </c>
      <c r="C293" s="72"/>
      <c r="D293" s="72"/>
      <c r="E293" s="72"/>
      <c r="F293" s="104">
        <f>'Key assumptions'!$Q$25</f>
        <v>69.56</v>
      </c>
      <c r="G293" s="104">
        <f>'Key assumptions'!$Q$25</f>
        <v>69.56</v>
      </c>
      <c r="H293" s="93"/>
      <c r="I293" s="93"/>
      <c r="J293" s="93"/>
      <c r="K293" s="93"/>
      <c r="L293" s="104">
        <f>'Key assumptions'!$Q$25</f>
        <v>69.56</v>
      </c>
      <c r="M293" s="93"/>
      <c r="N293" s="93"/>
      <c r="O293" s="93"/>
      <c r="P293" s="93"/>
      <c r="Q293" s="104">
        <f>'Key assumptions'!$Q$25</f>
        <v>69.56</v>
      </c>
      <c r="R293" s="93"/>
      <c r="S293" s="93"/>
      <c r="T293" s="93"/>
      <c r="U293" s="93"/>
      <c r="V293" s="104">
        <f>'Key assumptions'!V25</f>
        <v>91.05</v>
      </c>
      <c r="W293" s="93"/>
      <c r="X293" s="93"/>
      <c r="Y293" s="93"/>
      <c r="Z293" s="93"/>
      <c r="AA293" s="104">
        <f>'Key assumptions'!AA25</f>
        <v>57.29</v>
      </c>
      <c r="AB293" s="93"/>
      <c r="AC293" s="93"/>
      <c r="AD293" s="93"/>
      <c r="AE293" s="93"/>
      <c r="AF293" s="104">
        <f>'Key assumptions'!AF25</f>
        <v>75.23</v>
      </c>
      <c r="AG293" s="93"/>
      <c r="AH293" s="93"/>
      <c r="AI293" s="93"/>
      <c r="AJ293" s="93"/>
      <c r="AK293" s="104">
        <f>'Key assumptions'!AK25</f>
        <v>105.13</v>
      </c>
      <c r="AL293" s="93"/>
      <c r="AM293" s="93"/>
      <c r="AN293" s="93"/>
      <c r="AO293" s="93"/>
      <c r="AP293" s="104">
        <f>'Key assumptions'!AP25</f>
        <v>105.8725</v>
      </c>
      <c r="AQ293" s="93"/>
      <c r="AR293" s="93"/>
      <c r="AS293" s="93"/>
      <c r="AT293" s="93"/>
      <c r="AU293" s="104">
        <f>'Key assumptions'!AU25</f>
        <v>104.2775</v>
      </c>
      <c r="AV293" s="93"/>
      <c r="AW293" s="93"/>
      <c r="AX293" s="93"/>
      <c r="AY293" s="93"/>
      <c r="AZ293" s="104">
        <f>'Key assumptions'!AZ25</f>
        <v>91.702500000000001</v>
      </c>
      <c r="BA293" s="93"/>
      <c r="BB293" s="93"/>
      <c r="BC293" s="93"/>
      <c r="BD293" s="93"/>
      <c r="BE293" s="104">
        <f>'Key assumptions'!BE25</f>
        <v>46.202499999999993</v>
      </c>
      <c r="BF293" s="93"/>
      <c r="BG293" s="93"/>
      <c r="BH293" s="93"/>
      <c r="BI293" s="93"/>
      <c r="BJ293" s="104">
        <f>'Key assumptions'!BJ25</f>
        <v>41.984999999999999</v>
      </c>
      <c r="BK293" s="93"/>
      <c r="BL293" s="93"/>
      <c r="BM293" s="93"/>
      <c r="BN293" s="93"/>
      <c r="BO293" s="104">
        <f>'Key assumptions'!BO25</f>
        <v>51.8825</v>
      </c>
      <c r="BP293" s="114">
        <f>'Key assumptions'!BP25</f>
        <v>62.570938555470903</v>
      </c>
      <c r="BQ293" s="114">
        <f>'Key assumptions'!BQ25</f>
        <v>63.174946220562603</v>
      </c>
      <c r="BR293" s="114">
        <f>'Key assumptions'!BR25</f>
        <v>61.947446772150428</v>
      </c>
      <c r="BS293" s="114">
        <f>'Key assumptions'!BS25</f>
        <v>60.924530565140266</v>
      </c>
      <c r="BT293" s="104">
        <f>'Key assumptions'!BT25</f>
        <v>62.154465528331052</v>
      </c>
      <c r="BU293" s="114">
        <f>'Key assumptions'!BU25</f>
        <v>58.693599027946703</v>
      </c>
      <c r="BV293" s="114">
        <f>'Key assumptions'!BV25</f>
        <v>58.693599027946703</v>
      </c>
      <c r="BW293" s="114">
        <f>'Key assumptions'!BW25</f>
        <v>58.693599027946703</v>
      </c>
      <c r="BX293" s="114">
        <f>'Key assumptions'!BX25</f>
        <v>58.693599027946703</v>
      </c>
      <c r="BY293" s="104">
        <f>'Key assumptions'!BY25</f>
        <v>58.693599027946703</v>
      </c>
      <c r="BZ293" s="114">
        <f>'Key assumptions'!BZ25</f>
        <v>59.073346349255459</v>
      </c>
      <c r="CA293" s="114">
        <f>'Key assumptions'!CA25</f>
        <v>59.455445159519257</v>
      </c>
      <c r="CB293" s="114">
        <f>'Key assumptions'!CB25</f>
        <v>59.839910019736948</v>
      </c>
      <c r="CC293" s="114">
        <f>'Key assumptions'!CC25</f>
        <v>60.226755581072652</v>
      </c>
      <c r="CD293" s="104">
        <f>'Key assumptions'!CD25</f>
        <v>59.648864277396086</v>
      </c>
    </row>
    <row r="294" spans="1:87" hidden="1" outlineLevel="1">
      <c r="A294" s="11"/>
      <c r="B294" s="11" t="s">
        <v>198</v>
      </c>
      <c r="C294" s="72"/>
      <c r="D294" s="72"/>
      <c r="E294" s="72"/>
      <c r="F294" s="104">
        <f>'Key assumptions'!$Q$32</f>
        <v>3.71</v>
      </c>
      <c r="G294" s="104">
        <f>'Key assumptions'!$Q$32</f>
        <v>3.71</v>
      </c>
      <c r="H294" s="93"/>
      <c r="I294" s="93"/>
      <c r="J294" s="93"/>
      <c r="K294" s="93"/>
      <c r="L294" s="104">
        <f>'Key assumptions'!$Q$32</f>
        <v>3.71</v>
      </c>
      <c r="M294" s="93"/>
      <c r="N294" s="93"/>
      <c r="O294" s="93"/>
      <c r="P294" s="93"/>
      <c r="Q294" s="104">
        <f>'Key assumptions'!$Q$32</f>
        <v>3.71</v>
      </c>
      <c r="R294" s="93"/>
      <c r="S294" s="93"/>
      <c r="T294" s="93"/>
      <c r="U294" s="93"/>
      <c r="V294" s="104">
        <f>'Key assumptions'!V32</f>
        <v>5.19</v>
      </c>
      <c r="W294" s="93"/>
      <c r="X294" s="93"/>
      <c r="Y294" s="93"/>
      <c r="Z294" s="93"/>
      <c r="AA294" s="104">
        <f>'Key assumptions'!AA32</f>
        <v>3.14</v>
      </c>
      <c r="AB294" s="93"/>
      <c r="AC294" s="93"/>
      <c r="AD294" s="93"/>
      <c r="AE294" s="93"/>
      <c r="AF294" s="104">
        <f>'Key assumptions'!AF32</f>
        <v>3.86</v>
      </c>
      <c r="AG294" s="93"/>
      <c r="AH294" s="93"/>
      <c r="AI294" s="93"/>
      <c r="AJ294" s="93"/>
      <c r="AK294" s="104">
        <f>'Key assumptions'!AK32</f>
        <v>4.9775</v>
      </c>
      <c r="AL294" s="93"/>
      <c r="AM294" s="93"/>
      <c r="AN294" s="93"/>
      <c r="AO294" s="93"/>
      <c r="AP294" s="104">
        <f>'Key assumptions'!AP32</f>
        <v>5.33</v>
      </c>
      <c r="AQ294" s="93"/>
      <c r="AR294" s="93"/>
      <c r="AS294" s="93"/>
      <c r="AT294" s="93"/>
      <c r="AU294" s="104">
        <f>'Key assumptions'!AU32</f>
        <v>5.9725000000000001</v>
      </c>
      <c r="AV294" s="93"/>
      <c r="AW294" s="93"/>
      <c r="AX294" s="93"/>
      <c r="AY294" s="93"/>
      <c r="AZ294" s="104">
        <f>'Key assumptions'!AZ32</f>
        <v>6.3524999999999991</v>
      </c>
      <c r="BA294" s="93"/>
      <c r="BB294" s="93"/>
      <c r="BC294" s="93"/>
      <c r="BD294" s="93"/>
      <c r="BE294" s="104">
        <f>'Key assumptions'!BE32</f>
        <v>4.2450000000000001</v>
      </c>
      <c r="BF294" s="93"/>
      <c r="BG294" s="93"/>
      <c r="BH294" s="93"/>
      <c r="BI294" s="93"/>
      <c r="BJ294" s="104">
        <f>'Key assumptions'!BJ32</f>
        <v>3.1850000000000001</v>
      </c>
      <c r="BK294" s="93"/>
      <c r="BL294" s="93"/>
      <c r="BM294" s="93"/>
      <c r="BN294" s="93"/>
      <c r="BO294" s="104">
        <f>'Key assumptions'!BO32</f>
        <v>3.4649999999999999</v>
      </c>
      <c r="BP294" s="114">
        <f>'Key assumptions'!BP32</f>
        <v>3.5280681943281262</v>
      </c>
      <c r="BQ294" s="114">
        <f>'Key assumptions'!BQ32</f>
        <v>3.8179688704990125</v>
      </c>
      <c r="BR294" s="114">
        <f>'Key assumptions'!BR32</f>
        <v>3.9407618168367149</v>
      </c>
      <c r="BS294" s="114">
        <f>'Key assumptions'!BS32</f>
        <v>3.928267780961336</v>
      </c>
      <c r="BT294" s="104">
        <f>'Key assumptions'!BT32</f>
        <v>3.8037666656562972</v>
      </c>
      <c r="BU294" s="114">
        <f>'Key assumptions'!BU32</f>
        <v>3.8831721202236427</v>
      </c>
      <c r="BV294" s="114">
        <f>'Key assumptions'!BV32</f>
        <v>3.8179688704990125</v>
      </c>
      <c r="BW294" s="114">
        <f>'Key assumptions'!BW32</f>
        <v>3.7732636483824247</v>
      </c>
      <c r="BX294" s="114">
        <f>'Key assumptions'!BX32</f>
        <v>3.7732636483824247</v>
      </c>
      <c r="BY294" s="104">
        <f>'Key assumptions'!BY32</f>
        <v>3.8119170718718762</v>
      </c>
      <c r="BZ294" s="114">
        <f>'Key assumptions'!BZ32</f>
        <v>3.7732636483824247</v>
      </c>
      <c r="CA294" s="114">
        <f>'Key assumptions'!CA32</f>
        <v>3.7808733343204537</v>
      </c>
      <c r="CB294" s="114">
        <f>'Key assumptions'!CB32</f>
        <v>3.7961398272463005</v>
      </c>
      <c r="CC294" s="114">
        <f>'Key assumptions'!CC32</f>
        <v>3.8115008540568729</v>
      </c>
      <c r="CD294" s="104">
        <f>'Key assumptions'!CD32</f>
        <v>3.7904444160015132</v>
      </c>
    </row>
    <row r="295" spans="1:87" hidden="1" outlineLevel="1">
      <c r="A295" s="11"/>
      <c r="B295" s="39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</row>
    <row r="296" spans="1:87" hidden="1" outlineLevel="1">
      <c r="A296" s="11" t="s">
        <v>200</v>
      </c>
      <c r="B296" s="11"/>
      <c r="C296" s="72"/>
      <c r="D296" s="72"/>
      <c r="E296" s="72"/>
      <c r="F296" s="115">
        <f>SUMPRODUCT(F288:F289,F293:F294)*365/1000</f>
        <v>6717.1132500000012</v>
      </c>
      <c r="G296" s="115">
        <f>SUMPRODUCT(G288:G289,G293:G294)*365/1000</f>
        <v>6147.0398249999998</v>
      </c>
      <c r="H296" s="93"/>
      <c r="I296" s="93"/>
      <c r="J296" s="93"/>
      <c r="K296" s="93"/>
      <c r="L296" s="115">
        <f>SUMPRODUCT(L288:L289,L293:L294)*365/1000</f>
        <v>5737.4422999999997</v>
      </c>
      <c r="M296" s="93"/>
      <c r="N296" s="93"/>
      <c r="O296" s="93"/>
      <c r="P296" s="93"/>
      <c r="Q296" s="115">
        <f>SUMPRODUCT(Q288:Q289,Q293:Q294)*365/1000</f>
        <v>5322.4190500000004</v>
      </c>
      <c r="R296" s="93"/>
      <c r="S296" s="93"/>
      <c r="T296" s="93"/>
      <c r="U296" s="93"/>
      <c r="V296" s="115">
        <f>SUMPRODUCT(V288:V289,V293:V294)*365/1000</f>
        <v>6989.8887000000004</v>
      </c>
      <c r="W296" s="93"/>
      <c r="X296" s="93"/>
      <c r="Y296" s="93"/>
      <c r="Z296" s="93"/>
      <c r="AA296" s="115">
        <f>SUMPRODUCT(AA288:AA289,AA293:AA294)*365/1000</f>
        <v>4131.6430499999997</v>
      </c>
      <c r="AB296" s="93"/>
      <c r="AC296" s="93"/>
      <c r="AD296" s="93"/>
      <c r="AE296" s="93"/>
      <c r="AF296" s="115">
        <f>SUMPRODUCT(AF288:AF289,AF293:AF294)*365/1000</f>
        <v>5067.0249000000003</v>
      </c>
      <c r="AG296" s="93"/>
      <c r="AH296" s="93"/>
      <c r="AI296" s="93"/>
      <c r="AJ296" s="93"/>
      <c r="AK296" s="115">
        <f>SUMPRODUCT(AK288:AK289,AK293:AK294)*365/1000</f>
        <v>5488.0076875000004</v>
      </c>
      <c r="AL296" s="93"/>
      <c r="AM296" s="93"/>
      <c r="AN296" s="93"/>
      <c r="AO296" s="93"/>
      <c r="AP296" s="115">
        <f>SUMPRODUCT(AP288:AP289,AP293:AP294)*365/1000</f>
        <v>5161.6256000000003</v>
      </c>
      <c r="AQ296" s="93"/>
      <c r="AR296" s="93"/>
      <c r="AS296" s="93"/>
      <c r="AT296" s="93"/>
      <c r="AU296" s="115">
        <f>SUMPRODUCT(AU288:AU289,AU293:AU294)*365/1000</f>
        <v>5983.5353375000004</v>
      </c>
      <c r="AV296" s="93"/>
      <c r="AW296" s="93"/>
      <c r="AX296" s="93"/>
      <c r="AY296" s="93"/>
      <c r="AZ296" s="115">
        <f>SUMPRODUCT(AZ288:AZ289,AZ293:AZ294)*365/1000</f>
        <v>5814.9536999999991</v>
      </c>
      <c r="BA296" s="93"/>
      <c r="BB296" s="93"/>
      <c r="BC296" s="93"/>
      <c r="BD296" s="93"/>
      <c r="BE296" s="115">
        <f>SUMPRODUCT(BE288:BE289,BE293:BE294)*365/1000</f>
        <v>3365.8648375000002</v>
      </c>
      <c r="BF296" s="93"/>
      <c r="BG296" s="93"/>
      <c r="BH296" s="93"/>
      <c r="BI296" s="93"/>
      <c r="BJ296" s="115">
        <f>SUMPRODUCT(BJ288:BJ289,BJ293:BJ294)*365/1000</f>
        <v>2239.3461749999997</v>
      </c>
      <c r="BK296" s="93"/>
      <c r="BL296" s="93"/>
      <c r="BM296" s="93"/>
      <c r="BN296" s="93"/>
      <c r="BO296" s="115">
        <f>SUMPRODUCT(BO288:BO289,BO293:BO294)*365/1000</f>
        <v>2865.1240749999997</v>
      </c>
      <c r="BP296" s="65">
        <f>SUMPRODUCT(BP288:BP289,BP293:BP294)*90/1000</f>
        <v>778.10513024339866</v>
      </c>
      <c r="BQ296" s="65">
        <f>SUMPRODUCT(BQ288:BQ289,BQ293:BQ294)*91/1000</f>
        <v>799.62021411751664</v>
      </c>
      <c r="BR296" s="65">
        <f>SUMPRODUCT(BR288:BR289,BR293:BR294)*92/1000</f>
        <v>832.18771469968613</v>
      </c>
      <c r="BS296" s="65">
        <f>SUMPRODUCT(BS288:BS289,BS293:BS294)*92/1000</f>
        <v>834.15730946270412</v>
      </c>
      <c r="BT296" s="115">
        <f>SUM(BP296:BS296)</f>
        <v>3244.0703685233057</v>
      </c>
      <c r="BU296" s="65">
        <f>SUMPRODUCT(BU288:BU289,BU293:BU294)*90/1000</f>
        <v>846.05151608252913</v>
      </c>
      <c r="BV296" s="65">
        <f>SUMPRODUCT(BV288:BV289,BV293:BV294)*91/1000</f>
        <v>827.83849883508333</v>
      </c>
      <c r="BW296" s="65">
        <f>SUMPRODUCT(BW288:BW289,BW293:BW294)*92/1000</f>
        <v>832.24177572956876</v>
      </c>
      <c r="BX296" s="65">
        <f>SUMPRODUCT(BX288:BX289,BX293:BX294)*92/1000</f>
        <v>838.93633418355057</v>
      </c>
      <c r="BY296" s="115">
        <f>SUM(BU296:BX296)</f>
        <v>3345.0681248307319</v>
      </c>
      <c r="BZ296" s="65">
        <f>SUMPRODUCT(BZ288:BZ289,BZ293:BZ294)*90/1000</f>
        <v>806.81173987496663</v>
      </c>
      <c r="CA296" s="65">
        <f>SUMPRODUCT(CA288:CA289,CA293:CA294)*91/1000</f>
        <v>803.37649347780598</v>
      </c>
      <c r="CB296" s="65">
        <f>SUMPRODUCT(CB288:CB289,CB293:CB294)*92/1000</f>
        <v>819.5527211014047</v>
      </c>
      <c r="CC296" s="65">
        <f>SUMPRODUCT(CC288:CC289,CC293:CC294)*92/1000</f>
        <v>829.71433845751085</v>
      </c>
      <c r="CD296" s="115">
        <f>SUM(BZ296:CC296)</f>
        <v>3259.455292911688</v>
      </c>
    </row>
    <row r="297" spans="1:87" hidden="1" outlineLevel="1">
      <c r="A297" s="11" t="s">
        <v>550</v>
      </c>
      <c r="B297" s="11"/>
      <c r="C297" s="72"/>
      <c r="D297" s="72"/>
      <c r="E297" s="72"/>
      <c r="F297" s="72"/>
      <c r="G297" s="116">
        <f>G274/G296-1</f>
        <v>-0.38279235078812912</v>
      </c>
      <c r="H297" s="93"/>
      <c r="I297" s="93"/>
      <c r="J297" s="93"/>
      <c r="K297" s="93"/>
      <c r="L297" s="116">
        <f>L274/L296-1</f>
        <v>-0.25071141891919324</v>
      </c>
      <c r="M297" s="93"/>
      <c r="N297" s="93"/>
      <c r="O297" s="93"/>
      <c r="P297" s="93"/>
      <c r="Q297" s="116">
        <f>Q274/Q296-1</f>
        <v>-0.19792110318709311</v>
      </c>
      <c r="R297" s="93"/>
      <c r="S297" s="93"/>
      <c r="T297" s="93"/>
      <c r="U297" s="93"/>
      <c r="V297" s="116">
        <f>V274/V296-1</f>
        <v>-0.14962880596367722</v>
      </c>
      <c r="W297" s="93"/>
      <c r="X297" s="93"/>
      <c r="Y297" s="93"/>
      <c r="Z297" s="93"/>
      <c r="AA297" s="116">
        <f>AA274/AA296-1</f>
        <v>-0.28987089046813952</v>
      </c>
      <c r="AB297" s="93"/>
      <c r="AC297" s="93"/>
      <c r="AD297" s="93"/>
      <c r="AE297" s="93"/>
      <c r="AF297" s="116">
        <f>AF274/AF296-1</f>
        <v>-0.31517999842471667</v>
      </c>
      <c r="AG297" s="93"/>
      <c r="AH297" s="93"/>
      <c r="AI297" s="93"/>
      <c r="AJ297" s="93"/>
      <c r="AK297" s="116">
        <f>AK274/AK296-1</f>
        <v>-0.33090472734510001</v>
      </c>
      <c r="AL297" s="93"/>
      <c r="AM297" s="93"/>
      <c r="AN297" s="93"/>
      <c r="AO297" s="93"/>
      <c r="AP297" s="116">
        <f>AP274/AP296-1</f>
        <v>-0.41685038139922437</v>
      </c>
      <c r="AQ297" s="93"/>
      <c r="AR297" s="93"/>
      <c r="AS297" s="93"/>
      <c r="AT297" s="93"/>
      <c r="AU297" s="116">
        <f>AU274/AU296-1</f>
        <v>-0.40386413736960747</v>
      </c>
      <c r="AV297" s="93"/>
      <c r="AW297" s="93"/>
      <c r="AX297" s="93"/>
      <c r="AY297" s="93"/>
      <c r="AZ297" s="116">
        <f>AZ274/AZ296-1</f>
        <v>-0.44075221097633155</v>
      </c>
      <c r="BA297" s="93"/>
      <c r="BB297" s="93"/>
      <c r="BC297" s="93"/>
      <c r="BD297" s="93"/>
      <c r="BE297" s="116">
        <f>BE274/BE296-1</f>
        <v>-0.51661754748046984</v>
      </c>
      <c r="BF297" s="93"/>
      <c r="BG297" s="93"/>
      <c r="BH297" s="93"/>
      <c r="BI297" s="93"/>
      <c r="BJ297" s="116">
        <f>BJ274/BJ296-1</f>
        <v>-0.62042492157336948</v>
      </c>
      <c r="BK297" s="93"/>
      <c r="BL297" s="93"/>
      <c r="BM297" s="93"/>
      <c r="BN297" s="93"/>
      <c r="BO297" s="116">
        <f>BO274/BO296-1</f>
        <v>-0.49007443944639639</v>
      </c>
      <c r="BP297" s="117">
        <f>BT297</f>
        <v>-0.5</v>
      </c>
      <c r="BQ297" s="117">
        <f>BT297</f>
        <v>-0.5</v>
      </c>
      <c r="BR297" s="117">
        <f>BT297</f>
        <v>-0.5</v>
      </c>
      <c r="BS297" s="117">
        <f>BT297</f>
        <v>-0.5</v>
      </c>
      <c r="BT297" s="118">
        <v>-0.5</v>
      </c>
      <c r="BU297" s="117">
        <f>BY297</f>
        <v>-0.5</v>
      </c>
      <c r="BV297" s="117">
        <f>BY297</f>
        <v>-0.5</v>
      </c>
      <c r="BW297" s="117">
        <f>BY297</f>
        <v>-0.5</v>
      </c>
      <c r="BX297" s="117">
        <f>BY297</f>
        <v>-0.5</v>
      </c>
      <c r="BY297" s="118">
        <v>-0.5</v>
      </c>
      <c r="BZ297" s="117">
        <f>CD297</f>
        <v>-0.5</v>
      </c>
      <c r="CA297" s="117">
        <f>CD297</f>
        <v>-0.5</v>
      </c>
      <c r="CB297" s="117">
        <f>CD297</f>
        <v>-0.5</v>
      </c>
      <c r="CC297" s="117">
        <f>CD297</f>
        <v>-0.5</v>
      </c>
      <c r="CD297" s="118">
        <v>-0.5</v>
      </c>
    </row>
    <row r="298" spans="1:87" hidden="1" outlineLevel="1">
      <c r="A298" s="11"/>
      <c r="B298" s="11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</row>
    <row r="299" spans="1:87" hidden="1" outlineLevel="1">
      <c r="A299" s="39" t="s">
        <v>3090</v>
      </c>
      <c r="B299" s="11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</row>
    <row r="300" spans="1:87" hidden="1" outlineLevel="1">
      <c r="A300" s="11"/>
      <c r="B300" s="11" t="s">
        <v>1897</v>
      </c>
      <c r="C300" s="72"/>
      <c r="D300" s="72"/>
      <c r="E300" s="72"/>
      <c r="F300" s="72"/>
      <c r="G300" s="119">
        <f>-1000*G276/(G290*365)</f>
        <v>0.27053105796932092</v>
      </c>
      <c r="H300" s="93"/>
      <c r="I300" s="93"/>
      <c r="J300" s="93"/>
      <c r="K300" s="93"/>
      <c r="L300" s="119">
        <f>-1000*L276/(L290*365)</f>
        <v>0.5833325572949164</v>
      </c>
      <c r="M300" s="93"/>
      <c r="N300" s="93"/>
      <c r="O300" s="93"/>
      <c r="P300" s="93"/>
      <c r="Q300" s="119">
        <f>-1000*Q276/(Q290*365)</f>
        <v>0.41166867769181636</v>
      </c>
      <c r="R300" s="93"/>
      <c r="S300" s="93"/>
      <c r="T300" s="93"/>
      <c r="U300" s="93"/>
      <c r="V300" s="119">
        <f>-1000*V276/(V290*365)</f>
        <v>0.16354889830078334</v>
      </c>
      <c r="W300" s="93"/>
      <c r="X300" s="93"/>
      <c r="Y300" s="93"/>
      <c r="Z300" s="93"/>
      <c r="AA300" s="119">
        <f>-1000*AA276/(AA290*365)</f>
        <v>8.9340985080633123E-2</v>
      </c>
      <c r="AB300" s="93"/>
      <c r="AC300" s="93"/>
      <c r="AD300" s="93"/>
      <c r="AE300" s="93"/>
      <c r="AF300" s="119">
        <f>-1000*AF276/(AF290*365)</f>
        <v>5.005379344467905E-2</v>
      </c>
      <c r="AG300" s="93"/>
      <c r="AH300" s="93"/>
      <c r="AI300" s="93"/>
      <c r="AJ300" s="93"/>
      <c r="AK300" s="119">
        <f>-1000*AK276/(AK290*365)</f>
        <v>0.22951650031431323</v>
      </c>
      <c r="AL300" s="93"/>
      <c r="AM300" s="93"/>
      <c r="AN300" s="93"/>
      <c r="AO300" s="93"/>
      <c r="AP300" s="119">
        <f>-1000*AP276/(AP290*365)</f>
        <v>0.84396269587877004</v>
      </c>
      <c r="AQ300" s="93"/>
      <c r="AR300" s="93"/>
      <c r="AS300" s="93"/>
      <c r="AT300" s="93"/>
      <c r="AU300" s="119">
        <f>-1000*AU276/(AU290*365)</f>
        <v>9.7996396602510938</v>
      </c>
      <c r="AV300" s="93"/>
      <c r="AW300" s="93"/>
      <c r="AX300" s="93"/>
      <c r="AY300" s="93"/>
      <c r="AZ300" s="119">
        <f>-1000*AZ276/(AZ290*365)</f>
        <v>3.4803605154318769</v>
      </c>
      <c r="BA300" s="93"/>
      <c r="BB300" s="93"/>
      <c r="BC300" s="93"/>
      <c r="BD300" s="93"/>
      <c r="BE300" s="119">
        <f>-1000*BE276/(BE290*365)</f>
        <v>0.39428381770171722</v>
      </c>
      <c r="BF300" s="93"/>
      <c r="BG300" s="93"/>
      <c r="BH300" s="93"/>
      <c r="BI300" s="93"/>
      <c r="BJ300" s="119">
        <f>-1000*BJ276/(BJ290*365)</f>
        <v>5.9542523499406501</v>
      </c>
      <c r="BK300" s="93"/>
      <c r="BL300" s="93"/>
      <c r="BM300" s="93"/>
      <c r="BN300" s="93"/>
      <c r="BO300" s="119">
        <f>-1000*BO276/(BO290*365)</f>
        <v>0.63912779103946549</v>
      </c>
      <c r="BP300" s="114">
        <f>-1000*BP276/(BP$290*90)</f>
        <v>1.1180750844403573</v>
      </c>
      <c r="BQ300" s="114">
        <f>-1000*BQ276/(BQ$290*91)</f>
        <v>0.73835362990720488</v>
      </c>
      <c r="BR300" s="114">
        <f>-1000*BR276/(BR$290*92)</f>
        <v>0.72693623059133217</v>
      </c>
      <c r="BS300" s="114">
        <f>-1000*BS276/(BS$290*92)</f>
        <v>0.72118164318663458</v>
      </c>
      <c r="BT300" s="119">
        <f>-1000*BT276/(BT290*365)</f>
        <v>0.82654530713146435</v>
      </c>
      <c r="BU300" s="114">
        <f>-1000*BU276/(BU$290*90)</f>
        <v>0.64969193091017485</v>
      </c>
      <c r="BV300" s="114">
        <f>-1000*BV276/(BV$290*91)</f>
        <v>0.65513521042589506</v>
      </c>
      <c r="BW300" s="114">
        <f>-1000*BW276/(BW$290*92)</f>
        <v>0.64472417833078022</v>
      </c>
      <c r="BX300" s="114">
        <f>-1000*BX276/(BX$290*92)</f>
        <v>0.63914887852518842</v>
      </c>
      <c r="BY300" s="119">
        <f>-1000*BY276/(BY290*365)</f>
        <v>0.64710291459536728</v>
      </c>
      <c r="BZ300" s="114">
        <f>-1000*BZ276/(BZ$290*90)</f>
        <v>0.42683250957767788</v>
      </c>
      <c r="CA300" s="114">
        <f>-1000*CA276/(CA$290*91)</f>
        <v>0.43037919313181011</v>
      </c>
      <c r="CB300" s="114">
        <f>-1000*CB276/(CB$290*92)</f>
        <v>0.42354750862790802</v>
      </c>
      <c r="CC300" s="114">
        <f>-1000*CC276/(CC$290*92)</f>
        <v>0.41989770976887625</v>
      </c>
      <c r="CD300" s="119">
        <f>-1000*CD276/(CD290*365)</f>
        <v>0.42511696845610258</v>
      </c>
    </row>
    <row r="301" spans="1:87" hidden="1" outlineLevel="1">
      <c r="A301" s="11"/>
      <c r="B301" s="11" t="s">
        <v>2149</v>
      </c>
      <c r="C301" s="72"/>
      <c r="D301" s="72"/>
      <c r="E301" s="72"/>
      <c r="F301" s="72"/>
      <c r="G301" s="119">
        <f>-1000*G277/(G290*365)</f>
        <v>2.2222057869558878</v>
      </c>
      <c r="H301" s="93"/>
      <c r="I301" s="93"/>
      <c r="J301" s="93"/>
      <c r="K301" s="93"/>
      <c r="L301" s="119">
        <f>-1000*L277/(L290*365)</f>
        <v>2.2037007720030175</v>
      </c>
      <c r="M301" s="93"/>
      <c r="N301" s="93"/>
      <c r="O301" s="93"/>
      <c r="P301" s="93"/>
      <c r="Q301" s="119">
        <f>-1000*Q277/(Q290*365)</f>
        <v>2.6892122711556312</v>
      </c>
      <c r="R301" s="93"/>
      <c r="S301" s="93"/>
      <c r="T301" s="93"/>
      <c r="U301" s="93"/>
      <c r="V301" s="119">
        <f>-1000*V277/(V290*365)</f>
        <v>2.3387492457012016</v>
      </c>
      <c r="W301" s="93"/>
      <c r="X301" s="93"/>
      <c r="Y301" s="93"/>
      <c r="Z301" s="93"/>
      <c r="AA301" s="119">
        <f>-1000*AA277/(AA290*365)</f>
        <v>2.2056055691781302</v>
      </c>
      <c r="AB301" s="93"/>
      <c r="AC301" s="93"/>
      <c r="AD301" s="93"/>
      <c r="AE301" s="93"/>
      <c r="AF301" s="119">
        <f>-1000*AF277/(AF290*365)</f>
        <v>2.4748820092091308</v>
      </c>
      <c r="AG301" s="93"/>
      <c r="AH301" s="93"/>
      <c r="AI301" s="93"/>
      <c r="AJ301" s="93"/>
      <c r="AK301" s="119">
        <f>-1000*AK277/(AK290*365)</f>
        <v>3.2984799902314159</v>
      </c>
      <c r="AL301" s="93"/>
      <c r="AM301" s="93"/>
      <c r="AN301" s="93"/>
      <c r="AO301" s="93"/>
      <c r="AP301" s="119">
        <f>-1000*AP277/(AP290*365)</f>
        <v>5.7108142421130106</v>
      </c>
      <c r="AQ301" s="93"/>
      <c r="AR301" s="93"/>
      <c r="AS301" s="93"/>
      <c r="AT301" s="93"/>
      <c r="AU301" s="119">
        <f>-1000*AU277/(AU290*365)</f>
        <v>5.9182657934624077</v>
      </c>
      <c r="AV301" s="93"/>
      <c r="AW301" s="93"/>
      <c r="AX301" s="93"/>
      <c r="AY301" s="93"/>
      <c r="AZ301" s="119">
        <f>-1000*AZ277/(AZ290*365)</f>
        <v>5.42853044538478</v>
      </c>
      <c r="BA301" s="93"/>
      <c r="BB301" s="93"/>
      <c r="BC301" s="93"/>
      <c r="BD301" s="93"/>
      <c r="BE301" s="119">
        <f>-1000*BE277/(BE290*365)</f>
        <v>5.4349318400844551</v>
      </c>
      <c r="BF301" s="93"/>
      <c r="BG301" s="93"/>
      <c r="BH301" s="93"/>
      <c r="BI301" s="93"/>
      <c r="BJ301" s="119">
        <f>-1000*BJ277/(BJ290*365)</f>
        <v>4.2175954145412939</v>
      </c>
      <c r="BK301" s="93"/>
      <c r="BL301" s="93"/>
      <c r="BM301" s="93"/>
      <c r="BN301" s="93"/>
      <c r="BO301" s="119">
        <f>-1000*BO277/(BO290*365)</f>
        <v>4.4122918586218525</v>
      </c>
      <c r="BP301" s="109">
        <f>BT301</f>
        <v>4.1916772656907595</v>
      </c>
      <c r="BQ301" s="109">
        <f>BT301</f>
        <v>4.1916772656907595</v>
      </c>
      <c r="BR301" s="109">
        <f>BT301</f>
        <v>4.1916772656907595</v>
      </c>
      <c r="BS301" s="109">
        <f>BT301</f>
        <v>4.1916772656907595</v>
      </c>
      <c r="BT301" s="120">
        <f>BO301*(1-5%)</f>
        <v>4.1916772656907595</v>
      </c>
      <c r="BU301" s="109">
        <f>BY301</f>
        <v>4.2964691973330282</v>
      </c>
      <c r="BV301" s="109">
        <f>BY301</f>
        <v>4.2964691973330282</v>
      </c>
      <c r="BW301" s="109">
        <f>BY301</f>
        <v>4.2964691973330282</v>
      </c>
      <c r="BX301" s="109">
        <f>BY301</f>
        <v>4.2964691973330282</v>
      </c>
      <c r="BY301" s="120">
        <f>BT301*(1+2.5%)</f>
        <v>4.2964691973330282</v>
      </c>
      <c r="BZ301" s="109">
        <f>CD301</f>
        <v>4.4038809272663535</v>
      </c>
      <c r="CA301" s="109">
        <f>CD301</f>
        <v>4.4038809272663535</v>
      </c>
      <c r="CB301" s="109">
        <f>CD301</f>
        <v>4.4038809272663535</v>
      </c>
      <c r="CC301" s="109">
        <f>CD301</f>
        <v>4.4038809272663535</v>
      </c>
      <c r="CD301" s="120">
        <f>BY301*(1+2.5%)</f>
        <v>4.4038809272663535</v>
      </c>
    </row>
    <row r="302" spans="1:87" hidden="1" outlineLevel="1">
      <c r="A302" s="11"/>
      <c r="B302" s="11" t="s">
        <v>2150</v>
      </c>
      <c r="C302" s="72"/>
      <c r="D302" s="72"/>
      <c r="E302" s="72"/>
      <c r="F302" s="72"/>
      <c r="G302" s="119">
        <f>-1000*G278/(G290*365)</f>
        <v>1.5957328789310896</v>
      </c>
      <c r="H302" s="93"/>
      <c r="I302" s="93"/>
      <c r="J302" s="93"/>
      <c r="K302" s="93"/>
      <c r="L302" s="119">
        <f>-1000*L278/(L290*365)</f>
        <v>1.5879608504139389</v>
      </c>
      <c r="M302" s="93"/>
      <c r="N302" s="93"/>
      <c r="O302" s="93"/>
      <c r="P302" s="93"/>
      <c r="Q302" s="119">
        <f>-1000*Q278/(Q290*365)</f>
        <v>1.4542062380801823</v>
      </c>
      <c r="R302" s="93"/>
      <c r="S302" s="93"/>
      <c r="T302" s="93"/>
      <c r="U302" s="93"/>
      <c r="V302" s="119">
        <f>-1000*V278/(V290*365)</f>
        <v>1.9516835197226812</v>
      </c>
      <c r="W302" s="93"/>
      <c r="X302" s="93"/>
      <c r="Y302" s="93"/>
      <c r="Z302" s="93"/>
      <c r="AA302" s="119">
        <f>-1000*AA278/(AA290*365)</f>
        <v>1.2284385448587054</v>
      </c>
      <c r="AB302" s="93"/>
      <c r="AC302" s="93"/>
      <c r="AD302" s="93"/>
      <c r="AE302" s="93"/>
      <c r="AF302" s="119">
        <f>-1000*AF278/(AF290*365)</f>
        <v>1.3848216186361204</v>
      </c>
      <c r="AG302" s="93"/>
      <c r="AH302" s="93"/>
      <c r="AI302" s="93"/>
      <c r="AJ302" s="93"/>
      <c r="AK302" s="119">
        <f>-1000*AK278/(AK290*365)</f>
        <v>1.8230167739251164</v>
      </c>
      <c r="AL302" s="93"/>
      <c r="AM302" s="93"/>
      <c r="AN302" s="93"/>
      <c r="AO302" s="93"/>
      <c r="AP302" s="119">
        <f>-1000*AP278/(AP290*365)</f>
        <v>1.1393496394363396</v>
      </c>
      <c r="AQ302" s="93"/>
      <c r="AR302" s="93"/>
      <c r="AS302" s="93"/>
      <c r="AT302" s="93"/>
      <c r="AU302" s="119">
        <f>-1000*AU278/(AU290*365)</f>
        <v>1.2208081905796895</v>
      </c>
      <c r="AV302" s="93"/>
      <c r="AW302" s="93"/>
      <c r="AX302" s="93"/>
      <c r="AY302" s="93"/>
      <c r="AZ302" s="119">
        <f>-1000*AZ278/(AZ290*365)</f>
        <v>1.2132730880489611</v>
      </c>
      <c r="BA302" s="93"/>
      <c r="BB302" s="93"/>
      <c r="BC302" s="93"/>
      <c r="BD302" s="93"/>
      <c r="BE302" s="119">
        <f>-1000*BE278/(BE290*365)</f>
        <v>1.6544458232974018</v>
      </c>
      <c r="BF302" s="93"/>
      <c r="BG302" s="93"/>
      <c r="BH302" s="93"/>
      <c r="BI302" s="93"/>
      <c r="BJ302" s="119">
        <f>-1000*BJ278/(BJ290*365)</f>
        <v>0.33669879359783439</v>
      </c>
      <c r="BK302" s="93"/>
      <c r="BL302" s="93"/>
      <c r="BM302" s="93"/>
      <c r="BN302" s="93"/>
      <c r="BO302" s="119">
        <f>-1000*BO278/(BO290*365)</f>
        <v>0.66222879553486791</v>
      </c>
      <c r="BP302" s="114">
        <f>-1000*BP278/(BP$290*90)</f>
        <v>0.68280425727794869</v>
      </c>
      <c r="BQ302" s="114">
        <f>-1000*BQ278/(BQ$290*91)</f>
        <v>0.71600577477249805</v>
      </c>
      <c r="BR302" s="114">
        <f>-1000*BR278/(BR$290*92)</f>
        <v>0.73364499851555165</v>
      </c>
      <c r="BS302" s="114">
        <f>-1000*BS278/(BS$290*92)</f>
        <v>0.72955992463481634</v>
      </c>
      <c r="BT302" s="119">
        <f>-1000*BT278/(BT290*365)</f>
        <v>0.71544031549160481</v>
      </c>
      <c r="BU302" s="114">
        <f>-1000*BU278/(BU$290*90)</f>
        <v>0.60779865445409964</v>
      </c>
      <c r="BV302" s="114">
        <f>-1000*BV278/(BV$290*91)</f>
        <v>0.59969719044596148</v>
      </c>
      <c r="BW302" s="114">
        <f>-1000*BW278/(BW$290*92)</f>
        <v>0.59330624934185505</v>
      </c>
      <c r="BX302" s="114">
        <f>-1000*BX278/(BX$290*92)</f>
        <v>0.5929068782729523</v>
      </c>
      <c r="BY302" s="119">
        <f>-1000*BY278/(BY290*365)</f>
        <v>0.59837547448436101</v>
      </c>
      <c r="BZ302" s="114">
        <f>-1000*BZ278/(BZ$290*90)</f>
        <v>0.5913006175954062</v>
      </c>
      <c r="CA302" s="114">
        <f>-1000*CA278/(CA$290*91)</f>
        <v>0.59367535550144401</v>
      </c>
      <c r="CB302" s="114">
        <f>-1000*CB278/(CB$290*92)</f>
        <v>0.5960156476849634</v>
      </c>
      <c r="CC302" s="114">
        <f>-1000*CC278/(CC$290*92)</f>
        <v>0.59820595892978545</v>
      </c>
      <c r="CD302" s="119">
        <f>-1000*CD278/(CD290*365)</f>
        <v>0.59480157664011613</v>
      </c>
    </row>
    <row r="303" spans="1:87" hidden="1" outlineLevel="1">
      <c r="A303" s="11"/>
      <c r="B303" s="11" t="s">
        <v>2158</v>
      </c>
      <c r="C303" s="72"/>
      <c r="D303" s="72"/>
      <c r="E303" s="72"/>
      <c r="F303" s="72"/>
      <c r="G303" s="119">
        <f>-1000*G279/(G290*365)</f>
        <v>1.3211981900827301</v>
      </c>
      <c r="H303" s="93"/>
      <c r="I303" s="93"/>
      <c r="J303" s="93"/>
      <c r="K303" s="93"/>
      <c r="L303" s="119">
        <f>-1000*L279/(L290*365)</f>
        <v>1.0154307478837432</v>
      </c>
      <c r="M303" s="93"/>
      <c r="N303" s="93"/>
      <c r="O303" s="93"/>
      <c r="P303" s="93"/>
      <c r="Q303" s="119">
        <f>-1000*Q279/(Q290*365)</f>
        <v>0.84472274123775304</v>
      </c>
      <c r="R303" s="93"/>
      <c r="S303" s="93"/>
      <c r="T303" s="93"/>
      <c r="U303" s="93"/>
      <c r="V303" s="119">
        <f>-1000*V279/(V290*365)</f>
        <v>1.0794227287851701</v>
      </c>
      <c r="W303" s="93"/>
      <c r="X303" s="93"/>
      <c r="Y303" s="93"/>
      <c r="Z303" s="93"/>
      <c r="AA303" s="119">
        <f>-1000*AA279/(AA290*365)</f>
        <v>1.0274213284272808</v>
      </c>
      <c r="AB303" s="93"/>
      <c r="AC303" s="93"/>
      <c r="AD303" s="93"/>
      <c r="AE303" s="93"/>
      <c r="AF303" s="119">
        <f>-1000*AF279/(AF290*365)</f>
        <v>1.1623603144375467</v>
      </c>
      <c r="AG303" s="93"/>
      <c r="AH303" s="93"/>
      <c r="AI303" s="93"/>
      <c r="AJ303" s="93"/>
      <c r="AK303" s="119">
        <f>-1000*AK279/(AK290*365)</f>
        <v>6.131369365539511</v>
      </c>
      <c r="AL303" s="93"/>
      <c r="AM303" s="93"/>
      <c r="AN303" s="93"/>
      <c r="AO303" s="93"/>
      <c r="AP303" s="119">
        <f>-1000*AP279/(AP290*365)</f>
        <v>0.7665994487565494</v>
      </c>
      <c r="AQ303" s="93"/>
      <c r="AR303" s="93"/>
      <c r="AS303" s="93"/>
      <c r="AT303" s="93"/>
      <c r="AU303" s="119">
        <f>-1000*AU279/(AU290*365)</f>
        <v>2.1364143335144563</v>
      </c>
      <c r="AV303" s="93"/>
      <c r="AW303" s="93"/>
      <c r="AX303" s="93"/>
      <c r="AY303" s="93"/>
      <c r="AZ303" s="119">
        <f>-1000*AZ279/(AZ290*365)</f>
        <v>1.9689688971765997</v>
      </c>
      <c r="BA303" s="93"/>
      <c r="BB303" s="93"/>
      <c r="BC303" s="93"/>
      <c r="BD303" s="93"/>
      <c r="BE303" s="119">
        <f>-1000*BE279/(BE290*365)</f>
        <v>1.0823477348674591</v>
      </c>
      <c r="BF303" s="93"/>
      <c r="BG303" s="93"/>
      <c r="BH303" s="93"/>
      <c r="BI303" s="93"/>
      <c r="BJ303" s="119">
        <f>-1000*BJ279/(BJ290*365)</f>
        <v>1.0189568753618672</v>
      </c>
      <c r="BK303" s="93"/>
      <c r="BL303" s="93"/>
      <c r="BM303" s="93"/>
      <c r="BN303" s="93"/>
      <c r="BO303" s="119">
        <f>-1000*BO279/(BO290*365)</f>
        <v>0.54672377305785602</v>
      </c>
      <c r="BP303" s="114">
        <f>-1000*BP279/(BP$290*90)</f>
        <v>0.50276109630334731</v>
      </c>
      <c r="BQ303" s="114">
        <f>-1000*BQ279/(BQ$290*91)</f>
        <v>0.51302258382378985</v>
      </c>
      <c r="BR303" s="114">
        <f>-1000*BR279/(BR$290*92)</f>
        <v>0.50508955084294971</v>
      </c>
      <c r="BS303" s="114">
        <f>-1000*BS279/(BS$290*92)</f>
        <v>0.50109115064605636</v>
      </c>
      <c r="BT303" s="104">
        <f>-1000*BT279/(BT290*365)</f>
        <v>0.50541352259776318</v>
      </c>
      <c r="BU303" s="114">
        <f>-1000*BU279/(BU$290*90)</f>
        <v>0.48455700939764057</v>
      </c>
      <c r="BV303" s="114">
        <f>-1000*BV279/(BV$290*91)</f>
        <v>0.48861674774125485</v>
      </c>
      <c r="BW303" s="114">
        <f>-1000*BW279/(BW$290*92)</f>
        <v>0.48085193131559251</v>
      </c>
      <c r="BX303" s="114">
        <f>-1000*BX279/(BX$290*92)</f>
        <v>0.47669372883259675</v>
      </c>
      <c r="BY303" s="104">
        <f>-1000*BY279/(BY290*365)</f>
        <v>0.48262605421242327</v>
      </c>
      <c r="BZ303" s="114">
        <f>-1000*BZ279/(BZ$290*90)</f>
        <v>0.49433126323857091</v>
      </c>
      <c r="CA303" s="114">
        <f>-1000*CA279/(CA$290*91)</f>
        <v>0.498438814847881</v>
      </c>
      <c r="CB303" s="114">
        <f>-1000*CB279/(CB$290*92)</f>
        <v>0.49052677638997938</v>
      </c>
      <c r="CC303" s="114">
        <f>-1000*CC279/(CC$290*92)</f>
        <v>0.48629980295176328</v>
      </c>
      <c r="CD303" s="104">
        <f>-1000*CD279/(CD290*365)</f>
        <v>0.49234442861202121</v>
      </c>
      <c r="CG303" s="364"/>
      <c r="CH303" s="364" t="s">
        <v>3693</v>
      </c>
      <c r="CI303" s="364" t="s">
        <v>3694</v>
      </c>
    </row>
    <row r="304" spans="1:87" hidden="1" outlineLevel="1">
      <c r="A304" s="11"/>
      <c r="B304" s="11" t="s">
        <v>2154</v>
      </c>
      <c r="C304" s="72"/>
      <c r="D304" s="72"/>
      <c r="E304" s="72"/>
      <c r="F304" s="72"/>
      <c r="G304" s="119">
        <f>-1000*G280/(G290*365)</f>
        <v>2.7968221426426623</v>
      </c>
      <c r="H304" s="93"/>
      <c r="I304" s="93"/>
      <c r="J304" s="93"/>
      <c r="K304" s="93"/>
      <c r="L304" s="119">
        <f>-1000*L280/(L290*365)</f>
        <v>2.7492247376214114</v>
      </c>
      <c r="M304" s="93"/>
      <c r="N304" s="93"/>
      <c r="O304" s="93"/>
      <c r="P304" s="93"/>
      <c r="Q304" s="119">
        <f>-1000*Q280/(Q290*365)</f>
        <v>3.4911642406851437</v>
      </c>
      <c r="R304" s="93"/>
      <c r="S304" s="93"/>
      <c r="T304" s="93"/>
      <c r="U304" s="93"/>
      <c r="V304" s="119">
        <f>-1000*V280/(V290*365)</f>
        <v>3.9796898586523946</v>
      </c>
      <c r="W304" s="93"/>
      <c r="X304" s="93"/>
      <c r="Y304" s="93"/>
      <c r="Z304" s="93"/>
      <c r="AA304" s="119">
        <f>-1000*AA280/(AA290*365)</f>
        <v>3.8919166625750803</v>
      </c>
      <c r="AB304" s="93"/>
      <c r="AC304" s="93"/>
      <c r="AD304" s="93"/>
      <c r="AE304" s="93"/>
      <c r="AF304" s="119">
        <f>-1000*AF280/(AF290*365)</f>
        <v>3.1978812478544949</v>
      </c>
      <c r="AG304" s="93"/>
      <c r="AH304" s="93"/>
      <c r="AI304" s="93"/>
      <c r="AJ304" s="93"/>
      <c r="AK304" s="119">
        <f>-1000*AK280/(AK290*365)</f>
        <v>3.4296322761253091</v>
      </c>
      <c r="AL304" s="93"/>
      <c r="AM304" s="93"/>
      <c r="AN304" s="93"/>
      <c r="AO304" s="93"/>
      <c r="AP304" s="119">
        <f>-1000*AP280/(AP290*365)</f>
        <v>4.2620116141877888</v>
      </c>
      <c r="AQ304" s="93"/>
      <c r="AR304" s="93"/>
      <c r="AS304" s="93"/>
      <c r="AT304" s="93"/>
      <c r="AU304" s="119">
        <f>-1000*AU280/(AU290*365)</f>
        <v>3.708868361598078</v>
      </c>
      <c r="AV304" s="93"/>
      <c r="AW304" s="93"/>
      <c r="AX304" s="93"/>
      <c r="AY304" s="93"/>
      <c r="AZ304" s="119">
        <f>-1000*AZ280/(AZ290*365)</f>
        <v>4.7005665925554032</v>
      </c>
      <c r="BA304" s="93"/>
      <c r="BB304" s="93"/>
      <c r="BC304" s="93"/>
      <c r="BD304" s="93"/>
      <c r="BE304" s="119">
        <f>-1000*BE280/(BE290*365)</f>
        <v>5.2030001826128567</v>
      </c>
      <c r="BF304" s="93"/>
      <c r="BG304" s="93"/>
      <c r="BH304" s="93"/>
      <c r="BI304" s="93"/>
      <c r="BJ304" s="119">
        <f>-1000*BJ280/(BJ290*365)</f>
        <v>5.2365522899031616</v>
      </c>
      <c r="BK304" s="93"/>
      <c r="BL304" s="93"/>
      <c r="BM304" s="93"/>
      <c r="BN304" s="93"/>
      <c r="BO304" s="119">
        <f>-1000*BO280/(BO290*365)</f>
        <v>5.7136484451961858</v>
      </c>
      <c r="BP304" s="109">
        <f>BT304</f>
        <v>5.2373868596772901</v>
      </c>
      <c r="BQ304" s="109">
        <f>BT304</f>
        <v>5.2373868596772901</v>
      </c>
      <c r="BR304" s="109">
        <f>BT304</f>
        <v>5.2373868596772901</v>
      </c>
      <c r="BS304" s="109">
        <f>BT304</f>
        <v>5.2373868596772901</v>
      </c>
      <c r="BT304" s="120">
        <f>BT308</f>
        <v>5.2373868596772901</v>
      </c>
      <c r="BU304" s="109">
        <f>BY304</f>
        <v>5.2949319621759345</v>
      </c>
      <c r="BV304" s="109">
        <f>BY304</f>
        <v>5.2949319621759345</v>
      </c>
      <c r="BW304" s="109">
        <f>BY304</f>
        <v>5.2949319621759345</v>
      </c>
      <c r="BX304" s="109">
        <f>BY304</f>
        <v>5.2949319621759345</v>
      </c>
      <c r="BY304" s="120">
        <f>BY308</f>
        <v>5.2949319621759345</v>
      </c>
      <c r="BZ304" s="109">
        <f>CD304</f>
        <v>5.3524770646745798</v>
      </c>
      <c r="CA304" s="109">
        <f>CD304</f>
        <v>5.3524770646745798</v>
      </c>
      <c r="CB304" s="109">
        <f>CD304</f>
        <v>5.3524770646745798</v>
      </c>
      <c r="CC304" s="109">
        <f>CD304</f>
        <v>5.3524770646745798</v>
      </c>
      <c r="CD304" s="120">
        <f>CD308</f>
        <v>5.3524770646745798</v>
      </c>
      <c r="CG304" s="468">
        <v>2005</v>
      </c>
      <c r="CH304" s="627">
        <f>INDEX(282:282,MATCH(CG304,271:271,0))</f>
        <v>2460.1666666666665</v>
      </c>
      <c r="CI304" s="627">
        <f>INDEX(284:284,MATCH(CG304,271:271,0))</f>
        <v>-1200.1666666666667</v>
      </c>
    </row>
    <row r="305" spans="1:103" hidden="1" outlineLevel="1">
      <c r="A305" s="11"/>
      <c r="B305" s="4" t="s">
        <v>930</v>
      </c>
      <c r="C305" s="72"/>
      <c r="D305" s="72"/>
      <c r="E305" s="72"/>
      <c r="F305" s="72"/>
      <c r="G305" s="119">
        <f>1000*G281/(G290*365)</f>
        <v>0.57766674111842309</v>
      </c>
      <c r="H305" s="93"/>
      <c r="I305" s="93"/>
      <c r="J305" s="93"/>
      <c r="K305" s="93"/>
      <c r="L305" s="119">
        <f>1000*L281/(L290*365)</f>
        <v>-0.22685155005913413</v>
      </c>
      <c r="M305" s="93"/>
      <c r="N305" s="93"/>
      <c r="O305" s="93"/>
      <c r="P305" s="93"/>
      <c r="Q305" s="119">
        <f>1000*Q281/(Q290*365)</f>
        <v>2.6731732317650411E-2</v>
      </c>
      <c r="R305" s="93"/>
      <c r="S305" s="93"/>
      <c r="T305" s="93"/>
      <c r="U305" s="93"/>
      <c r="V305" s="119">
        <f>1000*V281/(V290*365)</f>
        <v>-2.1806519773437779E-2</v>
      </c>
      <c r="W305" s="93"/>
      <c r="X305" s="93"/>
      <c r="Y305" s="93"/>
      <c r="Z305" s="93"/>
      <c r="AA305" s="119">
        <f>1000*AA281/(AA290*365)</f>
        <v>6.142192724293527E-2</v>
      </c>
      <c r="AB305" s="93"/>
      <c r="AC305" s="93"/>
      <c r="AD305" s="93"/>
      <c r="AE305" s="93"/>
      <c r="AF305" s="119">
        <f>1000*AF281/(AF290*365)</f>
        <v>1.6684597814893017E-2</v>
      </c>
      <c r="AG305" s="93"/>
      <c r="AH305" s="93"/>
      <c r="AI305" s="93"/>
      <c r="AJ305" s="93"/>
      <c r="AK305" s="119">
        <f>1000*AK281/(AK290*365)</f>
        <v>7.1150115097437103</v>
      </c>
      <c r="AL305" s="93"/>
      <c r="AM305" s="93"/>
      <c r="AN305" s="93"/>
      <c r="AO305" s="93"/>
      <c r="AP305" s="119">
        <f>1000*AP281/(AP290*365)</f>
        <v>-4.2198134793938503E-2</v>
      </c>
      <c r="AQ305" s="93"/>
      <c r="AR305" s="93"/>
      <c r="AS305" s="93"/>
      <c r="AT305" s="93"/>
      <c r="AU305" s="119">
        <f>1000*AU281/(AU290*365)</f>
        <v>-0.8558926988303257</v>
      </c>
      <c r="AV305" s="93"/>
      <c r="AW305" s="93"/>
      <c r="AX305" s="93"/>
      <c r="AY305" s="93"/>
      <c r="AZ305" s="119">
        <f>1000*AZ281/(AZ290*365)</f>
        <v>-7.6262879820220411E-2</v>
      </c>
      <c r="BA305" s="93"/>
      <c r="BB305" s="93"/>
      <c r="BC305" s="93"/>
      <c r="BD305" s="93"/>
      <c r="BE305" s="119">
        <f>1000*BE281/(BE290*365)</f>
        <v>-0.78083658015438118</v>
      </c>
      <c r="BF305" s="93"/>
      <c r="BG305" s="93"/>
      <c r="BH305" s="93"/>
      <c r="BI305" s="93"/>
      <c r="BJ305" s="119">
        <f>1000*BJ281/(BJ290*365)</f>
        <v>0.6822580817640328</v>
      </c>
      <c r="BK305" s="93"/>
      <c r="BL305" s="93"/>
      <c r="BM305" s="93"/>
      <c r="BN305" s="93"/>
      <c r="BO305" s="119">
        <f>1000*BO281/(BO290*365)</f>
        <v>0.23871037978582446</v>
      </c>
      <c r="BP305" s="109">
        <f>-1000*BP281/(BP$290*90)</f>
        <v>0</v>
      </c>
      <c r="BQ305" s="109">
        <f>-1000*BQ281/(BQ$290*91)</f>
        <v>0</v>
      </c>
      <c r="BR305" s="109">
        <f>-1000*BR281/(BR$290*92)</f>
        <v>0</v>
      </c>
      <c r="BS305" s="109">
        <f>-1000*BS281/(BS$290*92)</f>
        <v>0</v>
      </c>
      <c r="BT305" s="104">
        <f>-1000*BT281/(BT290*365)</f>
        <v>0</v>
      </c>
      <c r="BU305" s="109">
        <f>-1000*BU281/(BU$290*90)</f>
        <v>0</v>
      </c>
      <c r="BV305" s="109">
        <f>-1000*BV281/(BV$290*91)</f>
        <v>0</v>
      </c>
      <c r="BW305" s="109">
        <f>-1000*BW281/(BW$290*92)</f>
        <v>0</v>
      </c>
      <c r="BX305" s="109">
        <f>-1000*BX281/(BX$290*92)</f>
        <v>0</v>
      </c>
      <c r="BY305" s="104">
        <f>-1000*BY281/(BY290*365)</f>
        <v>0</v>
      </c>
      <c r="BZ305" s="109">
        <f>-1000*BZ281/(BZ$290*90)</f>
        <v>0</v>
      </c>
      <c r="CA305" s="109">
        <f>-1000*CA281/(CA$290*91)</f>
        <v>0</v>
      </c>
      <c r="CB305" s="109">
        <f>-1000*CB281/(CB$290*92)</f>
        <v>0</v>
      </c>
      <c r="CC305" s="109">
        <f>-1000*CC281/(CC$290*92)</f>
        <v>0</v>
      </c>
      <c r="CD305" s="104">
        <f>-1000*CD281/(CD290*365)</f>
        <v>0</v>
      </c>
      <c r="CG305" s="468">
        <v>2006</v>
      </c>
      <c r="CH305" s="627">
        <f>INDEX(282:282,MATCH(CG305,271:271,0))</f>
        <v>2750</v>
      </c>
      <c r="CI305" s="627">
        <f>INDEX(284:284,MATCH(CG305,271:271,0))</f>
        <v>-1356</v>
      </c>
    </row>
    <row r="306" spans="1:103" s="391" customFormat="1" hidden="1" outlineLevel="1">
      <c r="A306" s="22"/>
      <c r="B306" s="60" t="s">
        <v>646</v>
      </c>
      <c r="C306" s="173"/>
      <c r="D306" s="158"/>
      <c r="E306" s="158"/>
      <c r="F306" s="158"/>
      <c r="G306" s="158"/>
      <c r="H306" s="173"/>
      <c r="I306" s="173"/>
      <c r="J306" s="173"/>
      <c r="K306" s="173"/>
      <c r="L306" s="158">
        <f>1000*(L274+L276+L277+L279+L278+L280)/(L290*365)</f>
        <v>15.08022685155006</v>
      </c>
      <c r="M306" s="173"/>
      <c r="N306" s="173"/>
      <c r="O306" s="173"/>
      <c r="P306" s="173"/>
      <c r="Q306" s="158">
        <f>1000*(Q274+Q276+Q277+Q279+Q278+Q280)/(Q290*365)</f>
        <v>13.932578883959394</v>
      </c>
      <c r="R306" s="173"/>
      <c r="S306" s="173"/>
      <c r="T306" s="173"/>
      <c r="U306" s="173"/>
      <c r="V306" s="158">
        <f>1000*(V274+V276+V277+V279+V278+V280)/(V290*365)</f>
        <v>22.891394132166308</v>
      </c>
      <c r="W306" s="173"/>
      <c r="X306" s="173"/>
      <c r="Y306" s="173"/>
      <c r="Z306" s="173"/>
      <c r="AA306" s="158">
        <f>1000*(AA274+AA276+AA277+AA279+AA278+AA280)/(AA290*365)</f>
        <v>7.9401800490412686</v>
      </c>
      <c r="AB306" s="173"/>
      <c r="AC306" s="173"/>
      <c r="AD306" s="173"/>
      <c r="AE306" s="173"/>
      <c r="AF306" s="158">
        <f>1000*(AF274+AF276+AF277+AF279+AF278+AF280)/(AF290*365)</f>
        <v>11.028519155644284</v>
      </c>
      <c r="AG306" s="173"/>
      <c r="AH306" s="173"/>
      <c r="AI306" s="173"/>
      <c r="AJ306" s="173"/>
      <c r="AK306" s="158">
        <f>1000*(AK274+AK276+AK277+AK279+AK278+AK280)/(AK290*365)</f>
        <v>9.1675447839831392</v>
      </c>
      <c r="AL306" s="173"/>
      <c r="AM306" s="173"/>
      <c r="AN306" s="173"/>
      <c r="AO306" s="173"/>
      <c r="AP306" s="158">
        <f>1000*(AP274+AP276+AP277+AP279+AP278+AP280)/(AP290*365)</f>
        <v>8.4466599812533563</v>
      </c>
      <c r="AQ306" s="93"/>
      <c r="AR306" s="93"/>
      <c r="AS306" s="93"/>
      <c r="AT306" s="93"/>
      <c r="AU306" s="158">
        <f>1000*(AU274+AU276+AU277+AU279+AU278+AU280)/(AU290*365)</f>
        <v>0.88243200732118854</v>
      </c>
      <c r="AV306" s="93"/>
      <c r="AW306" s="93"/>
      <c r="AX306" s="93"/>
      <c r="AY306" s="93"/>
      <c r="AZ306" s="158">
        <f>1000*(AZ274+AZ276+AZ277+AZ279+AZ278+AZ280)/(AZ290*365)</f>
        <v>5.754380931889358</v>
      </c>
      <c r="BA306" s="93"/>
      <c r="BB306" s="93"/>
      <c r="BC306" s="93"/>
      <c r="BD306" s="93"/>
      <c r="BE306" s="158">
        <f>1000*(BE274+BE276+BE277+BE279+BE278+BE280)/(BE290*365)</f>
        <v>-1.190582508354205</v>
      </c>
      <c r="BF306" s="93"/>
      <c r="BG306" s="93"/>
      <c r="BH306" s="93"/>
      <c r="BI306" s="93"/>
      <c r="BJ306" s="158">
        <f>1000*(BJ274+BJ276+BJ277+BJ279+BJ278+BJ280)/(BJ290*365)</f>
        <v>-9.2326353402353529</v>
      </c>
      <c r="BK306" s="173"/>
      <c r="BL306" s="173"/>
      <c r="BM306" s="173"/>
      <c r="BN306" s="173"/>
      <c r="BO306" s="158">
        <f>1000*(BO274+BO276+BO277+BO279+BO278+BO280)/(BO290*365)</f>
        <v>-0.72383147418927418</v>
      </c>
      <c r="BP306" s="25"/>
      <c r="BQ306" s="25"/>
      <c r="BR306" s="25"/>
      <c r="BS306" s="25"/>
      <c r="BT306" s="158">
        <f>1000*(BT274+BT276+BT277+BT279+BT278+BT280)/(BT290*365)</f>
        <v>0.67838373174663802</v>
      </c>
      <c r="BU306" s="25"/>
      <c r="BV306" s="25"/>
      <c r="BW306" s="25"/>
      <c r="BX306" s="25"/>
      <c r="BY306" s="158">
        <f>1000*(BY274+BY276+BY277+BY279+BY278+BY280)/(BY290*365)</f>
        <v>0.64827061077137116</v>
      </c>
      <c r="BZ306" s="25"/>
      <c r="CA306" s="25"/>
      <c r="CB306" s="25"/>
      <c r="CC306" s="25"/>
      <c r="CD306" s="158">
        <f>1000*(CD274+CD276+CD277+CD279+CD278+CD280)/(CD290*365)</f>
        <v>0.60068885263098815</v>
      </c>
      <c r="CE306"/>
      <c r="CF306"/>
      <c r="CG306" s="468">
        <v>2007</v>
      </c>
      <c r="CH306" s="627">
        <f>INDEX(282:282,MATCH(CG306,271:271,0))</f>
        <v>2611</v>
      </c>
      <c r="CI306" s="627">
        <f>INDEX(284:284,MATCH(CG306,271:271,0))</f>
        <v>-1167</v>
      </c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</row>
    <row r="307" spans="1:103" hidden="1" outlineLevel="1">
      <c r="A307" s="11"/>
      <c r="B307" s="461"/>
      <c r="C307" s="5"/>
      <c r="D307" s="449"/>
      <c r="E307" s="449"/>
      <c r="F307" s="449"/>
      <c r="G307" s="449"/>
      <c r="H307" s="12"/>
      <c r="I307" s="12"/>
      <c r="J307" s="12"/>
      <c r="K307" s="12"/>
      <c r="L307" s="449"/>
      <c r="M307" s="12"/>
      <c r="N307" s="12"/>
      <c r="O307" s="12"/>
      <c r="P307" s="12"/>
      <c r="Q307" s="449"/>
      <c r="R307" s="12"/>
      <c r="S307" s="12"/>
      <c r="T307" s="12"/>
      <c r="U307" s="12"/>
      <c r="V307" s="449"/>
      <c r="W307" s="12"/>
      <c r="X307" s="12"/>
      <c r="Y307" s="12"/>
      <c r="Z307" s="12"/>
      <c r="AA307" s="449"/>
      <c r="AB307" s="12"/>
      <c r="AC307" s="12"/>
      <c r="AD307" s="12"/>
      <c r="AE307" s="12"/>
      <c r="AF307" s="449"/>
      <c r="AG307" s="12"/>
      <c r="AH307" s="12"/>
      <c r="AI307" s="12"/>
      <c r="AJ307" s="12"/>
      <c r="AK307" s="449"/>
      <c r="AL307" s="12"/>
      <c r="AM307" s="12"/>
      <c r="AN307" s="12"/>
      <c r="AO307" s="12"/>
      <c r="AP307" s="449"/>
      <c r="AQ307" s="12"/>
      <c r="AR307" s="12"/>
      <c r="AS307" s="12"/>
      <c r="AT307" s="12"/>
      <c r="AU307" s="449"/>
      <c r="AV307" s="12"/>
      <c r="AW307" s="12"/>
      <c r="AX307" s="12"/>
      <c r="AY307" s="12"/>
      <c r="AZ307" s="449"/>
      <c r="BA307" s="12"/>
      <c r="BB307" s="12"/>
      <c r="BC307" s="12"/>
      <c r="BD307" s="12"/>
      <c r="BE307" s="449"/>
      <c r="BF307" s="12"/>
      <c r="BG307" s="12"/>
      <c r="BH307" s="12"/>
      <c r="BI307" s="12"/>
      <c r="BJ307" s="449"/>
      <c r="BK307" s="12"/>
      <c r="BL307" s="12"/>
      <c r="BM307" s="12"/>
      <c r="BN307" s="12"/>
      <c r="BO307" s="449"/>
      <c r="BP307" s="109"/>
      <c r="BQ307" s="109"/>
      <c r="BR307" s="109"/>
      <c r="BS307" s="109"/>
      <c r="BT307" s="449"/>
      <c r="BU307" s="109"/>
      <c r="BV307" s="109"/>
      <c r="BW307" s="109"/>
      <c r="BX307" s="109"/>
      <c r="BY307" s="449"/>
      <c r="BZ307" s="109"/>
      <c r="CA307" s="109"/>
      <c r="CB307" s="109"/>
      <c r="CC307" s="109"/>
      <c r="CD307" s="449"/>
      <c r="CG307" s="468">
        <v>2008</v>
      </c>
      <c r="CH307" s="627">
        <f>INDEX(282:282,MATCH(CG307,271:271,0))</f>
        <v>4195</v>
      </c>
      <c r="CI307" s="627">
        <f>INDEX(284:284,MATCH(CG307,271:271,0))</f>
        <v>-2218</v>
      </c>
    </row>
    <row r="308" spans="1:103" hidden="1" outlineLevel="1">
      <c r="A308" s="11"/>
      <c r="B308" s="5" t="s">
        <v>2138</v>
      </c>
      <c r="C308" s="72"/>
      <c r="D308" s="72"/>
      <c r="E308" s="72"/>
      <c r="F308" s="72"/>
      <c r="G308" s="119">
        <f>G304</f>
        <v>2.7968221426426623</v>
      </c>
      <c r="H308" s="93"/>
      <c r="I308" s="93"/>
      <c r="J308" s="93"/>
      <c r="K308" s="93"/>
      <c r="L308" s="119">
        <f>L304</f>
        <v>2.7492247376214114</v>
      </c>
      <c r="M308" s="93"/>
      <c r="N308" s="93"/>
      <c r="O308" s="93"/>
      <c r="P308" s="93"/>
      <c r="Q308" s="119">
        <f>Q304</f>
        <v>3.4911642406851437</v>
      </c>
      <c r="R308" s="93"/>
      <c r="S308" s="93"/>
      <c r="T308" s="93"/>
      <c r="U308" s="93"/>
      <c r="V308" s="119">
        <f>V304</f>
        <v>3.9796898586523946</v>
      </c>
      <c r="W308" s="93"/>
      <c r="X308" s="93"/>
      <c r="Y308" s="93"/>
      <c r="Z308" s="93"/>
      <c r="AA308" s="119">
        <f>AA304</f>
        <v>3.8919166625750803</v>
      </c>
      <c r="AB308" s="93"/>
      <c r="AC308" s="93"/>
      <c r="AD308" s="93"/>
      <c r="AE308" s="93"/>
      <c r="AF308" s="119">
        <f>AF304</f>
        <v>3.1978812478544949</v>
      </c>
      <c r="AG308" s="93"/>
      <c r="AH308" s="93"/>
      <c r="AI308" s="93"/>
      <c r="AJ308" s="93"/>
      <c r="AK308" s="119">
        <f>AK304</f>
        <v>3.4296322761253091</v>
      </c>
      <c r="AL308" s="93"/>
      <c r="AM308" s="93"/>
      <c r="AN308" s="93"/>
      <c r="AO308" s="93"/>
      <c r="AP308" s="119">
        <f>AP304</f>
        <v>4.2620116141877888</v>
      </c>
      <c r="AQ308" s="93"/>
      <c r="AR308" s="93"/>
      <c r="AS308" s="93"/>
      <c r="AT308" s="93"/>
      <c r="AU308" s="119">
        <f>AU304</f>
        <v>3.708868361598078</v>
      </c>
      <c r="AV308" s="93"/>
      <c r="AW308" s="93"/>
      <c r="AX308" s="93"/>
      <c r="AY308" s="93"/>
      <c r="AZ308" s="119">
        <f>AZ304</f>
        <v>4.7005665925554032</v>
      </c>
      <c r="BA308" s="93"/>
      <c r="BB308" s="93"/>
      <c r="BC308" s="93"/>
      <c r="BD308" s="93"/>
      <c r="BE308" s="119">
        <f>BE304</f>
        <v>5.2030001826128567</v>
      </c>
      <c r="BF308" s="93"/>
      <c r="BG308" s="93"/>
      <c r="BH308" s="93"/>
      <c r="BI308" s="93"/>
      <c r="BJ308" s="119">
        <f>BJ304</f>
        <v>5.2365522899031616</v>
      </c>
      <c r="BK308" s="93"/>
      <c r="BL308" s="93"/>
      <c r="BM308" s="93"/>
      <c r="BN308" s="93"/>
      <c r="BO308" s="119">
        <f>BO304</f>
        <v>5.7136484451961858</v>
      </c>
      <c r="BP308" s="93"/>
      <c r="BQ308" s="93"/>
      <c r="BR308" s="93"/>
      <c r="BS308" s="93"/>
      <c r="BT308" s="104">
        <f>$BJ308*(BT$74/$BJ$74)</f>
        <v>5.2373868596772901</v>
      </c>
      <c r="BU308" s="93"/>
      <c r="BV308" s="93"/>
      <c r="BW308" s="93"/>
      <c r="BX308" s="93"/>
      <c r="BY308" s="104">
        <f>$BJ308*(BY$74/$BJ$74)</f>
        <v>5.2949319621759345</v>
      </c>
      <c r="BZ308" s="93"/>
      <c r="CA308" s="93"/>
      <c r="CB308" s="93"/>
      <c r="CC308" s="93"/>
      <c r="CD308" s="104">
        <f>$BJ308*(CD$74/$BJ$74)</f>
        <v>5.3524770646745798</v>
      </c>
      <c r="CG308" s="468">
        <v>2009</v>
      </c>
      <c r="CH308" s="627">
        <f>INDEX(282:282,MATCH(CG308,271:271,0))</f>
        <v>1433</v>
      </c>
      <c r="CI308" s="627">
        <f>INDEX(284:284,MATCH(CG308,271:271,0))</f>
        <v>-916</v>
      </c>
    </row>
    <row r="309" spans="1:103" hidden="1" outlineLevel="1">
      <c r="A309" s="11"/>
      <c r="B309" s="11"/>
      <c r="C309" s="72"/>
      <c r="D309" s="72"/>
      <c r="E309" s="72"/>
      <c r="F309" s="72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G309" s="468">
        <v>2010</v>
      </c>
      <c r="CH309" s="627">
        <f>INDEX(282:282,MATCH(CG309,271:271,0))</f>
        <v>1986</v>
      </c>
      <c r="CI309" s="627">
        <f>INDEX(284:284,MATCH(CG309,271:271,0))</f>
        <v>-1084</v>
      </c>
    </row>
    <row r="310" spans="1:103" hidden="1" outlineLevel="1">
      <c r="A310" s="39" t="s">
        <v>3094</v>
      </c>
      <c r="B310" s="11"/>
      <c r="C310" s="72"/>
      <c r="D310" s="72"/>
      <c r="E310" s="72"/>
      <c r="F310" s="72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G310" s="468">
        <v>2011</v>
      </c>
      <c r="CH310" s="627">
        <f>INDEX(282:282,MATCH(CG310,271:271,0))</f>
        <v>2483</v>
      </c>
      <c r="CI310" s="627">
        <f>INDEX(284:284,MATCH(CG310,271:271,0))</f>
        <v>-1205</v>
      </c>
    </row>
    <row r="311" spans="1:103" hidden="1" outlineLevel="1">
      <c r="A311" s="11"/>
      <c r="B311" s="11" t="s">
        <v>1897</v>
      </c>
      <c r="C311" s="72"/>
      <c r="D311" s="72"/>
      <c r="E311" s="72"/>
      <c r="F311" s="72"/>
      <c r="G311" s="116">
        <f>-G276/G274</f>
        <v>1.246705324196099E-2</v>
      </c>
      <c r="H311" s="93"/>
      <c r="I311" s="93"/>
      <c r="J311" s="93"/>
      <c r="K311" s="93"/>
      <c r="L311" s="116">
        <f>-L276/L274</f>
        <v>2.5122121423586882E-2</v>
      </c>
      <c r="M311" s="93"/>
      <c r="N311" s="93"/>
      <c r="O311" s="93"/>
      <c r="P311" s="93"/>
      <c r="Q311" s="116">
        <f>-Q276/Q274</f>
        <v>1.8037011009604122E-2</v>
      </c>
      <c r="R311" s="93"/>
      <c r="S311" s="93"/>
      <c r="T311" s="93"/>
      <c r="U311" s="93"/>
      <c r="V311" s="116">
        <f>-V276/V274</f>
        <v>5.0471063257065945E-3</v>
      </c>
      <c r="W311" s="93"/>
      <c r="X311" s="93"/>
      <c r="Y311" s="93"/>
      <c r="Z311" s="93"/>
      <c r="AA311" s="116">
        <f>-AA276/AA274</f>
        <v>5.4533060668029995E-3</v>
      </c>
      <c r="AB311" s="93"/>
      <c r="AC311" s="93"/>
      <c r="AD311" s="93"/>
      <c r="AE311" s="93"/>
      <c r="AF311" s="116">
        <f>-AF276/AF274</f>
        <v>2.5936599423631124E-3</v>
      </c>
      <c r="AG311" s="93"/>
      <c r="AH311" s="93"/>
      <c r="AI311" s="93"/>
      <c r="AJ311" s="93"/>
      <c r="AK311" s="116">
        <f>-AK276/AK274</f>
        <v>9.5315904139433548E-3</v>
      </c>
      <c r="AL311" s="93"/>
      <c r="AM311" s="93"/>
      <c r="AN311" s="93"/>
      <c r="AO311" s="93"/>
      <c r="AP311" s="116">
        <f>-AP276/AP274</f>
        <v>3.9867109634551492E-2</v>
      </c>
      <c r="AQ311" s="93"/>
      <c r="AR311" s="93"/>
      <c r="AS311" s="93"/>
      <c r="AT311" s="93"/>
      <c r="AU311" s="116">
        <f>-AU276/AU274</f>
        <v>0.41407345107933841</v>
      </c>
      <c r="AV311" s="93"/>
      <c r="AW311" s="93"/>
      <c r="AX311" s="93"/>
      <c r="AY311" s="93"/>
      <c r="AZ311" s="116">
        <f>-AZ276/AZ274</f>
        <v>0.15436654366543665</v>
      </c>
      <c r="BA311" s="93"/>
      <c r="BB311" s="93"/>
      <c r="BC311" s="93"/>
      <c r="BD311" s="93"/>
      <c r="BE311" s="116">
        <f>-BE276/BE274</f>
        <v>3.1346035648432698E-2</v>
      </c>
      <c r="BF311" s="93"/>
      <c r="BG311" s="93"/>
      <c r="BH311" s="93"/>
      <c r="BI311" s="93"/>
      <c r="BJ311" s="116">
        <f>-BJ276/BJ274</f>
        <v>0.79058823529411759</v>
      </c>
      <c r="BK311" s="93"/>
      <c r="BL311" s="93"/>
      <c r="BM311" s="93"/>
      <c r="BN311" s="93"/>
      <c r="BO311" s="116">
        <f>-BO276/BO274</f>
        <v>5.6810403832991102E-2</v>
      </c>
      <c r="BP311" s="117">
        <f t="shared" ref="BP311:CD311" si="148">-BP276/BP274</f>
        <v>9.6388003477806766E-2</v>
      </c>
      <c r="BQ311" s="117">
        <f t="shared" si="148"/>
        <v>6.0701038969287982E-2</v>
      </c>
      <c r="BR311" s="117">
        <f t="shared" si="148"/>
        <v>5.8325515890719125E-2</v>
      </c>
      <c r="BS311" s="117">
        <f t="shared" si="148"/>
        <v>5.8187798904551759E-2</v>
      </c>
      <c r="BT311" s="116">
        <f t="shared" si="148"/>
        <v>6.8005101083474989E-2</v>
      </c>
      <c r="BU311" s="117">
        <f t="shared" si="148"/>
        <v>5.3446312043393888E-2</v>
      </c>
      <c r="BV311" s="117">
        <f t="shared" si="148"/>
        <v>5.4622167725907417E-2</v>
      </c>
      <c r="BW311" s="117">
        <f t="shared" si="148"/>
        <v>5.4333169340956902E-2</v>
      </c>
      <c r="BX311" s="117">
        <f t="shared" si="148"/>
        <v>5.3899600590478228E-2</v>
      </c>
      <c r="BY311" s="116">
        <f t="shared" si="148"/>
        <v>5.4071644158961915E-2</v>
      </c>
      <c r="BZ311" s="117">
        <f t="shared" si="148"/>
        <v>3.6092682543901501E-2</v>
      </c>
      <c r="CA311" s="117">
        <f t="shared" si="148"/>
        <v>3.6247015236828647E-2</v>
      </c>
      <c r="CB311" s="117">
        <f t="shared" si="148"/>
        <v>3.5531576249134236E-2</v>
      </c>
      <c r="CC311" s="117">
        <f t="shared" si="148"/>
        <v>3.5096416501775592E-2</v>
      </c>
      <c r="CD311" s="116">
        <f t="shared" si="148"/>
        <v>3.5736032414160783E-2</v>
      </c>
      <c r="CG311" s="468">
        <v>2012</v>
      </c>
      <c r="CH311" s="627">
        <f>INDEX(282:282,MATCH(CG311,271:271,0))</f>
        <v>1195</v>
      </c>
      <c r="CI311" s="627">
        <f>INDEX(284:284,MATCH(CG311,271:271,0))</f>
        <v>-804</v>
      </c>
    </row>
    <row r="312" spans="1:103" hidden="1" outlineLevel="1">
      <c r="A312" s="11"/>
      <c r="B312" s="11" t="s">
        <v>2149</v>
      </c>
      <c r="C312" s="72"/>
      <c r="D312" s="72"/>
      <c r="E312" s="72"/>
      <c r="F312" s="72"/>
      <c r="G312" s="116">
        <f>-G277/G274</f>
        <v>0.10240730978738359</v>
      </c>
      <c r="H312" s="93"/>
      <c r="I312" s="93"/>
      <c r="J312" s="93"/>
      <c r="K312" s="93"/>
      <c r="L312" s="116">
        <f>-L277/L274</f>
        <v>9.4905792044661555E-2</v>
      </c>
      <c r="M312" s="93"/>
      <c r="N312" s="93"/>
      <c r="O312" s="93"/>
      <c r="P312" s="93"/>
      <c r="Q312" s="116">
        <f>-Q277/Q274</f>
        <v>0.11782618880299836</v>
      </c>
      <c r="R312" s="93"/>
      <c r="S312" s="93"/>
      <c r="T312" s="93"/>
      <c r="U312" s="93"/>
      <c r="V312" s="116">
        <f>-V277/V274</f>
        <v>7.2173620457604309E-2</v>
      </c>
      <c r="W312" s="93"/>
      <c r="X312" s="93"/>
      <c r="Y312" s="93"/>
      <c r="Z312" s="93"/>
      <c r="AA312" s="116">
        <f>-AA277/AA274</f>
        <v>0.13462849352419903</v>
      </c>
      <c r="AB312" s="93"/>
      <c r="AC312" s="93"/>
      <c r="AD312" s="93"/>
      <c r="AE312" s="93"/>
      <c r="AF312" s="116">
        <f>-AF277/AF274</f>
        <v>0.12824207492795389</v>
      </c>
      <c r="AG312" s="93"/>
      <c r="AH312" s="93"/>
      <c r="AI312" s="93"/>
      <c r="AJ312" s="93"/>
      <c r="AK312" s="116">
        <f>-AK277/AK274</f>
        <v>0.13698257080610021</v>
      </c>
      <c r="AL312" s="93"/>
      <c r="AM312" s="93"/>
      <c r="AN312" s="93"/>
      <c r="AO312" s="93"/>
      <c r="AP312" s="116">
        <f>-AP277/AP274</f>
        <v>0.26976744186046514</v>
      </c>
      <c r="AQ312" s="93"/>
      <c r="AR312" s="93"/>
      <c r="AS312" s="93"/>
      <c r="AT312" s="93"/>
      <c r="AU312" s="116">
        <f>-AU277/AU274</f>
        <v>0.25007008690776561</v>
      </c>
      <c r="AV312" s="93"/>
      <c r="AW312" s="93"/>
      <c r="AX312" s="93"/>
      <c r="AY312" s="93"/>
      <c r="AZ312" s="116">
        <f>-AZ277/AZ274</f>
        <v>0.24077490774907748</v>
      </c>
      <c r="BA312" s="93"/>
      <c r="BB312" s="93"/>
      <c r="BC312" s="93"/>
      <c r="BD312" s="93"/>
      <c r="BE312" s="116">
        <f>-BE277/BE274</f>
        <v>0.43208358942839581</v>
      </c>
      <c r="BF312" s="93"/>
      <c r="BG312" s="93"/>
      <c r="BH312" s="93"/>
      <c r="BI312" s="93"/>
      <c r="BJ312" s="116">
        <f>-BJ277/BJ274</f>
        <v>0.56000000000000005</v>
      </c>
      <c r="BK312" s="93"/>
      <c r="BL312" s="93"/>
      <c r="BM312" s="93"/>
      <c r="BN312" s="93"/>
      <c r="BO312" s="116">
        <f>-BO277/BO274</f>
        <v>0.3921971252566735</v>
      </c>
      <c r="BP312" s="117">
        <f t="shared" ref="BP312:CD312" si="149">-BP277/BP274</f>
        <v>0.36135981249012178</v>
      </c>
      <c r="BQ312" s="117">
        <f t="shared" si="149"/>
        <v>0.34460339157992737</v>
      </c>
      <c r="BR312" s="117">
        <f t="shared" si="149"/>
        <v>0.33631799968194848</v>
      </c>
      <c r="BS312" s="117">
        <f t="shared" si="149"/>
        <v>0.33820116764352426</v>
      </c>
      <c r="BT312" s="116">
        <f t="shared" si="149"/>
        <v>0.34485085656718262</v>
      </c>
      <c r="BU312" s="117">
        <f t="shared" si="149"/>
        <v>0.35344510602708923</v>
      </c>
      <c r="BV312" s="117">
        <f t="shared" si="149"/>
        <v>0.3582198871181958</v>
      </c>
      <c r="BW312" s="117">
        <f t="shared" si="149"/>
        <v>0.36207853887423497</v>
      </c>
      <c r="BX312" s="117">
        <f t="shared" si="149"/>
        <v>0.36232242825787342</v>
      </c>
      <c r="BY312" s="116">
        <f t="shared" si="149"/>
        <v>0.35900115408655259</v>
      </c>
      <c r="BZ312" s="117">
        <f t="shared" si="149"/>
        <v>0.37652699870982731</v>
      </c>
      <c r="CA312" s="117">
        <f t="shared" si="149"/>
        <v>0.37089975914080542</v>
      </c>
      <c r="CB312" s="117">
        <f t="shared" si="149"/>
        <v>0.36944339837149021</v>
      </c>
      <c r="CC312" s="117">
        <f t="shared" si="149"/>
        <v>0.36809069364212571</v>
      </c>
      <c r="CD312" s="116">
        <f t="shared" si="149"/>
        <v>0.37121141753239822</v>
      </c>
      <c r="CG312" s="468">
        <v>2013</v>
      </c>
      <c r="CH312" s="627">
        <f>INDEX(282:282,MATCH(CG312,271:271,0))</f>
        <v>4</v>
      </c>
      <c r="CI312" s="627">
        <f>INDEX(284:284,MATCH(CG312,271:271,0))</f>
        <v>-642</v>
      </c>
    </row>
    <row r="313" spans="1:103" hidden="1" outlineLevel="1">
      <c r="A313" s="11"/>
      <c r="B313" s="11" t="s">
        <v>2150</v>
      </c>
      <c r="C313" s="72"/>
      <c r="D313" s="72"/>
      <c r="E313" s="72"/>
      <c r="F313" s="72"/>
      <c r="G313" s="116">
        <f>-G278/G274</f>
        <v>7.3537163943068001E-2</v>
      </c>
      <c r="H313" s="93"/>
      <c r="I313" s="93"/>
      <c r="J313" s="93"/>
      <c r="K313" s="93"/>
      <c r="L313" s="116">
        <f>-L278/L274</f>
        <v>6.838799720865317E-2</v>
      </c>
      <c r="M313" s="93"/>
      <c r="N313" s="93"/>
      <c r="O313" s="93"/>
      <c r="P313" s="93"/>
      <c r="Q313" s="116">
        <f>-Q278/Q274</f>
        <v>6.3715155774185989E-2</v>
      </c>
      <c r="R313" s="93"/>
      <c r="S313" s="93"/>
      <c r="T313" s="93"/>
      <c r="U313" s="93"/>
      <c r="V313" s="116">
        <f>-V278/V274</f>
        <v>6.0228802153432029E-2</v>
      </c>
      <c r="W313" s="93"/>
      <c r="X313" s="93"/>
      <c r="Y313" s="93"/>
      <c r="Z313" s="93"/>
      <c r="AA313" s="116">
        <f>-AA278/AA274</f>
        <v>7.4982958418541246E-2</v>
      </c>
      <c r="AB313" s="93"/>
      <c r="AC313" s="93"/>
      <c r="AD313" s="93"/>
      <c r="AE313" s="93"/>
      <c r="AF313" s="116">
        <f>-AF278/AF274</f>
        <v>7.1757925072046105E-2</v>
      </c>
      <c r="AG313" s="93"/>
      <c r="AH313" s="93"/>
      <c r="AI313" s="93"/>
      <c r="AJ313" s="93"/>
      <c r="AK313" s="116">
        <f>-AK278/AK274</f>
        <v>7.5708061002178653E-2</v>
      </c>
      <c r="AL313" s="93"/>
      <c r="AM313" s="93"/>
      <c r="AN313" s="93"/>
      <c r="AO313" s="93"/>
      <c r="AP313" s="116">
        <f>-AP278/AP274</f>
        <v>5.3820598006644516E-2</v>
      </c>
      <c r="AQ313" s="93"/>
      <c r="AR313" s="93"/>
      <c r="AS313" s="93"/>
      <c r="AT313" s="93"/>
      <c r="AU313" s="116">
        <f>-AU278/AU274</f>
        <v>5.1583964115503221E-2</v>
      </c>
      <c r="AV313" s="93"/>
      <c r="AW313" s="93"/>
      <c r="AX313" s="93"/>
      <c r="AY313" s="93"/>
      <c r="AZ313" s="116">
        <f>-AZ278/AZ274</f>
        <v>5.3813038130381304E-2</v>
      </c>
      <c r="BA313" s="93"/>
      <c r="BB313" s="93"/>
      <c r="BC313" s="93"/>
      <c r="BD313" s="93"/>
      <c r="BE313" s="116">
        <f>-BE278/BE274</f>
        <v>0.13153042409342347</v>
      </c>
      <c r="BF313" s="93"/>
      <c r="BG313" s="93"/>
      <c r="BH313" s="93"/>
      <c r="BI313" s="93"/>
      <c r="BJ313" s="116">
        <f>-BJ278/BJ274</f>
        <v>4.4705882352941179E-2</v>
      </c>
      <c r="BK313" s="93"/>
      <c r="BL313" s="93"/>
      <c r="BM313" s="93"/>
      <c r="BN313" s="93"/>
      <c r="BO313" s="116">
        <f>-BO278/BO274</f>
        <v>5.8863791923340181E-2</v>
      </c>
      <c r="BP313" s="117">
        <f>BT313</f>
        <v>5.8863791923340181E-2</v>
      </c>
      <c r="BQ313" s="117">
        <f>BT313</f>
        <v>5.8863791923340181E-2</v>
      </c>
      <c r="BR313" s="117">
        <f>BT313</f>
        <v>5.8863791923340181E-2</v>
      </c>
      <c r="BS313" s="117">
        <f>BT313</f>
        <v>5.8863791923340181E-2</v>
      </c>
      <c r="BT313" s="118">
        <f>BO313</f>
        <v>5.8863791923340181E-2</v>
      </c>
      <c r="BU313" s="117">
        <f>BY313</f>
        <v>0.05</v>
      </c>
      <c r="BV313" s="117">
        <f>BY313</f>
        <v>0.05</v>
      </c>
      <c r="BW313" s="117">
        <f>BY313</f>
        <v>0.05</v>
      </c>
      <c r="BX313" s="117">
        <f>BY313</f>
        <v>0.05</v>
      </c>
      <c r="BY313" s="118">
        <v>0.05</v>
      </c>
      <c r="BZ313" s="117">
        <f>CD313</f>
        <v>0.05</v>
      </c>
      <c r="CA313" s="117">
        <f>CD313</f>
        <v>0.05</v>
      </c>
      <c r="CB313" s="117">
        <f>CD313</f>
        <v>0.05</v>
      </c>
      <c r="CC313" s="117">
        <f>CD313</f>
        <v>0.05</v>
      </c>
      <c r="CD313" s="118">
        <v>0.05</v>
      </c>
      <c r="CG313" s="468">
        <v>2014</v>
      </c>
      <c r="CH313" s="627">
        <f>INDEX(282:282,MATCH(CG313,271:271,0))</f>
        <v>819</v>
      </c>
      <c r="CI313" s="627">
        <f>INDEX(284:284,MATCH(CG313,271:271,0))</f>
        <v>-865</v>
      </c>
    </row>
    <row r="314" spans="1:103" hidden="1" outlineLevel="1">
      <c r="A314" s="11"/>
      <c r="B314" s="11" t="s">
        <v>2158</v>
      </c>
      <c r="C314" s="72"/>
      <c r="D314" s="72"/>
      <c r="E314" s="72"/>
      <c r="F314" s="72"/>
      <c r="G314" s="116">
        <f>-G279/G274</f>
        <v>6.0885608856088562E-2</v>
      </c>
      <c r="H314" s="93"/>
      <c r="I314" s="93"/>
      <c r="J314" s="93"/>
      <c r="K314" s="93"/>
      <c r="L314" s="116">
        <f>-L279/L274</f>
        <v>4.3731100255873456E-2</v>
      </c>
      <c r="M314" s="93"/>
      <c r="N314" s="93"/>
      <c r="O314" s="93"/>
      <c r="P314" s="93"/>
      <c r="Q314" s="116">
        <f>-Q279/Q274</f>
        <v>3.7011009604122742E-2</v>
      </c>
      <c r="R314" s="93"/>
      <c r="S314" s="93"/>
      <c r="T314" s="93"/>
      <c r="U314" s="93"/>
      <c r="V314" s="116">
        <f>-V279/V274</f>
        <v>3.331090174966353E-2</v>
      </c>
      <c r="W314" s="93"/>
      <c r="X314" s="93"/>
      <c r="Y314" s="93"/>
      <c r="Z314" s="93"/>
      <c r="AA314" s="116">
        <f>-AA279/AA274</f>
        <v>6.2713019768234499E-2</v>
      </c>
      <c r="AB314" s="93"/>
      <c r="AC314" s="93"/>
      <c r="AD314" s="93"/>
      <c r="AE314" s="93"/>
      <c r="AF314" s="116">
        <f>-AF279/AF274</f>
        <v>6.0230547550432278E-2</v>
      </c>
      <c r="AG314" s="93"/>
      <c r="AH314" s="93"/>
      <c r="AI314" s="93"/>
      <c r="AJ314" s="93"/>
      <c r="AK314" s="116">
        <f>-AK279/AK274</f>
        <v>0.25462962962962965</v>
      </c>
      <c r="AL314" s="93"/>
      <c r="AM314" s="93"/>
      <c r="AN314" s="93"/>
      <c r="AO314" s="93"/>
      <c r="AP314" s="116">
        <f>-AP279/AP274</f>
        <v>3.6212624584717606E-2</v>
      </c>
      <c r="AQ314" s="93"/>
      <c r="AR314" s="93"/>
      <c r="AS314" s="93"/>
      <c r="AT314" s="93"/>
      <c r="AU314" s="116">
        <f>-AU279/AU274</f>
        <v>9.0271937202130642E-2</v>
      </c>
      <c r="AV314" s="93"/>
      <c r="AW314" s="93"/>
      <c r="AX314" s="93"/>
      <c r="AY314" s="93"/>
      <c r="AZ314" s="116">
        <f>-AZ279/AZ274</f>
        <v>8.7330873308733084E-2</v>
      </c>
      <c r="BA314" s="93"/>
      <c r="BB314" s="93"/>
      <c r="BC314" s="93"/>
      <c r="BD314" s="93"/>
      <c r="BE314" s="116">
        <f>-BE279/BE274</f>
        <v>8.6047940995697597E-2</v>
      </c>
      <c r="BF314" s="93"/>
      <c r="BG314" s="93"/>
      <c r="BH314" s="93"/>
      <c r="BI314" s="93"/>
      <c r="BJ314" s="116">
        <f>-BJ279/BJ274</f>
        <v>0.13529411764705881</v>
      </c>
      <c r="BK314" s="93"/>
      <c r="BL314" s="93"/>
      <c r="BM314" s="93"/>
      <c r="BN314" s="93"/>
      <c r="BO314" s="116">
        <f>-BO279/BO274</f>
        <v>4.8596851471594801E-2</v>
      </c>
      <c r="BP314" s="117">
        <f t="shared" ref="BP314:CD314" si="150">-BP279/BP274</f>
        <v>4.3342472230520443E-2</v>
      </c>
      <c r="BQ314" s="117">
        <f t="shared" si="150"/>
        <v>4.2176272441061112E-2</v>
      </c>
      <c r="BR314" s="117">
        <f t="shared" si="150"/>
        <v>4.0525712413539347E-2</v>
      </c>
      <c r="BS314" s="117">
        <f t="shared" si="150"/>
        <v>4.0430023950425942E-2</v>
      </c>
      <c r="BT314" s="116">
        <f t="shared" si="150"/>
        <v>4.1583561598698061E-2</v>
      </c>
      <c r="BU314" s="117">
        <f t="shared" si="150"/>
        <v>3.9861638870593616E-2</v>
      </c>
      <c r="BV314" s="117">
        <f t="shared" si="150"/>
        <v>4.0738622385232265E-2</v>
      </c>
      <c r="BW314" s="117">
        <f t="shared" si="150"/>
        <v>4.0523079931232282E-2</v>
      </c>
      <c r="BX314" s="117">
        <f t="shared" si="150"/>
        <v>4.0199713167532583E-2</v>
      </c>
      <c r="BY314" s="116">
        <f t="shared" si="150"/>
        <v>4.0328027701028141E-2</v>
      </c>
      <c r="BZ314" s="117">
        <f t="shared" si="150"/>
        <v>4.1800333749762289E-2</v>
      </c>
      <c r="CA314" s="117">
        <f t="shared" si="150"/>
        <v>4.1979072419713118E-2</v>
      </c>
      <c r="CB314" s="117">
        <f t="shared" si="150"/>
        <v>4.1150494814630914E-2</v>
      </c>
      <c r="CC314" s="117">
        <f t="shared" si="150"/>
        <v>4.064651945475211E-2</v>
      </c>
      <c r="CD314" s="116">
        <f t="shared" si="150"/>
        <v>4.1387283419216082E-2</v>
      </c>
      <c r="CG314" s="468">
        <v>2015</v>
      </c>
      <c r="CH314" s="627">
        <f>INDEX(282:282,MATCH(CG314,271:271,0))</f>
        <v>-255</v>
      </c>
      <c r="CI314" s="627">
        <f>INDEX(284:284,MATCH(CG314,271:271,0))</f>
        <v>28</v>
      </c>
    </row>
    <row r="315" spans="1:103" hidden="1" outlineLevel="1">
      <c r="A315" s="11"/>
      <c r="B315" s="11" t="s">
        <v>2154</v>
      </c>
      <c r="C315" s="72"/>
      <c r="D315" s="72"/>
      <c r="E315" s="72"/>
      <c r="F315" s="72"/>
      <c r="G315" s="116">
        <f>-G280/G274</f>
        <v>0.12888771744860306</v>
      </c>
      <c r="H315" s="93"/>
      <c r="I315" s="93"/>
      <c r="J315" s="93"/>
      <c r="K315" s="93"/>
      <c r="L315" s="116">
        <f>-L280/L274</f>
        <v>0.11839962782042335</v>
      </c>
      <c r="M315" s="93"/>
      <c r="N315" s="93"/>
      <c r="O315" s="93"/>
      <c r="P315" s="93"/>
      <c r="Q315" s="116">
        <f>-Q280/Q274</f>
        <v>0.15296322323729211</v>
      </c>
      <c r="R315" s="93"/>
      <c r="S315" s="93"/>
      <c r="T315" s="93"/>
      <c r="U315" s="93"/>
      <c r="V315" s="116">
        <f>-V280/V274</f>
        <v>0.12281292059219381</v>
      </c>
      <c r="W315" s="93"/>
      <c r="X315" s="93"/>
      <c r="Y315" s="93"/>
      <c r="Z315" s="93"/>
      <c r="AA315" s="116">
        <f>-AA280/AA274</f>
        <v>0.23755964553510567</v>
      </c>
      <c r="AB315" s="93"/>
      <c r="AC315" s="93"/>
      <c r="AD315" s="93"/>
      <c r="AE315" s="93"/>
      <c r="AF315" s="116">
        <f>-AF280/AF274</f>
        <v>0.16570605187319884</v>
      </c>
      <c r="AG315" s="93"/>
      <c r="AH315" s="93"/>
      <c r="AI315" s="93"/>
      <c r="AJ315" s="93"/>
      <c r="AK315" s="116">
        <f>-AK280/AK274</f>
        <v>0.14242919389978215</v>
      </c>
      <c r="AL315" s="93"/>
      <c r="AM315" s="93"/>
      <c r="AN315" s="93"/>
      <c r="AO315" s="93"/>
      <c r="AP315" s="116">
        <f>-AP280/AP274</f>
        <v>0.20132890365448505</v>
      </c>
      <c r="AQ315" s="93"/>
      <c r="AR315" s="93"/>
      <c r="AS315" s="93"/>
      <c r="AT315" s="93"/>
      <c r="AU315" s="116">
        <f>-AU280/AU274</f>
        <v>0.15671432576394728</v>
      </c>
      <c r="AV315" s="93"/>
      <c r="AW315" s="93"/>
      <c r="AX315" s="93"/>
      <c r="AY315" s="93"/>
      <c r="AZ315" s="116">
        <f>-AZ280/AZ274</f>
        <v>0.20848708487084872</v>
      </c>
      <c r="BA315" s="93"/>
      <c r="BB315" s="93"/>
      <c r="BC315" s="93"/>
      <c r="BD315" s="93"/>
      <c r="BE315" s="116">
        <f>-BE280/BE274</f>
        <v>0.41364474492931774</v>
      </c>
      <c r="BF315" s="93"/>
      <c r="BG315" s="93"/>
      <c r="BH315" s="93"/>
      <c r="BI315" s="93"/>
      <c r="BJ315" s="116">
        <f>-BJ280/BJ274</f>
        <v>0.69529411764705884</v>
      </c>
      <c r="BK315" s="93"/>
      <c r="BL315" s="93"/>
      <c r="BM315" s="93"/>
      <c r="BN315" s="93"/>
      <c r="BO315" s="116">
        <f>-BO280/BO274</f>
        <v>0.50787132101300481</v>
      </c>
      <c r="BP315" s="117">
        <f t="shared" ref="BP315:CD315" si="151">-BP280/BP274</f>
        <v>0.45150926791099899</v>
      </c>
      <c r="BQ315" s="117">
        <f t="shared" si="151"/>
        <v>0.43057257523940529</v>
      </c>
      <c r="BR315" s="117">
        <f t="shared" si="151"/>
        <v>0.42022020316893766</v>
      </c>
      <c r="BS315" s="117">
        <f t="shared" si="151"/>
        <v>0.42257317037308056</v>
      </c>
      <c r="BT315" s="116">
        <f t="shared" si="151"/>
        <v>0.43088177601759725</v>
      </c>
      <c r="BU315" s="117">
        <f t="shared" si="151"/>
        <v>0.435582731499433</v>
      </c>
      <c r="BV315" s="117">
        <f t="shared" si="151"/>
        <v>0.44146713095640722</v>
      </c>
      <c r="BW315" s="117">
        <f t="shared" si="151"/>
        <v>0.44622250044134176</v>
      </c>
      <c r="BX315" s="117">
        <f t="shared" si="151"/>
        <v>0.44652306763578686</v>
      </c>
      <c r="BY315" s="116">
        <f t="shared" si="151"/>
        <v>0.44242995769895965</v>
      </c>
      <c r="BZ315" s="117">
        <f t="shared" si="151"/>
        <v>0.45763093010693806</v>
      </c>
      <c r="CA315" s="117">
        <f t="shared" si="151"/>
        <v>0.45079158289749499</v>
      </c>
      <c r="CB315" s="117">
        <f t="shared" si="151"/>
        <v>0.44902152195706646</v>
      </c>
      <c r="CC315" s="117">
        <f t="shared" si="151"/>
        <v>0.44737744457196466</v>
      </c>
      <c r="CD315" s="116">
        <f t="shared" si="151"/>
        <v>0.45117037251977682</v>
      </c>
      <c r="CG315" s="468">
        <v>2016</v>
      </c>
      <c r="CH315" s="627">
        <f>INDEX(282:282,MATCH(CG315,271:271,0))</f>
        <v>-965</v>
      </c>
      <c r="CI315" s="627">
        <f>INDEX(284:284,MATCH(CG315,271:271,0))</f>
        <v>194</v>
      </c>
    </row>
    <row r="316" spans="1:103" hidden="1" outlineLevel="1">
      <c r="A316" s="11"/>
      <c r="B316" s="4" t="s">
        <v>930</v>
      </c>
      <c r="C316" s="72"/>
      <c r="D316" s="72"/>
      <c r="E316" s="72"/>
      <c r="F316" s="72"/>
      <c r="G316" s="116">
        <f>-G281/G274</f>
        <v>-2.6620980495519239E-2</v>
      </c>
      <c r="H316" s="93"/>
      <c r="I316" s="93"/>
      <c r="J316" s="93"/>
      <c r="K316" s="93"/>
      <c r="L316" s="116">
        <f>-L281/L274</f>
        <v>9.7697138869504534E-3</v>
      </c>
      <c r="M316" s="93"/>
      <c r="N316" s="93"/>
      <c r="O316" s="93"/>
      <c r="P316" s="93"/>
      <c r="Q316" s="116">
        <f>-Q281/Q274</f>
        <v>-1.1712344811431249E-3</v>
      </c>
      <c r="R316" s="93"/>
      <c r="S316" s="93"/>
      <c r="T316" s="93"/>
      <c r="U316" s="93"/>
      <c r="V316" s="116">
        <f>-V281/V274</f>
        <v>6.7294751009421266E-4</v>
      </c>
      <c r="W316" s="93"/>
      <c r="X316" s="93"/>
      <c r="Y316" s="93"/>
      <c r="Z316" s="93"/>
      <c r="AA316" s="116">
        <f>-AA281/AA274</f>
        <v>-3.749147920927062E-3</v>
      </c>
      <c r="AB316" s="93"/>
      <c r="AC316" s="93"/>
      <c r="AD316" s="93"/>
      <c r="AE316" s="93"/>
      <c r="AF316" s="116">
        <f>-AF281/AF274</f>
        <v>-8.6455331412103745E-4</v>
      </c>
      <c r="AG316" s="93"/>
      <c r="AH316" s="93"/>
      <c r="AI316" s="93"/>
      <c r="AJ316" s="93"/>
      <c r="AK316" s="116">
        <f>-AK281/AK274</f>
        <v>-0.295479302832244</v>
      </c>
      <c r="AL316" s="93"/>
      <c r="AM316" s="93"/>
      <c r="AN316" s="93"/>
      <c r="AO316" s="93"/>
      <c r="AP316" s="116">
        <f>-AP281/AP274</f>
        <v>1.9933554817275745E-3</v>
      </c>
      <c r="AQ316" s="93"/>
      <c r="AR316" s="93"/>
      <c r="AS316" s="93"/>
      <c r="AT316" s="93"/>
      <c r="AU316" s="116">
        <f>-AU281/AU274</f>
        <v>3.6164844407064758E-2</v>
      </c>
      <c r="AV316" s="93"/>
      <c r="AW316" s="93"/>
      <c r="AX316" s="93"/>
      <c r="AY316" s="93"/>
      <c r="AZ316" s="116">
        <f>-AZ281/AZ274</f>
        <v>3.3825338253382535E-3</v>
      </c>
      <c r="BA316" s="93"/>
      <c r="BB316" s="93"/>
      <c r="BC316" s="93"/>
      <c r="BD316" s="93"/>
      <c r="BE316" s="116">
        <f>-BE281/BE274</f>
        <v>6.207744314689613E-2</v>
      </c>
      <c r="BF316" s="93"/>
      <c r="BG316" s="93"/>
      <c r="BH316" s="93"/>
      <c r="BI316" s="93"/>
      <c r="BJ316" s="116">
        <f>-BJ281/BJ274</f>
        <v>-9.058823529411765E-2</v>
      </c>
      <c r="BK316" s="93"/>
      <c r="BL316" s="93"/>
      <c r="BM316" s="93"/>
      <c r="BN316" s="93"/>
      <c r="BO316" s="116">
        <f>-BO281/BO274</f>
        <v>-2.1218343600273786E-2</v>
      </c>
      <c r="BP316" s="117">
        <f t="shared" ref="BP316:CD316" si="152">-BP281/BP274</f>
        <v>0</v>
      </c>
      <c r="BQ316" s="117">
        <f t="shared" si="152"/>
        <v>0</v>
      </c>
      <c r="BR316" s="117">
        <f t="shared" si="152"/>
        <v>0</v>
      </c>
      <c r="BS316" s="117">
        <f t="shared" si="152"/>
        <v>0</v>
      </c>
      <c r="BT316" s="116">
        <f t="shared" si="152"/>
        <v>0</v>
      </c>
      <c r="BU316" s="117">
        <f t="shared" si="152"/>
        <v>0</v>
      </c>
      <c r="BV316" s="117">
        <f t="shared" si="152"/>
        <v>0</v>
      </c>
      <c r="BW316" s="117">
        <f t="shared" si="152"/>
        <v>0</v>
      </c>
      <c r="BX316" s="117">
        <f t="shared" si="152"/>
        <v>0</v>
      </c>
      <c r="BY316" s="116">
        <f t="shared" si="152"/>
        <v>0</v>
      </c>
      <c r="BZ316" s="117">
        <f t="shared" si="152"/>
        <v>0</v>
      </c>
      <c r="CA316" s="117">
        <f t="shared" si="152"/>
        <v>0</v>
      </c>
      <c r="CB316" s="117">
        <f t="shared" si="152"/>
        <v>0</v>
      </c>
      <c r="CC316" s="117">
        <f t="shared" si="152"/>
        <v>0</v>
      </c>
      <c r="CD316" s="116">
        <f t="shared" si="152"/>
        <v>0</v>
      </c>
    </row>
    <row r="317" spans="1:103" hidden="1" outlineLevel="1">
      <c r="A317" s="11"/>
      <c r="B317" s="11"/>
      <c r="C317" s="11"/>
      <c r="D317" s="11"/>
      <c r="E317" s="11"/>
      <c r="F317" s="11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G317" t="s">
        <v>3695</v>
      </c>
      <c r="CI317" s="440">
        <f>COVAR(CH304:CH315,CI304:CI315)/VARP(CH304:CH315)</f>
        <v>-0.40807840426801828</v>
      </c>
    </row>
    <row r="318" spans="1:103" hidden="1" outlineLevel="1">
      <c r="A318" s="11" t="s">
        <v>3095</v>
      </c>
      <c r="B318" s="11"/>
      <c r="C318" s="72"/>
      <c r="D318" s="72"/>
      <c r="E318" s="72"/>
      <c r="F318" s="72"/>
      <c r="G318" s="116">
        <f>-G284/G282</f>
        <v>0.48783957726441302</v>
      </c>
      <c r="H318" s="93"/>
      <c r="I318" s="93"/>
      <c r="J318" s="93"/>
      <c r="K318" s="93"/>
      <c r="L318" s="116">
        <f>-L284/L282</f>
        <v>0.49309090909090908</v>
      </c>
      <c r="M318" s="93"/>
      <c r="N318" s="93"/>
      <c r="O318" s="93"/>
      <c r="P318" s="93"/>
      <c r="Q318" s="116">
        <f>-Q284/Q282</f>
        <v>0.44695518958253544</v>
      </c>
      <c r="R318" s="93"/>
      <c r="S318" s="93"/>
      <c r="T318" s="93"/>
      <c r="U318" s="93"/>
      <c r="V318" s="116">
        <f>-V284/V282</f>
        <v>0.52872467222884389</v>
      </c>
      <c r="W318" s="93"/>
      <c r="X318" s="93"/>
      <c r="Y318" s="93"/>
      <c r="Z318" s="93"/>
      <c r="AA318" s="116">
        <f>-AA284/AA282</f>
        <v>0.63921842288904396</v>
      </c>
      <c r="AB318" s="93"/>
      <c r="AC318" s="93"/>
      <c r="AD318" s="93"/>
      <c r="AE318" s="93"/>
      <c r="AF318" s="116">
        <f>-AF284/AF282</f>
        <v>0.54582074521651558</v>
      </c>
      <c r="AG318" s="93"/>
      <c r="AH318" s="93"/>
      <c r="AI318" s="93"/>
      <c r="AJ318" s="93"/>
      <c r="AK318" s="116">
        <f>-AK284/AK282</f>
        <v>0.48530004027386225</v>
      </c>
      <c r="AL318" s="93"/>
      <c r="AM318" s="93"/>
      <c r="AN318" s="93"/>
      <c r="AO318" s="93"/>
      <c r="AP318" s="116">
        <f>-AP284/AP282</f>
        <v>0.67280334728033475</v>
      </c>
      <c r="AQ318" s="93"/>
      <c r="AR318" s="93"/>
      <c r="AS318" s="93"/>
      <c r="AT318" s="93"/>
      <c r="AU318" s="116">
        <f>-AU284/AU282</f>
        <v>160.5</v>
      </c>
      <c r="AV318" s="93"/>
      <c r="AW318" s="93"/>
      <c r="AX318" s="93"/>
      <c r="AY318" s="93"/>
      <c r="AZ318" s="116">
        <f>-AZ284/AZ282</f>
        <v>1.0561660561660562</v>
      </c>
      <c r="BA318" s="93"/>
      <c r="BB318" s="93"/>
      <c r="BC318" s="93"/>
      <c r="BD318" s="93"/>
      <c r="BE318" s="116">
        <f>-BE284/BE282</f>
        <v>0.10980392156862745</v>
      </c>
      <c r="BF318" s="93"/>
      <c r="BG318" s="93"/>
      <c r="BH318" s="93"/>
      <c r="BI318" s="93"/>
      <c r="BJ318" s="116">
        <f>-BJ284/BJ282</f>
        <v>0.20103626943005182</v>
      </c>
      <c r="BK318" s="93"/>
      <c r="BL318" s="93"/>
      <c r="BM318" s="93"/>
      <c r="BN318" s="93"/>
      <c r="BO318" s="116">
        <f>-BO284/BO282</f>
        <v>-2.4603174603174605</v>
      </c>
      <c r="BP318" s="117">
        <f>BT318</f>
        <v>3.7194614930731382</v>
      </c>
      <c r="BQ318" s="117">
        <f>BT318</f>
        <v>3.7194614930731382</v>
      </c>
      <c r="BR318" s="117">
        <f>BT318</f>
        <v>3.7194614930731382</v>
      </c>
      <c r="BS318" s="117">
        <f>BT318</f>
        <v>3.7194614930731382</v>
      </c>
      <c r="BT318" s="118">
        <f>-(BT282*$CI$317+$CI$318)/BT282</f>
        <v>3.7194614930731382</v>
      </c>
      <c r="BU318" s="117">
        <f>BY318</f>
        <v>3.7170453089256137</v>
      </c>
      <c r="BV318" s="117">
        <f>BY318</f>
        <v>3.7170453089256137</v>
      </c>
      <c r="BW318" s="117">
        <f>BY318</f>
        <v>3.7170453089256137</v>
      </c>
      <c r="BX318" s="117">
        <f>BY318</f>
        <v>3.7170453089256137</v>
      </c>
      <c r="BY318" s="118">
        <f>-(BY282*$CI$317+$CI$318)/BY282</f>
        <v>3.7170453089256137</v>
      </c>
      <c r="BZ318" s="117">
        <f>CD318</f>
        <v>4.0510639563908715</v>
      </c>
      <c r="CA318" s="117">
        <f>CD318</f>
        <v>4.0510639563908715</v>
      </c>
      <c r="CB318" s="117">
        <f>CD318</f>
        <v>4.0510639563908715</v>
      </c>
      <c r="CC318" s="117">
        <f>CD318</f>
        <v>4.0510639563908715</v>
      </c>
      <c r="CD318" s="118">
        <f>-(CD282*$CI$317+$CI$318)/CD282</f>
        <v>4.0510639563908715</v>
      </c>
      <c r="CG318" t="s">
        <v>3696</v>
      </c>
      <c r="CI318">
        <f>AVERAGE(CI304:CI315)-CI317*AVERAGE(CH304:CH315)</f>
        <v>-299.79193660992178</v>
      </c>
    </row>
    <row r="319" spans="1:103" hidden="1" outlineLevel="1">
      <c r="A319" s="11" t="s">
        <v>3471</v>
      </c>
      <c r="B319" s="11"/>
      <c r="C319" s="72"/>
      <c r="D319" s="72"/>
      <c r="E319" s="72"/>
      <c r="F319" s="72"/>
      <c r="G319" s="119">
        <f>(G285-G281-G280-G276)/(G290*0.365)</f>
        <v>9.6962220417629972</v>
      </c>
      <c r="H319" s="93"/>
      <c r="I319" s="93"/>
      <c r="J319" s="93"/>
      <c r="K319" s="93"/>
      <c r="L319" s="119">
        <f>(L285-L281-L280-L276)/(L290*0.365)</f>
        <v>11.088719815985771</v>
      </c>
      <c r="M319" s="93"/>
      <c r="N319" s="93"/>
      <c r="O319" s="93"/>
      <c r="P319" s="93"/>
      <c r="Q319" s="119">
        <f>(Q285-Q281-Q280-Q276)/(Q290*0.365)</f>
        <v>11.596225479396749</v>
      </c>
      <c r="R319" s="93"/>
      <c r="S319" s="93"/>
      <c r="T319" s="93"/>
      <c r="U319" s="93"/>
      <c r="V319" s="119">
        <f>(V285-V281-V280-V276)/(V290*0.365)</f>
        <v>14.942917674748239</v>
      </c>
      <c r="W319" s="93"/>
      <c r="X319" s="93"/>
      <c r="Y319" s="93"/>
      <c r="Z319" s="93"/>
      <c r="AA319" s="119">
        <f>(AA285-AA281-AA280-AA276)/(AA290*0.365)</f>
        <v>6.8066663008307362</v>
      </c>
      <c r="AB319" s="93"/>
      <c r="AC319" s="93"/>
      <c r="AD319" s="93"/>
      <c r="AE319" s="93"/>
      <c r="AF319" s="119">
        <f>(AF285-AF281-AF280-AF276)/(AF290*0.365)</f>
        <v>8.2477528531621154</v>
      </c>
      <c r="AG319" s="93"/>
      <c r="AH319" s="93"/>
      <c r="AI319" s="93"/>
      <c r="AJ319" s="93"/>
      <c r="AK319" s="119">
        <f>(AK285-AK281-AK280-AK276)/(AK290*0.365)</f>
        <v>4.9247683353156928</v>
      </c>
      <c r="AL319" s="93"/>
      <c r="AM319" s="93"/>
      <c r="AN319" s="93"/>
      <c r="AO319" s="93"/>
      <c r="AP319" s="119">
        <f>(AP285-AP281-AP280-AP276)/(AP290*0.365)</f>
        <v>7.8980842289321576</v>
      </c>
      <c r="AQ319" s="93"/>
      <c r="AR319" s="93"/>
      <c r="AS319" s="93"/>
      <c r="AT319" s="93"/>
      <c r="AU319" s="119">
        <f>(AU285-AU281-AU280-AU276)/(AU290*0.365)</f>
        <v>10.131381016386879</v>
      </c>
      <c r="AV319" s="93"/>
      <c r="AW319" s="93"/>
      <c r="AX319" s="93"/>
      <c r="AY319" s="93"/>
      <c r="AZ319" s="119">
        <f>(AZ285-AZ281-AZ280-AZ276)/(AZ290*0.365)</f>
        <v>7.9382724903774893</v>
      </c>
      <c r="BA319" s="93"/>
      <c r="BB319" s="93"/>
      <c r="BC319" s="93"/>
      <c r="BD319" s="93"/>
      <c r="BE319" s="119">
        <f>(BE285-BE281-BE280-BE276)/(BE290*0.365)</f>
        <v>4.6231710389338607</v>
      </c>
      <c r="BF319" s="93"/>
      <c r="BG319" s="93"/>
      <c r="BH319" s="93"/>
      <c r="BI319" s="93"/>
      <c r="BJ319" s="119">
        <f>(BJ285-BJ281-BJ280-BJ276)/(BJ290*0.365)</f>
        <v>3.6771052458710862</v>
      </c>
      <c r="BK319" s="93"/>
      <c r="BL319" s="93"/>
      <c r="BM319" s="93"/>
      <c r="BN319" s="93"/>
      <c r="BO319" s="119">
        <f>(BO285-BO281-BO280-BO276)/(BO290*0.365)</f>
        <v>4.4353928631172552</v>
      </c>
      <c r="BP319" s="93"/>
      <c r="BQ319" s="93"/>
      <c r="BR319" s="93"/>
      <c r="BS319" s="93"/>
      <c r="BT319" s="119">
        <f>(BT285-BT281-BT280-BT276)/(BT290*0.365)</f>
        <v>4.2187156281337428</v>
      </c>
      <c r="BU319" s="93"/>
      <c r="BV319" s="93"/>
      <c r="BW319" s="93"/>
      <c r="BX319" s="93"/>
      <c r="BY319" s="119">
        <f>(BY285-BY281-BY280-BY276)/(BY290*0.365)</f>
        <v>4.1805070099688866</v>
      </c>
      <c r="BZ319" s="93"/>
      <c r="CA319" s="93"/>
      <c r="CB319" s="93"/>
      <c r="CC319" s="93"/>
      <c r="CD319" s="119">
        <f>(CD285-CD281-CD280-CD276)/(CD290*0.365)</f>
        <v>3.9595138393493343</v>
      </c>
      <c r="CG319" t="s">
        <v>3697</v>
      </c>
      <c r="CI319" s="381">
        <f>CORREL(CH304:CH315,CI304:CI315)^2</f>
        <v>0.92189061236208114</v>
      </c>
    </row>
    <row r="320" spans="1:103" collapsed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</row>
    <row r="321" spans="1:90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</row>
    <row r="322" spans="1:90">
      <c r="A322" s="24" t="s">
        <v>120</v>
      </c>
      <c r="B322" s="4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G322" s="24" t="s">
        <v>120</v>
      </c>
    </row>
    <row r="323" spans="1:90">
      <c r="A323" s="10"/>
      <c r="B323" s="10"/>
      <c r="C323" s="31">
        <v>2001</v>
      </c>
      <c r="D323" s="32">
        <v>2002</v>
      </c>
      <c r="E323" s="32">
        <v>2003</v>
      </c>
      <c r="F323" s="32">
        <v>2004</v>
      </c>
      <c r="G323" s="31">
        <v>2005</v>
      </c>
      <c r="H323" s="33" t="str">
        <f>H271</f>
        <v>1Q06</v>
      </c>
      <c r="I323" s="33" t="str">
        <f>I271</f>
        <v>2Q06</v>
      </c>
      <c r="J323" s="33" t="str">
        <f>J271</f>
        <v>3Q06</v>
      </c>
      <c r="K323" s="33" t="str">
        <f>K271</f>
        <v>4Q06</v>
      </c>
      <c r="L323" s="31">
        <v>2006</v>
      </c>
      <c r="M323" s="33" t="str">
        <f>M271</f>
        <v>1Q07</v>
      </c>
      <c r="N323" s="33" t="str">
        <f>N271</f>
        <v>2Q07</v>
      </c>
      <c r="O323" s="33" t="str">
        <f>O271</f>
        <v>3Q07</v>
      </c>
      <c r="P323" s="33" t="str">
        <f>P271</f>
        <v>4Q07</v>
      </c>
      <c r="Q323" s="31">
        <v>2007</v>
      </c>
      <c r="R323" s="33" t="str">
        <f>R271</f>
        <v>1Q08</v>
      </c>
      <c r="S323" s="33" t="str">
        <f>S271</f>
        <v>2Q08</v>
      </c>
      <c r="T323" s="33" t="str">
        <f>T271</f>
        <v>3Q08</v>
      </c>
      <c r="U323" s="33" t="str">
        <f>U271</f>
        <v>4Q08</v>
      </c>
      <c r="V323" s="31">
        <v>2008</v>
      </c>
      <c r="W323" s="33" t="str">
        <f>W271</f>
        <v>1Q09</v>
      </c>
      <c r="X323" s="33" t="str">
        <f>X271</f>
        <v>2Q09</v>
      </c>
      <c r="Y323" s="33" t="str">
        <f>Y271</f>
        <v>3Q09</v>
      </c>
      <c r="Z323" s="33" t="str">
        <f>Z271</f>
        <v>4Q09</v>
      </c>
      <c r="AA323" s="31">
        <v>2009</v>
      </c>
      <c r="AB323" s="33" t="str">
        <f>AB271</f>
        <v>1Q10</v>
      </c>
      <c r="AC323" s="33" t="str">
        <f>AC271</f>
        <v>2Q10</v>
      </c>
      <c r="AD323" s="33" t="str">
        <f>AD271</f>
        <v>3Q10</v>
      </c>
      <c r="AE323" s="33" t="str">
        <f>AE271</f>
        <v>4Q10</v>
      </c>
      <c r="AF323" s="31">
        <v>2010</v>
      </c>
      <c r="AG323" s="33" t="str">
        <f>AG271</f>
        <v>1Q11</v>
      </c>
      <c r="AH323" s="33" t="str">
        <f>AH271</f>
        <v>2Q11</v>
      </c>
      <c r="AI323" s="33" t="str">
        <f>AI271</f>
        <v>3Q11</v>
      </c>
      <c r="AJ323" s="33" t="str">
        <f>AJ271</f>
        <v>4Q11</v>
      </c>
      <c r="AK323" s="31">
        <v>2011</v>
      </c>
      <c r="AL323" s="33" t="s">
        <v>2397</v>
      </c>
      <c r="AM323" s="33" t="s">
        <v>2398</v>
      </c>
      <c r="AN323" s="33" t="s">
        <v>2399</v>
      </c>
      <c r="AO323" s="33" t="s">
        <v>2400</v>
      </c>
      <c r="AP323" s="31">
        <v>2012</v>
      </c>
      <c r="AQ323" s="363" t="s">
        <v>2401</v>
      </c>
      <c r="AR323" s="363" t="s">
        <v>2402</v>
      </c>
      <c r="AS323" s="363" t="s">
        <v>2403</v>
      </c>
      <c r="AT323" s="363" t="s">
        <v>2404</v>
      </c>
      <c r="AU323" s="364">
        <v>2013</v>
      </c>
      <c r="AV323" s="363" t="s">
        <v>2405</v>
      </c>
      <c r="AW323" s="363" t="s">
        <v>2406</v>
      </c>
      <c r="AX323" s="363" t="s">
        <v>2407</v>
      </c>
      <c r="AY323" s="363" t="s">
        <v>2408</v>
      </c>
      <c r="AZ323" s="364">
        <v>2014</v>
      </c>
      <c r="BA323" s="33" t="str">
        <f t="shared" ref="BA323:BI323" si="153">BA$8</f>
        <v>1Q15</v>
      </c>
      <c r="BB323" s="33" t="str">
        <f t="shared" si="153"/>
        <v>2Q15</v>
      </c>
      <c r="BC323" s="33" t="str">
        <f t="shared" si="153"/>
        <v>3Q15</v>
      </c>
      <c r="BD323" s="33" t="str">
        <f t="shared" si="153"/>
        <v>4Q15</v>
      </c>
      <c r="BE323" s="31">
        <f t="shared" si="153"/>
        <v>2015</v>
      </c>
      <c r="BF323" s="33" t="str">
        <f t="shared" si="153"/>
        <v>1Q16</v>
      </c>
      <c r="BG323" s="33" t="str">
        <f t="shared" si="153"/>
        <v>2Q16</v>
      </c>
      <c r="BH323" s="33" t="str">
        <f t="shared" si="153"/>
        <v>3Q16</v>
      </c>
      <c r="BI323" s="33" t="str">
        <f t="shared" si="153"/>
        <v>4Q16</v>
      </c>
      <c r="BJ323" s="31">
        <v>2016</v>
      </c>
      <c r="BK323" s="363" t="s">
        <v>2417</v>
      </c>
      <c r="BL323" s="363" t="s">
        <v>2418</v>
      </c>
      <c r="BM323" s="363" t="s">
        <v>2419</v>
      </c>
      <c r="BN323" s="363" t="s">
        <v>2420</v>
      </c>
      <c r="BO323" s="364">
        <v>2017</v>
      </c>
      <c r="BP323" s="363" t="s">
        <v>2244</v>
      </c>
      <c r="BQ323" s="363" t="s">
        <v>2245</v>
      </c>
      <c r="BR323" s="363" t="s">
        <v>2508</v>
      </c>
      <c r="BS323" s="363" t="s">
        <v>2509</v>
      </c>
      <c r="BT323" s="364">
        <v>2018</v>
      </c>
      <c r="BU323" s="363" t="s">
        <v>2510</v>
      </c>
      <c r="BV323" s="363" t="s">
        <v>2511</v>
      </c>
      <c r="BW323" s="363" t="s">
        <v>3125</v>
      </c>
      <c r="BX323" s="363" t="s">
        <v>1405</v>
      </c>
      <c r="BY323" s="364">
        <v>2019</v>
      </c>
      <c r="BZ323" s="363" t="s">
        <v>1406</v>
      </c>
      <c r="CA323" s="363" t="s">
        <v>1407</v>
      </c>
      <c r="CB323" s="363" t="s">
        <v>1408</v>
      </c>
      <c r="CC323" s="363" t="s">
        <v>1409</v>
      </c>
      <c r="CD323" s="364">
        <v>2020</v>
      </c>
      <c r="CG323" s="364" t="s">
        <v>1043</v>
      </c>
      <c r="CH323" s="364" t="s">
        <v>2637</v>
      </c>
      <c r="CI323" s="364" t="s">
        <v>3715</v>
      </c>
      <c r="CJ323" s="364" t="s">
        <v>3551</v>
      </c>
      <c r="CK323" s="364" t="s">
        <v>3713</v>
      </c>
      <c r="CL323" s="364" t="s">
        <v>3714</v>
      </c>
    </row>
    <row r="324" spans="1:90">
      <c r="A324" s="4" t="s">
        <v>2156</v>
      </c>
      <c r="B324" s="5"/>
      <c r="C324" s="5">
        <v>546</v>
      </c>
      <c r="D324" s="5">
        <v>512</v>
      </c>
      <c r="E324" s="5">
        <v>444</v>
      </c>
      <c r="F324" s="5">
        <v>492</v>
      </c>
      <c r="G324" s="5">
        <v>1350</v>
      </c>
      <c r="H324" s="93"/>
      <c r="I324" s="93"/>
      <c r="J324" s="93"/>
      <c r="K324" s="93"/>
      <c r="L324" s="5">
        <v>1647</v>
      </c>
      <c r="M324" s="93"/>
      <c r="N324" s="93"/>
      <c r="O324" s="93"/>
      <c r="P324" s="93"/>
      <c r="Q324" s="5">
        <v>2219</v>
      </c>
      <c r="R324" s="93"/>
      <c r="S324" s="93"/>
      <c r="T324" s="93"/>
      <c r="U324" s="93"/>
      <c r="V324" s="5">
        <v>3745</v>
      </c>
      <c r="W324" s="93"/>
      <c r="X324" s="93"/>
      <c r="Y324" s="93"/>
      <c r="Z324" s="93"/>
      <c r="AA324" s="5">
        <v>1846</v>
      </c>
      <c r="AB324" s="93"/>
      <c r="AC324" s="93"/>
      <c r="AD324" s="93"/>
      <c r="AE324" s="93"/>
      <c r="AF324" s="5">
        <v>3158</v>
      </c>
      <c r="AG324" s="93"/>
      <c r="AH324" s="93"/>
      <c r="AI324" s="93"/>
      <c r="AJ324" s="93"/>
      <c r="AK324" s="5">
        <v>3353</v>
      </c>
      <c r="AL324" s="93"/>
      <c r="AM324" s="93"/>
      <c r="AN324" s="93"/>
      <c r="AO324" s="93"/>
      <c r="AP324" s="5">
        <v>3424</v>
      </c>
      <c r="AQ324" s="93"/>
      <c r="AR324" s="93"/>
      <c r="AS324" s="93"/>
      <c r="AT324" s="93"/>
      <c r="AU324" s="5">
        <v>3195</v>
      </c>
      <c r="AV324" s="93"/>
      <c r="AW324" s="93"/>
      <c r="AX324" s="93"/>
      <c r="AY324" s="93"/>
      <c r="AZ324" s="5">
        <v>2536</v>
      </c>
      <c r="BA324" s="93"/>
      <c r="BB324" s="93"/>
      <c r="BC324" s="93"/>
      <c r="BD324" s="93"/>
      <c r="BE324" s="5">
        <v>1829</v>
      </c>
      <c r="BF324" s="93"/>
      <c r="BG324" s="93"/>
      <c r="BH324" s="93"/>
      <c r="BI324" s="93"/>
      <c r="BJ324" s="5">
        <v>1215</v>
      </c>
      <c r="BK324" s="93"/>
      <c r="BL324" s="93"/>
      <c r="BM324" s="93"/>
      <c r="BN324" s="93"/>
      <c r="BO324" s="5">
        <v>2211</v>
      </c>
      <c r="BP324" s="72"/>
      <c r="BQ324" s="72"/>
      <c r="BR324" s="72"/>
      <c r="BS324" s="72"/>
      <c r="BT324" s="72"/>
      <c r="BU324" s="72"/>
      <c r="BV324" s="72"/>
      <c r="BW324" s="72"/>
      <c r="BX324" s="72"/>
      <c r="BY324" s="72"/>
      <c r="BZ324" s="72"/>
      <c r="CA324" s="72"/>
      <c r="CB324" s="72"/>
      <c r="CC324" s="72"/>
      <c r="CD324" s="72"/>
      <c r="CG324" s="468">
        <v>2006</v>
      </c>
      <c r="CH324" s="115">
        <f>HLOOKUP(CG324,$A$323:$CD$371,49,FALSE)*HLOOKUP(CG324,$A$323:$CD$371,20,FALSE)*0.365</f>
        <v>2253</v>
      </c>
      <c r="CI324" s="634">
        <v>1</v>
      </c>
      <c r="CJ324" s="115">
        <v>2960.5621956403893</v>
      </c>
      <c r="CK324" s="342">
        <f>CH324*CI324</f>
        <v>2253</v>
      </c>
      <c r="CL324" s="115">
        <f>CK324-CJ324</f>
        <v>-707.56219564038929</v>
      </c>
    </row>
    <row r="325" spans="1:90">
      <c r="A325" s="4" t="s">
        <v>2157</v>
      </c>
      <c r="B325" s="5"/>
      <c r="C325" s="5">
        <v>526</v>
      </c>
      <c r="D325" s="5">
        <v>1015</v>
      </c>
      <c r="E325" s="5">
        <v>974</v>
      </c>
      <c r="F325" s="5">
        <v>1439</v>
      </c>
      <c r="G325" s="5">
        <v>2402</v>
      </c>
      <c r="H325" s="93"/>
      <c r="I325" s="93"/>
      <c r="J325" s="93"/>
      <c r="K325" s="93"/>
      <c r="L325" s="5">
        <v>2875</v>
      </c>
      <c r="M325" s="93"/>
      <c r="N325" s="93"/>
      <c r="O325" s="93"/>
      <c r="P325" s="93"/>
      <c r="Q325" s="5">
        <v>3223</v>
      </c>
      <c r="R325" s="93"/>
      <c r="S325" s="93"/>
      <c r="T325" s="93"/>
      <c r="U325" s="93"/>
      <c r="V325" s="5">
        <v>6022</v>
      </c>
      <c r="W325" s="93"/>
      <c r="X325" s="93"/>
      <c r="Y325" s="93"/>
      <c r="Z325" s="93"/>
      <c r="AA325" s="5">
        <v>5313</v>
      </c>
      <c r="AB325" s="93"/>
      <c r="AC325" s="93"/>
      <c r="AD325" s="93"/>
      <c r="AE325" s="93"/>
      <c r="AF325" s="5">
        <v>4353</v>
      </c>
      <c r="AG325" s="93"/>
      <c r="AH325" s="93"/>
      <c r="AI325" s="93"/>
      <c r="AJ325" s="93"/>
      <c r="AK325" s="5">
        <v>4858</v>
      </c>
      <c r="AL325" s="93"/>
      <c r="AM325" s="93"/>
      <c r="AN325" s="93"/>
      <c r="AO325" s="93"/>
      <c r="AP325" s="5">
        <v>5633</v>
      </c>
      <c r="AQ325" s="93"/>
      <c r="AR325" s="93"/>
      <c r="AS325" s="93"/>
      <c r="AT325" s="93"/>
      <c r="AU325" s="5">
        <v>6518</v>
      </c>
      <c r="AV325" s="93"/>
      <c r="AW325" s="93"/>
      <c r="AX325" s="93"/>
      <c r="AY325" s="93"/>
      <c r="AZ325" s="5">
        <v>6289</v>
      </c>
      <c r="BA325" s="93"/>
      <c r="BB325" s="93"/>
      <c r="BC325" s="93"/>
      <c r="BD325" s="93"/>
      <c r="BE325" s="5">
        <v>4005</v>
      </c>
      <c r="BF325" s="93"/>
      <c r="BG325" s="93"/>
      <c r="BH325" s="93"/>
      <c r="BI325" s="93"/>
      <c r="BJ325" s="5">
        <v>3391</v>
      </c>
      <c r="BK325" s="93"/>
      <c r="BL325" s="93"/>
      <c r="BM325" s="93"/>
      <c r="BN325" s="93"/>
      <c r="BO325" s="5">
        <v>4022</v>
      </c>
      <c r="BP325" s="72"/>
      <c r="BQ325" s="72"/>
      <c r="BR325" s="72"/>
      <c r="BS325" s="72"/>
      <c r="BT325" s="72"/>
      <c r="BU325" s="72"/>
      <c r="BV325" s="72"/>
      <c r="BW325" s="72"/>
      <c r="BX325" s="72"/>
      <c r="BY325" s="72"/>
      <c r="BZ325" s="72"/>
      <c r="CA325" s="72"/>
      <c r="CB325" s="72"/>
      <c r="CC325" s="72"/>
      <c r="CD325" s="72"/>
      <c r="CG325" s="468">
        <v>2007</v>
      </c>
      <c r="CH325" s="115">
        <f t="shared" ref="CH325:CH338" si="154">HLOOKUP(CG325,$A$323:$CD$371,49,FALSE)*HLOOKUP(CG325,$A$323:$CD$371,20,FALSE)*0.365</f>
        <v>3119</v>
      </c>
      <c r="CI325" s="634">
        <v>1</v>
      </c>
      <c r="CJ325" s="115">
        <v>4257.4596177379053</v>
      </c>
      <c r="CK325" s="342">
        <f t="shared" ref="CK325:CK338" si="155">CH325*CI325</f>
        <v>3119</v>
      </c>
      <c r="CL325" s="115">
        <f t="shared" ref="CL325:CL338" si="156">CK325-CJ325</f>
        <v>-1138.4596177379053</v>
      </c>
    </row>
    <row r="326" spans="1:90">
      <c r="A326" s="7" t="s">
        <v>2155</v>
      </c>
      <c r="B326" s="8"/>
      <c r="C326" s="8">
        <f>C324+C325</f>
        <v>1072</v>
      </c>
      <c r="D326" s="8">
        <f>D324+D325</f>
        <v>1527</v>
      </c>
      <c r="E326" s="8">
        <f>E324+E325</f>
        <v>1418</v>
      </c>
      <c r="F326" s="8">
        <f>F324+F325</f>
        <v>1931</v>
      </c>
      <c r="G326" s="8">
        <f>G324+G325</f>
        <v>3752</v>
      </c>
      <c r="H326" s="93"/>
      <c r="I326" s="93"/>
      <c r="J326" s="93"/>
      <c r="K326" s="93"/>
      <c r="L326" s="8">
        <f>L324+L325</f>
        <v>4522</v>
      </c>
      <c r="M326" s="93"/>
      <c r="N326" s="93"/>
      <c r="O326" s="93"/>
      <c r="P326" s="93"/>
      <c r="Q326" s="8">
        <f>Q324+Q325</f>
        <v>5442</v>
      </c>
      <c r="R326" s="93"/>
      <c r="S326" s="93"/>
      <c r="T326" s="93"/>
      <c r="U326" s="93"/>
      <c r="V326" s="8">
        <f>V324+V325</f>
        <v>9767</v>
      </c>
      <c r="W326" s="93"/>
      <c r="X326" s="93"/>
      <c r="Y326" s="93"/>
      <c r="Z326" s="93"/>
      <c r="AA326" s="8">
        <f>AA324+AA325</f>
        <v>7159</v>
      </c>
      <c r="AB326" s="93"/>
      <c r="AC326" s="93"/>
      <c r="AD326" s="93"/>
      <c r="AE326" s="93"/>
      <c r="AF326" s="8">
        <f>AF324+AF325</f>
        <v>7511</v>
      </c>
      <c r="AG326" s="93"/>
      <c r="AH326" s="93"/>
      <c r="AI326" s="93"/>
      <c r="AJ326" s="93"/>
      <c r="AK326" s="8">
        <f>AK324+AK325</f>
        <v>8211</v>
      </c>
      <c r="AL326" s="93"/>
      <c r="AM326" s="93"/>
      <c r="AN326" s="93"/>
      <c r="AO326" s="93"/>
      <c r="AP326" s="8">
        <v>9057</v>
      </c>
      <c r="AQ326" s="93"/>
      <c r="AR326" s="93"/>
      <c r="AS326" s="93"/>
      <c r="AT326" s="93"/>
      <c r="AU326" s="8">
        <v>9713</v>
      </c>
      <c r="AV326" s="93"/>
      <c r="AW326" s="93"/>
      <c r="AX326" s="93"/>
      <c r="AY326" s="93"/>
      <c r="AZ326" s="8">
        <f>+AZ324+AZ325</f>
        <v>8825</v>
      </c>
      <c r="BA326" s="93"/>
      <c r="BB326" s="93"/>
      <c r="BC326" s="93"/>
      <c r="BD326" s="93"/>
      <c r="BE326" s="8">
        <f>+BE324+BE325</f>
        <v>5834</v>
      </c>
      <c r="BF326" s="93"/>
      <c r="BG326" s="93"/>
      <c r="BH326" s="93"/>
      <c r="BI326" s="93"/>
      <c r="BJ326" s="8">
        <f>+BJ324+BJ325</f>
        <v>4606</v>
      </c>
      <c r="BK326" s="93"/>
      <c r="BL326" s="93"/>
      <c r="BM326" s="93"/>
      <c r="BN326" s="93"/>
      <c r="BO326" s="8">
        <f>+BO324+BO325</f>
        <v>6233</v>
      </c>
      <c r="BP326" s="19">
        <f t="shared" ref="BP326:CD326" si="157">BP348*(1+BP349)</f>
        <v>1879.0811971972864</v>
      </c>
      <c r="BQ326" s="19">
        <f t="shared" si="157"/>
        <v>1938.0339967698819</v>
      </c>
      <c r="BR326" s="19">
        <f t="shared" si="157"/>
        <v>1949.423551544375</v>
      </c>
      <c r="BS326" s="19">
        <f t="shared" si="157"/>
        <v>1929.839866263794</v>
      </c>
      <c r="BT326" s="8">
        <f t="shared" si="157"/>
        <v>7696.378611775337</v>
      </c>
      <c r="BU326" s="19">
        <f t="shared" si="157"/>
        <v>1924.5358207777763</v>
      </c>
      <c r="BV326" s="19">
        <f t="shared" si="157"/>
        <v>1918.8673073038353</v>
      </c>
      <c r="BW326" s="19">
        <f t="shared" si="157"/>
        <v>1937.0589546135304</v>
      </c>
      <c r="BX326" s="19">
        <f t="shared" si="157"/>
        <v>1944.4068670075328</v>
      </c>
      <c r="BY326" s="8">
        <f t="shared" si="157"/>
        <v>7724.8689497026753</v>
      </c>
      <c r="BZ326" s="19">
        <f t="shared" si="157"/>
        <v>1954.6184475971525</v>
      </c>
      <c r="CA326" s="19">
        <f t="shared" si="157"/>
        <v>1966.6395123311995</v>
      </c>
      <c r="CB326" s="19">
        <f t="shared" si="157"/>
        <v>2004.4551522012537</v>
      </c>
      <c r="CC326" s="19">
        <f t="shared" si="157"/>
        <v>2024.4393017923403</v>
      </c>
      <c r="CD326" s="8">
        <f t="shared" si="157"/>
        <v>7950.1524139219464</v>
      </c>
      <c r="CG326" s="468">
        <v>2008</v>
      </c>
      <c r="CH326" s="115">
        <f t="shared" si="154"/>
        <v>6342.0000000000009</v>
      </c>
      <c r="CI326" s="634">
        <v>1</v>
      </c>
      <c r="CJ326" s="115">
        <v>6303.1455269293256</v>
      </c>
      <c r="CK326" s="342">
        <f t="shared" si="155"/>
        <v>6342.0000000000009</v>
      </c>
      <c r="CL326" s="115">
        <f t="shared" si="156"/>
        <v>38.85447307067534</v>
      </c>
    </row>
    <row r="327" spans="1:90">
      <c r="A327" s="4"/>
      <c r="B327" s="5"/>
      <c r="C327" s="5"/>
      <c r="D327" s="5"/>
      <c r="E327" s="5"/>
      <c r="F327" s="5"/>
      <c r="G327" s="5"/>
      <c r="H327" s="12"/>
      <c r="I327" s="12"/>
      <c r="J327" s="12"/>
      <c r="K327" s="12"/>
      <c r="L327" s="5"/>
      <c r="M327" s="12"/>
      <c r="N327" s="12"/>
      <c r="O327" s="12"/>
      <c r="P327" s="12"/>
      <c r="Q327" s="5"/>
      <c r="R327" s="12"/>
      <c r="S327" s="12"/>
      <c r="T327" s="12"/>
      <c r="U327" s="12"/>
      <c r="V327" s="5"/>
      <c r="W327" s="12"/>
      <c r="X327" s="12"/>
      <c r="Y327" s="12"/>
      <c r="Z327" s="12"/>
      <c r="AA327" s="5"/>
      <c r="AB327" s="12"/>
      <c r="AC327" s="12"/>
      <c r="AD327" s="12"/>
      <c r="AE327" s="12"/>
      <c r="AF327" s="5"/>
      <c r="AG327" s="12"/>
      <c r="AH327" s="12"/>
      <c r="AI327" s="12"/>
      <c r="AJ327" s="12"/>
      <c r="AK327" s="5"/>
      <c r="AL327" s="12"/>
      <c r="AM327" s="12"/>
      <c r="AN327" s="12"/>
      <c r="AO327" s="12"/>
      <c r="AP327" s="5"/>
      <c r="AQ327" s="12"/>
      <c r="AR327" s="12"/>
      <c r="AS327" s="12"/>
      <c r="AT327" s="12"/>
      <c r="AU327" s="5"/>
      <c r="AV327" s="12"/>
      <c r="AW327" s="12"/>
      <c r="AX327" s="12"/>
      <c r="AY327" s="12"/>
      <c r="AZ327" s="5"/>
      <c r="BA327" s="12"/>
      <c r="BB327" s="12"/>
      <c r="BC327" s="12"/>
      <c r="BD327" s="12"/>
      <c r="BE327" s="5"/>
      <c r="BF327" s="12"/>
      <c r="BG327" s="12"/>
      <c r="BH327" s="12"/>
      <c r="BI327" s="12"/>
      <c r="BJ327" s="5"/>
      <c r="BK327" s="12"/>
      <c r="BL327" s="12"/>
      <c r="BM327" s="12"/>
      <c r="BN327" s="12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G327" s="468">
        <v>2009</v>
      </c>
      <c r="CH327" s="115">
        <f t="shared" si="154"/>
        <v>4590</v>
      </c>
      <c r="CI327" s="634">
        <v>1</v>
      </c>
      <c r="CJ327" s="115">
        <v>4401.1887267069851</v>
      </c>
      <c r="CK327" s="342">
        <f t="shared" si="155"/>
        <v>4590</v>
      </c>
      <c r="CL327" s="115">
        <f t="shared" si="156"/>
        <v>188.81127329301489</v>
      </c>
    </row>
    <row r="328" spans="1:90">
      <c r="A328" s="4" t="s">
        <v>1897</v>
      </c>
      <c r="B328" s="5"/>
      <c r="C328" s="5">
        <v>-43</v>
      </c>
      <c r="D328" s="5">
        <v>-50</v>
      </c>
      <c r="E328" s="5">
        <v>-32</v>
      </c>
      <c r="F328" s="5">
        <v>-45</v>
      </c>
      <c r="G328" s="5">
        <v>-81</v>
      </c>
      <c r="H328" s="93"/>
      <c r="I328" s="93"/>
      <c r="J328" s="93"/>
      <c r="K328" s="93"/>
      <c r="L328" s="5">
        <v>-132</v>
      </c>
      <c r="M328" s="93"/>
      <c r="N328" s="93"/>
      <c r="O328" s="93"/>
      <c r="P328" s="93"/>
      <c r="Q328" s="5">
        <v>-183</v>
      </c>
      <c r="R328" s="93"/>
      <c r="S328" s="93"/>
      <c r="T328" s="93"/>
      <c r="U328" s="93"/>
      <c r="V328" s="5">
        <v>-213</v>
      </c>
      <c r="W328" s="93"/>
      <c r="X328" s="93"/>
      <c r="Y328" s="93"/>
      <c r="Z328" s="93"/>
      <c r="AA328" s="5">
        <v>-219</v>
      </c>
      <c r="AB328" s="93"/>
      <c r="AC328" s="93"/>
      <c r="AD328" s="93"/>
      <c r="AE328" s="93"/>
      <c r="AF328" s="5">
        <v>-189</v>
      </c>
      <c r="AG328" s="93"/>
      <c r="AH328" s="93"/>
      <c r="AI328" s="93"/>
      <c r="AJ328" s="93"/>
      <c r="AK328" s="5">
        <v>-163</v>
      </c>
      <c r="AL328" s="93"/>
      <c r="AM328" s="93"/>
      <c r="AN328" s="93"/>
      <c r="AO328" s="93"/>
      <c r="AP328" s="5">
        <v>-310</v>
      </c>
      <c r="AQ328" s="93"/>
      <c r="AR328" s="93"/>
      <c r="AS328" s="93"/>
      <c r="AT328" s="93"/>
      <c r="AU328" s="5">
        <v>-387</v>
      </c>
      <c r="AV328" s="93"/>
      <c r="AW328" s="93"/>
      <c r="AX328" s="93"/>
      <c r="AY328" s="93"/>
      <c r="AZ328" s="5">
        <v>-860</v>
      </c>
      <c r="BA328" s="93"/>
      <c r="BB328" s="93"/>
      <c r="BC328" s="93"/>
      <c r="BD328" s="93"/>
      <c r="BE328" s="5">
        <v>-1001</v>
      </c>
      <c r="BF328" s="93"/>
      <c r="BG328" s="93"/>
      <c r="BH328" s="93"/>
      <c r="BI328" s="93"/>
      <c r="BJ328" s="5">
        <v>-87</v>
      </c>
      <c r="BK328" s="93"/>
      <c r="BL328" s="93"/>
      <c r="BM328" s="93"/>
      <c r="BN328" s="93"/>
      <c r="BO328" s="5">
        <v>-1346</v>
      </c>
      <c r="BP328" s="12">
        <f>-Capex!BP122</f>
        <v>-131.25</v>
      </c>
      <c r="BQ328" s="12">
        <f>-Capex!BQ122</f>
        <v>-84.941111111111098</v>
      </c>
      <c r="BR328" s="12">
        <f>-Capex!BR122</f>
        <v>-84.941111111111098</v>
      </c>
      <c r="BS328" s="12">
        <f>-Capex!BS122</f>
        <v>-84.941111111111098</v>
      </c>
      <c r="BT328" s="5">
        <f>SUM(BP328:BS328)</f>
        <v>-386.07333333333327</v>
      </c>
      <c r="BU328" s="12">
        <f>-Capex!BU122</f>
        <v>-79.132083333333327</v>
      </c>
      <c r="BV328" s="12">
        <f>-Capex!BV122</f>
        <v>-79.132083333333327</v>
      </c>
      <c r="BW328" s="12">
        <f>-Capex!BW122</f>
        <v>-79.132083333333327</v>
      </c>
      <c r="BX328" s="12">
        <f>-Capex!BX122</f>
        <v>-79.132083333333341</v>
      </c>
      <c r="BY328" s="5">
        <f>SUM(BU328:BX328)</f>
        <v>-316.52833333333331</v>
      </c>
      <c r="BZ328" s="12">
        <f>-Capex!BZ122</f>
        <v>-50.960000000000008</v>
      </c>
      <c r="CA328" s="12">
        <f>-Capex!CA122</f>
        <v>-50.960000000000008</v>
      </c>
      <c r="CB328" s="12">
        <f>-Capex!CB122</f>
        <v>-50.960000000000008</v>
      </c>
      <c r="CC328" s="12">
        <f>-Capex!CC122</f>
        <v>-50.960000000000008</v>
      </c>
      <c r="CD328" s="5">
        <f>SUM(BZ328:CC328)</f>
        <v>-203.84000000000003</v>
      </c>
      <c r="CG328" s="468">
        <v>2010</v>
      </c>
      <c r="CH328" s="115">
        <f t="shared" si="154"/>
        <v>4671.9999999999991</v>
      </c>
      <c r="CI328" s="634">
        <v>1</v>
      </c>
      <c r="CJ328" s="115">
        <v>4532.0388751618775</v>
      </c>
      <c r="CK328" s="342">
        <f t="shared" si="155"/>
        <v>4671.9999999999991</v>
      </c>
      <c r="CL328" s="115">
        <f t="shared" si="156"/>
        <v>139.96112483812158</v>
      </c>
    </row>
    <row r="329" spans="1:90">
      <c r="A329" s="4" t="s">
        <v>2149</v>
      </c>
      <c r="B329" s="5"/>
      <c r="C329" s="5">
        <v>-228</v>
      </c>
      <c r="D329" s="5">
        <v>-237</v>
      </c>
      <c r="E329" s="5">
        <v>-241</v>
      </c>
      <c r="F329" s="5">
        <v>-323</v>
      </c>
      <c r="G329" s="5">
        <v>-460.33333333333331</v>
      </c>
      <c r="H329" s="93"/>
      <c r="I329" s="93"/>
      <c r="J329" s="93"/>
      <c r="K329" s="93"/>
      <c r="L329" s="5">
        <v>-509</v>
      </c>
      <c r="M329" s="93"/>
      <c r="N329" s="93"/>
      <c r="O329" s="93"/>
      <c r="P329" s="93"/>
      <c r="Q329" s="5">
        <v>-637</v>
      </c>
      <c r="R329" s="93"/>
      <c r="S329" s="93"/>
      <c r="T329" s="93"/>
      <c r="U329" s="93"/>
      <c r="V329" s="5">
        <v>-875</v>
      </c>
      <c r="W329" s="93"/>
      <c r="X329" s="93"/>
      <c r="Y329" s="93"/>
      <c r="Z329" s="93"/>
      <c r="AA329" s="5">
        <v>-908</v>
      </c>
      <c r="AB329" s="93"/>
      <c r="AC329" s="93"/>
      <c r="AD329" s="93"/>
      <c r="AE329" s="93"/>
      <c r="AF329" s="5">
        <v>-938</v>
      </c>
      <c r="AG329" s="93"/>
      <c r="AH329" s="93"/>
      <c r="AI329" s="93"/>
      <c r="AJ329" s="93"/>
      <c r="AK329" s="5">
        <v>-1146</v>
      </c>
      <c r="AL329" s="93"/>
      <c r="AM329" s="93"/>
      <c r="AN329" s="93"/>
      <c r="AO329" s="93"/>
      <c r="AP329" s="5">
        <v>-1323</v>
      </c>
      <c r="AQ329" s="93"/>
      <c r="AR329" s="93"/>
      <c r="AS329" s="93"/>
      <c r="AT329" s="93"/>
      <c r="AU329" s="5">
        <v>-1623</v>
      </c>
      <c r="AV329" s="93"/>
      <c r="AW329" s="93"/>
      <c r="AX329" s="93"/>
      <c r="AY329" s="93"/>
      <c r="AZ329" s="5">
        <v>-1542</v>
      </c>
      <c r="BA329" s="93"/>
      <c r="BB329" s="93"/>
      <c r="BC329" s="93"/>
      <c r="BD329" s="93"/>
      <c r="BE329" s="5">
        <v>-1521</v>
      </c>
      <c r="BF329" s="93"/>
      <c r="BG329" s="93"/>
      <c r="BH329" s="93"/>
      <c r="BI329" s="93"/>
      <c r="BJ329" s="5">
        <v>-1220</v>
      </c>
      <c r="BK329" s="93"/>
      <c r="BL329" s="93"/>
      <c r="BM329" s="93"/>
      <c r="BN329" s="93"/>
      <c r="BO329" s="5">
        <v>-979</v>
      </c>
      <c r="BP329" s="65">
        <f>-BP342*BP353*'Key assumptions'!BP$48/1000</f>
        <v>-261.13899492173545</v>
      </c>
      <c r="BQ329" s="65">
        <f>-BQ342*BQ353*'Key assumptions'!BQ$48/1000</f>
        <v>-260.65177764161564</v>
      </c>
      <c r="BR329" s="65">
        <f>-BR342*BR353*'Key assumptions'!BR$48/1000</f>
        <v>-264.40885786832519</v>
      </c>
      <c r="BS329" s="65">
        <f>-BS342*BS353*'Key assumptions'!BS$48/1000</f>
        <v>-265.94275834554014</v>
      </c>
      <c r="BT329" s="5">
        <f>SUM(BP329:BS329)</f>
        <v>-1052.1423887772164</v>
      </c>
      <c r="BU329" s="65">
        <f>-BU342*BU353*'Key assumptions'!BU$48/1000</f>
        <v>-285.72842720129455</v>
      </c>
      <c r="BV329" s="65">
        <f>-BV342*BV353*'Key assumptions'!BV$48/1000</f>
        <v>-284.65722891759037</v>
      </c>
      <c r="BW329" s="65">
        <f>-BW342*BW353*'Key assumptions'!BW$48/1000</f>
        <v>-288.90393528614965</v>
      </c>
      <c r="BX329" s="65">
        <f>-BX342*BX353*'Key assumptions'!BX$48/1000</f>
        <v>-290.82584025882551</v>
      </c>
      <c r="BY329" s="5">
        <f>SUM(BU329:BX329)</f>
        <v>-1150.1154316638601</v>
      </c>
      <c r="BZ329" s="65">
        <f>-BZ342*BZ353*'Key assumptions'!BZ$48/1000</f>
        <v>-319.07061341701683</v>
      </c>
      <c r="CA329" s="65">
        <f>-CA342*CA353*'Key assumptions'!CA$48/1000</f>
        <v>-313.92227265679355</v>
      </c>
      <c r="CB329" s="65">
        <f>-CB342*CB353*'Key assumptions'!CB$48/1000</f>
        <v>-318.72830701862068</v>
      </c>
      <c r="CC329" s="65">
        <f>-CC342*CC353*'Key assumptions'!CC$48/1000</f>
        <v>-321.05866929320007</v>
      </c>
      <c r="CD329" s="5">
        <f>SUM(BZ329:CC329)</f>
        <v>-1272.7798623856311</v>
      </c>
      <c r="CG329" s="468">
        <v>2011</v>
      </c>
      <c r="CH329" s="115">
        <f t="shared" si="154"/>
        <v>4666</v>
      </c>
      <c r="CI329" s="634">
        <v>1</v>
      </c>
      <c r="CJ329" s="115">
        <v>4821.1763945026341</v>
      </c>
      <c r="CK329" s="342">
        <f t="shared" si="155"/>
        <v>4666</v>
      </c>
      <c r="CL329" s="115">
        <f t="shared" si="156"/>
        <v>-155.17639450263414</v>
      </c>
    </row>
    <row r="330" spans="1:90">
      <c r="A330" s="4" t="s">
        <v>2150</v>
      </c>
      <c r="B330" s="5"/>
      <c r="C330" s="5">
        <v>-2</v>
      </c>
      <c r="D330" s="5">
        <v>0</v>
      </c>
      <c r="E330" s="5">
        <v>0</v>
      </c>
      <c r="F330" s="5">
        <v>0</v>
      </c>
      <c r="G330" s="5">
        <v>0</v>
      </c>
      <c r="H330" s="93"/>
      <c r="I330" s="93"/>
      <c r="J330" s="93"/>
      <c r="K330" s="93"/>
      <c r="L330" s="5">
        <v>0</v>
      </c>
      <c r="M330" s="93"/>
      <c r="N330" s="93"/>
      <c r="O330" s="93"/>
      <c r="P330" s="93"/>
      <c r="Q330" s="5">
        <v>0</v>
      </c>
      <c r="R330" s="93"/>
      <c r="S330" s="93"/>
      <c r="T330" s="93"/>
      <c r="U330" s="93"/>
      <c r="V330" s="5">
        <v>0</v>
      </c>
      <c r="W330" s="93"/>
      <c r="X330" s="93"/>
      <c r="Y330" s="93"/>
      <c r="Z330" s="93"/>
      <c r="AA330" s="5">
        <v>0</v>
      </c>
      <c r="AB330" s="93"/>
      <c r="AC330" s="93"/>
      <c r="AD330" s="93"/>
      <c r="AE330" s="93"/>
      <c r="AF330" s="5">
        <v>0</v>
      </c>
      <c r="AG330" s="93"/>
      <c r="AH330" s="93"/>
      <c r="AI330" s="93"/>
      <c r="AJ330" s="93"/>
      <c r="AK330" s="5">
        <v>0</v>
      </c>
      <c r="AL330" s="93"/>
      <c r="AM330" s="93"/>
      <c r="AN330" s="93"/>
      <c r="AO330" s="93"/>
      <c r="AP330" s="5">
        <v>0</v>
      </c>
      <c r="AQ330" s="93"/>
      <c r="AR330" s="93"/>
      <c r="AS330" s="93"/>
      <c r="AT330" s="93"/>
      <c r="AU330" s="5">
        <v>0</v>
      </c>
      <c r="AV330" s="93"/>
      <c r="AW330" s="93"/>
      <c r="AX330" s="93"/>
      <c r="AY330" s="93"/>
      <c r="AZ330" s="5">
        <f>SUM(AV330:AY330)</f>
        <v>0</v>
      </c>
      <c r="BA330" s="93"/>
      <c r="BB330" s="93"/>
      <c r="BC330" s="93"/>
      <c r="BD330" s="93"/>
      <c r="BE330" s="5">
        <v>0</v>
      </c>
      <c r="BF330" s="93"/>
      <c r="BG330" s="93"/>
      <c r="BH330" s="93"/>
      <c r="BI330" s="93"/>
      <c r="BJ330" s="5">
        <v>0</v>
      </c>
      <c r="BK330" s="93"/>
      <c r="BL330" s="93"/>
      <c r="BM330" s="93"/>
      <c r="BN330" s="93"/>
      <c r="BO330" s="5">
        <v>0</v>
      </c>
      <c r="BP330" s="12">
        <f>-BP326*BP365</f>
        <v>0</v>
      </c>
      <c r="BQ330" s="12">
        <f>-BQ326*BQ365</f>
        <v>0</v>
      </c>
      <c r="BR330" s="12">
        <f>-BR326*BR365</f>
        <v>0</v>
      </c>
      <c r="BS330" s="12">
        <f>-BS326*BS365</f>
        <v>0</v>
      </c>
      <c r="BT330" s="5">
        <f>SUM(BP330:BS330)</f>
        <v>0</v>
      </c>
      <c r="BU330" s="12">
        <f>-BU326*BU365</f>
        <v>0</v>
      </c>
      <c r="BV330" s="12">
        <f>-BV326*BV365</f>
        <v>0</v>
      </c>
      <c r="BW330" s="12">
        <f>-BW326*BW365</f>
        <v>0</v>
      </c>
      <c r="BX330" s="12">
        <f>-BX326*BX365</f>
        <v>0</v>
      </c>
      <c r="BY330" s="5">
        <f>SUM(BU330:BX330)</f>
        <v>0</v>
      </c>
      <c r="BZ330" s="12">
        <f>-BZ326*BZ365</f>
        <v>0</v>
      </c>
      <c r="CA330" s="12">
        <f>-CA326*CA365</f>
        <v>0</v>
      </c>
      <c r="CB330" s="12">
        <f>-CB326*CB365</f>
        <v>0</v>
      </c>
      <c r="CC330" s="12">
        <f>-CC326*CC365</f>
        <v>0</v>
      </c>
      <c r="CD330" s="5">
        <f>SUM(BZ330:CC330)</f>
        <v>0</v>
      </c>
      <c r="CG330" s="468">
        <v>2012</v>
      </c>
      <c r="CH330" s="115">
        <f t="shared" si="154"/>
        <v>5142</v>
      </c>
      <c r="CI330" s="634">
        <v>1</v>
      </c>
      <c r="CJ330" s="115">
        <v>5382.4423504374954</v>
      </c>
      <c r="CK330" s="342">
        <f t="shared" si="155"/>
        <v>5142</v>
      </c>
      <c r="CL330" s="115">
        <f t="shared" si="156"/>
        <v>-240.44235043749541</v>
      </c>
    </row>
    <row r="331" spans="1:90">
      <c r="A331" s="4" t="s">
        <v>2158</v>
      </c>
      <c r="B331" s="5"/>
      <c r="C331" s="5">
        <v>-224</v>
      </c>
      <c r="D331" s="5">
        <v>-331</v>
      </c>
      <c r="E331" s="5">
        <v>-38</v>
      </c>
      <c r="F331" s="5">
        <v>-122</v>
      </c>
      <c r="G331" s="5">
        <v>-98</v>
      </c>
      <c r="H331" s="93"/>
      <c r="I331" s="93"/>
      <c r="J331" s="93"/>
      <c r="K331" s="93"/>
      <c r="L331" s="5">
        <v>-432</v>
      </c>
      <c r="M331" s="93"/>
      <c r="N331" s="93"/>
      <c r="O331" s="93"/>
      <c r="P331" s="93"/>
      <c r="Q331" s="5">
        <v>-224</v>
      </c>
      <c r="R331" s="93"/>
      <c r="S331" s="93"/>
      <c r="T331" s="93"/>
      <c r="U331" s="93"/>
      <c r="V331" s="5">
        <v>122</v>
      </c>
      <c r="W331" s="93"/>
      <c r="X331" s="93"/>
      <c r="Y331" s="93"/>
      <c r="Z331" s="93"/>
      <c r="AA331" s="5">
        <v>-144</v>
      </c>
      <c r="AB331" s="93"/>
      <c r="AC331" s="93"/>
      <c r="AD331" s="93"/>
      <c r="AE331" s="93"/>
      <c r="AF331" s="5">
        <v>-130</v>
      </c>
      <c r="AG331" s="93"/>
      <c r="AH331" s="93"/>
      <c r="AI331" s="93"/>
      <c r="AJ331" s="93"/>
      <c r="AK331" s="5">
        <v>-215</v>
      </c>
      <c r="AL331" s="93"/>
      <c r="AM331" s="93"/>
      <c r="AN331" s="93"/>
      <c r="AO331" s="93"/>
      <c r="AP331" s="5">
        <v>-221</v>
      </c>
      <c r="AQ331" s="93"/>
      <c r="AR331" s="93"/>
      <c r="AS331" s="93"/>
      <c r="AT331" s="93"/>
      <c r="AU331" s="5">
        <v>-89</v>
      </c>
      <c r="AV331" s="93"/>
      <c r="AW331" s="93"/>
      <c r="AX331" s="93"/>
      <c r="AY331" s="93"/>
      <c r="AZ331" s="5">
        <v>-120</v>
      </c>
      <c r="BA331" s="93"/>
      <c r="BB331" s="93"/>
      <c r="BC331" s="93"/>
      <c r="BD331" s="93"/>
      <c r="BE331" s="5">
        <v>-358</v>
      </c>
      <c r="BF331" s="93"/>
      <c r="BG331" s="93"/>
      <c r="BH331" s="93"/>
      <c r="BI331" s="93"/>
      <c r="BJ331" s="5">
        <v>-597</v>
      </c>
      <c r="BK331" s="93"/>
      <c r="BL331" s="93"/>
      <c r="BM331" s="93"/>
      <c r="BN331" s="93"/>
      <c r="BO331" s="5">
        <v>-280</v>
      </c>
      <c r="BP331" s="12">
        <f>BT331/4</f>
        <v>-66.5</v>
      </c>
      <c r="BQ331" s="12">
        <f>(BT331-BP331)/3</f>
        <v>-66.5</v>
      </c>
      <c r="BR331" s="12">
        <f>(BT331-BP331-BQ331)/2</f>
        <v>-66.5</v>
      </c>
      <c r="BS331" s="12">
        <f>BT331-SUM(BP331:BR331)</f>
        <v>-66.5</v>
      </c>
      <c r="BT331" s="147">
        <f>BO331*(1-5%)</f>
        <v>-266</v>
      </c>
      <c r="BU331" s="12">
        <f>BY331/4</f>
        <v>-66.5</v>
      </c>
      <c r="BV331" s="12">
        <f>(BY331-BU331)/3</f>
        <v>-66.5</v>
      </c>
      <c r="BW331" s="12">
        <f>(BY331-BU331-BV331)/2</f>
        <v>-66.5</v>
      </c>
      <c r="BX331" s="12">
        <f>BY331-SUM(BU331:BW331)</f>
        <v>-66.5</v>
      </c>
      <c r="BY331" s="147">
        <f>BT331</f>
        <v>-266</v>
      </c>
      <c r="BZ331" s="12">
        <f>CD331/4</f>
        <v>-66.5</v>
      </c>
      <c r="CA331" s="12">
        <f>(CD331-BZ331)/3</f>
        <v>-66.5</v>
      </c>
      <c r="CB331" s="12">
        <f>(CD331-BZ331-CA331)/2</f>
        <v>-66.5</v>
      </c>
      <c r="CC331" s="12">
        <f>CD331-SUM(BZ331:CB331)</f>
        <v>-66.5</v>
      </c>
      <c r="CD331" s="147">
        <f>BY331</f>
        <v>-266</v>
      </c>
      <c r="CG331" s="468">
        <v>2013</v>
      </c>
      <c r="CH331" s="115">
        <f t="shared" si="154"/>
        <v>6075.9999999999991</v>
      </c>
      <c r="CI331" s="634">
        <v>1</v>
      </c>
      <c r="CJ331" s="115">
        <v>5897.0439481234134</v>
      </c>
      <c r="CK331" s="342">
        <f t="shared" si="155"/>
        <v>6075.9999999999991</v>
      </c>
      <c r="CL331" s="115">
        <f t="shared" si="156"/>
        <v>178.95605187658566</v>
      </c>
    </row>
    <row r="332" spans="1:90">
      <c r="A332" s="4" t="s">
        <v>2154</v>
      </c>
      <c r="B332" s="5"/>
      <c r="C332" s="5">
        <v>-130</v>
      </c>
      <c r="D332" s="5">
        <v>-134</v>
      </c>
      <c r="E332" s="5">
        <v>-219</v>
      </c>
      <c r="F332" s="5">
        <v>-287</v>
      </c>
      <c r="G332" s="5">
        <v>-542</v>
      </c>
      <c r="H332" s="93"/>
      <c r="I332" s="93"/>
      <c r="J332" s="93"/>
      <c r="K332" s="93"/>
      <c r="L332" s="5">
        <v>-865</v>
      </c>
      <c r="M332" s="93"/>
      <c r="N332" s="93"/>
      <c r="O332" s="93"/>
      <c r="P332" s="93"/>
      <c r="Q332" s="5">
        <v>-1372</v>
      </c>
      <c r="R332" s="93"/>
      <c r="S332" s="93"/>
      <c r="T332" s="93"/>
      <c r="U332" s="93"/>
      <c r="V332" s="5">
        <v>-2120</v>
      </c>
      <c r="W332" s="93"/>
      <c r="X332" s="93"/>
      <c r="Y332" s="93"/>
      <c r="Z332" s="93"/>
      <c r="AA332" s="5">
        <v>-2041</v>
      </c>
      <c r="AB332" s="93"/>
      <c r="AC332" s="93"/>
      <c r="AD332" s="93"/>
      <c r="AE332" s="93"/>
      <c r="AF332" s="5">
        <v>-1771</v>
      </c>
      <c r="AG332" s="93"/>
      <c r="AH332" s="93"/>
      <c r="AI332" s="93"/>
      <c r="AJ332" s="93"/>
      <c r="AK332" s="5">
        <v>-1668</v>
      </c>
      <c r="AL332" s="93"/>
      <c r="AM332" s="93"/>
      <c r="AN332" s="93"/>
      <c r="AO332" s="93"/>
      <c r="AP332" s="5">
        <v>-2281</v>
      </c>
      <c r="AQ332" s="93"/>
      <c r="AR332" s="93"/>
      <c r="AS332" s="93"/>
      <c r="AT332" s="93"/>
      <c r="AU332" s="5">
        <v>-3132</v>
      </c>
      <c r="AV332" s="93"/>
      <c r="AW332" s="93"/>
      <c r="AX332" s="93"/>
      <c r="AY332" s="93"/>
      <c r="AZ332" s="5">
        <v>-3343</v>
      </c>
      <c r="BA332" s="93"/>
      <c r="BB332" s="93"/>
      <c r="BC332" s="93"/>
      <c r="BD332" s="93"/>
      <c r="BE332" s="5">
        <v>-3412</v>
      </c>
      <c r="BF332" s="93"/>
      <c r="BG332" s="93"/>
      <c r="BH332" s="93"/>
      <c r="BI332" s="93"/>
      <c r="BJ332" s="5">
        <v>-2937</v>
      </c>
      <c r="BK332" s="93"/>
      <c r="BL332" s="93"/>
      <c r="BM332" s="93"/>
      <c r="BN332" s="93"/>
      <c r="BO332" s="5">
        <v>-3586</v>
      </c>
      <c r="BP332" s="12">
        <f>-BP342*BP356*'Key assumptions'!BP$48/1000</f>
        <v>-1018.06118172511</v>
      </c>
      <c r="BQ332" s="12">
        <f>-BQ342*BQ356*'Key assumptions'!BQ$48/1000</f>
        <v>-1016.1617449898793</v>
      </c>
      <c r="BR332" s="12">
        <f>-BR342*BR356*'Key assumptions'!BR$48/1000</f>
        <v>-1030.808877780546</v>
      </c>
      <c r="BS332" s="12">
        <f>-BS342*BS356*'Key assumptions'!BS$48/1000</f>
        <v>-1036.7888522878011</v>
      </c>
      <c r="BT332" s="5">
        <f>SUM(BP332:BS332)</f>
        <v>-4101.8206567833367</v>
      </c>
      <c r="BU332" s="12">
        <f>-BU342*BU356*'Key assumptions'!BU$48/1000</f>
        <v>-1098.6958015646178</v>
      </c>
      <c r="BV332" s="12">
        <f>-BV342*BV356*'Key assumptions'!BV$48/1000</f>
        <v>-1094.5767817370252</v>
      </c>
      <c r="BW332" s="12">
        <f>-BW342*BW356*'Key assumptions'!BW$48/1000</f>
        <v>-1110.9064081004769</v>
      </c>
      <c r="BX332" s="12">
        <f>-BX342*BX356*'Key assumptions'!BX$48/1000</f>
        <v>-1118.2966035569389</v>
      </c>
      <c r="BY332" s="5">
        <f>SUM(BU332:BX332)</f>
        <v>-4422.475594959059</v>
      </c>
      <c r="BZ332" s="12">
        <f>-BZ342*BZ356*'Key assumptions'!BZ$48/1000</f>
        <v>-1209.9889027946167</v>
      </c>
      <c r="CA332" s="12">
        <f>-CA342*CA356*'Key assumptions'!CA$48/1000</f>
        <v>-1190.4652145396485</v>
      </c>
      <c r="CB332" s="12">
        <f>-CB342*CB356*'Key assumptions'!CB$48/1000</f>
        <v>-1208.690798469122</v>
      </c>
      <c r="CC332" s="12">
        <f>-CC342*CC356*'Key assumptions'!CC$48/1000</f>
        <v>-1217.5280663752294</v>
      </c>
      <c r="CD332" s="5">
        <f>SUM(BZ332:CC332)</f>
        <v>-4826.6729821786166</v>
      </c>
      <c r="CG332" s="468">
        <v>2014</v>
      </c>
      <c r="CH332" s="115">
        <f t="shared" si="154"/>
        <v>5947</v>
      </c>
      <c r="CI332" s="634">
        <v>1</v>
      </c>
      <c r="CJ332" s="115">
        <v>5867.4823894863948</v>
      </c>
      <c r="CK332" s="342">
        <f t="shared" si="155"/>
        <v>5947</v>
      </c>
      <c r="CL332" s="115">
        <f t="shared" si="156"/>
        <v>79.517610513605177</v>
      </c>
    </row>
    <row r="333" spans="1:90">
      <c r="A333" s="4" t="s">
        <v>610</v>
      </c>
      <c r="B333" s="5"/>
      <c r="C333" s="5">
        <v>0</v>
      </c>
      <c r="D333" s="5">
        <v>-230</v>
      </c>
      <c r="E333" s="5">
        <v>122</v>
      </c>
      <c r="F333" s="5">
        <v>-48</v>
      </c>
      <c r="G333" s="5">
        <v>0</v>
      </c>
      <c r="H333" s="93"/>
      <c r="I333" s="93"/>
      <c r="J333" s="93"/>
      <c r="K333" s="93"/>
      <c r="L333" s="5">
        <v>31</v>
      </c>
      <c r="M333" s="93"/>
      <c r="N333" s="93"/>
      <c r="O333" s="93"/>
      <c r="P333" s="93"/>
      <c r="Q333" s="5">
        <v>76</v>
      </c>
      <c r="R333" s="93"/>
      <c r="S333" s="93"/>
      <c r="T333" s="93"/>
      <c r="U333" s="93"/>
      <c r="V333" s="5">
        <v>-8</v>
      </c>
      <c r="W333" s="93"/>
      <c r="X333" s="93"/>
      <c r="Y333" s="93"/>
      <c r="Z333" s="93"/>
      <c r="AA333" s="5">
        <v>1</v>
      </c>
      <c r="AB333" s="93"/>
      <c r="AC333" s="93"/>
      <c r="AD333" s="93"/>
      <c r="AE333" s="93"/>
      <c r="AF333" s="5">
        <v>427</v>
      </c>
      <c r="AG333" s="93"/>
      <c r="AH333" s="93"/>
      <c r="AI333" s="93"/>
      <c r="AJ333" s="93"/>
      <c r="AK333" s="5">
        <v>-18</v>
      </c>
      <c r="AL333" s="93"/>
      <c r="AM333" s="93"/>
      <c r="AN333" s="93"/>
      <c r="AO333" s="93"/>
      <c r="AP333" s="5">
        <v>-24</v>
      </c>
      <c r="AQ333" s="93"/>
      <c r="AR333" s="93"/>
      <c r="AS333" s="93"/>
      <c r="AT333" s="93"/>
      <c r="AU333" s="5">
        <v>-29</v>
      </c>
      <c r="AV333" s="93"/>
      <c r="AW333" s="93"/>
      <c r="AX333" s="93"/>
      <c r="AY333" s="93"/>
      <c r="AZ333" s="5">
        <v>-1128</v>
      </c>
      <c r="BA333" s="93"/>
      <c r="BB333" s="93"/>
      <c r="BC333" s="93"/>
      <c r="BD333" s="93"/>
      <c r="BE333" s="5">
        <v>-846</v>
      </c>
      <c r="BF333" s="93"/>
      <c r="BG333" s="93"/>
      <c r="BH333" s="93"/>
      <c r="BI333" s="93"/>
      <c r="BJ333" s="5">
        <v>765</v>
      </c>
      <c r="BK333" s="93"/>
      <c r="BL333" s="93"/>
      <c r="BM333" s="93"/>
      <c r="BN333" s="93"/>
      <c r="BO333" s="5">
        <v>0</v>
      </c>
      <c r="BP333" s="12">
        <f>BT333/4</f>
        <v>0</v>
      </c>
      <c r="BQ333" s="12">
        <f>(BT333-BP333)/3</f>
        <v>0</v>
      </c>
      <c r="BR333" s="12">
        <f>(BT333-BP333-BQ333)/2</f>
        <v>0</v>
      </c>
      <c r="BS333" s="12">
        <f>BT333-SUM(BP333:BR333)</f>
        <v>0</v>
      </c>
      <c r="BT333" s="147">
        <v>0</v>
      </c>
      <c r="BU333" s="12">
        <f>BY333/4</f>
        <v>0</v>
      </c>
      <c r="BV333" s="12">
        <f>(BY333-BU333)/3</f>
        <v>0</v>
      </c>
      <c r="BW333" s="12">
        <f>(BY333-BU333-BV333)/2</f>
        <v>0</v>
      </c>
      <c r="BX333" s="12">
        <f>BY333-SUM(BU333:BW333)</f>
        <v>0</v>
      </c>
      <c r="BY333" s="147">
        <v>0</v>
      </c>
      <c r="BZ333" s="12">
        <f>CD333/4</f>
        <v>0</v>
      </c>
      <c r="CA333" s="12">
        <f>(CD333-BZ333)/3</f>
        <v>0</v>
      </c>
      <c r="CB333" s="12">
        <f>(CD333-BZ333-CA333)/2</f>
        <v>0</v>
      </c>
      <c r="CC333" s="12">
        <f>CD333-SUM(BZ333:CB333)</f>
        <v>0</v>
      </c>
      <c r="CD333" s="147">
        <v>0</v>
      </c>
      <c r="CG333" s="468">
        <v>2015</v>
      </c>
      <c r="CH333" s="115">
        <f t="shared" si="154"/>
        <v>3261</v>
      </c>
      <c r="CI333" s="634">
        <v>1</v>
      </c>
      <c r="CJ333" s="115">
        <v>3451.9029402635592</v>
      </c>
      <c r="CK333" s="342">
        <f t="shared" si="155"/>
        <v>3261</v>
      </c>
      <c r="CL333" s="115">
        <f t="shared" si="156"/>
        <v>-190.90294026355923</v>
      </c>
    </row>
    <row r="334" spans="1:90">
      <c r="A334" s="7" t="s">
        <v>2160</v>
      </c>
      <c r="B334" s="8"/>
      <c r="C334" s="8">
        <f>C326+SUM(C328:C333)</f>
        <v>445</v>
      </c>
      <c r="D334" s="8">
        <f>D326+SUM(D328:D333)</f>
        <v>545</v>
      </c>
      <c r="E334" s="8">
        <f>E326+SUM(E328:E333)</f>
        <v>1010</v>
      </c>
      <c r="F334" s="8">
        <f>F326+SUM(F328:F333)</f>
        <v>1106</v>
      </c>
      <c r="G334" s="8">
        <f>G326+SUM(G328:G333)</f>
        <v>2570.666666666667</v>
      </c>
      <c r="H334" s="93"/>
      <c r="I334" s="93"/>
      <c r="J334" s="93"/>
      <c r="K334" s="93"/>
      <c r="L334" s="8">
        <f>L326+SUM(L328:L333)</f>
        <v>2615</v>
      </c>
      <c r="M334" s="93"/>
      <c r="N334" s="93"/>
      <c r="O334" s="93"/>
      <c r="P334" s="93"/>
      <c r="Q334" s="8">
        <f>Q326+SUM(Q328:Q333)</f>
        <v>3102</v>
      </c>
      <c r="R334" s="93"/>
      <c r="S334" s="93"/>
      <c r="T334" s="93"/>
      <c r="U334" s="93"/>
      <c r="V334" s="8">
        <f>V326+SUM(V328:V333)</f>
        <v>6673</v>
      </c>
      <c r="W334" s="93"/>
      <c r="X334" s="93"/>
      <c r="Y334" s="93"/>
      <c r="Z334" s="93"/>
      <c r="AA334" s="8">
        <f>AA326+SUM(AA328:AA333)</f>
        <v>3848</v>
      </c>
      <c r="AB334" s="93"/>
      <c r="AC334" s="93"/>
      <c r="AD334" s="93"/>
      <c r="AE334" s="93"/>
      <c r="AF334" s="8">
        <f>AF326+SUM(AF328:AF333)</f>
        <v>4910</v>
      </c>
      <c r="AG334" s="93"/>
      <c r="AH334" s="93"/>
      <c r="AI334" s="93"/>
      <c r="AJ334" s="93"/>
      <c r="AK334" s="8">
        <f>AK326+SUM(AK328:AK333)</f>
        <v>5001</v>
      </c>
      <c r="AL334" s="93"/>
      <c r="AM334" s="93"/>
      <c r="AN334" s="93"/>
      <c r="AO334" s="93"/>
      <c r="AP334" s="8">
        <f>AP326+SUM(AP328:AP333)</f>
        <v>4898</v>
      </c>
      <c r="AQ334" s="93"/>
      <c r="AR334" s="93"/>
      <c r="AS334" s="93"/>
      <c r="AT334" s="93"/>
      <c r="AU334" s="8">
        <f>AU326+SUM(AU328:AU333)</f>
        <v>4453</v>
      </c>
      <c r="AV334" s="93"/>
      <c r="AW334" s="93"/>
      <c r="AX334" s="93"/>
      <c r="AY334" s="93"/>
      <c r="AZ334" s="8">
        <f>AZ326+SUM(AZ328:AZ333)</f>
        <v>1832</v>
      </c>
      <c r="BA334" s="93"/>
      <c r="BB334" s="93"/>
      <c r="BC334" s="93"/>
      <c r="BD334" s="93"/>
      <c r="BE334" s="8">
        <f t="shared" ref="BE334:BJ334" si="158">BE326+SUM(BE328:BE333)</f>
        <v>-1304</v>
      </c>
      <c r="BF334" s="93"/>
      <c r="BG334" s="93"/>
      <c r="BH334" s="93"/>
      <c r="BI334" s="93"/>
      <c r="BJ334" s="8">
        <f t="shared" si="158"/>
        <v>530</v>
      </c>
      <c r="BK334" s="93"/>
      <c r="BL334" s="93"/>
      <c r="BM334" s="93"/>
      <c r="BN334" s="93"/>
      <c r="BO334" s="8">
        <f t="shared" ref="BO334" si="159">BO326+SUM(BO328:BO333)</f>
        <v>42</v>
      </c>
      <c r="BP334" s="66">
        <f t="shared" ref="BP334:CD334" si="160">BP326+SUM(BP328:BP333)</f>
        <v>402.13102055044101</v>
      </c>
      <c r="BQ334" s="66">
        <f t="shared" si="160"/>
        <v>509.77936302727585</v>
      </c>
      <c r="BR334" s="66">
        <f t="shared" si="160"/>
        <v>502.76470478439273</v>
      </c>
      <c r="BS334" s="66">
        <f t="shared" si="160"/>
        <v>475.66714451934172</v>
      </c>
      <c r="BT334" s="8">
        <f t="shared" si="160"/>
        <v>1890.3422328814504</v>
      </c>
      <c r="BU334" s="66">
        <f t="shared" si="160"/>
        <v>394.47950867853069</v>
      </c>
      <c r="BV334" s="66">
        <f t="shared" si="160"/>
        <v>394.00121331588662</v>
      </c>
      <c r="BW334" s="66">
        <f t="shared" si="160"/>
        <v>391.61652789357049</v>
      </c>
      <c r="BX334" s="66">
        <f t="shared" si="160"/>
        <v>389.6523398584352</v>
      </c>
      <c r="BY334" s="8">
        <f t="shared" si="160"/>
        <v>1569.7495897464232</v>
      </c>
      <c r="BZ334" s="66">
        <f t="shared" si="160"/>
        <v>308.09893138551888</v>
      </c>
      <c r="CA334" s="66">
        <f t="shared" si="160"/>
        <v>344.7920251347573</v>
      </c>
      <c r="CB334" s="66">
        <f t="shared" si="160"/>
        <v>359.576046713511</v>
      </c>
      <c r="CC334" s="66">
        <f t="shared" si="160"/>
        <v>368.39256612391091</v>
      </c>
      <c r="CD334" s="8">
        <f t="shared" si="160"/>
        <v>1380.8595693576981</v>
      </c>
      <c r="CG334" s="468">
        <v>2016</v>
      </c>
      <c r="CH334" s="115">
        <f t="shared" si="154"/>
        <v>2118.9999999999995</v>
      </c>
      <c r="CI334" s="634">
        <v>1</v>
      </c>
      <c r="CJ334" s="115">
        <v>2823.5399522365751</v>
      </c>
      <c r="CK334" s="342">
        <f t="shared" si="155"/>
        <v>2118.9999999999995</v>
      </c>
      <c r="CL334" s="115">
        <f t="shared" si="156"/>
        <v>-704.53995223657557</v>
      </c>
    </row>
    <row r="335" spans="1:90">
      <c r="A335" s="4"/>
      <c r="B335" s="5"/>
      <c r="C335" s="5"/>
      <c r="D335" s="5"/>
      <c r="E335" s="5"/>
      <c r="F335" s="5"/>
      <c r="G335" s="5"/>
      <c r="H335" s="12"/>
      <c r="I335" s="12"/>
      <c r="J335" s="12"/>
      <c r="K335" s="12"/>
      <c r="L335" s="5"/>
      <c r="M335" s="12"/>
      <c r="N335" s="12"/>
      <c r="O335" s="12"/>
      <c r="P335" s="12"/>
      <c r="Q335" s="5"/>
      <c r="R335" s="12"/>
      <c r="S335" s="12"/>
      <c r="T335" s="12"/>
      <c r="U335" s="12"/>
      <c r="V335" s="5"/>
      <c r="W335" s="12"/>
      <c r="X335" s="12"/>
      <c r="Y335" s="12"/>
      <c r="Z335" s="12"/>
      <c r="AA335" s="5"/>
      <c r="AB335" s="12"/>
      <c r="AC335" s="12"/>
      <c r="AD335" s="12"/>
      <c r="AE335" s="12"/>
      <c r="AF335" s="5"/>
      <c r="AG335" s="12"/>
      <c r="AH335" s="12"/>
      <c r="AI335" s="12"/>
      <c r="AJ335" s="12"/>
      <c r="AK335" s="5"/>
      <c r="AL335" s="12"/>
      <c r="AM335" s="12"/>
      <c r="AN335" s="12"/>
      <c r="AO335" s="12"/>
      <c r="AP335" s="5"/>
      <c r="AQ335" s="12"/>
      <c r="AR335" s="12"/>
      <c r="AS335" s="12"/>
      <c r="AT335" s="12"/>
      <c r="AU335" s="5"/>
      <c r="AV335" s="12"/>
      <c r="AW335" s="12"/>
      <c r="AX335" s="12"/>
      <c r="AY335" s="12"/>
      <c r="AZ335" s="5"/>
      <c r="BA335" s="12"/>
      <c r="BB335" s="12"/>
      <c r="BC335" s="12"/>
      <c r="BD335" s="12"/>
      <c r="BE335" s="5"/>
      <c r="BF335" s="12"/>
      <c r="BG335" s="12"/>
      <c r="BH335" s="12"/>
      <c r="BI335" s="12"/>
      <c r="BJ335" s="5"/>
      <c r="BK335" s="12"/>
      <c r="BL335" s="12"/>
      <c r="BM335" s="12"/>
      <c r="BN335" s="12"/>
      <c r="BO335" s="5"/>
      <c r="BP335" s="12"/>
      <c r="BQ335" s="12"/>
      <c r="BR335" s="12"/>
      <c r="BS335" s="12"/>
      <c r="BT335" s="5"/>
      <c r="BU335" s="12"/>
      <c r="BV335" s="12"/>
      <c r="BW335" s="12"/>
      <c r="BX335" s="12"/>
      <c r="BY335" s="5"/>
      <c r="BZ335" s="12"/>
      <c r="CA335" s="12"/>
      <c r="CB335" s="12"/>
      <c r="CC335" s="12"/>
      <c r="CD335" s="5"/>
      <c r="CG335" s="468">
        <v>2017</v>
      </c>
      <c r="CH335" s="115">
        <f t="shared" si="154"/>
        <v>4186.0000000000009</v>
      </c>
      <c r="CI335" s="634">
        <v>1</v>
      </c>
      <c r="CJ335" s="115">
        <v>3784.7095190654641</v>
      </c>
      <c r="CK335" s="342">
        <f t="shared" si="155"/>
        <v>4186.0000000000009</v>
      </c>
      <c r="CL335" s="115">
        <f t="shared" si="156"/>
        <v>401.29048093453684</v>
      </c>
    </row>
    <row r="336" spans="1:90">
      <c r="A336" s="4" t="s">
        <v>2152</v>
      </c>
      <c r="B336" s="5"/>
      <c r="C336" s="5">
        <v>-105</v>
      </c>
      <c r="D336" s="5">
        <v>86</v>
      </c>
      <c r="E336" s="5">
        <v>-438</v>
      </c>
      <c r="F336" s="5">
        <v>-441</v>
      </c>
      <c r="G336" s="5">
        <v>-1043.1666666666667</v>
      </c>
      <c r="H336" s="93"/>
      <c r="I336" s="93"/>
      <c r="J336" s="93"/>
      <c r="K336" s="93"/>
      <c r="L336" s="5">
        <v>-1328</v>
      </c>
      <c r="M336" s="93"/>
      <c r="N336" s="93"/>
      <c r="O336" s="93"/>
      <c r="P336" s="93"/>
      <c r="Q336" s="5">
        <v>-1462</v>
      </c>
      <c r="R336" s="93"/>
      <c r="S336" s="93"/>
      <c r="T336" s="93"/>
      <c r="U336" s="93"/>
      <c r="V336" s="5">
        <v>-2672</v>
      </c>
      <c r="W336" s="93"/>
      <c r="X336" s="93"/>
      <c r="Y336" s="93"/>
      <c r="Z336" s="93"/>
      <c r="AA336" s="5">
        <v>-1517</v>
      </c>
      <c r="AB336" s="93"/>
      <c r="AC336" s="93"/>
      <c r="AD336" s="93"/>
      <c r="AE336" s="93"/>
      <c r="AF336" s="5">
        <v>-1771</v>
      </c>
      <c r="AG336" s="93"/>
      <c r="AH336" s="93"/>
      <c r="AI336" s="93"/>
      <c r="AJ336" s="93"/>
      <c r="AK336" s="5">
        <v>-2184</v>
      </c>
      <c r="AL336" s="93"/>
      <c r="AM336" s="93"/>
      <c r="AN336" s="93"/>
      <c r="AO336" s="93"/>
      <c r="AP336" s="5">
        <v>-2371</v>
      </c>
      <c r="AQ336" s="93"/>
      <c r="AR336" s="93"/>
      <c r="AS336" s="93"/>
      <c r="AT336" s="93"/>
      <c r="AU336" s="5">
        <v>-1925</v>
      </c>
      <c r="AV336" s="93"/>
      <c r="AW336" s="93"/>
      <c r="AX336" s="93"/>
      <c r="AY336" s="93"/>
      <c r="AZ336" s="5">
        <v>-1216</v>
      </c>
      <c r="BA336" s="93"/>
      <c r="BB336" s="93"/>
      <c r="BC336" s="93"/>
      <c r="BD336" s="93"/>
      <c r="BE336" s="5">
        <v>-694</v>
      </c>
      <c r="BF336" s="93"/>
      <c r="BG336" s="93"/>
      <c r="BH336" s="93"/>
      <c r="BI336" s="93"/>
      <c r="BJ336" s="5">
        <v>-670</v>
      </c>
      <c r="BK336" s="93"/>
      <c r="BL336" s="93"/>
      <c r="BM336" s="93"/>
      <c r="BN336" s="93"/>
      <c r="BO336" s="5">
        <v>-788</v>
      </c>
      <c r="BP336" s="12">
        <f t="shared" ref="BP336:BS336" si="161">-BP334*BP370</f>
        <v>-255.35395518056131</v>
      </c>
      <c r="BQ336" s="12">
        <f t="shared" si="161"/>
        <v>-323.7108553333149</v>
      </c>
      <c r="BR336" s="12">
        <f t="shared" si="161"/>
        <v>-319.25653414190748</v>
      </c>
      <c r="BS336" s="12">
        <f t="shared" si="161"/>
        <v>-302.04953235439814</v>
      </c>
      <c r="BT336" s="5">
        <f>SUM(BP336:BS336)</f>
        <v>-1200.3708770101816</v>
      </c>
      <c r="BU336" s="12">
        <f>-BU334*BU370</f>
        <v>-279.85913996343146</v>
      </c>
      <c r="BV336" s="12">
        <f>-BV334*BV370</f>
        <v>-279.51981858958754</v>
      </c>
      <c r="BW336" s="12">
        <f>-BW334*BW370</f>
        <v>-277.82802979779871</v>
      </c>
      <c r="BX336" s="12">
        <f>-BX334*BX370</f>
        <v>-276.43455824313958</v>
      </c>
      <c r="BY336" s="5">
        <f>SUM(BU336:BX336)</f>
        <v>-1113.6415465939572</v>
      </c>
      <c r="BZ336" s="12">
        <f>-BZ334*BZ370</f>
        <v>-237.0754435946622</v>
      </c>
      <c r="CA336" s="12">
        <f>-CA334*CA370</f>
        <v>-265.30998318992056</v>
      </c>
      <c r="CB336" s="12">
        <f>-CB334*CB370</f>
        <v>-276.68596706021333</v>
      </c>
      <c r="CC336" s="12">
        <f>-CC334*CC370</f>
        <v>-283.47008747498393</v>
      </c>
      <c r="CD336" s="5">
        <f>SUM(BZ336:CC336)</f>
        <v>-1062.5414813197801</v>
      </c>
      <c r="CG336" s="468">
        <v>2018</v>
      </c>
      <c r="CH336" s="115">
        <f t="shared" si="154"/>
        <v>5177.8653459879388</v>
      </c>
      <c r="CI336" s="634">
        <v>1</v>
      </c>
      <c r="CJ336" s="115">
        <v>4272.0375235258289</v>
      </c>
      <c r="CK336" s="342">
        <f t="shared" si="155"/>
        <v>5177.8653459879388</v>
      </c>
      <c r="CL336" s="115">
        <f t="shared" si="156"/>
        <v>905.82782246210991</v>
      </c>
    </row>
    <row r="337" spans="1:90">
      <c r="A337" s="14" t="s">
        <v>2153</v>
      </c>
      <c r="B337" s="15"/>
      <c r="C337" s="15">
        <f>SUM(C334,C336)</f>
        <v>340</v>
      </c>
      <c r="D337" s="15">
        <f>SUM(D334,D336)</f>
        <v>631</v>
      </c>
      <c r="E337" s="15">
        <f>SUM(E334,E336)</f>
        <v>572</v>
      </c>
      <c r="F337" s="15">
        <f>SUM(F334,F336)</f>
        <v>665</v>
      </c>
      <c r="G337" s="15">
        <f>SUM(G334,G336)</f>
        <v>1527.5000000000002</v>
      </c>
      <c r="H337" s="378"/>
      <c r="I337" s="378"/>
      <c r="J337" s="378"/>
      <c r="K337" s="378"/>
      <c r="L337" s="15">
        <f>SUM(L334,L336)</f>
        <v>1287</v>
      </c>
      <c r="M337" s="378"/>
      <c r="N337" s="378"/>
      <c r="O337" s="378"/>
      <c r="P337" s="378"/>
      <c r="Q337" s="15">
        <f>SUM(Q334,Q336)</f>
        <v>1640</v>
      </c>
      <c r="R337" s="378"/>
      <c r="S337" s="378"/>
      <c r="T337" s="378"/>
      <c r="U337" s="378"/>
      <c r="V337" s="15">
        <f>SUM(V334,V336)</f>
        <v>4001</v>
      </c>
      <c r="W337" s="378"/>
      <c r="X337" s="378"/>
      <c r="Y337" s="378"/>
      <c r="Z337" s="378"/>
      <c r="AA337" s="15">
        <f>SUM(AA334,AA336)</f>
        <v>2331</v>
      </c>
      <c r="AB337" s="378"/>
      <c r="AC337" s="378"/>
      <c r="AD337" s="378"/>
      <c r="AE337" s="378"/>
      <c r="AF337" s="15">
        <f>SUM(AF334,AF336)</f>
        <v>3139</v>
      </c>
      <c r="AG337" s="378"/>
      <c r="AH337" s="378"/>
      <c r="AI337" s="378"/>
      <c r="AJ337" s="378"/>
      <c r="AK337" s="15">
        <f>SUM(AK334,AK336)</f>
        <v>2817</v>
      </c>
      <c r="AL337" s="378"/>
      <c r="AM337" s="378"/>
      <c r="AN337" s="378"/>
      <c r="AO337" s="378"/>
      <c r="AP337" s="15">
        <f>SUM(AP334,AP336)</f>
        <v>2527</v>
      </c>
      <c r="AQ337" s="378"/>
      <c r="AR337" s="378"/>
      <c r="AS337" s="378"/>
      <c r="AT337" s="378"/>
      <c r="AU337" s="15">
        <f>SUM(AU334,AU336)</f>
        <v>2528</v>
      </c>
      <c r="AV337" s="378"/>
      <c r="AW337" s="378"/>
      <c r="AX337" s="378"/>
      <c r="AY337" s="378"/>
      <c r="AZ337" s="15">
        <f>SUM(AZ334,AZ336)</f>
        <v>616</v>
      </c>
      <c r="BA337" s="378"/>
      <c r="BB337" s="378"/>
      <c r="BC337" s="378"/>
      <c r="BD337" s="378"/>
      <c r="BE337" s="15">
        <f t="shared" ref="BE337:BJ337" si="162">SUM(BE334,BE336)</f>
        <v>-1998</v>
      </c>
      <c r="BF337" s="378"/>
      <c r="BG337" s="378"/>
      <c r="BH337" s="378"/>
      <c r="BI337" s="378"/>
      <c r="BJ337" s="15">
        <f t="shared" si="162"/>
        <v>-140</v>
      </c>
      <c r="BK337" s="378"/>
      <c r="BL337" s="378"/>
      <c r="BM337" s="378"/>
      <c r="BN337" s="378"/>
      <c r="BO337" s="15">
        <f t="shared" ref="BO337" si="163">SUM(BO334,BO336)</f>
        <v>-746</v>
      </c>
      <c r="BP337" s="67">
        <f t="shared" ref="BP337:CD337" si="164">SUM(BP334,BP336)</f>
        <v>146.77706536987969</v>
      </c>
      <c r="BQ337" s="67">
        <f t="shared" si="164"/>
        <v>186.06850769396095</v>
      </c>
      <c r="BR337" s="67">
        <f t="shared" si="164"/>
        <v>183.50817064248525</v>
      </c>
      <c r="BS337" s="67">
        <f t="shared" si="164"/>
        <v>173.61761216494358</v>
      </c>
      <c r="BT337" s="15">
        <f t="shared" si="164"/>
        <v>689.97135587126877</v>
      </c>
      <c r="BU337" s="67">
        <f t="shared" si="164"/>
        <v>114.62036871509923</v>
      </c>
      <c r="BV337" s="67">
        <f t="shared" si="164"/>
        <v>114.48139472629907</v>
      </c>
      <c r="BW337" s="67">
        <f t="shared" si="164"/>
        <v>113.78849809577179</v>
      </c>
      <c r="BX337" s="67">
        <f t="shared" si="164"/>
        <v>113.21778161529562</v>
      </c>
      <c r="BY337" s="15">
        <f t="shared" si="164"/>
        <v>456.10804315246605</v>
      </c>
      <c r="BZ337" s="67">
        <f t="shared" si="164"/>
        <v>71.023487790856677</v>
      </c>
      <c r="CA337" s="67">
        <f t="shared" si="164"/>
        <v>79.482041944836737</v>
      </c>
      <c r="CB337" s="67">
        <f t="shared" si="164"/>
        <v>82.890079653297676</v>
      </c>
      <c r="CC337" s="67">
        <f t="shared" si="164"/>
        <v>84.922478648926983</v>
      </c>
      <c r="CD337" s="15">
        <f t="shared" si="164"/>
        <v>318.31808803791796</v>
      </c>
      <c r="CG337" s="468">
        <v>2019</v>
      </c>
      <c r="CH337" s="115">
        <f t="shared" si="154"/>
        <v>5195.1119714448596</v>
      </c>
      <c r="CI337" s="634">
        <v>1</v>
      </c>
      <c r="CJ337" s="115">
        <v>4003.1305444093864</v>
      </c>
      <c r="CK337" s="342">
        <f t="shared" si="155"/>
        <v>5195.1119714448596</v>
      </c>
      <c r="CL337" s="115">
        <f t="shared" si="156"/>
        <v>1191.9814270354732</v>
      </c>
    </row>
    <row r="338" spans="1:90">
      <c r="A338" s="5"/>
      <c r="B338" s="5"/>
      <c r="C338" s="5"/>
      <c r="D338" s="5"/>
      <c r="E338" s="5"/>
      <c r="F338" s="5"/>
      <c r="G338" s="5"/>
      <c r="H338" s="76"/>
      <c r="I338" s="76"/>
      <c r="J338" s="76"/>
      <c r="K338" s="76"/>
      <c r="L338" s="5"/>
      <c r="M338" s="76"/>
      <c r="N338" s="76"/>
      <c r="O338" s="76"/>
      <c r="P338" s="76"/>
      <c r="Q338" s="5"/>
      <c r="R338" s="76"/>
      <c r="S338" s="76"/>
      <c r="T338" s="76"/>
      <c r="U338" s="76"/>
      <c r="V338" s="5"/>
      <c r="W338" s="76"/>
      <c r="X338" s="76"/>
      <c r="Y338" s="76"/>
      <c r="Z338" s="76"/>
      <c r="AA338" s="5"/>
      <c r="AB338" s="76"/>
      <c r="AC338" s="76"/>
      <c r="AD338" s="76"/>
      <c r="AE338" s="76"/>
      <c r="AF338" s="5"/>
      <c r="AG338" s="76"/>
      <c r="AH338" s="76"/>
      <c r="AI338" s="76"/>
      <c r="AJ338" s="76"/>
      <c r="AK338" s="5"/>
      <c r="AL338" s="76"/>
      <c r="AM338" s="76"/>
      <c r="AN338" s="76"/>
      <c r="AO338" s="76"/>
      <c r="AP338" s="5"/>
      <c r="AQ338" s="76"/>
      <c r="AR338" s="76"/>
      <c r="AS338" s="76"/>
      <c r="AT338" s="76"/>
      <c r="AU338" s="5"/>
      <c r="AV338" s="76"/>
      <c r="AW338" s="76"/>
      <c r="AX338" s="76"/>
      <c r="AY338" s="76"/>
      <c r="AZ338" s="5"/>
      <c r="BA338" s="76"/>
      <c r="BB338" s="76"/>
      <c r="BC338" s="76"/>
      <c r="BD338" s="76"/>
      <c r="BE338" s="5"/>
      <c r="BF338" s="76"/>
      <c r="BG338" s="76"/>
      <c r="BH338" s="76"/>
      <c r="BI338" s="76"/>
      <c r="BJ338" s="5"/>
      <c r="BK338" s="76"/>
      <c r="BL338" s="76"/>
      <c r="BM338" s="76"/>
      <c r="BN338" s="76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G338" s="468">
        <v>2020</v>
      </c>
      <c r="CH338" s="115">
        <f t="shared" si="154"/>
        <v>5348.8310702165345</v>
      </c>
      <c r="CI338" s="634">
        <v>1</v>
      </c>
      <c r="CJ338" s="115">
        <v>4432.0606191810066</v>
      </c>
      <c r="CK338" s="342">
        <f t="shared" si="155"/>
        <v>5348.8310702165345</v>
      </c>
      <c r="CL338" s="115">
        <f t="shared" si="156"/>
        <v>916.77045103552791</v>
      </c>
    </row>
    <row r="339" spans="1:90" hidden="1" outlineLevel="1">
      <c r="A339" s="39" t="s">
        <v>196</v>
      </c>
      <c r="B339" s="11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12"/>
      <c r="BQ339" s="12"/>
      <c r="BR339" s="12"/>
      <c r="BS339" s="12"/>
      <c r="BT339" s="5"/>
      <c r="BU339" s="12"/>
      <c r="BV339" s="12"/>
      <c r="BW339" s="12"/>
      <c r="BX339" s="12"/>
      <c r="BY339" s="5"/>
      <c r="BZ339" s="12"/>
      <c r="CA339" s="12"/>
      <c r="CB339" s="12"/>
      <c r="CC339" s="12"/>
      <c r="CD339" s="5"/>
    </row>
    <row r="340" spans="1:90" hidden="1" outlineLevel="1">
      <c r="A340" s="11"/>
      <c r="B340" s="11" t="s">
        <v>932</v>
      </c>
      <c r="C340" s="5">
        <f>'Production - Oil'!C34</f>
        <v>92</v>
      </c>
      <c r="D340" s="5">
        <f>'Production - Oil'!D34</f>
        <v>114</v>
      </c>
      <c r="E340" s="5">
        <f>'Production - Oil'!E34</f>
        <v>108</v>
      </c>
      <c r="F340" s="5">
        <f>'Production - Oil'!F34</f>
        <v>128</v>
      </c>
      <c r="G340" s="5">
        <f>'Production - Oil'!G34</f>
        <v>175</v>
      </c>
      <c r="H340" s="93"/>
      <c r="I340" s="93"/>
      <c r="J340" s="93"/>
      <c r="K340" s="93"/>
      <c r="L340" s="5">
        <f>'Production - Oil'!L34</f>
        <v>178</v>
      </c>
      <c r="M340" s="93"/>
      <c r="N340" s="93"/>
      <c r="O340" s="93"/>
      <c r="P340" s="93"/>
      <c r="Q340" s="5">
        <f>'Production - Oil'!Q34</f>
        <v>195</v>
      </c>
      <c r="R340" s="93"/>
      <c r="S340" s="93"/>
      <c r="T340" s="93"/>
      <c r="U340" s="93"/>
      <c r="V340" s="5">
        <f>'Production - Oil'!V34</f>
        <v>277</v>
      </c>
      <c r="W340" s="93"/>
      <c r="X340" s="93"/>
      <c r="Y340" s="93"/>
      <c r="Z340" s="93"/>
      <c r="AA340" s="5">
        <f>'Production - Oil'!AA34</f>
        <v>304</v>
      </c>
      <c r="AB340" s="93"/>
      <c r="AC340" s="93"/>
      <c r="AD340" s="93"/>
      <c r="AE340" s="93"/>
      <c r="AF340" s="5">
        <f>'Production - Oil'!AF34</f>
        <v>246</v>
      </c>
      <c r="AG340" s="93"/>
      <c r="AH340" s="93"/>
      <c r="AI340" s="93"/>
      <c r="AJ340" s="93"/>
      <c r="AK340" s="5">
        <f>'Production - Oil'!AK34</f>
        <v>190</v>
      </c>
      <c r="AL340" s="93"/>
      <c r="AM340" s="93"/>
      <c r="AN340" s="93"/>
      <c r="AO340" s="93"/>
      <c r="AP340" s="5">
        <f>'Production - Oil'!AP34</f>
        <v>202</v>
      </c>
      <c r="AQ340" s="93"/>
      <c r="AR340" s="93"/>
      <c r="AS340" s="93"/>
      <c r="AT340" s="93"/>
      <c r="AU340" s="5">
        <f>'Production - Oil'!AU34</f>
        <v>225</v>
      </c>
      <c r="AV340" s="93"/>
      <c r="AW340" s="93"/>
      <c r="AX340" s="93"/>
      <c r="AY340" s="93"/>
      <c r="AZ340" s="5">
        <f>'Production - Oil'!AZ34</f>
        <v>227</v>
      </c>
      <c r="BA340" s="93"/>
      <c r="BB340" s="93"/>
      <c r="BC340" s="93"/>
      <c r="BD340" s="93"/>
      <c r="BE340" s="5">
        <f>'Production - Oil'!BE34</f>
        <v>277</v>
      </c>
      <c r="BF340" s="93"/>
      <c r="BG340" s="93"/>
      <c r="BH340" s="93"/>
      <c r="BI340" s="93"/>
      <c r="BJ340" s="5">
        <f>'Production - Oil'!BJ34</f>
        <v>268</v>
      </c>
      <c r="BK340" s="93"/>
      <c r="BL340" s="93"/>
      <c r="BM340" s="93"/>
      <c r="BN340" s="93"/>
      <c r="BO340" s="5">
        <f>'Production - Oil'!BO34</f>
        <v>251</v>
      </c>
      <c r="BP340" s="12">
        <f>'Production - Oil'!BP34</f>
        <v>242.69</v>
      </c>
      <c r="BQ340" s="12">
        <f>'Production - Oil'!BQ34</f>
        <v>242.69</v>
      </c>
      <c r="BR340" s="12">
        <f>'Production - Oil'!BR34</f>
        <v>242.69</v>
      </c>
      <c r="BS340" s="12">
        <f>'Production - Oil'!BS34</f>
        <v>242.69</v>
      </c>
      <c r="BT340" s="5">
        <f>'Production - Oil'!BT34</f>
        <v>242.69</v>
      </c>
      <c r="BU340" s="12">
        <f>'Production - Oil'!BU34</f>
        <v>223.49000000000007</v>
      </c>
      <c r="BV340" s="12">
        <f>'Production - Oil'!BV34</f>
        <v>223.49000000000007</v>
      </c>
      <c r="BW340" s="12">
        <f>'Production - Oil'!BW34</f>
        <v>223.49000000000007</v>
      </c>
      <c r="BX340" s="12">
        <f>'Production - Oil'!BX34</f>
        <v>223.49000000000007</v>
      </c>
      <c r="BY340" s="5">
        <f>'Production - Oil'!BY34</f>
        <v>223.49000000000007</v>
      </c>
      <c r="BZ340" s="12">
        <f>'Production - Oil'!BZ34</f>
        <v>211.20000000000002</v>
      </c>
      <c r="CA340" s="12">
        <f>'Production - Oil'!CA34</f>
        <v>211.20000000000002</v>
      </c>
      <c r="CB340" s="12">
        <f>'Production - Oil'!CB34</f>
        <v>211.20000000000002</v>
      </c>
      <c r="CC340" s="12">
        <f>'Production - Oil'!CC34</f>
        <v>211.20000000000002</v>
      </c>
      <c r="CD340" s="5">
        <f>'Production - Oil'!CD34</f>
        <v>211.20000000000002</v>
      </c>
    </row>
    <row r="341" spans="1:90" hidden="1" outlineLevel="1">
      <c r="A341" s="11"/>
      <c r="B341" s="11" t="s">
        <v>933</v>
      </c>
      <c r="C341" s="5">
        <f>'Production - Gas'!C34</f>
        <v>190</v>
      </c>
      <c r="D341" s="5">
        <f>'Production - Gas'!D34</f>
        <v>256</v>
      </c>
      <c r="E341" s="5">
        <f>'Production - Gas'!E34</f>
        <v>253</v>
      </c>
      <c r="F341" s="5">
        <f>'Production - Gas'!F34</f>
        <v>273.84000000000003</v>
      </c>
      <c r="G341" s="5">
        <f>'Production - Gas'!G34</f>
        <v>363.51</v>
      </c>
      <c r="H341" s="93"/>
      <c r="I341" s="93"/>
      <c r="J341" s="93"/>
      <c r="K341" s="93"/>
      <c r="L341" s="5">
        <f>'Production - Gas'!L34</f>
        <v>430</v>
      </c>
      <c r="M341" s="93"/>
      <c r="N341" s="93"/>
      <c r="O341" s="93"/>
      <c r="P341" s="93"/>
      <c r="Q341" s="5">
        <f>'Production - Gas'!Q34</f>
        <v>468</v>
      </c>
      <c r="R341" s="93"/>
      <c r="S341" s="93"/>
      <c r="T341" s="93"/>
      <c r="U341" s="93"/>
      <c r="V341" s="5">
        <f>'Production - Gas'!V34</f>
        <v>484</v>
      </c>
      <c r="W341" s="93"/>
      <c r="X341" s="93"/>
      <c r="Y341" s="93"/>
      <c r="Z341" s="93"/>
      <c r="AA341" s="5">
        <f>'Production - Gas'!AA34</f>
        <v>621</v>
      </c>
      <c r="AB341" s="93"/>
      <c r="AC341" s="93"/>
      <c r="AD341" s="93"/>
      <c r="AE341" s="93"/>
      <c r="AF341" s="5">
        <f>'Production - Gas'!AF34</f>
        <v>556</v>
      </c>
      <c r="AG341" s="93"/>
      <c r="AH341" s="93"/>
      <c r="AI341" s="93"/>
      <c r="AJ341" s="93"/>
      <c r="AK341" s="5">
        <f>'Production - Gas'!AK34</f>
        <v>558</v>
      </c>
      <c r="AL341" s="93"/>
      <c r="AM341" s="93"/>
      <c r="AN341" s="93"/>
      <c r="AO341" s="93"/>
      <c r="AP341" s="5">
        <f>'Production - Gas'!AP34</f>
        <v>590</v>
      </c>
      <c r="AQ341" s="93"/>
      <c r="AR341" s="93"/>
      <c r="AS341" s="93"/>
      <c r="AT341" s="93"/>
      <c r="AU341" s="5">
        <f>'Production - Gas'!AU34</f>
        <v>561</v>
      </c>
      <c r="AV341" s="93"/>
      <c r="AW341" s="93"/>
      <c r="AX341" s="93"/>
      <c r="AY341" s="93"/>
      <c r="AZ341" s="5">
        <f>'Production - Gas'!AZ34</f>
        <v>513</v>
      </c>
      <c r="BA341" s="93"/>
      <c r="BB341" s="93"/>
      <c r="BC341" s="93"/>
      <c r="BD341" s="93"/>
      <c r="BE341" s="5">
        <f>'Production - Gas'!BE34</f>
        <v>589</v>
      </c>
      <c r="BF341" s="93"/>
      <c r="BG341" s="93"/>
      <c r="BH341" s="93"/>
      <c r="BI341" s="93"/>
      <c r="BJ341" s="5">
        <f>'Production - Gas'!BJ34</f>
        <v>513</v>
      </c>
      <c r="BK341" s="93"/>
      <c r="BL341" s="93"/>
      <c r="BM341" s="93"/>
      <c r="BN341" s="93"/>
      <c r="BO341" s="5">
        <f>'Production - Gas'!BO34</f>
        <v>950</v>
      </c>
      <c r="BP341" s="12">
        <f>'Production - Gas'!BP34</f>
        <v>1331.9232442065786</v>
      </c>
      <c r="BQ341" s="12">
        <f>'Production - Gas'!BQ34</f>
        <v>1296.7634988101504</v>
      </c>
      <c r="BR341" s="12">
        <f>'Production - Gas'!BR34</f>
        <v>1305.925709412071</v>
      </c>
      <c r="BS341" s="12">
        <f>'Production - Gas'!BS34</f>
        <v>1321.6675475712</v>
      </c>
      <c r="BT341" s="5">
        <f>'Production - Gas'!BT34</f>
        <v>1314.07</v>
      </c>
      <c r="BU341" s="12">
        <f>'Production - Gas'!BU34</f>
        <v>1628.1336811596566</v>
      </c>
      <c r="BV341" s="12">
        <f>'Production - Gas'!BV34</f>
        <v>1585.1546536894784</v>
      </c>
      <c r="BW341" s="12">
        <f>'Production - Gas'!BW34</f>
        <v>1596.3544760063805</v>
      </c>
      <c r="BX341" s="12">
        <f>'Production - Gas'!BX34</f>
        <v>1615.597189144486</v>
      </c>
      <c r="BY341" s="5">
        <f>'Production - Gas'!BY34</f>
        <v>1606.3100000000004</v>
      </c>
      <c r="BZ341" s="12">
        <f>'Production - Gas'!BZ34</f>
        <v>1926.0063995136477</v>
      </c>
      <c r="CA341" s="12">
        <f>'Production - Gas'!CA34</f>
        <v>1875.1642095200864</v>
      </c>
      <c r="CB341" s="12">
        <f>'Production - Gas'!CB34</f>
        <v>1888.4130782741586</v>
      </c>
      <c r="CC341" s="12">
        <f>'Production - Gas'!CC34</f>
        <v>1911.176312692108</v>
      </c>
      <c r="CD341" s="5">
        <f>'Production - Gas'!CD34</f>
        <v>1900.19</v>
      </c>
    </row>
    <row r="342" spans="1:90" hidden="1" outlineLevel="1">
      <c r="A342" s="11"/>
      <c r="B342" s="39" t="s">
        <v>896</v>
      </c>
      <c r="C342" s="8">
        <f>C340+C341/5.8</f>
        <v>124.75862068965517</v>
      </c>
      <c r="D342" s="8">
        <f>D340+D341/5.8</f>
        <v>158.13793103448276</v>
      </c>
      <c r="E342" s="8">
        <f>E340+E341/5.8</f>
        <v>151.62068965517241</v>
      </c>
      <c r="F342" s="8">
        <f>F340+F341/5.8</f>
        <v>175.21379310344827</v>
      </c>
      <c r="G342" s="8">
        <f>G340+G341/5.8</f>
        <v>237.67413793103447</v>
      </c>
      <c r="H342" s="93"/>
      <c r="I342" s="93"/>
      <c r="J342" s="93"/>
      <c r="K342" s="93"/>
      <c r="L342" s="8">
        <f>L340+L341/5.8</f>
        <v>252.13793103448276</v>
      </c>
      <c r="M342" s="93"/>
      <c r="N342" s="93"/>
      <c r="O342" s="93"/>
      <c r="P342" s="93"/>
      <c r="Q342" s="8">
        <f>Q340+Q341/5.8</f>
        <v>275.68965517241378</v>
      </c>
      <c r="R342" s="93"/>
      <c r="S342" s="93"/>
      <c r="T342" s="93"/>
      <c r="U342" s="93"/>
      <c r="V342" s="8">
        <f>V340+V341/5.8</f>
        <v>360.44827586206895</v>
      </c>
      <c r="W342" s="93"/>
      <c r="X342" s="93"/>
      <c r="Y342" s="93"/>
      <c r="Z342" s="93"/>
      <c r="AA342" s="8">
        <f>AA340+AA341/5.8</f>
        <v>411.06896551724139</v>
      </c>
      <c r="AB342" s="93"/>
      <c r="AC342" s="93"/>
      <c r="AD342" s="93"/>
      <c r="AE342" s="93"/>
      <c r="AF342" s="8">
        <f>AF340+AF341/5.8</f>
        <v>341.86206896551721</v>
      </c>
      <c r="AG342" s="93"/>
      <c r="AH342" s="93"/>
      <c r="AI342" s="93"/>
      <c r="AJ342" s="93"/>
      <c r="AK342" s="8">
        <f>AK340+AK341/5.8</f>
        <v>286.20689655172413</v>
      </c>
      <c r="AL342" s="93"/>
      <c r="AM342" s="93"/>
      <c r="AN342" s="93"/>
      <c r="AO342" s="93"/>
      <c r="AP342" s="8">
        <f>AP340+AP341/5.8</f>
        <v>303.72413793103448</v>
      </c>
      <c r="AQ342" s="93"/>
      <c r="AR342" s="93"/>
      <c r="AS342" s="93"/>
      <c r="AT342" s="93"/>
      <c r="AU342" s="8">
        <f>AU340+AU341/5.8</f>
        <v>321.72413793103448</v>
      </c>
      <c r="AV342" s="93"/>
      <c r="AW342" s="93"/>
      <c r="AX342" s="93"/>
      <c r="AY342" s="93"/>
      <c r="AZ342" s="8">
        <f>AZ340+AZ341/5.8</f>
        <v>315.44827586206895</v>
      </c>
      <c r="BA342" s="93"/>
      <c r="BB342" s="93"/>
      <c r="BC342" s="93"/>
      <c r="BD342" s="93"/>
      <c r="BE342" s="8">
        <f t="shared" ref="BE342:BJ342" si="165">BE340+BE341/5.8</f>
        <v>378.55172413793105</v>
      </c>
      <c r="BF342" s="93"/>
      <c r="BG342" s="93"/>
      <c r="BH342" s="93"/>
      <c r="BI342" s="93"/>
      <c r="BJ342" s="8">
        <f t="shared" si="165"/>
        <v>356.44827586206895</v>
      </c>
      <c r="BK342" s="93"/>
      <c r="BL342" s="93"/>
      <c r="BM342" s="93"/>
      <c r="BN342" s="93"/>
      <c r="BO342" s="8">
        <f t="shared" ref="BO342:CD342" si="166">BO340+BO341/5.8</f>
        <v>414.79310344827587</v>
      </c>
      <c r="BP342" s="66">
        <f t="shared" si="166"/>
        <v>472.33193865630665</v>
      </c>
      <c r="BQ342" s="66">
        <f t="shared" si="166"/>
        <v>466.26991358795698</v>
      </c>
      <c r="BR342" s="66">
        <f t="shared" si="166"/>
        <v>467.84960507104677</v>
      </c>
      <c r="BS342" s="66">
        <f t="shared" si="166"/>
        <v>470.56371509848276</v>
      </c>
      <c r="BT342" s="8">
        <f t="shared" si="166"/>
        <v>469.25379310344829</v>
      </c>
      <c r="BU342" s="66">
        <f t="shared" si="166"/>
        <v>504.20270364821675</v>
      </c>
      <c r="BV342" s="66">
        <f t="shared" si="166"/>
        <v>496.79252649818602</v>
      </c>
      <c r="BW342" s="66">
        <f t="shared" si="166"/>
        <v>498.72353034592777</v>
      </c>
      <c r="BX342" s="66">
        <f t="shared" si="166"/>
        <v>502.04123950767007</v>
      </c>
      <c r="BY342" s="8">
        <f t="shared" si="166"/>
        <v>500.44000000000017</v>
      </c>
      <c r="BZ342" s="66">
        <f t="shared" si="166"/>
        <v>543.27006888166341</v>
      </c>
      <c r="CA342" s="66">
        <f t="shared" si="166"/>
        <v>534.50417405518738</v>
      </c>
      <c r="CB342" s="66">
        <f t="shared" si="166"/>
        <v>536.78846177140667</v>
      </c>
      <c r="CC342" s="66">
        <f t="shared" si="166"/>
        <v>540.71315736070835</v>
      </c>
      <c r="CD342" s="8">
        <f t="shared" si="166"/>
        <v>538.81896551724139</v>
      </c>
    </row>
    <row r="343" spans="1:90" hidden="1" outlineLevel="1">
      <c r="A343" s="11"/>
      <c r="B343" s="11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</row>
    <row r="344" spans="1:90" hidden="1" outlineLevel="1">
      <c r="A344" s="39" t="s">
        <v>199</v>
      </c>
      <c r="B344" s="11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</row>
    <row r="345" spans="1:90" hidden="1" outlineLevel="1">
      <c r="A345" s="11"/>
      <c r="B345" s="11" t="s">
        <v>197</v>
      </c>
      <c r="C345" s="72"/>
      <c r="D345" s="72"/>
      <c r="E345" s="72"/>
      <c r="F345" s="104">
        <f>'Key assumptions'!F25</f>
        <v>34.51</v>
      </c>
      <c r="G345" s="104">
        <f>'Key assumptions'!G25</f>
        <v>47.56</v>
      </c>
      <c r="H345" s="93"/>
      <c r="I345" s="93"/>
      <c r="J345" s="93"/>
      <c r="K345" s="93"/>
      <c r="L345" s="104">
        <f>'Key assumptions'!L25</f>
        <v>59.54</v>
      </c>
      <c r="M345" s="93"/>
      <c r="N345" s="93"/>
      <c r="O345" s="93"/>
      <c r="P345" s="93"/>
      <c r="Q345" s="104">
        <f>'Key assumptions'!Q25</f>
        <v>69.56</v>
      </c>
      <c r="R345" s="93"/>
      <c r="S345" s="93"/>
      <c r="T345" s="93"/>
      <c r="U345" s="93"/>
      <c r="V345" s="104">
        <f>'Key assumptions'!V25</f>
        <v>91.05</v>
      </c>
      <c r="W345" s="93"/>
      <c r="X345" s="93"/>
      <c r="Y345" s="93"/>
      <c r="Z345" s="93"/>
      <c r="AA345" s="104">
        <f>'Key assumptions'!AA25</f>
        <v>57.29</v>
      </c>
      <c r="AB345" s="93"/>
      <c r="AC345" s="93"/>
      <c r="AD345" s="93"/>
      <c r="AE345" s="93"/>
      <c r="AF345" s="104">
        <f>'Key assumptions'!AF25</f>
        <v>75.23</v>
      </c>
      <c r="AG345" s="93"/>
      <c r="AH345" s="93"/>
      <c r="AI345" s="93"/>
      <c r="AJ345" s="93"/>
      <c r="AK345" s="104">
        <f>'Key assumptions'!AK25</f>
        <v>105.13</v>
      </c>
      <c r="AL345" s="93"/>
      <c r="AM345" s="93"/>
      <c r="AN345" s="93"/>
      <c r="AO345" s="93"/>
      <c r="AP345" s="104">
        <f>'Key assumptions'!AP25</f>
        <v>105.8725</v>
      </c>
      <c r="AQ345" s="93"/>
      <c r="AR345" s="93"/>
      <c r="AS345" s="93"/>
      <c r="AT345" s="93"/>
      <c r="AU345" s="104">
        <f>'Key assumptions'!AU25</f>
        <v>104.2775</v>
      </c>
      <c r="AV345" s="93"/>
      <c r="AW345" s="93"/>
      <c r="AX345" s="93"/>
      <c r="AY345" s="93"/>
      <c r="AZ345" s="104">
        <f>'Key assumptions'!AZ25</f>
        <v>91.702500000000001</v>
      </c>
      <c r="BA345" s="93"/>
      <c r="BB345" s="93"/>
      <c r="BC345" s="93"/>
      <c r="BD345" s="93"/>
      <c r="BE345" s="104">
        <f>'Key assumptions'!BE25</f>
        <v>46.202499999999993</v>
      </c>
      <c r="BF345" s="93"/>
      <c r="BG345" s="93"/>
      <c r="BH345" s="93"/>
      <c r="BI345" s="93"/>
      <c r="BJ345" s="104">
        <f>'Key assumptions'!BJ25</f>
        <v>41.984999999999999</v>
      </c>
      <c r="BK345" s="93"/>
      <c r="BL345" s="93"/>
      <c r="BM345" s="93"/>
      <c r="BN345" s="93"/>
      <c r="BO345" s="104">
        <f>'Key assumptions'!BO25</f>
        <v>51.8825</v>
      </c>
      <c r="BP345" s="114">
        <f>'Key assumptions'!BP25</f>
        <v>62.570938555470903</v>
      </c>
      <c r="BQ345" s="114">
        <f>'Key assumptions'!BQ25</f>
        <v>63.174946220562603</v>
      </c>
      <c r="BR345" s="114">
        <f>'Key assumptions'!BR25</f>
        <v>61.947446772150428</v>
      </c>
      <c r="BS345" s="114">
        <f>'Key assumptions'!BS25</f>
        <v>60.924530565140266</v>
      </c>
      <c r="BT345" s="104">
        <f>'Key assumptions'!BT25</f>
        <v>62.154465528331052</v>
      </c>
      <c r="BU345" s="114">
        <f>'Key assumptions'!BU25</f>
        <v>58.693599027946703</v>
      </c>
      <c r="BV345" s="114">
        <f>'Key assumptions'!BV25</f>
        <v>58.693599027946703</v>
      </c>
      <c r="BW345" s="114">
        <f>'Key assumptions'!BW25</f>
        <v>58.693599027946703</v>
      </c>
      <c r="BX345" s="114">
        <f>'Key assumptions'!BX25</f>
        <v>58.693599027946703</v>
      </c>
      <c r="BY345" s="104">
        <f>'Key assumptions'!BY25</f>
        <v>58.693599027946703</v>
      </c>
      <c r="BZ345" s="114">
        <f>'Key assumptions'!BZ25</f>
        <v>59.073346349255459</v>
      </c>
      <c r="CA345" s="114">
        <f>'Key assumptions'!CA25</f>
        <v>59.455445159519257</v>
      </c>
      <c r="CB345" s="114">
        <f>'Key assumptions'!CB25</f>
        <v>59.839910019736948</v>
      </c>
      <c r="CC345" s="114">
        <f>'Key assumptions'!CC25</f>
        <v>60.226755581072652</v>
      </c>
      <c r="CD345" s="104">
        <f>'Key assumptions'!CD25</f>
        <v>59.648864277396086</v>
      </c>
    </row>
    <row r="346" spans="1:90" hidden="1" outlineLevel="1">
      <c r="A346" s="11"/>
      <c r="B346" s="11" t="s">
        <v>198</v>
      </c>
      <c r="C346" s="72"/>
      <c r="D346" s="72"/>
      <c r="E346" s="72"/>
      <c r="F346" s="104">
        <f>'Key assumptions'!F32</f>
        <v>2.74</v>
      </c>
      <c r="G346" s="104">
        <f>'Key assumptions'!G32</f>
        <v>3.46</v>
      </c>
      <c r="H346" s="93"/>
      <c r="I346" s="93"/>
      <c r="J346" s="93"/>
      <c r="K346" s="93"/>
      <c r="L346" s="104">
        <f>'Key assumptions'!L32</f>
        <v>3.7</v>
      </c>
      <c r="M346" s="93"/>
      <c r="N346" s="93"/>
      <c r="O346" s="93"/>
      <c r="P346" s="93"/>
      <c r="Q346" s="104">
        <f>'Key assumptions'!Q32</f>
        <v>3.71</v>
      </c>
      <c r="R346" s="93"/>
      <c r="S346" s="93"/>
      <c r="T346" s="93"/>
      <c r="U346" s="93"/>
      <c r="V346" s="104">
        <f>'Key assumptions'!V32</f>
        <v>5.19</v>
      </c>
      <c r="W346" s="93"/>
      <c r="X346" s="93"/>
      <c r="Y346" s="93"/>
      <c r="Z346" s="93"/>
      <c r="AA346" s="104">
        <f>'Key assumptions'!AA32</f>
        <v>3.14</v>
      </c>
      <c r="AB346" s="93"/>
      <c r="AC346" s="93"/>
      <c r="AD346" s="93"/>
      <c r="AE346" s="93"/>
      <c r="AF346" s="104">
        <f>'Key assumptions'!AF32</f>
        <v>3.86</v>
      </c>
      <c r="AG346" s="93"/>
      <c r="AH346" s="93"/>
      <c r="AI346" s="93"/>
      <c r="AJ346" s="93"/>
      <c r="AK346" s="104">
        <f>'Key assumptions'!AK32</f>
        <v>4.9775</v>
      </c>
      <c r="AL346" s="93"/>
      <c r="AM346" s="93"/>
      <c r="AN346" s="93"/>
      <c r="AO346" s="93"/>
      <c r="AP346" s="104">
        <f>'Key assumptions'!AP32</f>
        <v>5.33</v>
      </c>
      <c r="AQ346" s="93"/>
      <c r="AR346" s="93"/>
      <c r="AS346" s="93"/>
      <c r="AT346" s="93"/>
      <c r="AU346" s="104">
        <f>'Key assumptions'!AU32</f>
        <v>5.9725000000000001</v>
      </c>
      <c r="AV346" s="93"/>
      <c r="AW346" s="93"/>
      <c r="AX346" s="93"/>
      <c r="AY346" s="93"/>
      <c r="AZ346" s="104">
        <f>'Key assumptions'!AZ32</f>
        <v>6.3524999999999991</v>
      </c>
      <c r="BA346" s="93"/>
      <c r="BB346" s="93"/>
      <c r="BC346" s="93"/>
      <c r="BD346" s="93"/>
      <c r="BE346" s="104">
        <f>'Key assumptions'!BE32</f>
        <v>4.2450000000000001</v>
      </c>
      <c r="BF346" s="93"/>
      <c r="BG346" s="93"/>
      <c r="BH346" s="93"/>
      <c r="BI346" s="93"/>
      <c r="BJ346" s="104">
        <f>'Key assumptions'!BJ32</f>
        <v>3.1850000000000001</v>
      </c>
      <c r="BK346" s="93"/>
      <c r="BL346" s="93"/>
      <c r="BM346" s="93"/>
      <c r="BN346" s="93"/>
      <c r="BO346" s="104">
        <f>'Key assumptions'!BO32</f>
        <v>3.4649999999999999</v>
      </c>
      <c r="BP346" s="114">
        <f>'Key assumptions'!BP32</f>
        <v>3.5280681943281262</v>
      </c>
      <c r="BQ346" s="114">
        <f>'Key assumptions'!BQ32</f>
        <v>3.8179688704990125</v>
      </c>
      <c r="BR346" s="114">
        <f>'Key assumptions'!BR32</f>
        <v>3.9407618168367149</v>
      </c>
      <c r="BS346" s="114">
        <f>'Key assumptions'!BS32</f>
        <v>3.928267780961336</v>
      </c>
      <c r="BT346" s="104">
        <f>'Key assumptions'!BT32</f>
        <v>3.8037666656562972</v>
      </c>
      <c r="BU346" s="114">
        <f>'Key assumptions'!BU32</f>
        <v>3.8831721202236427</v>
      </c>
      <c r="BV346" s="114">
        <f>'Key assumptions'!BV32</f>
        <v>3.8179688704990125</v>
      </c>
      <c r="BW346" s="114">
        <f>'Key assumptions'!BW32</f>
        <v>3.7732636483824247</v>
      </c>
      <c r="BX346" s="114">
        <f>'Key assumptions'!BX32</f>
        <v>3.7732636483824247</v>
      </c>
      <c r="BY346" s="104">
        <f>'Key assumptions'!BY32</f>
        <v>3.8119170718718762</v>
      </c>
      <c r="BZ346" s="114">
        <f>'Key assumptions'!BZ32</f>
        <v>3.7732636483824247</v>
      </c>
      <c r="CA346" s="114">
        <f>'Key assumptions'!CA32</f>
        <v>3.7808733343204537</v>
      </c>
      <c r="CB346" s="114">
        <f>'Key assumptions'!CB32</f>
        <v>3.7961398272463005</v>
      </c>
      <c r="CC346" s="114">
        <f>'Key assumptions'!CC32</f>
        <v>3.8115008540568729</v>
      </c>
      <c r="CD346" s="104">
        <f>'Key assumptions'!CD32</f>
        <v>3.7904444160015132</v>
      </c>
    </row>
    <row r="347" spans="1:90" hidden="1" outlineLevel="1">
      <c r="A347" s="11"/>
      <c r="B347" s="39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</row>
    <row r="348" spans="1:90" hidden="1" outlineLevel="1">
      <c r="A348" s="11" t="s">
        <v>200</v>
      </c>
      <c r="B348" s="11"/>
      <c r="C348" s="72"/>
      <c r="D348" s="72"/>
      <c r="E348" s="72"/>
      <c r="F348" s="115">
        <f>SUMPRODUCT(F340:F341,F345:F346)*365/1000</f>
        <v>1886.1745840000001</v>
      </c>
      <c r="G348" s="115">
        <f>SUMPRODUCT(G340:G341,G345:G346)*365/1000</f>
        <v>3496.971779</v>
      </c>
      <c r="H348" s="93"/>
      <c r="I348" s="93"/>
      <c r="J348" s="93"/>
      <c r="K348" s="93"/>
      <c r="L348" s="115">
        <f>SUMPRODUCT(L340:L341,L345:L346)*365/1000</f>
        <v>4449.0288</v>
      </c>
      <c r="M348" s="93"/>
      <c r="N348" s="93"/>
      <c r="O348" s="93"/>
      <c r="P348" s="93"/>
      <c r="Q348" s="115">
        <f>SUMPRODUCT(Q340:Q341,Q345:Q346)*365/1000</f>
        <v>5584.6752000000006</v>
      </c>
      <c r="R348" s="93"/>
      <c r="S348" s="93"/>
      <c r="T348" s="93"/>
      <c r="U348" s="93"/>
      <c r="V348" s="115">
        <f>SUMPRODUCT(V340:V341,V345:V346)*365/1000</f>
        <v>10122.475649999998</v>
      </c>
      <c r="W348" s="93"/>
      <c r="X348" s="93"/>
      <c r="Y348" s="93"/>
      <c r="Z348" s="93"/>
      <c r="AA348" s="115">
        <f>SUMPRODUCT(AA340:AA341,AA345:AA346)*365/1000</f>
        <v>7068.6264999999994</v>
      </c>
      <c r="AB348" s="93"/>
      <c r="AC348" s="93"/>
      <c r="AD348" s="93"/>
      <c r="AE348" s="93"/>
      <c r="AF348" s="115">
        <f>SUMPRODUCT(AF340:AF341,AF345:AF346)*365/1000</f>
        <v>7538.2501000000002</v>
      </c>
      <c r="AG348" s="93"/>
      <c r="AH348" s="93"/>
      <c r="AI348" s="93"/>
      <c r="AJ348" s="93"/>
      <c r="AK348" s="115">
        <f>SUMPRODUCT(AK340:AK341,AK345:AK346)*365/1000</f>
        <v>8304.5329249999995</v>
      </c>
      <c r="AL348" s="93"/>
      <c r="AM348" s="93"/>
      <c r="AN348" s="93"/>
      <c r="AO348" s="93"/>
      <c r="AP348" s="115">
        <f>SUMPRODUCT(AP340:AP341,AP345:AP346)*365/1000</f>
        <v>8953.7949250000001</v>
      </c>
      <c r="AQ348" s="93"/>
      <c r="AR348" s="93"/>
      <c r="AS348" s="93"/>
      <c r="AT348" s="93"/>
      <c r="AU348" s="115">
        <f>SUMPRODUCT(AU340:AU341,AU345:AU346)*365/1000</f>
        <v>9786.7486499999995</v>
      </c>
      <c r="AV348" s="93"/>
      <c r="AW348" s="93"/>
      <c r="AX348" s="93"/>
      <c r="AY348" s="93"/>
      <c r="AZ348" s="115">
        <f>SUMPRODUCT(AZ340:AZ341,AZ345:AZ346)*365/1000</f>
        <v>8787.4845000000005</v>
      </c>
      <c r="BA348" s="93"/>
      <c r="BB348" s="93"/>
      <c r="BC348" s="93"/>
      <c r="BD348" s="93"/>
      <c r="BE348" s="115">
        <f>SUMPRODUCT(BE340:BE341,BE345:BE346)*365/1000</f>
        <v>5583.9150874999996</v>
      </c>
      <c r="BF348" s="93"/>
      <c r="BG348" s="93"/>
      <c r="BH348" s="93"/>
      <c r="BI348" s="93"/>
      <c r="BJ348" s="115">
        <f>SUMPRODUCT(BJ340:BJ341,BJ345:BJ346)*365/1000</f>
        <v>4703.3480250000002</v>
      </c>
      <c r="BK348" s="93"/>
      <c r="BL348" s="93"/>
      <c r="BM348" s="93"/>
      <c r="BN348" s="93"/>
      <c r="BO348" s="115">
        <f>SUMPRODUCT(BO340:BO341,BO345:BO346)*365/1000</f>
        <v>5954.7039875</v>
      </c>
      <c r="BP348" s="65">
        <f>SUMPRODUCT(BP340:BP341,BP345:BP346)*90/1000</f>
        <v>1789.6011401878918</v>
      </c>
      <c r="BQ348" s="65">
        <f>SUMPRODUCT(BQ340:BQ341,BQ345:BQ346)*91/1000</f>
        <v>1845.7466635903636</v>
      </c>
      <c r="BR348" s="65">
        <f>SUMPRODUCT(BR340:BR341,BR345:BR346)*92/1000</f>
        <v>1856.5938586136904</v>
      </c>
      <c r="BS348" s="65">
        <f>SUMPRODUCT(BS340:BS341,BS345:BS346)*92/1000</f>
        <v>1837.9427297750417</v>
      </c>
      <c r="BT348" s="115">
        <f>SUM(BP348:BS348)</f>
        <v>7329.8843921669877</v>
      </c>
      <c r="BU348" s="65">
        <f>SUMPRODUCT(BU340:BU341,BU345:BU346)*90/1000</f>
        <v>1749.5780188888873</v>
      </c>
      <c r="BV348" s="65">
        <f>SUMPRODUCT(BV340:BV341,BV345:BV346)*91/1000</f>
        <v>1744.4248248216684</v>
      </c>
      <c r="BW348" s="65">
        <f>SUMPRODUCT(BW340:BW341,BW345:BW346)*92/1000</f>
        <v>1760.9626860123003</v>
      </c>
      <c r="BX348" s="65">
        <f>SUMPRODUCT(BX340:BX341,BX345:BX346)*92/1000</f>
        <v>1767.6426063704841</v>
      </c>
      <c r="BY348" s="115">
        <f>SUM(BU348:BX348)</f>
        <v>7022.6081360933404</v>
      </c>
      <c r="BZ348" s="65">
        <f>SUMPRODUCT(BZ340:BZ341,BZ345:BZ346)*90/1000</f>
        <v>1776.9258614519567</v>
      </c>
      <c r="CA348" s="65">
        <f>SUMPRODUCT(CA340:CA341,CA345:CA346)*91/1000</f>
        <v>1787.8541021192721</v>
      </c>
      <c r="CB348" s="65">
        <f>SUMPRODUCT(CB340:CB341,CB345:CB346)*92/1000</f>
        <v>1822.2319565465941</v>
      </c>
      <c r="CC348" s="65">
        <f>SUMPRODUCT(CC340:CC341,CC345:CC346)*92/1000</f>
        <v>1840.3993652657637</v>
      </c>
      <c r="CD348" s="115">
        <f>SUM(BZ348:CC348)</f>
        <v>7227.4112853835868</v>
      </c>
    </row>
    <row r="349" spans="1:90" hidden="1" outlineLevel="1">
      <c r="A349" s="11" t="s">
        <v>550</v>
      </c>
      <c r="B349" s="11"/>
      <c r="C349" s="72"/>
      <c r="D349" s="72"/>
      <c r="E349" s="72"/>
      <c r="F349" s="116">
        <f>F326/F348-1</f>
        <v>2.3765252898773959E-2</v>
      </c>
      <c r="G349" s="116">
        <f>G326/G348-1</f>
        <v>7.2928304006196099E-2</v>
      </c>
      <c r="H349" s="93"/>
      <c r="I349" s="93"/>
      <c r="J349" s="93"/>
      <c r="K349" s="93"/>
      <c r="L349" s="116">
        <f>L326/L348-1</f>
        <v>1.6401602075491128E-2</v>
      </c>
      <c r="M349" s="93"/>
      <c r="N349" s="93"/>
      <c r="O349" s="93"/>
      <c r="P349" s="93"/>
      <c r="Q349" s="116">
        <f>Q326/Q348-1</f>
        <v>-2.5547627192356814E-2</v>
      </c>
      <c r="R349" s="93"/>
      <c r="S349" s="93"/>
      <c r="T349" s="93"/>
      <c r="U349" s="93"/>
      <c r="V349" s="116">
        <f>V326/V348-1</f>
        <v>-3.5117461606341216E-2</v>
      </c>
      <c r="W349" s="93"/>
      <c r="X349" s="93"/>
      <c r="Y349" s="93"/>
      <c r="Z349" s="93"/>
      <c r="AA349" s="116">
        <f>AA326/AA348-1</f>
        <v>1.2785157059861607E-2</v>
      </c>
      <c r="AB349" s="93"/>
      <c r="AC349" s="93"/>
      <c r="AD349" s="93"/>
      <c r="AE349" s="93"/>
      <c r="AF349" s="116">
        <f>AF326/AF348-1</f>
        <v>-3.6149105745377774E-3</v>
      </c>
      <c r="AG349" s="93"/>
      <c r="AH349" s="93"/>
      <c r="AI349" s="93"/>
      <c r="AJ349" s="93"/>
      <c r="AK349" s="116">
        <f>AK326/AK348-1</f>
        <v>-1.1262876051514881E-2</v>
      </c>
      <c r="AL349" s="93"/>
      <c r="AM349" s="93"/>
      <c r="AN349" s="93"/>
      <c r="AO349" s="93"/>
      <c r="AP349" s="116">
        <f>AP326/AP348-1</f>
        <v>1.1526405938987905E-2</v>
      </c>
      <c r="AQ349" s="93"/>
      <c r="AR349" s="93"/>
      <c r="AS349" s="93"/>
      <c r="AT349" s="93"/>
      <c r="AU349" s="116">
        <f>AU326/AU348-1</f>
        <v>-7.5355618742696251E-3</v>
      </c>
      <c r="AV349" s="93"/>
      <c r="AW349" s="93"/>
      <c r="AX349" s="93"/>
      <c r="AY349" s="93"/>
      <c r="AZ349" s="116">
        <f>AZ326/AZ348-1</f>
        <v>4.2691967194934399E-3</v>
      </c>
      <c r="BA349" s="93"/>
      <c r="BB349" s="93"/>
      <c r="BC349" s="93"/>
      <c r="BD349" s="93"/>
      <c r="BE349" s="116">
        <f>BE326/BE348-1</f>
        <v>4.4786661075816525E-2</v>
      </c>
      <c r="BF349" s="93"/>
      <c r="BG349" s="93"/>
      <c r="BH349" s="93"/>
      <c r="BI349" s="93"/>
      <c r="BJ349" s="116">
        <f>BJ326/BJ348-1</f>
        <v>-2.0697601896045192E-2</v>
      </c>
      <c r="BK349" s="93"/>
      <c r="BL349" s="93"/>
      <c r="BM349" s="93"/>
      <c r="BN349" s="93"/>
      <c r="BO349" s="116">
        <f>BO326/BO348-1</f>
        <v>4.6735490644739697E-2</v>
      </c>
      <c r="BP349" s="117">
        <f>BT349</f>
        <v>0.05</v>
      </c>
      <c r="BQ349" s="117">
        <f>BT349</f>
        <v>0.05</v>
      </c>
      <c r="BR349" s="117">
        <f>BT349</f>
        <v>0.05</v>
      </c>
      <c r="BS349" s="117">
        <f>BT349</f>
        <v>0.05</v>
      </c>
      <c r="BT349" s="118">
        <v>0.05</v>
      </c>
      <c r="BU349" s="117">
        <f>BY349</f>
        <v>0.1</v>
      </c>
      <c r="BV349" s="117">
        <f>BY349</f>
        <v>0.1</v>
      </c>
      <c r="BW349" s="117">
        <f>BY349</f>
        <v>0.1</v>
      </c>
      <c r="BX349" s="117">
        <f>BY349</f>
        <v>0.1</v>
      </c>
      <c r="BY349" s="118">
        <v>0.1</v>
      </c>
      <c r="BZ349" s="117">
        <f>CD349</f>
        <v>0.1</v>
      </c>
      <c r="CA349" s="117">
        <f>CD349</f>
        <v>0.1</v>
      </c>
      <c r="CB349" s="117">
        <f>CD349</f>
        <v>0.1</v>
      </c>
      <c r="CC349" s="117">
        <f>CD349</f>
        <v>0.1</v>
      </c>
      <c r="CD349" s="118">
        <v>0.1</v>
      </c>
    </row>
    <row r="350" spans="1:90" hidden="1" outlineLevel="1">
      <c r="A350" s="11"/>
      <c r="B350" s="11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</row>
    <row r="351" spans="1:90" hidden="1" outlineLevel="1">
      <c r="A351" s="39" t="s">
        <v>3090</v>
      </c>
      <c r="B351" s="11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</row>
    <row r="352" spans="1:90" hidden="1" outlineLevel="1">
      <c r="A352" s="11"/>
      <c r="B352" s="11" t="s">
        <v>1897</v>
      </c>
      <c r="C352" s="119">
        <f>-1000*C328/(C342*365)</f>
        <v>0.94428920844786723</v>
      </c>
      <c r="D352" s="119">
        <f>-1000*D328/(D342*365)</f>
        <v>0.86624569117444994</v>
      </c>
      <c r="E352" s="119">
        <f>-1000*E328/(E342*365)</f>
        <v>0.57822737171359051</v>
      </c>
      <c r="F352" s="119">
        <f>-1000*F328/(F342*365)</f>
        <v>0.70364135750480694</v>
      </c>
      <c r="G352" s="119">
        <f>-1000*G328/(G342*365)</f>
        <v>0.93370616656479311</v>
      </c>
      <c r="H352" s="93"/>
      <c r="I352" s="93"/>
      <c r="J352" s="93"/>
      <c r="K352" s="93"/>
      <c r="L352" s="119">
        <f>-1000*L328/(L342*365)</f>
        <v>1.4343095230958305</v>
      </c>
      <c r="M352" s="93"/>
      <c r="N352" s="93"/>
      <c r="O352" s="93"/>
      <c r="P352" s="93"/>
      <c r="Q352" s="119">
        <f>-1000*Q328/(Q342*365)</f>
        <v>1.8186023799121027</v>
      </c>
      <c r="R352" s="93"/>
      <c r="S352" s="93"/>
      <c r="T352" s="93"/>
      <c r="U352" s="93"/>
      <c r="V352" s="119">
        <f>-1000*V328/(V342*365)</f>
        <v>1.6189885842564697</v>
      </c>
      <c r="W352" s="93"/>
      <c r="X352" s="93"/>
      <c r="Y352" s="93"/>
      <c r="Z352" s="93"/>
      <c r="AA352" s="119">
        <f>-1000*AA328/(AA342*365)</f>
        <v>1.4596090931968795</v>
      </c>
      <c r="AB352" s="93"/>
      <c r="AC352" s="93"/>
      <c r="AD352" s="93"/>
      <c r="AE352" s="93"/>
      <c r="AF352" s="119">
        <f>-1000*AF328/(AF342*365)</f>
        <v>1.514669997595762</v>
      </c>
      <c r="AG352" s="93"/>
      <c r="AH352" s="93"/>
      <c r="AI352" s="93"/>
      <c r="AJ352" s="93"/>
      <c r="AK352" s="119">
        <f>-1000*AK328/(AK342*365)</f>
        <v>1.5603234857237169</v>
      </c>
      <c r="AL352" s="93"/>
      <c r="AM352" s="93"/>
      <c r="AN352" s="93"/>
      <c r="AO352" s="93"/>
      <c r="AP352" s="119">
        <f>-1000*AP328/(AP342*365)</f>
        <v>2.7963370783720904</v>
      </c>
      <c r="AQ352" s="93"/>
      <c r="AR352" s="93"/>
      <c r="AS352" s="93"/>
      <c r="AT352" s="93"/>
      <c r="AU352" s="119">
        <f>-1000*AU328/(AU342*365)</f>
        <v>3.2955997004801127</v>
      </c>
      <c r="AV352" s="93"/>
      <c r="AW352" s="93"/>
      <c r="AX352" s="93"/>
      <c r="AY352" s="93"/>
      <c r="AZ352" s="119">
        <f>-1000*AZ328/(AZ342*365)</f>
        <v>7.4692574467957664</v>
      </c>
      <c r="BA352" s="93"/>
      <c r="BB352" s="93"/>
      <c r="BC352" s="93"/>
      <c r="BD352" s="93"/>
      <c r="BE352" s="119">
        <f>-1000*BE328/(BE342*365)</f>
        <v>7.2446262387789266</v>
      </c>
      <c r="BF352" s="93"/>
      <c r="BG352" s="93"/>
      <c r="BH352" s="93"/>
      <c r="BI352" s="93"/>
      <c r="BJ352" s="119">
        <f>-1000*BJ328/(BJ342*365)</f>
        <v>0.66869776212859511</v>
      </c>
      <c r="BK352" s="93"/>
      <c r="BL352" s="93"/>
      <c r="BM352" s="93"/>
      <c r="BN352" s="93"/>
      <c r="BO352" s="119">
        <f>-1000*BO328/(BO342*365)</f>
        <v>8.8903870440954904</v>
      </c>
      <c r="BP352" s="114">
        <f>-1000*BP328/(BP$342*90)</f>
        <v>3.0875179380882236</v>
      </c>
      <c r="BQ352" s="114">
        <f>-1000*BQ328/(BQ$342*91)</f>
        <v>2.0018851232242834</v>
      </c>
      <c r="BR352" s="114">
        <f>-1000*BR328/(BR$342*92)</f>
        <v>1.9734396200242525</v>
      </c>
      <c r="BS352" s="114">
        <f>-1000*BS328/(BS$342*92)</f>
        <v>1.9620572458857657</v>
      </c>
      <c r="BT352" s="119">
        <f>-1000*BT328/(BT342*365)</f>
        <v>2.2540790833504691</v>
      </c>
      <c r="BU352" s="114">
        <f>-1000*BU328/(BU$342*90)</f>
        <v>1.7438331131675597</v>
      </c>
      <c r="BV352" s="114">
        <f>-1000*BV328/(BV$342*91)</f>
        <v>1.7503953601373439</v>
      </c>
      <c r="BW352" s="114">
        <f>-1000*BW328/(BW$342*92)</f>
        <v>1.7246656478853131</v>
      </c>
      <c r="BX352" s="114">
        <f>-1000*BX328/(BX$342*92)</f>
        <v>1.7132682992799626</v>
      </c>
      <c r="BY352" s="119">
        <f>-1000*BY328/(BY342*365)</f>
        <v>1.7328768948165789</v>
      </c>
      <c r="BZ352" s="114">
        <f>-1000*BZ328/(BZ$342*90)</f>
        <v>1.042248146281658</v>
      </c>
      <c r="CA352" s="114">
        <f>-1000*CA328/(CA$342*91)</f>
        <v>1.0476999566745764</v>
      </c>
      <c r="CB352" s="114">
        <f>-1000*CB328/(CB$342*92)</f>
        <v>1.031901918402536</v>
      </c>
      <c r="CC352" s="114">
        <f>-1000*CC328/(CC$342*92)</f>
        <v>1.0244119935641718</v>
      </c>
      <c r="CD352" s="119">
        <f>-1000*CD328/(CD342*365)</f>
        <v>1.0364626881471335</v>
      </c>
    </row>
    <row r="353" spans="1:103" hidden="1" outlineLevel="1">
      <c r="A353" s="11"/>
      <c r="B353" s="11" t="s">
        <v>2149</v>
      </c>
      <c r="C353" s="119">
        <f>-1000*C329/(C342*365)</f>
        <v>5.0069288261886911</v>
      </c>
      <c r="D353" s="119">
        <f>-1000*D329/(D342*365)</f>
        <v>4.1060045761668924</v>
      </c>
      <c r="E353" s="119">
        <f>-1000*E329/(E342*365)</f>
        <v>4.3547748932179786</v>
      </c>
      <c r="F353" s="119">
        <f>-1000*F329/(F342*365)</f>
        <v>5.0505812994233921</v>
      </c>
      <c r="G353" s="119">
        <f>-1000*G329/(G342*365)</f>
        <v>5.3063712593661698</v>
      </c>
      <c r="H353" s="93"/>
      <c r="I353" s="93"/>
      <c r="J353" s="93"/>
      <c r="K353" s="93"/>
      <c r="L353" s="119">
        <f>-1000*L329/(L342*365)</f>
        <v>5.5307844489074069</v>
      </c>
      <c r="M353" s="93"/>
      <c r="N353" s="93"/>
      <c r="O353" s="93"/>
      <c r="P353" s="93"/>
      <c r="Q353" s="119">
        <f>-1000*Q329/(Q342*365)</f>
        <v>6.3303263169618003</v>
      </c>
      <c r="R353" s="93"/>
      <c r="S353" s="93"/>
      <c r="T353" s="93"/>
      <c r="U353" s="93"/>
      <c r="V353" s="119">
        <f>-1000*V329/(V342*365)</f>
        <v>6.6507747005840896</v>
      </c>
      <c r="W353" s="93"/>
      <c r="X353" s="93"/>
      <c r="Y353" s="93"/>
      <c r="Z353" s="93"/>
      <c r="AA353" s="119">
        <f>-1000*AA329/(AA342*365)</f>
        <v>6.0517125873185691</v>
      </c>
      <c r="AB353" s="93"/>
      <c r="AC353" s="93"/>
      <c r="AD353" s="93"/>
      <c r="AE353" s="93"/>
      <c r="AF353" s="119">
        <f>-1000*AF329/(AF342*365)</f>
        <v>7.5172510991789672</v>
      </c>
      <c r="AG353" s="93"/>
      <c r="AH353" s="93"/>
      <c r="AI353" s="93"/>
      <c r="AJ353" s="93"/>
      <c r="AK353" s="119">
        <f>-1000*AK329/(AK342*365)</f>
        <v>10.970127083677175</v>
      </c>
      <c r="AL353" s="93"/>
      <c r="AM353" s="93"/>
      <c r="AN353" s="93"/>
      <c r="AO353" s="93"/>
      <c r="AP353" s="119">
        <f>-1000*AP329/(AP342*365)</f>
        <v>11.934045015117018</v>
      </c>
      <c r="AQ353" s="93"/>
      <c r="AR353" s="93"/>
      <c r="AS353" s="93"/>
      <c r="AT353" s="93"/>
      <c r="AU353" s="119">
        <f>-1000*AU329/(AU342*365)</f>
        <v>13.821080914416598</v>
      </c>
      <c r="AV353" s="93"/>
      <c r="AW353" s="93"/>
      <c r="AX353" s="93"/>
      <c r="AY353" s="93"/>
      <c r="AZ353" s="119">
        <f>-1000*AZ329/(AZ342*365)</f>
        <v>13.392552305766362</v>
      </c>
      <c r="BA353" s="93"/>
      <c r="BB353" s="93"/>
      <c r="BC353" s="93"/>
      <c r="BD353" s="93"/>
      <c r="BE353" s="119">
        <f>-1000*BE329/(BE342*365)</f>
        <v>11.008068440742006</v>
      </c>
      <c r="BF353" s="93"/>
      <c r="BG353" s="93"/>
      <c r="BH353" s="93"/>
      <c r="BI353" s="93"/>
      <c r="BJ353" s="119">
        <f>-1000*BJ329/(BJ342*365)</f>
        <v>9.3771410321481152</v>
      </c>
      <c r="BK353" s="93"/>
      <c r="BL353" s="93"/>
      <c r="BM353" s="93"/>
      <c r="BN353" s="93"/>
      <c r="BO353" s="119">
        <f>-1000*BO329/(BO342*365)</f>
        <v>6.466336490467671</v>
      </c>
      <c r="BP353" s="109">
        <f>BT353</f>
        <v>6.1430196659442871</v>
      </c>
      <c r="BQ353" s="109">
        <f>BT353</f>
        <v>6.1430196659442871</v>
      </c>
      <c r="BR353" s="109">
        <f>BT353</f>
        <v>6.1430196659442871</v>
      </c>
      <c r="BS353" s="109">
        <f>BT353</f>
        <v>6.1430196659442871</v>
      </c>
      <c r="BT353" s="120">
        <f>BO353*(1-5%)</f>
        <v>6.1430196659442871</v>
      </c>
      <c r="BU353" s="109">
        <f>BY353</f>
        <v>6.2965951575928933</v>
      </c>
      <c r="BV353" s="109">
        <f>BY353</f>
        <v>6.2965951575928933</v>
      </c>
      <c r="BW353" s="109">
        <f>BY353</f>
        <v>6.2965951575928933</v>
      </c>
      <c r="BX353" s="109">
        <f>BY353</f>
        <v>6.2965951575928933</v>
      </c>
      <c r="BY353" s="120">
        <f>BT353*(1+2.5%)</f>
        <v>6.2965951575928933</v>
      </c>
      <c r="BZ353" s="109">
        <f>CD353</f>
        <v>6.4540100365327149</v>
      </c>
      <c r="CA353" s="109">
        <f>CD353</f>
        <v>6.4540100365327149</v>
      </c>
      <c r="CB353" s="109">
        <f>CD353</f>
        <v>6.4540100365327149</v>
      </c>
      <c r="CC353" s="109">
        <f>CD353</f>
        <v>6.4540100365327149</v>
      </c>
      <c r="CD353" s="120">
        <f>BY353*(1+2.5%)</f>
        <v>6.4540100365327149</v>
      </c>
      <c r="CE353" s="563"/>
    </row>
    <row r="354" spans="1:103" hidden="1" outlineLevel="1">
      <c r="A354" s="11"/>
      <c r="B354" s="11" t="s">
        <v>2150</v>
      </c>
      <c r="C354" s="119">
        <f>-1000*C330/(C342*365)</f>
        <v>4.3920428299900803E-2</v>
      </c>
      <c r="D354" s="119">
        <f>-1000*D330/(D342*365)</f>
        <v>0</v>
      </c>
      <c r="E354" s="119">
        <f>-1000*E330/(E342*365)</f>
        <v>0</v>
      </c>
      <c r="F354" s="119">
        <f>-1000*F330/(F342*365)</f>
        <v>0</v>
      </c>
      <c r="G354" s="119">
        <f>-1000*G330/(G342*365)</f>
        <v>0</v>
      </c>
      <c r="H354" s="93"/>
      <c r="I354" s="93"/>
      <c r="J354" s="93"/>
      <c r="K354" s="93"/>
      <c r="L354" s="119">
        <f>-1000*L330/(L342*365)</f>
        <v>0</v>
      </c>
      <c r="M354" s="93"/>
      <c r="N354" s="93"/>
      <c r="O354" s="93"/>
      <c r="P354" s="93"/>
      <c r="Q354" s="119">
        <f>-1000*Q330/(Q342*365)</f>
        <v>0</v>
      </c>
      <c r="R354" s="93"/>
      <c r="S354" s="93"/>
      <c r="T354" s="93"/>
      <c r="U354" s="93"/>
      <c r="V354" s="119">
        <f>-1000*V330/(V342*365)</f>
        <v>0</v>
      </c>
      <c r="W354" s="93"/>
      <c r="X354" s="93"/>
      <c r="Y354" s="93"/>
      <c r="Z354" s="93"/>
      <c r="AA354" s="119">
        <f>-1000*AA330/(AA342*365)</f>
        <v>0</v>
      </c>
      <c r="AB354" s="93"/>
      <c r="AC354" s="93"/>
      <c r="AD354" s="93"/>
      <c r="AE354" s="93"/>
      <c r="AF354" s="119">
        <f>-1000*AF330/(AF342*365)</f>
        <v>0</v>
      </c>
      <c r="AG354" s="93"/>
      <c r="AH354" s="93"/>
      <c r="AI354" s="93"/>
      <c r="AJ354" s="93"/>
      <c r="AK354" s="119">
        <f>-1000*AK330/(AK342*365)</f>
        <v>0</v>
      </c>
      <c r="AL354" s="93"/>
      <c r="AM354" s="93"/>
      <c r="AN354" s="93"/>
      <c r="AO354" s="93"/>
      <c r="AP354" s="119">
        <f>-1000*AP330/(AP342*365)</f>
        <v>0</v>
      </c>
      <c r="AQ354" s="93"/>
      <c r="AR354" s="93"/>
      <c r="AS354" s="93"/>
      <c r="AT354" s="93"/>
      <c r="AU354" s="119">
        <f>-1000*AU330/(AU342*365)</f>
        <v>0</v>
      </c>
      <c r="AV354" s="93"/>
      <c r="AW354" s="93"/>
      <c r="AX354" s="93"/>
      <c r="AY354" s="93"/>
      <c r="AZ354" s="119">
        <f>-1000*AZ330/(AZ342*365)</f>
        <v>0</v>
      </c>
      <c r="BA354" s="93"/>
      <c r="BB354" s="93"/>
      <c r="BC354" s="93"/>
      <c r="BD354" s="93"/>
      <c r="BE354" s="119">
        <f>-1000*BE330/(BE342*365)</f>
        <v>0</v>
      </c>
      <c r="BF354" s="93"/>
      <c r="BG354" s="93"/>
      <c r="BH354" s="93"/>
      <c r="BI354" s="93"/>
      <c r="BJ354" s="119">
        <f>-1000*BJ330/(BJ342*365)</f>
        <v>0</v>
      </c>
      <c r="BK354" s="93"/>
      <c r="BL354" s="93"/>
      <c r="BM354" s="93"/>
      <c r="BN354" s="93"/>
      <c r="BO354" s="119">
        <f>-1000*BO330/(BO342*365)</f>
        <v>0</v>
      </c>
      <c r="BP354" s="114">
        <f>-1000*BP330/(BP$342*90)</f>
        <v>0</v>
      </c>
      <c r="BQ354" s="114">
        <f>-1000*BQ330/(BQ$342*91)</f>
        <v>0</v>
      </c>
      <c r="BR354" s="114">
        <f>-1000*BR330/(BR$342*92)</f>
        <v>0</v>
      </c>
      <c r="BS354" s="114">
        <f>-1000*BS330/(BS$342*92)</f>
        <v>0</v>
      </c>
      <c r="BT354" s="119">
        <f>-1000*BT330/(BT342*365)</f>
        <v>0</v>
      </c>
      <c r="BU354" s="114">
        <f>-1000*BU330/(BU$342*90)</f>
        <v>0</v>
      </c>
      <c r="BV354" s="114">
        <f>-1000*BV330/(BV$342*91)</f>
        <v>0</v>
      </c>
      <c r="BW354" s="114">
        <f>-1000*BW330/(BW$342*92)</f>
        <v>0</v>
      </c>
      <c r="BX354" s="114">
        <f>-1000*BX330/(BX$342*92)</f>
        <v>0</v>
      </c>
      <c r="BY354" s="119">
        <f>-1000*BY330/(BY342*365)</f>
        <v>0</v>
      </c>
      <c r="BZ354" s="114">
        <f>-1000*BZ330/(BZ$342*90)</f>
        <v>0</v>
      </c>
      <c r="CA354" s="114">
        <f>-1000*CA330/(CA$342*91)</f>
        <v>0</v>
      </c>
      <c r="CB354" s="114">
        <f>-1000*CB330/(CB$342*92)</f>
        <v>0</v>
      </c>
      <c r="CC354" s="114">
        <f>-1000*CC330/(CC$342*92)</f>
        <v>0</v>
      </c>
      <c r="CD354" s="119">
        <f>-1000*CD330/(CD342*365)</f>
        <v>0</v>
      </c>
    </row>
    <row r="355" spans="1:103" hidden="1" outlineLevel="1">
      <c r="A355" s="11"/>
      <c r="B355" s="11" t="s">
        <v>2158</v>
      </c>
      <c r="C355" s="119">
        <f>-1000*C331/(C342*365)</f>
        <v>4.9190879695888894</v>
      </c>
      <c r="D355" s="119">
        <f>-1000*D331/(D342*365)</f>
        <v>5.7345464755748585</v>
      </c>
      <c r="E355" s="119">
        <f>-1000*E331/(E342*365)</f>
        <v>0.68664500390988881</v>
      </c>
      <c r="F355" s="119">
        <f>-1000*F331/(F342*365)</f>
        <v>1.9076499025685876</v>
      </c>
      <c r="G355" s="119">
        <f>-1000*G331/(G342*365)</f>
        <v>1.1296691891771571</v>
      </c>
      <c r="H355" s="93"/>
      <c r="I355" s="93"/>
      <c r="J355" s="93"/>
      <c r="K355" s="93"/>
      <c r="L355" s="119">
        <f>-1000*L331/(L342*365)</f>
        <v>4.6941038937681725</v>
      </c>
      <c r="M355" s="93"/>
      <c r="N355" s="93"/>
      <c r="O355" s="93"/>
      <c r="P355" s="93"/>
      <c r="Q355" s="119">
        <f>-1000*Q331/(Q342*365)</f>
        <v>2.226048814755798</v>
      </c>
      <c r="R355" s="93"/>
      <c r="S355" s="93"/>
      <c r="T355" s="93"/>
      <c r="U355" s="93"/>
      <c r="V355" s="119">
        <f>-1000*V331/(V342*365)</f>
        <v>-0.92730801539572449</v>
      </c>
      <c r="W355" s="93"/>
      <c r="X355" s="93"/>
      <c r="Y355" s="93"/>
      <c r="Z355" s="93"/>
      <c r="AA355" s="119">
        <f>-1000*AA331/(AA342*365)</f>
        <v>0.95974296538972892</v>
      </c>
      <c r="AB355" s="93"/>
      <c r="AC355" s="93"/>
      <c r="AD355" s="93"/>
      <c r="AE355" s="93"/>
      <c r="AF355" s="119">
        <f>-1000*AF331/(AF342*365)</f>
        <v>1.0418365062827992</v>
      </c>
      <c r="AG355" s="93"/>
      <c r="AH355" s="93"/>
      <c r="AI355" s="93"/>
      <c r="AJ355" s="93"/>
      <c r="AK355" s="119">
        <f>-1000*AK331/(AK342*365)</f>
        <v>2.0580953952797492</v>
      </c>
      <c r="AL355" s="93"/>
      <c r="AM355" s="93"/>
      <c r="AN355" s="93"/>
      <c r="AO355" s="93"/>
      <c r="AP355" s="119">
        <f>-1000*AP331/(AP342*365)</f>
        <v>1.9935177236136514</v>
      </c>
      <c r="AQ355" s="93"/>
      <c r="AR355" s="93"/>
      <c r="AS355" s="93"/>
      <c r="AT355" s="93"/>
      <c r="AU355" s="119">
        <f>-1000*AU331/(AU342*365)</f>
        <v>0.75790277349542645</v>
      </c>
      <c r="AV355" s="93"/>
      <c r="AW355" s="93"/>
      <c r="AX355" s="93"/>
      <c r="AY355" s="93"/>
      <c r="AZ355" s="119">
        <f>-1000*AZ331/(AZ342*365)</f>
        <v>1.0422219693203394</v>
      </c>
      <c r="BA355" s="93"/>
      <c r="BB355" s="93"/>
      <c r="BC355" s="93"/>
      <c r="BD355" s="93"/>
      <c r="BE355" s="119">
        <f>-1000*BE331/(BE342*365)</f>
        <v>2.5909852082745815</v>
      </c>
      <c r="BF355" s="93"/>
      <c r="BG355" s="93"/>
      <c r="BH355" s="93"/>
      <c r="BI355" s="93"/>
      <c r="BJ355" s="119">
        <f>-1000*BJ331/(BJ342*365)</f>
        <v>4.5886501608134633</v>
      </c>
      <c r="BK355" s="93"/>
      <c r="BL355" s="93"/>
      <c r="BM355" s="93"/>
      <c r="BN355" s="93"/>
      <c r="BO355" s="119">
        <f>-1000*BO331/(BO342*365)</f>
        <v>1.8494118665280366</v>
      </c>
      <c r="BP355" s="114">
        <f>-1000*BP331/(BP$342*90)</f>
        <v>1.5643424219647</v>
      </c>
      <c r="BQ355" s="114">
        <f>-1000*BQ331/(BQ$342*91)</f>
        <v>1.5672665326955064</v>
      </c>
      <c r="BR355" s="114">
        <f>-1000*BR331/(BR$342*92)</f>
        <v>1.5449966808174491</v>
      </c>
      <c r="BS355" s="114">
        <f>-1000*BS331/(BS$342*92)</f>
        <v>1.5360854731547753</v>
      </c>
      <c r="BT355" s="104">
        <f>-1000*BT331/(BT342*365)</f>
        <v>1.5530340596032488</v>
      </c>
      <c r="BU355" s="114">
        <f>-1000*BU331/(BU$342*90)</f>
        <v>1.4654599896878244</v>
      </c>
      <c r="BV355" s="114">
        <f>-1000*BV331/(BV$342*91)</f>
        <v>1.4709746861940747</v>
      </c>
      <c r="BW355" s="114">
        <f>-1000*BW331/(BW$342*92)</f>
        <v>1.4493522823259424</v>
      </c>
      <c r="BX355" s="114">
        <f>-1000*BX331/(BX$342*92)</f>
        <v>1.4397743254425988</v>
      </c>
      <c r="BY355" s="104">
        <f>-1000*BY331/(BY342*365)</f>
        <v>1.4562527441604807</v>
      </c>
      <c r="BZ355" s="114">
        <f>-1000*BZ331/(BZ$342*90)</f>
        <v>1.3600765645158996</v>
      </c>
      <c r="CA355" s="114">
        <f>-1000*CA331/(CA$342*91)</f>
        <v>1.3671908775286366</v>
      </c>
      <c r="CB355" s="114">
        <f>-1000*CB331/(CB$342*92)</f>
        <v>1.3465753056077048</v>
      </c>
      <c r="CC355" s="114">
        <f>-1000*CC331/(CC$342*92)</f>
        <v>1.3368013652279711</v>
      </c>
      <c r="CD355" s="104">
        <f>-1000*CD331/(CD342*365)</f>
        <v>1.3525268595326603</v>
      </c>
      <c r="CG355" s="364"/>
      <c r="CH355" s="364" t="s">
        <v>3693</v>
      </c>
      <c r="CI355" s="364" t="s">
        <v>3694</v>
      </c>
    </row>
    <row r="356" spans="1:103" hidden="1" outlineLevel="1">
      <c r="A356" s="11"/>
      <c r="B356" s="11" t="s">
        <v>2154</v>
      </c>
      <c r="C356" s="119">
        <f>-1000*C332/(C342*365)</f>
        <v>2.8548278394935522</v>
      </c>
      <c r="D356" s="119">
        <f>-1000*D332/(D342*365)</f>
        <v>2.3215384523475255</v>
      </c>
      <c r="E356" s="119">
        <f>-1000*E332/(E342*365)</f>
        <v>3.9572435751648856</v>
      </c>
      <c r="F356" s="119">
        <f>-1000*F332/(F342*365)</f>
        <v>4.4876682134195462</v>
      </c>
      <c r="G356" s="119">
        <f>-1000*G332/(G342*365)</f>
        <v>6.2477622503471339</v>
      </c>
      <c r="H356" s="93"/>
      <c r="I356" s="93"/>
      <c r="J356" s="93"/>
      <c r="K356" s="93"/>
      <c r="L356" s="119">
        <f>-1000*L332/(L342*365)</f>
        <v>9.3990737687719204</v>
      </c>
      <c r="M356" s="93"/>
      <c r="N356" s="93"/>
      <c r="O356" s="93"/>
      <c r="P356" s="93"/>
      <c r="Q356" s="119">
        <f>-1000*Q332/(Q342*365)</f>
        <v>13.634548990379262</v>
      </c>
      <c r="R356" s="93"/>
      <c r="S356" s="93"/>
      <c r="T356" s="93"/>
      <c r="U356" s="93"/>
      <c r="V356" s="119">
        <f>-1000*V332/(V342*365)</f>
        <v>16.113876988843735</v>
      </c>
      <c r="W356" s="93"/>
      <c r="X356" s="93"/>
      <c r="Y356" s="93"/>
      <c r="Z356" s="93"/>
      <c r="AA356" s="119">
        <f>-1000*AA332/(AA342*365)</f>
        <v>13.60302355805859</v>
      </c>
      <c r="AB356" s="93"/>
      <c r="AC356" s="93"/>
      <c r="AD356" s="93"/>
      <c r="AE356" s="93"/>
      <c r="AF356" s="119">
        <f>-1000*AF332/(AF342*365)</f>
        <v>14.193018866360289</v>
      </c>
      <c r="AG356" s="93"/>
      <c r="AH356" s="93"/>
      <c r="AI356" s="93"/>
      <c r="AJ356" s="93"/>
      <c r="AK356" s="119">
        <f>-1000*AK332/(AK342*365)</f>
        <v>15.966991252681961</v>
      </c>
      <c r="AL356" s="93"/>
      <c r="AM356" s="93"/>
      <c r="AN356" s="93"/>
      <c r="AO356" s="93"/>
      <c r="AP356" s="119">
        <f>-1000*AP332/(AP342*365)</f>
        <v>20.575628631505605</v>
      </c>
      <c r="AQ356" s="93"/>
      <c r="AR356" s="93"/>
      <c r="AS356" s="93"/>
      <c r="AT356" s="93"/>
      <c r="AU356" s="119">
        <f>-1000*AU332/(AU342*365)</f>
        <v>26.671365017839054</v>
      </c>
      <c r="AV356" s="93"/>
      <c r="AW356" s="93"/>
      <c r="AX356" s="93"/>
      <c r="AY356" s="93"/>
      <c r="AZ356" s="119">
        <f>-1000*AZ332/(AZ342*365)</f>
        <v>29.034567028649125</v>
      </c>
      <c r="BA356" s="93"/>
      <c r="BB356" s="93"/>
      <c r="BC356" s="93"/>
      <c r="BD356" s="93"/>
      <c r="BE356" s="119">
        <f>-1000*BE332/(BE342*365)</f>
        <v>24.693970755957743</v>
      </c>
      <c r="BF356" s="93"/>
      <c r="BG356" s="93"/>
      <c r="BH356" s="93"/>
      <c r="BI356" s="93"/>
      <c r="BJ356" s="119">
        <f>-1000*BJ332/(BJ342*365)</f>
        <v>22.574314107720504</v>
      </c>
      <c r="BK356" s="93"/>
      <c r="BL356" s="93"/>
      <c r="BM356" s="93"/>
      <c r="BN356" s="93"/>
      <c r="BO356" s="119">
        <f>-1000*BO332/(BO342*365)</f>
        <v>23.685681976319785</v>
      </c>
      <c r="BP356" s="109">
        <f>BT356</f>
        <v>23.948816462076742</v>
      </c>
      <c r="BQ356" s="109">
        <f>BT356</f>
        <v>23.948816462076742</v>
      </c>
      <c r="BR356" s="109">
        <f>BT356</f>
        <v>23.948816462076742</v>
      </c>
      <c r="BS356" s="109">
        <f>BT356</f>
        <v>23.948816462076742</v>
      </c>
      <c r="BT356" s="120">
        <f>BT360</f>
        <v>23.948816462076742</v>
      </c>
      <c r="BU356" s="109">
        <f>BY356</f>
        <v>24.211950947833696</v>
      </c>
      <c r="BV356" s="109">
        <f>BY356</f>
        <v>24.211950947833696</v>
      </c>
      <c r="BW356" s="109">
        <f>BY356</f>
        <v>24.211950947833696</v>
      </c>
      <c r="BX356" s="109">
        <f>BY356</f>
        <v>24.211950947833696</v>
      </c>
      <c r="BY356" s="120">
        <f>BY360</f>
        <v>24.211950947833696</v>
      </c>
      <c r="BZ356" s="109">
        <f>CD356</f>
        <v>24.47508543359066</v>
      </c>
      <c r="CA356" s="109">
        <f>CD356</f>
        <v>24.47508543359066</v>
      </c>
      <c r="CB356" s="109">
        <f>CD356</f>
        <v>24.47508543359066</v>
      </c>
      <c r="CC356" s="109">
        <f>CD356</f>
        <v>24.47508543359066</v>
      </c>
      <c r="CD356" s="120">
        <f>CD360</f>
        <v>24.47508543359066</v>
      </c>
      <c r="CE356" s="563"/>
      <c r="CG356" s="468">
        <v>2005</v>
      </c>
      <c r="CH356" s="627">
        <f>INDEX(334:334,MATCH(CG356,323:323,0))</f>
        <v>2570.666666666667</v>
      </c>
      <c r="CI356" s="627">
        <f>INDEX(336:336,MATCH(CG356,323:323,0))</f>
        <v>-1043.1666666666667</v>
      </c>
    </row>
    <row r="357" spans="1:103" hidden="1" outlineLevel="1">
      <c r="A357" s="11"/>
      <c r="B357" s="4" t="s">
        <v>930</v>
      </c>
      <c r="C357" s="119">
        <f>-1000*C333/(C342*365)</f>
        <v>0</v>
      </c>
      <c r="D357" s="119">
        <f>-1000*D333/(D342*365)</f>
        <v>3.9847301794024697</v>
      </c>
      <c r="E357" s="119">
        <f>-1000*E333/(E342*365)</f>
        <v>-2.2044918546580639</v>
      </c>
      <c r="F357" s="119">
        <f>-1000*F333/(F342*365)</f>
        <v>0.75055078133846076</v>
      </c>
      <c r="G357" s="119">
        <f>-1000*G333/(G342*365)</f>
        <v>0</v>
      </c>
      <c r="H357" s="93"/>
      <c r="I357" s="93"/>
      <c r="J357" s="93"/>
      <c r="K357" s="93"/>
      <c r="L357" s="119">
        <f>-1000*L333/(L342*365)</f>
        <v>-0.33684541830280867</v>
      </c>
      <c r="M357" s="93"/>
      <c r="N357" s="93"/>
      <c r="O357" s="93"/>
      <c r="P357" s="93"/>
      <c r="Q357" s="119">
        <f>-1000*Q333/(Q342*365)</f>
        <v>-0.75526656214928856</v>
      </c>
      <c r="R357" s="93"/>
      <c r="S357" s="93"/>
      <c r="T357" s="93"/>
      <c r="U357" s="93"/>
      <c r="V357" s="119">
        <f>-1000*V333/(V342*365)</f>
        <v>6.0807082976768817E-2</v>
      </c>
      <c r="W357" s="93"/>
      <c r="X357" s="93"/>
      <c r="Y357" s="93"/>
      <c r="Z357" s="93"/>
      <c r="AA357" s="119">
        <f>-1000*AA333/(AA342*365)</f>
        <v>-6.6648817040953403E-3</v>
      </c>
      <c r="AB357" s="93"/>
      <c r="AC357" s="93"/>
      <c r="AD357" s="93"/>
      <c r="AE357" s="93"/>
      <c r="AF357" s="119">
        <f>-1000*AF333/(AF342*365)</f>
        <v>-3.4220322167904254</v>
      </c>
      <c r="AG357" s="93"/>
      <c r="AH357" s="93"/>
      <c r="AI357" s="93"/>
      <c r="AJ357" s="93"/>
      <c r="AK357" s="119">
        <f>-1000*AK333/(AK342*365)</f>
        <v>0.17230566100016506</v>
      </c>
      <c r="AL357" s="93"/>
      <c r="AM357" s="93"/>
      <c r="AN357" s="93"/>
      <c r="AO357" s="93"/>
      <c r="AP357" s="119">
        <f>-1000*AP333/(AP342*365)</f>
        <v>0.21649061251912957</v>
      </c>
      <c r="AQ357" s="93"/>
      <c r="AR357" s="93"/>
      <c r="AS357" s="93"/>
      <c r="AT357" s="93"/>
      <c r="AU357" s="119">
        <f>-1000*AU333/(AU342*365)</f>
        <v>0.24695708349850976</v>
      </c>
      <c r="AV357" s="93"/>
      <c r="AW357" s="93"/>
      <c r="AX357" s="93"/>
      <c r="AY357" s="93"/>
      <c r="AZ357" s="119">
        <f>-1000*AZ333/(AZ342*365)</f>
        <v>9.7968865116111914</v>
      </c>
      <c r="BA357" s="93"/>
      <c r="BB357" s="93"/>
      <c r="BC357" s="93"/>
      <c r="BD357" s="93"/>
      <c r="BE357" s="119">
        <f>-1000*BE333/(BE342*365)</f>
        <v>6.1228309670399321</v>
      </c>
      <c r="BF357" s="93"/>
      <c r="BG357" s="93"/>
      <c r="BH357" s="93"/>
      <c r="BI357" s="93"/>
      <c r="BJ357" s="119">
        <f>-1000*BJ333/(BJ342*365)</f>
        <v>-5.8799285980273019</v>
      </c>
      <c r="BK357" s="93"/>
      <c r="BL357" s="93"/>
      <c r="BM357" s="93"/>
      <c r="BN357" s="93"/>
      <c r="BO357" s="119">
        <f>-1000*BO333/(BO342*365)</f>
        <v>0</v>
      </c>
      <c r="BP357" s="114">
        <f>-1000*BP333/(BP$342*90)</f>
        <v>0</v>
      </c>
      <c r="BQ357" s="114">
        <f>-1000*BQ333/(BQ$342*91)</f>
        <v>0</v>
      </c>
      <c r="BR357" s="114">
        <f>-1000*BR333/(BR$342*92)</f>
        <v>0</v>
      </c>
      <c r="BS357" s="114">
        <f>-1000*BS333/(BS$342*92)</f>
        <v>0</v>
      </c>
      <c r="BT357" s="104">
        <f>-1000*BT333/(BT342*365)</f>
        <v>0</v>
      </c>
      <c r="BU357" s="114">
        <f>-1000*BU333/(BU$342*90)</f>
        <v>0</v>
      </c>
      <c r="BV357" s="114">
        <f>-1000*BV333/(BV$342*91)</f>
        <v>0</v>
      </c>
      <c r="BW357" s="114">
        <f>-1000*BW333/(BW$342*92)</f>
        <v>0</v>
      </c>
      <c r="BX357" s="114">
        <f>-1000*BX333/(BX$342*92)</f>
        <v>0</v>
      </c>
      <c r="BY357" s="104">
        <f>-1000*BY333/(BY342*365)</f>
        <v>0</v>
      </c>
      <c r="BZ357" s="114">
        <f>-1000*BZ333/(BZ$342*90)</f>
        <v>0</v>
      </c>
      <c r="CA357" s="114">
        <f>-1000*CA333/(CA$342*91)</f>
        <v>0</v>
      </c>
      <c r="CB357" s="114">
        <f>-1000*CB333/(CB$342*92)</f>
        <v>0</v>
      </c>
      <c r="CC357" s="114">
        <f>-1000*CC333/(CC$342*92)</f>
        <v>0</v>
      </c>
      <c r="CD357" s="104">
        <f>-1000*CD333/(CD342*365)</f>
        <v>0</v>
      </c>
      <c r="CG357" s="468">
        <v>2006</v>
      </c>
      <c r="CH357" s="627">
        <f>INDEX(334:334,MATCH(CG357,323:323,0))</f>
        <v>2615</v>
      </c>
      <c r="CI357" s="627">
        <f>INDEX(336:336,MATCH(CG357,323:323,0))</f>
        <v>-1328</v>
      </c>
    </row>
    <row r="358" spans="1:103" s="391" customFormat="1" hidden="1" outlineLevel="1">
      <c r="A358" s="22"/>
      <c r="B358" s="60" t="s">
        <v>646</v>
      </c>
      <c r="C358" s="173"/>
      <c r="D358" s="158"/>
      <c r="E358" s="158"/>
      <c r="F358" s="158"/>
      <c r="G358" s="158"/>
      <c r="H358" s="173"/>
      <c r="I358" s="173"/>
      <c r="J358" s="173"/>
      <c r="K358" s="173"/>
      <c r="L358" s="158">
        <f>1000*(L326+L328+L329+L331+L330+L332)/(L342*365)</f>
        <v>28.077695512724439</v>
      </c>
      <c r="M358" s="173"/>
      <c r="N358" s="173"/>
      <c r="O358" s="173"/>
      <c r="P358" s="173"/>
      <c r="Q358" s="158">
        <f>1000*(Q326+Q328+Q329+Q331+Q330+Q332)/(Q342*365)</f>
        <v>30.071534435049305</v>
      </c>
      <c r="R358" s="173"/>
      <c r="S358" s="173"/>
      <c r="T358" s="173"/>
      <c r="U358" s="173"/>
      <c r="V358" s="158">
        <f>1000*(V326+V328+V329+V331+V330+V332)/(V342*365)</f>
        <v>50.78151517097406</v>
      </c>
      <c r="W358" s="173"/>
      <c r="X358" s="173"/>
      <c r="Y358" s="173"/>
      <c r="Z358" s="173"/>
      <c r="AA358" s="158">
        <f>1000*(AA326+AA328+AA329+AA331+AA330+AA332)/(AA342*365)</f>
        <v>25.639799915654773</v>
      </c>
      <c r="AB358" s="173"/>
      <c r="AC358" s="173"/>
      <c r="AD358" s="173"/>
      <c r="AE358" s="173"/>
      <c r="AF358" s="158">
        <f>1000*(AF326+AF328+AF329+AF331+AF330+AF332)/(AF342*365)</f>
        <v>35.927331212813762</v>
      </c>
      <c r="AG358" s="173"/>
      <c r="AH358" s="173"/>
      <c r="AI358" s="173"/>
      <c r="AJ358" s="173"/>
      <c r="AK358" s="158">
        <f>1000*(AK326+AK328+AK329+AK331+AK330+AK332)/(AK342*365)</f>
        <v>48.044561808879358</v>
      </c>
      <c r="AL358" s="173"/>
      <c r="AM358" s="173"/>
      <c r="AN358" s="173"/>
      <c r="AO358" s="173"/>
      <c r="AP358" s="158">
        <f>1000*(AP326+AP328+AP329+AP331+AP330+AP332)/(AP342*365)</f>
        <v>44.398616450798158</v>
      </c>
      <c r="AQ358" s="93"/>
      <c r="AR358" s="93"/>
      <c r="AS358" s="93"/>
      <c r="AT358" s="93"/>
      <c r="AU358" s="158">
        <f>1000*(AU326+AU328+AU329+AU331+AU330+AU332)/(AU342*365)</f>
        <v>38.167643042769683</v>
      </c>
      <c r="AV358" s="93"/>
      <c r="AW358" s="93"/>
      <c r="AX358" s="93"/>
      <c r="AY358" s="93"/>
      <c r="AZ358" s="158">
        <f>1000*(AZ326+AZ328+AZ329+AZ331+AZ330+AZ332)/(AZ342*365)</f>
        <v>25.708141909901709</v>
      </c>
      <c r="BA358" s="93"/>
      <c r="BB358" s="93"/>
      <c r="BC358" s="93"/>
      <c r="BD358" s="93"/>
      <c r="BE358" s="158">
        <f>1000*(BE326+BE328+BE329+BE331+BE330+BE332)/(BE342*365)</f>
        <v>-3.3147240932674813</v>
      </c>
      <c r="BF358" s="93"/>
      <c r="BG358" s="93"/>
      <c r="BH358" s="93"/>
      <c r="BI358" s="93"/>
      <c r="BJ358" s="158">
        <f>1000*(BJ326+BJ328+BJ329+BJ331+BJ330+BJ332)/(BJ342*365)</f>
        <v>-1.806252575864596</v>
      </c>
      <c r="BK358" s="173"/>
      <c r="BL358" s="173"/>
      <c r="BM358" s="173"/>
      <c r="BN358" s="173"/>
      <c r="BO358" s="158">
        <f>1000*(BO326+BO328+BO329+BO331+BO330+BO332)/(BO342*365)</f>
        <v>0.27741177997920552</v>
      </c>
      <c r="BP358" s="25"/>
      <c r="BQ358" s="25"/>
      <c r="BR358" s="25"/>
      <c r="BS358" s="25"/>
      <c r="BT358" s="158">
        <f>1000*(BT326+BT328+BT329+BT331+BT330+BT332)/(BT342*365)</f>
        <v>11.036713804403567</v>
      </c>
      <c r="BU358" s="25"/>
      <c r="BV358" s="25"/>
      <c r="BW358" s="25"/>
      <c r="BX358" s="25"/>
      <c r="BY358" s="158">
        <f>1000*(BY326+BY328+BY329+BY331+BY330+BY332)/(BY342*365)</f>
        <v>8.5938050665902868</v>
      </c>
      <c r="BZ358" s="25"/>
      <c r="CA358" s="25"/>
      <c r="CB358" s="25"/>
      <c r="CC358" s="25"/>
      <c r="CD358" s="158">
        <f>1000*(CD326+CD328+CD329+CD331+CD330+CD332)/(CD342*365)</f>
        <v>7.0212393112743952</v>
      </c>
      <c r="CF358"/>
      <c r="CG358" s="468">
        <v>2007</v>
      </c>
      <c r="CH358" s="627">
        <f>INDEX(334:334,MATCH(CG358,323:323,0))</f>
        <v>3102</v>
      </c>
      <c r="CI358" s="627">
        <f>INDEX(336:336,MATCH(CG358,323:323,0))</f>
        <v>-1462</v>
      </c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</row>
    <row r="359" spans="1:103" hidden="1" outlineLevel="1">
      <c r="A359" s="11"/>
      <c r="B359" s="461"/>
      <c r="C359" s="5"/>
      <c r="D359" s="449"/>
      <c r="E359" s="449"/>
      <c r="F359" s="449"/>
      <c r="G359" s="449"/>
      <c r="H359" s="12"/>
      <c r="I359" s="12"/>
      <c r="J359" s="12"/>
      <c r="K359" s="12"/>
      <c r="L359" s="449"/>
      <c r="M359" s="12"/>
      <c r="N359" s="12"/>
      <c r="O359" s="12"/>
      <c r="P359" s="12"/>
      <c r="Q359" s="449"/>
      <c r="R359" s="12"/>
      <c r="S359" s="12"/>
      <c r="T359" s="12"/>
      <c r="U359" s="12"/>
      <c r="V359" s="449"/>
      <c r="W359" s="12"/>
      <c r="X359" s="12"/>
      <c r="Y359" s="12"/>
      <c r="Z359" s="12"/>
      <c r="AA359" s="449"/>
      <c r="AB359" s="12"/>
      <c r="AC359" s="12"/>
      <c r="AD359" s="12"/>
      <c r="AE359" s="12"/>
      <c r="AF359" s="449"/>
      <c r="AG359" s="12"/>
      <c r="AH359" s="12"/>
      <c r="AI359" s="12"/>
      <c r="AJ359" s="12"/>
      <c r="AK359" s="449"/>
      <c r="AL359" s="12"/>
      <c r="AM359" s="12"/>
      <c r="AN359" s="12"/>
      <c r="AO359" s="12"/>
      <c r="AP359" s="449"/>
      <c r="AQ359" s="12"/>
      <c r="AR359" s="12"/>
      <c r="AS359" s="12"/>
      <c r="AT359" s="12"/>
      <c r="AU359" s="449"/>
      <c r="AV359" s="12"/>
      <c r="AW359" s="12"/>
      <c r="AX359" s="12"/>
      <c r="AY359" s="12"/>
      <c r="AZ359" s="449"/>
      <c r="BA359" s="12"/>
      <c r="BB359" s="12"/>
      <c r="BC359" s="12"/>
      <c r="BD359" s="12"/>
      <c r="BE359" s="449"/>
      <c r="BF359" s="12"/>
      <c r="BG359" s="12"/>
      <c r="BH359" s="12"/>
      <c r="BI359" s="12"/>
      <c r="BJ359" s="449"/>
      <c r="BK359" s="12"/>
      <c r="BL359" s="12"/>
      <c r="BM359" s="12"/>
      <c r="BN359" s="12"/>
      <c r="BO359" s="449"/>
      <c r="BP359" s="109"/>
      <c r="BQ359" s="109"/>
      <c r="BR359" s="109"/>
      <c r="BS359" s="109"/>
      <c r="BT359" s="449"/>
      <c r="BU359" s="109"/>
      <c r="BV359" s="109"/>
      <c r="BW359" s="109"/>
      <c r="BX359" s="109"/>
      <c r="BY359" s="449"/>
      <c r="BZ359" s="109"/>
      <c r="CA359" s="109"/>
      <c r="CB359" s="109"/>
      <c r="CC359" s="109"/>
      <c r="CD359" s="449"/>
      <c r="CG359" s="468">
        <v>2008</v>
      </c>
      <c r="CH359" s="627">
        <f>INDEX(334:334,MATCH(CG359,323:323,0))</f>
        <v>6673</v>
      </c>
      <c r="CI359" s="627">
        <f>INDEX(336:336,MATCH(CG359,323:323,0))</f>
        <v>-2672</v>
      </c>
    </row>
    <row r="360" spans="1:103" hidden="1" outlineLevel="1">
      <c r="A360" s="11"/>
      <c r="B360" s="5" t="s">
        <v>2138</v>
      </c>
      <c r="C360" s="119">
        <f>C356</f>
        <v>2.8548278394935522</v>
      </c>
      <c r="D360" s="119">
        <f>D356</f>
        <v>2.3215384523475255</v>
      </c>
      <c r="E360" s="119">
        <f>E356</f>
        <v>3.9572435751648856</v>
      </c>
      <c r="F360" s="119">
        <f>F356</f>
        <v>4.4876682134195462</v>
      </c>
      <c r="G360" s="119">
        <f>G356</f>
        <v>6.2477622503471339</v>
      </c>
      <c r="H360" s="93"/>
      <c r="I360" s="93"/>
      <c r="J360" s="93"/>
      <c r="K360" s="93"/>
      <c r="L360" s="119">
        <f>L356</f>
        <v>9.3990737687719204</v>
      </c>
      <c r="M360" s="93"/>
      <c r="N360" s="93"/>
      <c r="O360" s="93"/>
      <c r="P360" s="93"/>
      <c r="Q360" s="119">
        <f>Q356</f>
        <v>13.634548990379262</v>
      </c>
      <c r="R360" s="93"/>
      <c r="S360" s="93"/>
      <c r="T360" s="93"/>
      <c r="U360" s="93"/>
      <c r="V360" s="119">
        <f>V356</f>
        <v>16.113876988843735</v>
      </c>
      <c r="W360" s="93"/>
      <c r="X360" s="93"/>
      <c r="Y360" s="93"/>
      <c r="Z360" s="93"/>
      <c r="AA360" s="119">
        <f>AA356</f>
        <v>13.60302355805859</v>
      </c>
      <c r="AB360" s="93"/>
      <c r="AC360" s="93"/>
      <c r="AD360" s="93"/>
      <c r="AE360" s="93"/>
      <c r="AF360" s="119">
        <f>AF356</f>
        <v>14.193018866360289</v>
      </c>
      <c r="AG360" s="93"/>
      <c r="AH360" s="93"/>
      <c r="AI360" s="93"/>
      <c r="AJ360" s="93"/>
      <c r="AK360" s="119">
        <f>AK356</f>
        <v>15.966991252681961</v>
      </c>
      <c r="AL360" s="93"/>
      <c r="AM360" s="93"/>
      <c r="AN360" s="93"/>
      <c r="AO360" s="93"/>
      <c r="AP360" s="119">
        <f>AP356</f>
        <v>20.575628631505605</v>
      </c>
      <c r="AQ360" s="93"/>
      <c r="AR360" s="93"/>
      <c r="AS360" s="93"/>
      <c r="AT360" s="93"/>
      <c r="AU360" s="119">
        <f>AU356</f>
        <v>26.671365017839054</v>
      </c>
      <c r="AV360" s="93"/>
      <c r="AW360" s="93"/>
      <c r="AX360" s="93"/>
      <c r="AY360" s="93"/>
      <c r="AZ360" s="119">
        <f>AZ356</f>
        <v>29.034567028649125</v>
      </c>
      <c r="BA360" s="93"/>
      <c r="BB360" s="93"/>
      <c r="BC360" s="93"/>
      <c r="BD360" s="93"/>
      <c r="BE360" s="119">
        <f>BE356</f>
        <v>24.693970755957743</v>
      </c>
      <c r="BF360" s="93"/>
      <c r="BG360" s="93"/>
      <c r="BH360" s="93"/>
      <c r="BI360" s="93"/>
      <c r="BJ360" s="119">
        <f>BJ356</f>
        <v>22.574314107720504</v>
      </c>
      <c r="BK360" s="93"/>
      <c r="BL360" s="93"/>
      <c r="BM360" s="93"/>
      <c r="BN360" s="93"/>
      <c r="BO360" s="119">
        <f>BO356</f>
        <v>23.685681976319785</v>
      </c>
      <c r="BP360" s="93"/>
      <c r="BQ360" s="93"/>
      <c r="BR360" s="93"/>
      <c r="BS360" s="93"/>
      <c r="BT360" s="104">
        <f>$BO360*(BT$74/$BO$74)</f>
        <v>23.948816462076742</v>
      </c>
      <c r="BU360" s="93"/>
      <c r="BV360" s="93"/>
      <c r="BW360" s="93"/>
      <c r="BX360" s="93"/>
      <c r="BY360" s="104">
        <f>$BO360*(BY$74/$BO$74)</f>
        <v>24.211950947833696</v>
      </c>
      <c r="BZ360" s="93"/>
      <c r="CA360" s="93"/>
      <c r="CB360" s="93"/>
      <c r="CC360" s="93"/>
      <c r="CD360" s="104">
        <f>$BO360*(CD$74/$BO$74)</f>
        <v>24.47508543359066</v>
      </c>
      <c r="CG360" s="468">
        <v>2009</v>
      </c>
      <c r="CH360" s="627">
        <f>INDEX(334:334,MATCH(CG360,323:323,0))</f>
        <v>3848</v>
      </c>
      <c r="CI360" s="627">
        <f>INDEX(336:336,MATCH(CG360,323:323,0))</f>
        <v>-1517</v>
      </c>
    </row>
    <row r="361" spans="1:103" hidden="1" outlineLevel="1">
      <c r="A361" s="11"/>
      <c r="B361" s="11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G361" s="468">
        <v>2010</v>
      </c>
      <c r="CH361" s="627">
        <f>INDEX(334:334,MATCH(CG361,323:323,0))</f>
        <v>4910</v>
      </c>
      <c r="CI361" s="627">
        <f>INDEX(336:336,MATCH(CG361,323:323,0))</f>
        <v>-1771</v>
      </c>
    </row>
    <row r="362" spans="1:103" hidden="1" outlineLevel="1">
      <c r="A362" s="39" t="s">
        <v>3094</v>
      </c>
      <c r="B362" s="11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G362" s="468">
        <v>2011</v>
      </c>
      <c r="CH362" s="627">
        <f>INDEX(334:334,MATCH(CG362,323:323,0))</f>
        <v>5001</v>
      </c>
      <c r="CI362" s="627">
        <f>INDEX(336:336,MATCH(CG362,323:323,0))</f>
        <v>-2184</v>
      </c>
    </row>
    <row r="363" spans="1:103" hidden="1" outlineLevel="1">
      <c r="A363" s="11"/>
      <c r="B363" s="11" t="s">
        <v>1897</v>
      </c>
      <c r="C363" s="116">
        <f>-C328/C326</f>
        <v>4.0111940298507461E-2</v>
      </c>
      <c r="D363" s="116">
        <f>-D328/D326</f>
        <v>3.274394237066143E-2</v>
      </c>
      <c r="E363" s="116">
        <f>-E328/E326</f>
        <v>2.2566995768688293E-2</v>
      </c>
      <c r="F363" s="116">
        <f>-F328/F326</f>
        <v>2.3303987571206629E-2</v>
      </c>
      <c r="G363" s="116">
        <f>-G328/G326</f>
        <v>2.1588486140724946E-2</v>
      </c>
      <c r="H363" s="93"/>
      <c r="I363" s="93"/>
      <c r="J363" s="93"/>
      <c r="K363" s="93"/>
      <c r="L363" s="116">
        <f>-L328/L326</f>
        <v>2.91906236178682E-2</v>
      </c>
      <c r="M363" s="93"/>
      <c r="N363" s="93"/>
      <c r="O363" s="93"/>
      <c r="P363" s="93"/>
      <c r="Q363" s="116">
        <f>-Q328/Q326</f>
        <v>3.3627342888643878E-2</v>
      </c>
      <c r="R363" s="93"/>
      <c r="S363" s="93"/>
      <c r="T363" s="93"/>
      <c r="U363" s="93"/>
      <c r="V363" s="116">
        <f>-V328/V326</f>
        <v>2.1808129415378314E-2</v>
      </c>
      <c r="W363" s="93"/>
      <c r="X363" s="93"/>
      <c r="Y363" s="93"/>
      <c r="Z363" s="93"/>
      <c r="AA363" s="116">
        <f>-AA328/AA326</f>
        <v>3.0590864645900266E-2</v>
      </c>
      <c r="AB363" s="93"/>
      <c r="AC363" s="93"/>
      <c r="AD363" s="93"/>
      <c r="AE363" s="93"/>
      <c r="AF363" s="116">
        <f>-AF328/AF326</f>
        <v>2.5163094128611369E-2</v>
      </c>
      <c r="AG363" s="93"/>
      <c r="AH363" s="93"/>
      <c r="AI363" s="93"/>
      <c r="AJ363" s="93"/>
      <c r="AK363" s="116">
        <f>-AK328/AK326</f>
        <v>1.9851418828400927E-2</v>
      </c>
      <c r="AL363" s="93"/>
      <c r="AM363" s="93"/>
      <c r="AN363" s="93"/>
      <c r="AO363" s="93"/>
      <c r="AP363" s="116">
        <f>-AP328/AP326</f>
        <v>3.42276692061389E-2</v>
      </c>
      <c r="AQ363" s="93"/>
      <c r="AR363" s="93"/>
      <c r="AS363" s="93"/>
      <c r="AT363" s="93"/>
      <c r="AU363" s="116">
        <f>-AU328/AU326</f>
        <v>3.9843508699680841E-2</v>
      </c>
      <c r="AV363" s="93"/>
      <c r="AW363" s="93"/>
      <c r="AX363" s="93"/>
      <c r="AY363" s="93"/>
      <c r="AZ363" s="116">
        <f>-AZ328/AZ326</f>
        <v>9.7450424929178464E-2</v>
      </c>
      <c r="BA363" s="93"/>
      <c r="BB363" s="93"/>
      <c r="BC363" s="93"/>
      <c r="BD363" s="93"/>
      <c r="BE363" s="116">
        <f>-BE328/BE326</f>
        <v>0.17158039081247858</v>
      </c>
      <c r="BF363" s="93"/>
      <c r="BG363" s="93"/>
      <c r="BH363" s="93"/>
      <c r="BI363" s="93"/>
      <c r="BJ363" s="116">
        <f>-BJ328/BJ326</f>
        <v>1.8888406426400349E-2</v>
      </c>
      <c r="BK363" s="93"/>
      <c r="BL363" s="93"/>
      <c r="BM363" s="93"/>
      <c r="BN363" s="93"/>
      <c r="BO363" s="116">
        <f>-BO328/BO326</f>
        <v>0.21594737686507301</v>
      </c>
      <c r="BP363" s="117">
        <f t="shared" ref="BP363:CD363" si="167">-BP328/BP326</f>
        <v>6.9847966227198618E-2</v>
      </c>
      <c r="BQ363" s="117">
        <f t="shared" si="167"/>
        <v>4.3828493851337136E-2</v>
      </c>
      <c r="BR363" s="117">
        <f t="shared" si="167"/>
        <v>4.3572424804152458E-2</v>
      </c>
      <c r="BS363" s="117">
        <f t="shared" si="167"/>
        <v>4.4014590327413373E-2</v>
      </c>
      <c r="BT363" s="116">
        <f t="shared" si="167"/>
        <v>5.0162986101365541E-2</v>
      </c>
      <c r="BU363" s="117">
        <f t="shared" si="167"/>
        <v>4.1117490502906369E-2</v>
      </c>
      <c r="BV363" s="117">
        <f t="shared" si="167"/>
        <v>4.1238955415067412E-2</v>
      </c>
      <c r="BW363" s="117">
        <f t="shared" si="167"/>
        <v>4.0851664914412091E-2</v>
      </c>
      <c r="BX363" s="117">
        <f t="shared" si="167"/>
        <v>4.0697286496996707E-2</v>
      </c>
      <c r="BY363" s="116">
        <f t="shared" si="167"/>
        <v>4.0975236653757893E-2</v>
      </c>
      <c r="BZ363" s="117">
        <f t="shared" si="167"/>
        <v>2.6071584488853081E-2</v>
      </c>
      <c r="CA363" s="117">
        <f t="shared" si="167"/>
        <v>2.5912222184325713E-2</v>
      </c>
      <c r="CB363" s="117">
        <f t="shared" si="167"/>
        <v>2.5423367514128079E-2</v>
      </c>
      <c r="CC363" s="117">
        <f t="shared" si="167"/>
        <v>2.5172402034915296E-2</v>
      </c>
      <c r="CD363" s="116">
        <f t="shared" si="167"/>
        <v>2.5639760018065148E-2</v>
      </c>
      <c r="CG363" s="468">
        <v>2012</v>
      </c>
      <c r="CH363" s="627">
        <f>INDEX(334:334,MATCH(CG363,323:323,0))</f>
        <v>4898</v>
      </c>
      <c r="CI363" s="627">
        <f>INDEX(336:336,MATCH(CG363,323:323,0))</f>
        <v>-2371</v>
      </c>
    </row>
    <row r="364" spans="1:103" hidden="1" outlineLevel="1">
      <c r="A364" s="11"/>
      <c r="B364" s="11" t="s">
        <v>2149</v>
      </c>
      <c r="C364" s="116">
        <f>-C329/C326</f>
        <v>0.21268656716417911</v>
      </c>
      <c r="D364" s="116">
        <f>-D329/D326</f>
        <v>0.15520628683693516</v>
      </c>
      <c r="E364" s="116">
        <f>-E329/E326</f>
        <v>0.16995768688293372</v>
      </c>
      <c r="F364" s="116">
        <f>-F329/F326</f>
        <v>0.16727084412221646</v>
      </c>
      <c r="G364" s="116">
        <f>-G329/G326</f>
        <v>0.12269012082444918</v>
      </c>
      <c r="H364" s="93"/>
      <c r="I364" s="93"/>
      <c r="J364" s="93"/>
      <c r="K364" s="93"/>
      <c r="L364" s="116">
        <f>-L329/L326</f>
        <v>0.11256081379920389</v>
      </c>
      <c r="M364" s="93"/>
      <c r="N364" s="93"/>
      <c r="O364" s="93"/>
      <c r="P364" s="93"/>
      <c r="Q364" s="116">
        <f>-Q329/Q326</f>
        <v>0.11705255420801176</v>
      </c>
      <c r="R364" s="93"/>
      <c r="S364" s="93"/>
      <c r="T364" s="93"/>
      <c r="U364" s="93"/>
      <c r="V364" s="116">
        <f>-V329/V326</f>
        <v>8.9587386096037683E-2</v>
      </c>
      <c r="W364" s="93"/>
      <c r="X364" s="93"/>
      <c r="Y364" s="93"/>
      <c r="Z364" s="93"/>
      <c r="AA364" s="116">
        <f>-AA329/AA326</f>
        <v>0.12683335661405223</v>
      </c>
      <c r="AB364" s="93"/>
      <c r="AC364" s="93"/>
      <c r="AD364" s="93"/>
      <c r="AE364" s="93"/>
      <c r="AF364" s="116">
        <f>-AF329/AF326</f>
        <v>0.12488350419384903</v>
      </c>
      <c r="AG364" s="93"/>
      <c r="AH364" s="93"/>
      <c r="AI364" s="93"/>
      <c r="AJ364" s="93"/>
      <c r="AK364" s="116">
        <f>-AK329/AK326</f>
        <v>0.13956887102667154</v>
      </c>
      <c r="AL364" s="93"/>
      <c r="AM364" s="93"/>
      <c r="AN364" s="93"/>
      <c r="AO364" s="93"/>
      <c r="AP364" s="116">
        <f>-AP329/AP326</f>
        <v>0.1460748592249089</v>
      </c>
      <c r="AQ364" s="93"/>
      <c r="AR364" s="93"/>
      <c r="AS364" s="93"/>
      <c r="AT364" s="93"/>
      <c r="AU364" s="116">
        <f>-AU329/AU326</f>
        <v>0.16709564501183979</v>
      </c>
      <c r="AV364" s="93"/>
      <c r="AW364" s="93"/>
      <c r="AX364" s="93"/>
      <c r="AY364" s="93"/>
      <c r="AZ364" s="116">
        <f>-AZ329/AZ326</f>
        <v>0.17473087818696884</v>
      </c>
      <c r="BA364" s="93"/>
      <c r="BB364" s="93"/>
      <c r="BC364" s="93"/>
      <c r="BD364" s="93"/>
      <c r="BE364" s="116">
        <f>-BE329/BE326</f>
        <v>0.26071306136441552</v>
      </c>
      <c r="BF364" s="93"/>
      <c r="BG364" s="93"/>
      <c r="BH364" s="93"/>
      <c r="BI364" s="93"/>
      <c r="BJ364" s="116">
        <f>-BJ329/BJ326</f>
        <v>0.26487190620929224</v>
      </c>
      <c r="BK364" s="93"/>
      <c r="BL364" s="93"/>
      <c r="BM364" s="93"/>
      <c r="BN364" s="93"/>
      <c r="BO364" s="116">
        <f>-BO329/BO326</f>
        <v>0.1570672228461415</v>
      </c>
      <c r="BP364" s="117">
        <f t="shared" ref="BP364:CD364" si="168">-BP329/BP326</f>
        <v>0.13897163960303213</v>
      </c>
      <c r="BQ364" s="117">
        <f t="shared" si="168"/>
        <v>0.13449288200106063</v>
      </c>
      <c r="BR364" s="117">
        <f t="shared" si="168"/>
        <v>0.13563438158878036</v>
      </c>
      <c r="BS364" s="117">
        <f t="shared" si="168"/>
        <v>0.13780560915678994</v>
      </c>
      <c r="BT364" s="116">
        <f t="shared" si="168"/>
        <v>0.13670616296961474</v>
      </c>
      <c r="BU364" s="117">
        <f t="shared" si="168"/>
        <v>0.14846615174240876</v>
      </c>
      <c r="BV364" s="117">
        <f t="shared" si="168"/>
        <v>0.14834648953270091</v>
      </c>
      <c r="BW364" s="117">
        <f t="shared" si="168"/>
        <v>0.14914565950512843</v>
      </c>
      <c r="BX364" s="117">
        <f t="shared" si="168"/>
        <v>0.14957046552011524</v>
      </c>
      <c r="BY364" s="116">
        <f t="shared" si="168"/>
        <v>0.14888478227298954</v>
      </c>
      <c r="BZ364" s="117">
        <f t="shared" si="168"/>
        <v>0.16323933390133305</v>
      </c>
      <c r="CA364" s="117">
        <f t="shared" si="168"/>
        <v>0.15962369854182318</v>
      </c>
      <c r="CB364" s="117">
        <f t="shared" si="168"/>
        <v>0.15900994675216329</v>
      </c>
      <c r="CC364" s="117">
        <f t="shared" si="168"/>
        <v>0.1585914030659997</v>
      </c>
      <c r="CD364" s="116">
        <f t="shared" si="168"/>
        <v>0.16009502662575331</v>
      </c>
      <c r="CG364" s="468">
        <v>2013</v>
      </c>
      <c r="CH364" s="627">
        <f>INDEX(334:334,MATCH(CG364,323:323,0))</f>
        <v>4453</v>
      </c>
      <c r="CI364" s="627">
        <f>INDEX(336:336,MATCH(CG364,323:323,0))</f>
        <v>-1925</v>
      </c>
    </row>
    <row r="365" spans="1:103" hidden="1" outlineLevel="1">
      <c r="A365" s="11"/>
      <c r="B365" s="11" t="s">
        <v>2150</v>
      </c>
      <c r="C365" s="116">
        <f>-C330/C326</f>
        <v>1.8656716417910447E-3</v>
      </c>
      <c r="D365" s="116">
        <f>-D330/D326</f>
        <v>0</v>
      </c>
      <c r="E365" s="116">
        <f>-E330/E326</f>
        <v>0</v>
      </c>
      <c r="F365" s="116">
        <f>-F330/F326</f>
        <v>0</v>
      </c>
      <c r="G365" s="116">
        <f>-G330/G326</f>
        <v>0</v>
      </c>
      <c r="H365" s="93"/>
      <c r="I365" s="93"/>
      <c r="J365" s="93"/>
      <c r="K365" s="93"/>
      <c r="L365" s="116">
        <f>-L330/L326</f>
        <v>0</v>
      </c>
      <c r="M365" s="93"/>
      <c r="N365" s="93"/>
      <c r="O365" s="93"/>
      <c r="P365" s="93"/>
      <c r="Q365" s="116">
        <f>-Q330/Q326</f>
        <v>0</v>
      </c>
      <c r="R365" s="93"/>
      <c r="S365" s="93"/>
      <c r="T365" s="93"/>
      <c r="U365" s="93"/>
      <c r="V365" s="116">
        <f>-V330/V326</f>
        <v>0</v>
      </c>
      <c r="W365" s="93"/>
      <c r="X365" s="93"/>
      <c r="Y365" s="93"/>
      <c r="Z365" s="93"/>
      <c r="AA365" s="116">
        <f>-AA330/AA326</f>
        <v>0</v>
      </c>
      <c r="AB365" s="93"/>
      <c r="AC365" s="93"/>
      <c r="AD365" s="93"/>
      <c r="AE365" s="93"/>
      <c r="AF365" s="116">
        <f>-AF330/AF326</f>
        <v>0</v>
      </c>
      <c r="AG365" s="93"/>
      <c r="AH365" s="93"/>
      <c r="AI365" s="93"/>
      <c r="AJ365" s="93"/>
      <c r="AK365" s="116">
        <f>-AK330/AK326</f>
        <v>0</v>
      </c>
      <c r="AL365" s="93"/>
      <c r="AM365" s="93"/>
      <c r="AN365" s="93"/>
      <c r="AO365" s="93"/>
      <c r="AP365" s="116">
        <f>-AP330/AP326</f>
        <v>0</v>
      </c>
      <c r="AQ365" s="93"/>
      <c r="AR365" s="93"/>
      <c r="AS365" s="93"/>
      <c r="AT365" s="93"/>
      <c r="AU365" s="116">
        <f>-AU330/AU326</f>
        <v>0</v>
      </c>
      <c r="AV365" s="93"/>
      <c r="AW365" s="93"/>
      <c r="AX365" s="93"/>
      <c r="AY365" s="93"/>
      <c r="AZ365" s="116">
        <f>-AZ330/AZ326</f>
        <v>0</v>
      </c>
      <c r="BA365" s="93"/>
      <c r="BB365" s="93"/>
      <c r="BC365" s="93"/>
      <c r="BD365" s="93"/>
      <c r="BE365" s="116">
        <f>-BE330/BE326</f>
        <v>0</v>
      </c>
      <c r="BF365" s="93"/>
      <c r="BG365" s="93"/>
      <c r="BH365" s="93"/>
      <c r="BI365" s="93"/>
      <c r="BJ365" s="116">
        <f>-BJ330/BJ326</f>
        <v>0</v>
      </c>
      <c r="BK365" s="93"/>
      <c r="BL365" s="93"/>
      <c r="BM365" s="93"/>
      <c r="BN365" s="93"/>
      <c r="BO365" s="116">
        <f>-BO330/BO326</f>
        <v>0</v>
      </c>
      <c r="BP365" s="117">
        <f>BT365</f>
        <v>0</v>
      </c>
      <c r="BQ365" s="117">
        <f>BT365</f>
        <v>0</v>
      </c>
      <c r="BR365" s="117">
        <f>BT365</f>
        <v>0</v>
      </c>
      <c r="BS365" s="117">
        <f>BT365</f>
        <v>0</v>
      </c>
      <c r="BT365" s="118">
        <v>0</v>
      </c>
      <c r="BU365" s="117">
        <f>BY365</f>
        <v>0</v>
      </c>
      <c r="BV365" s="117">
        <f>BY365</f>
        <v>0</v>
      </c>
      <c r="BW365" s="117">
        <f>BY365</f>
        <v>0</v>
      </c>
      <c r="BX365" s="117">
        <f>BY365</f>
        <v>0</v>
      </c>
      <c r="BY365" s="118">
        <v>0</v>
      </c>
      <c r="BZ365" s="117">
        <f>CD365</f>
        <v>0</v>
      </c>
      <c r="CA365" s="117">
        <f>CD365</f>
        <v>0</v>
      </c>
      <c r="CB365" s="117">
        <f>CD365</f>
        <v>0</v>
      </c>
      <c r="CC365" s="117">
        <f>CD365</f>
        <v>0</v>
      </c>
      <c r="CD365" s="118">
        <v>0</v>
      </c>
      <c r="CG365" s="468">
        <v>2014</v>
      </c>
      <c r="CH365" s="627">
        <f>INDEX(334:334,MATCH(CG365,323:323,0))</f>
        <v>1832</v>
      </c>
      <c r="CI365" s="627">
        <f>INDEX(336:336,MATCH(CG365,323:323,0))</f>
        <v>-1216</v>
      </c>
    </row>
    <row r="366" spans="1:103" hidden="1" outlineLevel="1">
      <c r="A366" s="11"/>
      <c r="B366" s="11" t="s">
        <v>2158</v>
      </c>
      <c r="C366" s="116">
        <f>-C331/C326</f>
        <v>0.20895522388059701</v>
      </c>
      <c r="D366" s="116">
        <f>-D331/D326</f>
        <v>0.21676489849377864</v>
      </c>
      <c r="E366" s="116">
        <f>-E331/E326</f>
        <v>2.6798307475317348E-2</v>
      </c>
      <c r="F366" s="116">
        <f>-F331/F326</f>
        <v>6.3179699637493522E-2</v>
      </c>
      <c r="G366" s="116">
        <f>-G331/G326</f>
        <v>2.6119402985074626E-2</v>
      </c>
      <c r="H366" s="93"/>
      <c r="I366" s="93"/>
      <c r="J366" s="93"/>
      <c r="K366" s="93"/>
      <c r="L366" s="116">
        <f>-L331/L326</f>
        <v>9.5532950022114108E-2</v>
      </c>
      <c r="M366" s="93"/>
      <c r="N366" s="93"/>
      <c r="O366" s="93"/>
      <c r="P366" s="93"/>
      <c r="Q366" s="116">
        <f>-Q331/Q326</f>
        <v>4.1161337743476661E-2</v>
      </c>
      <c r="R366" s="93"/>
      <c r="S366" s="93"/>
      <c r="T366" s="93"/>
      <c r="U366" s="93"/>
      <c r="V366" s="116">
        <f>-V331/V326</f>
        <v>-1.2491041261390397E-2</v>
      </c>
      <c r="W366" s="93"/>
      <c r="X366" s="93"/>
      <c r="Y366" s="93"/>
      <c r="Z366" s="93"/>
      <c r="AA366" s="116">
        <f>-AA331/AA326</f>
        <v>2.011454113703031E-2</v>
      </c>
      <c r="AB366" s="93"/>
      <c r="AC366" s="93"/>
      <c r="AD366" s="93"/>
      <c r="AE366" s="93"/>
      <c r="AF366" s="116">
        <f>-AF331/AF326</f>
        <v>1.7307948342431101E-2</v>
      </c>
      <c r="AG366" s="93"/>
      <c r="AH366" s="93"/>
      <c r="AI366" s="93"/>
      <c r="AJ366" s="93"/>
      <c r="AK366" s="116">
        <f>-AK331/AK326</f>
        <v>2.618438679819754E-2</v>
      </c>
      <c r="AL366" s="93"/>
      <c r="AM366" s="93"/>
      <c r="AN366" s="93"/>
      <c r="AO366" s="93"/>
      <c r="AP366" s="116">
        <f>-AP331/AP326</f>
        <v>2.4401015788892571E-2</v>
      </c>
      <c r="AQ366" s="93"/>
      <c r="AR366" s="93"/>
      <c r="AS366" s="93"/>
      <c r="AT366" s="93"/>
      <c r="AU366" s="116">
        <f>-AU331/AU326</f>
        <v>9.1629774528981783E-3</v>
      </c>
      <c r="AV366" s="93"/>
      <c r="AW366" s="93"/>
      <c r="AX366" s="93"/>
      <c r="AY366" s="93"/>
      <c r="AZ366" s="116">
        <f>-AZ331/AZ326</f>
        <v>1.3597733711048159E-2</v>
      </c>
      <c r="BA366" s="93"/>
      <c r="BB366" s="93"/>
      <c r="BC366" s="93"/>
      <c r="BD366" s="93"/>
      <c r="BE366" s="116">
        <f>-BE331/BE326</f>
        <v>6.1364415495371957E-2</v>
      </c>
      <c r="BF366" s="93"/>
      <c r="BG366" s="93"/>
      <c r="BH366" s="93"/>
      <c r="BI366" s="93"/>
      <c r="BJ366" s="116">
        <f>-BJ331/BJ326</f>
        <v>0.12961354754667825</v>
      </c>
      <c r="BK366" s="93"/>
      <c r="BL366" s="93"/>
      <c r="BM366" s="93"/>
      <c r="BN366" s="93"/>
      <c r="BO366" s="116">
        <f>-BO331/BO326</f>
        <v>4.4922188352318308E-2</v>
      </c>
      <c r="BP366" s="117">
        <f t="shared" ref="BP366:CD366" si="169">-BP331/BP326</f>
        <v>3.5389636221780631E-2</v>
      </c>
      <c r="BQ366" s="117">
        <f t="shared" si="169"/>
        <v>3.4313123562762803E-2</v>
      </c>
      <c r="BR366" s="117">
        <f t="shared" si="169"/>
        <v>3.411264829919454E-2</v>
      </c>
      <c r="BS366" s="117">
        <f t="shared" si="169"/>
        <v>3.4458817626534598E-2</v>
      </c>
      <c r="BT366" s="116">
        <f t="shared" si="169"/>
        <v>3.4561709268437525E-2</v>
      </c>
      <c r="BU366" s="117">
        <f t="shared" si="169"/>
        <v>3.455378657131198E-2</v>
      </c>
      <c r="BV366" s="117">
        <f t="shared" si="169"/>
        <v>3.4655861688236228E-2</v>
      </c>
      <c r="BW366" s="117">
        <f t="shared" si="169"/>
        <v>3.433039549034668E-2</v>
      </c>
      <c r="BX366" s="117">
        <f t="shared" si="169"/>
        <v>3.4200660946206364E-2</v>
      </c>
      <c r="BY366" s="116">
        <f t="shared" si="169"/>
        <v>3.4434241115538687E-2</v>
      </c>
      <c r="BZ366" s="117">
        <f t="shared" si="169"/>
        <v>3.4021985253311023E-2</v>
      </c>
      <c r="CA366" s="117">
        <f t="shared" si="169"/>
        <v>3.3814026202073383E-2</v>
      </c>
      <c r="CB366" s="117">
        <f t="shared" si="169"/>
        <v>3.3176097717612187E-2</v>
      </c>
      <c r="CC366" s="117">
        <f t="shared" si="169"/>
        <v>3.2848601556551546E-2</v>
      </c>
      <c r="CD366" s="116">
        <f t="shared" si="169"/>
        <v>3.3458478045552041E-2</v>
      </c>
      <c r="CG366" s="468">
        <v>2015</v>
      </c>
      <c r="CH366" s="627">
        <f>INDEX(334:334,MATCH(CG366,323:323,0))</f>
        <v>-1304</v>
      </c>
      <c r="CI366" s="627">
        <f>INDEX(336:336,MATCH(CG366,323:323,0))</f>
        <v>-694</v>
      </c>
    </row>
    <row r="367" spans="1:103" hidden="1" outlineLevel="1">
      <c r="A367" s="11"/>
      <c r="B367" s="11" t="s">
        <v>2154</v>
      </c>
      <c r="C367" s="116">
        <f>-C332/C326</f>
        <v>0.12126865671641791</v>
      </c>
      <c r="D367" s="116">
        <f>-D332/D326</f>
        <v>8.7753765553372623E-2</v>
      </c>
      <c r="E367" s="116">
        <f>-E332/E326</f>
        <v>0.15444287729196052</v>
      </c>
      <c r="F367" s="116">
        <f>-F332/F326</f>
        <v>0.14862765406525116</v>
      </c>
      <c r="G367" s="116">
        <f>-G332/G326</f>
        <v>0.14445628997867804</v>
      </c>
      <c r="H367" s="93"/>
      <c r="I367" s="93"/>
      <c r="J367" s="93"/>
      <c r="K367" s="93"/>
      <c r="L367" s="116">
        <f>-L332/L326</f>
        <v>0.19128704113224237</v>
      </c>
      <c r="M367" s="93"/>
      <c r="N367" s="93"/>
      <c r="O367" s="93"/>
      <c r="P367" s="93"/>
      <c r="Q367" s="116">
        <f>-Q332/Q326</f>
        <v>0.25211319367879453</v>
      </c>
      <c r="R367" s="93"/>
      <c r="S367" s="93"/>
      <c r="T367" s="93"/>
      <c r="U367" s="93"/>
      <c r="V367" s="116">
        <f>-V332/V326</f>
        <v>0.21705743831268556</v>
      </c>
      <c r="W367" s="93"/>
      <c r="X367" s="93"/>
      <c r="Y367" s="93"/>
      <c r="Z367" s="93"/>
      <c r="AA367" s="116">
        <f>-AA332/AA326</f>
        <v>0.28509568375471434</v>
      </c>
      <c r="AB367" s="93"/>
      <c r="AC367" s="93"/>
      <c r="AD367" s="93"/>
      <c r="AE367" s="93"/>
      <c r="AF367" s="116">
        <f>-AF332/AF326</f>
        <v>0.23578751164958062</v>
      </c>
      <c r="AG367" s="93"/>
      <c r="AH367" s="93"/>
      <c r="AI367" s="93"/>
      <c r="AJ367" s="93"/>
      <c r="AK367" s="116">
        <f>-AK332/AK326</f>
        <v>0.20314212641578369</v>
      </c>
      <c r="AL367" s="93"/>
      <c r="AM367" s="93"/>
      <c r="AN367" s="93"/>
      <c r="AO367" s="93"/>
      <c r="AP367" s="116">
        <f>-AP332/AP326</f>
        <v>0.25184939825549296</v>
      </c>
      <c r="AQ367" s="93"/>
      <c r="AR367" s="93"/>
      <c r="AS367" s="93"/>
      <c r="AT367" s="93"/>
      <c r="AU367" s="116">
        <f>-AU332/AU326</f>
        <v>0.32245444249974259</v>
      </c>
      <c r="AV367" s="93"/>
      <c r="AW367" s="93"/>
      <c r="AX367" s="93"/>
      <c r="AY367" s="93"/>
      <c r="AZ367" s="116">
        <f>-AZ332/AZ326</f>
        <v>0.37881019830028329</v>
      </c>
      <c r="BA367" s="93"/>
      <c r="BB367" s="93"/>
      <c r="BC367" s="93"/>
      <c r="BD367" s="93"/>
      <c r="BE367" s="116">
        <f>-BE332/BE326</f>
        <v>0.58484744600617067</v>
      </c>
      <c r="BF367" s="93"/>
      <c r="BG367" s="93"/>
      <c r="BH367" s="93"/>
      <c r="BI367" s="93"/>
      <c r="BJ367" s="116">
        <f>-BJ332/BJ326</f>
        <v>0.63764654798089448</v>
      </c>
      <c r="BK367" s="93"/>
      <c r="BL367" s="93"/>
      <c r="BM367" s="93"/>
      <c r="BN367" s="93"/>
      <c r="BO367" s="116">
        <f>-BO332/BO326</f>
        <v>0.57532488368361945</v>
      </c>
      <c r="BP367" s="117">
        <f t="shared" ref="BP367:CD367" si="170">-BP332/BP326</f>
        <v>0.54178668981605638</v>
      </c>
      <c r="BQ367" s="117">
        <f t="shared" si="170"/>
        <v>0.52432606790361491</v>
      </c>
      <c r="BR367" s="117">
        <f t="shared" si="170"/>
        <v>0.52877625129947636</v>
      </c>
      <c r="BS367" s="117">
        <f t="shared" si="170"/>
        <v>0.5372408718527738</v>
      </c>
      <c r="BT367" s="116">
        <f t="shared" si="170"/>
        <v>0.53295463537976373</v>
      </c>
      <c r="BU367" s="117">
        <f t="shared" si="170"/>
        <v>0.57088872532421564</v>
      </c>
      <c r="BV367" s="117">
        <f t="shared" si="170"/>
        <v>0.5704285948125275</v>
      </c>
      <c r="BW367" s="117">
        <f t="shared" si="170"/>
        <v>0.57350159914059917</v>
      </c>
      <c r="BX367" s="117">
        <f t="shared" si="170"/>
        <v>0.57513508233902289</v>
      </c>
      <c r="BY367" s="116">
        <f t="shared" si="170"/>
        <v>0.57249846227220169</v>
      </c>
      <c r="BZ367" s="117">
        <f t="shared" si="170"/>
        <v>0.61904097154208171</v>
      </c>
      <c r="CA367" s="117">
        <f t="shared" si="170"/>
        <v>0.60532965349023438</v>
      </c>
      <c r="CB367" s="117">
        <f t="shared" si="170"/>
        <v>0.60300216602090662</v>
      </c>
      <c r="CC367" s="117">
        <f t="shared" si="170"/>
        <v>0.60141495242524146</v>
      </c>
      <c r="CD367" s="116">
        <f t="shared" si="170"/>
        <v>0.6071170376213626</v>
      </c>
      <c r="CG367" s="468">
        <v>2016</v>
      </c>
      <c r="CH367" s="627">
        <f>INDEX(334:334,MATCH(CG367,323:323,0))</f>
        <v>530</v>
      </c>
      <c r="CI367" s="627">
        <f>INDEX(336:336,MATCH(CG367,323:323,0))</f>
        <v>-670</v>
      </c>
    </row>
    <row r="368" spans="1:103" hidden="1" outlineLevel="1">
      <c r="A368" s="11"/>
      <c r="B368" s="4" t="s">
        <v>930</v>
      </c>
      <c r="C368" s="116">
        <f>-C333/C326</f>
        <v>0</v>
      </c>
      <c r="D368" s="116">
        <f>-D333/D326</f>
        <v>0.15062213490504256</v>
      </c>
      <c r="E368" s="116">
        <f>-E333/E326</f>
        <v>-8.6036671368124124E-2</v>
      </c>
      <c r="F368" s="116">
        <f>-F333/F326</f>
        <v>2.4857586742620404E-2</v>
      </c>
      <c r="G368" s="116">
        <f>-G333/G326</f>
        <v>0</v>
      </c>
      <c r="H368" s="93"/>
      <c r="I368" s="93"/>
      <c r="J368" s="93"/>
      <c r="K368" s="93"/>
      <c r="L368" s="116">
        <f>-L333/L326</f>
        <v>-6.8553737284387439E-3</v>
      </c>
      <c r="M368" s="93"/>
      <c r="N368" s="93"/>
      <c r="O368" s="93"/>
      <c r="P368" s="93"/>
      <c r="Q368" s="116">
        <f>-Q333/Q326</f>
        <v>-1.3965453877251011E-2</v>
      </c>
      <c r="R368" s="93"/>
      <c r="S368" s="93"/>
      <c r="T368" s="93"/>
      <c r="U368" s="93"/>
      <c r="V368" s="116">
        <f>-V333/V326</f>
        <v>8.1908467287805881E-4</v>
      </c>
      <c r="W368" s="93"/>
      <c r="X368" s="93"/>
      <c r="Y368" s="93"/>
      <c r="Z368" s="93"/>
      <c r="AA368" s="116">
        <f>-AA333/AA326</f>
        <v>-1.3968431345159939E-4</v>
      </c>
      <c r="AB368" s="93"/>
      <c r="AC368" s="93"/>
      <c r="AD368" s="93"/>
      <c r="AE368" s="93"/>
      <c r="AF368" s="116">
        <f>-AF333/AF326</f>
        <v>-5.684995340167754E-2</v>
      </c>
      <c r="AG368" s="93"/>
      <c r="AH368" s="93"/>
      <c r="AI368" s="93"/>
      <c r="AJ368" s="93"/>
      <c r="AK368" s="116">
        <f>-AK333/AK326</f>
        <v>2.1921812203142127E-3</v>
      </c>
      <c r="AL368" s="93"/>
      <c r="AM368" s="93"/>
      <c r="AN368" s="93"/>
      <c r="AO368" s="93"/>
      <c r="AP368" s="116">
        <f>-AP333/AP326</f>
        <v>2.6498840675720438E-3</v>
      </c>
      <c r="AQ368" s="93"/>
      <c r="AR368" s="93"/>
      <c r="AS368" s="93"/>
      <c r="AT368" s="93"/>
      <c r="AU368" s="116">
        <f>-AU333/AU326</f>
        <v>2.985689282405024E-3</v>
      </c>
      <c r="AV368" s="93"/>
      <c r="AW368" s="93"/>
      <c r="AX368" s="93"/>
      <c r="AY368" s="93"/>
      <c r="AZ368" s="116">
        <f>-AZ333/AZ326</f>
        <v>0.12781869688385269</v>
      </c>
      <c r="BA368" s="93"/>
      <c r="BB368" s="93"/>
      <c r="BC368" s="93"/>
      <c r="BD368" s="93"/>
      <c r="BE368" s="116">
        <f>-BE333/BE326</f>
        <v>0.14501199862872816</v>
      </c>
      <c r="BF368" s="93"/>
      <c r="BG368" s="93"/>
      <c r="BH368" s="93"/>
      <c r="BI368" s="93"/>
      <c r="BJ368" s="116">
        <f>-BJ333/BJ326</f>
        <v>-0.16608771168041686</v>
      </c>
      <c r="BK368" s="93"/>
      <c r="BL368" s="93"/>
      <c r="BM368" s="93"/>
      <c r="BN368" s="93"/>
      <c r="BO368" s="116">
        <f>-BO333/BO326</f>
        <v>0</v>
      </c>
      <c r="BP368" s="117">
        <f t="shared" ref="BP368:CD368" si="171">-BP333/BP326</f>
        <v>0</v>
      </c>
      <c r="BQ368" s="117">
        <f t="shared" si="171"/>
        <v>0</v>
      </c>
      <c r="BR368" s="117">
        <f t="shared" si="171"/>
        <v>0</v>
      </c>
      <c r="BS368" s="117">
        <f t="shared" si="171"/>
        <v>0</v>
      </c>
      <c r="BT368" s="116">
        <f t="shared" si="171"/>
        <v>0</v>
      </c>
      <c r="BU368" s="117">
        <f t="shared" si="171"/>
        <v>0</v>
      </c>
      <c r="BV368" s="117">
        <f t="shared" si="171"/>
        <v>0</v>
      </c>
      <c r="BW368" s="117">
        <f t="shared" si="171"/>
        <v>0</v>
      </c>
      <c r="BX368" s="117">
        <f t="shared" si="171"/>
        <v>0</v>
      </c>
      <c r="BY368" s="116">
        <f t="shared" si="171"/>
        <v>0</v>
      </c>
      <c r="BZ368" s="117">
        <f t="shared" si="171"/>
        <v>0</v>
      </c>
      <c r="CA368" s="117">
        <f t="shared" si="171"/>
        <v>0</v>
      </c>
      <c r="CB368" s="117">
        <f t="shared" si="171"/>
        <v>0</v>
      </c>
      <c r="CC368" s="117">
        <f t="shared" si="171"/>
        <v>0</v>
      </c>
      <c r="CD368" s="116">
        <f t="shared" si="171"/>
        <v>0</v>
      </c>
    </row>
    <row r="369" spans="1:87" hidden="1" outlineLevel="1">
      <c r="A369" s="11"/>
      <c r="B369" s="11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G369" t="s">
        <v>3695</v>
      </c>
      <c r="CI369" s="440">
        <f>COVAR(CH356:CH367,CI356:CI367)/VARP(CH356:CH367)</f>
        <v>-0.27052813679100862</v>
      </c>
    </row>
    <row r="370" spans="1:87" hidden="1" outlineLevel="1">
      <c r="A370" s="11" t="s">
        <v>3095</v>
      </c>
      <c r="B370" s="11"/>
      <c r="C370" s="116">
        <f>-C336/C334</f>
        <v>0.23595505617977527</v>
      </c>
      <c r="D370" s="116">
        <f>-D336/D334</f>
        <v>-0.15779816513761469</v>
      </c>
      <c r="E370" s="116">
        <f>-E336/E334</f>
        <v>0.43366336633663366</v>
      </c>
      <c r="F370" s="116">
        <f>-F336/F334</f>
        <v>0.39873417721518989</v>
      </c>
      <c r="G370" s="116">
        <f>-G336/G334</f>
        <v>0.40579616182572614</v>
      </c>
      <c r="H370" s="93"/>
      <c r="I370" s="93"/>
      <c r="J370" s="93"/>
      <c r="K370" s="93"/>
      <c r="L370" s="116">
        <f>-L336/L334</f>
        <v>0.50783938814531548</v>
      </c>
      <c r="M370" s="93"/>
      <c r="N370" s="93"/>
      <c r="O370" s="93"/>
      <c r="P370" s="93"/>
      <c r="Q370" s="116">
        <f>-Q336/Q334</f>
        <v>0.47130883301096066</v>
      </c>
      <c r="R370" s="93"/>
      <c r="S370" s="93"/>
      <c r="T370" s="93"/>
      <c r="U370" s="93"/>
      <c r="V370" s="116">
        <f>-V336/V334</f>
        <v>0.40041960137869026</v>
      </c>
      <c r="W370" s="93"/>
      <c r="X370" s="93"/>
      <c r="Y370" s="93"/>
      <c r="Z370" s="93"/>
      <c r="AA370" s="116">
        <f>-AA336/AA334</f>
        <v>0.39423076923076922</v>
      </c>
      <c r="AB370" s="93"/>
      <c r="AC370" s="93"/>
      <c r="AD370" s="93"/>
      <c r="AE370" s="93"/>
      <c r="AF370" s="116">
        <f>-AF336/AF334</f>
        <v>0.36069246435845215</v>
      </c>
      <c r="AG370" s="93"/>
      <c r="AH370" s="93"/>
      <c r="AI370" s="93"/>
      <c r="AJ370" s="93"/>
      <c r="AK370" s="116">
        <f>-AK336/AK334</f>
        <v>0.43671265746850629</v>
      </c>
      <c r="AL370" s="93"/>
      <c r="AM370" s="93"/>
      <c r="AN370" s="93"/>
      <c r="AO370" s="93"/>
      <c r="AP370" s="116">
        <f>-AP336/AP334</f>
        <v>0.48407513270722746</v>
      </c>
      <c r="AQ370" s="93"/>
      <c r="AR370" s="93"/>
      <c r="AS370" s="93"/>
      <c r="AT370" s="93"/>
      <c r="AU370" s="116">
        <f>-AU336/AU334</f>
        <v>0.43229283629014148</v>
      </c>
      <c r="AV370" s="93"/>
      <c r="AW370" s="93"/>
      <c r="AX370" s="93"/>
      <c r="AY370" s="93"/>
      <c r="AZ370" s="116">
        <f>-AZ336/AZ334</f>
        <v>0.66375545851528384</v>
      </c>
      <c r="BA370" s="93"/>
      <c r="BB370" s="93"/>
      <c r="BC370" s="93"/>
      <c r="BD370" s="93"/>
      <c r="BE370" s="116">
        <f>-BE336/BE334</f>
        <v>-0.53220858895705525</v>
      </c>
      <c r="BF370" s="93"/>
      <c r="BG370" s="93"/>
      <c r="BH370" s="93"/>
      <c r="BI370" s="93"/>
      <c r="BJ370" s="116">
        <f>-BJ336/BJ334</f>
        <v>1.2641509433962264</v>
      </c>
      <c r="BK370" s="93"/>
      <c r="BL370" s="93"/>
      <c r="BM370" s="93"/>
      <c r="BN370" s="93"/>
      <c r="BO370" s="116">
        <f>-BO336/BO334</f>
        <v>18.761904761904763</v>
      </c>
      <c r="BP370" s="117">
        <f>BT370</f>
        <v>0.63500188279688108</v>
      </c>
      <c r="BQ370" s="117">
        <f>BT370</f>
        <v>0.63500188279688108</v>
      </c>
      <c r="BR370" s="117">
        <f>BT370</f>
        <v>0.63500188279688108</v>
      </c>
      <c r="BS370" s="117">
        <f>BT370</f>
        <v>0.63500188279688108</v>
      </c>
      <c r="BT370" s="118">
        <f>-(BT334*$CI$369+$CI$370)/BT334</f>
        <v>0.63500188279688108</v>
      </c>
      <c r="BU370" s="117">
        <f>BY370</f>
        <v>0.70943897922843524</v>
      </c>
      <c r="BV370" s="117">
        <f>BY370</f>
        <v>0.70943897922843524</v>
      </c>
      <c r="BW370" s="117">
        <f>BY370</f>
        <v>0.70943897922843524</v>
      </c>
      <c r="BX370" s="117">
        <f>BY370</f>
        <v>0.70943897922843524</v>
      </c>
      <c r="BY370" s="118">
        <f>-(BY334*$CI$369+$CI$370)/BY334</f>
        <v>0.70943897922843524</v>
      </c>
      <c r="BZ370" s="117">
        <f>CD370</f>
        <v>0.76947830532399275</v>
      </c>
      <c r="CA370" s="117">
        <f>CD370</f>
        <v>0.76947830532399275</v>
      </c>
      <c r="CB370" s="117">
        <f>CD370</f>
        <v>0.76947830532399275</v>
      </c>
      <c r="CC370" s="117">
        <f>CD370</f>
        <v>0.76947830532399275</v>
      </c>
      <c r="CD370" s="118">
        <f>-(CD334*$CI$369+$CI$370)/CD334</f>
        <v>0.76947830532399275</v>
      </c>
      <c r="CG370" t="s">
        <v>3696</v>
      </c>
      <c r="CI370">
        <f>AVERAGE(CI356:CI367)-CI369*AVERAGE(CH356:CH367)</f>
        <v>-688.98011485140739</v>
      </c>
    </row>
    <row r="371" spans="1:87" hidden="1" outlineLevel="1">
      <c r="A371" s="11" t="s">
        <v>3471</v>
      </c>
      <c r="B371" s="11"/>
      <c r="C371" s="119">
        <f>(C337-C333-C332-C328)/(C342*0.365)</f>
        <v>11.265589858924555</v>
      </c>
      <c r="D371" s="119">
        <f>(D337-D333-D332-D328)/(D342*0.365)</f>
        <v>18.104534945546003</v>
      </c>
      <c r="E371" s="119">
        <f>(E337-E333-E332-E328)/(E342*0.365)</f>
        <v>12.666793361600844</v>
      </c>
      <c r="F371" s="119">
        <f>(F337-F333-F332-F328)/(F342*0.365)</f>
        <v>16.340115968722738</v>
      </c>
      <c r="G371" s="119">
        <f>(G337-G333-G332-G328)/(G342*0.365)</f>
        <v>24.789322360464045</v>
      </c>
      <c r="H371" s="93"/>
      <c r="I371" s="93"/>
      <c r="J371" s="93"/>
      <c r="K371" s="93"/>
      <c r="L371" s="119">
        <f>(L337-L333-L332-L328)/(L342*0.365)</f>
        <v>24.481055723749289</v>
      </c>
      <c r="M371" s="93"/>
      <c r="N371" s="93"/>
      <c r="O371" s="93"/>
      <c r="P371" s="93"/>
      <c r="Q371" s="119">
        <f>(Q337-Q333-Q332-Q328)/(Q342*0.365)</f>
        <v>30.995742201889882</v>
      </c>
      <c r="R371" s="93"/>
      <c r="S371" s="93"/>
      <c r="T371" s="93"/>
      <c r="U371" s="93"/>
      <c r="V371" s="119">
        <f>(V337-V333-V332-V328)/(V342*0.365)</f>
        <v>48.204815029833483</v>
      </c>
      <c r="W371" s="93"/>
      <c r="X371" s="93"/>
      <c r="Y371" s="93"/>
      <c r="Z371" s="93"/>
      <c r="AA371" s="119">
        <f>(AA337-AA333-AA332-AA328)/(AA342*0.365)</f>
        <v>30.59180702179761</v>
      </c>
      <c r="AB371" s="93"/>
      <c r="AC371" s="93"/>
      <c r="AD371" s="93"/>
      <c r="AE371" s="93"/>
      <c r="AF371" s="119">
        <f>(AF337-AF333-AF332-AF328)/(AF342*0.365)</f>
        <v>37.442001210409522</v>
      </c>
      <c r="AG371" s="93"/>
      <c r="AH371" s="93"/>
      <c r="AI371" s="93"/>
      <c r="AJ371" s="93"/>
      <c r="AK371" s="119">
        <f>(AK337-AK333-AK332-AK328)/(AK342*0.365)</f>
        <v>44.665456345931673</v>
      </c>
      <c r="AL371" s="93"/>
      <c r="AM371" s="93"/>
      <c r="AN371" s="93"/>
      <c r="AO371" s="93"/>
      <c r="AP371" s="119">
        <f>(AP337-AP333-AP332-AP328)/(AP342*0.365)</f>
        <v>46.383113732223514</v>
      </c>
      <c r="AQ371" s="93"/>
      <c r="AR371" s="93"/>
      <c r="AS371" s="93"/>
      <c r="AT371" s="93"/>
      <c r="AU371" s="119">
        <f>(AU337-AU333-AU332-AU328)/(AU342*0.365)</f>
        <v>51.741766873687766</v>
      </c>
      <c r="AV371" s="93"/>
      <c r="AW371" s="93"/>
      <c r="AX371" s="93"/>
      <c r="AY371" s="93"/>
      <c r="AZ371" s="119">
        <f>(AZ337-AZ333-AZ332-AZ328)/(AZ342*0.365)</f>
        <v>51.650783762900495</v>
      </c>
      <c r="BA371" s="93"/>
      <c r="BB371" s="93"/>
      <c r="BC371" s="93"/>
      <c r="BD371" s="93"/>
      <c r="BE371" s="119">
        <f>(BE337-BE333-BE332-BE328)/(BE342*0.365)</f>
        <v>23.601125039618463</v>
      </c>
      <c r="BF371" s="93"/>
      <c r="BG371" s="93"/>
      <c r="BH371" s="93"/>
      <c r="BI371" s="93"/>
      <c r="BJ371" s="119">
        <f>(BJ337-BJ333-BJ332-BJ328)/(BJ342*0.365)</f>
        <v>16.28701790747693</v>
      </c>
      <c r="BK371" s="93"/>
      <c r="BL371" s="93"/>
      <c r="BM371" s="93"/>
      <c r="BN371" s="93"/>
      <c r="BO371" s="119">
        <f>(BO337-BO333-BO332-BO328)/(BO342*0.365)</f>
        <v>27.648707404594152</v>
      </c>
      <c r="BP371" s="93"/>
      <c r="BQ371" s="93"/>
      <c r="BR371" s="93"/>
      <c r="BS371" s="93"/>
      <c r="BT371" s="119">
        <f>(BT337-BT333-BT332-BT328)/(BT342*0.365)</f>
        <v>30.230831723152736</v>
      </c>
      <c r="BU371" s="93"/>
      <c r="BV371" s="93"/>
      <c r="BW371" s="93"/>
      <c r="BX371" s="93"/>
      <c r="BY371" s="119">
        <f>(BY337-BY333-BY332-BY328)/(BY342*0.365)</f>
        <v>28.441338588862937</v>
      </c>
      <c r="BZ371" s="93"/>
      <c r="CA371" s="93"/>
      <c r="CB371" s="93"/>
      <c r="CC371" s="93"/>
      <c r="CD371" s="119">
        <f>(CD337-CD333-CD332-CD328)/(CD342*0.365)</f>
        <v>27.197134171318375</v>
      </c>
      <c r="CG371" t="s">
        <v>3697</v>
      </c>
      <c r="CI371" s="381">
        <f>CORREL(CH356:CH367,CI356:CI367)^2</f>
        <v>0.87264050159695583</v>
      </c>
    </row>
    <row r="372" spans="1:87" collapsed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</row>
    <row r="373" spans="1:87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</row>
    <row r="374" spans="1:87" hidden="1" outlineLevel="1">
      <c r="A374" s="24" t="s">
        <v>1703</v>
      </c>
      <c r="B374" s="4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</row>
    <row r="375" spans="1:87" hidden="1" outlineLevel="1">
      <c r="A375" s="10"/>
      <c r="B375" s="10"/>
      <c r="C375" s="31">
        <v>2001</v>
      </c>
      <c r="D375" s="32">
        <v>2002</v>
      </c>
      <c r="E375" s="32">
        <v>2003</v>
      </c>
      <c r="F375" s="32">
        <v>2004</v>
      </c>
      <c r="G375" s="31">
        <v>2005</v>
      </c>
      <c r="H375" s="33" t="str">
        <f>H323</f>
        <v>1Q06</v>
      </c>
      <c r="I375" s="33" t="str">
        <f>I323</f>
        <v>2Q06</v>
      </c>
      <c r="J375" s="33" t="str">
        <f>J323</f>
        <v>3Q06</v>
      </c>
      <c r="K375" s="33" t="str">
        <f>K323</f>
        <v>4Q06</v>
      </c>
      <c r="L375" s="31">
        <v>2006</v>
      </c>
      <c r="M375" s="33" t="str">
        <f>M323</f>
        <v>1Q07</v>
      </c>
      <c r="N375" s="33" t="str">
        <f>N323</f>
        <v>2Q07</v>
      </c>
      <c r="O375" s="33" t="str">
        <f>O323</f>
        <v>3Q07</v>
      </c>
      <c r="P375" s="33" t="str">
        <f>P323</f>
        <v>4Q07</v>
      </c>
      <c r="Q375" s="31">
        <v>2007</v>
      </c>
      <c r="R375" s="33" t="str">
        <f>R323</f>
        <v>1Q08</v>
      </c>
      <c r="S375" s="33" t="str">
        <f>S323</f>
        <v>2Q08</v>
      </c>
      <c r="T375" s="33" t="str">
        <f>T323</f>
        <v>3Q08</v>
      </c>
      <c r="U375" s="33" t="str">
        <f>U323</f>
        <v>4Q08</v>
      </c>
      <c r="V375" s="31">
        <v>2008</v>
      </c>
      <c r="W375" s="33" t="str">
        <f>W323</f>
        <v>1Q09</v>
      </c>
      <c r="X375" s="33" t="str">
        <f>X323</f>
        <v>2Q09</v>
      </c>
      <c r="Y375" s="33" t="str">
        <f>Y323</f>
        <v>3Q09</v>
      </c>
      <c r="Z375" s="33" t="str">
        <f>Z323</f>
        <v>4Q09</v>
      </c>
      <c r="AA375" s="31">
        <v>2009</v>
      </c>
      <c r="AB375" s="33" t="str">
        <f>AB323</f>
        <v>1Q10</v>
      </c>
      <c r="AC375" s="33" t="str">
        <f>AC323</f>
        <v>2Q10</v>
      </c>
      <c r="AD375" s="33" t="str">
        <f>AD323</f>
        <v>3Q10</v>
      </c>
      <c r="AE375" s="33" t="str">
        <f>AE323</f>
        <v>4Q10</v>
      </c>
      <c r="AF375" s="31">
        <v>2010</v>
      </c>
      <c r="AG375" s="33" t="str">
        <f>AG323</f>
        <v>1Q11</v>
      </c>
      <c r="AH375" s="33" t="str">
        <f>AH323</f>
        <v>2Q11</v>
      </c>
      <c r="AI375" s="33" t="str">
        <f>AI323</f>
        <v>3Q11</v>
      </c>
      <c r="AJ375" s="33" t="str">
        <f>AJ323</f>
        <v>4Q11</v>
      </c>
      <c r="AK375" s="31">
        <v>2011</v>
      </c>
      <c r="AL375" s="33" t="s">
        <v>2397</v>
      </c>
      <c r="AM375" s="33" t="s">
        <v>2398</v>
      </c>
      <c r="AN375" s="33" t="s">
        <v>2399</v>
      </c>
      <c r="AO375" s="33" t="s">
        <v>2400</v>
      </c>
      <c r="AP375" s="31">
        <v>2012</v>
      </c>
      <c r="AQ375" s="33" t="s">
        <v>2401</v>
      </c>
      <c r="AR375" s="33" t="s">
        <v>2402</v>
      </c>
      <c r="AS375" s="33" t="s">
        <v>2403</v>
      </c>
      <c r="AT375" s="33" t="s">
        <v>2404</v>
      </c>
      <c r="AU375" s="31">
        <v>2013</v>
      </c>
      <c r="AV375" s="33" t="s">
        <v>2405</v>
      </c>
      <c r="AW375" s="33" t="s">
        <v>2406</v>
      </c>
      <c r="AX375" s="33" t="s">
        <v>2407</v>
      </c>
      <c r="AY375" s="33" t="s">
        <v>2408</v>
      </c>
      <c r="AZ375" s="31">
        <v>2014</v>
      </c>
      <c r="BA375" s="33" t="str">
        <f t="shared" ref="BA375:BI375" si="172">BA$8</f>
        <v>1Q15</v>
      </c>
      <c r="BB375" s="33" t="str">
        <f t="shared" si="172"/>
        <v>2Q15</v>
      </c>
      <c r="BC375" s="33" t="str">
        <f t="shared" si="172"/>
        <v>3Q15</v>
      </c>
      <c r="BD375" s="33" t="str">
        <f t="shared" si="172"/>
        <v>4Q15</v>
      </c>
      <c r="BE375" s="31">
        <f t="shared" si="172"/>
        <v>2015</v>
      </c>
      <c r="BF375" s="33" t="str">
        <f t="shared" si="172"/>
        <v>1Q16</v>
      </c>
      <c r="BG375" s="33" t="str">
        <f t="shared" si="172"/>
        <v>2Q16</v>
      </c>
      <c r="BH375" s="33" t="str">
        <f t="shared" si="172"/>
        <v>3Q16</v>
      </c>
      <c r="BI375" s="33" t="str">
        <f t="shared" si="172"/>
        <v>4Q16</v>
      </c>
      <c r="BJ375" s="31">
        <v>2016</v>
      </c>
      <c r="BK375" s="33" t="s">
        <v>2417</v>
      </c>
      <c r="BL375" s="33" t="s">
        <v>2418</v>
      </c>
      <c r="BM375" s="33" t="s">
        <v>2419</v>
      </c>
      <c r="BN375" s="33" t="s">
        <v>2420</v>
      </c>
      <c r="BO375" s="31">
        <v>2017</v>
      </c>
      <c r="BP375" s="33" t="s">
        <v>2244</v>
      </c>
      <c r="BQ375" s="33" t="s">
        <v>2245</v>
      </c>
      <c r="BR375" s="33" t="s">
        <v>2508</v>
      </c>
      <c r="BS375" s="33" t="s">
        <v>2509</v>
      </c>
      <c r="BT375" s="31">
        <v>2018</v>
      </c>
      <c r="BU375" s="33" t="s">
        <v>2510</v>
      </c>
      <c r="BV375" s="33" t="s">
        <v>2511</v>
      </c>
      <c r="BW375" s="33" t="s">
        <v>3125</v>
      </c>
      <c r="BX375" s="33" t="s">
        <v>1405</v>
      </c>
      <c r="BY375" s="31">
        <v>2019</v>
      </c>
      <c r="BZ375" s="33" t="s">
        <v>1406</v>
      </c>
      <c r="CA375" s="33" t="s">
        <v>1407</v>
      </c>
      <c r="CB375" s="33" t="s">
        <v>1408</v>
      </c>
      <c r="CC375" s="33" t="s">
        <v>1409</v>
      </c>
      <c r="CD375" s="31">
        <v>2020</v>
      </c>
    </row>
    <row r="376" spans="1:87" hidden="1" outlineLevel="1">
      <c r="A376" s="4" t="s">
        <v>2156</v>
      </c>
      <c r="B376" s="5"/>
      <c r="C376" s="5">
        <v>0</v>
      </c>
      <c r="D376" s="5">
        <v>0</v>
      </c>
      <c r="E376" s="5">
        <v>0</v>
      </c>
      <c r="F376" s="5">
        <v>5</v>
      </c>
      <c r="G376" s="5">
        <v>0</v>
      </c>
      <c r="H376" s="93"/>
      <c r="I376" s="93"/>
      <c r="J376" s="93"/>
      <c r="K376" s="93"/>
      <c r="L376" s="5">
        <v>0</v>
      </c>
      <c r="M376" s="93"/>
      <c r="N376" s="93"/>
      <c r="O376" s="93"/>
      <c r="P376" s="93"/>
      <c r="Q376" s="5">
        <v>0</v>
      </c>
      <c r="R376" s="93"/>
      <c r="S376" s="93"/>
      <c r="T376" s="93"/>
      <c r="U376" s="93"/>
      <c r="V376" s="5">
        <v>0</v>
      </c>
      <c r="W376" s="93"/>
      <c r="X376" s="93"/>
      <c r="Y376" s="93"/>
      <c r="Z376" s="93"/>
      <c r="AA376" s="5">
        <v>0</v>
      </c>
      <c r="AB376" s="93"/>
      <c r="AC376" s="93"/>
      <c r="AD376" s="93"/>
      <c r="AE376" s="93"/>
      <c r="AF376" s="5">
        <v>0</v>
      </c>
      <c r="AG376" s="93"/>
      <c r="AH376" s="93"/>
      <c r="AI376" s="93"/>
      <c r="AJ376" s="93"/>
      <c r="AK376" s="5">
        <v>0</v>
      </c>
      <c r="AL376" s="93"/>
      <c r="AM376" s="93"/>
      <c r="AN376" s="93"/>
      <c r="AO376" s="93"/>
      <c r="AP376" s="5">
        <v>0</v>
      </c>
      <c r="AQ376" s="93"/>
      <c r="AR376" s="93"/>
      <c r="AS376" s="93"/>
      <c r="AT376" s="93"/>
      <c r="AU376" s="5">
        <v>0</v>
      </c>
      <c r="AV376" s="93"/>
      <c r="AW376" s="93"/>
      <c r="AX376" s="93"/>
      <c r="AY376" s="93"/>
      <c r="AZ376" s="5">
        <v>0</v>
      </c>
      <c r="BA376" s="93"/>
      <c r="BB376" s="93"/>
      <c r="BC376" s="93"/>
      <c r="BD376" s="93"/>
      <c r="BE376" s="5">
        <v>0</v>
      </c>
      <c r="BF376" s="93"/>
      <c r="BG376" s="93"/>
      <c r="BH376" s="93"/>
      <c r="BI376" s="93"/>
      <c r="BJ376" s="5">
        <v>0</v>
      </c>
      <c r="BK376" s="93"/>
      <c r="BL376" s="93"/>
      <c r="BM376" s="93"/>
      <c r="BN376" s="93"/>
      <c r="BO376" s="5">
        <v>0</v>
      </c>
      <c r="BP376" s="93"/>
      <c r="BQ376" s="93"/>
      <c r="BR376" s="93"/>
      <c r="BS376" s="93"/>
      <c r="BT376" s="93"/>
      <c r="BU376" s="93"/>
      <c r="BV376" s="93"/>
      <c r="BW376" s="93"/>
      <c r="BX376" s="93"/>
      <c r="BY376" s="93"/>
      <c r="BZ376" s="93"/>
      <c r="CA376" s="93"/>
      <c r="CB376" s="93"/>
      <c r="CC376" s="93"/>
      <c r="CD376" s="93"/>
    </row>
    <row r="377" spans="1:87" hidden="1" outlineLevel="1">
      <c r="A377" s="4" t="s">
        <v>2157</v>
      </c>
      <c r="B377" s="5"/>
      <c r="C377" s="5">
        <v>0</v>
      </c>
      <c r="D377" s="5">
        <v>0</v>
      </c>
      <c r="E377" s="5">
        <v>0</v>
      </c>
      <c r="F377" s="5">
        <v>0</v>
      </c>
      <c r="G377" s="5">
        <v>0</v>
      </c>
      <c r="H377" s="93"/>
      <c r="I377" s="93"/>
      <c r="J377" s="93"/>
      <c r="K377" s="93"/>
      <c r="L377" s="5">
        <v>0</v>
      </c>
      <c r="M377" s="93"/>
      <c r="N377" s="93"/>
      <c r="O377" s="93"/>
      <c r="P377" s="93"/>
      <c r="Q377" s="5">
        <v>0</v>
      </c>
      <c r="R377" s="93"/>
      <c r="S377" s="93"/>
      <c r="T377" s="93"/>
      <c r="U377" s="93"/>
      <c r="V377" s="5">
        <v>0</v>
      </c>
      <c r="W377" s="93"/>
      <c r="X377" s="93"/>
      <c r="Y377" s="93"/>
      <c r="Z377" s="93"/>
      <c r="AA377" s="5">
        <v>0</v>
      </c>
      <c r="AB377" s="93"/>
      <c r="AC377" s="93"/>
      <c r="AD377" s="93"/>
      <c r="AE377" s="93"/>
      <c r="AF377" s="5">
        <v>0</v>
      </c>
      <c r="AG377" s="93"/>
      <c r="AH377" s="93"/>
      <c r="AI377" s="93"/>
      <c r="AJ377" s="93"/>
      <c r="AK377" s="5">
        <v>0</v>
      </c>
      <c r="AL377" s="93"/>
      <c r="AM377" s="93"/>
      <c r="AN377" s="93"/>
      <c r="AO377" s="93"/>
      <c r="AP377" s="5">
        <v>0</v>
      </c>
      <c r="AQ377" s="93"/>
      <c r="AR377" s="93"/>
      <c r="AS377" s="93"/>
      <c r="AT377" s="93"/>
      <c r="AU377" s="5">
        <v>0</v>
      </c>
      <c r="AV377" s="93"/>
      <c r="AW377" s="93"/>
      <c r="AX377" s="93"/>
      <c r="AY377" s="93"/>
      <c r="AZ377" s="5">
        <v>0</v>
      </c>
      <c r="BA377" s="93"/>
      <c r="BB377" s="93"/>
      <c r="BC377" s="93"/>
      <c r="BD377" s="93"/>
      <c r="BE377" s="5">
        <v>0</v>
      </c>
      <c r="BF377" s="93"/>
      <c r="BG377" s="93"/>
      <c r="BH377" s="93"/>
      <c r="BI377" s="93"/>
      <c r="BJ377" s="5">
        <v>0</v>
      </c>
      <c r="BK377" s="93"/>
      <c r="BL377" s="93"/>
      <c r="BM377" s="93"/>
      <c r="BN377" s="93"/>
      <c r="BO377" s="5">
        <v>0</v>
      </c>
      <c r="BP377" s="93"/>
      <c r="BQ377" s="93"/>
      <c r="BR377" s="93"/>
      <c r="BS377" s="93"/>
      <c r="BT377" s="93"/>
      <c r="BU377" s="93"/>
      <c r="BV377" s="93"/>
      <c r="BW377" s="93"/>
      <c r="BX377" s="93"/>
      <c r="BY377" s="93"/>
      <c r="BZ377" s="93"/>
      <c r="CA377" s="93"/>
      <c r="CB377" s="93"/>
      <c r="CC377" s="93"/>
      <c r="CD377" s="93"/>
    </row>
    <row r="378" spans="1:87" hidden="1" outlineLevel="1">
      <c r="A378" s="7" t="s">
        <v>2155</v>
      </c>
      <c r="B378" s="8"/>
      <c r="C378" s="8">
        <f>C376+C377</f>
        <v>0</v>
      </c>
      <c r="D378" s="8">
        <f>D376+D377</f>
        <v>0</v>
      </c>
      <c r="E378" s="8">
        <f>E376+E377</f>
        <v>0</v>
      </c>
      <c r="F378" s="8">
        <f>F376+F377</f>
        <v>5</v>
      </c>
      <c r="G378" s="8">
        <f>G376+G377</f>
        <v>0</v>
      </c>
      <c r="H378" s="93"/>
      <c r="I378" s="93"/>
      <c r="J378" s="93"/>
      <c r="K378" s="93"/>
      <c r="L378" s="8">
        <f>L376+L377</f>
        <v>0</v>
      </c>
      <c r="M378" s="93"/>
      <c r="N378" s="93"/>
      <c r="O378" s="93"/>
      <c r="P378" s="93"/>
      <c r="Q378" s="8">
        <f>Q376+Q377</f>
        <v>0</v>
      </c>
      <c r="R378" s="93"/>
      <c r="S378" s="93"/>
      <c r="T378" s="93"/>
      <c r="U378" s="93"/>
      <c r="V378" s="8">
        <f>V376+V377</f>
        <v>0</v>
      </c>
      <c r="W378" s="93"/>
      <c r="X378" s="93"/>
      <c r="Y378" s="93"/>
      <c r="Z378" s="93"/>
      <c r="AA378" s="8">
        <f>AA376+AA377</f>
        <v>0</v>
      </c>
      <c r="AB378" s="93"/>
      <c r="AC378" s="93"/>
      <c r="AD378" s="93"/>
      <c r="AE378" s="93"/>
      <c r="AF378" s="8">
        <f>AF376+AF377</f>
        <v>0</v>
      </c>
      <c r="AG378" s="93"/>
      <c r="AH378" s="93"/>
      <c r="AI378" s="93"/>
      <c r="AJ378" s="93"/>
      <c r="AK378" s="8">
        <f>AK376+AK377</f>
        <v>0</v>
      </c>
      <c r="AL378" s="93"/>
      <c r="AM378" s="93"/>
      <c r="AN378" s="93"/>
      <c r="AO378" s="93"/>
      <c r="AP378" s="8">
        <v>0</v>
      </c>
      <c r="AQ378" s="93"/>
      <c r="AR378" s="93"/>
      <c r="AS378" s="93"/>
      <c r="AT378" s="93"/>
      <c r="AU378" s="8">
        <v>0</v>
      </c>
      <c r="AV378" s="93"/>
      <c r="AW378" s="93"/>
      <c r="AX378" s="93"/>
      <c r="AY378" s="93"/>
      <c r="AZ378" s="8">
        <v>0</v>
      </c>
      <c r="BA378" s="93"/>
      <c r="BB378" s="93"/>
      <c r="BC378" s="93"/>
      <c r="BD378" s="93"/>
      <c r="BE378" s="8">
        <v>0</v>
      </c>
      <c r="BF378" s="93"/>
      <c r="BG378" s="93"/>
      <c r="BH378" s="93"/>
      <c r="BI378" s="93"/>
      <c r="BJ378" s="8">
        <v>0</v>
      </c>
      <c r="BK378" s="93"/>
      <c r="BL378" s="93"/>
      <c r="BM378" s="93"/>
      <c r="BN378" s="93"/>
      <c r="BO378" s="8">
        <v>0</v>
      </c>
      <c r="BP378" s="93"/>
      <c r="BQ378" s="93"/>
      <c r="BR378" s="93"/>
      <c r="BS378" s="93"/>
      <c r="BT378" s="93"/>
      <c r="BU378" s="93"/>
      <c r="BV378" s="93"/>
      <c r="BW378" s="93"/>
      <c r="BX378" s="93"/>
      <c r="BY378" s="93"/>
      <c r="BZ378" s="93"/>
      <c r="CA378" s="93"/>
      <c r="CB378" s="93"/>
      <c r="CC378" s="93"/>
      <c r="CD378" s="93"/>
    </row>
    <row r="379" spans="1:87" hidden="1" outlineLevel="1">
      <c r="A379" s="4"/>
      <c r="B379" s="5"/>
      <c r="C379" s="5"/>
      <c r="D379" s="5"/>
      <c r="E379" s="5"/>
      <c r="F379" s="5"/>
      <c r="G379" s="5"/>
      <c r="H379" s="12"/>
      <c r="I379" s="12"/>
      <c r="J379" s="12"/>
      <c r="K379" s="12"/>
      <c r="L379" s="5"/>
      <c r="M379" s="12"/>
      <c r="N379" s="12"/>
      <c r="O379" s="12"/>
      <c r="P379" s="12"/>
      <c r="Q379" s="5"/>
      <c r="R379" s="12"/>
      <c r="S379" s="12"/>
      <c r="T379" s="12"/>
      <c r="U379" s="12"/>
      <c r="V379" s="5"/>
      <c r="W379" s="12"/>
      <c r="X379" s="12"/>
      <c r="Y379" s="12"/>
      <c r="Z379" s="12"/>
      <c r="AA379" s="5"/>
      <c r="AB379" s="12"/>
      <c r="AC379" s="12"/>
      <c r="AD379" s="12"/>
      <c r="AE379" s="12"/>
      <c r="AF379" s="5"/>
      <c r="AG379" s="12"/>
      <c r="AH379" s="12"/>
      <c r="AI379" s="12"/>
      <c r="AJ379" s="12"/>
      <c r="AK379" s="5"/>
      <c r="AL379" s="12"/>
      <c r="AM379" s="12"/>
      <c r="AN379" s="12"/>
      <c r="AO379" s="12"/>
      <c r="AP379" s="5"/>
      <c r="AQ379" s="12"/>
      <c r="AR379" s="12"/>
      <c r="AS379" s="12"/>
      <c r="AT379" s="12"/>
      <c r="AU379" s="5"/>
      <c r="AV379" s="12"/>
      <c r="AW379" s="12"/>
      <c r="AX379" s="12"/>
      <c r="AY379" s="12"/>
      <c r="AZ379" s="5"/>
      <c r="BA379" s="12"/>
      <c r="BB379" s="12"/>
      <c r="BC379" s="12"/>
      <c r="BD379" s="12"/>
      <c r="BE379" s="5"/>
      <c r="BF379" s="12"/>
      <c r="BG379" s="12"/>
      <c r="BH379" s="12"/>
      <c r="BI379" s="12"/>
      <c r="BJ379" s="5"/>
      <c r="BK379" s="12"/>
      <c r="BL379" s="12"/>
      <c r="BM379" s="12"/>
      <c r="BN379" s="12"/>
      <c r="BO379" s="5"/>
      <c r="BP379" s="12"/>
      <c r="BQ379" s="12"/>
      <c r="BR379" s="12"/>
      <c r="BS379" s="12"/>
      <c r="BT379" s="12"/>
      <c r="BU379" s="12"/>
      <c r="BV379" s="12"/>
      <c r="BW379" s="12"/>
      <c r="BX379" s="12"/>
      <c r="BY379" s="12"/>
      <c r="BZ379" s="12"/>
      <c r="CA379" s="12"/>
      <c r="CB379" s="12"/>
      <c r="CC379" s="12"/>
      <c r="CD379" s="12"/>
    </row>
    <row r="380" spans="1:87" hidden="1" outlineLevel="1">
      <c r="A380" s="4" t="s">
        <v>1897</v>
      </c>
      <c r="B380" s="5"/>
      <c r="C380" s="5">
        <v>-6</v>
      </c>
      <c r="D380" s="5">
        <v>-17</v>
      </c>
      <c r="E380" s="5">
        <v>-21</v>
      </c>
      <c r="F380" s="5">
        <v>-17</v>
      </c>
      <c r="G380" s="5">
        <v>-37</v>
      </c>
      <c r="H380" s="93"/>
      <c r="I380" s="93"/>
      <c r="J380" s="93"/>
      <c r="K380" s="93"/>
      <c r="L380" s="5">
        <v>-17</v>
      </c>
      <c r="M380" s="93"/>
      <c r="N380" s="93"/>
      <c r="O380" s="93"/>
      <c r="P380" s="93"/>
      <c r="Q380" s="5">
        <v>-116</v>
      </c>
      <c r="R380" s="93"/>
      <c r="S380" s="93"/>
      <c r="T380" s="93"/>
      <c r="U380" s="93"/>
      <c r="V380" s="5">
        <v>-14</v>
      </c>
      <c r="W380" s="93"/>
      <c r="X380" s="93"/>
      <c r="Y380" s="93"/>
      <c r="Z380" s="93"/>
      <c r="AA380" s="5">
        <v>-8</v>
      </c>
      <c r="AB380" s="93"/>
      <c r="AC380" s="93"/>
      <c r="AD380" s="93"/>
      <c r="AE380" s="93"/>
      <c r="AF380" s="5">
        <v>-7</v>
      </c>
      <c r="AG380" s="93"/>
      <c r="AH380" s="93"/>
      <c r="AI380" s="93"/>
      <c r="AJ380" s="93"/>
      <c r="AK380" s="5">
        <v>-6</v>
      </c>
      <c r="AL380" s="93"/>
      <c r="AM380" s="93"/>
      <c r="AN380" s="93"/>
      <c r="AO380" s="93"/>
      <c r="AP380" s="5">
        <v>0</v>
      </c>
      <c r="AQ380" s="93"/>
      <c r="AR380" s="93"/>
      <c r="AS380" s="93"/>
      <c r="AT380" s="93"/>
      <c r="AU380" s="5">
        <v>0</v>
      </c>
      <c r="AV380" s="93"/>
      <c r="AW380" s="93"/>
      <c r="AX380" s="93"/>
      <c r="AY380" s="93"/>
      <c r="AZ380" s="5">
        <v>0</v>
      </c>
      <c r="BA380" s="93"/>
      <c r="BB380" s="93"/>
      <c r="BC380" s="93"/>
      <c r="BD380" s="93"/>
      <c r="BE380" s="5">
        <v>-5</v>
      </c>
      <c r="BF380" s="93"/>
      <c r="BG380" s="93"/>
      <c r="BH380" s="93"/>
      <c r="BI380" s="93"/>
      <c r="BJ380" s="5">
        <v>-10</v>
      </c>
      <c r="BK380" s="93"/>
      <c r="BL380" s="93"/>
      <c r="BM380" s="93"/>
      <c r="BN380" s="93"/>
      <c r="BO380" s="5">
        <v>-11</v>
      </c>
      <c r="BP380" s="93"/>
      <c r="BQ380" s="93"/>
      <c r="BR380" s="93"/>
      <c r="BS380" s="93"/>
      <c r="BT380" s="93"/>
      <c r="BU380" s="93"/>
      <c r="BV380" s="93"/>
      <c r="BW380" s="93"/>
      <c r="BX380" s="93"/>
      <c r="BY380" s="93"/>
      <c r="BZ380" s="93"/>
      <c r="CA380" s="93"/>
      <c r="CB380" s="93"/>
      <c r="CC380" s="93"/>
      <c r="CD380" s="93"/>
    </row>
    <row r="381" spans="1:87" hidden="1" outlineLevel="1">
      <c r="A381" s="4" t="s">
        <v>2149</v>
      </c>
      <c r="B381" s="5"/>
      <c r="C381" s="5">
        <v>0</v>
      </c>
      <c r="D381" s="5">
        <v>0</v>
      </c>
      <c r="E381" s="5">
        <v>0</v>
      </c>
      <c r="F381" s="5">
        <v>0</v>
      </c>
      <c r="G381" s="5">
        <v>0</v>
      </c>
      <c r="H381" s="93"/>
      <c r="I381" s="93"/>
      <c r="J381" s="93"/>
      <c r="K381" s="93"/>
      <c r="L381" s="5"/>
      <c r="M381" s="93"/>
      <c r="N381" s="93"/>
      <c r="O381" s="93"/>
      <c r="P381" s="93"/>
      <c r="Q381" s="5">
        <v>-2</v>
      </c>
      <c r="R381" s="93"/>
      <c r="S381" s="93"/>
      <c r="T381" s="93"/>
      <c r="U381" s="93"/>
      <c r="V381" s="5">
        <v>-18</v>
      </c>
      <c r="W381" s="93"/>
      <c r="X381" s="93"/>
      <c r="Y381" s="93"/>
      <c r="Z381" s="93"/>
      <c r="AA381" s="5">
        <v>-15</v>
      </c>
      <c r="AB381" s="93"/>
      <c r="AC381" s="93"/>
      <c r="AD381" s="93"/>
      <c r="AE381" s="93"/>
      <c r="AF381" s="5">
        <v>-9</v>
      </c>
      <c r="AG381" s="93"/>
      <c r="AH381" s="93"/>
      <c r="AI381" s="93"/>
      <c r="AJ381" s="93"/>
      <c r="AK381" s="5">
        <v>-4</v>
      </c>
      <c r="AL381" s="93"/>
      <c r="AM381" s="93"/>
      <c r="AN381" s="93"/>
      <c r="AO381" s="93"/>
      <c r="AP381" s="5">
        <v>0</v>
      </c>
      <c r="AQ381" s="93"/>
      <c r="AR381" s="93"/>
      <c r="AS381" s="93"/>
      <c r="AT381" s="93"/>
      <c r="AU381" s="5">
        <v>0</v>
      </c>
      <c r="AV381" s="93"/>
      <c r="AW381" s="93"/>
      <c r="AX381" s="93"/>
      <c r="AY381" s="93"/>
      <c r="AZ381" s="5">
        <v>0</v>
      </c>
      <c r="BA381" s="93"/>
      <c r="BB381" s="93"/>
      <c r="BC381" s="93"/>
      <c r="BD381" s="93"/>
      <c r="BE381" s="5">
        <v>0</v>
      </c>
      <c r="BF381" s="93"/>
      <c r="BG381" s="93"/>
      <c r="BH381" s="93"/>
      <c r="BI381" s="93"/>
      <c r="BJ381" s="5">
        <v>0</v>
      </c>
      <c r="BK381" s="93"/>
      <c r="BL381" s="93"/>
      <c r="BM381" s="93"/>
      <c r="BN381" s="93"/>
      <c r="BO381" s="5">
        <v>0</v>
      </c>
      <c r="BP381" s="93"/>
      <c r="BQ381" s="93"/>
      <c r="BR381" s="93"/>
      <c r="BS381" s="93"/>
      <c r="BT381" s="93"/>
      <c r="BU381" s="93"/>
      <c r="BV381" s="93"/>
      <c r="BW381" s="93"/>
      <c r="BX381" s="93"/>
      <c r="BY381" s="93"/>
      <c r="BZ381" s="93"/>
      <c r="CA381" s="93"/>
      <c r="CB381" s="93"/>
      <c r="CC381" s="93"/>
      <c r="CD381" s="93"/>
    </row>
    <row r="382" spans="1:87" hidden="1" outlineLevel="1">
      <c r="A382" s="4" t="s">
        <v>2150</v>
      </c>
      <c r="B382" s="5"/>
      <c r="C382" s="5">
        <v>0</v>
      </c>
      <c r="D382" s="5">
        <v>0</v>
      </c>
      <c r="E382" s="5">
        <v>0</v>
      </c>
      <c r="F382" s="5">
        <v>0</v>
      </c>
      <c r="G382" s="5">
        <v>0</v>
      </c>
      <c r="H382" s="93"/>
      <c r="I382" s="93"/>
      <c r="J382" s="93"/>
      <c r="K382" s="93"/>
      <c r="L382" s="5"/>
      <c r="M382" s="93"/>
      <c r="N382" s="93"/>
      <c r="O382" s="93"/>
      <c r="P382" s="93"/>
      <c r="Q382" s="5"/>
      <c r="R382" s="93"/>
      <c r="S382" s="93"/>
      <c r="T382" s="93"/>
      <c r="U382" s="93"/>
      <c r="V382" s="5">
        <v>0</v>
      </c>
      <c r="W382" s="93"/>
      <c r="X382" s="93"/>
      <c r="Y382" s="93"/>
      <c r="Z382" s="93"/>
      <c r="AA382" s="5">
        <v>0</v>
      </c>
      <c r="AB382" s="93"/>
      <c r="AC382" s="93"/>
      <c r="AD382" s="93"/>
      <c r="AE382" s="93"/>
      <c r="AF382" s="5">
        <v>0</v>
      </c>
      <c r="AG382" s="93"/>
      <c r="AH382" s="93"/>
      <c r="AI382" s="93"/>
      <c r="AJ382" s="93"/>
      <c r="AK382" s="5">
        <v>0</v>
      </c>
      <c r="AL382" s="93"/>
      <c r="AM382" s="93"/>
      <c r="AN382" s="93"/>
      <c r="AO382" s="93"/>
      <c r="AP382" s="5">
        <v>0</v>
      </c>
      <c r="AQ382" s="93"/>
      <c r="AR382" s="93"/>
      <c r="AS382" s="93"/>
      <c r="AT382" s="93"/>
      <c r="AU382" s="5">
        <v>0</v>
      </c>
      <c r="AV382" s="93"/>
      <c r="AW382" s="93"/>
      <c r="AX382" s="93"/>
      <c r="AY382" s="93"/>
      <c r="AZ382" s="5">
        <v>0</v>
      </c>
      <c r="BA382" s="93"/>
      <c r="BB382" s="93"/>
      <c r="BC382" s="93"/>
      <c r="BD382" s="93"/>
      <c r="BE382" s="5">
        <v>0</v>
      </c>
      <c r="BF382" s="93"/>
      <c r="BG382" s="93"/>
      <c r="BH382" s="93"/>
      <c r="BI382" s="93"/>
      <c r="BJ382" s="5">
        <v>0</v>
      </c>
      <c r="BK382" s="93"/>
      <c r="BL382" s="93"/>
      <c r="BM382" s="93"/>
      <c r="BN382" s="93"/>
      <c r="BO382" s="5">
        <v>0</v>
      </c>
      <c r="BP382" s="93"/>
      <c r="BQ382" s="93"/>
      <c r="BR382" s="93"/>
      <c r="BS382" s="93"/>
      <c r="BT382" s="93"/>
      <c r="BU382" s="93"/>
      <c r="BV382" s="93"/>
      <c r="BW382" s="93"/>
      <c r="BX382" s="93"/>
      <c r="BY382" s="93"/>
      <c r="BZ382" s="93"/>
      <c r="CA382" s="93"/>
      <c r="CB382" s="93"/>
      <c r="CC382" s="93"/>
      <c r="CD382" s="93"/>
    </row>
    <row r="383" spans="1:87" hidden="1" outlineLevel="1">
      <c r="A383" s="4" t="s">
        <v>2158</v>
      </c>
      <c r="B383" s="5"/>
      <c r="C383" s="5">
        <v>-58</v>
      </c>
      <c r="D383" s="5">
        <v>-42</v>
      </c>
      <c r="E383" s="5">
        <v>-30</v>
      </c>
      <c r="F383" s="5">
        <v>3</v>
      </c>
      <c r="G383" s="5">
        <v>-8</v>
      </c>
      <c r="H383" s="93"/>
      <c r="I383" s="93"/>
      <c r="J383" s="93"/>
      <c r="K383" s="93"/>
      <c r="L383" s="5">
        <v>-32</v>
      </c>
      <c r="M383" s="93"/>
      <c r="N383" s="93"/>
      <c r="O383" s="93"/>
      <c r="P383" s="93"/>
      <c r="Q383" s="5">
        <v>-169</v>
      </c>
      <c r="R383" s="93"/>
      <c r="S383" s="93"/>
      <c r="T383" s="93"/>
      <c r="U383" s="93"/>
      <c r="V383" s="5">
        <v>-196</v>
      </c>
      <c r="W383" s="93"/>
      <c r="X383" s="93"/>
      <c r="Y383" s="93"/>
      <c r="Z383" s="93"/>
      <c r="AA383" s="5">
        <v>-76</v>
      </c>
      <c r="AB383" s="93"/>
      <c r="AC383" s="93"/>
      <c r="AD383" s="93"/>
      <c r="AE383" s="93"/>
      <c r="AF383" s="5">
        <v>-76</v>
      </c>
      <c r="AG383" s="93"/>
      <c r="AH383" s="93"/>
      <c r="AI383" s="93"/>
      <c r="AJ383" s="93"/>
      <c r="AK383" s="5">
        <v>-72</v>
      </c>
      <c r="AL383" s="93"/>
      <c r="AM383" s="93"/>
      <c r="AN383" s="93"/>
      <c r="AO383" s="93"/>
      <c r="AP383" s="5">
        <v>330</v>
      </c>
      <c r="AQ383" s="93"/>
      <c r="AR383" s="93"/>
      <c r="AS383" s="93"/>
      <c r="AT383" s="93"/>
      <c r="AU383" s="5">
        <v>-65</v>
      </c>
      <c r="AV383" s="93"/>
      <c r="AW383" s="93"/>
      <c r="AX383" s="93"/>
      <c r="AY383" s="93"/>
      <c r="AZ383" s="5">
        <v>-57</v>
      </c>
      <c r="BA383" s="93"/>
      <c r="BB383" s="93"/>
      <c r="BC383" s="93"/>
      <c r="BD383" s="93"/>
      <c r="BE383" s="5">
        <v>-27</v>
      </c>
      <c r="BF383" s="93"/>
      <c r="BG383" s="93"/>
      <c r="BH383" s="93"/>
      <c r="BI383" s="93"/>
      <c r="BJ383" s="5">
        <v>-34</v>
      </c>
      <c r="BK383" s="93"/>
      <c r="BL383" s="93"/>
      <c r="BM383" s="93"/>
      <c r="BN383" s="93"/>
      <c r="BO383" s="5">
        <v>-39</v>
      </c>
      <c r="BP383" s="93"/>
      <c r="BQ383" s="93"/>
      <c r="BR383" s="93"/>
      <c r="BS383" s="93"/>
      <c r="BT383" s="93"/>
      <c r="BU383" s="93"/>
      <c r="BV383" s="93"/>
      <c r="BW383" s="93"/>
      <c r="BX383" s="93"/>
      <c r="BY383" s="93"/>
      <c r="BZ383" s="93"/>
      <c r="CA383" s="93"/>
      <c r="CB383" s="93"/>
      <c r="CC383" s="93"/>
      <c r="CD383" s="93"/>
    </row>
    <row r="384" spans="1:87" hidden="1" outlineLevel="1">
      <c r="A384" s="4" t="s">
        <v>2154</v>
      </c>
      <c r="B384" s="5"/>
      <c r="C384" s="5">
        <v>0</v>
      </c>
      <c r="D384" s="5">
        <v>0</v>
      </c>
      <c r="E384" s="5">
        <v>0</v>
      </c>
      <c r="F384" s="5">
        <v>0</v>
      </c>
      <c r="G384" s="5">
        <v>0</v>
      </c>
      <c r="H384" s="93"/>
      <c r="I384" s="93"/>
      <c r="J384" s="93"/>
      <c r="K384" s="93"/>
      <c r="L384" s="5"/>
      <c r="M384" s="93"/>
      <c r="N384" s="93"/>
      <c r="O384" s="93"/>
      <c r="P384" s="93"/>
      <c r="Q384" s="5"/>
      <c r="R384" s="93"/>
      <c r="S384" s="93"/>
      <c r="T384" s="93"/>
      <c r="U384" s="93"/>
      <c r="V384" s="5">
        <v>0</v>
      </c>
      <c r="W384" s="93"/>
      <c r="X384" s="93"/>
      <c r="Y384" s="93"/>
      <c r="Z384" s="93"/>
      <c r="AA384" s="5">
        <v>0</v>
      </c>
      <c r="AB384" s="93"/>
      <c r="AC384" s="93"/>
      <c r="AD384" s="93"/>
      <c r="AE384" s="93"/>
      <c r="AF384" s="5">
        <v>0</v>
      </c>
      <c r="AG384" s="93"/>
      <c r="AH384" s="93"/>
      <c r="AI384" s="93"/>
      <c r="AJ384" s="93"/>
      <c r="AK384" s="5">
        <v>0</v>
      </c>
      <c r="AL384" s="93"/>
      <c r="AM384" s="93"/>
      <c r="AN384" s="93"/>
      <c r="AO384" s="93"/>
      <c r="AP384" s="5">
        <v>0</v>
      </c>
      <c r="AQ384" s="93"/>
      <c r="AR384" s="93"/>
      <c r="AS384" s="93"/>
      <c r="AT384" s="93"/>
      <c r="AU384" s="5">
        <v>0</v>
      </c>
      <c r="AV384" s="93"/>
      <c r="AW384" s="93"/>
      <c r="AX384" s="93"/>
      <c r="AY384" s="93"/>
      <c r="AZ384" s="5">
        <v>0</v>
      </c>
      <c r="BA384" s="93"/>
      <c r="BB384" s="93"/>
      <c r="BC384" s="93"/>
      <c r="BD384" s="93"/>
      <c r="BE384" s="5">
        <v>0</v>
      </c>
      <c r="BF384" s="93"/>
      <c r="BG384" s="93"/>
      <c r="BH384" s="93"/>
      <c r="BI384" s="93"/>
      <c r="BJ384" s="5">
        <v>0</v>
      </c>
      <c r="BK384" s="93"/>
      <c r="BL384" s="93"/>
      <c r="BM384" s="93"/>
      <c r="BN384" s="93"/>
      <c r="BO384" s="5">
        <v>0</v>
      </c>
      <c r="BP384" s="93"/>
      <c r="BQ384" s="93"/>
      <c r="BR384" s="93"/>
      <c r="BS384" s="93"/>
      <c r="BT384" s="93"/>
      <c r="BU384" s="93"/>
      <c r="BV384" s="93"/>
      <c r="BW384" s="93"/>
      <c r="BX384" s="93"/>
      <c r="BY384" s="93"/>
      <c r="BZ384" s="93"/>
      <c r="CA384" s="93"/>
      <c r="CB384" s="93"/>
      <c r="CC384" s="93"/>
      <c r="CD384" s="93"/>
    </row>
    <row r="385" spans="1:82" hidden="1" outlineLevel="1">
      <c r="A385" s="4" t="s">
        <v>610</v>
      </c>
      <c r="B385" s="5"/>
      <c r="C385" s="5">
        <v>0</v>
      </c>
      <c r="D385" s="5">
        <v>0</v>
      </c>
      <c r="E385" s="5">
        <v>65</v>
      </c>
      <c r="F385" s="5">
        <v>0</v>
      </c>
      <c r="G385" s="5">
        <v>-2</v>
      </c>
      <c r="H385" s="93"/>
      <c r="I385" s="93"/>
      <c r="J385" s="93"/>
      <c r="K385" s="93"/>
      <c r="L385" s="5"/>
      <c r="M385" s="93"/>
      <c r="N385" s="93"/>
      <c r="O385" s="93"/>
      <c r="P385" s="93"/>
      <c r="Q385" s="5"/>
      <c r="R385" s="93"/>
      <c r="S385" s="93"/>
      <c r="T385" s="93"/>
      <c r="U385" s="93"/>
      <c r="V385" s="5">
        <v>0</v>
      </c>
      <c r="W385" s="93"/>
      <c r="X385" s="93"/>
      <c r="Y385" s="93"/>
      <c r="Z385" s="93"/>
      <c r="AA385" s="5">
        <v>0</v>
      </c>
      <c r="AB385" s="93"/>
      <c r="AC385" s="93"/>
      <c r="AD385" s="93"/>
      <c r="AE385" s="93"/>
      <c r="AF385" s="5">
        <v>-341</v>
      </c>
      <c r="AG385" s="93"/>
      <c r="AH385" s="93"/>
      <c r="AI385" s="93"/>
      <c r="AJ385" s="93"/>
      <c r="AK385" s="5">
        <v>1</v>
      </c>
      <c r="AL385" s="93"/>
      <c r="AM385" s="93"/>
      <c r="AN385" s="93"/>
      <c r="AO385" s="93"/>
      <c r="AP385" s="5">
        <v>0</v>
      </c>
      <c r="AQ385" s="93"/>
      <c r="AR385" s="93"/>
      <c r="AS385" s="93"/>
      <c r="AT385" s="93"/>
      <c r="AU385" s="5">
        <v>0</v>
      </c>
      <c r="AV385" s="93"/>
      <c r="AW385" s="93"/>
      <c r="AX385" s="93"/>
      <c r="AY385" s="93"/>
      <c r="AZ385" s="5">
        <v>0</v>
      </c>
      <c r="BA385" s="93"/>
      <c r="BB385" s="93"/>
      <c r="BC385" s="93"/>
      <c r="BD385" s="93"/>
      <c r="BE385" s="5">
        <v>0</v>
      </c>
      <c r="BF385" s="93"/>
      <c r="BG385" s="93"/>
      <c r="BH385" s="93"/>
      <c r="BI385" s="93"/>
      <c r="BJ385" s="5">
        <v>0</v>
      </c>
      <c r="BK385" s="93"/>
      <c r="BL385" s="93"/>
      <c r="BM385" s="93"/>
      <c r="BN385" s="93"/>
      <c r="BO385" s="5">
        <v>0</v>
      </c>
      <c r="BP385" s="93"/>
      <c r="BQ385" s="93"/>
      <c r="BR385" s="93"/>
      <c r="BS385" s="93"/>
      <c r="BT385" s="93"/>
      <c r="BU385" s="93"/>
      <c r="BV385" s="93"/>
      <c r="BW385" s="93"/>
      <c r="BX385" s="93"/>
      <c r="BY385" s="93"/>
      <c r="BZ385" s="93"/>
      <c r="CA385" s="93"/>
      <c r="CB385" s="93"/>
      <c r="CC385" s="93"/>
      <c r="CD385" s="93"/>
    </row>
    <row r="386" spans="1:82" hidden="1" outlineLevel="1">
      <c r="A386" s="7" t="s">
        <v>2160</v>
      </c>
      <c r="B386" s="8"/>
      <c r="C386" s="8">
        <f>C378+SUM(C380:C385)</f>
        <v>-64</v>
      </c>
      <c r="D386" s="8">
        <f>D378+SUM(D380:D385)</f>
        <v>-59</v>
      </c>
      <c r="E386" s="8">
        <f>E378+SUM(E380:E385)</f>
        <v>14</v>
      </c>
      <c r="F386" s="8">
        <f>F378+SUM(F380:F385)</f>
        <v>-9</v>
      </c>
      <c r="G386" s="8">
        <f>G378+SUM(G380:G385)</f>
        <v>-47</v>
      </c>
      <c r="H386" s="93"/>
      <c r="I386" s="93"/>
      <c r="J386" s="93"/>
      <c r="K386" s="93"/>
      <c r="L386" s="8">
        <f>L378+SUM(L380:L385)</f>
        <v>-49</v>
      </c>
      <c r="M386" s="93"/>
      <c r="N386" s="93"/>
      <c r="O386" s="93"/>
      <c r="P386" s="93"/>
      <c r="Q386" s="8">
        <f>Q378+SUM(Q380:Q385)</f>
        <v>-287</v>
      </c>
      <c r="R386" s="93"/>
      <c r="S386" s="93"/>
      <c r="T386" s="93"/>
      <c r="U386" s="93"/>
      <c r="V386" s="8">
        <f>V378+SUM(V380:V385)</f>
        <v>-228</v>
      </c>
      <c r="W386" s="93"/>
      <c r="X386" s="93"/>
      <c r="Y386" s="93"/>
      <c r="Z386" s="93"/>
      <c r="AA386" s="8">
        <f>AA378+SUM(AA380:AA385)</f>
        <v>-99</v>
      </c>
      <c r="AB386" s="93"/>
      <c r="AC386" s="93"/>
      <c r="AD386" s="93"/>
      <c r="AE386" s="93"/>
      <c r="AF386" s="8">
        <f>AF378+SUM(AF380:AF385)</f>
        <v>-433</v>
      </c>
      <c r="AG386" s="93"/>
      <c r="AH386" s="93"/>
      <c r="AI386" s="93"/>
      <c r="AJ386" s="93"/>
      <c r="AK386" s="8">
        <f>AK378+SUM(AK380:AK385)</f>
        <v>-81</v>
      </c>
      <c r="AL386" s="93"/>
      <c r="AM386" s="93"/>
      <c r="AN386" s="93"/>
      <c r="AO386" s="93"/>
      <c r="AP386" s="8">
        <f>AP378+SUM(AP380:AP385)</f>
        <v>330</v>
      </c>
      <c r="AQ386" s="93"/>
      <c r="AR386" s="93"/>
      <c r="AS386" s="93"/>
      <c r="AT386" s="93"/>
      <c r="AU386" s="8">
        <f>AU378+SUM(AU380:AU385)</f>
        <v>-65</v>
      </c>
      <c r="AV386" s="93"/>
      <c r="AW386" s="93"/>
      <c r="AX386" s="93"/>
      <c r="AY386" s="93"/>
      <c r="AZ386" s="8">
        <f>AZ378+SUM(AZ380:AZ385)</f>
        <v>-57</v>
      </c>
      <c r="BA386" s="93"/>
      <c r="BB386" s="93"/>
      <c r="BC386" s="93"/>
      <c r="BD386" s="93"/>
      <c r="BE386" s="8">
        <f>BE378+SUM(BE380:BE385)</f>
        <v>-32</v>
      </c>
      <c r="BF386" s="93"/>
      <c r="BG386" s="93"/>
      <c r="BH386" s="93"/>
      <c r="BI386" s="93"/>
      <c r="BJ386" s="8">
        <f>BJ378+SUM(BJ380:BJ385)</f>
        <v>-44</v>
      </c>
      <c r="BK386" s="93"/>
      <c r="BL386" s="93"/>
      <c r="BM386" s="93"/>
      <c r="BN386" s="93"/>
      <c r="BO386" s="8">
        <f>BO378+SUM(BO380:BO385)</f>
        <v>-50</v>
      </c>
      <c r="BP386" s="93"/>
      <c r="BQ386" s="93"/>
      <c r="BR386" s="93"/>
      <c r="BS386" s="93"/>
      <c r="BT386" s="93"/>
      <c r="BU386" s="93"/>
      <c r="BV386" s="93"/>
      <c r="BW386" s="93"/>
      <c r="BX386" s="93"/>
      <c r="BY386" s="93"/>
      <c r="BZ386" s="93"/>
      <c r="CA386" s="93"/>
      <c r="CB386" s="93"/>
      <c r="CC386" s="93"/>
      <c r="CD386" s="93"/>
    </row>
    <row r="387" spans="1:82" hidden="1" outlineLevel="1">
      <c r="A387" s="4"/>
      <c r="B387" s="5"/>
      <c r="C387" s="5"/>
      <c r="D387" s="5"/>
      <c r="E387" s="5"/>
      <c r="F387" s="5"/>
      <c r="G387" s="5"/>
      <c r="H387" s="12"/>
      <c r="I387" s="12"/>
      <c r="J387" s="12"/>
      <c r="K387" s="12"/>
      <c r="L387" s="5"/>
      <c r="M387" s="12"/>
      <c r="N387" s="12"/>
      <c r="O387" s="12"/>
      <c r="P387" s="12"/>
      <c r="Q387" s="5"/>
      <c r="R387" s="12"/>
      <c r="S387" s="12"/>
      <c r="T387" s="12"/>
      <c r="U387" s="12"/>
      <c r="V387" s="5"/>
      <c r="W387" s="12"/>
      <c r="X387" s="12"/>
      <c r="Y387" s="12"/>
      <c r="Z387" s="12"/>
      <c r="AA387" s="5"/>
      <c r="AB387" s="12"/>
      <c r="AC387" s="12"/>
      <c r="AD387" s="12"/>
      <c r="AE387" s="12"/>
      <c r="AF387" s="5"/>
      <c r="AG387" s="12"/>
      <c r="AH387" s="12"/>
      <c r="AI387" s="12"/>
      <c r="AJ387" s="12"/>
      <c r="AK387" s="5"/>
      <c r="AL387" s="12"/>
      <c r="AM387" s="12"/>
      <c r="AN387" s="12"/>
      <c r="AO387" s="12"/>
      <c r="AP387" s="5"/>
      <c r="AQ387" s="12"/>
      <c r="AR387" s="12"/>
      <c r="AS387" s="12"/>
      <c r="AT387" s="12"/>
      <c r="AU387" s="5"/>
      <c r="AV387" s="12"/>
      <c r="AW387" s="12"/>
      <c r="AX387" s="12"/>
      <c r="AY387" s="12"/>
      <c r="AZ387" s="5"/>
      <c r="BA387" s="12"/>
      <c r="BB387" s="12"/>
      <c r="BC387" s="12"/>
      <c r="BD387" s="12"/>
      <c r="BE387" s="5"/>
      <c r="BF387" s="12"/>
      <c r="BG387" s="12"/>
      <c r="BH387" s="12"/>
      <c r="BI387" s="12"/>
      <c r="BJ387" s="5"/>
      <c r="BK387" s="12"/>
      <c r="BL387" s="12"/>
      <c r="BM387" s="12"/>
      <c r="BN387" s="12"/>
      <c r="BO387" s="5"/>
      <c r="BP387" s="12"/>
      <c r="BQ387" s="12"/>
      <c r="BR387" s="12"/>
      <c r="BS387" s="12"/>
      <c r="BT387" s="12"/>
      <c r="BU387" s="12"/>
      <c r="BV387" s="12"/>
      <c r="BW387" s="12"/>
      <c r="BX387" s="12"/>
      <c r="BY387" s="12"/>
      <c r="BZ387" s="12"/>
      <c r="CA387" s="12"/>
      <c r="CB387" s="12"/>
      <c r="CC387" s="12"/>
      <c r="CD387" s="12"/>
    </row>
    <row r="388" spans="1:82" hidden="1" outlineLevel="1">
      <c r="A388" s="4" t="s">
        <v>2152</v>
      </c>
      <c r="B388" s="5"/>
      <c r="C388" s="5">
        <v>-1</v>
      </c>
      <c r="D388" s="5">
        <v>18</v>
      </c>
      <c r="E388" s="5">
        <v>-56</v>
      </c>
      <c r="F388" s="5">
        <v>-2</v>
      </c>
      <c r="G388" s="5">
        <v>1</v>
      </c>
      <c r="H388" s="93"/>
      <c r="I388" s="93"/>
      <c r="J388" s="93"/>
      <c r="K388" s="93"/>
      <c r="L388" s="5">
        <v>-3</v>
      </c>
      <c r="M388" s="93"/>
      <c r="N388" s="93"/>
      <c r="O388" s="93"/>
      <c r="P388" s="93"/>
      <c r="Q388" s="5">
        <v>-3</v>
      </c>
      <c r="R388" s="93"/>
      <c r="S388" s="93"/>
      <c r="T388" s="93"/>
      <c r="U388" s="93"/>
      <c r="V388" s="5">
        <v>36</v>
      </c>
      <c r="W388" s="93"/>
      <c r="X388" s="93"/>
      <c r="Y388" s="93"/>
      <c r="Z388" s="93"/>
      <c r="AA388" s="5">
        <v>25</v>
      </c>
      <c r="AB388" s="93"/>
      <c r="AC388" s="93"/>
      <c r="AD388" s="93"/>
      <c r="AE388" s="93"/>
      <c r="AF388" s="5">
        <v>23</v>
      </c>
      <c r="AG388" s="93"/>
      <c r="AH388" s="93"/>
      <c r="AI388" s="93"/>
      <c r="AJ388" s="93"/>
      <c r="AK388" s="5">
        <v>21</v>
      </c>
      <c r="AL388" s="93"/>
      <c r="AM388" s="93"/>
      <c r="AN388" s="93"/>
      <c r="AO388" s="93"/>
      <c r="AP388" s="5">
        <v>13</v>
      </c>
      <c r="AQ388" s="93"/>
      <c r="AR388" s="93"/>
      <c r="AS388" s="93"/>
      <c r="AT388" s="93"/>
      <c r="AU388" s="5">
        <v>13</v>
      </c>
      <c r="AV388" s="93"/>
      <c r="AW388" s="93"/>
      <c r="AX388" s="93"/>
      <c r="AY388" s="93"/>
      <c r="AZ388" s="5">
        <v>-3</v>
      </c>
      <c r="BA388" s="93"/>
      <c r="BB388" s="93"/>
      <c r="BC388" s="93"/>
      <c r="BD388" s="93"/>
      <c r="BE388" s="5">
        <v>5</v>
      </c>
      <c r="BF388" s="93"/>
      <c r="BG388" s="93"/>
      <c r="BH388" s="93"/>
      <c r="BI388" s="93"/>
      <c r="BJ388" s="5">
        <v>10</v>
      </c>
      <c r="BK388" s="93"/>
      <c r="BL388" s="93"/>
      <c r="BM388" s="93"/>
      <c r="BN388" s="93"/>
      <c r="BO388" s="5">
        <v>19</v>
      </c>
      <c r="BP388" s="93"/>
      <c r="BQ388" s="93"/>
      <c r="BR388" s="93"/>
      <c r="BS388" s="93"/>
      <c r="BT388" s="93"/>
      <c r="BU388" s="93"/>
      <c r="BV388" s="93"/>
      <c r="BW388" s="93"/>
      <c r="BX388" s="93"/>
      <c r="BY388" s="93"/>
      <c r="BZ388" s="93"/>
      <c r="CA388" s="93"/>
      <c r="CB388" s="93"/>
      <c r="CC388" s="93"/>
      <c r="CD388" s="93"/>
    </row>
    <row r="389" spans="1:82" hidden="1" outlineLevel="1">
      <c r="A389" s="14" t="s">
        <v>2153</v>
      </c>
      <c r="B389" s="15"/>
      <c r="C389" s="15">
        <f>SUM(C386,C388)</f>
        <v>-65</v>
      </c>
      <c r="D389" s="15">
        <f>SUM(D386,D388)</f>
        <v>-41</v>
      </c>
      <c r="E389" s="15">
        <f>SUM(E386,E388)</f>
        <v>-42</v>
      </c>
      <c r="F389" s="15">
        <f>SUM(F386,F388)</f>
        <v>-11</v>
      </c>
      <c r="G389" s="15">
        <f>SUM(G386,G388)</f>
        <v>-46</v>
      </c>
      <c r="H389" s="378"/>
      <c r="I389" s="378"/>
      <c r="J389" s="378"/>
      <c r="K389" s="378"/>
      <c r="L389" s="15">
        <f>SUM(L386,L388)</f>
        <v>-52</v>
      </c>
      <c r="M389" s="378"/>
      <c r="N389" s="378"/>
      <c r="O389" s="378"/>
      <c r="P389" s="378"/>
      <c r="Q389" s="15">
        <f>SUM(Q386,Q388)</f>
        <v>-290</v>
      </c>
      <c r="R389" s="378"/>
      <c r="S389" s="378"/>
      <c r="T389" s="378"/>
      <c r="U389" s="378"/>
      <c r="V389" s="15">
        <f>SUM(V386,V388)</f>
        <v>-192</v>
      </c>
      <c r="W389" s="378"/>
      <c r="X389" s="378"/>
      <c r="Y389" s="378"/>
      <c r="Z389" s="378"/>
      <c r="AA389" s="15">
        <f>SUM(AA386,AA388)</f>
        <v>-74</v>
      </c>
      <c r="AB389" s="378"/>
      <c r="AC389" s="378"/>
      <c r="AD389" s="378"/>
      <c r="AE389" s="378"/>
      <c r="AF389" s="15">
        <f>SUM(AF386,AF388)</f>
        <v>-410</v>
      </c>
      <c r="AG389" s="378"/>
      <c r="AH389" s="378"/>
      <c r="AI389" s="378"/>
      <c r="AJ389" s="378"/>
      <c r="AK389" s="15">
        <f>SUM(AK386,AK388)</f>
        <v>-60</v>
      </c>
      <c r="AL389" s="378"/>
      <c r="AM389" s="378"/>
      <c r="AN389" s="378"/>
      <c r="AO389" s="378"/>
      <c r="AP389" s="15">
        <f>SUM(AP386,AP388)</f>
        <v>343</v>
      </c>
      <c r="AQ389" s="378"/>
      <c r="AR389" s="378"/>
      <c r="AS389" s="378"/>
      <c r="AT389" s="378"/>
      <c r="AU389" s="15">
        <f>SUM(AU386,AU388)</f>
        <v>-52</v>
      </c>
      <c r="AV389" s="378"/>
      <c r="AW389" s="378"/>
      <c r="AX389" s="378"/>
      <c r="AY389" s="378"/>
      <c r="AZ389" s="15">
        <f>SUM(AZ386,AZ388)</f>
        <v>-60</v>
      </c>
      <c r="BA389" s="378"/>
      <c r="BB389" s="378"/>
      <c r="BC389" s="378"/>
      <c r="BD389" s="378"/>
      <c r="BE389" s="15">
        <f>SUM(BE386,BE388)</f>
        <v>-27</v>
      </c>
      <c r="BF389" s="378"/>
      <c r="BG389" s="378"/>
      <c r="BH389" s="378"/>
      <c r="BI389" s="378"/>
      <c r="BJ389" s="15">
        <f>SUM(BJ386,BJ388)</f>
        <v>-34</v>
      </c>
      <c r="BK389" s="378"/>
      <c r="BL389" s="378"/>
      <c r="BM389" s="378"/>
      <c r="BN389" s="378"/>
      <c r="BO389" s="15">
        <f>SUM(BO386,BO388)</f>
        <v>-31</v>
      </c>
      <c r="BP389" s="378"/>
      <c r="BQ389" s="378"/>
      <c r="BR389" s="378"/>
      <c r="BS389" s="378"/>
      <c r="BT389" s="378"/>
      <c r="BU389" s="378"/>
      <c r="BV389" s="378"/>
      <c r="BW389" s="378"/>
      <c r="BX389" s="378"/>
      <c r="BY389" s="378"/>
      <c r="BZ389" s="378"/>
      <c r="CA389" s="378"/>
      <c r="CB389" s="378"/>
      <c r="CC389" s="378"/>
      <c r="CD389" s="378"/>
    </row>
    <row r="390" spans="1:82" hidden="1" outlineLevel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</row>
    <row r="391" spans="1:82" hidden="1" outlineLevel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</row>
    <row r="392" spans="1:82" hidden="1" outlineLevel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</row>
    <row r="393" spans="1:82" hidden="1" outlineLevel="1">
      <c r="A393" s="24" t="s">
        <v>1672</v>
      </c>
      <c r="B393" s="4"/>
      <c r="C393" s="5"/>
      <c r="D393" s="5"/>
      <c r="E393" s="5"/>
      <c r="F393" s="71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</row>
    <row r="394" spans="1:82" hidden="1" outlineLevel="1">
      <c r="A394" s="10"/>
      <c r="B394" s="10"/>
      <c r="C394" s="31">
        <v>2001</v>
      </c>
      <c r="D394" s="32">
        <v>2002</v>
      </c>
      <c r="E394" s="32">
        <v>2003</v>
      </c>
      <c r="F394" s="32">
        <v>2004</v>
      </c>
      <c r="G394" s="31">
        <v>2005</v>
      </c>
      <c r="H394" s="33" t="str">
        <f>H375</f>
        <v>1Q06</v>
      </c>
      <c r="I394" s="33" t="str">
        <f>I375</f>
        <v>2Q06</v>
      </c>
      <c r="J394" s="33" t="str">
        <f>J375</f>
        <v>3Q06</v>
      </c>
      <c r="K394" s="33" t="str">
        <f>K375</f>
        <v>4Q06</v>
      </c>
      <c r="L394" s="31">
        <v>2006</v>
      </c>
      <c r="M394" s="33" t="str">
        <f>M375</f>
        <v>1Q07</v>
      </c>
      <c r="N394" s="33" t="str">
        <f>N375</f>
        <v>2Q07</v>
      </c>
      <c r="O394" s="33" t="str">
        <f>O375</f>
        <v>3Q07</v>
      </c>
      <c r="P394" s="33" t="str">
        <f>P375</f>
        <v>4Q07</v>
      </c>
      <c r="Q394" s="31">
        <v>2007</v>
      </c>
      <c r="R394" s="33" t="str">
        <f>R375</f>
        <v>1Q08</v>
      </c>
      <c r="S394" s="33" t="str">
        <f>S375</f>
        <v>2Q08</v>
      </c>
      <c r="T394" s="33" t="str">
        <f>T375</f>
        <v>3Q08</v>
      </c>
      <c r="U394" s="33" t="str">
        <f>U375</f>
        <v>4Q08</v>
      </c>
      <c r="V394" s="31">
        <v>2008</v>
      </c>
      <c r="W394" s="33" t="str">
        <f>W375</f>
        <v>1Q09</v>
      </c>
      <c r="X394" s="33" t="str">
        <f>X375</f>
        <v>2Q09</v>
      </c>
      <c r="Y394" s="33" t="str">
        <f>Y375</f>
        <v>3Q09</v>
      </c>
      <c r="Z394" s="33" t="str">
        <f>Z375</f>
        <v>4Q09</v>
      </c>
      <c r="AA394" s="31">
        <v>2009</v>
      </c>
      <c r="AB394" s="33" t="str">
        <f>AB375</f>
        <v>1Q10</v>
      </c>
      <c r="AC394" s="33" t="str">
        <f>AC375</f>
        <v>2Q10</v>
      </c>
      <c r="AD394" s="33" t="str">
        <f>AD375</f>
        <v>3Q10</v>
      </c>
      <c r="AE394" s="33" t="str">
        <f>AE375</f>
        <v>4Q10</v>
      </c>
      <c r="AF394" s="31">
        <v>2010</v>
      </c>
      <c r="AG394" s="33" t="str">
        <f>AG375</f>
        <v>1Q11</v>
      </c>
      <c r="AH394" s="33" t="str">
        <f>AH375</f>
        <v>2Q11</v>
      </c>
      <c r="AI394" s="33" t="str">
        <f>AI375</f>
        <v>3Q11</v>
      </c>
      <c r="AJ394" s="33" t="str">
        <f>AJ375</f>
        <v>4Q11</v>
      </c>
      <c r="AK394" s="31">
        <v>2011</v>
      </c>
      <c r="AL394" s="33" t="s">
        <v>2397</v>
      </c>
      <c r="AM394" s="33" t="s">
        <v>2398</v>
      </c>
      <c r="AN394" s="33" t="s">
        <v>2399</v>
      </c>
      <c r="AO394" s="33" t="s">
        <v>2400</v>
      </c>
      <c r="AP394" s="31">
        <v>2012</v>
      </c>
      <c r="AQ394" s="33" t="s">
        <v>2401</v>
      </c>
      <c r="AR394" s="33" t="s">
        <v>2402</v>
      </c>
      <c r="AS394" s="33" t="s">
        <v>2403</v>
      </c>
      <c r="AT394" s="33" t="s">
        <v>2404</v>
      </c>
      <c r="AU394" s="31">
        <v>2013</v>
      </c>
      <c r="AV394" s="33" t="s">
        <v>2405</v>
      </c>
      <c r="AW394" s="33" t="s">
        <v>2406</v>
      </c>
      <c r="AX394" s="33" t="s">
        <v>2407</v>
      </c>
      <c r="AY394" s="33" t="s">
        <v>2408</v>
      </c>
      <c r="AZ394" s="31">
        <v>2014</v>
      </c>
      <c r="BA394" s="33" t="str">
        <f t="shared" ref="BA394:BI394" si="173">BA$8</f>
        <v>1Q15</v>
      </c>
      <c r="BB394" s="33" t="str">
        <f t="shared" si="173"/>
        <v>2Q15</v>
      </c>
      <c r="BC394" s="33" t="str">
        <f t="shared" si="173"/>
        <v>3Q15</v>
      </c>
      <c r="BD394" s="33" t="str">
        <f t="shared" si="173"/>
        <v>4Q15</v>
      </c>
      <c r="BE394" s="31">
        <f t="shared" si="173"/>
        <v>2015</v>
      </c>
      <c r="BF394" s="33" t="str">
        <f t="shared" si="173"/>
        <v>1Q16</v>
      </c>
      <c r="BG394" s="33" t="str">
        <f t="shared" si="173"/>
        <v>2Q16</v>
      </c>
      <c r="BH394" s="33" t="str">
        <f t="shared" si="173"/>
        <v>3Q16</v>
      </c>
      <c r="BI394" s="33" t="str">
        <f t="shared" si="173"/>
        <v>4Q16</v>
      </c>
      <c r="BJ394" s="31">
        <v>2016</v>
      </c>
      <c r="BK394" s="33" t="s">
        <v>2417</v>
      </c>
      <c r="BL394" s="33" t="s">
        <v>2418</v>
      </c>
      <c r="BM394" s="33" t="s">
        <v>2419</v>
      </c>
      <c r="BN394" s="33" t="s">
        <v>2420</v>
      </c>
      <c r="BO394" s="31">
        <v>2017</v>
      </c>
      <c r="BP394" s="33" t="s">
        <v>2244</v>
      </c>
      <c r="BQ394" s="33" t="s">
        <v>2245</v>
      </c>
      <c r="BR394" s="33" t="s">
        <v>2508</v>
      </c>
      <c r="BS394" s="33" t="s">
        <v>2509</v>
      </c>
      <c r="BT394" s="31">
        <v>2018</v>
      </c>
      <c r="BU394" s="33" t="s">
        <v>2510</v>
      </c>
      <c r="BV394" s="33" t="s">
        <v>2511</v>
      </c>
      <c r="BW394" s="33" t="s">
        <v>3125</v>
      </c>
      <c r="BX394" s="33" t="s">
        <v>1405</v>
      </c>
      <c r="BY394" s="31">
        <v>2019</v>
      </c>
      <c r="BZ394" s="33" t="s">
        <v>1406</v>
      </c>
      <c r="CA394" s="33" t="s">
        <v>1407</v>
      </c>
      <c r="CB394" s="33" t="s">
        <v>1408</v>
      </c>
      <c r="CC394" s="33" t="s">
        <v>1409</v>
      </c>
      <c r="CD394" s="31">
        <v>2020</v>
      </c>
    </row>
    <row r="395" spans="1:82" hidden="1" outlineLevel="1">
      <c r="A395" s="4" t="s">
        <v>2156</v>
      </c>
      <c r="B395" s="5"/>
      <c r="C395" s="72"/>
      <c r="D395" s="72"/>
      <c r="E395" s="72"/>
      <c r="F395" s="72"/>
      <c r="G395" s="5">
        <v>1577</v>
      </c>
      <c r="H395" s="93"/>
      <c r="I395" s="93"/>
      <c r="J395" s="93"/>
      <c r="K395" s="93"/>
      <c r="L395" s="5">
        <v>1697</v>
      </c>
      <c r="M395" s="93"/>
      <c r="N395" s="93"/>
      <c r="O395" s="93"/>
      <c r="P395" s="93"/>
      <c r="Q395" s="5">
        <v>1388</v>
      </c>
      <c r="R395" s="93"/>
      <c r="S395" s="93"/>
      <c r="T395" s="93"/>
      <c r="U395" s="93"/>
      <c r="V395" s="5">
        <v>1186</v>
      </c>
      <c r="W395" s="93"/>
      <c r="X395" s="93"/>
      <c r="Y395" s="93"/>
      <c r="Z395" s="93"/>
      <c r="AA395" s="5">
        <v>636</v>
      </c>
      <c r="AB395" s="93"/>
      <c r="AC395" s="93"/>
      <c r="AD395" s="93"/>
      <c r="AE395" s="93"/>
      <c r="AF395" s="5">
        <v>1272</v>
      </c>
      <c r="AG395" s="93"/>
      <c r="AH395" s="93"/>
      <c r="AI395" s="93"/>
      <c r="AJ395" s="93"/>
      <c r="AK395" s="5">
        <v>1450</v>
      </c>
      <c r="AL395" s="93"/>
      <c r="AM395" s="93"/>
      <c r="AN395" s="93"/>
      <c r="AO395" s="93"/>
      <c r="AP395" s="5">
        <v>1299</v>
      </c>
      <c r="AQ395" s="93"/>
      <c r="AR395" s="93"/>
      <c r="AS395" s="93"/>
      <c r="AT395" s="93"/>
      <c r="AU395" s="5">
        <v>1005</v>
      </c>
      <c r="AV395" s="93"/>
      <c r="AW395" s="93"/>
      <c r="AX395" s="93"/>
      <c r="AY395" s="93"/>
      <c r="AZ395" s="5">
        <v>1135</v>
      </c>
      <c r="BA395" s="93"/>
      <c r="BB395" s="93"/>
      <c r="BC395" s="93"/>
      <c r="BD395" s="93"/>
      <c r="BE395" s="5">
        <v>800</v>
      </c>
      <c r="BF395" s="93"/>
      <c r="BG395" s="93"/>
      <c r="BH395" s="93"/>
      <c r="BI395" s="93"/>
      <c r="BJ395" s="5">
        <v>97</v>
      </c>
      <c r="BK395" s="93"/>
      <c r="BL395" s="93"/>
      <c r="BM395" s="93"/>
      <c r="BN395" s="93"/>
      <c r="BO395" s="5">
        <v>1276</v>
      </c>
      <c r="BP395" s="93"/>
      <c r="BQ395" s="93"/>
      <c r="BR395" s="93"/>
      <c r="BS395" s="93"/>
      <c r="BT395" s="93"/>
      <c r="BU395" s="93"/>
      <c r="BV395" s="93"/>
      <c r="BW395" s="93"/>
      <c r="BX395" s="93"/>
      <c r="BY395" s="93"/>
      <c r="BZ395" s="93"/>
      <c r="CA395" s="93"/>
      <c r="CB395" s="93"/>
      <c r="CC395" s="93"/>
      <c r="CD395" s="93"/>
    </row>
    <row r="396" spans="1:82" hidden="1" outlineLevel="1">
      <c r="A396" s="4" t="s">
        <v>2157</v>
      </c>
      <c r="B396" s="5"/>
      <c r="C396" s="72"/>
      <c r="D396" s="72"/>
      <c r="E396" s="72"/>
      <c r="F396" s="72"/>
      <c r="G396" s="5">
        <v>4538</v>
      </c>
      <c r="H396" s="93"/>
      <c r="I396" s="93"/>
      <c r="J396" s="93"/>
      <c r="K396" s="93"/>
      <c r="L396" s="5">
        <v>7334</v>
      </c>
      <c r="M396" s="93"/>
      <c r="N396" s="93"/>
      <c r="O396" s="93"/>
      <c r="P396" s="93"/>
      <c r="Q396" s="5">
        <v>10137</v>
      </c>
      <c r="R396" s="93"/>
      <c r="S396" s="93"/>
      <c r="T396" s="93"/>
      <c r="U396" s="93"/>
      <c r="V396" s="5">
        <v>11249</v>
      </c>
      <c r="W396" s="93"/>
      <c r="X396" s="93"/>
      <c r="Y396" s="93"/>
      <c r="Z396" s="93"/>
      <c r="AA396" s="5">
        <v>6257</v>
      </c>
      <c r="AB396" s="93"/>
      <c r="AC396" s="93"/>
      <c r="AD396" s="93"/>
      <c r="AE396" s="93"/>
      <c r="AF396" s="5">
        <v>6697</v>
      </c>
      <c r="AG396" s="93"/>
      <c r="AH396" s="93"/>
      <c r="AI396" s="93"/>
      <c r="AJ396" s="93"/>
      <c r="AK396" s="5">
        <v>10811</v>
      </c>
      <c r="AL396" s="93"/>
      <c r="AM396" s="93"/>
      <c r="AN396" s="93"/>
      <c r="AO396" s="93"/>
      <c r="AP396" s="5">
        <v>11345</v>
      </c>
      <c r="AQ396" s="93"/>
      <c r="AR396" s="93"/>
      <c r="AS396" s="93"/>
      <c r="AT396" s="93"/>
      <c r="AU396" s="5">
        <v>11432</v>
      </c>
      <c r="AV396" s="93"/>
      <c r="AW396" s="93"/>
      <c r="AX396" s="93"/>
      <c r="AY396" s="93"/>
      <c r="AZ396" s="5">
        <v>6951</v>
      </c>
      <c r="BA396" s="93"/>
      <c r="BB396" s="93"/>
      <c r="BC396" s="93"/>
      <c r="BD396" s="93"/>
      <c r="BE396" s="5">
        <v>4028</v>
      </c>
      <c r="BF396" s="93"/>
      <c r="BG396" s="93"/>
      <c r="BH396" s="93"/>
      <c r="BI396" s="93"/>
      <c r="BJ396" s="5">
        <v>3908</v>
      </c>
      <c r="BK396" s="93"/>
      <c r="BL396" s="93"/>
      <c r="BM396" s="93"/>
      <c r="BN396" s="93"/>
      <c r="BO396" s="5">
        <v>6394</v>
      </c>
      <c r="BP396" s="93"/>
      <c r="BQ396" s="93"/>
      <c r="BR396" s="93"/>
      <c r="BS396" s="93"/>
      <c r="BT396" s="93"/>
      <c r="BU396" s="93"/>
      <c r="BV396" s="93"/>
      <c r="BW396" s="93"/>
      <c r="BX396" s="93"/>
      <c r="BY396" s="93"/>
      <c r="BZ396" s="93"/>
      <c r="CA396" s="93"/>
      <c r="CB396" s="93"/>
      <c r="CC396" s="93"/>
      <c r="CD396" s="93"/>
    </row>
    <row r="397" spans="1:82" hidden="1" outlineLevel="1">
      <c r="A397" s="7" t="s">
        <v>2155</v>
      </c>
      <c r="B397" s="8"/>
      <c r="C397" s="73">
        <f>C395+C396</f>
        <v>0</v>
      </c>
      <c r="D397" s="73">
        <f>D395+D396</f>
        <v>0</v>
      </c>
      <c r="E397" s="73">
        <f>E395+E396</f>
        <v>0</v>
      </c>
      <c r="F397" s="73">
        <f>F395+F396</f>
        <v>0</v>
      </c>
      <c r="G397" s="8">
        <f>G395+G396</f>
        <v>6115</v>
      </c>
      <c r="H397" s="93"/>
      <c r="I397" s="93"/>
      <c r="J397" s="93"/>
      <c r="K397" s="93"/>
      <c r="L397" s="8">
        <f>L395+L396</f>
        <v>9031</v>
      </c>
      <c r="M397" s="93"/>
      <c r="N397" s="93"/>
      <c r="O397" s="93"/>
      <c r="P397" s="93"/>
      <c r="Q397" s="8">
        <f>Q395+Q396</f>
        <v>11525</v>
      </c>
      <c r="R397" s="93"/>
      <c r="S397" s="93"/>
      <c r="T397" s="93"/>
      <c r="U397" s="93"/>
      <c r="V397" s="8">
        <f>V395+V396</f>
        <v>12435</v>
      </c>
      <c r="W397" s="93"/>
      <c r="X397" s="93"/>
      <c r="Y397" s="93"/>
      <c r="Z397" s="93"/>
      <c r="AA397" s="8">
        <f>AA395+AA396</f>
        <v>6893</v>
      </c>
      <c r="AB397" s="93"/>
      <c r="AC397" s="93"/>
      <c r="AD397" s="93"/>
      <c r="AE397" s="93"/>
      <c r="AF397" s="8">
        <f>AF395+AF396</f>
        <v>7969</v>
      </c>
      <c r="AG397" s="93"/>
      <c r="AH397" s="93"/>
      <c r="AI397" s="93"/>
      <c r="AJ397" s="93"/>
      <c r="AK397" s="8">
        <f>AK395+AK396</f>
        <v>12261</v>
      </c>
      <c r="AL397" s="93"/>
      <c r="AM397" s="93"/>
      <c r="AN397" s="93"/>
      <c r="AO397" s="93"/>
      <c r="AP397" s="8">
        <f>AP395+AP396</f>
        <v>12644</v>
      </c>
      <c r="AQ397" s="93"/>
      <c r="AR397" s="93"/>
      <c r="AS397" s="93"/>
      <c r="AT397" s="93"/>
      <c r="AU397" s="8">
        <f>AU395+AU396</f>
        <v>12437</v>
      </c>
      <c r="AV397" s="93"/>
      <c r="AW397" s="93"/>
      <c r="AX397" s="93"/>
      <c r="AY397" s="93"/>
      <c r="AZ397" s="8">
        <f>AZ395+AZ396</f>
        <v>8086</v>
      </c>
      <c r="BA397" s="93"/>
      <c r="BB397" s="93"/>
      <c r="BC397" s="93"/>
      <c r="BD397" s="93"/>
      <c r="BE397" s="8">
        <f>BE395+BE396</f>
        <v>4828</v>
      </c>
      <c r="BF397" s="93"/>
      <c r="BG397" s="93"/>
      <c r="BH397" s="93"/>
      <c r="BI397" s="93"/>
      <c r="BJ397" s="8">
        <f>BJ395+BJ396</f>
        <v>4005</v>
      </c>
      <c r="BK397" s="93"/>
      <c r="BL397" s="93"/>
      <c r="BM397" s="93"/>
      <c r="BN397" s="93"/>
      <c r="BO397" s="8">
        <f>BO395+BO396</f>
        <v>7670</v>
      </c>
      <c r="BP397" s="93"/>
      <c r="BQ397" s="93"/>
      <c r="BR397" s="93"/>
      <c r="BS397" s="93"/>
      <c r="BT397" s="93"/>
      <c r="BU397" s="93"/>
      <c r="BV397" s="93"/>
      <c r="BW397" s="93"/>
      <c r="BX397" s="93"/>
      <c r="BY397" s="93"/>
      <c r="BZ397" s="93"/>
      <c r="CA397" s="93"/>
      <c r="CB397" s="93"/>
      <c r="CC397" s="93"/>
      <c r="CD397" s="93"/>
    </row>
    <row r="398" spans="1:82" hidden="1" outlineLevel="1">
      <c r="A398" s="4"/>
      <c r="B398" s="5"/>
      <c r="C398" s="72"/>
      <c r="D398" s="72"/>
      <c r="E398" s="72"/>
      <c r="F398" s="72"/>
      <c r="G398" s="5"/>
      <c r="H398" s="12"/>
      <c r="I398" s="12"/>
      <c r="J398" s="12"/>
      <c r="K398" s="12"/>
      <c r="L398" s="5"/>
      <c r="M398" s="12"/>
      <c r="N398" s="12"/>
      <c r="O398" s="12"/>
      <c r="P398" s="12"/>
      <c r="Q398" s="5"/>
      <c r="R398" s="12"/>
      <c r="S398" s="12"/>
      <c r="T398" s="12"/>
      <c r="U398" s="12"/>
      <c r="V398" s="5"/>
      <c r="W398" s="12"/>
      <c r="X398" s="12"/>
      <c r="Y398" s="12"/>
      <c r="Z398" s="12"/>
      <c r="AA398" s="5"/>
      <c r="AB398" s="12"/>
      <c r="AC398" s="12"/>
      <c r="AD398" s="12"/>
      <c r="AE398" s="12"/>
      <c r="AF398" s="5"/>
      <c r="AG398" s="12"/>
      <c r="AH398" s="12"/>
      <c r="AI398" s="12"/>
      <c r="AJ398" s="12"/>
      <c r="AK398" s="5"/>
      <c r="AL398" s="12"/>
      <c r="AM398" s="12"/>
      <c r="AN398" s="12"/>
      <c r="AO398" s="12"/>
      <c r="AP398" s="5"/>
      <c r="AQ398" s="12"/>
      <c r="AR398" s="12"/>
      <c r="AS398" s="12"/>
      <c r="AT398" s="12"/>
      <c r="AU398" s="5"/>
      <c r="AV398" s="12"/>
      <c r="AW398" s="12"/>
      <c r="AX398" s="12"/>
      <c r="AY398" s="12"/>
      <c r="AZ398" s="5"/>
      <c r="BA398" s="12"/>
      <c r="BB398" s="12"/>
      <c r="BC398" s="12"/>
      <c r="BD398" s="12"/>
      <c r="BE398" s="5"/>
      <c r="BF398" s="12"/>
      <c r="BG398" s="12"/>
      <c r="BH398" s="12"/>
      <c r="BI398" s="12"/>
      <c r="BJ398" s="5"/>
      <c r="BK398" s="12"/>
      <c r="BL398" s="12"/>
      <c r="BM398" s="12"/>
      <c r="BN398" s="12"/>
      <c r="BO398" s="5"/>
      <c r="BP398" s="12"/>
      <c r="BQ398" s="12"/>
      <c r="BR398" s="12"/>
      <c r="BS398" s="12"/>
      <c r="BT398" s="12"/>
      <c r="BU398" s="12"/>
      <c r="BV398" s="12"/>
      <c r="BW398" s="12"/>
      <c r="BX398" s="12"/>
      <c r="BY398" s="12"/>
      <c r="BZ398" s="12"/>
      <c r="CA398" s="12"/>
      <c r="CB398" s="12"/>
      <c r="CC398" s="12"/>
      <c r="CD398" s="12"/>
    </row>
    <row r="399" spans="1:82" hidden="1" outlineLevel="1">
      <c r="A399" s="4" t="s">
        <v>1897</v>
      </c>
      <c r="B399" s="5"/>
      <c r="C399" s="72"/>
      <c r="D399" s="72"/>
      <c r="E399" s="72"/>
      <c r="F399" s="72"/>
      <c r="G399" s="5">
        <v>-17</v>
      </c>
      <c r="H399" s="93"/>
      <c r="I399" s="93"/>
      <c r="J399" s="93"/>
      <c r="K399" s="93"/>
      <c r="L399" s="5">
        <v>-105</v>
      </c>
      <c r="M399" s="93"/>
      <c r="N399" s="93"/>
      <c r="O399" s="93"/>
      <c r="P399" s="93"/>
      <c r="Q399" s="5">
        <v>-18</v>
      </c>
      <c r="R399" s="93"/>
      <c r="S399" s="93"/>
      <c r="T399" s="93"/>
      <c r="U399" s="93"/>
      <c r="V399" s="5">
        <v>-140</v>
      </c>
      <c r="W399" s="93"/>
      <c r="X399" s="93"/>
      <c r="Y399" s="93"/>
      <c r="Z399" s="93"/>
      <c r="AA399" s="5">
        <v>-49</v>
      </c>
      <c r="AB399" s="93"/>
      <c r="AC399" s="93"/>
      <c r="AD399" s="93"/>
      <c r="AE399" s="93"/>
      <c r="AF399" s="5">
        <v>-51</v>
      </c>
      <c r="AG399" s="93"/>
      <c r="AH399" s="93"/>
      <c r="AI399" s="93"/>
      <c r="AJ399" s="93"/>
      <c r="AK399" s="5">
        <v>-134</v>
      </c>
      <c r="AL399" s="93"/>
      <c r="AM399" s="93"/>
      <c r="AN399" s="93"/>
      <c r="AO399" s="93"/>
      <c r="AP399" s="5">
        <v>-126</v>
      </c>
      <c r="AQ399" s="93"/>
      <c r="AR399" s="93"/>
      <c r="AS399" s="93"/>
      <c r="AT399" s="93"/>
      <c r="AU399" s="5">
        <v>-768</v>
      </c>
      <c r="AV399" s="93"/>
      <c r="AW399" s="93"/>
      <c r="AX399" s="93"/>
      <c r="AY399" s="93"/>
      <c r="AZ399" s="5">
        <v>-712</v>
      </c>
      <c r="BA399" s="93"/>
      <c r="BB399" s="93"/>
      <c r="BC399" s="93"/>
      <c r="BD399" s="93"/>
      <c r="BE399" s="5">
        <v>-53</v>
      </c>
      <c r="BF399" s="93"/>
      <c r="BG399" s="93"/>
      <c r="BH399" s="93"/>
      <c r="BI399" s="93"/>
      <c r="BJ399" s="5">
        <v>27</v>
      </c>
      <c r="BK399" s="93"/>
      <c r="BL399" s="93"/>
      <c r="BM399" s="93"/>
      <c r="BN399" s="93"/>
      <c r="BO399" s="5">
        <v>29</v>
      </c>
      <c r="BP399" s="93"/>
      <c r="BQ399" s="93"/>
      <c r="BR399" s="93"/>
      <c r="BS399" s="93"/>
      <c r="BT399" s="93"/>
      <c r="BU399" s="93"/>
      <c r="BV399" s="93"/>
      <c r="BW399" s="93"/>
      <c r="BX399" s="93"/>
      <c r="BY399" s="93"/>
      <c r="BZ399" s="93"/>
      <c r="CA399" s="93"/>
      <c r="CB399" s="93"/>
      <c r="CC399" s="93"/>
      <c r="CD399" s="93"/>
    </row>
    <row r="400" spans="1:82" hidden="1" outlineLevel="1">
      <c r="A400" s="4" t="s">
        <v>2149</v>
      </c>
      <c r="B400" s="5"/>
      <c r="C400" s="72"/>
      <c r="D400" s="72"/>
      <c r="E400" s="72"/>
      <c r="F400" s="72"/>
      <c r="G400" s="5">
        <v>-285.00333333333333</v>
      </c>
      <c r="H400" s="93"/>
      <c r="I400" s="93"/>
      <c r="J400" s="93"/>
      <c r="K400" s="93"/>
      <c r="L400" s="5">
        <v>-339</v>
      </c>
      <c r="M400" s="93"/>
      <c r="N400" s="93"/>
      <c r="O400" s="93"/>
      <c r="P400" s="93"/>
      <c r="Q400" s="5">
        <v>-470</v>
      </c>
      <c r="R400" s="93"/>
      <c r="S400" s="93"/>
      <c r="T400" s="93"/>
      <c r="U400" s="93"/>
      <c r="V400" s="5">
        <v>-485</v>
      </c>
      <c r="W400" s="93"/>
      <c r="X400" s="93"/>
      <c r="Y400" s="93"/>
      <c r="Z400" s="93"/>
      <c r="AA400" s="5">
        <v>-361</v>
      </c>
      <c r="AB400" s="93"/>
      <c r="AC400" s="93"/>
      <c r="AD400" s="93"/>
      <c r="AE400" s="93"/>
      <c r="AF400" s="5">
        <v>-365</v>
      </c>
      <c r="AG400" s="93"/>
      <c r="AH400" s="93"/>
      <c r="AI400" s="93"/>
      <c r="AJ400" s="93"/>
      <c r="AK400" s="5">
        <v>-787</v>
      </c>
      <c r="AL400" s="93"/>
      <c r="AM400" s="93"/>
      <c r="AN400" s="93"/>
      <c r="AO400" s="93"/>
      <c r="AP400" s="5">
        <v>-1076</v>
      </c>
      <c r="AQ400" s="93"/>
      <c r="AR400" s="93"/>
      <c r="AS400" s="93"/>
      <c r="AT400" s="93"/>
      <c r="AU400" s="5">
        <v>-1091</v>
      </c>
      <c r="AV400" s="93"/>
      <c r="AW400" s="93"/>
      <c r="AX400" s="93"/>
      <c r="AY400" s="93"/>
      <c r="AZ400" s="5">
        <v>-1289</v>
      </c>
      <c r="BA400" s="93"/>
      <c r="BB400" s="93"/>
      <c r="BC400" s="93"/>
      <c r="BD400" s="93"/>
      <c r="BE400" s="5">
        <v>-1083</v>
      </c>
      <c r="BF400" s="93"/>
      <c r="BG400" s="93"/>
      <c r="BH400" s="93"/>
      <c r="BI400" s="93"/>
      <c r="BJ400" s="5">
        <v>-691</v>
      </c>
      <c r="BK400" s="93"/>
      <c r="BL400" s="93"/>
      <c r="BM400" s="93"/>
      <c r="BN400" s="93"/>
      <c r="BO400" s="5">
        <v>-904</v>
      </c>
      <c r="BP400" s="93"/>
      <c r="BQ400" s="93"/>
      <c r="BR400" s="93"/>
      <c r="BS400" s="93"/>
      <c r="BT400" s="93"/>
      <c r="BU400" s="93"/>
      <c r="BV400" s="93"/>
      <c r="BW400" s="93"/>
      <c r="BX400" s="93"/>
      <c r="BY400" s="93"/>
      <c r="BZ400" s="93"/>
      <c r="CA400" s="93"/>
      <c r="CB400" s="93"/>
      <c r="CC400" s="93"/>
      <c r="CD400" s="93"/>
    </row>
    <row r="401" spans="1:90" hidden="1" outlineLevel="1">
      <c r="A401" s="4" t="s">
        <v>2150</v>
      </c>
      <c r="B401" s="5"/>
      <c r="C401" s="72"/>
      <c r="D401" s="72"/>
      <c r="E401" s="72"/>
      <c r="F401" s="72"/>
      <c r="G401" s="5">
        <v>-2664</v>
      </c>
      <c r="H401" s="93"/>
      <c r="I401" s="93"/>
      <c r="J401" s="93"/>
      <c r="K401" s="93"/>
      <c r="L401" s="5">
        <v>-3642</v>
      </c>
      <c r="M401" s="93"/>
      <c r="N401" s="93"/>
      <c r="O401" s="93"/>
      <c r="P401" s="93"/>
      <c r="Q401" s="5">
        <v>-3914</v>
      </c>
      <c r="R401" s="93"/>
      <c r="S401" s="93"/>
      <c r="T401" s="93"/>
      <c r="U401" s="93"/>
      <c r="V401" s="5">
        <v>-5510</v>
      </c>
      <c r="W401" s="93"/>
      <c r="X401" s="93"/>
      <c r="Y401" s="93"/>
      <c r="Z401" s="93"/>
      <c r="AA401" s="5">
        <v>-2854</v>
      </c>
      <c r="AB401" s="93"/>
      <c r="AC401" s="93"/>
      <c r="AD401" s="93"/>
      <c r="AE401" s="93"/>
      <c r="AF401" s="5">
        <v>-3764</v>
      </c>
      <c r="AG401" s="93"/>
      <c r="AH401" s="93"/>
      <c r="AI401" s="93"/>
      <c r="AJ401" s="93"/>
      <c r="AK401" s="5">
        <v>-5956</v>
      </c>
      <c r="AL401" s="93"/>
      <c r="AM401" s="93"/>
      <c r="AN401" s="93"/>
      <c r="AO401" s="93"/>
      <c r="AP401" s="5">
        <v>-6291</v>
      </c>
      <c r="AQ401" s="93"/>
      <c r="AR401" s="93"/>
      <c r="AS401" s="93"/>
      <c r="AT401" s="93"/>
      <c r="AU401" s="5">
        <v>-5660</v>
      </c>
      <c r="AV401" s="93"/>
      <c r="AW401" s="93"/>
      <c r="AX401" s="93"/>
      <c r="AY401" s="93"/>
      <c r="AZ401" s="5">
        <v>-2234</v>
      </c>
      <c r="BA401" s="93"/>
      <c r="BB401" s="93"/>
      <c r="BC401" s="93"/>
      <c r="BD401" s="93"/>
      <c r="BE401" s="5">
        <v>-834</v>
      </c>
      <c r="BF401" s="93"/>
      <c r="BG401" s="93"/>
      <c r="BH401" s="93"/>
      <c r="BI401" s="93"/>
      <c r="BJ401" s="5">
        <v>-800</v>
      </c>
      <c r="BK401" s="93"/>
      <c r="BL401" s="93"/>
      <c r="BM401" s="93"/>
      <c r="BN401" s="93"/>
      <c r="BO401" s="5">
        <v>-1618</v>
      </c>
      <c r="BP401" s="93"/>
      <c r="BQ401" s="93"/>
      <c r="BR401" s="93"/>
      <c r="BS401" s="93"/>
      <c r="BT401" s="93"/>
      <c r="BU401" s="93"/>
      <c r="BV401" s="93"/>
      <c r="BW401" s="93"/>
      <c r="BX401" s="93"/>
      <c r="BY401" s="93"/>
      <c r="BZ401" s="93"/>
      <c r="CA401" s="93"/>
      <c r="CB401" s="93"/>
      <c r="CC401" s="93"/>
      <c r="CD401" s="93"/>
    </row>
    <row r="402" spans="1:90" hidden="1" outlineLevel="1">
      <c r="A402" s="4" t="s">
        <v>2158</v>
      </c>
      <c r="B402" s="5"/>
      <c r="C402" s="72"/>
      <c r="D402" s="72"/>
      <c r="E402" s="72"/>
      <c r="F402" s="72"/>
      <c r="G402" s="5">
        <v>-935</v>
      </c>
      <c r="H402" s="93"/>
      <c r="I402" s="93"/>
      <c r="J402" s="93"/>
      <c r="K402" s="93"/>
      <c r="L402" s="5">
        <v>-1234</v>
      </c>
      <c r="M402" s="93"/>
      <c r="N402" s="93"/>
      <c r="O402" s="93"/>
      <c r="P402" s="93"/>
      <c r="Q402" s="5">
        <v>-1316</v>
      </c>
      <c r="R402" s="93"/>
      <c r="S402" s="93"/>
      <c r="T402" s="93"/>
      <c r="U402" s="93"/>
      <c r="V402" s="5">
        <v>-2064</v>
      </c>
      <c r="W402" s="93"/>
      <c r="X402" s="93"/>
      <c r="Y402" s="93"/>
      <c r="Z402" s="93"/>
      <c r="AA402" s="5">
        <v>-967</v>
      </c>
      <c r="AB402" s="93"/>
      <c r="AC402" s="93"/>
      <c r="AD402" s="93"/>
      <c r="AE402" s="93"/>
      <c r="AF402" s="5">
        <v>-90</v>
      </c>
      <c r="AG402" s="93"/>
      <c r="AH402" s="93"/>
      <c r="AI402" s="93"/>
      <c r="AJ402" s="93"/>
      <c r="AK402" s="5">
        <v>-118</v>
      </c>
      <c r="AL402" s="93"/>
      <c r="AM402" s="93"/>
      <c r="AN402" s="93"/>
      <c r="AO402" s="93"/>
      <c r="AP402" s="5">
        <v>-84</v>
      </c>
      <c r="AQ402" s="93"/>
      <c r="AR402" s="93"/>
      <c r="AS402" s="93"/>
      <c r="AT402" s="93"/>
      <c r="AU402" s="5">
        <v>-84</v>
      </c>
      <c r="AV402" s="93"/>
      <c r="AW402" s="93"/>
      <c r="AX402" s="93"/>
      <c r="AY402" s="93"/>
      <c r="AZ402" s="5">
        <v>69</v>
      </c>
      <c r="BA402" s="93"/>
      <c r="BB402" s="93"/>
      <c r="BC402" s="93"/>
      <c r="BD402" s="93"/>
      <c r="BE402" s="5">
        <v>-76</v>
      </c>
      <c r="BF402" s="93"/>
      <c r="BG402" s="93"/>
      <c r="BH402" s="93"/>
      <c r="BI402" s="93"/>
      <c r="BJ402" s="5">
        <v>-115</v>
      </c>
      <c r="BK402" s="93"/>
      <c r="BL402" s="93"/>
      <c r="BM402" s="93"/>
      <c r="BN402" s="93"/>
      <c r="BO402" s="5">
        <v>-311</v>
      </c>
      <c r="BP402" s="93"/>
      <c r="BQ402" s="93"/>
      <c r="BR402" s="93"/>
      <c r="BS402" s="93"/>
      <c r="BT402" s="93"/>
      <c r="BU402" s="93"/>
      <c r="BV402" s="93"/>
      <c r="BW402" s="93"/>
      <c r="BX402" s="93"/>
      <c r="BY402" s="93"/>
      <c r="BZ402" s="93"/>
      <c r="CA402" s="93"/>
      <c r="CB402" s="93"/>
      <c r="CC402" s="93"/>
      <c r="CD402" s="93"/>
    </row>
    <row r="403" spans="1:90" hidden="1" outlineLevel="1">
      <c r="A403" s="4" t="s">
        <v>2154</v>
      </c>
      <c r="B403" s="5"/>
      <c r="C403" s="72"/>
      <c r="D403" s="72"/>
      <c r="E403" s="72"/>
      <c r="F403" s="72"/>
      <c r="G403" s="5">
        <v>-260</v>
      </c>
      <c r="H403" s="93"/>
      <c r="I403" s="93"/>
      <c r="J403" s="93"/>
      <c r="K403" s="93"/>
      <c r="L403" s="5">
        <v>-590</v>
      </c>
      <c r="M403" s="93"/>
      <c r="N403" s="93"/>
      <c r="O403" s="93"/>
      <c r="P403" s="93"/>
      <c r="Q403" s="5">
        <v>-1148</v>
      </c>
      <c r="R403" s="93"/>
      <c r="S403" s="93"/>
      <c r="T403" s="93"/>
      <c r="U403" s="93"/>
      <c r="V403" s="5">
        <v>-788</v>
      </c>
      <c r="W403" s="93"/>
      <c r="X403" s="93"/>
      <c r="Y403" s="93"/>
      <c r="Z403" s="93"/>
      <c r="AA403" s="5">
        <v>-757</v>
      </c>
      <c r="AB403" s="93"/>
      <c r="AC403" s="93"/>
      <c r="AD403" s="93"/>
      <c r="AE403" s="93"/>
      <c r="AF403" s="5">
        <v>-829</v>
      </c>
      <c r="AG403" s="93"/>
      <c r="AH403" s="93"/>
      <c r="AI403" s="93"/>
      <c r="AJ403" s="93"/>
      <c r="AK403" s="5">
        <v>-1692</v>
      </c>
      <c r="AL403" s="93"/>
      <c r="AM403" s="93"/>
      <c r="AN403" s="93"/>
      <c r="AO403" s="93"/>
      <c r="AP403" s="5">
        <v>-2116</v>
      </c>
      <c r="AQ403" s="93"/>
      <c r="AR403" s="93"/>
      <c r="AS403" s="93"/>
      <c r="AT403" s="93"/>
      <c r="AU403" s="5">
        <v>-2174</v>
      </c>
      <c r="AV403" s="93"/>
      <c r="AW403" s="93"/>
      <c r="AX403" s="93"/>
      <c r="AY403" s="93"/>
      <c r="AZ403" s="5">
        <v>-2461</v>
      </c>
      <c r="BA403" s="93"/>
      <c r="BB403" s="93"/>
      <c r="BC403" s="93"/>
      <c r="BD403" s="93"/>
      <c r="BE403" s="5">
        <v>-2420</v>
      </c>
      <c r="BF403" s="93"/>
      <c r="BG403" s="93"/>
      <c r="BH403" s="93"/>
      <c r="BI403" s="93"/>
      <c r="BJ403" s="5">
        <v>-2179</v>
      </c>
      <c r="BK403" s="93"/>
      <c r="BL403" s="93"/>
      <c r="BM403" s="93"/>
      <c r="BN403" s="93"/>
      <c r="BO403" s="5">
        <v>-2147</v>
      </c>
      <c r="BP403" s="93"/>
      <c r="BQ403" s="93"/>
      <c r="BR403" s="93"/>
      <c r="BS403" s="93"/>
      <c r="BT403" s="93"/>
      <c r="BU403" s="93"/>
      <c r="BV403" s="93"/>
      <c r="BW403" s="93"/>
      <c r="BX403" s="93"/>
      <c r="BY403" s="93"/>
      <c r="BZ403" s="93"/>
      <c r="CA403" s="93"/>
      <c r="CB403" s="93"/>
      <c r="CC403" s="93"/>
      <c r="CD403" s="93"/>
    </row>
    <row r="404" spans="1:90" hidden="1" outlineLevel="1">
      <c r="A404" s="4" t="s">
        <v>610</v>
      </c>
      <c r="B404" s="5"/>
      <c r="C404" s="72"/>
      <c r="D404" s="72"/>
      <c r="E404" s="72"/>
      <c r="F404" s="72"/>
      <c r="G404" s="5">
        <v>0</v>
      </c>
      <c r="H404" s="93"/>
      <c r="I404" s="93"/>
      <c r="J404" s="93"/>
      <c r="K404" s="93"/>
      <c r="L404" s="5">
        <v>99</v>
      </c>
      <c r="M404" s="93"/>
      <c r="N404" s="93"/>
      <c r="O404" s="93"/>
      <c r="P404" s="93"/>
      <c r="Q404" s="5">
        <v>0</v>
      </c>
      <c r="R404" s="93"/>
      <c r="S404" s="93"/>
      <c r="T404" s="93"/>
      <c r="U404" s="93"/>
      <c r="V404" s="5">
        <v>-219</v>
      </c>
      <c r="W404" s="93"/>
      <c r="X404" s="93"/>
      <c r="Y404" s="93"/>
      <c r="Z404" s="93"/>
      <c r="AA404" s="5">
        <v>702</v>
      </c>
      <c r="AB404" s="93"/>
      <c r="AC404" s="93"/>
      <c r="AD404" s="93"/>
      <c r="AE404" s="93"/>
      <c r="AF404" s="5">
        <v>0</v>
      </c>
      <c r="AG404" s="93"/>
      <c r="AH404" s="93"/>
      <c r="AI404" s="93"/>
      <c r="AJ404" s="93"/>
      <c r="AK404" s="5">
        <v>537</v>
      </c>
      <c r="AL404" s="93"/>
      <c r="AM404" s="93"/>
      <c r="AN404" s="93"/>
      <c r="AO404" s="93"/>
      <c r="AP404" s="5">
        <v>2</v>
      </c>
      <c r="AQ404" s="93"/>
      <c r="AR404" s="93"/>
      <c r="AS404" s="93"/>
      <c r="AT404" s="93"/>
      <c r="AU404" s="5">
        <v>16</v>
      </c>
      <c r="AV404" s="93"/>
      <c r="AW404" s="93"/>
      <c r="AX404" s="93"/>
      <c r="AY404" s="93"/>
      <c r="AZ404" s="5">
        <v>-391</v>
      </c>
      <c r="BA404" s="93"/>
      <c r="BB404" s="93"/>
      <c r="BC404" s="93"/>
      <c r="BD404" s="93"/>
      <c r="BE404" s="5">
        <v>-105</v>
      </c>
      <c r="BF404" s="93"/>
      <c r="BG404" s="93"/>
      <c r="BH404" s="93"/>
      <c r="BI404" s="93"/>
      <c r="BJ404" s="5">
        <v>182</v>
      </c>
      <c r="BK404" s="93"/>
      <c r="BL404" s="93"/>
      <c r="BM404" s="93"/>
      <c r="BN404" s="93"/>
      <c r="BO404" s="5">
        <v>10</v>
      </c>
      <c r="BP404" s="93"/>
      <c r="BQ404" s="93"/>
      <c r="BR404" s="93"/>
      <c r="BS404" s="93"/>
      <c r="BT404" s="93"/>
      <c r="BU404" s="93"/>
      <c r="BV404" s="93"/>
      <c r="BW404" s="93"/>
      <c r="BX404" s="93"/>
      <c r="BY404" s="93"/>
      <c r="BZ404" s="93"/>
      <c r="CA404" s="93"/>
      <c r="CB404" s="93"/>
      <c r="CC404" s="93"/>
      <c r="CD404" s="93"/>
    </row>
    <row r="405" spans="1:90" hidden="1" outlineLevel="1">
      <c r="A405" s="7" t="s">
        <v>2160</v>
      </c>
      <c r="B405" s="8"/>
      <c r="C405" s="73">
        <f>C397+SUM(C399:C404)</f>
        <v>0</v>
      </c>
      <c r="D405" s="73">
        <f>D397+SUM(D399:D404)</f>
        <v>0</v>
      </c>
      <c r="E405" s="73">
        <f>E397+SUM(E399:E404)</f>
        <v>0</v>
      </c>
      <c r="F405" s="73">
        <f>F397+SUM(F399:F404)</f>
        <v>0</v>
      </c>
      <c r="G405" s="8">
        <f>G397+SUM(G399:G404)</f>
        <v>1953.9966666666669</v>
      </c>
      <c r="H405" s="93"/>
      <c r="I405" s="93"/>
      <c r="J405" s="93"/>
      <c r="K405" s="93"/>
      <c r="L405" s="8">
        <f>L397+SUM(L399:L404)</f>
        <v>3220</v>
      </c>
      <c r="M405" s="93"/>
      <c r="N405" s="93"/>
      <c r="O405" s="93"/>
      <c r="P405" s="93"/>
      <c r="Q405" s="8">
        <f>Q397+SUM(Q399:Q404)</f>
        <v>4659</v>
      </c>
      <c r="R405" s="93"/>
      <c r="S405" s="93"/>
      <c r="T405" s="93"/>
      <c r="U405" s="93"/>
      <c r="V405" s="8">
        <f>V397+SUM(V399:V404)</f>
        <v>3229</v>
      </c>
      <c r="W405" s="93"/>
      <c r="X405" s="93"/>
      <c r="Y405" s="93"/>
      <c r="Z405" s="93"/>
      <c r="AA405" s="8">
        <f>AA397+SUM(AA399:AA404)</f>
        <v>2607</v>
      </c>
      <c r="AB405" s="93"/>
      <c r="AC405" s="93"/>
      <c r="AD405" s="93"/>
      <c r="AE405" s="93"/>
      <c r="AF405" s="8">
        <f>AF397+SUM(AF399:AF404)</f>
        <v>2870</v>
      </c>
      <c r="AG405" s="93"/>
      <c r="AH405" s="93"/>
      <c r="AI405" s="93"/>
      <c r="AJ405" s="93"/>
      <c r="AK405" s="8">
        <f>AK397+SUM(AK399:AK404)</f>
        <v>4111</v>
      </c>
      <c r="AL405" s="93"/>
      <c r="AM405" s="93"/>
      <c r="AN405" s="93"/>
      <c r="AO405" s="93"/>
      <c r="AP405" s="8">
        <f>AP397+SUM(AP399:AP404)</f>
        <v>2953</v>
      </c>
      <c r="AQ405" s="93"/>
      <c r="AR405" s="93"/>
      <c r="AS405" s="93"/>
      <c r="AT405" s="93"/>
      <c r="AU405" s="8">
        <f>AU397+SUM(AU399:AU404)</f>
        <v>2676</v>
      </c>
      <c r="AV405" s="93"/>
      <c r="AW405" s="93"/>
      <c r="AX405" s="93"/>
      <c r="AY405" s="93"/>
      <c r="AZ405" s="8">
        <f>AZ397+SUM(AZ399:AZ404)</f>
        <v>1068</v>
      </c>
      <c r="BA405" s="93"/>
      <c r="BB405" s="93"/>
      <c r="BC405" s="93"/>
      <c r="BD405" s="93"/>
      <c r="BE405" s="8">
        <f>BE397+SUM(BE399:BE404)</f>
        <v>257</v>
      </c>
      <c r="BF405" s="93"/>
      <c r="BG405" s="93"/>
      <c r="BH405" s="93"/>
      <c r="BI405" s="93"/>
      <c r="BJ405" s="8">
        <f>BJ397+SUM(BJ399:BJ404)</f>
        <v>429</v>
      </c>
      <c r="BK405" s="93"/>
      <c r="BL405" s="93"/>
      <c r="BM405" s="93"/>
      <c r="BN405" s="93"/>
      <c r="BO405" s="8">
        <f>BO397+SUM(BO399:BO404)</f>
        <v>2729</v>
      </c>
      <c r="BP405" s="93"/>
      <c r="BQ405" s="93"/>
      <c r="BR405" s="93"/>
      <c r="BS405" s="93"/>
      <c r="BT405" s="93"/>
      <c r="BU405" s="93"/>
      <c r="BV405" s="93"/>
      <c r="BW405" s="93"/>
      <c r="BX405" s="93"/>
      <c r="BY405" s="93"/>
      <c r="BZ405" s="93"/>
      <c r="CA405" s="93"/>
      <c r="CB405" s="93"/>
      <c r="CC405" s="93"/>
      <c r="CD405" s="93"/>
    </row>
    <row r="406" spans="1:90" hidden="1" outlineLevel="1">
      <c r="A406" s="4"/>
      <c r="B406" s="5"/>
      <c r="C406" s="72"/>
      <c r="D406" s="72"/>
      <c r="E406" s="72"/>
      <c r="F406" s="72"/>
      <c r="G406" s="5"/>
      <c r="H406" s="12"/>
      <c r="I406" s="12"/>
      <c r="J406" s="12"/>
      <c r="K406" s="12"/>
      <c r="L406" s="5"/>
      <c r="M406" s="12"/>
      <c r="N406" s="12"/>
      <c r="O406" s="12"/>
      <c r="P406" s="12"/>
      <c r="Q406" s="5"/>
      <c r="R406" s="12"/>
      <c r="S406" s="12"/>
      <c r="T406" s="12"/>
      <c r="U406" s="12"/>
      <c r="V406" s="5"/>
      <c r="W406" s="12"/>
      <c r="X406" s="12"/>
      <c r="Y406" s="12"/>
      <c r="Z406" s="12"/>
      <c r="AA406" s="5"/>
      <c r="AB406" s="12"/>
      <c r="AC406" s="12"/>
      <c r="AD406" s="12"/>
      <c r="AE406" s="12"/>
      <c r="AF406" s="5"/>
      <c r="AG406" s="12"/>
      <c r="AH406" s="12"/>
      <c r="AI406" s="12"/>
      <c r="AJ406" s="12"/>
      <c r="AK406" s="5"/>
      <c r="AL406" s="12"/>
      <c r="AM406" s="12"/>
      <c r="AN406" s="12"/>
      <c r="AO406" s="12"/>
      <c r="AP406" s="5"/>
      <c r="AQ406" s="12"/>
      <c r="AR406" s="12"/>
      <c r="AS406" s="12"/>
      <c r="AT406" s="12"/>
      <c r="AU406" s="5"/>
      <c r="AV406" s="12"/>
      <c r="AW406" s="12"/>
      <c r="AX406" s="12"/>
      <c r="AY406" s="12"/>
      <c r="AZ406" s="5"/>
      <c r="BA406" s="12"/>
      <c r="BB406" s="12"/>
      <c r="BC406" s="12"/>
      <c r="BD406" s="12"/>
      <c r="BE406" s="5"/>
      <c r="BF406" s="12"/>
      <c r="BG406" s="12"/>
      <c r="BH406" s="12"/>
      <c r="BI406" s="12"/>
      <c r="BJ406" s="5"/>
      <c r="BK406" s="12"/>
      <c r="BL406" s="12"/>
      <c r="BM406" s="12"/>
      <c r="BN406" s="12"/>
      <c r="BO406" s="5"/>
      <c r="BP406" s="12"/>
      <c r="BQ406" s="12"/>
      <c r="BR406" s="12"/>
      <c r="BS406" s="12"/>
      <c r="BT406" s="12"/>
      <c r="BU406" s="12"/>
      <c r="BV406" s="12"/>
      <c r="BW406" s="12"/>
      <c r="BX406" s="12"/>
      <c r="BY406" s="12"/>
      <c r="BZ406" s="12"/>
      <c r="CA406" s="12"/>
      <c r="CB406" s="12"/>
      <c r="CC406" s="12"/>
      <c r="CD406" s="12"/>
    </row>
    <row r="407" spans="1:90" hidden="1" outlineLevel="1">
      <c r="A407" s="4" t="s">
        <v>2152</v>
      </c>
      <c r="B407" s="5"/>
      <c r="C407" s="72"/>
      <c r="D407" s="72"/>
      <c r="E407" s="72"/>
      <c r="F407" s="72"/>
      <c r="G407" s="5">
        <v>-602.16666666666663</v>
      </c>
      <c r="H407" s="93"/>
      <c r="I407" s="93"/>
      <c r="J407" s="93"/>
      <c r="K407" s="93"/>
      <c r="L407" s="5">
        <v>-937</v>
      </c>
      <c r="M407" s="93"/>
      <c r="N407" s="93"/>
      <c r="O407" s="93"/>
      <c r="P407" s="93"/>
      <c r="Q407" s="5">
        <v>-1133</v>
      </c>
      <c r="R407" s="93"/>
      <c r="S407" s="93"/>
      <c r="T407" s="93"/>
      <c r="U407" s="93"/>
      <c r="V407" s="5">
        <v>-984</v>
      </c>
      <c r="W407" s="93"/>
      <c r="X407" s="93"/>
      <c r="Y407" s="93"/>
      <c r="Z407" s="93"/>
      <c r="AA407" s="5">
        <v>-682</v>
      </c>
      <c r="AB407" s="93"/>
      <c r="AC407" s="93"/>
      <c r="AD407" s="93"/>
      <c r="AE407" s="93"/>
      <c r="AF407" s="5">
        <v>-813</v>
      </c>
      <c r="AG407" s="93"/>
      <c r="AH407" s="93"/>
      <c r="AI407" s="93"/>
      <c r="AJ407" s="93"/>
      <c r="AK407" s="5">
        <v>-1001</v>
      </c>
      <c r="AL407" s="93"/>
      <c r="AM407" s="93"/>
      <c r="AN407" s="93"/>
      <c r="AO407" s="93"/>
      <c r="AP407" s="5">
        <v>-663</v>
      </c>
      <c r="AQ407" s="93"/>
      <c r="AR407" s="93"/>
      <c r="AS407" s="93"/>
      <c r="AT407" s="93"/>
      <c r="AU407" s="5">
        <v>-682</v>
      </c>
      <c r="AV407" s="93"/>
      <c r="AW407" s="93"/>
      <c r="AX407" s="93"/>
      <c r="AY407" s="93"/>
      <c r="AZ407" s="5">
        <v>-67</v>
      </c>
      <c r="BA407" s="93"/>
      <c r="BB407" s="93"/>
      <c r="BC407" s="93"/>
      <c r="BD407" s="93"/>
      <c r="BE407" s="5">
        <v>66</v>
      </c>
      <c r="BF407" s="93"/>
      <c r="BG407" s="93"/>
      <c r="BH407" s="93"/>
      <c r="BI407" s="93"/>
      <c r="BJ407" s="5">
        <v>74</v>
      </c>
      <c r="BK407" s="93"/>
      <c r="BL407" s="93"/>
      <c r="BM407" s="93"/>
      <c r="BN407" s="93"/>
      <c r="BO407" s="5">
        <v>-1505</v>
      </c>
      <c r="BP407" s="93"/>
      <c r="BQ407" s="93"/>
      <c r="BR407" s="93"/>
      <c r="BS407" s="93"/>
      <c r="BT407" s="93"/>
      <c r="BU407" s="93"/>
      <c r="BV407" s="93"/>
      <c r="BW407" s="93"/>
      <c r="BX407" s="93"/>
      <c r="BY407" s="93"/>
      <c r="BZ407" s="93"/>
      <c r="CA407" s="93"/>
      <c r="CB407" s="93"/>
      <c r="CC407" s="93"/>
      <c r="CD407" s="93"/>
    </row>
    <row r="408" spans="1:90" hidden="1" outlineLevel="1">
      <c r="A408" s="14" t="s">
        <v>2153</v>
      </c>
      <c r="B408" s="15"/>
      <c r="C408" s="74">
        <f>SUM(C405,C407)</f>
        <v>0</v>
      </c>
      <c r="D408" s="74">
        <f>SUM(D405,D407)</f>
        <v>0</v>
      </c>
      <c r="E408" s="74">
        <f>SUM(E405,E407)</f>
        <v>0</v>
      </c>
      <c r="F408" s="74">
        <f>SUM(F405,F407)</f>
        <v>0</v>
      </c>
      <c r="G408" s="15">
        <f>SUM(G405,G407)</f>
        <v>1351.8300000000004</v>
      </c>
      <c r="H408" s="378"/>
      <c r="I408" s="378"/>
      <c r="J408" s="378"/>
      <c r="K408" s="378"/>
      <c r="L408" s="15">
        <f>SUM(L405,L407)</f>
        <v>2283</v>
      </c>
      <c r="M408" s="378"/>
      <c r="N408" s="378"/>
      <c r="O408" s="378"/>
      <c r="P408" s="378"/>
      <c r="Q408" s="15">
        <f>SUM(Q405,Q407)</f>
        <v>3526</v>
      </c>
      <c r="R408" s="378"/>
      <c r="S408" s="378"/>
      <c r="T408" s="378"/>
      <c r="U408" s="378"/>
      <c r="V408" s="15">
        <f>SUM(V405,V407)</f>
        <v>2245</v>
      </c>
      <c r="W408" s="378"/>
      <c r="X408" s="378"/>
      <c r="Y408" s="378"/>
      <c r="Z408" s="378"/>
      <c r="AA408" s="15">
        <f>SUM(AA405,AA407)</f>
        <v>1925</v>
      </c>
      <c r="AB408" s="378"/>
      <c r="AC408" s="378"/>
      <c r="AD408" s="378"/>
      <c r="AE408" s="378"/>
      <c r="AF408" s="15">
        <f>SUM(AF405,AF407)</f>
        <v>2057</v>
      </c>
      <c r="AG408" s="378"/>
      <c r="AH408" s="378"/>
      <c r="AI408" s="378"/>
      <c r="AJ408" s="378"/>
      <c r="AK408" s="15">
        <f>SUM(AK405,AK407)</f>
        <v>3110</v>
      </c>
      <c r="AL408" s="378"/>
      <c r="AM408" s="378"/>
      <c r="AN408" s="378"/>
      <c r="AO408" s="378"/>
      <c r="AP408" s="15">
        <f>SUM(AP405,AP407)</f>
        <v>2290</v>
      </c>
      <c r="AQ408" s="378"/>
      <c r="AR408" s="378"/>
      <c r="AS408" s="378"/>
      <c r="AT408" s="378"/>
      <c r="AU408" s="15">
        <f>SUM(AU405,AU407)</f>
        <v>1994</v>
      </c>
      <c r="AV408" s="378"/>
      <c r="AW408" s="378"/>
      <c r="AX408" s="378"/>
      <c r="AY408" s="378"/>
      <c r="AZ408" s="15">
        <f>SUM(AZ405,AZ407)</f>
        <v>1001</v>
      </c>
      <c r="BA408" s="378"/>
      <c r="BB408" s="378"/>
      <c r="BC408" s="378"/>
      <c r="BD408" s="378"/>
      <c r="BE408" s="15">
        <f>SUM(BE405,BE407)</f>
        <v>323</v>
      </c>
      <c r="BF408" s="378"/>
      <c r="BG408" s="378"/>
      <c r="BH408" s="378"/>
      <c r="BI408" s="378"/>
      <c r="BJ408" s="15">
        <f>SUM(BJ405,BJ407)</f>
        <v>503</v>
      </c>
      <c r="BK408" s="378"/>
      <c r="BL408" s="378"/>
      <c r="BM408" s="378"/>
      <c r="BN408" s="378"/>
      <c r="BO408" s="15">
        <f>SUM(BO405,BO407)</f>
        <v>1224</v>
      </c>
      <c r="BP408" s="378"/>
      <c r="BQ408" s="378"/>
      <c r="BR408" s="378"/>
      <c r="BS408" s="378"/>
      <c r="BT408" s="378"/>
      <c r="BU408" s="378"/>
      <c r="BV408" s="378"/>
      <c r="BW408" s="378"/>
      <c r="BX408" s="378"/>
      <c r="BY408" s="378"/>
      <c r="BZ408" s="378"/>
      <c r="CA408" s="378"/>
      <c r="CB408" s="378"/>
      <c r="CC408" s="378"/>
      <c r="CD408" s="378"/>
    </row>
    <row r="409" spans="1:90" hidden="1" outlineLevel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</row>
    <row r="410" spans="1:90" hidden="1" outlineLevel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</row>
    <row r="411" spans="1:90" hidden="1" outlineLevel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</row>
    <row r="412" spans="1:90" collapsed="1">
      <c r="A412" s="24" t="s">
        <v>2220</v>
      </c>
      <c r="B412" s="4"/>
      <c r="C412" s="5"/>
      <c r="D412" s="5"/>
      <c r="E412" s="5"/>
      <c r="F412" s="71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G412" s="24" t="s">
        <v>2462</v>
      </c>
    </row>
    <row r="413" spans="1:90">
      <c r="A413" s="10"/>
      <c r="B413" s="10"/>
      <c r="C413" s="31">
        <v>2001</v>
      </c>
      <c r="D413" s="32">
        <v>2002</v>
      </c>
      <c r="E413" s="32">
        <v>2003</v>
      </c>
      <c r="F413" s="32">
        <v>2004</v>
      </c>
      <c r="G413" s="31">
        <v>2005</v>
      </c>
      <c r="H413" s="33" t="str">
        <f>H394</f>
        <v>1Q06</v>
      </c>
      <c r="I413" s="33" t="str">
        <f>I394</f>
        <v>2Q06</v>
      </c>
      <c r="J413" s="33" t="str">
        <f>J394</f>
        <v>3Q06</v>
      </c>
      <c r="K413" s="33" t="str">
        <f>K394</f>
        <v>4Q06</v>
      </c>
      <c r="L413" s="31">
        <v>2006</v>
      </c>
      <c r="M413" s="33" t="str">
        <f>M394</f>
        <v>1Q07</v>
      </c>
      <c r="N413" s="33" t="str">
        <f>N394</f>
        <v>2Q07</v>
      </c>
      <c r="O413" s="33" t="str">
        <f>O394</f>
        <v>3Q07</v>
      </c>
      <c r="P413" s="33" t="str">
        <f>P394</f>
        <v>4Q07</v>
      </c>
      <c r="Q413" s="31">
        <v>2007</v>
      </c>
      <c r="R413" s="33" t="str">
        <f>R394</f>
        <v>1Q08</v>
      </c>
      <c r="S413" s="33" t="str">
        <f>S394</f>
        <v>2Q08</v>
      </c>
      <c r="T413" s="33" t="str">
        <f>T394</f>
        <v>3Q08</v>
      </c>
      <c r="U413" s="33" t="str">
        <f>U394</f>
        <v>4Q08</v>
      </c>
      <c r="V413" s="31">
        <v>2008</v>
      </c>
      <c r="W413" s="33" t="str">
        <f>W394</f>
        <v>1Q09</v>
      </c>
      <c r="X413" s="33" t="str">
        <f>X394</f>
        <v>2Q09</v>
      </c>
      <c r="Y413" s="33" t="str">
        <f>Y394</f>
        <v>3Q09</v>
      </c>
      <c r="Z413" s="33" t="str">
        <f>Z394</f>
        <v>4Q09</v>
      </c>
      <c r="AA413" s="31">
        <v>2009</v>
      </c>
      <c r="AB413" s="33" t="str">
        <f>AB394</f>
        <v>1Q10</v>
      </c>
      <c r="AC413" s="33" t="str">
        <f>AC394</f>
        <v>2Q10</v>
      </c>
      <c r="AD413" s="33" t="str">
        <f>AD394</f>
        <v>3Q10</v>
      </c>
      <c r="AE413" s="33" t="str">
        <f>AE394</f>
        <v>4Q10</v>
      </c>
      <c r="AF413" s="31">
        <v>2010</v>
      </c>
      <c r="AG413" s="33" t="str">
        <f>AG394</f>
        <v>1Q11</v>
      </c>
      <c r="AH413" s="33" t="str">
        <f>AH394</f>
        <v>2Q11</v>
      </c>
      <c r="AI413" s="33" t="str">
        <f>AI394</f>
        <v>3Q11</v>
      </c>
      <c r="AJ413" s="33" t="str">
        <f>AJ394</f>
        <v>4Q11</v>
      </c>
      <c r="AK413" s="31">
        <v>2011</v>
      </c>
      <c r="AL413" s="33" t="s">
        <v>2397</v>
      </c>
      <c r="AM413" s="33" t="s">
        <v>2398</v>
      </c>
      <c r="AN413" s="33" t="s">
        <v>2399</v>
      </c>
      <c r="AO413" s="33" t="s">
        <v>2400</v>
      </c>
      <c r="AP413" s="31">
        <v>2012</v>
      </c>
      <c r="AQ413" s="363" t="s">
        <v>2401</v>
      </c>
      <c r="AR413" s="363" t="s">
        <v>2402</v>
      </c>
      <c r="AS413" s="363" t="s">
        <v>2403</v>
      </c>
      <c r="AT413" s="363" t="s">
        <v>2404</v>
      </c>
      <c r="AU413" s="364">
        <v>2013</v>
      </c>
      <c r="AV413" s="363" t="s">
        <v>2405</v>
      </c>
      <c r="AW413" s="363" t="s">
        <v>2406</v>
      </c>
      <c r="AX413" s="363" t="s">
        <v>2407</v>
      </c>
      <c r="AY413" s="363" t="s">
        <v>2408</v>
      </c>
      <c r="AZ413" s="364">
        <v>2014</v>
      </c>
      <c r="BA413" s="33" t="str">
        <f t="shared" ref="BA413:BI413" si="174">BA$8</f>
        <v>1Q15</v>
      </c>
      <c r="BB413" s="33" t="str">
        <f t="shared" si="174"/>
        <v>2Q15</v>
      </c>
      <c r="BC413" s="33" t="str">
        <f t="shared" si="174"/>
        <v>3Q15</v>
      </c>
      <c r="BD413" s="33" t="str">
        <f t="shared" si="174"/>
        <v>4Q15</v>
      </c>
      <c r="BE413" s="31">
        <f t="shared" si="174"/>
        <v>2015</v>
      </c>
      <c r="BF413" s="33" t="str">
        <f t="shared" si="174"/>
        <v>1Q16</v>
      </c>
      <c r="BG413" s="33" t="str">
        <f t="shared" si="174"/>
        <v>2Q16</v>
      </c>
      <c r="BH413" s="33" t="str">
        <f t="shared" si="174"/>
        <v>3Q16</v>
      </c>
      <c r="BI413" s="33" t="str">
        <f t="shared" si="174"/>
        <v>4Q16</v>
      </c>
      <c r="BJ413" s="31">
        <v>2016</v>
      </c>
      <c r="BK413" s="363" t="s">
        <v>2417</v>
      </c>
      <c r="BL413" s="363" t="s">
        <v>2418</v>
      </c>
      <c r="BM413" s="363" t="s">
        <v>2419</v>
      </c>
      <c r="BN413" s="363" t="s">
        <v>2420</v>
      </c>
      <c r="BO413" s="364">
        <v>2017</v>
      </c>
      <c r="BP413" s="363" t="s">
        <v>2244</v>
      </c>
      <c r="BQ413" s="363" t="s">
        <v>2245</v>
      </c>
      <c r="BR413" s="363" t="s">
        <v>2508</v>
      </c>
      <c r="BS413" s="363" t="s">
        <v>2509</v>
      </c>
      <c r="BT413" s="364">
        <v>2018</v>
      </c>
      <c r="BU413" s="363" t="s">
        <v>2510</v>
      </c>
      <c r="BV413" s="363" t="s">
        <v>2511</v>
      </c>
      <c r="BW413" s="363" t="s">
        <v>3125</v>
      </c>
      <c r="BX413" s="363" t="s">
        <v>1405</v>
      </c>
      <c r="BY413" s="364">
        <v>2019</v>
      </c>
      <c r="BZ413" s="363" t="s">
        <v>1406</v>
      </c>
      <c r="CA413" s="363" t="s">
        <v>1407</v>
      </c>
      <c r="CB413" s="363" t="s">
        <v>1408</v>
      </c>
      <c r="CC413" s="363" t="s">
        <v>1409</v>
      </c>
      <c r="CD413" s="364">
        <v>2020</v>
      </c>
      <c r="CG413" s="364" t="s">
        <v>1043</v>
      </c>
      <c r="CH413" s="364" t="s">
        <v>2637</v>
      </c>
      <c r="CI413" s="364" t="s">
        <v>3715</v>
      </c>
      <c r="CJ413" s="364" t="s">
        <v>3551</v>
      </c>
      <c r="CK413" s="364" t="s">
        <v>3713</v>
      </c>
      <c r="CL413" s="364" t="s">
        <v>3714</v>
      </c>
    </row>
    <row r="414" spans="1:90">
      <c r="A414" s="4" t="s">
        <v>2156</v>
      </c>
      <c r="B414" s="5"/>
      <c r="C414" s="72"/>
      <c r="D414" s="72"/>
      <c r="E414" s="72"/>
      <c r="F414" s="72"/>
      <c r="G414" s="5">
        <f>SUM(G376,G395)</f>
        <v>1577</v>
      </c>
      <c r="H414" s="93"/>
      <c r="I414" s="93"/>
      <c r="J414" s="93"/>
      <c r="K414" s="93"/>
      <c r="L414" s="5">
        <f>SUM(L376,L395)</f>
        <v>1697</v>
      </c>
      <c r="M414" s="93"/>
      <c r="N414" s="93"/>
      <c r="O414" s="93"/>
      <c r="P414" s="93"/>
      <c r="Q414" s="5">
        <f>SUM(Q376,Q395)</f>
        <v>1388</v>
      </c>
      <c r="R414" s="93"/>
      <c r="S414" s="93"/>
      <c r="T414" s="93"/>
      <c r="U414" s="93"/>
      <c r="V414" s="5">
        <f>SUM(V376,V395)</f>
        <v>1186</v>
      </c>
      <c r="W414" s="93"/>
      <c r="X414" s="93"/>
      <c r="Y414" s="93"/>
      <c r="Z414" s="93"/>
      <c r="AA414" s="5">
        <f>SUM(AA376,AA395)</f>
        <v>636</v>
      </c>
      <c r="AB414" s="93"/>
      <c r="AC414" s="93"/>
      <c r="AD414" s="93"/>
      <c r="AE414" s="93"/>
      <c r="AF414" s="5">
        <f>SUM(AF376,AF395)</f>
        <v>1272</v>
      </c>
      <c r="AG414" s="93"/>
      <c r="AH414" s="93"/>
      <c r="AI414" s="93"/>
      <c r="AJ414" s="93"/>
      <c r="AK414" s="5">
        <f>SUM(AK376,AK395)</f>
        <v>1450</v>
      </c>
      <c r="AL414" s="93"/>
      <c r="AM414" s="93"/>
      <c r="AN414" s="93"/>
      <c r="AO414" s="93"/>
      <c r="AP414" s="5">
        <f>SUM(AP376,AP395)</f>
        <v>1299</v>
      </c>
      <c r="AQ414" s="93"/>
      <c r="AR414" s="93"/>
      <c r="AS414" s="93"/>
      <c r="AT414" s="93"/>
      <c r="AU414" s="5">
        <f>SUM(AU376,AU395)</f>
        <v>1005</v>
      </c>
      <c r="AV414" s="93"/>
      <c r="AW414" s="93"/>
      <c r="AX414" s="93"/>
      <c r="AY414" s="93"/>
      <c r="AZ414" s="5">
        <f>SUM(AZ376,AZ395)</f>
        <v>1135</v>
      </c>
      <c r="BA414" s="93"/>
      <c r="BB414" s="93"/>
      <c r="BC414" s="93"/>
      <c r="BD414" s="93"/>
      <c r="BE414" s="5">
        <f>SUM(BE376,BE395)</f>
        <v>800</v>
      </c>
      <c r="BF414" s="93"/>
      <c r="BG414" s="93"/>
      <c r="BH414" s="93"/>
      <c r="BI414" s="93"/>
      <c r="BJ414" s="5">
        <f>SUM(BJ376,BJ395)</f>
        <v>97</v>
      </c>
      <c r="BK414" s="93"/>
      <c r="BL414" s="93"/>
      <c r="BM414" s="93"/>
      <c r="BN414" s="93"/>
      <c r="BO414" s="5">
        <f>SUM(BO376,BO395)</f>
        <v>1276</v>
      </c>
      <c r="BP414" s="72"/>
      <c r="BQ414" s="72"/>
      <c r="BR414" s="72"/>
      <c r="BS414" s="72"/>
      <c r="BT414" s="72"/>
      <c r="BU414" s="72"/>
      <c r="BV414" s="72"/>
      <c r="BW414" s="72"/>
      <c r="BX414" s="72"/>
      <c r="BY414" s="72"/>
      <c r="BZ414" s="72"/>
      <c r="CA414" s="72"/>
      <c r="CB414" s="72"/>
      <c r="CC414" s="72"/>
      <c r="CD414" s="72"/>
      <c r="CG414" s="468">
        <v>2006</v>
      </c>
      <c r="CH414" s="115">
        <f>HLOOKUP(CG414,$A$413:$CD$461,49,FALSE)*HLOOKUP(CG414,$A$413:$CD$461,20,FALSE)*0.365</f>
        <v>2843.9999999999995</v>
      </c>
      <c r="CI414" s="634">
        <v>1</v>
      </c>
      <c r="CJ414" s="115">
        <v>3418.476325577466</v>
      </c>
      <c r="CK414" s="342">
        <f>CH414*CI414</f>
        <v>2843.9999999999995</v>
      </c>
      <c r="CL414" s="115">
        <f>CK414-CJ414</f>
        <v>-574.47632557746647</v>
      </c>
    </row>
    <row r="415" spans="1:90">
      <c r="A415" s="4" t="s">
        <v>2157</v>
      </c>
      <c r="B415" s="5"/>
      <c r="C415" s="72"/>
      <c r="D415" s="72"/>
      <c r="E415" s="72"/>
      <c r="F415" s="72"/>
      <c r="G415" s="5">
        <f>SUM(G377,G396)</f>
        <v>4538</v>
      </c>
      <c r="H415" s="93"/>
      <c r="I415" s="93"/>
      <c r="J415" s="93"/>
      <c r="K415" s="93"/>
      <c r="L415" s="5">
        <f>SUM(L377,L396)</f>
        <v>7334</v>
      </c>
      <c r="M415" s="93"/>
      <c r="N415" s="93"/>
      <c r="O415" s="93"/>
      <c r="P415" s="93"/>
      <c r="Q415" s="5">
        <f>SUM(Q377,Q396)</f>
        <v>10137</v>
      </c>
      <c r="R415" s="93"/>
      <c r="S415" s="93"/>
      <c r="T415" s="93"/>
      <c r="U415" s="93"/>
      <c r="V415" s="5">
        <f>SUM(V377,V396)</f>
        <v>11249</v>
      </c>
      <c r="W415" s="93"/>
      <c r="X415" s="93"/>
      <c r="Y415" s="93"/>
      <c r="Z415" s="93"/>
      <c r="AA415" s="5">
        <f>SUM(AA377,AA396)</f>
        <v>6257</v>
      </c>
      <c r="AB415" s="93"/>
      <c r="AC415" s="93"/>
      <c r="AD415" s="93"/>
      <c r="AE415" s="93"/>
      <c r="AF415" s="5">
        <f>SUM(AF377,AF396)</f>
        <v>6697</v>
      </c>
      <c r="AG415" s="93"/>
      <c r="AH415" s="93"/>
      <c r="AI415" s="93"/>
      <c r="AJ415" s="93"/>
      <c r="AK415" s="5">
        <f>SUM(AK377,AK396)</f>
        <v>10811</v>
      </c>
      <c r="AL415" s="93"/>
      <c r="AM415" s="93"/>
      <c r="AN415" s="93"/>
      <c r="AO415" s="93"/>
      <c r="AP415" s="5">
        <f>SUM(AP377,AP396)</f>
        <v>11345</v>
      </c>
      <c r="AQ415" s="93"/>
      <c r="AR415" s="93"/>
      <c r="AS415" s="93"/>
      <c r="AT415" s="93"/>
      <c r="AU415" s="5">
        <f>SUM(AU377,AU396)</f>
        <v>11432</v>
      </c>
      <c r="AV415" s="93"/>
      <c r="AW415" s="93"/>
      <c r="AX415" s="93"/>
      <c r="AY415" s="93"/>
      <c r="AZ415" s="5">
        <f>SUM(AZ377,AZ396)</f>
        <v>6951</v>
      </c>
      <c r="BA415" s="93"/>
      <c r="BB415" s="93"/>
      <c r="BC415" s="93"/>
      <c r="BD415" s="93"/>
      <c r="BE415" s="5">
        <f>SUM(BE377,BE396)</f>
        <v>4028</v>
      </c>
      <c r="BF415" s="93"/>
      <c r="BG415" s="93"/>
      <c r="BH415" s="93"/>
      <c r="BI415" s="93"/>
      <c r="BJ415" s="5">
        <f>SUM(BJ377,BJ396)</f>
        <v>3908</v>
      </c>
      <c r="BK415" s="93"/>
      <c r="BL415" s="93"/>
      <c r="BM415" s="93"/>
      <c r="BN415" s="93"/>
      <c r="BO415" s="5">
        <f>SUM(BO377,BO396)</f>
        <v>6394</v>
      </c>
      <c r="BP415" s="72"/>
      <c r="BQ415" s="72"/>
      <c r="BR415" s="72"/>
      <c r="BS415" s="72"/>
      <c r="BT415" s="72"/>
      <c r="BU415" s="72"/>
      <c r="BV415" s="72"/>
      <c r="BW415" s="72"/>
      <c r="BX415" s="72"/>
      <c r="BY415" s="72"/>
      <c r="BZ415" s="72"/>
      <c r="CA415" s="72"/>
      <c r="CB415" s="72"/>
      <c r="CC415" s="72"/>
      <c r="CD415" s="72"/>
      <c r="CG415" s="468">
        <v>2007</v>
      </c>
      <c r="CH415" s="115">
        <f t="shared" ref="CH415:CH428" si="175">HLOOKUP(CG415,$A$413:$CD$461,49,FALSE)*HLOOKUP(CG415,$A$413:$CD$461,20,FALSE)*0.365</f>
        <v>4518</v>
      </c>
      <c r="CI415" s="634">
        <v>1</v>
      </c>
      <c r="CJ415" s="115">
        <v>4799.3562901589867</v>
      </c>
      <c r="CK415" s="342">
        <f t="shared" ref="CK415:CK428" si="176">CH415*CI415</f>
        <v>4518</v>
      </c>
      <c r="CL415" s="115">
        <f t="shared" ref="CL415:CL428" si="177">CK415-CJ415</f>
        <v>-281.35629015898667</v>
      </c>
    </row>
    <row r="416" spans="1:90">
      <c r="A416" s="7" t="s">
        <v>2155</v>
      </c>
      <c r="B416" s="8"/>
      <c r="C416" s="73">
        <f>C414+C415</f>
        <v>0</v>
      </c>
      <c r="D416" s="73">
        <f>D414+D415</f>
        <v>0</v>
      </c>
      <c r="E416" s="73">
        <f>E414+E415</f>
        <v>0</v>
      </c>
      <c r="F416" s="73">
        <f>F414+F415</f>
        <v>0</v>
      </c>
      <c r="G416" s="8">
        <f>G414+G415</f>
        <v>6115</v>
      </c>
      <c r="H416" s="93"/>
      <c r="I416" s="93"/>
      <c r="J416" s="93"/>
      <c r="K416" s="93"/>
      <c r="L416" s="8">
        <f>L414+L415</f>
        <v>9031</v>
      </c>
      <c r="M416" s="93"/>
      <c r="N416" s="93"/>
      <c r="O416" s="93"/>
      <c r="P416" s="93"/>
      <c r="Q416" s="8">
        <f>Q414+Q415</f>
        <v>11525</v>
      </c>
      <c r="R416" s="93"/>
      <c r="S416" s="93"/>
      <c r="T416" s="93"/>
      <c r="U416" s="93"/>
      <c r="V416" s="8">
        <f>V414+V415</f>
        <v>12435</v>
      </c>
      <c r="W416" s="93"/>
      <c r="X416" s="93"/>
      <c r="Y416" s="93"/>
      <c r="Z416" s="93"/>
      <c r="AA416" s="8">
        <f>AA414+AA415</f>
        <v>6893</v>
      </c>
      <c r="AB416" s="93"/>
      <c r="AC416" s="93"/>
      <c r="AD416" s="93"/>
      <c r="AE416" s="93"/>
      <c r="AF416" s="8">
        <f>AF414+AF415</f>
        <v>7969</v>
      </c>
      <c r="AG416" s="93"/>
      <c r="AH416" s="93"/>
      <c r="AI416" s="93"/>
      <c r="AJ416" s="93"/>
      <c r="AK416" s="8">
        <f>AK414+AK415</f>
        <v>12261</v>
      </c>
      <c r="AL416" s="93"/>
      <c r="AM416" s="93"/>
      <c r="AN416" s="93"/>
      <c r="AO416" s="93"/>
      <c r="AP416" s="8">
        <f>AP414+AP415</f>
        <v>12644</v>
      </c>
      <c r="AQ416" s="93"/>
      <c r="AR416" s="93"/>
      <c r="AS416" s="93"/>
      <c r="AT416" s="93"/>
      <c r="AU416" s="8">
        <f>AU414+AU415</f>
        <v>12437</v>
      </c>
      <c r="AV416" s="93"/>
      <c r="AW416" s="93"/>
      <c r="AX416" s="93"/>
      <c r="AY416" s="93"/>
      <c r="AZ416" s="8">
        <f>AZ414+AZ415</f>
        <v>8086</v>
      </c>
      <c r="BA416" s="93"/>
      <c r="BB416" s="93"/>
      <c r="BC416" s="93"/>
      <c r="BD416" s="93"/>
      <c r="BE416" s="8">
        <f>BE414+BE415</f>
        <v>4828</v>
      </c>
      <c r="BF416" s="93"/>
      <c r="BG416" s="93"/>
      <c r="BH416" s="93"/>
      <c r="BI416" s="93"/>
      <c r="BJ416" s="8">
        <f>BJ414+BJ415</f>
        <v>4005</v>
      </c>
      <c r="BK416" s="93"/>
      <c r="BL416" s="93"/>
      <c r="BM416" s="93"/>
      <c r="BN416" s="93"/>
      <c r="BO416" s="8">
        <f>BO414+BO415</f>
        <v>7670</v>
      </c>
      <c r="BP416" s="19">
        <f t="shared" ref="BP416:CD416" si="178">BP438*(1+BP439)</f>
        <v>2846.6509685355172</v>
      </c>
      <c r="BQ416" s="19">
        <f t="shared" si="178"/>
        <v>2884.2872382435939</v>
      </c>
      <c r="BR416" s="19">
        <f t="shared" si="178"/>
        <v>2864.9505806157676</v>
      </c>
      <c r="BS416" s="19">
        <f t="shared" si="178"/>
        <v>2827.1490570304295</v>
      </c>
      <c r="BT416" s="8">
        <f t="shared" si="178"/>
        <v>11423.037844425309</v>
      </c>
      <c r="BU416" s="19">
        <f t="shared" si="178"/>
        <v>2975.2439170445055</v>
      </c>
      <c r="BV416" s="19">
        <f t="shared" si="178"/>
        <v>2985.3396501789553</v>
      </c>
      <c r="BW416" s="19">
        <f t="shared" si="178"/>
        <v>3024.1950983519391</v>
      </c>
      <c r="BX416" s="19">
        <f t="shared" si="178"/>
        <v>3034.5889363312958</v>
      </c>
      <c r="BY416" s="8">
        <f t="shared" si="178"/>
        <v>12019.367601906695</v>
      </c>
      <c r="BZ416" s="19">
        <f t="shared" si="178"/>
        <v>3243.4359521736087</v>
      </c>
      <c r="CA416" s="19">
        <f t="shared" si="178"/>
        <v>3271.3931652994997</v>
      </c>
      <c r="CB416" s="19">
        <f t="shared" si="178"/>
        <v>3336.4965321670675</v>
      </c>
      <c r="CC416" s="19">
        <f t="shared" si="178"/>
        <v>3371.497324612877</v>
      </c>
      <c r="CD416" s="8">
        <f t="shared" si="178"/>
        <v>13222.822974253055</v>
      </c>
      <c r="CF416" s="632"/>
      <c r="CG416" s="468">
        <v>2008</v>
      </c>
      <c r="CH416" s="115">
        <f t="shared" si="175"/>
        <v>3214</v>
      </c>
      <c r="CI416" s="634">
        <v>1</v>
      </c>
      <c r="CJ416" s="115">
        <v>4297.3411789571182</v>
      </c>
      <c r="CK416" s="342">
        <f t="shared" si="176"/>
        <v>3214</v>
      </c>
      <c r="CL416" s="115">
        <f t="shared" si="177"/>
        <v>-1083.3411789571182</v>
      </c>
    </row>
    <row r="417" spans="1:90">
      <c r="A417" s="4"/>
      <c r="B417" s="5"/>
      <c r="C417" s="72"/>
      <c r="D417" s="72"/>
      <c r="E417" s="72"/>
      <c r="F417" s="72"/>
      <c r="G417" s="5"/>
      <c r="H417" s="12"/>
      <c r="I417" s="12"/>
      <c r="J417" s="12"/>
      <c r="K417" s="12"/>
      <c r="L417" s="5"/>
      <c r="M417" s="12"/>
      <c r="N417" s="12"/>
      <c r="O417" s="12"/>
      <c r="P417" s="12"/>
      <c r="Q417" s="5"/>
      <c r="R417" s="12"/>
      <c r="S417" s="12"/>
      <c r="T417" s="12"/>
      <c r="U417" s="12"/>
      <c r="V417" s="5"/>
      <c r="W417" s="12"/>
      <c r="X417" s="12"/>
      <c r="Y417" s="12"/>
      <c r="Z417" s="12"/>
      <c r="AA417" s="5"/>
      <c r="AB417" s="12"/>
      <c r="AC417" s="12"/>
      <c r="AD417" s="12"/>
      <c r="AE417" s="12"/>
      <c r="AF417" s="5"/>
      <c r="AG417" s="12"/>
      <c r="AH417" s="12"/>
      <c r="AI417" s="12"/>
      <c r="AJ417" s="12"/>
      <c r="AK417" s="5"/>
      <c r="AL417" s="12"/>
      <c r="AM417" s="12"/>
      <c r="AN417" s="12"/>
      <c r="AO417" s="12"/>
      <c r="AP417" s="5"/>
      <c r="AQ417" s="12"/>
      <c r="AR417" s="12"/>
      <c r="AS417" s="12"/>
      <c r="AT417" s="12"/>
      <c r="AU417" s="5"/>
      <c r="AV417" s="12"/>
      <c r="AW417" s="12"/>
      <c r="AX417" s="12"/>
      <c r="AY417" s="12"/>
      <c r="AZ417" s="5"/>
      <c r="BA417" s="12"/>
      <c r="BB417" s="12"/>
      <c r="BC417" s="12"/>
      <c r="BD417" s="12"/>
      <c r="BE417" s="5"/>
      <c r="BF417" s="12"/>
      <c r="BG417" s="12"/>
      <c r="BH417" s="12"/>
      <c r="BI417" s="12"/>
      <c r="BJ417" s="5"/>
      <c r="BK417" s="12"/>
      <c r="BL417" s="12"/>
      <c r="BM417" s="12"/>
      <c r="BN417" s="12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F417" s="632"/>
      <c r="CG417" s="468">
        <v>2009</v>
      </c>
      <c r="CH417" s="115">
        <f t="shared" si="175"/>
        <v>1963.0000000000002</v>
      </c>
      <c r="CI417" s="634">
        <v>1</v>
      </c>
      <c r="CJ417" s="115">
        <v>2164.5376069642498</v>
      </c>
      <c r="CK417" s="342">
        <f t="shared" si="176"/>
        <v>1963.0000000000002</v>
      </c>
      <c r="CL417" s="115">
        <f t="shared" si="177"/>
        <v>-201.53760696424956</v>
      </c>
    </row>
    <row r="418" spans="1:90">
      <c r="A418" s="4" t="s">
        <v>1897</v>
      </c>
      <c r="B418" s="5"/>
      <c r="C418" s="72"/>
      <c r="D418" s="72"/>
      <c r="E418" s="72"/>
      <c r="F418" s="72"/>
      <c r="G418" s="5">
        <f t="shared" ref="G418:G423" si="179">SUM(G380,G399)</f>
        <v>-54</v>
      </c>
      <c r="H418" s="93"/>
      <c r="I418" s="93"/>
      <c r="J418" s="93"/>
      <c r="K418" s="93"/>
      <c r="L418" s="5">
        <f t="shared" ref="L418:L423" si="180">SUM(L380,L399)</f>
        <v>-122</v>
      </c>
      <c r="M418" s="93"/>
      <c r="N418" s="93"/>
      <c r="O418" s="93"/>
      <c r="P418" s="93"/>
      <c r="Q418" s="5">
        <f t="shared" ref="Q418:Q423" si="181">SUM(Q380,Q399)</f>
        <v>-134</v>
      </c>
      <c r="R418" s="93"/>
      <c r="S418" s="93"/>
      <c r="T418" s="93"/>
      <c r="U418" s="93"/>
      <c r="V418" s="5">
        <f t="shared" ref="V418:V423" si="182">SUM(V380,V399)</f>
        <v>-154</v>
      </c>
      <c r="W418" s="93"/>
      <c r="X418" s="93"/>
      <c r="Y418" s="93"/>
      <c r="Z418" s="93"/>
      <c r="AA418" s="5">
        <f t="shared" ref="AA418:AA423" si="183">SUM(AA380,AA399)</f>
        <v>-57</v>
      </c>
      <c r="AB418" s="93"/>
      <c r="AC418" s="93"/>
      <c r="AD418" s="93"/>
      <c r="AE418" s="93"/>
      <c r="AF418" s="5">
        <f t="shared" ref="AF418:AF423" si="184">SUM(AF380,AF399)</f>
        <v>-58</v>
      </c>
      <c r="AG418" s="93"/>
      <c r="AH418" s="93"/>
      <c r="AI418" s="93"/>
      <c r="AJ418" s="93"/>
      <c r="AK418" s="5">
        <f t="shared" ref="AK418:AK423" si="185">SUM(AK380,AK399)</f>
        <v>-140</v>
      </c>
      <c r="AL418" s="93"/>
      <c r="AM418" s="93"/>
      <c r="AN418" s="93"/>
      <c r="AO418" s="93"/>
      <c r="AP418" s="5">
        <f t="shared" ref="AP418:AP423" si="186">SUM(AP380,AP399)</f>
        <v>-126</v>
      </c>
      <c r="AQ418" s="93"/>
      <c r="AR418" s="93"/>
      <c r="AS418" s="93"/>
      <c r="AT418" s="93"/>
      <c r="AU418" s="5">
        <f t="shared" ref="AU418:AU423" si="187">SUM(AU380,AU399)</f>
        <v>-768</v>
      </c>
      <c r="AV418" s="93"/>
      <c r="AW418" s="93"/>
      <c r="AX418" s="93"/>
      <c r="AY418" s="93"/>
      <c r="AZ418" s="5">
        <f t="shared" ref="AZ418:AZ423" si="188">SUM(AZ380,AZ399)</f>
        <v>-712</v>
      </c>
      <c r="BA418" s="93"/>
      <c r="BB418" s="93"/>
      <c r="BC418" s="93"/>
      <c r="BD418" s="93"/>
      <c r="BE418" s="5">
        <f t="shared" ref="BE418:BE423" si="189">SUM(BE380,BE399)</f>
        <v>-58</v>
      </c>
      <c r="BF418" s="93"/>
      <c r="BG418" s="93"/>
      <c r="BH418" s="93"/>
      <c r="BI418" s="93"/>
      <c r="BJ418" s="5">
        <f t="shared" ref="BJ418:BJ423" si="190">SUM(BJ380,BJ399)</f>
        <v>17</v>
      </c>
      <c r="BK418" s="93"/>
      <c r="BL418" s="93"/>
      <c r="BM418" s="93"/>
      <c r="BN418" s="93"/>
      <c r="BO418" s="5">
        <f t="shared" ref="BO418:BO423" si="191">SUM(BO380,BO399)</f>
        <v>18</v>
      </c>
      <c r="BP418" s="12">
        <f>-Capex!BP123</f>
        <v>-37.5</v>
      </c>
      <c r="BQ418" s="12">
        <f>-Capex!BQ123</f>
        <v>-24.268888888888888</v>
      </c>
      <c r="BR418" s="12">
        <f>-Capex!BR123</f>
        <v>-24.268888888888888</v>
      </c>
      <c r="BS418" s="12">
        <f>-Capex!BS123</f>
        <v>-24.268888888888888</v>
      </c>
      <c r="BT418" s="5">
        <f>SUM(BP418:BS418)</f>
        <v>-110.30666666666667</v>
      </c>
      <c r="BU418" s="12">
        <f>-Capex!BU123</f>
        <v>-22.609166666666667</v>
      </c>
      <c r="BV418" s="12">
        <f>-Capex!BV123</f>
        <v>-22.609166666666667</v>
      </c>
      <c r="BW418" s="12">
        <f>-Capex!BW123</f>
        <v>-22.609166666666667</v>
      </c>
      <c r="BX418" s="12">
        <f>-Capex!BX123</f>
        <v>-22.60916666666667</v>
      </c>
      <c r="BY418" s="5">
        <f>SUM(BU418:BX418)</f>
        <v>-90.436666666666667</v>
      </c>
      <c r="BZ418" s="12">
        <f>-Capex!BZ123</f>
        <v>-14.560000000000002</v>
      </c>
      <c r="CA418" s="12">
        <f>-Capex!CA123</f>
        <v>-14.560000000000002</v>
      </c>
      <c r="CB418" s="12">
        <f>-Capex!CB123</f>
        <v>-14.560000000000002</v>
      </c>
      <c r="CC418" s="12">
        <f>-Capex!CC123</f>
        <v>-14.560000000000002</v>
      </c>
      <c r="CD418" s="5">
        <f>SUM(BZ418:CC418)</f>
        <v>-58.240000000000009</v>
      </c>
      <c r="CF418" s="632"/>
      <c r="CG418" s="468">
        <v>2010</v>
      </c>
      <c r="CH418" s="115">
        <f t="shared" si="175"/>
        <v>2874.9999999999995</v>
      </c>
      <c r="CI418" s="634">
        <v>1</v>
      </c>
      <c r="CJ418" s="115">
        <v>3351.5854853543974</v>
      </c>
      <c r="CK418" s="342">
        <f t="shared" si="176"/>
        <v>2874.9999999999995</v>
      </c>
      <c r="CL418" s="115">
        <f t="shared" si="177"/>
        <v>-476.58548535439786</v>
      </c>
    </row>
    <row r="419" spans="1:90">
      <c r="A419" s="4" t="s">
        <v>2149</v>
      </c>
      <c r="B419" s="5"/>
      <c r="C419" s="72"/>
      <c r="D419" s="72"/>
      <c r="E419" s="72"/>
      <c r="F419" s="72"/>
      <c r="G419" s="5">
        <f t="shared" si="179"/>
        <v>-285.00333333333333</v>
      </c>
      <c r="H419" s="93"/>
      <c r="I419" s="93"/>
      <c r="J419" s="93"/>
      <c r="K419" s="93"/>
      <c r="L419" s="5">
        <f t="shared" si="180"/>
        <v>-339</v>
      </c>
      <c r="M419" s="93"/>
      <c r="N419" s="93"/>
      <c r="O419" s="93"/>
      <c r="P419" s="93"/>
      <c r="Q419" s="5">
        <f t="shared" si="181"/>
        <v>-472</v>
      </c>
      <c r="R419" s="93"/>
      <c r="S419" s="93"/>
      <c r="T419" s="93"/>
      <c r="U419" s="93"/>
      <c r="V419" s="5">
        <f t="shared" si="182"/>
        <v>-503</v>
      </c>
      <c r="W419" s="93"/>
      <c r="X419" s="93"/>
      <c r="Y419" s="93"/>
      <c r="Z419" s="93"/>
      <c r="AA419" s="5">
        <f t="shared" si="183"/>
        <v>-376</v>
      </c>
      <c r="AB419" s="93"/>
      <c r="AC419" s="93"/>
      <c r="AD419" s="93"/>
      <c r="AE419" s="93"/>
      <c r="AF419" s="5">
        <f t="shared" si="184"/>
        <v>-374</v>
      </c>
      <c r="AG419" s="93"/>
      <c r="AH419" s="93"/>
      <c r="AI419" s="93"/>
      <c r="AJ419" s="93"/>
      <c r="AK419" s="5">
        <f t="shared" si="185"/>
        <v>-791</v>
      </c>
      <c r="AL419" s="93"/>
      <c r="AM419" s="93"/>
      <c r="AN419" s="93"/>
      <c r="AO419" s="93"/>
      <c r="AP419" s="5">
        <f t="shared" si="186"/>
        <v>-1076</v>
      </c>
      <c r="AQ419" s="93"/>
      <c r="AR419" s="93"/>
      <c r="AS419" s="93"/>
      <c r="AT419" s="93"/>
      <c r="AU419" s="5">
        <f t="shared" si="187"/>
        <v>-1091</v>
      </c>
      <c r="AV419" s="93"/>
      <c r="AW419" s="93"/>
      <c r="AX419" s="93"/>
      <c r="AY419" s="93"/>
      <c r="AZ419" s="5">
        <f t="shared" si="188"/>
        <v>-1289</v>
      </c>
      <c r="BA419" s="93"/>
      <c r="BB419" s="93"/>
      <c r="BC419" s="93"/>
      <c r="BD419" s="93"/>
      <c r="BE419" s="5">
        <f t="shared" si="189"/>
        <v>-1083</v>
      </c>
      <c r="BF419" s="93"/>
      <c r="BG419" s="93"/>
      <c r="BH419" s="93"/>
      <c r="BI419" s="93"/>
      <c r="BJ419" s="5">
        <f t="shared" si="190"/>
        <v>-691</v>
      </c>
      <c r="BK419" s="93"/>
      <c r="BL419" s="93"/>
      <c r="BM419" s="93"/>
      <c r="BN419" s="93"/>
      <c r="BO419" s="5">
        <f t="shared" si="191"/>
        <v>-904</v>
      </c>
      <c r="BP419" s="65">
        <f>-BP432*BP443*'Key assumptions'!BP$48/1000</f>
        <v>-284.41531696727816</v>
      </c>
      <c r="BQ419" s="65">
        <f>-BQ432*BQ443*'Key assumptions'!BQ$48/1000</f>
        <v>-285.42043070117961</v>
      </c>
      <c r="BR419" s="65">
        <f>-BR432*BR443*'Key assumptions'!BR$48/1000</f>
        <v>-289.12467220893222</v>
      </c>
      <c r="BS419" s="65">
        <f>-BS432*BS443*'Key assumptions'!BS$48/1000</f>
        <v>-290.10014420959021</v>
      </c>
      <c r="BT419" s="5">
        <f>SUM(BP419:BS419)</f>
        <v>-1149.0605640869803</v>
      </c>
      <c r="BU419" s="65">
        <f>-BU432*BU443*'Key assumptions'!BU$48/1000</f>
        <v>-318.56883389503537</v>
      </c>
      <c r="BV419" s="65">
        <f>-BV432*BV443*'Key assumptions'!BV$48/1000</f>
        <v>-319.64981616796177</v>
      </c>
      <c r="BW419" s="65">
        <f>-BW432*BW443*'Key assumptions'!BW$48/1000</f>
        <v>-323.81019264802944</v>
      </c>
      <c r="BX419" s="65">
        <f>-BX432*BX443*'Key assumptions'!BX$48/1000</f>
        <v>-324.9230939553168</v>
      </c>
      <c r="BY419" s="5">
        <f>SUM(BU419:BX419)</f>
        <v>-1286.9519366663433</v>
      </c>
      <c r="BZ419" s="65">
        <f>-BZ432*BZ443*'Key assumptions'!BZ$48/1000</f>
        <v>-358.25551391817964</v>
      </c>
      <c r="CA419" s="65">
        <f>-CA432*CA443*'Key assumptions'!CA$48/1000</f>
        <v>-355.07602887956023</v>
      </c>
      <c r="CB419" s="65">
        <f>-CB432*CB443*'Key assumptions'!CB$48/1000</f>
        <v>-359.81560395968154</v>
      </c>
      <c r="CC419" s="65">
        <f>-CC432*CC443*'Key assumptions'!CC$48/1000</f>
        <v>-361.25477675955386</v>
      </c>
      <c r="CD419" s="5">
        <f>SUM(BZ419:CC419)</f>
        <v>-1434.4019235169753</v>
      </c>
      <c r="CF419" s="632"/>
      <c r="CG419" s="468">
        <v>2011</v>
      </c>
      <c r="CH419" s="115">
        <f t="shared" si="175"/>
        <v>4343.9999999999991</v>
      </c>
      <c r="CI419" s="634">
        <v>1</v>
      </c>
      <c r="CJ419" s="115">
        <v>5981.7953581008169</v>
      </c>
      <c r="CK419" s="342">
        <f t="shared" si="176"/>
        <v>4343.9999999999991</v>
      </c>
      <c r="CL419" s="115">
        <f t="shared" si="177"/>
        <v>-1637.7953581008178</v>
      </c>
    </row>
    <row r="420" spans="1:90">
      <c r="A420" s="4" t="s">
        <v>2150</v>
      </c>
      <c r="B420" s="5"/>
      <c r="C420" s="72"/>
      <c r="D420" s="72"/>
      <c r="E420" s="72"/>
      <c r="F420" s="72"/>
      <c r="G420" s="5">
        <f t="shared" si="179"/>
        <v>-2664</v>
      </c>
      <c r="H420" s="93"/>
      <c r="I420" s="93"/>
      <c r="J420" s="93"/>
      <c r="K420" s="93"/>
      <c r="L420" s="5">
        <f t="shared" si="180"/>
        <v>-3642</v>
      </c>
      <c r="M420" s="93"/>
      <c r="N420" s="93"/>
      <c r="O420" s="93"/>
      <c r="P420" s="93"/>
      <c r="Q420" s="5">
        <f t="shared" si="181"/>
        <v>-3914</v>
      </c>
      <c r="R420" s="93"/>
      <c r="S420" s="93"/>
      <c r="T420" s="93"/>
      <c r="U420" s="93"/>
      <c r="V420" s="5">
        <f t="shared" si="182"/>
        <v>-5510</v>
      </c>
      <c r="W420" s="93"/>
      <c r="X420" s="93"/>
      <c r="Y420" s="93"/>
      <c r="Z420" s="93"/>
      <c r="AA420" s="5">
        <f t="shared" si="183"/>
        <v>-2854</v>
      </c>
      <c r="AB420" s="93"/>
      <c r="AC420" s="93"/>
      <c r="AD420" s="93"/>
      <c r="AE420" s="93"/>
      <c r="AF420" s="5">
        <f t="shared" si="184"/>
        <v>-3764</v>
      </c>
      <c r="AG420" s="93"/>
      <c r="AH420" s="93"/>
      <c r="AI420" s="93"/>
      <c r="AJ420" s="93"/>
      <c r="AK420" s="5">
        <f t="shared" si="185"/>
        <v>-5956</v>
      </c>
      <c r="AL420" s="93"/>
      <c r="AM420" s="93"/>
      <c r="AN420" s="93"/>
      <c r="AO420" s="93"/>
      <c r="AP420" s="5">
        <f t="shared" si="186"/>
        <v>-6291</v>
      </c>
      <c r="AQ420" s="93"/>
      <c r="AR420" s="93"/>
      <c r="AS420" s="93"/>
      <c r="AT420" s="93"/>
      <c r="AU420" s="5">
        <f t="shared" si="187"/>
        <v>-5660</v>
      </c>
      <c r="AV420" s="93"/>
      <c r="AW420" s="93"/>
      <c r="AX420" s="93"/>
      <c r="AY420" s="93"/>
      <c r="AZ420" s="5">
        <f t="shared" si="188"/>
        <v>-2234</v>
      </c>
      <c r="BA420" s="93"/>
      <c r="BB420" s="93"/>
      <c r="BC420" s="93"/>
      <c r="BD420" s="93"/>
      <c r="BE420" s="5">
        <f t="shared" si="189"/>
        <v>-834</v>
      </c>
      <c r="BF420" s="93"/>
      <c r="BG420" s="93"/>
      <c r="BH420" s="93"/>
      <c r="BI420" s="93"/>
      <c r="BJ420" s="5">
        <f t="shared" si="190"/>
        <v>-800</v>
      </c>
      <c r="BK420" s="93"/>
      <c r="BL420" s="93"/>
      <c r="BM420" s="93"/>
      <c r="BN420" s="93"/>
      <c r="BO420" s="5">
        <f t="shared" si="191"/>
        <v>-1618</v>
      </c>
      <c r="BP420" s="12">
        <f>-BP416*BP455</f>
        <v>-569.33019370710349</v>
      </c>
      <c r="BQ420" s="12">
        <f>-BQ416*BQ455</f>
        <v>-576.85744764871879</v>
      </c>
      <c r="BR420" s="12">
        <f>-BR416*BR455</f>
        <v>-572.9901161231536</v>
      </c>
      <c r="BS420" s="12">
        <f>-BS416*BS455</f>
        <v>-565.42981140608595</v>
      </c>
      <c r="BT420" s="5">
        <f>SUM(BP420:BS420)</f>
        <v>-2284.6075688850615</v>
      </c>
      <c r="BU420" s="12">
        <f>-BU416*BU455</f>
        <v>-595.04878340890116</v>
      </c>
      <c r="BV420" s="12">
        <f>-BV416*BV455</f>
        <v>-597.06793003579105</v>
      </c>
      <c r="BW420" s="12">
        <f>-BW416*BW455</f>
        <v>-604.83901967038787</v>
      </c>
      <c r="BX420" s="12">
        <f>-BX416*BX455</f>
        <v>-606.91778726625921</v>
      </c>
      <c r="BY420" s="5">
        <f>SUM(BU420:BX420)</f>
        <v>-2403.8735203813394</v>
      </c>
      <c r="BZ420" s="12">
        <f>-BZ416*BZ455</f>
        <v>-648.68719043472174</v>
      </c>
      <c r="CA420" s="12">
        <f>-CA416*CA455</f>
        <v>-654.27863305990002</v>
      </c>
      <c r="CB420" s="12">
        <f>-CB416*CB455</f>
        <v>-667.29930643341356</v>
      </c>
      <c r="CC420" s="12">
        <f>-CC416*CC455</f>
        <v>-674.29946492257545</v>
      </c>
      <c r="CD420" s="5">
        <f>SUM(BZ420:CC420)</f>
        <v>-2644.5645948506108</v>
      </c>
      <c r="CF420" s="632"/>
      <c r="CG420" s="468">
        <v>2012</v>
      </c>
      <c r="CH420" s="115">
        <f t="shared" si="175"/>
        <v>4873</v>
      </c>
      <c r="CI420" s="634">
        <v>1</v>
      </c>
      <c r="CJ420" s="115">
        <v>5589.9048555927711</v>
      </c>
      <c r="CK420" s="342">
        <f t="shared" si="176"/>
        <v>4873</v>
      </c>
      <c r="CL420" s="115">
        <f t="shared" si="177"/>
        <v>-716.90485559277113</v>
      </c>
    </row>
    <row r="421" spans="1:90">
      <c r="A421" s="4" t="s">
        <v>2158</v>
      </c>
      <c r="B421" s="5"/>
      <c r="C421" s="72"/>
      <c r="D421" s="72"/>
      <c r="E421" s="72"/>
      <c r="F421" s="72"/>
      <c r="G421" s="5">
        <f t="shared" si="179"/>
        <v>-943</v>
      </c>
      <c r="H421" s="93"/>
      <c r="I421" s="93"/>
      <c r="J421" s="93"/>
      <c r="K421" s="93"/>
      <c r="L421" s="5">
        <f t="shared" si="180"/>
        <v>-1266</v>
      </c>
      <c r="M421" s="93"/>
      <c r="N421" s="93"/>
      <c r="O421" s="93"/>
      <c r="P421" s="93"/>
      <c r="Q421" s="5">
        <f t="shared" si="181"/>
        <v>-1485</v>
      </c>
      <c r="R421" s="93"/>
      <c r="S421" s="93"/>
      <c r="T421" s="93"/>
      <c r="U421" s="93"/>
      <c r="V421" s="5">
        <f t="shared" si="182"/>
        <v>-2260</v>
      </c>
      <c r="W421" s="93"/>
      <c r="X421" s="93"/>
      <c r="Y421" s="93"/>
      <c r="Z421" s="93"/>
      <c r="AA421" s="5">
        <f t="shared" si="183"/>
        <v>-1043</v>
      </c>
      <c r="AB421" s="93"/>
      <c r="AC421" s="93"/>
      <c r="AD421" s="93"/>
      <c r="AE421" s="93"/>
      <c r="AF421" s="5">
        <f t="shared" si="184"/>
        <v>-166</v>
      </c>
      <c r="AG421" s="93"/>
      <c r="AH421" s="93"/>
      <c r="AI421" s="93"/>
      <c r="AJ421" s="93"/>
      <c r="AK421" s="5">
        <f t="shared" si="185"/>
        <v>-190</v>
      </c>
      <c r="AL421" s="93"/>
      <c r="AM421" s="93"/>
      <c r="AN421" s="93"/>
      <c r="AO421" s="93"/>
      <c r="AP421" s="5">
        <f t="shared" si="186"/>
        <v>246</v>
      </c>
      <c r="AQ421" s="93"/>
      <c r="AR421" s="93"/>
      <c r="AS421" s="93"/>
      <c r="AT421" s="93"/>
      <c r="AU421" s="5">
        <f t="shared" si="187"/>
        <v>-149</v>
      </c>
      <c r="AV421" s="93"/>
      <c r="AW421" s="93"/>
      <c r="AX421" s="93"/>
      <c r="AY421" s="93"/>
      <c r="AZ421" s="5">
        <f t="shared" si="188"/>
        <v>12</v>
      </c>
      <c r="BA421" s="93"/>
      <c r="BB421" s="93"/>
      <c r="BC421" s="93"/>
      <c r="BD421" s="93"/>
      <c r="BE421" s="5">
        <f t="shared" si="189"/>
        <v>-103</v>
      </c>
      <c r="BF421" s="93"/>
      <c r="BG421" s="93"/>
      <c r="BH421" s="93"/>
      <c r="BI421" s="93"/>
      <c r="BJ421" s="5">
        <f t="shared" si="190"/>
        <v>-149</v>
      </c>
      <c r="BK421" s="93"/>
      <c r="BL421" s="93"/>
      <c r="BM421" s="93"/>
      <c r="BN421" s="93"/>
      <c r="BO421" s="5">
        <f t="shared" si="191"/>
        <v>-350</v>
      </c>
      <c r="BP421" s="12">
        <f>BT421/4</f>
        <v>-83.125</v>
      </c>
      <c r="BQ421" s="12">
        <f>(BT421-BP421)/3</f>
        <v>-83.125</v>
      </c>
      <c r="BR421" s="12">
        <f>(BT421-BP421-BQ421)/2</f>
        <v>-83.125</v>
      </c>
      <c r="BS421" s="12">
        <f>BT421-SUM(BP421:BR421)</f>
        <v>-83.125</v>
      </c>
      <c r="BT421" s="147">
        <f>BO421*(1-5%)</f>
        <v>-332.5</v>
      </c>
      <c r="BU421" s="12">
        <f>BY421/4</f>
        <v>-83.125</v>
      </c>
      <c r="BV421" s="12">
        <f>(BY421-BU421)/3</f>
        <v>-83.125</v>
      </c>
      <c r="BW421" s="12">
        <f>(BY421-BU421-BV421)/2</f>
        <v>-83.125</v>
      </c>
      <c r="BX421" s="12">
        <f>BY421-SUM(BU421:BW421)</f>
        <v>-83.125</v>
      </c>
      <c r="BY421" s="147">
        <f>BT421</f>
        <v>-332.5</v>
      </c>
      <c r="BZ421" s="12">
        <f>CD421/4</f>
        <v>-83.125</v>
      </c>
      <c r="CA421" s="12">
        <f>(CD421-BZ421)/3</f>
        <v>-83.125</v>
      </c>
      <c r="CB421" s="12">
        <f>(CD421-BZ421-CA421)/2</f>
        <v>-83.125</v>
      </c>
      <c r="CC421" s="12">
        <f>CD421-SUM(BZ421:CB421)</f>
        <v>-83.125</v>
      </c>
      <c r="CD421" s="147">
        <f>BY421</f>
        <v>-332.5</v>
      </c>
      <c r="CF421" s="632"/>
      <c r="CG421" s="468">
        <v>2013</v>
      </c>
      <c r="CH421" s="115">
        <f t="shared" si="175"/>
        <v>4868</v>
      </c>
      <c r="CI421" s="634">
        <v>1</v>
      </c>
      <c r="CJ421" s="115">
        <v>5431.2903561038693</v>
      </c>
      <c r="CK421" s="342">
        <f t="shared" si="176"/>
        <v>4868</v>
      </c>
      <c r="CL421" s="115">
        <f t="shared" si="177"/>
        <v>-563.29035610386927</v>
      </c>
    </row>
    <row r="422" spans="1:90">
      <c r="A422" s="4" t="s">
        <v>2154</v>
      </c>
      <c r="B422" s="5"/>
      <c r="C422" s="72"/>
      <c r="D422" s="72"/>
      <c r="E422" s="72"/>
      <c r="F422" s="72"/>
      <c r="G422" s="5">
        <f t="shared" si="179"/>
        <v>-260</v>
      </c>
      <c r="H422" s="93"/>
      <c r="I422" s="93"/>
      <c r="J422" s="93"/>
      <c r="K422" s="93"/>
      <c r="L422" s="5">
        <f t="shared" si="180"/>
        <v>-590</v>
      </c>
      <c r="M422" s="93"/>
      <c r="N422" s="93"/>
      <c r="O422" s="93"/>
      <c r="P422" s="93"/>
      <c r="Q422" s="5">
        <f t="shared" si="181"/>
        <v>-1148</v>
      </c>
      <c r="R422" s="93"/>
      <c r="S422" s="93"/>
      <c r="T422" s="93"/>
      <c r="U422" s="93"/>
      <c r="V422" s="5">
        <f t="shared" si="182"/>
        <v>-788</v>
      </c>
      <c r="W422" s="93"/>
      <c r="X422" s="93"/>
      <c r="Y422" s="93"/>
      <c r="Z422" s="93"/>
      <c r="AA422" s="5">
        <f t="shared" si="183"/>
        <v>-757</v>
      </c>
      <c r="AB422" s="93"/>
      <c r="AC422" s="93"/>
      <c r="AD422" s="93"/>
      <c r="AE422" s="93"/>
      <c r="AF422" s="5">
        <f t="shared" si="184"/>
        <v>-829</v>
      </c>
      <c r="AG422" s="93"/>
      <c r="AH422" s="93"/>
      <c r="AI422" s="93"/>
      <c r="AJ422" s="93"/>
      <c r="AK422" s="5">
        <f t="shared" si="185"/>
        <v>-1692</v>
      </c>
      <c r="AL422" s="93"/>
      <c r="AM422" s="93"/>
      <c r="AN422" s="93"/>
      <c r="AO422" s="93"/>
      <c r="AP422" s="5">
        <f t="shared" si="186"/>
        <v>-2116</v>
      </c>
      <c r="AQ422" s="93"/>
      <c r="AR422" s="93"/>
      <c r="AS422" s="93"/>
      <c r="AT422" s="93"/>
      <c r="AU422" s="5">
        <f t="shared" si="187"/>
        <v>-2174</v>
      </c>
      <c r="AV422" s="93"/>
      <c r="AW422" s="93"/>
      <c r="AX422" s="93"/>
      <c r="AY422" s="93"/>
      <c r="AZ422" s="5">
        <f t="shared" si="188"/>
        <v>-2461</v>
      </c>
      <c r="BA422" s="93"/>
      <c r="BB422" s="93"/>
      <c r="BC422" s="93"/>
      <c r="BD422" s="93"/>
      <c r="BE422" s="5">
        <f t="shared" si="189"/>
        <v>-2420</v>
      </c>
      <c r="BF422" s="93"/>
      <c r="BG422" s="93"/>
      <c r="BH422" s="93"/>
      <c r="BI422" s="93"/>
      <c r="BJ422" s="5">
        <f t="shared" si="190"/>
        <v>-2179</v>
      </c>
      <c r="BK422" s="93"/>
      <c r="BL422" s="93"/>
      <c r="BM422" s="93"/>
      <c r="BN422" s="93"/>
      <c r="BO422" s="5">
        <f t="shared" si="191"/>
        <v>-2147</v>
      </c>
      <c r="BP422" s="12">
        <f>-BP432*BP446*'Key assumptions'!BP$48/1000</f>
        <v>-732.4216572376489</v>
      </c>
      <c r="BQ422" s="12">
        <f>-BQ432*BQ446*'Key assumptions'!BQ$48/1000</f>
        <v>-735.0100096321197</v>
      </c>
      <c r="BR422" s="12">
        <f>-BR432*BR446*'Key assumptions'!BR$48/1000</f>
        <v>-744.54911157939193</v>
      </c>
      <c r="BS422" s="12">
        <f>-BS432*BS446*'Key assumptions'!BS$48/1000</f>
        <v>-747.06113106881025</v>
      </c>
      <c r="BT422" s="5">
        <f>SUM(BP422:BS422)</f>
        <v>-2959.0419095179705</v>
      </c>
      <c r="BU422" s="12">
        <f>-BU432*BU446*'Key assumptions'!BU$48/1000</f>
        <v>-812.37583291552903</v>
      </c>
      <c r="BV422" s="12">
        <f>-BV432*BV446*'Key assumptions'!BV$48/1000</f>
        <v>-815.13242358260254</v>
      </c>
      <c r="BW422" s="12">
        <f>-BW432*BW446*'Key assumptions'!BW$48/1000</f>
        <v>-825.74171409892062</v>
      </c>
      <c r="BX422" s="12">
        <f>-BX432*BX446*'Key assumptions'!BX$48/1000</f>
        <v>-828.57970083920009</v>
      </c>
      <c r="BY422" s="5">
        <f>SUM(BU422:BX422)</f>
        <v>-3281.8296714362523</v>
      </c>
      <c r="BZ422" s="12">
        <f>-BZ432*BZ446*'Key assumptions'!BZ$48/1000</f>
        <v>-904.47621122991939</v>
      </c>
      <c r="CA422" s="12">
        <f>-CA432*CA446*'Key assumptions'!CA$48/1000</f>
        <v>-896.44906727910904</v>
      </c>
      <c r="CB422" s="12">
        <f>-CB432*CB446*'Key assumptions'!CB$48/1000</f>
        <v>-908.41492054518585</v>
      </c>
      <c r="CC422" s="12">
        <f>-CC432*CC446*'Key assumptions'!CC$48/1000</f>
        <v>-912.04835397680915</v>
      </c>
      <c r="CD422" s="5">
        <f>SUM(BZ422:CC422)</f>
        <v>-3621.3885530310235</v>
      </c>
      <c r="CF422" s="632"/>
      <c r="CG422" s="468">
        <v>2014</v>
      </c>
      <c r="CH422" s="115">
        <f t="shared" si="175"/>
        <v>4504.9999999999991</v>
      </c>
      <c r="CI422" s="634">
        <v>1</v>
      </c>
      <c r="CJ422" s="115">
        <v>5050.1268310859559</v>
      </c>
      <c r="CK422" s="342">
        <f t="shared" si="176"/>
        <v>4504.9999999999991</v>
      </c>
      <c r="CL422" s="115">
        <f t="shared" si="177"/>
        <v>-545.12683108595684</v>
      </c>
    </row>
    <row r="423" spans="1:90">
      <c r="A423" s="4" t="s">
        <v>610</v>
      </c>
      <c r="B423" s="5"/>
      <c r="C423" s="72"/>
      <c r="D423" s="72"/>
      <c r="E423" s="72"/>
      <c r="F423" s="72"/>
      <c r="G423" s="5">
        <f t="shared" si="179"/>
        <v>-2</v>
      </c>
      <c r="H423" s="93"/>
      <c r="I423" s="93"/>
      <c r="J423" s="93"/>
      <c r="K423" s="93"/>
      <c r="L423" s="5">
        <f t="shared" si="180"/>
        <v>99</v>
      </c>
      <c r="M423" s="93"/>
      <c r="N423" s="93"/>
      <c r="O423" s="93"/>
      <c r="P423" s="93"/>
      <c r="Q423" s="5">
        <f t="shared" si="181"/>
        <v>0</v>
      </c>
      <c r="R423" s="93"/>
      <c r="S423" s="93"/>
      <c r="T423" s="93"/>
      <c r="U423" s="93"/>
      <c r="V423" s="5">
        <f t="shared" si="182"/>
        <v>-219</v>
      </c>
      <c r="W423" s="93"/>
      <c r="X423" s="93"/>
      <c r="Y423" s="93"/>
      <c r="Z423" s="93"/>
      <c r="AA423" s="5">
        <f t="shared" si="183"/>
        <v>702</v>
      </c>
      <c r="AB423" s="93"/>
      <c r="AC423" s="93"/>
      <c r="AD423" s="93"/>
      <c r="AE423" s="93"/>
      <c r="AF423" s="5">
        <f t="shared" si="184"/>
        <v>-341</v>
      </c>
      <c r="AG423" s="93"/>
      <c r="AH423" s="93"/>
      <c r="AI423" s="93"/>
      <c r="AJ423" s="93"/>
      <c r="AK423" s="5">
        <f t="shared" si="185"/>
        <v>538</v>
      </c>
      <c r="AL423" s="93"/>
      <c r="AM423" s="93"/>
      <c r="AN423" s="93"/>
      <c r="AO423" s="93"/>
      <c r="AP423" s="5">
        <f t="shared" si="186"/>
        <v>2</v>
      </c>
      <c r="AQ423" s="93"/>
      <c r="AR423" s="93"/>
      <c r="AS423" s="93"/>
      <c r="AT423" s="93"/>
      <c r="AU423" s="5">
        <f t="shared" si="187"/>
        <v>16</v>
      </c>
      <c r="AV423" s="93"/>
      <c r="AW423" s="93"/>
      <c r="AX423" s="93"/>
      <c r="AY423" s="93"/>
      <c r="AZ423" s="5">
        <f t="shared" si="188"/>
        <v>-391</v>
      </c>
      <c r="BA423" s="93"/>
      <c r="BB423" s="93"/>
      <c r="BC423" s="93"/>
      <c r="BD423" s="93"/>
      <c r="BE423" s="5">
        <f t="shared" si="189"/>
        <v>-105</v>
      </c>
      <c r="BF423" s="93"/>
      <c r="BG423" s="93"/>
      <c r="BH423" s="93"/>
      <c r="BI423" s="93"/>
      <c r="BJ423" s="5">
        <f t="shared" si="190"/>
        <v>182</v>
      </c>
      <c r="BK423" s="93"/>
      <c r="BL423" s="93"/>
      <c r="BM423" s="93"/>
      <c r="BN423" s="93"/>
      <c r="BO423" s="5">
        <f t="shared" si="191"/>
        <v>10</v>
      </c>
      <c r="BP423" s="12">
        <f>BT423/4</f>
        <v>0</v>
      </c>
      <c r="BQ423" s="12">
        <f>(BT423-BP423)/3</f>
        <v>0</v>
      </c>
      <c r="BR423" s="12">
        <f>(BT423-BP423-BQ423)/2</f>
        <v>0</v>
      </c>
      <c r="BS423" s="12">
        <f>BT423-SUM(BP423:BR423)</f>
        <v>0</v>
      </c>
      <c r="BT423" s="147">
        <v>0</v>
      </c>
      <c r="BU423" s="12">
        <f>BY423/4</f>
        <v>0</v>
      </c>
      <c r="BV423" s="12">
        <f>(BY423-BU423)/3</f>
        <v>0</v>
      </c>
      <c r="BW423" s="12">
        <f>(BY423-BU423-BV423)/2</f>
        <v>0</v>
      </c>
      <c r="BX423" s="12">
        <f>BY423-SUM(BU423:BW423)</f>
        <v>0</v>
      </c>
      <c r="BY423" s="147">
        <v>0</v>
      </c>
      <c r="BZ423" s="12">
        <f>CD423/4</f>
        <v>0</v>
      </c>
      <c r="CA423" s="12">
        <f>(CD423-BZ423)/3</f>
        <v>0</v>
      </c>
      <c r="CB423" s="12">
        <f>(CD423-BZ423-CA423)/2</f>
        <v>0</v>
      </c>
      <c r="CC423" s="12">
        <f>CD423-SUM(BZ423:CB423)</f>
        <v>0</v>
      </c>
      <c r="CD423" s="147">
        <v>0</v>
      </c>
      <c r="CF423" s="632"/>
      <c r="CG423" s="468">
        <v>2015</v>
      </c>
      <c r="CH423" s="115">
        <f t="shared" si="175"/>
        <v>2879</v>
      </c>
      <c r="CI423" s="634">
        <v>1</v>
      </c>
      <c r="CJ423" s="115">
        <v>4098.2109232700932</v>
      </c>
      <c r="CK423" s="342">
        <f t="shared" si="176"/>
        <v>2879</v>
      </c>
      <c r="CL423" s="115">
        <f t="shared" si="177"/>
        <v>-1219.2109232700932</v>
      </c>
    </row>
    <row r="424" spans="1:90">
      <c r="A424" s="7" t="s">
        <v>2160</v>
      </c>
      <c r="B424" s="8"/>
      <c r="C424" s="73">
        <f>C416+SUM(C418:C423)</f>
        <v>0</v>
      </c>
      <c r="D424" s="73">
        <f>D416+SUM(D418:D423)</f>
        <v>0</v>
      </c>
      <c r="E424" s="73">
        <f>E416+SUM(E418:E423)</f>
        <v>0</v>
      </c>
      <c r="F424" s="73">
        <f>F416+SUM(F418:F423)</f>
        <v>0</v>
      </c>
      <c r="G424" s="8">
        <f>G416+SUM(G418:G423)</f>
        <v>1906.9966666666669</v>
      </c>
      <c r="H424" s="93"/>
      <c r="I424" s="93"/>
      <c r="J424" s="93"/>
      <c r="K424" s="93"/>
      <c r="L424" s="8">
        <f>L416+SUM(L418:L423)</f>
        <v>3171</v>
      </c>
      <c r="M424" s="93"/>
      <c r="N424" s="93"/>
      <c r="O424" s="93"/>
      <c r="P424" s="93"/>
      <c r="Q424" s="8">
        <f>Q416+SUM(Q418:Q423)</f>
        <v>4372</v>
      </c>
      <c r="R424" s="93"/>
      <c r="S424" s="93"/>
      <c r="T424" s="93"/>
      <c r="U424" s="93"/>
      <c r="V424" s="8">
        <f>V416+SUM(V418:V423)</f>
        <v>3001</v>
      </c>
      <c r="W424" s="93"/>
      <c r="X424" s="93"/>
      <c r="Y424" s="93"/>
      <c r="Z424" s="93"/>
      <c r="AA424" s="8">
        <f>AA416+SUM(AA418:AA423)</f>
        <v>2508</v>
      </c>
      <c r="AB424" s="93"/>
      <c r="AC424" s="93"/>
      <c r="AD424" s="93"/>
      <c r="AE424" s="93"/>
      <c r="AF424" s="8">
        <f>AF416+SUM(AF418:AF423)</f>
        <v>2437</v>
      </c>
      <c r="AG424" s="93"/>
      <c r="AH424" s="93"/>
      <c r="AI424" s="93"/>
      <c r="AJ424" s="93"/>
      <c r="AK424" s="8">
        <f>AK416+SUM(AK418:AK423)</f>
        <v>4030</v>
      </c>
      <c r="AL424" s="93"/>
      <c r="AM424" s="93"/>
      <c r="AN424" s="93"/>
      <c r="AO424" s="93"/>
      <c r="AP424" s="8">
        <f>AP416+SUM(AP418:AP423)</f>
        <v>3283</v>
      </c>
      <c r="AQ424" s="93"/>
      <c r="AR424" s="93"/>
      <c r="AS424" s="93"/>
      <c r="AT424" s="93"/>
      <c r="AU424" s="8">
        <f>AU416+SUM(AU418:AU423)</f>
        <v>2611</v>
      </c>
      <c r="AV424" s="93"/>
      <c r="AW424" s="93"/>
      <c r="AX424" s="93"/>
      <c r="AY424" s="93"/>
      <c r="AZ424" s="8">
        <f>AZ416+SUM(AZ418:AZ423)</f>
        <v>1011</v>
      </c>
      <c r="BA424" s="93"/>
      <c r="BB424" s="93"/>
      <c r="BC424" s="93"/>
      <c r="BD424" s="93"/>
      <c r="BE424" s="8">
        <f t="shared" ref="BE424" si="192">BE416+SUM(BE418:BE423)</f>
        <v>225</v>
      </c>
      <c r="BF424" s="93"/>
      <c r="BG424" s="93"/>
      <c r="BH424" s="93"/>
      <c r="BI424" s="93"/>
      <c r="BJ424" s="8">
        <f t="shared" ref="BJ424" si="193">BJ416+SUM(BJ418:BJ423)</f>
        <v>385</v>
      </c>
      <c r="BK424" s="93"/>
      <c r="BL424" s="93"/>
      <c r="BM424" s="93"/>
      <c r="BN424" s="93"/>
      <c r="BO424" s="8">
        <f t="shared" ref="BO424" si="194">BO416+SUM(BO418:BO423)</f>
        <v>2679</v>
      </c>
      <c r="BP424" s="66">
        <f t="shared" ref="BP424:CD424" si="195">BP416+SUM(BP418:BP423)</f>
        <v>1139.8588006234868</v>
      </c>
      <c r="BQ424" s="66">
        <f t="shared" si="195"/>
        <v>1179.6054613726869</v>
      </c>
      <c r="BR424" s="66">
        <f t="shared" si="195"/>
        <v>1150.8927918154009</v>
      </c>
      <c r="BS424" s="66">
        <f t="shared" si="195"/>
        <v>1117.1640814570542</v>
      </c>
      <c r="BT424" s="8">
        <f t="shared" si="195"/>
        <v>4587.5211352686301</v>
      </c>
      <c r="BU424" s="66">
        <f t="shared" si="195"/>
        <v>1143.5163001583733</v>
      </c>
      <c r="BV424" s="66">
        <f t="shared" si="195"/>
        <v>1147.7553137259333</v>
      </c>
      <c r="BW424" s="66">
        <f t="shared" si="195"/>
        <v>1164.0700052679344</v>
      </c>
      <c r="BX424" s="66">
        <f t="shared" si="195"/>
        <v>1168.4341876038529</v>
      </c>
      <c r="BY424" s="8">
        <f t="shared" si="195"/>
        <v>4623.7758067560935</v>
      </c>
      <c r="BZ424" s="66">
        <f t="shared" si="195"/>
        <v>1234.332036590788</v>
      </c>
      <c r="CA424" s="66">
        <f t="shared" si="195"/>
        <v>1267.9044360809303</v>
      </c>
      <c r="CB424" s="66">
        <f t="shared" si="195"/>
        <v>1303.2817012287865</v>
      </c>
      <c r="CC424" s="66">
        <f t="shared" si="195"/>
        <v>1326.2097289539383</v>
      </c>
      <c r="CD424" s="8">
        <f t="shared" si="195"/>
        <v>5131.7279028544453</v>
      </c>
      <c r="CF424" s="632"/>
      <c r="CG424" s="468">
        <v>2016</v>
      </c>
      <c r="CH424" s="115">
        <f t="shared" si="175"/>
        <v>2449</v>
      </c>
      <c r="CI424" s="634">
        <v>1</v>
      </c>
      <c r="CJ424" s="115">
        <v>3299.6078972944151</v>
      </c>
      <c r="CK424" s="342">
        <f t="shared" si="176"/>
        <v>2449</v>
      </c>
      <c r="CL424" s="115">
        <f t="shared" si="177"/>
        <v>-850.60789729441512</v>
      </c>
    </row>
    <row r="425" spans="1:90">
      <c r="A425" s="4"/>
      <c r="B425" s="5"/>
      <c r="C425" s="72"/>
      <c r="D425" s="72"/>
      <c r="E425" s="72"/>
      <c r="F425" s="72"/>
      <c r="G425" s="5"/>
      <c r="H425" s="12"/>
      <c r="I425" s="12"/>
      <c r="J425" s="12"/>
      <c r="K425" s="12"/>
      <c r="L425" s="5"/>
      <c r="M425" s="12"/>
      <c r="N425" s="12"/>
      <c r="O425" s="12"/>
      <c r="P425" s="12"/>
      <c r="Q425" s="5"/>
      <c r="R425" s="12"/>
      <c r="S425" s="12"/>
      <c r="T425" s="12"/>
      <c r="U425" s="12"/>
      <c r="V425" s="5"/>
      <c r="W425" s="12"/>
      <c r="X425" s="12"/>
      <c r="Y425" s="12"/>
      <c r="Z425" s="12"/>
      <c r="AA425" s="5"/>
      <c r="AB425" s="12"/>
      <c r="AC425" s="12"/>
      <c r="AD425" s="12"/>
      <c r="AE425" s="12"/>
      <c r="AF425" s="5"/>
      <c r="AG425" s="12"/>
      <c r="AH425" s="12"/>
      <c r="AI425" s="12"/>
      <c r="AJ425" s="12"/>
      <c r="AK425" s="5"/>
      <c r="AL425" s="12"/>
      <c r="AM425" s="12"/>
      <c r="AN425" s="12"/>
      <c r="AO425" s="12"/>
      <c r="AP425" s="5"/>
      <c r="AQ425" s="12"/>
      <c r="AR425" s="12"/>
      <c r="AS425" s="12"/>
      <c r="AT425" s="12"/>
      <c r="AU425" s="5"/>
      <c r="AV425" s="12"/>
      <c r="AW425" s="12"/>
      <c r="AX425" s="12"/>
      <c r="AY425" s="12"/>
      <c r="AZ425" s="5"/>
      <c r="BA425" s="12"/>
      <c r="BB425" s="12"/>
      <c r="BC425" s="12"/>
      <c r="BD425" s="12"/>
      <c r="BE425" s="5"/>
      <c r="BF425" s="12"/>
      <c r="BG425" s="12"/>
      <c r="BH425" s="12"/>
      <c r="BI425" s="12"/>
      <c r="BJ425" s="5"/>
      <c r="BK425" s="12"/>
      <c r="BL425" s="12"/>
      <c r="BM425" s="12"/>
      <c r="BN425" s="12"/>
      <c r="BO425" s="5"/>
      <c r="BP425" s="12"/>
      <c r="BQ425" s="12"/>
      <c r="BR425" s="12"/>
      <c r="BS425" s="12"/>
      <c r="BT425" s="5"/>
      <c r="BU425" s="12"/>
      <c r="BV425" s="12"/>
      <c r="BW425" s="12"/>
      <c r="BX425" s="12"/>
      <c r="BY425" s="5"/>
      <c r="BZ425" s="12"/>
      <c r="CA425" s="12"/>
      <c r="CB425" s="12"/>
      <c r="CC425" s="12"/>
      <c r="CD425" s="5"/>
      <c r="CF425" s="632"/>
      <c r="CG425" s="468">
        <v>2017</v>
      </c>
      <c r="CH425" s="115">
        <f t="shared" si="175"/>
        <v>3312</v>
      </c>
      <c r="CI425" s="634">
        <v>1</v>
      </c>
      <c r="CJ425" s="115">
        <v>4038.437246693381</v>
      </c>
      <c r="CK425" s="342">
        <f t="shared" si="176"/>
        <v>3312</v>
      </c>
      <c r="CL425" s="115">
        <f t="shared" si="177"/>
        <v>-726.43724669338098</v>
      </c>
    </row>
    <row r="426" spans="1:90">
      <c r="A426" s="4" t="s">
        <v>2152</v>
      </c>
      <c r="B426" s="5"/>
      <c r="C426" s="72"/>
      <c r="D426" s="72"/>
      <c r="E426" s="72"/>
      <c r="F426" s="72"/>
      <c r="G426" s="5">
        <f>SUM(G388,G407)</f>
        <v>-601.16666666666663</v>
      </c>
      <c r="H426" s="93"/>
      <c r="I426" s="93"/>
      <c r="J426" s="93"/>
      <c r="K426" s="93"/>
      <c r="L426" s="5">
        <f>SUM(L388,L407)</f>
        <v>-940</v>
      </c>
      <c r="M426" s="93"/>
      <c r="N426" s="93"/>
      <c r="O426" s="93"/>
      <c r="P426" s="93"/>
      <c r="Q426" s="5">
        <f>SUM(Q388,Q407)</f>
        <v>-1136</v>
      </c>
      <c r="R426" s="93"/>
      <c r="S426" s="93"/>
      <c r="T426" s="93"/>
      <c r="U426" s="93"/>
      <c r="V426" s="5">
        <f>SUM(V388,V407)</f>
        <v>-948</v>
      </c>
      <c r="W426" s="93"/>
      <c r="X426" s="93"/>
      <c r="Y426" s="93"/>
      <c r="Z426" s="93"/>
      <c r="AA426" s="5">
        <f>SUM(AA388,AA407)</f>
        <v>-657</v>
      </c>
      <c r="AB426" s="93"/>
      <c r="AC426" s="93"/>
      <c r="AD426" s="93"/>
      <c r="AE426" s="93"/>
      <c r="AF426" s="5">
        <f>SUM(AF388,AF407)</f>
        <v>-790</v>
      </c>
      <c r="AG426" s="93"/>
      <c r="AH426" s="93"/>
      <c r="AI426" s="93"/>
      <c r="AJ426" s="93"/>
      <c r="AK426" s="5">
        <f>SUM(AK388,AK407)</f>
        <v>-980</v>
      </c>
      <c r="AL426" s="93"/>
      <c r="AM426" s="93"/>
      <c r="AN426" s="93"/>
      <c r="AO426" s="93"/>
      <c r="AP426" s="5">
        <f>SUM(AP388,AP407)</f>
        <v>-650</v>
      </c>
      <c r="AQ426" s="93"/>
      <c r="AR426" s="93"/>
      <c r="AS426" s="93"/>
      <c r="AT426" s="93"/>
      <c r="AU426" s="5">
        <f>SUM(AU388,AU407)</f>
        <v>-669</v>
      </c>
      <c r="AV426" s="93"/>
      <c r="AW426" s="93"/>
      <c r="AX426" s="93"/>
      <c r="AY426" s="93"/>
      <c r="AZ426" s="5">
        <f>SUM(AZ388,AZ407)</f>
        <v>-70</v>
      </c>
      <c r="BA426" s="93"/>
      <c r="BB426" s="93"/>
      <c r="BC426" s="93"/>
      <c r="BD426" s="93"/>
      <c r="BE426" s="5">
        <f>SUM(BE388,BE407)</f>
        <v>71</v>
      </c>
      <c r="BF426" s="93"/>
      <c r="BG426" s="93"/>
      <c r="BH426" s="93"/>
      <c r="BI426" s="93"/>
      <c r="BJ426" s="5">
        <f>SUM(BJ388,BJ407)</f>
        <v>84</v>
      </c>
      <c r="BK426" s="93"/>
      <c r="BL426" s="93"/>
      <c r="BM426" s="93"/>
      <c r="BN426" s="93"/>
      <c r="BO426" s="5">
        <f>SUM(BO388,BO407)</f>
        <v>-1486</v>
      </c>
      <c r="BP426" s="12">
        <f>-BP424*BP460</f>
        <v>-313.10008950507631</v>
      </c>
      <c r="BQ426" s="12">
        <f>-BQ424*BQ460</f>
        <v>-324.01783039657568</v>
      </c>
      <c r="BR426" s="12">
        <f>-BR424*BR460</f>
        <v>-316.1309417719508</v>
      </c>
      <c r="BS426" s="12">
        <f>-BS424*BS460</f>
        <v>-306.86623089169728</v>
      </c>
      <c r="BT426" s="5">
        <f>SUM(BP426:BS426)</f>
        <v>-1260.1150925653001</v>
      </c>
      <c r="BU426" s="12">
        <f>-BU424*BU460</f>
        <v>-314.33257616419326</v>
      </c>
      <c r="BV426" s="12">
        <f>-BV424*BV460</f>
        <v>-315.49780665098348</v>
      </c>
      <c r="BW426" s="12">
        <f>-BW424*BW460</f>
        <v>-319.98242923223671</v>
      </c>
      <c r="BX426" s="12">
        <f>-BX424*BX460</f>
        <v>-321.18206641826504</v>
      </c>
      <c r="BY426" s="5">
        <f>SUM(BU426:BX426)</f>
        <v>-1270.9948784656785</v>
      </c>
      <c r="BZ426" s="12">
        <f>-BZ424*BZ460</f>
        <v>-342.37643222594852</v>
      </c>
      <c r="CA426" s="12">
        <f>-CA424*CA460</f>
        <v>-351.68867400365252</v>
      </c>
      <c r="CB426" s="12">
        <f>-CB424*CB460</f>
        <v>-361.50154563314413</v>
      </c>
      <c r="CC426" s="12">
        <f>-CC424*CC460</f>
        <v>-367.86127388924353</v>
      </c>
      <c r="CD426" s="5">
        <f>SUM(BZ426:CC426)</f>
        <v>-1423.4279257519888</v>
      </c>
      <c r="CF426" s="632"/>
      <c r="CG426" s="468">
        <v>2018</v>
      </c>
      <c r="CH426" s="115">
        <f t="shared" si="175"/>
        <v>6396.7546188879669</v>
      </c>
      <c r="CI426" s="634">
        <v>1</v>
      </c>
      <c r="CJ426" s="115">
        <v>4571.0852533119923</v>
      </c>
      <c r="CK426" s="342">
        <f t="shared" si="176"/>
        <v>6396.7546188879669</v>
      </c>
      <c r="CL426" s="115">
        <f t="shared" si="177"/>
        <v>1825.6693655759746</v>
      </c>
    </row>
    <row r="427" spans="1:90">
      <c r="A427" s="14" t="s">
        <v>2153</v>
      </c>
      <c r="B427" s="15"/>
      <c r="C427" s="74">
        <f>SUM(C424,C426)</f>
        <v>0</v>
      </c>
      <c r="D427" s="74">
        <f>SUM(D424,D426)</f>
        <v>0</v>
      </c>
      <c r="E427" s="74">
        <f>SUM(E424,E426)</f>
        <v>0</v>
      </c>
      <c r="F427" s="74">
        <f>SUM(F424,F426)</f>
        <v>0</v>
      </c>
      <c r="G427" s="15">
        <f>SUM(G424,G426)</f>
        <v>1305.8300000000004</v>
      </c>
      <c r="H427" s="378"/>
      <c r="I427" s="378"/>
      <c r="J427" s="378"/>
      <c r="K427" s="378"/>
      <c r="L427" s="15">
        <f>SUM(L424,L426)</f>
        <v>2231</v>
      </c>
      <c r="M427" s="378"/>
      <c r="N427" s="378"/>
      <c r="O427" s="378"/>
      <c r="P427" s="378"/>
      <c r="Q427" s="15">
        <f>SUM(Q424,Q426)</f>
        <v>3236</v>
      </c>
      <c r="R427" s="378"/>
      <c r="S427" s="378"/>
      <c r="T427" s="378"/>
      <c r="U427" s="378"/>
      <c r="V427" s="15">
        <f>SUM(V424,V426)</f>
        <v>2053</v>
      </c>
      <c r="W427" s="378"/>
      <c r="X427" s="378"/>
      <c r="Y427" s="378"/>
      <c r="Z427" s="378"/>
      <c r="AA427" s="15">
        <f>SUM(AA424,AA426)</f>
        <v>1851</v>
      </c>
      <c r="AB427" s="378"/>
      <c r="AC427" s="378"/>
      <c r="AD427" s="378"/>
      <c r="AE427" s="378"/>
      <c r="AF427" s="15">
        <f>SUM(AF424,AF426)</f>
        <v>1647</v>
      </c>
      <c r="AG427" s="378"/>
      <c r="AH427" s="378"/>
      <c r="AI427" s="378"/>
      <c r="AJ427" s="378"/>
      <c r="AK427" s="15">
        <f>SUM(AK424,AK426)</f>
        <v>3050</v>
      </c>
      <c r="AL427" s="378"/>
      <c r="AM427" s="378"/>
      <c r="AN427" s="378"/>
      <c r="AO427" s="378"/>
      <c r="AP427" s="15">
        <f>SUM(AP424,AP426)</f>
        <v>2633</v>
      </c>
      <c r="AQ427" s="378"/>
      <c r="AR427" s="378"/>
      <c r="AS427" s="378"/>
      <c r="AT427" s="378"/>
      <c r="AU427" s="15">
        <f>SUM(AU424,AU426)</f>
        <v>1942</v>
      </c>
      <c r="AV427" s="378"/>
      <c r="AW427" s="378"/>
      <c r="AX427" s="378"/>
      <c r="AY427" s="378"/>
      <c r="AZ427" s="15">
        <f>SUM(AZ424,AZ426)</f>
        <v>941</v>
      </c>
      <c r="BA427" s="378"/>
      <c r="BB427" s="378"/>
      <c r="BC427" s="378"/>
      <c r="BD427" s="378"/>
      <c r="BE427" s="15">
        <f t="shared" ref="BE427" si="196">SUM(BE424,BE426)</f>
        <v>296</v>
      </c>
      <c r="BF427" s="378"/>
      <c r="BG427" s="378"/>
      <c r="BH427" s="378"/>
      <c r="BI427" s="378"/>
      <c r="BJ427" s="15">
        <f t="shared" ref="BJ427" si="197">SUM(BJ424,BJ426)</f>
        <v>469</v>
      </c>
      <c r="BK427" s="378"/>
      <c r="BL427" s="378"/>
      <c r="BM427" s="378"/>
      <c r="BN427" s="378"/>
      <c r="BO427" s="15">
        <f t="shared" ref="BO427" si="198">SUM(BO424,BO426)</f>
        <v>1193</v>
      </c>
      <c r="BP427" s="67">
        <f t="shared" ref="BP427:CD427" si="199">SUM(BP424,BP426)</f>
        <v>826.75871111841047</v>
      </c>
      <c r="BQ427" s="67">
        <f t="shared" si="199"/>
        <v>855.58763097611131</v>
      </c>
      <c r="BR427" s="67">
        <f t="shared" si="199"/>
        <v>834.76185004345007</v>
      </c>
      <c r="BS427" s="67">
        <f t="shared" si="199"/>
        <v>810.29785056535684</v>
      </c>
      <c r="BT427" s="15">
        <f t="shared" si="199"/>
        <v>3327.4060427033301</v>
      </c>
      <c r="BU427" s="67">
        <f t="shared" si="199"/>
        <v>829.18372399418001</v>
      </c>
      <c r="BV427" s="67">
        <f t="shared" si="199"/>
        <v>832.2575070749499</v>
      </c>
      <c r="BW427" s="67">
        <f t="shared" si="199"/>
        <v>844.08757603569779</v>
      </c>
      <c r="BX427" s="67">
        <f t="shared" si="199"/>
        <v>847.25212118558784</v>
      </c>
      <c r="BY427" s="15">
        <f t="shared" si="199"/>
        <v>3352.780928290415</v>
      </c>
      <c r="BZ427" s="67">
        <f t="shared" si="199"/>
        <v>891.95560436483947</v>
      </c>
      <c r="CA427" s="67">
        <f t="shared" si="199"/>
        <v>916.21576207727776</v>
      </c>
      <c r="CB427" s="67">
        <f t="shared" si="199"/>
        <v>941.78015559564233</v>
      </c>
      <c r="CC427" s="67">
        <f t="shared" si="199"/>
        <v>958.3484550646948</v>
      </c>
      <c r="CD427" s="15">
        <f t="shared" si="199"/>
        <v>3708.2999771024565</v>
      </c>
      <c r="CF427" s="632"/>
      <c r="CG427" s="468">
        <v>2019</v>
      </c>
      <c r="CH427" s="115">
        <f t="shared" si="175"/>
        <v>6725.0472663933342</v>
      </c>
      <c r="CI427" s="634">
        <v>1</v>
      </c>
      <c r="CJ427" s="115">
        <v>4964.2175156792127</v>
      </c>
      <c r="CK427" s="342">
        <f t="shared" si="176"/>
        <v>6725.0472663933342</v>
      </c>
      <c r="CL427" s="115">
        <f t="shared" si="177"/>
        <v>1760.8297507141215</v>
      </c>
    </row>
    <row r="428" spans="1:90">
      <c r="A428" s="5"/>
      <c r="B428" s="5"/>
      <c r="C428" s="5"/>
      <c r="D428" s="5"/>
      <c r="E428" s="5"/>
      <c r="F428" s="5"/>
      <c r="G428" s="5"/>
      <c r="H428" s="76"/>
      <c r="I428" s="76"/>
      <c r="J428" s="76"/>
      <c r="K428" s="76"/>
      <c r="L428" s="5"/>
      <c r="M428" s="76"/>
      <c r="N428" s="76"/>
      <c r="O428" s="76"/>
      <c r="P428" s="76"/>
      <c r="Q428" s="5"/>
      <c r="R428" s="76"/>
      <c r="S428" s="76"/>
      <c r="T428" s="76"/>
      <c r="U428" s="76"/>
      <c r="V428" s="5"/>
      <c r="W428" s="76"/>
      <c r="X428" s="76"/>
      <c r="Y428" s="76"/>
      <c r="Z428" s="76"/>
      <c r="AA428" s="5"/>
      <c r="AB428" s="76"/>
      <c r="AC428" s="76"/>
      <c r="AD428" s="76"/>
      <c r="AE428" s="76"/>
      <c r="AF428" s="5"/>
      <c r="AG428" s="76"/>
      <c r="AH428" s="76"/>
      <c r="AI428" s="76"/>
      <c r="AJ428" s="76"/>
      <c r="AK428" s="5"/>
      <c r="AL428" s="76"/>
      <c r="AM428" s="76"/>
      <c r="AN428" s="76"/>
      <c r="AO428" s="76"/>
      <c r="AP428" s="5"/>
      <c r="AQ428" s="76"/>
      <c r="AR428" s="76"/>
      <c r="AS428" s="76"/>
      <c r="AT428" s="76"/>
      <c r="AU428" s="5"/>
      <c r="AV428" s="76"/>
      <c r="AW428" s="76"/>
      <c r="AX428" s="76"/>
      <c r="AY428" s="76"/>
      <c r="AZ428" s="5"/>
      <c r="BA428" s="76"/>
      <c r="BB428" s="76"/>
      <c r="BC428" s="76"/>
      <c r="BD428" s="76"/>
      <c r="BE428" s="5"/>
      <c r="BF428" s="76"/>
      <c r="BG428" s="76"/>
      <c r="BH428" s="76"/>
      <c r="BI428" s="76"/>
      <c r="BJ428" s="5"/>
      <c r="BK428" s="76"/>
      <c r="BL428" s="76"/>
      <c r="BM428" s="76"/>
      <c r="BN428" s="76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F428" s="632"/>
      <c r="CG428" s="468">
        <v>2020</v>
      </c>
      <c r="CH428" s="115">
        <f t="shared" si="175"/>
        <v>7387.9285301334812</v>
      </c>
      <c r="CI428" s="634">
        <v>1</v>
      </c>
      <c r="CJ428" s="115">
        <v>5460.8139949112092</v>
      </c>
      <c r="CK428" s="342">
        <f t="shared" si="176"/>
        <v>7387.9285301334812</v>
      </c>
      <c r="CL428" s="115">
        <f t="shared" si="177"/>
        <v>1927.114535222272</v>
      </c>
    </row>
    <row r="429" spans="1:90" hidden="1" outlineLevel="1">
      <c r="A429" s="39" t="s">
        <v>196</v>
      </c>
      <c r="B429" s="11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12"/>
      <c r="BQ429" s="12"/>
      <c r="BR429" s="12"/>
      <c r="BS429" s="12"/>
      <c r="BT429" s="5"/>
      <c r="BU429" s="12"/>
      <c r="BV429" s="12"/>
      <c r="BW429" s="12"/>
      <c r="BX429" s="12"/>
      <c r="BY429" s="5"/>
      <c r="BZ429" s="12"/>
      <c r="CA429" s="12"/>
      <c r="CB429" s="12"/>
      <c r="CC429" s="12"/>
      <c r="CD429" s="5"/>
      <c r="CF429" s="632"/>
    </row>
    <row r="430" spans="1:90" hidden="1" outlineLevel="1">
      <c r="A430" s="11"/>
      <c r="B430" s="11" t="s">
        <v>932</v>
      </c>
      <c r="C430" s="5">
        <f>'Production - Oil'!C49</f>
        <v>94</v>
      </c>
      <c r="D430" s="5">
        <f>'Production - Oil'!D49</f>
        <v>99</v>
      </c>
      <c r="E430" s="5">
        <f>'Production - Oil'!E49</f>
        <v>87</v>
      </c>
      <c r="F430" s="5">
        <f>'Production - Oil'!F49</f>
        <v>70</v>
      </c>
      <c r="G430" s="5">
        <f>'Production - Oil'!G49</f>
        <v>102</v>
      </c>
      <c r="H430" s="93"/>
      <c r="I430" s="93"/>
      <c r="J430" s="93"/>
      <c r="K430" s="93"/>
      <c r="L430" s="5">
        <f>'Production - Oil'!L49</f>
        <v>170</v>
      </c>
      <c r="M430" s="93"/>
      <c r="N430" s="93"/>
      <c r="O430" s="93"/>
      <c r="P430" s="93"/>
      <c r="Q430" s="5">
        <f>'Production - Oil'!Q49</f>
        <v>228</v>
      </c>
      <c r="R430" s="93"/>
      <c r="S430" s="93"/>
      <c r="T430" s="93"/>
      <c r="U430" s="93"/>
      <c r="V430" s="5">
        <f>'Production - Oil'!V49</f>
        <v>128</v>
      </c>
      <c r="W430" s="93"/>
      <c r="X430" s="93"/>
      <c r="Y430" s="93"/>
      <c r="Z430" s="93"/>
      <c r="AA430" s="5">
        <f>'Production - Oil'!AA49</f>
        <v>123</v>
      </c>
      <c r="AB430" s="93"/>
      <c r="AC430" s="93"/>
      <c r="AD430" s="93"/>
      <c r="AE430" s="93"/>
      <c r="AF430" s="5">
        <f>'Production - Oil'!AF49</f>
        <v>119</v>
      </c>
      <c r="AG430" s="93"/>
      <c r="AH430" s="93"/>
      <c r="AI430" s="93"/>
      <c r="AJ430" s="93"/>
      <c r="AK430" s="5">
        <f>'Production - Oil'!AK49</f>
        <v>138</v>
      </c>
      <c r="AL430" s="93"/>
      <c r="AM430" s="93"/>
      <c r="AN430" s="93"/>
      <c r="AO430" s="93"/>
      <c r="AP430" s="5">
        <f>'Production - Oil'!AP49</f>
        <v>139</v>
      </c>
      <c r="AQ430" s="93"/>
      <c r="AR430" s="93"/>
      <c r="AS430" s="93"/>
      <c r="AT430" s="93"/>
      <c r="AU430" s="5">
        <f>'Production - Oil'!AU49</f>
        <v>141</v>
      </c>
      <c r="AV430" s="93"/>
      <c r="AW430" s="93"/>
      <c r="AX430" s="93"/>
      <c r="AY430" s="93"/>
      <c r="AZ430" s="5">
        <f>'Production - Oil'!AZ49</f>
        <v>147</v>
      </c>
      <c r="BA430" s="93"/>
      <c r="BB430" s="93"/>
      <c r="BC430" s="93"/>
      <c r="BD430" s="93"/>
      <c r="BE430" s="5">
        <f>'Production - Oil'!BE49</f>
        <v>200</v>
      </c>
      <c r="BF430" s="93"/>
      <c r="BG430" s="93"/>
      <c r="BH430" s="93"/>
      <c r="BI430" s="93"/>
      <c r="BJ430" s="5">
        <f>'Production - Oil'!BJ49</f>
        <v>204</v>
      </c>
      <c r="BK430" s="93"/>
      <c r="BL430" s="93"/>
      <c r="BM430" s="93"/>
      <c r="BN430" s="93"/>
      <c r="BO430" s="5">
        <f>'Production - Oil'!BO49</f>
        <v>325</v>
      </c>
      <c r="BP430" s="12">
        <f>'Production - Oil'!BP49</f>
        <v>355.40999999999985</v>
      </c>
      <c r="BQ430" s="12">
        <f>'Production - Oil'!BQ49</f>
        <v>355.40999999999985</v>
      </c>
      <c r="BR430" s="12">
        <f>'Production - Oil'!BR49</f>
        <v>355.40999999999985</v>
      </c>
      <c r="BS430" s="12">
        <f>'Production - Oil'!BS49</f>
        <v>355.40999999999985</v>
      </c>
      <c r="BT430" s="5">
        <f>'Production - Oil'!BT49</f>
        <v>355.40999999999985</v>
      </c>
      <c r="BU430" s="12">
        <f>'Production - Oil'!BU49</f>
        <v>385.5200000000001</v>
      </c>
      <c r="BV430" s="12">
        <f>'Production - Oil'!BV49</f>
        <v>385.5200000000001</v>
      </c>
      <c r="BW430" s="12">
        <f>'Production - Oil'!BW49</f>
        <v>385.5200000000001</v>
      </c>
      <c r="BX430" s="12">
        <f>'Production - Oil'!BX49</f>
        <v>385.5200000000001</v>
      </c>
      <c r="BY430" s="5">
        <f>'Production - Oil'!BY49</f>
        <v>385.5200000000001</v>
      </c>
      <c r="BZ430" s="12">
        <f>'Production - Oil'!BZ49</f>
        <v>390.64</v>
      </c>
      <c r="CA430" s="12">
        <f>'Production - Oil'!CA49</f>
        <v>390.64</v>
      </c>
      <c r="CB430" s="12">
        <f>'Production - Oil'!CB49</f>
        <v>390.64</v>
      </c>
      <c r="CC430" s="12">
        <f>'Production - Oil'!CC49</f>
        <v>390.64</v>
      </c>
      <c r="CD430" s="5">
        <f>'Production - Oil'!CD49</f>
        <v>390.64</v>
      </c>
      <c r="CF430" s="632"/>
    </row>
    <row r="431" spans="1:90" hidden="1" outlineLevel="1">
      <c r="A431" s="11"/>
      <c r="B431" s="11" t="s">
        <v>933</v>
      </c>
      <c r="C431" s="5">
        <f>'Production - Gas'!C49</f>
        <v>851</v>
      </c>
      <c r="D431" s="5">
        <f>'Production - Gas'!D49</f>
        <v>841</v>
      </c>
      <c r="E431" s="5">
        <f>'Production - Gas'!E49</f>
        <v>745</v>
      </c>
      <c r="F431" s="5">
        <f>'Production - Gas'!F49</f>
        <v>722.16</v>
      </c>
      <c r="G431" s="5">
        <f>'Production - Gas'!G49</f>
        <v>740.99</v>
      </c>
      <c r="H431" s="93"/>
      <c r="I431" s="93"/>
      <c r="J431" s="93"/>
      <c r="K431" s="93"/>
      <c r="L431" s="5">
        <f>'Production - Gas'!L49</f>
        <v>571</v>
      </c>
      <c r="M431" s="93"/>
      <c r="N431" s="93"/>
      <c r="O431" s="93"/>
      <c r="P431" s="93"/>
      <c r="Q431" s="5">
        <f>'Production - Gas'!Q49</f>
        <v>609</v>
      </c>
      <c r="R431" s="93"/>
      <c r="S431" s="93"/>
      <c r="T431" s="93"/>
      <c r="U431" s="93"/>
      <c r="V431" s="5">
        <f>'Production - Gas'!V49</f>
        <v>696</v>
      </c>
      <c r="W431" s="93"/>
      <c r="X431" s="93"/>
      <c r="Y431" s="93"/>
      <c r="Z431" s="93"/>
      <c r="AA431" s="5">
        <f>'Production - Gas'!AA49</f>
        <v>610</v>
      </c>
      <c r="AB431" s="93"/>
      <c r="AC431" s="93"/>
      <c r="AD431" s="93"/>
      <c r="AE431" s="93"/>
      <c r="AF431" s="5">
        <f>'Production - Gas'!AF49</f>
        <v>574</v>
      </c>
      <c r="AG431" s="93"/>
      <c r="AH431" s="93"/>
      <c r="AI431" s="93"/>
      <c r="AJ431" s="93"/>
      <c r="AK431" s="5">
        <f>'Production - Gas'!AK49</f>
        <v>618</v>
      </c>
      <c r="AL431" s="93"/>
      <c r="AM431" s="93"/>
      <c r="AN431" s="93"/>
      <c r="AO431" s="93"/>
      <c r="AP431" s="5">
        <f>'Production - Gas'!AP49</f>
        <v>633</v>
      </c>
      <c r="AQ431" s="93"/>
      <c r="AR431" s="93"/>
      <c r="AS431" s="93"/>
      <c r="AT431" s="93"/>
      <c r="AU431" s="5">
        <f>'Production - Gas'!AU49</f>
        <v>494</v>
      </c>
      <c r="AV431" s="93"/>
      <c r="AW431" s="93"/>
      <c r="AX431" s="93"/>
      <c r="AY431" s="93"/>
      <c r="AZ431" s="5">
        <f>'Production - Gas'!AZ49</f>
        <v>408</v>
      </c>
      <c r="BA431" s="93"/>
      <c r="BB431" s="93"/>
      <c r="BC431" s="93"/>
      <c r="BD431" s="93"/>
      <c r="BE431" s="5">
        <f>'Production - Gas'!BE49</f>
        <v>380</v>
      </c>
      <c r="BF431" s="93"/>
      <c r="BG431" s="93"/>
      <c r="BH431" s="93"/>
      <c r="BI431" s="93"/>
      <c r="BJ431" s="5">
        <f>'Production - Gas'!BJ49</f>
        <v>363</v>
      </c>
      <c r="BK431" s="93"/>
      <c r="BL431" s="93"/>
      <c r="BM431" s="93"/>
      <c r="BN431" s="93"/>
      <c r="BO431" s="5">
        <f>'Production - Gas'!BO49</f>
        <v>371</v>
      </c>
      <c r="BP431" s="12">
        <f>'Production - Gas'!BP49</f>
        <v>817.17348234434098</v>
      </c>
      <c r="BQ431" s="12">
        <f>'Production - Gas'!BQ49</f>
        <v>795.60196032990598</v>
      </c>
      <c r="BR431" s="12">
        <f>'Production - Gas'!BR49</f>
        <v>801.22324186854576</v>
      </c>
      <c r="BS431" s="12">
        <f>'Production - Gas'!BS49</f>
        <v>810.88131545720717</v>
      </c>
      <c r="BT431" s="5">
        <f>'Production - Gas'!BT49</f>
        <v>806.22</v>
      </c>
      <c r="BU431" s="12">
        <f>'Production - Gas'!BU49</f>
        <v>909.56186630366574</v>
      </c>
      <c r="BV431" s="12">
        <f>'Production - Gas'!BV49</f>
        <v>885.55150100623587</v>
      </c>
      <c r="BW431" s="12">
        <f>'Production - Gas'!BW49</f>
        <v>891.8083160372812</v>
      </c>
      <c r="BX431" s="12">
        <f>'Production - Gas'!BX49</f>
        <v>902.55831665281721</v>
      </c>
      <c r="BY431" s="5">
        <f>'Production - Gas'!BY49</f>
        <v>897.37</v>
      </c>
      <c r="BZ431" s="12">
        <f>'Production - Gas'!BZ49</f>
        <v>1147.5316390515563</v>
      </c>
      <c r="CA431" s="12">
        <f>'Production - Gas'!CA49</f>
        <v>1117.2394127998596</v>
      </c>
      <c r="CB431" s="12">
        <f>'Production - Gas'!CB49</f>
        <v>1125.1332059257702</v>
      </c>
      <c r="CC431" s="12">
        <f>'Production - Gas'!CC49</f>
        <v>1138.6957422228147</v>
      </c>
      <c r="CD431" s="5">
        <f>'Production - Gas'!CD49</f>
        <v>1132.1500000000001</v>
      </c>
      <c r="CF431" s="632"/>
    </row>
    <row r="432" spans="1:90" hidden="1" outlineLevel="1">
      <c r="A432" s="11"/>
      <c r="B432" s="39" t="s">
        <v>896</v>
      </c>
      <c r="C432" s="8">
        <f>C430+C431/5.8</f>
        <v>240.72413793103448</v>
      </c>
      <c r="D432" s="8">
        <f>D430+D431/5.8</f>
        <v>244</v>
      </c>
      <c r="E432" s="8">
        <f>E430+E431/5.8</f>
        <v>215.44827586206898</v>
      </c>
      <c r="F432" s="8">
        <f>F430+F431/5.8</f>
        <v>194.51034482758621</v>
      </c>
      <c r="G432" s="8">
        <f>G430+G431/5.8</f>
        <v>229.75689655172414</v>
      </c>
      <c r="H432" s="93"/>
      <c r="I432" s="93"/>
      <c r="J432" s="93"/>
      <c r="K432" s="93"/>
      <c r="L432" s="8">
        <f>L430+L431/5.8</f>
        <v>268.44827586206895</v>
      </c>
      <c r="M432" s="93"/>
      <c r="N432" s="93"/>
      <c r="O432" s="93"/>
      <c r="P432" s="93"/>
      <c r="Q432" s="8">
        <f>Q430+Q431/5.8</f>
        <v>333</v>
      </c>
      <c r="R432" s="93"/>
      <c r="S432" s="93"/>
      <c r="T432" s="93"/>
      <c r="U432" s="93"/>
      <c r="V432" s="8">
        <f>V430+V431/5.8</f>
        <v>248</v>
      </c>
      <c r="W432" s="93"/>
      <c r="X432" s="93"/>
      <c r="Y432" s="93"/>
      <c r="Z432" s="93"/>
      <c r="AA432" s="8">
        <f>AA430+AA431/5.8</f>
        <v>228.17241379310343</v>
      </c>
      <c r="AB432" s="93"/>
      <c r="AC432" s="93"/>
      <c r="AD432" s="93"/>
      <c r="AE432" s="93"/>
      <c r="AF432" s="8">
        <f>AF430+AF431/5.8</f>
        <v>217.9655172413793</v>
      </c>
      <c r="AG432" s="93"/>
      <c r="AH432" s="93"/>
      <c r="AI432" s="93"/>
      <c r="AJ432" s="93"/>
      <c r="AK432" s="8">
        <f>AK430+AK431/5.8</f>
        <v>244.55172413793105</v>
      </c>
      <c r="AL432" s="93"/>
      <c r="AM432" s="93"/>
      <c r="AN432" s="93"/>
      <c r="AO432" s="93"/>
      <c r="AP432" s="8">
        <f>AP430+AP431/5.8</f>
        <v>248.13793103448276</v>
      </c>
      <c r="AQ432" s="93"/>
      <c r="AR432" s="93"/>
      <c r="AS432" s="93"/>
      <c r="AT432" s="93"/>
      <c r="AU432" s="8">
        <f>AU430+AU431/5.8</f>
        <v>226.17241379310343</v>
      </c>
      <c r="AV432" s="93"/>
      <c r="AW432" s="93"/>
      <c r="AX432" s="93"/>
      <c r="AY432" s="93"/>
      <c r="AZ432" s="8">
        <f>AZ430+AZ431/5.8</f>
        <v>217.34482758620692</v>
      </c>
      <c r="BA432" s="93"/>
      <c r="BB432" s="93"/>
      <c r="BC432" s="93"/>
      <c r="BD432" s="93"/>
      <c r="BE432" s="8">
        <f t="shared" ref="BE432:BJ432" si="200">BE430+BE431/5.8</f>
        <v>265.51724137931035</v>
      </c>
      <c r="BF432" s="93"/>
      <c r="BG432" s="93"/>
      <c r="BH432" s="93"/>
      <c r="BI432" s="93"/>
      <c r="BJ432" s="8">
        <f t="shared" si="200"/>
        <v>266.58620689655174</v>
      </c>
      <c r="BK432" s="93"/>
      <c r="BL432" s="93"/>
      <c r="BM432" s="93"/>
      <c r="BN432" s="93"/>
      <c r="BO432" s="8">
        <f t="shared" ref="BO432:CD432" si="201">BO430+BO431/5.8</f>
        <v>388.9655172413793</v>
      </c>
      <c r="BP432" s="66">
        <f t="shared" si="201"/>
        <v>496.3019797145414</v>
      </c>
      <c r="BQ432" s="66">
        <f t="shared" si="201"/>
        <v>492.58275178101815</v>
      </c>
      <c r="BR432" s="66">
        <f t="shared" si="201"/>
        <v>493.55193825319736</v>
      </c>
      <c r="BS432" s="66">
        <f t="shared" si="201"/>
        <v>495.21712335469078</v>
      </c>
      <c r="BT432" s="8">
        <f t="shared" si="201"/>
        <v>494.41344827586192</v>
      </c>
      <c r="BU432" s="66">
        <f t="shared" si="201"/>
        <v>542.34101143166663</v>
      </c>
      <c r="BV432" s="66">
        <f t="shared" si="201"/>
        <v>538.20129327693735</v>
      </c>
      <c r="BW432" s="66">
        <f t="shared" si="201"/>
        <v>539.28005448918657</v>
      </c>
      <c r="BX432" s="66">
        <f t="shared" si="201"/>
        <v>541.13350287117555</v>
      </c>
      <c r="BY432" s="8">
        <f t="shared" si="201"/>
        <v>540.23896551724147</v>
      </c>
      <c r="BZ432" s="66">
        <f t="shared" si="201"/>
        <v>588.49028259509589</v>
      </c>
      <c r="CA432" s="66">
        <f t="shared" si="201"/>
        <v>583.26748496549305</v>
      </c>
      <c r="CB432" s="66">
        <f t="shared" si="201"/>
        <v>584.62848378030526</v>
      </c>
      <c r="CC432" s="66">
        <f t="shared" si="201"/>
        <v>586.96685210738178</v>
      </c>
      <c r="CD432" s="8">
        <f t="shared" si="201"/>
        <v>585.83827586206894</v>
      </c>
      <c r="CF432" s="632"/>
    </row>
    <row r="433" spans="1:103" hidden="1" outlineLevel="1">
      <c r="A433" s="11"/>
      <c r="B433" s="11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F433" s="632"/>
    </row>
    <row r="434" spans="1:103" hidden="1" outlineLevel="1">
      <c r="A434" s="39" t="s">
        <v>199</v>
      </c>
      <c r="B434" s="11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F434" s="632"/>
    </row>
    <row r="435" spans="1:103" hidden="1" outlineLevel="1">
      <c r="A435" s="11"/>
      <c r="B435" s="11" t="s">
        <v>197</v>
      </c>
      <c r="C435" s="72"/>
      <c r="D435" s="72"/>
      <c r="E435" s="72"/>
      <c r="F435" s="104">
        <f>'Key assumptions'!F25</f>
        <v>34.51</v>
      </c>
      <c r="G435" s="104">
        <f>'Key assumptions'!G25</f>
        <v>47.56</v>
      </c>
      <c r="H435" s="93"/>
      <c r="I435" s="93"/>
      <c r="J435" s="93"/>
      <c r="K435" s="93"/>
      <c r="L435" s="104">
        <f>'Key assumptions'!L25</f>
        <v>59.54</v>
      </c>
      <c r="M435" s="93"/>
      <c r="N435" s="93"/>
      <c r="O435" s="93"/>
      <c r="P435" s="93"/>
      <c r="Q435" s="104">
        <f>'Key assumptions'!Q25</f>
        <v>69.56</v>
      </c>
      <c r="R435" s="93"/>
      <c r="S435" s="93"/>
      <c r="T435" s="93"/>
      <c r="U435" s="93"/>
      <c r="V435" s="104">
        <f>'Key assumptions'!V25</f>
        <v>91.05</v>
      </c>
      <c r="W435" s="93"/>
      <c r="X435" s="93"/>
      <c r="Y435" s="93"/>
      <c r="Z435" s="93"/>
      <c r="AA435" s="104">
        <f>'Key assumptions'!AA25</f>
        <v>57.29</v>
      </c>
      <c r="AB435" s="93"/>
      <c r="AC435" s="93"/>
      <c r="AD435" s="93"/>
      <c r="AE435" s="93"/>
      <c r="AF435" s="104">
        <f>'Key assumptions'!AF25</f>
        <v>75.23</v>
      </c>
      <c r="AG435" s="93"/>
      <c r="AH435" s="93"/>
      <c r="AI435" s="93"/>
      <c r="AJ435" s="93"/>
      <c r="AK435" s="104">
        <f>'Key assumptions'!AK25</f>
        <v>105.13</v>
      </c>
      <c r="AL435" s="93"/>
      <c r="AM435" s="93"/>
      <c r="AN435" s="93"/>
      <c r="AO435" s="93"/>
      <c r="AP435" s="104">
        <f>'Key assumptions'!AP25</f>
        <v>105.8725</v>
      </c>
      <c r="AQ435" s="93"/>
      <c r="AR435" s="93"/>
      <c r="AS435" s="93"/>
      <c r="AT435" s="93"/>
      <c r="AU435" s="104">
        <f>'Key assumptions'!AU25</f>
        <v>104.2775</v>
      </c>
      <c r="AV435" s="93"/>
      <c r="AW435" s="93"/>
      <c r="AX435" s="93"/>
      <c r="AY435" s="93"/>
      <c r="AZ435" s="104">
        <f>'Key assumptions'!AZ25</f>
        <v>91.702500000000001</v>
      </c>
      <c r="BA435" s="93"/>
      <c r="BB435" s="93"/>
      <c r="BC435" s="93"/>
      <c r="BD435" s="93"/>
      <c r="BE435" s="104">
        <f>'Key assumptions'!BE25</f>
        <v>46.202499999999993</v>
      </c>
      <c r="BF435" s="93"/>
      <c r="BG435" s="93"/>
      <c r="BH435" s="93"/>
      <c r="BI435" s="93"/>
      <c r="BJ435" s="104">
        <f>'Key assumptions'!BJ25</f>
        <v>41.984999999999999</v>
      </c>
      <c r="BK435" s="93"/>
      <c r="BL435" s="93"/>
      <c r="BM435" s="93"/>
      <c r="BN435" s="93"/>
      <c r="BO435" s="104">
        <f>'Key assumptions'!BO25</f>
        <v>51.8825</v>
      </c>
      <c r="BP435" s="114">
        <f>'Key assumptions'!BP25</f>
        <v>62.570938555470903</v>
      </c>
      <c r="BQ435" s="114">
        <f>'Key assumptions'!BQ25</f>
        <v>63.174946220562603</v>
      </c>
      <c r="BR435" s="114">
        <f>'Key assumptions'!BR25</f>
        <v>61.947446772150428</v>
      </c>
      <c r="BS435" s="114">
        <f>'Key assumptions'!BS25</f>
        <v>60.924530565140266</v>
      </c>
      <c r="BT435" s="104">
        <f>'Key assumptions'!BT25</f>
        <v>62.154465528331052</v>
      </c>
      <c r="BU435" s="114">
        <f>'Key assumptions'!BU25</f>
        <v>58.693599027946703</v>
      </c>
      <c r="BV435" s="114">
        <f>'Key assumptions'!BV25</f>
        <v>58.693599027946703</v>
      </c>
      <c r="BW435" s="114">
        <f>'Key assumptions'!BW25</f>
        <v>58.693599027946703</v>
      </c>
      <c r="BX435" s="114">
        <f>'Key assumptions'!BX25</f>
        <v>58.693599027946703</v>
      </c>
      <c r="BY435" s="104">
        <f>'Key assumptions'!BY25</f>
        <v>58.693599027946703</v>
      </c>
      <c r="BZ435" s="114">
        <f>'Key assumptions'!BZ25</f>
        <v>59.073346349255459</v>
      </c>
      <c r="CA435" s="114">
        <f>'Key assumptions'!CA25</f>
        <v>59.455445159519257</v>
      </c>
      <c r="CB435" s="114">
        <f>'Key assumptions'!CB25</f>
        <v>59.839910019736948</v>
      </c>
      <c r="CC435" s="114">
        <f>'Key assumptions'!CC25</f>
        <v>60.226755581072652</v>
      </c>
      <c r="CD435" s="104">
        <f>'Key assumptions'!CD25</f>
        <v>59.648864277396086</v>
      </c>
      <c r="CF435" s="632"/>
    </row>
    <row r="436" spans="1:103" hidden="1" outlineLevel="1">
      <c r="A436" s="11"/>
      <c r="B436" s="11" t="s">
        <v>2233</v>
      </c>
      <c r="C436" s="72"/>
      <c r="D436" s="72"/>
      <c r="E436" s="72"/>
      <c r="F436" s="104">
        <f>'Key assumptions'!F32</f>
        <v>2.74</v>
      </c>
      <c r="G436" s="104">
        <f>G435/5.8</f>
        <v>8.2000000000000011</v>
      </c>
      <c r="H436" s="93"/>
      <c r="I436" s="93"/>
      <c r="J436" s="93"/>
      <c r="K436" s="93"/>
      <c r="L436" s="104">
        <f>L435/5.8</f>
        <v>10.26551724137931</v>
      </c>
      <c r="M436" s="93"/>
      <c r="N436" s="93"/>
      <c r="O436" s="93"/>
      <c r="P436" s="93"/>
      <c r="Q436" s="104">
        <f>Q435/5.8</f>
        <v>11.993103448275862</v>
      </c>
      <c r="R436" s="93"/>
      <c r="S436" s="93"/>
      <c r="T436" s="93"/>
      <c r="U436" s="93"/>
      <c r="V436" s="104">
        <f>V435/5.8</f>
        <v>15.698275862068966</v>
      </c>
      <c r="W436" s="93"/>
      <c r="X436" s="93"/>
      <c r="Y436" s="93"/>
      <c r="Z436" s="93"/>
      <c r="AA436" s="104">
        <f>AA435/5.8</f>
        <v>9.8775862068965523</v>
      </c>
      <c r="AB436" s="93"/>
      <c r="AC436" s="93"/>
      <c r="AD436" s="93"/>
      <c r="AE436" s="93"/>
      <c r="AF436" s="104">
        <f>AF435/5.8</f>
        <v>12.970689655172414</v>
      </c>
      <c r="AG436" s="93"/>
      <c r="AH436" s="93"/>
      <c r="AI436" s="93"/>
      <c r="AJ436" s="93"/>
      <c r="AK436" s="104">
        <f t="shared" ref="AK436:CD436" si="202">AK435/5.8</f>
        <v>18.125862068965517</v>
      </c>
      <c r="AL436" s="93"/>
      <c r="AM436" s="93"/>
      <c r="AN436" s="93"/>
      <c r="AO436" s="93"/>
      <c r="AP436" s="104">
        <f t="shared" si="202"/>
        <v>18.253879310344828</v>
      </c>
      <c r="AQ436" s="93"/>
      <c r="AR436" s="93"/>
      <c r="AS436" s="93"/>
      <c r="AT436" s="93"/>
      <c r="AU436" s="104">
        <f t="shared" si="202"/>
        <v>17.97887931034483</v>
      </c>
      <c r="AV436" s="93"/>
      <c r="AW436" s="93"/>
      <c r="AX436" s="93"/>
      <c r="AY436" s="93"/>
      <c r="AZ436" s="104">
        <f>AZ435/5.8</f>
        <v>15.810775862068967</v>
      </c>
      <c r="BA436" s="93"/>
      <c r="BB436" s="93"/>
      <c r="BC436" s="93"/>
      <c r="BD436" s="93"/>
      <c r="BE436" s="104">
        <f t="shared" si="202"/>
        <v>7.9659482758620683</v>
      </c>
      <c r="BF436" s="93"/>
      <c r="BG436" s="93"/>
      <c r="BH436" s="93"/>
      <c r="BI436" s="93"/>
      <c r="BJ436" s="104">
        <f t="shared" si="202"/>
        <v>7.238793103448276</v>
      </c>
      <c r="BK436" s="93"/>
      <c r="BL436" s="93"/>
      <c r="BM436" s="93"/>
      <c r="BN436" s="93"/>
      <c r="BO436" s="104">
        <f t="shared" si="202"/>
        <v>8.9452586206896552</v>
      </c>
      <c r="BP436" s="114">
        <f t="shared" si="202"/>
        <v>10.788092854391536</v>
      </c>
      <c r="BQ436" s="114">
        <f t="shared" si="202"/>
        <v>10.892232106993552</v>
      </c>
      <c r="BR436" s="114">
        <f t="shared" si="202"/>
        <v>10.68059427106042</v>
      </c>
      <c r="BS436" s="114">
        <f t="shared" si="202"/>
        <v>10.504229407782805</v>
      </c>
      <c r="BT436" s="104">
        <f t="shared" si="202"/>
        <v>10.716287160057078</v>
      </c>
      <c r="BU436" s="114">
        <f t="shared" si="202"/>
        <v>10.119586039301156</v>
      </c>
      <c r="BV436" s="114">
        <f t="shared" si="202"/>
        <v>10.119586039301156</v>
      </c>
      <c r="BW436" s="114">
        <f t="shared" si="202"/>
        <v>10.119586039301156</v>
      </c>
      <c r="BX436" s="114">
        <f t="shared" si="202"/>
        <v>10.119586039301156</v>
      </c>
      <c r="BY436" s="104">
        <f t="shared" si="202"/>
        <v>10.119586039301156</v>
      </c>
      <c r="BZ436" s="114">
        <f t="shared" si="202"/>
        <v>10.185059715388872</v>
      </c>
      <c r="CA436" s="114">
        <f t="shared" si="202"/>
        <v>10.250938820606768</v>
      </c>
      <c r="CB436" s="114">
        <f t="shared" si="202"/>
        <v>10.317225865471888</v>
      </c>
      <c r="CC436" s="114">
        <f t="shared" si="202"/>
        <v>10.38392337604701</v>
      </c>
      <c r="CD436" s="104">
        <f t="shared" si="202"/>
        <v>10.284286944378636</v>
      </c>
      <c r="CF436" s="632"/>
    </row>
    <row r="437" spans="1:103" hidden="1" outlineLevel="1">
      <c r="A437" s="11"/>
      <c r="B437" s="39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F437" s="632"/>
    </row>
    <row r="438" spans="1:103" hidden="1" outlineLevel="1">
      <c r="A438" s="11" t="s">
        <v>200</v>
      </c>
      <c r="B438" s="11"/>
      <c r="C438" s="72"/>
      <c r="D438" s="72"/>
      <c r="E438" s="72"/>
      <c r="F438" s="115">
        <f>SUMPRODUCT(F430:F431,F435:F436)*365/1000</f>
        <v>1603.9627159999998</v>
      </c>
      <c r="G438" s="115">
        <f>SUMPRODUCT(G430:G431,G435:G436)*365/1000</f>
        <v>3988.4418700000006</v>
      </c>
      <c r="H438" s="93"/>
      <c r="I438" s="93"/>
      <c r="J438" s="93"/>
      <c r="K438" s="93"/>
      <c r="L438" s="115">
        <f>SUMPRODUCT(L430:L431,L435:L436)*365/1000</f>
        <v>5833.944775862069</v>
      </c>
      <c r="M438" s="93"/>
      <c r="N438" s="93"/>
      <c r="O438" s="93"/>
      <c r="P438" s="93"/>
      <c r="Q438" s="115">
        <f>SUMPRODUCT(Q430:Q431,Q435:Q436)*365/1000</f>
        <v>8454.6701999999987</v>
      </c>
      <c r="R438" s="93"/>
      <c r="S438" s="93"/>
      <c r="T438" s="93"/>
      <c r="U438" s="93"/>
      <c r="V438" s="115">
        <f>SUMPRODUCT(V430:V431,V435:V436)*365/1000</f>
        <v>8241.8460000000014</v>
      </c>
      <c r="W438" s="93"/>
      <c r="X438" s="93"/>
      <c r="Y438" s="93"/>
      <c r="Z438" s="93"/>
      <c r="AA438" s="115">
        <f>SUMPRODUCT(AA430:AA431,AA435:AA436)*365/1000</f>
        <v>4771.2791189655181</v>
      </c>
      <c r="AB438" s="93"/>
      <c r="AC438" s="93"/>
      <c r="AD438" s="93"/>
      <c r="AE438" s="93"/>
      <c r="AF438" s="115">
        <f>SUMPRODUCT(AF430:AF431,AF435:AF436)*365/1000</f>
        <v>5985.1042396551729</v>
      </c>
      <c r="AG438" s="93"/>
      <c r="AH438" s="93"/>
      <c r="AI438" s="93"/>
      <c r="AJ438" s="93"/>
      <c r="AK438" s="115">
        <f>SUMPRODUCT(AK430:AK431,AK435:AK436)*365/1000</f>
        <v>9384.0488068965515</v>
      </c>
      <c r="AL438" s="93"/>
      <c r="AM438" s="93"/>
      <c r="AN438" s="93"/>
      <c r="AO438" s="93"/>
      <c r="AP438" s="115">
        <f>SUMPRODUCT(AP430:AP431,AP435:AP436)*365/1000</f>
        <v>9588.9088327586214</v>
      </c>
      <c r="AQ438" s="93"/>
      <c r="AR438" s="93"/>
      <c r="AS438" s="93"/>
      <c r="AT438" s="93"/>
      <c r="AU438" s="115">
        <f>SUMPRODUCT(AU430:AU431,AU435:AU436)*365/1000</f>
        <v>8608.4132659482766</v>
      </c>
      <c r="AV438" s="93"/>
      <c r="AW438" s="93"/>
      <c r="AX438" s="93"/>
      <c r="AY438" s="93"/>
      <c r="AZ438" s="115">
        <f>SUMPRODUCT(AZ430:AZ431,AZ435:AZ436)*365/1000</f>
        <v>7274.8383788793099</v>
      </c>
      <c r="BA438" s="93"/>
      <c r="BB438" s="93"/>
      <c r="BC438" s="93"/>
      <c r="BD438" s="93"/>
      <c r="BE438" s="115">
        <f>SUMPRODUCT(BE430:BE431,BE435:BE436)*365/1000</f>
        <v>4477.6595258620682</v>
      </c>
      <c r="BF438" s="93"/>
      <c r="BG438" s="93"/>
      <c r="BH438" s="93"/>
      <c r="BI438" s="93"/>
      <c r="BJ438" s="115">
        <f>SUMPRODUCT(BJ430:BJ431,BJ435:BJ436)*365/1000</f>
        <v>4085.3069922413797</v>
      </c>
      <c r="BK438" s="93"/>
      <c r="BL438" s="93"/>
      <c r="BM438" s="93"/>
      <c r="BN438" s="93"/>
      <c r="BO438" s="115">
        <f>SUMPRODUCT(BO430:BO431,BO435:BO436)*365/1000</f>
        <v>7365.883758620691</v>
      </c>
      <c r="BP438" s="65">
        <f>SUMPRODUCT(BP430:BP431,BP435:BP436)*90/1000</f>
        <v>2794.8672609909422</v>
      </c>
      <c r="BQ438" s="65">
        <f>SUMPRODUCT(BQ430:BQ431,BQ435:BQ436)*91/1000</f>
        <v>2831.818885617773</v>
      </c>
      <c r="BR438" s="65">
        <f>SUMPRODUCT(BR430:BR431,BR435:BR436)*92/1000</f>
        <v>2812.8339830293094</v>
      </c>
      <c r="BS438" s="65">
        <f>SUMPRODUCT(BS430:BS431,BS435:BS436)*92/1000</f>
        <v>2775.7201106747398</v>
      </c>
      <c r="BT438" s="115">
        <f>SUM(BP438:BS438)</f>
        <v>11215.240240312765</v>
      </c>
      <c r="BU438" s="65">
        <f>SUMPRODUCT(BU430:BU431,BU435:BU436)*90/1000</f>
        <v>2864.8751275243167</v>
      </c>
      <c r="BV438" s="65">
        <f>SUMPRODUCT(BV430:BV431,BV435:BV436)*91/1000</f>
        <v>2874.5963522566203</v>
      </c>
      <c r="BW438" s="65">
        <f>SUMPRODUCT(BW430:BW431,BW435:BW436)*92/1000</f>
        <v>2912.0104299400959</v>
      </c>
      <c r="BX438" s="65">
        <f>SUMPRODUCT(BX430:BX431,BX435:BX436)*92/1000</f>
        <v>2922.0187011060298</v>
      </c>
      <c r="BY438" s="115">
        <f>SUM(BU438:BX438)</f>
        <v>11573.500610827063</v>
      </c>
      <c r="BZ438" s="65">
        <f>SUMPRODUCT(BZ430:BZ431,BZ435:BZ436)*90/1000</f>
        <v>3128.7681258220186</v>
      </c>
      <c r="CA438" s="65">
        <f>SUMPRODUCT(CA430:CA431,CA435:CA436)*91/1000</f>
        <v>3155.7369448783902</v>
      </c>
      <c r="CB438" s="65">
        <f>SUMPRODUCT(CB430:CB431,CB435:CB436)*92/1000</f>
        <v>3218.538659523761</v>
      </c>
      <c r="CC438" s="65">
        <f>SUMPRODUCT(CC430:CC431,CC435:CC436)*92/1000</f>
        <v>3252.3020405177876</v>
      </c>
      <c r="CD438" s="115">
        <f>SUM(BZ438:CC438)</f>
        <v>12755.345770741958</v>
      </c>
      <c r="CF438" s="632"/>
    </row>
    <row r="439" spans="1:103" hidden="1" outlineLevel="1">
      <c r="A439" s="11" t="s">
        <v>550</v>
      </c>
      <c r="B439" s="11"/>
      <c r="C439" s="72"/>
      <c r="D439" s="72"/>
      <c r="E439" s="72"/>
      <c r="F439" s="72"/>
      <c r="G439" s="116">
        <f>G416/G438-1</f>
        <v>0.53318017394095785</v>
      </c>
      <c r="H439" s="93"/>
      <c r="I439" s="93"/>
      <c r="J439" s="93"/>
      <c r="K439" s="93"/>
      <c r="L439" s="116">
        <f>L416/L438-1</f>
        <v>0.5480091682330861</v>
      </c>
      <c r="M439" s="93"/>
      <c r="N439" s="93"/>
      <c r="O439" s="93"/>
      <c r="P439" s="93"/>
      <c r="Q439" s="116">
        <f>Q416/Q438-1</f>
        <v>0.36315192992389012</v>
      </c>
      <c r="R439" s="93"/>
      <c r="S439" s="93"/>
      <c r="T439" s="93"/>
      <c r="U439" s="93"/>
      <c r="V439" s="116">
        <f>V416/V438-1</f>
        <v>0.50876393468162329</v>
      </c>
      <c r="W439" s="93"/>
      <c r="X439" s="93"/>
      <c r="Y439" s="93"/>
      <c r="Z439" s="93"/>
      <c r="AA439" s="116">
        <f>AA416/AA438-1</f>
        <v>0.44468596955495276</v>
      </c>
      <c r="AB439" s="93"/>
      <c r="AC439" s="93"/>
      <c r="AD439" s="93"/>
      <c r="AE439" s="93"/>
      <c r="AF439" s="116">
        <f>AF416/AF438-1</f>
        <v>0.33147221517049585</v>
      </c>
      <c r="AG439" s="93"/>
      <c r="AH439" s="93"/>
      <c r="AI439" s="93"/>
      <c r="AJ439" s="93"/>
      <c r="AK439" s="116">
        <f>AK416/AK438-1</f>
        <v>0.3065788821333828</v>
      </c>
      <c r="AL439" s="93"/>
      <c r="AM439" s="93"/>
      <c r="AN439" s="93"/>
      <c r="AO439" s="93"/>
      <c r="AP439" s="116">
        <f>AP416/AP438-1</f>
        <v>0.31860675917621206</v>
      </c>
      <c r="AQ439" s="93"/>
      <c r="AR439" s="93"/>
      <c r="AS439" s="93"/>
      <c r="AT439" s="93"/>
      <c r="AU439" s="116">
        <f>AU416/AU438-1</f>
        <v>0.44474941150841429</v>
      </c>
      <c r="AV439" s="93"/>
      <c r="AW439" s="93"/>
      <c r="AX439" s="93"/>
      <c r="AY439" s="93"/>
      <c r="AZ439" s="116">
        <f>AZ416/AZ438-1</f>
        <v>0.11150235632391459</v>
      </c>
      <c r="BA439" s="93"/>
      <c r="BB439" s="93"/>
      <c r="BC439" s="93"/>
      <c r="BD439" s="93"/>
      <c r="BE439" s="116">
        <f>BE416/BE438-1</f>
        <v>7.8241874379781473E-2</v>
      </c>
      <c r="BF439" s="93"/>
      <c r="BG439" s="93"/>
      <c r="BH439" s="93"/>
      <c r="BI439" s="93"/>
      <c r="BJ439" s="116">
        <f>BJ416/BJ438-1</f>
        <v>-1.965751714470787E-2</v>
      </c>
      <c r="BK439" s="93"/>
      <c r="BL439" s="93"/>
      <c r="BM439" s="93"/>
      <c r="BN439" s="93"/>
      <c r="BO439" s="116">
        <f>BO416/BO438-1</f>
        <v>4.1287135576010936E-2</v>
      </c>
      <c r="BP439" s="117">
        <f>BT439</f>
        <v>1.8528145600093603E-2</v>
      </c>
      <c r="BQ439" s="117">
        <f>BT439</f>
        <v>1.8528145600093603E-2</v>
      </c>
      <c r="BR439" s="117">
        <f>BT439</f>
        <v>1.8528145600093603E-2</v>
      </c>
      <c r="BS439" s="117">
        <f>BT439</f>
        <v>1.8528145600093603E-2</v>
      </c>
      <c r="BT439" s="118">
        <f>7%-(BT435-52.8)*('Production - Oil'!BT199*0.365/'E&amp;P - FAS69'!BT438)</f>
        <v>1.8528145600093603E-2</v>
      </c>
      <c r="BU439" s="117">
        <f>BY439</f>
        <v>3.8524816827030114E-2</v>
      </c>
      <c r="BV439" s="117">
        <f>BY439</f>
        <v>3.8524816827030114E-2</v>
      </c>
      <c r="BW439" s="117">
        <f>BY439</f>
        <v>3.8524816827030114E-2</v>
      </c>
      <c r="BX439" s="117">
        <f>BY439</f>
        <v>3.8524816827030114E-2</v>
      </c>
      <c r="BY439" s="118">
        <f>7%-(BY435-52.8)*('Production - Oil'!BY199*0.365/'E&amp;P - FAS69'!BY438)</f>
        <v>3.8524816827030114E-2</v>
      </c>
      <c r="BZ439" s="117">
        <f>CD439</f>
        <v>3.6649512440767411E-2</v>
      </c>
      <c r="CA439" s="117">
        <f>CD439</f>
        <v>3.6649512440767411E-2</v>
      </c>
      <c r="CB439" s="117">
        <f>CD439</f>
        <v>3.6649512440767411E-2</v>
      </c>
      <c r="CC439" s="117">
        <f>CD439</f>
        <v>3.6649512440767411E-2</v>
      </c>
      <c r="CD439" s="118">
        <f>7%-(CD435-52.8)*('Production - Oil'!CD199*0.365/'E&amp;P - FAS69'!CD438)</f>
        <v>3.6649512440767411E-2</v>
      </c>
      <c r="CF439" s="632"/>
    </row>
    <row r="440" spans="1:103" hidden="1" outlineLevel="1">
      <c r="A440" s="11"/>
      <c r="B440" s="11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F440" s="632"/>
    </row>
    <row r="441" spans="1:103" hidden="1" outlineLevel="1">
      <c r="A441" s="39" t="s">
        <v>3090</v>
      </c>
      <c r="B441" s="11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381"/>
      <c r="CF441" s="632"/>
    </row>
    <row r="442" spans="1:103" hidden="1" outlineLevel="1">
      <c r="A442" s="11"/>
      <c r="B442" s="11" t="s">
        <v>1897</v>
      </c>
      <c r="C442" s="72"/>
      <c r="D442" s="72"/>
      <c r="E442" s="72"/>
      <c r="F442" s="72"/>
      <c r="G442" s="119">
        <f>-1000*G418/(G432*365)</f>
        <v>0.643920629586611</v>
      </c>
      <c r="H442" s="93"/>
      <c r="I442" s="93"/>
      <c r="J442" s="93"/>
      <c r="K442" s="93"/>
      <c r="L442" s="119">
        <f>-1000*L418/(L432*365)</f>
        <v>1.2451060610059739</v>
      </c>
      <c r="M442" s="93"/>
      <c r="N442" s="93"/>
      <c r="O442" s="93"/>
      <c r="P442" s="93"/>
      <c r="Q442" s="119">
        <f>-1000*Q418/(Q432*365)</f>
        <v>1.1024723353490478</v>
      </c>
      <c r="R442" s="93"/>
      <c r="S442" s="93"/>
      <c r="T442" s="93"/>
      <c r="U442" s="93"/>
      <c r="V442" s="119">
        <f>-1000*V418/(V432*365)</f>
        <v>1.7012814847547504</v>
      </c>
      <c r="W442" s="93"/>
      <c r="X442" s="93"/>
      <c r="Y442" s="93"/>
      <c r="Z442" s="93"/>
      <c r="AA442" s="119">
        <f>-1000*AA418/(AA432*365)</f>
        <v>0.68441395243881997</v>
      </c>
      <c r="AB442" s="93"/>
      <c r="AC442" s="93"/>
      <c r="AD442" s="93"/>
      <c r="AE442" s="93"/>
      <c r="AF442" s="119">
        <f>-1000*AF418/(AF432*365)</f>
        <v>0.72903325076446635</v>
      </c>
      <c r="AG442" s="93"/>
      <c r="AH442" s="93"/>
      <c r="AI442" s="93"/>
      <c r="AJ442" s="93"/>
      <c r="AK442" s="119">
        <f>-1000*AK418/(AK432*365)</f>
        <v>1.5684274776132088</v>
      </c>
      <c r="AL442" s="93"/>
      <c r="AM442" s="93"/>
      <c r="AN442" s="93"/>
      <c r="AO442" s="93"/>
      <c r="AP442" s="119">
        <f>-1000*AP418/(AP432*365)</f>
        <v>1.3911838388145621</v>
      </c>
      <c r="AQ442" s="93"/>
      <c r="AR442" s="93"/>
      <c r="AS442" s="93"/>
      <c r="AT442" s="93"/>
      <c r="AU442" s="119">
        <f>-1000*AU418/(AU432*365)</f>
        <v>9.3031221348058821</v>
      </c>
      <c r="AV442" s="93"/>
      <c r="AW442" s="93"/>
      <c r="AX442" s="93"/>
      <c r="AY442" s="93"/>
      <c r="AZ442" s="119">
        <f>-1000*AZ418/(AZ432*365)</f>
        <v>8.9750694928920556</v>
      </c>
      <c r="BA442" s="93"/>
      <c r="BB442" s="93"/>
      <c r="BC442" s="93"/>
      <c r="BD442" s="93"/>
      <c r="BE442" s="119">
        <f>-1000*BE418/(BE432*365)</f>
        <v>0.59847002312755737</v>
      </c>
      <c r="BF442" s="93"/>
      <c r="BG442" s="93"/>
      <c r="BH442" s="93"/>
      <c r="BI442" s="93"/>
      <c r="BJ442" s="119">
        <f>-1000*BJ418/(BJ432*365)</f>
        <v>-0.17471024854570549</v>
      </c>
      <c r="BK442" s="93"/>
      <c r="BL442" s="93"/>
      <c r="BM442" s="93"/>
      <c r="BN442" s="93"/>
      <c r="BO442" s="119">
        <f>-1000*BO418/(BO432*365)</f>
        <v>-0.12678519382104342</v>
      </c>
      <c r="BP442" s="114">
        <f>-1000*BP418/(BP$432*90)</f>
        <v>0.83954262464623119</v>
      </c>
      <c r="BQ442" s="114">
        <f>-1000*BQ418/(BQ$432*91)</f>
        <v>0.54141377408530633</v>
      </c>
      <c r="BR442" s="114">
        <f>-1000*BR418/(BR$432*92)</f>
        <v>0.53447722536563669</v>
      </c>
      <c r="BS442" s="114">
        <f>-1000*BS418/(BS$432*92)</f>
        <v>0.5326800267818369</v>
      </c>
      <c r="BT442" s="119">
        <f>-1000*BT418/(BT432*365)</f>
        <v>0.61124964686130456</v>
      </c>
      <c r="BU442" s="114">
        <f>-1000*BU418/(BU$432*90)</f>
        <v>0.46320111824074195</v>
      </c>
      <c r="BV442" s="114">
        <f>-1000*BV418/(BV$432*91)</f>
        <v>0.46163467842976191</v>
      </c>
      <c r="BW442" s="114">
        <f>-1000*BW418/(BW$432*92)</f>
        <v>0.45570350608828358</v>
      </c>
      <c r="BX442" s="114">
        <f>-1000*BX418/(BX$432*92)</f>
        <v>0.45414266588610697</v>
      </c>
      <c r="BY442" s="119">
        <f>-1000*BY418/(BY432*365)</f>
        <v>0.45863350352837401</v>
      </c>
      <c r="BZ442" s="114">
        <f>-1000*BZ418/(BZ$432*90)</f>
        <v>0.27490305713184932</v>
      </c>
      <c r="CA442" s="114">
        <f>-1000*CA418/(CA$432*91)</f>
        <v>0.27431667995253645</v>
      </c>
      <c r="CB442" s="114">
        <f>-1000*CB418/(CB$432*92)</f>
        <v>0.27070331664628489</v>
      </c>
      <c r="CC442" s="114">
        <f>-1000*CC418/(CC$432*92)</f>
        <v>0.26962488426222853</v>
      </c>
      <c r="CD442" s="119">
        <f>-1000*CD418/(CD432*365)</f>
        <v>0.27236466173334156</v>
      </c>
      <c r="CF442" s="632"/>
    </row>
    <row r="443" spans="1:103" hidden="1" outlineLevel="1">
      <c r="A443" s="11"/>
      <c r="B443" s="11" t="s">
        <v>2149</v>
      </c>
      <c r="C443" s="72"/>
      <c r="D443" s="72"/>
      <c r="E443" s="72"/>
      <c r="F443" s="72"/>
      <c r="G443" s="119">
        <f>-1000*G419/(G432*365)</f>
        <v>3.3985097376719029</v>
      </c>
      <c r="H443" s="93"/>
      <c r="I443" s="93"/>
      <c r="J443" s="93"/>
      <c r="K443" s="93"/>
      <c r="L443" s="119">
        <f>-1000*L419/(L432*365)</f>
        <v>3.4597619236149604</v>
      </c>
      <c r="M443" s="93"/>
      <c r="N443" s="93"/>
      <c r="O443" s="93"/>
      <c r="P443" s="93"/>
      <c r="Q443" s="119">
        <f>-1000*Q419/(Q432*365)</f>
        <v>3.8833353901847052</v>
      </c>
      <c r="R443" s="93"/>
      <c r="S443" s="93"/>
      <c r="T443" s="93"/>
      <c r="U443" s="93"/>
      <c r="V443" s="119">
        <f>-1000*V419/(V432*365)</f>
        <v>5.5567830313742821</v>
      </c>
      <c r="W443" s="93"/>
      <c r="X443" s="93"/>
      <c r="Y443" s="93"/>
      <c r="Z443" s="93"/>
      <c r="AA443" s="119">
        <f>-1000*AA419/(AA432*365)</f>
        <v>4.5147306336315136</v>
      </c>
      <c r="AB443" s="93"/>
      <c r="AC443" s="93"/>
      <c r="AD443" s="93"/>
      <c r="AE443" s="93"/>
      <c r="AF443" s="119">
        <f>-1000*AF419/(AF432*365)</f>
        <v>4.7010075135501799</v>
      </c>
      <c r="AG443" s="93"/>
      <c r="AH443" s="93"/>
      <c r="AI443" s="93"/>
      <c r="AJ443" s="93"/>
      <c r="AK443" s="119">
        <f>-1000*AK419/(AK432*365)</f>
        <v>8.8616152485146298</v>
      </c>
      <c r="AL443" s="93"/>
      <c r="AM443" s="93"/>
      <c r="AN443" s="93"/>
      <c r="AO443" s="93"/>
      <c r="AP443" s="119">
        <f>-1000*AP419/(AP432*365)</f>
        <v>11.880268337813245</v>
      </c>
      <c r="AQ443" s="93"/>
      <c r="AR443" s="93"/>
      <c r="AS443" s="93"/>
      <c r="AT443" s="93"/>
      <c r="AU443" s="119">
        <f>-1000*AU419/(AU432*365)</f>
        <v>13.215763345147419</v>
      </c>
      <c r="AV443" s="93"/>
      <c r="AW443" s="93"/>
      <c r="AX443" s="93"/>
      <c r="AY443" s="93"/>
      <c r="AZ443" s="119">
        <f>-1000*AZ419/(AZ432*365)</f>
        <v>16.24840530384531</v>
      </c>
      <c r="BA443" s="93"/>
      <c r="BB443" s="93"/>
      <c r="BC443" s="93"/>
      <c r="BD443" s="93"/>
      <c r="BE443" s="119">
        <f>-1000*BE419/(BE432*365)</f>
        <v>11.174879914605942</v>
      </c>
      <c r="BF443" s="93"/>
      <c r="BG443" s="93"/>
      <c r="BH443" s="93"/>
      <c r="BI443" s="93"/>
      <c r="BJ443" s="119">
        <f>-1000*BJ419/(BJ432*365)</f>
        <v>7.1014577497107352</v>
      </c>
      <c r="BK443" s="93"/>
      <c r="BL443" s="93"/>
      <c r="BM443" s="93"/>
      <c r="BN443" s="93"/>
      <c r="BO443" s="119">
        <f>-1000*BO419/(BO432*365)</f>
        <v>6.3674341785679589</v>
      </c>
      <c r="BP443" s="109">
        <f>BT443</f>
        <v>6.3674341785679589</v>
      </c>
      <c r="BQ443" s="109">
        <f>BT443</f>
        <v>6.3674341785679589</v>
      </c>
      <c r="BR443" s="109">
        <f>BT443</f>
        <v>6.3674341785679589</v>
      </c>
      <c r="BS443" s="109">
        <f>BT443</f>
        <v>6.3674341785679589</v>
      </c>
      <c r="BT443" s="120">
        <f>BO443</f>
        <v>6.3674341785679589</v>
      </c>
      <c r="BU443" s="109">
        <f>BY443</f>
        <v>6.5266200330321569</v>
      </c>
      <c r="BV443" s="109">
        <f>BY443</f>
        <v>6.5266200330321569</v>
      </c>
      <c r="BW443" s="109">
        <f>BY443</f>
        <v>6.5266200330321569</v>
      </c>
      <c r="BX443" s="109">
        <f>BY443</f>
        <v>6.5266200330321569</v>
      </c>
      <c r="BY443" s="120">
        <f>BT443*(1+2.5%)</f>
        <v>6.5266200330321569</v>
      </c>
      <c r="BZ443" s="109">
        <f>CD443</f>
        <v>6.6897855338579602</v>
      </c>
      <c r="CA443" s="109">
        <f>CD443</f>
        <v>6.6897855338579602</v>
      </c>
      <c r="CB443" s="109">
        <f>CD443</f>
        <v>6.6897855338579602</v>
      </c>
      <c r="CC443" s="109">
        <f>CD443</f>
        <v>6.6897855338579602</v>
      </c>
      <c r="CD443" s="120">
        <f>BY443*(1+2.5%)</f>
        <v>6.6897855338579602</v>
      </c>
      <c r="CE443" s="563"/>
      <c r="CF443" s="632"/>
    </row>
    <row r="444" spans="1:103" hidden="1" outlineLevel="1">
      <c r="A444" s="11"/>
      <c r="B444" s="11" t="s">
        <v>2150</v>
      </c>
      <c r="C444" s="72"/>
      <c r="D444" s="72"/>
      <c r="E444" s="72"/>
      <c r="F444" s="72"/>
      <c r="G444" s="119">
        <f>-1000*G420/(G432*365)</f>
        <v>31.766751059606143</v>
      </c>
      <c r="H444" s="93"/>
      <c r="I444" s="93"/>
      <c r="J444" s="93"/>
      <c r="K444" s="93"/>
      <c r="L444" s="119">
        <f>-1000*L420/(L432*365)</f>
        <v>37.16947765724391</v>
      </c>
      <c r="M444" s="93"/>
      <c r="N444" s="93"/>
      <c r="O444" s="93"/>
      <c r="P444" s="93"/>
      <c r="Q444" s="119">
        <f>-1000*Q420/(Q432*365)</f>
        <v>32.202065078777409</v>
      </c>
      <c r="R444" s="93"/>
      <c r="S444" s="93"/>
      <c r="T444" s="93"/>
      <c r="U444" s="93"/>
      <c r="V444" s="119">
        <f>-1000*V420/(V432*365)</f>
        <v>60.870525850640739</v>
      </c>
      <c r="W444" s="93"/>
      <c r="X444" s="93"/>
      <c r="Y444" s="93"/>
      <c r="Z444" s="93"/>
      <c r="AA444" s="119">
        <f>-1000*AA420/(AA432*365)</f>
        <v>34.268726671234951</v>
      </c>
      <c r="AB444" s="93"/>
      <c r="AC444" s="93"/>
      <c r="AD444" s="93"/>
      <c r="AE444" s="93"/>
      <c r="AF444" s="119">
        <f>-1000*AF420/(AF432*365)</f>
        <v>47.311744066852611</v>
      </c>
      <c r="AG444" s="93"/>
      <c r="AH444" s="93"/>
      <c r="AI444" s="93"/>
      <c r="AJ444" s="93"/>
      <c r="AK444" s="119">
        <f>-1000*AK420/(AK432*365)</f>
        <v>66.725386119030517</v>
      </c>
      <c r="AL444" s="93"/>
      <c r="AM444" s="93"/>
      <c r="AN444" s="93"/>
      <c r="AO444" s="93"/>
      <c r="AP444" s="119">
        <f>-1000*AP420/(AP432*365)</f>
        <v>69.459821666527063</v>
      </c>
      <c r="AQ444" s="93"/>
      <c r="AR444" s="93"/>
      <c r="AS444" s="93"/>
      <c r="AT444" s="93"/>
      <c r="AU444" s="119">
        <f>-1000*AU420/(AU432*365)</f>
        <v>68.562071983074603</v>
      </c>
      <c r="AV444" s="93"/>
      <c r="AW444" s="93"/>
      <c r="AX444" s="93"/>
      <c r="AY444" s="93"/>
      <c r="AZ444" s="119">
        <f>-1000*AZ420/(AZ432*365)</f>
        <v>28.160541077416926</v>
      </c>
      <c r="BA444" s="93"/>
      <c r="BB444" s="93"/>
      <c r="BC444" s="93"/>
      <c r="BD444" s="93"/>
      <c r="BE444" s="119">
        <f>-1000*BE420/(BE432*365)</f>
        <v>8.6055861946272909</v>
      </c>
      <c r="BF444" s="93"/>
      <c r="BG444" s="93"/>
      <c r="BH444" s="93"/>
      <c r="BI444" s="93"/>
      <c r="BJ444" s="119">
        <f>-1000*BJ420/(BJ432*365)</f>
        <v>8.2216587550920224</v>
      </c>
      <c r="BK444" s="93"/>
      <c r="BL444" s="93"/>
      <c r="BM444" s="93"/>
      <c r="BN444" s="93"/>
      <c r="BO444" s="119">
        <f>-1000*BO420/(BO432*365)</f>
        <v>11.396580200136015</v>
      </c>
      <c r="BP444" s="114">
        <f>-1000*BP420/(BP$432*90)</f>
        <v>12.746052403072236</v>
      </c>
      <c r="BQ444" s="114">
        <f>-1000*BQ420/(BQ$432*91)</f>
        <v>12.869092164483057</v>
      </c>
      <c r="BR444" s="114">
        <f>-1000*BR420/(BR$432*92)</f>
        <v>12.619043617099779</v>
      </c>
      <c r="BS444" s="114">
        <f>-1000*BS420/(BS$432*92)</f>
        <v>12.410669827613708</v>
      </c>
      <c r="BT444" s="119">
        <f>-1000*BT420/(BT432*365)</f>
        <v>12.659847422618675</v>
      </c>
      <c r="BU444" s="114">
        <f>-1000*BU420/(BU$432*90)</f>
        <v>12.190951835883501</v>
      </c>
      <c r="BV444" s="114">
        <f>-1000*BV420/(BV$432*91)</f>
        <v>12.190951835883498</v>
      </c>
      <c r="BW444" s="114">
        <f>-1000*BW420/(BW$432*92)</f>
        <v>12.190951835883499</v>
      </c>
      <c r="BX444" s="114">
        <f>-1000*BX420/(BX$432*92)</f>
        <v>12.190951835883499</v>
      </c>
      <c r="BY444" s="119">
        <f>-1000*BY420/(BY432*365)</f>
        <v>12.190817898620542</v>
      </c>
      <c r="BZ444" s="114">
        <f>-1000*BZ420/(BZ$432*90)</f>
        <v>12.247671138240049</v>
      </c>
      <c r="CA444" s="114">
        <f>-1000*CA420/(CA$432*91)</f>
        <v>12.326891647312886</v>
      </c>
      <c r="CB444" s="114">
        <f>-1000*CB420/(CB$432*92)</f>
        <v>12.406602709291938</v>
      </c>
      <c r="CC444" s="114">
        <f>-1000*CC420/(CC$432*92)</f>
        <v>12.486807361801647</v>
      </c>
      <c r="CD444" s="119">
        <f>-1000*CD420/(CD432*365)</f>
        <v>12.367547069169953</v>
      </c>
      <c r="CF444" s="632"/>
    </row>
    <row r="445" spans="1:103" hidden="1" outlineLevel="1">
      <c r="A445" s="11"/>
      <c r="B445" s="11" t="s">
        <v>2158</v>
      </c>
      <c r="C445" s="72"/>
      <c r="D445" s="72"/>
      <c r="E445" s="72"/>
      <c r="F445" s="72"/>
      <c r="G445" s="119">
        <f>-1000*G421/(G432*365)</f>
        <v>11.244762105558781</v>
      </c>
      <c r="H445" s="93"/>
      <c r="I445" s="93"/>
      <c r="J445" s="93"/>
      <c r="K445" s="93"/>
      <c r="L445" s="119">
        <f>-1000*L421/(L432*365)</f>
        <v>12.920526829783302</v>
      </c>
      <c r="M445" s="93"/>
      <c r="N445" s="93"/>
      <c r="O445" s="93"/>
      <c r="P445" s="93"/>
      <c r="Q445" s="119">
        <f>-1000*Q421/(Q432*365)</f>
        <v>12.217697149203998</v>
      </c>
      <c r="R445" s="93"/>
      <c r="S445" s="93"/>
      <c r="T445" s="93"/>
      <c r="U445" s="93"/>
      <c r="V445" s="119">
        <f>-1000*V421/(V432*365)</f>
        <v>24.966858152894389</v>
      </c>
      <c r="W445" s="93"/>
      <c r="X445" s="93"/>
      <c r="Y445" s="93"/>
      <c r="Z445" s="93"/>
      <c r="AA445" s="119">
        <f>-1000*AA421/(AA432*365)</f>
        <v>12.523574603398057</v>
      </c>
      <c r="AB445" s="93"/>
      <c r="AC445" s="93"/>
      <c r="AD445" s="93"/>
      <c r="AE445" s="93"/>
      <c r="AF445" s="119">
        <f>-1000*AF421/(AF432*365)</f>
        <v>2.0865434418431277</v>
      </c>
      <c r="AG445" s="93"/>
      <c r="AH445" s="93"/>
      <c r="AI445" s="93"/>
      <c r="AJ445" s="93"/>
      <c r="AK445" s="119">
        <f>-1000*AK421/(AK432*365)</f>
        <v>2.1285801481893549</v>
      </c>
      <c r="AL445" s="93"/>
      <c r="AM445" s="93"/>
      <c r="AN445" s="93"/>
      <c r="AO445" s="93"/>
      <c r="AP445" s="119">
        <f>-1000*AP421/(AP432*365)</f>
        <v>-2.7161208281617641</v>
      </c>
      <c r="AQ445" s="93"/>
      <c r="AR445" s="93"/>
      <c r="AS445" s="93"/>
      <c r="AT445" s="93"/>
      <c r="AU445" s="119">
        <f>-1000*AU421/(AU432*365)</f>
        <v>1.8049026016745788</v>
      </c>
      <c r="AV445" s="93"/>
      <c r="AW445" s="93"/>
      <c r="AX445" s="93"/>
      <c r="AY445" s="93"/>
      <c r="AZ445" s="119">
        <f>-1000*AZ421/(AZ432*365)</f>
        <v>-0.15126521617233801</v>
      </c>
      <c r="BA445" s="93"/>
      <c r="BB445" s="93"/>
      <c r="BC445" s="93"/>
      <c r="BD445" s="93"/>
      <c r="BE445" s="119">
        <f>-1000*BE421/(BE432*365)</f>
        <v>1.0628002134851451</v>
      </c>
      <c r="BF445" s="93"/>
      <c r="BG445" s="93"/>
      <c r="BH445" s="93"/>
      <c r="BI445" s="93"/>
      <c r="BJ445" s="119">
        <f>-1000*BJ421/(BJ432*365)</f>
        <v>1.5312839431358893</v>
      </c>
      <c r="BK445" s="93"/>
      <c r="BL445" s="93"/>
      <c r="BM445" s="93"/>
      <c r="BN445" s="93"/>
      <c r="BO445" s="119">
        <f>-1000*BO421/(BO432*365)</f>
        <v>2.4652676576313999</v>
      </c>
      <c r="BP445" s="114">
        <f>-1000*BP421/(BP$432*90)</f>
        <v>1.8609861512991457</v>
      </c>
      <c r="BQ445" s="114">
        <f>-1000*BQ421/(BQ$432*91)</f>
        <v>1.8544326514859895</v>
      </c>
      <c r="BR445" s="114">
        <f>-1000*BR421/(BR$432*92)</f>
        <v>1.8306738129597424</v>
      </c>
      <c r="BS445" s="114">
        <f>-1000*BS421/(BS$432*92)</f>
        <v>1.8245181074817407</v>
      </c>
      <c r="BT445" s="104">
        <f>-1000*BT421/(BT432*365)</f>
        <v>1.8425042993598191</v>
      </c>
      <c r="BU445" s="114">
        <f>-1000*BU421/(BU$432*90)</f>
        <v>1.7030080551588223</v>
      </c>
      <c r="BV445" s="114">
        <f>-1000*BV421/(BV$432*91)</f>
        <v>1.697248873000212</v>
      </c>
      <c r="BW445" s="114">
        <f>-1000*BW421/(BW$432*92)</f>
        <v>1.6754422886110458</v>
      </c>
      <c r="BX445" s="114">
        <f>-1000*BX421/(BX$432*92)</f>
        <v>1.669703694008299</v>
      </c>
      <c r="BY445" s="104">
        <f>-1000*BY421/(BY432*365)</f>
        <v>1.6862147350615644</v>
      </c>
      <c r="BZ445" s="114">
        <f>-1000*BZ421/(BZ$432*90)</f>
        <v>1.5694585593464954</v>
      </c>
      <c r="CA445" s="114">
        <f>-1000*CA421/(CA$432*91)</f>
        <v>1.5661108530944086</v>
      </c>
      <c r="CB445" s="114">
        <f>-1000*CB421/(CB$432*92)</f>
        <v>1.5454816755647274</v>
      </c>
      <c r="CC445" s="114">
        <f>-1000*CC421/(CC$432*92)</f>
        <v>1.5393247599105593</v>
      </c>
      <c r="CD445" s="104">
        <f>-1000*CD421/(CD432*365)</f>
        <v>1.5549665183093417</v>
      </c>
      <c r="CF445" s="632"/>
      <c r="CG445" s="364"/>
      <c r="CH445" s="364" t="s">
        <v>3693</v>
      </c>
      <c r="CI445" s="364" t="s">
        <v>3694</v>
      </c>
    </row>
    <row r="446" spans="1:103" hidden="1" outlineLevel="1">
      <c r="A446" s="11"/>
      <c r="B446" s="11" t="s">
        <v>2154</v>
      </c>
      <c r="C446" s="72"/>
      <c r="D446" s="72"/>
      <c r="E446" s="72"/>
      <c r="F446" s="72"/>
      <c r="G446" s="119">
        <f>-1000*G422/(G432*365)</f>
        <v>3.1003585868984973</v>
      </c>
      <c r="H446" s="93"/>
      <c r="I446" s="93"/>
      <c r="J446" s="93"/>
      <c r="K446" s="93"/>
      <c r="L446" s="119">
        <f>-1000*L422/(L432*365)</f>
        <v>6.0214145573239719</v>
      </c>
      <c r="M446" s="93"/>
      <c r="N446" s="93"/>
      <c r="O446" s="93"/>
      <c r="P446" s="93"/>
      <c r="Q446" s="119">
        <f>-1000*Q422/(Q432*365)</f>
        <v>9.4450614998560205</v>
      </c>
      <c r="R446" s="93"/>
      <c r="S446" s="93"/>
      <c r="T446" s="93"/>
      <c r="U446" s="93"/>
      <c r="V446" s="119">
        <f>-1000*V422/(V432*365)</f>
        <v>8.7052585064074233</v>
      </c>
      <c r="W446" s="93"/>
      <c r="X446" s="93"/>
      <c r="Y446" s="93"/>
      <c r="Z446" s="93"/>
      <c r="AA446" s="119">
        <f>-1000*AA422/(AA432*365)</f>
        <v>9.0894975788804686</v>
      </c>
      <c r="AB446" s="93"/>
      <c r="AC446" s="93"/>
      <c r="AD446" s="93"/>
      <c r="AE446" s="93"/>
      <c r="AF446" s="119">
        <f>-1000*AF422/(AF432*365)</f>
        <v>10.420147670409355</v>
      </c>
      <c r="AG446" s="93"/>
      <c r="AH446" s="93"/>
      <c r="AI446" s="93"/>
      <c r="AJ446" s="93"/>
      <c r="AK446" s="119">
        <f>-1000*AK422/(AK432*365)</f>
        <v>18.955566372296779</v>
      </c>
      <c r="AL446" s="93"/>
      <c r="AM446" s="93"/>
      <c r="AN446" s="93"/>
      <c r="AO446" s="93"/>
      <c r="AP446" s="119">
        <f>-1000*AP422/(AP432*365)</f>
        <v>23.36305557882233</v>
      </c>
      <c r="AQ446" s="93"/>
      <c r="AR446" s="93"/>
      <c r="AS446" s="93"/>
      <c r="AT446" s="93"/>
      <c r="AU446" s="119">
        <f>-1000*AU422/(AU432*365)</f>
        <v>26.334619168057277</v>
      </c>
      <c r="AV446" s="93"/>
      <c r="AW446" s="93"/>
      <c r="AX446" s="93"/>
      <c r="AY446" s="93"/>
      <c r="AZ446" s="119">
        <f>-1000*AZ422/(AZ432*365)</f>
        <v>31.021974750010322</v>
      </c>
      <c r="BA446" s="93"/>
      <c r="BB446" s="93"/>
      <c r="BC446" s="93"/>
      <c r="BD446" s="93"/>
      <c r="BE446" s="119">
        <f>-1000*BE422/(BE432*365)</f>
        <v>24.970645792563602</v>
      </c>
      <c r="BF446" s="93"/>
      <c r="BG446" s="93"/>
      <c r="BH446" s="93"/>
      <c r="BI446" s="93"/>
      <c r="BJ446" s="119">
        <f>-1000*BJ422/(BJ432*365)</f>
        <v>22.393743034181899</v>
      </c>
      <c r="BK446" s="93"/>
      <c r="BL446" s="93"/>
      <c r="BM446" s="93"/>
      <c r="BN446" s="93"/>
      <c r="BO446" s="119">
        <f>-1000*BO422/(BO432*365)</f>
        <v>15.122656174098902</v>
      </c>
      <c r="BP446" s="109">
        <f>BT446</f>
        <v>16.397312012401013</v>
      </c>
      <c r="BQ446" s="109">
        <f>BT446</f>
        <v>16.397312012401013</v>
      </c>
      <c r="BR446" s="109">
        <f>BT446</f>
        <v>16.397312012401013</v>
      </c>
      <c r="BS446" s="109">
        <f>BT446</f>
        <v>16.397312012401013</v>
      </c>
      <c r="BT446" s="120">
        <f>BT450-6</f>
        <v>16.397312012401013</v>
      </c>
      <c r="BU446" s="109">
        <f>BY446</f>
        <v>16.643399546123348</v>
      </c>
      <c r="BV446" s="109">
        <f>BY446</f>
        <v>16.643399546123348</v>
      </c>
      <c r="BW446" s="109">
        <f>BY446</f>
        <v>16.643399546123348</v>
      </c>
      <c r="BX446" s="109">
        <f>BY446</f>
        <v>16.643399546123348</v>
      </c>
      <c r="BY446" s="120">
        <f>BY450-6</f>
        <v>16.643399546123348</v>
      </c>
      <c r="BZ446" s="109">
        <f>CD446</f>
        <v>16.889487079845683</v>
      </c>
      <c r="CA446" s="109">
        <f>CD446</f>
        <v>16.889487079845683</v>
      </c>
      <c r="CB446" s="109">
        <f>CD446</f>
        <v>16.889487079845683</v>
      </c>
      <c r="CC446" s="109">
        <f>CD446</f>
        <v>16.889487079845683</v>
      </c>
      <c r="CD446" s="120">
        <f>CD450-6</f>
        <v>16.889487079845683</v>
      </c>
      <c r="CE446" s="563"/>
      <c r="CF446" s="632"/>
      <c r="CG446" s="468">
        <v>2005</v>
      </c>
      <c r="CH446" s="627">
        <f>INDEX(424:424,MATCH(CG446,413:413,0))</f>
        <v>1906.9966666666669</v>
      </c>
      <c r="CI446" s="627">
        <f>INDEX(426:426,MATCH(CG446,413:413,0))</f>
        <v>-601.16666666666663</v>
      </c>
    </row>
    <row r="447" spans="1:103" hidden="1" outlineLevel="1">
      <c r="A447" s="11"/>
      <c r="B447" s="4" t="s">
        <v>930</v>
      </c>
      <c r="C447" s="72"/>
      <c r="D447" s="72"/>
      <c r="E447" s="72"/>
      <c r="F447" s="72"/>
      <c r="G447" s="119">
        <f>-1000*G423/(G432*365)</f>
        <v>2.3848912206911519E-2</v>
      </c>
      <c r="H447" s="93"/>
      <c r="I447" s="93"/>
      <c r="J447" s="93"/>
      <c r="K447" s="93"/>
      <c r="L447" s="119">
        <f>-1000*L423/(L432*365)</f>
        <v>-1.0103729511441919</v>
      </c>
      <c r="M447" s="93"/>
      <c r="N447" s="93"/>
      <c r="O447" s="93"/>
      <c r="P447" s="93"/>
      <c r="Q447" s="119">
        <f>-1000*Q423/(Q432*365)</f>
        <v>0</v>
      </c>
      <c r="R447" s="93"/>
      <c r="S447" s="93"/>
      <c r="T447" s="93"/>
      <c r="U447" s="93"/>
      <c r="V447" s="119">
        <f>-1000*V423/(V432*365)</f>
        <v>2.4193548387096775</v>
      </c>
      <c r="W447" s="93"/>
      <c r="X447" s="93"/>
      <c r="Y447" s="93"/>
      <c r="Z447" s="93"/>
      <c r="AA447" s="119">
        <f>-1000*AA423/(AA432*365)</f>
        <v>-8.429098151088624</v>
      </c>
      <c r="AB447" s="93"/>
      <c r="AC447" s="93"/>
      <c r="AD447" s="93"/>
      <c r="AE447" s="93"/>
      <c r="AF447" s="119">
        <f>-1000*AF423/(AF432*365)</f>
        <v>4.2862127329428104</v>
      </c>
      <c r="AG447" s="93"/>
      <c r="AH447" s="93"/>
      <c r="AI447" s="93"/>
      <c r="AJ447" s="93"/>
      <c r="AK447" s="119">
        <f>-1000*AK423/(AK432*365)</f>
        <v>-6.027242735399331</v>
      </c>
      <c r="AL447" s="93"/>
      <c r="AM447" s="93"/>
      <c r="AN447" s="93"/>
      <c r="AO447" s="93"/>
      <c r="AP447" s="119">
        <f>-1000*AP423/(AP432*365)</f>
        <v>-2.2082283155786701E-2</v>
      </c>
      <c r="AQ447" s="93"/>
      <c r="AR447" s="93"/>
      <c r="AS447" s="93"/>
      <c r="AT447" s="93"/>
      <c r="AU447" s="119">
        <f>-1000*AU423/(AU432*365)</f>
        <v>-0.19381504447512254</v>
      </c>
      <c r="AV447" s="93"/>
      <c r="AW447" s="93"/>
      <c r="AX447" s="93"/>
      <c r="AY447" s="93"/>
      <c r="AZ447" s="119">
        <f>-1000*AZ423/(AZ432*365)</f>
        <v>4.9287249602820138</v>
      </c>
      <c r="BA447" s="93"/>
      <c r="BB447" s="93"/>
      <c r="BC447" s="93"/>
      <c r="BD447" s="93"/>
      <c r="BE447" s="119">
        <f>-1000*BE423/(BE432*365)</f>
        <v>1.0834371108343712</v>
      </c>
      <c r="BF447" s="93"/>
      <c r="BG447" s="93"/>
      <c r="BH447" s="93"/>
      <c r="BI447" s="93"/>
      <c r="BJ447" s="119">
        <f>-1000*BJ423/(BJ432*365)</f>
        <v>-1.8704273667834352</v>
      </c>
      <c r="BK447" s="93"/>
      <c r="BL447" s="93"/>
      <c r="BM447" s="93"/>
      <c r="BN447" s="93"/>
      <c r="BO447" s="119">
        <f>-1000*BO423/(BO432*365)</f>
        <v>-7.0436218789468569E-2</v>
      </c>
      <c r="BP447" s="114">
        <f>-1000*BP423/(BP$432*90)</f>
        <v>0</v>
      </c>
      <c r="BQ447" s="114">
        <f>-1000*BQ423/(BQ$432*91)</f>
        <v>0</v>
      </c>
      <c r="BR447" s="114">
        <f>-1000*BR423/(BR$432*92)</f>
        <v>0</v>
      </c>
      <c r="BS447" s="114">
        <f>-1000*BS423/(BS$432*92)</f>
        <v>0</v>
      </c>
      <c r="BT447" s="104">
        <f>1000*BT423/(BT432*365)</f>
        <v>0</v>
      </c>
      <c r="BU447" s="114">
        <f>-1000*BU423/(BU$432*90)</f>
        <v>0</v>
      </c>
      <c r="BV447" s="114">
        <f>-1000*BV423/(BV$432*91)</f>
        <v>0</v>
      </c>
      <c r="BW447" s="114">
        <f>-1000*BW423/(BW$432*92)</f>
        <v>0</v>
      </c>
      <c r="BX447" s="114">
        <f>-1000*BX423/(BX$432*92)</f>
        <v>0</v>
      </c>
      <c r="BY447" s="104">
        <f>1000*BY423/(BY432*365)</f>
        <v>0</v>
      </c>
      <c r="BZ447" s="114">
        <f>-1000*BZ423/(BZ$432*90)</f>
        <v>0</v>
      </c>
      <c r="CA447" s="114">
        <f>-1000*CA423/(CA$432*91)</f>
        <v>0</v>
      </c>
      <c r="CB447" s="114">
        <f>-1000*CB423/(CB$432*92)</f>
        <v>0</v>
      </c>
      <c r="CC447" s="114">
        <f>-1000*CC423/(CC$432*92)</f>
        <v>0</v>
      </c>
      <c r="CD447" s="104">
        <f>1000*CD423/(CD432*365)</f>
        <v>0</v>
      </c>
      <c r="CF447" s="632"/>
      <c r="CG447" s="468">
        <v>2006</v>
      </c>
      <c r="CH447" s="627">
        <f>INDEX(424:424,MATCH(CG447,413:413,0))</f>
        <v>3171</v>
      </c>
      <c r="CI447" s="627">
        <f>INDEX(426:426,MATCH(CG447,413:413,0))</f>
        <v>-940</v>
      </c>
    </row>
    <row r="448" spans="1:103" s="391" customFormat="1" hidden="1" outlineLevel="1">
      <c r="A448" s="22"/>
      <c r="B448" s="60" t="s">
        <v>646</v>
      </c>
      <c r="C448" s="173"/>
      <c r="D448" s="158"/>
      <c r="E448" s="158"/>
      <c r="F448" s="158"/>
      <c r="G448" s="158"/>
      <c r="H448" s="173"/>
      <c r="I448" s="173"/>
      <c r="J448" s="173"/>
      <c r="K448" s="173"/>
      <c r="L448" s="158">
        <f>1000*(L416+L418+L419+L421+L420+L422)/(L432*365)</f>
        <v>31.352178847625833</v>
      </c>
      <c r="M448" s="173"/>
      <c r="N448" s="173"/>
      <c r="O448" s="173"/>
      <c r="P448" s="173"/>
      <c r="Q448" s="158">
        <f>1000*(Q416+Q418+Q419+Q421+Q420+Q422)/(Q432*365)</f>
        <v>35.9702167921346</v>
      </c>
      <c r="R448" s="173"/>
      <c r="S448" s="173"/>
      <c r="T448" s="173"/>
      <c r="U448" s="173"/>
      <c r="V448" s="158">
        <f>1000*(V416+V418+V419+V421+V420+V422)/(V432*365)</f>
        <v>35.572249226690232</v>
      </c>
      <c r="W448" s="173"/>
      <c r="X448" s="173"/>
      <c r="Y448" s="173"/>
      <c r="Z448" s="173"/>
      <c r="AA448" s="158">
        <f>1000*(AA416+AA418+AA419+AA421+AA420+AA422)/(AA432*365)</f>
        <v>21.685115756219453</v>
      </c>
      <c r="AB448" s="173"/>
      <c r="AC448" s="173"/>
      <c r="AD448" s="173"/>
      <c r="AE448" s="173"/>
      <c r="AF448" s="158">
        <f>1000*(AF416+AF418+AF419+AF421+AF420+AF422)/(AF432*365)</f>
        <v>34.918178803856684</v>
      </c>
      <c r="AG448" s="173"/>
      <c r="AH448" s="173"/>
      <c r="AI448" s="173"/>
      <c r="AJ448" s="173"/>
      <c r="AK448" s="158">
        <f>1000*(AK416+AK418+AK419+AK421+AK420+AK422)/(AK432*365)</f>
        <v>39.121062513038034</v>
      </c>
      <c r="AL448" s="173"/>
      <c r="AM448" s="173"/>
      <c r="AN448" s="173"/>
      <c r="AO448" s="173"/>
      <c r="AP448" s="158">
        <f>1000*(AP416+AP418+AP419+AP421+AP420+AP422)/(AP432*365)</f>
        <v>36.225985517068082</v>
      </c>
      <c r="AQ448" s="93"/>
      <c r="AR448" s="93"/>
      <c r="AS448" s="93"/>
      <c r="AT448" s="93"/>
      <c r="AU448" s="158">
        <f>1000*(AU416+AU418+AU419+AU421+AU420+AU422)/(AU432*365)</f>
        <v>31.434377525808941</v>
      </c>
      <c r="AV448" s="93"/>
      <c r="AW448" s="93"/>
      <c r="AX448" s="93"/>
      <c r="AY448" s="93"/>
      <c r="AZ448" s="158">
        <f>1000*(AZ416+AZ418+AZ419+AZ421+AZ420+AZ422)/(AZ432*365)</f>
        <v>17.672819422801492</v>
      </c>
      <c r="BA448" s="93"/>
      <c r="BB448" s="93"/>
      <c r="BC448" s="93"/>
      <c r="BD448" s="93"/>
      <c r="BE448" s="158">
        <f>1000*(BE416+BE418+BE419+BE421+BE420+BE422)/(BE432*365)</f>
        <v>3.4050880626223092</v>
      </c>
      <c r="BF448" s="93"/>
      <c r="BG448" s="93"/>
      <c r="BH448" s="93"/>
      <c r="BI448" s="93"/>
      <c r="BJ448" s="158">
        <f>1000*(BJ416+BJ418+BJ419+BJ421+BJ420+BJ422)/(BJ432*365)</f>
        <v>2.0862459091046008</v>
      </c>
      <c r="BK448" s="173"/>
      <c r="BL448" s="173"/>
      <c r="BM448" s="173"/>
      <c r="BN448" s="173"/>
      <c r="BO448" s="158">
        <f>1000*(BO416+BO418+BO419+BO421+BO420+BO422)/(BO432*365)</f>
        <v>18.799426794909163</v>
      </c>
      <c r="BP448" s="25"/>
      <c r="BQ448" s="25"/>
      <c r="BR448" s="25"/>
      <c r="BS448" s="25"/>
      <c r="BT448" s="158">
        <f>1000*(BT416+BT418+BT419+BT421+BT420+BT422)/(BT432*365)</f>
        <v>25.421135083117264</v>
      </c>
      <c r="BU448" s="25"/>
      <c r="BV448" s="25"/>
      <c r="BW448" s="25"/>
      <c r="BX448" s="25"/>
      <c r="BY448" s="158">
        <f>1000*(BY416+BY418+BY419+BY421+BY420+BY422)/(BY432*365)</f>
        <v>23.448658336761799</v>
      </c>
      <c r="BZ448" s="25"/>
      <c r="CA448" s="25"/>
      <c r="CB448" s="25"/>
      <c r="CC448" s="25"/>
      <c r="CD448" s="158">
        <f>1000*(CD416+CD418+CD419+CD421+CD420+CD422)/(CD432*365)</f>
        <v>23.998992691766848</v>
      </c>
      <c r="CF448" s="632"/>
      <c r="CG448" s="468">
        <v>2007</v>
      </c>
      <c r="CH448" s="627">
        <f>INDEX(424:424,MATCH(CG448,413:413,0))</f>
        <v>4372</v>
      </c>
      <c r="CI448" s="627">
        <f>INDEX(426:426,MATCH(CG448,413:413,0))</f>
        <v>-1136</v>
      </c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</row>
    <row r="449" spans="1:87" hidden="1" outlineLevel="1">
      <c r="A449" s="11"/>
      <c r="B449" s="461"/>
      <c r="C449" s="5"/>
      <c r="D449" s="449"/>
      <c r="E449" s="449"/>
      <c r="F449" s="449"/>
      <c r="G449" s="449"/>
      <c r="H449" s="12"/>
      <c r="I449" s="12"/>
      <c r="J449" s="12"/>
      <c r="K449" s="12"/>
      <c r="L449" s="449"/>
      <c r="M449" s="12"/>
      <c r="N449" s="12"/>
      <c r="O449" s="12"/>
      <c r="P449" s="12"/>
      <c r="Q449" s="449"/>
      <c r="R449" s="12"/>
      <c r="S449" s="12"/>
      <c r="T449" s="12"/>
      <c r="U449" s="12"/>
      <c r="V449" s="449"/>
      <c r="W449" s="12"/>
      <c r="X449" s="12"/>
      <c r="Y449" s="12"/>
      <c r="Z449" s="12"/>
      <c r="AA449" s="449"/>
      <c r="AB449" s="12"/>
      <c r="AC449" s="12"/>
      <c r="AD449" s="12"/>
      <c r="AE449" s="12"/>
      <c r="AF449" s="449"/>
      <c r="AG449" s="12"/>
      <c r="AH449" s="12"/>
      <c r="AI449" s="12"/>
      <c r="AJ449" s="12"/>
      <c r="AK449" s="449"/>
      <c r="AL449" s="12"/>
      <c r="AM449" s="12"/>
      <c r="AN449" s="12"/>
      <c r="AO449" s="12"/>
      <c r="AP449" s="449"/>
      <c r="AQ449" s="12"/>
      <c r="AR449" s="12"/>
      <c r="AS449" s="12"/>
      <c r="AT449" s="12"/>
      <c r="AU449" s="449"/>
      <c r="AV449" s="12"/>
      <c r="AW449" s="12"/>
      <c r="AX449" s="12"/>
      <c r="AY449" s="12"/>
      <c r="AZ449" s="449"/>
      <c r="BA449" s="12"/>
      <c r="BB449" s="12"/>
      <c r="BC449" s="12"/>
      <c r="BD449" s="12"/>
      <c r="BE449" s="449"/>
      <c r="BF449" s="12"/>
      <c r="BG449" s="12"/>
      <c r="BH449" s="12"/>
      <c r="BI449" s="12"/>
      <c r="BJ449" s="449"/>
      <c r="BK449" s="12"/>
      <c r="BL449" s="12"/>
      <c r="BM449" s="12"/>
      <c r="BN449" s="12"/>
      <c r="BO449" s="449"/>
      <c r="BP449" s="109"/>
      <c r="BQ449" s="109"/>
      <c r="BR449" s="109"/>
      <c r="BS449" s="109"/>
      <c r="BT449" s="449"/>
      <c r="BU449" s="109"/>
      <c r="BV449" s="109"/>
      <c r="BW449" s="109"/>
      <c r="BX449" s="109"/>
      <c r="BY449" s="449"/>
      <c r="BZ449" s="109"/>
      <c r="CA449" s="109"/>
      <c r="CB449" s="109"/>
      <c r="CC449" s="109"/>
      <c r="CD449" s="449"/>
      <c r="CF449" s="632"/>
      <c r="CG449" s="468">
        <v>2008</v>
      </c>
      <c r="CH449" s="627">
        <f>INDEX(424:424,MATCH(CG449,413:413,0))</f>
        <v>3001</v>
      </c>
      <c r="CI449" s="627">
        <f>INDEX(426:426,MATCH(CG449,413:413,0))</f>
        <v>-948</v>
      </c>
    </row>
    <row r="450" spans="1:87" hidden="1" outlineLevel="1">
      <c r="A450" s="11"/>
      <c r="B450" s="5" t="s">
        <v>2138</v>
      </c>
      <c r="C450" s="72"/>
      <c r="D450" s="72"/>
      <c r="E450" s="72"/>
      <c r="F450" s="72"/>
      <c r="G450" s="119">
        <f>G446</f>
        <v>3.1003585868984973</v>
      </c>
      <c r="H450" s="93"/>
      <c r="I450" s="93"/>
      <c r="J450" s="93"/>
      <c r="K450" s="93"/>
      <c r="L450" s="119">
        <f>L446</f>
        <v>6.0214145573239719</v>
      </c>
      <c r="M450" s="93"/>
      <c r="N450" s="93"/>
      <c r="O450" s="93"/>
      <c r="P450" s="93"/>
      <c r="Q450" s="119">
        <f>Q446</f>
        <v>9.4450614998560205</v>
      </c>
      <c r="R450" s="93"/>
      <c r="S450" s="93"/>
      <c r="T450" s="93"/>
      <c r="U450" s="93"/>
      <c r="V450" s="119">
        <f>V446</f>
        <v>8.7052585064074233</v>
      </c>
      <c r="W450" s="93"/>
      <c r="X450" s="93"/>
      <c r="Y450" s="93"/>
      <c r="Z450" s="93"/>
      <c r="AA450" s="119">
        <f>AA446</f>
        <v>9.0894975788804686</v>
      </c>
      <c r="AB450" s="93"/>
      <c r="AC450" s="93"/>
      <c r="AD450" s="93"/>
      <c r="AE450" s="93"/>
      <c r="AF450" s="119">
        <f>AF446</f>
        <v>10.420147670409355</v>
      </c>
      <c r="AG450" s="93"/>
      <c r="AH450" s="93"/>
      <c r="AI450" s="93"/>
      <c r="AJ450" s="93"/>
      <c r="AK450" s="119">
        <f>AK446</f>
        <v>18.955566372296779</v>
      </c>
      <c r="AL450" s="93"/>
      <c r="AM450" s="93"/>
      <c r="AN450" s="93"/>
      <c r="AO450" s="93"/>
      <c r="AP450" s="119">
        <f>AP446</f>
        <v>23.36305557882233</v>
      </c>
      <c r="AQ450" s="93"/>
      <c r="AR450" s="93"/>
      <c r="AS450" s="93"/>
      <c r="AT450" s="93"/>
      <c r="AU450" s="119">
        <f>AU446</f>
        <v>26.334619168057277</v>
      </c>
      <c r="AV450" s="93"/>
      <c r="AW450" s="93"/>
      <c r="AX450" s="93"/>
      <c r="AY450" s="93"/>
      <c r="AZ450" s="119">
        <f>AZ446</f>
        <v>31.021974750010322</v>
      </c>
      <c r="BA450" s="93"/>
      <c r="BB450" s="93"/>
      <c r="BC450" s="93"/>
      <c r="BD450" s="93"/>
      <c r="BE450" s="119">
        <f>BE446</f>
        <v>24.970645792563602</v>
      </c>
      <c r="BF450" s="93"/>
      <c r="BG450" s="93"/>
      <c r="BH450" s="93"/>
      <c r="BI450" s="93"/>
      <c r="BJ450" s="119">
        <f>BJ446</f>
        <v>22.393743034181899</v>
      </c>
      <c r="BK450" s="93"/>
      <c r="BL450" s="93"/>
      <c r="BM450" s="93"/>
      <c r="BN450" s="93"/>
      <c r="BO450" s="119">
        <f>BO446</f>
        <v>15.122656174098902</v>
      </c>
      <c r="BP450" s="93"/>
      <c r="BQ450" s="93"/>
      <c r="BR450" s="93"/>
      <c r="BS450" s="93"/>
      <c r="BT450" s="104">
        <f>$BJ450*(BT$74/$BJ$74)</f>
        <v>22.397312012401013</v>
      </c>
      <c r="BU450" s="93"/>
      <c r="BV450" s="93"/>
      <c r="BW450" s="93"/>
      <c r="BX450" s="93"/>
      <c r="BY450" s="104">
        <f>$BJ450*(BY$74/$BJ$74)</f>
        <v>22.643399546123348</v>
      </c>
      <c r="BZ450" s="93"/>
      <c r="CA450" s="93"/>
      <c r="CB450" s="93"/>
      <c r="CC450" s="93"/>
      <c r="CD450" s="104">
        <f>$BJ450*(CD$74/$BJ$74)</f>
        <v>22.889487079845683</v>
      </c>
      <c r="CF450" s="632"/>
      <c r="CG450" s="468">
        <v>2009</v>
      </c>
      <c r="CH450" s="627">
        <f>INDEX(424:424,MATCH(CG450,413:413,0))</f>
        <v>2508</v>
      </c>
      <c r="CI450" s="627">
        <f>INDEX(426:426,MATCH(CG450,413:413,0))</f>
        <v>-657</v>
      </c>
    </row>
    <row r="451" spans="1:87" hidden="1" outlineLevel="1">
      <c r="A451" s="11"/>
      <c r="B451" s="11"/>
      <c r="C451" s="72"/>
      <c r="D451" s="72"/>
      <c r="E451" s="72"/>
      <c r="F451" s="72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F451" s="632"/>
      <c r="CG451" s="468">
        <v>2010</v>
      </c>
      <c r="CH451" s="627">
        <f>INDEX(424:424,MATCH(CG451,413:413,0))</f>
        <v>2437</v>
      </c>
      <c r="CI451" s="627">
        <f>INDEX(426:426,MATCH(CG451,413:413,0))</f>
        <v>-790</v>
      </c>
    </row>
    <row r="452" spans="1:87" hidden="1" outlineLevel="1">
      <c r="A452" s="39" t="s">
        <v>3094</v>
      </c>
      <c r="B452" s="11"/>
      <c r="C452" s="72"/>
      <c r="D452" s="72"/>
      <c r="E452" s="72"/>
      <c r="F452" s="72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F452" s="632"/>
      <c r="CG452" s="468">
        <v>2011</v>
      </c>
      <c r="CH452" s="627">
        <f>INDEX(424:424,MATCH(CG452,413:413,0))</f>
        <v>4030</v>
      </c>
      <c r="CI452" s="627">
        <f>INDEX(426:426,MATCH(CG452,413:413,0))</f>
        <v>-980</v>
      </c>
    </row>
    <row r="453" spans="1:87" hidden="1" outlineLevel="1">
      <c r="A453" s="11"/>
      <c r="B453" s="11" t="s">
        <v>1897</v>
      </c>
      <c r="C453" s="72"/>
      <c r="D453" s="72"/>
      <c r="E453" s="72"/>
      <c r="F453" s="72"/>
      <c r="G453" s="116">
        <f>-G418/G416</f>
        <v>8.8307440719542114E-3</v>
      </c>
      <c r="H453" s="93"/>
      <c r="I453" s="93"/>
      <c r="J453" s="93"/>
      <c r="K453" s="93"/>
      <c r="L453" s="116">
        <f>-L418/L416</f>
        <v>1.3509024471265641E-2</v>
      </c>
      <c r="M453" s="93"/>
      <c r="N453" s="93"/>
      <c r="O453" s="93"/>
      <c r="P453" s="93"/>
      <c r="Q453" s="116">
        <f>-Q418/Q416</f>
        <v>1.1626898047722344E-2</v>
      </c>
      <c r="R453" s="93"/>
      <c r="S453" s="93"/>
      <c r="T453" s="93"/>
      <c r="U453" s="93"/>
      <c r="V453" s="116">
        <f>-V418/V416</f>
        <v>1.2384398874145558E-2</v>
      </c>
      <c r="W453" s="93"/>
      <c r="X453" s="93"/>
      <c r="Y453" s="93"/>
      <c r="Z453" s="93"/>
      <c r="AA453" s="116">
        <f>-AA418/AA416</f>
        <v>8.2692586682141297E-3</v>
      </c>
      <c r="AB453" s="93"/>
      <c r="AC453" s="93"/>
      <c r="AD453" s="93"/>
      <c r="AE453" s="93"/>
      <c r="AF453" s="116">
        <f>-AF418/AF416</f>
        <v>7.2782030367674741E-3</v>
      </c>
      <c r="AG453" s="93"/>
      <c r="AH453" s="93"/>
      <c r="AI453" s="93"/>
      <c r="AJ453" s="93"/>
      <c r="AK453" s="116">
        <f>-AK418/AK416</f>
        <v>1.1418318244841366E-2</v>
      </c>
      <c r="AL453" s="93"/>
      <c r="AM453" s="93"/>
      <c r="AN453" s="93"/>
      <c r="AO453" s="93"/>
      <c r="AP453" s="116">
        <f>-AP418/AP416</f>
        <v>9.9652008857956335E-3</v>
      </c>
      <c r="AQ453" s="93"/>
      <c r="AR453" s="93"/>
      <c r="AS453" s="93"/>
      <c r="AT453" s="93"/>
      <c r="AU453" s="116">
        <f>-AU418/AU416</f>
        <v>6.1751226179946932E-2</v>
      </c>
      <c r="AV453" s="93"/>
      <c r="AW453" s="93"/>
      <c r="AX453" s="93"/>
      <c r="AY453" s="93"/>
      <c r="AZ453" s="116">
        <f>-AZ418/AZ416</f>
        <v>8.8053425674004454E-2</v>
      </c>
      <c r="BA453" s="93"/>
      <c r="BB453" s="93"/>
      <c r="BC453" s="93"/>
      <c r="BD453" s="93"/>
      <c r="BE453" s="116">
        <f>-BE418/BE416</f>
        <v>1.2013256006628004E-2</v>
      </c>
      <c r="BF453" s="93"/>
      <c r="BG453" s="93"/>
      <c r="BH453" s="93"/>
      <c r="BI453" s="93"/>
      <c r="BJ453" s="116">
        <f>-BJ418/BJ416</f>
        <v>-4.2446941323345819E-3</v>
      </c>
      <c r="BK453" s="93"/>
      <c r="BL453" s="93"/>
      <c r="BM453" s="93"/>
      <c r="BN453" s="93"/>
      <c r="BO453" s="116">
        <f>-BO418/BO416</f>
        <v>-2.346805736636245E-3</v>
      </c>
      <c r="BP453" s="117">
        <f t="shared" ref="BP453:CD453" si="203">-BP418/BP416</f>
        <v>1.3173374753172561E-2</v>
      </c>
      <c r="BQ453" s="117">
        <f t="shared" si="203"/>
        <v>8.4141719892182418E-3</v>
      </c>
      <c r="BR453" s="117">
        <f t="shared" si="203"/>
        <v>8.4709624846906594E-3</v>
      </c>
      <c r="BS453" s="117">
        <f t="shared" si="203"/>
        <v>8.5842268657671545E-3</v>
      </c>
      <c r="BT453" s="116">
        <f t="shared" si="203"/>
        <v>9.6565089049843889E-3</v>
      </c>
      <c r="BU453" s="117">
        <f t="shared" si="203"/>
        <v>7.5990968461926165E-3</v>
      </c>
      <c r="BV453" s="117">
        <f t="shared" si="203"/>
        <v>7.5733984457384499E-3</v>
      </c>
      <c r="BW453" s="117">
        <f t="shared" si="203"/>
        <v>7.4760939461173403E-3</v>
      </c>
      <c r="BX453" s="117">
        <f t="shared" si="203"/>
        <v>7.450487410660735E-3</v>
      </c>
      <c r="BY453" s="116">
        <f t="shared" si="203"/>
        <v>7.5242450070601239E-3</v>
      </c>
      <c r="BZ453" s="117">
        <f t="shared" si="203"/>
        <v>4.4890665993396689E-3</v>
      </c>
      <c r="CA453" s="117">
        <f t="shared" si="203"/>
        <v>4.4507031910568347E-3</v>
      </c>
      <c r="CB453" s="117">
        <f t="shared" si="203"/>
        <v>4.3638588740097465E-3</v>
      </c>
      <c r="CC453" s="117">
        <f t="shared" si="203"/>
        <v>4.3185559999433824E-3</v>
      </c>
      <c r="CD453" s="116">
        <f t="shared" si="203"/>
        <v>4.4045057635122677E-3</v>
      </c>
      <c r="CF453" s="632"/>
      <c r="CG453" s="468">
        <v>2012</v>
      </c>
      <c r="CH453" s="627">
        <f>INDEX(424:424,MATCH(CG453,413:413,0))</f>
        <v>3283</v>
      </c>
      <c r="CI453" s="627">
        <f>INDEX(426:426,MATCH(CG453,413:413,0))</f>
        <v>-650</v>
      </c>
    </row>
    <row r="454" spans="1:87" hidden="1" outlineLevel="1">
      <c r="A454" s="11"/>
      <c r="B454" s="11" t="s">
        <v>2149</v>
      </c>
      <c r="C454" s="72"/>
      <c r="D454" s="72"/>
      <c r="E454" s="72"/>
      <c r="F454" s="72"/>
      <c r="G454" s="116">
        <f>-G419/G416</f>
        <v>4.6607249931861543E-2</v>
      </c>
      <c r="H454" s="93"/>
      <c r="I454" s="93"/>
      <c r="J454" s="93"/>
      <c r="K454" s="93"/>
      <c r="L454" s="116">
        <f>-L419/L416</f>
        <v>3.7537371276713541E-2</v>
      </c>
      <c r="M454" s="93"/>
      <c r="N454" s="93"/>
      <c r="O454" s="93"/>
      <c r="P454" s="93"/>
      <c r="Q454" s="116">
        <f>-Q419/Q416</f>
        <v>4.0954446854663776E-2</v>
      </c>
      <c r="R454" s="93"/>
      <c r="S454" s="93"/>
      <c r="T454" s="93"/>
      <c r="U454" s="93"/>
      <c r="V454" s="116">
        <f>-V419/V416</f>
        <v>4.0450341777241654E-2</v>
      </c>
      <c r="W454" s="93"/>
      <c r="X454" s="93"/>
      <c r="Y454" s="93"/>
      <c r="Z454" s="93"/>
      <c r="AA454" s="116">
        <f>-AA419/AA416</f>
        <v>5.4548092267517771E-2</v>
      </c>
      <c r="AB454" s="93"/>
      <c r="AC454" s="93"/>
      <c r="AD454" s="93"/>
      <c r="AE454" s="93"/>
      <c r="AF454" s="116">
        <f>-AF419/AF416</f>
        <v>4.6931860961224744E-2</v>
      </c>
      <c r="AG454" s="93"/>
      <c r="AH454" s="93"/>
      <c r="AI454" s="93"/>
      <c r="AJ454" s="93"/>
      <c r="AK454" s="116">
        <f>-AK419/AK416</f>
        <v>6.4513498083353729E-2</v>
      </c>
      <c r="AL454" s="93"/>
      <c r="AM454" s="93"/>
      <c r="AN454" s="93"/>
      <c r="AO454" s="93"/>
      <c r="AP454" s="116">
        <f>-AP419/AP416</f>
        <v>8.5099652008857954E-2</v>
      </c>
      <c r="AQ454" s="93"/>
      <c r="AR454" s="93"/>
      <c r="AS454" s="93"/>
      <c r="AT454" s="93"/>
      <c r="AU454" s="116">
        <f>-AU419/AU416</f>
        <v>8.7722119482190233E-2</v>
      </c>
      <c r="AV454" s="93"/>
      <c r="AW454" s="93"/>
      <c r="AX454" s="93"/>
      <c r="AY454" s="93"/>
      <c r="AZ454" s="116">
        <f>-AZ419/AZ416</f>
        <v>0.1594113282216176</v>
      </c>
      <c r="BA454" s="93"/>
      <c r="BB454" s="93"/>
      <c r="BC454" s="93"/>
      <c r="BD454" s="93"/>
      <c r="BE454" s="116">
        <f>-BE419/BE416</f>
        <v>0.22431648715824357</v>
      </c>
      <c r="BF454" s="93"/>
      <c r="BG454" s="93"/>
      <c r="BH454" s="93"/>
      <c r="BI454" s="93"/>
      <c r="BJ454" s="116">
        <f>-BJ419/BJ416</f>
        <v>0.17253433208489388</v>
      </c>
      <c r="BK454" s="93"/>
      <c r="BL454" s="93"/>
      <c r="BM454" s="93"/>
      <c r="BN454" s="93"/>
      <c r="BO454" s="116">
        <f>-BO419/BO416</f>
        <v>0.11786179921773142</v>
      </c>
      <c r="BP454" s="117">
        <f t="shared" ref="BP454:CD454" si="204">-BP419/BP416</f>
        <v>9.9912254825395022E-2</v>
      </c>
      <c r="BQ454" s="117">
        <f t="shared" si="204"/>
        <v>9.8957006402381864E-2</v>
      </c>
      <c r="BR454" s="117">
        <f t="shared" si="204"/>
        <v>0.10091785672156002</v>
      </c>
      <c r="BS454" s="117">
        <f t="shared" si="204"/>
        <v>0.10261225650206945</v>
      </c>
      <c r="BT454" s="116">
        <f t="shared" si="204"/>
        <v>0.1005915046186901</v>
      </c>
      <c r="BU454" s="117">
        <f t="shared" si="204"/>
        <v>0.10707318215828489</v>
      </c>
      <c r="BV454" s="117">
        <f t="shared" si="204"/>
        <v>0.10707318215828489</v>
      </c>
      <c r="BW454" s="117">
        <f t="shared" si="204"/>
        <v>0.10707318215828489</v>
      </c>
      <c r="BX454" s="117">
        <f t="shared" si="204"/>
        <v>0.10707318215828489</v>
      </c>
      <c r="BY454" s="116">
        <f t="shared" si="204"/>
        <v>0.10707318215828487</v>
      </c>
      <c r="BZ454" s="117">
        <f t="shared" si="204"/>
        <v>0.11045555367852801</v>
      </c>
      <c r="CA454" s="117">
        <f t="shared" si="204"/>
        <v>0.10853969881882192</v>
      </c>
      <c r="CB454" s="117">
        <f t="shared" si="204"/>
        <v>0.1078423431556753</v>
      </c>
      <c r="CC454" s="117">
        <f t="shared" si="204"/>
        <v>0.10714965547274577</v>
      </c>
      <c r="CD454" s="116">
        <f t="shared" si="204"/>
        <v>0.10847925033179259</v>
      </c>
      <c r="CF454" s="632"/>
      <c r="CG454" s="468">
        <v>2013</v>
      </c>
      <c r="CH454" s="627">
        <f>INDEX(424:424,MATCH(CG454,413:413,0))</f>
        <v>2611</v>
      </c>
      <c r="CI454" s="627">
        <f>INDEX(426:426,MATCH(CG454,413:413,0))</f>
        <v>-669</v>
      </c>
    </row>
    <row r="455" spans="1:87" hidden="1" outlineLevel="1">
      <c r="A455" s="11"/>
      <c r="B455" s="11" t="s">
        <v>2150</v>
      </c>
      <c r="C455" s="72"/>
      <c r="D455" s="72"/>
      <c r="E455" s="72"/>
      <c r="F455" s="72"/>
      <c r="G455" s="116">
        <f>-G420/G416</f>
        <v>0.43565004088307441</v>
      </c>
      <c r="H455" s="93"/>
      <c r="I455" s="93"/>
      <c r="J455" s="93"/>
      <c r="K455" s="93"/>
      <c r="L455" s="116">
        <f>-L420/L416</f>
        <v>0.40327759937991364</v>
      </c>
      <c r="M455" s="93"/>
      <c r="N455" s="93"/>
      <c r="O455" s="93"/>
      <c r="P455" s="93"/>
      <c r="Q455" s="116">
        <f>-Q420/Q416</f>
        <v>0.33960954446854663</v>
      </c>
      <c r="R455" s="93"/>
      <c r="S455" s="93"/>
      <c r="T455" s="93"/>
      <c r="U455" s="93"/>
      <c r="V455" s="116">
        <f>-V420/V416</f>
        <v>0.44310414153598715</v>
      </c>
      <c r="W455" s="93"/>
      <c r="X455" s="93"/>
      <c r="Y455" s="93"/>
      <c r="Z455" s="93"/>
      <c r="AA455" s="116">
        <f>-AA420/AA416</f>
        <v>0.41404323226461626</v>
      </c>
      <c r="AB455" s="93"/>
      <c r="AC455" s="93"/>
      <c r="AD455" s="93"/>
      <c r="AE455" s="93"/>
      <c r="AF455" s="116">
        <f>-AF420/AF416</f>
        <v>0.47233027983435816</v>
      </c>
      <c r="AG455" s="93"/>
      <c r="AH455" s="93"/>
      <c r="AI455" s="93"/>
      <c r="AJ455" s="93"/>
      <c r="AK455" s="116">
        <f>-AK420/AK416</f>
        <v>0.48576788190196557</v>
      </c>
      <c r="AL455" s="93"/>
      <c r="AM455" s="93"/>
      <c r="AN455" s="93"/>
      <c r="AO455" s="93"/>
      <c r="AP455" s="116">
        <f>-AP420/AP416</f>
        <v>0.49754824422651062</v>
      </c>
      <c r="AQ455" s="93"/>
      <c r="AR455" s="93"/>
      <c r="AS455" s="93"/>
      <c r="AT455" s="93"/>
      <c r="AU455" s="116">
        <f>-AU420/AU416</f>
        <v>0.45509367210742141</v>
      </c>
      <c r="AV455" s="93"/>
      <c r="AW455" s="93"/>
      <c r="AX455" s="93"/>
      <c r="AY455" s="93"/>
      <c r="AZ455" s="116">
        <f>-AZ420/AZ416</f>
        <v>0.27627999010635668</v>
      </c>
      <c r="BA455" s="93"/>
      <c r="BB455" s="93"/>
      <c r="BC455" s="93"/>
      <c r="BD455" s="93"/>
      <c r="BE455" s="116">
        <f>-BE420/BE416</f>
        <v>0.17274233637116818</v>
      </c>
      <c r="BF455" s="93"/>
      <c r="BG455" s="93"/>
      <c r="BH455" s="93"/>
      <c r="BI455" s="93"/>
      <c r="BJ455" s="116">
        <f>-BJ420/BJ416</f>
        <v>0.19975031210986266</v>
      </c>
      <c r="BK455" s="93"/>
      <c r="BL455" s="93"/>
      <c r="BM455" s="93"/>
      <c r="BN455" s="93"/>
      <c r="BO455" s="116">
        <f>-BO420/BO416</f>
        <v>0.21095176010430247</v>
      </c>
      <c r="BP455" s="117">
        <f>BT455</f>
        <v>0.2</v>
      </c>
      <c r="BQ455" s="117">
        <f>BT455</f>
        <v>0.2</v>
      </c>
      <c r="BR455" s="117">
        <f>BT455</f>
        <v>0.2</v>
      </c>
      <c r="BS455" s="117">
        <f>BT455</f>
        <v>0.2</v>
      </c>
      <c r="BT455" s="118">
        <v>0.2</v>
      </c>
      <c r="BU455" s="117">
        <f>BY455</f>
        <v>0.2</v>
      </c>
      <c r="BV455" s="117">
        <f>BY455</f>
        <v>0.2</v>
      </c>
      <c r="BW455" s="117">
        <f>BY455</f>
        <v>0.2</v>
      </c>
      <c r="BX455" s="117">
        <f>BY455</f>
        <v>0.2</v>
      </c>
      <c r="BY455" s="118">
        <v>0.2</v>
      </c>
      <c r="BZ455" s="117">
        <f>CD455</f>
        <v>0.2</v>
      </c>
      <c r="CA455" s="117">
        <f>CD455</f>
        <v>0.2</v>
      </c>
      <c r="CB455" s="117">
        <f>CD455</f>
        <v>0.2</v>
      </c>
      <c r="CC455" s="117">
        <f>CD455</f>
        <v>0.2</v>
      </c>
      <c r="CD455" s="118">
        <v>0.2</v>
      </c>
      <c r="CF455" s="632"/>
      <c r="CG455" s="468">
        <v>2014</v>
      </c>
      <c r="CH455" s="627">
        <f>INDEX(424:424,MATCH(CG455,413:413,0))</f>
        <v>1011</v>
      </c>
      <c r="CI455" s="627">
        <f>INDEX(426:426,MATCH(CG455,413:413,0))</f>
        <v>-70</v>
      </c>
    </row>
    <row r="456" spans="1:87" hidden="1" outlineLevel="1">
      <c r="A456" s="11"/>
      <c r="B456" s="11" t="s">
        <v>2158</v>
      </c>
      <c r="C456" s="72"/>
      <c r="D456" s="72"/>
      <c r="E456" s="72"/>
      <c r="F456" s="72"/>
      <c r="G456" s="116">
        <f>-G421/G416</f>
        <v>0.15421095666394113</v>
      </c>
      <c r="H456" s="93"/>
      <c r="I456" s="93"/>
      <c r="J456" s="93"/>
      <c r="K456" s="93"/>
      <c r="L456" s="116">
        <f>-L421/L416</f>
        <v>0.14018381131657623</v>
      </c>
      <c r="M456" s="93"/>
      <c r="N456" s="93"/>
      <c r="O456" s="93"/>
      <c r="P456" s="93"/>
      <c r="Q456" s="116">
        <f>-Q421/Q416</f>
        <v>0.12885032537960955</v>
      </c>
      <c r="R456" s="93"/>
      <c r="S456" s="93"/>
      <c r="T456" s="93"/>
      <c r="U456" s="93"/>
      <c r="V456" s="116">
        <f>-V421/V416</f>
        <v>0.18174507438681142</v>
      </c>
      <c r="W456" s="93"/>
      <c r="X456" s="93"/>
      <c r="Y456" s="93"/>
      <c r="Z456" s="93"/>
      <c r="AA456" s="116">
        <f>-AA421/AA416</f>
        <v>0.15131292615697084</v>
      </c>
      <c r="AB456" s="93"/>
      <c r="AC456" s="93"/>
      <c r="AD456" s="93"/>
      <c r="AE456" s="93"/>
      <c r="AF456" s="116">
        <f>-AF421/AF416</f>
        <v>2.083071903626553E-2</v>
      </c>
      <c r="AG456" s="93"/>
      <c r="AH456" s="93"/>
      <c r="AI456" s="93"/>
      <c r="AJ456" s="93"/>
      <c r="AK456" s="116">
        <f>-AK421/AK416</f>
        <v>1.5496289046570426E-2</v>
      </c>
      <c r="AL456" s="93"/>
      <c r="AM456" s="93"/>
      <c r="AN456" s="93"/>
      <c r="AO456" s="93"/>
      <c r="AP456" s="116">
        <f>-AP421/AP416</f>
        <v>-1.945586839607719E-2</v>
      </c>
      <c r="AQ456" s="93"/>
      <c r="AR456" s="93"/>
      <c r="AS456" s="93"/>
      <c r="AT456" s="93"/>
      <c r="AU456" s="116">
        <f>-AU421/AU416</f>
        <v>1.1980381120849079E-2</v>
      </c>
      <c r="AV456" s="93"/>
      <c r="AW456" s="93"/>
      <c r="AX456" s="93"/>
      <c r="AY456" s="93"/>
      <c r="AZ456" s="116">
        <f>-AZ421/AZ416</f>
        <v>-1.4840465001236705E-3</v>
      </c>
      <c r="BA456" s="93"/>
      <c r="BB456" s="93"/>
      <c r="BC456" s="93"/>
      <c r="BD456" s="93"/>
      <c r="BE456" s="116">
        <f>-BE421/BE416</f>
        <v>2.1333885666942835E-2</v>
      </c>
      <c r="BF456" s="93"/>
      <c r="BG456" s="93"/>
      <c r="BH456" s="93"/>
      <c r="BI456" s="93"/>
      <c r="BJ456" s="116">
        <f>-BJ421/BJ416</f>
        <v>3.7203495630461922E-2</v>
      </c>
      <c r="BK456" s="93"/>
      <c r="BL456" s="93"/>
      <c r="BM456" s="93"/>
      <c r="BN456" s="93"/>
      <c r="BO456" s="116">
        <f>-BO421/BO416</f>
        <v>4.563233376792699E-2</v>
      </c>
      <c r="BP456" s="117">
        <f t="shared" ref="BP456:CD456" si="205">-BP421/BP416</f>
        <v>2.9200980702865843E-2</v>
      </c>
      <c r="BQ456" s="117">
        <f t="shared" si="205"/>
        <v>2.8819945148951091E-2</v>
      </c>
      <c r="BR456" s="117">
        <f t="shared" si="205"/>
        <v>2.9014462086160604E-2</v>
      </c>
      <c r="BS456" s="117">
        <f t="shared" si="205"/>
        <v>2.9402411518872136E-2</v>
      </c>
      <c r="BT456" s="116">
        <f t="shared" si="205"/>
        <v>2.910784368645572E-2</v>
      </c>
      <c r="BU456" s="117">
        <f t="shared" si="205"/>
        <v>2.7938885791445704E-2</v>
      </c>
      <c r="BV456" s="117">
        <f t="shared" si="205"/>
        <v>2.7844402895669543E-2</v>
      </c>
      <c r="BW456" s="117">
        <f t="shared" si="205"/>
        <v>2.7486652579160543E-2</v>
      </c>
      <c r="BX456" s="117">
        <f t="shared" si="205"/>
        <v>2.739250743479445E-2</v>
      </c>
      <c r="BY456" s="116">
        <f t="shared" si="205"/>
        <v>2.7663685063368373E-2</v>
      </c>
      <c r="BZ456" s="117">
        <f t="shared" si="205"/>
        <v>2.5628685513056998E-2</v>
      </c>
      <c r="CA456" s="117">
        <f t="shared" si="205"/>
        <v>2.5409663650865336E-2</v>
      </c>
      <c r="CB456" s="117">
        <f t="shared" si="205"/>
        <v>2.4913857754262369E-2</v>
      </c>
      <c r="CC456" s="117">
        <f t="shared" si="205"/>
        <v>2.4655217547753683E-2</v>
      </c>
      <c r="CD456" s="116">
        <f t="shared" si="205"/>
        <v>2.514591631812893E-2</v>
      </c>
      <c r="CF456" s="632"/>
      <c r="CG456" s="468">
        <v>2015</v>
      </c>
      <c r="CH456" s="627">
        <f>INDEX(424:424,MATCH(CG456,413:413,0))</f>
        <v>225</v>
      </c>
      <c r="CI456" s="627">
        <f>INDEX(426:426,MATCH(CG456,413:413,0))</f>
        <v>71</v>
      </c>
    </row>
    <row r="457" spans="1:87" hidden="1" outlineLevel="1">
      <c r="A457" s="11"/>
      <c r="B457" s="11" t="s">
        <v>2154</v>
      </c>
      <c r="C457" s="72"/>
      <c r="D457" s="72"/>
      <c r="E457" s="72"/>
      <c r="F457" s="72"/>
      <c r="G457" s="116">
        <f>-G422/G416</f>
        <v>4.2518397383483238E-2</v>
      </c>
      <c r="H457" s="93"/>
      <c r="I457" s="93"/>
      <c r="J457" s="93"/>
      <c r="K457" s="93"/>
      <c r="L457" s="116">
        <f>-L422/L416</f>
        <v>6.533052818071089E-2</v>
      </c>
      <c r="M457" s="93"/>
      <c r="N457" s="93"/>
      <c r="O457" s="93"/>
      <c r="P457" s="93"/>
      <c r="Q457" s="116">
        <f>-Q422/Q416</f>
        <v>9.960954446854664E-2</v>
      </c>
      <c r="R457" s="93"/>
      <c r="S457" s="93"/>
      <c r="T457" s="93"/>
      <c r="U457" s="93"/>
      <c r="V457" s="116">
        <f>-V422/V416</f>
        <v>6.3369521511861676E-2</v>
      </c>
      <c r="W457" s="93"/>
      <c r="X457" s="93"/>
      <c r="Y457" s="93"/>
      <c r="Z457" s="93"/>
      <c r="AA457" s="116">
        <f>-AA422/AA416</f>
        <v>0.10982155810242275</v>
      </c>
      <c r="AB457" s="93"/>
      <c r="AC457" s="93"/>
      <c r="AD457" s="93"/>
      <c r="AE457" s="93"/>
      <c r="AF457" s="116">
        <f>-AF422/AF416</f>
        <v>0.10402810892207304</v>
      </c>
      <c r="AG457" s="93"/>
      <c r="AH457" s="93"/>
      <c r="AI457" s="93"/>
      <c r="AJ457" s="93"/>
      <c r="AK457" s="116">
        <f>-AK422/AK416</f>
        <v>0.13799853193051137</v>
      </c>
      <c r="AL457" s="93"/>
      <c r="AM457" s="93"/>
      <c r="AN457" s="93"/>
      <c r="AO457" s="93"/>
      <c r="AP457" s="116">
        <f>-AP422/AP416</f>
        <v>0.16735210376463144</v>
      </c>
      <c r="AQ457" s="93"/>
      <c r="AR457" s="93"/>
      <c r="AS457" s="93"/>
      <c r="AT457" s="93"/>
      <c r="AU457" s="116">
        <f>-AU422/AU416</f>
        <v>0.17480099702500604</v>
      </c>
      <c r="AV457" s="93"/>
      <c r="AW457" s="93"/>
      <c r="AX457" s="93"/>
      <c r="AY457" s="93"/>
      <c r="AZ457" s="116">
        <f>-AZ422/AZ416</f>
        <v>0.30435320306702945</v>
      </c>
      <c r="BA457" s="93"/>
      <c r="BB457" s="93"/>
      <c r="BC457" s="93"/>
      <c r="BD457" s="93"/>
      <c r="BE457" s="116">
        <f>-BE422/BE416</f>
        <v>0.50124275062137535</v>
      </c>
      <c r="BF457" s="93"/>
      <c r="BG457" s="93"/>
      <c r="BH457" s="93"/>
      <c r="BI457" s="93"/>
      <c r="BJ457" s="116">
        <f>-BJ422/BJ416</f>
        <v>0.54406991260923843</v>
      </c>
      <c r="BK457" s="93"/>
      <c r="BL457" s="93"/>
      <c r="BM457" s="93"/>
      <c r="BN457" s="93"/>
      <c r="BO457" s="116">
        <f>-BO422/BO416</f>
        <v>0.27992177314211214</v>
      </c>
      <c r="BP457" s="117">
        <f t="shared" ref="BP457:CD457" si="206">-BP422/BP416</f>
        <v>0.25729239915016672</v>
      </c>
      <c r="BQ457" s="117">
        <f t="shared" si="206"/>
        <v>0.25483245908604751</v>
      </c>
      <c r="BR457" s="117">
        <f t="shared" si="206"/>
        <v>0.25988200865208816</v>
      </c>
      <c r="BS457" s="117">
        <f t="shared" si="206"/>
        <v>0.26424539916317874</v>
      </c>
      <c r="BT457" s="116">
        <f t="shared" si="206"/>
        <v>0.25904159207194144</v>
      </c>
      <c r="BU457" s="117">
        <f t="shared" si="206"/>
        <v>0.27304512018715843</v>
      </c>
      <c r="BV457" s="117">
        <f t="shared" si="206"/>
        <v>0.27304512018715849</v>
      </c>
      <c r="BW457" s="117">
        <f t="shared" si="206"/>
        <v>0.27304512018715843</v>
      </c>
      <c r="BX457" s="117">
        <f t="shared" si="206"/>
        <v>0.27304512018715849</v>
      </c>
      <c r="BY457" s="116">
        <f t="shared" si="206"/>
        <v>0.27304512018715849</v>
      </c>
      <c r="BZ457" s="117">
        <f t="shared" si="206"/>
        <v>0.27886359544845613</v>
      </c>
      <c r="CA457" s="117">
        <f t="shared" si="206"/>
        <v>0.27402669810158331</v>
      </c>
      <c r="CB457" s="117">
        <f t="shared" si="206"/>
        <v>0.27226610661428347</v>
      </c>
      <c r="CC457" s="117">
        <f t="shared" si="206"/>
        <v>0.27051730022699411</v>
      </c>
      <c r="CD457" s="116">
        <f t="shared" si="206"/>
        <v>0.27387408574420491</v>
      </c>
      <c r="CF457" s="632"/>
      <c r="CG457" s="468">
        <v>2016</v>
      </c>
      <c r="CH457" s="627">
        <f>INDEX(424:424,MATCH(CG457,413:413,0))</f>
        <v>385</v>
      </c>
      <c r="CI457" s="627">
        <f>INDEX(426:426,MATCH(CG457,413:413,0))</f>
        <v>84</v>
      </c>
    </row>
    <row r="458" spans="1:87" hidden="1" outlineLevel="1">
      <c r="A458" s="11"/>
      <c r="B458" s="4" t="s">
        <v>930</v>
      </c>
      <c r="C458" s="72"/>
      <c r="D458" s="72"/>
      <c r="E458" s="72"/>
      <c r="F458" s="72"/>
      <c r="G458" s="116">
        <f>-G423/G416</f>
        <v>3.2706459525756336E-4</v>
      </c>
      <c r="H458" s="93"/>
      <c r="I458" s="93"/>
      <c r="J458" s="93"/>
      <c r="K458" s="93"/>
      <c r="L458" s="116">
        <f>-L423/L416</f>
        <v>-1.0962241169305725E-2</v>
      </c>
      <c r="M458" s="93"/>
      <c r="N458" s="93"/>
      <c r="O458" s="93"/>
      <c r="P458" s="93"/>
      <c r="Q458" s="116">
        <f>-Q423/Q416</f>
        <v>0</v>
      </c>
      <c r="R458" s="93"/>
      <c r="S458" s="93"/>
      <c r="T458" s="93"/>
      <c r="U458" s="93"/>
      <c r="V458" s="116">
        <f>-V423/V416</f>
        <v>1.761158021712907E-2</v>
      </c>
      <c r="W458" s="93"/>
      <c r="X458" s="93"/>
      <c r="Y458" s="93"/>
      <c r="Z458" s="93"/>
      <c r="AA458" s="116">
        <f>-AA423/AA416</f>
        <v>-0.1018424488611635</v>
      </c>
      <c r="AB458" s="93"/>
      <c r="AC458" s="93"/>
      <c r="AD458" s="93"/>
      <c r="AE458" s="93"/>
      <c r="AF458" s="116">
        <f>-AF423/AF416</f>
        <v>4.279081440582256E-2</v>
      </c>
      <c r="AG458" s="93"/>
      <c r="AH458" s="93"/>
      <c r="AI458" s="93"/>
      <c r="AJ458" s="93"/>
      <c r="AK458" s="116">
        <f>-AK423/AK416</f>
        <v>-4.3878965826604679E-2</v>
      </c>
      <c r="AL458" s="93"/>
      <c r="AM458" s="93"/>
      <c r="AN458" s="93"/>
      <c r="AO458" s="93"/>
      <c r="AP458" s="116">
        <f>-AP423/AP416</f>
        <v>-1.5817779183802593E-4</v>
      </c>
      <c r="AQ458" s="93"/>
      <c r="AR458" s="93"/>
      <c r="AS458" s="93"/>
      <c r="AT458" s="93"/>
      <c r="AU458" s="116">
        <f>-AU423/AU416</f>
        <v>-1.2864838787488943E-3</v>
      </c>
      <c r="AV458" s="93"/>
      <c r="AW458" s="93"/>
      <c r="AX458" s="93"/>
      <c r="AY458" s="93"/>
      <c r="AZ458" s="116">
        <f>-AZ423/AZ416</f>
        <v>4.8355181795696263E-2</v>
      </c>
      <c r="BA458" s="93"/>
      <c r="BB458" s="93"/>
      <c r="BC458" s="93"/>
      <c r="BD458" s="93"/>
      <c r="BE458" s="116">
        <f>-BE423/BE416</f>
        <v>2.1748135874067938E-2</v>
      </c>
      <c r="BF458" s="93"/>
      <c r="BG458" s="93"/>
      <c r="BH458" s="93"/>
      <c r="BI458" s="93"/>
      <c r="BJ458" s="116">
        <f>-BJ423/BJ416</f>
        <v>-4.5443196004993761E-2</v>
      </c>
      <c r="BK458" s="93"/>
      <c r="BL458" s="93"/>
      <c r="BM458" s="93"/>
      <c r="BN458" s="93"/>
      <c r="BO458" s="116">
        <f>-BO423/BO416</f>
        <v>-1.3037809647979139E-3</v>
      </c>
      <c r="BP458" s="117">
        <f t="shared" ref="BP458:CD458" si="207">-BP423/BP416</f>
        <v>0</v>
      </c>
      <c r="BQ458" s="117">
        <f t="shared" si="207"/>
        <v>0</v>
      </c>
      <c r="BR458" s="117">
        <f t="shared" si="207"/>
        <v>0</v>
      </c>
      <c r="BS458" s="117">
        <f t="shared" si="207"/>
        <v>0</v>
      </c>
      <c r="BT458" s="116">
        <f t="shared" si="207"/>
        <v>0</v>
      </c>
      <c r="BU458" s="117">
        <f t="shared" si="207"/>
        <v>0</v>
      </c>
      <c r="BV458" s="117">
        <f t="shared" si="207"/>
        <v>0</v>
      </c>
      <c r="BW458" s="117">
        <f t="shared" si="207"/>
        <v>0</v>
      </c>
      <c r="BX458" s="117">
        <f t="shared" si="207"/>
        <v>0</v>
      </c>
      <c r="BY458" s="116">
        <f t="shared" si="207"/>
        <v>0</v>
      </c>
      <c r="BZ458" s="117">
        <f t="shared" si="207"/>
        <v>0</v>
      </c>
      <c r="CA458" s="117">
        <f t="shared" si="207"/>
        <v>0</v>
      </c>
      <c r="CB458" s="117">
        <f t="shared" si="207"/>
        <v>0</v>
      </c>
      <c r="CC458" s="117">
        <f t="shared" si="207"/>
        <v>0</v>
      </c>
      <c r="CD458" s="116">
        <f t="shared" si="207"/>
        <v>0</v>
      </c>
      <c r="CF458" s="632"/>
    </row>
    <row r="459" spans="1:87" hidden="1" outlineLevel="1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  <c r="AA459" s="11"/>
      <c r="AB459" s="11"/>
      <c r="AC459" s="11"/>
      <c r="AD459" s="11"/>
      <c r="AE459" s="11"/>
      <c r="AF459" s="11"/>
      <c r="AG459" s="11"/>
      <c r="AH459" s="11"/>
      <c r="AI459" s="11"/>
      <c r="AJ459" s="11"/>
      <c r="AK459" s="11"/>
      <c r="AL459" s="5"/>
      <c r="AM459" s="5"/>
      <c r="AN459" s="5"/>
      <c r="AO459" s="5"/>
      <c r="AP459" s="11"/>
      <c r="AQ459" s="5"/>
      <c r="AR459" s="5"/>
      <c r="AS459" s="5"/>
      <c r="AT459" s="5"/>
      <c r="AU459" s="11"/>
      <c r="AV459" s="5"/>
      <c r="AW459" s="5"/>
      <c r="AX459" s="5"/>
      <c r="AY459" s="5"/>
      <c r="AZ459" s="11"/>
      <c r="BA459" s="5"/>
      <c r="BB459" s="5"/>
      <c r="BC459" s="5"/>
      <c r="BD459" s="5"/>
      <c r="BE459" s="11"/>
      <c r="BF459" s="5"/>
      <c r="BG459" s="5"/>
      <c r="BH459" s="5"/>
      <c r="BI459" s="5"/>
      <c r="BJ459" s="11"/>
      <c r="BK459" s="5"/>
      <c r="BL459" s="5"/>
      <c r="BM459" s="5"/>
      <c r="BN459" s="5"/>
      <c r="BO459" s="11"/>
      <c r="BP459" s="11"/>
      <c r="BQ459" s="11"/>
      <c r="BR459" s="11"/>
      <c r="BS459" s="11"/>
      <c r="BT459" s="11"/>
      <c r="BU459" s="11"/>
      <c r="BV459" s="11"/>
      <c r="BW459" s="11"/>
      <c r="BX459" s="11"/>
      <c r="BY459" s="11"/>
      <c r="BZ459" s="11"/>
      <c r="CA459" s="11"/>
      <c r="CB459" s="11"/>
      <c r="CC459" s="11"/>
      <c r="CD459" s="11"/>
      <c r="CF459" s="632"/>
      <c r="CG459" t="s">
        <v>3695</v>
      </c>
      <c r="CI459" s="440">
        <f>COVAR(CH446:CH457,CI446:CI457)/VARP(CH446:CH457)</f>
        <v>-0.3000933522219314</v>
      </c>
    </row>
    <row r="460" spans="1:87" hidden="1" outlineLevel="1">
      <c r="A460" s="11" t="s">
        <v>3095</v>
      </c>
      <c r="B460" s="11"/>
      <c r="C460" s="72"/>
      <c r="D460" s="72"/>
      <c r="E460" s="72"/>
      <c r="F460" s="72"/>
      <c r="G460" s="116">
        <f>-G426/G424</f>
        <v>0.31524264157077703</v>
      </c>
      <c r="H460" s="93"/>
      <c r="I460" s="93"/>
      <c r="J460" s="93"/>
      <c r="K460" s="93"/>
      <c r="L460" s="116">
        <f>-L426/L424</f>
        <v>0.2964364553768527</v>
      </c>
      <c r="M460" s="93"/>
      <c r="N460" s="93"/>
      <c r="O460" s="93"/>
      <c r="P460" s="93"/>
      <c r="Q460" s="116">
        <f>-Q426/Q424</f>
        <v>0.25983531564501372</v>
      </c>
      <c r="R460" s="93"/>
      <c r="S460" s="93"/>
      <c r="T460" s="93"/>
      <c r="U460" s="93"/>
      <c r="V460" s="116">
        <f>-V426/V424</f>
        <v>0.31589470176607798</v>
      </c>
      <c r="W460" s="93"/>
      <c r="X460" s="93"/>
      <c r="Y460" s="93"/>
      <c r="Z460" s="93"/>
      <c r="AA460" s="116">
        <f>-AA426/AA424</f>
        <v>0.26196172248803828</v>
      </c>
      <c r="AB460" s="93"/>
      <c r="AC460" s="93"/>
      <c r="AD460" s="93"/>
      <c r="AE460" s="93"/>
      <c r="AF460" s="116">
        <f>-AF426/AF424</f>
        <v>0.32416906032006565</v>
      </c>
      <c r="AG460" s="93"/>
      <c r="AH460" s="93"/>
      <c r="AI460" s="93"/>
      <c r="AJ460" s="93"/>
      <c r="AK460" s="116">
        <f>-AK426/AK424</f>
        <v>0.24317617866004962</v>
      </c>
      <c r="AL460" s="93"/>
      <c r="AM460" s="93"/>
      <c r="AN460" s="93"/>
      <c r="AO460" s="93"/>
      <c r="AP460" s="116">
        <f>-AP426/AP424</f>
        <v>0.19798964361864149</v>
      </c>
      <c r="AQ460" s="93"/>
      <c r="AR460" s="93"/>
      <c r="AS460" s="93"/>
      <c r="AT460" s="93"/>
      <c r="AU460" s="116">
        <f>-AU426/AU424</f>
        <v>0.25622366909230182</v>
      </c>
      <c r="AV460" s="93"/>
      <c r="AW460" s="93"/>
      <c r="AX460" s="93"/>
      <c r="AY460" s="93"/>
      <c r="AZ460" s="116">
        <f>-AZ426/AZ424</f>
        <v>6.9238377843719084E-2</v>
      </c>
      <c r="BA460" s="93"/>
      <c r="BB460" s="93"/>
      <c r="BC460" s="93"/>
      <c r="BD460" s="93"/>
      <c r="BE460" s="116">
        <f>-BE426/BE424</f>
        <v>-0.31555555555555553</v>
      </c>
      <c r="BF460" s="93"/>
      <c r="BG460" s="93"/>
      <c r="BH460" s="93"/>
      <c r="BI460" s="93"/>
      <c r="BJ460" s="116">
        <f>-BJ426/BJ424</f>
        <v>-0.21818181818181817</v>
      </c>
      <c r="BK460" s="93"/>
      <c r="BL460" s="93"/>
      <c r="BM460" s="93"/>
      <c r="BN460" s="93"/>
      <c r="BO460" s="116">
        <f>-BO426/BO424</f>
        <v>0.55468458379992536</v>
      </c>
      <c r="BP460" s="117">
        <f>BT460</f>
        <v>0.27468322333767564</v>
      </c>
      <c r="BQ460" s="117">
        <f>BT460</f>
        <v>0.27468322333767564</v>
      </c>
      <c r="BR460" s="117">
        <f>BT460</f>
        <v>0.27468322333767564</v>
      </c>
      <c r="BS460" s="117">
        <f>BT460</f>
        <v>0.27468322333767564</v>
      </c>
      <c r="BT460" s="118">
        <f>-(BT424*$CI$459+$CI$460)/BT424</f>
        <v>0.27468322333767564</v>
      </c>
      <c r="BU460" s="117">
        <f>BY460</f>
        <v>0.27488246220946672</v>
      </c>
      <c r="BV460" s="117">
        <f>BY460</f>
        <v>0.27488246220946672</v>
      </c>
      <c r="BW460" s="117">
        <f>BY460</f>
        <v>0.27488246220946672</v>
      </c>
      <c r="BX460" s="117">
        <f>BY460</f>
        <v>0.27488246220946672</v>
      </c>
      <c r="BY460" s="118">
        <f>-(BY424*$CI$459+$CI$460)/BY424</f>
        <v>0.27488246220946672</v>
      </c>
      <c r="BZ460" s="117">
        <f>CD460</f>
        <v>0.27737790325169603</v>
      </c>
      <c r="CA460" s="117">
        <f>CD460</f>
        <v>0.27737790325169603</v>
      </c>
      <c r="CB460" s="117">
        <f>CD460</f>
        <v>0.27737790325169603</v>
      </c>
      <c r="CC460" s="117">
        <f>CD460</f>
        <v>0.27737790325169603</v>
      </c>
      <c r="CD460" s="118">
        <f>-(CD424*$CI$459+$CI$460)/CD424</f>
        <v>0.27737790325169603</v>
      </c>
      <c r="CF460" s="632"/>
      <c r="CG460" t="s">
        <v>3696</v>
      </c>
      <c r="CI460">
        <f>AVERAGE(CI446:CI457)-CI459*AVERAGE(CH446:CH457)</f>
        <v>116.56950330642303</v>
      </c>
    </row>
    <row r="461" spans="1:87" hidden="1" outlineLevel="1">
      <c r="A461" s="11" t="s">
        <v>3471</v>
      </c>
      <c r="B461" s="11"/>
      <c r="C461" s="72"/>
      <c r="D461" s="72"/>
      <c r="E461" s="72"/>
      <c r="F461" s="72"/>
      <c r="G461" s="119">
        <f>(G427-G423-G422-G418)/(G432*0.365)</f>
        <v>19.339440642267657</v>
      </c>
      <c r="H461" s="93"/>
      <c r="I461" s="93"/>
      <c r="J461" s="93"/>
      <c r="K461" s="93"/>
      <c r="L461" s="119">
        <f>(L427-L423-L422-L418)/(L432*0.365)</f>
        <v>29.025259323778606</v>
      </c>
      <c r="M461" s="93"/>
      <c r="N461" s="93"/>
      <c r="O461" s="93"/>
      <c r="P461" s="93"/>
      <c r="Q461" s="119">
        <f>(Q427-Q423-Q422-Q418)/(Q432*0.365)</f>
        <v>37.171417993335801</v>
      </c>
      <c r="R461" s="93"/>
      <c r="S461" s="93"/>
      <c r="T461" s="93"/>
      <c r="U461" s="93"/>
      <c r="V461" s="119">
        <f>(V427-V423-V422-V418)/(V432*0.365)</f>
        <v>35.50596553247901</v>
      </c>
      <c r="W461" s="93"/>
      <c r="X461" s="93"/>
      <c r="Y461" s="93"/>
      <c r="Z461" s="93"/>
      <c r="AA461" s="119">
        <f>(AA427-AA423-AA422-AA418)/(AA432*0.365)</f>
        <v>23.570255941007083</v>
      </c>
      <c r="AB461" s="93"/>
      <c r="AC461" s="93"/>
      <c r="AD461" s="93"/>
      <c r="AE461" s="93"/>
      <c r="AF461" s="119">
        <f>(AF427-AF423-AF422-AF418)/(AF432*0.365)</f>
        <v>36.137424068066217</v>
      </c>
      <c r="AG461" s="93"/>
      <c r="AH461" s="93"/>
      <c r="AI461" s="93"/>
      <c r="AJ461" s="93"/>
      <c r="AK461" s="119">
        <f>(AK427-AK423-AK422-AK418)/(AK432*0.365)</f>
        <v>48.666064019655558</v>
      </c>
      <c r="AL461" s="93"/>
      <c r="AM461" s="93"/>
      <c r="AN461" s="93"/>
      <c r="AO461" s="93"/>
      <c r="AP461" s="119">
        <f>(AP427-AP423-AP422-AP418)/(AP432*0.365)</f>
        <v>53.80348290907429</v>
      </c>
      <c r="AQ461" s="93"/>
      <c r="AR461" s="93"/>
      <c r="AS461" s="93"/>
      <c r="AT461" s="93"/>
      <c r="AU461" s="119">
        <f>(AU427-AU423-AU422-AU418)/(AU432*0.365)</f>
        <v>58.96822728155604</v>
      </c>
      <c r="AV461" s="93"/>
      <c r="AW461" s="93"/>
      <c r="AX461" s="93"/>
      <c r="AY461" s="93"/>
      <c r="AZ461" s="119">
        <f>(AZ427-AZ423-AZ422-AZ418)/(AZ432*0.365)</f>
        <v>56.787483238031889</v>
      </c>
      <c r="BA461" s="93"/>
      <c r="BB461" s="93"/>
      <c r="BC461" s="93"/>
      <c r="BD461" s="93"/>
      <c r="BE461" s="119">
        <f>(BE427-BE423-BE422-BE418)/(BE432*0.365)</f>
        <v>29.706813734210996</v>
      </c>
      <c r="BF461" s="93"/>
      <c r="BG461" s="93"/>
      <c r="BH461" s="93"/>
      <c r="BI461" s="93"/>
      <c r="BJ461" s="119">
        <f>(BJ427-BJ423-BJ422-BJ418)/(BJ432*0.365)</f>
        <v>25.168552864025457</v>
      </c>
      <c r="BK461" s="93"/>
      <c r="BL461" s="93"/>
      <c r="BM461" s="93"/>
      <c r="BN461" s="93"/>
      <c r="BO461" s="119">
        <f>(BO427-BO423-BO422-BO418)/(BO432*0.365)</f>
        <v>23.328475663071991</v>
      </c>
      <c r="BP461" s="93"/>
      <c r="BQ461" s="93"/>
      <c r="BR461" s="93"/>
      <c r="BS461" s="93"/>
      <c r="BT461" s="119">
        <f>(BT427-BT423-BT422-BT418)/(BT432*0.365)</f>
        <v>35.446760563160481</v>
      </c>
      <c r="BU461" s="93"/>
      <c r="BV461" s="93"/>
      <c r="BW461" s="93"/>
      <c r="BX461" s="93"/>
      <c r="BY461" s="119">
        <f>(BY427-BY423-BY422-BY418)/(BY432*0.365)</f>
        <v>34.104883592715595</v>
      </c>
      <c r="BZ461" s="93"/>
      <c r="CA461" s="93"/>
      <c r="CB461" s="93"/>
      <c r="CC461" s="93"/>
      <c r="CD461" s="119">
        <f>(CD427-CD423-CD422-CD418)/(CD432*0.365)</f>
        <v>34.550320312841841</v>
      </c>
      <c r="CF461" s="632"/>
      <c r="CG461" t="s">
        <v>3697</v>
      </c>
      <c r="CI461" s="381">
        <f>CORREL(CH446:CH457,CI446:CI457)^2</f>
        <v>0.90838445377105825</v>
      </c>
    </row>
    <row r="462" spans="1:87" collapsed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</row>
    <row r="463" spans="1:87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</row>
    <row r="464" spans="1:87">
      <c r="A464" s="24" t="s">
        <v>3402</v>
      </c>
      <c r="B464" s="4"/>
      <c r="C464" s="5"/>
      <c r="D464" s="5"/>
      <c r="E464" s="5"/>
      <c r="F464" s="71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G464" s="24" t="s">
        <v>3402</v>
      </c>
    </row>
    <row r="465" spans="1:90">
      <c r="A465" s="10"/>
      <c r="B465" s="10"/>
      <c r="C465" s="31">
        <v>2001</v>
      </c>
      <c r="D465" s="32">
        <v>2002</v>
      </c>
      <c r="E465" s="32">
        <v>2003</v>
      </c>
      <c r="F465" s="32">
        <v>2004</v>
      </c>
      <c r="G465" s="31">
        <v>2005</v>
      </c>
      <c r="H465" s="33" t="str">
        <f>H413</f>
        <v>1Q06</v>
      </c>
      <c r="I465" s="33" t="str">
        <f>I413</f>
        <v>2Q06</v>
      </c>
      <c r="J465" s="33" t="str">
        <f>J413</f>
        <v>3Q06</v>
      </c>
      <c r="K465" s="33" t="str">
        <f>K413</f>
        <v>4Q06</v>
      </c>
      <c r="L465" s="31">
        <v>2006</v>
      </c>
      <c r="M465" s="33" t="str">
        <f>M413</f>
        <v>1Q07</v>
      </c>
      <c r="N465" s="33" t="str">
        <f>N413</f>
        <v>2Q07</v>
      </c>
      <c r="O465" s="33" t="str">
        <f>O413</f>
        <v>3Q07</v>
      </c>
      <c r="P465" s="33" t="str">
        <f>P413</f>
        <v>4Q07</v>
      </c>
      <c r="Q465" s="31">
        <v>2007</v>
      </c>
      <c r="R465" s="33" t="str">
        <f>R413</f>
        <v>1Q08</v>
      </c>
      <c r="S465" s="33" t="str">
        <f>S413</f>
        <v>2Q08</v>
      </c>
      <c r="T465" s="33" t="str">
        <f>T413</f>
        <v>3Q08</v>
      </c>
      <c r="U465" s="33" t="str">
        <f>U413</f>
        <v>4Q08</v>
      </c>
      <c r="V465" s="31">
        <v>2008</v>
      </c>
      <c r="W465" s="33" t="str">
        <f>W413</f>
        <v>1Q09</v>
      </c>
      <c r="X465" s="33" t="str">
        <f>X413</f>
        <v>2Q09</v>
      </c>
      <c r="Y465" s="33" t="str">
        <f>Y413</f>
        <v>3Q09</v>
      </c>
      <c r="Z465" s="33" t="str">
        <f>Z413</f>
        <v>4Q09</v>
      </c>
      <c r="AA465" s="31">
        <v>2009</v>
      </c>
      <c r="AB465" s="33" t="str">
        <f>AB413</f>
        <v>1Q10</v>
      </c>
      <c r="AC465" s="33" t="str">
        <f>AC413</f>
        <v>2Q10</v>
      </c>
      <c r="AD465" s="33" t="str">
        <f>AD413</f>
        <v>3Q10</v>
      </c>
      <c r="AE465" s="33" t="str">
        <f>AE413</f>
        <v>4Q10</v>
      </c>
      <c r="AF465" s="31">
        <v>2010</v>
      </c>
      <c r="AG465" s="33" t="str">
        <f>AG413</f>
        <v>1Q11</v>
      </c>
      <c r="AH465" s="33" t="str">
        <f>AH413</f>
        <v>2Q11</v>
      </c>
      <c r="AI465" s="33" t="str">
        <f>AI413</f>
        <v>3Q11</v>
      </c>
      <c r="AJ465" s="33" t="str">
        <f>AJ413</f>
        <v>4Q11</v>
      </c>
      <c r="AK465" s="31">
        <v>2011</v>
      </c>
      <c r="AL465" s="33" t="s">
        <v>2397</v>
      </c>
      <c r="AM465" s="33" t="s">
        <v>2398</v>
      </c>
      <c r="AN465" s="33" t="s">
        <v>2399</v>
      </c>
      <c r="AO465" s="33" t="s">
        <v>2400</v>
      </c>
      <c r="AP465" s="31">
        <v>2012</v>
      </c>
      <c r="AQ465" s="363" t="s">
        <v>2401</v>
      </c>
      <c r="AR465" s="363" t="s">
        <v>2402</v>
      </c>
      <c r="AS465" s="363" t="s">
        <v>2403</v>
      </c>
      <c r="AT465" s="363" t="s">
        <v>2404</v>
      </c>
      <c r="AU465" s="364">
        <v>2013</v>
      </c>
      <c r="AV465" s="363" t="s">
        <v>2405</v>
      </c>
      <c r="AW465" s="363" t="s">
        <v>2406</v>
      </c>
      <c r="AX465" s="363" t="s">
        <v>2407</v>
      </c>
      <c r="AY465" s="363" t="s">
        <v>2408</v>
      </c>
      <c r="AZ465" s="364">
        <v>2014</v>
      </c>
      <c r="BA465" s="33" t="str">
        <f t="shared" ref="BA465:BI465" si="208">BA$8</f>
        <v>1Q15</v>
      </c>
      <c r="BB465" s="33" t="str">
        <f t="shared" si="208"/>
        <v>2Q15</v>
      </c>
      <c r="BC465" s="33" t="str">
        <f t="shared" si="208"/>
        <v>3Q15</v>
      </c>
      <c r="BD465" s="33" t="str">
        <f t="shared" si="208"/>
        <v>4Q15</v>
      </c>
      <c r="BE465" s="31">
        <f t="shared" si="208"/>
        <v>2015</v>
      </c>
      <c r="BF465" s="33" t="str">
        <f t="shared" si="208"/>
        <v>1Q16</v>
      </c>
      <c r="BG465" s="33" t="str">
        <f t="shared" si="208"/>
        <v>2Q16</v>
      </c>
      <c r="BH465" s="33" t="str">
        <f t="shared" si="208"/>
        <v>3Q16</v>
      </c>
      <c r="BI465" s="33" t="str">
        <f t="shared" si="208"/>
        <v>4Q16</v>
      </c>
      <c r="BJ465" s="31">
        <v>2016</v>
      </c>
      <c r="BK465" s="363" t="s">
        <v>2417</v>
      </c>
      <c r="BL465" s="363" t="s">
        <v>2418</v>
      </c>
      <c r="BM465" s="363" t="s">
        <v>2419</v>
      </c>
      <c r="BN465" s="363" t="s">
        <v>2420</v>
      </c>
      <c r="BO465" s="364">
        <v>2017</v>
      </c>
      <c r="BP465" s="363" t="s">
        <v>2244</v>
      </c>
      <c r="BQ465" s="363" t="s">
        <v>2245</v>
      </c>
      <c r="BR465" s="363" t="s">
        <v>2508</v>
      </c>
      <c r="BS465" s="363" t="s">
        <v>2509</v>
      </c>
      <c r="BT465" s="364">
        <v>2018</v>
      </c>
      <c r="BU465" s="363" t="s">
        <v>2510</v>
      </c>
      <c r="BV465" s="363" t="s">
        <v>2511</v>
      </c>
      <c r="BW465" s="363" t="s">
        <v>3125</v>
      </c>
      <c r="BX465" s="363" t="s">
        <v>1405</v>
      </c>
      <c r="BY465" s="364">
        <v>2019</v>
      </c>
      <c r="BZ465" s="363" t="s">
        <v>1406</v>
      </c>
      <c r="CA465" s="363" t="s">
        <v>1407</v>
      </c>
      <c r="CB465" s="363" t="s">
        <v>1408</v>
      </c>
      <c r="CC465" s="363" t="s">
        <v>1409</v>
      </c>
      <c r="CD465" s="364">
        <v>2020</v>
      </c>
      <c r="CG465" s="364" t="s">
        <v>1043</v>
      </c>
      <c r="CH465" s="364" t="s">
        <v>2637</v>
      </c>
      <c r="CI465" s="364" t="s">
        <v>3715</v>
      </c>
      <c r="CJ465" s="364" t="s">
        <v>3551</v>
      </c>
      <c r="CK465" s="364" t="s">
        <v>3713</v>
      </c>
      <c r="CL465" s="364" t="s">
        <v>3714</v>
      </c>
    </row>
    <row r="466" spans="1:90">
      <c r="A466" s="4" t="s">
        <v>2156</v>
      </c>
      <c r="B466" s="5"/>
      <c r="C466" s="72"/>
      <c r="D466" s="72"/>
      <c r="E466" s="72"/>
      <c r="F466" s="72"/>
      <c r="G466" s="5">
        <v>158</v>
      </c>
      <c r="H466" s="93"/>
      <c r="I466" s="93"/>
      <c r="J466" s="93"/>
      <c r="K466" s="93"/>
      <c r="L466" s="5">
        <v>230</v>
      </c>
      <c r="M466" s="93"/>
      <c r="N466" s="93"/>
      <c r="O466" s="93"/>
      <c r="P466" s="93"/>
      <c r="Q466" s="5">
        <v>681</v>
      </c>
      <c r="R466" s="93"/>
      <c r="S466" s="93"/>
      <c r="T466" s="93"/>
      <c r="U466" s="93"/>
      <c r="V466" s="5">
        <v>860</v>
      </c>
      <c r="W466" s="93"/>
      <c r="X466" s="93"/>
      <c r="Y466" s="93"/>
      <c r="Z466" s="93"/>
      <c r="AA466" s="5">
        <v>785</v>
      </c>
      <c r="AB466" s="93"/>
      <c r="AC466" s="93"/>
      <c r="AD466" s="93"/>
      <c r="AE466" s="93"/>
      <c r="AF466" s="5">
        <v>1398</v>
      </c>
      <c r="AG466" s="93"/>
      <c r="AH466" s="93"/>
      <c r="AI466" s="93"/>
      <c r="AJ466" s="93"/>
      <c r="AK466" s="5">
        <v>1611</v>
      </c>
      <c r="AL466" s="93"/>
      <c r="AM466" s="93"/>
      <c r="AN466" s="93"/>
      <c r="AO466" s="93"/>
      <c r="AP466" s="5">
        <v>1749</v>
      </c>
      <c r="AQ466" s="93"/>
      <c r="AR466" s="93"/>
      <c r="AS466" s="93"/>
      <c r="AT466" s="93"/>
      <c r="AU466" s="5">
        <v>1784</v>
      </c>
      <c r="AV466" s="93"/>
      <c r="AW466" s="93"/>
      <c r="AX466" s="93"/>
      <c r="AY466" s="93"/>
      <c r="AZ466" s="5">
        <v>1891</v>
      </c>
      <c r="BA466" s="93"/>
      <c r="BB466" s="93"/>
      <c r="BC466" s="93"/>
      <c r="BD466" s="93"/>
      <c r="BE466" s="5">
        <v>1450</v>
      </c>
      <c r="BF466" s="93"/>
      <c r="BG466" s="93"/>
      <c r="BH466" s="93"/>
      <c r="BI466" s="93"/>
      <c r="BJ466" s="5">
        <v>1042</v>
      </c>
      <c r="BK466" s="93"/>
      <c r="BL466" s="93"/>
      <c r="BM466" s="93"/>
      <c r="BN466" s="93"/>
      <c r="BO466" s="5">
        <v>967</v>
      </c>
      <c r="BP466" s="72"/>
      <c r="BQ466" s="72"/>
      <c r="BR466" s="72"/>
      <c r="BS466" s="72"/>
      <c r="BT466" s="72"/>
      <c r="BU466" s="72"/>
      <c r="BV466" s="72"/>
      <c r="BW466" s="72"/>
      <c r="BX466" s="72"/>
      <c r="BY466" s="72"/>
      <c r="BZ466" s="72"/>
      <c r="CA466" s="72"/>
      <c r="CB466" s="72"/>
      <c r="CC466" s="72"/>
      <c r="CD466" s="72"/>
      <c r="CG466" s="468">
        <v>2006</v>
      </c>
      <c r="CH466" s="115">
        <f>HLOOKUP(CG466,$A$465:$CD$513,49,FALSE)*HLOOKUP(CG466,$A$465:$CD$513,20,FALSE)*0.365</f>
        <v>804</v>
      </c>
      <c r="CI466" s="634">
        <v>1</v>
      </c>
      <c r="CJ466" s="115">
        <v>3418.476325577466</v>
      </c>
      <c r="CK466" s="342">
        <f>CH466*CI466</f>
        <v>804</v>
      </c>
      <c r="CL466" s="115">
        <f>CK466-CJ466</f>
        <v>-2614.476325577466</v>
      </c>
    </row>
    <row r="467" spans="1:90">
      <c r="A467" s="4" t="s">
        <v>2157</v>
      </c>
      <c r="B467" s="5"/>
      <c r="C467" s="72"/>
      <c r="D467" s="72"/>
      <c r="E467" s="72"/>
      <c r="F467" s="72"/>
      <c r="G467" s="5">
        <v>1040</v>
      </c>
      <c r="H467" s="93"/>
      <c r="I467" s="93"/>
      <c r="J467" s="93"/>
      <c r="K467" s="93"/>
      <c r="L467" s="5">
        <v>1113</v>
      </c>
      <c r="M467" s="93"/>
      <c r="N467" s="93"/>
      <c r="O467" s="93"/>
      <c r="P467" s="93"/>
      <c r="Q467" s="5">
        <v>816</v>
      </c>
      <c r="R467" s="93"/>
      <c r="S467" s="93"/>
      <c r="T467" s="93"/>
      <c r="U467" s="93"/>
      <c r="V467" s="5">
        <v>1171</v>
      </c>
      <c r="W467" s="93"/>
      <c r="X467" s="93"/>
      <c r="Y467" s="93"/>
      <c r="Z467" s="93"/>
      <c r="AA467" s="5">
        <v>726</v>
      </c>
      <c r="AB467" s="93"/>
      <c r="AC467" s="93"/>
      <c r="AD467" s="93"/>
      <c r="AE467" s="93"/>
      <c r="AF467" s="5">
        <v>929</v>
      </c>
      <c r="AG467" s="93"/>
      <c r="AH467" s="93"/>
      <c r="AI467" s="93"/>
      <c r="AJ467" s="93"/>
      <c r="AK467" s="5">
        <v>967</v>
      </c>
      <c r="AL467" s="93"/>
      <c r="AM467" s="93"/>
      <c r="AN467" s="93"/>
      <c r="AO467" s="93"/>
      <c r="AP467" s="5">
        <v>915</v>
      </c>
      <c r="AQ467" s="93"/>
      <c r="AR467" s="93"/>
      <c r="AS467" s="93"/>
      <c r="AT467" s="93"/>
      <c r="AU467" s="5">
        <v>941</v>
      </c>
      <c r="AV467" s="93"/>
      <c r="AW467" s="93"/>
      <c r="AX467" s="93"/>
      <c r="AY467" s="93"/>
      <c r="AZ467" s="5">
        <v>631</v>
      </c>
      <c r="BA467" s="93"/>
      <c r="BB467" s="93"/>
      <c r="BC467" s="93"/>
      <c r="BD467" s="93"/>
      <c r="BE467" s="5">
        <v>340</v>
      </c>
      <c r="BF467" s="93"/>
      <c r="BG467" s="93"/>
      <c r="BH467" s="93"/>
      <c r="BI467" s="93"/>
      <c r="BJ467" s="5">
        <v>309</v>
      </c>
      <c r="BK467" s="93"/>
      <c r="BL467" s="93"/>
      <c r="BM467" s="93"/>
      <c r="BN467" s="93"/>
      <c r="BO467" s="5">
        <v>487</v>
      </c>
      <c r="BP467" s="72"/>
      <c r="BQ467" s="72"/>
      <c r="BR467" s="72"/>
      <c r="BS467" s="72"/>
      <c r="BT467" s="72"/>
      <c r="BU467" s="72"/>
      <c r="BV467" s="72"/>
      <c r="BW467" s="72"/>
      <c r="BX467" s="72"/>
      <c r="BY467" s="72"/>
      <c r="BZ467" s="72"/>
      <c r="CA467" s="72"/>
      <c r="CB467" s="72"/>
      <c r="CC467" s="72"/>
      <c r="CD467" s="72"/>
      <c r="CG467" s="468">
        <v>2007</v>
      </c>
      <c r="CH467" s="115">
        <f t="shared" ref="CH467:CH480" si="209">HLOOKUP(CG467,$A$465:$CD$513,49,FALSE)*HLOOKUP(CG467,$A$465:$CD$513,20,FALSE)*0.365</f>
        <v>744.00000000000011</v>
      </c>
      <c r="CI467" s="634">
        <v>1</v>
      </c>
      <c r="CJ467" s="115">
        <v>4799.3562901589867</v>
      </c>
      <c r="CK467" s="342">
        <f t="shared" ref="CK467:CK480" si="210">CH467*CI467</f>
        <v>744.00000000000011</v>
      </c>
      <c r="CL467" s="115">
        <f t="shared" ref="CL467:CL480" si="211">CK467-CJ467</f>
        <v>-4055.3562901589867</v>
      </c>
    </row>
    <row r="468" spans="1:90">
      <c r="A468" s="7" t="s">
        <v>2155</v>
      </c>
      <c r="B468" s="8"/>
      <c r="C468" s="73">
        <f>C466+C467</f>
        <v>0</v>
      </c>
      <c r="D468" s="73">
        <f>D466+D467</f>
        <v>0</v>
      </c>
      <c r="E468" s="73">
        <f>E466+E467</f>
        <v>0</v>
      </c>
      <c r="F468" s="73">
        <f>F466+F467</f>
        <v>0</v>
      </c>
      <c r="G468" s="8">
        <f>G466+G467</f>
        <v>1198</v>
      </c>
      <c r="H468" s="93"/>
      <c r="I468" s="93"/>
      <c r="J468" s="93"/>
      <c r="K468" s="93"/>
      <c r="L468" s="8">
        <f>L466+L467</f>
        <v>1343</v>
      </c>
      <c r="M468" s="93"/>
      <c r="N468" s="93"/>
      <c r="O468" s="93"/>
      <c r="P468" s="93"/>
      <c r="Q468" s="8">
        <f>Q466+Q467</f>
        <v>1497</v>
      </c>
      <c r="R468" s="93"/>
      <c r="S468" s="93"/>
      <c r="T468" s="93"/>
      <c r="U468" s="93"/>
      <c r="V468" s="8">
        <f>V466+V467</f>
        <v>2031</v>
      </c>
      <c r="W468" s="93"/>
      <c r="X468" s="93"/>
      <c r="Y468" s="93"/>
      <c r="Z468" s="93"/>
      <c r="AA468" s="8">
        <f>AA466+AA467</f>
        <v>1511</v>
      </c>
      <c r="AB468" s="93"/>
      <c r="AC468" s="93"/>
      <c r="AD468" s="93"/>
      <c r="AE468" s="93"/>
      <c r="AF468" s="8">
        <f>AF466+AF467</f>
        <v>2327</v>
      </c>
      <c r="AG468" s="93"/>
      <c r="AH468" s="93"/>
      <c r="AI468" s="93"/>
      <c r="AJ468" s="93"/>
      <c r="AK468" s="8">
        <f>AK466+AK467</f>
        <v>2578</v>
      </c>
      <c r="AL468" s="93"/>
      <c r="AM468" s="93"/>
      <c r="AN468" s="93"/>
      <c r="AO468" s="93"/>
      <c r="AP468" s="8">
        <v>2664</v>
      </c>
      <c r="AQ468" s="93"/>
      <c r="AR468" s="93"/>
      <c r="AS468" s="93"/>
      <c r="AT468" s="93"/>
      <c r="AU468" s="8">
        <v>2725</v>
      </c>
      <c r="AV468" s="93"/>
      <c r="AW468" s="93"/>
      <c r="AX468" s="93"/>
      <c r="AY468" s="93"/>
      <c r="AZ468" s="8">
        <f>+AZ466+AZ467</f>
        <v>2522</v>
      </c>
      <c r="BA468" s="93"/>
      <c r="BB468" s="93"/>
      <c r="BC468" s="93"/>
      <c r="BD468" s="93"/>
      <c r="BE468" s="8">
        <f>+BE466+BE467</f>
        <v>1790</v>
      </c>
      <c r="BF468" s="93"/>
      <c r="BG468" s="93"/>
      <c r="BH468" s="93"/>
      <c r="BI468" s="93"/>
      <c r="BJ468" s="8">
        <f>+BJ466+BJ467</f>
        <v>1351</v>
      </c>
      <c r="BK468" s="93"/>
      <c r="BL468" s="93"/>
      <c r="BM468" s="93"/>
      <c r="BN468" s="93"/>
      <c r="BO468" s="8">
        <f>+BO466+BO467</f>
        <v>1454</v>
      </c>
      <c r="BP468" s="19">
        <f t="shared" ref="BP468:CD468" si="212">BP490*(1+BP491)</f>
        <v>411.06508240665056</v>
      </c>
      <c r="BQ468" s="19">
        <f t="shared" si="212"/>
        <v>431.86764967256516</v>
      </c>
      <c r="BR468" s="19">
        <f t="shared" si="212"/>
        <v>445.9893889300098</v>
      </c>
      <c r="BS468" s="19">
        <f t="shared" si="212"/>
        <v>446.70940585020605</v>
      </c>
      <c r="BT468" s="8">
        <f t="shared" si="212"/>
        <v>1735.6315268594312</v>
      </c>
      <c r="BU468" s="19">
        <f t="shared" si="212"/>
        <v>422.58617803021588</v>
      </c>
      <c r="BV468" s="19">
        <f t="shared" si="212"/>
        <v>413.67973580883012</v>
      </c>
      <c r="BW468" s="19">
        <f t="shared" si="212"/>
        <v>416.86580442111949</v>
      </c>
      <c r="BX468" s="19">
        <f t="shared" si="212"/>
        <v>420.60464855214906</v>
      </c>
      <c r="BY468" s="8">
        <f t="shared" si="212"/>
        <v>1673.7363668123144</v>
      </c>
      <c r="BZ468" s="19">
        <f t="shared" si="212"/>
        <v>401.005505678281</v>
      </c>
      <c r="CA468" s="19">
        <f t="shared" si="212"/>
        <v>398.76520229757352</v>
      </c>
      <c r="CB468" s="19">
        <f t="shared" si="212"/>
        <v>407.17118432160993</v>
      </c>
      <c r="CC468" s="19">
        <f t="shared" si="212"/>
        <v>412.75219369754205</v>
      </c>
      <c r="CD468" s="8">
        <f t="shared" si="212"/>
        <v>1619.6940859950066</v>
      </c>
      <c r="CG468" s="468">
        <v>2008</v>
      </c>
      <c r="CH468" s="115">
        <f t="shared" si="209"/>
        <v>1119.9999999999998</v>
      </c>
      <c r="CI468" s="634">
        <v>1</v>
      </c>
      <c r="CJ468" s="115">
        <v>4297.3411789571182</v>
      </c>
      <c r="CK468" s="342">
        <f t="shared" si="210"/>
        <v>1119.9999999999998</v>
      </c>
      <c r="CL468" s="115">
        <f t="shared" si="211"/>
        <v>-3177.3411789571182</v>
      </c>
    </row>
    <row r="469" spans="1:90">
      <c r="A469" s="11"/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  <c r="AA469" s="11"/>
      <c r="AB469" s="11"/>
      <c r="AC469" s="11"/>
      <c r="AD469" s="11"/>
      <c r="AE469" s="11"/>
      <c r="AF469" s="11"/>
      <c r="AG469" s="11"/>
      <c r="AH469" s="11"/>
      <c r="AI469" s="11"/>
      <c r="AJ469" s="11"/>
      <c r="AK469" s="11"/>
      <c r="AL469" s="12"/>
      <c r="AM469" s="12"/>
      <c r="AN469" s="12"/>
      <c r="AO469" s="12"/>
      <c r="AP469" s="11"/>
      <c r="AQ469" s="12"/>
      <c r="AR469" s="12"/>
      <c r="AS469" s="12"/>
      <c r="AT469" s="12"/>
      <c r="AU469" s="11"/>
      <c r="AV469" s="12"/>
      <c r="AW469" s="12"/>
      <c r="AX469" s="12"/>
      <c r="AY469" s="12"/>
      <c r="AZ469" s="11"/>
      <c r="BA469" s="12"/>
      <c r="BB469" s="12"/>
      <c r="BC469" s="12"/>
      <c r="BD469" s="12"/>
      <c r="BE469" s="11"/>
      <c r="BF469" s="12"/>
      <c r="BG469" s="12"/>
      <c r="BH469" s="12"/>
      <c r="BI469" s="12"/>
      <c r="BJ469" s="11"/>
      <c r="BK469" s="12"/>
      <c r="BL469" s="12"/>
      <c r="BM469" s="12"/>
      <c r="BN469" s="12"/>
      <c r="BO469" s="11"/>
      <c r="BP469" s="11"/>
      <c r="BQ469" s="11"/>
      <c r="BR469" s="11"/>
      <c r="BS469" s="11"/>
      <c r="BT469" s="11"/>
      <c r="BU469" s="11"/>
      <c r="BV469" s="11"/>
      <c r="BW469" s="11"/>
      <c r="BX469" s="11"/>
      <c r="BY469" s="11"/>
      <c r="BZ469" s="11"/>
      <c r="CA469" s="11"/>
      <c r="CB469" s="11"/>
      <c r="CC469" s="11"/>
      <c r="CD469" s="11"/>
      <c r="CG469" s="468">
        <v>2009</v>
      </c>
      <c r="CH469" s="115">
        <f t="shared" si="209"/>
        <v>1189</v>
      </c>
      <c r="CI469" s="634">
        <v>1</v>
      </c>
      <c r="CJ469" s="115">
        <v>2164.5376069642498</v>
      </c>
      <c r="CK469" s="342">
        <f t="shared" si="210"/>
        <v>1189</v>
      </c>
      <c r="CL469" s="115">
        <f t="shared" si="211"/>
        <v>-975.53760696424979</v>
      </c>
    </row>
    <row r="470" spans="1:90">
      <c r="A470" s="4" t="s">
        <v>1897</v>
      </c>
      <c r="B470" s="5"/>
      <c r="C470" s="72"/>
      <c r="D470" s="72"/>
      <c r="E470" s="72"/>
      <c r="F470" s="72"/>
      <c r="G470" s="5">
        <v>-6</v>
      </c>
      <c r="H470" s="93"/>
      <c r="I470" s="93"/>
      <c r="J470" s="93"/>
      <c r="K470" s="93"/>
      <c r="L470" s="5">
        <v>-6</v>
      </c>
      <c r="M470" s="93"/>
      <c r="N470" s="93"/>
      <c r="O470" s="93"/>
      <c r="P470" s="93"/>
      <c r="Q470" s="5">
        <v>-7</v>
      </c>
      <c r="R470" s="93"/>
      <c r="S470" s="93"/>
      <c r="T470" s="93"/>
      <c r="U470" s="93"/>
      <c r="V470" s="5">
        <v>-26</v>
      </c>
      <c r="W470" s="93"/>
      <c r="X470" s="93"/>
      <c r="Y470" s="93"/>
      <c r="Z470" s="93"/>
      <c r="AA470" s="5">
        <v>-22</v>
      </c>
      <c r="AB470" s="93"/>
      <c r="AC470" s="93"/>
      <c r="AD470" s="93"/>
      <c r="AE470" s="93"/>
      <c r="AF470" s="5">
        <v>-17</v>
      </c>
      <c r="AG470" s="93"/>
      <c r="AH470" s="93"/>
      <c r="AI470" s="93"/>
      <c r="AJ470" s="93"/>
      <c r="AK470" s="5">
        <v>-70</v>
      </c>
      <c r="AL470" s="93"/>
      <c r="AM470" s="93"/>
      <c r="AN470" s="93"/>
      <c r="AO470" s="93"/>
      <c r="AP470" s="5">
        <v>-132</v>
      </c>
      <c r="AQ470" s="93"/>
      <c r="AR470" s="93"/>
      <c r="AS470" s="93"/>
      <c r="AT470" s="93"/>
      <c r="AU470" s="5">
        <v>-47</v>
      </c>
      <c r="AV470" s="93"/>
      <c r="AW470" s="93"/>
      <c r="AX470" s="93"/>
      <c r="AY470" s="93"/>
      <c r="AZ470" s="5">
        <v>-60</v>
      </c>
      <c r="BA470" s="93"/>
      <c r="BB470" s="93"/>
      <c r="BC470" s="93"/>
      <c r="BD470" s="93"/>
      <c r="BE470" s="5">
        <v>-52</v>
      </c>
      <c r="BF470" s="93"/>
      <c r="BG470" s="93"/>
      <c r="BH470" s="93"/>
      <c r="BI470" s="93"/>
      <c r="BJ470" s="5">
        <v>-89</v>
      </c>
      <c r="BK470" s="93"/>
      <c r="BL470" s="93"/>
      <c r="BM470" s="93"/>
      <c r="BN470" s="93"/>
      <c r="BO470" s="5">
        <v>-17</v>
      </c>
      <c r="BP470" s="12">
        <f>-Capex!BP124</f>
        <v>-7.5000000000000071</v>
      </c>
      <c r="BQ470" s="12">
        <f>-Capex!BQ124</f>
        <v>-4.8537777777777817</v>
      </c>
      <c r="BR470" s="12">
        <f>-Capex!BR124</f>
        <v>-4.8537777777777817</v>
      </c>
      <c r="BS470" s="12">
        <f>-Capex!BS124</f>
        <v>-4.8537777777777817</v>
      </c>
      <c r="BT470" s="5">
        <f>SUM(BP470:BS470)</f>
        <v>-22.061333333333355</v>
      </c>
      <c r="BU470" s="12">
        <f>-Capex!BU124</f>
        <v>-4.5218333333333378</v>
      </c>
      <c r="BV470" s="12">
        <f>-Capex!BV124</f>
        <v>-4.5218333333333378</v>
      </c>
      <c r="BW470" s="12">
        <f>-Capex!BW124</f>
        <v>-4.5218333333333378</v>
      </c>
      <c r="BX470" s="12">
        <f>-Capex!BX124</f>
        <v>-4.5218333333333378</v>
      </c>
      <c r="BY470" s="5">
        <f>SUM(BU470:BX470)</f>
        <v>-18.087333333333351</v>
      </c>
      <c r="BZ470" s="12">
        <f>-Capex!BZ124</f>
        <v>-2.912000000000003</v>
      </c>
      <c r="CA470" s="12">
        <f>-Capex!CA124</f>
        <v>-2.912000000000003</v>
      </c>
      <c r="CB470" s="12">
        <f>-Capex!CB124</f>
        <v>-2.912000000000003</v>
      </c>
      <c r="CC470" s="12">
        <f>-Capex!CC124</f>
        <v>-2.912000000000003</v>
      </c>
      <c r="CD470" s="5">
        <f>SUM(BZ470:CC470)</f>
        <v>-11.648000000000012</v>
      </c>
      <c r="CG470" s="468">
        <v>2010</v>
      </c>
      <c r="CH470" s="115">
        <f t="shared" si="209"/>
        <v>1489</v>
      </c>
      <c r="CI470" s="634">
        <v>1</v>
      </c>
      <c r="CJ470" s="115">
        <v>3351.5854853543974</v>
      </c>
      <c r="CK470" s="342">
        <f t="shared" si="210"/>
        <v>1489</v>
      </c>
      <c r="CL470" s="115">
        <f t="shared" si="211"/>
        <v>-1862.5854853543974</v>
      </c>
    </row>
    <row r="471" spans="1:90">
      <c r="A471" s="4" t="s">
        <v>2149</v>
      </c>
      <c r="B471" s="5"/>
      <c r="C471" s="72"/>
      <c r="D471" s="72"/>
      <c r="E471" s="72"/>
      <c r="F471" s="72"/>
      <c r="G471" s="5">
        <v>-53.663333333333334</v>
      </c>
      <c r="H471" s="93"/>
      <c r="I471" s="93"/>
      <c r="J471" s="93"/>
      <c r="K471" s="93"/>
      <c r="L471" s="5">
        <v>-54</v>
      </c>
      <c r="M471" s="93"/>
      <c r="N471" s="93"/>
      <c r="O471" s="93"/>
      <c r="P471" s="93"/>
      <c r="Q471" s="5">
        <v>-64</v>
      </c>
      <c r="R471" s="93"/>
      <c r="S471" s="93"/>
      <c r="T471" s="93"/>
      <c r="U471" s="93"/>
      <c r="V471" s="5">
        <v>-62</v>
      </c>
      <c r="W471" s="93"/>
      <c r="X471" s="93"/>
      <c r="Y471" s="93"/>
      <c r="Z471" s="93"/>
      <c r="AA471" s="5">
        <v>-70</v>
      </c>
      <c r="AB471" s="93"/>
      <c r="AC471" s="93"/>
      <c r="AD471" s="93"/>
      <c r="AE471" s="93"/>
      <c r="AF471" s="5">
        <v>-124</v>
      </c>
      <c r="AG471" s="93"/>
      <c r="AH471" s="93"/>
      <c r="AI471" s="93"/>
      <c r="AJ471" s="93"/>
      <c r="AK471" s="5">
        <v>-194</v>
      </c>
      <c r="AL471" s="93"/>
      <c r="AM471" s="93"/>
      <c r="AN471" s="93"/>
      <c r="AO471" s="93"/>
      <c r="AP471" s="5">
        <v>-191</v>
      </c>
      <c r="AQ471" s="93"/>
      <c r="AR471" s="93"/>
      <c r="AS471" s="93"/>
      <c r="AT471" s="93"/>
      <c r="AU471" s="5">
        <v>-187</v>
      </c>
      <c r="AV471" s="93"/>
      <c r="AW471" s="93"/>
      <c r="AX471" s="93"/>
      <c r="AY471" s="93"/>
      <c r="AZ471" s="5">
        <v>-232</v>
      </c>
      <c r="BA471" s="93"/>
      <c r="BB471" s="93"/>
      <c r="BC471" s="93"/>
      <c r="BD471" s="93"/>
      <c r="BE471" s="5">
        <v>-166</v>
      </c>
      <c r="BF471" s="93"/>
      <c r="BG471" s="93"/>
      <c r="BH471" s="93"/>
      <c r="BI471" s="93"/>
      <c r="BJ471" s="5">
        <v>-154</v>
      </c>
      <c r="BK471" s="93"/>
      <c r="BL471" s="93"/>
      <c r="BM471" s="93"/>
      <c r="BN471" s="93"/>
      <c r="BO471" s="5">
        <v>-157</v>
      </c>
      <c r="BP471" s="65">
        <f>-BP484*BP495*'Key assumptions'!BP$48/1000</f>
        <v>-38.118190960216673</v>
      </c>
      <c r="BQ471" s="65">
        <f>-BQ484*BQ495*'Key assumptions'!BQ$48/1000</f>
        <v>-37.630948645789424</v>
      </c>
      <c r="BR471" s="65">
        <f>-BR484*BR495*'Key assumptions'!BR$48/1000</f>
        <v>-38.284421493741903</v>
      </c>
      <c r="BS471" s="65">
        <f>-BS484*BS495*'Key assumptions'!BS$48/1000</f>
        <v>-38.696679006115893</v>
      </c>
      <c r="BT471" s="5">
        <f>SUM(BP471:BS471)</f>
        <v>-152.73024010586388</v>
      </c>
      <c r="BU471" s="65">
        <f>-BU484*BU495*'Key assumptions'!BU$48/1000</f>
        <v>-38.698485983925423</v>
      </c>
      <c r="BV471" s="65">
        <f>-BV484*BV495*'Key assumptions'!BV$48/1000</f>
        <v>-38.195264475219666</v>
      </c>
      <c r="BW471" s="65">
        <f>-BW484*BW495*'Key assumptions'!BW$48/1000</f>
        <v>-38.860847005076025</v>
      </c>
      <c r="BX471" s="65">
        <f>-BX484*BX495*'Key assumptions'!BX$48/1000</f>
        <v>-39.283255912471525</v>
      </c>
      <c r="BY471" s="5">
        <f>SUM(BU471:BX471)</f>
        <v>-155.03785337669262</v>
      </c>
      <c r="BZ471" s="65">
        <f>-BZ484*BZ495*'Key assumptions'!BZ$48/1000</f>
        <v>-38.788868230992904</v>
      </c>
      <c r="CA471" s="65">
        <f>-CA484*CA495*'Key assumptions'!CA$48/1000</f>
        <v>-37.862901721100279</v>
      </c>
      <c r="CB471" s="65">
        <f>-CB484*CB495*'Key assumptions'!CB$48/1000</f>
        <v>-38.52292500321353</v>
      </c>
      <c r="CC471" s="65">
        <f>-CC484*CC495*'Key assumptions'!CC$48/1000</f>
        <v>-38.942057598097186</v>
      </c>
      <c r="CD471" s="5">
        <f>SUM(BZ471:CC471)</f>
        <v>-154.1167525534039</v>
      </c>
      <c r="CG471" s="468">
        <v>2011</v>
      </c>
      <c r="CH471" s="115">
        <f t="shared" si="209"/>
        <v>1303</v>
      </c>
      <c r="CI471" s="634">
        <v>1</v>
      </c>
      <c r="CJ471" s="115">
        <v>5981.7953581008169</v>
      </c>
      <c r="CK471" s="342">
        <f t="shared" si="210"/>
        <v>1303</v>
      </c>
      <c r="CL471" s="115">
        <f t="shared" si="211"/>
        <v>-4678.7953581008169</v>
      </c>
    </row>
    <row r="472" spans="1:90">
      <c r="A472" s="4" t="s">
        <v>2150</v>
      </c>
      <c r="B472" s="5"/>
      <c r="C472" s="72"/>
      <c r="D472" s="72"/>
      <c r="E472" s="72"/>
      <c r="F472" s="72"/>
      <c r="G472" s="5">
        <v>-54</v>
      </c>
      <c r="H472" s="93"/>
      <c r="I472" s="93"/>
      <c r="J472" s="93"/>
      <c r="K472" s="93"/>
      <c r="L472" s="5">
        <v>-63</v>
      </c>
      <c r="M472" s="93"/>
      <c r="N472" s="93"/>
      <c r="O472" s="93"/>
      <c r="P472" s="93"/>
      <c r="Q472" s="5">
        <v>-56</v>
      </c>
      <c r="R472" s="93"/>
      <c r="S472" s="93"/>
      <c r="T472" s="93"/>
      <c r="U472" s="93"/>
      <c r="V472" s="5">
        <v>-110</v>
      </c>
      <c r="W472" s="93"/>
      <c r="X472" s="93"/>
      <c r="Y472" s="93"/>
      <c r="Z472" s="93"/>
      <c r="AA472" s="5">
        <v>-72</v>
      </c>
      <c r="AB472" s="93"/>
      <c r="AC472" s="93"/>
      <c r="AD472" s="93"/>
      <c r="AE472" s="93"/>
      <c r="AF472" s="5">
        <v>-109</v>
      </c>
      <c r="AG472" s="93"/>
      <c r="AH472" s="93"/>
      <c r="AI472" s="93"/>
      <c r="AJ472" s="93"/>
      <c r="AK472" s="5">
        <v>-147</v>
      </c>
      <c r="AL472" s="93"/>
      <c r="AM472" s="93"/>
      <c r="AN472" s="93"/>
      <c r="AO472" s="93"/>
      <c r="AP472" s="5">
        <v>-141</v>
      </c>
      <c r="AQ472" s="93"/>
      <c r="AR472" s="93"/>
      <c r="AS472" s="93"/>
      <c r="AT472" s="93"/>
      <c r="AU472" s="5">
        <v>-126</v>
      </c>
      <c r="AV472" s="93"/>
      <c r="AW472" s="93"/>
      <c r="AX472" s="93"/>
      <c r="AY472" s="93"/>
      <c r="AZ472" s="5">
        <v>-93</v>
      </c>
      <c r="BA472" s="93"/>
      <c r="BB472" s="93"/>
      <c r="BC472" s="93"/>
      <c r="BD472" s="93"/>
      <c r="BE472" s="5">
        <v>-46</v>
      </c>
      <c r="BF472" s="93"/>
      <c r="BG472" s="93"/>
      <c r="BH472" s="93"/>
      <c r="BI472" s="93"/>
      <c r="BJ472" s="5">
        <v>-41</v>
      </c>
      <c r="BK472" s="93"/>
      <c r="BL472" s="93"/>
      <c r="BM472" s="93"/>
      <c r="BN472" s="93"/>
      <c r="BO472" s="5">
        <v>-56</v>
      </c>
      <c r="BP472" s="12">
        <f>-BP468*BP507</f>
        <v>-12.331952472199516</v>
      </c>
      <c r="BQ472" s="12">
        <f>-BQ468*BQ507</f>
        <v>-12.956029490176954</v>
      </c>
      <c r="BR472" s="12">
        <f>-BR468*BR507</f>
        <v>-13.379681667900293</v>
      </c>
      <c r="BS472" s="12">
        <f>-BS468*BS507</f>
        <v>-13.40128217550618</v>
      </c>
      <c r="BT472" s="5">
        <f>SUM(BP472:BS472)</f>
        <v>-52.068945805782946</v>
      </c>
      <c r="BU472" s="12">
        <f>-BU468*BU507</f>
        <v>-12.677585340906475</v>
      </c>
      <c r="BV472" s="12">
        <f>-BV468*BV507</f>
        <v>-12.410392074264903</v>
      </c>
      <c r="BW472" s="12">
        <f>-BW468*BW507</f>
        <v>-12.505974132633584</v>
      </c>
      <c r="BX472" s="12">
        <f>-BX468*BX507</f>
        <v>-12.618139456564471</v>
      </c>
      <c r="BY472" s="5">
        <f>SUM(BU472:BX472)</f>
        <v>-50.212091004369434</v>
      </c>
      <c r="BZ472" s="12">
        <f>-BZ468*BZ507</f>
        <v>-12.030165170348429</v>
      </c>
      <c r="CA472" s="12">
        <f>-CA468*CA507</f>
        <v>-11.962956068927205</v>
      </c>
      <c r="CB472" s="12">
        <f>-CB468*CB507</f>
        <v>-12.215135529648297</v>
      </c>
      <c r="CC472" s="12">
        <f>-CC468*CC507</f>
        <v>-12.382565810926261</v>
      </c>
      <c r="CD472" s="5">
        <f>SUM(BZ472:CC472)</f>
        <v>-48.59082257985019</v>
      </c>
      <c r="CG472" s="468">
        <v>2012</v>
      </c>
      <c r="CH472" s="115">
        <f t="shared" si="209"/>
        <v>1313</v>
      </c>
      <c r="CI472" s="634">
        <v>1</v>
      </c>
      <c r="CJ472" s="115">
        <v>5589.9048555927711</v>
      </c>
      <c r="CK472" s="342">
        <f t="shared" si="210"/>
        <v>1313</v>
      </c>
      <c r="CL472" s="115">
        <f t="shared" si="211"/>
        <v>-4276.9048555927711</v>
      </c>
    </row>
    <row r="473" spans="1:90">
      <c r="A473" s="4" t="s">
        <v>2158</v>
      </c>
      <c r="B473" s="5"/>
      <c r="C473" s="72"/>
      <c r="D473" s="72"/>
      <c r="E473" s="72"/>
      <c r="F473" s="72"/>
      <c r="G473" s="5">
        <v>-149</v>
      </c>
      <c r="H473" s="93"/>
      <c r="I473" s="93"/>
      <c r="J473" s="93"/>
      <c r="K473" s="93"/>
      <c r="L473" s="5">
        <v>-150</v>
      </c>
      <c r="M473" s="93"/>
      <c r="N473" s="93"/>
      <c r="O473" s="93"/>
      <c r="P473" s="93"/>
      <c r="Q473" s="5">
        <v>-366</v>
      </c>
      <c r="R473" s="93"/>
      <c r="S473" s="93"/>
      <c r="T473" s="93"/>
      <c r="U473" s="93"/>
      <c r="V473" s="5">
        <v>-226</v>
      </c>
      <c r="W473" s="93"/>
      <c r="X473" s="93"/>
      <c r="Y473" s="93"/>
      <c r="Z473" s="93"/>
      <c r="AA473" s="5">
        <v>-178</v>
      </c>
      <c r="AB473" s="93"/>
      <c r="AC473" s="93"/>
      <c r="AD473" s="93"/>
      <c r="AE473" s="93"/>
      <c r="AF473" s="5">
        <v>-195</v>
      </c>
      <c r="AG473" s="93"/>
      <c r="AH473" s="93"/>
      <c r="AI473" s="93"/>
      <c r="AJ473" s="93"/>
      <c r="AK473" s="5">
        <v>-257</v>
      </c>
      <c r="AL473" s="93"/>
      <c r="AM473" s="93"/>
      <c r="AN473" s="93"/>
      <c r="AO473" s="93"/>
      <c r="AP473" s="5">
        <v>-264</v>
      </c>
      <c r="AQ473" s="93"/>
      <c r="AR473" s="93"/>
      <c r="AS473" s="93"/>
      <c r="AT473" s="93"/>
      <c r="AU473" s="5">
        <v>-351</v>
      </c>
      <c r="AV473" s="93"/>
      <c r="AW473" s="93"/>
      <c r="AX473" s="93"/>
      <c r="AY473" s="93"/>
      <c r="AZ473" s="5">
        <v>-306</v>
      </c>
      <c r="BA473" s="93"/>
      <c r="BB473" s="93"/>
      <c r="BC473" s="93"/>
      <c r="BD473" s="93"/>
      <c r="BE473" s="5">
        <v>-215</v>
      </c>
      <c r="BF473" s="93"/>
      <c r="BG473" s="93"/>
      <c r="BH473" s="93"/>
      <c r="BI473" s="93"/>
      <c r="BJ473" s="5">
        <v>-153</v>
      </c>
      <c r="BK473" s="93"/>
      <c r="BL473" s="93"/>
      <c r="BM473" s="93"/>
      <c r="BN473" s="93"/>
      <c r="BO473" s="5">
        <v>-349</v>
      </c>
      <c r="BP473" s="12">
        <f>BT473/4</f>
        <v>-82.887500000000003</v>
      </c>
      <c r="BQ473" s="12">
        <f>(BT473-BP473)/3</f>
        <v>-82.887500000000003</v>
      </c>
      <c r="BR473" s="12">
        <f>(BT473-BP473-BQ473)/2</f>
        <v>-82.887500000000017</v>
      </c>
      <c r="BS473" s="12">
        <f>BT473-SUM(BP473:BR473)</f>
        <v>-82.887499999999989</v>
      </c>
      <c r="BT473" s="147">
        <f>BO473*(1-5%)</f>
        <v>-331.55</v>
      </c>
      <c r="BU473" s="12">
        <f>BY473/4</f>
        <v>-82.887500000000003</v>
      </c>
      <c r="BV473" s="12">
        <f>(BY473-BU473)/3</f>
        <v>-82.887500000000003</v>
      </c>
      <c r="BW473" s="12">
        <f>(BY473-BU473-BV473)/2</f>
        <v>-82.887500000000017</v>
      </c>
      <c r="BX473" s="12">
        <f>BY473-SUM(BU473:BW473)</f>
        <v>-82.887499999999989</v>
      </c>
      <c r="BY473" s="147">
        <f>BT473</f>
        <v>-331.55</v>
      </c>
      <c r="BZ473" s="12">
        <f>CD473/4</f>
        <v>-82.887500000000003</v>
      </c>
      <c r="CA473" s="12">
        <f>(CD473-BZ473)/3</f>
        <v>-82.887500000000003</v>
      </c>
      <c r="CB473" s="12">
        <f>(CD473-BZ473-CA473)/2</f>
        <v>-82.887500000000017</v>
      </c>
      <c r="CC473" s="12">
        <f>CD473-SUM(BZ473:CB473)</f>
        <v>-82.887499999999989</v>
      </c>
      <c r="CD473" s="147">
        <f>BY473</f>
        <v>-331.55</v>
      </c>
      <c r="CG473" s="468">
        <v>2013</v>
      </c>
      <c r="CH473" s="115">
        <f t="shared" si="209"/>
        <v>1420</v>
      </c>
      <c r="CI473" s="634">
        <v>1</v>
      </c>
      <c r="CJ473" s="115">
        <v>5431.2903561038693</v>
      </c>
      <c r="CK473" s="342">
        <f t="shared" si="210"/>
        <v>1420</v>
      </c>
      <c r="CL473" s="115">
        <f t="shared" si="211"/>
        <v>-4011.2903561038693</v>
      </c>
    </row>
    <row r="474" spans="1:90">
      <c r="A474" s="4" t="s">
        <v>2154</v>
      </c>
      <c r="B474" s="5"/>
      <c r="C474" s="72"/>
      <c r="D474" s="72"/>
      <c r="E474" s="72"/>
      <c r="F474" s="72"/>
      <c r="G474" s="5">
        <v>-95</v>
      </c>
      <c r="H474" s="93"/>
      <c r="I474" s="93"/>
      <c r="J474" s="93"/>
      <c r="K474" s="93"/>
      <c r="L474" s="5">
        <v>-95</v>
      </c>
      <c r="M474" s="93"/>
      <c r="N474" s="93"/>
      <c r="O474" s="93"/>
      <c r="P474" s="93"/>
      <c r="Q474" s="5">
        <v>-52</v>
      </c>
      <c r="R474" s="93"/>
      <c r="S474" s="93"/>
      <c r="T474" s="93"/>
      <c r="U474" s="93"/>
      <c r="V474" s="5">
        <v>-87</v>
      </c>
      <c r="W474" s="93"/>
      <c r="X474" s="93"/>
      <c r="Y474" s="93"/>
      <c r="Z474" s="93"/>
      <c r="AA474" s="5">
        <v>-96</v>
      </c>
      <c r="AB474" s="93"/>
      <c r="AC474" s="93"/>
      <c r="AD474" s="93"/>
      <c r="AE474" s="93"/>
      <c r="AF474" s="5">
        <v>-168</v>
      </c>
      <c r="AG474" s="93"/>
      <c r="AH474" s="93"/>
      <c r="AI474" s="93"/>
      <c r="AJ474" s="93"/>
      <c r="AK474" s="5">
        <v>-172</v>
      </c>
      <c r="AL474" s="93"/>
      <c r="AM474" s="93"/>
      <c r="AN474" s="93"/>
      <c r="AO474" s="93"/>
      <c r="AP474" s="5">
        <v>-211</v>
      </c>
      <c r="AQ474" s="93"/>
      <c r="AR474" s="93"/>
      <c r="AS474" s="93"/>
      <c r="AT474" s="93"/>
      <c r="AU474" s="5">
        <v>-207</v>
      </c>
      <c r="AV474" s="93"/>
      <c r="AW474" s="93"/>
      <c r="AX474" s="93"/>
      <c r="AY474" s="93"/>
      <c r="AZ474" s="5">
        <v>-255</v>
      </c>
      <c r="BA474" s="93"/>
      <c r="BB474" s="93"/>
      <c r="BC474" s="93"/>
      <c r="BD474" s="93"/>
      <c r="BE474" s="5">
        <v>-322</v>
      </c>
      <c r="BF474" s="93"/>
      <c r="BG474" s="93"/>
      <c r="BH474" s="93"/>
      <c r="BI474" s="93"/>
      <c r="BJ474" s="5">
        <v>-289</v>
      </c>
      <c r="BK474" s="93"/>
      <c r="BL474" s="93"/>
      <c r="BM474" s="93"/>
      <c r="BN474" s="93"/>
      <c r="BO474" s="5">
        <v>-366</v>
      </c>
      <c r="BP474" s="12">
        <f>-BP484*BP498*'Key assumptions'!BP$48/1000</f>
        <v>-70.933020797813057</v>
      </c>
      <c r="BQ474" s="12">
        <f>-BQ484*BQ498*'Key assumptions'!BQ$48/1000</f>
        <v>-70.026325900909015</v>
      </c>
      <c r="BR474" s="12">
        <f>-BR484*BR498*'Key assumptions'!BR$48/1000</f>
        <v>-71.242354310100751</v>
      </c>
      <c r="BS474" s="12">
        <f>-BS484*BS498*'Key assumptions'!BS$48/1000</f>
        <v>-72.009512193584769</v>
      </c>
      <c r="BT474" s="5">
        <f>SUM(BP474:BS474)</f>
        <v>-284.21121320240758</v>
      </c>
      <c r="BU474" s="12">
        <f>-BU484*BU498*'Key assumptions'!BU$48/1000</f>
        <v>-71.028396858126968</v>
      </c>
      <c r="BV474" s="12">
        <f>-BV484*BV498*'Key assumptions'!BV$48/1000</f>
        <v>-70.104768552804003</v>
      </c>
      <c r="BW474" s="12">
        <f>-BW484*BW498*'Key assumptions'!BW$48/1000</f>
        <v>-71.326399292882854</v>
      </c>
      <c r="BX474" s="12">
        <f>-BX484*BX498*'Key assumptions'!BX$48/1000</f>
        <v>-72.101701652860385</v>
      </c>
      <c r="BY474" s="5">
        <f>SUM(BU474:BX474)</f>
        <v>-284.5612663566742</v>
      </c>
      <c r="BZ474" s="12">
        <f>-BZ484*BZ498*'Key assumptions'!BZ$48/1000</f>
        <v>-70.212706154626702</v>
      </c>
      <c r="CA474" s="12">
        <f>-CA484*CA498*'Key assumptions'!CA$48/1000</f>
        <v>-68.536590881529662</v>
      </c>
      <c r="CB474" s="12">
        <f>-CB484*CB498*'Key assumptions'!CB$48/1000</f>
        <v>-69.731315627976429</v>
      </c>
      <c r="CC474" s="12">
        <f>-CC484*CC498*'Key assumptions'!CC$48/1000</f>
        <v>-70.489998081641787</v>
      </c>
      <c r="CD474" s="5">
        <f>SUM(BZ474:CC474)</f>
        <v>-278.97061074577454</v>
      </c>
      <c r="CG474" s="468">
        <v>2014</v>
      </c>
      <c r="CH474" s="115">
        <f t="shared" si="209"/>
        <v>1292</v>
      </c>
      <c r="CI474" s="634">
        <v>1</v>
      </c>
      <c r="CJ474" s="115">
        <v>5050.1268310859559</v>
      </c>
      <c r="CK474" s="342">
        <f t="shared" si="210"/>
        <v>1292</v>
      </c>
      <c r="CL474" s="115">
        <f t="shared" si="211"/>
        <v>-3758.1268310859559</v>
      </c>
    </row>
    <row r="475" spans="1:90">
      <c r="A475" s="4" t="s">
        <v>610</v>
      </c>
      <c r="B475" s="5"/>
      <c r="C475" s="72"/>
      <c r="D475" s="72"/>
      <c r="E475" s="72"/>
      <c r="F475" s="72"/>
      <c r="G475" s="5">
        <v>0</v>
      </c>
      <c r="H475" s="93"/>
      <c r="I475" s="93"/>
      <c r="J475" s="93"/>
      <c r="K475" s="93"/>
      <c r="L475" s="5">
        <v>0</v>
      </c>
      <c r="M475" s="93"/>
      <c r="N475" s="93"/>
      <c r="O475" s="93"/>
      <c r="P475" s="93"/>
      <c r="Q475" s="5">
        <v>0</v>
      </c>
      <c r="R475" s="93"/>
      <c r="S475" s="93"/>
      <c r="T475" s="93"/>
      <c r="U475" s="93"/>
      <c r="V475" s="5">
        <v>0</v>
      </c>
      <c r="W475" s="93"/>
      <c r="X475" s="93"/>
      <c r="Y475" s="93"/>
      <c r="Z475" s="93"/>
      <c r="AA475" s="5">
        <v>0</v>
      </c>
      <c r="AB475" s="93"/>
      <c r="AC475" s="93"/>
      <c r="AD475" s="93"/>
      <c r="AE475" s="93"/>
      <c r="AF475" s="5">
        <v>0</v>
      </c>
      <c r="AG475" s="93"/>
      <c r="AH475" s="93"/>
      <c r="AI475" s="93"/>
      <c r="AJ475" s="93"/>
      <c r="AK475" s="5">
        <v>0</v>
      </c>
      <c r="AL475" s="93"/>
      <c r="AM475" s="93"/>
      <c r="AN475" s="93"/>
      <c r="AO475" s="93"/>
      <c r="AP475" s="5">
        <v>5</v>
      </c>
      <c r="AQ475" s="93"/>
      <c r="AR475" s="93"/>
      <c r="AS475" s="93"/>
      <c r="AT475" s="93"/>
      <c r="AU475" s="5">
        <v>-230</v>
      </c>
      <c r="AV475" s="93"/>
      <c r="AW475" s="93"/>
      <c r="AX475" s="93"/>
      <c r="AY475" s="93"/>
      <c r="AZ475" s="5">
        <v>0</v>
      </c>
      <c r="BA475" s="93"/>
      <c r="BB475" s="93"/>
      <c r="BC475" s="93"/>
      <c r="BD475" s="93"/>
      <c r="BE475" s="5">
        <v>-140</v>
      </c>
      <c r="BF475" s="93"/>
      <c r="BG475" s="93"/>
      <c r="BH475" s="93"/>
      <c r="BI475" s="93"/>
      <c r="BJ475" s="5">
        <v>-63</v>
      </c>
      <c r="BK475" s="93"/>
      <c r="BL475" s="93"/>
      <c r="BM475" s="93"/>
      <c r="BN475" s="93"/>
      <c r="BO475" s="5">
        <v>-13</v>
      </c>
      <c r="BP475" s="12">
        <f>BT475/4</f>
        <v>0</v>
      </c>
      <c r="BQ475" s="12">
        <f>(BT475-BP475)/3</f>
        <v>0</v>
      </c>
      <c r="BR475" s="12">
        <f>(BT475-BP475-BQ475)/2</f>
        <v>0</v>
      </c>
      <c r="BS475" s="12">
        <f>BT475-SUM(BP475:BR475)</f>
        <v>0</v>
      </c>
      <c r="BT475" s="147">
        <v>0</v>
      </c>
      <c r="BU475" s="12">
        <f>BY475/4</f>
        <v>0</v>
      </c>
      <c r="BV475" s="12">
        <f>(BY475-BU475)/3</f>
        <v>0</v>
      </c>
      <c r="BW475" s="12">
        <f>(BY475-BU475-BV475)/2</f>
        <v>0</v>
      </c>
      <c r="BX475" s="12">
        <f>BY475-SUM(BU475:BW475)</f>
        <v>0</v>
      </c>
      <c r="BY475" s="147">
        <v>0</v>
      </c>
      <c r="BZ475" s="12">
        <f>CD475/4</f>
        <v>0</v>
      </c>
      <c r="CA475" s="12">
        <f>(CD475-BZ475)/3</f>
        <v>0</v>
      </c>
      <c r="CB475" s="12">
        <f>(CD475-BZ475-CA475)/2</f>
        <v>0</v>
      </c>
      <c r="CC475" s="12">
        <f>CD475-SUM(BZ475:CB475)</f>
        <v>0</v>
      </c>
      <c r="CD475" s="147">
        <v>0</v>
      </c>
      <c r="CG475" s="468">
        <v>2015</v>
      </c>
      <c r="CH475" s="115">
        <f t="shared" si="209"/>
        <v>891</v>
      </c>
      <c r="CI475" s="634">
        <v>1</v>
      </c>
      <c r="CJ475" s="115">
        <v>4098.2109232700932</v>
      </c>
      <c r="CK475" s="342">
        <f t="shared" si="210"/>
        <v>891</v>
      </c>
      <c r="CL475" s="115">
        <f t="shared" si="211"/>
        <v>-3207.2109232700932</v>
      </c>
    </row>
    <row r="476" spans="1:90">
      <c r="A476" s="7" t="s">
        <v>2160</v>
      </c>
      <c r="B476" s="8"/>
      <c r="C476" s="73">
        <f>C468+SUM(C470:C475)</f>
        <v>0</v>
      </c>
      <c r="D476" s="73">
        <f>D468+SUM(D470:D475)</f>
        <v>0</v>
      </c>
      <c r="E476" s="73">
        <f>E468+SUM(E470:E475)</f>
        <v>0</v>
      </c>
      <c r="F476" s="73">
        <f>F468+SUM(F470:F475)</f>
        <v>0</v>
      </c>
      <c r="G476" s="8">
        <f>G468+SUM(G470:G475)</f>
        <v>840.3366666666667</v>
      </c>
      <c r="H476" s="93"/>
      <c r="I476" s="93"/>
      <c r="J476" s="93"/>
      <c r="K476" s="93"/>
      <c r="L476" s="8">
        <f>L468+SUM(L470:L475)</f>
        <v>975</v>
      </c>
      <c r="M476" s="93"/>
      <c r="N476" s="93"/>
      <c r="O476" s="93"/>
      <c r="P476" s="93"/>
      <c r="Q476" s="8">
        <f>Q468+SUM(Q470:Q475)</f>
        <v>952</v>
      </c>
      <c r="R476" s="93"/>
      <c r="S476" s="93"/>
      <c r="T476" s="93"/>
      <c r="U476" s="93"/>
      <c r="V476" s="8">
        <f>V468+SUM(V470:V475)</f>
        <v>1520</v>
      </c>
      <c r="W476" s="93"/>
      <c r="X476" s="93"/>
      <c r="Y476" s="93"/>
      <c r="Z476" s="93"/>
      <c r="AA476" s="8">
        <f>AA468+SUM(AA470:AA475)</f>
        <v>1073</v>
      </c>
      <c r="AB476" s="93"/>
      <c r="AC476" s="93"/>
      <c r="AD476" s="93"/>
      <c r="AE476" s="93"/>
      <c r="AF476" s="8">
        <f>AF468+SUM(AF470:AF475)</f>
        <v>1714</v>
      </c>
      <c r="AG476" s="93"/>
      <c r="AH476" s="93"/>
      <c r="AI476" s="93"/>
      <c r="AJ476" s="93"/>
      <c r="AK476" s="8">
        <f>AK468+SUM(AK470:AK475)</f>
        <v>1738</v>
      </c>
      <c r="AL476" s="93"/>
      <c r="AM476" s="93"/>
      <c r="AN476" s="93"/>
      <c r="AO476" s="93"/>
      <c r="AP476" s="8">
        <f>AP468+SUM(AP470:AP475)</f>
        <v>1730</v>
      </c>
      <c r="AQ476" s="93"/>
      <c r="AR476" s="93"/>
      <c r="AS476" s="93"/>
      <c r="AT476" s="93"/>
      <c r="AU476" s="8">
        <f>AU468+SUM(AU470:AU475)</f>
        <v>1577</v>
      </c>
      <c r="AV476" s="93"/>
      <c r="AW476" s="93"/>
      <c r="AX476" s="93"/>
      <c r="AY476" s="93"/>
      <c r="AZ476" s="8">
        <f>AZ468+SUM(AZ470:AZ475)</f>
        <v>1576</v>
      </c>
      <c r="BA476" s="93"/>
      <c r="BB476" s="93"/>
      <c r="BC476" s="93"/>
      <c r="BD476" s="93"/>
      <c r="BE476" s="8">
        <f t="shared" ref="BE476:BJ476" si="213">BE468+SUM(BE470:BE475)</f>
        <v>849</v>
      </c>
      <c r="BF476" s="93"/>
      <c r="BG476" s="93"/>
      <c r="BH476" s="93"/>
      <c r="BI476" s="93"/>
      <c r="BJ476" s="8">
        <f t="shared" si="213"/>
        <v>562</v>
      </c>
      <c r="BK476" s="93"/>
      <c r="BL476" s="93"/>
      <c r="BM476" s="93"/>
      <c r="BN476" s="93"/>
      <c r="BO476" s="8">
        <f t="shared" ref="BO476:CD476" si="214">BO468+SUM(BO470:BO475)</f>
        <v>496</v>
      </c>
      <c r="BP476" s="66">
        <f t="shared" si="214"/>
        <v>199.29441817642129</v>
      </c>
      <c r="BQ476" s="66">
        <f t="shared" si="214"/>
        <v>223.51306785791201</v>
      </c>
      <c r="BR476" s="66">
        <f t="shared" si="214"/>
        <v>235.34165368048906</v>
      </c>
      <c r="BS476" s="66">
        <f t="shared" si="214"/>
        <v>234.86065469722143</v>
      </c>
      <c r="BT476" s="8">
        <f t="shared" si="214"/>
        <v>893.00979441204345</v>
      </c>
      <c r="BU476" s="66">
        <f t="shared" si="214"/>
        <v>212.77237651392366</v>
      </c>
      <c r="BV476" s="66">
        <f t="shared" si="214"/>
        <v>205.5599773732082</v>
      </c>
      <c r="BW476" s="66">
        <f t="shared" si="214"/>
        <v>206.76325065719368</v>
      </c>
      <c r="BX476" s="66">
        <f t="shared" si="214"/>
        <v>209.19221819691936</v>
      </c>
      <c r="BY476" s="8">
        <f t="shared" si="214"/>
        <v>834.28782274124478</v>
      </c>
      <c r="BZ476" s="66">
        <f t="shared" si="214"/>
        <v>194.17426612231299</v>
      </c>
      <c r="CA476" s="66">
        <f t="shared" si="214"/>
        <v>194.60325362601637</v>
      </c>
      <c r="CB476" s="66">
        <f t="shared" si="214"/>
        <v>200.90230816077167</v>
      </c>
      <c r="CC476" s="66">
        <f t="shared" si="214"/>
        <v>205.13807220687681</v>
      </c>
      <c r="CD476" s="8">
        <f t="shared" si="214"/>
        <v>794.81790011597786</v>
      </c>
      <c r="CG476" s="468">
        <v>2016</v>
      </c>
      <c r="CH476" s="115">
        <f t="shared" si="209"/>
        <v>715</v>
      </c>
      <c r="CI476" s="634">
        <v>1</v>
      </c>
      <c r="CJ476" s="115">
        <v>3299.6078972944151</v>
      </c>
      <c r="CK476" s="342">
        <f t="shared" si="210"/>
        <v>715</v>
      </c>
      <c r="CL476" s="115">
        <f t="shared" si="211"/>
        <v>-2584.6078972944151</v>
      </c>
    </row>
    <row r="477" spans="1:90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  <c r="AA477" s="11"/>
      <c r="AB477" s="11"/>
      <c r="AC477" s="11"/>
      <c r="AD477" s="11"/>
      <c r="AE477" s="11"/>
      <c r="AF477" s="11"/>
      <c r="AG477" s="11"/>
      <c r="AH477" s="11"/>
      <c r="AI477" s="11"/>
      <c r="AJ477" s="11"/>
      <c r="AK477" s="11"/>
      <c r="AL477" s="12"/>
      <c r="AM477" s="12"/>
      <c r="AN477" s="12"/>
      <c r="AO477" s="12"/>
      <c r="AP477" s="11"/>
      <c r="AQ477" s="12"/>
      <c r="AR477" s="12"/>
      <c r="AS477" s="12"/>
      <c r="AT477" s="12"/>
      <c r="AU477" s="11"/>
      <c r="AV477" s="12"/>
      <c r="AW477" s="12"/>
      <c r="AX477" s="12"/>
      <c r="AY477" s="12"/>
      <c r="AZ477" s="11"/>
      <c r="BA477" s="12"/>
      <c r="BB477" s="12"/>
      <c r="BC477" s="12"/>
      <c r="BD477" s="12"/>
      <c r="BE477" s="11"/>
      <c r="BF477" s="12"/>
      <c r="BG477" s="12"/>
      <c r="BH477" s="12"/>
      <c r="BI477" s="12"/>
      <c r="BJ477" s="11"/>
      <c r="BK477" s="12"/>
      <c r="BL477" s="12"/>
      <c r="BM477" s="12"/>
      <c r="BN477" s="12"/>
      <c r="BO477" s="11"/>
      <c r="BP477" s="11"/>
      <c r="BQ477" s="11"/>
      <c r="BR477" s="11"/>
      <c r="BS477" s="11"/>
      <c r="BT477" s="11"/>
      <c r="BU477" s="11"/>
      <c r="BV477" s="11"/>
      <c r="BW477" s="11"/>
      <c r="BX477" s="11"/>
      <c r="BY477" s="11"/>
      <c r="BZ477" s="11"/>
      <c r="CA477" s="11"/>
      <c r="CB477" s="11"/>
      <c r="CC477" s="11"/>
      <c r="CD477" s="11"/>
      <c r="CG477" s="468">
        <v>2017</v>
      </c>
      <c r="CH477" s="115">
        <f t="shared" si="209"/>
        <v>746</v>
      </c>
      <c r="CI477" s="634">
        <v>1</v>
      </c>
      <c r="CJ477" s="115">
        <v>4038.437246693381</v>
      </c>
      <c r="CK477" s="342">
        <f t="shared" si="210"/>
        <v>746</v>
      </c>
      <c r="CL477" s="115">
        <f t="shared" si="211"/>
        <v>-3292.437246693381</v>
      </c>
    </row>
    <row r="478" spans="1:90">
      <c r="A478" s="4" t="s">
        <v>2152</v>
      </c>
      <c r="B478" s="5"/>
      <c r="C478" s="72"/>
      <c r="D478" s="72"/>
      <c r="E478" s="72"/>
      <c r="F478" s="72"/>
      <c r="G478" s="5">
        <v>-254</v>
      </c>
      <c r="H478" s="93"/>
      <c r="I478" s="93"/>
      <c r="J478" s="93"/>
      <c r="K478" s="93"/>
      <c r="L478" s="5">
        <v>-272</v>
      </c>
      <c r="M478" s="93"/>
      <c r="N478" s="93"/>
      <c r="O478" s="93"/>
      <c r="P478" s="93"/>
      <c r="Q478" s="5">
        <v>-267</v>
      </c>
      <c r="R478" s="93"/>
      <c r="S478" s="93"/>
      <c r="T478" s="93"/>
      <c r="U478" s="93"/>
      <c r="V478" s="5">
        <v>-513</v>
      </c>
      <c r="W478" s="93"/>
      <c r="X478" s="93"/>
      <c r="Y478" s="93"/>
      <c r="Z478" s="93"/>
      <c r="AA478" s="5">
        <v>-2</v>
      </c>
      <c r="AB478" s="93"/>
      <c r="AC478" s="93"/>
      <c r="AD478" s="93"/>
      <c r="AE478" s="93"/>
      <c r="AF478" s="5">
        <v>-410</v>
      </c>
      <c r="AG478" s="93"/>
      <c r="AH478" s="93"/>
      <c r="AI478" s="93"/>
      <c r="AJ478" s="93"/>
      <c r="AK478" s="5">
        <v>-677</v>
      </c>
      <c r="AL478" s="93"/>
      <c r="AM478" s="93"/>
      <c r="AN478" s="93"/>
      <c r="AO478" s="93"/>
      <c r="AP478" s="5">
        <v>-755</v>
      </c>
      <c r="AQ478" s="93"/>
      <c r="AR478" s="93"/>
      <c r="AS478" s="93"/>
      <c r="AT478" s="93"/>
      <c r="AU478" s="5">
        <v>-641</v>
      </c>
      <c r="AV478" s="93"/>
      <c r="AW478" s="93"/>
      <c r="AX478" s="93"/>
      <c r="AY478" s="93"/>
      <c r="AZ478" s="5">
        <v>-599</v>
      </c>
      <c r="BA478" s="93"/>
      <c r="BB478" s="93"/>
      <c r="BC478" s="93"/>
      <c r="BD478" s="93"/>
      <c r="BE478" s="5">
        <v>-472</v>
      </c>
      <c r="BF478" s="93"/>
      <c r="BG478" s="93"/>
      <c r="BH478" s="93"/>
      <c r="BI478" s="93"/>
      <c r="BJ478" s="5">
        <v>-288</v>
      </c>
      <c r="BK478" s="93"/>
      <c r="BL478" s="93"/>
      <c r="BM478" s="93"/>
      <c r="BN478" s="93"/>
      <c r="BO478" s="5">
        <v>-146</v>
      </c>
      <c r="BP478" s="12">
        <f>-BP476*BP512</f>
        <v>-65.282116782621216</v>
      </c>
      <c r="BQ478" s="12">
        <f>-BQ476*BQ512</f>
        <v>-73.215328014984394</v>
      </c>
      <c r="BR478" s="12">
        <f>-BR476*BR512</f>
        <v>-77.089973015624423</v>
      </c>
      <c r="BS478" s="12">
        <f>-BS476*BS512</f>
        <v>-76.932414002756317</v>
      </c>
      <c r="BT478" s="5">
        <f>SUM(BP478:BS478)</f>
        <v>-292.51983181598638</v>
      </c>
      <c r="BU478" s="12">
        <f>-BU476*BU512</f>
        <v>-69.009077701635803</v>
      </c>
      <c r="BV478" s="12">
        <f>-BV476*BV512</f>
        <v>-66.669859515179752</v>
      </c>
      <c r="BW478" s="12">
        <f>-BW476*BW512</f>
        <v>-67.060120605041774</v>
      </c>
      <c r="BX478" s="12">
        <f>-BX476*BX512</f>
        <v>-67.847914643111906</v>
      </c>
      <c r="BY478" s="5">
        <f>SUM(BU478:BX478)</f>
        <v>-270.58697246496922</v>
      </c>
      <c r="BZ478" s="12">
        <f>-BZ476*BZ512</f>
        <v>-62.502970995536096</v>
      </c>
      <c r="CA478" s="12">
        <f>-CA476*CA512</f>
        <v>-62.641058261356015</v>
      </c>
      <c r="CB478" s="12">
        <f>-CB476*CB512</f>
        <v>-64.66866794799239</v>
      </c>
      <c r="CC478" s="12">
        <f>-CC476*CC512</f>
        <v>-66.032122758996422</v>
      </c>
      <c r="CD478" s="5">
        <f>SUM(BZ478:CC478)</f>
        <v>-255.84481996388092</v>
      </c>
      <c r="CG478" s="468">
        <v>2018</v>
      </c>
      <c r="CH478" s="115">
        <f t="shared" si="209"/>
        <v>906.76250913179786</v>
      </c>
      <c r="CI478" s="634">
        <v>1</v>
      </c>
      <c r="CJ478" s="115">
        <v>4571.0852533119923</v>
      </c>
      <c r="CK478" s="342">
        <f t="shared" si="210"/>
        <v>906.76250913179786</v>
      </c>
      <c r="CL478" s="115">
        <f t="shared" si="211"/>
        <v>-3664.3227441801946</v>
      </c>
    </row>
    <row r="479" spans="1:90">
      <c r="A479" s="14" t="s">
        <v>2153</v>
      </c>
      <c r="B479" s="15"/>
      <c r="C479" s="74">
        <f>SUM(C476,C478)</f>
        <v>0</v>
      </c>
      <c r="D479" s="74">
        <f>SUM(D476,D478)</f>
        <v>0</v>
      </c>
      <c r="E479" s="74">
        <f>SUM(E476,E478)</f>
        <v>0</v>
      </c>
      <c r="F479" s="74">
        <f>SUM(F476,F478)</f>
        <v>0</v>
      </c>
      <c r="G479" s="15">
        <f>SUM(G476,G478)</f>
        <v>586.3366666666667</v>
      </c>
      <c r="H479" s="378"/>
      <c r="I479" s="378"/>
      <c r="J479" s="378"/>
      <c r="K479" s="378"/>
      <c r="L479" s="15">
        <f>SUM(L476,L478)</f>
        <v>703</v>
      </c>
      <c r="M479" s="378"/>
      <c r="N479" s="378"/>
      <c r="O479" s="378"/>
      <c r="P479" s="378"/>
      <c r="Q479" s="15">
        <f>SUM(Q476,Q478)</f>
        <v>685</v>
      </c>
      <c r="R479" s="378"/>
      <c r="S479" s="378"/>
      <c r="T479" s="378"/>
      <c r="U479" s="378"/>
      <c r="V479" s="15">
        <f>SUM(V476,V478)</f>
        <v>1007</v>
      </c>
      <c r="W479" s="378"/>
      <c r="X479" s="378"/>
      <c r="Y479" s="378"/>
      <c r="Z479" s="378"/>
      <c r="AA479" s="15">
        <f>SUM(AA476,AA478)</f>
        <v>1071</v>
      </c>
      <c r="AB479" s="378"/>
      <c r="AC479" s="378"/>
      <c r="AD479" s="378"/>
      <c r="AE479" s="378"/>
      <c r="AF479" s="15">
        <f>SUM(AF476,AF478)</f>
        <v>1304</v>
      </c>
      <c r="AG479" s="378"/>
      <c r="AH479" s="378"/>
      <c r="AI479" s="378"/>
      <c r="AJ479" s="378"/>
      <c r="AK479" s="15">
        <f>SUM(AK476,AK478)</f>
        <v>1061</v>
      </c>
      <c r="AL479" s="378"/>
      <c r="AM479" s="378"/>
      <c r="AN479" s="378"/>
      <c r="AO479" s="378"/>
      <c r="AP479" s="15">
        <f>SUM(AP476,AP478)</f>
        <v>975</v>
      </c>
      <c r="AQ479" s="378"/>
      <c r="AR479" s="378"/>
      <c r="AS479" s="378"/>
      <c r="AT479" s="378"/>
      <c r="AU479" s="15">
        <f>SUM(AU476,AU478)</f>
        <v>936</v>
      </c>
      <c r="AV479" s="378"/>
      <c r="AW479" s="378"/>
      <c r="AX479" s="378"/>
      <c r="AY479" s="378"/>
      <c r="AZ479" s="15">
        <f>SUM(AZ476,AZ478)</f>
        <v>977</v>
      </c>
      <c r="BA479" s="378"/>
      <c r="BB479" s="378"/>
      <c r="BC479" s="378"/>
      <c r="BD479" s="378"/>
      <c r="BE479" s="15">
        <f t="shared" ref="BE479:BJ479" si="215">SUM(BE476,BE478)</f>
        <v>377</v>
      </c>
      <c r="BF479" s="378"/>
      <c r="BG479" s="378"/>
      <c r="BH479" s="378"/>
      <c r="BI479" s="378"/>
      <c r="BJ479" s="15">
        <f t="shared" si="215"/>
        <v>274</v>
      </c>
      <c r="BK479" s="378"/>
      <c r="BL479" s="378"/>
      <c r="BM479" s="378"/>
      <c r="BN479" s="378"/>
      <c r="BO479" s="15">
        <f t="shared" ref="BO479:CD479" si="216">SUM(BO476,BO478)</f>
        <v>350</v>
      </c>
      <c r="BP479" s="67">
        <f t="shared" si="216"/>
        <v>134.01230139380007</v>
      </c>
      <c r="BQ479" s="67">
        <f t="shared" si="216"/>
        <v>150.29773984292763</v>
      </c>
      <c r="BR479" s="67">
        <f t="shared" si="216"/>
        <v>158.25168066486464</v>
      </c>
      <c r="BS479" s="67">
        <f t="shared" si="216"/>
        <v>157.9282406944651</v>
      </c>
      <c r="BT479" s="15">
        <f t="shared" si="216"/>
        <v>600.48996259605701</v>
      </c>
      <c r="BU479" s="67">
        <f t="shared" si="216"/>
        <v>143.76329881228787</v>
      </c>
      <c r="BV479" s="67">
        <f t="shared" si="216"/>
        <v>138.89011785802845</v>
      </c>
      <c r="BW479" s="67">
        <f t="shared" si="216"/>
        <v>139.70313005215189</v>
      </c>
      <c r="BX479" s="67">
        <f t="shared" si="216"/>
        <v>141.34430355380744</v>
      </c>
      <c r="BY479" s="15">
        <f t="shared" si="216"/>
        <v>563.70085027627556</v>
      </c>
      <c r="BZ479" s="67">
        <f t="shared" si="216"/>
        <v>131.6712951267769</v>
      </c>
      <c r="CA479" s="67">
        <f t="shared" si="216"/>
        <v>131.96219536466035</v>
      </c>
      <c r="CB479" s="67">
        <f t="shared" si="216"/>
        <v>136.23364021277928</v>
      </c>
      <c r="CC479" s="67">
        <f t="shared" si="216"/>
        <v>139.10594944788039</v>
      </c>
      <c r="CD479" s="15">
        <f t="shared" si="216"/>
        <v>538.97308015209694</v>
      </c>
      <c r="CG479" s="468">
        <v>2019</v>
      </c>
      <c r="CH479" s="115">
        <f t="shared" si="209"/>
        <v>866.34944996628315</v>
      </c>
      <c r="CI479" s="634">
        <v>1</v>
      </c>
      <c r="CJ479" s="115">
        <v>4964.2175156792127</v>
      </c>
      <c r="CK479" s="342">
        <f t="shared" si="210"/>
        <v>866.34944996628315</v>
      </c>
      <c r="CL479" s="115">
        <f t="shared" si="211"/>
        <v>-4097.8680657129298</v>
      </c>
    </row>
    <row r="480" spans="1:90">
      <c r="A480" s="5"/>
      <c r="B480" s="5"/>
      <c r="C480" s="5"/>
      <c r="D480" s="5"/>
      <c r="E480" s="5"/>
      <c r="F480" s="5"/>
      <c r="G480" s="5"/>
      <c r="H480" s="76"/>
      <c r="I480" s="76"/>
      <c r="J480" s="76"/>
      <c r="K480" s="76"/>
      <c r="L480" s="5"/>
      <c r="M480" s="76"/>
      <c r="N480" s="76"/>
      <c r="O480" s="76"/>
      <c r="P480" s="76"/>
      <c r="Q480" s="5"/>
      <c r="R480" s="76"/>
      <c r="S480" s="76"/>
      <c r="T480" s="76"/>
      <c r="U480" s="76"/>
      <c r="V480" s="5"/>
      <c r="W480" s="76"/>
      <c r="X480" s="76"/>
      <c r="Y480" s="76"/>
      <c r="Z480" s="76"/>
      <c r="AA480" s="5"/>
      <c r="AB480" s="76"/>
      <c r="AC480" s="76"/>
      <c r="AD480" s="76"/>
      <c r="AE480" s="76"/>
      <c r="AF480" s="5"/>
      <c r="AG480" s="76"/>
      <c r="AH480" s="76"/>
      <c r="AI480" s="76"/>
      <c r="AJ480" s="76"/>
      <c r="AK480" s="5"/>
      <c r="AL480" s="76"/>
      <c r="AM480" s="76"/>
      <c r="AN480" s="76"/>
      <c r="AO480" s="76"/>
      <c r="AP480" s="5"/>
      <c r="AQ480" s="76"/>
      <c r="AR480" s="76"/>
      <c r="AS480" s="76"/>
      <c r="AT480" s="76"/>
      <c r="AU480" s="5"/>
      <c r="AV480" s="76"/>
      <c r="AW480" s="76"/>
      <c r="AX480" s="76"/>
      <c r="AY480" s="76"/>
      <c r="AZ480" s="5"/>
      <c r="BA480" s="76"/>
      <c r="BB480" s="76"/>
      <c r="BC480" s="76"/>
      <c r="BD480" s="76"/>
      <c r="BE480" s="5"/>
      <c r="BF480" s="76"/>
      <c r="BG480" s="76"/>
      <c r="BH480" s="76"/>
      <c r="BI480" s="76"/>
      <c r="BJ480" s="5"/>
      <c r="BK480" s="76"/>
      <c r="BL480" s="76"/>
      <c r="BM480" s="76"/>
      <c r="BN480" s="76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G480" s="468">
        <v>2020</v>
      </c>
      <c r="CH480" s="115">
        <f t="shared" si="209"/>
        <v>829.59169089787144</v>
      </c>
      <c r="CI480" s="634">
        <v>1</v>
      </c>
      <c r="CJ480" s="115">
        <v>5460.8139949112092</v>
      </c>
      <c r="CK480" s="342">
        <f t="shared" si="210"/>
        <v>829.59169089787144</v>
      </c>
      <c r="CL480" s="115">
        <f t="shared" si="211"/>
        <v>-4631.2223040133376</v>
      </c>
    </row>
    <row r="481" spans="1:83" hidden="1" outlineLevel="1">
      <c r="A481" s="39" t="s">
        <v>196</v>
      </c>
      <c r="B481" s="11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12"/>
      <c r="BQ481" s="12"/>
      <c r="BR481" s="12"/>
      <c r="BS481" s="12"/>
      <c r="BT481" s="5"/>
      <c r="BU481" s="12"/>
      <c r="BV481" s="12"/>
      <c r="BW481" s="12"/>
      <c r="BX481" s="12"/>
      <c r="BY481" s="5"/>
      <c r="BZ481" s="12"/>
      <c r="CA481" s="12"/>
      <c r="CB481" s="12"/>
      <c r="CC481" s="12"/>
      <c r="CD481" s="5"/>
    </row>
    <row r="482" spans="1:83" hidden="1" outlineLevel="1">
      <c r="A482" s="11"/>
      <c r="B482" s="11" t="s">
        <v>932</v>
      </c>
      <c r="C482" s="5">
        <f>'Production - Oil'!C54</f>
        <v>40</v>
      </c>
      <c r="D482" s="5">
        <f>'Production - Oil'!D54</f>
        <v>43</v>
      </c>
      <c r="E482" s="5">
        <f>'Production - Oil'!E54</f>
        <v>40</v>
      </c>
      <c r="F482" s="5">
        <f>'Production - Oil'!F54</f>
        <v>36</v>
      </c>
      <c r="G482" s="5">
        <f>'Production - Oil'!G54</f>
        <v>36</v>
      </c>
      <c r="H482" s="93"/>
      <c r="I482" s="93"/>
      <c r="J482" s="93"/>
      <c r="K482" s="93"/>
      <c r="L482" s="5">
        <f>'Production - Oil'!L54</f>
        <v>34</v>
      </c>
      <c r="M482" s="93"/>
      <c r="N482" s="93"/>
      <c r="O482" s="93"/>
      <c r="P482" s="93"/>
      <c r="Q482" s="5">
        <f>'Production - Oil'!Q54</f>
        <v>34</v>
      </c>
      <c r="R482" s="93"/>
      <c r="S482" s="93"/>
      <c r="T482" s="93"/>
      <c r="U482" s="93"/>
      <c r="V482" s="5">
        <f>'Production - Oil'!V54</f>
        <v>29</v>
      </c>
      <c r="W482" s="93"/>
      <c r="X482" s="93"/>
      <c r="Y482" s="93"/>
      <c r="Z482" s="93"/>
      <c r="AA482" s="5">
        <f>'Production - Oil'!AA54</f>
        <v>31</v>
      </c>
      <c r="AB482" s="93"/>
      <c r="AC482" s="93"/>
      <c r="AD482" s="93"/>
      <c r="AE482" s="93"/>
      <c r="AF482" s="5">
        <f>'Production - Oil'!AF54</f>
        <v>32</v>
      </c>
      <c r="AG482" s="93"/>
      <c r="AH482" s="93"/>
      <c r="AI482" s="93"/>
      <c r="AJ482" s="93"/>
      <c r="AK482" s="5">
        <f>'Production - Oil'!AK54</f>
        <v>25</v>
      </c>
      <c r="AL482" s="93"/>
      <c r="AM482" s="93"/>
      <c r="AN482" s="93"/>
      <c r="AO482" s="93"/>
      <c r="AP482" s="5">
        <f>'Production - Oil'!AP54</f>
        <v>27</v>
      </c>
      <c r="AQ482" s="93"/>
      <c r="AR482" s="93"/>
      <c r="AS482" s="93"/>
      <c r="AT482" s="93"/>
      <c r="AU482" s="5">
        <f>'Production - Oil'!AU54</f>
        <v>25</v>
      </c>
      <c r="AV482" s="93"/>
      <c r="AW482" s="93"/>
      <c r="AX482" s="93"/>
      <c r="AY482" s="93"/>
      <c r="AZ482" s="5">
        <f>'Production - Oil'!AZ54</f>
        <v>22</v>
      </c>
      <c r="BA482" s="93"/>
      <c r="BB482" s="93"/>
      <c r="BC482" s="93"/>
      <c r="BD482" s="93"/>
      <c r="BE482" s="5">
        <f>'Production - Oil'!BE54</f>
        <v>20</v>
      </c>
      <c r="BF482" s="93"/>
      <c r="BG482" s="93"/>
      <c r="BH482" s="93"/>
      <c r="BI482" s="93"/>
      <c r="BJ482" s="5">
        <f>'Production - Oil'!BJ54</f>
        <v>19</v>
      </c>
      <c r="BK482" s="93"/>
      <c r="BL482" s="93"/>
      <c r="BM482" s="93"/>
      <c r="BN482" s="93"/>
      <c r="BO482" s="5">
        <f>'Production - Oil'!BO54</f>
        <v>19</v>
      </c>
      <c r="BP482" s="12">
        <f>'Production - Oil'!BP54</f>
        <v>21.04</v>
      </c>
      <c r="BQ482" s="12">
        <f>'Production - Oil'!BQ54</f>
        <v>21.04</v>
      </c>
      <c r="BR482" s="12">
        <f>'Production - Oil'!BR54</f>
        <v>21.04</v>
      </c>
      <c r="BS482" s="12">
        <f>'Production - Oil'!BS54</f>
        <v>21.04</v>
      </c>
      <c r="BT482" s="5">
        <f>'Production - Oil'!BT54</f>
        <v>21.04</v>
      </c>
      <c r="BU482" s="12">
        <f>'Production - Oil'!BU54</f>
        <v>19.57</v>
      </c>
      <c r="BV482" s="12">
        <f>'Production - Oil'!BV54</f>
        <v>19.57</v>
      </c>
      <c r="BW482" s="12">
        <f>'Production - Oil'!BW54</f>
        <v>19.57</v>
      </c>
      <c r="BX482" s="12">
        <f>'Production - Oil'!BX54</f>
        <v>19.57</v>
      </c>
      <c r="BY482" s="5">
        <f>'Production - Oil'!BY54</f>
        <v>19.57</v>
      </c>
      <c r="BZ482" s="12">
        <f>'Production - Oil'!BZ54</f>
        <v>18.940000000000001</v>
      </c>
      <c r="CA482" s="12">
        <f>'Production - Oil'!CA54</f>
        <v>18.940000000000001</v>
      </c>
      <c r="CB482" s="12">
        <f>'Production - Oil'!CB54</f>
        <v>18.940000000000001</v>
      </c>
      <c r="CC482" s="12">
        <f>'Production - Oil'!CC54</f>
        <v>18.940000000000001</v>
      </c>
      <c r="CD482" s="5">
        <f>'Production - Oil'!CD54</f>
        <v>18.940000000000001</v>
      </c>
    </row>
    <row r="483" spans="1:83" hidden="1" outlineLevel="1">
      <c r="A483" s="11"/>
      <c r="B483" s="11" t="s">
        <v>933</v>
      </c>
      <c r="C483" s="5">
        <f>'Production - Gas'!C54</f>
        <v>237</v>
      </c>
      <c r="D483" s="5">
        <f>'Production - Gas'!D54</f>
        <v>295</v>
      </c>
      <c r="E483" s="5">
        <f>'Production - Gas'!E54</f>
        <v>285</v>
      </c>
      <c r="F483" s="5">
        <f>'Production - Gas'!F54</f>
        <v>308</v>
      </c>
      <c r="G483" s="5">
        <f>'Production - Gas'!G54</f>
        <v>367</v>
      </c>
      <c r="H483" s="93"/>
      <c r="I483" s="93"/>
      <c r="J483" s="93"/>
      <c r="K483" s="93"/>
      <c r="L483" s="5">
        <f>'Production - Gas'!L54</f>
        <v>364</v>
      </c>
      <c r="M483" s="93"/>
      <c r="N483" s="93"/>
      <c r="O483" s="93"/>
      <c r="P483" s="93"/>
      <c r="Q483" s="5">
        <f>'Production - Gas'!Q54</f>
        <v>376</v>
      </c>
      <c r="R483" s="93"/>
      <c r="S483" s="93"/>
      <c r="T483" s="93"/>
      <c r="U483" s="93"/>
      <c r="V483" s="5">
        <f>'Production - Gas'!V54</f>
        <v>381</v>
      </c>
      <c r="W483" s="93"/>
      <c r="X483" s="93"/>
      <c r="Y483" s="93"/>
      <c r="Z483" s="93"/>
      <c r="AA483" s="5">
        <f>'Production - Gas'!AA54</f>
        <v>514</v>
      </c>
      <c r="AB483" s="93"/>
      <c r="AC483" s="93"/>
      <c r="AD483" s="93"/>
      <c r="AE483" s="93"/>
      <c r="AF483" s="5">
        <f>'Production - Gas'!AF54</f>
        <v>785</v>
      </c>
      <c r="AG483" s="93"/>
      <c r="AH483" s="93"/>
      <c r="AI483" s="93"/>
      <c r="AJ483" s="93"/>
      <c r="AK483" s="5">
        <f>'Production - Gas'!AK54</f>
        <v>795</v>
      </c>
      <c r="AL483" s="93"/>
      <c r="AM483" s="93"/>
      <c r="AN483" s="93"/>
      <c r="AO483" s="93"/>
      <c r="AP483" s="5">
        <f>'Production - Gas'!AP54</f>
        <v>787</v>
      </c>
      <c r="AQ483" s="93"/>
      <c r="AR483" s="93"/>
      <c r="AS483" s="93"/>
      <c r="AT483" s="93"/>
      <c r="AU483" s="5">
        <f>'Production - Gas'!AU54</f>
        <v>780</v>
      </c>
      <c r="AV483" s="93"/>
      <c r="AW483" s="93"/>
      <c r="AX483" s="93"/>
      <c r="AY483" s="93"/>
      <c r="AZ483" s="5">
        <f>'Production - Gas'!AZ54</f>
        <v>814</v>
      </c>
      <c r="BA483" s="93"/>
      <c r="BB483" s="93"/>
      <c r="BC483" s="93"/>
      <c r="BD483" s="93"/>
      <c r="BE483" s="5">
        <f>'Production - Gas'!BE54</f>
        <v>801</v>
      </c>
      <c r="BF483" s="93"/>
      <c r="BG483" s="93"/>
      <c r="BH483" s="93"/>
      <c r="BI483" s="93"/>
      <c r="BJ483" s="5">
        <f>'Production - Gas'!BJ54</f>
        <v>820</v>
      </c>
      <c r="BK483" s="93"/>
      <c r="BL483" s="93"/>
      <c r="BM483" s="93"/>
      <c r="BN483" s="93"/>
      <c r="BO483" s="5">
        <f>'Production - Gas'!BO54</f>
        <v>783</v>
      </c>
      <c r="BP483" s="12">
        <f>'Production - Gas'!BP54</f>
        <v>803.74863697753335</v>
      </c>
      <c r="BQ483" s="12">
        <f>'Production - Gas'!BQ54</f>
        <v>781.87155719796624</v>
      </c>
      <c r="BR483" s="12">
        <f>'Production - Gas'!BR54</f>
        <v>787.57246344843566</v>
      </c>
      <c r="BS483" s="12">
        <f>'Production - Gas'!BS54</f>
        <v>797.36734237606515</v>
      </c>
      <c r="BT483" s="5">
        <f>'Production - Gas'!BT54</f>
        <v>792.6400000000001</v>
      </c>
      <c r="BU483" s="12">
        <f>'Production - Gas'!BU54</f>
        <v>803.44456111151248</v>
      </c>
      <c r="BV483" s="12">
        <f>'Production - Gas'!BV54</f>
        <v>781.57550824346367</v>
      </c>
      <c r="BW483" s="12">
        <f>'Production - Gas'!BW54</f>
        <v>787.2743227764596</v>
      </c>
      <c r="BX483" s="12">
        <f>'Production - Gas'!BX54</f>
        <v>797.06560786856448</v>
      </c>
      <c r="BY483" s="5">
        <f>'Production - Gas'!BY54</f>
        <v>792.34000000000015</v>
      </c>
      <c r="BZ483" s="12">
        <f>'Production - Gas'!BZ54</f>
        <v>776.96968904330015</v>
      </c>
      <c r="CA483" s="12">
        <f>'Production - Gas'!CA54</f>
        <v>755.79951260478299</v>
      </c>
      <c r="CB483" s="12">
        <f>'Production - Gas'!CB54</f>
        <v>761.31620826974131</v>
      </c>
      <c r="CC483" s="12">
        <f>'Production - Gas'!CC54</f>
        <v>770.79459008217577</v>
      </c>
      <c r="CD483" s="5">
        <f>'Production - Gas'!CD54</f>
        <v>766.22</v>
      </c>
    </row>
    <row r="484" spans="1:83" hidden="1" outlineLevel="1">
      <c r="A484" s="11"/>
      <c r="B484" s="39" t="s">
        <v>896</v>
      </c>
      <c r="C484" s="8">
        <f>C482+C483/5.8</f>
        <v>80.862068965517238</v>
      </c>
      <c r="D484" s="8">
        <f>D482+D483/5.8</f>
        <v>93.862068965517238</v>
      </c>
      <c r="E484" s="8">
        <f>E482+E483/5.8</f>
        <v>89.137931034482762</v>
      </c>
      <c r="F484" s="8">
        <f>F482+F483/5.8</f>
        <v>89.103448275862064</v>
      </c>
      <c r="G484" s="8">
        <f>G482+G483/5.8</f>
        <v>99.275862068965523</v>
      </c>
      <c r="H484" s="93"/>
      <c r="I484" s="93"/>
      <c r="J484" s="93"/>
      <c r="K484" s="93"/>
      <c r="L484" s="8">
        <f>L482+L483/5.8</f>
        <v>96.758620689655174</v>
      </c>
      <c r="M484" s="93"/>
      <c r="N484" s="93"/>
      <c r="O484" s="93"/>
      <c r="P484" s="93"/>
      <c r="Q484" s="8">
        <f>Q482+Q483/5.8</f>
        <v>98.827586206896555</v>
      </c>
      <c r="R484" s="93"/>
      <c r="S484" s="93"/>
      <c r="T484" s="93"/>
      <c r="U484" s="93"/>
      <c r="V484" s="8">
        <f>V482+V483/5.8</f>
        <v>94.689655172413794</v>
      </c>
      <c r="W484" s="93"/>
      <c r="X484" s="93"/>
      <c r="Y484" s="93"/>
      <c r="Z484" s="93"/>
      <c r="AA484" s="8">
        <f>AA482+AA483/5.8</f>
        <v>119.62068965517241</v>
      </c>
      <c r="AB484" s="93"/>
      <c r="AC484" s="93"/>
      <c r="AD484" s="93"/>
      <c r="AE484" s="93"/>
      <c r="AF484" s="8">
        <f>AF482+AF483/5.8</f>
        <v>167.34482758620689</v>
      </c>
      <c r="AG484" s="93"/>
      <c r="AH484" s="93"/>
      <c r="AI484" s="93"/>
      <c r="AJ484" s="93"/>
      <c r="AK484" s="8">
        <f>AK482+AK483/5.8</f>
        <v>162.06896551724139</v>
      </c>
      <c r="AL484" s="93"/>
      <c r="AM484" s="93"/>
      <c r="AN484" s="93"/>
      <c r="AO484" s="93"/>
      <c r="AP484" s="8">
        <f>AP482+AP483/5.8</f>
        <v>162.68965517241381</v>
      </c>
      <c r="AQ484" s="93"/>
      <c r="AR484" s="93"/>
      <c r="AS484" s="93"/>
      <c r="AT484" s="93"/>
      <c r="AU484" s="8">
        <f>AU482+AU483/5.8</f>
        <v>159.48275862068965</v>
      </c>
      <c r="AV484" s="93"/>
      <c r="AW484" s="93"/>
      <c r="AX484" s="93"/>
      <c r="AY484" s="93"/>
      <c r="AZ484" s="8">
        <f>AZ482+AZ483/5.8</f>
        <v>162.34482758620689</v>
      </c>
      <c r="BA484" s="93"/>
      <c r="BB484" s="93"/>
      <c r="BC484" s="93"/>
      <c r="BD484" s="93"/>
      <c r="BE484" s="8">
        <f t="shared" ref="BE484:BJ484" si="217">BE482+BE483/5.8</f>
        <v>158.10344827586206</v>
      </c>
      <c r="BF484" s="93"/>
      <c r="BG484" s="93"/>
      <c r="BH484" s="93"/>
      <c r="BI484" s="93"/>
      <c r="BJ484" s="8">
        <f t="shared" si="217"/>
        <v>160.37931034482759</v>
      </c>
      <c r="BK484" s="93"/>
      <c r="BL484" s="93"/>
      <c r="BM484" s="93"/>
      <c r="BN484" s="93"/>
      <c r="BO484" s="8">
        <f t="shared" ref="BO484:CD484" si="218">BO482+BO483/5.8</f>
        <v>154</v>
      </c>
      <c r="BP484" s="66">
        <f t="shared" si="218"/>
        <v>159.61735120302299</v>
      </c>
      <c r="BQ484" s="66">
        <f t="shared" si="218"/>
        <v>155.84544089620107</v>
      </c>
      <c r="BR484" s="66">
        <f t="shared" si="218"/>
        <v>156.82835576697167</v>
      </c>
      <c r="BS484" s="66">
        <f t="shared" si="218"/>
        <v>158.5171279958733</v>
      </c>
      <c r="BT484" s="8">
        <f t="shared" si="218"/>
        <v>157.70206896551724</v>
      </c>
      <c r="BU484" s="66">
        <f t="shared" si="218"/>
        <v>158.09492432957111</v>
      </c>
      <c r="BV484" s="66">
        <f t="shared" si="218"/>
        <v>154.32439797301097</v>
      </c>
      <c r="BW484" s="66">
        <f t="shared" si="218"/>
        <v>155.30695220283786</v>
      </c>
      <c r="BX484" s="66">
        <f t="shared" si="218"/>
        <v>156.99510480492492</v>
      </c>
      <c r="BY484" s="8">
        <f t="shared" si="218"/>
        <v>156.18034482758623</v>
      </c>
      <c r="BZ484" s="66">
        <f t="shared" si="218"/>
        <v>152.90029121436208</v>
      </c>
      <c r="CA484" s="66">
        <f t="shared" si="218"/>
        <v>149.25026079392811</v>
      </c>
      <c r="CB484" s="66">
        <f t="shared" si="218"/>
        <v>150.20141521892091</v>
      </c>
      <c r="CC484" s="66">
        <f t="shared" si="218"/>
        <v>151.83561897968548</v>
      </c>
      <c r="CD484" s="8">
        <f t="shared" si="218"/>
        <v>151.04689655172413</v>
      </c>
    </row>
    <row r="485" spans="1:83" hidden="1" outlineLevel="1">
      <c r="A485" s="11"/>
      <c r="B485" s="11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</row>
    <row r="486" spans="1:83" hidden="1" outlineLevel="1">
      <c r="A486" s="39" t="s">
        <v>199</v>
      </c>
      <c r="B486" s="11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</row>
    <row r="487" spans="1:83" hidden="1" outlineLevel="1">
      <c r="A487" s="11"/>
      <c r="B487" s="11" t="s">
        <v>197</v>
      </c>
      <c r="C487" s="72"/>
      <c r="D487" s="72"/>
      <c r="E487" s="72"/>
      <c r="F487" s="104">
        <f>'Key assumptions'!F25</f>
        <v>34.51</v>
      </c>
      <c r="G487" s="104">
        <f>'Key assumptions'!G25</f>
        <v>47.56</v>
      </c>
      <c r="H487" s="93"/>
      <c r="I487" s="93"/>
      <c r="J487" s="93"/>
      <c r="K487" s="93"/>
      <c r="L487" s="104">
        <f>'Key assumptions'!L25</f>
        <v>59.54</v>
      </c>
      <c r="M487" s="93"/>
      <c r="N487" s="93"/>
      <c r="O487" s="93"/>
      <c r="P487" s="93"/>
      <c r="Q487" s="104">
        <f>'Key assumptions'!Q25</f>
        <v>69.56</v>
      </c>
      <c r="R487" s="93"/>
      <c r="S487" s="93"/>
      <c r="T487" s="93"/>
      <c r="U487" s="93"/>
      <c r="V487" s="104">
        <f>'Key assumptions'!V25</f>
        <v>91.05</v>
      </c>
      <c r="W487" s="93"/>
      <c r="X487" s="93"/>
      <c r="Y487" s="93"/>
      <c r="Z487" s="93"/>
      <c r="AA487" s="104">
        <f>'Key assumptions'!AA25</f>
        <v>57.29</v>
      </c>
      <c r="AB487" s="93"/>
      <c r="AC487" s="93"/>
      <c r="AD487" s="93"/>
      <c r="AE487" s="93"/>
      <c r="AF487" s="104">
        <f>'Key assumptions'!AF25</f>
        <v>75.23</v>
      </c>
      <c r="AG487" s="93"/>
      <c r="AH487" s="93"/>
      <c r="AI487" s="93"/>
      <c r="AJ487" s="93"/>
      <c r="AK487" s="104">
        <f>'Key assumptions'!AK25</f>
        <v>105.13</v>
      </c>
      <c r="AL487" s="93"/>
      <c r="AM487" s="93"/>
      <c r="AN487" s="93"/>
      <c r="AO487" s="93"/>
      <c r="AP487" s="104">
        <f>'Key assumptions'!AP25</f>
        <v>105.8725</v>
      </c>
      <c r="AQ487" s="93"/>
      <c r="AR487" s="93"/>
      <c r="AS487" s="93"/>
      <c r="AT487" s="93"/>
      <c r="AU487" s="104">
        <f>'Key assumptions'!AU25</f>
        <v>104.2775</v>
      </c>
      <c r="AV487" s="93"/>
      <c r="AW487" s="93"/>
      <c r="AX487" s="93"/>
      <c r="AY487" s="93"/>
      <c r="AZ487" s="104">
        <f>'Key assumptions'!AZ25</f>
        <v>91.702500000000001</v>
      </c>
      <c r="BA487" s="93"/>
      <c r="BB487" s="93"/>
      <c r="BC487" s="93"/>
      <c r="BD487" s="93"/>
      <c r="BE487" s="104">
        <f>'Key assumptions'!BE25</f>
        <v>46.202499999999993</v>
      </c>
      <c r="BF487" s="93"/>
      <c r="BG487" s="93"/>
      <c r="BH487" s="93"/>
      <c r="BI487" s="93"/>
      <c r="BJ487" s="104">
        <f>'Key assumptions'!BJ25</f>
        <v>41.984999999999999</v>
      </c>
      <c r="BK487" s="93"/>
      <c r="BL487" s="93"/>
      <c r="BM487" s="93"/>
      <c r="BN487" s="93"/>
      <c r="BO487" s="104">
        <f>'Key assumptions'!BO25</f>
        <v>51.8825</v>
      </c>
      <c r="BP487" s="114">
        <f>'Key assumptions'!BP25</f>
        <v>62.570938555470903</v>
      </c>
      <c r="BQ487" s="114">
        <f>'Key assumptions'!BQ25</f>
        <v>63.174946220562603</v>
      </c>
      <c r="BR487" s="114">
        <f>'Key assumptions'!BR25</f>
        <v>61.947446772150428</v>
      </c>
      <c r="BS487" s="114">
        <f>'Key assumptions'!BS25</f>
        <v>60.924530565140266</v>
      </c>
      <c r="BT487" s="104">
        <f>'Key assumptions'!BT25</f>
        <v>62.154465528331052</v>
      </c>
      <c r="BU487" s="114">
        <f>'Key assumptions'!BU25</f>
        <v>58.693599027946703</v>
      </c>
      <c r="BV487" s="114">
        <f>'Key assumptions'!BV25</f>
        <v>58.693599027946703</v>
      </c>
      <c r="BW487" s="114">
        <f>'Key assumptions'!BW25</f>
        <v>58.693599027946703</v>
      </c>
      <c r="BX487" s="114">
        <f>'Key assumptions'!BX25</f>
        <v>58.693599027946703</v>
      </c>
      <c r="BY487" s="104">
        <f>'Key assumptions'!BY25</f>
        <v>58.693599027946703</v>
      </c>
      <c r="BZ487" s="114">
        <f>'Key assumptions'!BZ25</f>
        <v>59.073346349255459</v>
      </c>
      <c r="CA487" s="114">
        <f>'Key assumptions'!CA25</f>
        <v>59.455445159519257</v>
      </c>
      <c r="CB487" s="114">
        <f>'Key assumptions'!CB25</f>
        <v>59.839910019736948</v>
      </c>
      <c r="CC487" s="114">
        <f>'Key assumptions'!CC25</f>
        <v>60.226755581072652</v>
      </c>
      <c r="CD487" s="104">
        <f>'Key assumptions'!CD25</f>
        <v>59.648864277396086</v>
      </c>
    </row>
    <row r="488" spans="1:83" hidden="1" outlineLevel="1">
      <c r="A488" s="11"/>
      <c r="B488" s="11" t="s">
        <v>198</v>
      </c>
      <c r="C488" s="72"/>
      <c r="D488" s="72"/>
      <c r="E488" s="72"/>
      <c r="F488" s="104">
        <f>'Key assumptions'!F32</f>
        <v>2.74</v>
      </c>
      <c r="G488" s="104">
        <f>'Key assumptions'!G32</f>
        <v>3.46</v>
      </c>
      <c r="H488" s="93"/>
      <c r="I488" s="93"/>
      <c r="J488" s="93"/>
      <c r="K488" s="93"/>
      <c r="L488" s="104">
        <f>'Key assumptions'!L32</f>
        <v>3.7</v>
      </c>
      <c r="M488" s="93"/>
      <c r="N488" s="93"/>
      <c r="O488" s="93"/>
      <c r="P488" s="93"/>
      <c r="Q488" s="104">
        <f>'Key assumptions'!Q32</f>
        <v>3.71</v>
      </c>
      <c r="R488" s="93"/>
      <c r="S488" s="93"/>
      <c r="T488" s="93"/>
      <c r="U488" s="93"/>
      <c r="V488" s="104">
        <f>'Key assumptions'!V32</f>
        <v>5.19</v>
      </c>
      <c r="W488" s="93"/>
      <c r="X488" s="93"/>
      <c r="Y488" s="93"/>
      <c r="Z488" s="93"/>
      <c r="AA488" s="104">
        <f>'Key assumptions'!AA32</f>
        <v>3.14</v>
      </c>
      <c r="AB488" s="93"/>
      <c r="AC488" s="93"/>
      <c r="AD488" s="93"/>
      <c r="AE488" s="93"/>
      <c r="AF488" s="104">
        <f>'Key assumptions'!AF32</f>
        <v>3.86</v>
      </c>
      <c r="AG488" s="93"/>
      <c r="AH488" s="93"/>
      <c r="AI488" s="93"/>
      <c r="AJ488" s="93"/>
      <c r="AK488" s="104">
        <f>'Key assumptions'!AK32</f>
        <v>4.9775</v>
      </c>
      <c r="AL488" s="93"/>
      <c r="AM488" s="93"/>
      <c r="AN488" s="93"/>
      <c r="AO488" s="93"/>
      <c r="AP488" s="104">
        <f>'Key assumptions'!AP32</f>
        <v>5.33</v>
      </c>
      <c r="AQ488" s="93"/>
      <c r="AR488" s="93"/>
      <c r="AS488" s="93"/>
      <c r="AT488" s="93"/>
      <c r="AU488" s="104">
        <f>'Key assumptions'!AU32</f>
        <v>5.9725000000000001</v>
      </c>
      <c r="AV488" s="93"/>
      <c r="AW488" s="93"/>
      <c r="AX488" s="93"/>
      <c r="AY488" s="93"/>
      <c r="AZ488" s="104">
        <f>'Key assumptions'!AZ32</f>
        <v>6.3524999999999991</v>
      </c>
      <c r="BA488" s="93"/>
      <c r="BB488" s="93"/>
      <c r="BC488" s="93"/>
      <c r="BD488" s="93"/>
      <c r="BE488" s="104">
        <f>'Key assumptions'!BE32</f>
        <v>4.2450000000000001</v>
      </c>
      <c r="BF488" s="93"/>
      <c r="BG488" s="93"/>
      <c r="BH488" s="93"/>
      <c r="BI488" s="93"/>
      <c r="BJ488" s="104">
        <f>'Key assumptions'!BJ32</f>
        <v>3.1850000000000001</v>
      </c>
      <c r="BK488" s="93"/>
      <c r="BL488" s="93"/>
      <c r="BM488" s="93"/>
      <c r="BN488" s="93"/>
      <c r="BO488" s="104">
        <f>'Key assumptions'!BO32</f>
        <v>3.4649999999999999</v>
      </c>
      <c r="BP488" s="114">
        <f>'Key assumptions'!BP32</f>
        <v>3.5280681943281262</v>
      </c>
      <c r="BQ488" s="114">
        <f>'Key assumptions'!BQ32</f>
        <v>3.8179688704990125</v>
      </c>
      <c r="BR488" s="114">
        <f>'Key assumptions'!BR32</f>
        <v>3.9407618168367149</v>
      </c>
      <c r="BS488" s="114">
        <f>'Key assumptions'!BS32</f>
        <v>3.928267780961336</v>
      </c>
      <c r="BT488" s="104">
        <f>'Key assumptions'!BT32</f>
        <v>3.8037666656562972</v>
      </c>
      <c r="BU488" s="114">
        <f>'Key assumptions'!BU32</f>
        <v>3.8831721202236427</v>
      </c>
      <c r="BV488" s="114">
        <f>'Key assumptions'!BV32</f>
        <v>3.8179688704990125</v>
      </c>
      <c r="BW488" s="114">
        <f>'Key assumptions'!BW32</f>
        <v>3.7732636483824247</v>
      </c>
      <c r="BX488" s="114">
        <f>'Key assumptions'!BX32</f>
        <v>3.7732636483824247</v>
      </c>
      <c r="BY488" s="104">
        <f>'Key assumptions'!BY32</f>
        <v>3.8119170718718762</v>
      </c>
      <c r="BZ488" s="114">
        <f>'Key assumptions'!BZ32</f>
        <v>3.7732636483824247</v>
      </c>
      <c r="CA488" s="114">
        <f>'Key assumptions'!CA32</f>
        <v>3.7808733343204537</v>
      </c>
      <c r="CB488" s="114">
        <f>'Key assumptions'!CB32</f>
        <v>3.7961398272463005</v>
      </c>
      <c r="CC488" s="114">
        <f>'Key assumptions'!CC32</f>
        <v>3.8115008540568729</v>
      </c>
      <c r="CD488" s="104">
        <f>'Key assumptions'!CD32</f>
        <v>3.7904444160015132</v>
      </c>
    </row>
    <row r="489" spans="1:83" hidden="1" outlineLevel="1">
      <c r="A489" s="11"/>
      <c r="B489" s="39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</row>
    <row r="490" spans="1:83" hidden="1" outlineLevel="1">
      <c r="A490" s="11" t="s">
        <v>200</v>
      </c>
      <c r="B490" s="11"/>
      <c r="C490" s="72"/>
      <c r="D490" s="72"/>
      <c r="E490" s="72"/>
      <c r="F490" s="115">
        <f>SUMPRODUCT(F482:F483,F487:F488)*365/1000</f>
        <v>761.49219999999991</v>
      </c>
      <c r="G490" s="115">
        <f>SUMPRODUCT(G482:G483,G487:G488)*365/1000</f>
        <v>1088.4226999999998</v>
      </c>
      <c r="H490" s="93"/>
      <c r="I490" s="93"/>
      <c r="J490" s="93"/>
      <c r="K490" s="93"/>
      <c r="L490" s="115">
        <f>SUMPRODUCT(L482:L483,L487:L488)*365/1000</f>
        <v>1230.4733999999999</v>
      </c>
      <c r="M490" s="93"/>
      <c r="N490" s="93"/>
      <c r="O490" s="93"/>
      <c r="P490" s="93"/>
      <c r="Q490" s="115">
        <f>SUMPRODUCT(Q482:Q483,Q487:Q488)*365/1000</f>
        <v>1372.4</v>
      </c>
      <c r="R490" s="93"/>
      <c r="S490" s="93"/>
      <c r="T490" s="93"/>
      <c r="U490" s="93"/>
      <c r="V490" s="115">
        <f>SUMPRODUCT(V482:V483,V487:V488)*365/1000</f>
        <v>1685.5116</v>
      </c>
      <c r="W490" s="93"/>
      <c r="X490" s="93"/>
      <c r="Y490" s="93"/>
      <c r="Z490" s="93"/>
      <c r="AA490" s="115">
        <f>SUMPRODUCT(AA482:AA483,AA487:AA488)*365/1000</f>
        <v>1237.3317500000001</v>
      </c>
      <c r="AB490" s="93"/>
      <c r="AC490" s="93"/>
      <c r="AD490" s="93"/>
      <c r="AE490" s="93"/>
      <c r="AF490" s="115">
        <f>SUMPRODUCT(AF482:AF483,AF487:AF488)*365/1000</f>
        <v>1984.6728999999998</v>
      </c>
      <c r="AG490" s="93"/>
      <c r="AH490" s="93"/>
      <c r="AI490" s="93"/>
      <c r="AJ490" s="93"/>
      <c r="AK490" s="115">
        <f>SUMPRODUCT(AK482:AK483,AK487:AK488)*365/1000</f>
        <v>2403.6573125</v>
      </c>
      <c r="AL490" s="93"/>
      <c r="AM490" s="93"/>
      <c r="AN490" s="93"/>
      <c r="AO490" s="93"/>
      <c r="AP490" s="115">
        <f>SUMPRODUCT(AP482:AP483,AP487:AP488)*365/1000</f>
        <v>2574.4426375000003</v>
      </c>
      <c r="AQ490" s="93"/>
      <c r="AR490" s="93"/>
      <c r="AS490" s="93"/>
      <c r="AT490" s="93"/>
      <c r="AU490" s="115">
        <f>SUMPRODUCT(AU482:AU483,AU487:AU488)*365/1000</f>
        <v>2651.9029375</v>
      </c>
      <c r="AV490" s="93"/>
      <c r="AW490" s="93"/>
      <c r="AX490" s="93"/>
      <c r="AY490" s="93"/>
      <c r="AZ490" s="115">
        <f>SUMPRODUCT(AZ482:AZ483,AZ487:AZ488)*365/1000</f>
        <v>2623.7623499999995</v>
      </c>
      <c r="BA490" s="93"/>
      <c r="BB490" s="93"/>
      <c r="BC490" s="93"/>
      <c r="BD490" s="93"/>
      <c r="BE490" s="115">
        <f>SUMPRODUCT(BE482:BE483,BE487:BE488)*365/1000</f>
        <v>1578.367675</v>
      </c>
      <c r="BF490" s="93"/>
      <c r="BG490" s="93"/>
      <c r="BH490" s="93"/>
      <c r="BI490" s="93"/>
      <c r="BJ490" s="115">
        <f>SUMPRODUCT(BJ482:BJ483,BJ487:BJ488)*365/1000</f>
        <v>1244.4364750000002</v>
      </c>
      <c r="BK490" s="93"/>
      <c r="BL490" s="93"/>
      <c r="BM490" s="93"/>
      <c r="BN490" s="93"/>
      <c r="BO490" s="115">
        <f>SUMPRODUCT(BO482:BO483,BO487:BO488)*365/1000</f>
        <v>1350.0848125</v>
      </c>
      <c r="BP490" s="65">
        <f>SUMPRODUCT(BP482:BP483,BP487:BP488)*90/1000</f>
        <v>373.69552946059139</v>
      </c>
      <c r="BQ490" s="65">
        <f>SUMPRODUCT(BQ482:BQ483,BQ487:BQ488)*91/1000</f>
        <v>392.60695424778646</v>
      </c>
      <c r="BR490" s="65">
        <f>SUMPRODUCT(BR482:BR483,BR487:BR488)*92/1000</f>
        <v>405.44489902728162</v>
      </c>
      <c r="BS490" s="65">
        <f>SUMPRODUCT(BS482:BS483,BS487:BS488)*92/1000</f>
        <v>406.09945986382365</v>
      </c>
      <c r="BT490" s="115">
        <f>SUM(BP490:BS490)</f>
        <v>1577.8468425994829</v>
      </c>
      <c r="BU490" s="65">
        <f>SUMPRODUCT(BU482:BU483,BU487:BU488)*90/1000</f>
        <v>384.16925275474165</v>
      </c>
      <c r="BV490" s="65">
        <f>SUMPRODUCT(BV482:BV483,BV487:BV488)*91/1000</f>
        <v>376.07248709893645</v>
      </c>
      <c r="BW490" s="65">
        <f>SUMPRODUCT(BW482:BW483,BW487:BW488)*92/1000</f>
        <v>378.96891311010859</v>
      </c>
      <c r="BX490" s="65">
        <f>SUMPRODUCT(BX482:BX483,BX487:BX488)*92/1000</f>
        <v>382.36786232013549</v>
      </c>
      <c r="BY490" s="115">
        <f>SUM(BU490:BX490)</f>
        <v>1521.5785152839221</v>
      </c>
      <c r="BZ490" s="65">
        <f>SUMPRODUCT(BZ482:BZ483,BZ487:BZ488)*90/1000</f>
        <v>364.55045970752815</v>
      </c>
      <c r="CA490" s="65">
        <f>SUMPRODUCT(CA482:CA483,CA487:CA488)*91/1000</f>
        <v>362.51382027052136</v>
      </c>
      <c r="CB490" s="65">
        <f>SUMPRODUCT(CB482:CB483,CB487:CB488)*92/1000</f>
        <v>370.15562211055448</v>
      </c>
      <c r="CC490" s="65">
        <f>SUMPRODUCT(CC482:CC483,CC487:CC488)*92/1000</f>
        <v>375.22926699776548</v>
      </c>
      <c r="CD490" s="115">
        <f>SUM(BZ490:CC490)</f>
        <v>1472.4491690863695</v>
      </c>
    </row>
    <row r="491" spans="1:83" hidden="1" outlineLevel="1">
      <c r="A491" s="11" t="s">
        <v>550</v>
      </c>
      <c r="B491" s="11"/>
      <c r="C491" s="72"/>
      <c r="D491" s="72"/>
      <c r="E491" s="72"/>
      <c r="F491" s="72"/>
      <c r="G491" s="116">
        <f>G468/G490-1</f>
        <v>0.10067531667614071</v>
      </c>
      <c r="H491" s="93"/>
      <c r="I491" s="93"/>
      <c r="J491" s="93"/>
      <c r="K491" s="93"/>
      <c r="L491" s="116">
        <f>L468/L490-1</f>
        <v>9.1449843613035542E-2</v>
      </c>
      <c r="M491" s="93"/>
      <c r="N491" s="93"/>
      <c r="O491" s="93"/>
      <c r="P491" s="93"/>
      <c r="Q491" s="116">
        <f>Q468/Q490-1</f>
        <v>9.0789857184494283E-2</v>
      </c>
      <c r="R491" s="93"/>
      <c r="S491" s="93"/>
      <c r="T491" s="93"/>
      <c r="U491" s="93"/>
      <c r="V491" s="116">
        <f>V468/V490-1</f>
        <v>0.20497539144791399</v>
      </c>
      <c r="W491" s="93"/>
      <c r="X491" s="93"/>
      <c r="Y491" s="93"/>
      <c r="Z491" s="93"/>
      <c r="AA491" s="116">
        <f>AA468/AA490-1</f>
        <v>0.2211761316235521</v>
      </c>
      <c r="AB491" s="93"/>
      <c r="AC491" s="93"/>
      <c r="AD491" s="93"/>
      <c r="AE491" s="93"/>
      <c r="AF491" s="116">
        <f>AF468/AF490-1</f>
        <v>0.17248540049093242</v>
      </c>
      <c r="AG491" s="93"/>
      <c r="AH491" s="93"/>
      <c r="AI491" s="93"/>
      <c r="AJ491" s="93"/>
      <c r="AK491" s="116">
        <f>AK468/AK490-1</f>
        <v>7.2532255988966066E-2</v>
      </c>
      <c r="AL491" s="93"/>
      <c r="AM491" s="93"/>
      <c r="AN491" s="93"/>
      <c r="AO491" s="93"/>
      <c r="AP491" s="116">
        <f>AP468/AP490-1</f>
        <v>3.4787087968278563E-2</v>
      </c>
      <c r="AQ491" s="93"/>
      <c r="AR491" s="93"/>
      <c r="AS491" s="93"/>
      <c r="AT491" s="93"/>
      <c r="AU491" s="116">
        <f>AU468/AU490-1</f>
        <v>2.7564003744763754E-2</v>
      </c>
      <c r="AV491" s="93"/>
      <c r="AW491" s="93"/>
      <c r="AX491" s="93"/>
      <c r="AY491" s="93"/>
      <c r="AZ491" s="116">
        <f>AZ468/AZ490-1</f>
        <v>-3.8784896048226103E-2</v>
      </c>
      <c r="BA491" s="93"/>
      <c r="BB491" s="93"/>
      <c r="BC491" s="93"/>
      <c r="BD491" s="93"/>
      <c r="BE491" s="116">
        <f>BE468/BE490-1</f>
        <v>0.13408303296632074</v>
      </c>
      <c r="BF491" s="93"/>
      <c r="BG491" s="93"/>
      <c r="BH491" s="93"/>
      <c r="BI491" s="93"/>
      <c r="BJ491" s="116">
        <f>BJ468/BJ490-1</f>
        <v>8.5631952406409306E-2</v>
      </c>
      <c r="BK491" s="93"/>
      <c r="BL491" s="93"/>
      <c r="BM491" s="93"/>
      <c r="BN491" s="93"/>
      <c r="BO491" s="116">
        <f>BO468/BO490-1</f>
        <v>7.6969377433093733E-2</v>
      </c>
      <c r="BP491" s="117">
        <f>BT491</f>
        <v>0.1</v>
      </c>
      <c r="BQ491" s="117">
        <f>BT491</f>
        <v>0.1</v>
      </c>
      <c r="BR491" s="117">
        <f>BT491</f>
        <v>0.1</v>
      </c>
      <c r="BS491" s="117">
        <f>BT491</f>
        <v>0.1</v>
      </c>
      <c r="BT491" s="118">
        <v>0.1</v>
      </c>
      <c r="BU491" s="117">
        <f>BY491</f>
        <v>0.1</v>
      </c>
      <c r="BV491" s="117">
        <f>BY491</f>
        <v>0.1</v>
      </c>
      <c r="BW491" s="117">
        <f>BY491</f>
        <v>0.1</v>
      </c>
      <c r="BX491" s="117">
        <f>BY491</f>
        <v>0.1</v>
      </c>
      <c r="BY491" s="118">
        <v>0.1</v>
      </c>
      <c r="BZ491" s="117">
        <f>CD491</f>
        <v>0.1</v>
      </c>
      <c r="CA491" s="117">
        <f>CD491</f>
        <v>0.1</v>
      </c>
      <c r="CB491" s="117">
        <f>CD491</f>
        <v>0.1</v>
      </c>
      <c r="CC491" s="117">
        <f>CD491</f>
        <v>0.1</v>
      </c>
      <c r="CD491" s="118">
        <v>0.1</v>
      </c>
    </row>
    <row r="492" spans="1:83" hidden="1" outlineLevel="1">
      <c r="A492" s="11"/>
      <c r="B492" s="11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116"/>
      <c r="AL492" s="5"/>
      <c r="AM492" s="5"/>
      <c r="AN492" s="5"/>
      <c r="AO492" s="5"/>
      <c r="AP492" s="116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</row>
    <row r="493" spans="1:83" hidden="1" outlineLevel="1">
      <c r="A493" s="39" t="s">
        <v>3090</v>
      </c>
      <c r="B493" s="11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</row>
    <row r="494" spans="1:83" hidden="1" outlineLevel="1">
      <c r="A494" s="11"/>
      <c r="B494" s="11" t="s">
        <v>1897</v>
      </c>
      <c r="C494" s="72"/>
      <c r="D494" s="72"/>
      <c r="E494" s="72"/>
      <c r="F494" s="72"/>
      <c r="G494" s="119">
        <f>-1000*G470/(G484*365)</f>
        <v>0.16558260811640269</v>
      </c>
      <c r="H494" s="93"/>
      <c r="I494" s="93"/>
      <c r="J494" s="93"/>
      <c r="K494" s="93"/>
      <c r="L494" s="119">
        <f>-1000*L470/(L484*365)</f>
        <v>0.16989035237602398</v>
      </c>
      <c r="M494" s="93"/>
      <c r="N494" s="93"/>
      <c r="O494" s="93"/>
      <c r="P494" s="93"/>
      <c r="Q494" s="119">
        <f>-1000*Q470/(Q484*365)</f>
        <v>0.19405596076819395</v>
      </c>
      <c r="R494" s="93"/>
      <c r="S494" s="93"/>
      <c r="T494" s="93"/>
      <c r="U494" s="93"/>
      <c r="V494" s="119">
        <f>-1000*V470/(V484*365)</f>
        <v>0.75227728501731028</v>
      </c>
      <c r="W494" s="93"/>
      <c r="X494" s="93"/>
      <c r="Y494" s="93"/>
      <c r="Z494" s="93"/>
      <c r="AA494" s="119">
        <f>-1000*AA470/(AA484*365)</f>
        <v>0.5038758159352702</v>
      </c>
      <c r="AB494" s="93"/>
      <c r="AC494" s="93"/>
      <c r="AD494" s="93"/>
      <c r="AE494" s="93"/>
      <c r="AF494" s="119">
        <f>-1000*AF470/(AF484*365)</f>
        <v>0.27831958201253848</v>
      </c>
      <c r="AG494" s="93"/>
      <c r="AH494" s="93"/>
      <c r="AI494" s="93"/>
      <c r="AJ494" s="93"/>
      <c r="AK494" s="119">
        <f>-1000*AK470/(AK484*365)</f>
        <v>1.183328475663072</v>
      </c>
      <c r="AL494" s="93"/>
      <c r="AM494" s="93"/>
      <c r="AN494" s="93"/>
      <c r="AO494" s="93"/>
      <c r="AP494" s="119">
        <f>-1000*AP470/(AP484*365)</f>
        <v>2.2229061536406767</v>
      </c>
      <c r="AQ494" s="93"/>
      <c r="AR494" s="93"/>
      <c r="AS494" s="93"/>
      <c r="AT494" s="93"/>
      <c r="AU494" s="119">
        <f>-1000*AU470/(AU484*365)</f>
        <v>0.8074046649389115</v>
      </c>
      <c r="AV494" s="93"/>
      <c r="AW494" s="93"/>
      <c r="AX494" s="93"/>
      <c r="AY494" s="93"/>
      <c r="AZ494" s="119">
        <f>-1000*AZ470/(AZ484*365)</f>
        <v>1.0125580475087581</v>
      </c>
      <c r="BA494" s="93"/>
      <c r="BB494" s="93"/>
      <c r="BC494" s="93"/>
      <c r="BD494" s="93"/>
      <c r="BE494" s="119">
        <f>-1000*BE470/(BE484*365)</f>
        <v>0.90109200639369003</v>
      </c>
      <c r="BF494" s="93"/>
      <c r="BG494" s="93"/>
      <c r="BH494" s="93"/>
      <c r="BI494" s="93"/>
      <c r="BJ494" s="119">
        <f>-1000*BJ470/(BJ484*365)</f>
        <v>1.5203682813829991</v>
      </c>
      <c r="BK494" s="93"/>
      <c r="BL494" s="93"/>
      <c r="BM494" s="93"/>
      <c r="BN494" s="93"/>
      <c r="BO494" s="119">
        <f>-1000*BO470/(BO484*365)</f>
        <v>0.30243728873865861</v>
      </c>
      <c r="BP494" s="114">
        <f>-1000*BP470/(BP$484*90)</f>
        <v>0.52208192095193195</v>
      </c>
      <c r="BQ494" s="114">
        <f>-1000*BQ470/(BQ$484*91)</f>
        <v>0.34225073913931586</v>
      </c>
      <c r="BR494" s="114">
        <f>-1000*BR470/(BR$484*92)</f>
        <v>0.3364088965178787</v>
      </c>
      <c r="BS494" s="114">
        <f>-1000*BS470/(BS$484*92)</f>
        <v>0.33282494310427896</v>
      </c>
      <c r="BT494" s="119">
        <f>-1000*BT470/(BT484*365)</f>
        <v>0.38326706509878605</v>
      </c>
      <c r="BU494" s="114">
        <f>-1000*BU470/(BU$484*90)</f>
        <v>0.31780016218518747</v>
      </c>
      <c r="BV494" s="114">
        <f>-1000*BV470/(BV$484*91)</f>
        <v>0.32198717016324507</v>
      </c>
      <c r="BW494" s="114">
        <f>-1000*BW470/(BW$484*92)</f>
        <v>0.31647238981708969</v>
      </c>
      <c r="BX494" s="114">
        <f>-1000*BX470/(BX$484*92)</f>
        <v>0.31306939397831968</v>
      </c>
      <c r="BY494" s="119">
        <f>-1000*BY470/(BY484*365)</f>
        <v>0.31728920789775727</v>
      </c>
      <c r="BZ494" s="114">
        <f>-1000*BZ470/(BZ$484*90)</f>
        <v>0.21161212512142291</v>
      </c>
      <c r="CA494" s="114">
        <f>-1000*CA470/(CA$484*91)</f>
        <v>0.21440498549066442</v>
      </c>
      <c r="CB494" s="114">
        <f>-1000*CB470/(CB$484*92)</f>
        <v>0.21073152917307719</v>
      </c>
      <c r="CC494" s="114">
        <f>-1000*CC470/(CC$484*92)</f>
        <v>0.20846342989702796</v>
      </c>
      <c r="CD494" s="119">
        <f>-1000*CD470/(CD484*365)</f>
        <v>0.21127430947378215</v>
      </c>
    </row>
    <row r="495" spans="1:83" hidden="1" outlineLevel="1">
      <c r="A495" s="11"/>
      <c r="B495" s="11" t="s">
        <v>2149</v>
      </c>
      <c r="C495" s="72"/>
      <c r="D495" s="72"/>
      <c r="E495" s="72"/>
      <c r="F495" s="72"/>
      <c r="G495" s="119">
        <f>-1000*G471/(G484*365)</f>
        <v>1.480952448925537</v>
      </c>
      <c r="H495" s="93"/>
      <c r="I495" s="93"/>
      <c r="J495" s="93"/>
      <c r="K495" s="93"/>
      <c r="L495" s="119">
        <f>-1000*L471/(L484*365)</f>
        <v>1.5290131713842159</v>
      </c>
      <c r="M495" s="93"/>
      <c r="N495" s="93"/>
      <c r="O495" s="93"/>
      <c r="P495" s="93"/>
      <c r="Q495" s="119">
        <f>-1000*Q471/(Q484*365)</f>
        <v>1.7742259270234875</v>
      </c>
      <c r="R495" s="93"/>
      <c r="S495" s="93"/>
      <c r="T495" s="93"/>
      <c r="U495" s="93"/>
      <c r="V495" s="119">
        <f>-1000*V471/(V484*365)</f>
        <v>1.7938919873489707</v>
      </c>
      <c r="W495" s="93"/>
      <c r="X495" s="93"/>
      <c r="Y495" s="93"/>
      <c r="Z495" s="93"/>
      <c r="AA495" s="119">
        <f>-1000*AA471/(AA484*365)</f>
        <v>1.6032412325213141</v>
      </c>
      <c r="AB495" s="93"/>
      <c r="AC495" s="93"/>
      <c r="AD495" s="93"/>
      <c r="AE495" s="93"/>
      <c r="AF495" s="119">
        <f>-1000*AF471/(AF484*365)</f>
        <v>2.0300957746796926</v>
      </c>
      <c r="AG495" s="93"/>
      <c r="AH495" s="93"/>
      <c r="AI495" s="93"/>
      <c r="AJ495" s="93"/>
      <c r="AK495" s="119">
        <f>-1000*AK471/(AK484*365)</f>
        <v>3.2795103468376565</v>
      </c>
      <c r="AL495" s="93"/>
      <c r="AM495" s="93"/>
      <c r="AN495" s="93"/>
      <c r="AO495" s="93"/>
      <c r="AP495" s="119">
        <f>-1000*AP471/(AP484*365)</f>
        <v>3.2164778435255243</v>
      </c>
      <c r="AQ495" s="93"/>
      <c r="AR495" s="93"/>
      <c r="AS495" s="93"/>
      <c r="AT495" s="93"/>
      <c r="AU495" s="119">
        <f>-1000*AU471/(AU484*365)</f>
        <v>3.2124398370973712</v>
      </c>
      <c r="AV495" s="93"/>
      <c r="AW495" s="93"/>
      <c r="AX495" s="93"/>
      <c r="AY495" s="93"/>
      <c r="AZ495" s="119">
        <f>-1000*AZ471/(AZ484*365)</f>
        <v>3.915224450367198</v>
      </c>
      <c r="BA495" s="93"/>
      <c r="BB495" s="93"/>
      <c r="BC495" s="93"/>
      <c r="BD495" s="93"/>
      <c r="BE495" s="119">
        <f>-1000*BE471/(BE484*365)</f>
        <v>2.8765629434875488</v>
      </c>
      <c r="BF495" s="93"/>
      <c r="BG495" s="93"/>
      <c r="BH495" s="93"/>
      <c r="BI495" s="93"/>
      <c r="BJ495" s="119">
        <f>-1000*BJ471/(BJ484*365)</f>
        <v>2.6307496104829422</v>
      </c>
      <c r="BK495" s="93"/>
      <c r="BL495" s="93"/>
      <c r="BM495" s="93"/>
      <c r="BN495" s="93"/>
      <c r="BO495" s="119">
        <f>-1000*BO471/(BO484*365)</f>
        <v>2.793097313645259</v>
      </c>
      <c r="BP495" s="109">
        <f>BT495</f>
        <v>2.6534424479629961</v>
      </c>
      <c r="BQ495" s="109">
        <f>BT495</f>
        <v>2.6534424479629961</v>
      </c>
      <c r="BR495" s="109">
        <f>BT495</f>
        <v>2.6534424479629961</v>
      </c>
      <c r="BS495" s="109">
        <f>BT495</f>
        <v>2.6534424479629961</v>
      </c>
      <c r="BT495" s="120">
        <f>BO495*(1-5%)</f>
        <v>2.6534424479629961</v>
      </c>
      <c r="BU495" s="109">
        <f>BY495</f>
        <v>2.719778509162071</v>
      </c>
      <c r="BV495" s="109">
        <f>BY495</f>
        <v>2.719778509162071</v>
      </c>
      <c r="BW495" s="109">
        <f>BY495</f>
        <v>2.719778509162071</v>
      </c>
      <c r="BX495" s="109">
        <f>BY495</f>
        <v>2.719778509162071</v>
      </c>
      <c r="BY495" s="120">
        <f>BT495*(1+2.5%)</f>
        <v>2.719778509162071</v>
      </c>
      <c r="BZ495" s="109">
        <f>CD495</f>
        <v>2.7877729718911226</v>
      </c>
      <c r="CA495" s="109">
        <f>CD495</f>
        <v>2.7877729718911226</v>
      </c>
      <c r="CB495" s="109">
        <f>CD495</f>
        <v>2.7877729718911226</v>
      </c>
      <c r="CC495" s="109">
        <f>CD495</f>
        <v>2.7877729718911226</v>
      </c>
      <c r="CD495" s="120">
        <f>BY495*(1+2.5%)</f>
        <v>2.7877729718911226</v>
      </c>
      <c r="CE495" s="563"/>
    </row>
    <row r="496" spans="1:83" hidden="1" outlineLevel="1">
      <c r="A496" s="11"/>
      <c r="B496" s="11" t="s">
        <v>2150</v>
      </c>
      <c r="C496" s="72"/>
      <c r="D496" s="72"/>
      <c r="E496" s="72"/>
      <c r="F496" s="72"/>
      <c r="G496" s="119">
        <f>-1000*G472/(G484*365)</f>
        <v>1.4902434730476242</v>
      </c>
      <c r="H496" s="93"/>
      <c r="I496" s="93"/>
      <c r="J496" s="93"/>
      <c r="K496" s="93"/>
      <c r="L496" s="119">
        <f>-1000*L472/(L484*365)</f>
        <v>1.7838486999482519</v>
      </c>
      <c r="M496" s="93"/>
      <c r="N496" s="93"/>
      <c r="O496" s="93"/>
      <c r="P496" s="93"/>
      <c r="Q496" s="119">
        <f>-1000*Q472/(Q484*365)</f>
        <v>1.5524476861455516</v>
      </c>
      <c r="R496" s="93"/>
      <c r="S496" s="93"/>
      <c r="T496" s="93"/>
      <c r="U496" s="93"/>
      <c r="V496" s="119">
        <f>-1000*V472/(V484*365)</f>
        <v>3.1827115904578513</v>
      </c>
      <c r="W496" s="93"/>
      <c r="X496" s="93"/>
      <c r="Y496" s="93"/>
      <c r="Z496" s="93"/>
      <c r="AA496" s="119">
        <f>-1000*AA472/(AA484*365)</f>
        <v>1.649048124879066</v>
      </c>
      <c r="AB496" s="93"/>
      <c r="AC496" s="93"/>
      <c r="AD496" s="93"/>
      <c r="AE496" s="93"/>
      <c r="AF496" s="119">
        <f>-1000*AF472/(AF484*365)</f>
        <v>1.7845196729039234</v>
      </c>
      <c r="AG496" s="93"/>
      <c r="AH496" s="93"/>
      <c r="AI496" s="93"/>
      <c r="AJ496" s="93"/>
      <c r="AK496" s="119">
        <f>-1000*AK472/(AK484*365)</f>
        <v>2.484989798892451</v>
      </c>
      <c r="AL496" s="93"/>
      <c r="AM496" s="93"/>
      <c r="AN496" s="93"/>
      <c r="AO496" s="93"/>
      <c r="AP496" s="119">
        <f>-1000*AP472/(AP484*365)</f>
        <v>2.37446793684345</v>
      </c>
      <c r="AQ496" s="93"/>
      <c r="AR496" s="93"/>
      <c r="AS496" s="93"/>
      <c r="AT496" s="93"/>
      <c r="AU496" s="119">
        <f>-1000*AU472/(AU484*365)</f>
        <v>2.1645316549426137</v>
      </c>
      <c r="AV496" s="93"/>
      <c r="AW496" s="93"/>
      <c r="AX496" s="93"/>
      <c r="AY496" s="93"/>
      <c r="AZ496" s="119">
        <f>-1000*AZ472/(AZ484*365)</f>
        <v>1.5694649736385751</v>
      </c>
      <c r="BA496" s="93"/>
      <c r="BB496" s="93"/>
      <c r="BC496" s="93"/>
      <c r="BD496" s="93"/>
      <c r="BE496" s="119">
        <f>-1000*BE472/(BE484*365)</f>
        <v>0.79711985180980272</v>
      </c>
      <c r="BF496" s="93"/>
      <c r="BG496" s="93"/>
      <c r="BH496" s="93"/>
      <c r="BI496" s="93"/>
      <c r="BJ496" s="119">
        <f>-1000*BJ472/(BJ484*365)</f>
        <v>0.70039437681688721</v>
      </c>
      <c r="BK496" s="93"/>
      <c r="BL496" s="93"/>
      <c r="BM496" s="93"/>
      <c r="BN496" s="93"/>
      <c r="BO496" s="119">
        <f>-1000*BO472/(BO484*365)</f>
        <v>0.99626400996264008</v>
      </c>
      <c r="BP496" s="114">
        <f>-1000*BP472/(BP$484*90)</f>
        <v>0.85843859143651247</v>
      </c>
      <c r="BQ496" s="114">
        <f>-1000*BQ472/(BQ$484*91)</f>
        <v>0.91355864902285722</v>
      </c>
      <c r="BR496" s="114">
        <f>-1000*BR472/(BR$484*92)</f>
        <v>0.92732798074648437</v>
      </c>
      <c r="BS496" s="114">
        <f>-1000*BS472/(BS$484*92)</f>
        <v>0.91892978661031621</v>
      </c>
      <c r="BT496" s="119">
        <f>-1000*BT472/(BT484*365)</f>
        <v>0.90458322442449035</v>
      </c>
      <c r="BU496" s="114">
        <f>-1000*BU472/(BU$484*90)</f>
        <v>0.89099672200581526</v>
      </c>
      <c r="BV496" s="114">
        <f>-1000*BV472/(BV$484*91)</f>
        <v>0.88370948905877067</v>
      </c>
      <c r="BW496" s="114">
        <f>-1000*BW472/(BW$484*92)</f>
        <v>0.87526346704771352</v>
      </c>
      <c r="BX496" s="114">
        <f>-1000*BX472/(BX$484*92)</f>
        <v>0.87361761957920292</v>
      </c>
      <c r="BY496" s="119">
        <f>-1000*BY472/(BY484*365)</f>
        <v>0.88082384993180118</v>
      </c>
      <c r="BZ496" s="114">
        <f>-1000*BZ472/(BZ$484*90)</f>
        <v>0.87422006087196191</v>
      </c>
      <c r="CA496" s="114">
        <f>-1000*CA472/(CA$484*91)</f>
        <v>0.88080955439003805</v>
      </c>
      <c r="CB496" s="114">
        <f>-1000*CB472/(CB$484*92)</f>
        <v>0.88396778475933002</v>
      </c>
      <c r="CC496" s="114">
        <f>-1000*CC472/(CC$484*92)</f>
        <v>0.88643960847230729</v>
      </c>
      <c r="CD496" s="119">
        <f>-1000*CD472/(CD484*365)</f>
        <v>0.88135237700213764</v>
      </c>
    </row>
    <row r="497" spans="1:103" hidden="1" outlineLevel="1">
      <c r="A497" s="11"/>
      <c r="B497" s="11" t="s">
        <v>2158</v>
      </c>
      <c r="C497" s="72"/>
      <c r="D497" s="72"/>
      <c r="E497" s="72"/>
      <c r="F497" s="72"/>
      <c r="G497" s="119">
        <f>-1000*G473/(G484*365)</f>
        <v>4.1119681015573333</v>
      </c>
      <c r="H497" s="93"/>
      <c r="I497" s="93"/>
      <c r="J497" s="93"/>
      <c r="K497" s="93"/>
      <c r="L497" s="119">
        <f>-1000*L473/(L484*365)</f>
        <v>4.2472588094005994</v>
      </c>
      <c r="M497" s="93"/>
      <c r="N497" s="93"/>
      <c r="O497" s="93"/>
      <c r="P497" s="93"/>
      <c r="Q497" s="119">
        <f>-1000*Q473/(Q484*365)</f>
        <v>10.14635452016557</v>
      </c>
      <c r="R497" s="93"/>
      <c r="S497" s="93"/>
      <c r="T497" s="93"/>
      <c r="U497" s="93"/>
      <c r="V497" s="119">
        <f>-1000*V473/(V484*365)</f>
        <v>6.5390256313043125</v>
      </c>
      <c r="W497" s="93"/>
      <c r="X497" s="93"/>
      <c r="Y497" s="93"/>
      <c r="Z497" s="93"/>
      <c r="AA497" s="119">
        <f>-1000*AA473/(AA484*365)</f>
        <v>4.0768134198399135</v>
      </c>
      <c r="AB497" s="93"/>
      <c r="AC497" s="93"/>
      <c r="AD497" s="93"/>
      <c r="AE497" s="93"/>
      <c r="AF497" s="119">
        <f>-1000*AF473/(AF484*365)</f>
        <v>3.1924893230850007</v>
      </c>
      <c r="AG497" s="93"/>
      <c r="AH497" s="93"/>
      <c r="AI497" s="93"/>
      <c r="AJ497" s="93"/>
      <c r="AK497" s="119">
        <f>-1000*AK473/(AK484*365)</f>
        <v>4.344505974934421</v>
      </c>
      <c r="AL497" s="93"/>
      <c r="AM497" s="93"/>
      <c r="AN497" s="93"/>
      <c r="AO497" s="93"/>
      <c r="AP497" s="119">
        <f>-1000*AP473/(AP484*365)</f>
        <v>4.4458123072813533</v>
      </c>
      <c r="AQ497" s="93"/>
      <c r="AR497" s="93"/>
      <c r="AS497" s="93"/>
      <c r="AT497" s="93"/>
      <c r="AU497" s="119">
        <f>-1000*AU473/(AU484*365)</f>
        <v>6.0297667530544246</v>
      </c>
      <c r="AV497" s="93"/>
      <c r="AW497" s="93"/>
      <c r="AX497" s="93"/>
      <c r="AY497" s="93"/>
      <c r="AZ497" s="119">
        <f>-1000*AZ473/(AZ484*365)</f>
        <v>5.1640460422946663</v>
      </c>
      <c r="BA497" s="93"/>
      <c r="BB497" s="93"/>
      <c r="BC497" s="93"/>
      <c r="BD497" s="93"/>
      <c r="BE497" s="119">
        <f>-1000*BE473/(BE484*365)</f>
        <v>3.7256688725892952</v>
      </c>
      <c r="BF497" s="93"/>
      <c r="BG497" s="93"/>
      <c r="BH497" s="93"/>
      <c r="BI497" s="93"/>
      <c r="BJ497" s="119">
        <f>-1000*BJ473/(BJ484*365)</f>
        <v>2.6136668208044815</v>
      </c>
      <c r="BK497" s="93"/>
      <c r="BL497" s="93"/>
      <c r="BM497" s="93"/>
      <c r="BN497" s="93"/>
      <c r="BO497" s="119">
        <f>-1000*BO473/(BO484*365)</f>
        <v>6.208859633517168</v>
      </c>
      <c r="BP497" s="114">
        <f>-1000*BP473/(BP$484*90)</f>
        <v>5.769875363053762</v>
      </c>
      <c r="BQ497" s="114">
        <f>-1000*BQ473/(BQ$484*91)</f>
        <v>5.844583217280702</v>
      </c>
      <c r="BR497" s="114">
        <f>-1000*BR473/(BR$484*92)</f>
        <v>5.7448226282192767</v>
      </c>
      <c r="BS497" s="114">
        <f>-1000*BS473/(BS$484*92)</f>
        <v>5.6836197977292153</v>
      </c>
      <c r="BT497" s="104">
        <f>-1000*BT473/(BT484*365)</f>
        <v>5.7599508385789191</v>
      </c>
      <c r="BU497" s="114">
        <f>-1000*BU473/(BU$484*90)</f>
        <v>5.8254382683553203</v>
      </c>
      <c r="BV497" s="114">
        <f>-1000*BV473/(BV$484*91)</f>
        <v>5.9021882496566915</v>
      </c>
      <c r="BW497" s="114">
        <f>-1000*BW473/(BW$484*92)</f>
        <v>5.8010995269538173</v>
      </c>
      <c r="BX497" s="114">
        <f>-1000*BX473/(BX$484*92)</f>
        <v>5.7387208860811487</v>
      </c>
      <c r="BY497" s="104">
        <f>-1000*BY473/(BY484*365)</f>
        <v>5.8160722169382622</v>
      </c>
      <c r="BZ497" s="114">
        <f>-1000*BZ473/(BZ$484*90)</f>
        <v>6.0233516555638476</v>
      </c>
      <c r="CA497" s="114">
        <f>-1000*CA473/(CA$484*91)</f>
        <v>6.1028479515307099</v>
      </c>
      <c r="CB497" s="114">
        <f>-1000*CB473/(CB$484*92)</f>
        <v>5.9982862720925203</v>
      </c>
      <c r="CC497" s="114">
        <f>-1000*CC473/(CC$484*92)</f>
        <v>5.9337268357108117</v>
      </c>
      <c r="CD497" s="104">
        <f>-1000*CD473/(CD484*365)</f>
        <v>6.0137360324547044</v>
      </c>
      <c r="CG497" s="364"/>
      <c r="CH497" s="364" t="s">
        <v>3693</v>
      </c>
      <c r="CI497" s="364" t="s">
        <v>3694</v>
      </c>
    </row>
    <row r="498" spans="1:103" hidden="1" outlineLevel="1">
      <c r="A498" s="11"/>
      <c r="B498" s="11" t="s">
        <v>2154</v>
      </c>
      <c r="C498" s="72"/>
      <c r="D498" s="72"/>
      <c r="E498" s="72"/>
      <c r="F498" s="72"/>
      <c r="G498" s="119">
        <f>-1000*G474/(G484*365)</f>
        <v>2.6217246285097091</v>
      </c>
      <c r="H498" s="93"/>
      <c r="I498" s="93"/>
      <c r="J498" s="93"/>
      <c r="K498" s="93"/>
      <c r="L498" s="119">
        <f>-1000*L474/(L484*365)</f>
        <v>2.6899305792870463</v>
      </c>
      <c r="M498" s="93"/>
      <c r="N498" s="93"/>
      <c r="O498" s="93"/>
      <c r="P498" s="93"/>
      <c r="Q498" s="119">
        <f>-1000*Q474/(Q484*365)</f>
        <v>1.4415585657065837</v>
      </c>
      <c r="R498" s="93"/>
      <c r="S498" s="93"/>
      <c r="T498" s="93"/>
      <c r="U498" s="93"/>
      <c r="V498" s="119">
        <f>-1000*V474/(V484*365)</f>
        <v>2.5172355306348462</v>
      </c>
      <c r="W498" s="93"/>
      <c r="X498" s="93"/>
      <c r="Y498" s="93"/>
      <c r="Z498" s="93"/>
      <c r="AA498" s="119">
        <f>-1000*AA474/(AA484*365)</f>
        <v>2.1987308331720881</v>
      </c>
      <c r="AB498" s="93"/>
      <c r="AC498" s="93"/>
      <c r="AD498" s="93"/>
      <c r="AE498" s="93"/>
      <c r="AF498" s="119">
        <f>-1000*AF474/(AF484*365)</f>
        <v>2.750452339888616</v>
      </c>
      <c r="AG498" s="93"/>
      <c r="AH498" s="93"/>
      <c r="AI498" s="93"/>
      <c r="AJ498" s="93"/>
      <c r="AK498" s="119">
        <f>-1000*AK474/(AK484*365)</f>
        <v>2.9076071116292623</v>
      </c>
      <c r="AL498" s="93"/>
      <c r="AM498" s="93"/>
      <c r="AN498" s="93"/>
      <c r="AO498" s="93"/>
      <c r="AP498" s="119">
        <f>-1000*AP474/(AP484*365)</f>
        <v>3.553281806198354</v>
      </c>
      <c r="AQ498" s="93"/>
      <c r="AR498" s="93"/>
      <c r="AS498" s="93"/>
      <c r="AT498" s="93"/>
      <c r="AU498" s="119">
        <f>-1000*AU474/(AU484*365)</f>
        <v>3.5560162902628654</v>
      </c>
      <c r="AV498" s="93"/>
      <c r="AW498" s="93"/>
      <c r="AX498" s="93"/>
      <c r="AY498" s="93"/>
      <c r="AZ498" s="119">
        <f>-1000*AZ474/(AZ484*365)</f>
        <v>4.303371701912222</v>
      </c>
      <c r="BA498" s="93"/>
      <c r="BB498" s="93"/>
      <c r="BC498" s="93"/>
      <c r="BD498" s="93"/>
      <c r="BE498" s="119">
        <f>-1000*BE474/(BE484*365)</f>
        <v>5.5798389626686191</v>
      </c>
      <c r="BF498" s="93"/>
      <c r="BG498" s="93"/>
      <c r="BH498" s="93"/>
      <c r="BI498" s="93"/>
      <c r="BJ498" s="119">
        <f>-1000*BJ474/(BJ484*365)</f>
        <v>4.9369262170751318</v>
      </c>
      <c r="BK498" s="93"/>
      <c r="BL498" s="93"/>
      <c r="BM498" s="93"/>
      <c r="BN498" s="93"/>
      <c r="BO498" s="119">
        <f>-1000*BO474/(BO484*365)</f>
        <v>6.5112969222558261</v>
      </c>
      <c r="BP498" s="109">
        <f>BT498</f>
        <v>4.9377130342727407</v>
      </c>
      <c r="BQ498" s="109">
        <f>BT498</f>
        <v>4.9377130342727407</v>
      </c>
      <c r="BR498" s="109">
        <f>BT498</f>
        <v>4.9377130342727407</v>
      </c>
      <c r="BS498" s="109">
        <f>BT498</f>
        <v>4.9377130342727407</v>
      </c>
      <c r="BT498" s="120">
        <f>BT502</f>
        <v>4.9377130342727407</v>
      </c>
      <c r="BU498" s="109">
        <f>BY498</f>
        <v>4.9919655098448104</v>
      </c>
      <c r="BV498" s="109">
        <f>BY498</f>
        <v>4.9919655098448104</v>
      </c>
      <c r="BW498" s="109">
        <f>BY498</f>
        <v>4.9919655098448104</v>
      </c>
      <c r="BX498" s="109">
        <f>BY498</f>
        <v>4.9919655098448104</v>
      </c>
      <c r="BY498" s="120">
        <f>BY502</f>
        <v>4.9919655098448104</v>
      </c>
      <c r="BZ498" s="109">
        <f>CD498</f>
        <v>5.0462179854168792</v>
      </c>
      <c r="CA498" s="109">
        <f>CD498</f>
        <v>5.0462179854168792</v>
      </c>
      <c r="CB498" s="109">
        <f>CD498</f>
        <v>5.0462179854168792</v>
      </c>
      <c r="CC498" s="109">
        <f>CD498</f>
        <v>5.0462179854168792</v>
      </c>
      <c r="CD498" s="120">
        <f>CD502</f>
        <v>5.0462179854168792</v>
      </c>
      <c r="CE498" s="563"/>
      <c r="CG498" s="468">
        <v>2005</v>
      </c>
      <c r="CH498" s="627">
        <f>INDEX(476:476,MATCH(CG498,465:465,0))</f>
        <v>840.3366666666667</v>
      </c>
      <c r="CI498" s="627">
        <f>INDEX(478:478,MATCH(CG498,465:465,0))</f>
        <v>-254</v>
      </c>
    </row>
    <row r="499" spans="1:103" hidden="1" outlineLevel="1">
      <c r="A499" s="11"/>
      <c r="B499" s="4" t="s">
        <v>930</v>
      </c>
      <c r="C499" s="72"/>
      <c r="D499" s="72"/>
      <c r="E499" s="72"/>
      <c r="F499" s="72"/>
      <c r="G499" s="119">
        <f>-1000*G475/(G484*365)</f>
        <v>0</v>
      </c>
      <c r="H499" s="93"/>
      <c r="I499" s="93"/>
      <c r="J499" s="93"/>
      <c r="K499" s="93"/>
      <c r="L499" s="119">
        <f>-1000*L475/(L484*365)</f>
        <v>0</v>
      </c>
      <c r="M499" s="93"/>
      <c r="N499" s="93"/>
      <c r="O499" s="93"/>
      <c r="P499" s="93"/>
      <c r="Q499" s="119">
        <f>-1000*Q475/(Q484*365)</f>
        <v>0</v>
      </c>
      <c r="R499" s="93"/>
      <c r="S499" s="93"/>
      <c r="T499" s="93"/>
      <c r="U499" s="93"/>
      <c r="V499" s="119">
        <f>-1000*V475/(V484*365)</f>
        <v>0</v>
      </c>
      <c r="W499" s="93"/>
      <c r="X499" s="93"/>
      <c r="Y499" s="93"/>
      <c r="Z499" s="93"/>
      <c r="AA499" s="119">
        <f>-1000*AA475/(AA484*365)</f>
        <v>0</v>
      </c>
      <c r="AB499" s="93"/>
      <c r="AC499" s="93"/>
      <c r="AD499" s="93"/>
      <c r="AE499" s="93"/>
      <c r="AF499" s="119">
        <f>-1000*AF475/(AF484*365)</f>
        <v>0</v>
      </c>
      <c r="AG499" s="93"/>
      <c r="AH499" s="93"/>
      <c r="AI499" s="93"/>
      <c r="AJ499" s="93"/>
      <c r="AK499" s="119">
        <f>-1000*AK475/(AK484*365)</f>
        <v>0</v>
      </c>
      <c r="AL499" s="93"/>
      <c r="AM499" s="93"/>
      <c r="AN499" s="93"/>
      <c r="AO499" s="93"/>
      <c r="AP499" s="119">
        <f>-1000*AP475/(AP484*365)</f>
        <v>-8.4200990668207451E-2</v>
      </c>
      <c r="AQ499" s="93"/>
      <c r="AR499" s="93"/>
      <c r="AS499" s="93"/>
      <c r="AT499" s="93"/>
      <c r="AU499" s="119">
        <f>-1000*AU475/(AU484*365)</f>
        <v>3.9511292114031842</v>
      </c>
      <c r="AV499" s="93"/>
      <c r="AW499" s="93"/>
      <c r="AX499" s="93"/>
      <c r="AY499" s="93"/>
      <c r="AZ499" s="119">
        <f>-1000*AZ475/(AZ484*365)</f>
        <v>0</v>
      </c>
      <c r="BA499" s="93"/>
      <c r="BB499" s="93"/>
      <c r="BC499" s="93"/>
      <c r="BD499" s="93"/>
      <c r="BE499" s="119">
        <f>-1000*BE475/(BE484*365)</f>
        <v>2.4260169402907037</v>
      </c>
      <c r="BF499" s="93"/>
      <c r="BG499" s="93"/>
      <c r="BH499" s="93"/>
      <c r="BI499" s="93"/>
      <c r="BJ499" s="119">
        <f>-1000*BJ475/(BJ484*365)</f>
        <v>1.0762157497430218</v>
      </c>
      <c r="BK499" s="93"/>
      <c r="BL499" s="93"/>
      <c r="BM499" s="93"/>
      <c r="BN499" s="93"/>
      <c r="BO499" s="119">
        <f>-1000*BO475/(BO484*365)</f>
        <v>0.23127557374132718</v>
      </c>
      <c r="BP499" s="114">
        <f>-1000*BP475/(BP$484*90)</f>
        <v>0</v>
      </c>
      <c r="BQ499" s="114">
        <f>-1000*BQ475/(BQ$484*91)</f>
        <v>0</v>
      </c>
      <c r="BR499" s="114">
        <f>-1000*BR475/(BR$484*92)</f>
        <v>0</v>
      </c>
      <c r="BS499" s="114">
        <f>-1000*BS475/(BS$484*92)</f>
        <v>0</v>
      </c>
      <c r="BT499" s="104">
        <f>-1000*BT475/(BT484*365)</f>
        <v>0</v>
      </c>
      <c r="BU499" s="114">
        <f>-1000*BU475/(BU$484*90)</f>
        <v>0</v>
      </c>
      <c r="BV499" s="114">
        <f>-1000*BV475/(BV$484*91)</f>
        <v>0</v>
      </c>
      <c r="BW499" s="114">
        <f>-1000*BW475/(BW$484*92)</f>
        <v>0</v>
      </c>
      <c r="BX499" s="114">
        <f>-1000*BX475/(BX$484*92)</f>
        <v>0</v>
      </c>
      <c r="BY499" s="104">
        <f>-1000*BY475/(BY484*365)</f>
        <v>0</v>
      </c>
      <c r="BZ499" s="114">
        <f>-1000*BZ475/(BZ$484*90)</f>
        <v>0</v>
      </c>
      <c r="CA499" s="114">
        <f>-1000*CA475/(CA$484*91)</f>
        <v>0</v>
      </c>
      <c r="CB499" s="114">
        <f>-1000*CB475/(CB$484*92)</f>
        <v>0</v>
      </c>
      <c r="CC499" s="114">
        <f>-1000*CC475/(CC$484*92)</f>
        <v>0</v>
      </c>
      <c r="CD499" s="104">
        <f>-1000*CD475/(CD484*365)</f>
        <v>0</v>
      </c>
      <c r="CG499" s="468">
        <v>2006</v>
      </c>
      <c r="CH499" s="627">
        <f>INDEX(476:476,MATCH(CG499,465:465,0))</f>
        <v>975</v>
      </c>
      <c r="CI499" s="627">
        <f>INDEX(478:478,MATCH(CG499,465:465,0))</f>
        <v>-272</v>
      </c>
    </row>
    <row r="500" spans="1:103" s="391" customFormat="1" hidden="1" outlineLevel="1">
      <c r="A500" s="22"/>
      <c r="B500" s="60" t="s">
        <v>646</v>
      </c>
      <c r="C500" s="173"/>
      <c r="D500" s="158"/>
      <c r="E500" s="158"/>
      <c r="F500" s="158"/>
      <c r="G500" s="158"/>
      <c r="H500" s="173"/>
      <c r="I500" s="173"/>
      <c r="J500" s="173"/>
      <c r="K500" s="173"/>
      <c r="L500" s="158">
        <f>1000*(L468+L470+L471+L473+L472+L474)/(L484*365)</f>
        <v>27.607182261103898</v>
      </c>
      <c r="M500" s="173"/>
      <c r="N500" s="173"/>
      <c r="O500" s="173"/>
      <c r="P500" s="173"/>
      <c r="Q500" s="158">
        <f>1000*(Q468+Q470+Q471+Q473+Q472+Q474)/(Q484*365)</f>
        <v>26.391610664474378</v>
      </c>
      <c r="R500" s="173"/>
      <c r="S500" s="173"/>
      <c r="T500" s="173"/>
      <c r="U500" s="173"/>
      <c r="V500" s="158">
        <f>1000*(V468+V470+V471+V473+V472+V474)/(V484*365)</f>
        <v>43.979287431781216</v>
      </c>
      <c r="W500" s="173"/>
      <c r="X500" s="173"/>
      <c r="Y500" s="173"/>
      <c r="Z500" s="173"/>
      <c r="AA500" s="158">
        <f>1000*(AA468+AA470+AA471+AA473+AA472+AA474)/(AA484*365)</f>
        <v>24.57539774993386</v>
      </c>
      <c r="AB500" s="173"/>
      <c r="AC500" s="173"/>
      <c r="AD500" s="173"/>
      <c r="AE500" s="173"/>
      <c r="AF500" s="158">
        <f>1000*(AF468+AF470+AF471+AF473+AF472+AF474)/(AF484*365)</f>
        <v>28.061162562911235</v>
      </c>
      <c r="AG500" s="173"/>
      <c r="AH500" s="173"/>
      <c r="AI500" s="173"/>
      <c r="AJ500" s="173"/>
      <c r="AK500" s="158">
        <f>1000*(AK468+AK470+AK471+AK473+AK472+AK474)/(AK484*365)</f>
        <v>29.380355581463128</v>
      </c>
      <c r="AL500" s="173"/>
      <c r="AM500" s="173"/>
      <c r="AN500" s="173"/>
      <c r="AO500" s="173"/>
      <c r="AP500" s="158">
        <f>1000*(AP468+AP470+AP471+AP473+AP472+AP474)/(AP484*365)</f>
        <v>29.04934178053157</v>
      </c>
      <c r="AQ500" s="173"/>
      <c r="AR500" s="173"/>
      <c r="AS500" s="173"/>
      <c r="AT500" s="173"/>
      <c r="AU500" s="158">
        <f>1000*(AU468+AU470+AU471+AU473+AU472+AU474)/(AU484*365)</f>
        <v>31.042132543502404</v>
      </c>
      <c r="AV500" s="173"/>
      <c r="AW500" s="173"/>
      <c r="AX500" s="173"/>
      <c r="AY500" s="173"/>
      <c r="AZ500" s="158">
        <f>1000*(AZ468+AZ470+AZ471+AZ473+AZ472+AZ474)/(AZ484*365)</f>
        <v>26.59652471456338</v>
      </c>
      <c r="BA500" s="173"/>
      <c r="BB500" s="173"/>
      <c r="BC500" s="173"/>
      <c r="BD500" s="173"/>
      <c r="BE500" s="158">
        <f>1000*(BE468+BE470+BE471+BE473+BE472+BE474)/(BE484*365)</f>
        <v>17.138076813910757</v>
      </c>
      <c r="BF500" s="173"/>
      <c r="BG500" s="173"/>
      <c r="BH500" s="173"/>
      <c r="BI500" s="173"/>
      <c r="BJ500" s="158">
        <f>1000*(BJ468+BJ470+BJ471+BJ473+BJ472+BJ474)/(BJ484*365)</f>
        <v>10.676743549037914</v>
      </c>
      <c r="BK500" s="173"/>
      <c r="BL500" s="173"/>
      <c r="BM500" s="173"/>
      <c r="BN500" s="173"/>
      <c r="BO500" s="158">
        <f>1000*(BO468+BO470+BO471+BO473+BO472+BO474)/(BO484*365)</f>
        <v>9.0553282334104246</v>
      </c>
      <c r="BP500" s="25"/>
      <c r="BQ500" s="25"/>
      <c r="BR500" s="25"/>
      <c r="BS500" s="25"/>
      <c r="BT500" s="158">
        <f>1000*(BT468+BT470+BT471+BT473+BT472+BT474)/(BT484*365)</f>
        <v>15.51407785909467</v>
      </c>
      <c r="BU500" s="25"/>
      <c r="BV500" s="25"/>
      <c r="BW500" s="25"/>
      <c r="BX500" s="25"/>
      <c r="BY500" s="158">
        <f>1000*(BY468+BY470+BY471+BY473+BY472+BY474)/(BY484*365)</f>
        <v>14.635132639949532</v>
      </c>
      <c r="BZ500" s="25"/>
      <c r="CA500" s="25"/>
      <c r="CB500" s="25"/>
      <c r="CC500" s="25"/>
      <c r="CD500" s="158">
        <f>1000*(CD468+CD470+CD471+CD473+CD472+CD474)/(CD484*365)</f>
        <v>14.416603966724299</v>
      </c>
      <c r="CF500"/>
      <c r="CG500" s="468">
        <v>2007</v>
      </c>
      <c r="CH500" s="627">
        <f>INDEX(476:476,MATCH(CG500,465:465,0))</f>
        <v>952</v>
      </c>
      <c r="CI500" s="627">
        <f>INDEX(478:478,MATCH(CG500,465:465,0))</f>
        <v>-267</v>
      </c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</row>
    <row r="501" spans="1:103" hidden="1" outlineLevel="1">
      <c r="A501" s="11"/>
      <c r="B501" s="461"/>
      <c r="C501" s="5"/>
      <c r="D501" s="449"/>
      <c r="E501" s="449"/>
      <c r="F501" s="449"/>
      <c r="G501" s="449"/>
      <c r="H501" s="12"/>
      <c r="I501" s="12"/>
      <c r="J501" s="12"/>
      <c r="K501" s="12"/>
      <c r="L501" s="449"/>
      <c r="M501" s="12"/>
      <c r="N501" s="12"/>
      <c r="O501" s="12"/>
      <c r="P501" s="12"/>
      <c r="Q501" s="449"/>
      <c r="R501" s="12"/>
      <c r="S501" s="12"/>
      <c r="T501" s="12"/>
      <c r="U501" s="12"/>
      <c r="V501" s="449"/>
      <c r="W501" s="12"/>
      <c r="X501" s="12"/>
      <c r="Y501" s="12"/>
      <c r="Z501" s="12"/>
      <c r="AA501" s="449"/>
      <c r="AB501" s="12"/>
      <c r="AC501" s="12"/>
      <c r="AD501" s="12"/>
      <c r="AE501" s="12"/>
      <c r="AF501" s="449"/>
      <c r="AG501" s="12"/>
      <c r="AH501" s="12"/>
      <c r="AI501" s="12"/>
      <c r="AJ501" s="12"/>
      <c r="AK501" s="449"/>
      <c r="AL501" s="12"/>
      <c r="AM501" s="12"/>
      <c r="AN501" s="12"/>
      <c r="AO501" s="12"/>
      <c r="AP501" s="449"/>
      <c r="AQ501" s="12"/>
      <c r="AR501" s="12"/>
      <c r="AS501" s="12"/>
      <c r="AT501" s="12"/>
      <c r="AU501" s="449"/>
      <c r="AV501" s="12"/>
      <c r="AW501" s="12"/>
      <c r="AX501" s="12"/>
      <c r="AY501" s="12"/>
      <c r="AZ501" s="449"/>
      <c r="BA501" s="12"/>
      <c r="BB501" s="12"/>
      <c r="BC501" s="12"/>
      <c r="BD501" s="12"/>
      <c r="BE501" s="449"/>
      <c r="BF501" s="12"/>
      <c r="BG501" s="12"/>
      <c r="BH501" s="12"/>
      <c r="BI501" s="12"/>
      <c r="BJ501" s="449"/>
      <c r="BK501" s="12"/>
      <c r="BL501" s="12"/>
      <c r="BM501" s="12"/>
      <c r="BN501" s="12"/>
      <c r="BO501" s="449"/>
      <c r="BP501" s="109"/>
      <c r="BQ501" s="109"/>
      <c r="BR501" s="109"/>
      <c r="BS501" s="109"/>
      <c r="BT501" s="449"/>
      <c r="BU501" s="109"/>
      <c r="BV501" s="109"/>
      <c r="BW501" s="109"/>
      <c r="BX501" s="109"/>
      <c r="BY501" s="449"/>
      <c r="BZ501" s="109"/>
      <c r="CA501" s="109"/>
      <c r="CB501" s="109"/>
      <c r="CC501" s="109"/>
      <c r="CD501" s="449"/>
      <c r="CG501" s="468">
        <v>2008</v>
      </c>
      <c r="CH501" s="627">
        <f>INDEX(476:476,MATCH(CG501,465:465,0))</f>
        <v>1520</v>
      </c>
      <c r="CI501" s="627">
        <f>INDEX(478:478,MATCH(CG501,465:465,0))</f>
        <v>-513</v>
      </c>
    </row>
    <row r="502" spans="1:103" hidden="1" outlineLevel="1">
      <c r="A502" s="11"/>
      <c r="B502" s="5" t="s">
        <v>2138</v>
      </c>
      <c r="C502" s="72"/>
      <c r="D502" s="72"/>
      <c r="E502" s="72"/>
      <c r="F502" s="72"/>
      <c r="G502" s="119">
        <f>G498</f>
        <v>2.6217246285097091</v>
      </c>
      <c r="H502" s="93"/>
      <c r="I502" s="93"/>
      <c r="J502" s="93"/>
      <c r="K502" s="93"/>
      <c r="L502" s="119">
        <f>L498</f>
        <v>2.6899305792870463</v>
      </c>
      <c r="M502" s="93"/>
      <c r="N502" s="93"/>
      <c r="O502" s="93"/>
      <c r="P502" s="93"/>
      <c r="Q502" s="119">
        <f>Q498</f>
        <v>1.4415585657065837</v>
      </c>
      <c r="R502" s="93"/>
      <c r="S502" s="93"/>
      <c r="T502" s="93"/>
      <c r="U502" s="93"/>
      <c r="V502" s="119">
        <f>V498</f>
        <v>2.5172355306348462</v>
      </c>
      <c r="W502" s="93"/>
      <c r="X502" s="93"/>
      <c r="Y502" s="93"/>
      <c r="Z502" s="93"/>
      <c r="AA502" s="119">
        <f>AA498</f>
        <v>2.1987308331720881</v>
      </c>
      <c r="AB502" s="93"/>
      <c r="AC502" s="93"/>
      <c r="AD502" s="93"/>
      <c r="AE502" s="93"/>
      <c r="AF502" s="119">
        <f>AF498</f>
        <v>2.750452339888616</v>
      </c>
      <c r="AG502" s="93"/>
      <c r="AH502" s="93"/>
      <c r="AI502" s="93"/>
      <c r="AJ502" s="93"/>
      <c r="AK502" s="119">
        <f>AK498</f>
        <v>2.9076071116292623</v>
      </c>
      <c r="AL502" s="93"/>
      <c r="AM502" s="93"/>
      <c r="AN502" s="93"/>
      <c r="AO502" s="93"/>
      <c r="AP502" s="119">
        <f>AP498</f>
        <v>3.553281806198354</v>
      </c>
      <c r="AQ502" s="93"/>
      <c r="AR502" s="93"/>
      <c r="AS502" s="93"/>
      <c r="AT502" s="93"/>
      <c r="AU502" s="119">
        <f>AU498</f>
        <v>3.5560162902628654</v>
      </c>
      <c r="AV502" s="93"/>
      <c r="AW502" s="93"/>
      <c r="AX502" s="93"/>
      <c r="AY502" s="93"/>
      <c r="AZ502" s="119">
        <f>AZ498</f>
        <v>4.303371701912222</v>
      </c>
      <c r="BA502" s="93"/>
      <c r="BB502" s="93"/>
      <c r="BC502" s="93"/>
      <c r="BD502" s="93"/>
      <c r="BE502" s="119">
        <f>BE498</f>
        <v>5.5798389626686191</v>
      </c>
      <c r="BF502" s="93"/>
      <c r="BG502" s="93"/>
      <c r="BH502" s="93"/>
      <c r="BI502" s="93"/>
      <c r="BJ502" s="119">
        <f>BJ498</f>
        <v>4.9369262170751318</v>
      </c>
      <c r="BK502" s="93"/>
      <c r="BL502" s="93"/>
      <c r="BM502" s="93"/>
      <c r="BN502" s="93"/>
      <c r="BO502" s="119">
        <f>BO498</f>
        <v>6.5112969222558261</v>
      </c>
      <c r="BP502" s="93"/>
      <c r="BQ502" s="93"/>
      <c r="BR502" s="93"/>
      <c r="BS502" s="93"/>
      <c r="BT502" s="104">
        <f>$BJ502*(BT$74/$BJ$74)</f>
        <v>4.9377130342727407</v>
      </c>
      <c r="BU502" s="93"/>
      <c r="BV502" s="93"/>
      <c r="BW502" s="93"/>
      <c r="BX502" s="93"/>
      <c r="BY502" s="104">
        <f>$BJ502*(BY$74/$BJ$74)</f>
        <v>4.9919655098448104</v>
      </c>
      <c r="BZ502" s="93"/>
      <c r="CA502" s="93"/>
      <c r="CB502" s="93"/>
      <c r="CC502" s="93"/>
      <c r="CD502" s="104">
        <f>$BJ502*(CD$74/$BJ$74)</f>
        <v>5.0462179854168792</v>
      </c>
      <c r="CG502" s="468">
        <v>2009</v>
      </c>
      <c r="CH502" s="627">
        <f>INDEX(476:476,MATCH(CG502,465:465,0))</f>
        <v>1073</v>
      </c>
      <c r="CI502" s="627">
        <f>INDEX(478:478,MATCH(CG502,465:465,0))</f>
        <v>-2</v>
      </c>
    </row>
    <row r="503" spans="1:103" hidden="1" outlineLevel="1">
      <c r="A503" s="11"/>
      <c r="B503" s="11"/>
      <c r="C503" s="11"/>
      <c r="D503" s="11"/>
      <c r="E503" s="11"/>
      <c r="F503" s="11"/>
      <c r="G503" s="11"/>
      <c r="H503" s="11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G503" s="468">
        <v>2010</v>
      </c>
      <c r="CH503" s="627">
        <f>INDEX(476:476,MATCH(CG503,465:465,0))</f>
        <v>1714</v>
      </c>
      <c r="CI503" s="627">
        <f>INDEX(478:478,MATCH(CG503,465:465,0))</f>
        <v>-410</v>
      </c>
    </row>
    <row r="504" spans="1:103" hidden="1" outlineLevel="1">
      <c r="A504" s="39" t="s">
        <v>3094</v>
      </c>
      <c r="B504" s="11"/>
      <c r="C504" s="11"/>
      <c r="D504" s="11"/>
      <c r="E504" s="11"/>
      <c r="F504" s="11"/>
      <c r="G504" s="11"/>
      <c r="H504" s="11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G504" s="468">
        <v>2011</v>
      </c>
      <c r="CH504" s="627">
        <f>INDEX(476:476,MATCH(CG504,465:465,0))</f>
        <v>1738</v>
      </c>
      <c r="CI504" s="627">
        <f>INDEX(478:478,MATCH(CG504,465:465,0))</f>
        <v>-677</v>
      </c>
    </row>
    <row r="505" spans="1:103" hidden="1" outlineLevel="1">
      <c r="A505" s="11"/>
      <c r="B505" s="11" t="s">
        <v>1897</v>
      </c>
      <c r="C505" s="72"/>
      <c r="D505" s="72"/>
      <c r="E505" s="72"/>
      <c r="F505" s="72"/>
      <c r="G505" s="116">
        <f>-G470/G468</f>
        <v>5.008347245409015E-3</v>
      </c>
      <c r="H505" s="93"/>
      <c r="I505" s="93"/>
      <c r="J505" s="93"/>
      <c r="K505" s="93"/>
      <c r="L505" s="116">
        <f>-L470/L468</f>
        <v>4.4676098287416231E-3</v>
      </c>
      <c r="M505" s="93"/>
      <c r="N505" s="93"/>
      <c r="O505" s="93"/>
      <c r="P505" s="93"/>
      <c r="Q505" s="116">
        <f>-Q470/Q468</f>
        <v>4.6760187040748163E-3</v>
      </c>
      <c r="R505" s="93"/>
      <c r="S505" s="93"/>
      <c r="T505" s="93"/>
      <c r="U505" s="93"/>
      <c r="V505" s="116">
        <f>-V470/V468</f>
        <v>1.2801575578532743E-2</v>
      </c>
      <c r="W505" s="93"/>
      <c r="X505" s="93"/>
      <c r="Y505" s="93"/>
      <c r="Z505" s="93"/>
      <c r="AA505" s="116">
        <f>-AA470/AA468</f>
        <v>1.455989410986102E-2</v>
      </c>
      <c r="AB505" s="93"/>
      <c r="AC505" s="93"/>
      <c r="AD505" s="93"/>
      <c r="AE505" s="93"/>
      <c r="AF505" s="116">
        <f>-AF470/AF468</f>
        <v>7.30554361839278E-3</v>
      </c>
      <c r="AG505" s="93"/>
      <c r="AH505" s="93"/>
      <c r="AI505" s="93"/>
      <c r="AJ505" s="93"/>
      <c r="AK505" s="116">
        <f>-AK470/AK468</f>
        <v>2.7152831652443754E-2</v>
      </c>
      <c r="AL505" s="93"/>
      <c r="AM505" s="93"/>
      <c r="AN505" s="93"/>
      <c r="AO505" s="93"/>
      <c r="AP505" s="116">
        <f>-AP470/AP468</f>
        <v>4.954954954954955E-2</v>
      </c>
      <c r="AQ505" s="93"/>
      <c r="AR505" s="93"/>
      <c r="AS505" s="93"/>
      <c r="AT505" s="93"/>
      <c r="AU505" s="116">
        <f>-AU470/AU468</f>
        <v>1.7247706422018349E-2</v>
      </c>
      <c r="AV505" s="93"/>
      <c r="AW505" s="93"/>
      <c r="AX505" s="93"/>
      <c r="AY505" s="93"/>
      <c r="AZ505" s="116">
        <f>-AZ470/AZ468</f>
        <v>2.3790642347343377E-2</v>
      </c>
      <c r="BA505" s="93"/>
      <c r="BB505" s="93"/>
      <c r="BC505" s="93"/>
      <c r="BD505" s="93"/>
      <c r="BE505" s="116">
        <f>-BE470/BE468</f>
        <v>2.9050279329608939E-2</v>
      </c>
      <c r="BF505" s="93"/>
      <c r="BG505" s="93"/>
      <c r="BH505" s="93"/>
      <c r="BI505" s="93"/>
      <c r="BJ505" s="116">
        <f>-BJ470/BJ468</f>
        <v>6.5877128053293862E-2</v>
      </c>
      <c r="BK505" s="93"/>
      <c r="BL505" s="93"/>
      <c r="BM505" s="93"/>
      <c r="BN505" s="93"/>
      <c r="BO505" s="116">
        <f>-BO470/BO468</f>
        <v>1.1691884456671253E-2</v>
      </c>
      <c r="BP505" s="117">
        <f t="shared" ref="BP505:CD505" si="219">-BP470/BP468</f>
        <v>1.8245286016729954E-2</v>
      </c>
      <c r="BQ505" s="117">
        <f t="shared" si="219"/>
        <v>1.1239039973144169E-2</v>
      </c>
      <c r="BR505" s="117">
        <f t="shared" si="219"/>
        <v>1.0883168744042691E-2</v>
      </c>
      <c r="BS505" s="117">
        <f t="shared" si="219"/>
        <v>1.0865626991980973E-2</v>
      </c>
      <c r="BT505" s="116">
        <f t="shared" si="219"/>
        <v>1.2710839248957767E-2</v>
      </c>
      <c r="BU505" s="117">
        <f t="shared" si="219"/>
        <v>1.0700381527883329E-2</v>
      </c>
      <c r="BV505" s="117">
        <f t="shared" si="219"/>
        <v>1.0930758608449146E-2</v>
      </c>
      <c r="BW505" s="117">
        <f t="shared" si="219"/>
        <v>1.0847215783536333E-2</v>
      </c>
      <c r="BX505" s="117">
        <f t="shared" si="219"/>
        <v>1.0750792576589162E-2</v>
      </c>
      <c r="BY505" s="116">
        <f t="shared" si="219"/>
        <v>1.0806560514533881E-2</v>
      </c>
      <c r="BZ505" s="117">
        <f t="shared" si="219"/>
        <v>7.2617456837020204E-3</v>
      </c>
      <c r="CA505" s="117">
        <f t="shared" si="219"/>
        <v>7.3025429080117166E-3</v>
      </c>
      <c r="CB505" s="117">
        <f t="shared" si="219"/>
        <v>7.1517831126770466E-3</v>
      </c>
      <c r="CC505" s="117">
        <f t="shared" si="219"/>
        <v>7.0550806136571824E-3</v>
      </c>
      <c r="CD505" s="116">
        <f t="shared" si="219"/>
        <v>7.1914814659858693E-3</v>
      </c>
      <c r="CG505" s="468">
        <v>2012</v>
      </c>
      <c r="CH505" s="627">
        <f>INDEX(476:476,MATCH(CG505,465:465,0))</f>
        <v>1730</v>
      </c>
      <c r="CI505" s="627">
        <f>INDEX(478:478,MATCH(CG505,465:465,0))</f>
        <v>-755</v>
      </c>
    </row>
    <row r="506" spans="1:103" hidden="1" outlineLevel="1">
      <c r="A506" s="11"/>
      <c r="B506" s="11" t="s">
        <v>2149</v>
      </c>
      <c r="C506" s="72"/>
      <c r="D506" s="72"/>
      <c r="E506" s="72"/>
      <c r="F506" s="72"/>
      <c r="G506" s="116">
        <f>-G471/G468</f>
        <v>4.4794101279910965E-2</v>
      </c>
      <c r="H506" s="93"/>
      <c r="I506" s="93"/>
      <c r="J506" s="93"/>
      <c r="K506" s="93"/>
      <c r="L506" s="116">
        <f>-L471/L468</f>
        <v>4.0208488458674606E-2</v>
      </c>
      <c r="M506" s="93"/>
      <c r="N506" s="93"/>
      <c r="O506" s="93"/>
      <c r="P506" s="93"/>
      <c r="Q506" s="116">
        <f>-Q471/Q468</f>
        <v>4.2752171008684038E-2</v>
      </c>
      <c r="R506" s="93"/>
      <c r="S506" s="93"/>
      <c r="T506" s="93"/>
      <c r="U506" s="93"/>
      <c r="V506" s="116">
        <f>-V471/V468</f>
        <v>3.0526834071885771E-2</v>
      </c>
      <c r="W506" s="93"/>
      <c r="X506" s="93"/>
      <c r="Y506" s="93"/>
      <c r="Z506" s="93"/>
      <c r="AA506" s="116">
        <f>-AA471/AA468</f>
        <v>4.6326935804103242E-2</v>
      </c>
      <c r="AB506" s="93"/>
      <c r="AC506" s="93"/>
      <c r="AD506" s="93"/>
      <c r="AE506" s="93"/>
      <c r="AF506" s="116">
        <f>-AF471/AF468</f>
        <v>5.3287494628276748E-2</v>
      </c>
      <c r="AG506" s="93"/>
      <c r="AH506" s="93"/>
      <c r="AI506" s="93"/>
      <c r="AJ506" s="93"/>
      <c r="AK506" s="116">
        <f>-AK471/AK468</f>
        <v>7.5252133436772686E-2</v>
      </c>
      <c r="AL506" s="93"/>
      <c r="AM506" s="93"/>
      <c r="AN506" s="93"/>
      <c r="AO506" s="93"/>
      <c r="AP506" s="116">
        <f>-AP471/AP468</f>
        <v>7.1696696696696691E-2</v>
      </c>
      <c r="AQ506" s="93"/>
      <c r="AR506" s="93"/>
      <c r="AS506" s="93"/>
      <c r="AT506" s="93"/>
      <c r="AU506" s="116">
        <f>-AU471/AU468</f>
        <v>6.8623853211009181E-2</v>
      </c>
      <c r="AV506" s="93"/>
      <c r="AW506" s="93"/>
      <c r="AX506" s="93"/>
      <c r="AY506" s="93"/>
      <c r="AZ506" s="116">
        <f>-AZ471/AZ468</f>
        <v>9.1990483743061069E-2</v>
      </c>
      <c r="BA506" s="93"/>
      <c r="BB506" s="93"/>
      <c r="BC506" s="93"/>
      <c r="BD506" s="93"/>
      <c r="BE506" s="116">
        <f>-BE471/BE468</f>
        <v>9.2737430167597765E-2</v>
      </c>
      <c r="BF506" s="93"/>
      <c r="BG506" s="93"/>
      <c r="BH506" s="93"/>
      <c r="BI506" s="93"/>
      <c r="BJ506" s="116">
        <f>-BJ471/BJ468</f>
        <v>0.11398963730569948</v>
      </c>
      <c r="BK506" s="93"/>
      <c r="BL506" s="93"/>
      <c r="BM506" s="93"/>
      <c r="BN506" s="93"/>
      <c r="BO506" s="116">
        <f>-BO471/BO468</f>
        <v>0.10797799174690509</v>
      </c>
      <c r="BP506" s="117">
        <f t="shared" ref="BP506:CD506" si="220">-BP471/BP468</f>
        <v>9.2730306201264351E-2</v>
      </c>
      <c r="BQ506" s="117">
        <f t="shared" si="220"/>
        <v>8.7135372779879622E-2</v>
      </c>
      <c r="BR506" s="117">
        <f t="shared" si="220"/>
        <v>8.5841552386686878E-2</v>
      </c>
      <c r="BS506" s="117">
        <f t="shared" si="220"/>
        <v>8.6626067191188608E-2</v>
      </c>
      <c r="BT506" s="116">
        <f t="shared" si="220"/>
        <v>8.7996926618534227E-2</v>
      </c>
      <c r="BU506" s="117">
        <f t="shared" si="220"/>
        <v>9.1575370884843257E-2</v>
      </c>
      <c r="BV506" s="117">
        <f t="shared" si="220"/>
        <v>9.2330518439681278E-2</v>
      </c>
      <c r="BW506" s="117">
        <f t="shared" si="220"/>
        <v>9.3221479413597194E-2</v>
      </c>
      <c r="BX506" s="117">
        <f t="shared" si="220"/>
        <v>9.3397103545328389E-2</v>
      </c>
      <c r="BY506" s="116">
        <f t="shared" si="220"/>
        <v>9.2629793108915517E-2</v>
      </c>
      <c r="BZ506" s="117">
        <f t="shared" si="220"/>
        <v>9.6729016638770204E-2</v>
      </c>
      <c r="CA506" s="117">
        <f t="shared" si="220"/>
        <v>9.4950365535771006E-2</v>
      </c>
      <c r="CB506" s="117">
        <f t="shared" si="220"/>
        <v>9.4611127915146503E-2</v>
      </c>
      <c r="CC506" s="117">
        <f t="shared" si="220"/>
        <v>9.4347306186901278E-2</v>
      </c>
      <c r="CD506" s="116">
        <f t="shared" si="220"/>
        <v>9.5151765932841109E-2</v>
      </c>
      <c r="CG506" s="468">
        <v>2013</v>
      </c>
      <c r="CH506" s="627">
        <f>INDEX(476:476,MATCH(CG506,465:465,0))</f>
        <v>1577</v>
      </c>
      <c r="CI506" s="627">
        <f>INDEX(478:478,MATCH(CG506,465:465,0))</f>
        <v>-641</v>
      </c>
    </row>
    <row r="507" spans="1:103" hidden="1" outlineLevel="1">
      <c r="A507" s="11"/>
      <c r="B507" s="11" t="s">
        <v>2150</v>
      </c>
      <c r="C507" s="72"/>
      <c r="D507" s="72"/>
      <c r="E507" s="72"/>
      <c r="F507" s="72"/>
      <c r="G507" s="116">
        <f>-G472/G468</f>
        <v>4.5075125208681135E-2</v>
      </c>
      <c r="H507" s="93"/>
      <c r="I507" s="93"/>
      <c r="J507" s="93"/>
      <c r="K507" s="93"/>
      <c r="L507" s="116">
        <f>-L472/L468</f>
        <v>4.6909903201787041E-2</v>
      </c>
      <c r="M507" s="93"/>
      <c r="N507" s="93"/>
      <c r="O507" s="93"/>
      <c r="P507" s="93"/>
      <c r="Q507" s="116">
        <f>-Q472/Q468</f>
        <v>3.7408149632598531E-2</v>
      </c>
      <c r="R507" s="93"/>
      <c r="S507" s="93"/>
      <c r="T507" s="93"/>
      <c r="U507" s="93"/>
      <c r="V507" s="116">
        <f>-V472/V468</f>
        <v>5.4160512063023143E-2</v>
      </c>
      <c r="W507" s="93"/>
      <c r="X507" s="93"/>
      <c r="Y507" s="93"/>
      <c r="Z507" s="93"/>
      <c r="AA507" s="116">
        <f>-AA472/AA468</f>
        <v>4.7650562541363337E-2</v>
      </c>
      <c r="AB507" s="93"/>
      <c r="AC507" s="93"/>
      <c r="AD507" s="93"/>
      <c r="AE507" s="93"/>
      <c r="AF507" s="116">
        <f>-AF472/AF468</f>
        <v>4.6841426729694886E-2</v>
      </c>
      <c r="AG507" s="93"/>
      <c r="AH507" s="93"/>
      <c r="AI507" s="93"/>
      <c r="AJ507" s="93"/>
      <c r="AK507" s="380">
        <f>-AK472/AK468</f>
        <v>5.7020946470131888E-2</v>
      </c>
      <c r="AL507" s="93"/>
      <c r="AM507" s="93"/>
      <c r="AN507" s="93"/>
      <c r="AO507" s="93"/>
      <c r="AP507" s="380">
        <f>-AP472/AP468</f>
        <v>5.2927927927927929E-2</v>
      </c>
      <c r="AQ507" s="93"/>
      <c r="AR507" s="93"/>
      <c r="AS507" s="93"/>
      <c r="AT507" s="93"/>
      <c r="AU507" s="380">
        <f>-AU472/AU468</f>
        <v>4.623853211009174E-2</v>
      </c>
      <c r="AV507" s="93"/>
      <c r="AW507" s="93"/>
      <c r="AX507" s="93"/>
      <c r="AY507" s="93"/>
      <c r="AZ507" s="380">
        <f>-AZ472/AZ468</f>
        <v>3.6875495638382237E-2</v>
      </c>
      <c r="BA507" s="93"/>
      <c r="BB507" s="93"/>
      <c r="BC507" s="93"/>
      <c r="BD507" s="93"/>
      <c r="BE507" s="380">
        <f>-BE472/BE468</f>
        <v>2.5698324022346369E-2</v>
      </c>
      <c r="BF507" s="93"/>
      <c r="BG507" s="93"/>
      <c r="BH507" s="93"/>
      <c r="BI507" s="93"/>
      <c r="BJ507" s="380">
        <f>-BJ472/BJ468</f>
        <v>3.0347890451517395E-2</v>
      </c>
      <c r="BK507" s="93"/>
      <c r="BL507" s="93"/>
      <c r="BM507" s="93"/>
      <c r="BN507" s="93"/>
      <c r="BO507" s="380">
        <f>-BO472/BO468</f>
        <v>3.8514442916093537E-2</v>
      </c>
      <c r="BP507" s="117">
        <f>BT507</f>
        <v>0.03</v>
      </c>
      <c r="BQ507" s="117">
        <f>BT507</f>
        <v>0.03</v>
      </c>
      <c r="BR507" s="117">
        <f>BT507</f>
        <v>0.03</v>
      </c>
      <c r="BS507" s="117">
        <f>BT507</f>
        <v>0.03</v>
      </c>
      <c r="BT507" s="118">
        <v>0.03</v>
      </c>
      <c r="BU507" s="117">
        <f>BY507</f>
        <v>0.03</v>
      </c>
      <c r="BV507" s="117">
        <f>BY507</f>
        <v>0.03</v>
      </c>
      <c r="BW507" s="117">
        <f>BY507</f>
        <v>0.03</v>
      </c>
      <c r="BX507" s="117">
        <f>BY507</f>
        <v>0.03</v>
      </c>
      <c r="BY507" s="118">
        <v>0.03</v>
      </c>
      <c r="BZ507" s="117">
        <f>CD507</f>
        <v>0.03</v>
      </c>
      <c r="CA507" s="117">
        <f>CD507</f>
        <v>0.03</v>
      </c>
      <c r="CB507" s="117">
        <f>CD507</f>
        <v>0.03</v>
      </c>
      <c r="CC507" s="117">
        <f>CD507</f>
        <v>0.03</v>
      </c>
      <c r="CD507" s="118">
        <v>0.03</v>
      </c>
      <c r="CG507" s="468">
        <v>2014</v>
      </c>
      <c r="CH507" s="627">
        <f>INDEX(476:476,MATCH(CG507,465:465,0))</f>
        <v>1576</v>
      </c>
      <c r="CI507" s="627">
        <f>INDEX(478:478,MATCH(CG507,465:465,0))</f>
        <v>-599</v>
      </c>
    </row>
    <row r="508" spans="1:103" hidden="1" outlineLevel="1">
      <c r="A508" s="11"/>
      <c r="B508" s="11" t="s">
        <v>2158</v>
      </c>
      <c r="C508" s="72"/>
      <c r="D508" s="72"/>
      <c r="E508" s="72"/>
      <c r="F508" s="72"/>
      <c r="G508" s="116">
        <f>-G473/G468</f>
        <v>0.12437395659432388</v>
      </c>
      <c r="H508" s="93"/>
      <c r="I508" s="93"/>
      <c r="J508" s="93"/>
      <c r="K508" s="93"/>
      <c r="L508" s="116">
        <f>-L473/L468</f>
        <v>0.11169024571854058</v>
      </c>
      <c r="M508" s="93"/>
      <c r="N508" s="93"/>
      <c r="O508" s="93"/>
      <c r="P508" s="93"/>
      <c r="Q508" s="116">
        <f>-Q473/Q468</f>
        <v>0.24448897795591182</v>
      </c>
      <c r="R508" s="93"/>
      <c r="S508" s="93"/>
      <c r="T508" s="93"/>
      <c r="U508" s="93"/>
      <c r="V508" s="116">
        <f>-V473/V468</f>
        <v>0.11127523387493846</v>
      </c>
      <c r="W508" s="93"/>
      <c r="X508" s="93"/>
      <c r="Y508" s="93"/>
      <c r="Z508" s="93"/>
      <c r="AA508" s="116">
        <f>-AA473/AA468</f>
        <v>0.11780277961614824</v>
      </c>
      <c r="AB508" s="93"/>
      <c r="AC508" s="93"/>
      <c r="AD508" s="93"/>
      <c r="AE508" s="93"/>
      <c r="AF508" s="116">
        <f>-AF473/AF468</f>
        <v>8.3798882681564241E-2</v>
      </c>
      <c r="AG508" s="93"/>
      <c r="AH508" s="93"/>
      <c r="AI508" s="93"/>
      <c r="AJ508" s="93"/>
      <c r="AK508" s="116">
        <f>-AK473/AK468</f>
        <v>9.9689681923972068E-2</v>
      </c>
      <c r="AL508" s="93"/>
      <c r="AM508" s="93"/>
      <c r="AN508" s="93"/>
      <c r="AO508" s="93"/>
      <c r="AP508" s="116">
        <f>-AP473/AP468</f>
        <v>9.90990990990991E-2</v>
      </c>
      <c r="AQ508" s="93"/>
      <c r="AR508" s="93"/>
      <c r="AS508" s="93"/>
      <c r="AT508" s="93"/>
      <c r="AU508" s="116">
        <f>-AU473/AU468</f>
        <v>0.12880733944954129</v>
      </c>
      <c r="AV508" s="93"/>
      <c r="AW508" s="93"/>
      <c r="AX508" s="93"/>
      <c r="AY508" s="93"/>
      <c r="AZ508" s="116">
        <f>-AZ473/AZ468</f>
        <v>0.12133227597145123</v>
      </c>
      <c r="BA508" s="93"/>
      <c r="BB508" s="93"/>
      <c r="BC508" s="93"/>
      <c r="BD508" s="93"/>
      <c r="BE508" s="116">
        <f>-BE473/BE468</f>
        <v>0.12011173184357542</v>
      </c>
      <c r="BF508" s="93"/>
      <c r="BG508" s="93"/>
      <c r="BH508" s="93"/>
      <c r="BI508" s="93"/>
      <c r="BJ508" s="116">
        <f>-BJ473/BJ468</f>
        <v>0.11324944485566248</v>
      </c>
      <c r="BK508" s="93"/>
      <c r="BL508" s="93"/>
      <c r="BM508" s="93"/>
      <c r="BN508" s="93"/>
      <c r="BO508" s="116">
        <f>-BO473/BO468</f>
        <v>0.24002751031636863</v>
      </c>
      <c r="BP508" s="117">
        <f t="shared" ref="BP508:CD508" si="221">-BP473/BP468</f>
        <v>0.20164081929489366</v>
      </c>
      <c r="BQ508" s="117">
        <f t="shared" si="221"/>
        <v>0.19192801327639131</v>
      </c>
      <c r="BR508" s="117">
        <f t="shared" si="221"/>
        <v>0.18585083425159193</v>
      </c>
      <c r="BS508" s="117">
        <f t="shared" si="221"/>
        <v>0.18555127542533645</v>
      </c>
      <c r="BT508" s="116">
        <f t="shared" si="221"/>
        <v>0.19102556900422807</v>
      </c>
      <c r="BU508" s="117">
        <f t="shared" si="221"/>
        <v>0.19614342425102546</v>
      </c>
      <c r="BV508" s="117">
        <f t="shared" si="221"/>
        <v>0.20036635306280512</v>
      </c>
      <c r="BW508" s="117">
        <f t="shared" si="221"/>
        <v>0.19883497068103656</v>
      </c>
      <c r="BX508" s="117">
        <f t="shared" si="221"/>
        <v>0.19706748435930113</v>
      </c>
      <c r="BY508" s="116">
        <f t="shared" si="221"/>
        <v>0.19808973896614784</v>
      </c>
      <c r="BZ508" s="117">
        <f t="shared" si="221"/>
        <v>0.20669915705970143</v>
      </c>
      <c r="CA508" s="117">
        <f t="shared" si="221"/>
        <v>0.20786041390378454</v>
      </c>
      <c r="CB508" s="117">
        <f t="shared" si="221"/>
        <v>0.20356916990110516</v>
      </c>
      <c r="CC508" s="117">
        <f t="shared" si="221"/>
        <v>0.20081661894385611</v>
      </c>
      <c r="CD508" s="116">
        <f t="shared" si="221"/>
        <v>0.20469914835573597</v>
      </c>
      <c r="CG508" s="468">
        <v>2015</v>
      </c>
      <c r="CH508" s="627">
        <f>INDEX(476:476,MATCH(CG508,465:465,0))</f>
        <v>849</v>
      </c>
      <c r="CI508" s="627">
        <f>INDEX(478:478,MATCH(CG508,465:465,0))</f>
        <v>-472</v>
      </c>
    </row>
    <row r="509" spans="1:103" hidden="1" outlineLevel="1">
      <c r="A509" s="11"/>
      <c r="B509" s="11" t="s">
        <v>2154</v>
      </c>
      <c r="C509" s="72"/>
      <c r="D509" s="72"/>
      <c r="E509" s="72"/>
      <c r="F509" s="72"/>
      <c r="G509" s="116">
        <f>-G474/G468</f>
        <v>7.929883138564274E-2</v>
      </c>
      <c r="H509" s="93"/>
      <c r="I509" s="93"/>
      <c r="J509" s="93"/>
      <c r="K509" s="93"/>
      <c r="L509" s="116">
        <f>-L474/L468</f>
        <v>7.0737155621742362E-2</v>
      </c>
      <c r="M509" s="93"/>
      <c r="N509" s="93"/>
      <c r="O509" s="93"/>
      <c r="P509" s="93"/>
      <c r="Q509" s="116">
        <f>-Q474/Q468</f>
        <v>3.4736138944555781E-2</v>
      </c>
      <c r="R509" s="93"/>
      <c r="S509" s="93"/>
      <c r="T509" s="93"/>
      <c r="U509" s="93"/>
      <c r="V509" s="116">
        <f>-V474/V468</f>
        <v>4.2836041358936483E-2</v>
      </c>
      <c r="W509" s="93"/>
      <c r="X509" s="93"/>
      <c r="Y509" s="93"/>
      <c r="Z509" s="93"/>
      <c r="AA509" s="116">
        <f>-AA474/AA468</f>
        <v>6.3534083388484444E-2</v>
      </c>
      <c r="AB509" s="93"/>
      <c r="AC509" s="93"/>
      <c r="AD509" s="93"/>
      <c r="AE509" s="93"/>
      <c r="AF509" s="116">
        <f>-AF474/AF468</f>
        <v>7.2195960464116887E-2</v>
      </c>
      <c r="AG509" s="93"/>
      <c r="AH509" s="93"/>
      <c r="AI509" s="93"/>
      <c r="AJ509" s="93"/>
      <c r="AK509" s="116">
        <f>-AK474/AK468</f>
        <v>6.671838634600466E-2</v>
      </c>
      <c r="AL509" s="93"/>
      <c r="AM509" s="93"/>
      <c r="AN509" s="93"/>
      <c r="AO509" s="93"/>
      <c r="AP509" s="116">
        <f>-AP474/AP468</f>
        <v>7.9204204204204209E-2</v>
      </c>
      <c r="AQ509" s="93"/>
      <c r="AR509" s="93"/>
      <c r="AS509" s="93"/>
      <c r="AT509" s="93"/>
      <c r="AU509" s="116">
        <f>-AU474/AU468</f>
        <v>7.5963302752293571E-2</v>
      </c>
      <c r="AV509" s="93"/>
      <c r="AW509" s="93"/>
      <c r="AX509" s="93"/>
      <c r="AY509" s="93"/>
      <c r="AZ509" s="116">
        <f>-AZ474/AZ468</f>
        <v>0.10111022997620936</v>
      </c>
      <c r="BA509" s="93"/>
      <c r="BB509" s="93"/>
      <c r="BC509" s="93"/>
      <c r="BD509" s="93"/>
      <c r="BE509" s="116">
        <f>-BE474/BE468</f>
        <v>0.17988826815642459</v>
      </c>
      <c r="BF509" s="93"/>
      <c r="BG509" s="93"/>
      <c r="BH509" s="93"/>
      <c r="BI509" s="93"/>
      <c r="BJ509" s="116">
        <f>-BJ474/BJ468</f>
        <v>0.21391561806069578</v>
      </c>
      <c r="BK509" s="93"/>
      <c r="BL509" s="93"/>
      <c r="BM509" s="93"/>
      <c r="BN509" s="93"/>
      <c r="BO509" s="116">
        <f>-BO474/BO468</f>
        <v>0.2517193947730399</v>
      </c>
      <c r="BP509" s="117">
        <f t="shared" ref="BP509:CD509" si="222">-BP474/BP468</f>
        <v>0.17255910033156696</v>
      </c>
      <c r="BQ509" s="117">
        <f t="shared" si="222"/>
        <v>0.16214765323126612</v>
      </c>
      <c r="BR509" s="117">
        <f t="shared" si="222"/>
        <v>0.15974002090278652</v>
      </c>
      <c r="BS509" s="117">
        <f t="shared" si="222"/>
        <v>0.16119990143599425</v>
      </c>
      <c r="BT509" s="116">
        <f t="shared" si="222"/>
        <v>0.163750893438009</v>
      </c>
      <c r="BU509" s="117">
        <f t="shared" si="222"/>
        <v>0.16808026516439512</v>
      </c>
      <c r="BV509" s="117">
        <f t="shared" si="222"/>
        <v>0.16946628631865315</v>
      </c>
      <c r="BW509" s="117">
        <f t="shared" si="222"/>
        <v>0.17110158361857056</v>
      </c>
      <c r="BX509" s="117">
        <f t="shared" si="222"/>
        <v>0.17142392957628186</v>
      </c>
      <c r="BY509" s="116">
        <f t="shared" si="222"/>
        <v>0.17001558429337973</v>
      </c>
      <c r="BZ509" s="117">
        <f t="shared" si="222"/>
        <v>0.17509162632534278</v>
      </c>
      <c r="CA509" s="117">
        <f t="shared" si="222"/>
        <v>0.17187204522019725</v>
      </c>
      <c r="CB509" s="117">
        <f t="shared" si="222"/>
        <v>0.17125798266927003</v>
      </c>
      <c r="CC509" s="117">
        <f t="shared" si="222"/>
        <v>0.17078043232229478</v>
      </c>
      <c r="CD509" s="116">
        <f t="shared" si="222"/>
        <v>0.17223660514534631</v>
      </c>
      <c r="CG509" s="468">
        <v>2016</v>
      </c>
      <c r="CH509" s="627">
        <f>INDEX(476:476,MATCH(CG509,465:465,0))</f>
        <v>562</v>
      </c>
      <c r="CI509" s="627">
        <f>INDEX(478:478,MATCH(CG509,465:465,0))</f>
        <v>-288</v>
      </c>
    </row>
    <row r="510" spans="1:103" hidden="1" outlineLevel="1">
      <c r="A510" s="11"/>
      <c r="B510" s="4" t="s">
        <v>930</v>
      </c>
      <c r="C510" s="72"/>
      <c r="D510" s="72"/>
      <c r="E510" s="72"/>
      <c r="F510" s="72"/>
      <c r="G510" s="116">
        <f>-G475/G468</f>
        <v>0</v>
      </c>
      <c r="H510" s="93"/>
      <c r="I510" s="93"/>
      <c r="J510" s="93"/>
      <c r="K510" s="93"/>
      <c r="L510" s="116">
        <f>-L475/L468</f>
        <v>0</v>
      </c>
      <c r="M510" s="93"/>
      <c r="N510" s="93"/>
      <c r="O510" s="93"/>
      <c r="P510" s="93"/>
      <c r="Q510" s="116">
        <f>-Q475/Q468</f>
        <v>0</v>
      </c>
      <c r="R510" s="93"/>
      <c r="S510" s="93"/>
      <c r="T510" s="93"/>
      <c r="U510" s="93"/>
      <c r="V510" s="116">
        <f>-V475/V468</f>
        <v>0</v>
      </c>
      <c r="W510" s="93"/>
      <c r="X510" s="93"/>
      <c r="Y510" s="93"/>
      <c r="Z510" s="93"/>
      <c r="AA510" s="116">
        <f>-AA475/AA468</f>
        <v>0</v>
      </c>
      <c r="AB510" s="93"/>
      <c r="AC510" s="93"/>
      <c r="AD510" s="93"/>
      <c r="AE510" s="93"/>
      <c r="AF510" s="116">
        <f>-AF475/AF468</f>
        <v>0</v>
      </c>
      <c r="AG510" s="93"/>
      <c r="AH510" s="93"/>
      <c r="AI510" s="93"/>
      <c r="AJ510" s="93"/>
      <c r="AK510" s="116">
        <f>-AK475/AK468</f>
        <v>0</v>
      </c>
      <c r="AL510" s="93"/>
      <c r="AM510" s="93"/>
      <c r="AN510" s="93"/>
      <c r="AO510" s="93"/>
      <c r="AP510" s="116">
        <f>-AP475/AP468</f>
        <v>-1.8768768768768769E-3</v>
      </c>
      <c r="AQ510" s="93"/>
      <c r="AR510" s="93"/>
      <c r="AS510" s="93"/>
      <c r="AT510" s="93"/>
      <c r="AU510" s="116">
        <f>-AU475/AU468</f>
        <v>8.4403669724770647E-2</v>
      </c>
      <c r="AV510" s="93"/>
      <c r="AW510" s="93"/>
      <c r="AX510" s="93"/>
      <c r="AY510" s="93"/>
      <c r="AZ510" s="116">
        <f>-AZ475/AZ468</f>
        <v>0</v>
      </c>
      <c r="BA510" s="93"/>
      <c r="BB510" s="93"/>
      <c r="BC510" s="93"/>
      <c r="BD510" s="93"/>
      <c r="BE510" s="116">
        <f>-BE475/BE468</f>
        <v>7.8212290502793297E-2</v>
      </c>
      <c r="BF510" s="93"/>
      <c r="BG510" s="93"/>
      <c r="BH510" s="93"/>
      <c r="BI510" s="93"/>
      <c r="BJ510" s="116">
        <f>-BJ475/BJ468</f>
        <v>4.6632124352331605E-2</v>
      </c>
      <c r="BK510" s="93"/>
      <c r="BL510" s="93"/>
      <c r="BM510" s="93"/>
      <c r="BN510" s="93"/>
      <c r="BO510" s="116">
        <f>-BO475/BO468</f>
        <v>8.9408528198074277E-3</v>
      </c>
      <c r="BP510" s="117">
        <f t="shared" ref="BP510:CD510" si="223">-BP475/BP468</f>
        <v>0</v>
      </c>
      <c r="BQ510" s="117">
        <f t="shared" si="223"/>
        <v>0</v>
      </c>
      <c r="BR510" s="117">
        <f t="shared" si="223"/>
        <v>0</v>
      </c>
      <c r="BS510" s="117">
        <f t="shared" si="223"/>
        <v>0</v>
      </c>
      <c r="BT510" s="116">
        <f t="shared" si="223"/>
        <v>0</v>
      </c>
      <c r="BU510" s="117">
        <f t="shared" si="223"/>
        <v>0</v>
      </c>
      <c r="BV510" s="117">
        <f t="shared" si="223"/>
        <v>0</v>
      </c>
      <c r="BW510" s="117">
        <f t="shared" si="223"/>
        <v>0</v>
      </c>
      <c r="BX510" s="117">
        <f t="shared" si="223"/>
        <v>0</v>
      </c>
      <c r="BY510" s="116">
        <f t="shared" si="223"/>
        <v>0</v>
      </c>
      <c r="BZ510" s="117">
        <f t="shared" si="223"/>
        <v>0</v>
      </c>
      <c r="CA510" s="117">
        <f t="shared" si="223"/>
        <v>0</v>
      </c>
      <c r="CB510" s="117">
        <f t="shared" si="223"/>
        <v>0</v>
      </c>
      <c r="CC510" s="117">
        <f t="shared" si="223"/>
        <v>0</v>
      </c>
      <c r="CD510" s="116">
        <f t="shared" si="223"/>
        <v>0</v>
      </c>
    </row>
    <row r="511" spans="1:103" hidden="1" outlineLevel="1">
      <c r="A511" s="11"/>
      <c r="B511" s="11"/>
      <c r="C511" s="11"/>
      <c r="D511" s="11"/>
      <c r="E511" s="11"/>
      <c r="F511" s="11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  <c r="AA511" s="11"/>
      <c r="AB511" s="11"/>
      <c r="AC511" s="11"/>
      <c r="AD511" s="11"/>
      <c r="AE511" s="11"/>
      <c r="AF511" s="11"/>
      <c r="AG511" s="11"/>
      <c r="AH511" s="11"/>
      <c r="AI511" s="11"/>
      <c r="AJ511" s="11"/>
      <c r="AK511" s="11"/>
      <c r="AL511" s="5"/>
      <c r="AM511" s="5"/>
      <c r="AN511" s="5"/>
      <c r="AO511" s="5"/>
      <c r="AP511" s="11"/>
      <c r="AQ511" s="5"/>
      <c r="AR511" s="5"/>
      <c r="AS511" s="5"/>
      <c r="AT511" s="5"/>
      <c r="AU511" s="11"/>
      <c r="AV511" s="5"/>
      <c r="AW511" s="5"/>
      <c r="AX511" s="5"/>
      <c r="AY511" s="5"/>
      <c r="AZ511" s="11"/>
      <c r="BA511" s="5"/>
      <c r="BB511" s="5"/>
      <c r="BC511" s="5"/>
      <c r="BD511" s="5"/>
      <c r="BE511" s="11"/>
      <c r="BF511" s="5"/>
      <c r="BG511" s="5"/>
      <c r="BH511" s="5"/>
      <c r="BI511" s="5"/>
      <c r="BJ511" s="11"/>
      <c r="BK511" s="5"/>
      <c r="BL511" s="5"/>
      <c r="BM511" s="5"/>
      <c r="BN511" s="5"/>
      <c r="BO511" s="11"/>
      <c r="BP511" s="11"/>
      <c r="BQ511" s="11"/>
      <c r="BR511" s="11"/>
      <c r="BS511" s="11"/>
      <c r="BT511" s="11"/>
      <c r="BU511" s="11"/>
      <c r="BV511" s="11"/>
      <c r="BW511" s="11"/>
      <c r="BX511" s="11"/>
      <c r="BY511" s="11"/>
      <c r="BZ511" s="11"/>
      <c r="CA511" s="11"/>
      <c r="CB511" s="11"/>
      <c r="CC511" s="11"/>
      <c r="CD511" s="11"/>
      <c r="CG511" t="s">
        <v>3695</v>
      </c>
      <c r="CI511" s="440">
        <f>COVAR(CH498:CH509,CI498:CI509)/VARP(CH498:CH509)</f>
        <v>-0.37350345580994532</v>
      </c>
    </row>
    <row r="512" spans="1:103" hidden="1" outlineLevel="1">
      <c r="A512" s="11" t="s">
        <v>3095</v>
      </c>
      <c r="B512" s="11"/>
      <c r="C512" s="72"/>
      <c r="D512" s="72"/>
      <c r="E512" s="72"/>
      <c r="F512" s="72"/>
      <c r="G512" s="116">
        <f>-G478/G476</f>
        <v>0.30225980856878787</v>
      </c>
      <c r="H512" s="93"/>
      <c r="I512" s="93"/>
      <c r="J512" s="93"/>
      <c r="K512" s="93"/>
      <c r="L512" s="116">
        <f>-L478/L476</f>
        <v>0.27897435897435896</v>
      </c>
      <c r="M512" s="93"/>
      <c r="N512" s="93"/>
      <c r="O512" s="93"/>
      <c r="P512" s="93"/>
      <c r="Q512" s="116">
        <f>-Q478/Q476</f>
        <v>0.28046218487394958</v>
      </c>
      <c r="R512" s="93"/>
      <c r="S512" s="93"/>
      <c r="T512" s="93"/>
      <c r="U512" s="93"/>
      <c r="V512" s="116">
        <f>-V478/V476</f>
        <v>0.33750000000000002</v>
      </c>
      <c r="W512" s="93"/>
      <c r="X512" s="93"/>
      <c r="Y512" s="93"/>
      <c r="Z512" s="93"/>
      <c r="AA512" s="116">
        <f>-AA478/AA476</f>
        <v>1.863932898415657E-3</v>
      </c>
      <c r="AB512" s="93"/>
      <c r="AC512" s="93"/>
      <c r="AD512" s="93"/>
      <c r="AE512" s="93"/>
      <c r="AF512" s="116">
        <f>-AF478/AF476</f>
        <v>0.23920653442240372</v>
      </c>
      <c r="AG512" s="93"/>
      <c r="AH512" s="93"/>
      <c r="AI512" s="93"/>
      <c r="AJ512" s="93"/>
      <c r="AK512" s="116">
        <f>-AK478/AK476</f>
        <v>0.38952819332566169</v>
      </c>
      <c r="AL512" s="93"/>
      <c r="AM512" s="93"/>
      <c r="AN512" s="93"/>
      <c r="AO512" s="93"/>
      <c r="AP512" s="116">
        <f>-AP478/AP476</f>
        <v>0.43641618497109824</v>
      </c>
      <c r="AQ512" s="93"/>
      <c r="AR512" s="93"/>
      <c r="AS512" s="93"/>
      <c r="AT512" s="93"/>
      <c r="AU512" s="116">
        <f>-AU478/AU476</f>
        <v>0.4064679771718453</v>
      </c>
      <c r="AV512" s="93"/>
      <c r="AW512" s="93"/>
      <c r="AX512" s="93"/>
      <c r="AY512" s="93"/>
      <c r="AZ512" s="116">
        <f>-AZ478/AZ476</f>
        <v>0.38007614213197971</v>
      </c>
      <c r="BA512" s="93"/>
      <c r="BB512" s="93"/>
      <c r="BC512" s="93"/>
      <c r="BD512" s="93"/>
      <c r="BE512" s="116">
        <f>-BE478/BE476</f>
        <v>0.55594817432273258</v>
      </c>
      <c r="BF512" s="93"/>
      <c r="BG512" s="93"/>
      <c r="BH512" s="93"/>
      <c r="BI512" s="93"/>
      <c r="BJ512" s="116">
        <f>-BJ478/BJ476</f>
        <v>0.51245551601423489</v>
      </c>
      <c r="BK512" s="93"/>
      <c r="BL512" s="93"/>
      <c r="BM512" s="93"/>
      <c r="BN512" s="93"/>
      <c r="BO512" s="116">
        <f>-BO478/BO476</f>
        <v>0.29435483870967744</v>
      </c>
      <c r="BP512" s="117">
        <f>BT512</f>
        <v>0.3275662077240496</v>
      </c>
      <c r="BQ512" s="117">
        <f>BT512</f>
        <v>0.3275662077240496</v>
      </c>
      <c r="BR512" s="117">
        <f>BT512</f>
        <v>0.3275662077240496</v>
      </c>
      <c r="BS512" s="117">
        <f>BT512</f>
        <v>0.3275662077240496</v>
      </c>
      <c r="BT512" s="118">
        <f>-(BT476*$CI$511+$CI$512)/BT476</f>
        <v>0.3275662077240496</v>
      </c>
      <c r="BU512" s="117">
        <f>BY512</f>
        <v>0.32433288019941775</v>
      </c>
      <c r="BV512" s="117">
        <f>BY512</f>
        <v>0.32433288019941775</v>
      </c>
      <c r="BW512" s="117">
        <f>BY512</f>
        <v>0.32433288019941775</v>
      </c>
      <c r="BX512" s="117">
        <f>BY512</f>
        <v>0.32433288019941775</v>
      </c>
      <c r="BY512" s="118">
        <f>-(BY476*$CI$511+$CI$512)/BY476</f>
        <v>0.32433288019941775</v>
      </c>
      <c r="BZ512" s="117">
        <f>CD512</f>
        <v>0.3218911148409575</v>
      </c>
      <c r="CA512" s="117">
        <f>CD512</f>
        <v>0.3218911148409575</v>
      </c>
      <c r="CB512" s="117">
        <f>CD512</f>
        <v>0.3218911148409575</v>
      </c>
      <c r="CC512" s="117">
        <f>CD512</f>
        <v>0.3218911148409575</v>
      </c>
      <c r="CD512" s="118">
        <f>-(CD476*$CI$511+$CI$512)/CD476</f>
        <v>0.3218911148409575</v>
      </c>
      <c r="CG512" t="s">
        <v>3696</v>
      </c>
      <c r="CI512">
        <f>AVERAGE(CI498:CI509)-CI511*AVERAGE(CH498:CH509)</f>
        <v>41.022412469040773</v>
      </c>
    </row>
    <row r="513" spans="1:87" hidden="1" outlineLevel="1">
      <c r="A513" s="11" t="s">
        <v>3471</v>
      </c>
      <c r="B513" s="11"/>
      <c r="C513" s="93"/>
      <c r="D513" s="93"/>
      <c r="E513" s="93"/>
      <c r="F513" s="93"/>
      <c r="G513" s="119">
        <f>(G479-G475-G474-G470)/(G484*0.365)</f>
        <v>18.968499653450195</v>
      </c>
      <c r="H513" s="93"/>
      <c r="I513" s="93"/>
      <c r="J513" s="93"/>
      <c r="K513" s="93"/>
      <c r="L513" s="119">
        <f>(L479-L475-L474-L470)/(L484*0.365)</f>
        <v>22.765307218387214</v>
      </c>
      <c r="M513" s="93"/>
      <c r="N513" s="93"/>
      <c r="O513" s="93"/>
      <c r="P513" s="93"/>
      <c r="Q513" s="119">
        <f>(Q479-Q475-Q474-Q470)/(Q484*0.365)</f>
        <v>20.625376401648044</v>
      </c>
      <c r="R513" s="93"/>
      <c r="S513" s="93"/>
      <c r="T513" s="93"/>
      <c r="U513" s="93"/>
      <c r="V513" s="119">
        <f>(V479-V475-V474-V470)/(V484*0.365)</f>
        <v>32.405790739207212</v>
      </c>
      <c r="W513" s="93"/>
      <c r="X513" s="93"/>
      <c r="Y513" s="93"/>
      <c r="Z513" s="93"/>
      <c r="AA513" s="119">
        <f>(AA479-AA475-AA474-AA470)/(AA484*0.365)</f>
        <v>27.232197506683463</v>
      </c>
      <c r="AB513" s="93"/>
      <c r="AC513" s="93"/>
      <c r="AD513" s="93"/>
      <c r="AE513" s="93"/>
      <c r="AF513" s="119">
        <f>(AF479-AF475-AF474-AF470)/(AF484*0.365)</f>
        <v>24.377521036274697</v>
      </c>
      <c r="AG513" s="93"/>
      <c r="AH513" s="93"/>
      <c r="AI513" s="93"/>
      <c r="AJ513" s="93"/>
      <c r="AK513" s="119">
        <f>(AK479-AK475-AK474-AK470)/(AK484*0.365)</f>
        <v>22.026814339842609</v>
      </c>
      <c r="AL513" s="93"/>
      <c r="AM513" s="93"/>
      <c r="AN513" s="93"/>
      <c r="AO513" s="93"/>
      <c r="AP513" s="119">
        <f>(AP479-AP475-AP474-AP470)/(AP484*0.365)</f>
        <v>22.111180149471274</v>
      </c>
      <c r="AQ513" s="93"/>
      <c r="AR513" s="93"/>
      <c r="AS513" s="93"/>
      <c r="AT513" s="93"/>
      <c r="AU513" s="119">
        <f>(AU479-AU475-AU474-AU470)/(AU484*0.365)</f>
        <v>24.393928174750094</v>
      </c>
      <c r="AV513" s="93"/>
      <c r="AW513" s="93"/>
      <c r="AX513" s="93"/>
      <c r="AY513" s="93"/>
      <c r="AZ513" s="119">
        <f>(AZ479-AZ475-AZ474-AZ470)/(AZ484*0.365)</f>
        <v>21.803749956355258</v>
      </c>
      <c r="BA513" s="93"/>
      <c r="BB513" s="93"/>
      <c r="BC513" s="93"/>
      <c r="BD513" s="93"/>
      <c r="BE513" s="119">
        <f>(BE479-BE475-BE474-BE470)/(BE484*0.365)</f>
        <v>15.439864955707264</v>
      </c>
      <c r="BF513" s="93"/>
      <c r="BG513" s="93"/>
      <c r="BH513" s="93"/>
      <c r="BI513" s="93"/>
      <c r="BJ513" s="119">
        <f>(BJ479-BJ475-BJ474-BJ470)/(BJ484*0.365)</f>
        <v>12.214194620099375</v>
      </c>
      <c r="BK513" s="93"/>
      <c r="BL513" s="93"/>
      <c r="BM513" s="93"/>
      <c r="BN513" s="93"/>
      <c r="BO513" s="119">
        <f>(BO479-BO475-BO474-BO470)/(BO484*0.365)</f>
        <v>13.271659847002313</v>
      </c>
      <c r="BP513" s="93"/>
      <c r="BQ513" s="93"/>
      <c r="BR513" s="93"/>
      <c r="BS513" s="93"/>
      <c r="BT513" s="119">
        <f>(BT479-BT475-BT474-BT470)/(BT484*0.365)</f>
        <v>15.753000979839014</v>
      </c>
      <c r="BU513" s="93"/>
      <c r="BV513" s="93"/>
      <c r="BW513" s="93"/>
      <c r="BX513" s="93"/>
      <c r="BY513" s="119">
        <f>(BY479-BY475-BY474-BY470)/(BY484*0.365)</f>
        <v>15.197559843488596</v>
      </c>
      <c r="BZ513" s="93"/>
      <c r="CA513" s="93"/>
      <c r="CB513" s="93"/>
      <c r="CC513" s="93"/>
      <c r="CD513" s="119">
        <f>(CD479-CD475-CD474-CD470)/(CD484*0.365)</f>
        <v>15.047339598182944</v>
      </c>
      <c r="CG513" t="s">
        <v>3697</v>
      </c>
      <c r="CI513" s="381">
        <f>CORREL(CH498:CH509,CI498:CI509)^2</f>
        <v>0.51320470748431923</v>
      </c>
    </row>
    <row r="514" spans="1:87" collapsed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</row>
    <row r="515" spans="1:87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</row>
    <row r="516" spans="1:87" ht="15.75">
      <c r="A516" s="42" t="s">
        <v>1673</v>
      </c>
      <c r="B516" s="7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  <c r="Z516" s="8"/>
      <c r="AA516" s="8"/>
      <c r="AB516" s="8"/>
      <c r="AC516" s="8"/>
      <c r="AD516" s="8"/>
      <c r="AE516" s="8"/>
      <c r="AF516" s="8"/>
      <c r="AG516" s="8"/>
      <c r="AH516" s="8"/>
      <c r="AI516" s="8"/>
      <c r="AJ516" s="8"/>
      <c r="AK516" s="8"/>
      <c r="AL516" s="8"/>
      <c r="AM516" s="8"/>
      <c r="AN516" s="8"/>
      <c r="AO516" s="8"/>
      <c r="AP516" s="8"/>
      <c r="AQ516" s="8"/>
      <c r="AR516" s="8"/>
      <c r="AS516" s="8"/>
      <c r="AT516" s="8"/>
      <c r="AU516" s="8"/>
      <c r="AV516" s="8"/>
      <c r="AW516" s="8"/>
      <c r="AX516" s="8"/>
      <c r="AY516" s="8"/>
      <c r="AZ516" s="8"/>
      <c r="BA516" s="8"/>
      <c r="BB516" s="8"/>
      <c r="BC516" s="8"/>
      <c r="BD516" s="8"/>
      <c r="BE516" s="8"/>
      <c r="BF516" s="8"/>
      <c r="BG516" s="8"/>
      <c r="BH516" s="8"/>
      <c r="BI516" s="8"/>
      <c r="BJ516" s="8"/>
      <c r="BK516" s="8"/>
      <c r="BL516" s="8"/>
      <c r="BM516" s="8"/>
      <c r="BN516" s="8"/>
      <c r="BO516" s="8"/>
      <c r="BP516" s="8"/>
      <c r="BQ516" s="8"/>
      <c r="BR516" s="8"/>
      <c r="BS516" s="8"/>
      <c r="BT516" s="8"/>
      <c r="BU516" s="8"/>
      <c r="BV516" s="8"/>
      <c r="BW516" s="8"/>
      <c r="BX516" s="8"/>
      <c r="BY516" s="8"/>
      <c r="BZ516" s="8"/>
      <c r="CA516" s="8"/>
      <c r="CB516" s="8"/>
      <c r="CC516" s="8"/>
      <c r="CD516" s="8"/>
    </row>
    <row r="517" spans="1:87">
      <c r="A517" s="11"/>
      <c r="B517" s="4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</row>
    <row r="518" spans="1:87">
      <c r="A518" s="24" t="s">
        <v>1674</v>
      </c>
      <c r="B518" s="4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</row>
    <row r="519" spans="1:87">
      <c r="A519" s="10"/>
      <c r="B519" s="10"/>
      <c r="C519" s="31">
        <v>2001</v>
      </c>
      <c r="D519" s="32">
        <v>2002</v>
      </c>
      <c r="E519" s="32">
        <v>2003</v>
      </c>
      <c r="F519" s="32">
        <v>2004</v>
      </c>
      <c r="G519" s="31">
        <v>2005</v>
      </c>
      <c r="H519" s="33" t="str">
        <f>H465</f>
        <v>1Q06</v>
      </c>
      <c r="I519" s="33" t="str">
        <f>I465</f>
        <v>2Q06</v>
      </c>
      <c r="J519" s="33" t="str">
        <f>J465</f>
        <v>3Q06</v>
      </c>
      <c r="K519" s="33" t="str">
        <f>K465</f>
        <v>4Q06</v>
      </c>
      <c r="L519" s="31">
        <v>2006</v>
      </c>
      <c r="M519" s="33" t="str">
        <f>M465</f>
        <v>1Q07</v>
      </c>
      <c r="N519" s="33" t="str">
        <f>N465</f>
        <v>2Q07</v>
      </c>
      <c r="O519" s="33" t="str">
        <f>O465</f>
        <v>3Q07</v>
      </c>
      <c r="P519" s="33" t="str">
        <f>P465</f>
        <v>4Q07</v>
      </c>
      <c r="Q519" s="31">
        <v>2007</v>
      </c>
      <c r="R519" s="33" t="str">
        <f>R465</f>
        <v>1Q08</v>
      </c>
      <c r="S519" s="33" t="str">
        <f>S465</f>
        <v>2Q08</v>
      </c>
      <c r="T519" s="33" t="str">
        <f>T465</f>
        <v>3Q08</v>
      </c>
      <c r="U519" s="33" t="str">
        <f>U465</f>
        <v>4Q08</v>
      </c>
      <c r="V519" s="31">
        <v>2008</v>
      </c>
      <c r="W519" s="33" t="str">
        <f>W465</f>
        <v>1Q09</v>
      </c>
      <c r="X519" s="33" t="str">
        <f>X465</f>
        <v>2Q09</v>
      </c>
      <c r="Y519" s="33" t="str">
        <f>Y465</f>
        <v>3Q09</v>
      </c>
      <c r="Z519" s="33" t="str">
        <f>Z465</f>
        <v>4Q09</v>
      </c>
      <c r="AA519" s="31">
        <v>2009</v>
      </c>
      <c r="AB519" s="33" t="str">
        <f>AB465</f>
        <v>1Q10</v>
      </c>
      <c r="AC519" s="33" t="str">
        <f>AC465</f>
        <v>2Q10</v>
      </c>
      <c r="AD519" s="33" t="str">
        <f>AD465</f>
        <v>3Q10</v>
      </c>
      <c r="AE519" s="33" t="str">
        <f>AE465</f>
        <v>4Q10</v>
      </c>
      <c r="AF519" s="31">
        <v>2010</v>
      </c>
      <c r="AG519" s="33" t="str">
        <f>AG465</f>
        <v>1Q11</v>
      </c>
      <c r="AH519" s="33" t="str">
        <f>AH465</f>
        <v>2Q11</v>
      </c>
      <c r="AI519" s="33" t="str">
        <f>AI465</f>
        <v>3Q11</v>
      </c>
      <c r="AJ519" s="33" t="str">
        <f>AJ465</f>
        <v>4Q11</v>
      </c>
      <c r="AK519" s="31">
        <v>2011</v>
      </c>
      <c r="AL519" s="363" t="s">
        <v>2397</v>
      </c>
      <c r="AM519" s="363" t="s">
        <v>2398</v>
      </c>
      <c r="AN519" s="363" t="s">
        <v>2399</v>
      </c>
      <c r="AO519" s="363" t="s">
        <v>2400</v>
      </c>
      <c r="AP519" s="364">
        <v>2012</v>
      </c>
      <c r="AQ519" s="363" t="s">
        <v>2401</v>
      </c>
      <c r="AR519" s="363" t="s">
        <v>2402</v>
      </c>
      <c r="AS519" s="363" t="s">
        <v>2403</v>
      </c>
      <c r="AT519" s="363" t="s">
        <v>2404</v>
      </c>
      <c r="AU519" s="364">
        <v>2013</v>
      </c>
      <c r="AV519" s="363" t="s">
        <v>2405</v>
      </c>
      <c r="AW519" s="363" t="s">
        <v>2406</v>
      </c>
      <c r="AX519" s="363" t="s">
        <v>2407</v>
      </c>
      <c r="AY519" s="363" t="s">
        <v>2408</v>
      </c>
      <c r="AZ519" s="364">
        <v>2014</v>
      </c>
      <c r="BA519" s="33" t="str">
        <f t="shared" ref="BA519:BI519" si="224">BA$8</f>
        <v>1Q15</v>
      </c>
      <c r="BB519" s="33" t="str">
        <f t="shared" si="224"/>
        <v>2Q15</v>
      </c>
      <c r="BC519" s="33" t="str">
        <f t="shared" si="224"/>
        <v>3Q15</v>
      </c>
      <c r="BD519" s="33" t="str">
        <f t="shared" si="224"/>
        <v>4Q15</v>
      </c>
      <c r="BE519" s="31">
        <f t="shared" si="224"/>
        <v>2015</v>
      </c>
      <c r="BF519" s="33" t="str">
        <f t="shared" si="224"/>
        <v>1Q16</v>
      </c>
      <c r="BG519" s="33" t="str">
        <f t="shared" si="224"/>
        <v>2Q16</v>
      </c>
      <c r="BH519" s="33" t="str">
        <f t="shared" si="224"/>
        <v>3Q16</v>
      </c>
      <c r="BI519" s="33" t="str">
        <f t="shared" si="224"/>
        <v>4Q16</v>
      </c>
      <c r="BJ519" s="31">
        <v>2016</v>
      </c>
      <c r="BK519" s="33" t="s">
        <v>2417</v>
      </c>
      <c r="BL519" s="33" t="s">
        <v>2418</v>
      </c>
      <c r="BM519" s="33" t="s">
        <v>2419</v>
      </c>
      <c r="BN519" s="33" t="s">
        <v>2420</v>
      </c>
      <c r="BO519" s="31">
        <v>2017</v>
      </c>
      <c r="BP519" s="363" t="s">
        <v>2244</v>
      </c>
      <c r="BQ519" s="363" t="s">
        <v>2245</v>
      </c>
      <c r="BR519" s="363" t="s">
        <v>2508</v>
      </c>
      <c r="BS519" s="363" t="s">
        <v>2509</v>
      </c>
      <c r="BT519" s="364">
        <v>2018</v>
      </c>
      <c r="BU519" s="363" t="s">
        <v>2510</v>
      </c>
      <c r="BV519" s="363" t="s">
        <v>2511</v>
      </c>
      <c r="BW519" s="363" t="s">
        <v>3125</v>
      </c>
      <c r="BX519" s="363" t="s">
        <v>1405</v>
      </c>
      <c r="BY519" s="364">
        <v>2019</v>
      </c>
      <c r="BZ519" s="363" t="s">
        <v>1406</v>
      </c>
      <c r="CA519" s="363" t="s">
        <v>1407</v>
      </c>
      <c r="CB519" s="363" t="s">
        <v>1408</v>
      </c>
      <c r="CC519" s="363" t="s">
        <v>1409</v>
      </c>
      <c r="CD519" s="364">
        <v>2020</v>
      </c>
    </row>
    <row r="520" spans="1:87">
      <c r="A520" s="4" t="s">
        <v>2156</v>
      </c>
      <c r="B520" s="5"/>
      <c r="C520" s="72"/>
      <c r="D520" s="72"/>
      <c r="E520" s="72"/>
      <c r="F520" s="72"/>
      <c r="G520" s="72"/>
      <c r="H520" s="93"/>
      <c r="I520" s="93"/>
      <c r="J520" s="93"/>
      <c r="K520" s="93"/>
      <c r="L520" s="72"/>
      <c r="M520" s="93"/>
      <c r="N520" s="93"/>
      <c r="O520" s="93"/>
      <c r="P520" s="93"/>
      <c r="Q520" s="72"/>
      <c r="R520" s="93"/>
      <c r="S520" s="93"/>
      <c r="T520" s="93"/>
      <c r="U520" s="93"/>
      <c r="V520" s="72"/>
      <c r="W520" s="93"/>
      <c r="X520" s="93"/>
      <c r="Y520" s="93"/>
      <c r="Z520" s="93"/>
      <c r="AA520" s="5">
        <f>SUM(AA578,AA683,AA737,AA798)</f>
        <v>8770</v>
      </c>
      <c r="AB520" s="93"/>
      <c r="AC520" s="93"/>
      <c r="AD520" s="93"/>
      <c r="AE520" s="93"/>
      <c r="AF520" s="5">
        <f>SUM(AF578,AF683,AF737,AF798)</f>
        <v>10435</v>
      </c>
      <c r="AG520" s="93"/>
      <c r="AH520" s="93"/>
      <c r="AI520" s="93"/>
      <c r="AJ520" s="93"/>
      <c r="AK520" s="5">
        <f>SUM(AK578,AK683,AK737,AK798)</f>
        <v>13589</v>
      </c>
      <c r="AL520" s="93"/>
      <c r="AM520" s="93"/>
      <c r="AN520" s="93"/>
      <c r="AO520" s="93"/>
      <c r="AP520" s="5">
        <f>SUM(AP578,AP683,AP737,AP798)</f>
        <v>12984</v>
      </c>
      <c r="AQ520" s="93"/>
      <c r="AR520" s="93"/>
      <c r="AS520" s="93"/>
      <c r="AT520" s="93"/>
      <c r="AU520" s="5">
        <f>SUM(AU578,AU683,AU737,AU798)</f>
        <v>7499</v>
      </c>
      <c r="AV520" s="93"/>
      <c r="AW520" s="93"/>
      <c r="AX520" s="93"/>
      <c r="AY520" s="93"/>
      <c r="AZ520" s="5">
        <f>SUM(AZ578,AZ683,AZ737,AZ798)</f>
        <v>3729</v>
      </c>
      <c r="BA520" s="93"/>
      <c r="BB520" s="93"/>
      <c r="BC520" s="93"/>
      <c r="BD520" s="93"/>
      <c r="BE520" s="5">
        <f>SUM(BE578,BE683,BE737,BE798)</f>
        <v>3082</v>
      </c>
      <c r="BF520" s="93"/>
      <c r="BG520" s="93"/>
      <c r="BH520" s="93"/>
      <c r="BI520" s="93"/>
      <c r="BJ520" s="173">
        <f t="shared" ref="BE520:CD522" si="225">SUM(BJ578,BJ628,BJ683,BJ737,BJ798)</f>
        <v>2903</v>
      </c>
      <c r="BK520" s="93"/>
      <c r="BL520" s="93"/>
      <c r="BM520" s="93"/>
      <c r="BN520" s="93"/>
      <c r="BO520" s="173">
        <f t="shared" ref="BO520" si="226">SUM(BO578,BO628,BO683,BO737,BO798)</f>
        <v>3511</v>
      </c>
      <c r="BP520" s="72"/>
      <c r="BQ520" s="72"/>
      <c r="BR520" s="72"/>
      <c r="BS520" s="72"/>
      <c r="BT520" s="72"/>
      <c r="BU520" s="72"/>
      <c r="BV520" s="72"/>
      <c r="BW520" s="72"/>
      <c r="BX520" s="72"/>
      <c r="BY520" s="72"/>
      <c r="BZ520" s="72"/>
      <c r="CA520" s="72"/>
      <c r="CB520" s="72"/>
      <c r="CC520" s="72"/>
      <c r="CD520" s="72"/>
    </row>
    <row r="521" spans="1:87">
      <c r="A521" s="4" t="s">
        <v>2157</v>
      </c>
      <c r="B521" s="5"/>
      <c r="C521" s="72"/>
      <c r="D521" s="72"/>
      <c r="E521" s="72"/>
      <c r="F521" s="72"/>
      <c r="G521" s="72"/>
      <c r="H521" s="93"/>
      <c r="I521" s="93"/>
      <c r="J521" s="93"/>
      <c r="K521" s="93"/>
      <c r="L521" s="72"/>
      <c r="M521" s="93"/>
      <c r="N521" s="93"/>
      <c r="O521" s="93"/>
      <c r="P521" s="93"/>
      <c r="Q521" s="72"/>
      <c r="R521" s="93"/>
      <c r="S521" s="93"/>
      <c r="T521" s="93"/>
      <c r="U521" s="93"/>
      <c r="V521" s="72"/>
      <c r="W521" s="93"/>
      <c r="X521" s="93"/>
      <c r="Y521" s="93"/>
      <c r="Z521" s="93"/>
      <c r="AA521" s="5">
        <f>SUM(AA579,AA684,AA738,AA799)</f>
        <v>2838</v>
      </c>
      <c r="AB521" s="93"/>
      <c r="AC521" s="93"/>
      <c r="AD521" s="93"/>
      <c r="AE521" s="93"/>
      <c r="AF521" s="5">
        <f>SUM(AF579,AF684,AF738,AF799)</f>
        <v>3451</v>
      </c>
      <c r="AG521" s="93"/>
      <c r="AH521" s="93"/>
      <c r="AI521" s="93"/>
      <c r="AJ521" s="93"/>
      <c r="AK521" s="5">
        <f>SUM(AK579,AK684,AK738,AK799)</f>
        <v>5172</v>
      </c>
      <c r="AL521" s="93"/>
      <c r="AM521" s="93"/>
      <c r="AN521" s="93"/>
      <c r="AO521" s="93"/>
      <c r="AP521" s="5">
        <f>SUM(AP579,AP684,AP738,AP799)</f>
        <v>3660</v>
      </c>
      <c r="AQ521" s="93"/>
      <c r="AR521" s="93"/>
      <c r="AS521" s="93"/>
      <c r="AT521" s="93"/>
      <c r="AU521" s="5">
        <f>SUM(AU579,AU684,AU738,AU799)</f>
        <v>9693</v>
      </c>
      <c r="AV521" s="93"/>
      <c r="AW521" s="93"/>
      <c r="AX521" s="93"/>
      <c r="AY521" s="93"/>
      <c r="AZ521" s="5">
        <f>SUM(AZ579,AZ684,AZ738,AZ799)</f>
        <v>10991</v>
      </c>
      <c r="BA521" s="93"/>
      <c r="BB521" s="93"/>
      <c r="BC521" s="93"/>
      <c r="BD521" s="93"/>
      <c r="BE521" s="5">
        <f>SUM(BE579,BE684,BE738,BE799)</f>
        <v>8611</v>
      </c>
      <c r="BF521" s="93"/>
      <c r="BG521" s="93"/>
      <c r="BH521" s="93"/>
      <c r="BI521" s="93"/>
      <c r="BJ521" s="173">
        <f t="shared" si="225"/>
        <v>8145</v>
      </c>
      <c r="BK521" s="93"/>
      <c r="BL521" s="93"/>
      <c r="BM521" s="93"/>
      <c r="BN521" s="93"/>
      <c r="BO521" s="173">
        <f t="shared" ref="BO521" si="227">SUM(BO579,BO629,BO684,BO738,BO799)</f>
        <v>11537</v>
      </c>
      <c r="BP521" s="72"/>
      <c r="BQ521" s="72"/>
      <c r="BR521" s="72"/>
      <c r="BS521" s="72"/>
      <c r="BT521" s="72"/>
      <c r="BU521" s="72"/>
      <c r="BV521" s="72"/>
      <c r="BW521" s="72"/>
      <c r="BX521" s="72"/>
      <c r="BY521" s="72"/>
      <c r="BZ521" s="72"/>
      <c r="CA521" s="72"/>
      <c r="CB521" s="72"/>
      <c r="CC521" s="72"/>
      <c r="CD521" s="72"/>
    </row>
    <row r="522" spans="1:87">
      <c r="A522" s="7" t="s">
        <v>2155</v>
      </c>
      <c r="B522" s="8"/>
      <c r="C522" s="73">
        <f>C520+C521</f>
        <v>0</v>
      </c>
      <c r="D522" s="73">
        <f>D520+D521</f>
        <v>0</v>
      </c>
      <c r="E522" s="73">
        <f>E520+E521</f>
        <v>0</v>
      </c>
      <c r="F522" s="73">
        <f>F520+F521</f>
        <v>0</v>
      </c>
      <c r="G522" s="73">
        <f>G520+G521</f>
        <v>0</v>
      </c>
      <c r="H522" s="93"/>
      <c r="I522" s="93"/>
      <c r="J522" s="93"/>
      <c r="K522" s="93"/>
      <c r="L522" s="73">
        <f>L520+L521</f>
        <v>0</v>
      </c>
      <c r="M522" s="93"/>
      <c r="N522" s="93"/>
      <c r="O522" s="93"/>
      <c r="P522" s="93"/>
      <c r="Q522" s="73">
        <f>Q520+Q521</f>
        <v>0</v>
      </c>
      <c r="R522" s="93"/>
      <c r="S522" s="93"/>
      <c r="T522" s="93"/>
      <c r="U522" s="93"/>
      <c r="V522" s="73">
        <f>V520+V521</f>
        <v>0</v>
      </c>
      <c r="W522" s="93"/>
      <c r="X522" s="93"/>
      <c r="Y522" s="93"/>
      <c r="Z522" s="93"/>
      <c r="AA522" s="8">
        <f>AA520+AA521</f>
        <v>11608</v>
      </c>
      <c r="AB522" s="93"/>
      <c r="AC522" s="93"/>
      <c r="AD522" s="93"/>
      <c r="AE522" s="93"/>
      <c r="AF522" s="8">
        <f>AF520+AF521</f>
        <v>13886</v>
      </c>
      <c r="AG522" s="93"/>
      <c r="AH522" s="93"/>
      <c r="AI522" s="93"/>
      <c r="AJ522" s="93"/>
      <c r="AK522" s="8">
        <f>AK520+AK521</f>
        <v>18761</v>
      </c>
      <c r="AL522" s="93"/>
      <c r="AM522" s="93"/>
      <c r="AN522" s="93"/>
      <c r="AO522" s="93"/>
      <c r="AP522" s="8">
        <f>AP520+AP521</f>
        <v>16644</v>
      </c>
      <c r="AQ522" s="93"/>
      <c r="AR522" s="93"/>
      <c r="AS522" s="93"/>
      <c r="AT522" s="93"/>
      <c r="AU522" s="8">
        <f>AU520+AU521</f>
        <v>17192</v>
      </c>
      <c r="AV522" s="93"/>
      <c r="AW522" s="93"/>
      <c r="AX522" s="93"/>
      <c r="AY522" s="93"/>
      <c r="AZ522" s="8">
        <f>AZ520+AZ521</f>
        <v>14720</v>
      </c>
      <c r="BA522" s="93"/>
      <c r="BB522" s="93"/>
      <c r="BC522" s="93"/>
      <c r="BD522" s="93"/>
      <c r="BE522" s="8">
        <f t="shared" si="225"/>
        <v>11693</v>
      </c>
      <c r="BF522" s="93"/>
      <c r="BG522" s="93"/>
      <c r="BH522" s="93"/>
      <c r="BI522" s="93"/>
      <c r="BJ522" s="8">
        <f t="shared" si="225"/>
        <v>11048</v>
      </c>
      <c r="BK522" s="93"/>
      <c r="BL522" s="93"/>
      <c r="BM522" s="93"/>
      <c r="BN522" s="93"/>
      <c r="BO522" s="8">
        <f t="shared" ref="BO522" si="228">SUM(BO580,BO630,BO685,BO739,BO800)</f>
        <v>15048</v>
      </c>
      <c r="BP522" s="19">
        <f t="shared" ca="1" si="225"/>
        <v>3267.52075606261</v>
      </c>
      <c r="BQ522" s="19">
        <f t="shared" ca="1" si="225"/>
        <v>3330.1669921962966</v>
      </c>
      <c r="BR522" s="19">
        <f t="shared" ca="1" si="225"/>
        <v>3314.2588792545139</v>
      </c>
      <c r="BS522" s="19">
        <f t="shared" ca="1" si="225"/>
        <v>3322.7671264942328</v>
      </c>
      <c r="BT522" s="8">
        <f t="shared" ca="1" si="225"/>
        <v>13234.713754007653</v>
      </c>
      <c r="BU522" s="19">
        <f t="shared" ca="1" si="225"/>
        <v>3213.7136533977364</v>
      </c>
      <c r="BV522" s="19">
        <f t="shared" ca="1" si="225"/>
        <v>3198.7181720843223</v>
      </c>
      <c r="BW522" s="19">
        <f t="shared" ca="1" si="225"/>
        <v>3209.9120878378453</v>
      </c>
      <c r="BX522" s="19">
        <f t="shared" ca="1" si="225"/>
        <v>3261.0061947254726</v>
      </c>
      <c r="BY522" s="8">
        <f t="shared" ca="1" si="225"/>
        <v>12883.350108045377</v>
      </c>
      <c r="BZ522" s="19">
        <f t="shared" ca="1" si="225"/>
        <v>3363.910226744666</v>
      </c>
      <c r="CA522" s="19">
        <f t="shared" ca="1" si="225"/>
        <v>3376.1618880894393</v>
      </c>
      <c r="CB522" s="19">
        <f t="shared" ca="1" si="225"/>
        <v>3414.3033409376308</v>
      </c>
      <c r="CC522" s="19">
        <f t="shared" ca="1" si="225"/>
        <v>3488.6405294579649</v>
      </c>
      <c r="CD522" s="8">
        <f t="shared" ca="1" si="225"/>
        <v>13643.015985229702</v>
      </c>
    </row>
    <row r="523" spans="1:87">
      <c r="A523" s="4"/>
      <c r="B523" s="5"/>
      <c r="C523" s="5"/>
      <c r="D523" s="5"/>
      <c r="E523" s="5"/>
      <c r="F523" s="5"/>
      <c r="G523" s="5"/>
      <c r="H523" s="12"/>
      <c r="I523" s="12"/>
      <c r="J523" s="12"/>
      <c r="K523" s="12"/>
      <c r="L523" s="5"/>
      <c r="M523" s="12"/>
      <c r="N523" s="12"/>
      <c r="O523" s="12"/>
      <c r="P523" s="12"/>
      <c r="Q523" s="5"/>
      <c r="R523" s="12"/>
      <c r="S523" s="12"/>
      <c r="T523" s="12"/>
      <c r="U523" s="12"/>
      <c r="V523" s="5"/>
      <c r="W523" s="12"/>
      <c r="X523" s="12"/>
      <c r="Y523" s="12"/>
      <c r="Z523" s="12"/>
      <c r="AA523" s="5"/>
      <c r="AB523" s="12"/>
      <c r="AC523" s="12"/>
      <c r="AD523" s="12"/>
      <c r="AE523" s="12"/>
      <c r="AF523" s="5"/>
      <c r="AG523" s="12"/>
      <c r="AH523" s="12"/>
      <c r="AI523" s="12"/>
      <c r="AJ523" s="12"/>
      <c r="AK523" s="5"/>
      <c r="AL523" s="12"/>
      <c r="AM523" s="12"/>
      <c r="AN523" s="12"/>
      <c r="AO523" s="12"/>
      <c r="AP523" s="5"/>
      <c r="AQ523" s="12"/>
      <c r="AR523" s="12"/>
      <c r="AS523" s="12"/>
      <c r="AT523" s="12"/>
      <c r="AU523" s="5"/>
      <c r="AV523" s="12"/>
      <c r="AW523" s="12"/>
      <c r="AX523" s="12"/>
      <c r="AY523" s="12"/>
      <c r="AZ523" s="5"/>
      <c r="BA523" s="12"/>
      <c r="BB523" s="12"/>
      <c r="BC523" s="12"/>
      <c r="BD523" s="12"/>
      <c r="BE523" s="5"/>
      <c r="BF523" s="12"/>
      <c r="BG523" s="12"/>
      <c r="BH523" s="12"/>
      <c r="BI523" s="12"/>
      <c r="BJ523" s="5"/>
      <c r="BK523" s="12"/>
      <c r="BL523" s="12"/>
      <c r="BM523" s="12"/>
      <c r="BN523" s="12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</row>
    <row r="524" spans="1:87">
      <c r="A524" s="4" t="s">
        <v>1897</v>
      </c>
      <c r="B524" s="5"/>
      <c r="C524" s="72"/>
      <c r="D524" s="72"/>
      <c r="E524" s="72"/>
      <c r="F524" s="72"/>
      <c r="G524" s="72"/>
      <c r="H524" s="93"/>
      <c r="I524" s="93"/>
      <c r="J524" s="93"/>
      <c r="K524" s="93"/>
      <c r="L524" s="72"/>
      <c r="M524" s="93"/>
      <c r="N524" s="93"/>
      <c r="O524" s="93"/>
      <c r="P524" s="93"/>
      <c r="Q524" s="72"/>
      <c r="R524" s="93"/>
      <c r="S524" s="93"/>
      <c r="T524" s="93"/>
      <c r="U524" s="93"/>
      <c r="V524" s="72"/>
      <c r="W524" s="93"/>
      <c r="X524" s="93"/>
      <c r="Y524" s="93"/>
      <c r="Z524" s="93"/>
      <c r="AA524" s="5">
        <f t="shared" ref="AA524:AA529" si="229">SUM(AA582,AA687,AA741,AA802)</f>
        <v>-60</v>
      </c>
      <c r="AB524" s="93"/>
      <c r="AC524" s="93"/>
      <c r="AD524" s="93"/>
      <c r="AE524" s="93"/>
      <c r="AF524" s="5">
        <f t="shared" ref="AF524:AF529" si="230">SUM(AF582,AF687,AF741,AF802)</f>
        <v>-62</v>
      </c>
      <c r="AG524" s="93"/>
      <c r="AH524" s="93"/>
      <c r="AI524" s="93"/>
      <c r="AJ524" s="93"/>
      <c r="AK524" s="5">
        <f t="shared" ref="AK524:AK529" si="231">SUM(AK582,AK687,AK741,AK802)</f>
        <v>-83</v>
      </c>
      <c r="AL524" s="93"/>
      <c r="AM524" s="93"/>
      <c r="AN524" s="93"/>
      <c r="AO524" s="93"/>
      <c r="AP524" s="5">
        <f t="shared" ref="AP524:AP529" si="232">SUM(AP582,AP687,AP741,AP802)</f>
        <v>-125</v>
      </c>
      <c r="AQ524" s="93"/>
      <c r="AR524" s="93"/>
      <c r="AS524" s="93"/>
      <c r="AT524" s="93"/>
      <c r="AU524" s="5">
        <f t="shared" ref="AU524:AU529" si="233">SUM(AU582,AU687,AU741,AU802)</f>
        <v>-127</v>
      </c>
      <c r="AV524" s="93"/>
      <c r="AW524" s="93"/>
      <c r="AX524" s="93"/>
      <c r="AY524" s="93"/>
      <c r="AZ524" s="5">
        <f t="shared" ref="AZ524:AZ529" si="234">SUM(AZ582,AZ687,AZ741,AZ802)</f>
        <v>-67</v>
      </c>
      <c r="BA524" s="93"/>
      <c r="BB524" s="93"/>
      <c r="BC524" s="93"/>
      <c r="BD524" s="93"/>
      <c r="BE524" s="5">
        <f t="shared" ref="BE524:BE529" si="235">SUM(BE582,BE687,BE741,BE802)</f>
        <v>-55</v>
      </c>
      <c r="BF524" s="93"/>
      <c r="BG524" s="93"/>
      <c r="BH524" s="93"/>
      <c r="BI524" s="93"/>
      <c r="BJ524" s="5">
        <f t="shared" ref="BJ524:CD524" si="236">SUM(BJ582,BJ632,BJ687,BJ741,BJ802)</f>
        <v>-63</v>
      </c>
      <c r="BK524" s="93"/>
      <c r="BL524" s="93"/>
      <c r="BM524" s="93"/>
      <c r="BN524" s="93"/>
      <c r="BO524" s="5">
        <f t="shared" ref="BO524" si="237">SUM(BO582,BO632,BO687,BO741,BO802)</f>
        <v>-127</v>
      </c>
      <c r="BP524" s="107">
        <f t="shared" si="236"/>
        <v>-10.75</v>
      </c>
      <c r="BQ524" s="107">
        <f t="shared" si="236"/>
        <v>-10.75</v>
      </c>
      <c r="BR524" s="107">
        <f t="shared" si="236"/>
        <v>-10.75</v>
      </c>
      <c r="BS524" s="107">
        <f t="shared" si="236"/>
        <v>-10.75</v>
      </c>
      <c r="BT524" s="5">
        <f t="shared" si="236"/>
        <v>-43</v>
      </c>
      <c r="BU524" s="107">
        <f t="shared" si="236"/>
        <v>-10.75</v>
      </c>
      <c r="BV524" s="107">
        <f t="shared" si="236"/>
        <v>-10.75</v>
      </c>
      <c r="BW524" s="107">
        <f t="shared" si="236"/>
        <v>-10.75</v>
      </c>
      <c r="BX524" s="107">
        <f t="shared" si="236"/>
        <v>-10.75</v>
      </c>
      <c r="BY524" s="5">
        <f t="shared" si="236"/>
        <v>-43</v>
      </c>
      <c r="BZ524" s="107">
        <f t="shared" si="236"/>
        <v>-10.75</v>
      </c>
      <c r="CA524" s="107">
        <f t="shared" si="236"/>
        <v>-10.75</v>
      </c>
      <c r="CB524" s="107">
        <f t="shared" si="236"/>
        <v>-10.75</v>
      </c>
      <c r="CC524" s="107">
        <f t="shared" si="236"/>
        <v>-10.75</v>
      </c>
      <c r="CD524" s="5">
        <f t="shared" si="236"/>
        <v>-43</v>
      </c>
    </row>
    <row r="525" spans="1:87">
      <c r="A525" s="4" t="s">
        <v>2149</v>
      </c>
      <c r="B525" s="5"/>
      <c r="C525" s="72"/>
      <c r="D525" s="72"/>
      <c r="E525" s="72"/>
      <c r="F525" s="72"/>
      <c r="G525" s="72"/>
      <c r="H525" s="93"/>
      <c r="I525" s="93"/>
      <c r="J525" s="93"/>
      <c r="K525" s="93"/>
      <c r="L525" s="72"/>
      <c r="M525" s="93"/>
      <c r="N525" s="93"/>
      <c r="O525" s="93"/>
      <c r="P525" s="93"/>
      <c r="Q525" s="72"/>
      <c r="R525" s="93"/>
      <c r="S525" s="93"/>
      <c r="T525" s="93"/>
      <c r="U525" s="93"/>
      <c r="V525" s="72"/>
      <c r="W525" s="93"/>
      <c r="X525" s="93"/>
      <c r="Y525" s="93"/>
      <c r="Z525" s="93"/>
      <c r="AA525" s="5">
        <f t="shared" si="229"/>
        <v>-1941</v>
      </c>
      <c r="AB525" s="93"/>
      <c r="AC525" s="93"/>
      <c r="AD525" s="93"/>
      <c r="AE525" s="93"/>
      <c r="AF525" s="5">
        <f t="shared" si="230"/>
        <v>-2102</v>
      </c>
      <c r="AG525" s="93"/>
      <c r="AH525" s="93"/>
      <c r="AI525" s="93"/>
      <c r="AJ525" s="93"/>
      <c r="AK525" s="5">
        <f t="shared" si="231"/>
        <v>-2517</v>
      </c>
      <c r="AL525" s="93"/>
      <c r="AM525" s="93"/>
      <c r="AN525" s="93"/>
      <c r="AO525" s="93"/>
      <c r="AP525" s="5">
        <f t="shared" si="232"/>
        <v>-2455</v>
      </c>
      <c r="AQ525" s="93"/>
      <c r="AR525" s="93"/>
      <c r="AS525" s="93"/>
      <c r="AT525" s="93"/>
      <c r="AU525" s="5">
        <f t="shared" si="233"/>
        <v>-2167</v>
      </c>
      <c r="AV525" s="93"/>
      <c r="AW525" s="93"/>
      <c r="AX525" s="93"/>
      <c r="AY525" s="93"/>
      <c r="AZ525" s="5">
        <f t="shared" si="234"/>
        <v>-2037</v>
      </c>
      <c r="BA525" s="93"/>
      <c r="BB525" s="93"/>
      <c r="BC525" s="93"/>
      <c r="BD525" s="93"/>
      <c r="BE525" s="5">
        <f t="shared" si="235"/>
        <v>-1898</v>
      </c>
      <c r="BF525" s="93"/>
      <c r="BG525" s="93"/>
      <c r="BH525" s="93"/>
      <c r="BI525" s="93"/>
      <c r="BJ525" s="5">
        <f t="shared" ref="BJ525:CD525" si="238">SUM(BJ583,BJ633,BJ688,BJ742,BJ803)</f>
        <v>-1846</v>
      </c>
      <c r="BK525" s="93"/>
      <c r="BL525" s="93"/>
      <c r="BM525" s="93"/>
      <c r="BN525" s="93"/>
      <c r="BO525" s="5">
        <f t="shared" ref="BO525" si="239">SUM(BO583,BO633,BO688,BO742,BO803)</f>
        <v>-2290</v>
      </c>
      <c r="BP525" s="107">
        <f t="shared" si="238"/>
        <v>-533.77230927665005</v>
      </c>
      <c r="BQ525" s="107">
        <f t="shared" si="238"/>
        <v>-530.67673445983007</v>
      </c>
      <c r="BR525" s="107">
        <f t="shared" si="238"/>
        <v>-531.81570259008197</v>
      </c>
      <c r="BS525" s="107">
        <f t="shared" si="238"/>
        <v>-542.69148106273178</v>
      </c>
      <c r="BT525" s="5">
        <f t="shared" si="238"/>
        <v>-2063.7724284820283</v>
      </c>
      <c r="BU525" s="107">
        <f t="shared" si="238"/>
        <v>-540.67336244550063</v>
      </c>
      <c r="BV525" s="107">
        <f t="shared" si="238"/>
        <v>-537.54503092410505</v>
      </c>
      <c r="BW525" s="107">
        <f t="shared" si="238"/>
        <v>-540.11040983831333</v>
      </c>
      <c r="BX525" s="107">
        <f t="shared" si="238"/>
        <v>-550.9597403068509</v>
      </c>
      <c r="BY525" s="5">
        <f t="shared" si="238"/>
        <v>-2169.3267481669654</v>
      </c>
      <c r="BZ525" s="107">
        <f t="shared" si="238"/>
        <v>-587.19646417974946</v>
      </c>
      <c r="CA525" s="107">
        <f t="shared" si="238"/>
        <v>-577.22076250486714</v>
      </c>
      <c r="CB525" s="107">
        <f t="shared" si="238"/>
        <v>-580.02284227384973</v>
      </c>
      <c r="CC525" s="107">
        <f t="shared" si="238"/>
        <v>-591.88201110954503</v>
      </c>
      <c r="CD525" s="5">
        <f t="shared" si="238"/>
        <v>-2336.3437749690966</v>
      </c>
    </row>
    <row r="526" spans="1:87">
      <c r="A526" s="4" t="s">
        <v>2150</v>
      </c>
      <c r="B526" s="5"/>
      <c r="C526" s="72"/>
      <c r="D526" s="72"/>
      <c r="E526" s="72"/>
      <c r="F526" s="72"/>
      <c r="G526" s="72"/>
      <c r="H526" s="93"/>
      <c r="I526" s="93"/>
      <c r="J526" s="93"/>
      <c r="K526" s="93"/>
      <c r="L526" s="72"/>
      <c r="M526" s="93"/>
      <c r="N526" s="93"/>
      <c r="O526" s="93"/>
      <c r="P526" s="93"/>
      <c r="Q526" s="72"/>
      <c r="R526" s="93"/>
      <c r="S526" s="93"/>
      <c r="T526" s="93"/>
      <c r="U526" s="93"/>
      <c r="V526" s="72"/>
      <c r="W526" s="93"/>
      <c r="X526" s="93"/>
      <c r="Y526" s="93"/>
      <c r="Z526" s="93"/>
      <c r="AA526" s="5">
        <f t="shared" si="229"/>
        <v>-4822</v>
      </c>
      <c r="AB526" s="93"/>
      <c r="AC526" s="93"/>
      <c r="AD526" s="93"/>
      <c r="AE526" s="93"/>
      <c r="AF526" s="5">
        <f t="shared" si="230"/>
        <v>-6507</v>
      </c>
      <c r="AG526" s="93"/>
      <c r="AH526" s="93"/>
      <c r="AI526" s="93"/>
      <c r="AJ526" s="93"/>
      <c r="AK526" s="5">
        <f t="shared" si="231"/>
        <v>-9223</v>
      </c>
      <c r="AL526" s="93"/>
      <c r="AM526" s="93"/>
      <c r="AN526" s="93"/>
      <c r="AO526" s="93"/>
      <c r="AP526" s="5">
        <f t="shared" si="232"/>
        <v>-8604</v>
      </c>
      <c r="AQ526" s="93"/>
      <c r="AR526" s="93"/>
      <c r="AS526" s="93"/>
      <c r="AT526" s="93"/>
      <c r="AU526" s="5">
        <f t="shared" si="233"/>
        <v>-8786</v>
      </c>
      <c r="AV526" s="93"/>
      <c r="AW526" s="93"/>
      <c r="AX526" s="93"/>
      <c r="AY526" s="93"/>
      <c r="AZ526" s="5">
        <f t="shared" si="234"/>
        <v>-6627</v>
      </c>
      <c r="BA526" s="93"/>
      <c r="BB526" s="93"/>
      <c r="BC526" s="93"/>
      <c r="BD526" s="93"/>
      <c r="BE526" s="5">
        <f t="shared" si="235"/>
        <v>-4724</v>
      </c>
      <c r="BF526" s="93"/>
      <c r="BG526" s="93"/>
      <c r="BH526" s="93"/>
      <c r="BI526" s="93"/>
      <c r="BJ526" s="5">
        <f t="shared" ref="BJ526:CD526" si="240">SUM(BJ584,BJ634,BJ689,BJ743,BJ804)</f>
        <v>-4078</v>
      </c>
      <c r="BK526" s="93"/>
      <c r="BL526" s="93"/>
      <c r="BM526" s="93"/>
      <c r="BN526" s="93"/>
      <c r="BO526" s="5">
        <f t="shared" ref="BO526" si="241">SUM(BO584,BO634,BO689,BO743,BO804)</f>
        <v>-6474</v>
      </c>
      <c r="BP526" s="107">
        <f t="shared" ca="1" si="240"/>
        <v>-1251.0865455510948</v>
      </c>
      <c r="BQ526" s="107">
        <f t="shared" ca="1" si="240"/>
        <v>-1277.2953612354984</v>
      </c>
      <c r="BR526" s="107">
        <f t="shared" ca="1" si="240"/>
        <v>-1275.5340783202571</v>
      </c>
      <c r="BS526" s="107">
        <f t="shared" ca="1" si="240"/>
        <v>-1276.5165707507256</v>
      </c>
      <c r="BT526" s="5">
        <f t="shared" ca="1" si="240"/>
        <v>-5080.4325558575765</v>
      </c>
      <c r="BU526" s="107">
        <f t="shared" ca="1" si="240"/>
        <v>-1241.3117348859632</v>
      </c>
      <c r="BV526" s="107">
        <f t="shared" ca="1" si="240"/>
        <v>-1236.0200521218546</v>
      </c>
      <c r="BW526" s="107">
        <f t="shared" ca="1" si="240"/>
        <v>-1243.6718102059103</v>
      </c>
      <c r="BX526" s="107">
        <f t="shared" ca="1" si="240"/>
        <v>-1262.777306929419</v>
      </c>
      <c r="BY526" s="5">
        <f t="shared" ca="1" si="240"/>
        <v>-4983.7809041431474</v>
      </c>
      <c r="BZ526" s="107">
        <f t="shared" ca="1" si="240"/>
        <v>-1268.2484476515081</v>
      </c>
      <c r="CA526" s="107">
        <f t="shared" ca="1" si="240"/>
        <v>-1272.815425409909</v>
      </c>
      <c r="CB526" s="107">
        <f t="shared" ca="1" si="240"/>
        <v>-1290.3052833394299</v>
      </c>
      <c r="CC526" s="107">
        <f t="shared" ca="1" si="240"/>
        <v>-1318.2832140110199</v>
      </c>
      <c r="CD526" s="5">
        <f t="shared" ca="1" si="240"/>
        <v>-5149.6523704118681</v>
      </c>
    </row>
    <row r="527" spans="1:87">
      <c r="A527" s="4" t="s">
        <v>2158</v>
      </c>
      <c r="B527" s="5"/>
      <c r="C527" s="72"/>
      <c r="D527" s="72"/>
      <c r="E527" s="72"/>
      <c r="F527" s="72"/>
      <c r="G527" s="72"/>
      <c r="H527" s="93"/>
      <c r="I527" s="93"/>
      <c r="J527" s="93"/>
      <c r="K527" s="93"/>
      <c r="L527" s="72"/>
      <c r="M527" s="93"/>
      <c r="N527" s="93"/>
      <c r="O527" s="93"/>
      <c r="P527" s="93"/>
      <c r="Q527" s="72"/>
      <c r="R527" s="93"/>
      <c r="S527" s="93"/>
      <c r="T527" s="93"/>
      <c r="U527" s="93"/>
      <c r="V527" s="72"/>
      <c r="W527" s="93"/>
      <c r="X527" s="93"/>
      <c r="Y527" s="93"/>
      <c r="Z527" s="93"/>
      <c r="AA527" s="5">
        <f t="shared" si="229"/>
        <v>59</v>
      </c>
      <c r="AB527" s="93"/>
      <c r="AC527" s="93"/>
      <c r="AD527" s="93"/>
      <c r="AE527" s="93"/>
      <c r="AF527" s="5">
        <f t="shared" si="230"/>
        <v>-143</v>
      </c>
      <c r="AG527" s="93"/>
      <c r="AH527" s="93"/>
      <c r="AI527" s="93"/>
      <c r="AJ527" s="93"/>
      <c r="AK527" s="5">
        <f t="shared" si="231"/>
        <v>238</v>
      </c>
      <c r="AL527" s="93"/>
      <c r="AM527" s="93"/>
      <c r="AN527" s="93"/>
      <c r="AO527" s="93"/>
      <c r="AP527" s="5">
        <f t="shared" si="232"/>
        <v>80</v>
      </c>
      <c r="AQ527" s="93"/>
      <c r="AR527" s="93"/>
      <c r="AS527" s="93"/>
      <c r="AT527" s="93"/>
      <c r="AU527" s="5">
        <f t="shared" si="233"/>
        <v>-99</v>
      </c>
      <c r="AV527" s="93"/>
      <c r="AW527" s="93"/>
      <c r="AX527" s="93"/>
      <c r="AY527" s="93"/>
      <c r="AZ527" s="5">
        <f t="shared" si="234"/>
        <v>-306</v>
      </c>
      <c r="BA527" s="93"/>
      <c r="BB527" s="93"/>
      <c r="BC527" s="93"/>
      <c r="BD527" s="93"/>
      <c r="BE527" s="5">
        <f t="shared" si="235"/>
        <v>97</v>
      </c>
      <c r="BF527" s="93"/>
      <c r="BG527" s="93"/>
      <c r="BH527" s="93"/>
      <c r="BI527" s="93"/>
      <c r="BJ527" s="5">
        <f t="shared" ref="BJ527:CD527" si="242">SUM(BJ585,BJ635,BJ690,BJ744,BJ805)</f>
        <v>71</v>
      </c>
      <c r="BK527" s="93"/>
      <c r="BL527" s="93"/>
      <c r="BM527" s="93"/>
      <c r="BN527" s="93"/>
      <c r="BO527" s="5">
        <f t="shared" ref="BO527" si="243">SUM(BO585,BO635,BO690,BO744,BO805)</f>
        <v>-482</v>
      </c>
      <c r="BP527" s="107">
        <f t="shared" si="242"/>
        <v>-120.91249999999999</v>
      </c>
      <c r="BQ527" s="107">
        <f t="shared" si="242"/>
        <v>-120.91249999999999</v>
      </c>
      <c r="BR527" s="107">
        <f t="shared" si="242"/>
        <v>-120.91249999999999</v>
      </c>
      <c r="BS527" s="107">
        <f t="shared" si="242"/>
        <v>-120.91249999999999</v>
      </c>
      <c r="BT527" s="5">
        <f t="shared" si="242"/>
        <v>-483.65</v>
      </c>
      <c r="BU527" s="107">
        <f t="shared" si="242"/>
        <v>-120.91249999999999</v>
      </c>
      <c r="BV527" s="107">
        <f t="shared" si="242"/>
        <v>-120.91249999999999</v>
      </c>
      <c r="BW527" s="107">
        <f t="shared" si="242"/>
        <v>-120.91249999999999</v>
      </c>
      <c r="BX527" s="107">
        <f t="shared" si="242"/>
        <v>-120.91249999999999</v>
      </c>
      <c r="BY527" s="5">
        <f t="shared" si="242"/>
        <v>-483.65</v>
      </c>
      <c r="BZ527" s="107">
        <f t="shared" si="242"/>
        <v>-120.91249999999999</v>
      </c>
      <c r="CA527" s="107">
        <f t="shared" si="242"/>
        <v>-120.91249999999999</v>
      </c>
      <c r="CB527" s="107">
        <f t="shared" si="242"/>
        <v>-120.91249999999999</v>
      </c>
      <c r="CC527" s="107">
        <f t="shared" si="242"/>
        <v>-120.91249999999999</v>
      </c>
      <c r="CD527" s="5">
        <f t="shared" si="242"/>
        <v>-483.65</v>
      </c>
    </row>
    <row r="528" spans="1:87">
      <c r="A528" s="4" t="s">
        <v>2154</v>
      </c>
      <c r="B528" s="5"/>
      <c r="C528" s="72"/>
      <c r="D528" s="72"/>
      <c r="E528" s="72"/>
      <c r="F528" s="72"/>
      <c r="G528" s="72"/>
      <c r="H528" s="93"/>
      <c r="I528" s="93"/>
      <c r="J528" s="93"/>
      <c r="K528" s="93"/>
      <c r="L528" s="72"/>
      <c r="M528" s="93"/>
      <c r="N528" s="93"/>
      <c r="O528" s="93"/>
      <c r="P528" s="93"/>
      <c r="Q528" s="72"/>
      <c r="R528" s="93"/>
      <c r="S528" s="93"/>
      <c r="T528" s="93"/>
      <c r="U528" s="93"/>
      <c r="V528" s="72"/>
      <c r="W528" s="93"/>
      <c r="X528" s="93"/>
      <c r="Y528" s="93"/>
      <c r="Z528" s="93"/>
      <c r="AA528" s="5">
        <f t="shared" si="229"/>
        <v>-1628</v>
      </c>
      <c r="AB528" s="93"/>
      <c r="AC528" s="93"/>
      <c r="AD528" s="93"/>
      <c r="AE528" s="93"/>
      <c r="AF528" s="5">
        <f t="shared" si="230"/>
        <v>-1586</v>
      </c>
      <c r="AG528" s="93"/>
      <c r="AH528" s="93"/>
      <c r="AI528" s="93"/>
      <c r="AJ528" s="93"/>
      <c r="AK528" s="5">
        <f t="shared" si="231"/>
        <v>-1748</v>
      </c>
      <c r="AL528" s="93"/>
      <c r="AM528" s="93"/>
      <c r="AN528" s="93"/>
      <c r="AO528" s="93"/>
      <c r="AP528" s="5">
        <f t="shared" si="232"/>
        <v>-1652</v>
      </c>
      <c r="AQ528" s="93"/>
      <c r="AR528" s="93"/>
      <c r="AS528" s="93"/>
      <c r="AT528" s="93"/>
      <c r="AU528" s="5">
        <f t="shared" si="233"/>
        <v>-2093</v>
      </c>
      <c r="AV528" s="93"/>
      <c r="AW528" s="93"/>
      <c r="AX528" s="93"/>
      <c r="AY528" s="93"/>
      <c r="AZ528" s="5">
        <f t="shared" si="234"/>
        <v>-2250</v>
      </c>
      <c r="BA528" s="93"/>
      <c r="BB528" s="93"/>
      <c r="BC528" s="93"/>
      <c r="BD528" s="93"/>
      <c r="BE528" s="5">
        <f t="shared" si="235"/>
        <v>-1941</v>
      </c>
      <c r="BF528" s="93"/>
      <c r="BG528" s="93"/>
      <c r="BH528" s="93"/>
      <c r="BI528" s="93"/>
      <c r="BJ528" s="5">
        <f t="shared" ref="BJ528:CD528" si="244">SUM(BJ586,BJ636,BJ691,BJ745,BJ806)</f>
        <v>-2005</v>
      </c>
      <c r="BK528" s="93"/>
      <c r="BL528" s="93"/>
      <c r="BM528" s="93"/>
      <c r="BN528" s="93"/>
      <c r="BO528" s="5">
        <f t="shared" ref="BO528" si="245">SUM(BO586,BO636,BO691,BO745,BO806)</f>
        <v>-2771</v>
      </c>
      <c r="BP528" s="107">
        <f t="shared" si="244"/>
        <v>-495.61473093121953</v>
      </c>
      <c r="BQ528" s="107">
        <f t="shared" si="244"/>
        <v>-492.35921994083651</v>
      </c>
      <c r="BR528" s="107">
        <f t="shared" si="244"/>
        <v>-491.31227049334245</v>
      </c>
      <c r="BS528" s="107">
        <f t="shared" si="244"/>
        <v>-502.15388108266603</v>
      </c>
      <c r="BT528" s="5">
        <f t="shared" si="244"/>
        <v>-1985.3632081210899</v>
      </c>
      <c r="BU528" s="107">
        <f t="shared" si="244"/>
        <v>-487.96979948194178</v>
      </c>
      <c r="BV528" s="107">
        <f t="shared" si="244"/>
        <v>-484.47039253890182</v>
      </c>
      <c r="BW528" s="107">
        <f t="shared" si="244"/>
        <v>-484.14924250074262</v>
      </c>
      <c r="BX528" s="107">
        <f t="shared" si="244"/>
        <v>-495.09118265010005</v>
      </c>
      <c r="BY528" s="5">
        <f t="shared" si="244"/>
        <v>-1955.3068207106876</v>
      </c>
      <c r="BZ528" s="107">
        <f t="shared" si="244"/>
        <v>-537.08994438078071</v>
      </c>
      <c r="CA528" s="107">
        <f t="shared" si="244"/>
        <v>-527.5862271887197</v>
      </c>
      <c r="CB528" s="107">
        <f t="shared" si="244"/>
        <v>-527.57662720046392</v>
      </c>
      <c r="CC528" s="107">
        <f t="shared" si="244"/>
        <v>-539.2233991264942</v>
      </c>
      <c r="CD528" s="5">
        <f t="shared" si="244"/>
        <v>-2136.2198675265286</v>
      </c>
    </row>
    <row r="529" spans="1:82">
      <c r="A529" s="4" t="s">
        <v>610</v>
      </c>
      <c r="B529" s="5"/>
      <c r="C529" s="72"/>
      <c r="D529" s="72"/>
      <c r="E529" s="72"/>
      <c r="F529" s="72"/>
      <c r="G529" s="72"/>
      <c r="H529" s="93"/>
      <c r="I529" s="93"/>
      <c r="J529" s="93"/>
      <c r="K529" s="93"/>
      <c r="L529" s="72"/>
      <c r="M529" s="93"/>
      <c r="N529" s="93"/>
      <c r="O529" s="93"/>
      <c r="P529" s="93"/>
      <c r="Q529" s="72"/>
      <c r="R529" s="93"/>
      <c r="S529" s="93"/>
      <c r="T529" s="93"/>
      <c r="U529" s="93"/>
      <c r="V529" s="72"/>
      <c r="W529" s="93"/>
      <c r="X529" s="93"/>
      <c r="Y529" s="93"/>
      <c r="Z529" s="93"/>
      <c r="AA529" s="5">
        <f t="shared" si="229"/>
        <v>-72</v>
      </c>
      <c r="AB529" s="93"/>
      <c r="AC529" s="93"/>
      <c r="AD529" s="93"/>
      <c r="AE529" s="93"/>
      <c r="AF529" s="5">
        <f t="shared" si="230"/>
        <v>-43</v>
      </c>
      <c r="AG529" s="93"/>
      <c r="AH529" s="93"/>
      <c r="AI529" s="93"/>
      <c r="AJ529" s="93"/>
      <c r="AK529" s="5">
        <f t="shared" si="231"/>
        <v>0</v>
      </c>
      <c r="AL529" s="93"/>
      <c r="AM529" s="93"/>
      <c r="AN529" s="93"/>
      <c r="AO529" s="93"/>
      <c r="AP529" s="5">
        <f t="shared" si="232"/>
        <v>27</v>
      </c>
      <c r="AQ529" s="93"/>
      <c r="AR529" s="93"/>
      <c r="AS529" s="93"/>
      <c r="AT529" s="93"/>
      <c r="AU529" s="5">
        <f t="shared" si="233"/>
        <v>-37</v>
      </c>
      <c r="AV529" s="93"/>
      <c r="AW529" s="93"/>
      <c r="AX529" s="93"/>
      <c r="AY529" s="93"/>
      <c r="AZ529" s="5">
        <f t="shared" si="234"/>
        <v>-25</v>
      </c>
      <c r="BA529" s="93"/>
      <c r="BB529" s="93"/>
      <c r="BC529" s="93"/>
      <c r="BD529" s="93"/>
      <c r="BE529" s="5">
        <f t="shared" si="235"/>
        <v>-115</v>
      </c>
      <c r="BF529" s="93"/>
      <c r="BG529" s="93"/>
      <c r="BH529" s="93"/>
      <c r="BI529" s="93"/>
      <c r="BJ529" s="5">
        <f t="shared" ref="BJ529:CD529" si="246">SUM(BJ587,BJ637,BJ692,BJ746,BJ807)</f>
        <v>-189</v>
      </c>
      <c r="BK529" s="93"/>
      <c r="BL529" s="93"/>
      <c r="BM529" s="93"/>
      <c r="BN529" s="93"/>
      <c r="BO529" s="5">
        <f t="shared" ref="BO529" si="247">SUM(BO587,BO637,BO692,BO746,BO807)</f>
        <v>-87</v>
      </c>
      <c r="BP529" s="107">
        <f t="shared" si="246"/>
        <v>0</v>
      </c>
      <c r="BQ529" s="107">
        <f t="shared" si="246"/>
        <v>0</v>
      </c>
      <c r="BR529" s="107">
        <f t="shared" si="246"/>
        <v>0</v>
      </c>
      <c r="BS529" s="107">
        <f t="shared" si="246"/>
        <v>0</v>
      </c>
      <c r="BT529" s="5">
        <f t="shared" si="246"/>
        <v>0</v>
      </c>
      <c r="BU529" s="107">
        <f t="shared" si="246"/>
        <v>0</v>
      </c>
      <c r="BV529" s="107">
        <f t="shared" si="246"/>
        <v>0</v>
      </c>
      <c r="BW529" s="107">
        <f t="shared" si="246"/>
        <v>0</v>
      </c>
      <c r="BX529" s="107">
        <f t="shared" si="246"/>
        <v>0</v>
      </c>
      <c r="BY529" s="5">
        <f t="shared" si="246"/>
        <v>0</v>
      </c>
      <c r="BZ529" s="107">
        <f t="shared" si="246"/>
        <v>0</v>
      </c>
      <c r="CA529" s="107">
        <f t="shared" si="246"/>
        <v>0</v>
      </c>
      <c r="CB529" s="107">
        <f t="shared" si="246"/>
        <v>0</v>
      </c>
      <c r="CC529" s="107">
        <f t="shared" si="246"/>
        <v>0</v>
      </c>
      <c r="CD529" s="5">
        <f t="shared" si="246"/>
        <v>0</v>
      </c>
    </row>
    <row r="530" spans="1:82">
      <c r="A530" s="7" t="s">
        <v>2160</v>
      </c>
      <c r="B530" s="8"/>
      <c r="C530" s="73">
        <f>C522+SUM(C524:C529)</f>
        <v>0</v>
      </c>
      <c r="D530" s="73">
        <f>D522+SUM(D524:D529)</f>
        <v>0</v>
      </c>
      <c r="E530" s="73">
        <f>E522+SUM(E524:E529)</f>
        <v>0</v>
      </c>
      <c r="F530" s="73">
        <f>F522+SUM(F524:F529)</f>
        <v>0</v>
      </c>
      <c r="G530" s="73">
        <f>G522+SUM(G524:G529)</f>
        <v>0</v>
      </c>
      <c r="H530" s="93"/>
      <c r="I530" s="93"/>
      <c r="J530" s="93"/>
      <c r="K530" s="93"/>
      <c r="L530" s="73">
        <f>L522+SUM(L524:L529)</f>
        <v>0</v>
      </c>
      <c r="M530" s="93"/>
      <c r="N530" s="93"/>
      <c r="O530" s="93"/>
      <c r="P530" s="93"/>
      <c r="Q530" s="73">
        <f>Q522+SUM(Q524:Q529)</f>
        <v>0</v>
      </c>
      <c r="R530" s="93"/>
      <c r="S530" s="93"/>
      <c r="T530" s="93"/>
      <c r="U530" s="93"/>
      <c r="V530" s="73">
        <f>V522+SUM(V524:V529)</f>
        <v>0</v>
      </c>
      <c r="W530" s="93"/>
      <c r="X530" s="93"/>
      <c r="Y530" s="93"/>
      <c r="Z530" s="93"/>
      <c r="AA530" s="8">
        <f>AA522+SUM(AA524:AA529)</f>
        <v>3144</v>
      </c>
      <c r="AB530" s="93"/>
      <c r="AC530" s="93"/>
      <c r="AD530" s="93"/>
      <c r="AE530" s="93"/>
      <c r="AF530" s="8">
        <f>AF522+SUM(AF524:AF529)</f>
        <v>3443</v>
      </c>
      <c r="AG530" s="93"/>
      <c r="AH530" s="93"/>
      <c r="AI530" s="93"/>
      <c r="AJ530" s="93"/>
      <c r="AK530" s="8">
        <f>AK522+SUM(AK524:AK529)</f>
        <v>5428</v>
      </c>
      <c r="AL530" s="93"/>
      <c r="AM530" s="93"/>
      <c r="AN530" s="93"/>
      <c r="AO530" s="93"/>
      <c r="AP530" s="8">
        <f>AP522+SUM(AP524:AP529)</f>
        <v>3915</v>
      </c>
      <c r="AQ530" s="93"/>
      <c r="AR530" s="93"/>
      <c r="AS530" s="93"/>
      <c r="AT530" s="93"/>
      <c r="AU530" s="8">
        <f>AU522+SUM(AU524:AU529)</f>
        <v>3883</v>
      </c>
      <c r="AV530" s="93"/>
      <c r="AW530" s="93"/>
      <c r="AX530" s="93"/>
      <c r="AY530" s="93"/>
      <c r="AZ530" s="8">
        <f>AZ522+SUM(AZ524:AZ529)</f>
        <v>3408</v>
      </c>
      <c r="BA530" s="93"/>
      <c r="BB530" s="93"/>
      <c r="BC530" s="93"/>
      <c r="BD530" s="93"/>
      <c r="BE530" s="8">
        <f>BE522+SUM(BE524:BE529)</f>
        <v>3057</v>
      </c>
      <c r="BF530" s="93"/>
      <c r="BG530" s="93"/>
      <c r="BH530" s="93"/>
      <c r="BI530" s="93"/>
      <c r="BJ530" s="8">
        <f t="shared" ref="BJ530:CD530" si="248">BJ522+SUM(BJ524:BJ529)</f>
        <v>2938</v>
      </c>
      <c r="BK530" s="93"/>
      <c r="BL530" s="93"/>
      <c r="BM530" s="93"/>
      <c r="BN530" s="93"/>
      <c r="BO530" s="8">
        <f t="shared" ref="BO530" si="249">BO522+SUM(BO524:BO529)</f>
        <v>2817</v>
      </c>
      <c r="BP530" s="19">
        <f t="shared" ca="1" si="248"/>
        <v>855.38467030364563</v>
      </c>
      <c r="BQ530" s="19">
        <f t="shared" ca="1" si="248"/>
        <v>898.17317656013165</v>
      </c>
      <c r="BR530" s="19">
        <f t="shared" ca="1" si="248"/>
        <v>883.93432785083223</v>
      </c>
      <c r="BS530" s="19">
        <f t="shared" ca="1" si="248"/>
        <v>869.74269359810933</v>
      </c>
      <c r="BT530" s="8">
        <f t="shared" ca="1" si="248"/>
        <v>3578.4955615469571</v>
      </c>
      <c r="BU530" s="19">
        <f t="shared" ca="1" si="248"/>
        <v>812.09625658433106</v>
      </c>
      <c r="BV530" s="19">
        <f t="shared" ca="1" si="248"/>
        <v>809.02019649946078</v>
      </c>
      <c r="BW530" s="19">
        <f t="shared" ca="1" si="248"/>
        <v>810.3181252928789</v>
      </c>
      <c r="BX530" s="19">
        <f t="shared" ca="1" si="248"/>
        <v>820.51546483910261</v>
      </c>
      <c r="BY530" s="8">
        <f t="shared" ca="1" si="248"/>
        <v>3248.2856350245765</v>
      </c>
      <c r="BZ530" s="19">
        <f t="shared" ca="1" si="248"/>
        <v>839.71287053262768</v>
      </c>
      <c r="CA530" s="19">
        <f t="shared" ca="1" si="248"/>
        <v>866.87697298594321</v>
      </c>
      <c r="CB530" s="19">
        <f t="shared" ca="1" si="248"/>
        <v>884.73608812388738</v>
      </c>
      <c r="CC530" s="19">
        <f t="shared" ca="1" si="248"/>
        <v>907.58940521090562</v>
      </c>
      <c r="CD530" s="8">
        <f t="shared" ca="1" si="248"/>
        <v>3494.1499723222096</v>
      </c>
    </row>
    <row r="531" spans="1:82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07"/>
      <c r="BQ531" s="407"/>
      <c r="BR531" s="407"/>
      <c r="BS531" s="407"/>
      <c r="BT531" s="4"/>
      <c r="BU531" s="407"/>
      <c r="BV531" s="407"/>
      <c r="BW531" s="407"/>
      <c r="BX531" s="407"/>
      <c r="BY531" s="4"/>
      <c r="BZ531" s="407"/>
      <c r="CA531" s="407"/>
      <c r="CB531" s="407"/>
      <c r="CC531" s="407"/>
      <c r="CD531" s="4"/>
    </row>
    <row r="532" spans="1:82">
      <c r="A532" s="4" t="s">
        <v>2152</v>
      </c>
      <c r="B532" s="5"/>
      <c r="C532" s="72"/>
      <c r="D532" s="72"/>
      <c r="E532" s="72"/>
      <c r="F532" s="72"/>
      <c r="G532" s="72"/>
      <c r="H532" s="93"/>
      <c r="I532" s="93"/>
      <c r="J532" s="93"/>
      <c r="K532" s="93"/>
      <c r="L532" s="72"/>
      <c r="M532" s="93"/>
      <c r="N532" s="93"/>
      <c r="O532" s="93"/>
      <c r="P532" s="93"/>
      <c r="Q532" s="72"/>
      <c r="R532" s="93"/>
      <c r="S532" s="93"/>
      <c r="T532" s="93"/>
      <c r="U532" s="93"/>
      <c r="V532" s="72"/>
      <c r="W532" s="93"/>
      <c r="X532" s="93"/>
      <c r="Y532" s="93"/>
      <c r="Z532" s="93"/>
      <c r="AA532" s="5">
        <f>SUM(AA590,AA695,AA749,AA810)</f>
        <v>-771</v>
      </c>
      <c r="AB532" s="93"/>
      <c r="AC532" s="93"/>
      <c r="AD532" s="93"/>
      <c r="AE532" s="93"/>
      <c r="AF532" s="5">
        <f>SUM(AF590,AF695,AF749,AF810)</f>
        <v>-768</v>
      </c>
      <c r="AG532" s="93"/>
      <c r="AH532" s="93"/>
      <c r="AI532" s="93"/>
      <c r="AJ532" s="93"/>
      <c r="AK532" s="5">
        <f>SUM(AK590,AK695,AK749,AK810)</f>
        <v>-1119</v>
      </c>
      <c r="AL532" s="93"/>
      <c r="AM532" s="93"/>
      <c r="AN532" s="93"/>
      <c r="AO532" s="93"/>
      <c r="AP532" s="5">
        <f>SUM(AP590,AP695,AP749,AP810)</f>
        <v>-884</v>
      </c>
      <c r="AQ532" s="93"/>
      <c r="AR532" s="93"/>
      <c r="AS532" s="93"/>
      <c r="AT532" s="93"/>
      <c r="AU532" s="5">
        <f>SUM(AU590,AU695,AU749,AU810)</f>
        <v>-867</v>
      </c>
      <c r="AV532" s="93"/>
      <c r="AW532" s="93"/>
      <c r="AX532" s="93"/>
      <c r="AY532" s="93"/>
      <c r="AZ532" s="5">
        <f>SUM(AZ590,AZ695,AZ749,AZ810)</f>
        <v>-1068</v>
      </c>
      <c r="BA532" s="93"/>
      <c r="BB532" s="93"/>
      <c r="BC532" s="93"/>
      <c r="BD532" s="93"/>
      <c r="BE532" s="5">
        <f>SUM(BE590,BE695,BE749,BE810)</f>
        <v>-954</v>
      </c>
      <c r="BF532" s="93"/>
      <c r="BG532" s="93"/>
      <c r="BH532" s="93"/>
      <c r="BI532" s="93"/>
      <c r="BJ532" s="5">
        <f t="shared" ref="BJ532:CD532" si="250">SUM(BJ590,BJ640,BJ695,BJ749,BJ810)</f>
        <v>-830</v>
      </c>
      <c r="BK532" s="93"/>
      <c r="BL532" s="93"/>
      <c r="BM532" s="93"/>
      <c r="BN532" s="93"/>
      <c r="BO532" s="5">
        <f t="shared" ref="BO532" si="251">SUM(BO590,BO640,BO695,BO749,BO810)</f>
        <v>-493</v>
      </c>
      <c r="BP532" s="107">
        <f t="shared" ca="1" si="250"/>
        <v>-278.34753290230202</v>
      </c>
      <c r="BQ532" s="107">
        <f t="shared" ca="1" si="250"/>
        <v>-292.05980924638988</v>
      </c>
      <c r="BR532" s="107">
        <f t="shared" ca="1" si="250"/>
        <v>-286.03941878208997</v>
      </c>
      <c r="BS532" s="107">
        <f t="shared" ca="1" si="250"/>
        <v>-281.83401947566131</v>
      </c>
      <c r="BT532" s="5">
        <f t="shared" ca="1" si="250"/>
        <v>-1138.2807804064432</v>
      </c>
      <c r="BU532" s="107">
        <f t="shared" ca="1" si="250"/>
        <v>-261.31015892003302</v>
      </c>
      <c r="BV532" s="107">
        <f t="shared" ca="1" si="250"/>
        <v>-260.41420495477462</v>
      </c>
      <c r="BW532" s="107">
        <f t="shared" ca="1" si="250"/>
        <v>-259.58500090708696</v>
      </c>
      <c r="BX532" s="107">
        <f t="shared" ca="1" si="250"/>
        <v>-262.83558351149918</v>
      </c>
      <c r="BY532" s="5">
        <f t="shared" ca="1" si="250"/>
        <v>-1044.144948293394</v>
      </c>
      <c r="BZ532" s="107">
        <f t="shared" ca="1" si="250"/>
        <v>-285.47631202300227</v>
      </c>
      <c r="CA532" s="107">
        <f t="shared" ca="1" si="250"/>
        <v>-295.43557152678085</v>
      </c>
      <c r="CB532" s="107">
        <f t="shared" ca="1" si="250"/>
        <v>-300.54300956531904</v>
      </c>
      <c r="CC532" s="107">
        <f t="shared" ca="1" si="250"/>
        <v>-308.20467038002391</v>
      </c>
      <c r="CD532" s="5">
        <f t="shared" ca="1" si="250"/>
        <v>-1189.6595634951261</v>
      </c>
    </row>
    <row r="533" spans="1:82">
      <c r="A533" s="14" t="s">
        <v>2153</v>
      </c>
      <c r="B533" s="15"/>
      <c r="C533" s="74">
        <f>SUM(C530,C532)</f>
        <v>0</v>
      </c>
      <c r="D533" s="74">
        <f>SUM(D530,D532)</f>
        <v>0</v>
      </c>
      <c r="E533" s="74">
        <f>SUM(E530,E532)</f>
        <v>0</v>
      </c>
      <c r="F533" s="74">
        <f>SUM(F530,F532)</f>
        <v>0</v>
      </c>
      <c r="G533" s="74">
        <f>SUM(G530,G532)</f>
        <v>0</v>
      </c>
      <c r="H533" s="378"/>
      <c r="I533" s="378"/>
      <c r="J533" s="378"/>
      <c r="K533" s="378"/>
      <c r="L533" s="74">
        <f>SUM(L530,L532)</f>
        <v>0</v>
      </c>
      <c r="M533" s="378"/>
      <c r="N533" s="378"/>
      <c r="O533" s="378"/>
      <c r="P533" s="378"/>
      <c r="Q533" s="74">
        <f>SUM(Q530,Q532)</f>
        <v>0</v>
      </c>
      <c r="R533" s="378"/>
      <c r="S533" s="378"/>
      <c r="T533" s="378"/>
      <c r="U533" s="378"/>
      <c r="V533" s="74">
        <f>SUM(V530,V532)</f>
        <v>0</v>
      </c>
      <c r="W533" s="378"/>
      <c r="X533" s="378"/>
      <c r="Y533" s="378"/>
      <c r="Z533" s="378"/>
      <c r="AA533" s="15">
        <f>SUM(AA530,AA532)</f>
        <v>2373</v>
      </c>
      <c r="AB533" s="378"/>
      <c r="AC533" s="378"/>
      <c r="AD533" s="378"/>
      <c r="AE533" s="378"/>
      <c r="AF533" s="15">
        <f>SUM(AF530,AF532)</f>
        <v>2675</v>
      </c>
      <c r="AG533" s="378"/>
      <c r="AH533" s="378"/>
      <c r="AI533" s="378"/>
      <c r="AJ533" s="378"/>
      <c r="AK533" s="15">
        <f>SUM(AK530,AK532)</f>
        <v>4309</v>
      </c>
      <c r="AL533" s="378"/>
      <c r="AM533" s="378"/>
      <c r="AN533" s="378"/>
      <c r="AO533" s="378"/>
      <c r="AP533" s="15">
        <f>SUM(AP530,AP532)</f>
        <v>3031</v>
      </c>
      <c r="AQ533" s="378"/>
      <c r="AR533" s="378"/>
      <c r="AS533" s="378"/>
      <c r="AT533" s="378"/>
      <c r="AU533" s="15">
        <f>SUM(AU530,AU532)</f>
        <v>3016</v>
      </c>
      <c r="AV533" s="378"/>
      <c r="AW533" s="378"/>
      <c r="AX533" s="378"/>
      <c r="AY533" s="378"/>
      <c r="AZ533" s="15">
        <f>SUM(AZ530,AZ532)</f>
        <v>2340</v>
      </c>
      <c r="BA533" s="378"/>
      <c r="BB533" s="378"/>
      <c r="BC533" s="378"/>
      <c r="BD533" s="378"/>
      <c r="BE533" s="15">
        <f>SUM(BE530,BE532)</f>
        <v>2103</v>
      </c>
      <c r="BF533" s="378"/>
      <c r="BG533" s="378"/>
      <c r="BH533" s="378"/>
      <c r="BI533" s="378"/>
      <c r="BJ533" s="15">
        <f t="shared" ref="BJ533:CD533" si="252">SUM(BJ530,BJ532)</f>
        <v>2108</v>
      </c>
      <c r="BK533" s="378"/>
      <c r="BL533" s="378"/>
      <c r="BM533" s="378"/>
      <c r="BN533" s="378"/>
      <c r="BO533" s="15">
        <f t="shared" ref="BO533" si="253">SUM(BO530,BO532)</f>
        <v>2324</v>
      </c>
      <c r="BP533" s="16">
        <f t="shared" ca="1" si="252"/>
        <v>577.03713740134367</v>
      </c>
      <c r="BQ533" s="16">
        <f t="shared" ca="1" si="252"/>
        <v>606.11336731374172</v>
      </c>
      <c r="BR533" s="16">
        <f t="shared" ca="1" si="252"/>
        <v>597.89490906874221</v>
      </c>
      <c r="BS533" s="16">
        <f t="shared" ca="1" si="252"/>
        <v>587.90867412244802</v>
      </c>
      <c r="BT533" s="15">
        <f t="shared" ca="1" si="252"/>
        <v>2440.2147811405139</v>
      </c>
      <c r="BU533" s="16">
        <f t="shared" ca="1" si="252"/>
        <v>550.78609766429804</v>
      </c>
      <c r="BV533" s="16">
        <f t="shared" ca="1" si="252"/>
        <v>548.60599154468616</v>
      </c>
      <c r="BW533" s="16">
        <f t="shared" ca="1" si="252"/>
        <v>550.73312438579194</v>
      </c>
      <c r="BX533" s="16">
        <f t="shared" ca="1" si="252"/>
        <v>557.67988132760343</v>
      </c>
      <c r="BY533" s="15">
        <f t="shared" ca="1" si="252"/>
        <v>2204.1406867311825</v>
      </c>
      <c r="BZ533" s="16">
        <f t="shared" ca="1" si="252"/>
        <v>554.23655850962541</v>
      </c>
      <c r="CA533" s="16">
        <f t="shared" ca="1" si="252"/>
        <v>571.44140145916231</v>
      </c>
      <c r="CB533" s="16">
        <f t="shared" ca="1" si="252"/>
        <v>584.19307855856835</v>
      </c>
      <c r="CC533" s="16">
        <f t="shared" ca="1" si="252"/>
        <v>599.38473483088171</v>
      </c>
      <c r="CD533" s="15">
        <f t="shared" ca="1" si="252"/>
        <v>2304.4904088270832</v>
      </c>
    </row>
    <row r="534" spans="1:82">
      <c r="A534" s="75"/>
      <c r="B534" s="76"/>
      <c r="C534" s="76"/>
      <c r="D534" s="76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  <c r="Z534" s="76"/>
      <c r="AA534" s="76"/>
      <c r="AB534" s="76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/>
      <c r="CA534" s="76"/>
      <c r="CB534" s="76"/>
      <c r="CC534" s="76"/>
      <c r="CD534" s="76"/>
    </row>
    <row r="535" spans="1:82">
      <c r="A535" s="518" t="s">
        <v>3533</v>
      </c>
      <c r="B535" s="76"/>
      <c r="C535" s="76"/>
      <c r="D535" s="76"/>
      <c r="E535" s="76"/>
      <c r="F535" s="76"/>
      <c r="G535" s="76"/>
      <c r="H535" s="76"/>
      <c r="I535" s="76"/>
      <c r="J535" s="76"/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  <c r="Z535" s="76"/>
      <c r="AA535" s="207">
        <f>+AA593+AA698+AA813</f>
        <v>988</v>
      </c>
      <c r="AB535" s="207"/>
      <c r="AC535" s="207"/>
      <c r="AD535" s="207"/>
      <c r="AE535" s="207"/>
      <c r="AF535" s="207">
        <f>+AF593+AF698+AF813</f>
        <v>982</v>
      </c>
      <c r="AG535" s="207"/>
      <c r="AH535" s="207"/>
      <c r="AI535" s="207"/>
      <c r="AJ535" s="207"/>
      <c r="AK535" s="207">
        <f>+AK593+AK698+AK813</f>
        <v>745</v>
      </c>
      <c r="AL535" s="207"/>
      <c r="AM535" s="207"/>
      <c r="AN535" s="207"/>
      <c r="AO535" s="207"/>
      <c r="AP535" s="207">
        <f>+AP593+AP698+AP813</f>
        <v>666</v>
      </c>
      <c r="AQ535" s="207"/>
      <c r="AR535" s="207"/>
      <c r="AS535" s="207"/>
      <c r="AT535" s="207"/>
      <c r="AU535" s="207">
        <f>+AU593+AU698+AU813</f>
        <v>529</v>
      </c>
      <c r="AV535" s="207"/>
      <c r="AW535" s="207"/>
      <c r="AX535" s="207"/>
      <c r="AY535" s="207"/>
      <c r="AZ535" s="207">
        <f>+AZ593+AZ698+AZ813</f>
        <v>650</v>
      </c>
      <c r="BA535" s="94"/>
      <c r="BB535" s="94"/>
      <c r="BC535" s="94"/>
      <c r="BD535" s="94"/>
      <c r="BE535" s="207">
        <f>+BE593+BE698+BE813</f>
        <v>470</v>
      </c>
      <c r="BF535" s="94"/>
      <c r="BG535" s="94"/>
      <c r="BH535" s="94"/>
      <c r="BI535" s="94"/>
      <c r="BJ535" s="207">
        <f>+BJ593+BJ698+BJ813</f>
        <v>312</v>
      </c>
      <c r="BK535" s="94"/>
      <c r="BL535" s="94"/>
      <c r="BM535" s="94"/>
      <c r="BN535" s="94"/>
      <c r="BO535" s="207">
        <f>+BO593+BO698+BO813</f>
        <v>303</v>
      </c>
      <c r="BP535" s="208">
        <f>+BP593+BP698+BP813</f>
        <v>109.48125</v>
      </c>
      <c r="BQ535" s="208">
        <f>+BQ593+BQ698+BQ813</f>
        <v>109.48125</v>
      </c>
      <c r="BR535" s="208">
        <f>+BR593+BR698+BR813</f>
        <v>109.48125</v>
      </c>
      <c r="BS535" s="208">
        <f>+BS593+BS698+BS813</f>
        <v>109.48125</v>
      </c>
      <c r="BT535" s="5">
        <f>SUM(BP535:BS535)</f>
        <v>437.92500000000001</v>
      </c>
      <c r="BU535" s="208">
        <f>+BU593+BU698+BU813</f>
        <v>109.71828125</v>
      </c>
      <c r="BV535" s="208">
        <f>+BV593+BV698+BV813</f>
        <v>109.71828125</v>
      </c>
      <c r="BW535" s="208">
        <f>+BW593+BW698+BW813</f>
        <v>109.71828125</v>
      </c>
      <c r="BX535" s="208">
        <f>+BX593+BX698+BX813</f>
        <v>109.71828124999999</v>
      </c>
      <c r="BY535" s="5">
        <f>SUM(BU535:BX535)</f>
        <v>438.87312499999996</v>
      </c>
      <c r="BZ535" s="208">
        <f>+BZ593+BZ698+BZ813</f>
        <v>109.96123828124999</v>
      </c>
      <c r="CA535" s="208">
        <f>+CA593+CA698+CA813</f>
        <v>109.96123828124999</v>
      </c>
      <c r="CB535" s="208">
        <f>+CB593+CB698+CB813</f>
        <v>109.96123828124999</v>
      </c>
      <c r="CC535" s="208">
        <f>+CC593+CC698+CC813</f>
        <v>109.96123828124999</v>
      </c>
      <c r="CD535" s="5">
        <f>SUM(BZ535:CC535)</f>
        <v>439.84495312499996</v>
      </c>
    </row>
    <row r="536" spans="1:82">
      <c r="A536" s="518" t="s">
        <v>3534</v>
      </c>
      <c r="B536" s="76"/>
      <c r="C536" s="76"/>
      <c r="D536" s="76"/>
      <c r="E536" s="76"/>
      <c r="F536" s="76"/>
      <c r="G536" s="76"/>
      <c r="H536" s="76"/>
      <c r="I536" s="76"/>
      <c r="J536" s="76"/>
      <c r="K536" s="76"/>
      <c r="L536" s="76"/>
      <c r="M536" s="76"/>
      <c r="N536" s="76"/>
      <c r="O536" s="76"/>
      <c r="P536" s="76"/>
      <c r="Q536" s="76"/>
      <c r="R536" s="76"/>
      <c r="S536" s="76"/>
      <c r="T536" s="76"/>
      <c r="U536" s="76"/>
      <c r="V536" s="76"/>
      <c r="W536" s="76"/>
      <c r="X536" s="76"/>
      <c r="Y536" s="76"/>
      <c r="Z536" s="76"/>
      <c r="AA536" s="207">
        <v>-113</v>
      </c>
      <c r="AB536" s="207"/>
      <c r="AC536" s="207"/>
      <c r="AD536" s="207"/>
      <c r="AE536" s="207"/>
      <c r="AF536" s="207">
        <v>255</v>
      </c>
      <c r="AG536" s="207"/>
      <c r="AH536" s="207"/>
      <c r="AI536" s="207"/>
      <c r="AJ536" s="207"/>
      <c r="AK536" s="207">
        <v>280</v>
      </c>
      <c r="AL536" s="207"/>
      <c r="AM536" s="207"/>
      <c r="AN536" s="207"/>
      <c r="AO536" s="207"/>
      <c r="AP536" s="207">
        <v>263</v>
      </c>
      <c r="AQ536" s="207"/>
      <c r="AR536" s="207"/>
      <c r="AS536" s="207"/>
      <c r="AT536" s="207"/>
      <c r="AU536" s="207">
        <f t="shared" ref="AU536:CD536" si="254">AU752</f>
        <v>-412</v>
      </c>
      <c r="AV536" s="207"/>
      <c r="AW536" s="207"/>
      <c r="AX536" s="207"/>
      <c r="AY536" s="207"/>
      <c r="AZ536" s="207">
        <f>AZ752</f>
        <v>195</v>
      </c>
      <c r="BA536" s="94"/>
      <c r="BB536" s="94"/>
      <c r="BC536" s="94"/>
      <c r="BD536" s="94"/>
      <c r="BE536" s="207">
        <f t="shared" si="254"/>
        <v>-495</v>
      </c>
      <c r="BF536" s="94"/>
      <c r="BG536" s="94"/>
      <c r="BH536" s="94"/>
      <c r="BI536" s="94"/>
      <c r="BJ536" s="207">
        <f t="shared" si="254"/>
        <v>-1087</v>
      </c>
      <c r="BK536" s="94"/>
      <c r="BL536" s="94"/>
      <c r="BM536" s="94"/>
      <c r="BN536" s="94"/>
      <c r="BO536" s="207">
        <v>-1046</v>
      </c>
      <c r="BP536" s="208">
        <f t="shared" ca="1" si="254"/>
        <v>-39.34199507898785</v>
      </c>
      <c r="BQ536" s="208">
        <f t="shared" ca="1" si="254"/>
        <v>-68.692378291645525</v>
      </c>
      <c r="BR536" s="208">
        <f t="shared" ca="1" si="254"/>
        <v>-73.527023770930555</v>
      </c>
      <c r="BS536" s="208">
        <f t="shared" ca="1" si="254"/>
        <v>-63.257253623743395</v>
      </c>
      <c r="BT536" s="207">
        <f t="shared" ca="1" si="254"/>
        <v>-244.81865076530732</v>
      </c>
      <c r="BU536" s="208">
        <f t="shared" ca="1" si="254"/>
        <v>-15.199274448811366</v>
      </c>
      <c r="BV536" s="208">
        <f t="shared" ca="1" si="254"/>
        <v>-5.7099876399128107</v>
      </c>
      <c r="BW536" s="208">
        <f t="shared" ca="1" si="254"/>
        <v>-17.505757839993578</v>
      </c>
      <c r="BX536" s="208">
        <f t="shared" ca="1" si="254"/>
        <v>-23.196778236979014</v>
      </c>
      <c r="BY536" s="207">
        <f t="shared" ca="1" si="254"/>
        <v>-61.611798165696769</v>
      </c>
      <c r="BZ536" s="208">
        <f t="shared" ca="1" si="254"/>
        <v>371.04172012903342</v>
      </c>
      <c r="CA536" s="208">
        <f t="shared" ca="1" si="254"/>
        <v>351.18080123793249</v>
      </c>
      <c r="CB536" s="208">
        <f t="shared" ca="1" si="254"/>
        <v>329.34156566202591</v>
      </c>
      <c r="CC536" s="208">
        <f t="shared" ca="1" si="254"/>
        <v>315.34687850512472</v>
      </c>
      <c r="CD536" s="207">
        <f t="shared" ca="1" si="254"/>
        <v>1366.9109655341165</v>
      </c>
    </row>
    <row r="537" spans="1:82">
      <c r="A537" s="518" t="s">
        <v>3535</v>
      </c>
      <c r="B537" s="76"/>
      <c r="C537" s="76"/>
      <c r="D537" s="76"/>
      <c r="E537" s="76"/>
      <c r="F537" s="76"/>
      <c r="G537" s="76"/>
      <c r="H537" s="76"/>
      <c r="I537" s="76"/>
      <c r="J537" s="76"/>
      <c r="K537" s="76"/>
      <c r="L537" s="76"/>
      <c r="M537" s="76"/>
      <c r="N537" s="76"/>
      <c r="O537" s="76"/>
      <c r="P537" s="76"/>
      <c r="Q537" s="76"/>
      <c r="R537" s="76"/>
      <c r="S537" s="76"/>
      <c r="T537" s="76"/>
      <c r="U537" s="76"/>
      <c r="V537" s="76"/>
      <c r="W537" s="76"/>
      <c r="X537" s="76"/>
      <c r="Y537" s="76"/>
      <c r="Z537" s="76"/>
      <c r="AA537" s="207">
        <f>5+56</f>
        <v>61</v>
      </c>
      <c r="AB537" s="207"/>
      <c r="AC537" s="207"/>
      <c r="AD537" s="207"/>
      <c r="AE537" s="207"/>
      <c r="AF537" s="207">
        <f>4+63</f>
        <v>67</v>
      </c>
      <c r="AG537" s="207"/>
      <c r="AH537" s="207"/>
      <c r="AI537" s="207"/>
      <c r="AJ537" s="207"/>
      <c r="AK537" s="207">
        <f>12+69</f>
        <v>81</v>
      </c>
      <c r="AL537" s="207"/>
      <c r="AM537" s="207"/>
      <c r="AN537" s="207"/>
      <c r="AO537" s="207"/>
      <c r="AP537" s="5">
        <f>35+48</f>
        <v>83</v>
      </c>
      <c r="AQ537" s="207"/>
      <c r="AR537" s="207"/>
      <c r="AS537" s="207"/>
      <c r="AT537" s="207"/>
      <c r="AU537" s="207">
        <f>28+24</f>
        <v>52</v>
      </c>
      <c r="AV537" s="207"/>
      <c r="AW537" s="207"/>
      <c r="AX537" s="207"/>
      <c r="AY537" s="207"/>
      <c r="AZ537" s="207">
        <f>-33+62</f>
        <v>29</v>
      </c>
      <c r="BA537" s="94"/>
      <c r="BB537" s="94"/>
      <c r="BC537" s="94"/>
      <c r="BD537" s="94"/>
      <c r="BE537" s="207">
        <f>-552-7</f>
        <v>-559</v>
      </c>
      <c r="BF537" s="94"/>
      <c r="BG537" s="94"/>
      <c r="BH537" s="94"/>
      <c r="BI537" s="94"/>
      <c r="BJ537" s="207">
        <f>-4-12</f>
        <v>-16</v>
      </c>
      <c r="BK537" s="94"/>
      <c r="BL537" s="94"/>
      <c r="BM537" s="94"/>
      <c r="BN537" s="94"/>
      <c r="BO537" s="207">
        <f>205-22</f>
        <v>183</v>
      </c>
      <c r="BP537" s="12">
        <f>BT537/4</f>
        <v>46.893749999999997</v>
      </c>
      <c r="BQ537" s="12">
        <f>+(BT537-BP537)/3</f>
        <v>46.89374999999999</v>
      </c>
      <c r="BR537" s="12">
        <f>(BT537-BP537-BQ537)/2</f>
        <v>46.893749999999997</v>
      </c>
      <c r="BS537" s="12">
        <f>+BT537-BR537-BQ537-BP537</f>
        <v>46.893749999999997</v>
      </c>
      <c r="BT537" s="139">
        <f>BO537*1.025</f>
        <v>187.57499999999999</v>
      </c>
      <c r="BU537" s="12">
        <f>BY537/4</f>
        <v>48.066093749999993</v>
      </c>
      <c r="BV537" s="12">
        <f>+(BY537-BU537)/3</f>
        <v>48.066093749999993</v>
      </c>
      <c r="BW537" s="12">
        <f>(BY537-BU537-BV537)/2</f>
        <v>48.066093749999993</v>
      </c>
      <c r="BX537" s="12">
        <f>+BY537-BW537-BV537-BU537</f>
        <v>48.066093749999993</v>
      </c>
      <c r="BY537" s="139">
        <f>BT537*1.025</f>
        <v>192.26437499999997</v>
      </c>
      <c r="BZ537" s="12">
        <f>CD537/4</f>
        <v>49.267746093749992</v>
      </c>
      <c r="CA537" s="12">
        <f>+(CD537-BZ537)/3</f>
        <v>49.267746093749992</v>
      </c>
      <c r="CB537" s="12">
        <f>(CD537-BZ537-CA537)/2</f>
        <v>49.267746093749992</v>
      </c>
      <c r="CC537" s="12">
        <f>+CD537-CB537-CA537-BZ537</f>
        <v>49.267746093749992</v>
      </c>
      <c r="CD537" s="139">
        <f>BY537*1.025</f>
        <v>197.07098437499997</v>
      </c>
    </row>
    <row r="538" spans="1:82">
      <c r="A538" s="7" t="s">
        <v>3536</v>
      </c>
      <c r="B538" s="8"/>
      <c r="C538" s="94"/>
      <c r="D538" s="94"/>
      <c r="E538" s="94"/>
      <c r="F538" s="94"/>
      <c r="G538" s="94"/>
      <c r="H538" s="94"/>
      <c r="I538" s="94"/>
      <c r="J538" s="94"/>
      <c r="K538" s="94"/>
      <c r="L538" s="94"/>
      <c r="M538" s="94"/>
      <c r="N538" s="94"/>
      <c r="O538" s="94"/>
      <c r="P538" s="94"/>
      <c r="Q538" s="94"/>
      <c r="R538" s="94"/>
      <c r="S538" s="94"/>
      <c r="T538" s="94"/>
      <c r="U538" s="94"/>
      <c r="V538" s="94"/>
      <c r="W538" s="94"/>
      <c r="X538" s="94"/>
      <c r="Y538" s="94"/>
      <c r="Z538" s="94"/>
      <c r="AA538" s="8">
        <v>936</v>
      </c>
      <c r="AB538" s="94"/>
      <c r="AC538" s="94"/>
      <c r="AD538" s="94"/>
      <c r="AE538" s="94"/>
      <c r="AF538" s="8">
        <v>1304</v>
      </c>
      <c r="AG538" s="94"/>
      <c r="AH538" s="94"/>
      <c r="AI538" s="94"/>
      <c r="AJ538" s="94"/>
      <c r="AK538" s="8">
        <v>1106</v>
      </c>
      <c r="AL538" s="94"/>
      <c r="AM538" s="94"/>
      <c r="AN538" s="94"/>
      <c r="AO538" s="94"/>
      <c r="AP538" s="8">
        <v>1012</v>
      </c>
      <c r="AQ538" s="94"/>
      <c r="AR538" s="94"/>
      <c r="AS538" s="94"/>
      <c r="AT538" s="94"/>
      <c r="AU538" s="8">
        <v>169</v>
      </c>
      <c r="AV538" s="94"/>
      <c r="AW538" s="94"/>
      <c r="AX538" s="94"/>
      <c r="AY538" s="94"/>
      <c r="AZ538" s="8">
        <v>874</v>
      </c>
      <c r="BA538" s="94"/>
      <c r="BB538" s="94"/>
      <c r="BC538" s="94"/>
      <c r="BD538" s="94"/>
      <c r="BE538" s="8">
        <v>-584</v>
      </c>
      <c r="BF538" s="94"/>
      <c r="BG538" s="94"/>
      <c r="BH538" s="94"/>
      <c r="BI538" s="94"/>
      <c r="BJ538" s="8">
        <f>+BJ535+BJ536+BJ537</f>
        <v>-791</v>
      </c>
      <c r="BK538" s="94"/>
      <c r="BL538" s="94"/>
      <c r="BM538" s="94"/>
      <c r="BN538" s="94"/>
      <c r="BO538" s="8">
        <v>-560</v>
      </c>
      <c r="BP538" s="19">
        <f ca="1">+BP535+BP536+BP537</f>
        <v>117.03300492101215</v>
      </c>
      <c r="BQ538" s="19">
        <f ca="1">+BQ535+BQ536+BQ537</f>
        <v>87.682621708354475</v>
      </c>
      <c r="BR538" s="19">
        <f ca="1">+BR535+BR536+BR537</f>
        <v>82.847976229069445</v>
      </c>
      <c r="BS538" s="19">
        <f ca="1">+BS535+BS536+BS537</f>
        <v>93.117746376256605</v>
      </c>
      <c r="BT538" s="8">
        <f ca="1">SUM(BP538:BS538)</f>
        <v>380.68134923469268</v>
      </c>
      <c r="BU538" s="19">
        <f ca="1">+BU535+BU536+BU537</f>
        <v>142.58510055118865</v>
      </c>
      <c r="BV538" s="19">
        <f ca="1">+BV535+BV536+BV537</f>
        <v>152.0743873600872</v>
      </c>
      <c r="BW538" s="19">
        <f ca="1">+BW535+BW536+BW537</f>
        <v>140.27861716000643</v>
      </c>
      <c r="BX538" s="19">
        <f ca="1">+BX535+BX536+BX537</f>
        <v>134.58759676302097</v>
      </c>
      <c r="BY538" s="8">
        <f ca="1">SUM(BU538:BX538)</f>
        <v>569.52570183430328</v>
      </c>
      <c r="BZ538" s="19">
        <f ca="1">+BZ535+BZ536+BZ537</f>
        <v>530.27070450403346</v>
      </c>
      <c r="CA538" s="19">
        <f ca="1">+CA535+CA536+CA537</f>
        <v>510.40978561293252</v>
      </c>
      <c r="CB538" s="19">
        <f ca="1">+CB535+CB536+CB537</f>
        <v>488.5705500370259</v>
      </c>
      <c r="CC538" s="19">
        <f ca="1">+CC535+CC536+CC537</f>
        <v>474.57586288012476</v>
      </c>
      <c r="CD538" s="8">
        <f ca="1">SUM(BZ538:CC538)</f>
        <v>2003.8269030341166</v>
      </c>
    </row>
    <row r="539" spans="1:82">
      <c r="A539" s="4"/>
      <c r="B539" s="13"/>
      <c r="C539" s="93"/>
      <c r="D539" s="93"/>
      <c r="E539" s="93"/>
      <c r="F539" s="93"/>
      <c r="G539" s="93"/>
      <c r="H539" s="93"/>
      <c r="I539" s="93"/>
      <c r="J539" s="93"/>
      <c r="K539" s="93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  <c r="X539" s="93"/>
      <c r="Y539" s="93"/>
      <c r="Z539" s="93"/>
      <c r="AA539" s="13"/>
      <c r="AB539" s="93"/>
      <c r="AC539" s="93"/>
      <c r="AD539" s="93"/>
      <c r="AE539" s="93"/>
      <c r="AF539" s="13"/>
      <c r="AG539" s="93"/>
      <c r="AH539" s="93"/>
      <c r="AI539" s="93"/>
      <c r="AJ539" s="93"/>
      <c r="AK539" s="13"/>
      <c r="AL539" s="93"/>
      <c r="AM539" s="93"/>
      <c r="AN539" s="93"/>
      <c r="AO539" s="93"/>
      <c r="AP539" s="13"/>
      <c r="AQ539" s="93"/>
      <c r="AR539" s="93"/>
      <c r="AS539" s="93"/>
      <c r="AT539" s="93"/>
      <c r="AU539" s="13"/>
      <c r="AV539" s="13"/>
      <c r="AW539" s="13"/>
      <c r="AX539" s="13"/>
      <c r="AY539" s="13"/>
      <c r="AZ539" s="13"/>
      <c r="BA539" s="13"/>
      <c r="BB539" s="13"/>
      <c r="BC539" s="13"/>
      <c r="BD539" s="13"/>
      <c r="BE539" s="13"/>
      <c r="BF539" s="13"/>
      <c r="BG539" s="13"/>
      <c r="BH539" s="13"/>
      <c r="BI539" s="13"/>
      <c r="BJ539" s="13"/>
      <c r="BK539" s="13"/>
      <c r="BL539" s="13"/>
      <c r="BM539" s="13"/>
      <c r="BN539" s="13"/>
      <c r="BO539" s="13"/>
      <c r="BP539" s="12"/>
      <c r="BQ539" s="12"/>
      <c r="BR539" s="12"/>
      <c r="BS539" s="12"/>
      <c r="BT539" s="13"/>
      <c r="BU539" s="12"/>
      <c r="BV539" s="12"/>
      <c r="BW539" s="12"/>
      <c r="BX539" s="12"/>
      <c r="BY539" s="13"/>
      <c r="BZ539" s="12"/>
      <c r="CA539" s="12"/>
      <c r="CB539" s="12"/>
      <c r="CC539" s="12"/>
      <c r="CD539" s="13"/>
    </row>
    <row r="540" spans="1:82">
      <c r="A540" s="14" t="s">
        <v>3126</v>
      </c>
      <c r="B540" s="15"/>
      <c r="C540" s="74">
        <f>SUM(C533,C538)</f>
        <v>0</v>
      </c>
      <c r="D540" s="74">
        <f>SUM(D533,D538)</f>
        <v>0</v>
      </c>
      <c r="E540" s="15">
        <f>E11</f>
        <v>790</v>
      </c>
      <c r="F540" s="15">
        <f>F11</f>
        <v>1814</v>
      </c>
      <c r="G540" s="15">
        <f>G11</f>
        <v>3029</v>
      </c>
      <c r="H540" s="378"/>
      <c r="I540" s="378"/>
      <c r="J540" s="378"/>
      <c r="K540" s="378"/>
      <c r="L540" s="15">
        <f>L11</f>
        <v>3302</v>
      </c>
      <c r="M540" s="378"/>
      <c r="N540" s="378"/>
      <c r="O540" s="378"/>
      <c r="P540" s="378"/>
      <c r="Q540" s="15">
        <f>Q11</f>
        <v>2704</v>
      </c>
      <c r="R540" s="378"/>
      <c r="S540" s="378"/>
      <c r="T540" s="378"/>
      <c r="U540" s="378"/>
      <c r="V540" s="15">
        <f>V11</f>
        <v>2793</v>
      </c>
      <c r="W540" s="378"/>
      <c r="X540" s="378"/>
      <c r="Y540" s="378"/>
      <c r="Z540" s="378"/>
      <c r="AA540" s="15">
        <f>AA533+AA538</f>
        <v>3309</v>
      </c>
      <c r="AB540" s="378"/>
      <c r="AC540" s="378"/>
      <c r="AD540" s="378"/>
      <c r="AE540" s="378"/>
      <c r="AF540" s="15">
        <f>AF533+AF538</f>
        <v>3979</v>
      </c>
      <c r="AG540" s="378"/>
      <c r="AH540" s="378"/>
      <c r="AI540" s="378"/>
      <c r="AJ540" s="378"/>
      <c r="AK540" s="15">
        <f t="shared" ref="AK540:CD540" si="255">AK533+AK538</f>
        <v>5415</v>
      </c>
      <c r="AL540" s="378"/>
      <c r="AM540" s="378"/>
      <c r="AN540" s="378"/>
      <c r="AO540" s="378"/>
      <c r="AP540" s="15">
        <f t="shared" si="255"/>
        <v>4043</v>
      </c>
      <c r="AQ540" s="378"/>
      <c r="AR540" s="378"/>
      <c r="AS540" s="378"/>
      <c r="AT540" s="378"/>
      <c r="AU540" s="15">
        <f>AU533+AU538</f>
        <v>3185</v>
      </c>
      <c r="AV540" s="378"/>
      <c r="AW540" s="378"/>
      <c r="AX540" s="378"/>
      <c r="AY540" s="378"/>
      <c r="AZ540" s="15">
        <f>AZ533+AZ538</f>
        <v>3214</v>
      </c>
      <c r="BA540" s="378"/>
      <c r="BB540" s="378"/>
      <c r="BC540" s="378"/>
      <c r="BD540" s="378"/>
      <c r="BE540" s="15">
        <f t="shared" si="255"/>
        <v>1519</v>
      </c>
      <c r="BF540" s="378"/>
      <c r="BG540" s="378"/>
      <c r="BH540" s="378"/>
      <c r="BI540" s="378"/>
      <c r="BJ540" s="15">
        <f t="shared" si="255"/>
        <v>1317</v>
      </c>
      <c r="BK540" s="378"/>
      <c r="BL540" s="378"/>
      <c r="BM540" s="378"/>
      <c r="BN540" s="378"/>
      <c r="BO540" s="15">
        <f t="shared" si="255"/>
        <v>1764</v>
      </c>
      <c r="BP540" s="16">
        <f t="shared" ca="1" si="255"/>
        <v>694.07014232235588</v>
      </c>
      <c r="BQ540" s="16">
        <f t="shared" ca="1" si="255"/>
        <v>693.79598902209614</v>
      </c>
      <c r="BR540" s="16">
        <f t="shared" ca="1" si="255"/>
        <v>680.74288529781165</v>
      </c>
      <c r="BS540" s="16">
        <f t="shared" ca="1" si="255"/>
        <v>681.02642049870462</v>
      </c>
      <c r="BT540" s="15">
        <f t="shared" ca="1" si="255"/>
        <v>2820.8961303752067</v>
      </c>
      <c r="BU540" s="16">
        <f t="shared" ca="1" si="255"/>
        <v>693.37119821548663</v>
      </c>
      <c r="BV540" s="16">
        <f t="shared" ca="1" si="255"/>
        <v>700.68037890477331</v>
      </c>
      <c r="BW540" s="16">
        <f t="shared" ca="1" si="255"/>
        <v>691.01174154579837</v>
      </c>
      <c r="BX540" s="16">
        <f t="shared" ca="1" si="255"/>
        <v>692.26747809062442</v>
      </c>
      <c r="BY540" s="15">
        <f t="shared" ca="1" si="255"/>
        <v>2773.6663885654857</v>
      </c>
      <c r="BZ540" s="16">
        <f t="shared" ca="1" si="255"/>
        <v>1084.5072630136588</v>
      </c>
      <c r="CA540" s="16">
        <f t="shared" ca="1" si="255"/>
        <v>1081.8511870720949</v>
      </c>
      <c r="CB540" s="16">
        <f t="shared" ca="1" si="255"/>
        <v>1072.7636285955941</v>
      </c>
      <c r="CC540" s="16">
        <f t="shared" ca="1" si="255"/>
        <v>1073.9605977110064</v>
      </c>
      <c r="CD540" s="15">
        <f t="shared" ca="1" si="255"/>
        <v>4308.3173118611994</v>
      </c>
    </row>
    <row r="541" spans="1:82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</row>
    <row r="542" spans="1:82" hidden="1" outlineLevel="1">
      <c r="A542" s="39" t="s">
        <v>196</v>
      </c>
      <c r="B542" s="11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</row>
    <row r="543" spans="1:82" hidden="1" outlineLevel="1">
      <c r="A543" s="11"/>
      <c r="B543" s="11" t="s">
        <v>932</v>
      </c>
      <c r="C543" s="5">
        <f t="shared" ref="C543:G544" si="256">SUM(C597,C702,C872)</f>
        <v>208</v>
      </c>
      <c r="D543" s="5">
        <f t="shared" si="256"/>
        <v>252</v>
      </c>
      <c r="E543" s="5">
        <f t="shared" si="256"/>
        <v>506</v>
      </c>
      <c r="F543" s="5">
        <f t="shared" si="256"/>
        <v>1051</v>
      </c>
      <c r="G543" s="5">
        <f t="shared" si="256"/>
        <v>1139</v>
      </c>
      <c r="H543" s="93"/>
      <c r="I543" s="93"/>
      <c r="J543" s="93"/>
      <c r="K543" s="93"/>
      <c r="L543" s="5">
        <f>SUM(L597,L702,L872)</f>
        <v>1124</v>
      </c>
      <c r="M543" s="93"/>
      <c r="N543" s="93"/>
      <c r="O543" s="93"/>
      <c r="P543" s="93"/>
      <c r="Q543" s="5">
        <f>SUM(Q597,Q702,Q872)</f>
        <v>1110</v>
      </c>
      <c r="R543" s="93"/>
      <c r="S543" s="93"/>
      <c r="T543" s="93"/>
      <c r="U543" s="93"/>
      <c r="V543" s="5">
        <f>SUM(V597,V702,V872)</f>
        <v>1138</v>
      </c>
      <c r="W543" s="93"/>
      <c r="X543" s="93"/>
      <c r="Y543" s="93"/>
      <c r="Z543" s="93"/>
      <c r="AA543" s="5">
        <f>SUM(AA597,AA702,AA872)</f>
        <v>1135</v>
      </c>
      <c r="AB543" s="93"/>
      <c r="AC543" s="93"/>
      <c r="AD543" s="93"/>
      <c r="AE543" s="93"/>
      <c r="AF543" s="5">
        <f>SUM(AF597,AF702,AF872)</f>
        <v>1145</v>
      </c>
      <c r="AG543" s="93"/>
      <c r="AH543" s="93"/>
      <c r="AI543" s="93"/>
      <c r="AJ543" s="93"/>
      <c r="AK543" s="5">
        <f>SUM(AK597,AK702,AK872)</f>
        <v>1165</v>
      </c>
      <c r="AL543" s="93"/>
      <c r="AM543" s="93"/>
      <c r="AN543" s="93"/>
      <c r="AO543" s="93"/>
      <c r="AP543" s="5">
        <f>SUM(AP597,AP702,AP872)</f>
        <v>1160</v>
      </c>
      <c r="AQ543" s="93"/>
      <c r="AR543" s="93"/>
      <c r="AS543" s="93"/>
      <c r="AT543" s="93"/>
      <c r="AU543" s="5">
        <f>SUM(AU597,AU702,AU872)</f>
        <v>1134</v>
      </c>
      <c r="AV543" s="93"/>
      <c r="AW543" s="93"/>
      <c r="AX543" s="93"/>
      <c r="AY543" s="93"/>
      <c r="AZ543" s="5">
        <f>SUM(AZ597,AZ702,AZ872)</f>
        <v>987</v>
      </c>
      <c r="BA543" s="93"/>
      <c r="BB543" s="93"/>
      <c r="BC543" s="93"/>
      <c r="BD543" s="93"/>
      <c r="BE543" s="5">
        <f>SUM(BE597,BE702,BE872)</f>
        <v>982</v>
      </c>
      <c r="BF543" s="93"/>
      <c r="BG543" s="93"/>
      <c r="BH543" s="93"/>
      <c r="BI543" s="93"/>
      <c r="BJ543" s="5">
        <f t="shared" ref="BJ543:CD543" si="257">SUM(BJ597,BJ647,BJ702,BJ872)</f>
        <v>1019</v>
      </c>
      <c r="BK543" s="93"/>
      <c r="BL543" s="93"/>
      <c r="BM543" s="93"/>
      <c r="BN543" s="93"/>
      <c r="BO543" s="5">
        <f t="shared" si="257"/>
        <v>1104</v>
      </c>
      <c r="BP543" s="12">
        <f t="shared" si="257"/>
        <v>989.10334250000017</v>
      </c>
      <c r="BQ543" s="12">
        <f t="shared" si="257"/>
        <v>989.10334250000017</v>
      </c>
      <c r="BR543" s="12">
        <f t="shared" si="257"/>
        <v>989.10334250000017</v>
      </c>
      <c r="BS543" s="12">
        <f t="shared" si="257"/>
        <v>989.10334250000017</v>
      </c>
      <c r="BT543" s="5">
        <f t="shared" si="257"/>
        <v>989.10334250000017</v>
      </c>
      <c r="BU543" s="12">
        <f t="shared" si="257"/>
        <v>1001.362665</v>
      </c>
      <c r="BV543" s="12">
        <f t="shared" si="257"/>
        <v>1001.362665</v>
      </c>
      <c r="BW543" s="12">
        <f t="shared" si="257"/>
        <v>1001.362665</v>
      </c>
      <c r="BX543" s="12">
        <f t="shared" si="257"/>
        <v>1001.362665</v>
      </c>
      <c r="BY543" s="5">
        <f t="shared" si="257"/>
        <v>1001.362665</v>
      </c>
      <c r="BZ543" s="12">
        <f t="shared" si="257"/>
        <v>1026.9670225000002</v>
      </c>
      <c r="CA543" s="12">
        <f t="shared" si="257"/>
        <v>1026.9670225000002</v>
      </c>
      <c r="CB543" s="12">
        <f t="shared" si="257"/>
        <v>1026.9670225000002</v>
      </c>
      <c r="CC543" s="12">
        <f t="shared" si="257"/>
        <v>1026.9670225000002</v>
      </c>
      <c r="CD543" s="5">
        <f t="shared" si="257"/>
        <v>1026.9670225000002</v>
      </c>
    </row>
    <row r="544" spans="1:82" hidden="1" outlineLevel="1">
      <c r="A544" s="11"/>
      <c r="B544" s="11" t="s">
        <v>933</v>
      </c>
      <c r="C544" s="5">
        <f t="shared" si="256"/>
        <v>345</v>
      </c>
      <c r="D544" s="5">
        <f t="shared" si="256"/>
        <v>383</v>
      </c>
      <c r="E544" s="5">
        <f t="shared" si="256"/>
        <v>521</v>
      </c>
      <c r="F544" s="5">
        <f t="shared" si="256"/>
        <v>879</v>
      </c>
      <c r="G544" s="5">
        <f t="shared" si="256"/>
        <v>912</v>
      </c>
      <c r="H544" s="93"/>
      <c r="I544" s="93"/>
      <c r="J544" s="93"/>
      <c r="K544" s="93"/>
      <c r="L544" s="5">
        <f>SUM(L598,L703,L873)</f>
        <v>1005</v>
      </c>
      <c r="M544" s="93"/>
      <c r="N544" s="93"/>
      <c r="O544" s="93"/>
      <c r="P544" s="93"/>
      <c r="Q544" s="5">
        <f>SUM(Q598,Q703,Q873)</f>
        <v>921</v>
      </c>
      <c r="R544" s="93"/>
      <c r="S544" s="93"/>
      <c r="T544" s="93"/>
      <c r="U544" s="93"/>
      <c r="V544" s="5">
        <f>SUM(V598,V703,V873)</f>
        <v>1057</v>
      </c>
      <c r="W544" s="93"/>
      <c r="X544" s="93"/>
      <c r="Y544" s="93"/>
      <c r="Z544" s="93"/>
      <c r="AA544" s="5">
        <f>SUM(AA598,AA703,AA873)</f>
        <v>1035</v>
      </c>
      <c r="AB544" s="93"/>
      <c r="AC544" s="93"/>
      <c r="AD544" s="93"/>
      <c r="AE544" s="93"/>
      <c r="AF544" s="5">
        <f>SUM(AF598,AF703,AF873)</f>
        <v>1069</v>
      </c>
      <c r="AG544" s="93"/>
      <c r="AH544" s="93"/>
      <c r="AI544" s="93"/>
      <c r="AJ544" s="93"/>
      <c r="AK544" s="5">
        <f>SUM(AK598,AK703,AK873)</f>
        <v>1125</v>
      </c>
      <c r="AL544" s="93"/>
      <c r="AM544" s="93"/>
      <c r="AN544" s="93"/>
      <c r="AO544" s="93"/>
      <c r="AP544" s="5">
        <f>SUM(AP598,AP703,AP873)</f>
        <v>1200</v>
      </c>
      <c r="AQ544" s="93"/>
      <c r="AR544" s="93"/>
      <c r="AS544" s="93"/>
      <c r="AT544" s="93"/>
      <c r="AU544" s="5">
        <f>SUM(AU598,AU703,AU873)</f>
        <v>1207</v>
      </c>
      <c r="AV544" s="93"/>
      <c r="AW544" s="93"/>
      <c r="AX544" s="93"/>
      <c r="AY544" s="93"/>
      <c r="AZ544" s="5">
        <f>SUM(AZ598,AZ703,AZ873)</f>
        <v>1515</v>
      </c>
      <c r="BA544" s="93"/>
      <c r="BB544" s="93"/>
      <c r="BC544" s="93"/>
      <c r="BD544" s="93"/>
      <c r="BE544" s="5">
        <f>SUM(BE598,BE703,BE873)</f>
        <v>1650</v>
      </c>
      <c r="BF544" s="93"/>
      <c r="BG544" s="93"/>
      <c r="BH544" s="93"/>
      <c r="BI544" s="93"/>
      <c r="BJ544" s="5">
        <f t="shared" ref="BJ544:CD544" si="258">SUM(BJ598,BJ648,BJ703,BJ873)</f>
        <v>1755</v>
      </c>
      <c r="BK544" s="93"/>
      <c r="BL544" s="93"/>
      <c r="BM544" s="93"/>
      <c r="BN544" s="93"/>
      <c r="BO544" s="5">
        <f t="shared" si="258"/>
        <v>1779</v>
      </c>
      <c r="BP544" s="12">
        <f t="shared" si="258"/>
        <v>1881.5586446436673</v>
      </c>
      <c r="BQ544" s="12">
        <f t="shared" si="258"/>
        <v>1762.3602721620809</v>
      </c>
      <c r="BR544" s="12">
        <f t="shared" si="258"/>
        <v>1722.7133171385694</v>
      </c>
      <c r="BS544" s="12">
        <f t="shared" si="258"/>
        <v>1873.0575660556833</v>
      </c>
      <c r="BT544" s="5">
        <f t="shared" si="258"/>
        <v>1809.9224500000005</v>
      </c>
      <c r="BU544" s="12">
        <f t="shared" si="258"/>
        <v>2039.7546160462821</v>
      </c>
      <c r="BV544" s="12">
        <f t="shared" si="258"/>
        <v>1909.2069819147218</v>
      </c>
      <c r="BW544" s="12">
        <f t="shared" si="258"/>
        <v>1869.5051565334143</v>
      </c>
      <c r="BX544" s="12">
        <f t="shared" si="258"/>
        <v>2034.2781455055824</v>
      </c>
      <c r="BY544" s="5">
        <f t="shared" si="258"/>
        <v>1963.1862250000004</v>
      </c>
      <c r="BZ544" s="12">
        <f t="shared" si="258"/>
        <v>2169.8393979956481</v>
      </c>
      <c r="CA544" s="12">
        <f t="shared" si="258"/>
        <v>2029.6458867883885</v>
      </c>
      <c r="CB544" s="12">
        <f t="shared" si="258"/>
        <v>1987.7534822434338</v>
      </c>
      <c r="CC544" s="12">
        <f t="shared" si="258"/>
        <v>2164.8194329725302</v>
      </c>
      <c r="CD544" s="5">
        <f t="shared" si="258"/>
        <v>2088.0145499999999</v>
      </c>
    </row>
    <row r="545" spans="1:82" hidden="1" outlineLevel="1">
      <c r="A545" s="11"/>
      <c r="B545" s="39" t="s">
        <v>896</v>
      </c>
      <c r="C545" s="8">
        <f>C543+C544/5.8</f>
        <v>267.48275862068965</v>
      </c>
      <c r="D545" s="8">
        <f>D543+D544/5.8</f>
        <v>318.0344827586207</v>
      </c>
      <c r="E545" s="8">
        <f>E543+E544/5.8</f>
        <v>595.82758620689651</v>
      </c>
      <c r="F545" s="8">
        <f>F543+F544/5.8</f>
        <v>1202.5517241379312</v>
      </c>
      <c r="G545" s="8">
        <f>G543+G544/5.8</f>
        <v>1296.2413793103449</v>
      </c>
      <c r="H545" s="93"/>
      <c r="I545" s="93"/>
      <c r="J545" s="93"/>
      <c r="K545" s="93"/>
      <c r="L545" s="8">
        <f>L543+L544/5.8</f>
        <v>1297.2758620689656</v>
      </c>
      <c r="M545" s="93"/>
      <c r="N545" s="93"/>
      <c r="O545" s="93"/>
      <c r="P545" s="93"/>
      <c r="Q545" s="8">
        <f>Q543+Q544/5.8</f>
        <v>1268.7931034482758</v>
      </c>
      <c r="R545" s="93"/>
      <c r="S545" s="93"/>
      <c r="T545" s="93"/>
      <c r="U545" s="93"/>
      <c r="V545" s="8">
        <f>V543+V544/5.8</f>
        <v>1320.2413793103449</v>
      </c>
      <c r="W545" s="93"/>
      <c r="X545" s="93"/>
      <c r="Y545" s="93"/>
      <c r="Z545" s="93"/>
      <c r="AA545" s="8">
        <f>AA543+AA544/5.8</f>
        <v>1313.4482758620691</v>
      </c>
      <c r="AB545" s="93"/>
      <c r="AC545" s="93"/>
      <c r="AD545" s="93"/>
      <c r="AE545" s="93"/>
      <c r="AF545" s="8">
        <f>AF543+AF544/5.8</f>
        <v>1329.3103448275863</v>
      </c>
      <c r="AG545" s="93"/>
      <c r="AH545" s="93"/>
      <c r="AI545" s="93"/>
      <c r="AJ545" s="93"/>
      <c r="AK545" s="8">
        <f>AK543+AK544/5.8</f>
        <v>1358.9655172413793</v>
      </c>
      <c r="AL545" s="93"/>
      <c r="AM545" s="93"/>
      <c r="AN545" s="93"/>
      <c r="AO545" s="93"/>
      <c r="AP545" s="8">
        <f>AP543+AP544/5.8</f>
        <v>1366.8965517241379</v>
      </c>
      <c r="AQ545" s="93"/>
      <c r="AR545" s="93"/>
      <c r="AS545" s="93"/>
      <c r="AT545" s="93"/>
      <c r="AU545" s="8">
        <f t="shared" ref="AU545:BX545" si="259">AU543+AU544/5.8</f>
        <v>1342.1034482758621</v>
      </c>
      <c r="AV545" s="93"/>
      <c r="AW545" s="93"/>
      <c r="AX545" s="93"/>
      <c r="AY545" s="93"/>
      <c r="AZ545" s="8">
        <f>AZ543+AZ544/5.8</f>
        <v>1248.2068965517242</v>
      </c>
      <c r="BA545" s="93"/>
      <c r="BB545" s="93"/>
      <c r="BC545" s="93"/>
      <c r="BD545" s="93"/>
      <c r="BE545" s="8">
        <f t="shared" si="259"/>
        <v>1266.4827586206898</v>
      </c>
      <c r="BF545" s="93"/>
      <c r="BG545" s="93"/>
      <c r="BH545" s="93"/>
      <c r="BI545" s="93"/>
      <c r="BJ545" s="8">
        <f t="shared" si="259"/>
        <v>1321.5862068965516</v>
      </c>
      <c r="BK545" s="93"/>
      <c r="BL545" s="93"/>
      <c r="BM545" s="93"/>
      <c r="BN545" s="93"/>
      <c r="BO545" s="8">
        <f t="shared" si="259"/>
        <v>1410.7241379310344</v>
      </c>
      <c r="BP545" s="66">
        <f t="shared" si="259"/>
        <v>1313.510005369598</v>
      </c>
      <c r="BQ545" s="66">
        <f t="shared" si="259"/>
        <v>1292.9585618382901</v>
      </c>
      <c r="BR545" s="66">
        <f t="shared" si="259"/>
        <v>1286.1228799376845</v>
      </c>
      <c r="BS545" s="66">
        <f t="shared" si="259"/>
        <v>1312.0443021647732</v>
      </c>
      <c r="BT545" s="8">
        <f t="shared" si="259"/>
        <v>1301.1589373275865</v>
      </c>
      <c r="BU545" s="66">
        <f t="shared" si="259"/>
        <v>1353.0444953528072</v>
      </c>
      <c r="BV545" s="66">
        <f t="shared" si="259"/>
        <v>1330.5362825715038</v>
      </c>
      <c r="BW545" s="66">
        <f t="shared" si="259"/>
        <v>1323.6911402643818</v>
      </c>
      <c r="BX545" s="66">
        <f t="shared" si="259"/>
        <v>1352.1002762940659</v>
      </c>
      <c r="BY545" s="8">
        <f t="shared" ref="BY545:CD545" si="260">BY543+BY544/5.8</f>
        <v>1339.8430486206898</v>
      </c>
      <c r="BZ545" s="66">
        <f t="shared" si="260"/>
        <v>1401.0772635337325</v>
      </c>
      <c r="CA545" s="66">
        <f t="shared" si="260"/>
        <v>1376.9059684979982</v>
      </c>
      <c r="CB545" s="66">
        <f t="shared" si="260"/>
        <v>1369.6831401281784</v>
      </c>
      <c r="CC545" s="66">
        <f t="shared" si="260"/>
        <v>1400.2117523228503</v>
      </c>
      <c r="CD545" s="8">
        <f t="shared" si="260"/>
        <v>1386.9695311206899</v>
      </c>
    </row>
    <row r="546" spans="1:82" hidden="1" outlineLevel="1">
      <c r="A546" s="11"/>
      <c r="B546" s="11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</row>
    <row r="547" spans="1:82" hidden="1" outlineLevel="1">
      <c r="A547" s="39" t="s">
        <v>199</v>
      </c>
      <c r="B547" s="11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</row>
    <row r="548" spans="1:82" hidden="1" outlineLevel="1">
      <c r="A548" s="11"/>
      <c r="B548" s="11" t="s">
        <v>197</v>
      </c>
      <c r="C548" s="158">
        <f>'Key assumptions'!C26</f>
        <v>22.5</v>
      </c>
      <c r="D548" s="158">
        <f>'Key assumptions'!D26</f>
        <v>22.69</v>
      </c>
      <c r="E548" s="158">
        <f>'Key assumptions'!E26</f>
        <v>27.25</v>
      </c>
      <c r="F548" s="158">
        <f>'Key assumptions'!F26</f>
        <v>35.39</v>
      </c>
      <c r="G548" s="158">
        <f>'Key assumptions'!G26</f>
        <v>48.51</v>
      </c>
      <c r="H548" s="93"/>
      <c r="I548" s="93"/>
      <c r="J548" s="93"/>
      <c r="K548" s="93"/>
      <c r="L548" s="158">
        <f>'Key assumptions'!L26</f>
        <v>59.23</v>
      </c>
      <c r="M548" s="93"/>
      <c r="N548" s="93"/>
      <c r="O548" s="93"/>
      <c r="P548" s="93"/>
      <c r="Q548" s="158">
        <f>'Key assumptions'!Q26</f>
        <v>67.45</v>
      </c>
      <c r="R548" s="93"/>
      <c r="S548" s="93"/>
      <c r="T548" s="93"/>
      <c r="U548" s="93"/>
      <c r="V548" s="158">
        <f>'Key assumptions'!V26</f>
        <v>90.2</v>
      </c>
      <c r="W548" s="93"/>
      <c r="X548" s="93"/>
      <c r="Y548" s="93"/>
      <c r="Z548" s="93"/>
      <c r="AA548" s="158">
        <f>'Key assumptions'!AA26</f>
        <v>56.26</v>
      </c>
      <c r="AB548" s="93"/>
      <c r="AC548" s="93"/>
      <c r="AD548" s="93"/>
      <c r="AE548" s="93"/>
      <c r="AF548" s="158">
        <f>'Key assumptions'!AF26</f>
        <v>73.41</v>
      </c>
      <c r="AG548" s="93"/>
      <c r="AH548" s="93"/>
      <c r="AI548" s="93"/>
      <c r="AJ548" s="93"/>
      <c r="AK548" s="158">
        <f>'Key assumptions'!AK26</f>
        <v>101.57250000000002</v>
      </c>
      <c r="AL548" s="93"/>
      <c r="AM548" s="93"/>
      <c r="AN548" s="93"/>
      <c r="AO548" s="93"/>
      <c r="AP548" s="158">
        <f>'Key assumptions'!AP26</f>
        <v>102.005</v>
      </c>
      <c r="AQ548" s="93"/>
      <c r="AR548" s="93"/>
      <c r="AS548" s="93"/>
      <c r="AT548" s="93"/>
      <c r="AU548" s="158">
        <f>'Key assumptions'!AU26</f>
        <v>99.237499999999997</v>
      </c>
      <c r="AV548" s="93"/>
      <c r="AW548" s="93"/>
      <c r="AX548" s="93"/>
      <c r="AY548" s="93"/>
      <c r="AZ548" s="158">
        <f>'Key assumptions'!AZ26</f>
        <v>88.627499999999998</v>
      </c>
      <c r="BA548" s="93"/>
      <c r="BB548" s="93"/>
      <c r="BC548" s="93"/>
      <c r="BD548" s="93"/>
      <c r="BE548" s="158">
        <f>'Key assumptions'!BE26</f>
        <v>46.134999999999991</v>
      </c>
      <c r="BF548" s="93"/>
      <c r="BG548" s="93"/>
      <c r="BH548" s="93"/>
      <c r="BI548" s="93"/>
      <c r="BJ548" s="158">
        <f>'Key assumptions'!BJ26</f>
        <v>39.269999999999996</v>
      </c>
      <c r="BK548" s="93"/>
      <c r="BL548" s="93"/>
      <c r="BM548" s="93"/>
      <c r="BN548" s="93"/>
      <c r="BO548" s="158">
        <f>'Key assumptions'!BO26</f>
        <v>49.9375</v>
      </c>
      <c r="BP548" s="114">
        <f>'Key assumptions'!BP26</f>
        <v>61.033614817796355</v>
      </c>
      <c r="BQ548" s="114">
        <f>'Key assumptions'!BQ26</f>
        <v>61.606123930792457</v>
      </c>
      <c r="BR548" s="114">
        <f>'Key assumptions'!BR26</f>
        <v>60.442637668897142</v>
      </c>
      <c r="BS548" s="114">
        <f>'Key assumptions'!BS26</f>
        <v>59.47306578398436</v>
      </c>
      <c r="BT548" s="158">
        <f>'Key assumptions'!BT26</f>
        <v>60.638860550367582</v>
      </c>
      <c r="BU548" s="114">
        <f>'Key assumptions'!BU26</f>
        <v>57.358475673079376</v>
      </c>
      <c r="BV548" s="114">
        <f>'Key assumptions'!BV26</f>
        <v>57.358475673079376</v>
      </c>
      <c r="BW548" s="114">
        <f>'Key assumptions'!BW26</f>
        <v>57.358475673079376</v>
      </c>
      <c r="BX548" s="114">
        <f>'Key assumptions'!BX26</f>
        <v>57.358475673079376</v>
      </c>
      <c r="BY548" s="158">
        <f>'Key assumptions'!BY26</f>
        <v>57.358475673079376</v>
      </c>
      <c r="BZ548" s="114">
        <f>'Key assumptions'!BZ26</f>
        <v>57.718419453018186</v>
      </c>
      <c r="CA548" s="114">
        <f>'Key assumptions'!CA26</f>
        <v>58.080592093505764</v>
      </c>
      <c r="CB548" s="114">
        <f>'Key assumptions'!CB26</f>
        <v>58.445007396195635</v>
      </c>
      <c r="CC548" s="114">
        <f>'Key assumptions'!CC26</f>
        <v>58.811679248204605</v>
      </c>
      <c r="CD548" s="158">
        <f>'Key assumptions'!CD26</f>
        <v>58.263924547731051</v>
      </c>
    </row>
    <row r="549" spans="1:82" hidden="1" outlineLevel="1">
      <c r="A549" s="11"/>
      <c r="B549" s="11" t="s">
        <v>198</v>
      </c>
      <c r="C549" s="158">
        <f>'Key assumptions'!C33</f>
        <v>3.3</v>
      </c>
      <c r="D549" s="158">
        <f>'Key assumptions'!D33</f>
        <v>2.46</v>
      </c>
      <c r="E549" s="158">
        <f>'Key assumptions'!E33</f>
        <v>3.39</v>
      </c>
      <c r="F549" s="158">
        <f>'Key assumptions'!F33</f>
        <v>3.86</v>
      </c>
      <c r="G549" s="158">
        <f>'Key assumptions'!G33</f>
        <v>4.9000000000000004</v>
      </c>
      <c r="H549" s="93"/>
      <c r="I549" s="93"/>
      <c r="J549" s="93"/>
      <c r="K549" s="93"/>
      <c r="L549" s="158">
        <f>'Key assumptions'!L33</f>
        <v>4.72</v>
      </c>
      <c r="M549" s="93"/>
      <c r="N549" s="93"/>
      <c r="O549" s="93"/>
      <c r="P549" s="93"/>
      <c r="Q549" s="158">
        <f>'Key assumptions'!Q33</f>
        <v>4.53</v>
      </c>
      <c r="R549" s="93"/>
      <c r="S549" s="93"/>
      <c r="T549" s="93"/>
      <c r="U549" s="93"/>
      <c r="V549" s="158">
        <f>'Key assumptions'!V33</f>
        <v>6</v>
      </c>
      <c r="W549" s="93"/>
      <c r="X549" s="93"/>
      <c r="Y549" s="93"/>
      <c r="Z549" s="93"/>
      <c r="AA549" s="158">
        <f>'Key assumptions'!AA33</f>
        <v>3.25</v>
      </c>
      <c r="AB549" s="93"/>
      <c r="AC549" s="93"/>
      <c r="AD549" s="93"/>
      <c r="AE549" s="93"/>
      <c r="AF549" s="158">
        <f>'Key assumptions'!AF33</f>
        <v>3.97</v>
      </c>
      <c r="AG549" s="93"/>
      <c r="AH549" s="93"/>
      <c r="AI549" s="93"/>
      <c r="AJ549" s="93"/>
      <c r="AK549" s="158">
        <f>'Key assumptions'!AK33</f>
        <v>4.6924999999999999</v>
      </c>
      <c r="AL549" s="93"/>
      <c r="AM549" s="93"/>
      <c r="AN549" s="93"/>
      <c r="AO549" s="93"/>
      <c r="AP549" s="158">
        <f>'Key assumptions'!AP33</f>
        <v>4.7549999999999999</v>
      </c>
      <c r="AQ549" s="93"/>
      <c r="AR549" s="93"/>
      <c r="AS549" s="93"/>
      <c r="AT549" s="93"/>
      <c r="AU549" s="158">
        <f>'Key assumptions'!AU33</f>
        <v>5.3475000000000001</v>
      </c>
      <c r="AV549" s="93"/>
      <c r="AW549" s="93"/>
      <c r="AX549" s="93"/>
      <c r="AY549" s="93"/>
      <c r="AZ549" s="158">
        <f>'Key assumptions'!AZ33</f>
        <v>5.7025000000000006</v>
      </c>
      <c r="BA549" s="93"/>
      <c r="BB549" s="93"/>
      <c r="BC549" s="93"/>
      <c r="BD549" s="93"/>
      <c r="BE549" s="158">
        <f>'Key assumptions'!BE33</f>
        <v>3.8000000000000003</v>
      </c>
      <c r="BF549" s="93"/>
      <c r="BG549" s="93"/>
      <c r="BH549" s="93"/>
      <c r="BI549" s="93"/>
      <c r="BJ549" s="158">
        <f>'Key assumptions'!BJ33</f>
        <v>2.8374999999999999</v>
      </c>
      <c r="BK549" s="93"/>
      <c r="BL549" s="93"/>
      <c r="BM549" s="93"/>
      <c r="BN549" s="93"/>
      <c r="BO549" s="158">
        <f>'Key assumptions'!BO33</f>
        <v>3.2025000000000001</v>
      </c>
      <c r="BP549" s="114">
        <f>'Key assumptions'!BP33</f>
        <v>3.9293804736676887</v>
      </c>
      <c r="BQ549" s="114">
        <f>'Key assumptions'!BQ33</f>
        <v>3.8732537763797099</v>
      </c>
      <c r="BR549" s="114">
        <f>'Key assumptions'!BR33</f>
        <v>3.8939320332752807</v>
      </c>
      <c r="BS549" s="114">
        <f>'Key assumptions'!BS33</f>
        <v>3.9411966204651581</v>
      </c>
      <c r="BT549" s="158">
        <f>'Key assumptions'!BT33</f>
        <v>3.9094407259469595</v>
      </c>
      <c r="BU549" s="114">
        <f>'Key assumptions'!BU33</f>
        <v>3.8791618497784444</v>
      </c>
      <c r="BV549" s="114">
        <f>'Key assumptions'!BV33</f>
        <v>3.8791618497784444</v>
      </c>
      <c r="BW549" s="114">
        <f>'Key assumptions'!BW33</f>
        <v>3.8791618497784444</v>
      </c>
      <c r="BX549" s="114">
        <f>'Key assumptions'!BX33</f>
        <v>3.8791618497784444</v>
      </c>
      <c r="BY549" s="158">
        <f>'Key assumptions'!BY33</f>
        <v>3.8791618497784444</v>
      </c>
      <c r="BZ549" s="114">
        <f>'Key assumptions'!BZ33</f>
        <v>3.8842653520668335</v>
      </c>
      <c r="CA549" s="114">
        <f>'Key assumptions'!CA33</f>
        <v>3.8894004564985156</v>
      </c>
      <c r="CB549" s="114">
        <f>'Key assumptions'!CB33</f>
        <v>3.8945673587617464</v>
      </c>
      <c r="CC549" s="114">
        <f>'Key assumptions'!CC33</f>
        <v>3.899766255756532</v>
      </c>
      <c r="CD549" s="158">
        <f>'Key assumptions'!CD33</f>
        <v>3.8919998557709068</v>
      </c>
    </row>
    <row r="550" spans="1:82" hidden="1" outlineLevel="1">
      <c r="A550" s="11"/>
      <c r="B550" s="11"/>
      <c r="C550" s="158"/>
      <c r="D550" s="158"/>
      <c r="E550" s="158"/>
      <c r="F550" s="158"/>
      <c r="G550" s="158"/>
      <c r="H550" s="114"/>
      <c r="I550" s="114"/>
      <c r="J550" s="114"/>
      <c r="K550" s="114"/>
      <c r="L550" s="158"/>
      <c r="M550" s="114"/>
      <c r="N550" s="114"/>
      <c r="O550" s="114"/>
      <c r="P550" s="114"/>
      <c r="Q550" s="158"/>
      <c r="R550" s="114"/>
      <c r="S550" s="114"/>
      <c r="T550" s="114"/>
      <c r="U550" s="114"/>
      <c r="V550" s="158"/>
      <c r="W550" s="114"/>
      <c r="X550" s="114"/>
      <c r="Y550" s="114"/>
      <c r="Z550" s="114"/>
      <c r="AA550" s="158"/>
      <c r="AB550" s="114"/>
      <c r="AC550" s="114"/>
      <c r="AD550" s="114"/>
      <c r="AE550" s="114"/>
      <c r="AF550" s="158"/>
      <c r="AG550" s="114"/>
      <c r="AH550" s="114"/>
      <c r="AI550" s="114"/>
      <c r="AJ550" s="114"/>
      <c r="AK550" s="158"/>
      <c r="AL550" s="114"/>
      <c r="AM550" s="114"/>
      <c r="AN550" s="114"/>
      <c r="AO550" s="114"/>
      <c r="AP550" s="158"/>
      <c r="AQ550" s="114"/>
      <c r="AR550" s="114"/>
      <c r="AS550" s="114"/>
      <c r="AT550" s="114"/>
      <c r="AU550" s="158"/>
      <c r="AV550" s="114"/>
      <c r="AW550" s="114"/>
      <c r="AX550" s="114"/>
      <c r="AY550" s="114"/>
      <c r="AZ550" s="158"/>
      <c r="BA550" s="114"/>
      <c r="BB550" s="114"/>
      <c r="BC550" s="114"/>
      <c r="BD550" s="114"/>
      <c r="BE550" s="158"/>
      <c r="BF550" s="114"/>
      <c r="BG550" s="114"/>
      <c r="BH550" s="114"/>
      <c r="BI550" s="114"/>
      <c r="BJ550" s="158"/>
      <c r="BK550" s="114"/>
      <c r="BL550" s="114"/>
      <c r="BM550" s="114"/>
      <c r="BN550" s="114"/>
      <c r="BO550" s="158"/>
      <c r="BP550" s="114"/>
      <c r="BQ550" s="114"/>
      <c r="BR550" s="114"/>
      <c r="BS550" s="114"/>
      <c r="BT550" s="158"/>
      <c r="BU550" s="114"/>
      <c r="BV550" s="114"/>
      <c r="BW550" s="114"/>
      <c r="BX550" s="114"/>
      <c r="BY550" s="158"/>
      <c r="BZ550" s="114"/>
      <c r="CA550" s="114"/>
      <c r="CB550" s="114"/>
      <c r="CC550" s="114"/>
      <c r="CD550" s="158"/>
    </row>
    <row r="551" spans="1:82" hidden="1" outlineLevel="1">
      <c r="A551" s="11" t="s">
        <v>200</v>
      </c>
      <c r="B551" s="11"/>
      <c r="C551" s="115">
        <f>SUMPRODUCT(C543:C544,C548:C549)*365/1000</f>
        <v>2123.7525000000001</v>
      </c>
      <c r="D551" s="115">
        <f>SUMPRODUCT(D543:D544,D548:D549)*365/1000</f>
        <v>2430.9219000000003</v>
      </c>
      <c r="E551" s="115">
        <f>SUMPRODUCT(E543:E544,E548:E549)*365/1000</f>
        <v>5677.4618500000006</v>
      </c>
      <c r="F551" s="115">
        <f>SUMPRODUCT(F543:F544,F548:F549)*365/1000</f>
        <v>14814.55795</v>
      </c>
      <c r="G551" s="115">
        <f>SUMPRODUCT(G543:G544,G548:G549)*365/1000</f>
        <v>21798.416850000001</v>
      </c>
      <c r="H551" s="93"/>
      <c r="I551" s="93"/>
      <c r="J551" s="93"/>
      <c r="K551" s="93"/>
      <c r="L551" s="115">
        <f>SUMPRODUCT(L543:L544,L548:L549)*365/1000</f>
        <v>26031.113799999996</v>
      </c>
      <c r="M551" s="93"/>
      <c r="N551" s="93"/>
      <c r="O551" s="93"/>
      <c r="P551" s="93"/>
      <c r="Q551" s="115">
        <f>SUMPRODUCT(Q543:Q544,Q548:Q549)*365/1000</f>
        <v>28850.194950000005</v>
      </c>
      <c r="R551" s="93"/>
      <c r="S551" s="93"/>
      <c r="T551" s="93"/>
      <c r="U551" s="93"/>
      <c r="V551" s="115">
        <f>SUMPRODUCT(V543:V544,V548:V549)*365/1000</f>
        <v>39781.203999999998</v>
      </c>
      <c r="W551" s="93"/>
      <c r="X551" s="93"/>
      <c r="Y551" s="93"/>
      <c r="Z551" s="93"/>
      <c r="AA551" s="115">
        <f>SUMPRODUCT(AA543:AA544,AA548:AA549)*365/1000</f>
        <v>24534.880250000002</v>
      </c>
      <c r="AB551" s="93"/>
      <c r="AC551" s="93"/>
      <c r="AD551" s="93"/>
      <c r="AE551" s="93"/>
      <c r="AF551" s="115">
        <f>SUMPRODUCT(AF543:AF544,AF548:AF549)*365/1000</f>
        <v>32228.908700000004</v>
      </c>
      <c r="AG551" s="93"/>
      <c r="AH551" s="93"/>
      <c r="AI551" s="93"/>
      <c r="AJ551" s="93"/>
      <c r="AK551" s="115">
        <f>SUMPRODUCT(AK543:AK544,AK548:AK549)*365/1000</f>
        <v>45118.024125000011</v>
      </c>
      <c r="AL551" s="93"/>
      <c r="AM551" s="93"/>
      <c r="AN551" s="93"/>
      <c r="AO551" s="93"/>
      <c r="AP551" s="115">
        <f>SUMPRODUCT(AP543:AP544,AP548:AP549)*365/1000</f>
        <v>45271.606999999989</v>
      </c>
      <c r="AQ551" s="93"/>
      <c r="AR551" s="93"/>
      <c r="AS551" s="93"/>
      <c r="AT551" s="93"/>
      <c r="AU551" s="115">
        <f>SUMPRODUCT(AU543:AU544,AU548:AU549)*365/1000</f>
        <v>43431.2614875</v>
      </c>
      <c r="AV551" s="93"/>
      <c r="AW551" s="93"/>
      <c r="AX551" s="93"/>
      <c r="AY551" s="93"/>
      <c r="AZ551" s="115">
        <f>SUMPRODUCT(AZ543:AZ544,AZ548:AZ549)*365/1000</f>
        <v>35081.839950000001</v>
      </c>
      <c r="BA551" s="93"/>
      <c r="BB551" s="93"/>
      <c r="BC551" s="93"/>
      <c r="BD551" s="93"/>
      <c r="BE551" s="115">
        <f>SUMPRODUCT(BE543:BE544,BE548:BE549)*365/1000</f>
        <v>18824.718049999996</v>
      </c>
      <c r="BF551" s="93"/>
      <c r="BG551" s="93"/>
      <c r="BH551" s="93"/>
      <c r="BI551" s="93"/>
      <c r="BJ551" s="115">
        <f>SUMPRODUCT(BJ543:BJ544,BJ548:BJ549)*365/1000</f>
        <v>16423.519012500001</v>
      </c>
      <c r="BK551" s="93"/>
      <c r="BL551" s="93"/>
      <c r="BM551" s="93"/>
      <c r="BN551" s="93"/>
      <c r="BO551" s="115">
        <f>SUMPRODUCT(BO543:BO544,BO548:BO549)*365/1000</f>
        <v>22202.310337499999</v>
      </c>
      <c r="BP551" s="65">
        <f>SUMPRODUCT(BP543:BP544,BP548:BP549)*91/1000</f>
        <v>6166.3340119711684</v>
      </c>
      <c r="BQ551" s="65">
        <f>SUMPRODUCT(BQ543:BQ544,BQ548:BQ549)*90/1000</f>
        <v>6098.4802510118488</v>
      </c>
      <c r="BR551" s="65">
        <f>SUMPRODUCT(BR543:BR544,BR548:BR549)*92/1000</f>
        <v>6117.2772036172091</v>
      </c>
      <c r="BS551" s="65">
        <f>SUMPRODUCT(BS543:BS544,BS548:BS549)*92/1000</f>
        <v>6091.0528600541738</v>
      </c>
      <c r="BT551" s="115">
        <f>SUMPRODUCT(BT543:BT544,BT548:BT549)*365/1000</f>
        <v>24474.667730297417</v>
      </c>
      <c r="BU551" s="65">
        <f>SUMPRODUCT(BU543:BU544,BU548:BU549)*91/1000</f>
        <v>5946.7748658325863</v>
      </c>
      <c r="BV551" s="65">
        <f>SUMPRODUCT(BV543:BV544,BV548:BV549)*90/1000</f>
        <v>5835.8483053115997</v>
      </c>
      <c r="BW551" s="65">
        <f>SUMPRODUCT(BW543:BW544,BW548:BW549)*92/1000</f>
        <v>5951.3649210199264</v>
      </c>
      <c r="BX551" s="65">
        <f>SUMPRODUCT(BX543:BX544,BX548:BX549)*92/1000</f>
        <v>6010.169581547847</v>
      </c>
      <c r="BY551" s="115">
        <f>SUMPRODUCT(BY543:BY544,BY548:BY549)*365/1000</f>
        <v>23744.035906452496</v>
      </c>
      <c r="BZ551" s="65">
        <f>SUMPRODUCT(BZ543:BZ544,BZ548:BZ549)*91/1000</f>
        <v>6160.9862279653171</v>
      </c>
      <c r="CA551" s="65">
        <f>SUMPRODUCT(CA543:CA544,CA548:CA549)*90/1000</f>
        <v>6078.6862529318787</v>
      </c>
      <c r="CB551" s="65">
        <f>SUMPRODUCT(CB543:CB544,CB548:CB549)*92/1000</f>
        <v>6234.153225048206</v>
      </c>
      <c r="CC551" s="65">
        <f>SUMPRODUCT(CC543:CC544,CC548:CC549)*92/1000</f>
        <v>6333.274930824472</v>
      </c>
      <c r="CD551" s="115">
        <f>SUMPRODUCT(CD543:CD544,CD548:CD549)*365/1000</f>
        <v>24806.013725379387</v>
      </c>
    </row>
    <row r="552" spans="1:82" hidden="1" outlineLevel="1">
      <c r="A552" s="11" t="s">
        <v>550</v>
      </c>
      <c r="B552" s="11"/>
      <c r="C552" s="149"/>
      <c r="D552" s="149"/>
      <c r="E552" s="149"/>
      <c r="F552" s="149"/>
      <c r="G552" s="149"/>
      <c r="H552" s="93"/>
      <c r="I552" s="93"/>
      <c r="J552" s="93"/>
      <c r="K552" s="93"/>
      <c r="L552" s="149"/>
      <c r="M552" s="93"/>
      <c r="N552" s="93"/>
      <c r="O552" s="93"/>
      <c r="P552" s="93"/>
      <c r="Q552" s="149"/>
      <c r="R552" s="93"/>
      <c r="S552" s="93"/>
      <c r="T552" s="93"/>
      <c r="U552" s="93"/>
      <c r="V552" s="149"/>
      <c r="W552" s="93"/>
      <c r="X552" s="93"/>
      <c r="Y552" s="93"/>
      <c r="Z552" s="93"/>
      <c r="AA552" s="116">
        <f>AA522/AA551-1</f>
        <v>-0.52687765818624688</v>
      </c>
      <c r="AB552" s="93"/>
      <c r="AC552" s="93"/>
      <c r="AD552" s="93"/>
      <c r="AE552" s="93"/>
      <c r="AF552" s="116">
        <f>AF522/AF551-1</f>
        <v>-0.56914457981631883</v>
      </c>
      <c r="AG552" s="93"/>
      <c r="AH552" s="93"/>
      <c r="AI552" s="93"/>
      <c r="AJ552" s="93"/>
      <c r="AK552" s="116">
        <f t="shared" ref="AK552:CD552" si="261">AK522/AK551-1</f>
        <v>-0.584179485608181</v>
      </c>
      <c r="AL552" s="93"/>
      <c r="AM552" s="93"/>
      <c r="AN552" s="93"/>
      <c r="AO552" s="93"/>
      <c r="AP552" s="116">
        <f t="shared" si="261"/>
        <v>-0.63235234834937482</v>
      </c>
      <c r="AQ552" s="93"/>
      <c r="AR552" s="93"/>
      <c r="AS552" s="93"/>
      <c r="AT552" s="93"/>
      <c r="AU552" s="116">
        <f t="shared" si="261"/>
        <v>-0.60415609836826756</v>
      </c>
      <c r="AV552" s="93"/>
      <c r="AW552" s="93"/>
      <c r="AX552" s="93"/>
      <c r="AY552" s="93"/>
      <c r="AZ552" s="116">
        <f>AZ522/AZ551-1</f>
        <v>-0.58040969285021782</v>
      </c>
      <c r="BA552" s="93"/>
      <c r="BB552" s="93"/>
      <c r="BC552" s="93"/>
      <c r="BD552" s="93"/>
      <c r="BE552" s="116">
        <f t="shared" si="261"/>
        <v>-0.37884859847874308</v>
      </c>
      <c r="BF552" s="93"/>
      <c r="BG552" s="93"/>
      <c r="BH552" s="93"/>
      <c r="BI552" s="93"/>
      <c r="BJ552" s="116">
        <f t="shared" si="261"/>
        <v>-0.32730616431281712</v>
      </c>
      <c r="BK552" s="93"/>
      <c r="BL552" s="93"/>
      <c r="BM552" s="93"/>
      <c r="BN552" s="93"/>
      <c r="BO552" s="116">
        <f t="shared" si="261"/>
        <v>-0.32223269690164957</v>
      </c>
      <c r="BP552" s="117">
        <f t="shared" ca="1" si="261"/>
        <v>-0.4701031845308532</v>
      </c>
      <c r="BQ552" s="117">
        <f t="shared" ca="1" si="261"/>
        <v>-0.45393493868513202</v>
      </c>
      <c r="BR552" s="117">
        <f t="shared" ca="1" si="261"/>
        <v>-0.45821338988941707</v>
      </c>
      <c r="BS552" s="117">
        <f t="shared" ca="1" si="261"/>
        <v>-0.45448394508520484</v>
      </c>
      <c r="BT552" s="116">
        <f t="shared" ca="1" si="261"/>
        <v>-0.45924848092526793</v>
      </c>
      <c r="BU552" s="117">
        <f t="shared" ca="1" si="261"/>
        <v>-0.4595871332102639</v>
      </c>
      <c r="BV552" s="117">
        <f t="shared" ca="1" si="261"/>
        <v>-0.45188462675204344</v>
      </c>
      <c r="BW552" s="117">
        <f t="shared" ca="1" si="261"/>
        <v>-0.46064270458351586</v>
      </c>
      <c r="BX552" s="117">
        <f t="shared" ca="1" si="261"/>
        <v>-0.45741860516926713</v>
      </c>
      <c r="BY552" s="116">
        <f t="shared" ca="1" si="261"/>
        <v>-0.45740689751297514</v>
      </c>
      <c r="BZ552" s="117">
        <f t="shared" ca="1" si="261"/>
        <v>-0.453998093442321</v>
      </c>
      <c r="CA552" s="117">
        <f t="shared" ca="1" si="261"/>
        <v>-0.44459020459214438</v>
      </c>
      <c r="CB552" s="117">
        <f t="shared" ca="1" si="261"/>
        <v>-0.45232283877475121</v>
      </c>
      <c r="CC552" s="117">
        <f t="shared" ca="1" si="261"/>
        <v>-0.44915694209349444</v>
      </c>
      <c r="CD552" s="116">
        <f t="shared" ca="1" si="261"/>
        <v>-0.45001175375181957</v>
      </c>
    </row>
    <row r="553" spans="1:82" hidden="1" outlineLevel="1">
      <c r="A553" s="11"/>
      <c r="B553" s="11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</row>
    <row r="554" spans="1:82" hidden="1" outlineLevel="1">
      <c r="A554" s="39" t="s">
        <v>3090</v>
      </c>
      <c r="B554" s="11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</row>
    <row r="555" spans="1:82" hidden="1" outlineLevel="1">
      <c r="A555" s="11"/>
      <c r="B555" s="11" t="s">
        <v>1897</v>
      </c>
      <c r="C555" s="72"/>
      <c r="D555" s="72"/>
      <c r="E555" s="149"/>
      <c r="F555" s="149"/>
      <c r="G555" s="149"/>
      <c r="H555" s="93"/>
      <c r="I555" s="93"/>
      <c r="J555" s="93"/>
      <c r="K555" s="93"/>
      <c r="L555" s="149"/>
      <c r="M555" s="93"/>
      <c r="N555" s="93"/>
      <c r="O555" s="93"/>
      <c r="P555" s="93"/>
      <c r="Q555" s="149"/>
      <c r="R555" s="93"/>
      <c r="S555" s="93"/>
      <c r="T555" s="93"/>
      <c r="U555" s="93"/>
      <c r="V555" s="149"/>
      <c r="W555" s="93"/>
      <c r="X555" s="93"/>
      <c r="Y555" s="93"/>
      <c r="Z555" s="93"/>
      <c r="AA555" s="119">
        <f>-1000*AA524/(AA545*365)</f>
        <v>0.12515419500318278</v>
      </c>
      <c r="AB555" s="93"/>
      <c r="AC555" s="93"/>
      <c r="AD555" s="93"/>
      <c r="AE555" s="93"/>
      <c r="AF555" s="119">
        <f>-1000*AF524/(AF545*365)</f>
        <v>0.12778281186148571</v>
      </c>
      <c r="AG555" s="93"/>
      <c r="AH555" s="93"/>
      <c r="AI555" s="93"/>
      <c r="AJ555" s="93"/>
      <c r="AK555" s="119">
        <f>-1000*AK524/(AK545*365)</f>
        <v>0.16733114813360075</v>
      </c>
      <c r="AL555" s="93"/>
      <c r="AM555" s="93"/>
      <c r="AN555" s="93"/>
      <c r="AO555" s="93"/>
      <c r="AP555" s="119">
        <f>-1000*AP524/(AP545*365)</f>
        <v>0.25054255422086452</v>
      </c>
      <c r="AQ555" s="93"/>
      <c r="AR555" s="93"/>
      <c r="AS555" s="93"/>
      <c r="AT555" s="93"/>
      <c r="AU555" s="119">
        <f>-1000*AU524/(AU545*365)</f>
        <v>0.25925364093687492</v>
      </c>
      <c r="AV555" s="93"/>
      <c r="AW555" s="93"/>
      <c r="AX555" s="93"/>
      <c r="AY555" s="93"/>
      <c r="AZ555" s="119">
        <f>-1000*AZ524/(AZ545*365)</f>
        <v>0.14706027049099057</v>
      </c>
      <c r="BA555" s="93"/>
      <c r="BB555" s="93"/>
      <c r="BC555" s="93"/>
      <c r="BD555" s="93"/>
      <c r="BE555" s="119">
        <f>-1000*BE524/(BE545*365)</f>
        <v>0.11897906266877123</v>
      </c>
      <c r="BF555" s="93"/>
      <c r="BG555" s="93"/>
      <c r="BH555" s="93"/>
      <c r="BI555" s="93"/>
      <c r="BJ555" s="119">
        <f>-1000*BJ524/(BJ545*365)</f>
        <v>0.130602709702416</v>
      </c>
      <c r="BK555" s="93"/>
      <c r="BL555" s="93"/>
      <c r="BM555" s="93"/>
      <c r="BN555" s="93"/>
      <c r="BO555" s="119">
        <f>-1000*BO524/(BO545*365)</f>
        <v>0.24664298010080687</v>
      </c>
      <c r="BP555" s="109">
        <f t="shared" ref="BP555:BP560" si="262">-1000*BP524/(BP$545*90)</f>
        <v>9.0935313744210822E-2</v>
      </c>
      <c r="BQ555" s="109">
        <f t="shared" ref="BQ555:BQ560" si="263">-1000*BQ524/(BQ$545*91)</f>
        <v>9.1365548454941783E-2</v>
      </c>
      <c r="BR555" s="109">
        <f t="shared" ref="BR555:BS560" si="264">-1000*BR524/(BR$545*92)</f>
        <v>9.08527699099934E-2</v>
      </c>
      <c r="BS555" s="109">
        <f t="shared" si="264"/>
        <v>8.9057835847590291E-2</v>
      </c>
      <c r="BT555" s="119">
        <f>-1000*BT524/(BT545*365)</f>
        <v>9.0540990649493711E-2</v>
      </c>
      <c r="BU555" s="109">
        <f t="shared" ref="BU555:BU560" si="265">-1000*BU524/(BU$545*90)</f>
        <v>8.8278282683748127E-2</v>
      </c>
      <c r="BV555" s="109">
        <f t="shared" ref="BV555:BV560" si="266">-1000*BV524/(BV$545*91)</f>
        <v>8.8785153534901559E-2</v>
      </c>
      <c r="BW555" s="109">
        <f t="shared" ref="BW555:BX560" si="267">-1000*BW524/(BW$545*92)</f>
        <v>8.8274237495930066E-2</v>
      </c>
      <c r="BX555" s="109">
        <f t="shared" si="267"/>
        <v>8.6419497233756568E-2</v>
      </c>
      <c r="BY555" s="119">
        <f>-1000*BY524/(BY545*365)</f>
        <v>8.792688016656923E-2</v>
      </c>
      <c r="BZ555" s="109">
        <f t="shared" ref="BZ555:BZ560" si="268">-1000*BZ524/(BZ$545*90)</f>
        <v>8.5251861230826884E-2</v>
      </c>
      <c r="CA555" s="109">
        <f t="shared" ref="CA555:CA560" si="269">-1000*CA524/(CA$545*91)</f>
        <v>8.5795160188558567E-2</v>
      </c>
      <c r="CB555" s="109">
        <f t="shared" ref="CB555:CC560" si="270">-1000*CB524/(CB$545*92)</f>
        <v>8.5310114919003532E-2</v>
      </c>
      <c r="CC555" s="109">
        <f t="shared" si="270"/>
        <v>8.3450110951514597E-2</v>
      </c>
      <c r="CD555" s="119">
        <f>-1000*CD524/(CD545*365)</f>
        <v>8.4939298618111378E-2</v>
      </c>
    </row>
    <row r="556" spans="1:82" hidden="1" outlineLevel="1">
      <c r="A556" s="11"/>
      <c r="B556" s="11" t="s">
        <v>2149</v>
      </c>
      <c r="C556" s="72"/>
      <c r="D556" s="72"/>
      <c r="E556" s="149"/>
      <c r="F556" s="149"/>
      <c r="G556" s="149"/>
      <c r="H556" s="93"/>
      <c r="I556" s="93"/>
      <c r="J556" s="93"/>
      <c r="K556" s="93"/>
      <c r="L556" s="149"/>
      <c r="M556" s="93"/>
      <c r="N556" s="93"/>
      <c r="O556" s="93"/>
      <c r="P556" s="93"/>
      <c r="Q556" s="149"/>
      <c r="R556" s="93"/>
      <c r="S556" s="93"/>
      <c r="T556" s="93"/>
      <c r="U556" s="93"/>
      <c r="V556" s="149"/>
      <c r="W556" s="93"/>
      <c r="X556" s="93"/>
      <c r="Y556" s="93"/>
      <c r="Z556" s="93"/>
      <c r="AA556" s="119">
        <f>-1000*AA525/(AA545*365)</f>
        <v>4.0487382083529635</v>
      </c>
      <c r="AB556" s="93"/>
      <c r="AC556" s="93"/>
      <c r="AD556" s="93"/>
      <c r="AE556" s="93"/>
      <c r="AF556" s="119">
        <f>-1000*AF525/(AF545*365)</f>
        <v>4.3322495247232728</v>
      </c>
      <c r="AG556" s="93"/>
      <c r="AH556" s="93"/>
      <c r="AI556" s="93"/>
      <c r="AJ556" s="93"/>
      <c r="AK556" s="119">
        <f>-1000*AK525/(AK545*365)</f>
        <v>5.074367468099676</v>
      </c>
      <c r="AL556" s="93"/>
      <c r="AM556" s="93"/>
      <c r="AN556" s="93"/>
      <c r="AO556" s="93"/>
      <c r="AP556" s="119">
        <f>-1000*AP525/(AP545*365)</f>
        <v>4.9206557648977789</v>
      </c>
      <c r="AQ556" s="93"/>
      <c r="AR556" s="93"/>
      <c r="AS556" s="93"/>
      <c r="AT556" s="93"/>
      <c r="AU556" s="119">
        <f>-1000*AU525/(AU545*365)</f>
        <v>4.4236428339386453</v>
      </c>
      <c r="AV556" s="93"/>
      <c r="AW556" s="93"/>
      <c r="AX556" s="93"/>
      <c r="AY556" s="93"/>
      <c r="AZ556" s="119">
        <f>-1000*AZ525/(AZ545*365)</f>
        <v>4.4710712088081763</v>
      </c>
      <c r="BA556" s="93"/>
      <c r="BB556" s="93"/>
      <c r="BC556" s="93"/>
      <c r="BD556" s="93"/>
      <c r="BE556" s="119">
        <f>-1000*BE525/(BE545*365)</f>
        <v>4.1058592899150508</v>
      </c>
      <c r="BF556" s="93"/>
      <c r="BG556" s="93"/>
      <c r="BH556" s="93"/>
      <c r="BI556" s="93"/>
      <c r="BJ556" s="119">
        <f>-1000*BJ525/(BJ545*365)</f>
        <v>3.8268667001692047</v>
      </c>
      <c r="BK556" s="93"/>
      <c r="BL556" s="93"/>
      <c r="BM556" s="93"/>
      <c r="BN556" s="93"/>
      <c r="BO556" s="119">
        <f>-1000*BO525/(BO545*365)</f>
        <v>4.4473419246523447</v>
      </c>
      <c r="BP556" s="109">
        <f t="shared" si="262"/>
        <v>4.5152327825157306</v>
      </c>
      <c r="BQ556" s="109">
        <f t="shared" si="263"/>
        <v>4.5102856647627796</v>
      </c>
      <c r="BR556" s="109">
        <f t="shared" si="264"/>
        <v>4.4945981080872741</v>
      </c>
      <c r="BS556" s="109">
        <f t="shared" si="264"/>
        <v>4.4959003568716671</v>
      </c>
      <c r="BT556" s="119">
        <f>-1000*BT525/(BT545*365)</f>
        <v>4.345488375578471</v>
      </c>
      <c r="BU556" s="109">
        <f t="shared" si="265"/>
        <v>4.4399735748406064</v>
      </c>
      <c r="BV556" s="109">
        <f t="shared" si="266"/>
        <v>4.4396295909321006</v>
      </c>
      <c r="BW556" s="109">
        <f t="shared" si="267"/>
        <v>4.4351474039154786</v>
      </c>
      <c r="BX556" s="109">
        <f t="shared" si="267"/>
        <v>4.4291780235682916</v>
      </c>
      <c r="BY556" s="119">
        <f>-1000*BY525/(BY545*365)</f>
        <v>4.4358635587955835</v>
      </c>
      <c r="BZ556" s="109">
        <f t="shared" si="268"/>
        <v>4.6567061841380664</v>
      </c>
      <c r="CA556" s="109">
        <f t="shared" si="269"/>
        <v>4.606767235652744</v>
      </c>
      <c r="CB556" s="109">
        <f t="shared" si="270"/>
        <v>4.6029595655841105</v>
      </c>
      <c r="CC556" s="109">
        <f t="shared" si="270"/>
        <v>4.5946622788183369</v>
      </c>
      <c r="CD556" s="119">
        <f>-1000*CD525/(CD545*365)</f>
        <v>4.6150558506201325</v>
      </c>
    </row>
    <row r="557" spans="1:82" hidden="1" outlineLevel="1">
      <c r="A557" s="11"/>
      <c r="B557" s="11" t="s">
        <v>2150</v>
      </c>
      <c r="C557" s="72"/>
      <c r="D557" s="72"/>
      <c r="E557" s="149"/>
      <c r="F557" s="149"/>
      <c r="G557" s="149"/>
      <c r="H557" s="93"/>
      <c r="I557" s="93"/>
      <c r="J557" s="93"/>
      <c r="K557" s="93"/>
      <c r="L557" s="149"/>
      <c r="M557" s="93"/>
      <c r="N557" s="93"/>
      <c r="O557" s="93"/>
      <c r="P557" s="93"/>
      <c r="Q557" s="149"/>
      <c r="R557" s="93"/>
      <c r="S557" s="93"/>
      <c r="T557" s="93"/>
      <c r="U557" s="93"/>
      <c r="V557" s="149"/>
      <c r="W557" s="93"/>
      <c r="X557" s="93"/>
      <c r="Y557" s="93"/>
      <c r="Z557" s="93"/>
      <c r="AA557" s="119">
        <f>-1000*AA526/(AA545*365)</f>
        <v>10.05822547175579</v>
      </c>
      <c r="AB557" s="93"/>
      <c r="AC557" s="93"/>
      <c r="AD557" s="93"/>
      <c r="AE557" s="93"/>
      <c r="AF557" s="119">
        <f>-1000*AF526/(AF545*365)</f>
        <v>13.411012206172378</v>
      </c>
      <c r="AG557" s="93"/>
      <c r="AH557" s="93"/>
      <c r="AI557" s="93"/>
      <c r="AJ557" s="93"/>
      <c r="AK557" s="119">
        <f>-1000*AK526/(AK545*365)</f>
        <v>18.59391782212289</v>
      </c>
      <c r="AL557" s="93"/>
      <c r="AM557" s="93"/>
      <c r="AN557" s="93"/>
      <c r="AO557" s="93"/>
      <c r="AP557" s="119">
        <f>-1000*AP526/(AP545*365)</f>
        <v>17.245345092130545</v>
      </c>
      <c r="AQ557" s="93"/>
      <c r="AR557" s="93"/>
      <c r="AS557" s="93"/>
      <c r="AT557" s="93"/>
      <c r="AU557" s="119">
        <f>-1000*AU526/(AU545*365)</f>
        <v>17.935452671428212</v>
      </c>
      <c r="AV557" s="93"/>
      <c r="AW557" s="93"/>
      <c r="AX557" s="93"/>
      <c r="AY557" s="93"/>
      <c r="AZ557" s="119">
        <f>-1000*AZ526/(AZ545*365)</f>
        <v>14.545797202146186</v>
      </c>
      <c r="BA557" s="93"/>
      <c r="BB557" s="93"/>
      <c r="BC557" s="93"/>
      <c r="BD557" s="93"/>
      <c r="BE557" s="119">
        <f>-1000*BE526/(BE545*365)</f>
        <v>10.219219855405004</v>
      </c>
      <c r="BF557" s="93"/>
      <c r="BG557" s="93"/>
      <c r="BH557" s="93"/>
      <c r="BI557" s="93"/>
      <c r="BJ557" s="119">
        <f>-1000*BJ526/(BJ545*365)</f>
        <v>8.4539341296262283</v>
      </c>
      <c r="BK557" s="93"/>
      <c r="BL557" s="93"/>
      <c r="BM557" s="93"/>
      <c r="BN557" s="93"/>
      <c r="BO557" s="119">
        <f>-1000*BO526/(BO545*365)</f>
        <v>12.572965773012786</v>
      </c>
      <c r="BP557" s="109">
        <f t="shared" ca="1" si="262"/>
        <v>10.583064887520901</v>
      </c>
      <c r="BQ557" s="109">
        <f t="shared" ca="1" si="263"/>
        <v>10.855887555184585</v>
      </c>
      <c r="BR557" s="109">
        <f t="shared" ca="1" si="264"/>
        <v>10.780074802789379</v>
      </c>
      <c r="BS557" s="109">
        <f t="shared" ca="1" si="264"/>
        <v>10.575237508339256</v>
      </c>
      <c r="BT557" s="119">
        <f ca="1">-1000*BT526/(BT545*365)</f>
        <v>10.697381314774052</v>
      </c>
      <c r="BU557" s="109">
        <f t="shared" ca="1" si="265"/>
        <v>10.19356913775971</v>
      </c>
      <c r="BV557" s="109">
        <f t="shared" ca="1" si="266"/>
        <v>10.208393497661014</v>
      </c>
      <c r="BW557" s="109">
        <f t="shared" ca="1" si="267"/>
        <v>10.212481929405563</v>
      </c>
      <c r="BX557" s="109">
        <f t="shared" ca="1" si="267"/>
        <v>10.151495812375581</v>
      </c>
      <c r="BY557" s="119">
        <f ca="1">-1000*BY526/(BY545*365)</f>
        <v>10.190890845000711</v>
      </c>
      <c r="BZ557" s="109">
        <f t="shared" ca="1" si="268"/>
        <v>10.057724713060278</v>
      </c>
      <c r="CA557" s="109">
        <f t="shared" ca="1" si="269"/>
        <v>10.158270075675485</v>
      </c>
      <c r="CB557" s="109">
        <f t="shared" ca="1" si="270"/>
        <v>10.239636465328761</v>
      </c>
      <c r="CC557" s="109">
        <f t="shared" ca="1" si="270"/>
        <v>10.233570276719895</v>
      </c>
      <c r="CD557" s="119">
        <f ca="1">-1000*CD526/(CD545*365)</f>
        <v>10.172275824880902</v>
      </c>
    </row>
    <row r="558" spans="1:82" hidden="1" outlineLevel="1">
      <c r="A558" s="11"/>
      <c r="B558" s="11" t="s">
        <v>2158</v>
      </c>
      <c r="C558" s="72"/>
      <c r="D558" s="72"/>
      <c r="E558" s="149"/>
      <c r="F558" s="149"/>
      <c r="G558" s="149"/>
      <c r="H558" s="93"/>
      <c r="I558" s="93"/>
      <c r="J558" s="93"/>
      <c r="K558" s="93"/>
      <c r="L558" s="149"/>
      <c r="M558" s="93"/>
      <c r="N558" s="93"/>
      <c r="O558" s="93"/>
      <c r="P558" s="93"/>
      <c r="Q558" s="149"/>
      <c r="R558" s="93"/>
      <c r="S558" s="93"/>
      <c r="T558" s="93"/>
      <c r="U558" s="93"/>
      <c r="V558" s="149"/>
      <c r="W558" s="93"/>
      <c r="X558" s="93"/>
      <c r="Y558" s="93"/>
      <c r="Z558" s="93"/>
      <c r="AA558" s="119">
        <f>-1000*AA527/(AA545*365)</f>
        <v>-0.12306829175312975</v>
      </c>
      <c r="AB558" s="93"/>
      <c r="AC558" s="93"/>
      <c r="AD558" s="93"/>
      <c r="AE558" s="93"/>
      <c r="AF558" s="119">
        <f>-1000*AF527/(AF545*365)</f>
        <v>0.29472487251923313</v>
      </c>
      <c r="AG558" s="93"/>
      <c r="AH558" s="93"/>
      <c r="AI558" s="93"/>
      <c r="AJ558" s="93"/>
      <c r="AK558" s="119">
        <f>-1000*AK527/(AK545*365)</f>
        <v>-0.47981702717827684</v>
      </c>
      <c r="AL558" s="93"/>
      <c r="AM558" s="93"/>
      <c r="AN558" s="93"/>
      <c r="AO558" s="93"/>
      <c r="AP558" s="119">
        <f>-1000*AP527/(AP545*365)</f>
        <v>-0.16034723470135329</v>
      </c>
      <c r="AQ558" s="93"/>
      <c r="AR558" s="93"/>
      <c r="AS558" s="93"/>
      <c r="AT558" s="93"/>
      <c r="AU558" s="119">
        <f>-1000*AU527/(AU545*365)</f>
        <v>0.20209535789567415</v>
      </c>
      <c r="AV558" s="93"/>
      <c r="AW558" s="93"/>
      <c r="AX558" s="93"/>
      <c r="AY558" s="93"/>
      <c r="AZ558" s="119">
        <f>-1000*AZ527/(AZ545*365)</f>
        <v>0.67164839955586741</v>
      </c>
      <c r="BA558" s="93"/>
      <c r="BB558" s="93"/>
      <c r="BC558" s="93"/>
      <c r="BD558" s="93"/>
      <c r="BE558" s="119">
        <f>-1000*BE527/(BE545*365)</f>
        <v>-0.2098358014340147</v>
      </c>
      <c r="BF558" s="93"/>
      <c r="BG558" s="93"/>
      <c r="BH558" s="93"/>
      <c r="BI558" s="93"/>
      <c r="BJ558" s="119">
        <f>-1000*BJ527/(BJ545*365)</f>
        <v>-0.14718718077573864</v>
      </c>
      <c r="BK558" s="93"/>
      <c r="BL558" s="93"/>
      <c r="BM558" s="93"/>
      <c r="BN558" s="93"/>
      <c r="BO558" s="119">
        <f>-1000*BO527/(BO545*365)</f>
        <v>0.93607808195739306</v>
      </c>
      <c r="BP558" s="109">
        <f t="shared" si="262"/>
        <v>1.022810802148548</v>
      </c>
      <c r="BQ558" s="109">
        <f t="shared" si="263"/>
        <v>1.0276499420984324</v>
      </c>
      <c r="BR558" s="109">
        <f t="shared" si="264"/>
        <v>1.0218823759760072</v>
      </c>
      <c r="BS558" s="109">
        <f t="shared" si="264"/>
        <v>1.0016935420392334</v>
      </c>
      <c r="BT558" s="119">
        <f>-1000*BT527/(BT545*365)</f>
        <v>1.0183755843634335</v>
      </c>
      <c r="BU558" s="109">
        <f t="shared" si="265"/>
        <v>0.99292538186034385</v>
      </c>
      <c r="BV558" s="109">
        <f t="shared" si="266"/>
        <v>0.99862650016639865</v>
      </c>
      <c r="BW558" s="109">
        <f t="shared" si="267"/>
        <v>0.99287988290480411</v>
      </c>
      <c r="BX558" s="109">
        <f t="shared" si="267"/>
        <v>0.97201836830479915</v>
      </c>
      <c r="BY558" s="119">
        <f>-1000*BY527/(BY545*365)</f>
        <v>0.98897292075723742</v>
      </c>
      <c r="BZ558" s="109">
        <f t="shared" si="268"/>
        <v>0.95888517870440526</v>
      </c>
      <c r="CA558" s="109">
        <f t="shared" si="269"/>
        <v>0.96499602849293842</v>
      </c>
      <c r="CB558" s="109">
        <f t="shared" si="270"/>
        <v>0.95954039722269913</v>
      </c>
      <c r="CC558" s="109">
        <f t="shared" si="270"/>
        <v>0.93861967817907055</v>
      </c>
      <c r="CD558" s="119">
        <f>-1000*CD527/(CD545*365)</f>
        <v>0.9553695762011527</v>
      </c>
    </row>
    <row r="559" spans="1:82" hidden="1" outlineLevel="1">
      <c r="A559" s="11"/>
      <c r="B559" s="11" t="s">
        <v>2154</v>
      </c>
      <c r="C559" s="72"/>
      <c r="D559" s="72"/>
      <c r="E559" s="149"/>
      <c r="F559" s="149"/>
      <c r="G559" s="149"/>
      <c r="H559" s="93"/>
      <c r="I559" s="93"/>
      <c r="J559" s="93"/>
      <c r="K559" s="93"/>
      <c r="L559" s="149"/>
      <c r="M559" s="93"/>
      <c r="N559" s="93"/>
      <c r="O559" s="93"/>
      <c r="P559" s="93"/>
      <c r="Q559" s="149"/>
      <c r="R559" s="93"/>
      <c r="S559" s="93"/>
      <c r="T559" s="93"/>
      <c r="U559" s="93"/>
      <c r="V559" s="149"/>
      <c r="W559" s="93"/>
      <c r="X559" s="93"/>
      <c r="Y559" s="93"/>
      <c r="Z559" s="93"/>
      <c r="AA559" s="119">
        <f>-1000*AA528/(AA545*365)</f>
        <v>3.3958504910863598</v>
      </c>
      <c r="AB559" s="93"/>
      <c r="AC559" s="93"/>
      <c r="AD559" s="93"/>
      <c r="AE559" s="93"/>
      <c r="AF559" s="119">
        <f>-1000*AF528/(AF545*365)</f>
        <v>3.2687667679405856</v>
      </c>
      <c r="AG559" s="93"/>
      <c r="AH559" s="93"/>
      <c r="AI559" s="93"/>
      <c r="AJ559" s="93"/>
      <c r="AK559" s="119">
        <f>-1000*AK528/(AK545*365)</f>
        <v>3.5240343004522185</v>
      </c>
      <c r="AL559" s="93"/>
      <c r="AM559" s="93"/>
      <c r="AN559" s="93"/>
      <c r="AO559" s="93"/>
      <c r="AP559" s="119">
        <f>-1000*AP528/(AP545*365)</f>
        <v>3.3111703965829453</v>
      </c>
      <c r="AQ559" s="93"/>
      <c r="AR559" s="93"/>
      <c r="AS559" s="93"/>
      <c r="AT559" s="93"/>
      <c r="AU559" s="119">
        <f>-1000*AU528/(AU545*365)</f>
        <v>4.2725816573297575</v>
      </c>
      <c r="AV559" s="93"/>
      <c r="AW559" s="93"/>
      <c r="AX559" s="93"/>
      <c r="AY559" s="93"/>
      <c r="AZ559" s="119">
        <f>-1000*AZ528/(AZ545*365)</f>
        <v>4.938591173204907</v>
      </c>
      <c r="BA559" s="93"/>
      <c r="BB559" s="93"/>
      <c r="BC559" s="93"/>
      <c r="BD559" s="93"/>
      <c r="BE559" s="119">
        <f>-1000*BE528/(BE545*365)</f>
        <v>4.198879284365181</v>
      </c>
      <c r="BF559" s="93"/>
      <c r="BG559" s="93"/>
      <c r="BH559" s="93"/>
      <c r="BI559" s="93"/>
      <c r="BJ559" s="119">
        <f>-1000*BJ528/(BJ545*365)</f>
        <v>4.1564830627514926</v>
      </c>
      <c r="BK559" s="93"/>
      <c r="BL559" s="93"/>
      <c r="BM559" s="93"/>
      <c r="BN559" s="93"/>
      <c r="BO559" s="119">
        <f>-1000*BO528/(BO545*365)</f>
        <v>5.3814779359002829</v>
      </c>
      <c r="BP559" s="109">
        <f t="shared" si="262"/>
        <v>4.1924540514867976</v>
      </c>
      <c r="BQ559" s="109">
        <f t="shared" si="263"/>
        <v>4.1846204806271468</v>
      </c>
      <c r="BR559" s="109">
        <f t="shared" si="264"/>
        <v>4.1522865734965659</v>
      </c>
      <c r="BS559" s="109">
        <f t="shared" si="264"/>
        <v>4.1600686429479481</v>
      </c>
      <c r="BT559" s="119">
        <f>-1000*BT528/(BT545*365)</f>
        <v>4.1803895735428007</v>
      </c>
      <c r="BU559" s="109">
        <f t="shared" si="265"/>
        <v>4.0071754325394187</v>
      </c>
      <c r="BV559" s="109">
        <f t="shared" si="266"/>
        <v>4.0012816915981793</v>
      </c>
      <c r="BW559" s="109">
        <f t="shared" si="267"/>
        <v>3.9756190898590877</v>
      </c>
      <c r="BX559" s="109">
        <f t="shared" si="267"/>
        <v>3.9800494036732639</v>
      </c>
      <c r="BY559" s="119">
        <f>-1000*BY528/(BY545*365)</f>
        <v>3.9982332212442815</v>
      </c>
      <c r="BZ559" s="109">
        <f t="shared" si="268"/>
        <v>4.2593411541230557</v>
      </c>
      <c r="CA559" s="109">
        <f t="shared" si="269"/>
        <v>4.2106367325519498</v>
      </c>
      <c r="CB559" s="109">
        <f t="shared" si="270"/>
        <v>4.1867555995397083</v>
      </c>
      <c r="CC559" s="109">
        <f t="shared" si="270"/>
        <v>4.1858839520705837</v>
      </c>
      <c r="CD559" s="119">
        <f>-1000*CD528/(CD545*365)</f>
        <v>4.2197445870180958</v>
      </c>
    </row>
    <row r="560" spans="1:82" hidden="1" outlineLevel="1">
      <c r="A560" s="11"/>
      <c r="B560" s="4" t="s">
        <v>930</v>
      </c>
      <c r="C560" s="72"/>
      <c r="D560" s="72"/>
      <c r="E560" s="149"/>
      <c r="F560" s="149"/>
      <c r="G560" s="149"/>
      <c r="H560" s="93"/>
      <c r="I560" s="93"/>
      <c r="J560" s="93"/>
      <c r="K560" s="93"/>
      <c r="L560" s="149"/>
      <c r="M560" s="93"/>
      <c r="N560" s="93"/>
      <c r="O560" s="93"/>
      <c r="P560" s="93"/>
      <c r="Q560" s="149"/>
      <c r="R560" s="93"/>
      <c r="S560" s="93"/>
      <c r="T560" s="93"/>
      <c r="U560" s="93"/>
      <c r="V560" s="149"/>
      <c r="W560" s="93"/>
      <c r="X560" s="93"/>
      <c r="Y560" s="93"/>
      <c r="Z560" s="93"/>
      <c r="AA560" s="119">
        <f>-1000*AA529/(AA545*365)</f>
        <v>0.15018503400381936</v>
      </c>
      <c r="AB560" s="93"/>
      <c r="AC560" s="93"/>
      <c r="AD560" s="93"/>
      <c r="AE560" s="93"/>
      <c r="AF560" s="119">
        <f>-1000*AF529/(AF545*365)</f>
        <v>8.8623563065223954E-2</v>
      </c>
      <c r="AG560" s="93"/>
      <c r="AH560" s="93"/>
      <c r="AI560" s="93"/>
      <c r="AJ560" s="93"/>
      <c r="AK560" s="119">
        <f>-1000*AK529/(AK545*365)</f>
        <v>0</v>
      </c>
      <c r="AL560" s="93"/>
      <c r="AM560" s="93"/>
      <c r="AN560" s="93"/>
      <c r="AO560" s="93"/>
      <c r="AP560" s="119">
        <f>-1000*AP529/(AP545*365)</f>
        <v>-5.411719171170673E-2</v>
      </c>
      <c r="AQ560" s="93"/>
      <c r="AR560" s="93"/>
      <c r="AS560" s="93"/>
      <c r="AT560" s="93"/>
      <c r="AU560" s="119">
        <f>-1000*AU529/(AU545*365)</f>
        <v>7.5530588304443882E-2</v>
      </c>
      <c r="AV560" s="93"/>
      <c r="AW560" s="93"/>
      <c r="AX560" s="93"/>
      <c r="AY560" s="93"/>
      <c r="AZ560" s="119">
        <f>-1000*AZ529/(AZ545*365)</f>
        <v>5.4873235257832303E-2</v>
      </c>
      <c r="BA560" s="93"/>
      <c r="BB560" s="93"/>
      <c r="BC560" s="93"/>
      <c r="BD560" s="93"/>
      <c r="BE560" s="119">
        <f>-1000*BE529/(BE545*365)</f>
        <v>0.24877440376197621</v>
      </c>
      <c r="BF560" s="93"/>
      <c r="BG560" s="93"/>
      <c r="BH560" s="93"/>
      <c r="BI560" s="93"/>
      <c r="BJ560" s="119">
        <f>-1000*BJ529/(BJ545*365)</f>
        <v>0.39180812910724794</v>
      </c>
      <c r="BK560" s="93"/>
      <c r="BL560" s="93"/>
      <c r="BM560" s="93"/>
      <c r="BN560" s="93"/>
      <c r="BO560" s="119">
        <f>-1000*BO529/(BO545*365)</f>
        <v>0.16896015172259998</v>
      </c>
      <c r="BP560" s="109">
        <f t="shared" si="262"/>
        <v>0</v>
      </c>
      <c r="BQ560" s="109">
        <f t="shared" si="263"/>
        <v>0</v>
      </c>
      <c r="BR560" s="109">
        <f t="shared" si="264"/>
        <v>0</v>
      </c>
      <c r="BS560" s="109">
        <f t="shared" si="264"/>
        <v>0</v>
      </c>
      <c r="BT560" s="119">
        <f>-1000*BT529/(BT545*365)</f>
        <v>0</v>
      </c>
      <c r="BU560" s="109">
        <f t="shared" si="265"/>
        <v>0</v>
      </c>
      <c r="BV560" s="109">
        <f t="shared" si="266"/>
        <v>0</v>
      </c>
      <c r="BW560" s="109">
        <f t="shared" si="267"/>
        <v>0</v>
      </c>
      <c r="BX560" s="109">
        <f t="shared" si="267"/>
        <v>0</v>
      </c>
      <c r="BY560" s="119">
        <f>-1000*BY529/(BY545*365)</f>
        <v>0</v>
      </c>
      <c r="BZ560" s="109">
        <f t="shared" si="268"/>
        <v>0</v>
      </c>
      <c r="CA560" s="109">
        <f t="shared" si="269"/>
        <v>0</v>
      </c>
      <c r="CB560" s="109">
        <f t="shared" si="270"/>
        <v>0</v>
      </c>
      <c r="CC560" s="109">
        <f t="shared" si="270"/>
        <v>0</v>
      </c>
      <c r="CD560" s="119">
        <f>-1000*CD529/(CD545*365)</f>
        <v>0</v>
      </c>
    </row>
    <row r="561" spans="1:82" hidden="1" outlineLevel="1">
      <c r="A561" s="11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11"/>
      <c r="AE561" s="11"/>
      <c r="AF561" s="11"/>
      <c r="AG561" s="11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/>
      <c r="BF561" s="11"/>
      <c r="BG561" s="11"/>
      <c r="BH561" s="11"/>
      <c r="BI561" s="11"/>
      <c r="BJ561" s="11"/>
      <c r="BK561" s="11"/>
      <c r="BL561" s="11"/>
      <c r="BM561" s="11"/>
      <c r="BN561" s="11"/>
      <c r="BO561" s="11"/>
      <c r="BP561" s="11"/>
      <c r="BQ561" s="11"/>
      <c r="BR561" s="11"/>
      <c r="BS561" s="11"/>
      <c r="BT561" s="11"/>
      <c r="BU561" s="11"/>
      <c r="BV561" s="11"/>
      <c r="BW561" s="11"/>
      <c r="BX561" s="11"/>
      <c r="BY561" s="11"/>
      <c r="BZ561" s="11"/>
      <c r="CA561" s="11"/>
      <c r="CB561" s="11"/>
      <c r="CC561" s="11"/>
      <c r="CD561" s="11"/>
    </row>
    <row r="562" spans="1:82" hidden="1" outlineLevel="1">
      <c r="A562" s="11"/>
      <c r="B562" s="5" t="s">
        <v>2138</v>
      </c>
      <c r="C562" s="93"/>
      <c r="D562" s="93"/>
      <c r="E562" s="93"/>
      <c r="F562" s="93"/>
      <c r="G562" s="93"/>
      <c r="H562" s="93"/>
      <c r="I562" s="93"/>
      <c r="J562" s="93"/>
      <c r="K562" s="93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  <c r="X562" s="93"/>
      <c r="Y562" s="93"/>
      <c r="Z562" s="93"/>
      <c r="AA562" s="119">
        <f>AA559</f>
        <v>3.3958504910863598</v>
      </c>
      <c r="AB562" s="93"/>
      <c r="AC562" s="93"/>
      <c r="AD562" s="93"/>
      <c r="AE562" s="93"/>
      <c r="AF562" s="119">
        <f>AF559</f>
        <v>3.2687667679405856</v>
      </c>
      <c r="AG562" s="93"/>
      <c r="AH562" s="93"/>
      <c r="AI562" s="93"/>
      <c r="AJ562" s="93"/>
      <c r="AK562" s="104">
        <f>+AK559</f>
        <v>3.5240343004522185</v>
      </c>
      <c r="AL562" s="93"/>
      <c r="AM562" s="93"/>
      <c r="AN562" s="93"/>
      <c r="AO562" s="93"/>
      <c r="AP562" s="104">
        <f>+AP559</f>
        <v>3.3111703965829453</v>
      </c>
      <c r="AQ562" s="93"/>
      <c r="AR562" s="93"/>
      <c r="AS562" s="93"/>
      <c r="AT562" s="93"/>
      <c r="AU562" s="104">
        <f>+AU559</f>
        <v>4.2725816573297575</v>
      </c>
      <c r="AV562" s="93"/>
      <c r="AW562" s="93"/>
      <c r="AX562" s="93"/>
      <c r="AY562" s="93"/>
      <c r="AZ562" s="104">
        <f>+AZ559</f>
        <v>4.938591173204907</v>
      </c>
      <c r="BA562" s="93"/>
      <c r="BB562" s="93"/>
      <c r="BC562" s="93"/>
      <c r="BD562" s="93"/>
      <c r="BE562" s="104">
        <f>+BE559</f>
        <v>4.198879284365181</v>
      </c>
      <c r="BF562" s="93"/>
      <c r="BG562" s="93"/>
      <c r="BH562" s="93"/>
      <c r="BI562" s="93"/>
      <c r="BJ562" s="104">
        <f>$BE562*(BJ$74/$BE$74)</f>
        <v>3.9895295120112766</v>
      </c>
      <c r="BK562" s="93"/>
      <c r="BL562" s="93"/>
      <c r="BM562" s="93"/>
      <c r="BN562" s="93"/>
      <c r="BO562" s="104">
        <f>$BJ562*(BO$74/$BJ$74)</f>
        <v>3.9463239195869297</v>
      </c>
      <c r="BP562" s="93"/>
      <c r="BQ562" s="93"/>
      <c r="BR562" s="93"/>
      <c r="BS562" s="93"/>
      <c r="BT562" s="104">
        <f>$BJ562*(BT$74/$BJ$74)</f>
        <v>3.9901653388987763</v>
      </c>
      <c r="BU562" s="93"/>
      <c r="BV562" s="93"/>
      <c r="BW562" s="93"/>
      <c r="BX562" s="93"/>
      <c r="BY562" s="104">
        <f>$BJ562*(BY$74/$BJ$74)</f>
        <v>4.0340067582106229</v>
      </c>
      <c r="BZ562" s="93"/>
      <c r="CA562" s="93"/>
      <c r="CB562" s="93"/>
      <c r="CC562" s="93"/>
      <c r="CD562" s="104">
        <f>$BJ562*(CD$74/$BJ$74)</f>
        <v>4.0778481775224709</v>
      </c>
    </row>
    <row r="563" spans="1:82" hidden="1" outlineLevel="1">
      <c r="A563" s="11"/>
      <c r="B563" s="11"/>
      <c r="C563" s="11"/>
      <c r="D563" s="11"/>
      <c r="E563" s="11"/>
      <c r="F563" s="11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  <c r="AA563" s="11"/>
      <c r="AB563" s="11"/>
      <c r="AC563" s="11"/>
      <c r="AD563" s="11"/>
      <c r="AE563" s="11"/>
      <c r="AF563" s="11"/>
      <c r="AG563" s="11"/>
      <c r="AH563" s="11"/>
      <c r="AI563" s="11"/>
      <c r="AJ563" s="11"/>
      <c r="AK563" s="11"/>
      <c r="AL563" s="11"/>
      <c r="AM563" s="11"/>
      <c r="AN563" s="11"/>
      <c r="AO563" s="11"/>
      <c r="AP563" s="11"/>
      <c r="AQ563" s="11"/>
      <c r="AR563" s="11"/>
      <c r="AS563" s="11"/>
      <c r="AT563" s="11"/>
      <c r="AU563" s="11"/>
      <c r="AV563" s="11"/>
      <c r="AW563" s="11"/>
      <c r="AX563" s="11"/>
      <c r="AY563" s="11"/>
      <c r="AZ563" s="11"/>
      <c r="BA563" s="11"/>
      <c r="BB563" s="11"/>
      <c r="BC563" s="11"/>
      <c r="BD563" s="11"/>
      <c r="BE563" s="11"/>
      <c r="BF563" s="11"/>
      <c r="BG563" s="11"/>
      <c r="BH563" s="11"/>
      <c r="BI563" s="11"/>
      <c r="BJ563" s="11"/>
      <c r="BK563" s="11"/>
      <c r="BL563" s="11"/>
      <c r="BM563" s="11"/>
      <c r="BN563" s="11"/>
      <c r="BO563" s="11"/>
      <c r="BP563" s="11"/>
      <c r="BQ563" s="11"/>
      <c r="BR563" s="11"/>
      <c r="BS563" s="11"/>
      <c r="BT563" s="11"/>
      <c r="BU563" s="11"/>
      <c r="BV563" s="11"/>
      <c r="BW563" s="11"/>
      <c r="BX563" s="11"/>
      <c r="BY563" s="11"/>
      <c r="BZ563" s="11"/>
      <c r="CA563" s="11"/>
      <c r="CB563" s="11"/>
      <c r="CC563" s="11"/>
      <c r="CD563" s="11"/>
    </row>
    <row r="564" spans="1:82" hidden="1" outlineLevel="1">
      <c r="A564" s="39" t="s">
        <v>3094</v>
      </c>
      <c r="B564" s="11"/>
      <c r="C564" s="11"/>
      <c r="D564" s="11"/>
      <c r="E564" s="11"/>
      <c r="F564" s="11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  <c r="AA564" s="11"/>
      <c r="AB564" s="11"/>
      <c r="AC564" s="11"/>
      <c r="AD564" s="11"/>
      <c r="AE564" s="11"/>
      <c r="AF564" s="11"/>
      <c r="AG564" s="11"/>
      <c r="AH564" s="11"/>
      <c r="AI564" s="11"/>
      <c r="AJ564" s="11"/>
      <c r="AK564" s="11"/>
      <c r="AL564" s="11"/>
      <c r="AM564" s="11"/>
      <c r="AN564" s="11"/>
      <c r="AO564" s="11"/>
      <c r="AP564" s="11"/>
      <c r="AQ564" s="11"/>
      <c r="AR564" s="11"/>
      <c r="AS564" s="11"/>
      <c r="AT564" s="11"/>
      <c r="AU564" s="11"/>
      <c r="AV564" s="11"/>
      <c r="AW564" s="11"/>
      <c r="AX564" s="11"/>
      <c r="AY564" s="11"/>
      <c r="AZ564" s="11"/>
      <c r="BA564" s="11"/>
      <c r="BB564" s="11"/>
      <c r="BC564" s="11"/>
      <c r="BD564" s="11"/>
      <c r="BE564" s="11"/>
      <c r="BF564" s="11"/>
      <c r="BG564" s="11"/>
      <c r="BH564" s="11"/>
      <c r="BI564" s="11"/>
      <c r="BJ564" s="11"/>
      <c r="BK564" s="11"/>
      <c r="BL564" s="11"/>
      <c r="BM564" s="11"/>
      <c r="BN564" s="11"/>
      <c r="BO564" s="11"/>
      <c r="BP564" s="11"/>
      <c r="BQ564" s="11"/>
      <c r="BR564" s="11"/>
      <c r="BS564" s="11"/>
      <c r="BT564" s="11"/>
      <c r="BU564" s="11"/>
      <c r="BV564" s="11"/>
      <c r="BW564" s="11"/>
      <c r="BX564" s="11"/>
      <c r="BY564" s="11"/>
      <c r="BZ564" s="11"/>
      <c r="CA564" s="11"/>
      <c r="CB564" s="11"/>
      <c r="CC564" s="11"/>
      <c r="CD564" s="11"/>
    </row>
    <row r="565" spans="1:82" hidden="1" outlineLevel="1">
      <c r="A565" s="11"/>
      <c r="B565" s="11" t="s">
        <v>1897</v>
      </c>
      <c r="C565" s="72"/>
      <c r="D565" s="72"/>
      <c r="E565" s="150"/>
      <c r="F565" s="150"/>
      <c r="G565" s="150"/>
      <c r="H565" s="93"/>
      <c r="I565" s="93"/>
      <c r="J565" s="93"/>
      <c r="K565" s="93"/>
      <c r="L565" s="150"/>
      <c r="M565" s="93"/>
      <c r="N565" s="93"/>
      <c r="O565" s="93"/>
      <c r="P565" s="93"/>
      <c r="Q565" s="150"/>
      <c r="R565" s="93"/>
      <c r="S565" s="93"/>
      <c r="T565" s="93"/>
      <c r="U565" s="93"/>
      <c r="V565" s="150"/>
      <c r="W565" s="93"/>
      <c r="X565" s="93"/>
      <c r="Y565" s="93"/>
      <c r="Z565" s="93"/>
      <c r="AA565" s="116">
        <f>-AA527/AA525</f>
        <v>3.0396702730551263E-2</v>
      </c>
      <c r="AB565" s="93"/>
      <c r="AC565" s="93"/>
      <c r="AD565" s="93"/>
      <c r="AE565" s="93"/>
      <c r="AF565" s="116">
        <f>-AF524/AF522</f>
        <v>4.4649287051706753E-3</v>
      </c>
      <c r="AG565" s="93"/>
      <c r="AH565" s="93"/>
      <c r="AI565" s="93"/>
      <c r="AJ565" s="93"/>
      <c r="AK565" s="116">
        <f>-AK524/AK522</f>
        <v>4.4240712115558873E-3</v>
      </c>
      <c r="AL565" s="93"/>
      <c r="AM565" s="93"/>
      <c r="AN565" s="93"/>
      <c r="AO565" s="93"/>
      <c r="AP565" s="116">
        <f t="shared" ref="AP565:CD565" si="271">-AP524/AP522</f>
        <v>7.5102138908916122E-3</v>
      </c>
      <c r="AQ565" s="93"/>
      <c r="AR565" s="93"/>
      <c r="AS565" s="93"/>
      <c r="AT565" s="93"/>
      <c r="AU565" s="116">
        <f t="shared" si="271"/>
        <v>7.3871568171242439E-3</v>
      </c>
      <c r="AV565" s="93"/>
      <c r="AW565" s="93"/>
      <c r="AX565" s="93"/>
      <c r="AY565" s="93"/>
      <c r="AZ565" s="116">
        <f>-AZ524/AZ522</f>
        <v>4.5516304347826084E-3</v>
      </c>
      <c r="BA565" s="93"/>
      <c r="BB565" s="93"/>
      <c r="BC565" s="93"/>
      <c r="BD565" s="93"/>
      <c r="BE565" s="116">
        <f t="shared" si="271"/>
        <v>4.7036688617121351E-3</v>
      </c>
      <c r="BF565" s="93"/>
      <c r="BG565" s="93"/>
      <c r="BH565" s="93"/>
      <c r="BI565" s="93"/>
      <c r="BJ565" s="116">
        <f t="shared" si="271"/>
        <v>5.7023895727733526E-3</v>
      </c>
      <c r="BK565" s="93"/>
      <c r="BL565" s="93"/>
      <c r="BM565" s="93"/>
      <c r="BN565" s="93"/>
      <c r="BO565" s="116">
        <f t="shared" si="271"/>
        <v>8.4396597554492296E-3</v>
      </c>
      <c r="BP565" s="117">
        <f t="shared" ca="1" si="271"/>
        <v>3.2899561479615021E-3</v>
      </c>
      <c r="BQ565" s="117">
        <f t="shared" ca="1" si="271"/>
        <v>3.2280663477810187E-3</v>
      </c>
      <c r="BR565" s="117">
        <f t="shared" ca="1" si="271"/>
        <v>3.243560745145542E-3</v>
      </c>
      <c r="BS565" s="117">
        <f t="shared" ca="1" si="271"/>
        <v>3.2352553130444782E-3</v>
      </c>
      <c r="BT565" s="116">
        <f t="shared" ca="1" si="271"/>
        <v>3.249031357930126E-3</v>
      </c>
      <c r="BU565" s="117">
        <f t="shared" ca="1" si="271"/>
        <v>3.3450397762210199E-3</v>
      </c>
      <c r="BV565" s="117">
        <f t="shared" ca="1" si="271"/>
        <v>3.3607212082067154E-3</v>
      </c>
      <c r="BW565" s="117">
        <f t="shared" ca="1" si="271"/>
        <v>3.3490013763090498E-3</v>
      </c>
      <c r="BX565" s="117">
        <f t="shared" ca="1" si="271"/>
        <v>3.2965285430575477E-3</v>
      </c>
      <c r="BY565" s="116">
        <f t="shared" ca="1" si="271"/>
        <v>3.3376411911019495E-3</v>
      </c>
      <c r="BZ565" s="117">
        <f t="shared" ca="1" si="271"/>
        <v>3.1956857571680871E-3</v>
      </c>
      <c r="CA565" s="117">
        <f t="shared" ca="1" si="271"/>
        <v>3.1840890207084811E-3</v>
      </c>
      <c r="CB565" s="117">
        <f t="shared" ca="1" si="271"/>
        <v>3.1485193102519858E-3</v>
      </c>
      <c r="CC565" s="117">
        <f t="shared" ca="1" si="271"/>
        <v>3.0814295451845374E-3</v>
      </c>
      <c r="CD565" s="116">
        <f t="shared" ca="1" si="271"/>
        <v>3.1517957647013654E-3</v>
      </c>
    </row>
    <row r="566" spans="1:82" hidden="1" outlineLevel="1">
      <c r="A566" s="11"/>
      <c r="B566" s="11" t="s">
        <v>2149</v>
      </c>
      <c r="C566" s="72"/>
      <c r="D566" s="72"/>
      <c r="E566" s="150"/>
      <c r="F566" s="150"/>
      <c r="G566" s="150"/>
      <c r="H566" s="93"/>
      <c r="I566" s="93"/>
      <c r="J566" s="93"/>
      <c r="K566" s="93"/>
      <c r="L566" s="150"/>
      <c r="M566" s="93"/>
      <c r="N566" s="93"/>
      <c r="O566" s="93"/>
      <c r="P566" s="93"/>
      <c r="Q566" s="150"/>
      <c r="R566" s="93"/>
      <c r="S566" s="93"/>
      <c r="T566" s="93"/>
      <c r="U566" s="93"/>
      <c r="V566" s="150"/>
      <c r="W566" s="93"/>
      <c r="X566" s="93"/>
      <c r="Y566" s="93"/>
      <c r="Z566" s="93"/>
      <c r="AA566" s="116">
        <f>-AA528/AA525</f>
        <v>-0.83874291602266871</v>
      </c>
      <c r="AB566" s="93"/>
      <c r="AC566" s="93"/>
      <c r="AD566" s="93"/>
      <c r="AE566" s="93"/>
      <c r="AF566" s="116">
        <f>-AF525/AF522</f>
        <v>0.15137548610110904</v>
      </c>
      <c r="AG566" s="93"/>
      <c r="AH566" s="93"/>
      <c r="AI566" s="93"/>
      <c r="AJ566" s="93"/>
      <c r="AK566" s="116">
        <f>-AK525/AK522</f>
        <v>0.13416129204200203</v>
      </c>
      <c r="AL566" s="93"/>
      <c r="AM566" s="93"/>
      <c r="AN566" s="93"/>
      <c r="AO566" s="93"/>
      <c r="AP566" s="116">
        <f t="shared" ref="AP566:CD566" si="272">-AP525/AP522</f>
        <v>0.14750060081711128</v>
      </c>
      <c r="AQ566" s="93"/>
      <c r="AR566" s="93"/>
      <c r="AS566" s="93"/>
      <c r="AT566" s="93"/>
      <c r="AU566" s="116">
        <f t="shared" si="272"/>
        <v>0.12604699860400187</v>
      </c>
      <c r="AV566" s="93"/>
      <c r="AW566" s="93"/>
      <c r="AX566" s="93"/>
      <c r="AY566" s="93"/>
      <c r="AZ566" s="116">
        <f>-AZ525/AZ522</f>
        <v>0.13838315217391303</v>
      </c>
      <c r="BA566" s="93"/>
      <c r="BB566" s="93"/>
      <c r="BC566" s="93"/>
      <c r="BD566" s="93"/>
      <c r="BE566" s="116">
        <f t="shared" si="272"/>
        <v>0.16231933635508425</v>
      </c>
      <c r="BF566" s="93"/>
      <c r="BG566" s="93"/>
      <c r="BH566" s="93"/>
      <c r="BI566" s="93"/>
      <c r="BJ566" s="116">
        <f t="shared" si="272"/>
        <v>0.16708906589427952</v>
      </c>
      <c r="BK566" s="93"/>
      <c r="BL566" s="93"/>
      <c r="BM566" s="93"/>
      <c r="BN566" s="93"/>
      <c r="BO566" s="116">
        <f t="shared" si="272"/>
        <v>0.15217969165337586</v>
      </c>
      <c r="BP566" s="117">
        <f t="shared" ca="1" si="272"/>
        <v>0.16335697586198356</v>
      </c>
      <c r="BQ566" s="117">
        <f t="shared" ca="1" si="272"/>
        <v>0.15935439144745128</v>
      </c>
      <c r="BR566" s="117">
        <f t="shared" ca="1" si="272"/>
        <v>0.160462933634715</v>
      </c>
      <c r="BS566" s="117">
        <f t="shared" ca="1" si="272"/>
        <v>0.16332516255369114</v>
      </c>
      <c r="BT566" s="116">
        <f t="shared" ca="1" si="272"/>
        <v>0.1559363101341795</v>
      </c>
      <c r="BU566" s="117">
        <f t="shared" ca="1" si="272"/>
        <v>0.16823943286728965</v>
      </c>
      <c r="BV566" s="117">
        <f t="shared" ca="1" si="272"/>
        <v>0.16805013821328135</v>
      </c>
      <c r="BW566" s="117">
        <f t="shared" ca="1" si="272"/>
        <v>0.16826330287510291</v>
      </c>
      <c r="BX566" s="117">
        <f t="shared" ca="1" si="272"/>
        <v>0.16895390790670772</v>
      </c>
      <c r="BY566" s="116">
        <f t="shared" ca="1" si="272"/>
        <v>0.16838219329398393</v>
      </c>
      <c r="BZ566" s="117">
        <f t="shared" ca="1" si="272"/>
        <v>0.17455770951057548</v>
      </c>
      <c r="CA566" s="117">
        <f t="shared" ca="1" si="272"/>
        <v>0.17096951557364887</v>
      </c>
      <c r="CB566" s="117">
        <f t="shared" ca="1" si="272"/>
        <v>0.16988029016618211</v>
      </c>
      <c r="CC566" s="117">
        <f t="shared" ca="1" si="272"/>
        <v>0.16965978756243671</v>
      </c>
      <c r="CD566" s="116">
        <f t="shared" ca="1" si="272"/>
        <v>0.17124833522869765</v>
      </c>
    </row>
    <row r="567" spans="1:82" hidden="1" outlineLevel="1">
      <c r="A567" s="11"/>
      <c r="B567" s="11" t="s">
        <v>2150</v>
      </c>
      <c r="C567" s="72"/>
      <c r="D567" s="72"/>
      <c r="E567" s="150"/>
      <c r="F567" s="150"/>
      <c r="G567" s="150"/>
      <c r="H567" s="93"/>
      <c r="I567" s="93"/>
      <c r="J567" s="93"/>
      <c r="K567" s="93"/>
      <c r="L567" s="150"/>
      <c r="M567" s="93"/>
      <c r="N567" s="93"/>
      <c r="O567" s="93"/>
      <c r="P567" s="93"/>
      <c r="Q567" s="150"/>
      <c r="R567" s="93"/>
      <c r="S567" s="93"/>
      <c r="T567" s="93"/>
      <c r="U567" s="93"/>
      <c r="V567" s="150"/>
      <c r="W567" s="93"/>
      <c r="X567" s="93"/>
      <c r="Y567" s="93"/>
      <c r="Z567" s="93"/>
      <c r="AA567" s="116">
        <f>-AA529/AA525</f>
        <v>-3.7094281298299843E-2</v>
      </c>
      <c r="AB567" s="93"/>
      <c r="AC567" s="93"/>
      <c r="AD567" s="93"/>
      <c r="AE567" s="93"/>
      <c r="AF567" s="116">
        <f>-AF526/AF522</f>
        <v>0.46860146910557399</v>
      </c>
      <c r="AG567" s="93"/>
      <c r="AH567" s="93"/>
      <c r="AI567" s="93"/>
      <c r="AJ567" s="93"/>
      <c r="AK567" s="116">
        <f>-AK526/AK522</f>
        <v>0.49160492511060178</v>
      </c>
      <c r="AL567" s="93"/>
      <c r="AM567" s="93"/>
      <c r="AN567" s="93"/>
      <c r="AO567" s="93"/>
      <c r="AP567" s="116">
        <f t="shared" ref="AP567:CD567" si="273">-AP526/AP522</f>
        <v>0.5169430425378515</v>
      </c>
      <c r="AQ567" s="93"/>
      <c r="AR567" s="93"/>
      <c r="AS567" s="93"/>
      <c r="AT567" s="93"/>
      <c r="AU567" s="116">
        <f t="shared" si="273"/>
        <v>0.51105165193113078</v>
      </c>
      <c r="AV567" s="93"/>
      <c r="AW567" s="93"/>
      <c r="AX567" s="93"/>
      <c r="AY567" s="93"/>
      <c r="AZ567" s="116">
        <f>-AZ526/AZ522</f>
        <v>0.45020380434782609</v>
      </c>
      <c r="BA567" s="93"/>
      <c r="BB567" s="93"/>
      <c r="BC567" s="93"/>
      <c r="BD567" s="93"/>
      <c r="BE567" s="116">
        <f t="shared" si="273"/>
        <v>0.40400239459505688</v>
      </c>
      <c r="BF567" s="93"/>
      <c r="BG567" s="93"/>
      <c r="BH567" s="93"/>
      <c r="BI567" s="93"/>
      <c r="BJ567" s="116">
        <f t="shared" si="273"/>
        <v>0.36911658218682114</v>
      </c>
      <c r="BK567" s="93"/>
      <c r="BL567" s="93"/>
      <c r="BM567" s="93"/>
      <c r="BN567" s="93"/>
      <c r="BO567" s="116">
        <f t="shared" si="273"/>
        <v>0.4302232854864434</v>
      </c>
      <c r="BP567" s="117">
        <f t="shared" ca="1" si="273"/>
        <v>0.38288556950397606</v>
      </c>
      <c r="BQ567" s="117">
        <f t="shared" ca="1" si="273"/>
        <v>0.38355294621219649</v>
      </c>
      <c r="BR567" s="117">
        <f t="shared" ca="1" si="273"/>
        <v>0.38486253632883582</v>
      </c>
      <c r="BS567" s="117">
        <f t="shared" ca="1" si="273"/>
        <v>0.38417274583354438</v>
      </c>
      <c r="BT567" s="116">
        <f t="shared" ca="1" si="273"/>
        <v>0.38387173687977588</v>
      </c>
      <c r="BU567" s="117">
        <f t="shared" ca="1" si="273"/>
        <v>0.38625461654729937</v>
      </c>
      <c r="BV567" s="117">
        <f t="shared" ca="1" si="273"/>
        <v>0.3864110514357848</v>
      </c>
      <c r="BW567" s="117">
        <f t="shared" ca="1" si="273"/>
        <v>0.38744731200524291</v>
      </c>
      <c r="BX567" s="117">
        <f t="shared" ca="1" si="273"/>
        <v>0.38723548240169037</v>
      </c>
      <c r="BY567" s="116">
        <f t="shared" ca="1" si="273"/>
        <v>0.38683889379291825</v>
      </c>
      <c r="BZ567" s="117">
        <f t="shared" ca="1" si="273"/>
        <v>0.37701613960097308</v>
      </c>
      <c r="CA567" s="117">
        <f t="shared" ca="1" si="273"/>
        <v>0.37700070897079874</v>
      </c>
      <c r="CB567" s="117">
        <f t="shared" ca="1" si="273"/>
        <v>0.37791173029900976</v>
      </c>
      <c r="CC567" s="117">
        <f t="shared" ca="1" si="273"/>
        <v>0.37787877623947785</v>
      </c>
      <c r="CD567" s="116">
        <f t="shared" ca="1" si="273"/>
        <v>0.37745703559880167</v>
      </c>
    </row>
    <row r="568" spans="1:82" hidden="1" outlineLevel="1">
      <c r="A568" s="11"/>
      <c r="B568" s="11" t="s">
        <v>2158</v>
      </c>
      <c r="C568" s="72"/>
      <c r="D568" s="72"/>
      <c r="E568" s="150"/>
      <c r="F568" s="150"/>
      <c r="G568" s="150"/>
      <c r="H568" s="93"/>
      <c r="I568" s="93"/>
      <c r="J568" s="93"/>
      <c r="K568" s="93"/>
      <c r="L568" s="150"/>
      <c r="M568" s="93"/>
      <c r="N568" s="93"/>
      <c r="O568" s="93"/>
      <c r="P568" s="93"/>
      <c r="Q568" s="150"/>
      <c r="R568" s="93"/>
      <c r="S568" s="93"/>
      <c r="T568" s="93"/>
      <c r="U568" s="93"/>
      <c r="V568" s="150"/>
      <c r="W568" s="93"/>
      <c r="X568" s="93"/>
      <c r="Y568" s="93"/>
      <c r="Z568" s="93"/>
      <c r="AA568" s="116">
        <f>-AA530/AA525</f>
        <v>1.6197836166924267</v>
      </c>
      <c r="AB568" s="93"/>
      <c r="AC568" s="93"/>
      <c r="AD568" s="93"/>
      <c r="AE568" s="93"/>
      <c r="AF568" s="116">
        <f>-AF527/AF522</f>
        <v>1.0298142013538816E-2</v>
      </c>
      <c r="AG568" s="93"/>
      <c r="AH568" s="93"/>
      <c r="AI568" s="93"/>
      <c r="AJ568" s="93"/>
      <c r="AK568" s="116">
        <f>-AK527/AK522</f>
        <v>-1.2685890943979532E-2</v>
      </c>
      <c r="AL568" s="93"/>
      <c r="AM568" s="93"/>
      <c r="AN568" s="93"/>
      <c r="AO568" s="93"/>
      <c r="AP568" s="116">
        <f t="shared" ref="AP568:CD568" si="274">-AP527/AP522</f>
        <v>-4.8065368901706318E-3</v>
      </c>
      <c r="AQ568" s="93"/>
      <c r="AR568" s="93"/>
      <c r="AS568" s="93"/>
      <c r="AT568" s="93"/>
      <c r="AU568" s="116">
        <f t="shared" si="274"/>
        <v>5.7584923220102375E-3</v>
      </c>
      <c r="AV568" s="93"/>
      <c r="AW568" s="93"/>
      <c r="AX568" s="93"/>
      <c r="AY568" s="93"/>
      <c r="AZ568" s="116">
        <f>-AZ527/AZ522</f>
        <v>2.0788043478260871E-2</v>
      </c>
      <c r="BA568" s="93"/>
      <c r="BB568" s="93"/>
      <c r="BC568" s="93"/>
      <c r="BD568" s="93"/>
      <c r="BE568" s="116">
        <f t="shared" si="274"/>
        <v>-8.2955614470195845E-3</v>
      </c>
      <c r="BF568" s="93"/>
      <c r="BG568" s="93"/>
      <c r="BH568" s="93"/>
      <c r="BI568" s="93"/>
      <c r="BJ568" s="116">
        <f t="shared" si="274"/>
        <v>-6.4265025343953654E-3</v>
      </c>
      <c r="BK568" s="93"/>
      <c r="BL568" s="93"/>
      <c r="BM568" s="93"/>
      <c r="BN568" s="93"/>
      <c r="BO568" s="116">
        <f t="shared" si="274"/>
        <v>3.2030834662413611E-2</v>
      </c>
      <c r="BP568" s="117">
        <f t="shared" ca="1" si="274"/>
        <v>3.7004355603757685E-2</v>
      </c>
      <c r="BQ568" s="117">
        <f t="shared" ca="1" si="274"/>
        <v>3.6308239281495111E-2</v>
      </c>
      <c r="BR568" s="117">
        <f t="shared" ca="1" si="274"/>
        <v>3.6482515218363751E-2</v>
      </c>
      <c r="BS568" s="117">
        <f t="shared" ca="1" si="274"/>
        <v>3.6389098422185157E-2</v>
      </c>
      <c r="BT568" s="116">
        <f t="shared" ca="1" si="274"/>
        <v>3.6544046889835008E-2</v>
      </c>
      <c r="BU568" s="117">
        <f t="shared" ca="1" si="274"/>
        <v>3.7623918320216186E-2</v>
      </c>
      <c r="BV568" s="117">
        <f t="shared" ca="1" si="274"/>
        <v>3.7800297961608789E-2</v>
      </c>
      <c r="BW568" s="117">
        <f t="shared" ca="1" si="274"/>
        <v>3.7668477108183065E-2</v>
      </c>
      <c r="BX568" s="117">
        <f t="shared" ca="1" si="274"/>
        <v>3.7078279763948438E-2</v>
      </c>
      <c r="BY568" s="116">
        <f t="shared" ca="1" si="274"/>
        <v>3.7540701443638552E-2</v>
      </c>
      <c r="BZ568" s="117">
        <f t="shared" ca="1" si="274"/>
        <v>3.5944032940798731E-2</v>
      </c>
      <c r="CA568" s="117">
        <f t="shared" ca="1" si="274"/>
        <v>3.5813596624782722E-2</v>
      </c>
      <c r="CB568" s="117">
        <f t="shared" ca="1" si="274"/>
        <v>3.541352010240402E-2</v>
      </c>
      <c r="CC568" s="117">
        <f t="shared" ca="1" si="274"/>
        <v>3.4658916268104682E-2</v>
      </c>
      <c r="CD568" s="116">
        <f t="shared" ca="1" si="274"/>
        <v>3.5450372595298027E-2</v>
      </c>
    </row>
    <row r="569" spans="1:82" hidden="1" outlineLevel="1">
      <c r="A569" s="11"/>
      <c r="B569" s="11" t="s">
        <v>2154</v>
      </c>
      <c r="C569" s="72"/>
      <c r="D569" s="72"/>
      <c r="E569" s="150"/>
      <c r="F569" s="150"/>
      <c r="G569" s="150"/>
      <c r="H569" s="93"/>
      <c r="I569" s="93"/>
      <c r="J569" s="93"/>
      <c r="K569" s="93"/>
      <c r="L569" s="150"/>
      <c r="M569" s="93"/>
      <c r="N569" s="93"/>
      <c r="O569" s="93"/>
      <c r="P569" s="93"/>
      <c r="Q569" s="150"/>
      <c r="R569" s="93"/>
      <c r="S569" s="93"/>
      <c r="T569" s="93"/>
      <c r="U569" s="93"/>
      <c r="V569" s="150"/>
      <c r="W569" s="93"/>
      <c r="X569" s="93"/>
      <c r="Y569" s="93"/>
      <c r="Z569" s="93"/>
      <c r="AA569" s="116">
        <f>-AA531/AA525</f>
        <v>0</v>
      </c>
      <c r="AB569" s="93"/>
      <c r="AC569" s="93"/>
      <c r="AD569" s="93"/>
      <c r="AE569" s="93"/>
      <c r="AF569" s="116">
        <f>-AF528/AF522</f>
        <v>0.1142157568774305</v>
      </c>
      <c r="AG569" s="93"/>
      <c r="AH569" s="93"/>
      <c r="AI569" s="93"/>
      <c r="AJ569" s="93"/>
      <c r="AK569" s="116">
        <f>-AK528/AK522</f>
        <v>9.3172005756622781E-2</v>
      </c>
      <c r="AL569" s="93"/>
      <c r="AM569" s="93"/>
      <c r="AN569" s="93"/>
      <c r="AO569" s="93"/>
      <c r="AP569" s="116">
        <f t="shared" ref="AP569:CD569" si="275">-AP528/AP522</f>
        <v>9.9254986782023547E-2</v>
      </c>
      <c r="AQ569" s="93"/>
      <c r="AR569" s="93"/>
      <c r="AS569" s="93"/>
      <c r="AT569" s="93"/>
      <c r="AU569" s="116">
        <f t="shared" si="275"/>
        <v>0.12174267100977199</v>
      </c>
      <c r="AV569" s="93"/>
      <c r="AW569" s="93"/>
      <c r="AX569" s="93"/>
      <c r="AY569" s="93"/>
      <c r="AZ569" s="116">
        <f>-AZ528/AZ522</f>
        <v>0.15285326086956522</v>
      </c>
      <c r="BA569" s="93"/>
      <c r="BB569" s="93"/>
      <c r="BC569" s="93"/>
      <c r="BD569" s="93"/>
      <c r="BE569" s="116">
        <f t="shared" si="275"/>
        <v>0.16599675019242283</v>
      </c>
      <c r="BF569" s="93"/>
      <c r="BG569" s="93"/>
      <c r="BH569" s="93"/>
      <c r="BI569" s="93"/>
      <c r="BJ569" s="116">
        <f t="shared" si="275"/>
        <v>0.18148081100651703</v>
      </c>
      <c r="BK569" s="93"/>
      <c r="BL569" s="93"/>
      <c r="BM569" s="93"/>
      <c r="BN569" s="93"/>
      <c r="BO569" s="116">
        <f t="shared" si="275"/>
        <v>0.18414407230196703</v>
      </c>
      <c r="BP569" s="117">
        <f t="shared" ca="1" si="275"/>
        <v>0.15167913777185596</v>
      </c>
      <c r="BQ569" s="117">
        <f t="shared" ca="1" si="275"/>
        <v>0.14784820734053278</v>
      </c>
      <c r="BR569" s="117">
        <f t="shared" ca="1" si="275"/>
        <v>0.14824197155167756</v>
      </c>
      <c r="BS569" s="117">
        <f t="shared" ca="1" si="275"/>
        <v>0.15112521039428839</v>
      </c>
      <c r="BT569" s="116">
        <f t="shared" ca="1" si="275"/>
        <v>0.15001179814107385</v>
      </c>
      <c r="BU569" s="117">
        <f t="shared" ca="1" si="275"/>
        <v>0.15183985012666887</v>
      </c>
      <c r="BV569" s="117">
        <f t="shared" ca="1" si="275"/>
        <v>0.15145766725150883</v>
      </c>
      <c r="BW569" s="117">
        <f t="shared" ca="1" si="275"/>
        <v>0.15082943995106707</v>
      </c>
      <c r="BX569" s="117">
        <f t="shared" ca="1" si="275"/>
        <v>0.15182160139741141</v>
      </c>
      <c r="BY569" s="116">
        <f t="shared" ca="1" si="275"/>
        <v>0.15177006014061825</v>
      </c>
      <c r="BZ569" s="117">
        <f t="shared" ca="1" si="275"/>
        <v>0.15966238935589405</v>
      </c>
      <c r="CA569" s="117">
        <f t="shared" ca="1" si="275"/>
        <v>0.15626804776452213</v>
      </c>
      <c r="CB569" s="117">
        <f t="shared" ca="1" si="275"/>
        <v>0.15451955333751383</v>
      </c>
      <c r="CC569" s="117">
        <f t="shared" ca="1" si="275"/>
        <v>0.15456548032774076</v>
      </c>
      <c r="CD569" s="116">
        <f t="shared" ca="1" si="275"/>
        <v>0.15657973792886104</v>
      </c>
    </row>
    <row r="570" spans="1:82" hidden="1" outlineLevel="1">
      <c r="A570" s="11"/>
      <c r="B570" s="4" t="s">
        <v>930</v>
      </c>
      <c r="C570" s="72"/>
      <c r="D570" s="72"/>
      <c r="E570" s="150"/>
      <c r="F570" s="150"/>
      <c r="G570" s="150"/>
      <c r="H570" s="93"/>
      <c r="I570" s="93"/>
      <c r="J570" s="93"/>
      <c r="K570" s="93"/>
      <c r="L570" s="150"/>
      <c r="M570" s="93"/>
      <c r="N570" s="93"/>
      <c r="O570" s="93"/>
      <c r="P570" s="93"/>
      <c r="Q570" s="150"/>
      <c r="R570" s="93"/>
      <c r="S570" s="93"/>
      <c r="T570" s="93"/>
      <c r="U570" s="93"/>
      <c r="V570" s="150"/>
      <c r="W570" s="93"/>
      <c r="X570" s="93"/>
      <c r="Y570" s="93"/>
      <c r="Z570" s="93"/>
      <c r="AA570" s="116">
        <f>-AA532/AA525</f>
        <v>-0.39721792890262753</v>
      </c>
      <c r="AB570" s="93"/>
      <c r="AC570" s="93"/>
      <c r="AD570" s="93"/>
      <c r="AE570" s="93"/>
      <c r="AF570" s="116">
        <f>-AF529/AF522</f>
        <v>3.0966441019732102E-3</v>
      </c>
      <c r="AG570" s="93"/>
      <c r="AH570" s="93"/>
      <c r="AI570" s="93"/>
      <c r="AJ570" s="93"/>
      <c r="AK570" s="116">
        <f>-AK529/AK522</f>
        <v>0</v>
      </c>
      <c r="AL570" s="93"/>
      <c r="AM570" s="93"/>
      <c r="AN570" s="93"/>
      <c r="AO570" s="93"/>
      <c r="AP570" s="116">
        <f t="shared" ref="AP570:CD570" si="276">-AP529/AP522</f>
        <v>-1.6222062004325882E-3</v>
      </c>
      <c r="AQ570" s="93"/>
      <c r="AR570" s="93"/>
      <c r="AS570" s="93"/>
      <c r="AT570" s="93"/>
      <c r="AU570" s="116">
        <f t="shared" si="276"/>
        <v>2.1521637971149373E-3</v>
      </c>
      <c r="AV570" s="93"/>
      <c r="AW570" s="93"/>
      <c r="AX570" s="93"/>
      <c r="AY570" s="93"/>
      <c r="AZ570" s="116">
        <f>-AZ529/AZ522</f>
        <v>1.6983695652173913E-3</v>
      </c>
      <c r="BA570" s="93"/>
      <c r="BB570" s="93"/>
      <c r="BC570" s="93"/>
      <c r="BD570" s="93"/>
      <c r="BE570" s="116">
        <f t="shared" si="276"/>
        <v>9.8349439835799194E-3</v>
      </c>
      <c r="BF570" s="93"/>
      <c r="BG570" s="93"/>
      <c r="BH570" s="93"/>
      <c r="BI570" s="93"/>
      <c r="BJ570" s="116">
        <f t="shared" si="276"/>
        <v>1.7107168718320059E-2</v>
      </c>
      <c r="BK570" s="93"/>
      <c r="BL570" s="93"/>
      <c r="BM570" s="93"/>
      <c r="BN570" s="93"/>
      <c r="BO570" s="116">
        <f t="shared" si="276"/>
        <v>5.7814992025518345E-3</v>
      </c>
      <c r="BP570" s="117">
        <f t="shared" ca="1" si="276"/>
        <v>0</v>
      </c>
      <c r="BQ570" s="117">
        <f t="shared" ca="1" si="276"/>
        <v>0</v>
      </c>
      <c r="BR570" s="117">
        <f t="shared" ca="1" si="276"/>
        <v>0</v>
      </c>
      <c r="BS570" s="117">
        <f t="shared" ca="1" si="276"/>
        <v>0</v>
      </c>
      <c r="BT570" s="116">
        <f t="shared" ca="1" si="276"/>
        <v>0</v>
      </c>
      <c r="BU570" s="117">
        <f t="shared" ca="1" si="276"/>
        <v>0</v>
      </c>
      <c r="BV570" s="117">
        <f t="shared" ca="1" si="276"/>
        <v>0</v>
      </c>
      <c r="BW570" s="117">
        <f t="shared" ca="1" si="276"/>
        <v>0</v>
      </c>
      <c r="BX570" s="117">
        <f t="shared" ca="1" si="276"/>
        <v>0</v>
      </c>
      <c r="BY570" s="116">
        <f t="shared" ca="1" si="276"/>
        <v>0</v>
      </c>
      <c r="BZ570" s="117">
        <f t="shared" ca="1" si="276"/>
        <v>0</v>
      </c>
      <c r="CA570" s="117">
        <f t="shared" ca="1" si="276"/>
        <v>0</v>
      </c>
      <c r="CB570" s="117">
        <f t="shared" ca="1" si="276"/>
        <v>0</v>
      </c>
      <c r="CC570" s="117">
        <f t="shared" ca="1" si="276"/>
        <v>0</v>
      </c>
      <c r="CD570" s="116">
        <f t="shared" ca="1" si="276"/>
        <v>0</v>
      </c>
    </row>
    <row r="571" spans="1:82" hidden="1" outlineLevel="1">
      <c r="A571" s="11"/>
      <c r="B571" s="11"/>
      <c r="C571" s="72"/>
      <c r="D571" s="72"/>
      <c r="E571" s="72"/>
      <c r="F571" s="72"/>
      <c r="G571" s="72"/>
      <c r="H571" s="93"/>
      <c r="I571" s="93"/>
      <c r="J571" s="93"/>
      <c r="K571" s="93"/>
      <c r="L571" s="72"/>
      <c r="M571" s="93"/>
      <c r="N571" s="93"/>
      <c r="O571" s="93"/>
      <c r="P571" s="93"/>
      <c r="Q571" s="72"/>
      <c r="R571" s="93"/>
      <c r="S571" s="93"/>
      <c r="T571" s="93"/>
      <c r="U571" s="93"/>
      <c r="V571" s="72"/>
      <c r="W571" s="93"/>
      <c r="X571" s="93"/>
      <c r="Y571" s="93"/>
      <c r="Z571" s="93"/>
      <c r="AA571" s="5"/>
      <c r="AB571" s="93"/>
      <c r="AC571" s="93"/>
      <c r="AD571" s="93"/>
      <c r="AE571" s="93"/>
      <c r="AF571" s="5"/>
      <c r="AG571" s="93"/>
      <c r="AH571" s="93"/>
      <c r="AI571" s="93"/>
      <c r="AJ571" s="93"/>
      <c r="AK571" s="5"/>
      <c r="AL571" s="93"/>
      <c r="AM571" s="93"/>
      <c r="AN571" s="93"/>
      <c r="AO571" s="93"/>
      <c r="AP571" s="5"/>
      <c r="AQ571" s="93"/>
      <c r="AR571" s="93"/>
      <c r="AS571" s="93"/>
      <c r="AT571" s="93"/>
      <c r="AU571" s="5"/>
      <c r="AV571" s="93"/>
      <c r="AW571" s="93"/>
      <c r="AX571" s="93"/>
      <c r="AY571" s="93"/>
      <c r="AZ571" s="5"/>
      <c r="BA571" s="93"/>
      <c r="BB571" s="93"/>
      <c r="BC571" s="93"/>
      <c r="BD571" s="93"/>
      <c r="BE571" s="5"/>
      <c r="BF571" s="93"/>
      <c r="BG571" s="93"/>
      <c r="BH571" s="93"/>
      <c r="BI571" s="93"/>
      <c r="BJ571" s="5"/>
      <c r="BK571" s="93"/>
      <c r="BL571" s="93"/>
      <c r="BM571" s="93"/>
      <c r="BN571" s="93"/>
      <c r="BO571" s="5"/>
      <c r="BP571" s="12"/>
      <c r="BQ571" s="12"/>
      <c r="BR571" s="12"/>
      <c r="BS571" s="12"/>
      <c r="BT571" s="5"/>
      <c r="BU571" s="12"/>
      <c r="BV571" s="12"/>
      <c r="BW571" s="12"/>
      <c r="BX571" s="12"/>
      <c r="BY571" s="5"/>
      <c r="BZ571" s="12"/>
      <c r="CA571" s="12"/>
      <c r="CB571" s="12"/>
      <c r="CC571" s="12"/>
      <c r="CD571" s="5"/>
    </row>
    <row r="572" spans="1:82" hidden="1" outlineLevel="1">
      <c r="A572" s="11" t="s">
        <v>3095</v>
      </c>
      <c r="B572" s="11"/>
      <c r="C572" s="72"/>
      <c r="D572" s="72"/>
      <c r="E572" s="150"/>
      <c r="F572" s="150"/>
      <c r="G572" s="150"/>
      <c r="H572" s="93"/>
      <c r="I572" s="93"/>
      <c r="J572" s="93"/>
      <c r="K572" s="93"/>
      <c r="L572" s="150"/>
      <c r="M572" s="93"/>
      <c r="N572" s="93"/>
      <c r="O572" s="93"/>
      <c r="P572" s="93"/>
      <c r="Q572" s="150"/>
      <c r="R572" s="93"/>
      <c r="S572" s="93"/>
      <c r="T572" s="93"/>
      <c r="U572" s="93"/>
      <c r="V572" s="150"/>
      <c r="W572" s="93"/>
      <c r="X572" s="93"/>
      <c r="Y572" s="93"/>
      <c r="Z572" s="93"/>
      <c r="AA572" s="116">
        <f>-AA532/AA530</f>
        <v>0.24522900763358779</v>
      </c>
      <c r="AB572" s="93"/>
      <c r="AC572" s="93"/>
      <c r="AD572" s="93"/>
      <c r="AE572" s="93"/>
      <c r="AF572" s="116">
        <f t="shared" ref="AF572:CD572" si="277">-AF532/AF530</f>
        <v>0.22306128376415915</v>
      </c>
      <c r="AG572" s="93"/>
      <c r="AH572" s="93"/>
      <c r="AI572" s="93"/>
      <c r="AJ572" s="93"/>
      <c r="AK572" s="116">
        <f t="shared" si="277"/>
        <v>0.20615327929255711</v>
      </c>
      <c r="AL572" s="93"/>
      <c r="AM572" s="93"/>
      <c r="AN572" s="93"/>
      <c r="AO572" s="93"/>
      <c r="AP572" s="116">
        <f t="shared" si="277"/>
        <v>0.22579821200510855</v>
      </c>
      <c r="AQ572" s="93"/>
      <c r="AR572" s="93"/>
      <c r="AS572" s="93"/>
      <c r="AT572" s="93"/>
      <c r="AU572" s="116">
        <f t="shared" si="277"/>
        <v>0.22328096832346125</v>
      </c>
      <c r="AV572" s="93"/>
      <c r="AW572" s="93"/>
      <c r="AX572" s="93"/>
      <c r="AY572" s="93"/>
      <c r="AZ572" s="116">
        <f>-AZ532/AZ530</f>
        <v>0.31338028169014087</v>
      </c>
      <c r="BA572" s="93"/>
      <c r="BB572" s="93"/>
      <c r="BC572" s="93"/>
      <c r="BD572" s="93"/>
      <c r="BE572" s="116">
        <f t="shared" si="277"/>
        <v>0.31207065750736018</v>
      </c>
      <c r="BF572" s="93"/>
      <c r="BG572" s="93"/>
      <c r="BH572" s="93"/>
      <c r="BI572" s="93"/>
      <c r="BJ572" s="116">
        <f t="shared" si="277"/>
        <v>0.28250510551395508</v>
      </c>
      <c r="BK572" s="93"/>
      <c r="BL572" s="93"/>
      <c r="BM572" s="93"/>
      <c r="BN572" s="93"/>
      <c r="BO572" s="116">
        <f t="shared" si="277"/>
        <v>0.17500887468938586</v>
      </c>
      <c r="BP572" s="117">
        <f t="shared" ca="1" si="277"/>
        <v>0.32540626757256924</v>
      </c>
      <c r="BQ572" s="117">
        <f t="shared" ca="1" si="277"/>
        <v>0.32517093236399586</v>
      </c>
      <c r="BR572" s="117">
        <f t="shared" ca="1" si="277"/>
        <v>0.32359804316861013</v>
      </c>
      <c r="BS572" s="117">
        <f t="shared" ca="1" si="277"/>
        <v>0.32404298598901615</v>
      </c>
      <c r="BT572" s="116">
        <f t="shared" ca="1" si="277"/>
        <v>0.31808919721403062</v>
      </c>
      <c r="BU572" s="117">
        <f t="shared" ca="1" si="277"/>
        <v>0.32177239680810871</v>
      </c>
      <c r="BV572" s="117">
        <f t="shared" ca="1" si="277"/>
        <v>0.32188838558240884</v>
      </c>
      <c r="BW572" s="117">
        <f t="shared" ca="1" si="277"/>
        <v>0.3203494933712156</v>
      </c>
      <c r="BX572" s="117">
        <f t="shared" ca="1" si="277"/>
        <v>0.32032983505440621</v>
      </c>
      <c r="BY572" s="116">
        <f t="shared" ca="1" si="277"/>
        <v>0.32144492991469759</v>
      </c>
      <c r="BZ572" s="117">
        <f t="shared" ca="1" si="277"/>
        <v>0.33996896086864237</v>
      </c>
      <c r="CA572" s="117">
        <f t="shared" ca="1" si="277"/>
        <v>0.3408044979083456</v>
      </c>
      <c r="CB572" s="117">
        <f t="shared" ca="1" si="277"/>
        <v>0.33969792076937949</v>
      </c>
      <c r="CC572" s="117">
        <f t="shared" ca="1" si="277"/>
        <v>0.33958601611089029</v>
      </c>
      <c r="CD572" s="116">
        <f t="shared" ca="1" si="277"/>
        <v>0.34047180942965627</v>
      </c>
    </row>
    <row r="573" spans="1:82" hidden="1" outlineLevel="1">
      <c r="A573" s="11" t="s">
        <v>3471</v>
      </c>
      <c r="B573" s="11"/>
      <c r="C573" s="116"/>
      <c r="D573" s="116"/>
      <c r="E573" s="116"/>
      <c r="F573" s="116"/>
      <c r="G573" s="116"/>
      <c r="H573" s="93"/>
      <c r="I573" s="93"/>
      <c r="J573" s="93"/>
      <c r="K573" s="93"/>
      <c r="L573" s="116"/>
      <c r="M573" s="93"/>
      <c r="N573" s="93"/>
      <c r="O573" s="93"/>
      <c r="P573" s="93"/>
      <c r="Q573" s="116"/>
      <c r="R573" s="93"/>
      <c r="S573" s="93"/>
      <c r="T573" s="93"/>
      <c r="U573" s="93"/>
      <c r="V573" s="116"/>
      <c r="W573" s="93"/>
      <c r="X573" s="93"/>
      <c r="Y573" s="93"/>
      <c r="Z573" s="93"/>
      <c r="AA573" s="116"/>
      <c r="AB573" s="93"/>
      <c r="AC573" s="93"/>
      <c r="AD573" s="93"/>
      <c r="AE573" s="93"/>
      <c r="AF573" s="119">
        <f>(AF533+AF536-AF529-AF528-AF524)/(AF545*0.365)</f>
        <v>9.5239415098697648</v>
      </c>
      <c r="AG573" s="93"/>
      <c r="AH573" s="93"/>
      <c r="AI573" s="93"/>
      <c r="AJ573" s="93"/>
      <c r="AK573" s="119">
        <f>(AK533+AK536-AK529-AK528-AK524)/(AK545*0.365)</f>
        <v>12.942963506237552</v>
      </c>
      <c r="AL573" s="93"/>
      <c r="AM573" s="93"/>
      <c r="AN573" s="93"/>
      <c r="AO573" s="93"/>
      <c r="AP573" s="119">
        <f>(AP533+AP536-AP529-AP528-AP524)/(AP545*0.365)</f>
        <v>10.109893147920324</v>
      </c>
      <c r="AQ573" s="93"/>
      <c r="AR573" s="93"/>
      <c r="AS573" s="93"/>
      <c r="AT573" s="93"/>
      <c r="AU573" s="119">
        <f>(AU533+AU536-AU529-AU528-AU524)/(AU545*0.365)</f>
        <v>9.923086209402749</v>
      </c>
      <c r="AV573" s="93"/>
      <c r="AW573" s="93"/>
      <c r="AX573" s="93"/>
      <c r="AY573" s="93"/>
      <c r="AZ573" s="119">
        <f>(AZ533+AZ536-AZ529-AZ528-AZ524)/(AZ545*0.365)</f>
        <v>10.704670734097926</v>
      </c>
      <c r="BA573" s="93"/>
      <c r="BB573" s="93"/>
      <c r="BC573" s="93"/>
      <c r="BD573" s="93"/>
      <c r="BE573" s="119">
        <f>(BE533+BE536-BE529-BE528-BE524)/(BE545*0.365)</f>
        <v>8.0451478920938229</v>
      </c>
      <c r="BF573" s="93"/>
      <c r="BG573" s="93"/>
      <c r="BH573" s="93"/>
      <c r="BI573" s="93"/>
      <c r="BJ573" s="119">
        <f>(BJ533+BJ536-BJ529-BJ528-BJ524)/(BJ545*0.365)</f>
        <v>6.7954870222939618</v>
      </c>
      <c r="BK573" s="93"/>
      <c r="BL573" s="93"/>
      <c r="BM573" s="93"/>
      <c r="BN573" s="93"/>
      <c r="BO573" s="119">
        <f>(BO533+BO536-BO529-BO528-BO524)/(BO545*0.365)</f>
        <v>8.2790474344073992</v>
      </c>
      <c r="BP573" s="93"/>
      <c r="BQ573" s="93"/>
      <c r="BR573" s="93"/>
      <c r="BS573" s="93"/>
      <c r="BT573" s="119">
        <f ca="1">(BT533+BT536-BT529-BT528-BT524)/(BT545*0.365)</f>
        <v>8.893566390058254</v>
      </c>
      <c r="BU573" s="93"/>
      <c r="BV573" s="93"/>
      <c r="BW573" s="93"/>
      <c r="BX573" s="93"/>
      <c r="BY573" s="119">
        <f ca="1">(BY533+BY536-BY529-BY528-BY524)/(BY545*0.365)</f>
        <v>8.4672270976506248</v>
      </c>
      <c r="BZ573" s="93"/>
      <c r="CA573" s="93"/>
      <c r="CB573" s="93"/>
      <c r="CC573" s="93"/>
      <c r="CD573" s="119">
        <f ca="1">(CD533+CD536-CD529-CD528-CD524)/(CD545*0.365)</f>
        <v>11.556922436422497</v>
      </c>
    </row>
    <row r="574" spans="1:82" collapsed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</row>
    <row r="575" spans="1:82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</row>
    <row r="576" spans="1:82">
      <c r="A576" s="24" t="s">
        <v>310</v>
      </c>
      <c r="B576" s="4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</row>
    <row r="577" spans="1:82">
      <c r="A577" s="10"/>
      <c r="B577" s="10"/>
      <c r="C577" s="31">
        <v>2001</v>
      </c>
      <c r="D577" s="32">
        <v>2002</v>
      </c>
      <c r="E577" s="32">
        <v>2003</v>
      </c>
      <c r="F577" s="32">
        <v>2004</v>
      </c>
      <c r="G577" s="31">
        <v>2005</v>
      </c>
      <c r="H577" s="33" t="str">
        <f>H519</f>
        <v>1Q06</v>
      </c>
      <c r="I577" s="33" t="str">
        <f>I519</f>
        <v>2Q06</v>
      </c>
      <c r="J577" s="33" t="str">
        <f>J519</f>
        <v>3Q06</v>
      </c>
      <c r="K577" s="33" t="str">
        <f>K519</f>
        <v>4Q06</v>
      </c>
      <c r="L577" s="31">
        <v>2006</v>
      </c>
      <c r="M577" s="33" t="str">
        <f>M519</f>
        <v>1Q07</v>
      </c>
      <c r="N577" s="33" t="str">
        <f>N519</f>
        <v>2Q07</v>
      </c>
      <c r="O577" s="33" t="str">
        <f>O519</f>
        <v>3Q07</v>
      </c>
      <c r="P577" s="33" t="str">
        <f>P519</f>
        <v>4Q07</v>
      </c>
      <c r="Q577" s="31">
        <v>2007</v>
      </c>
      <c r="R577" s="33" t="str">
        <f>R519</f>
        <v>1Q08</v>
      </c>
      <c r="S577" s="33" t="str">
        <f>S519</f>
        <v>2Q08</v>
      </c>
      <c r="T577" s="33" t="str">
        <f>T519</f>
        <v>3Q08</v>
      </c>
      <c r="U577" s="33" t="str">
        <f>U519</f>
        <v>4Q08</v>
      </c>
      <c r="V577" s="31">
        <v>2008</v>
      </c>
      <c r="W577" s="33" t="str">
        <f>W519</f>
        <v>1Q09</v>
      </c>
      <c r="X577" s="33" t="str">
        <f>X519</f>
        <v>2Q09</v>
      </c>
      <c r="Y577" s="33" t="str">
        <f>Y519</f>
        <v>3Q09</v>
      </c>
      <c r="Z577" s="33" t="str">
        <f>Z519</f>
        <v>4Q09</v>
      </c>
      <c r="AA577" s="31">
        <v>2009</v>
      </c>
      <c r="AB577" s="33" t="str">
        <f>AB519</f>
        <v>1Q10</v>
      </c>
      <c r="AC577" s="33" t="str">
        <f>AC519</f>
        <v>2Q10</v>
      </c>
      <c r="AD577" s="33" t="str">
        <f>AD519</f>
        <v>3Q10</v>
      </c>
      <c r="AE577" s="33" t="str">
        <f>AE519</f>
        <v>4Q10</v>
      </c>
      <c r="AF577" s="31">
        <v>2010</v>
      </c>
      <c r="AG577" s="33" t="str">
        <f>AG519</f>
        <v>1Q11</v>
      </c>
      <c r="AH577" s="33" t="str">
        <f>AH519</f>
        <v>2Q11</v>
      </c>
      <c r="AI577" s="33" t="str">
        <f>AI519</f>
        <v>3Q11</v>
      </c>
      <c r="AJ577" s="33" t="str">
        <f>AJ519</f>
        <v>4Q11</v>
      </c>
      <c r="AK577" s="31">
        <v>2011</v>
      </c>
      <c r="AL577" s="363" t="s">
        <v>2397</v>
      </c>
      <c r="AM577" s="363" t="s">
        <v>2398</v>
      </c>
      <c r="AN577" s="363" t="s">
        <v>2399</v>
      </c>
      <c r="AO577" s="363" t="s">
        <v>2400</v>
      </c>
      <c r="AP577" s="364">
        <v>2012</v>
      </c>
      <c r="AQ577" s="363" t="s">
        <v>2401</v>
      </c>
      <c r="AR577" s="363" t="s">
        <v>2402</v>
      </c>
      <c r="AS577" s="363" t="s">
        <v>2403</v>
      </c>
      <c r="AT577" s="363" t="s">
        <v>2404</v>
      </c>
      <c r="AU577" s="364">
        <v>2013</v>
      </c>
      <c r="AV577" s="363" t="s">
        <v>2405</v>
      </c>
      <c r="AW577" s="363" t="s">
        <v>2406</v>
      </c>
      <c r="AX577" s="363" t="s">
        <v>2407</v>
      </c>
      <c r="AY577" s="363" t="s">
        <v>2408</v>
      </c>
      <c r="AZ577" s="364">
        <v>2014</v>
      </c>
      <c r="BA577" s="33" t="str">
        <f t="shared" ref="BA577:BI577" si="278">BA$8</f>
        <v>1Q15</v>
      </c>
      <c r="BB577" s="33" t="str">
        <f t="shared" si="278"/>
        <v>2Q15</v>
      </c>
      <c r="BC577" s="33" t="str">
        <f t="shared" si="278"/>
        <v>3Q15</v>
      </c>
      <c r="BD577" s="33" t="str">
        <f t="shared" si="278"/>
        <v>4Q15</v>
      </c>
      <c r="BE577" s="31">
        <f t="shared" si="278"/>
        <v>2015</v>
      </c>
      <c r="BF577" s="33" t="str">
        <f t="shared" si="278"/>
        <v>1Q16</v>
      </c>
      <c r="BG577" s="33" t="str">
        <f t="shared" si="278"/>
        <v>2Q16</v>
      </c>
      <c r="BH577" s="33" t="str">
        <f t="shared" si="278"/>
        <v>3Q16</v>
      </c>
      <c r="BI577" s="33" t="str">
        <f t="shared" si="278"/>
        <v>4Q16</v>
      </c>
      <c r="BJ577" s="31">
        <v>2016</v>
      </c>
      <c r="BK577" s="33" t="s">
        <v>2417</v>
      </c>
      <c r="BL577" s="33" t="s">
        <v>2418</v>
      </c>
      <c r="BM577" s="33" t="s">
        <v>2419</v>
      </c>
      <c r="BN577" s="33" t="s">
        <v>2420</v>
      </c>
      <c r="BO577" s="31">
        <v>2017</v>
      </c>
      <c r="BP577" s="363" t="s">
        <v>2244</v>
      </c>
      <c r="BQ577" s="363" t="s">
        <v>2245</v>
      </c>
      <c r="BR577" s="363" t="s">
        <v>2508</v>
      </c>
      <c r="BS577" s="363" t="s">
        <v>2509</v>
      </c>
      <c r="BT577" s="364">
        <v>2018</v>
      </c>
      <c r="BU577" s="363" t="s">
        <v>2510</v>
      </c>
      <c r="BV577" s="363" t="s">
        <v>2511</v>
      </c>
      <c r="BW577" s="363" t="s">
        <v>3125</v>
      </c>
      <c r="BX577" s="363" t="s">
        <v>1405</v>
      </c>
      <c r="BY577" s="364">
        <v>2019</v>
      </c>
      <c r="BZ577" s="363" t="s">
        <v>1406</v>
      </c>
      <c r="CA577" s="363" t="s">
        <v>1407</v>
      </c>
      <c r="CB577" s="363" t="s">
        <v>1408</v>
      </c>
      <c r="CC577" s="363" t="s">
        <v>1409</v>
      </c>
      <c r="CD577" s="364">
        <v>2020</v>
      </c>
    </row>
    <row r="578" spans="1:82">
      <c r="A578" s="4" t="s">
        <v>2156</v>
      </c>
      <c r="B578" s="5"/>
      <c r="C578" s="72"/>
      <c r="D578" s="72"/>
      <c r="E578" s="72"/>
      <c r="F578" s="72"/>
      <c r="G578" s="72"/>
      <c r="H578" s="93"/>
      <c r="I578" s="93"/>
      <c r="J578" s="93"/>
      <c r="K578" s="93"/>
      <c r="L578" s="72"/>
      <c r="M578" s="93"/>
      <c r="N578" s="93"/>
      <c r="O578" s="93"/>
      <c r="P578" s="93"/>
      <c r="Q578" s="72"/>
      <c r="R578" s="93"/>
      <c r="S578" s="93"/>
      <c r="T578" s="93"/>
      <c r="U578" s="93"/>
      <c r="V578" s="72"/>
      <c r="W578" s="93"/>
      <c r="X578" s="93"/>
      <c r="Y578" s="93"/>
      <c r="Z578" s="93"/>
      <c r="AA578" s="5"/>
      <c r="AB578" s="93"/>
      <c r="AC578" s="93"/>
      <c r="AD578" s="93"/>
      <c r="AE578" s="93"/>
      <c r="AF578" s="5"/>
      <c r="AG578" s="93"/>
      <c r="AH578" s="93"/>
      <c r="AI578" s="93"/>
      <c r="AJ578" s="93"/>
      <c r="AK578" s="5"/>
      <c r="AL578" s="93"/>
      <c r="AM578" s="93"/>
      <c r="AN578" s="93"/>
      <c r="AO578" s="93"/>
      <c r="AP578" s="5"/>
      <c r="AQ578" s="93"/>
      <c r="AR578" s="93"/>
      <c r="AS578" s="93"/>
      <c r="AT578" s="93"/>
      <c r="AU578" s="5"/>
      <c r="AV578" s="93"/>
      <c r="AW578" s="93"/>
      <c r="AX578" s="93"/>
      <c r="AY578" s="93"/>
      <c r="AZ578" s="5"/>
      <c r="BA578" s="93"/>
      <c r="BB578" s="93"/>
      <c r="BC578" s="93"/>
      <c r="BD578" s="93"/>
      <c r="BE578" s="5"/>
      <c r="BF578" s="93"/>
      <c r="BG578" s="93"/>
      <c r="BH578" s="93"/>
      <c r="BI578" s="93"/>
      <c r="BJ578" s="5"/>
      <c r="BK578" s="93"/>
      <c r="BL578" s="93"/>
      <c r="BM578" s="93"/>
      <c r="BN578" s="93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</row>
    <row r="579" spans="1:82">
      <c r="A579" s="4" t="s">
        <v>2157</v>
      </c>
      <c r="B579" s="5"/>
      <c r="C579" s="72"/>
      <c r="D579" s="72"/>
      <c r="E579" s="72"/>
      <c r="F579" s="72"/>
      <c r="G579" s="72"/>
      <c r="H579" s="93"/>
      <c r="I579" s="93"/>
      <c r="J579" s="93"/>
      <c r="K579" s="93"/>
      <c r="L579" s="72"/>
      <c r="M579" s="93"/>
      <c r="N579" s="93"/>
      <c r="O579" s="93"/>
      <c r="P579" s="93"/>
      <c r="Q579" s="72"/>
      <c r="R579" s="93"/>
      <c r="S579" s="93"/>
      <c r="T579" s="93"/>
      <c r="U579" s="93"/>
      <c r="V579" s="72"/>
      <c r="W579" s="93"/>
      <c r="X579" s="93"/>
      <c r="Y579" s="93"/>
      <c r="Z579" s="93"/>
      <c r="AA579" s="5"/>
      <c r="AB579" s="93"/>
      <c r="AC579" s="93"/>
      <c r="AD579" s="93"/>
      <c r="AE579" s="93"/>
      <c r="AF579" s="5"/>
      <c r="AG579" s="93"/>
      <c r="AH579" s="93"/>
      <c r="AI579" s="93"/>
      <c r="AJ579" s="93"/>
      <c r="AK579" s="5"/>
      <c r="AL579" s="93"/>
      <c r="AM579" s="93"/>
      <c r="AN579" s="93"/>
      <c r="AO579" s="93"/>
      <c r="AP579" s="5"/>
      <c r="AQ579" s="93"/>
      <c r="AR579" s="93"/>
      <c r="AS579" s="93"/>
      <c r="AT579" s="93"/>
      <c r="AU579" s="5"/>
      <c r="AV579" s="93"/>
      <c r="AW579" s="93"/>
      <c r="AX579" s="93"/>
      <c r="AY579" s="93"/>
      <c r="AZ579" s="5"/>
      <c r="BA579" s="93"/>
      <c r="BB579" s="93"/>
      <c r="BC579" s="93"/>
      <c r="BD579" s="93"/>
      <c r="BE579" s="5"/>
      <c r="BF579" s="93"/>
      <c r="BG579" s="93"/>
      <c r="BH579" s="93"/>
      <c r="BI579" s="93"/>
      <c r="BJ579" s="5"/>
      <c r="BK579" s="93"/>
      <c r="BL579" s="93"/>
      <c r="BM579" s="93"/>
      <c r="BN579" s="93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</row>
    <row r="580" spans="1:82">
      <c r="A580" s="7" t="s">
        <v>2155</v>
      </c>
      <c r="B580" s="8"/>
      <c r="C580" s="73"/>
      <c r="D580" s="73"/>
      <c r="E580" s="73"/>
      <c r="F580" s="73"/>
      <c r="G580" s="73"/>
      <c r="H580" s="93"/>
      <c r="I580" s="93"/>
      <c r="J580" s="93"/>
      <c r="K580" s="93"/>
      <c r="L580" s="73"/>
      <c r="M580" s="93"/>
      <c r="N580" s="93"/>
      <c r="O580" s="93"/>
      <c r="P580" s="93"/>
      <c r="Q580" s="73"/>
      <c r="R580" s="93"/>
      <c r="S580" s="93"/>
      <c r="T580" s="93"/>
      <c r="U580" s="93"/>
      <c r="V580" s="73"/>
      <c r="W580" s="93"/>
      <c r="X580" s="93"/>
      <c r="Y580" s="93"/>
      <c r="Z580" s="93"/>
      <c r="AA580" s="8">
        <f>AA578+AA579</f>
        <v>0</v>
      </c>
      <c r="AB580" s="93"/>
      <c r="AC580" s="93"/>
      <c r="AD580" s="93"/>
      <c r="AE580" s="93"/>
      <c r="AF580" s="8">
        <f>AF578+AF579</f>
        <v>0</v>
      </c>
      <c r="AG580" s="93"/>
      <c r="AH580" s="93"/>
      <c r="AI580" s="93"/>
      <c r="AJ580" s="93"/>
      <c r="AK580" s="8">
        <f>AK578+AK579</f>
        <v>0</v>
      </c>
      <c r="AL580" s="93"/>
      <c r="AM580" s="93"/>
      <c r="AN580" s="93"/>
      <c r="AO580" s="93"/>
      <c r="AP580" s="8">
        <f>AP578+AP579</f>
        <v>0</v>
      </c>
      <c r="AQ580" s="93"/>
      <c r="AR580" s="93"/>
      <c r="AS580" s="93"/>
      <c r="AT580" s="93"/>
      <c r="AU580" s="8">
        <f>AU578+AU579</f>
        <v>0</v>
      </c>
      <c r="AV580" s="93"/>
      <c r="AW580" s="93"/>
      <c r="AX580" s="93"/>
      <c r="AY580" s="93"/>
      <c r="AZ580" s="8">
        <f>AZ578+AZ579</f>
        <v>0</v>
      </c>
      <c r="BA580" s="93"/>
      <c r="BB580" s="93"/>
      <c r="BC580" s="93"/>
      <c r="BD580" s="93"/>
      <c r="BE580" s="8">
        <f t="shared" ref="BE580:BO580" si="279">BE578+BE579</f>
        <v>0</v>
      </c>
      <c r="BF580" s="93"/>
      <c r="BG580" s="93"/>
      <c r="BH580" s="93"/>
      <c r="BI580" s="93"/>
      <c r="BJ580" s="8">
        <f t="shared" ref="BJ580" si="280">BJ578+BJ579</f>
        <v>0</v>
      </c>
      <c r="BK580" s="93"/>
      <c r="BL580" s="93"/>
      <c r="BM580" s="93"/>
      <c r="BN580" s="93"/>
      <c r="BO580" s="8">
        <f t="shared" si="279"/>
        <v>0</v>
      </c>
      <c r="BP580" s="8">
        <f t="shared" ref="BP580:CD580" si="281">BP578+BP579</f>
        <v>0</v>
      </c>
      <c r="BQ580" s="8">
        <f t="shared" si="281"/>
        <v>0</v>
      </c>
      <c r="BR580" s="8">
        <f t="shared" si="281"/>
        <v>0</v>
      </c>
      <c r="BS580" s="8">
        <f t="shared" si="281"/>
        <v>0</v>
      </c>
      <c r="BT580" s="8">
        <f t="shared" si="281"/>
        <v>0</v>
      </c>
      <c r="BU580" s="8">
        <f t="shared" si="281"/>
        <v>0</v>
      </c>
      <c r="BV580" s="8">
        <f t="shared" si="281"/>
        <v>0</v>
      </c>
      <c r="BW580" s="8">
        <f t="shared" si="281"/>
        <v>0</v>
      </c>
      <c r="BX580" s="8">
        <f t="shared" si="281"/>
        <v>0</v>
      </c>
      <c r="BY580" s="8">
        <f t="shared" si="281"/>
        <v>0</v>
      </c>
      <c r="BZ580" s="8">
        <f t="shared" si="281"/>
        <v>0</v>
      </c>
      <c r="CA580" s="8">
        <f t="shared" si="281"/>
        <v>0</v>
      </c>
      <c r="CB580" s="8">
        <f t="shared" si="281"/>
        <v>0</v>
      </c>
      <c r="CC580" s="8">
        <f t="shared" si="281"/>
        <v>0</v>
      </c>
      <c r="CD580" s="8">
        <f t="shared" si="281"/>
        <v>0</v>
      </c>
    </row>
    <row r="581" spans="1:82">
      <c r="A581" s="4"/>
      <c r="B581" s="5"/>
      <c r="C581" s="5"/>
      <c r="D581" s="5"/>
      <c r="E581" s="5"/>
      <c r="F581" s="5"/>
      <c r="G581" s="5"/>
      <c r="H581" s="12"/>
      <c r="I581" s="12"/>
      <c r="J581" s="12"/>
      <c r="K581" s="12"/>
      <c r="L581" s="5"/>
      <c r="M581" s="12"/>
      <c r="N581" s="12"/>
      <c r="O581" s="12"/>
      <c r="P581" s="12"/>
      <c r="Q581" s="5"/>
      <c r="R581" s="12"/>
      <c r="S581" s="12"/>
      <c r="T581" s="12"/>
      <c r="U581" s="12"/>
      <c r="V581" s="5"/>
      <c r="W581" s="12"/>
      <c r="X581" s="12"/>
      <c r="Y581" s="12"/>
      <c r="Z581" s="12"/>
      <c r="AA581" s="5"/>
      <c r="AB581" s="12"/>
      <c r="AC581" s="12"/>
      <c r="AD581" s="12"/>
      <c r="AE581" s="12"/>
      <c r="AF581" s="5"/>
      <c r="AG581" s="12"/>
      <c r="AH581" s="12"/>
      <c r="AI581" s="12"/>
      <c r="AJ581" s="12"/>
      <c r="AK581" s="5"/>
      <c r="AL581" s="12"/>
      <c r="AM581" s="12"/>
      <c r="AN581" s="12"/>
      <c r="AO581" s="12"/>
      <c r="AP581" s="5"/>
      <c r="AQ581" s="12"/>
      <c r="AR581" s="12"/>
      <c r="AS581" s="12"/>
      <c r="AT581" s="12"/>
      <c r="AU581" s="5"/>
      <c r="AV581" s="12"/>
      <c r="AW581" s="12"/>
      <c r="AX581" s="12"/>
      <c r="AY581" s="12"/>
      <c r="AZ581" s="5"/>
      <c r="BA581" s="12"/>
      <c r="BB581" s="12"/>
      <c r="BC581" s="12"/>
      <c r="BD581" s="12"/>
      <c r="BE581" s="5"/>
      <c r="BF581" s="12"/>
      <c r="BG581" s="12"/>
      <c r="BH581" s="12"/>
      <c r="BI581" s="12"/>
      <c r="BJ581" s="5"/>
      <c r="BK581" s="12"/>
      <c r="BL581" s="12"/>
      <c r="BM581" s="12"/>
      <c r="BN581" s="12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</row>
    <row r="582" spans="1:82">
      <c r="A582" s="4" t="s">
        <v>1897</v>
      </c>
      <c r="B582" s="5"/>
      <c r="C582" s="72"/>
      <c r="D582" s="72"/>
      <c r="E582" s="72"/>
      <c r="F582" s="72"/>
      <c r="G582" s="72"/>
      <c r="H582" s="93"/>
      <c r="I582" s="93"/>
      <c r="J582" s="93"/>
      <c r="K582" s="93"/>
      <c r="L582" s="72"/>
      <c r="M582" s="93"/>
      <c r="N582" s="93"/>
      <c r="O582" s="93"/>
      <c r="P582" s="93"/>
      <c r="Q582" s="72"/>
      <c r="R582" s="93"/>
      <c r="S582" s="93"/>
      <c r="T582" s="93"/>
      <c r="U582" s="93"/>
      <c r="V582" s="72"/>
      <c r="W582" s="93"/>
      <c r="X582" s="93"/>
      <c r="Y582" s="93"/>
      <c r="Z582" s="93"/>
      <c r="AA582" s="5"/>
      <c r="AB582" s="93"/>
      <c r="AC582" s="93"/>
      <c r="AD582" s="93"/>
      <c r="AE582" s="93"/>
      <c r="AF582" s="5"/>
      <c r="AG582" s="93"/>
      <c r="AH582" s="93"/>
      <c r="AI582" s="93"/>
      <c r="AJ582" s="93"/>
      <c r="AK582" s="5"/>
      <c r="AL582" s="93"/>
      <c r="AM582" s="93"/>
      <c r="AN582" s="93"/>
      <c r="AO582" s="93"/>
      <c r="AP582" s="5"/>
      <c r="AQ582" s="93"/>
      <c r="AR582" s="93"/>
      <c r="AS582" s="93"/>
      <c r="AT582" s="93"/>
      <c r="AU582" s="5"/>
      <c r="AV582" s="93"/>
      <c r="AW582" s="93"/>
      <c r="AX582" s="93"/>
      <c r="AY582" s="93"/>
      <c r="AZ582" s="5"/>
      <c r="BA582" s="93"/>
      <c r="BB582" s="93"/>
      <c r="BC582" s="93"/>
      <c r="BD582" s="93"/>
      <c r="BE582" s="5"/>
      <c r="BF582" s="93"/>
      <c r="BG582" s="93"/>
      <c r="BH582" s="93"/>
      <c r="BI582" s="93"/>
      <c r="BJ582" s="5"/>
      <c r="BK582" s="93"/>
      <c r="BL582" s="93"/>
      <c r="BM582" s="93"/>
      <c r="BN582" s="93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</row>
    <row r="583" spans="1:82">
      <c r="A583" s="4" t="s">
        <v>2149</v>
      </c>
      <c r="B583" s="5"/>
      <c r="C583" s="72"/>
      <c r="D583" s="72"/>
      <c r="E583" s="72"/>
      <c r="F583" s="72"/>
      <c r="G583" s="72"/>
      <c r="H583" s="93"/>
      <c r="I583" s="93"/>
      <c r="J583" s="93"/>
      <c r="K583" s="93"/>
      <c r="L583" s="72"/>
      <c r="M583" s="93"/>
      <c r="N583" s="93"/>
      <c r="O583" s="93"/>
      <c r="P583" s="93"/>
      <c r="Q583" s="72"/>
      <c r="R583" s="93"/>
      <c r="S583" s="93"/>
      <c r="T583" s="93"/>
      <c r="U583" s="93"/>
      <c r="V583" s="72"/>
      <c r="W583" s="93"/>
      <c r="X583" s="93"/>
      <c r="Y583" s="93"/>
      <c r="Z583" s="93"/>
      <c r="AA583" s="5"/>
      <c r="AB583" s="93"/>
      <c r="AC583" s="93"/>
      <c r="AD583" s="93"/>
      <c r="AE583" s="93"/>
      <c r="AF583" s="5"/>
      <c r="AG583" s="93"/>
      <c r="AH583" s="93"/>
      <c r="AI583" s="93"/>
      <c r="AJ583" s="93"/>
      <c r="AK583" s="5"/>
      <c r="AL583" s="93"/>
      <c r="AM583" s="93"/>
      <c r="AN583" s="93"/>
      <c r="AO583" s="93"/>
      <c r="AP583" s="5"/>
      <c r="AQ583" s="93"/>
      <c r="AR583" s="93"/>
      <c r="AS583" s="93"/>
      <c r="AT583" s="93"/>
      <c r="AU583" s="5"/>
      <c r="AV583" s="93"/>
      <c r="AW583" s="93"/>
      <c r="AX583" s="93"/>
      <c r="AY583" s="93"/>
      <c r="AZ583" s="5"/>
      <c r="BA583" s="93"/>
      <c r="BB583" s="93"/>
      <c r="BC583" s="93"/>
      <c r="BD583" s="93"/>
      <c r="BE583" s="5"/>
      <c r="BF583" s="93"/>
      <c r="BG583" s="93"/>
      <c r="BH583" s="93"/>
      <c r="BI583" s="93"/>
      <c r="BJ583" s="5"/>
      <c r="BK583" s="93"/>
      <c r="BL583" s="93"/>
      <c r="BM583" s="93"/>
      <c r="BN583" s="93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</row>
    <row r="584" spans="1:82">
      <c r="A584" s="4" t="s">
        <v>2150</v>
      </c>
      <c r="B584" s="5"/>
      <c r="C584" s="72"/>
      <c r="D584" s="72"/>
      <c r="E584" s="72"/>
      <c r="F584" s="72"/>
      <c r="G584" s="72"/>
      <c r="H584" s="93"/>
      <c r="I584" s="93"/>
      <c r="J584" s="93"/>
      <c r="K584" s="93"/>
      <c r="L584" s="72"/>
      <c r="M584" s="93"/>
      <c r="N584" s="93"/>
      <c r="O584" s="93"/>
      <c r="P584" s="93"/>
      <c r="Q584" s="72"/>
      <c r="R584" s="93"/>
      <c r="S584" s="93"/>
      <c r="T584" s="93"/>
      <c r="U584" s="93"/>
      <c r="V584" s="72"/>
      <c r="W584" s="93"/>
      <c r="X584" s="93"/>
      <c r="Y584" s="93"/>
      <c r="Z584" s="93"/>
      <c r="AA584" s="5"/>
      <c r="AB584" s="93"/>
      <c r="AC584" s="93"/>
      <c r="AD584" s="93"/>
      <c r="AE584" s="93"/>
      <c r="AF584" s="5"/>
      <c r="AG584" s="93"/>
      <c r="AH584" s="93"/>
      <c r="AI584" s="93"/>
      <c r="AJ584" s="93"/>
      <c r="AK584" s="5"/>
      <c r="AL584" s="93"/>
      <c r="AM584" s="93"/>
      <c r="AN584" s="93"/>
      <c r="AO584" s="93"/>
      <c r="AP584" s="5"/>
      <c r="AQ584" s="93"/>
      <c r="AR584" s="93"/>
      <c r="AS584" s="93"/>
      <c r="AT584" s="93"/>
      <c r="AU584" s="5"/>
      <c r="AV584" s="93"/>
      <c r="AW584" s="93"/>
      <c r="AX584" s="93"/>
      <c r="AY584" s="93"/>
      <c r="AZ584" s="5"/>
      <c r="BA584" s="93"/>
      <c r="BB584" s="93"/>
      <c r="BC584" s="93"/>
      <c r="BD584" s="93"/>
      <c r="BE584" s="5"/>
      <c r="BF584" s="93"/>
      <c r="BG584" s="93"/>
      <c r="BH584" s="93"/>
      <c r="BI584" s="93"/>
      <c r="BJ584" s="5"/>
      <c r="BK584" s="93"/>
      <c r="BL584" s="93"/>
      <c r="BM584" s="93"/>
      <c r="BN584" s="93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</row>
    <row r="585" spans="1:82">
      <c r="A585" s="4" t="s">
        <v>2158</v>
      </c>
      <c r="B585" s="5"/>
      <c r="C585" s="72"/>
      <c r="D585" s="72"/>
      <c r="E585" s="72"/>
      <c r="F585" s="72"/>
      <c r="G585" s="72"/>
      <c r="H585" s="93"/>
      <c r="I585" s="93"/>
      <c r="J585" s="93"/>
      <c r="K585" s="93"/>
      <c r="L585" s="72"/>
      <c r="M585" s="93"/>
      <c r="N585" s="93"/>
      <c r="O585" s="93"/>
      <c r="P585" s="93"/>
      <c r="Q585" s="72"/>
      <c r="R585" s="93"/>
      <c r="S585" s="93"/>
      <c r="T585" s="93"/>
      <c r="U585" s="93"/>
      <c r="V585" s="72"/>
      <c r="W585" s="93"/>
      <c r="X585" s="93"/>
      <c r="Y585" s="93"/>
      <c r="Z585" s="93"/>
      <c r="AA585" s="5"/>
      <c r="AB585" s="93"/>
      <c r="AC585" s="93"/>
      <c r="AD585" s="93"/>
      <c r="AE585" s="93"/>
      <c r="AF585" s="5">
        <v>-67</v>
      </c>
      <c r="AG585" s="93"/>
      <c r="AH585" s="93"/>
      <c r="AI585" s="93"/>
      <c r="AJ585" s="93"/>
      <c r="AK585" s="5">
        <v>0</v>
      </c>
      <c r="AL585" s="93"/>
      <c r="AM585" s="93"/>
      <c r="AN585" s="93"/>
      <c r="AO585" s="93"/>
      <c r="AP585" s="5">
        <v>43</v>
      </c>
      <c r="AQ585" s="93"/>
      <c r="AR585" s="93"/>
      <c r="AS585" s="93"/>
      <c r="AT585" s="93"/>
      <c r="AU585" s="5">
        <v>0</v>
      </c>
      <c r="AV585" s="93"/>
      <c r="AW585" s="93"/>
      <c r="AX585" s="93"/>
      <c r="AY585" s="93"/>
      <c r="AZ585" s="5">
        <v>0</v>
      </c>
      <c r="BA585" s="93"/>
      <c r="BB585" s="93"/>
      <c r="BC585" s="93"/>
      <c r="BD585" s="93"/>
      <c r="BE585" s="5">
        <v>0</v>
      </c>
      <c r="BF585" s="93"/>
      <c r="BG585" s="93"/>
      <c r="BH585" s="93"/>
      <c r="BI585" s="93"/>
      <c r="BJ585" s="5">
        <v>0</v>
      </c>
      <c r="BK585" s="93"/>
      <c r="BL585" s="93"/>
      <c r="BM585" s="93"/>
      <c r="BN585" s="93"/>
      <c r="BO585" s="5">
        <v>0</v>
      </c>
      <c r="BP585" s="12">
        <f>BT585/4</f>
        <v>0</v>
      </c>
      <c r="BQ585" s="12">
        <f>(BT585-BP585)/3</f>
        <v>0</v>
      </c>
      <c r="BR585" s="12">
        <f>(BT585-BP585-BQ585)/2</f>
        <v>0</v>
      </c>
      <c r="BS585" s="12">
        <f>BT585-SUM(BP585:BR585)</f>
        <v>0</v>
      </c>
      <c r="BT585" s="147">
        <v>0</v>
      </c>
      <c r="BU585" s="12">
        <f>BY585/4</f>
        <v>0</v>
      </c>
      <c r="BV585" s="12">
        <f>(BY585-BU585)/3</f>
        <v>0</v>
      </c>
      <c r="BW585" s="12">
        <f>(BY585-BU585-BV585)/2</f>
        <v>0</v>
      </c>
      <c r="BX585" s="12">
        <f>BY585-SUM(BU585:BW585)</f>
        <v>0</v>
      </c>
      <c r="BY585" s="147">
        <v>0</v>
      </c>
      <c r="BZ585" s="12">
        <f>CD585/4</f>
        <v>0</v>
      </c>
      <c r="CA585" s="12">
        <f>(CD585-BZ585)/3</f>
        <v>0</v>
      </c>
      <c r="CB585" s="12">
        <f>(CD585-BZ585-CA585)/2</f>
        <v>0</v>
      </c>
      <c r="CC585" s="12">
        <f>CD585-SUM(BZ585:CB585)</f>
        <v>0</v>
      </c>
      <c r="CD585" s="147">
        <v>0</v>
      </c>
    </row>
    <row r="586" spans="1:82">
      <c r="A586" s="4" t="s">
        <v>2154</v>
      </c>
      <c r="B586" s="5"/>
      <c r="C586" s="72"/>
      <c r="D586" s="72"/>
      <c r="E586" s="72"/>
      <c r="F586" s="72"/>
      <c r="G586" s="72"/>
      <c r="H586" s="93"/>
      <c r="I586" s="93"/>
      <c r="J586" s="93"/>
      <c r="K586" s="93"/>
      <c r="L586" s="72"/>
      <c r="M586" s="93"/>
      <c r="N586" s="93"/>
      <c r="O586" s="93"/>
      <c r="P586" s="93"/>
      <c r="Q586" s="72"/>
      <c r="R586" s="93"/>
      <c r="S586" s="93"/>
      <c r="T586" s="93"/>
      <c r="U586" s="93"/>
      <c r="V586" s="72"/>
      <c r="W586" s="93"/>
      <c r="X586" s="93"/>
      <c r="Y586" s="93"/>
      <c r="Z586" s="93"/>
      <c r="AA586" s="5"/>
      <c r="AB586" s="93"/>
      <c r="AC586" s="93"/>
      <c r="AD586" s="93"/>
      <c r="AE586" s="93"/>
      <c r="AF586" s="5"/>
      <c r="AG586" s="93"/>
      <c r="AH586" s="93"/>
      <c r="AI586" s="93"/>
      <c r="AJ586" s="93"/>
      <c r="AK586" s="5"/>
      <c r="AL586" s="93"/>
      <c r="AM586" s="93"/>
      <c r="AN586" s="93"/>
      <c r="AO586" s="93"/>
      <c r="AP586" s="5"/>
      <c r="AQ586" s="93"/>
      <c r="AR586" s="93"/>
      <c r="AS586" s="93"/>
      <c r="AT586" s="93"/>
      <c r="AU586" s="5"/>
      <c r="AV586" s="93"/>
      <c r="AW586" s="93"/>
      <c r="AX586" s="93"/>
      <c r="AY586" s="93"/>
      <c r="AZ586" s="5"/>
      <c r="BA586" s="93"/>
      <c r="BB586" s="93"/>
      <c r="BC586" s="93"/>
      <c r="BD586" s="93"/>
      <c r="BE586" s="5"/>
      <c r="BF586" s="93"/>
      <c r="BG586" s="93"/>
      <c r="BH586" s="93"/>
      <c r="BI586" s="93"/>
      <c r="BJ586" s="5"/>
      <c r="BK586" s="93"/>
      <c r="BL586" s="93"/>
      <c r="BM586" s="93"/>
      <c r="BN586" s="93"/>
      <c r="BO586" s="5"/>
      <c r="BP586" s="12"/>
      <c r="BQ586" s="12"/>
      <c r="BR586" s="12"/>
      <c r="BS586" s="12"/>
      <c r="BT586" s="5"/>
      <c r="BU586" s="12"/>
      <c r="BV586" s="12"/>
      <c r="BW586" s="12"/>
      <c r="BX586" s="12"/>
      <c r="BY586" s="5"/>
      <c r="BZ586" s="12"/>
      <c r="CA586" s="12"/>
      <c r="CB586" s="12"/>
      <c r="CC586" s="12"/>
      <c r="CD586" s="5"/>
    </row>
    <row r="587" spans="1:82">
      <c r="A587" s="4" t="s">
        <v>930</v>
      </c>
      <c r="B587" s="5"/>
      <c r="C587" s="72"/>
      <c r="D587" s="72"/>
      <c r="E587" s="72"/>
      <c r="F587" s="72"/>
      <c r="G587" s="72"/>
      <c r="H587" s="93"/>
      <c r="I587" s="93"/>
      <c r="J587" s="93"/>
      <c r="K587" s="93"/>
      <c r="L587" s="72"/>
      <c r="M587" s="93"/>
      <c r="N587" s="93"/>
      <c r="O587" s="93"/>
      <c r="P587" s="93"/>
      <c r="Q587" s="72"/>
      <c r="R587" s="93"/>
      <c r="S587" s="93"/>
      <c r="T587" s="93"/>
      <c r="U587" s="93"/>
      <c r="V587" s="72"/>
      <c r="W587" s="93"/>
      <c r="X587" s="93"/>
      <c r="Y587" s="93"/>
      <c r="Z587" s="93"/>
      <c r="AA587" s="5"/>
      <c r="AB587" s="93"/>
      <c r="AC587" s="93"/>
      <c r="AD587" s="93"/>
      <c r="AE587" s="93"/>
      <c r="AF587" s="5"/>
      <c r="AG587" s="93"/>
      <c r="AH587" s="93"/>
      <c r="AI587" s="93"/>
      <c r="AJ587" s="93"/>
      <c r="AK587" s="5"/>
      <c r="AL587" s="93"/>
      <c r="AM587" s="93"/>
      <c r="AN587" s="93"/>
      <c r="AO587" s="93"/>
      <c r="AP587" s="5"/>
      <c r="AQ587" s="93"/>
      <c r="AR587" s="93"/>
      <c r="AS587" s="93"/>
      <c r="AT587" s="93"/>
      <c r="AU587" s="5"/>
      <c r="AV587" s="93"/>
      <c r="AW587" s="93"/>
      <c r="AX587" s="93"/>
      <c r="AY587" s="93"/>
      <c r="AZ587" s="5"/>
      <c r="BA587" s="93"/>
      <c r="BB587" s="93"/>
      <c r="BC587" s="93"/>
      <c r="BD587" s="93"/>
      <c r="BE587" s="5"/>
      <c r="BF587" s="93"/>
      <c r="BG587" s="93"/>
      <c r="BH587" s="93"/>
      <c r="BI587" s="93"/>
      <c r="BJ587" s="5"/>
      <c r="BK587" s="93"/>
      <c r="BL587" s="93"/>
      <c r="BM587" s="93"/>
      <c r="BN587" s="93"/>
      <c r="BO587" s="5"/>
      <c r="BP587" s="12"/>
      <c r="BQ587" s="12"/>
      <c r="BR587" s="12"/>
      <c r="BS587" s="12"/>
      <c r="BT587" s="5"/>
      <c r="BU587" s="12"/>
      <c r="BV587" s="12"/>
      <c r="BW587" s="12"/>
      <c r="BX587" s="12"/>
      <c r="BY587" s="5"/>
      <c r="BZ587" s="12"/>
      <c r="CA587" s="12"/>
      <c r="CB587" s="12"/>
      <c r="CC587" s="12"/>
      <c r="CD587" s="5"/>
    </row>
    <row r="588" spans="1:82">
      <c r="A588" s="7" t="s">
        <v>2160</v>
      </c>
      <c r="B588" s="8"/>
      <c r="C588" s="73"/>
      <c r="D588" s="73"/>
      <c r="E588" s="73"/>
      <c r="F588" s="73"/>
      <c r="G588" s="73"/>
      <c r="H588" s="93"/>
      <c r="I588" s="93"/>
      <c r="J588" s="93"/>
      <c r="K588" s="93"/>
      <c r="L588" s="73"/>
      <c r="M588" s="93"/>
      <c r="N588" s="93"/>
      <c r="O588" s="93"/>
      <c r="P588" s="93"/>
      <c r="Q588" s="73"/>
      <c r="R588" s="93"/>
      <c r="S588" s="93"/>
      <c r="T588" s="93"/>
      <c r="U588" s="93"/>
      <c r="V588" s="73"/>
      <c r="W588" s="93"/>
      <c r="X588" s="93"/>
      <c r="Y588" s="93"/>
      <c r="Z588" s="93"/>
      <c r="AA588" s="8">
        <f>AA580+SUM(AA582:AA587)</f>
        <v>0</v>
      </c>
      <c r="AB588" s="93"/>
      <c r="AC588" s="93"/>
      <c r="AD588" s="93"/>
      <c r="AE588" s="93"/>
      <c r="AF588" s="8">
        <f>AF580+SUM(AF582:AF587)</f>
        <v>-67</v>
      </c>
      <c r="AG588" s="93"/>
      <c r="AH588" s="93"/>
      <c r="AI588" s="93"/>
      <c r="AJ588" s="93"/>
      <c r="AK588" s="8">
        <f>AK580+SUM(AK582:AK587)</f>
        <v>0</v>
      </c>
      <c r="AL588" s="93"/>
      <c r="AM588" s="93"/>
      <c r="AN588" s="93"/>
      <c r="AO588" s="93"/>
      <c r="AP588" s="8">
        <f>AP580+SUM(AP582:AP587)</f>
        <v>43</v>
      </c>
      <c r="AQ588" s="93"/>
      <c r="AR588" s="93"/>
      <c r="AS588" s="93"/>
      <c r="AT588" s="93"/>
      <c r="AU588" s="8">
        <f>AU580+SUM(AU582:AU587)</f>
        <v>0</v>
      </c>
      <c r="AV588" s="93"/>
      <c r="AW588" s="93"/>
      <c r="AX588" s="93"/>
      <c r="AY588" s="93"/>
      <c r="AZ588" s="8">
        <f>AZ580+SUM(AZ582:AZ587)</f>
        <v>0</v>
      </c>
      <c r="BA588" s="93"/>
      <c r="BB588" s="93"/>
      <c r="BC588" s="93"/>
      <c r="BD588" s="93"/>
      <c r="BE588" s="8">
        <f t="shared" ref="BE588:BO588" si="282">BE580+SUM(BE582:BE587)</f>
        <v>0</v>
      </c>
      <c r="BF588" s="93"/>
      <c r="BG588" s="93"/>
      <c r="BH588" s="93"/>
      <c r="BI588" s="93"/>
      <c r="BJ588" s="8">
        <f t="shared" ref="BJ588" si="283">BJ580+SUM(BJ582:BJ587)</f>
        <v>0</v>
      </c>
      <c r="BK588" s="93"/>
      <c r="BL588" s="93"/>
      <c r="BM588" s="93"/>
      <c r="BN588" s="93"/>
      <c r="BO588" s="8">
        <f t="shared" si="282"/>
        <v>0</v>
      </c>
      <c r="BP588" s="66">
        <f t="shared" ref="BP588:CD588" si="284">BP580+SUM(BP582:BP587)</f>
        <v>0</v>
      </c>
      <c r="BQ588" s="66">
        <f t="shared" si="284"/>
        <v>0</v>
      </c>
      <c r="BR588" s="66">
        <f t="shared" si="284"/>
        <v>0</v>
      </c>
      <c r="BS588" s="66">
        <f t="shared" si="284"/>
        <v>0</v>
      </c>
      <c r="BT588" s="8">
        <f t="shared" si="284"/>
        <v>0</v>
      </c>
      <c r="BU588" s="66">
        <f t="shared" si="284"/>
        <v>0</v>
      </c>
      <c r="BV588" s="66">
        <f t="shared" si="284"/>
        <v>0</v>
      </c>
      <c r="BW588" s="66">
        <f t="shared" si="284"/>
        <v>0</v>
      </c>
      <c r="BX588" s="66">
        <f t="shared" si="284"/>
        <v>0</v>
      </c>
      <c r="BY588" s="8">
        <f t="shared" si="284"/>
        <v>0</v>
      </c>
      <c r="BZ588" s="66">
        <f t="shared" si="284"/>
        <v>0</v>
      </c>
      <c r="CA588" s="66">
        <f t="shared" si="284"/>
        <v>0</v>
      </c>
      <c r="CB588" s="66">
        <f t="shared" si="284"/>
        <v>0</v>
      </c>
      <c r="CC588" s="66">
        <f t="shared" si="284"/>
        <v>0</v>
      </c>
      <c r="CD588" s="8">
        <f t="shared" si="284"/>
        <v>0</v>
      </c>
    </row>
    <row r="589" spans="1:82">
      <c r="A589" s="11"/>
      <c r="B589" s="11"/>
      <c r="C589" s="11"/>
      <c r="D589" s="11"/>
      <c r="E589" s="11"/>
      <c r="F589" s="11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  <c r="AA589" s="11"/>
      <c r="AB589" s="11"/>
      <c r="AC589" s="11"/>
      <c r="AD589" s="11"/>
      <c r="AE589" s="11"/>
      <c r="AF589" s="11"/>
      <c r="AG589" s="11"/>
      <c r="AH589" s="11"/>
      <c r="AI589" s="11"/>
      <c r="AJ589" s="11"/>
      <c r="AK589" s="11"/>
      <c r="AL589" s="11"/>
      <c r="AM589" s="11"/>
      <c r="AN589" s="11"/>
      <c r="AO589" s="11"/>
      <c r="AP589" s="11"/>
      <c r="AQ589" s="11"/>
      <c r="AR589" s="11"/>
      <c r="AS589" s="11"/>
      <c r="AT589" s="11"/>
      <c r="AU589" s="11"/>
      <c r="AV589" s="11"/>
      <c r="AW589" s="11"/>
      <c r="AX589" s="11"/>
      <c r="AY589" s="11"/>
      <c r="AZ589" s="11"/>
      <c r="BA589" s="11"/>
      <c r="BB589" s="11"/>
      <c r="BC589" s="11"/>
      <c r="BD589" s="11"/>
      <c r="BE589" s="11"/>
      <c r="BF589" s="11"/>
      <c r="BG589" s="11"/>
      <c r="BH589" s="11"/>
      <c r="BI589" s="11"/>
      <c r="BJ589" s="11"/>
      <c r="BK589" s="11"/>
      <c r="BL589" s="11"/>
      <c r="BM589" s="11"/>
      <c r="BN589" s="11"/>
      <c r="BO589" s="11"/>
      <c r="BP589" s="11"/>
      <c r="BQ589" s="11"/>
      <c r="BR589" s="11"/>
      <c r="BS589" s="11"/>
      <c r="BT589" s="11"/>
      <c r="BU589" s="11"/>
      <c r="BV589" s="11"/>
      <c r="BW589" s="11"/>
      <c r="BX589" s="11"/>
      <c r="BY589" s="11"/>
      <c r="BZ589" s="11"/>
      <c r="CA589" s="11"/>
      <c r="CB589" s="11"/>
      <c r="CC589" s="11"/>
      <c r="CD589" s="11"/>
    </row>
    <row r="590" spans="1:82">
      <c r="A590" s="4" t="s">
        <v>2152</v>
      </c>
      <c r="B590" s="5"/>
      <c r="C590" s="72"/>
      <c r="D590" s="72"/>
      <c r="E590" s="72"/>
      <c r="F590" s="72"/>
      <c r="G590" s="72"/>
      <c r="H590" s="93"/>
      <c r="I590" s="93"/>
      <c r="J590" s="93"/>
      <c r="K590" s="93"/>
      <c r="L590" s="72"/>
      <c r="M590" s="93"/>
      <c r="N590" s="93"/>
      <c r="O590" s="93"/>
      <c r="P590" s="93"/>
      <c r="Q590" s="72"/>
      <c r="R590" s="93"/>
      <c r="S590" s="93"/>
      <c r="T590" s="93"/>
      <c r="U590" s="93"/>
      <c r="V590" s="72"/>
      <c r="W590" s="93"/>
      <c r="X590" s="93"/>
      <c r="Y590" s="93"/>
      <c r="Z590" s="93"/>
      <c r="AA590" s="5"/>
      <c r="AB590" s="93"/>
      <c r="AC590" s="93"/>
      <c r="AD590" s="93"/>
      <c r="AE590" s="93"/>
      <c r="AF590" s="5"/>
      <c r="AG590" s="93"/>
      <c r="AH590" s="93"/>
      <c r="AI590" s="93"/>
      <c r="AJ590" s="93"/>
      <c r="AK590" s="5"/>
      <c r="AL590" s="93"/>
      <c r="AM590" s="93"/>
      <c r="AN590" s="93"/>
      <c r="AO590" s="93"/>
      <c r="AP590" s="5"/>
      <c r="AQ590" s="93"/>
      <c r="AR590" s="93"/>
      <c r="AS590" s="93"/>
      <c r="AT590" s="93"/>
      <c r="AU590" s="5"/>
      <c r="AV590" s="93"/>
      <c r="AW590" s="93"/>
      <c r="AX590" s="93"/>
      <c r="AY590" s="93"/>
      <c r="AZ590" s="5"/>
      <c r="BA590" s="93"/>
      <c r="BB590" s="93"/>
      <c r="BC590" s="93"/>
      <c r="BD590" s="93"/>
      <c r="BE590" s="5"/>
      <c r="BF590" s="93"/>
      <c r="BG590" s="93"/>
      <c r="BH590" s="93"/>
      <c r="BI590" s="93"/>
      <c r="BJ590" s="5"/>
      <c r="BK590" s="93"/>
      <c r="BL590" s="93"/>
      <c r="BM590" s="93"/>
      <c r="BN590" s="93"/>
      <c r="BO590" s="5"/>
      <c r="BP590" s="12"/>
      <c r="BQ590" s="12"/>
      <c r="BR590" s="12"/>
      <c r="BS590" s="12"/>
      <c r="BT590" s="5"/>
      <c r="BU590" s="12"/>
      <c r="BV590" s="12"/>
      <c r="BW590" s="12"/>
      <c r="BX590" s="12"/>
      <c r="BY590" s="5"/>
      <c r="BZ590" s="12"/>
      <c r="CA590" s="12"/>
      <c r="CB590" s="12"/>
      <c r="CC590" s="12"/>
      <c r="CD590" s="5"/>
    </row>
    <row r="591" spans="1:82">
      <c r="A591" s="14" t="s">
        <v>2153</v>
      </c>
      <c r="B591" s="15"/>
      <c r="C591" s="74"/>
      <c r="D591" s="74"/>
      <c r="E591" s="74"/>
      <c r="F591" s="74"/>
      <c r="G591" s="74"/>
      <c r="H591" s="378"/>
      <c r="I591" s="378"/>
      <c r="J591" s="378"/>
      <c r="K591" s="378"/>
      <c r="L591" s="74"/>
      <c r="M591" s="378"/>
      <c r="N591" s="378"/>
      <c r="O591" s="378"/>
      <c r="P591" s="378"/>
      <c r="Q591" s="74"/>
      <c r="R591" s="378"/>
      <c r="S591" s="378"/>
      <c r="T591" s="378"/>
      <c r="U591" s="378"/>
      <c r="V591" s="74"/>
      <c r="W591" s="378"/>
      <c r="X591" s="378"/>
      <c r="Y591" s="378"/>
      <c r="Z591" s="378"/>
      <c r="AA591" s="15">
        <f>SUM(AA588,AA590)</f>
        <v>0</v>
      </c>
      <c r="AB591" s="378"/>
      <c r="AC591" s="378"/>
      <c r="AD591" s="378"/>
      <c r="AE591" s="378"/>
      <c r="AF591" s="15">
        <f>SUM(AF588,AF590)</f>
        <v>-67</v>
      </c>
      <c r="AG591" s="378"/>
      <c r="AH591" s="378"/>
      <c r="AI591" s="378"/>
      <c r="AJ591" s="378"/>
      <c r="AK591" s="15">
        <f>SUM(AK588,AK590)</f>
        <v>0</v>
      </c>
      <c r="AL591" s="378"/>
      <c r="AM591" s="378"/>
      <c r="AN591" s="378"/>
      <c r="AO591" s="378"/>
      <c r="AP591" s="15">
        <f>SUM(AP588,AP590)</f>
        <v>43</v>
      </c>
      <c r="AQ591" s="378"/>
      <c r="AR591" s="378"/>
      <c r="AS591" s="378"/>
      <c r="AT591" s="378"/>
      <c r="AU591" s="15">
        <f>SUM(AU588,AU590)</f>
        <v>0</v>
      </c>
      <c r="AV591" s="378"/>
      <c r="AW591" s="378"/>
      <c r="AX591" s="378"/>
      <c r="AY591" s="378"/>
      <c r="AZ591" s="15">
        <f>SUM(AZ588,AZ590)</f>
        <v>0</v>
      </c>
      <c r="BA591" s="378"/>
      <c r="BB591" s="378"/>
      <c r="BC591" s="378"/>
      <c r="BD591" s="378"/>
      <c r="BE591" s="15">
        <f t="shared" ref="BE591:BO591" si="285">SUM(BE588,BE590)</f>
        <v>0</v>
      </c>
      <c r="BF591" s="378"/>
      <c r="BG591" s="378"/>
      <c r="BH591" s="378"/>
      <c r="BI591" s="378"/>
      <c r="BJ591" s="15">
        <f t="shared" ref="BJ591" si="286">SUM(BJ588,BJ590)</f>
        <v>0</v>
      </c>
      <c r="BK591" s="378"/>
      <c r="BL591" s="378"/>
      <c r="BM591" s="378"/>
      <c r="BN591" s="378"/>
      <c r="BO591" s="15">
        <f t="shared" si="285"/>
        <v>0</v>
      </c>
      <c r="BP591" s="67">
        <f t="shared" ref="BP591:CD591" si="287">SUM(BP588,BP590)</f>
        <v>0</v>
      </c>
      <c r="BQ591" s="67">
        <f t="shared" si="287"/>
        <v>0</v>
      </c>
      <c r="BR591" s="67">
        <f t="shared" si="287"/>
        <v>0</v>
      </c>
      <c r="BS591" s="67">
        <f t="shared" si="287"/>
        <v>0</v>
      </c>
      <c r="BT591" s="15">
        <f t="shared" si="287"/>
        <v>0</v>
      </c>
      <c r="BU591" s="67">
        <f t="shared" si="287"/>
        <v>0</v>
      </c>
      <c r="BV591" s="67">
        <f t="shared" si="287"/>
        <v>0</v>
      </c>
      <c r="BW591" s="67">
        <f t="shared" si="287"/>
        <v>0</v>
      </c>
      <c r="BX591" s="67">
        <f t="shared" si="287"/>
        <v>0</v>
      </c>
      <c r="BY591" s="15">
        <f t="shared" si="287"/>
        <v>0</v>
      </c>
      <c r="BZ591" s="67">
        <f t="shared" si="287"/>
        <v>0</v>
      </c>
      <c r="CA591" s="67">
        <f t="shared" si="287"/>
        <v>0</v>
      </c>
      <c r="CB591" s="67">
        <f t="shared" si="287"/>
        <v>0</v>
      </c>
      <c r="CC591" s="67">
        <f t="shared" si="287"/>
        <v>0</v>
      </c>
      <c r="CD591" s="15">
        <f t="shared" si="287"/>
        <v>0</v>
      </c>
    </row>
    <row r="592" spans="1:82">
      <c r="A592" s="75"/>
      <c r="B592" s="76"/>
      <c r="C592" s="76"/>
      <c r="D592" s="76"/>
      <c r="E592" s="76"/>
      <c r="F592" s="76"/>
      <c r="G592" s="76"/>
      <c r="H592" s="76"/>
      <c r="I592" s="76"/>
      <c r="J592" s="76"/>
      <c r="K592" s="76"/>
      <c r="L592" s="76"/>
      <c r="M592" s="76"/>
      <c r="N592" s="76"/>
      <c r="O592" s="76"/>
      <c r="P592" s="76"/>
      <c r="Q592" s="76"/>
      <c r="R592" s="76"/>
      <c r="S592" s="76"/>
      <c r="T592" s="76"/>
      <c r="U592" s="76"/>
      <c r="V592" s="76"/>
      <c r="W592" s="76"/>
      <c r="X592" s="76"/>
      <c r="Y592" s="76"/>
      <c r="Z592" s="76"/>
      <c r="AA592" s="76"/>
      <c r="AB592" s="76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/>
      <c r="CA592" s="76"/>
      <c r="CB592" s="76"/>
      <c r="CC592" s="76"/>
      <c r="CD592" s="76"/>
    </row>
    <row r="593" spans="1:82">
      <c r="A593" s="35" t="s">
        <v>3689</v>
      </c>
      <c r="B593" s="13"/>
      <c r="C593" s="93"/>
      <c r="D593" s="93"/>
      <c r="E593" s="93"/>
      <c r="F593" s="93"/>
      <c r="G593" s="93"/>
      <c r="H593" s="93"/>
      <c r="I593" s="93"/>
      <c r="J593" s="93"/>
      <c r="K593" s="93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  <c r="X593" s="93"/>
      <c r="Y593" s="93"/>
      <c r="Z593" s="93"/>
      <c r="AA593" s="13">
        <f>29+134</f>
        <v>163</v>
      </c>
      <c r="AB593" s="93"/>
      <c r="AC593" s="93"/>
      <c r="AD593" s="93"/>
      <c r="AE593" s="93"/>
      <c r="AF593" s="13">
        <f>27+238</f>
        <v>265</v>
      </c>
      <c r="AG593" s="93"/>
      <c r="AH593" s="93"/>
      <c r="AI593" s="93"/>
      <c r="AJ593" s="93"/>
      <c r="AK593" s="13">
        <f>10+58</f>
        <v>68</v>
      </c>
      <c r="AL593" s="93"/>
      <c r="AM593" s="93"/>
      <c r="AN593" s="93"/>
      <c r="AO593" s="93"/>
      <c r="AP593" s="13">
        <v>16</v>
      </c>
      <c r="AQ593" s="93"/>
      <c r="AR593" s="93"/>
      <c r="AS593" s="93"/>
      <c r="AT593" s="93"/>
      <c r="AU593" s="13">
        <v>17</v>
      </c>
      <c r="AV593" s="93"/>
      <c r="AW593" s="93"/>
      <c r="AX593" s="93"/>
      <c r="AY593" s="93"/>
      <c r="AZ593" s="13">
        <v>23</v>
      </c>
      <c r="BA593" s="93"/>
      <c r="BB593" s="93"/>
      <c r="BC593" s="93"/>
      <c r="BD593" s="93"/>
      <c r="BE593" s="13">
        <v>19</v>
      </c>
      <c r="BF593" s="93"/>
      <c r="BG593" s="93"/>
      <c r="BH593" s="93"/>
      <c r="BI593" s="93"/>
      <c r="BJ593" s="13">
        <v>20</v>
      </c>
      <c r="BK593" s="93"/>
      <c r="BL593" s="93"/>
      <c r="BM593" s="93"/>
      <c r="BN593" s="93"/>
      <c r="BO593" s="13">
        <v>25</v>
      </c>
      <c r="BP593" s="12">
        <f>BT593/4</f>
        <v>0</v>
      </c>
      <c r="BQ593" s="12">
        <f>(BT593-BP593)/3</f>
        <v>0</v>
      </c>
      <c r="BR593" s="12">
        <f>(BT593-BP593-BQ593)/2</f>
        <v>0</v>
      </c>
      <c r="BS593" s="12">
        <f>BT593-SUM(BP593:BR593)</f>
        <v>0</v>
      </c>
      <c r="BT593" s="139">
        <v>0</v>
      </c>
      <c r="BU593" s="12">
        <f>BY593/4</f>
        <v>0</v>
      </c>
      <c r="BV593" s="12">
        <f>(BY593-BU593)/3</f>
        <v>0</v>
      </c>
      <c r="BW593" s="12">
        <f>(BY593-BU593-BV593)/2</f>
        <v>0</v>
      </c>
      <c r="BX593" s="12">
        <f>BY593-SUM(BU593:BW593)</f>
        <v>0</v>
      </c>
      <c r="BY593" s="139">
        <v>0</v>
      </c>
      <c r="BZ593" s="12">
        <f>CD593/4</f>
        <v>0</v>
      </c>
      <c r="CA593" s="12">
        <f>(CD593-BZ593)/3</f>
        <v>0</v>
      </c>
      <c r="CB593" s="12">
        <f>(CD593-BZ593-CA593)/2</f>
        <v>0</v>
      </c>
      <c r="CC593" s="12">
        <f>CD593-SUM(BZ593:CB593)</f>
        <v>0</v>
      </c>
      <c r="CD593" s="139">
        <v>0</v>
      </c>
    </row>
    <row r="594" spans="1:82">
      <c r="A594" s="14" t="s">
        <v>3126</v>
      </c>
      <c r="B594" s="15"/>
      <c r="C594" s="74">
        <f>SUM(C591,C593)</f>
        <v>0</v>
      </c>
      <c r="D594" s="378"/>
      <c r="E594" s="378"/>
      <c r="F594" s="378"/>
      <c r="G594" s="378"/>
      <c r="H594" s="378"/>
      <c r="I594" s="378"/>
      <c r="J594" s="378"/>
      <c r="K594" s="378"/>
      <c r="L594" s="378"/>
      <c r="M594" s="378"/>
      <c r="N594" s="378"/>
      <c r="O594" s="378"/>
      <c r="P594" s="378"/>
      <c r="Q594" s="378"/>
      <c r="R594" s="378"/>
      <c r="S594" s="378"/>
      <c r="T594" s="378"/>
      <c r="U594" s="378"/>
      <c r="V594" s="378"/>
      <c r="W594" s="378"/>
      <c r="X594" s="378"/>
      <c r="Y594" s="378"/>
      <c r="Z594" s="378"/>
      <c r="AA594" s="15">
        <f>AA591+AA593</f>
        <v>163</v>
      </c>
      <c r="AB594" s="378"/>
      <c r="AC594" s="378"/>
      <c r="AD594" s="378"/>
      <c r="AE594" s="378"/>
      <c r="AF594" s="15">
        <f>AF591+AF593</f>
        <v>198</v>
      </c>
      <c r="AG594" s="378"/>
      <c r="AH594" s="378"/>
      <c r="AI594" s="378"/>
      <c r="AJ594" s="378"/>
      <c r="AK594" s="15">
        <f t="shared" ref="AK594:CD594" si="288">AK591+AK593</f>
        <v>68</v>
      </c>
      <c r="AL594" s="378"/>
      <c r="AM594" s="378"/>
      <c r="AN594" s="378"/>
      <c r="AO594" s="378"/>
      <c r="AP594" s="15">
        <f t="shared" si="288"/>
        <v>59</v>
      </c>
      <c r="AQ594" s="378"/>
      <c r="AR594" s="378"/>
      <c r="AS594" s="378"/>
      <c r="AT594" s="378"/>
      <c r="AU594" s="15">
        <f t="shared" si="288"/>
        <v>17</v>
      </c>
      <c r="AV594" s="378"/>
      <c r="AW594" s="378"/>
      <c r="AX594" s="378"/>
      <c r="AY594" s="378"/>
      <c r="AZ594" s="15">
        <f t="shared" si="288"/>
        <v>23</v>
      </c>
      <c r="BA594" s="378"/>
      <c r="BB594" s="378"/>
      <c r="BC594" s="378"/>
      <c r="BD594" s="378"/>
      <c r="BE594" s="15">
        <f t="shared" si="288"/>
        <v>19</v>
      </c>
      <c r="BF594" s="378"/>
      <c r="BG594" s="378"/>
      <c r="BH594" s="378"/>
      <c r="BI594" s="378"/>
      <c r="BJ594" s="15">
        <f t="shared" ref="BJ594" si="289">BJ591+BJ593</f>
        <v>20</v>
      </c>
      <c r="BK594" s="378"/>
      <c r="BL594" s="378"/>
      <c r="BM594" s="378"/>
      <c r="BN594" s="378"/>
      <c r="BO594" s="15">
        <f t="shared" si="288"/>
        <v>25</v>
      </c>
      <c r="BP594" s="15">
        <f t="shared" si="288"/>
        <v>0</v>
      </c>
      <c r="BQ594" s="15">
        <f t="shared" si="288"/>
        <v>0</v>
      </c>
      <c r="BR594" s="15">
        <f t="shared" si="288"/>
        <v>0</v>
      </c>
      <c r="BS594" s="15">
        <f t="shared" si="288"/>
        <v>0</v>
      </c>
      <c r="BT594" s="15">
        <f t="shared" si="288"/>
        <v>0</v>
      </c>
      <c r="BU594" s="15">
        <f t="shared" si="288"/>
        <v>0</v>
      </c>
      <c r="BV594" s="15">
        <f t="shared" si="288"/>
        <v>0</v>
      </c>
      <c r="BW594" s="15">
        <f t="shared" si="288"/>
        <v>0</v>
      </c>
      <c r="BX594" s="15">
        <f t="shared" si="288"/>
        <v>0</v>
      </c>
      <c r="BY594" s="15">
        <f t="shared" si="288"/>
        <v>0</v>
      </c>
      <c r="BZ594" s="15">
        <f t="shared" si="288"/>
        <v>0</v>
      </c>
      <c r="CA594" s="15">
        <f t="shared" si="288"/>
        <v>0</v>
      </c>
      <c r="CB594" s="15">
        <f t="shared" si="288"/>
        <v>0</v>
      </c>
      <c r="CC594" s="15">
        <f t="shared" si="288"/>
        <v>0</v>
      </c>
      <c r="CD594" s="15">
        <f t="shared" si="288"/>
        <v>0</v>
      </c>
    </row>
    <row r="595" spans="1:82">
      <c r="A595" s="11"/>
      <c r="B595" s="11"/>
      <c r="C595" s="11"/>
      <c r="D595" s="11"/>
      <c r="E595" s="11"/>
      <c r="F595" s="11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  <c r="AA595" s="11"/>
      <c r="AB595" s="11"/>
      <c r="AC595" s="11"/>
      <c r="AD595" s="11"/>
      <c r="AE595" s="11"/>
      <c r="AF595" s="11"/>
      <c r="AG595" s="11"/>
      <c r="AH595" s="11"/>
      <c r="AI595" s="11"/>
      <c r="AJ595" s="11"/>
      <c r="AK595" s="11"/>
      <c r="AL595" s="11"/>
      <c r="AM595" s="11"/>
      <c r="AN595" s="11"/>
      <c r="AO595" s="11"/>
      <c r="AP595" s="11"/>
      <c r="AQ595" s="11"/>
      <c r="AR595" s="11"/>
      <c r="AS595" s="11"/>
      <c r="AT595" s="11"/>
      <c r="AU595" s="11"/>
      <c r="AV595" s="11"/>
      <c r="AW595" s="11"/>
      <c r="AX595" s="11"/>
      <c r="AY595" s="11"/>
      <c r="AZ595" s="11"/>
      <c r="BA595" s="11"/>
      <c r="BB595" s="11"/>
      <c r="BC595" s="11"/>
      <c r="BD595" s="11"/>
      <c r="BE595" s="11"/>
      <c r="BF595" s="11"/>
      <c r="BG595" s="11"/>
      <c r="BH595" s="11"/>
      <c r="BI595" s="11"/>
      <c r="BJ595" s="11"/>
      <c r="BK595" s="11"/>
      <c r="BL595" s="11"/>
      <c r="BM595" s="11"/>
      <c r="BN595" s="11"/>
      <c r="BO595" s="11"/>
      <c r="BP595" s="11"/>
      <c r="BQ595" s="11"/>
      <c r="BR595" s="11"/>
      <c r="BS595" s="11"/>
      <c r="BT595" s="11"/>
      <c r="BU595" s="11"/>
      <c r="BV595" s="11"/>
      <c r="BW595" s="11"/>
      <c r="BX595" s="11"/>
      <c r="BY595" s="11"/>
      <c r="BZ595" s="11"/>
      <c r="CA595" s="11"/>
      <c r="CB595" s="11"/>
      <c r="CC595" s="11"/>
      <c r="CD595" s="11"/>
    </row>
    <row r="596" spans="1:82" hidden="1" outlineLevel="1">
      <c r="A596" s="39" t="s">
        <v>196</v>
      </c>
      <c r="B596" s="11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</row>
    <row r="597" spans="1:82" hidden="1" outlineLevel="1">
      <c r="A597" s="11"/>
      <c r="B597" s="11" t="s">
        <v>932</v>
      </c>
      <c r="C597" s="93"/>
      <c r="D597" s="93"/>
      <c r="E597" s="93"/>
      <c r="F597" s="93"/>
      <c r="G597" s="93"/>
      <c r="H597" s="93"/>
      <c r="I597" s="93"/>
      <c r="J597" s="93"/>
      <c r="K597" s="93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  <c r="X597" s="93"/>
      <c r="Y597" s="93"/>
      <c r="Z597" s="93"/>
      <c r="AA597" s="93"/>
      <c r="AB597" s="93"/>
      <c r="AC597" s="93"/>
      <c r="AD597" s="93"/>
      <c r="AE597" s="93"/>
      <c r="AF597" s="93"/>
      <c r="AG597" s="93"/>
      <c r="AH597" s="93"/>
      <c r="AI597" s="93"/>
      <c r="AJ597" s="93"/>
      <c r="AK597" s="93"/>
      <c r="AL597" s="93"/>
      <c r="AM597" s="93"/>
      <c r="AN597" s="93"/>
      <c r="AO597" s="93"/>
      <c r="AP597" s="93"/>
      <c r="AQ597" s="93"/>
      <c r="AR597" s="93"/>
      <c r="AS597" s="93"/>
      <c r="AT597" s="93"/>
      <c r="AU597" s="93"/>
      <c r="AV597" s="93"/>
      <c r="AW597" s="93"/>
      <c r="AX597" s="93"/>
      <c r="AY597" s="93"/>
      <c r="AZ597" s="93"/>
      <c r="BA597" s="93"/>
      <c r="BB597" s="93"/>
      <c r="BC597" s="93"/>
      <c r="BD597" s="93"/>
      <c r="BE597" s="93"/>
      <c r="BF597" s="93"/>
      <c r="BG597" s="93"/>
      <c r="BH597" s="93"/>
      <c r="BI597" s="93"/>
      <c r="BJ597" s="93"/>
      <c r="BK597" s="93"/>
      <c r="BL597" s="93"/>
      <c r="BM597" s="93"/>
      <c r="BN597" s="93"/>
      <c r="BO597" s="93"/>
      <c r="BP597" s="93"/>
      <c r="BQ597" s="93"/>
      <c r="BR597" s="93"/>
      <c r="BS597" s="93"/>
      <c r="BT597" s="93"/>
      <c r="BU597" s="93"/>
      <c r="BV597" s="93"/>
      <c r="BW597" s="93"/>
      <c r="BX597" s="93"/>
      <c r="BY597" s="93"/>
      <c r="BZ597" s="93"/>
      <c r="CA597" s="93"/>
      <c r="CB597" s="93"/>
      <c r="CC597" s="93"/>
      <c r="CD597" s="93"/>
    </row>
    <row r="598" spans="1:82" hidden="1" outlineLevel="1">
      <c r="A598" s="11"/>
      <c r="B598" s="11" t="s">
        <v>933</v>
      </c>
      <c r="C598" s="93"/>
      <c r="D598" s="93"/>
      <c r="E598" s="93"/>
      <c r="F598" s="93"/>
      <c r="G598" s="93"/>
      <c r="H598" s="93"/>
      <c r="I598" s="93"/>
      <c r="J598" s="93"/>
      <c r="K598" s="93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  <c r="X598" s="93"/>
      <c r="Y598" s="93"/>
      <c r="Z598" s="93"/>
      <c r="AA598" s="93"/>
      <c r="AB598" s="93"/>
      <c r="AC598" s="93"/>
      <c r="AD598" s="93"/>
      <c r="AE598" s="93"/>
      <c r="AF598" s="93"/>
      <c r="AG598" s="93"/>
      <c r="AH598" s="93"/>
      <c r="AI598" s="93"/>
      <c r="AJ598" s="93"/>
      <c r="AK598" s="93"/>
      <c r="AL598" s="93"/>
      <c r="AM598" s="93"/>
      <c r="AN598" s="93"/>
      <c r="AO598" s="93"/>
      <c r="AP598" s="93"/>
      <c r="AQ598" s="93"/>
      <c r="AR598" s="93"/>
      <c r="AS598" s="93"/>
      <c r="AT598" s="93"/>
      <c r="AU598" s="93"/>
      <c r="AV598" s="93"/>
      <c r="AW598" s="93"/>
      <c r="AX598" s="93"/>
      <c r="AY598" s="93"/>
      <c r="AZ598" s="93"/>
      <c r="BA598" s="93"/>
      <c r="BB598" s="93"/>
      <c r="BC598" s="93"/>
      <c r="BD598" s="93"/>
      <c r="BE598" s="93"/>
      <c r="BF598" s="93"/>
      <c r="BG598" s="93"/>
      <c r="BH598" s="93"/>
      <c r="BI598" s="93"/>
      <c r="BJ598" s="93"/>
      <c r="BK598" s="93"/>
      <c r="BL598" s="93"/>
      <c r="BM598" s="93"/>
      <c r="BN598" s="93"/>
      <c r="BO598" s="93"/>
      <c r="BP598" s="93"/>
      <c r="BQ598" s="93"/>
      <c r="BR598" s="93"/>
      <c r="BS598" s="93"/>
      <c r="BT598" s="93"/>
      <c r="BU598" s="93"/>
      <c r="BV598" s="93"/>
      <c r="BW598" s="93"/>
      <c r="BX598" s="93"/>
      <c r="BY598" s="93"/>
      <c r="BZ598" s="93"/>
      <c r="CA598" s="93"/>
      <c r="CB598" s="93"/>
      <c r="CC598" s="93"/>
      <c r="CD598" s="93"/>
    </row>
    <row r="599" spans="1:82" hidden="1" outlineLevel="1">
      <c r="A599" s="11"/>
      <c r="B599" s="39" t="s">
        <v>896</v>
      </c>
      <c r="C599" s="93"/>
      <c r="D599" s="93"/>
      <c r="E599" s="93"/>
      <c r="F599" s="93"/>
      <c r="G599" s="93"/>
      <c r="H599" s="93"/>
      <c r="I599" s="93"/>
      <c r="J599" s="93"/>
      <c r="K599" s="93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  <c r="X599" s="93"/>
      <c r="Y599" s="93"/>
      <c r="Z599" s="93"/>
      <c r="AA599" s="93"/>
      <c r="AB599" s="93"/>
      <c r="AC599" s="93"/>
      <c r="AD599" s="93"/>
      <c r="AE599" s="93"/>
      <c r="AF599" s="93"/>
      <c r="AG599" s="93"/>
      <c r="AH599" s="93"/>
      <c r="AI599" s="93"/>
      <c r="AJ599" s="93"/>
      <c r="AK599" s="93"/>
      <c r="AL599" s="93"/>
      <c r="AM599" s="93"/>
      <c r="AN599" s="93"/>
      <c r="AO599" s="93"/>
      <c r="AP599" s="93"/>
      <c r="AQ599" s="93"/>
      <c r="AR599" s="93"/>
      <c r="AS599" s="93"/>
      <c r="AT599" s="93"/>
      <c r="AU599" s="93"/>
      <c r="AV599" s="93"/>
      <c r="AW599" s="93"/>
      <c r="AX599" s="93"/>
      <c r="AY599" s="93"/>
      <c r="AZ599" s="93"/>
      <c r="BA599" s="93"/>
      <c r="BB599" s="93"/>
      <c r="BC599" s="93"/>
      <c r="BD599" s="93"/>
      <c r="BE599" s="93"/>
      <c r="BF599" s="93"/>
      <c r="BG599" s="93"/>
      <c r="BH599" s="93"/>
      <c r="BI599" s="93"/>
      <c r="BJ599" s="93"/>
      <c r="BK599" s="93"/>
      <c r="BL599" s="93"/>
      <c r="BM599" s="93"/>
      <c r="BN599" s="93"/>
      <c r="BO599" s="93"/>
      <c r="BP599" s="93"/>
      <c r="BQ599" s="93"/>
      <c r="BR599" s="93"/>
      <c r="BS599" s="93"/>
      <c r="BT599" s="93"/>
      <c r="BU599" s="93"/>
      <c r="BV599" s="93"/>
      <c r="BW599" s="93"/>
      <c r="BX599" s="93"/>
      <c r="BY599" s="93"/>
      <c r="BZ599" s="93"/>
      <c r="CA599" s="93"/>
      <c r="CB599" s="93"/>
      <c r="CC599" s="93"/>
      <c r="CD599" s="93"/>
    </row>
    <row r="600" spans="1:82" hidden="1" outlineLevel="1">
      <c r="A600" s="11"/>
      <c r="B600" s="11"/>
      <c r="C600" s="11"/>
      <c r="D600" s="11"/>
      <c r="E600" s="11"/>
      <c r="F600" s="11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  <c r="AA600" s="11"/>
      <c r="AB600" s="11"/>
      <c r="AC600" s="11"/>
      <c r="AD600" s="11"/>
      <c r="AE600" s="11"/>
      <c r="AF600" s="11"/>
      <c r="AG600" s="11"/>
      <c r="AH600" s="11"/>
      <c r="AI600" s="11"/>
      <c r="AJ600" s="11"/>
      <c r="AK600" s="11"/>
      <c r="AL600" s="11"/>
      <c r="AM600" s="11"/>
      <c r="AN600" s="11"/>
      <c r="AO600" s="11"/>
      <c r="AP600" s="11"/>
      <c r="AQ600" s="11"/>
      <c r="AR600" s="11"/>
      <c r="AS600" s="11"/>
      <c r="AT600" s="11"/>
      <c r="AU600" s="11"/>
      <c r="AV600" s="11"/>
      <c r="AW600" s="11"/>
      <c r="AX600" s="11"/>
      <c r="AY600" s="11"/>
      <c r="AZ600" s="11"/>
      <c r="BA600" s="11"/>
      <c r="BB600" s="11"/>
      <c r="BC600" s="11"/>
      <c r="BD600" s="11"/>
      <c r="BE600" s="11"/>
      <c r="BF600" s="11"/>
      <c r="BG600" s="11"/>
      <c r="BH600" s="11"/>
      <c r="BI600" s="11"/>
      <c r="BJ600" s="11"/>
      <c r="BK600" s="11"/>
      <c r="BL600" s="11"/>
      <c r="BM600" s="11"/>
      <c r="BN600" s="11"/>
      <c r="BO600" s="11"/>
      <c r="BP600" s="11"/>
      <c r="BQ600" s="11"/>
      <c r="BR600" s="11"/>
      <c r="BS600" s="11"/>
      <c r="BT600" s="11"/>
      <c r="BU600" s="11"/>
      <c r="BV600" s="11"/>
      <c r="BW600" s="11"/>
      <c r="BX600" s="11"/>
      <c r="BY600" s="11"/>
      <c r="BZ600" s="11"/>
      <c r="CA600" s="11"/>
      <c r="CB600" s="11"/>
      <c r="CC600" s="11"/>
      <c r="CD600" s="11"/>
    </row>
    <row r="601" spans="1:82" hidden="1" outlineLevel="1">
      <c r="A601" s="39" t="s">
        <v>199</v>
      </c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11"/>
      <c r="AE601" s="11"/>
      <c r="AF601" s="11"/>
      <c r="AG601" s="11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1"/>
      <c r="BE601" s="11"/>
      <c r="BF601" s="11"/>
      <c r="BG601" s="11"/>
      <c r="BH601" s="11"/>
      <c r="BI601" s="11"/>
      <c r="BJ601" s="11"/>
      <c r="BK601" s="11"/>
      <c r="BL601" s="11"/>
      <c r="BM601" s="11"/>
      <c r="BN601" s="11"/>
      <c r="BO601" s="11"/>
      <c r="BP601" s="11"/>
      <c r="BQ601" s="11"/>
      <c r="BR601" s="11"/>
      <c r="BS601" s="11"/>
      <c r="BT601" s="11"/>
      <c r="BU601" s="11"/>
      <c r="BV601" s="11"/>
      <c r="BW601" s="11"/>
      <c r="BX601" s="11"/>
      <c r="BY601" s="11"/>
      <c r="BZ601" s="11"/>
      <c r="CA601" s="11"/>
      <c r="CB601" s="11"/>
      <c r="CC601" s="11"/>
      <c r="CD601" s="11"/>
    </row>
    <row r="602" spans="1:82" hidden="1" outlineLevel="1">
      <c r="A602" s="11"/>
      <c r="B602" s="11" t="s">
        <v>197</v>
      </c>
      <c r="C602" s="93"/>
      <c r="D602" s="93"/>
      <c r="E602" s="93"/>
      <c r="F602" s="93"/>
      <c r="G602" s="93"/>
      <c r="H602" s="93"/>
      <c r="I602" s="93"/>
      <c r="J602" s="93"/>
      <c r="K602" s="93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  <c r="X602" s="93"/>
      <c r="Y602" s="93"/>
      <c r="Z602" s="93"/>
      <c r="AA602" s="93"/>
      <c r="AB602" s="93"/>
      <c r="AC602" s="93"/>
      <c r="AD602" s="93"/>
      <c r="AE602" s="93"/>
      <c r="AF602" s="93"/>
      <c r="AG602" s="93"/>
      <c r="AH602" s="93"/>
      <c r="AI602" s="93"/>
      <c r="AJ602" s="93"/>
      <c r="AK602" s="93"/>
      <c r="AL602" s="93"/>
      <c r="AM602" s="93"/>
      <c r="AN602" s="93"/>
      <c r="AO602" s="93"/>
      <c r="AP602" s="93"/>
      <c r="AQ602" s="93"/>
      <c r="AR602" s="93"/>
      <c r="AS602" s="93"/>
      <c r="AT602" s="93"/>
      <c r="AU602" s="93"/>
      <c r="AV602" s="93"/>
      <c r="AW602" s="93"/>
      <c r="AX602" s="93"/>
      <c r="AY602" s="93"/>
      <c r="AZ602" s="93"/>
      <c r="BA602" s="93"/>
      <c r="BB602" s="93"/>
      <c r="BC602" s="93"/>
      <c r="BD602" s="93"/>
      <c r="BE602" s="93"/>
      <c r="BF602" s="93"/>
      <c r="BG602" s="93"/>
      <c r="BH602" s="93"/>
      <c r="BI602" s="93"/>
      <c r="BJ602" s="93"/>
      <c r="BK602" s="93"/>
      <c r="BL602" s="93"/>
      <c r="BM602" s="93"/>
      <c r="BN602" s="93"/>
      <c r="BO602" s="93"/>
      <c r="BP602" s="93"/>
      <c r="BQ602" s="93"/>
      <c r="BR602" s="93"/>
      <c r="BS602" s="93"/>
      <c r="BT602" s="93"/>
      <c r="BU602" s="93"/>
      <c r="BV602" s="93"/>
      <c r="BW602" s="93"/>
      <c r="BX602" s="93"/>
      <c r="BY602" s="93"/>
      <c r="BZ602" s="93"/>
      <c r="CA602" s="93"/>
      <c r="CB602" s="93"/>
      <c r="CC602" s="93"/>
      <c r="CD602" s="93"/>
    </row>
    <row r="603" spans="1:82" hidden="1" outlineLevel="1">
      <c r="A603" s="11"/>
      <c r="B603" s="11" t="s">
        <v>198</v>
      </c>
      <c r="C603" s="93"/>
      <c r="D603" s="93"/>
      <c r="E603" s="93"/>
      <c r="F603" s="93"/>
      <c r="G603" s="93"/>
      <c r="H603" s="93"/>
      <c r="I603" s="93"/>
      <c r="J603" s="93"/>
      <c r="K603" s="93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  <c r="X603" s="93"/>
      <c r="Y603" s="93"/>
      <c r="Z603" s="93"/>
      <c r="AA603" s="93"/>
      <c r="AB603" s="93"/>
      <c r="AC603" s="93"/>
      <c r="AD603" s="93"/>
      <c r="AE603" s="93"/>
      <c r="AF603" s="93"/>
      <c r="AG603" s="93"/>
      <c r="AH603" s="93"/>
      <c r="AI603" s="93"/>
      <c r="AJ603" s="93"/>
      <c r="AK603" s="93"/>
      <c r="AL603" s="93"/>
      <c r="AM603" s="93"/>
      <c r="AN603" s="93"/>
      <c r="AO603" s="93"/>
      <c r="AP603" s="93"/>
      <c r="AQ603" s="93"/>
      <c r="AR603" s="93"/>
      <c r="AS603" s="93"/>
      <c r="AT603" s="93"/>
      <c r="AU603" s="93"/>
      <c r="AV603" s="93"/>
      <c r="AW603" s="93"/>
      <c r="AX603" s="93"/>
      <c r="AY603" s="93"/>
      <c r="AZ603" s="93"/>
      <c r="BA603" s="93"/>
      <c r="BB603" s="93"/>
      <c r="BC603" s="93"/>
      <c r="BD603" s="93"/>
      <c r="BE603" s="93"/>
      <c r="BF603" s="93"/>
      <c r="BG603" s="93"/>
      <c r="BH603" s="93"/>
      <c r="BI603" s="93"/>
      <c r="BJ603" s="93"/>
      <c r="BK603" s="93"/>
      <c r="BL603" s="93"/>
      <c r="BM603" s="93"/>
      <c r="BN603" s="93"/>
      <c r="BO603" s="93"/>
      <c r="BP603" s="93"/>
      <c r="BQ603" s="93"/>
      <c r="BR603" s="93"/>
      <c r="BS603" s="93"/>
      <c r="BT603" s="93"/>
      <c r="BU603" s="93"/>
      <c r="BV603" s="93"/>
      <c r="BW603" s="93"/>
      <c r="BX603" s="93"/>
      <c r="BY603" s="93"/>
      <c r="BZ603" s="93"/>
      <c r="CA603" s="93"/>
      <c r="CB603" s="93"/>
      <c r="CC603" s="93"/>
      <c r="CD603" s="93"/>
    </row>
    <row r="604" spans="1:82" hidden="1" outlineLevel="1">
      <c r="A604" s="11"/>
      <c r="B604" s="11"/>
      <c r="C604" s="11"/>
      <c r="D604" s="11"/>
      <c r="E604" s="11"/>
      <c r="F604" s="11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  <c r="AA604" s="11"/>
      <c r="AB604" s="11"/>
      <c r="AC604" s="11"/>
      <c r="AD604" s="11"/>
      <c r="AE604" s="11"/>
      <c r="AF604" s="11"/>
      <c r="AG604" s="11"/>
      <c r="AH604" s="11"/>
      <c r="AI604" s="11"/>
      <c r="AJ604" s="11"/>
      <c r="AK604" s="11"/>
      <c r="AL604" s="11"/>
      <c r="AM604" s="11"/>
      <c r="AN604" s="11"/>
      <c r="AO604" s="11"/>
      <c r="AP604" s="11"/>
      <c r="AQ604" s="11"/>
      <c r="AR604" s="11"/>
      <c r="AS604" s="11"/>
      <c r="AT604" s="11"/>
      <c r="AU604" s="11"/>
      <c r="AV604" s="11"/>
      <c r="AW604" s="11"/>
      <c r="AX604" s="11"/>
      <c r="AY604" s="11"/>
      <c r="AZ604" s="11"/>
      <c r="BA604" s="11"/>
      <c r="BB604" s="11"/>
      <c r="BC604" s="11"/>
      <c r="BD604" s="11"/>
      <c r="BE604" s="11"/>
      <c r="BF604" s="11"/>
      <c r="BG604" s="11"/>
      <c r="BH604" s="11"/>
      <c r="BI604" s="11"/>
      <c r="BJ604" s="11"/>
      <c r="BK604" s="11"/>
      <c r="BL604" s="11"/>
      <c r="BM604" s="11"/>
      <c r="BN604" s="11"/>
      <c r="BO604" s="11"/>
      <c r="BP604" s="11"/>
      <c r="BQ604" s="11"/>
      <c r="BR604" s="11"/>
      <c r="BS604" s="11"/>
      <c r="BT604" s="11"/>
      <c r="BU604" s="11"/>
      <c r="BV604" s="11"/>
      <c r="BW604" s="11"/>
      <c r="BX604" s="11"/>
      <c r="BY604" s="11"/>
      <c r="BZ604" s="11"/>
      <c r="CA604" s="11"/>
      <c r="CB604" s="11"/>
      <c r="CC604" s="11"/>
      <c r="CD604" s="11"/>
    </row>
    <row r="605" spans="1:82" hidden="1" outlineLevel="1">
      <c r="A605" s="11" t="s">
        <v>200</v>
      </c>
      <c r="B605" s="11"/>
      <c r="C605" s="93"/>
      <c r="D605" s="93"/>
      <c r="E605" s="93"/>
      <c r="F605" s="93"/>
      <c r="G605" s="93"/>
      <c r="H605" s="93"/>
      <c r="I605" s="93"/>
      <c r="J605" s="93"/>
      <c r="K605" s="93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  <c r="X605" s="93"/>
      <c r="Y605" s="93"/>
      <c r="Z605" s="93"/>
      <c r="AA605" s="93"/>
      <c r="AB605" s="93"/>
      <c r="AC605" s="93"/>
      <c r="AD605" s="93"/>
      <c r="AE605" s="93"/>
      <c r="AF605" s="93"/>
      <c r="AG605" s="93"/>
      <c r="AH605" s="93"/>
      <c r="AI605" s="93"/>
      <c r="AJ605" s="93"/>
      <c r="AK605" s="93"/>
      <c r="AL605" s="93"/>
      <c r="AM605" s="93"/>
      <c r="AN605" s="93"/>
      <c r="AO605" s="93"/>
      <c r="AP605" s="93"/>
      <c r="AQ605" s="93"/>
      <c r="AR605" s="93"/>
      <c r="AS605" s="93"/>
      <c r="AT605" s="93"/>
      <c r="AU605" s="93"/>
      <c r="AV605" s="93"/>
      <c r="AW605" s="93"/>
      <c r="AX605" s="93"/>
      <c r="AY605" s="93"/>
      <c r="AZ605" s="93"/>
      <c r="BA605" s="93"/>
      <c r="BB605" s="93"/>
      <c r="BC605" s="93"/>
      <c r="BD605" s="93"/>
      <c r="BE605" s="93"/>
      <c r="BF605" s="93"/>
      <c r="BG605" s="93"/>
      <c r="BH605" s="93"/>
      <c r="BI605" s="93"/>
      <c r="BJ605" s="93"/>
      <c r="BK605" s="93"/>
      <c r="BL605" s="93"/>
      <c r="BM605" s="93"/>
      <c r="BN605" s="93"/>
      <c r="BO605" s="93"/>
      <c r="BP605" s="93"/>
      <c r="BQ605" s="93"/>
      <c r="BR605" s="93"/>
      <c r="BS605" s="93"/>
      <c r="BT605" s="93"/>
      <c r="BU605" s="93"/>
      <c r="BV605" s="93"/>
      <c r="BW605" s="93"/>
      <c r="BX605" s="93"/>
      <c r="BY605" s="93"/>
      <c r="BZ605" s="93"/>
      <c r="CA605" s="93"/>
      <c r="CB605" s="93"/>
      <c r="CC605" s="93"/>
      <c r="CD605" s="93"/>
    </row>
    <row r="606" spans="1:82" hidden="1" outlineLevel="1">
      <c r="A606" s="11" t="s">
        <v>550</v>
      </c>
      <c r="B606" s="11"/>
      <c r="C606" s="93"/>
      <c r="D606" s="93"/>
      <c r="E606" s="93"/>
      <c r="F606" s="93"/>
      <c r="G606" s="93"/>
      <c r="H606" s="93"/>
      <c r="I606" s="93"/>
      <c r="J606" s="93"/>
      <c r="K606" s="93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  <c r="X606" s="93"/>
      <c r="Y606" s="93"/>
      <c r="Z606" s="93"/>
      <c r="AA606" s="93"/>
      <c r="AB606" s="93"/>
      <c r="AC606" s="93"/>
      <c r="AD606" s="93"/>
      <c r="AE606" s="93"/>
      <c r="AF606" s="93"/>
      <c r="AG606" s="93"/>
      <c r="AH606" s="93"/>
      <c r="AI606" s="93"/>
      <c r="AJ606" s="93"/>
      <c r="AK606" s="93"/>
      <c r="AL606" s="93"/>
      <c r="AM606" s="93"/>
      <c r="AN606" s="93"/>
      <c r="AO606" s="93"/>
      <c r="AP606" s="93"/>
      <c r="AQ606" s="93"/>
      <c r="AR606" s="93"/>
      <c r="AS606" s="93"/>
      <c r="AT606" s="93"/>
      <c r="AU606" s="93"/>
      <c r="AV606" s="93"/>
      <c r="AW606" s="93"/>
      <c r="AX606" s="93"/>
      <c r="AY606" s="93"/>
      <c r="AZ606" s="93"/>
      <c r="BA606" s="93"/>
      <c r="BB606" s="93"/>
      <c r="BC606" s="93"/>
      <c r="BD606" s="93"/>
      <c r="BE606" s="93"/>
      <c r="BF606" s="93"/>
      <c r="BG606" s="93"/>
      <c r="BH606" s="93"/>
      <c r="BI606" s="93"/>
      <c r="BJ606" s="93"/>
      <c r="BK606" s="93"/>
      <c r="BL606" s="93"/>
      <c r="BM606" s="93"/>
      <c r="BN606" s="93"/>
      <c r="BO606" s="93"/>
      <c r="BP606" s="93"/>
      <c r="BQ606" s="93"/>
      <c r="BR606" s="93"/>
      <c r="BS606" s="93"/>
      <c r="BT606" s="93"/>
      <c r="BU606" s="93"/>
      <c r="BV606" s="93"/>
      <c r="BW606" s="93"/>
      <c r="BX606" s="93"/>
      <c r="BY606" s="93"/>
      <c r="BZ606" s="93"/>
      <c r="CA606" s="93"/>
      <c r="CB606" s="93"/>
      <c r="CC606" s="93"/>
      <c r="CD606" s="93"/>
    </row>
    <row r="607" spans="1:82" hidden="1" outlineLevel="1">
      <c r="A607" s="11"/>
      <c r="B607" s="11"/>
      <c r="C607" s="11"/>
      <c r="D607" s="11"/>
      <c r="E607" s="11"/>
      <c r="F607" s="11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  <c r="AA607" s="11"/>
      <c r="AB607" s="11"/>
      <c r="AC607" s="11"/>
      <c r="AD607" s="11"/>
      <c r="AE607" s="11"/>
      <c r="AF607" s="11"/>
      <c r="AG607" s="11"/>
      <c r="AH607" s="11"/>
      <c r="AI607" s="11"/>
      <c r="AJ607" s="11"/>
      <c r="AK607" s="11"/>
      <c r="AL607" s="11"/>
      <c r="AM607" s="11"/>
      <c r="AN607" s="11"/>
      <c r="AO607" s="11"/>
      <c r="AP607" s="11"/>
      <c r="AQ607" s="11"/>
      <c r="AR607" s="11"/>
      <c r="AS607" s="11"/>
      <c r="AT607" s="11"/>
      <c r="AU607" s="11"/>
      <c r="AV607" s="11"/>
      <c r="AW607" s="11"/>
      <c r="AX607" s="11"/>
      <c r="AY607" s="11"/>
      <c r="AZ607" s="11"/>
      <c r="BA607" s="11"/>
      <c r="BB607" s="11"/>
      <c r="BC607" s="11"/>
      <c r="BD607" s="11"/>
      <c r="BE607" s="11"/>
      <c r="BF607" s="11"/>
      <c r="BG607" s="11"/>
      <c r="BH607" s="11"/>
      <c r="BI607" s="11"/>
      <c r="BJ607" s="11"/>
      <c r="BK607" s="11"/>
      <c r="BL607" s="11"/>
      <c r="BM607" s="11"/>
      <c r="BN607" s="11"/>
      <c r="BO607" s="11"/>
      <c r="BP607" s="11"/>
      <c r="BQ607" s="11"/>
      <c r="BR607" s="11"/>
      <c r="BS607" s="11"/>
      <c r="BT607" s="11"/>
      <c r="BU607" s="11"/>
      <c r="BV607" s="11"/>
      <c r="BW607" s="11"/>
      <c r="BX607" s="11"/>
      <c r="BY607" s="11"/>
      <c r="BZ607" s="11"/>
      <c r="CA607" s="11"/>
      <c r="CB607" s="11"/>
      <c r="CC607" s="11"/>
      <c r="CD607" s="11"/>
    </row>
    <row r="608" spans="1:82" hidden="1" outlineLevel="1">
      <c r="A608" s="39" t="s">
        <v>3090</v>
      </c>
      <c r="B608" s="11"/>
      <c r="C608" s="11"/>
      <c r="D608" s="11"/>
      <c r="E608" s="11"/>
      <c r="F608" s="11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  <c r="AA608" s="11"/>
      <c r="AB608" s="11"/>
      <c r="AC608" s="11"/>
      <c r="AD608" s="11"/>
      <c r="AE608" s="11"/>
      <c r="AF608" s="11"/>
      <c r="AG608" s="11"/>
      <c r="AH608" s="11"/>
      <c r="AI608" s="11"/>
      <c r="AJ608" s="11"/>
      <c r="AK608" s="11"/>
      <c r="AL608" s="11"/>
      <c r="AM608" s="11"/>
      <c r="AN608" s="11"/>
      <c r="AO608" s="11"/>
      <c r="AP608" s="11"/>
      <c r="AQ608" s="11"/>
      <c r="AR608" s="11"/>
      <c r="AS608" s="11"/>
      <c r="AT608" s="11"/>
      <c r="AU608" s="11"/>
      <c r="AV608" s="11"/>
      <c r="AW608" s="11"/>
      <c r="AX608" s="11"/>
      <c r="AY608" s="11"/>
      <c r="AZ608" s="11"/>
      <c r="BA608" s="11"/>
      <c r="BB608" s="11"/>
      <c r="BC608" s="11"/>
      <c r="BD608" s="11"/>
      <c r="BE608" s="11"/>
      <c r="BF608" s="11"/>
      <c r="BG608" s="11"/>
      <c r="BH608" s="11"/>
      <c r="BI608" s="11"/>
      <c r="BJ608" s="11"/>
      <c r="BK608" s="11"/>
      <c r="BL608" s="11"/>
      <c r="BM608" s="11"/>
      <c r="BN608" s="11"/>
      <c r="BO608" s="11"/>
      <c r="BP608" s="11"/>
      <c r="BQ608" s="11"/>
      <c r="BR608" s="11"/>
      <c r="BS608" s="11"/>
      <c r="BT608" s="11"/>
      <c r="BU608" s="11"/>
      <c r="BV608" s="11"/>
      <c r="BW608" s="11"/>
      <c r="BX608" s="11"/>
      <c r="BY608" s="11"/>
      <c r="BZ608" s="11"/>
      <c r="CA608" s="11"/>
      <c r="CB608" s="11"/>
      <c r="CC608" s="11"/>
      <c r="CD608" s="11"/>
    </row>
    <row r="609" spans="1:82" hidden="1" outlineLevel="1">
      <c r="A609" s="11"/>
      <c r="B609" s="11" t="s">
        <v>3091</v>
      </c>
      <c r="C609" s="93"/>
      <c r="D609" s="93"/>
      <c r="E609" s="93"/>
      <c r="F609" s="93"/>
      <c r="G609" s="93"/>
      <c r="H609" s="93"/>
      <c r="I609" s="93"/>
      <c r="J609" s="93"/>
      <c r="K609" s="93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  <c r="X609" s="93"/>
      <c r="Y609" s="93"/>
      <c r="Z609" s="93"/>
      <c r="AA609" s="93"/>
      <c r="AB609" s="93"/>
      <c r="AC609" s="93"/>
      <c r="AD609" s="93"/>
      <c r="AE609" s="93"/>
      <c r="AF609" s="93"/>
      <c r="AG609" s="93"/>
      <c r="AH609" s="93"/>
      <c r="AI609" s="93"/>
      <c r="AJ609" s="93"/>
      <c r="AK609" s="93"/>
      <c r="AL609" s="93"/>
      <c r="AM609" s="93"/>
      <c r="AN609" s="93"/>
      <c r="AO609" s="93"/>
      <c r="AP609" s="93"/>
      <c r="AQ609" s="93"/>
      <c r="AR609" s="93"/>
      <c r="AS609" s="93"/>
      <c r="AT609" s="93"/>
      <c r="AU609" s="93"/>
      <c r="AV609" s="93"/>
      <c r="AW609" s="93"/>
      <c r="AX609" s="93"/>
      <c r="AY609" s="93"/>
      <c r="AZ609" s="93"/>
      <c r="BA609" s="93"/>
      <c r="BB609" s="93"/>
      <c r="BC609" s="93"/>
      <c r="BD609" s="93"/>
      <c r="BE609" s="93"/>
      <c r="BF609" s="93"/>
      <c r="BG609" s="93"/>
      <c r="BH609" s="93"/>
      <c r="BI609" s="93"/>
      <c r="BJ609" s="93"/>
      <c r="BK609" s="93"/>
      <c r="BL609" s="93"/>
      <c r="BM609" s="93"/>
      <c r="BN609" s="93"/>
      <c r="BO609" s="93"/>
      <c r="BP609" s="93"/>
      <c r="BQ609" s="93"/>
      <c r="BR609" s="93"/>
      <c r="BS609" s="93"/>
      <c r="BT609" s="93"/>
      <c r="BU609" s="93"/>
      <c r="BV609" s="93"/>
      <c r="BW609" s="93"/>
      <c r="BX609" s="93"/>
      <c r="BY609" s="93"/>
      <c r="BZ609" s="93"/>
      <c r="CA609" s="93"/>
      <c r="CB609" s="93"/>
      <c r="CC609" s="93"/>
      <c r="CD609" s="93"/>
    </row>
    <row r="610" spans="1:82" hidden="1" outlineLevel="1">
      <c r="A610" s="11"/>
      <c r="B610" s="11" t="s">
        <v>3092</v>
      </c>
      <c r="C610" s="93"/>
      <c r="D610" s="93"/>
      <c r="E610" s="93"/>
      <c r="F610" s="93"/>
      <c r="G610" s="93"/>
      <c r="H610" s="93"/>
      <c r="I610" s="93"/>
      <c r="J610" s="93"/>
      <c r="K610" s="93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  <c r="X610" s="93"/>
      <c r="Y610" s="93"/>
      <c r="Z610" s="93"/>
      <c r="AA610" s="93"/>
      <c r="AB610" s="93"/>
      <c r="AC610" s="93"/>
      <c r="AD610" s="93"/>
      <c r="AE610" s="93"/>
      <c r="AF610" s="93"/>
      <c r="AG610" s="93"/>
      <c r="AH610" s="93"/>
      <c r="AI610" s="93"/>
      <c r="AJ610" s="93"/>
      <c r="AK610" s="93"/>
      <c r="AL610" s="93"/>
      <c r="AM610" s="93"/>
      <c r="AN610" s="93"/>
      <c r="AO610" s="93"/>
      <c r="AP610" s="93"/>
      <c r="AQ610" s="93"/>
      <c r="AR610" s="93"/>
      <c r="AS610" s="93"/>
      <c r="AT610" s="93"/>
      <c r="AU610" s="93"/>
      <c r="AV610" s="93"/>
      <c r="AW610" s="93"/>
      <c r="AX610" s="93"/>
      <c r="AY610" s="93"/>
      <c r="AZ610" s="93"/>
      <c r="BA610" s="93"/>
      <c r="BB610" s="93"/>
      <c r="BC610" s="93"/>
      <c r="BD610" s="93"/>
      <c r="BE610" s="93"/>
      <c r="BF610" s="93"/>
      <c r="BG610" s="93"/>
      <c r="BH610" s="93"/>
      <c r="BI610" s="93"/>
      <c r="BJ610" s="93"/>
      <c r="BK610" s="93"/>
      <c r="BL610" s="93"/>
      <c r="BM610" s="93"/>
      <c r="BN610" s="93"/>
      <c r="BO610" s="93"/>
      <c r="BP610" s="93"/>
      <c r="BQ610" s="93"/>
      <c r="BR610" s="93"/>
      <c r="BS610" s="93"/>
      <c r="BT610" s="93"/>
      <c r="BU610" s="93"/>
      <c r="BV610" s="93"/>
      <c r="BW610" s="93"/>
      <c r="BX610" s="93"/>
      <c r="BY610" s="93"/>
      <c r="BZ610" s="93"/>
      <c r="CA610" s="93"/>
      <c r="CB610" s="93"/>
      <c r="CC610" s="93"/>
      <c r="CD610" s="93"/>
    </row>
    <row r="611" spans="1:82" hidden="1" outlineLevel="1">
      <c r="A611" s="11"/>
      <c r="B611" s="11" t="s">
        <v>358</v>
      </c>
      <c r="C611" s="93"/>
      <c r="D611" s="93"/>
      <c r="E611" s="93"/>
      <c r="F611" s="93"/>
      <c r="G611" s="93"/>
      <c r="H611" s="93"/>
      <c r="I611" s="93"/>
      <c r="J611" s="93"/>
      <c r="K611" s="93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  <c r="X611" s="93"/>
      <c r="Y611" s="93"/>
      <c r="Z611" s="93"/>
      <c r="AA611" s="93"/>
      <c r="AB611" s="93"/>
      <c r="AC611" s="93"/>
      <c r="AD611" s="93"/>
      <c r="AE611" s="93"/>
      <c r="AF611" s="93"/>
      <c r="AG611" s="93"/>
      <c r="AH611" s="93"/>
      <c r="AI611" s="93"/>
      <c r="AJ611" s="93"/>
      <c r="AK611" s="93"/>
      <c r="AL611" s="93"/>
      <c r="AM611" s="93"/>
      <c r="AN611" s="93"/>
      <c r="AO611" s="93"/>
      <c r="AP611" s="93"/>
      <c r="AQ611" s="93"/>
      <c r="AR611" s="93"/>
      <c r="AS611" s="93"/>
      <c r="AT611" s="93"/>
      <c r="AU611" s="93"/>
      <c r="AV611" s="93"/>
      <c r="AW611" s="93"/>
      <c r="AX611" s="93"/>
      <c r="AY611" s="93"/>
      <c r="AZ611" s="93"/>
      <c r="BA611" s="93"/>
      <c r="BB611" s="93"/>
      <c r="BC611" s="93"/>
      <c r="BD611" s="93"/>
      <c r="BE611" s="93"/>
      <c r="BF611" s="93"/>
      <c r="BG611" s="93"/>
      <c r="BH611" s="93"/>
      <c r="BI611" s="93"/>
      <c r="BJ611" s="93"/>
      <c r="BK611" s="93"/>
      <c r="BL611" s="93"/>
      <c r="BM611" s="93"/>
      <c r="BN611" s="93"/>
      <c r="BO611" s="93"/>
      <c r="BP611" s="93"/>
      <c r="BQ611" s="93"/>
      <c r="BR611" s="93"/>
      <c r="BS611" s="93"/>
      <c r="BT611" s="93"/>
      <c r="BU611" s="93"/>
      <c r="BV611" s="93"/>
      <c r="BW611" s="93"/>
      <c r="BX611" s="93"/>
      <c r="BY611" s="93"/>
      <c r="BZ611" s="93"/>
      <c r="CA611" s="93"/>
      <c r="CB611" s="93"/>
      <c r="CC611" s="93"/>
      <c r="CD611" s="93"/>
    </row>
    <row r="612" spans="1:82" hidden="1" outlineLevel="1">
      <c r="A612" s="11"/>
      <c r="B612" s="11" t="s">
        <v>2154</v>
      </c>
      <c r="C612" s="93"/>
      <c r="D612" s="93"/>
      <c r="E612" s="93"/>
      <c r="F612" s="93"/>
      <c r="G612" s="93"/>
      <c r="H612" s="93"/>
      <c r="I612" s="93"/>
      <c r="J612" s="93"/>
      <c r="K612" s="93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  <c r="X612" s="93"/>
      <c r="Y612" s="93"/>
      <c r="Z612" s="93"/>
      <c r="AA612" s="93"/>
      <c r="AB612" s="93"/>
      <c r="AC612" s="93"/>
      <c r="AD612" s="93"/>
      <c r="AE612" s="93"/>
      <c r="AF612" s="93"/>
      <c r="AG612" s="93"/>
      <c r="AH612" s="93"/>
      <c r="AI612" s="93"/>
      <c r="AJ612" s="93"/>
      <c r="AK612" s="93"/>
      <c r="AL612" s="93"/>
      <c r="AM612" s="93"/>
      <c r="AN612" s="93"/>
      <c r="AO612" s="93"/>
      <c r="AP612" s="93"/>
      <c r="AQ612" s="93"/>
      <c r="AR612" s="93"/>
      <c r="AS612" s="93"/>
      <c r="AT612" s="93"/>
      <c r="AU612" s="93"/>
      <c r="AV612" s="93"/>
      <c r="AW612" s="93"/>
      <c r="AX612" s="93"/>
      <c r="AY612" s="93"/>
      <c r="AZ612" s="93"/>
      <c r="BA612" s="93"/>
      <c r="BB612" s="93"/>
      <c r="BC612" s="93"/>
      <c r="BD612" s="93"/>
      <c r="BE612" s="93"/>
      <c r="BF612" s="93"/>
      <c r="BG612" s="93"/>
      <c r="BH612" s="93"/>
      <c r="BI612" s="93"/>
      <c r="BJ612" s="93"/>
      <c r="BK612" s="93"/>
      <c r="BL612" s="93"/>
      <c r="BM612" s="93"/>
      <c r="BN612" s="93"/>
      <c r="BO612" s="93"/>
      <c r="BP612" s="93"/>
      <c r="BQ612" s="93"/>
      <c r="BR612" s="93"/>
      <c r="BS612" s="93"/>
      <c r="BT612" s="93"/>
      <c r="BU612" s="93"/>
      <c r="BV612" s="93"/>
      <c r="BW612" s="93"/>
      <c r="BX612" s="93"/>
      <c r="BY612" s="93"/>
      <c r="BZ612" s="93"/>
      <c r="CA612" s="93"/>
      <c r="CB612" s="93"/>
      <c r="CC612" s="93"/>
      <c r="CD612" s="93"/>
    </row>
    <row r="613" spans="1:82" hidden="1" outlineLevel="1">
      <c r="A613" s="11"/>
      <c r="B613" s="11" t="s">
        <v>3093</v>
      </c>
      <c r="C613" s="93"/>
      <c r="D613" s="93"/>
      <c r="E613" s="93"/>
      <c r="F613" s="93"/>
      <c r="G613" s="93"/>
      <c r="H613" s="93"/>
      <c r="I613" s="93"/>
      <c r="J613" s="93"/>
      <c r="K613" s="93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  <c r="X613" s="93"/>
      <c r="Y613" s="93"/>
      <c r="Z613" s="93"/>
      <c r="AA613" s="93"/>
      <c r="AB613" s="93"/>
      <c r="AC613" s="93"/>
      <c r="AD613" s="93"/>
      <c r="AE613" s="93"/>
      <c r="AF613" s="93"/>
      <c r="AG613" s="93"/>
      <c r="AH613" s="93"/>
      <c r="AI613" s="93"/>
      <c r="AJ613" s="93"/>
      <c r="AK613" s="93"/>
      <c r="AL613" s="93"/>
      <c r="AM613" s="93"/>
      <c r="AN613" s="93"/>
      <c r="AO613" s="93"/>
      <c r="AP613" s="93"/>
      <c r="AQ613" s="93"/>
      <c r="AR613" s="93"/>
      <c r="AS613" s="93"/>
      <c r="AT613" s="93"/>
      <c r="AU613" s="93"/>
      <c r="AV613" s="93"/>
      <c r="AW613" s="93"/>
      <c r="AX613" s="93"/>
      <c r="AY613" s="93"/>
      <c r="AZ613" s="93"/>
      <c r="BA613" s="93"/>
      <c r="BB613" s="93"/>
      <c r="BC613" s="93"/>
      <c r="BD613" s="93"/>
      <c r="BE613" s="93"/>
      <c r="BF613" s="93"/>
      <c r="BG613" s="93"/>
      <c r="BH613" s="93"/>
      <c r="BI613" s="93"/>
      <c r="BJ613" s="93"/>
      <c r="BK613" s="93"/>
      <c r="BL613" s="93"/>
      <c r="BM613" s="93"/>
      <c r="BN613" s="93"/>
      <c r="BO613" s="93"/>
      <c r="BP613" s="93"/>
      <c r="BQ613" s="93"/>
      <c r="BR613" s="93"/>
      <c r="BS613" s="93"/>
      <c r="BT613" s="93"/>
      <c r="BU613" s="93"/>
      <c r="BV613" s="93"/>
      <c r="BW613" s="93"/>
      <c r="BX613" s="93"/>
      <c r="BY613" s="93"/>
      <c r="BZ613" s="93"/>
      <c r="CA613" s="93"/>
      <c r="CB613" s="93"/>
      <c r="CC613" s="93"/>
      <c r="CD613" s="93"/>
    </row>
    <row r="614" spans="1:82" hidden="1" outlineLevel="1">
      <c r="A614" s="11"/>
      <c r="B614" s="11"/>
      <c r="C614" s="11"/>
      <c r="D614" s="11"/>
      <c r="E614" s="11"/>
      <c r="F614" s="11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  <c r="AA614" s="11"/>
      <c r="AB614" s="11"/>
      <c r="AC614" s="11"/>
      <c r="AD614" s="11"/>
      <c r="AE614" s="11"/>
      <c r="AF614" s="11"/>
      <c r="AG614" s="11"/>
      <c r="AH614" s="11"/>
      <c r="AI614" s="11"/>
      <c r="AJ614" s="11"/>
      <c r="AK614" s="11"/>
      <c r="AL614" s="11"/>
      <c r="AM614" s="11"/>
      <c r="AN614" s="11"/>
      <c r="AO614" s="11"/>
      <c r="AP614" s="11"/>
      <c r="AQ614" s="11"/>
      <c r="AR614" s="11"/>
      <c r="AS614" s="11"/>
      <c r="AT614" s="11"/>
      <c r="AU614" s="11"/>
      <c r="AV614" s="11"/>
      <c r="AW614" s="11"/>
      <c r="AX614" s="11"/>
      <c r="AY614" s="11"/>
      <c r="AZ614" s="11"/>
      <c r="BA614" s="11"/>
      <c r="BB614" s="11"/>
      <c r="BC614" s="11"/>
      <c r="BD614" s="11"/>
      <c r="BE614" s="11"/>
      <c r="BF614" s="11"/>
      <c r="BG614" s="11"/>
      <c r="BH614" s="11"/>
      <c r="BI614" s="11"/>
      <c r="BJ614" s="11"/>
      <c r="BK614" s="11"/>
      <c r="BL614" s="11"/>
      <c r="BM614" s="11"/>
      <c r="BN614" s="11"/>
      <c r="BO614" s="11"/>
      <c r="BP614" s="11"/>
      <c r="BQ614" s="11"/>
      <c r="BR614" s="11"/>
      <c r="BS614" s="11"/>
      <c r="BT614" s="11"/>
      <c r="BU614" s="11"/>
      <c r="BV614" s="11"/>
      <c r="BW614" s="11"/>
      <c r="BX614" s="11"/>
      <c r="BY614" s="11"/>
      <c r="BZ614" s="11"/>
      <c r="CA614" s="11"/>
      <c r="CB614" s="11"/>
      <c r="CC614" s="11"/>
      <c r="CD614" s="11"/>
    </row>
    <row r="615" spans="1:82" hidden="1" outlineLevel="1">
      <c r="A615" s="39" t="s">
        <v>3094</v>
      </c>
      <c r="B615" s="11"/>
      <c r="C615" s="11"/>
      <c r="D615" s="11"/>
      <c r="E615" s="11"/>
      <c r="F615" s="11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  <c r="AA615" s="11"/>
      <c r="AB615" s="11"/>
      <c r="AC615" s="11"/>
      <c r="AD615" s="11"/>
      <c r="AE615" s="11"/>
      <c r="AF615" s="11"/>
      <c r="AG615" s="11"/>
      <c r="AH615" s="11"/>
      <c r="AI615" s="11"/>
      <c r="AJ615" s="11"/>
      <c r="AK615" s="11"/>
      <c r="AL615" s="11"/>
      <c r="AM615" s="11"/>
      <c r="AN615" s="11"/>
      <c r="AO615" s="11"/>
      <c r="AP615" s="11"/>
      <c r="AQ615" s="11"/>
      <c r="AR615" s="11"/>
      <c r="AS615" s="11"/>
      <c r="AT615" s="11"/>
      <c r="AU615" s="11"/>
      <c r="AV615" s="11"/>
      <c r="AW615" s="11"/>
      <c r="AX615" s="11"/>
      <c r="AY615" s="11"/>
      <c r="AZ615" s="11"/>
      <c r="BA615" s="11"/>
      <c r="BB615" s="11"/>
      <c r="BC615" s="11"/>
      <c r="BD615" s="11"/>
      <c r="BE615" s="11"/>
      <c r="BF615" s="11"/>
      <c r="BG615" s="11"/>
      <c r="BH615" s="11"/>
      <c r="BI615" s="11"/>
      <c r="BJ615" s="11"/>
      <c r="BK615" s="11"/>
      <c r="BL615" s="11"/>
      <c r="BM615" s="11"/>
      <c r="BN615" s="11"/>
      <c r="BO615" s="11"/>
      <c r="BP615" s="11"/>
      <c r="BQ615" s="11"/>
      <c r="BR615" s="11"/>
      <c r="BS615" s="11"/>
      <c r="BT615" s="11"/>
      <c r="BU615" s="11"/>
      <c r="BV615" s="11"/>
      <c r="BW615" s="11"/>
      <c r="BX615" s="11"/>
      <c r="BY615" s="11"/>
      <c r="BZ615" s="11"/>
      <c r="CA615" s="11"/>
      <c r="CB615" s="11"/>
      <c r="CC615" s="11"/>
      <c r="CD615" s="11"/>
    </row>
    <row r="616" spans="1:82" hidden="1" outlineLevel="1">
      <c r="A616" s="11"/>
      <c r="B616" s="11" t="s">
        <v>3091</v>
      </c>
      <c r="C616" s="93"/>
      <c r="D616" s="93"/>
      <c r="E616" s="93"/>
      <c r="F616" s="93"/>
      <c r="G616" s="93"/>
      <c r="H616" s="93"/>
      <c r="I616" s="93"/>
      <c r="J616" s="93"/>
      <c r="K616" s="93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  <c r="X616" s="93"/>
      <c r="Y616" s="93"/>
      <c r="Z616" s="93"/>
      <c r="AA616" s="93"/>
      <c r="AB616" s="93"/>
      <c r="AC616" s="93"/>
      <c r="AD616" s="93"/>
      <c r="AE616" s="93"/>
      <c r="AF616" s="93"/>
      <c r="AG616" s="93"/>
      <c r="AH616" s="93"/>
      <c r="AI616" s="93"/>
      <c r="AJ616" s="93"/>
      <c r="AK616" s="93"/>
      <c r="AL616" s="93"/>
      <c r="AM616" s="93"/>
      <c r="AN616" s="93"/>
      <c r="AO616" s="93"/>
      <c r="AP616" s="93"/>
      <c r="AQ616" s="93"/>
      <c r="AR616" s="93"/>
      <c r="AS616" s="93"/>
      <c r="AT616" s="93"/>
      <c r="AU616" s="93"/>
      <c r="AV616" s="93"/>
      <c r="AW616" s="93"/>
      <c r="AX616" s="93"/>
      <c r="AY616" s="93"/>
      <c r="AZ616" s="93"/>
      <c r="BA616" s="93"/>
      <c r="BB616" s="93"/>
      <c r="BC616" s="93"/>
      <c r="BD616" s="93"/>
      <c r="BE616" s="93"/>
      <c r="BF616" s="93"/>
      <c r="BG616" s="93"/>
      <c r="BH616" s="93"/>
      <c r="BI616" s="93"/>
      <c r="BJ616" s="93"/>
      <c r="BK616" s="93"/>
      <c r="BL616" s="93"/>
      <c r="BM616" s="93"/>
      <c r="BN616" s="93"/>
      <c r="BO616" s="93"/>
      <c r="BP616" s="93"/>
      <c r="BQ616" s="93"/>
      <c r="BR616" s="93"/>
      <c r="BS616" s="93"/>
      <c r="BT616" s="93"/>
      <c r="BU616" s="93"/>
      <c r="BV616" s="93"/>
      <c r="BW616" s="93"/>
      <c r="BX616" s="93"/>
      <c r="BY616" s="93"/>
      <c r="BZ616" s="93"/>
      <c r="CA616" s="93"/>
      <c r="CB616" s="93"/>
      <c r="CC616" s="93"/>
      <c r="CD616" s="93"/>
    </row>
    <row r="617" spans="1:82" hidden="1" outlineLevel="1">
      <c r="A617" s="11"/>
      <c r="B617" s="11" t="s">
        <v>3092</v>
      </c>
      <c r="C617" s="93"/>
      <c r="D617" s="93"/>
      <c r="E617" s="93"/>
      <c r="F617" s="93"/>
      <c r="G617" s="93"/>
      <c r="H617" s="93"/>
      <c r="I617" s="93"/>
      <c r="J617" s="93"/>
      <c r="K617" s="93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  <c r="X617" s="93"/>
      <c r="Y617" s="93"/>
      <c r="Z617" s="93"/>
      <c r="AA617" s="93"/>
      <c r="AB617" s="93"/>
      <c r="AC617" s="93"/>
      <c r="AD617" s="93"/>
      <c r="AE617" s="93"/>
      <c r="AF617" s="93"/>
      <c r="AG617" s="93"/>
      <c r="AH617" s="93"/>
      <c r="AI617" s="93"/>
      <c r="AJ617" s="93"/>
      <c r="AK617" s="93"/>
      <c r="AL617" s="93"/>
      <c r="AM617" s="93"/>
      <c r="AN617" s="93"/>
      <c r="AO617" s="93"/>
      <c r="AP617" s="93"/>
      <c r="AQ617" s="93"/>
      <c r="AR617" s="93"/>
      <c r="AS617" s="93"/>
      <c r="AT617" s="93"/>
      <c r="AU617" s="93"/>
      <c r="AV617" s="93"/>
      <c r="AW617" s="93"/>
      <c r="AX617" s="93"/>
      <c r="AY617" s="93"/>
      <c r="AZ617" s="93"/>
      <c r="BA617" s="93"/>
      <c r="BB617" s="93"/>
      <c r="BC617" s="93"/>
      <c r="BD617" s="93"/>
      <c r="BE617" s="93"/>
      <c r="BF617" s="93"/>
      <c r="BG617" s="93"/>
      <c r="BH617" s="93"/>
      <c r="BI617" s="93"/>
      <c r="BJ617" s="93"/>
      <c r="BK617" s="93"/>
      <c r="BL617" s="93"/>
      <c r="BM617" s="93"/>
      <c r="BN617" s="93"/>
      <c r="BO617" s="93"/>
      <c r="BP617" s="93"/>
      <c r="BQ617" s="93"/>
      <c r="BR617" s="93"/>
      <c r="BS617" s="93"/>
      <c r="BT617" s="93"/>
      <c r="BU617" s="93"/>
      <c r="BV617" s="93"/>
      <c r="BW617" s="93"/>
      <c r="BX617" s="93"/>
      <c r="BY617" s="93"/>
      <c r="BZ617" s="93"/>
      <c r="CA617" s="93"/>
      <c r="CB617" s="93"/>
      <c r="CC617" s="93"/>
      <c r="CD617" s="93"/>
    </row>
    <row r="618" spans="1:82" hidden="1" outlineLevel="1">
      <c r="A618" s="11"/>
      <c r="B618" s="11" t="s">
        <v>358</v>
      </c>
      <c r="C618" s="93"/>
      <c r="D618" s="93"/>
      <c r="E618" s="93"/>
      <c r="F618" s="93"/>
      <c r="G618" s="93"/>
      <c r="H618" s="93"/>
      <c r="I618" s="93"/>
      <c r="J618" s="93"/>
      <c r="K618" s="93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  <c r="X618" s="93"/>
      <c r="Y618" s="93"/>
      <c r="Z618" s="93"/>
      <c r="AA618" s="93"/>
      <c r="AB618" s="93"/>
      <c r="AC618" s="93"/>
      <c r="AD618" s="93"/>
      <c r="AE618" s="93"/>
      <c r="AF618" s="93"/>
      <c r="AG618" s="93"/>
      <c r="AH618" s="93"/>
      <c r="AI618" s="93"/>
      <c r="AJ618" s="93"/>
      <c r="AK618" s="93"/>
      <c r="AL618" s="93"/>
      <c r="AM618" s="93"/>
      <c r="AN618" s="93"/>
      <c r="AO618" s="93"/>
      <c r="AP618" s="93"/>
      <c r="AQ618" s="93"/>
      <c r="AR618" s="93"/>
      <c r="AS618" s="93"/>
      <c r="AT618" s="93"/>
      <c r="AU618" s="93"/>
      <c r="AV618" s="93"/>
      <c r="AW618" s="93"/>
      <c r="AX618" s="93"/>
      <c r="AY618" s="93"/>
      <c r="AZ618" s="93"/>
      <c r="BA618" s="93"/>
      <c r="BB618" s="93"/>
      <c r="BC618" s="93"/>
      <c r="BD618" s="93"/>
      <c r="BE618" s="93"/>
      <c r="BF618" s="93"/>
      <c r="BG618" s="93"/>
      <c r="BH618" s="93"/>
      <c r="BI618" s="93"/>
      <c r="BJ618" s="93"/>
      <c r="BK618" s="93"/>
      <c r="BL618" s="93"/>
      <c r="BM618" s="93"/>
      <c r="BN618" s="93"/>
      <c r="BO618" s="93"/>
      <c r="BP618" s="93"/>
      <c r="BQ618" s="93"/>
      <c r="BR618" s="93"/>
      <c r="BS618" s="93"/>
      <c r="BT618" s="93"/>
      <c r="BU618" s="93"/>
      <c r="BV618" s="93"/>
      <c r="BW618" s="93"/>
      <c r="BX618" s="93"/>
      <c r="BY618" s="93"/>
      <c r="BZ618" s="93"/>
      <c r="CA618" s="93"/>
      <c r="CB618" s="93"/>
      <c r="CC618" s="93"/>
      <c r="CD618" s="93"/>
    </row>
    <row r="619" spans="1:82" hidden="1" outlineLevel="1">
      <c r="A619" s="11"/>
      <c r="B619" s="11" t="s">
        <v>2154</v>
      </c>
      <c r="C619" s="93"/>
      <c r="D619" s="93"/>
      <c r="E619" s="93"/>
      <c r="F619" s="93"/>
      <c r="G619" s="93"/>
      <c r="H619" s="93"/>
      <c r="I619" s="93"/>
      <c r="J619" s="93"/>
      <c r="K619" s="93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  <c r="X619" s="93"/>
      <c r="Y619" s="93"/>
      <c r="Z619" s="93"/>
      <c r="AA619" s="93"/>
      <c r="AB619" s="93"/>
      <c r="AC619" s="93"/>
      <c r="AD619" s="93"/>
      <c r="AE619" s="93"/>
      <c r="AF619" s="93"/>
      <c r="AG619" s="93"/>
      <c r="AH619" s="93"/>
      <c r="AI619" s="93"/>
      <c r="AJ619" s="93"/>
      <c r="AK619" s="93"/>
      <c r="AL619" s="93"/>
      <c r="AM619" s="93"/>
      <c r="AN619" s="93"/>
      <c r="AO619" s="93"/>
      <c r="AP619" s="93"/>
      <c r="AQ619" s="93"/>
      <c r="AR619" s="93"/>
      <c r="AS619" s="93"/>
      <c r="AT619" s="93"/>
      <c r="AU619" s="93"/>
      <c r="AV619" s="93"/>
      <c r="AW619" s="93"/>
      <c r="AX619" s="93"/>
      <c r="AY619" s="93"/>
      <c r="AZ619" s="93"/>
      <c r="BA619" s="93"/>
      <c r="BB619" s="93"/>
      <c r="BC619" s="93"/>
      <c r="BD619" s="93"/>
      <c r="BE619" s="93"/>
      <c r="BF619" s="93"/>
      <c r="BG619" s="93"/>
      <c r="BH619" s="93"/>
      <c r="BI619" s="93"/>
      <c r="BJ619" s="93"/>
      <c r="BK619" s="93"/>
      <c r="BL619" s="93"/>
      <c r="BM619" s="93"/>
      <c r="BN619" s="93"/>
      <c r="BO619" s="93"/>
      <c r="BP619" s="93"/>
      <c r="BQ619" s="93"/>
      <c r="BR619" s="93"/>
      <c r="BS619" s="93"/>
      <c r="BT619" s="93"/>
      <c r="BU619" s="93"/>
      <c r="BV619" s="93"/>
      <c r="BW619" s="93"/>
      <c r="BX619" s="93"/>
      <c r="BY619" s="93"/>
      <c r="BZ619" s="93"/>
      <c r="CA619" s="93"/>
      <c r="CB619" s="93"/>
      <c r="CC619" s="93"/>
      <c r="CD619" s="93"/>
    </row>
    <row r="620" spans="1:82" hidden="1" outlineLevel="1">
      <c r="A620" s="11"/>
      <c r="B620" s="11" t="s">
        <v>3093</v>
      </c>
      <c r="C620" s="93"/>
      <c r="D620" s="93"/>
      <c r="E620" s="93"/>
      <c r="F620" s="93"/>
      <c r="G620" s="93"/>
      <c r="H620" s="93"/>
      <c r="I620" s="93"/>
      <c r="J620" s="93"/>
      <c r="K620" s="93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  <c r="X620" s="93"/>
      <c r="Y620" s="93"/>
      <c r="Z620" s="93"/>
      <c r="AA620" s="93"/>
      <c r="AB620" s="93"/>
      <c r="AC620" s="93"/>
      <c r="AD620" s="93"/>
      <c r="AE620" s="93"/>
      <c r="AF620" s="93"/>
      <c r="AG620" s="93"/>
      <c r="AH620" s="93"/>
      <c r="AI620" s="93"/>
      <c r="AJ620" s="93"/>
      <c r="AK620" s="93"/>
      <c r="AL620" s="93"/>
      <c r="AM620" s="93"/>
      <c r="AN620" s="93"/>
      <c r="AO620" s="93"/>
      <c r="AP620" s="93"/>
      <c r="AQ620" s="93"/>
      <c r="AR620" s="93"/>
      <c r="AS620" s="93"/>
      <c r="AT620" s="93"/>
      <c r="AU620" s="93"/>
      <c r="AV620" s="93"/>
      <c r="AW620" s="93"/>
      <c r="AX620" s="93"/>
      <c r="AY620" s="93"/>
      <c r="AZ620" s="93"/>
      <c r="BA620" s="93"/>
      <c r="BB620" s="93"/>
      <c r="BC620" s="93"/>
      <c r="BD620" s="93"/>
      <c r="BE620" s="93"/>
      <c r="BF620" s="93"/>
      <c r="BG620" s="93"/>
      <c r="BH620" s="93"/>
      <c r="BI620" s="93"/>
      <c r="BJ620" s="93"/>
      <c r="BK620" s="93"/>
      <c r="BL620" s="93"/>
      <c r="BM620" s="93"/>
      <c r="BN620" s="93"/>
      <c r="BO620" s="93"/>
      <c r="BP620" s="93"/>
      <c r="BQ620" s="93"/>
      <c r="BR620" s="93"/>
      <c r="BS620" s="93"/>
      <c r="BT620" s="93"/>
      <c r="BU620" s="93"/>
      <c r="BV620" s="93"/>
      <c r="BW620" s="93"/>
      <c r="BX620" s="93"/>
      <c r="BY620" s="93"/>
      <c r="BZ620" s="93"/>
      <c r="CA620" s="93"/>
      <c r="CB620" s="93"/>
      <c r="CC620" s="93"/>
      <c r="CD620" s="93"/>
    </row>
    <row r="621" spans="1:82" hidden="1" outlineLevel="1">
      <c r="A621" s="11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11"/>
      <c r="AE621" s="11"/>
      <c r="AF621" s="11"/>
      <c r="AG621" s="11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1"/>
      <c r="BE621" s="11"/>
      <c r="BF621" s="11"/>
      <c r="BG621" s="11"/>
      <c r="BH621" s="11"/>
      <c r="BI621" s="11"/>
      <c r="BJ621" s="11"/>
      <c r="BK621" s="11"/>
      <c r="BL621" s="11"/>
      <c r="BM621" s="11"/>
      <c r="BN621" s="11"/>
      <c r="BO621" s="11"/>
      <c r="BP621" s="11"/>
      <c r="BQ621" s="11"/>
      <c r="BR621" s="11"/>
      <c r="BS621" s="11"/>
      <c r="BT621" s="11"/>
      <c r="BU621" s="11"/>
      <c r="BV621" s="11"/>
      <c r="BW621" s="11"/>
      <c r="BX621" s="11"/>
      <c r="BY621" s="11"/>
      <c r="BZ621" s="11"/>
      <c r="CA621" s="11"/>
      <c r="CB621" s="11"/>
      <c r="CC621" s="11"/>
      <c r="CD621" s="11"/>
    </row>
    <row r="622" spans="1:82" hidden="1" outlineLevel="1">
      <c r="A622" s="11" t="s">
        <v>3095</v>
      </c>
      <c r="B622" s="11"/>
      <c r="C622" s="93"/>
      <c r="D622" s="93"/>
      <c r="E622" s="93"/>
      <c r="F622" s="93"/>
      <c r="G622" s="93"/>
      <c r="H622" s="93"/>
      <c r="I622" s="93"/>
      <c r="J622" s="93"/>
      <c r="K622" s="93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  <c r="X622" s="93"/>
      <c r="Y622" s="93"/>
      <c r="Z622" s="93"/>
      <c r="AA622" s="93"/>
      <c r="AB622" s="93"/>
      <c r="AC622" s="93"/>
      <c r="AD622" s="93"/>
      <c r="AE622" s="93"/>
      <c r="AF622" s="93"/>
      <c r="AG622" s="93"/>
      <c r="AH622" s="93"/>
      <c r="AI622" s="93"/>
      <c r="AJ622" s="93"/>
      <c r="AK622" s="93"/>
      <c r="AL622" s="93"/>
      <c r="AM622" s="93"/>
      <c r="AN622" s="93"/>
      <c r="AO622" s="93"/>
      <c r="AP622" s="93"/>
      <c r="AQ622" s="93"/>
      <c r="AR622" s="93"/>
      <c r="AS622" s="93"/>
      <c r="AT622" s="93"/>
      <c r="AU622" s="93"/>
      <c r="AV622" s="93"/>
      <c r="AW622" s="93"/>
      <c r="AX622" s="93"/>
      <c r="AY622" s="93"/>
      <c r="AZ622" s="93"/>
      <c r="BA622" s="93"/>
      <c r="BB622" s="93"/>
      <c r="BC622" s="93"/>
      <c r="BD622" s="93"/>
      <c r="BE622" s="93"/>
      <c r="BF622" s="93"/>
      <c r="BG622" s="93"/>
      <c r="BH622" s="93"/>
      <c r="BI622" s="93"/>
      <c r="BJ622" s="93"/>
      <c r="BK622" s="93"/>
      <c r="BL622" s="93"/>
      <c r="BM622" s="93"/>
      <c r="BN622" s="93"/>
      <c r="BO622" s="93"/>
      <c r="BP622" s="93"/>
      <c r="BQ622" s="93"/>
      <c r="BR622" s="93"/>
      <c r="BS622" s="93"/>
      <c r="BT622" s="93"/>
      <c r="BU622" s="93"/>
      <c r="BV622" s="93"/>
      <c r="BW622" s="93"/>
      <c r="BX622" s="93"/>
      <c r="BY622" s="93"/>
      <c r="BZ622" s="93"/>
      <c r="CA622" s="93"/>
      <c r="CB622" s="93"/>
      <c r="CC622" s="93"/>
      <c r="CD622" s="93"/>
    </row>
    <row r="623" spans="1:82" hidden="1" outlineLevel="1">
      <c r="A623" s="11" t="s">
        <v>3471</v>
      </c>
      <c r="B623" s="11"/>
      <c r="C623" s="93"/>
      <c r="D623" s="93"/>
      <c r="E623" s="93"/>
      <c r="F623" s="93"/>
      <c r="G623" s="93"/>
      <c r="H623" s="93"/>
      <c r="I623" s="93"/>
      <c r="J623" s="93"/>
      <c r="K623" s="93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  <c r="X623" s="93"/>
      <c r="Y623" s="93"/>
      <c r="Z623" s="93"/>
      <c r="AA623" s="93"/>
      <c r="AB623" s="93"/>
      <c r="AC623" s="93"/>
      <c r="AD623" s="93"/>
      <c r="AE623" s="93"/>
      <c r="AF623" s="93"/>
      <c r="AG623" s="93"/>
      <c r="AH623" s="93"/>
      <c r="AI623" s="93"/>
      <c r="AJ623" s="93"/>
      <c r="AK623" s="93"/>
      <c r="AL623" s="93"/>
      <c r="AM623" s="93"/>
      <c r="AN623" s="93"/>
      <c r="AO623" s="93"/>
      <c r="AP623" s="93"/>
      <c r="AQ623" s="93"/>
      <c r="AR623" s="93"/>
      <c r="AS623" s="93"/>
      <c r="AT623" s="93"/>
      <c r="AU623" s="93"/>
      <c r="AV623" s="93"/>
      <c r="AW623" s="93"/>
      <c r="AX623" s="93"/>
      <c r="AY623" s="93"/>
      <c r="AZ623" s="93"/>
      <c r="BA623" s="93"/>
      <c r="BB623" s="93"/>
      <c r="BC623" s="93"/>
      <c r="BD623" s="93"/>
      <c r="BE623" s="93"/>
      <c r="BF623" s="93"/>
      <c r="BG623" s="93"/>
      <c r="BH623" s="93"/>
      <c r="BI623" s="93"/>
      <c r="BJ623" s="93"/>
      <c r="BK623" s="93"/>
      <c r="BL623" s="93"/>
      <c r="BM623" s="93"/>
      <c r="BN623" s="93"/>
      <c r="BO623" s="93"/>
      <c r="BP623" s="93"/>
      <c r="BQ623" s="93"/>
      <c r="BR623" s="93"/>
      <c r="BS623" s="93"/>
      <c r="BT623" s="93"/>
      <c r="BU623" s="93"/>
      <c r="BV623" s="93"/>
      <c r="BW623" s="93"/>
      <c r="BX623" s="93"/>
      <c r="BY623" s="93"/>
      <c r="BZ623" s="93"/>
      <c r="CA623" s="93"/>
      <c r="CB623" s="93"/>
      <c r="CC623" s="93"/>
      <c r="CD623" s="93"/>
    </row>
    <row r="624" spans="1:82" collapsed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</row>
    <row r="625" spans="1:82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</row>
    <row r="626" spans="1:82">
      <c r="A626" s="24" t="s">
        <v>3586</v>
      </c>
      <c r="B626" s="4"/>
      <c r="C626" s="116"/>
      <c r="D626" s="116"/>
      <c r="E626" s="116"/>
      <c r="F626" s="116"/>
      <c r="G626" s="116"/>
      <c r="H626" s="5"/>
      <c r="I626" s="5"/>
      <c r="J626" s="5"/>
      <c r="K626" s="5"/>
      <c r="L626" s="116"/>
      <c r="M626" s="5"/>
      <c r="N626" s="5"/>
      <c r="O626" s="5"/>
      <c r="P626" s="5"/>
      <c r="Q626" s="116"/>
      <c r="R626" s="5"/>
      <c r="S626" s="5"/>
      <c r="T626" s="5"/>
      <c r="U626" s="5"/>
      <c r="V626" s="116"/>
      <c r="W626" s="5"/>
      <c r="X626" s="5"/>
      <c r="Y626" s="5"/>
      <c r="Z626" s="5"/>
      <c r="AA626" s="116"/>
      <c r="AB626" s="5"/>
      <c r="AC626" s="5"/>
      <c r="AD626" s="5"/>
      <c r="AE626" s="5"/>
      <c r="AF626" s="116"/>
      <c r="AG626" s="5"/>
      <c r="AH626" s="5"/>
      <c r="AI626" s="5"/>
      <c r="AJ626" s="5"/>
      <c r="AK626" s="116"/>
      <c r="AL626" s="5"/>
      <c r="AM626" s="5"/>
      <c r="AN626" s="5"/>
      <c r="AO626" s="5"/>
      <c r="AP626" s="116"/>
      <c r="AQ626" s="5"/>
      <c r="AR626" s="5"/>
      <c r="AS626" s="5"/>
      <c r="AT626" s="5"/>
      <c r="AU626" s="116"/>
      <c r="AV626" s="5"/>
      <c r="AW626" s="5"/>
      <c r="AX626" s="5"/>
      <c r="AY626" s="5"/>
      <c r="AZ626" s="116"/>
      <c r="BA626" s="5"/>
      <c r="BB626" s="5"/>
      <c r="BC626" s="5"/>
      <c r="BD626" s="5"/>
      <c r="BE626" s="116"/>
      <c r="BF626" s="5"/>
      <c r="BG626" s="5"/>
      <c r="BH626" s="5"/>
      <c r="BI626" s="5"/>
      <c r="BJ626" s="116"/>
      <c r="BK626" s="5"/>
      <c r="BL626" s="5"/>
      <c r="BM626" s="5"/>
      <c r="BN626" s="5"/>
      <c r="BO626" s="116"/>
      <c r="BP626" s="5"/>
      <c r="BQ626" s="5"/>
      <c r="BR626" s="5"/>
      <c r="BS626" s="5"/>
      <c r="BT626" s="116"/>
      <c r="BU626" s="5"/>
      <c r="BV626" s="5"/>
      <c r="BW626" s="5"/>
      <c r="BX626" s="5"/>
      <c r="BY626" s="116"/>
      <c r="BZ626" s="5"/>
      <c r="CA626" s="5"/>
      <c r="CB626" s="5"/>
      <c r="CC626" s="5"/>
      <c r="CD626" s="116"/>
    </row>
    <row r="627" spans="1:82">
      <c r="A627" s="10"/>
      <c r="B627" s="10"/>
      <c r="C627" s="31">
        <v>2001</v>
      </c>
      <c r="D627" s="32">
        <v>2002</v>
      </c>
      <c r="E627" s="32">
        <v>2003</v>
      </c>
      <c r="F627" s="32">
        <v>2004</v>
      </c>
      <c r="G627" s="31">
        <v>2005</v>
      </c>
      <c r="H627" s="33">
        <f>H607</f>
        <v>0</v>
      </c>
      <c r="I627" s="33">
        <f>I607</f>
        <v>0</v>
      </c>
      <c r="J627" s="33">
        <f>J607</f>
        <v>0</v>
      </c>
      <c r="K627" s="33">
        <f>K607</f>
        <v>0</v>
      </c>
      <c r="L627" s="31">
        <v>2006</v>
      </c>
      <c r="M627" s="33">
        <f>M607</f>
        <v>0</v>
      </c>
      <c r="N627" s="33">
        <f>N607</f>
        <v>0</v>
      </c>
      <c r="O627" s="33">
        <f>O607</f>
        <v>0</v>
      </c>
      <c r="P627" s="33">
        <f>P607</f>
        <v>0</v>
      </c>
      <c r="Q627" s="31">
        <v>2007</v>
      </c>
      <c r="R627" s="33">
        <f>R607</f>
        <v>0</v>
      </c>
      <c r="S627" s="33">
        <f>S607</f>
        <v>0</v>
      </c>
      <c r="T627" s="33">
        <f>T607</f>
        <v>0</v>
      </c>
      <c r="U627" s="33">
        <f>U607</f>
        <v>0</v>
      </c>
      <c r="V627" s="31">
        <v>2008</v>
      </c>
      <c r="W627" s="33">
        <f>W607</f>
        <v>0</v>
      </c>
      <c r="X627" s="33">
        <f>X607</f>
        <v>0</v>
      </c>
      <c r="Y627" s="33">
        <f>Y607</f>
        <v>0</v>
      </c>
      <c r="Z627" s="33">
        <f>Z607</f>
        <v>0</v>
      </c>
      <c r="AA627" s="31">
        <v>2009</v>
      </c>
      <c r="AB627" s="33">
        <f>AB607</f>
        <v>0</v>
      </c>
      <c r="AC627" s="33">
        <f>AC607</f>
        <v>0</v>
      </c>
      <c r="AD627" s="33">
        <f>AD607</f>
        <v>0</v>
      </c>
      <c r="AE627" s="33">
        <f>AE607</f>
        <v>0</v>
      </c>
      <c r="AF627" s="31">
        <v>2010</v>
      </c>
      <c r="AG627" s="33">
        <f>AG607</f>
        <v>0</v>
      </c>
      <c r="AH627" s="33">
        <f>AH607</f>
        <v>0</v>
      </c>
      <c r="AI627" s="33">
        <f>AI607</f>
        <v>0</v>
      </c>
      <c r="AJ627" s="33">
        <f>AJ607</f>
        <v>0</v>
      </c>
      <c r="AK627" s="31">
        <v>2011</v>
      </c>
      <c r="AL627" s="33" t="s">
        <v>2397</v>
      </c>
      <c r="AM627" s="33" t="s">
        <v>2398</v>
      </c>
      <c r="AN627" s="33" t="s">
        <v>2399</v>
      </c>
      <c r="AO627" s="33" t="s">
        <v>2400</v>
      </c>
      <c r="AP627" s="31">
        <v>2012</v>
      </c>
      <c r="AQ627" s="363" t="s">
        <v>2401</v>
      </c>
      <c r="AR627" s="363" t="s">
        <v>2402</v>
      </c>
      <c r="AS627" s="363" t="s">
        <v>2403</v>
      </c>
      <c r="AT627" s="363" t="s">
        <v>2404</v>
      </c>
      <c r="AU627" s="364">
        <v>2013</v>
      </c>
      <c r="AV627" s="363" t="s">
        <v>2405</v>
      </c>
      <c r="AW627" s="363" t="s">
        <v>2406</v>
      </c>
      <c r="AX627" s="363" t="s">
        <v>2407</v>
      </c>
      <c r="AY627" s="363" t="s">
        <v>2408</v>
      </c>
      <c r="AZ627" s="364">
        <v>2014</v>
      </c>
      <c r="BA627" s="33" t="str">
        <f t="shared" ref="BA627:BI627" si="290">BA$8</f>
        <v>1Q15</v>
      </c>
      <c r="BB627" s="33" t="str">
        <f t="shared" si="290"/>
        <v>2Q15</v>
      </c>
      <c r="BC627" s="33" t="str">
        <f t="shared" si="290"/>
        <v>3Q15</v>
      </c>
      <c r="BD627" s="33" t="str">
        <f t="shared" si="290"/>
        <v>4Q15</v>
      </c>
      <c r="BE627" s="31">
        <f t="shared" si="290"/>
        <v>2015</v>
      </c>
      <c r="BF627" s="33" t="str">
        <f t="shared" si="290"/>
        <v>1Q16</v>
      </c>
      <c r="BG627" s="33" t="str">
        <f t="shared" si="290"/>
        <v>2Q16</v>
      </c>
      <c r="BH627" s="33" t="str">
        <f t="shared" si="290"/>
        <v>3Q16</v>
      </c>
      <c r="BI627" s="33" t="str">
        <f t="shared" si="290"/>
        <v>4Q16</v>
      </c>
      <c r="BJ627" s="31">
        <v>2016</v>
      </c>
      <c r="BK627" s="33" t="s">
        <v>2417</v>
      </c>
      <c r="BL627" s="33" t="s">
        <v>2418</v>
      </c>
      <c r="BM627" s="33" t="s">
        <v>2419</v>
      </c>
      <c r="BN627" s="33" t="s">
        <v>2420</v>
      </c>
      <c r="BO627" s="31">
        <v>2017</v>
      </c>
      <c r="BP627" s="363" t="s">
        <v>2244</v>
      </c>
      <c r="BQ627" s="363" t="s">
        <v>2245</v>
      </c>
      <c r="BR627" s="363" t="s">
        <v>2508</v>
      </c>
      <c r="BS627" s="363" t="s">
        <v>2509</v>
      </c>
      <c r="BT627" s="364">
        <v>2018</v>
      </c>
      <c r="BU627" s="363" t="s">
        <v>2510</v>
      </c>
      <c r="BV627" s="363" t="s">
        <v>2511</v>
      </c>
      <c r="BW627" s="363" t="s">
        <v>3125</v>
      </c>
      <c r="BX627" s="363" t="s">
        <v>1405</v>
      </c>
      <c r="BY627" s="364">
        <v>2019</v>
      </c>
      <c r="BZ627" s="363" t="s">
        <v>1406</v>
      </c>
      <c r="CA627" s="363" t="s">
        <v>1407</v>
      </c>
      <c r="CB627" s="363" t="s">
        <v>1408</v>
      </c>
      <c r="CC627" s="363" t="s">
        <v>1409</v>
      </c>
      <c r="CD627" s="364">
        <v>2020</v>
      </c>
    </row>
    <row r="628" spans="1:82">
      <c r="A628" s="4" t="s">
        <v>2156</v>
      </c>
      <c r="B628" s="5"/>
      <c r="C628" s="5"/>
      <c r="D628" s="5"/>
      <c r="E628" s="5"/>
      <c r="F628" s="5"/>
      <c r="G628" s="5"/>
      <c r="H628" s="93"/>
      <c r="I628" s="93"/>
      <c r="J628" s="93"/>
      <c r="K628" s="93"/>
      <c r="L628" s="5"/>
      <c r="M628" s="93"/>
      <c r="N628" s="93"/>
      <c r="O628" s="93"/>
      <c r="P628" s="93"/>
      <c r="Q628" s="5"/>
      <c r="R628" s="93"/>
      <c r="S628" s="93"/>
      <c r="T628" s="93"/>
      <c r="U628" s="93"/>
      <c r="V628" s="5"/>
      <c r="W628" s="93"/>
      <c r="X628" s="93"/>
      <c r="Y628" s="93"/>
      <c r="Z628" s="93"/>
      <c r="AA628" s="5"/>
      <c r="AB628" s="93"/>
      <c r="AC628" s="93"/>
      <c r="AD628" s="93"/>
      <c r="AE628" s="93"/>
      <c r="AF628" s="5"/>
      <c r="AG628" s="93"/>
      <c r="AH628" s="93"/>
      <c r="AI628" s="93"/>
      <c r="AJ628" s="93"/>
      <c r="AK628" s="5"/>
      <c r="AL628" s="93"/>
      <c r="AM628" s="93"/>
      <c r="AN628" s="93"/>
      <c r="AO628" s="93"/>
      <c r="AP628" s="5"/>
      <c r="AQ628" s="93"/>
      <c r="AR628" s="93"/>
      <c r="AS628" s="93"/>
      <c r="AT628" s="93"/>
      <c r="AU628" s="5"/>
      <c r="AV628" s="93"/>
      <c r="AW628" s="93"/>
      <c r="AX628" s="93"/>
      <c r="AY628" s="93"/>
      <c r="AZ628" s="5"/>
      <c r="BA628" s="93"/>
      <c r="BB628" s="93"/>
      <c r="BC628" s="93"/>
      <c r="BD628" s="93"/>
      <c r="BE628" s="5"/>
      <c r="BF628" s="93"/>
      <c r="BG628" s="93"/>
      <c r="BH628" s="93"/>
      <c r="BI628" s="93"/>
      <c r="BJ628" s="5">
        <v>162</v>
      </c>
      <c r="BK628" s="93"/>
      <c r="BL628" s="93"/>
      <c r="BM628" s="93"/>
      <c r="BN628" s="93"/>
      <c r="BO628" s="5">
        <v>773</v>
      </c>
      <c r="BP628" s="72"/>
      <c r="BQ628" s="72"/>
      <c r="BR628" s="72"/>
      <c r="BS628" s="72"/>
      <c r="BT628" s="72"/>
      <c r="BU628" s="72"/>
      <c r="BV628" s="72"/>
      <c r="BW628" s="72"/>
      <c r="BX628" s="72"/>
      <c r="BY628" s="72"/>
      <c r="BZ628" s="72"/>
      <c r="CA628" s="72"/>
      <c r="CB628" s="72"/>
      <c r="CC628" s="72"/>
      <c r="CD628" s="72"/>
    </row>
    <row r="629" spans="1:82">
      <c r="A629" s="137" t="s">
        <v>2157</v>
      </c>
      <c r="B629" s="5"/>
      <c r="C629" s="5"/>
      <c r="D629" s="5"/>
      <c r="E629" s="5"/>
      <c r="F629" s="5"/>
      <c r="G629" s="5"/>
      <c r="H629" s="93"/>
      <c r="I629" s="93"/>
      <c r="J629" s="93"/>
      <c r="K629" s="93"/>
      <c r="L629" s="5"/>
      <c r="M629" s="93"/>
      <c r="N629" s="93"/>
      <c r="O629" s="93"/>
      <c r="P629" s="93"/>
      <c r="Q629" s="5"/>
      <c r="R629" s="93"/>
      <c r="S629" s="93"/>
      <c r="T629" s="93"/>
      <c r="U629" s="93"/>
      <c r="V629" s="5"/>
      <c r="W629" s="93"/>
      <c r="X629" s="93"/>
      <c r="Y629" s="93"/>
      <c r="Z629" s="93"/>
      <c r="AA629" s="5"/>
      <c r="AB629" s="93"/>
      <c r="AC629" s="93"/>
      <c r="AD629" s="93"/>
      <c r="AE629" s="93"/>
      <c r="AF629" s="5"/>
      <c r="AG629" s="93"/>
      <c r="AH629" s="93"/>
      <c r="AI629" s="93"/>
      <c r="AJ629" s="93"/>
      <c r="AK629" s="5"/>
      <c r="AL629" s="93"/>
      <c r="AM629" s="93"/>
      <c r="AN629" s="93"/>
      <c r="AO629" s="93"/>
      <c r="AP629" s="5"/>
      <c r="AQ629" s="93"/>
      <c r="AR629" s="93"/>
      <c r="AS629" s="93"/>
      <c r="AT629" s="93"/>
      <c r="AU629" s="5"/>
      <c r="AV629" s="93"/>
      <c r="AW629" s="93"/>
      <c r="AX629" s="93"/>
      <c r="AY629" s="93"/>
      <c r="AZ629" s="5"/>
      <c r="BA629" s="93"/>
      <c r="BB629" s="93"/>
      <c r="BC629" s="93"/>
      <c r="BD629" s="93"/>
      <c r="BE629" s="5"/>
      <c r="BF629" s="93"/>
      <c r="BG629" s="93"/>
      <c r="BH629" s="93"/>
      <c r="BI629" s="93"/>
      <c r="BJ629" s="5">
        <v>0</v>
      </c>
      <c r="BK629" s="93"/>
      <c r="BL629" s="93"/>
      <c r="BM629" s="93"/>
      <c r="BN629" s="93"/>
      <c r="BO629" s="5">
        <v>0</v>
      </c>
      <c r="BP629" s="72"/>
      <c r="BQ629" s="72"/>
      <c r="BR629" s="72"/>
      <c r="BS629" s="72"/>
      <c r="BT629" s="72"/>
      <c r="BU629" s="72"/>
      <c r="BV629" s="72"/>
      <c r="BW629" s="72"/>
      <c r="BX629" s="72"/>
      <c r="BY629" s="72"/>
      <c r="BZ629" s="72"/>
      <c r="CA629" s="72"/>
      <c r="CB629" s="72"/>
      <c r="CC629" s="72"/>
      <c r="CD629" s="72"/>
    </row>
    <row r="630" spans="1:82">
      <c r="A630" s="148" t="s">
        <v>2155</v>
      </c>
      <c r="B630" s="8"/>
      <c r="C630" s="8"/>
      <c r="D630" s="8"/>
      <c r="E630" s="8"/>
      <c r="F630" s="8"/>
      <c r="G630" s="8"/>
      <c r="H630" s="93"/>
      <c r="I630" s="93"/>
      <c r="J630" s="93"/>
      <c r="K630" s="93"/>
      <c r="L630" s="8"/>
      <c r="M630" s="93"/>
      <c r="N630" s="93"/>
      <c r="O630" s="93"/>
      <c r="P630" s="93"/>
      <c r="Q630" s="8"/>
      <c r="R630" s="93"/>
      <c r="S630" s="93"/>
      <c r="T630" s="93"/>
      <c r="U630" s="93"/>
      <c r="V630" s="8"/>
      <c r="W630" s="93"/>
      <c r="X630" s="93"/>
      <c r="Y630" s="93"/>
      <c r="Z630" s="93"/>
      <c r="AA630" s="8"/>
      <c r="AB630" s="93"/>
      <c r="AC630" s="93"/>
      <c r="AD630" s="93"/>
      <c r="AE630" s="93"/>
      <c r="AF630" s="8"/>
      <c r="AG630" s="93"/>
      <c r="AH630" s="93"/>
      <c r="AI630" s="93"/>
      <c r="AJ630" s="93"/>
      <c r="AK630" s="8"/>
      <c r="AL630" s="93"/>
      <c r="AM630" s="93"/>
      <c r="AN630" s="93"/>
      <c r="AO630" s="93"/>
      <c r="AP630" s="8"/>
      <c r="AQ630" s="93"/>
      <c r="AR630" s="93"/>
      <c r="AS630" s="93"/>
      <c r="AT630" s="93"/>
      <c r="AU630" s="8"/>
      <c r="AV630" s="93"/>
      <c r="AW630" s="93"/>
      <c r="AX630" s="93"/>
      <c r="AY630" s="93"/>
      <c r="AZ630" s="8"/>
      <c r="BA630" s="93"/>
      <c r="BB630" s="93"/>
      <c r="BC630" s="93"/>
      <c r="BD630" s="93"/>
      <c r="BE630" s="8"/>
      <c r="BF630" s="93"/>
      <c r="BG630" s="93"/>
      <c r="BH630" s="93"/>
      <c r="BI630" s="93"/>
      <c r="BJ630" s="8">
        <f>+BJ628+BJ629</f>
        <v>162</v>
      </c>
      <c r="BK630" s="93"/>
      <c r="BL630" s="93"/>
      <c r="BM630" s="93"/>
      <c r="BN630" s="93"/>
      <c r="BO630" s="8">
        <f>+BO628+BO629</f>
        <v>773</v>
      </c>
      <c r="BP630" s="19">
        <f t="shared" ref="BP630:CD630" si="291">BP655*(1+BP656)</f>
        <v>306.36479588420542</v>
      </c>
      <c r="BQ630" s="19">
        <f t="shared" si="291"/>
        <v>304.98002416152292</v>
      </c>
      <c r="BR630" s="19">
        <f t="shared" si="291"/>
        <v>291.73044237565495</v>
      </c>
      <c r="BS630" s="19">
        <f t="shared" si="291"/>
        <v>299.87441801389969</v>
      </c>
      <c r="BT630" s="8">
        <f t="shared" si="291"/>
        <v>1202.949680435283</v>
      </c>
      <c r="BU630" s="19">
        <f t="shared" si="291"/>
        <v>268.47969965001556</v>
      </c>
      <c r="BV630" s="19">
        <f t="shared" si="291"/>
        <v>265.42781692739396</v>
      </c>
      <c r="BW630" s="19">
        <f t="shared" si="291"/>
        <v>257.80928526280059</v>
      </c>
      <c r="BX630" s="19">
        <f t="shared" si="291"/>
        <v>265.83302172696068</v>
      </c>
      <c r="BY630" s="8">
        <f t="shared" si="291"/>
        <v>1057.549823567171</v>
      </c>
      <c r="BZ630" s="19">
        <f t="shared" si="291"/>
        <v>355.00111446760172</v>
      </c>
      <c r="CA630" s="19">
        <f t="shared" si="291"/>
        <v>355.40973877430383</v>
      </c>
      <c r="CB630" s="19">
        <f t="shared" si="291"/>
        <v>351.06633253898514</v>
      </c>
      <c r="CC630" s="19">
        <f t="shared" si="291"/>
        <v>361.44209867962621</v>
      </c>
      <c r="CD630" s="8">
        <f t="shared" si="291"/>
        <v>1422.919284460517</v>
      </c>
    </row>
    <row r="631" spans="1:82">
      <c r="A631" s="137"/>
      <c r="B631" s="5"/>
      <c r="C631" s="5"/>
      <c r="D631" s="5"/>
      <c r="E631" s="5"/>
      <c r="F631" s="5"/>
      <c r="G631" s="5"/>
      <c r="H631" s="12"/>
      <c r="I631" s="12"/>
      <c r="J631" s="12"/>
      <c r="K631" s="12"/>
      <c r="L631" s="5"/>
      <c r="M631" s="12"/>
      <c r="N631" s="12"/>
      <c r="O631" s="12"/>
      <c r="P631" s="12"/>
      <c r="Q631" s="5"/>
      <c r="R631" s="12"/>
      <c r="S631" s="12"/>
      <c r="T631" s="12"/>
      <c r="U631" s="12"/>
      <c r="V631" s="5"/>
      <c r="W631" s="12"/>
      <c r="X631" s="12"/>
      <c r="Y631" s="12"/>
      <c r="Z631" s="12"/>
      <c r="AA631" s="5"/>
      <c r="AB631" s="12"/>
      <c r="AC631" s="12"/>
      <c r="AD631" s="12"/>
      <c r="AE631" s="12"/>
      <c r="AF631" s="5"/>
      <c r="AG631" s="12"/>
      <c r="AH631" s="12"/>
      <c r="AI631" s="12"/>
      <c r="AJ631" s="12"/>
      <c r="AK631" s="5"/>
      <c r="AL631" s="12"/>
      <c r="AM631" s="12"/>
      <c r="AN631" s="12"/>
      <c r="AO631" s="12"/>
      <c r="AP631" s="5"/>
      <c r="AQ631" s="12"/>
      <c r="AR631" s="12"/>
      <c r="AS631" s="12"/>
      <c r="AT631" s="12"/>
      <c r="AU631" s="5"/>
      <c r="AV631" s="12"/>
      <c r="AW631" s="12"/>
      <c r="AX631" s="12"/>
      <c r="AY631" s="12"/>
      <c r="AZ631" s="5"/>
      <c r="BA631" s="12"/>
      <c r="BB631" s="12"/>
      <c r="BC631" s="12"/>
      <c r="BD631" s="12"/>
      <c r="BE631" s="5"/>
      <c r="BF631" s="12"/>
      <c r="BG631" s="12"/>
      <c r="BH631" s="12"/>
      <c r="BI631" s="12"/>
      <c r="BJ631" s="11"/>
      <c r="BK631" s="12"/>
      <c r="BL631" s="12"/>
      <c r="BM631" s="12"/>
      <c r="BN631" s="12"/>
      <c r="BO631" s="11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</row>
    <row r="632" spans="1:82">
      <c r="A632" s="137" t="s">
        <v>1897</v>
      </c>
      <c r="B632" s="5"/>
      <c r="C632" s="5"/>
      <c r="D632" s="5"/>
      <c r="E632" s="5"/>
      <c r="F632" s="5"/>
      <c r="G632" s="5"/>
      <c r="H632" s="93"/>
      <c r="I632" s="93"/>
      <c r="J632" s="93"/>
      <c r="K632" s="93"/>
      <c r="L632" s="5"/>
      <c r="M632" s="93"/>
      <c r="N632" s="93"/>
      <c r="O632" s="93"/>
      <c r="P632" s="93"/>
      <c r="Q632" s="5"/>
      <c r="R632" s="93"/>
      <c r="S632" s="93"/>
      <c r="T632" s="93"/>
      <c r="U632" s="93"/>
      <c r="V632" s="5"/>
      <c r="W632" s="93"/>
      <c r="X632" s="93"/>
      <c r="Y632" s="93"/>
      <c r="Z632" s="93"/>
      <c r="AA632" s="5"/>
      <c r="AB632" s="93"/>
      <c r="AC632" s="93"/>
      <c r="AD632" s="93"/>
      <c r="AE632" s="93"/>
      <c r="AF632" s="5"/>
      <c r="AG632" s="93"/>
      <c r="AH632" s="93"/>
      <c r="AI632" s="93"/>
      <c r="AJ632" s="93"/>
      <c r="AK632" s="5"/>
      <c r="AL632" s="93"/>
      <c r="AM632" s="93"/>
      <c r="AN632" s="93"/>
      <c r="AO632" s="93"/>
      <c r="AP632" s="5"/>
      <c r="AQ632" s="93"/>
      <c r="AR632" s="93"/>
      <c r="AS632" s="93"/>
      <c r="AT632" s="93"/>
      <c r="AU632" s="5"/>
      <c r="AV632" s="93"/>
      <c r="AW632" s="93"/>
      <c r="AX632" s="93"/>
      <c r="AY632" s="93"/>
      <c r="AZ632" s="5"/>
      <c r="BA632" s="93"/>
      <c r="BB632" s="93"/>
      <c r="BC632" s="93"/>
      <c r="BD632" s="93"/>
      <c r="BE632" s="116"/>
      <c r="BF632" s="93"/>
      <c r="BG632" s="93"/>
      <c r="BH632" s="93"/>
      <c r="BI632" s="93"/>
      <c r="BJ632" s="5">
        <v>-13</v>
      </c>
      <c r="BK632" s="93"/>
      <c r="BL632" s="93"/>
      <c r="BM632" s="93"/>
      <c r="BN632" s="93"/>
      <c r="BO632" s="5">
        <v>-68</v>
      </c>
      <c r="BP632" s="12">
        <f t="shared" ref="BP632" si="292">BT632/4</f>
        <v>0</v>
      </c>
      <c r="BQ632" s="12">
        <f t="shared" ref="BQ632" si="293">BT632/4</f>
        <v>0</v>
      </c>
      <c r="BR632" s="12">
        <f t="shared" ref="BR632" si="294">BT632/4</f>
        <v>0</v>
      </c>
      <c r="BS632" s="12">
        <f t="shared" ref="BS632" si="295">BT632/4</f>
        <v>0</v>
      </c>
      <c r="BT632" s="147">
        <v>0</v>
      </c>
      <c r="BU632" s="12">
        <f t="shared" ref="BU632" si="296">BY632/4</f>
        <v>0</v>
      </c>
      <c r="BV632" s="12">
        <f t="shared" ref="BV632" si="297">BY632/4</f>
        <v>0</v>
      </c>
      <c r="BW632" s="12">
        <f t="shared" ref="BW632" si="298">BY632/4</f>
        <v>0</v>
      </c>
      <c r="BX632" s="12">
        <f t="shared" ref="BX632" si="299">BY632/4</f>
        <v>0</v>
      </c>
      <c r="BY632" s="147">
        <v>0</v>
      </c>
      <c r="BZ632" s="12">
        <f t="shared" ref="BZ632" si="300">CD632/4</f>
        <v>0</v>
      </c>
      <c r="CA632" s="12">
        <f t="shared" ref="CA632" si="301">CD632/4</f>
        <v>0</v>
      </c>
      <c r="CB632" s="12">
        <f t="shared" ref="CB632" si="302">CD632/4</f>
        <v>0</v>
      </c>
      <c r="CC632" s="12">
        <f t="shared" ref="CC632" si="303">CD632/4</f>
        <v>0</v>
      </c>
      <c r="CD632" s="147">
        <v>0</v>
      </c>
    </row>
    <row r="633" spans="1:82">
      <c r="A633" s="137" t="s">
        <v>2149</v>
      </c>
      <c r="B633" s="5"/>
      <c r="C633" s="5"/>
      <c r="D633" s="5"/>
      <c r="E633" s="5"/>
      <c r="F633" s="5"/>
      <c r="G633" s="5"/>
      <c r="H633" s="93"/>
      <c r="I633" s="93"/>
      <c r="J633" s="93"/>
      <c r="K633" s="93"/>
      <c r="L633" s="5"/>
      <c r="M633" s="93"/>
      <c r="N633" s="93"/>
      <c r="O633" s="93"/>
      <c r="P633" s="93"/>
      <c r="Q633" s="5"/>
      <c r="R633" s="93"/>
      <c r="S633" s="93"/>
      <c r="T633" s="93"/>
      <c r="U633" s="93"/>
      <c r="V633" s="5"/>
      <c r="W633" s="93"/>
      <c r="X633" s="93"/>
      <c r="Y633" s="93"/>
      <c r="Z633" s="93"/>
      <c r="AA633" s="5"/>
      <c r="AB633" s="93"/>
      <c r="AC633" s="93"/>
      <c r="AD633" s="93"/>
      <c r="AE633" s="93"/>
      <c r="AF633" s="5"/>
      <c r="AG633" s="93"/>
      <c r="AH633" s="93"/>
      <c r="AI633" s="93"/>
      <c r="AJ633" s="93"/>
      <c r="AK633" s="5"/>
      <c r="AL633" s="93"/>
      <c r="AM633" s="93"/>
      <c r="AN633" s="93"/>
      <c r="AO633" s="93"/>
      <c r="AP633" s="5"/>
      <c r="AQ633" s="93"/>
      <c r="AR633" s="93"/>
      <c r="AS633" s="93"/>
      <c r="AT633" s="93"/>
      <c r="AU633" s="5"/>
      <c r="AV633" s="93"/>
      <c r="AW633" s="93"/>
      <c r="AX633" s="93"/>
      <c r="AY633" s="93"/>
      <c r="AZ633" s="5"/>
      <c r="BA633" s="93"/>
      <c r="BB633" s="93"/>
      <c r="BC633" s="93"/>
      <c r="BD633" s="93"/>
      <c r="BE633" s="5"/>
      <c r="BF633" s="93"/>
      <c r="BG633" s="93"/>
      <c r="BH633" s="93"/>
      <c r="BI633" s="93"/>
      <c r="BJ633" s="5">
        <v>-36</v>
      </c>
      <c r="BK633" s="93"/>
      <c r="BL633" s="93"/>
      <c r="BM633" s="93"/>
      <c r="BN633" s="93"/>
      <c r="BO633" s="5">
        <v>-157</v>
      </c>
      <c r="BP633" s="65">
        <f>-BP$649*BP660*'Key assumptions'!BP$48/1000</f>
        <v>-63.512512884706993</v>
      </c>
      <c r="BQ633" s="65">
        <f>-BQ$649*BQ660*'Key assumptions'!BQ$48/1000</f>
        <v>-62.183934607882009</v>
      </c>
      <c r="BR633" s="65">
        <f>-BR$649*BR660*'Key assumptions'!BR$48/1000</f>
        <v>-59.154284340020425</v>
      </c>
      <c r="BS633" s="65">
        <f>-BS$649*BS660*'Key assumptions'!BS$48/1000</f>
        <v>-62.038159873346693</v>
      </c>
      <c r="BT633" s="5">
        <f>-BT$649*BT660*'Key assumptions'!BT$48/1000</f>
        <v>-171.70509279869063</v>
      </c>
      <c r="BU633" s="65">
        <f>-BU$649*BU660*'Key assumptions'!BU$48/1000</f>
        <v>-41.317620347572635</v>
      </c>
      <c r="BV633" s="65">
        <f>-BV$649*BV660*'Key assumptions'!BV$48/1000</f>
        <v>-40.580505428860285</v>
      </c>
      <c r="BW633" s="65">
        <f>-BW$649*BW660*'Key assumptions'!BW$48/1000</f>
        <v>-38.843120756505733</v>
      </c>
      <c r="BX633" s="65">
        <f>-BX$649*BX660*'Key assumptions'!BX$48/1000</f>
        <v>-40.538906404882191</v>
      </c>
      <c r="BY633" s="5">
        <f>-BY$649*BY660*'Key assumptions'!BY$48/1000</f>
        <v>-161.31835759001632</v>
      </c>
      <c r="BZ633" s="65">
        <f>-BZ$649*BZ660*'Key assumptions'!BZ$48/1000</f>
        <v>-55.517692390414737</v>
      </c>
      <c r="CA633" s="65">
        <f>-CA$649*CA660*'Key assumptions'!CA$48/1000</f>
        <v>-54.287071772477873</v>
      </c>
      <c r="CB633" s="65">
        <f>-CB$649*CB660*'Key assumptions'!CB$48/1000</f>
        <v>-52.637482848130006</v>
      </c>
      <c r="CC633" s="65">
        <f>-CC$649*CC660*'Key assumptions'!CC$48/1000</f>
        <v>-54.382065275062416</v>
      </c>
      <c r="CD633" s="5">
        <f>-CD$649*CD660*'Key assumptions'!CD$48/1000</f>
        <v>-216.84600718717053</v>
      </c>
    </row>
    <row r="634" spans="1:82">
      <c r="A634" s="137" t="s">
        <v>2150</v>
      </c>
      <c r="B634" s="5"/>
      <c r="C634" s="5"/>
      <c r="D634" s="5"/>
      <c r="E634" s="5"/>
      <c r="F634" s="5"/>
      <c r="G634" s="5"/>
      <c r="H634" s="93"/>
      <c r="I634" s="93"/>
      <c r="J634" s="93"/>
      <c r="K634" s="93"/>
      <c r="L634" s="5"/>
      <c r="M634" s="93"/>
      <c r="N634" s="93"/>
      <c r="O634" s="93"/>
      <c r="P634" s="93"/>
      <c r="Q634" s="5"/>
      <c r="R634" s="93"/>
      <c r="S634" s="93"/>
      <c r="T634" s="93"/>
      <c r="U634" s="93"/>
      <c r="V634" s="5"/>
      <c r="W634" s="93"/>
      <c r="X634" s="93"/>
      <c r="Y634" s="93"/>
      <c r="Z634" s="93"/>
      <c r="AA634" s="5"/>
      <c r="AB634" s="93"/>
      <c r="AC634" s="93"/>
      <c r="AD634" s="93"/>
      <c r="AE634" s="93"/>
      <c r="AF634" s="5"/>
      <c r="AG634" s="93"/>
      <c r="AH634" s="93"/>
      <c r="AI634" s="93"/>
      <c r="AJ634" s="93"/>
      <c r="AK634" s="5"/>
      <c r="AL634" s="93"/>
      <c r="AM634" s="93"/>
      <c r="AN634" s="93"/>
      <c r="AO634" s="93"/>
      <c r="AP634" s="5"/>
      <c r="AQ634" s="93"/>
      <c r="AR634" s="93"/>
      <c r="AS634" s="93"/>
      <c r="AT634" s="93"/>
      <c r="AU634" s="5"/>
      <c r="AV634" s="93"/>
      <c r="AW634" s="93"/>
      <c r="AX634" s="93"/>
      <c r="AY634" s="93"/>
      <c r="AZ634" s="5"/>
      <c r="BA634" s="93"/>
      <c r="BB634" s="93"/>
      <c r="BC634" s="93"/>
      <c r="BD634" s="93"/>
      <c r="BE634" s="5"/>
      <c r="BF634" s="93"/>
      <c r="BG634" s="93"/>
      <c r="BH634" s="93"/>
      <c r="BI634" s="93"/>
      <c r="BJ634" s="5">
        <v>0</v>
      </c>
      <c r="BK634" s="93"/>
      <c r="BL634" s="93"/>
      <c r="BM634" s="93"/>
      <c r="BN634" s="93"/>
      <c r="BO634" s="5">
        <v>0</v>
      </c>
      <c r="BP634" s="12">
        <f t="shared" ref="BP634:CD634" si="304">-BP630*BP672</f>
        <v>0</v>
      </c>
      <c r="BQ634" s="12">
        <f t="shared" si="304"/>
        <v>0</v>
      </c>
      <c r="BR634" s="12">
        <f t="shared" si="304"/>
        <v>0</v>
      </c>
      <c r="BS634" s="12">
        <f t="shared" si="304"/>
        <v>0</v>
      </c>
      <c r="BT634" s="5">
        <f t="shared" si="304"/>
        <v>0</v>
      </c>
      <c r="BU634" s="12">
        <f t="shared" si="304"/>
        <v>0</v>
      </c>
      <c r="BV634" s="12">
        <f t="shared" si="304"/>
        <v>0</v>
      </c>
      <c r="BW634" s="12">
        <f t="shared" si="304"/>
        <v>0</v>
      </c>
      <c r="BX634" s="12">
        <f t="shared" si="304"/>
        <v>0</v>
      </c>
      <c r="BY634" s="5">
        <f t="shared" si="304"/>
        <v>0</v>
      </c>
      <c r="BZ634" s="12">
        <f t="shared" si="304"/>
        <v>0</v>
      </c>
      <c r="CA634" s="12">
        <f t="shared" si="304"/>
        <v>0</v>
      </c>
      <c r="CB634" s="12">
        <f t="shared" si="304"/>
        <v>0</v>
      </c>
      <c r="CC634" s="12">
        <f t="shared" si="304"/>
        <v>0</v>
      </c>
      <c r="CD634" s="5">
        <f t="shared" si="304"/>
        <v>0</v>
      </c>
    </row>
    <row r="635" spans="1:82">
      <c r="A635" s="4" t="s">
        <v>2261</v>
      </c>
      <c r="B635" s="5"/>
      <c r="C635" s="5"/>
      <c r="D635" s="5"/>
      <c r="E635" s="5"/>
      <c r="F635" s="5"/>
      <c r="G635" s="5"/>
      <c r="H635" s="93"/>
      <c r="I635" s="93"/>
      <c r="J635" s="93"/>
      <c r="K635" s="93"/>
      <c r="L635" s="5"/>
      <c r="M635" s="93"/>
      <c r="N635" s="93"/>
      <c r="O635" s="93"/>
      <c r="P635" s="93"/>
      <c r="Q635" s="5"/>
      <c r="R635" s="93"/>
      <c r="S635" s="93"/>
      <c r="T635" s="93"/>
      <c r="U635" s="93"/>
      <c r="V635" s="5"/>
      <c r="W635" s="93"/>
      <c r="X635" s="93"/>
      <c r="Y635" s="93"/>
      <c r="Z635" s="93"/>
      <c r="AA635" s="5"/>
      <c r="AB635" s="93"/>
      <c r="AC635" s="93"/>
      <c r="AD635" s="93"/>
      <c r="AE635" s="93"/>
      <c r="AF635" s="5"/>
      <c r="AG635" s="93"/>
      <c r="AH635" s="93"/>
      <c r="AI635" s="93"/>
      <c r="AJ635" s="93"/>
      <c r="AK635" s="5"/>
      <c r="AL635" s="93"/>
      <c r="AM635" s="93"/>
      <c r="AN635" s="93"/>
      <c r="AO635" s="93"/>
      <c r="AP635" s="5"/>
      <c r="AQ635" s="93"/>
      <c r="AR635" s="93"/>
      <c r="AS635" s="93"/>
      <c r="AT635" s="93"/>
      <c r="AU635" s="5"/>
      <c r="AV635" s="93"/>
      <c r="AW635" s="93"/>
      <c r="AX635" s="93"/>
      <c r="AY635" s="93"/>
      <c r="AZ635" s="5"/>
      <c r="BA635" s="93"/>
      <c r="BB635" s="93"/>
      <c r="BC635" s="93"/>
      <c r="BD635" s="93"/>
      <c r="BE635" s="116"/>
      <c r="BF635" s="93"/>
      <c r="BG635" s="93"/>
      <c r="BH635" s="93"/>
      <c r="BI635" s="93"/>
      <c r="BJ635" s="5">
        <v>13</v>
      </c>
      <c r="BK635" s="93"/>
      <c r="BL635" s="93"/>
      <c r="BM635" s="93"/>
      <c r="BN635" s="93"/>
      <c r="BO635" s="5">
        <v>-67</v>
      </c>
      <c r="BP635" s="12">
        <f t="shared" ref="BP635" si="305">+BT635/4</f>
        <v>-15.9125</v>
      </c>
      <c r="BQ635" s="12">
        <f t="shared" ref="BQ635" si="306">+BT635/4</f>
        <v>-15.9125</v>
      </c>
      <c r="BR635" s="12">
        <f t="shared" ref="BR635" si="307">+BT635/4</f>
        <v>-15.9125</v>
      </c>
      <c r="BS635" s="12">
        <f t="shared" ref="BS635" si="308">+BT635/4</f>
        <v>-15.9125</v>
      </c>
      <c r="BT635" s="147">
        <f>BO635*(1-5%)</f>
        <v>-63.65</v>
      </c>
      <c r="BU635" s="12">
        <f t="shared" ref="BU635" si="309">+BY635/4</f>
        <v>-15.9125</v>
      </c>
      <c r="BV635" s="12">
        <f t="shared" ref="BV635" si="310">+BY635/4</f>
        <v>-15.9125</v>
      </c>
      <c r="BW635" s="12">
        <f t="shared" ref="BW635" si="311">+BY635/4</f>
        <v>-15.9125</v>
      </c>
      <c r="BX635" s="12">
        <f t="shared" ref="BX635" si="312">+BY635/4</f>
        <v>-15.9125</v>
      </c>
      <c r="BY635" s="147">
        <f>+BT635</f>
        <v>-63.65</v>
      </c>
      <c r="BZ635" s="12">
        <f t="shared" ref="BZ635" si="313">+CD635/4</f>
        <v>-15.9125</v>
      </c>
      <c r="CA635" s="12">
        <f t="shared" ref="CA635" si="314">+CD635/4</f>
        <v>-15.9125</v>
      </c>
      <c r="CB635" s="12">
        <f t="shared" ref="CB635" si="315">+CD635/4</f>
        <v>-15.9125</v>
      </c>
      <c r="CC635" s="12">
        <f t="shared" ref="CC635" si="316">+CD635/4</f>
        <v>-15.9125</v>
      </c>
      <c r="CD635" s="147">
        <f>+BY635</f>
        <v>-63.65</v>
      </c>
    </row>
    <row r="636" spans="1:82">
      <c r="A636" s="4" t="s">
        <v>2154</v>
      </c>
      <c r="B636" s="5"/>
      <c r="C636" s="5"/>
      <c r="D636" s="5"/>
      <c r="E636" s="5"/>
      <c r="F636" s="5"/>
      <c r="G636" s="5"/>
      <c r="H636" s="93"/>
      <c r="I636" s="93"/>
      <c r="J636" s="93"/>
      <c r="K636" s="93"/>
      <c r="L636" s="5"/>
      <c r="M636" s="93"/>
      <c r="N636" s="93"/>
      <c r="O636" s="93"/>
      <c r="P636" s="93"/>
      <c r="Q636" s="5"/>
      <c r="R636" s="93"/>
      <c r="S636" s="93"/>
      <c r="T636" s="93"/>
      <c r="U636" s="93"/>
      <c r="V636" s="5"/>
      <c r="W636" s="93"/>
      <c r="X636" s="93"/>
      <c r="Y636" s="93"/>
      <c r="Z636" s="93"/>
      <c r="AA636" s="5"/>
      <c r="AB636" s="93"/>
      <c r="AC636" s="93"/>
      <c r="AD636" s="93"/>
      <c r="AE636" s="93"/>
      <c r="AF636" s="5"/>
      <c r="AG636" s="93"/>
      <c r="AH636" s="93"/>
      <c r="AI636" s="93"/>
      <c r="AJ636" s="93"/>
      <c r="AK636" s="5"/>
      <c r="AL636" s="93"/>
      <c r="AM636" s="93"/>
      <c r="AN636" s="93"/>
      <c r="AO636" s="93"/>
      <c r="AP636" s="5"/>
      <c r="AQ636" s="93"/>
      <c r="AR636" s="93"/>
      <c r="AS636" s="93"/>
      <c r="AT636" s="93"/>
      <c r="AU636" s="5"/>
      <c r="AV636" s="93"/>
      <c r="AW636" s="93"/>
      <c r="AX636" s="93"/>
      <c r="AY636" s="93"/>
      <c r="AZ636" s="5"/>
      <c r="BA636" s="93"/>
      <c r="BB636" s="93"/>
      <c r="BC636" s="93"/>
      <c r="BD636" s="93"/>
      <c r="BE636" s="5"/>
      <c r="BF636" s="93"/>
      <c r="BG636" s="93"/>
      <c r="BH636" s="93"/>
      <c r="BI636" s="93"/>
      <c r="BJ636" s="5">
        <v>-48</v>
      </c>
      <c r="BK636" s="93"/>
      <c r="BL636" s="93"/>
      <c r="BM636" s="93"/>
      <c r="BN636" s="93"/>
      <c r="BO636" s="5">
        <v>-328</v>
      </c>
      <c r="BP636" s="12">
        <f>-BP$649*BP663*'Key assumptions'!BP$48/1000</f>
        <v>-97.208455338891014</v>
      </c>
      <c r="BQ636" s="12">
        <f>-BQ$649*BQ663*'Key assumptions'!BQ$48/1000</f>
        <v>-95.175012852976408</v>
      </c>
      <c r="BR636" s="12">
        <f>-BR$649*BR663*'Key assumptions'!BR$48/1000</f>
        <v>-90.538011270461524</v>
      </c>
      <c r="BS636" s="12">
        <f>-BS$649*BS663*'Key assumptions'!BS$48/1000</f>
        <v>-94.951898758949966</v>
      </c>
      <c r="BT636" s="5">
        <f>-BT$649*BT663*'Key assumptions'!BT$48/1000</f>
        <v>-381.79648389430429</v>
      </c>
      <c r="BU636" s="12">
        <f>-BU$649*BU663*'Key assumptions'!BU$48/1000</f>
        <v>-89.708699076734121</v>
      </c>
      <c r="BV636" s="12">
        <f>-BV$649*BV663*'Key assumptions'!BV$48/1000</f>
        <v>-88.108277274329382</v>
      </c>
      <c r="BW636" s="12">
        <f>-BW$649*BW663*'Key assumptions'!BW$48/1000</f>
        <v>-84.33607264488387</v>
      </c>
      <c r="BX636" s="12">
        <f>-BX$649*BX663*'Key assumptions'!BX$48/1000</f>
        <v>-88.017957592495222</v>
      </c>
      <c r="BY636" s="5">
        <f>-BY$649*BY663*'Key assumptions'!BY$48/1000</f>
        <v>-353.79721012744375</v>
      </c>
      <c r="BZ636" s="12">
        <f>-BZ$649*BZ663*'Key assumptions'!BZ$48/1000</f>
        <v>-118.87792882333898</v>
      </c>
      <c r="CA636" s="12">
        <f>-CA$649*CA663*'Key assumptions'!CA$48/1000</f>
        <v>-116.24284757394452</v>
      </c>
      <c r="CB636" s="12">
        <f>-CB$649*CB663*'Key assumptions'!CB$48/1000</f>
        <v>-112.71064538230135</v>
      </c>
      <c r="CC636" s="12">
        <f>-CC$649*CC663*'Key assumptions'!CC$48/1000</f>
        <v>-116.44625355774353</v>
      </c>
      <c r="CD636" s="5">
        <f>-CD$649*CD663*'Key assumptions'!CD$48/1000</f>
        <v>-469.02134496739831</v>
      </c>
    </row>
    <row r="637" spans="1:82">
      <c r="A637" s="4" t="s">
        <v>610</v>
      </c>
      <c r="B637" s="5"/>
      <c r="C637" s="5"/>
      <c r="D637" s="5"/>
      <c r="E637" s="5"/>
      <c r="F637" s="5"/>
      <c r="G637" s="5"/>
      <c r="H637" s="93"/>
      <c r="I637" s="93"/>
      <c r="J637" s="93"/>
      <c r="K637" s="93"/>
      <c r="L637" s="5"/>
      <c r="M637" s="93"/>
      <c r="N637" s="93"/>
      <c r="O637" s="93"/>
      <c r="P637" s="93"/>
      <c r="Q637" s="5"/>
      <c r="R637" s="93"/>
      <c r="S637" s="93"/>
      <c r="T637" s="93"/>
      <c r="U637" s="93"/>
      <c r="V637" s="5"/>
      <c r="W637" s="93"/>
      <c r="X637" s="93"/>
      <c r="Y637" s="93"/>
      <c r="Z637" s="93"/>
      <c r="AA637" s="5"/>
      <c r="AB637" s="93"/>
      <c r="AC637" s="93"/>
      <c r="AD637" s="93"/>
      <c r="AE637" s="93"/>
      <c r="AF637" s="5"/>
      <c r="AG637" s="93"/>
      <c r="AH637" s="93"/>
      <c r="AI637" s="93"/>
      <c r="AJ637" s="93"/>
      <c r="AK637" s="5"/>
      <c r="AL637" s="93"/>
      <c r="AM637" s="93"/>
      <c r="AN637" s="93"/>
      <c r="AO637" s="93"/>
      <c r="AP637" s="5"/>
      <c r="AQ637" s="93"/>
      <c r="AR637" s="93"/>
      <c r="AS637" s="93"/>
      <c r="AT637" s="93"/>
      <c r="AU637" s="5"/>
      <c r="AV637" s="93"/>
      <c r="AW637" s="93"/>
      <c r="AX637" s="93"/>
      <c r="AY637" s="93"/>
      <c r="AZ637" s="5"/>
      <c r="BA637" s="93"/>
      <c r="BB637" s="93"/>
      <c r="BC637" s="93"/>
      <c r="BD637" s="93"/>
      <c r="BE637" s="5"/>
      <c r="BF637" s="93"/>
      <c r="BG637" s="93"/>
      <c r="BH637" s="93"/>
      <c r="BI637" s="93"/>
      <c r="BJ637" s="5">
        <v>0</v>
      </c>
      <c r="BK637" s="93"/>
      <c r="BL637" s="93"/>
      <c r="BM637" s="93"/>
      <c r="BN637" s="93"/>
      <c r="BO637" s="5">
        <v>-6</v>
      </c>
      <c r="BP637" s="12">
        <f>-BP$649*BP664*'Key assumptions'!BP$48/1000</f>
        <v>0</v>
      </c>
      <c r="BQ637" s="12">
        <f>-BQ$649*BQ664*'Key assumptions'!BQ$48/1000</f>
        <v>0</v>
      </c>
      <c r="BR637" s="12">
        <f>-BR$649*BR664*'Key assumptions'!BR$48/1000</f>
        <v>0</v>
      </c>
      <c r="BS637" s="12">
        <f>-BS$649*BS664*'Key assumptions'!BS$48/1000</f>
        <v>0</v>
      </c>
      <c r="BT637" s="147">
        <f>-BT$649*BT664*'Key assumptions'!BT$48/1000</f>
        <v>0</v>
      </c>
      <c r="BU637" s="12">
        <f>-BU$649*BU664*'Key assumptions'!BU$48/1000</f>
        <v>0</v>
      </c>
      <c r="BV637" s="12">
        <f>-BV$649*BV664*'Key assumptions'!BV$48/1000</f>
        <v>0</v>
      </c>
      <c r="BW637" s="12">
        <f>-BW$649*BW664*'Key assumptions'!BW$48/1000</f>
        <v>0</v>
      </c>
      <c r="BX637" s="12">
        <f>-BX$649*BX664*'Key assumptions'!BX$48/1000</f>
        <v>0</v>
      </c>
      <c r="BY637" s="147">
        <f>-BY$649*BY664*'Key assumptions'!BY$48/1000</f>
        <v>0</v>
      </c>
      <c r="BZ637" s="12">
        <f>-BZ$649*BZ664*'Key assumptions'!BZ$48/1000</f>
        <v>0</v>
      </c>
      <c r="CA637" s="12">
        <f>-CA$649*CA664*'Key assumptions'!CA$48/1000</f>
        <v>0</v>
      </c>
      <c r="CB637" s="12">
        <f>-CB$649*CB664*'Key assumptions'!CB$48/1000</f>
        <v>0</v>
      </c>
      <c r="CC637" s="12">
        <f>-CC$649*CC664*'Key assumptions'!CC$48/1000</f>
        <v>0</v>
      </c>
      <c r="CD637" s="147">
        <f>-CD$649*CD664*'Key assumptions'!CD$48/1000</f>
        <v>0</v>
      </c>
    </row>
    <row r="638" spans="1:82">
      <c r="A638" s="7" t="s">
        <v>2160</v>
      </c>
      <c r="B638" s="8"/>
      <c r="C638" s="8"/>
      <c r="D638" s="8"/>
      <c r="E638" s="8"/>
      <c r="F638" s="8"/>
      <c r="G638" s="8"/>
      <c r="H638" s="93"/>
      <c r="I638" s="93"/>
      <c r="J638" s="93"/>
      <c r="K638" s="93"/>
      <c r="L638" s="8"/>
      <c r="M638" s="93"/>
      <c r="N638" s="93"/>
      <c r="O638" s="93"/>
      <c r="P638" s="93"/>
      <c r="Q638" s="8"/>
      <c r="R638" s="93"/>
      <c r="S638" s="93"/>
      <c r="T638" s="93"/>
      <c r="U638" s="93"/>
      <c r="V638" s="8"/>
      <c r="W638" s="93"/>
      <c r="X638" s="93"/>
      <c r="Y638" s="93"/>
      <c r="Z638" s="93"/>
      <c r="AA638" s="8"/>
      <c r="AB638" s="93"/>
      <c r="AC638" s="93"/>
      <c r="AD638" s="93"/>
      <c r="AE638" s="93"/>
      <c r="AF638" s="8"/>
      <c r="AG638" s="93"/>
      <c r="AH638" s="93"/>
      <c r="AI638" s="93"/>
      <c r="AJ638" s="93"/>
      <c r="AK638" s="8"/>
      <c r="AL638" s="93"/>
      <c r="AM638" s="93"/>
      <c r="AN638" s="93"/>
      <c r="AO638" s="93"/>
      <c r="AP638" s="8"/>
      <c r="AQ638" s="93"/>
      <c r="AR638" s="93"/>
      <c r="AS638" s="93"/>
      <c r="AT638" s="93"/>
      <c r="AU638" s="8"/>
      <c r="AV638" s="93"/>
      <c r="AW638" s="93"/>
      <c r="AX638" s="93"/>
      <c r="AY638" s="93"/>
      <c r="AZ638" s="8"/>
      <c r="BA638" s="93"/>
      <c r="BB638" s="93"/>
      <c r="BC638" s="93"/>
      <c r="BD638" s="93"/>
      <c r="BE638" s="8"/>
      <c r="BF638" s="93"/>
      <c r="BG638" s="93"/>
      <c r="BH638" s="93"/>
      <c r="BI638" s="93"/>
      <c r="BJ638" s="8">
        <f t="shared" ref="BJ638:CD638" si="317">BJ630+SUM(BJ632:BJ637)</f>
        <v>78</v>
      </c>
      <c r="BK638" s="93"/>
      <c r="BL638" s="93"/>
      <c r="BM638" s="93"/>
      <c r="BN638" s="93"/>
      <c r="BO638" s="8">
        <f t="shared" ref="BO638" si="318">BO630+SUM(BO632:BO637)</f>
        <v>147</v>
      </c>
      <c r="BP638" s="19">
        <f t="shared" si="317"/>
        <v>129.73132766060741</v>
      </c>
      <c r="BQ638" s="19">
        <f t="shared" si="317"/>
        <v>131.70857670066451</v>
      </c>
      <c r="BR638" s="19">
        <f t="shared" si="317"/>
        <v>126.125646765173</v>
      </c>
      <c r="BS638" s="19">
        <f t="shared" si="317"/>
        <v>126.97185938160302</v>
      </c>
      <c r="BT638" s="8">
        <f t="shared" si="317"/>
        <v>585.79810374228805</v>
      </c>
      <c r="BU638" s="19">
        <f t="shared" si="317"/>
        <v>121.5408802257088</v>
      </c>
      <c r="BV638" s="19">
        <f t="shared" si="317"/>
        <v>120.82653422420429</v>
      </c>
      <c r="BW638" s="19">
        <f t="shared" si="317"/>
        <v>118.71759186141099</v>
      </c>
      <c r="BX638" s="19">
        <f t="shared" si="317"/>
        <v>121.36365772958328</v>
      </c>
      <c r="BY638" s="8">
        <f t="shared" si="317"/>
        <v>478.78425584971092</v>
      </c>
      <c r="BZ638" s="19">
        <f t="shared" si="317"/>
        <v>164.69299325384802</v>
      </c>
      <c r="CA638" s="19">
        <f t="shared" si="317"/>
        <v>168.96731942788145</v>
      </c>
      <c r="CB638" s="19">
        <f t="shared" si="317"/>
        <v>169.8057043085538</v>
      </c>
      <c r="CC638" s="19">
        <f t="shared" si="317"/>
        <v>174.70127984682028</v>
      </c>
      <c r="CD638" s="8">
        <f t="shared" si="317"/>
        <v>673.40193230594821</v>
      </c>
    </row>
    <row r="639" spans="1:82">
      <c r="A639" s="4"/>
      <c r="B639" s="5"/>
      <c r="C639" s="5"/>
      <c r="D639" s="5"/>
      <c r="E639" s="5"/>
      <c r="F639" s="5"/>
      <c r="G639" s="5"/>
      <c r="H639" s="12"/>
      <c r="I639" s="12"/>
      <c r="J639" s="12"/>
      <c r="K639" s="12"/>
      <c r="L639" s="5"/>
      <c r="M639" s="12"/>
      <c r="N639" s="12"/>
      <c r="O639" s="12"/>
      <c r="P639" s="12"/>
      <c r="Q639" s="5"/>
      <c r="R639" s="12"/>
      <c r="S639" s="12"/>
      <c r="T639" s="12"/>
      <c r="U639" s="12"/>
      <c r="V639" s="5"/>
      <c r="W639" s="12"/>
      <c r="X639" s="12"/>
      <c r="Y639" s="12"/>
      <c r="Z639" s="12"/>
      <c r="AA639" s="5"/>
      <c r="AB639" s="12"/>
      <c r="AC639" s="12"/>
      <c r="AD639" s="12"/>
      <c r="AE639" s="12"/>
      <c r="AF639" s="5"/>
      <c r="AG639" s="12"/>
      <c r="AH639" s="12"/>
      <c r="AI639" s="12"/>
      <c r="AJ639" s="12"/>
      <c r="AK639" s="5"/>
      <c r="AL639" s="12"/>
      <c r="AM639" s="12"/>
      <c r="AN639" s="12"/>
      <c r="AO639" s="12"/>
      <c r="AP639" s="5"/>
      <c r="AQ639" s="12"/>
      <c r="AR639" s="12"/>
      <c r="AS639" s="12"/>
      <c r="AT639" s="12"/>
      <c r="AU639" s="5"/>
      <c r="AV639" s="12"/>
      <c r="AW639" s="12"/>
      <c r="AX639" s="12"/>
      <c r="AY639" s="12"/>
      <c r="AZ639" s="5"/>
      <c r="BA639" s="12"/>
      <c r="BB639" s="12"/>
      <c r="BC639" s="12"/>
      <c r="BD639" s="12"/>
      <c r="BE639" s="5"/>
      <c r="BF639" s="12"/>
      <c r="BG639" s="12"/>
      <c r="BH639" s="12"/>
      <c r="BI639" s="12"/>
      <c r="BJ639" s="11"/>
      <c r="BK639" s="12"/>
      <c r="BL639" s="12"/>
      <c r="BM639" s="12"/>
      <c r="BN639" s="12"/>
      <c r="BO639" s="11"/>
      <c r="BP639" s="12"/>
      <c r="BQ639" s="12"/>
      <c r="BR639" s="12"/>
      <c r="BS639" s="12"/>
      <c r="BT639" s="5"/>
      <c r="BU639" s="12"/>
      <c r="BV639" s="12"/>
      <c r="BW639" s="12"/>
      <c r="BX639" s="12"/>
      <c r="BY639" s="5"/>
      <c r="BZ639" s="12"/>
      <c r="CA639" s="12"/>
      <c r="CB639" s="12"/>
      <c r="CC639" s="12"/>
      <c r="CD639" s="5"/>
    </row>
    <row r="640" spans="1:82">
      <c r="A640" s="4" t="s">
        <v>2152</v>
      </c>
      <c r="B640" s="5"/>
      <c r="C640" s="5"/>
      <c r="D640" s="5"/>
      <c r="E640" s="5"/>
      <c r="F640" s="5"/>
      <c r="G640" s="5"/>
      <c r="H640" s="93"/>
      <c r="I640" s="93"/>
      <c r="J640" s="93"/>
      <c r="K640" s="93"/>
      <c r="L640" s="5"/>
      <c r="M640" s="93"/>
      <c r="N640" s="93"/>
      <c r="O640" s="93"/>
      <c r="P640" s="93"/>
      <c r="Q640" s="5"/>
      <c r="R640" s="93"/>
      <c r="S640" s="93"/>
      <c r="T640" s="93"/>
      <c r="U640" s="93"/>
      <c r="V640" s="5"/>
      <c r="W640" s="93"/>
      <c r="X640" s="93"/>
      <c r="Y640" s="93"/>
      <c r="Z640" s="93"/>
      <c r="AA640" s="5"/>
      <c r="AB640" s="93"/>
      <c r="AC640" s="93"/>
      <c r="AD640" s="93"/>
      <c r="AE640" s="93"/>
      <c r="AF640" s="5"/>
      <c r="AG640" s="93"/>
      <c r="AH640" s="93"/>
      <c r="AI640" s="93"/>
      <c r="AJ640" s="93"/>
      <c r="AK640" s="5"/>
      <c r="AL640" s="93"/>
      <c r="AM640" s="93"/>
      <c r="AN640" s="93"/>
      <c r="AO640" s="93"/>
      <c r="AP640" s="5"/>
      <c r="AQ640" s="93"/>
      <c r="AR640" s="93"/>
      <c r="AS640" s="93"/>
      <c r="AT640" s="93"/>
      <c r="AU640" s="5"/>
      <c r="AV640" s="93"/>
      <c r="AW640" s="93"/>
      <c r="AX640" s="93"/>
      <c r="AY640" s="93"/>
      <c r="AZ640" s="5"/>
      <c r="BA640" s="93"/>
      <c r="BB640" s="93"/>
      <c r="BC640" s="93"/>
      <c r="BD640" s="93"/>
      <c r="BE640" s="5"/>
      <c r="BF640" s="93"/>
      <c r="BG640" s="93"/>
      <c r="BH640" s="93"/>
      <c r="BI640" s="93"/>
      <c r="BJ640" s="5">
        <v>-75</v>
      </c>
      <c r="BK640" s="93"/>
      <c r="BL640" s="93"/>
      <c r="BM640" s="93"/>
      <c r="BN640" s="93"/>
      <c r="BO640" s="5">
        <v>-54</v>
      </c>
      <c r="BP640" s="12">
        <f>-BP638*BP677</f>
        <v>-90.811929362425175</v>
      </c>
      <c r="BQ640" s="12">
        <f>-BQ638*BQ677</f>
        <v>-92.196003690465147</v>
      </c>
      <c r="BR640" s="12">
        <f>-BR638*BR677</f>
        <v>-88.28795273562109</v>
      </c>
      <c r="BS640" s="12">
        <f>-BS638*BS677</f>
        <v>-88.880301567122117</v>
      </c>
      <c r="BT640" s="5">
        <f>SUM(BP640:BS640)</f>
        <v>-360.17618735563354</v>
      </c>
      <c r="BU640" s="12">
        <f>-BU638*BU677</f>
        <v>-85.078616157996152</v>
      </c>
      <c r="BV640" s="12">
        <f>-BV638*BV677</f>
        <v>-84.578573956943004</v>
      </c>
      <c r="BW640" s="12">
        <f>-BW638*BW677</f>
        <v>-83.102314302987693</v>
      </c>
      <c r="BX640" s="12">
        <f>-BX638*BX677</f>
        <v>-84.954560410708297</v>
      </c>
      <c r="BY640" s="5">
        <f>SUM(BU640:BX640)</f>
        <v>-337.71406482863517</v>
      </c>
      <c r="BZ640" s="12">
        <f>-BZ638*BZ677</f>
        <v>-115.2850952776936</v>
      </c>
      <c r="CA640" s="12">
        <f>-CA638*CA677</f>
        <v>-118.27712359951701</v>
      </c>
      <c r="CB640" s="12">
        <f>-CB638*CB677</f>
        <v>-118.86399301598765</v>
      </c>
      <c r="CC640" s="12">
        <f>-CC638*CC677</f>
        <v>-122.29089589277419</v>
      </c>
      <c r="CD640" s="5">
        <f>SUM(BZ640:CC640)</f>
        <v>-474.71710778597247</v>
      </c>
    </row>
    <row r="641" spans="1:82">
      <c r="A641" s="14" t="s">
        <v>2153</v>
      </c>
      <c r="B641" s="15"/>
      <c r="C641" s="15"/>
      <c r="D641" s="15"/>
      <c r="E641" s="15"/>
      <c r="F641" s="15"/>
      <c r="G641" s="15"/>
      <c r="H641" s="378"/>
      <c r="I641" s="378"/>
      <c r="J641" s="378"/>
      <c r="K641" s="378"/>
      <c r="L641" s="15"/>
      <c r="M641" s="378"/>
      <c r="N641" s="378"/>
      <c r="O641" s="378"/>
      <c r="P641" s="378"/>
      <c r="Q641" s="15"/>
      <c r="R641" s="378"/>
      <c r="S641" s="378"/>
      <c r="T641" s="378"/>
      <c r="U641" s="378"/>
      <c r="V641" s="15"/>
      <c r="W641" s="378"/>
      <c r="X641" s="378"/>
      <c r="Y641" s="378"/>
      <c r="Z641" s="378"/>
      <c r="AA641" s="15"/>
      <c r="AB641" s="378"/>
      <c r="AC641" s="378"/>
      <c r="AD641" s="378"/>
      <c r="AE641" s="378"/>
      <c r="AF641" s="15"/>
      <c r="AG641" s="378"/>
      <c r="AH641" s="378"/>
      <c r="AI641" s="378"/>
      <c r="AJ641" s="378"/>
      <c r="AK641" s="15"/>
      <c r="AL641" s="378"/>
      <c r="AM641" s="378"/>
      <c r="AN641" s="378"/>
      <c r="AO641" s="378"/>
      <c r="AP641" s="15"/>
      <c r="AQ641" s="378"/>
      <c r="AR641" s="378"/>
      <c r="AS641" s="378"/>
      <c r="AT641" s="378"/>
      <c r="AU641" s="15"/>
      <c r="AV641" s="378"/>
      <c r="AW641" s="378"/>
      <c r="AX641" s="378"/>
      <c r="AY641" s="378"/>
      <c r="AZ641" s="15"/>
      <c r="BA641" s="378"/>
      <c r="BB641" s="378"/>
      <c r="BC641" s="378"/>
      <c r="BD641" s="378"/>
      <c r="BE641" s="15"/>
      <c r="BF641" s="378"/>
      <c r="BG641" s="378"/>
      <c r="BH641" s="378"/>
      <c r="BI641" s="378"/>
      <c r="BJ641" s="15">
        <f t="shared" ref="BJ641:CD641" si="319">SUM(BJ638,BJ640)</f>
        <v>3</v>
      </c>
      <c r="BK641" s="378"/>
      <c r="BL641" s="378"/>
      <c r="BM641" s="378"/>
      <c r="BN641" s="378"/>
      <c r="BO641" s="15">
        <f t="shared" ref="BO641" si="320">SUM(BO638,BO640)</f>
        <v>93</v>
      </c>
      <c r="BP641" s="16">
        <f t="shared" si="319"/>
        <v>38.91939829818223</v>
      </c>
      <c r="BQ641" s="16">
        <f t="shared" si="319"/>
        <v>39.512573010199361</v>
      </c>
      <c r="BR641" s="16">
        <f t="shared" si="319"/>
        <v>37.837694029551912</v>
      </c>
      <c r="BS641" s="16">
        <f t="shared" si="319"/>
        <v>38.091557814480907</v>
      </c>
      <c r="BT641" s="15">
        <f t="shared" si="319"/>
        <v>225.6219163866545</v>
      </c>
      <c r="BU641" s="16">
        <f t="shared" si="319"/>
        <v>36.462264067712653</v>
      </c>
      <c r="BV641" s="16">
        <f t="shared" si="319"/>
        <v>36.247960267261291</v>
      </c>
      <c r="BW641" s="16">
        <f t="shared" si="319"/>
        <v>35.615277558423301</v>
      </c>
      <c r="BX641" s="16">
        <f t="shared" si="319"/>
        <v>36.409097318874984</v>
      </c>
      <c r="BY641" s="15">
        <f t="shared" si="319"/>
        <v>141.07019102107574</v>
      </c>
      <c r="BZ641" s="16">
        <f t="shared" si="319"/>
        <v>49.407897976154416</v>
      </c>
      <c r="CA641" s="16">
        <f t="shared" si="319"/>
        <v>50.690195828364438</v>
      </c>
      <c r="CB641" s="16">
        <f t="shared" si="319"/>
        <v>50.941711292566154</v>
      </c>
      <c r="CC641" s="16">
        <f t="shared" si="319"/>
        <v>52.410383954046097</v>
      </c>
      <c r="CD641" s="15">
        <f t="shared" si="319"/>
        <v>198.68482451997573</v>
      </c>
    </row>
    <row r="642" spans="1:82">
      <c r="A642" s="75"/>
      <c r="B642" s="76"/>
      <c r="C642" s="76"/>
      <c r="D642" s="76"/>
      <c r="E642" s="76"/>
      <c r="F642" s="76"/>
      <c r="G642" s="76"/>
      <c r="H642" s="76"/>
      <c r="I642" s="76"/>
      <c r="J642" s="76"/>
      <c r="K642" s="76"/>
      <c r="L642" s="76"/>
      <c r="M642" s="76"/>
      <c r="N642" s="76"/>
      <c r="O642" s="76"/>
      <c r="P642" s="76"/>
      <c r="Q642" s="76"/>
      <c r="R642" s="76"/>
      <c r="S642" s="76"/>
      <c r="T642" s="76"/>
      <c r="U642" s="76"/>
      <c r="V642" s="76"/>
      <c r="W642" s="76"/>
      <c r="X642" s="76"/>
      <c r="Y642" s="76"/>
      <c r="Z642" s="76"/>
      <c r="AA642" s="76"/>
      <c r="AB642" s="76"/>
      <c r="AC642" s="76"/>
      <c r="AD642" s="76"/>
      <c r="AE642" s="76"/>
      <c r="AF642" s="76"/>
      <c r="AG642" s="76"/>
      <c r="AH642" s="76"/>
      <c r="AI642" s="76"/>
      <c r="AJ642" s="76"/>
      <c r="AK642" s="76"/>
      <c r="AL642" s="76"/>
      <c r="AM642" s="76"/>
      <c r="AN642" s="76"/>
      <c r="AO642" s="76"/>
      <c r="AP642" s="76"/>
      <c r="AQ642" s="76"/>
      <c r="AR642" s="76"/>
      <c r="AS642" s="76"/>
      <c r="AT642" s="76"/>
      <c r="AU642" s="76"/>
      <c r="AV642" s="76"/>
      <c r="AW642" s="76"/>
      <c r="AX642" s="76"/>
      <c r="AY642" s="76"/>
      <c r="AZ642" s="76"/>
      <c r="BA642" s="76"/>
      <c r="BB642" s="76"/>
      <c r="BC642" s="76"/>
      <c r="BD642" s="76"/>
      <c r="BE642" s="76"/>
      <c r="BF642" s="76"/>
      <c r="BG642" s="76"/>
      <c r="BH642" s="76"/>
      <c r="BI642" s="76"/>
      <c r="BJ642" s="76"/>
      <c r="BK642" s="76"/>
      <c r="BL642" s="76"/>
      <c r="BM642" s="76"/>
      <c r="BN642" s="76"/>
      <c r="BO642" s="76"/>
      <c r="BP642" s="76"/>
      <c r="BQ642" s="76"/>
      <c r="BR642" s="76"/>
      <c r="BS642" s="76"/>
      <c r="BT642" s="76"/>
      <c r="BU642" s="76"/>
      <c r="BV642" s="76"/>
      <c r="BW642" s="76"/>
      <c r="BX642" s="76"/>
      <c r="BY642" s="76"/>
      <c r="BZ642" s="76"/>
      <c r="CA642" s="76"/>
      <c r="CB642" s="76"/>
      <c r="CC642" s="76"/>
      <c r="CD642" s="76"/>
    </row>
    <row r="643" spans="1:82">
      <c r="A643" s="35" t="s">
        <v>3689</v>
      </c>
      <c r="B643" s="5"/>
      <c r="C643" s="5"/>
      <c r="D643" s="5"/>
      <c r="E643" s="5"/>
      <c r="F643" s="5"/>
      <c r="G643" s="5"/>
      <c r="H643" s="93"/>
      <c r="I643" s="93"/>
      <c r="J643" s="93"/>
      <c r="K643" s="93"/>
      <c r="L643" s="5"/>
      <c r="M643" s="93"/>
      <c r="N643" s="93"/>
      <c r="O643" s="93"/>
      <c r="P643" s="93"/>
      <c r="Q643" s="5"/>
      <c r="R643" s="93"/>
      <c r="S643" s="93"/>
      <c r="T643" s="93"/>
      <c r="U643" s="93"/>
      <c r="V643" s="5"/>
      <c r="W643" s="93"/>
      <c r="X643" s="93"/>
      <c r="Y643" s="93"/>
      <c r="Z643" s="93"/>
      <c r="AA643" s="5"/>
      <c r="AB643" s="93"/>
      <c r="AC643" s="93"/>
      <c r="AD643" s="93"/>
      <c r="AE643" s="93"/>
      <c r="AF643" s="5"/>
      <c r="AG643" s="93"/>
      <c r="AH643" s="93"/>
      <c r="AI643" s="93"/>
      <c r="AJ643" s="93"/>
      <c r="AK643" s="5"/>
      <c r="AL643" s="93"/>
      <c r="AM643" s="93"/>
      <c r="AN643" s="93"/>
      <c r="AO643" s="93"/>
      <c r="AP643" s="5"/>
      <c r="AQ643" s="93"/>
      <c r="AR643" s="93"/>
      <c r="AS643" s="93"/>
      <c r="AT643" s="93"/>
      <c r="AU643" s="5"/>
      <c r="AV643" s="93"/>
      <c r="AW643" s="93"/>
      <c r="AX643" s="93"/>
      <c r="AY643" s="93"/>
      <c r="AZ643" s="5"/>
      <c r="BA643" s="93"/>
      <c r="BB643" s="93"/>
      <c r="BC643" s="93"/>
      <c r="BD643" s="93"/>
      <c r="BE643" s="5"/>
      <c r="BF643" s="93"/>
      <c r="BG643" s="93"/>
      <c r="BH643" s="93"/>
      <c r="BI643" s="93"/>
      <c r="BJ643" s="5">
        <v>-4</v>
      </c>
      <c r="BK643" s="93"/>
      <c r="BL643" s="93"/>
      <c r="BM643" s="93"/>
      <c r="BN643" s="93"/>
      <c r="BO643" s="5">
        <v>-22</v>
      </c>
      <c r="BP643" s="12"/>
      <c r="BQ643" s="12"/>
      <c r="BR643" s="12"/>
      <c r="BS643" s="12"/>
      <c r="BT643" s="5"/>
      <c r="BU643" s="12"/>
      <c r="BV643" s="12"/>
      <c r="BW643" s="12"/>
      <c r="BX643" s="12"/>
      <c r="BY643" s="5"/>
      <c r="BZ643" s="12"/>
      <c r="CA643" s="12"/>
      <c r="CB643" s="12"/>
      <c r="CC643" s="12"/>
      <c r="CD643" s="5"/>
    </row>
    <row r="644" spans="1:82">
      <c r="A644" s="14" t="s">
        <v>3126</v>
      </c>
      <c r="B644" s="15"/>
      <c r="C644" s="15"/>
      <c r="D644" s="15"/>
      <c r="E644" s="15"/>
      <c r="F644" s="15"/>
      <c r="G644" s="15"/>
      <c r="H644" s="378"/>
      <c r="I644" s="378"/>
      <c r="J644" s="378"/>
      <c r="K644" s="378"/>
      <c r="L644" s="15"/>
      <c r="M644" s="378"/>
      <c r="N644" s="378"/>
      <c r="O644" s="378"/>
      <c r="P644" s="378"/>
      <c r="Q644" s="15"/>
      <c r="R644" s="378"/>
      <c r="S644" s="378"/>
      <c r="T644" s="378"/>
      <c r="U644" s="378"/>
      <c r="V644" s="15"/>
      <c r="W644" s="378"/>
      <c r="X644" s="378"/>
      <c r="Y644" s="378"/>
      <c r="Z644" s="378"/>
      <c r="AA644" s="15"/>
      <c r="AB644" s="378"/>
      <c r="AC644" s="378"/>
      <c r="AD644" s="378"/>
      <c r="AE644" s="378"/>
      <c r="AF644" s="15"/>
      <c r="AG644" s="378"/>
      <c r="AH644" s="378"/>
      <c r="AI644" s="378"/>
      <c r="AJ644" s="378"/>
      <c r="AK644" s="15"/>
      <c r="AL644" s="378"/>
      <c r="AM644" s="378"/>
      <c r="AN644" s="378"/>
      <c r="AO644" s="378"/>
      <c r="AP644" s="15"/>
      <c r="AQ644" s="378"/>
      <c r="AR644" s="378"/>
      <c r="AS644" s="378"/>
      <c r="AT644" s="378"/>
      <c r="AU644" s="15"/>
      <c r="AV644" s="378"/>
      <c r="AW644" s="378"/>
      <c r="AX644" s="378"/>
      <c r="AY644" s="378"/>
      <c r="AZ644" s="15"/>
      <c r="BA644" s="378"/>
      <c r="BB644" s="378"/>
      <c r="BC644" s="378"/>
      <c r="BD644" s="378"/>
      <c r="BE644" s="15"/>
      <c r="BF644" s="378"/>
      <c r="BG644" s="378"/>
      <c r="BH644" s="378"/>
      <c r="BI644" s="378"/>
      <c r="BJ644" s="15">
        <f>+BJ641+BJ643</f>
        <v>-1</v>
      </c>
      <c r="BK644" s="378"/>
      <c r="BL644" s="378"/>
      <c r="BM644" s="378"/>
      <c r="BN644" s="378"/>
      <c r="BO644" s="15">
        <f>+BO641+BO643</f>
        <v>71</v>
      </c>
      <c r="BP644" s="16"/>
      <c r="BQ644" s="16"/>
      <c r="BR644" s="16"/>
      <c r="BS644" s="16"/>
      <c r="BT644" s="15"/>
      <c r="BU644" s="16"/>
      <c r="BV644" s="16"/>
      <c r="BW644" s="16"/>
      <c r="BX644" s="16"/>
      <c r="BY644" s="15"/>
      <c r="BZ644" s="16"/>
      <c r="CA644" s="16"/>
      <c r="CB644" s="16"/>
      <c r="CC644" s="16"/>
      <c r="CD644" s="15"/>
    </row>
    <row r="645" spans="1:82">
      <c r="A645" s="75"/>
      <c r="B645" s="76"/>
      <c r="C645" s="76"/>
      <c r="D645" s="76"/>
      <c r="E645" s="76"/>
      <c r="F645" s="76"/>
      <c r="G645" s="76"/>
      <c r="H645" s="76"/>
      <c r="I645" s="76"/>
      <c r="J645" s="76"/>
      <c r="K645" s="76"/>
      <c r="L645" s="76"/>
      <c r="M645" s="76"/>
      <c r="N645" s="76"/>
      <c r="O645" s="76"/>
      <c r="P645" s="76"/>
      <c r="Q645" s="76"/>
      <c r="R645" s="76"/>
      <c r="S645" s="76"/>
      <c r="T645" s="76"/>
      <c r="U645" s="76"/>
      <c r="V645" s="76"/>
      <c r="W645" s="76"/>
      <c r="X645" s="76"/>
      <c r="Y645" s="76"/>
      <c r="Z645" s="76"/>
      <c r="AA645" s="76"/>
      <c r="AB645" s="76"/>
      <c r="AC645" s="76"/>
      <c r="AD645" s="76"/>
      <c r="AE645" s="76"/>
      <c r="AF645" s="76"/>
      <c r="AG645" s="76"/>
      <c r="AH645" s="76"/>
      <c r="AI645" s="76"/>
      <c r="AJ645" s="76"/>
      <c r="AK645" s="76"/>
      <c r="AL645" s="76"/>
      <c r="AM645" s="76"/>
      <c r="AN645" s="76"/>
      <c r="AO645" s="76"/>
      <c r="AP645" s="76"/>
      <c r="AQ645" s="76"/>
      <c r="AR645" s="76"/>
      <c r="AS645" s="76"/>
      <c r="AT645" s="76"/>
      <c r="AU645" s="76"/>
      <c r="AV645" s="76"/>
      <c r="AW645" s="76"/>
      <c r="AX645" s="76"/>
      <c r="AY645" s="76"/>
      <c r="AZ645" s="76"/>
      <c r="BA645" s="76"/>
      <c r="BB645" s="76"/>
      <c r="BC645" s="76"/>
      <c r="BD645" s="76"/>
      <c r="BE645" s="76"/>
      <c r="BF645" s="76"/>
      <c r="BG645" s="76"/>
      <c r="BH645" s="76"/>
      <c r="BI645" s="76"/>
      <c r="BJ645" s="76"/>
      <c r="BK645" s="76"/>
      <c r="BL645" s="76"/>
      <c r="BM645" s="76"/>
      <c r="BN645" s="76"/>
      <c r="BO645" s="76"/>
      <c r="BP645" s="76"/>
      <c r="BQ645" s="76"/>
      <c r="BR645" s="76"/>
      <c r="BS645" s="76"/>
      <c r="BT645" s="76"/>
      <c r="BU645" s="76"/>
      <c r="BV645" s="76"/>
      <c r="BW645" s="76"/>
      <c r="BX645" s="76"/>
      <c r="BY645" s="76"/>
      <c r="BZ645" s="76"/>
      <c r="CA645" s="76"/>
      <c r="CB645" s="76"/>
      <c r="CC645" s="76"/>
      <c r="CD645" s="76"/>
    </row>
    <row r="646" spans="1:82" hidden="1" outlineLevel="1">
      <c r="A646" s="39" t="s">
        <v>196</v>
      </c>
      <c r="B646" s="11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</row>
    <row r="647" spans="1:82" hidden="1" outlineLevel="1">
      <c r="A647" s="11"/>
      <c r="B647" s="11" t="s">
        <v>932</v>
      </c>
      <c r="C647" s="5"/>
      <c r="D647" s="5"/>
      <c r="E647" s="5"/>
      <c r="F647" s="5"/>
      <c r="G647" s="5"/>
      <c r="H647" s="93"/>
      <c r="I647" s="93"/>
      <c r="J647" s="93"/>
      <c r="K647" s="93"/>
      <c r="L647" s="5"/>
      <c r="M647" s="93"/>
      <c r="N647" s="93"/>
      <c r="O647" s="93"/>
      <c r="P647" s="93"/>
      <c r="Q647" s="5"/>
      <c r="R647" s="93"/>
      <c r="S647" s="93"/>
      <c r="T647" s="93"/>
      <c r="U647" s="93"/>
      <c r="V647" s="5"/>
      <c r="W647" s="93"/>
      <c r="X647" s="93"/>
      <c r="Y647" s="93"/>
      <c r="Z647" s="93"/>
      <c r="AA647" s="5"/>
      <c r="AB647" s="93"/>
      <c r="AC647" s="93"/>
      <c r="AD647" s="93"/>
      <c r="AE647" s="93"/>
      <c r="AF647" s="5"/>
      <c r="AG647" s="93"/>
      <c r="AH647" s="93"/>
      <c r="AI647" s="93"/>
      <c r="AJ647" s="93"/>
      <c r="AK647" s="5"/>
      <c r="AL647" s="93"/>
      <c r="AM647" s="93"/>
      <c r="AN647" s="93"/>
      <c r="AO647" s="93"/>
      <c r="AP647" s="5"/>
      <c r="AQ647" s="93"/>
      <c r="AR647" s="93"/>
      <c r="AS647" s="93"/>
      <c r="AT647" s="93"/>
      <c r="AU647" s="5"/>
      <c r="AV647" s="93"/>
      <c r="AW647" s="93"/>
      <c r="AX647" s="93"/>
      <c r="AY647" s="93"/>
      <c r="AZ647" s="5"/>
      <c r="BA647" s="93"/>
      <c r="BB647" s="93"/>
      <c r="BC647" s="93"/>
      <c r="BD647" s="93"/>
      <c r="BE647" s="5"/>
      <c r="BF647" s="93"/>
      <c r="BG647" s="93"/>
      <c r="BH647" s="93"/>
      <c r="BI647" s="93"/>
      <c r="BJ647" s="5">
        <f>'Production - Oil'!BJ$68</f>
        <v>7</v>
      </c>
      <c r="BK647" s="93"/>
      <c r="BL647" s="93"/>
      <c r="BM647" s="93"/>
      <c r="BN647" s="93"/>
      <c r="BO647" s="5">
        <f>'Production - Oil'!BO$68</f>
        <v>33</v>
      </c>
      <c r="BP647" s="12">
        <f>'Production - Oil'!BP$68</f>
        <v>38.978999999999999</v>
      </c>
      <c r="BQ647" s="12">
        <f>'Production - Oil'!BQ$68</f>
        <v>38.978999999999999</v>
      </c>
      <c r="BR647" s="12">
        <f>'Production - Oil'!BR$68</f>
        <v>38.978999999999999</v>
      </c>
      <c r="BS647" s="12">
        <f>'Production - Oil'!BS$68</f>
        <v>38.978999999999999</v>
      </c>
      <c r="BT647" s="5">
        <f>'Production - Oil'!BT$68</f>
        <v>38.978999999999999</v>
      </c>
      <c r="BU647" s="12">
        <f>'Production - Oil'!BU$68</f>
        <v>36.6</v>
      </c>
      <c r="BV647" s="12">
        <f>'Production - Oil'!BV$68</f>
        <v>36.6</v>
      </c>
      <c r="BW647" s="12">
        <f>'Production - Oil'!BW$68</f>
        <v>36.6</v>
      </c>
      <c r="BX647" s="12">
        <f>'Production - Oil'!BX$68</f>
        <v>36.6</v>
      </c>
      <c r="BY647" s="5">
        <f>'Production - Oil'!BY$68</f>
        <v>36.6</v>
      </c>
      <c r="BZ647" s="12">
        <f>'Production - Oil'!BZ$68</f>
        <v>50.259000000000007</v>
      </c>
      <c r="CA647" s="12">
        <f>'Production - Oil'!CA$68</f>
        <v>50.259000000000007</v>
      </c>
      <c r="CB647" s="12">
        <f>'Production - Oil'!CB$68</f>
        <v>50.259000000000007</v>
      </c>
      <c r="CC647" s="12">
        <f>'Production - Oil'!CC$68</f>
        <v>50.259000000000007</v>
      </c>
      <c r="CD647" s="5">
        <f>'Production - Oil'!CD$68</f>
        <v>50.259000000000007</v>
      </c>
    </row>
    <row r="648" spans="1:82" hidden="1" outlineLevel="1">
      <c r="A648" s="11"/>
      <c r="B648" s="11" t="s">
        <v>933</v>
      </c>
      <c r="C648" s="5"/>
      <c r="D648" s="5"/>
      <c r="E648" s="5"/>
      <c r="F648" s="5"/>
      <c r="G648" s="5"/>
      <c r="H648" s="93"/>
      <c r="I648" s="93"/>
      <c r="J648" s="93"/>
      <c r="K648" s="93"/>
      <c r="L648" s="5"/>
      <c r="M648" s="93"/>
      <c r="N648" s="93"/>
      <c r="O648" s="93"/>
      <c r="P648" s="93"/>
      <c r="Q648" s="5"/>
      <c r="R648" s="93"/>
      <c r="S648" s="93"/>
      <c r="T648" s="93"/>
      <c r="U648" s="93"/>
      <c r="V648" s="5"/>
      <c r="W648" s="93"/>
      <c r="X648" s="93"/>
      <c r="Y648" s="93"/>
      <c r="Z648" s="93"/>
      <c r="AA648" s="5"/>
      <c r="AB648" s="93"/>
      <c r="AC648" s="93"/>
      <c r="AD648" s="93"/>
      <c r="AE648" s="93"/>
      <c r="AF648" s="5"/>
      <c r="AG648" s="93"/>
      <c r="AH648" s="93"/>
      <c r="AI648" s="93"/>
      <c r="AJ648" s="93"/>
      <c r="AK648" s="5"/>
      <c r="AL648" s="93"/>
      <c r="AM648" s="93"/>
      <c r="AN648" s="93"/>
      <c r="AO648" s="93"/>
      <c r="AP648" s="5"/>
      <c r="AQ648" s="93"/>
      <c r="AR648" s="93"/>
      <c r="AS648" s="93"/>
      <c r="AT648" s="93"/>
      <c r="AU648" s="5"/>
      <c r="AV648" s="93"/>
      <c r="AW648" s="93"/>
      <c r="AX648" s="93"/>
      <c r="AY648" s="93"/>
      <c r="AZ648" s="5"/>
      <c r="BA648" s="93"/>
      <c r="BB648" s="93"/>
      <c r="BC648" s="93"/>
      <c r="BD648" s="93"/>
      <c r="BE648" s="5"/>
      <c r="BF648" s="93"/>
      <c r="BG648" s="93"/>
      <c r="BH648" s="93"/>
      <c r="BI648" s="93"/>
      <c r="BJ648" s="12">
        <f>'Production - Gas'!BJ$66</f>
        <v>12</v>
      </c>
      <c r="BK648" s="93"/>
      <c r="BL648" s="93"/>
      <c r="BM648" s="93"/>
      <c r="BN648" s="93"/>
      <c r="BO648" s="5">
        <f>'Production - Gas'!BO$66</f>
        <v>53</v>
      </c>
      <c r="BP648" s="12">
        <f>'Production - Gas'!BP$66</f>
        <v>67.385877422560867</v>
      </c>
      <c r="BQ648" s="12">
        <f>'Production - Gas'!BQ$66</f>
        <v>58.089666380795173</v>
      </c>
      <c r="BR648" s="12">
        <f>'Production - Gas'!BR$66</f>
        <v>41.306490824860099</v>
      </c>
      <c r="BS648" s="12">
        <f>'Production - Gas'!BS$66</f>
        <v>54.341965371783857</v>
      </c>
      <c r="BT648" s="5">
        <f>'Production - Gas'!BT$66</f>
        <v>55.280999999999999</v>
      </c>
      <c r="BU648" s="12">
        <f>'Production - Gas'!BU$66</f>
        <v>55.599657043068085</v>
      </c>
      <c r="BV648" s="12">
        <f>'Production - Gas'!BV$66</f>
        <v>47.929412690812939</v>
      </c>
      <c r="BW648" s="12">
        <f>'Production - Gas'!BW$66</f>
        <v>34.081721739901944</v>
      </c>
      <c r="BX648" s="12">
        <f>'Production - Gas'!BX$66</f>
        <v>44.837208526217069</v>
      </c>
      <c r="BY648" s="5">
        <f>'Production - Gas'!BY$66</f>
        <v>45.612000000000009</v>
      </c>
      <c r="BZ648" s="12">
        <f>'Production - Gas'!BZ$66</f>
        <v>55.80444399350295</v>
      </c>
      <c r="CA648" s="12">
        <f>'Production - Gas'!CA$66</f>
        <v>48.10594828083434</v>
      </c>
      <c r="CB648" s="12">
        <f>'Production - Gas'!CB$66</f>
        <v>34.207252943363827</v>
      </c>
      <c r="CC648" s="12">
        <f>'Production - Gas'!CC$66</f>
        <v>45.00235478229888</v>
      </c>
      <c r="CD648" s="5">
        <f>'Production - Gas'!CD$66</f>
        <v>45.78</v>
      </c>
    </row>
    <row r="649" spans="1:82" hidden="1" outlineLevel="1">
      <c r="A649" s="11"/>
      <c r="B649" s="39" t="s">
        <v>896</v>
      </c>
      <c r="C649" s="8"/>
      <c r="D649" s="8"/>
      <c r="E649" s="8"/>
      <c r="F649" s="8"/>
      <c r="G649" s="8"/>
      <c r="H649" s="93"/>
      <c r="I649" s="93"/>
      <c r="J649" s="93"/>
      <c r="K649" s="93"/>
      <c r="L649" s="8"/>
      <c r="M649" s="93"/>
      <c r="N649" s="93"/>
      <c r="O649" s="93"/>
      <c r="P649" s="93"/>
      <c r="Q649" s="8"/>
      <c r="R649" s="93"/>
      <c r="S649" s="93"/>
      <c r="T649" s="93"/>
      <c r="U649" s="93"/>
      <c r="V649" s="8"/>
      <c r="W649" s="93"/>
      <c r="X649" s="93"/>
      <c r="Y649" s="93"/>
      <c r="Z649" s="93"/>
      <c r="AA649" s="8"/>
      <c r="AB649" s="93"/>
      <c r="AC649" s="93"/>
      <c r="AD649" s="93"/>
      <c r="AE649" s="93"/>
      <c r="AF649" s="8"/>
      <c r="AG649" s="93"/>
      <c r="AH649" s="93"/>
      <c r="AI649" s="93"/>
      <c r="AJ649" s="93"/>
      <c r="AK649" s="8"/>
      <c r="AL649" s="93"/>
      <c r="AM649" s="93"/>
      <c r="AN649" s="93"/>
      <c r="AO649" s="93"/>
      <c r="AP649" s="8"/>
      <c r="AQ649" s="93"/>
      <c r="AR649" s="93"/>
      <c r="AS649" s="93"/>
      <c r="AT649" s="93"/>
      <c r="AU649" s="8"/>
      <c r="AV649" s="93"/>
      <c r="AW649" s="93"/>
      <c r="AX649" s="93"/>
      <c r="AY649" s="93"/>
      <c r="AZ649" s="8"/>
      <c r="BA649" s="93"/>
      <c r="BB649" s="93"/>
      <c r="BC649" s="93"/>
      <c r="BD649" s="93"/>
      <c r="BE649" s="8"/>
      <c r="BF649" s="93"/>
      <c r="BG649" s="93"/>
      <c r="BH649" s="93"/>
      <c r="BI649" s="93"/>
      <c r="BJ649" s="8">
        <f t="shared" ref="BJ649:CD649" si="321">BJ647+BJ648/5.8</f>
        <v>9.068965517241379</v>
      </c>
      <c r="BK649" s="93"/>
      <c r="BL649" s="93"/>
      <c r="BM649" s="93"/>
      <c r="BN649" s="93"/>
      <c r="BO649" s="8">
        <f t="shared" si="321"/>
        <v>42.137931034482762</v>
      </c>
      <c r="BP649" s="19">
        <f t="shared" si="321"/>
        <v>50.597254728027735</v>
      </c>
      <c r="BQ649" s="19">
        <f t="shared" si="321"/>
        <v>48.994459720826754</v>
      </c>
      <c r="BR649" s="19">
        <f t="shared" si="321"/>
        <v>46.100808762906915</v>
      </c>
      <c r="BS649" s="19">
        <f t="shared" si="321"/>
        <v>48.34830437444549</v>
      </c>
      <c r="BT649" s="8">
        <f t="shared" si="321"/>
        <v>48.510206896551722</v>
      </c>
      <c r="BU649" s="19">
        <f t="shared" si="321"/>
        <v>46.186147766046226</v>
      </c>
      <c r="BV649" s="19">
        <f t="shared" si="321"/>
        <v>44.863691843243615</v>
      </c>
      <c r="BW649" s="19">
        <f t="shared" si="321"/>
        <v>42.476158920672752</v>
      </c>
      <c r="BX649" s="19">
        <f t="shared" si="321"/>
        <v>44.330553194175359</v>
      </c>
      <c r="BY649" s="8">
        <f t="shared" si="321"/>
        <v>44.464137931034486</v>
      </c>
      <c r="BZ649" s="19">
        <f t="shared" si="321"/>
        <v>59.880455860948793</v>
      </c>
      <c r="CA649" s="19">
        <f t="shared" si="321"/>
        <v>58.553129013936967</v>
      </c>
      <c r="CB649" s="19">
        <f t="shared" si="321"/>
        <v>56.156802231614463</v>
      </c>
      <c r="CC649" s="19">
        <f t="shared" si="321"/>
        <v>58.018026686603264</v>
      </c>
      <c r="CD649" s="8">
        <f t="shared" si="321"/>
        <v>58.152103448275867</v>
      </c>
    </row>
    <row r="650" spans="1:82" hidden="1" outlineLevel="1">
      <c r="A650" s="11"/>
      <c r="B650" s="11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</row>
    <row r="651" spans="1:82" hidden="1" outlineLevel="1">
      <c r="A651" s="39" t="s">
        <v>199</v>
      </c>
      <c r="B651" s="11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</row>
    <row r="652" spans="1:82" hidden="1" outlineLevel="1">
      <c r="A652" s="11"/>
      <c r="B652" s="11" t="s">
        <v>197</v>
      </c>
      <c r="C652" s="72"/>
      <c r="D652" s="72"/>
      <c r="E652" s="296"/>
      <c r="F652" s="104"/>
      <c r="G652" s="104"/>
      <c r="H652" s="93"/>
      <c r="I652" s="93"/>
      <c r="J652" s="93"/>
      <c r="K652" s="93"/>
      <c r="L652" s="104"/>
      <c r="M652" s="93"/>
      <c r="N652" s="93"/>
      <c r="O652" s="93"/>
      <c r="P652" s="93"/>
      <c r="Q652" s="104"/>
      <c r="R652" s="93"/>
      <c r="S652" s="93"/>
      <c r="T652" s="93"/>
      <c r="U652" s="93"/>
      <c r="V652" s="104"/>
      <c r="W652" s="93"/>
      <c r="X652" s="93"/>
      <c r="Y652" s="93"/>
      <c r="Z652" s="93"/>
      <c r="AA652" s="104"/>
      <c r="AB652" s="93"/>
      <c r="AC652" s="93"/>
      <c r="AD652" s="93"/>
      <c r="AE652" s="93"/>
      <c r="AF652" s="104"/>
      <c r="AG652" s="93"/>
      <c r="AH652" s="93"/>
      <c r="AI652" s="93"/>
      <c r="AJ652" s="93"/>
      <c r="AK652" s="104"/>
      <c r="AL652" s="93"/>
      <c r="AM652" s="93"/>
      <c r="AN652" s="93"/>
      <c r="AO652" s="93"/>
      <c r="AP652" s="104"/>
      <c r="AQ652" s="93"/>
      <c r="AR652" s="93"/>
      <c r="AS652" s="93"/>
      <c r="AT652" s="93"/>
      <c r="AU652" s="104"/>
      <c r="AV652" s="93"/>
      <c r="AW652" s="93"/>
      <c r="AX652" s="93"/>
      <c r="AY652" s="93"/>
      <c r="AZ652" s="104"/>
      <c r="BA652" s="93"/>
      <c r="BB652" s="93"/>
      <c r="BC652" s="93"/>
      <c r="BD652" s="93"/>
      <c r="BE652" s="104"/>
      <c r="BF652" s="93"/>
      <c r="BG652" s="93"/>
      <c r="BH652" s="93"/>
      <c r="BI652" s="93"/>
      <c r="BJ652" s="104">
        <f>'Key assumptions'!BJ$24</f>
        <v>40.97</v>
      </c>
      <c r="BK652" s="93"/>
      <c r="BL652" s="93"/>
      <c r="BM652" s="93"/>
      <c r="BN652" s="93"/>
      <c r="BO652" s="104">
        <f>'Key assumptions'!BO$24</f>
        <v>52.252499999999998</v>
      </c>
      <c r="BP652" s="114">
        <f>'Key assumptions'!BP$24</f>
        <v>63.931696269293724</v>
      </c>
      <c r="BQ652" s="114">
        <f>'Key assumptions'!BQ$24</f>
        <v>64.542278110160112</v>
      </c>
      <c r="BR652" s="114">
        <f>'Key assumptions'!BR$24</f>
        <v>63.301418240012282</v>
      </c>
      <c r="BS652" s="114">
        <f>'Key assumptions'!BS$24</f>
        <v>62.267368348222405</v>
      </c>
      <c r="BT652" s="104">
        <f>'Key assumptions'!BT$24</f>
        <v>63.510690241922134</v>
      </c>
      <c r="BU652" s="114">
        <f>'Key assumptions'!BU$24</f>
        <v>60.012154774699752</v>
      </c>
      <c r="BV652" s="114">
        <f>'Key assumptions'!BV$24</f>
        <v>60.012154774699752</v>
      </c>
      <c r="BW652" s="114">
        <f>'Key assumptions'!BW$24</f>
        <v>60.012154774699752</v>
      </c>
      <c r="BX652" s="114">
        <f>'Key assumptions'!BX$24</f>
        <v>60.012154774699752</v>
      </c>
      <c r="BY652" s="104">
        <f>'Key assumptions'!BY$24</f>
        <v>60.012154774699752</v>
      </c>
      <c r="BZ652" s="114">
        <f>'Key assumptions'!BZ$24</f>
        <v>60.396035364151508</v>
      </c>
      <c r="CA652" s="114">
        <f>'Key assumptions'!CA$24</f>
        <v>60.782293036772778</v>
      </c>
      <c r="CB652" s="114">
        <f>'Key assumptions'!CB$24</f>
        <v>61.170942512048086</v>
      </c>
      <c r="CC652" s="114">
        <f>'Key assumptions'!CC$24</f>
        <v>61.561998600608625</v>
      </c>
      <c r="CD652" s="104">
        <f>'Key assumptions'!CD$24</f>
        <v>60.977817378395251</v>
      </c>
    </row>
    <row r="653" spans="1:82" hidden="1" outlineLevel="1">
      <c r="A653" s="11"/>
      <c r="B653" s="11" t="s">
        <v>198</v>
      </c>
      <c r="C653" s="72"/>
      <c r="D653" s="72"/>
      <c r="E653" s="296"/>
      <c r="F653" s="104"/>
      <c r="G653" s="104"/>
      <c r="H653" s="93"/>
      <c r="I653" s="93"/>
      <c r="J653" s="93"/>
      <c r="K653" s="93"/>
      <c r="L653" s="104"/>
      <c r="M653" s="93"/>
      <c r="N653" s="93"/>
      <c r="O653" s="93"/>
      <c r="P653" s="93"/>
      <c r="Q653" s="104"/>
      <c r="R653" s="93"/>
      <c r="S653" s="93"/>
      <c r="T653" s="93"/>
      <c r="U653" s="93"/>
      <c r="V653" s="104"/>
      <c r="W653" s="93"/>
      <c r="X653" s="93"/>
      <c r="Y653" s="93"/>
      <c r="Z653" s="93"/>
      <c r="AA653" s="104"/>
      <c r="AB653" s="93"/>
      <c r="AC653" s="93"/>
      <c r="AD653" s="93"/>
      <c r="AE653" s="93"/>
      <c r="AF653" s="104"/>
      <c r="AG653" s="93"/>
      <c r="AH653" s="93"/>
      <c r="AI653" s="93"/>
      <c r="AJ653" s="93"/>
      <c r="AK653" s="104"/>
      <c r="AL653" s="93"/>
      <c r="AM653" s="93"/>
      <c r="AN653" s="93"/>
      <c r="AO653" s="93"/>
      <c r="AP653" s="104"/>
      <c r="AQ653" s="93"/>
      <c r="AR653" s="93"/>
      <c r="AS653" s="93"/>
      <c r="AT653" s="93"/>
      <c r="AU653" s="104"/>
      <c r="AV653" s="93"/>
      <c r="AW653" s="93"/>
      <c r="AX653" s="93"/>
      <c r="AY653" s="93"/>
      <c r="AZ653" s="104"/>
      <c r="BA653" s="93"/>
      <c r="BB653" s="93"/>
      <c r="BC653" s="93"/>
      <c r="BD653" s="93"/>
      <c r="BE653" s="104"/>
      <c r="BF653" s="93"/>
      <c r="BG653" s="93"/>
      <c r="BH653" s="93"/>
      <c r="BI653" s="93"/>
      <c r="BJ653" s="104">
        <f>'Key assumptions'!BJ31</f>
        <v>4.4224999999999994</v>
      </c>
      <c r="BK653" s="93"/>
      <c r="BL653" s="93"/>
      <c r="BM653" s="93"/>
      <c r="BN653" s="93"/>
      <c r="BO653" s="104">
        <f>'Key assumptions'!BO31</f>
        <v>5.1349999999999998</v>
      </c>
      <c r="BP653" s="114">
        <f>'Key assumptions'!BP31</f>
        <v>6.9458581837499178</v>
      </c>
      <c r="BQ653" s="114">
        <f>'Key assumptions'!BQ31</f>
        <v>6.8599548170389806</v>
      </c>
      <c r="BR653" s="114">
        <f>'Key assumptions'!BR31</f>
        <v>7.0194924485954164</v>
      </c>
      <c r="BS653" s="114">
        <f>'Key assumptions'!BS31</f>
        <v>7.493877400965018</v>
      </c>
      <c r="BT653" s="104">
        <f>'Key assumptions'!BT31</f>
        <v>7.0797957125873339</v>
      </c>
      <c r="BU653" s="114">
        <f>'Key assumptions'!BU31</f>
        <v>7.1504379036288919</v>
      </c>
      <c r="BV653" s="114">
        <f>'Key assumptions'!BV31</f>
        <v>7.0915445932183783</v>
      </c>
      <c r="BW653" s="114">
        <f>'Key assumptions'!BW31</f>
        <v>7.051165646859074</v>
      </c>
      <c r="BX653" s="114">
        <f>'Key assumptions'!BX31</f>
        <v>7.051165646859074</v>
      </c>
      <c r="BY653" s="104">
        <f>'Key assumptions'!BY31</f>
        <v>7.0860784476413556</v>
      </c>
      <c r="BZ653" s="114">
        <f>'Key assumptions'!BZ31</f>
        <v>7.0696541175683549</v>
      </c>
      <c r="CA653" s="114">
        <f>'Key assumptions'!CA31</f>
        <v>7.0951303442988509</v>
      </c>
      <c r="CB653" s="114">
        <f>'Key assumptions'!CB31</f>
        <v>7.1276375969571104</v>
      </c>
      <c r="CC653" s="114">
        <f>'Key assumptions'!CC31</f>
        <v>7.1603461425311998</v>
      </c>
      <c r="CD653" s="104">
        <f>'Key assumptions'!CD31</f>
        <v>7.1131920503388795</v>
      </c>
    </row>
    <row r="654" spans="1:82" hidden="1" outlineLevel="1">
      <c r="A654" s="11"/>
      <c r="B654" s="39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</row>
    <row r="655" spans="1:82" hidden="1" outlineLevel="1">
      <c r="A655" s="11" t="s">
        <v>200</v>
      </c>
      <c r="B655" s="11"/>
      <c r="C655" s="296"/>
      <c r="D655" s="296"/>
      <c r="E655" s="296"/>
      <c r="F655" s="115"/>
      <c r="G655" s="115"/>
      <c r="H655" s="93"/>
      <c r="I655" s="93"/>
      <c r="J655" s="93"/>
      <c r="K655" s="93"/>
      <c r="L655" s="115"/>
      <c r="M655" s="93"/>
      <c r="N655" s="93"/>
      <c r="O655" s="93"/>
      <c r="P655" s="93"/>
      <c r="Q655" s="115"/>
      <c r="R655" s="93"/>
      <c r="S655" s="93"/>
      <c r="T655" s="93"/>
      <c r="U655" s="93"/>
      <c r="V655" s="115"/>
      <c r="W655" s="93"/>
      <c r="X655" s="93"/>
      <c r="Y655" s="93"/>
      <c r="Z655" s="93"/>
      <c r="AA655" s="115"/>
      <c r="AB655" s="93"/>
      <c r="AC655" s="93"/>
      <c r="AD655" s="93"/>
      <c r="AE655" s="93"/>
      <c r="AF655" s="115"/>
      <c r="AG655" s="93"/>
      <c r="AH655" s="93"/>
      <c r="AI655" s="93"/>
      <c r="AJ655" s="93"/>
      <c r="AK655" s="115"/>
      <c r="AL655" s="93"/>
      <c r="AM655" s="93"/>
      <c r="AN655" s="93"/>
      <c r="AO655" s="93"/>
      <c r="AP655" s="115"/>
      <c r="AQ655" s="93"/>
      <c r="AR655" s="93"/>
      <c r="AS655" s="93"/>
      <c r="AT655" s="93"/>
      <c r="AU655" s="115"/>
      <c r="AV655" s="93"/>
      <c r="AW655" s="93"/>
      <c r="AX655" s="93"/>
      <c r="AY655" s="93"/>
      <c r="AZ655" s="115"/>
      <c r="BA655" s="93"/>
      <c r="BB655" s="93"/>
      <c r="BC655" s="93"/>
      <c r="BD655" s="93"/>
      <c r="BE655" s="115"/>
      <c r="BF655" s="93"/>
      <c r="BG655" s="93"/>
      <c r="BH655" s="93"/>
      <c r="BI655" s="93"/>
      <c r="BJ655" s="115">
        <f>SUMPRODUCT(BJ647:BJ648,BJ652:BJ653)*365/1000</f>
        <v>124.04889999999997</v>
      </c>
      <c r="BK655" s="93"/>
      <c r="BL655" s="93"/>
      <c r="BM655" s="93"/>
      <c r="BN655" s="93"/>
      <c r="BO655" s="115">
        <f>SUMPRODUCT(BO647:BO648,BO652:BO653)*365/1000</f>
        <v>728.71793749999995</v>
      </c>
      <c r="BP655" s="65">
        <f>SUMPRODUCT(BP647:BP648,BP652:BP653)*90/1000</f>
        <v>266.4041703340917</v>
      </c>
      <c r="BQ655" s="65">
        <f>SUMPRODUCT(BQ647:BQ648,BQ652:BQ653)*91/1000</f>
        <v>265.20002101001995</v>
      </c>
      <c r="BR655" s="65">
        <f>SUMPRODUCT(BR647:BR648,BR652:BR653)*92/1000</f>
        <v>253.67864554404781</v>
      </c>
      <c r="BS655" s="65">
        <f>SUMPRODUCT(BS647:BS648,BS652:BS653)*92/1000</f>
        <v>260.76036349034757</v>
      </c>
      <c r="BT655" s="115">
        <f>SUM(BP655:BS655)</f>
        <v>1046.043200378507</v>
      </c>
      <c r="BU655" s="65">
        <f>SUMPRODUCT(BU647:BU648,BU652:BU653)*90/1000</f>
        <v>233.46060839131792</v>
      </c>
      <c r="BV655" s="65">
        <f>SUMPRODUCT(BV647:BV648,BV652:BV653)*91/1000</f>
        <v>230.8067973281687</v>
      </c>
      <c r="BW655" s="65">
        <f>SUMPRODUCT(BW647:BW648,BW652:BW653)*92/1000</f>
        <v>224.18198718504402</v>
      </c>
      <c r="BX655" s="65">
        <f>SUMPRODUCT(BX647:BX648,BX652:BX653)*92/1000</f>
        <v>231.15914932779194</v>
      </c>
      <c r="BY655" s="115">
        <f>SUM(BU655:BX655)</f>
        <v>919.60854223232263</v>
      </c>
      <c r="BZ655" s="65">
        <f>SUMPRODUCT(BZ647:BZ648,BZ652:BZ653)*90/1000</f>
        <v>308.69662127617545</v>
      </c>
      <c r="CA655" s="65">
        <f>SUMPRODUCT(CA647:CA648,CA652:CA653)*91/1000</f>
        <v>309.05194676026423</v>
      </c>
      <c r="CB655" s="65">
        <f>SUMPRODUCT(CB647:CB648,CB652:CB653)*92/1000</f>
        <v>305.27507177303056</v>
      </c>
      <c r="CC655" s="65">
        <f>SUMPRODUCT(CC647:CC648,CC652:CC653)*92/1000</f>
        <v>314.29747711271847</v>
      </c>
      <c r="CD655" s="115">
        <f>SUM(BZ655:CC655)</f>
        <v>1237.3211169221888</v>
      </c>
    </row>
    <row r="656" spans="1:82" hidden="1" outlineLevel="1">
      <c r="A656" s="11" t="s">
        <v>550</v>
      </c>
      <c r="B656" s="11"/>
      <c r="C656" s="296"/>
      <c r="D656" s="296"/>
      <c r="E656" s="296"/>
      <c r="F656" s="116"/>
      <c r="G656" s="116"/>
      <c r="H656" s="93"/>
      <c r="I656" s="93"/>
      <c r="J656" s="93"/>
      <c r="K656" s="93"/>
      <c r="L656" s="116"/>
      <c r="M656" s="93"/>
      <c r="N656" s="93"/>
      <c r="O656" s="93"/>
      <c r="P656" s="93"/>
      <c r="Q656" s="116"/>
      <c r="R656" s="93"/>
      <c r="S656" s="93"/>
      <c r="T656" s="93"/>
      <c r="U656" s="93"/>
      <c r="V656" s="116"/>
      <c r="W656" s="93"/>
      <c r="X656" s="93"/>
      <c r="Y656" s="93"/>
      <c r="Z656" s="93"/>
      <c r="AA656" s="116"/>
      <c r="AB656" s="93"/>
      <c r="AC656" s="93"/>
      <c r="AD656" s="93"/>
      <c r="AE656" s="93"/>
      <c r="AF656" s="116"/>
      <c r="AG656" s="93"/>
      <c r="AH656" s="93"/>
      <c r="AI656" s="93"/>
      <c r="AJ656" s="93"/>
      <c r="AK656" s="380"/>
      <c r="AL656" s="93"/>
      <c r="AM656" s="93"/>
      <c r="AN656" s="93"/>
      <c r="AO656" s="93"/>
      <c r="AP656" s="380"/>
      <c r="AQ656" s="93"/>
      <c r="AR656" s="93"/>
      <c r="AS656" s="93"/>
      <c r="AT656" s="93"/>
      <c r="AU656" s="380"/>
      <c r="AV656" s="93"/>
      <c r="AW656" s="93"/>
      <c r="AX656" s="93"/>
      <c r="AY656" s="93"/>
      <c r="AZ656" s="380"/>
      <c r="BA656" s="93"/>
      <c r="BB656" s="93"/>
      <c r="BC656" s="93"/>
      <c r="BD656" s="93"/>
      <c r="BE656" s="380"/>
      <c r="BF656" s="93"/>
      <c r="BG656" s="93"/>
      <c r="BH656" s="93"/>
      <c r="BI656" s="93"/>
      <c r="BJ656" s="116">
        <f>BJ630/BJ655-1</f>
        <v>0.3059366104818344</v>
      </c>
      <c r="BK656" s="93"/>
      <c r="BL656" s="93"/>
      <c r="BM656" s="93"/>
      <c r="BN656" s="93"/>
      <c r="BO656" s="116">
        <f>BO630/BO655-1</f>
        <v>6.0767081776410992E-2</v>
      </c>
      <c r="BP656" s="117">
        <f>BT656</f>
        <v>0.15</v>
      </c>
      <c r="BQ656" s="117">
        <f>BT656</f>
        <v>0.15</v>
      </c>
      <c r="BR656" s="117">
        <f>BT656</f>
        <v>0.15</v>
      </c>
      <c r="BS656" s="117">
        <f>BT656</f>
        <v>0.15</v>
      </c>
      <c r="BT656" s="118">
        <v>0.15</v>
      </c>
      <c r="BU656" s="117">
        <f>BY656</f>
        <v>0.15</v>
      </c>
      <c r="BV656" s="117">
        <f>BY656</f>
        <v>0.15</v>
      </c>
      <c r="BW656" s="117">
        <f>BY656</f>
        <v>0.15</v>
      </c>
      <c r="BX656" s="117">
        <f>BY656</f>
        <v>0.15</v>
      </c>
      <c r="BY656" s="118">
        <v>0.15</v>
      </c>
      <c r="BZ656" s="117">
        <f>CD656</f>
        <v>0.15</v>
      </c>
      <c r="CA656" s="117">
        <f>CD656</f>
        <v>0.15</v>
      </c>
      <c r="CB656" s="117">
        <f>CD656</f>
        <v>0.15</v>
      </c>
      <c r="CC656" s="117">
        <f>CD656</f>
        <v>0.15</v>
      </c>
      <c r="CD656" s="118">
        <v>0.15</v>
      </c>
    </row>
    <row r="657" spans="1:82" hidden="1" outlineLevel="1">
      <c r="A657" s="11"/>
      <c r="B657" s="11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11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62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</row>
    <row r="658" spans="1:82" hidden="1" outlineLevel="1">
      <c r="A658" s="39" t="s">
        <v>3090</v>
      </c>
      <c r="B658" s="11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104"/>
      <c r="AL658" s="5"/>
      <c r="AM658" s="5"/>
      <c r="AN658" s="5"/>
      <c r="AO658" s="5"/>
      <c r="AP658" s="104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</row>
    <row r="659" spans="1:82" hidden="1" outlineLevel="1">
      <c r="A659" s="11"/>
      <c r="B659" s="11" t="s">
        <v>1897</v>
      </c>
      <c r="C659" s="119"/>
      <c r="D659" s="119"/>
      <c r="E659" s="119"/>
      <c r="F659" s="119"/>
      <c r="G659" s="119"/>
      <c r="H659" s="93"/>
      <c r="I659" s="93"/>
      <c r="J659" s="93"/>
      <c r="K659" s="93"/>
      <c r="L659" s="119"/>
      <c r="M659" s="93"/>
      <c r="N659" s="93"/>
      <c r="O659" s="93"/>
      <c r="P659" s="93"/>
      <c r="Q659" s="119"/>
      <c r="R659" s="93"/>
      <c r="S659" s="93"/>
      <c r="T659" s="93"/>
      <c r="U659" s="93"/>
      <c r="V659" s="119"/>
      <c r="W659" s="93"/>
      <c r="X659" s="93"/>
      <c r="Y659" s="93"/>
      <c r="Z659" s="93"/>
      <c r="AA659" s="119"/>
      <c r="AB659" s="93"/>
      <c r="AC659" s="93"/>
      <c r="AD659" s="93"/>
      <c r="AE659" s="93"/>
      <c r="AF659" s="119"/>
      <c r="AG659" s="93"/>
      <c r="AH659" s="93"/>
      <c r="AI659" s="93"/>
      <c r="AJ659" s="93"/>
      <c r="AK659" s="119"/>
      <c r="AL659" s="93"/>
      <c r="AM659" s="93"/>
      <c r="AN659" s="93"/>
      <c r="AO659" s="93"/>
      <c r="AP659" s="119"/>
      <c r="AQ659" s="93"/>
      <c r="AR659" s="93"/>
      <c r="AS659" s="93"/>
      <c r="AT659" s="93"/>
      <c r="AU659" s="119"/>
      <c r="AV659" s="93"/>
      <c r="AW659" s="93"/>
      <c r="AX659" s="93"/>
      <c r="AY659" s="93"/>
      <c r="AZ659" s="119"/>
      <c r="BA659" s="93"/>
      <c r="BB659" s="93"/>
      <c r="BC659" s="93"/>
      <c r="BD659" s="93"/>
      <c r="BE659" s="119"/>
      <c r="BF659" s="93"/>
      <c r="BG659" s="93"/>
      <c r="BH659" s="93"/>
      <c r="BI659" s="93"/>
      <c r="BJ659" s="119">
        <f t="shared" ref="BJ659:BJ664" si="322">-1000*BJ632/(BJ$649*365)</f>
        <v>3.9272878795770616</v>
      </c>
      <c r="BK659" s="93"/>
      <c r="BL659" s="93"/>
      <c r="BM659" s="93"/>
      <c r="BN659" s="93"/>
      <c r="BO659" s="119">
        <f t="shared" ref="BO659:BO664" si="323">-1000*BO632/(BO$649*365)</f>
        <v>4.4212272717081804</v>
      </c>
      <c r="BP659" s="114">
        <f>-1000*BP632/(BP$147*90)</f>
        <v>0</v>
      </c>
      <c r="BQ659" s="114">
        <f>-1000*BQ632/(BQ$147*91)</f>
        <v>0</v>
      </c>
      <c r="BR659" s="114">
        <f>-1000*BR632/(BR$147*92)</f>
        <v>0</v>
      </c>
      <c r="BS659" s="114">
        <f>-1000*BS632/(BS$147*92)</f>
        <v>0</v>
      </c>
      <c r="BT659" s="119">
        <f>-1000*BT632/(BT649*365)</f>
        <v>0</v>
      </c>
      <c r="BU659" s="114">
        <f>-1000*BU632/(BU$147*90)</f>
        <v>0</v>
      </c>
      <c r="BV659" s="114">
        <f>-1000*BV632/(BV$147*91)</f>
        <v>0</v>
      </c>
      <c r="BW659" s="114">
        <f>-1000*BW632/(BW$147*92)</f>
        <v>0</v>
      </c>
      <c r="BX659" s="114">
        <f>-1000*BX632/(BX$147*92)</f>
        <v>0</v>
      </c>
      <c r="BY659" s="119">
        <f>-1000*BY632/(BY649*365)</f>
        <v>0</v>
      </c>
      <c r="BZ659" s="114">
        <f>-1000*BZ632/(BZ$147*90)</f>
        <v>0</v>
      </c>
      <c r="CA659" s="114">
        <f>-1000*CA632/(CA$147*91)</f>
        <v>0</v>
      </c>
      <c r="CB659" s="114">
        <f>-1000*CB632/(CB$147*92)</f>
        <v>0</v>
      </c>
      <c r="CC659" s="114">
        <f>-1000*CC632/(CC$147*92)</f>
        <v>0</v>
      </c>
      <c r="CD659" s="119">
        <f>-1000*CD632/(CD649*365)</f>
        <v>0</v>
      </c>
    </row>
    <row r="660" spans="1:82" hidden="1" outlineLevel="1">
      <c r="A660" s="11"/>
      <c r="B660" s="11" t="s">
        <v>2149</v>
      </c>
      <c r="C660" s="119"/>
      <c r="D660" s="119"/>
      <c r="E660" s="119"/>
      <c r="F660" s="119"/>
      <c r="G660" s="119"/>
      <c r="H660" s="93"/>
      <c r="I660" s="93"/>
      <c r="J660" s="93"/>
      <c r="K660" s="93"/>
      <c r="L660" s="119"/>
      <c r="M660" s="93"/>
      <c r="N660" s="93"/>
      <c r="O660" s="93"/>
      <c r="P660" s="93"/>
      <c r="Q660" s="119"/>
      <c r="R660" s="93"/>
      <c r="S660" s="93"/>
      <c r="T660" s="93"/>
      <c r="U660" s="93"/>
      <c r="V660" s="119"/>
      <c r="W660" s="93"/>
      <c r="X660" s="93"/>
      <c r="Y660" s="93"/>
      <c r="Z660" s="93"/>
      <c r="AA660" s="119"/>
      <c r="AB660" s="93"/>
      <c r="AC660" s="93"/>
      <c r="AD660" s="93"/>
      <c r="AE660" s="93"/>
      <c r="AF660" s="119"/>
      <c r="AG660" s="93"/>
      <c r="AH660" s="93"/>
      <c r="AI660" s="93"/>
      <c r="AJ660" s="93"/>
      <c r="AK660" s="119"/>
      <c r="AL660" s="93"/>
      <c r="AM660" s="93"/>
      <c r="AN660" s="93"/>
      <c r="AO660" s="93"/>
      <c r="AP660" s="119"/>
      <c r="AQ660" s="93"/>
      <c r="AR660" s="93"/>
      <c r="AS660" s="93"/>
      <c r="AT660" s="93"/>
      <c r="AU660" s="119"/>
      <c r="AV660" s="93"/>
      <c r="AW660" s="93"/>
      <c r="AX660" s="93"/>
      <c r="AY660" s="93"/>
      <c r="AZ660" s="119"/>
      <c r="BA660" s="93"/>
      <c r="BB660" s="93"/>
      <c r="BC660" s="93"/>
      <c r="BD660" s="93"/>
      <c r="BE660" s="119"/>
      <c r="BF660" s="93"/>
      <c r="BG660" s="93"/>
      <c r="BH660" s="93"/>
      <c r="BI660" s="93"/>
      <c r="BJ660" s="119">
        <f t="shared" si="322"/>
        <v>10.875566435751862</v>
      </c>
      <c r="BK660" s="93"/>
      <c r="BL660" s="93"/>
      <c r="BM660" s="93"/>
      <c r="BN660" s="93"/>
      <c r="BO660" s="119">
        <f t="shared" si="323"/>
        <v>10.20783355379683</v>
      </c>
      <c r="BP660" s="109">
        <f t="shared" ref="BP660:BS660" si="324">BP158</f>
        <v>13.947290053603334</v>
      </c>
      <c r="BQ660" s="109">
        <f t="shared" si="324"/>
        <v>13.947290053603334</v>
      </c>
      <c r="BR660" s="109">
        <f t="shared" si="324"/>
        <v>13.947290053603334</v>
      </c>
      <c r="BS660" s="109">
        <f t="shared" si="324"/>
        <v>13.947290053603334</v>
      </c>
      <c r="BT660" s="120">
        <f>BO660*(1-5%)</f>
        <v>9.6974418761069874</v>
      </c>
      <c r="BU660" s="109">
        <f>BY660</f>
        <v>9.9398779230096608</v>
      </c>
      <c r="BV660" s="109">
        <f>BY660</f>
        <v>9.9398779230096608</v>
      </c>
      <c r="BW660" s="109">
        <f>BY660</f>
        <v>9.9398779230096608</v>
      </c>
      <c r="BX660" s="109">
        <f>BY660</f>
        <v>9.9398779230096608</v>
      </c>
      <c r="BY660" s="120">
        <f>BT660*(1+2.5%)</f>
        <v>9.9398779230096608</v>
      </c>
      <c r="BZ660" s="109">
        <f>CD660</f>
        <v>10.188374871084902</v>
      </c>
      <c r="CA660" s="109">
        <f>CD660</f>
        <v>10.188374871084902</v>
      </c>
      <c r="CB660" s="109">
        <f>CD660</f>
        <v>10.188374871084902</v>
      </c>
      <c r="CC660" s="109">
        <f>CD660</f>
        <v>10.188374871084902</v>
      </c>
      <c r="CD660" s="120">
        <f>BY660*(1+2.5%)</f>
        <v>10.188374871084902</v>
      </c>
    </row>
    <row r="661" spans="1:82" hidden="1" outlineLevel="1">
      <c r="A661" s="11"/>
      <c r="B661" s="11" t="s">
        <v>2150</v>
      </c>
      <c r="C661" s="119"/>
      <c r="D661" s="119"/>
      <c r="E661" s="119"/>
      <c r="F661" s="119"/>
      <c r="G661" s="119"/>
      <c r="H661" s="93"/>
      <c r="I661" s="93"/>
      <c r="J661" s="93"/>
      <c r="K661" s="93"/>
      <c r="L661" s="119"/>
      <c r="M661" s="93"/>
      <c r="N661" s="93"/>
      <c r="O661" s="93"/>
      <c r="P661" s="93"/>
      <c r="Q661" s="119"/>
      <c r="R661" s="93"/>
      <c r="S661" s="93"/>
      <c r="T661" s="93"/>
      <c r="U661" s="93"/>
      <c r="V661" s="119"/>
      <c r="W661" s="93"/>
      <c r="X661" s="93"/>
      <c r="Y661" s="93"/>
      <c r="Z661" s="93"/>
      <c r="AA661" s="119"/>
      <c r="AB661" s="93"/>
      <c r="AC661" s="93"/>
      <c r="AD661" s="93"/>
      <c r="AE661" s="93"/>
      <c r="AF661" s="119"/>
      <c r="AG661" s="93"/>
      <c r="AH661" s="93"/>
      <c r="AI661" s="93"/>
      <c r="AJ661" s="93"/>
      <c r="AK661" s="119"/>
      <c r="AL661" s="93"/>
      <c r="AM661" s="93"/>
      <c r="AN661" s="93"/>
      <c r="AO661" s="93"/>
      <c r="AP661" s="119"/>
      <c r="AQ661" s="93"/>
      <c r="AR661" s="93"/>
      <c r="AS661" s="93"/>
      <c r="AT661" s="93"/>
      <c r="AU661" s="119"/>
      <c r="AV661" s="93"/>
      <c r="AW661" s="93"/>
      <c r="AX661" s="93"/>
      <c r="AY661" s="93"/>
      <c r="AZ661" s="119"/>
      <c r="BA661" s="93"/>
      <c r="BB661" s="93"/>
      <c r="BC661" s="93"/>
      <c r="BD661" s="93"/>
      <c r="BE661" s="119"/>
      <c r="BF661" s="93"/>
      <c r="BG661" s="93"/>
      <c r="BH661" s="93"/>
      <c r="BI661" s="93"/>
      <c r="BJ661" s="119">
        <f t="shared" si="322"/>
        <v>0</v>
      </c>
      <c r="BK661" s="93"/>
      <c r="BL661" s="93"/>
      <c r="BM661" s="93"/>
      <c r="BN661" s="93"/>
      <c r="BO661" s="119">
        <f t="shared" si="323"/>
        <v>0</v>
      </c>
      <c r="BP661" s="114">
        <f>-1000*BP634/(BP$649*90)</f>
        <v>0</v>
      </c>
      <c r="BQ661" s="114">
        <f>-1000*BQ634/(BQ$649*91)</f>
        <v>0</v>
      </c>
      <c r="BR661" s="114">
        <f>-1000*BR634/(BR$649*92)</f>
        <v>0</v>
      </c>
      <c r="BS661" s="114">
        <f>-1000*BS634/(BS$649*92)</f>
        <v>0</v>
      </c>
      <c r="BT661" s="119">
        <f>-1000*BT634/(BT649*365)</f>
        <v>0</v>
      </c>
      <c r="BU661" s="114">
        <f>-1000*BU634/(BU$649*90)</f>
        <v>0</v>
      </c>
      <c r="BV661" s="114">
        <f>-1000*BV634/(BV$649*91)</f>
        <v>0</v>
      </c>
      <c r="BW661" s="114">
        <f>-1000*BW634/(BW$649*92)</f>
        <v>0</v>
      </c>
      <c r="BX661" s="114">
        <f>-1000*BX634/(BX$649*92)</f>
        <v>0</v>
      </c>
      <c r="BY661" s="119">
        <f>-1000*BY634/(BY649*365)</f>
        <v>0</v>
      </c>
      <c r="BZ661" s="114">
        <f>-1000*BZ634/(BZ$649*90)</f>
        <v>0</v>
      </c>
      <c r="CA661" s="114">
        <f>-1000*CA634/(CA$649*91)</f>
        <v>0</v>
      </c>
      <c r="CB661" s="114">
        <f>-1000*CB634/(CB$649*92)</f>
        <v>0</v>
      </c>
      <c r="CC661" s="114">
        <f>-1000*CC634/(CC$649*92)</f>
        <v>0</v>
      </c>
      <c r="CD661" s="119">
        <f>-1000*CD634/(CD649*365)</f>
        <v>0</v>
      </c>
    </row>
    <row r="662" spans="1:82" hidden="1" outlineLevel="1">
      <c r="A662" s="11"/>
      <c r="B662" s="11" t="s">
        <v>2158</v>
      </c>
      <c r="C662" s="119"/>
      <c r="D662" s="119"/>
      <c r="E662" s="119"/>
      <c r="F662" s="119"/>
      <c r="G662" s="119"/>
      <c r="H662" s="93"/>
      <c r="I662" s="93"/>
      <c r="J662" s="93"/>
      <c r="K662" s="93"/>
      <c r="L662" s="119"/>
      <c r="M662" s="93"/>
      <c r="N662" s="93"/>
      <c r="O662" s="93"/>
      <c r="P662" s="93"/>
      <c r="Q662" s="119"/>
      <c r="R662" s="93"/>
      <c r="S662" s="93"/>
      <c r="T662" s="93"/>
      <c r="U662" s="93"/>
      <c r="V662" s="119"/>
      <c r="W662" s="93"/>
      <c r="X662" s="93"/>
      <c r="Y662" s="93"/>
      <c r="Z662" s="93"/>
      <c r="AA662" s="119"/>
      <c r="AB662" s="93"/>
      <c r="AC662" s="93"/>
      <c r="AD662" s="93"/>
      <c r="AE662" s="93"/>
      <c r="AF662" s="119"/>
      <c r="AG662" s="93"/>
      <c r="AH662" s="93"/>
      <c r="AI662" s="93"/>
      <c r="AJ662" s="93"/>
      <c r="AK662" s="119"/>
      <c r="AL662" s="93"/>
      <c r="AM662" s="93"/>
      <c r="AN662" s="93"/>
      <c r="AO662" s="93"/>
      <c r="AP662" s="119"/>
      <c r="AQ662" s="93"/>
      <c r="AR662" s="93"/>
      <c r="AS662" s="93"/>
      <c r="AT662" s="93"/>
      <c r="AU662" s="119"/>
      <c r="AV662" s="93"/>
      <c r="AW662" s="93"/>
      <c r="AX662" s="93"/>
      <c r="AY662" s="93"/>
      <c r="AZ662" s="119"/>
      <c r="BA662" s="93"/>
      <c r="BB662" s="93"/>
      <c r="BC662" s="93"/>
      <c r="BD662" s="93"/>
      <c r="BE662" s="119"/>
      <c r="BF662" s="93"/>
      <c r="BG662" s="93"/>
      <c r="BH662" s="93"/>
      <c r="BI662" s="93"/>
      <c r="BJ662" s="119">
        <f t="shared" si="322"/>
        <v>-3.9272878795770616</v>
      </c>
      <c r="BK662" s="93"/>
      <c r="BL662" s="93"/>
      <c r="BM662" s="93"/>
      <c r="BN662" s="93"/>
      <c r="BO662" s="119">
        <f t="shared" si="323"/>
        <v>4.3562092235948251</v>
      </c>
      <c r="BP662" s="114">
        <f t="shared" ref="BP662:BS662" si="325">-1000*BP635/(BP649*90)</f>
        <v>3.4943705247631995</v>
      </c>
      <c r="BQ662" s="114">
        <f t="shared" si="325"/>
        <v>3.6086846668583301</v>
      </c>
      <c r="BR662" s="114">
        <f t="shared" si="325"/>
        <v>3.8351942254387246</v>
      </c>
      <c r="BS662" s="114">
        <f t="shared" si="325"/>
        <v>3.6569132639325024</v>
      </c>
      <c r="BT662" s="119">
        <f t="shared" ref="BT662" si="326">-1000*BT635/(BT$649*365)</f>
        <v>3.5947808265528427</v>
      </c>
      <c r="BU662" s="114">
        <f t="shared" ref="BU662:BX662" si="327">-1000*BU635/(BU649*90)</f>
        <v>3.828107865829292</v>
      </c>
      <c r="BV662" s="114">
        <f t="shared" si="327"/>
        <v>3.9409497589570783</v>
      </c>
      <c r="BW662" s="114">
        <f t="shared" si="327"/>
        <v>4.1624657230836837</v>
      </c>
      <c r="BX662" s="114">
        <f t="shared" si="327"/>
        <v>3.9883453468563128</v>
      </c>
      <c r="BY662" s="119">
        <f t="shared" ref="BY662" si="328">-1000*BY635/(BY$649*365)</f>
        <v>3.9218923329697954</v>
      </c>
      <c r="BZ662" s="114">
        <f t="shared" ref="BZ662:CC662" si="329">-1000*BZ635/(BZ649*90)</f>
        <v>2.9526421102425142</v>
      </c>
      <c r="CA662" s="114">
        <f t="shared" si="329"/>
        <v>3.019574846520531</v>
      </c>
      <c r="CB662" s="114">
        <f t="shared" si="329"/>
        <v>3.1484263442625253</v>
      </c>
      <c r="CC662" s="114">
        <f t="shared" si="329"/>
        <v>3.0474244929185272</v>
      </c>
      <c r="CD662" s="119">
        <f t="shared" ref="CD662" si="330">-1000*CD635/(CD$649*365)</f>
        <v>2.9987489927848148</v>
      </c>
    </row>
    <row r="663" spans="1:82" hidden="1" outlineLevel="1">
      <c r="A663" s="11"/>
      <c r="B663" s="11" t="s">
        <v>2154</v>
      </c>
      <c r="C663" s="119"/>
      <c r="D663" s="119"/>
      <c r="E663" s="119"/>
      <c r="F663" s="119"/>
      <c r="G663" s="119"/>
      <c r="H663" s="93"/>
      <c r="I663" s="93"/>
      <c r="J663" s="93"/>
      <c r="K663" s="93"/>
      <c r="L663" s="119"/>
      <c r="M663" s="93"/>
      <c r="N663" s="93"/>
      <c r="O663" s="93"/>
      <c r="P663" s="93"/>
      <c r="Q663" s="119"/>
      <c r="R663" s="93"/>
      <c r="S663" s="93"/>
      <c r="T663" s="93"/>
      <c r="U663" s="93"/>
      <c r="V663" s="119"/>
      <c r="W663" s="93"/>
      <c r="X663" s="93"/>
      <c r="Y663" s="93"/>
      <c r="Z663" s="93"/>
      <c r="AA663" s="119"/>
      <c r="AB663" s="93"/>
      <c r="AC663" s="93"/>
      <c r="AD663" s="93"/>
      <c r="AE663" s="93"/>
      <c r="AF663" s="119"/>
      <c r="AG663" s="93"/>
      <c r="AH663" s="93"/>
      <c r="AI663" s="93"/>
      <c r="AJ663" s="93"/>
      <c r="AK663" s="119"/>
      <c r="AL663" s="93"/>
      <c r="AM663" s="93"/>
      <c r="AN663" s="93"/>
      <c r="AO663" s="93"/>
      <c r="AP663" s="119"/>
      <c r="AQ663" s="93"/>
      <c r="AR663" s="93"/>
      <c r="AS663" s="93"/>
      <c r="AT663" s="93"/>
      <c r="AU663" s="119"/>
      <c r="AV663" s="93"/>
      <c r="AW663" s="93"/>
      <c r="AX663" s="93"/>
      <c r="AY663" s="93"/>
      <c r="AZ663" s="119"/>
      <c r="BA663" s="93"/>
      <c r="BB663" s="93"/>
      <c r="BC663" s="93"/>
      <c r="BD663" s="93"/>
      <c r="BE663" s="119"/>
      <c r="BF663" s="93"/>
      <c r="BG663" s="93"/>
      <c r="BH663" s="93"/>
      <c r="BI663" s="93"/>
      <c r="BJ663" s="119">
        <f t="shared" si="322"/>
        <v>14.500755247669151</v>
      </c>
      <c r="BK663" s="93"/>
      <c r="BL663" s="93"/>
      <c r="BM663" s="93"/>
      <c r="BN663" s="93"/>
      <c r="BO663" s="119">
        <f t="shared" si="323"/>
        <v>21.325919781180637</v>
      </c>
      <c r="BP663" s="109">
        <f t="shared" ref="BP663:CC663" si="331">BP161</f>
        <v>21.346888364115046</v>
      </c>
      <c r="BQ663" s="109">
        <f t="shared" si="331"/>
        <v>21.346888364115046</v>
      </c>
      <c r="BR663" s="109">
        <f t="shared" si="331"/>
        <v>21.346888364115046</v>
      </c>
      <c r="BS663" s="109">
        <f t="shared" si="331"/>
        <v>21.346888364115046</v>
      </c>
      <c r="BT663" s="120">
        <f>BT667</f>
        <v>21.56283864805242</v>
      </c>
      <c r="BU663" s="109">
        <f t="shared" si="331"/>
        <v>21.581434505511947</v>
      </c>
      <c r="BV663" s="109">
        <f t="shared" si="331"/>
        <v>21.581434505511947</v>
      </c>
      <c r="BW663" s="109">
        <f t="shared" si="331"/>
        <v>21.581434505511947</v>
      </c>
      <c r="BX663" s="109">
        <f t="shared" si="331"/>
        <v>21.581434505511947</v>
      </c>
      <c r="BY663" s="120">
        <f>BY667</f>
        <v>21.799757514924199</v>
      </c>
      <c r="BZ663" s="109">
        <f t="shared" si="331"/>
        <v>21.815980646908844</v>
      </c>
      <c r="CA663" s="109">
        <f t="shared" si="331"/>
        <v>21.815980646908844</v>
      </c>
      <c r="CB663" s="109">
        <f t="shared" si="331"/>
        <v>21.815980646908844</v>
      </c>
      <c r="CC663" s="109">
        <f t="shared" si="331"/>
        <v>21.815980646908844</v>
      </c>
      <c r="CD663" s="120">
        <f>CD667</f>
        <v>22.036676381795989</v>
      </c>
    </row>
    <row r="664" spans="1:82" hidden="1" outlineLevel="1">
      <c r="A664" s="11"/>
      <c r="B664" s="4" t="s">
        <v>930</v>
      </c>
      <c r="C664" s="119"/>
      <c r="D664" s="119"/>
      <c r="E664" s="119"/>
      <c r="F664" s="119"/>
      <c r="G664" s="119"/>
      <c r="H664" s="93"/>
      <c r="I664" s="93"/>
      <c r="J664" s="93"/>
      <c r="K664" s="93"/>
      <c r="L664" s="119"/>
      <c r="M664" s="93"/>
      <c r="N664" s="93"/>
      <c r="O664" s="93"/>
      <c r="P664" s="93"/>
      <c r="Q664" s="119"/>
      <c r="R664" s="93"/>
      <c r="S664" s="93"/>
      <c r="T664" s="93"/>
      <c r="U664" s="93"/>
      <c r="V664" s="119"/>
      <c r="W664" s="93"/>
      <c r="X664" s="93"/>
      <c r="Y664" s="93"/>
      <c r="Z664" s="93"/>
      <c r="AA664" s="119"/>
      <c r="AB664" s="93"/>
      <c r="AC664" s="93"/>
      <c r="AD664" s="93"/>
      <c r="AE664" s="93"/>
      <c r="AF664" s="119"/>
      <c r="AG664" s="93"/>
      <c r="AH664" s="93"/>
      <c r="AI664" s="93"/>
      <c r="AJ664" s="93"/>
      <c r="AK664" s="119"/>
      <c r="AL664" s="93"/>
      <c r="AM664" s="93"/>
      <c r="AN664" s="93"/>
      <c r="AO664" s="93"/>
      <c r="AP664" s="119"/>
      <c r="AQ664" s="93"/>
      <c r="AR664" s="93"/>
      <c r="AS664" s="93"/>
      <c r="AT664" s="93"/>
      <c r="AU664" s="119"/>
      <c r="AV664" s="93"/>
      <c r="AW664" s="93"/>
      <c r="AX664" s="93"/>
      <c r="AY664" s="93"/>
      <c r="AZ664" s="119"/>
      <c r="BA664" s="93"/>
      <c r="BB664" s="93"/>
      <c r="BC664" s="93"/>
      <c r="BD664" s="93"/>
      <c r="BE664" s="119"/>
      <c r="BF664" s="93"/>
      <c r="BG664" s="93"/>
      <c r="BH664" s="93"/>
      <c r="BI664" s="93"/>
      <c r="BJ664" s="119">
        <f t="shared" si="322"/>
        <v>0</v>
      </c>
      <c r="BK664" s="93"/>
      <c r="BL664" s="93"/>
      <c r="BM664" s="93"/>
      <c r="BN664" s="93"/>
      <c r="BO664" s="119">
        <f t="shared" si="323"/>
        <v>0.39010828868013359</v>
      </c>
      <c r="BP664" s="114">
        <f t="shared" ref="BP664:CD664" si="332">BP162</f>
        <v>0</v>
      </c>
      <c r="BQ664" s="114">
        <f t="shared" si="332"/>
        <v>0</v>
      </c>
      <c r="BR664" s="114">
        <f t="shared" si="332"/>
        <v>0</v>
      </c>
      <c r="BS664" s="114">
        <f t="shared" si="332"/>
        <v>0</v>
      </c>
      <c r="BT664" s="104">
        <f t="shared" si="332"/>
        <v>0</v>
      </c>
      <c r="BU664" s="114">
        <f t="shared" si="332"/>
        <v>0</v>
      </c>
      <c r="BV664" s="114">
        <f t="shared" si="332"/>
        <v>0</v>
      </c>
      <c r="BW664" s="114">
        <f t="shared" si="332"/>
        <v>0</v>
      </c>
      <c r="BX664" s="114">
        <f t="shared" si="332"/>
        <v>0</v>
      </c>
      <c r="BY664" s="104">
        <f t="shared" si="332"/>
        <v>0</v>
      </c>
      <c r="BZ664" s="114">
        <f t="shared" si="332"/>
        <v>0</v>
      </c>
      <c r="CA664" s="114">
        <f t="shared" si="332"/>
        <v>0</v>
      </c>
      <c r="CB664" s="114">
        <f t="shared" si="332"/>
        <v>0</v>
      </c>
      <c r="CC664" s="114">
        <f t="shared" si="332"/>
        <v>0</v>
      </c>
      <c r="CD664" s="104">
        <f t="shared" si="332"/>
        <v>0</v>
      </c>
    </row>
    <row r="665" spans="1:82" hidden="1" outlineLevel="1">
      <c r="A665" s="22"/>
      <c r="B665" s="60" t="s">
        <v>646</v>
      </c>
      <c r="C665" s="173"/>
      <c r="D665" s="158"/>
      <c r="E665" s="158"/>
      <c r="F665" s="158"/>
      <c r="G665" s="158"/>
      <c r="H665" s="173"/>
      <c r="I665" s="173"/>
      <c r="J665" s="173"/>
      <c r="K665" s="173"/>
      <c r="L665" s="158"/>
      <c r="M665" s="173"/>
      <c r="N665" s="173"/>
      <c r="O665" s="173"/>
      <c r="P665" s="173"/>
      <c r="Q665" s="158"/>
      <c r="R665" s="173"/>
      <c r="S665" s="173"/>
      <c r="T665" s="173"/>
      <c r="U665" s="173"/>
      <c r="V665" s="158"/>
      <c r="W665" s="173"/>
      <c r="X665" s="173"/>
      <c r="Y665" s="173"/>
      <c r="Z665" s="173"/>
      <c r="AA665" s="158"/>
      <c r="AB665" s="173"/>
      <c r="AC665" s="173"/>
      <c r="AD665" s="173"/>
      <c r="AE665" s="173"/>
      <c r="AF665" s="158"/>
      <c r="AG665" s="173"/>
      <c r="AH665" s="173"/>
      <c r="AI665" s="173"/>
      <c r="AJ665" s="173"/>
      <c r="AK665" s="158"/>
      <c r="AL665" s="173"/>
      <c r="AM665" s="173"/>
      <c r="AN665" s="173"/>
      <c r="AO665" s="173"/>
      <c r="AP665" s="158"/>
      <c r="AQ665" s="93"/>
      <c r="AR665" s="93"/>
      <c r="AS665" s="93"/>
      <c r="AT665" s="93"/>
      <c r="AU665" s="158"/>
      <c r="AV665" s="93"/>
      <c r="AW665" s="93"/>
      <c r="AX665" s="93"/>
      <c r="AY665" s="93"/>
      <c r="AZ665" s="158"/>
      <c r="BA665" s="93"/>
      <c r="BB665" s="93"/>
      <c r="BC665" s="93"/>
      <c r="BD665" s="93"/>
      <c r="BE665" s="158"/>
      <c r="BF665" s="93"/>
      <c r="BG665" s="93"/>
      <c r="BH665" s="93"/>
      <c r="BI665" s="93"/>
      <c r="BJ665" s="158">
        <f>1000*(BJ630+BJ632+BJ633+BJ635+BJ634+BJ636)/(BJ649*365)</f>
        <v>23.56372727746237</v>
      </c>
      <c r="BK665" s="93"/>
      <c r="BL665" s="93"/>
      <c r="BM665" s="93"/>
      <c r="BN665" s="93"/>
      <c r="BO665" s="158">
        <f>1000*(BO630+BO632+BO633+BO635+BO634+BO636)/(BO649*365)</f>
        <v>9.9477613613434066</v>
      </c>
      <c r="BP665" s="93">
        <f>BP163</f>
        <v>0</v>
      </c>
      <c r="BQ665" s="93">
        <f>BQ163</f>
        <v>0</v>
      </c>
      <c r="BR665" s="93">
        <f>BR163</f>
        <v>0</v>
      </c>
      <c r="BS665" s="93">
        <f>BS163</f>
        <v>0</v>
      </c>
      <c r="BT665" s="158">
        <f>1000*(BT630+BT632+BT633+BT635+BT634+BT636)/(BT649*365)</f>
        <v>33.084301517105899</v>
      </c>
      <c r="BU665" s="93">
        <f>BU163</f>
        <v>0</v>
      </c>
      <c r="BV665" s="93">
        <f>BV163</f>
        <v>0</v>
      </c>
      <c r="BW665" s="93">
        <f>BW163</f>
        <v>0</v>
      </c>
      <c r="BX665" s="93">
        <f>BX163</f>
        <v>0</v>
      </c>
      <c r="BY665" s="158">
        <f>1000*(BY630+BY632+BY633+BY635+BY634+BY636)/(BY649*365)</f>
        <v>29.501025957009112</v>
      </c>
      <c r="BZ665" s="93">
        <f>BZ163</f>
        <v>0</v>
      </c>
      <c r="CA665" s="93">
        <f>CA163</f>
        <v>0</v>
      </c>
      <c r="CB665" s="93">
        <f>CB163</f>
        <v>0</v>
      </c>
      <c r="CC665" s="93">
        <f>CC163</f>
        <v>0</v>
      </c>
      <c r="CD665" s="158">
        <f>1000*(CD630+CD632+CD633+CD635+CD634+CD636)/(CD649*365)</f>
        <v>31.726054457844619</v>
      </c>
    </row>
    <row r="666" spans="1:82" hidden="1" outlineLevel="1">
      <c r="A666" s="11"/>
      <c r="B666" s="461"/>
      <c r="C666" s="5"/>
      <c r="D666" s="449"/>
      <c r="E666" s="449"/>
      <c r="F666" s="449"/>
      <c r="G666" s="449"/>
      <c r="H666" s="12"/>
      <c r="I666" s="12"/>
      <c r="J666" s="12"/>
      <c r="K666" s="12"/>
      <c r="L666" s="449"/>
      <c r="M666" s="12"/>
      <c r="N666" s="12"/>
      <c r="O666" s="12"/>
      <c r="P666" s="12"/>
      <c r="Q666" s="449"/>
      <c r="R666" s="12"/>
      <c r="S666" s="12"/>
      <c r="T666" s="12"/>
      <c r="U666" s="12"/>
      <c r="V666" s="449"/>
      <c r="W666" s="12"/>
      <c r="X666" s="12"/>
      <c r="Y666" s="12"/>
      <c r="Z666" s="12"/>
      <c r="AA666" s="449"/>
      <c r="AB666" s="12"/>
      <c r="AC666" s="12"/>
      <c r="AD666" s="12"/>
      <c r="AE666" s="12"/>
      <c r="AF666" s="449"/>
      <c r="AG666" s="12"/>
      <c r="AH666" s="12"/>
      <c r="AI666" s="12"/>
      <c r="AJ666" s="12"/>
      <c r="AK666" s="449"/>
      <c r="AL666" s="12"/>
      <c r="AM666" s="12"/>
      <c r="AN666" s="12"/>
      <c r="AO666" s="12"/>
      <c r="AP666" s="449"/>
      <c r="AQ666" s="12"/>
      <c r="AR666" s="12"/>
      <c r="AS666" s="12"/>
      <c r="AT666" s="12"/>
      <c r="AU666" s="449"/>
      <c r="AV666" s="12"/>
      <c r="AW666" s="12"/>
      <c r="AX666" s="12"/>
      <c r="AY666" s="12"/>
      <c r="AZ666" s="449"/>
      <c r="BA666" s="12"/>
      <c r="BB666" s="12"/>
      <c r="BC666" s="12"/>
      <c r="BD666" s="12"/>
      <c r="BE666" s="449"/>
      <c r="BF666" s="12"/>
      <c r="BG666" s="12"/>
      <c r="BH666" s="12"/>
      <c r="BI666" s="12"/>
      <c r="BJ666" s="12"/>
      <c r="BK666" s="12"/>
      <c r="BL666" s="12"/>
      <c r="BM666" s="12"/>
      <c r="BN666" s="12"/>
      <c r="BO666" s="12"/>
      <c r="BP666" s="109"/>
      <c r="BQ666" s="109"/>
      <c r="BR666" s="109"/>
      <c r="BS666" s="109"/>
      <c r="BT666" s="449"/>
      <c r="BU666" s="109"/>
      <c r="BV666" s="109"/>
      <c r="BW666" s="109"/>
      <c r="BX666" s="109"/>
      <c r="BY666" s="449"/>
      <c r="BZ666" s="109"/>
      <c r="CA666" s="109"/>
      <c r="CB666" s="109"/>
      <c r="CC666" s="109"/>
      <c r="CD666" s="449"/>
    </row>
    <row r="667" spans="1:82" hidden="1" outlineLevel="1">
      <c r="A667" s="11"/>
      <c r="B667" s="5" t="s">
        <v>2138</v>
      </c>
      <c r="C667" s="119"/>
      <c r="D667" s="119"/>
      <c r="E667" s="119"/>
      <c r="F667" s="119"/>
      <c r="G667" s="119"/>
      <c r="H667" s="93"/>
      <c r="I667" s="93"/>
      <c r="J667" s="93"/>
      <c r="K667" s="93"/>
      <c r="L667" s="119"/>
      <c r="M667" s="93"/>
      <c r="N667" s="93"/>
      <c r="O667" s="93"/>
      <c r="P667" s="93"/>
      <c r="Q667" s="119"/>
      <c r="R667" s="93"/>
      <c r="S667" s="93"/>
      <c r="T667" s="93"/>
      <c r="U667" s="93"/>
      <c r="V667" s="119"/>
      <c r="W667" s="93"/>
      <c r="X667" s="93"/>
      <c r="Y667" s="93"/>
      <c r="Z667" s="93"/>
      <c r="AA667" s="119"/>
      <c r="AB667" s="93"/>
      <c r="AC667" s="93"/>
      <c r="AD667" s="93"/>
      <c r="AE667" s="93"/>
      <c r="AF667" s="119"/>
      <c r="AG667" s="93"/>
      <c r="AH667" s="93"/>
      <c r="AI667" s="93"/>
      <c r="AJ667" s="93"/>
      <c r="AK667" s="104"/>
      <c r="AL667" s="93"/>
      <c r="AM667" s="93"/>
      <c r="AN667" s="93"/>
      <c r="AO667" s="93"/>
      <c r="AP667" s="104"/>
      <c r="AQ667" s="93"/>
      <c r="AR667" s="93"/>
      <c r="AS667" s="93"/>
      <c r="AT667" s="93"/>
      <c r="AU667" s="104"/>
      <c r="AV667" s="93"/>
      <c r="AW667" s="93"/>
      <c r="AX667" s="93"/>
      <c r="AY667" s="93"/>
      <c r="AZ667" s="104"/>
      <c r="BA667" s="93"/>
      <c r="BB667" s="93"/>
      <c r="BC667" s="93"/>
      <c r="BD667" s="93"/>
      <c r="BE667" s="104"/>
      <c r="BF667" s="93"/>
      <c r="BG667" s="93"/>
      <c r="BH667" s="93"/>
      <c r="BI667" s="93"/>
      <c r="BJ667" s="11">
        <f>BJ663</f>
        <v>14.500755247669151</v>
      </c>
      <c r="BK667" s="93"/>
      <c r="BL667" s="93"/>
      <c r="BM667" s="93"/>
      <c r="BN667" s="93"/>
      <c r="BO667" s="11">
        <f>BO663</f>
        <v>21.325919781180637</v>
      </c>
      <c r="BP667" s="93"/>
      <c r="BQ667" s="93"/>
      <c r="BR667" s="93"/>
      <c r="BS667" s="93"/>
      <c r="BT667" s="104">
        <f>$BO667*(BT$74/$BO$74)</f>
        <v>21.56283864805242</v>
      </c>
      <c r="BU667" s="93"/>
      <c r="BV667" s="93"/>
      <c r="BW667" s="93"/>
      <c r="BX667" s="93"/>
      <c r="BY667" s="104">
        <f>$BO667*(BY$74/$BO$74)</f>
        <v>21.799757514924199</v>
      </c>
      <c r="BZ667" s="93"/>
      <c r="CA667" s="93"/>
      <c r="CB667" s="93"/>
      <c r="CC667" s="93"/>
      <c r="CD667" s="104">
        <f>$BO667*(CD$74/$BO$74)</f>
        <v>22.036676381795989</v>
      </c>
    </row>
    <row r="668" spans="1:82" hidden="1" outlineLevel="1">
      <c r="A668" s="11"/>
      <c r="B668" s="11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11"/>
      <c r="BK668" s="5"/>
      <c r="BL668" s="5"/>
      <c r="BM668" s="5"/>
      <c r="BN668" s="5"/>
      <c r="BO668" s="11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</row>
    <row r="669" spans="1:82" hidden="1" outlineLevel="1">
      <c r="A669" s="39" t="s">
        <v>3094</v>
      </c>
      <c r="B669" s="11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</row>
    <row r="670" spans="1:82" hidden="1" outlineLevel="1">
      <c r="A670" s="11"/>
      <c r="B670" s="11" t="s">
        <v>1897</v>
      </c>
      <c r="C670" s="116"/>
      <c r="D670" s="116"/>
      <c r="E670" s="116"/>
      <c r="F670" s="116"/>
      <c r="G670" s="116"/>
      <c r="H670" s="93"/>
      <c r="I670" s="93"/>
      <c r="J670" s="93"/>
      <c r="K670" s="93"/>
      <c r="L670" s="116"/>
      <c r="M670" s="93"/>
      <c r="N670" s="93"/>
      <c r="O670" s="93"/>
      <c r="P670" s="93"/>
      <c r="Q670" s="116"/>
      <c r="R670" s="93"/>
      <c r="S670" s="93"/>
      <c r="T670" s="93"/>
      <c r="U670" s="93"/>
      <c r="V670" s="116"/>
      <c r="W670" s="93"/>
      <c r="X670" s="93"/>
      <c r="Y670" s="93"/>
      <c r="Z670" s="93"/>
      <c r="AA670" s="116"/>
      <c r="AB670" s="93"/>
      <c r="AC670" s="93"/>
      <c r="AD670" s="93"/>
      <c r="AE670" s="93"/>
      <c r="AF670" s="116"/>
      <c r="AG670" s="93"/>
      <c r="AH670" s="93"/>
      <c r="AI670" s="93"/>
      <c r="AJ670" s="93"/>
      <c r="AK670" s="116"/>
      <c r="AL670" s="93"/>
      <c r="AM670" s="93"/>
      <c r="AN670" s="93"/>
      <c r="AO670" s="93"/>
      <c r="AP670" s="116"/>
      <c r="AQ670" s="93"/>
      <c r="AR670" s="93"/>
      <c r="AS670" s="93"/>
      <c r="AT670" s="93"/>
      <c r="AU670" s="116"/>
      <c r="AV670" s="93"/>
      <c r="AW670" s="93"/>
      <c r="AX670" s="93"/>
      <c r="AY670" s="93"/>
      <c r="AZ670" s="116"/>
      <c r="BA670" s="93"/>
      <c r="BB670" s="93"/>
      <c r="BC670" s="93"/>
      <c r="BD670" s="93"/>
      <c r="BE670" s="116"/>
      <c r="BF670" s="93"/>
      <c r="BG670" s="93"/>
      <c r="BH670" s="93"/>
      <c r="BI670" s="93"/>
      <c r="BJ670" s="116">
        <f t="shared" ref="BJ670:BJ675" si="333">-BJ632/BJ$630</f>
        <v>8.0246913580246909E-2</v>
      </c>
      <c r="BK670" s="93"/>
      <c r="BL670" s="93"/>
      <c r="BM670" s="93"/>
      <c r="BN670" s="93"/>
      <c r="BO670" s="116">
        <f t="shared" ref="BO670:BO675" si="334">-BO632/BO$630</f>
        <v>8.7968952134540757E-2</v>
      </c>
      <c r="BP670" s="117">
        <f t="shared" ref="BP670:CD670" si="335">-BP632/BP630</f>
        <v>0</v>
      </c>
      <c r="BQ670" s="117">
        <f t="shared" si="335"/>
        <v>0</v>
      </c>
      <c r="BR670" s="117">
        <f t="shared" si="335"/>
        <v>0</v>
      </c>
      <c r="BS670" s="117">
        <f t="shared" si="335"/>
        <v>0</v>
      </c>
      <c r="BT670" s="116">
        <f t="shared" si="335"/>
        <v>0</v>
      </c>
      <c r="BU670" s="117">
        <f t="shared" si="335"/>
        <v>0</v>
      </c>
      <c r="BV670" s="117">
        <f t="shared" si="335"/>
        <v>0</v>
      </c>
      <c r="BW670" s="117">
        <f t="shared" si="335"/>
        <v>0</v>
      </c>
      <c r="BX670" s="117">
        <f t="shared" si="335"/>
        <v>0</v>
      </c>
      <c r="BY670" s="116">
        <f t="shared" si="335"/>
        <v>0</v>
      </c>
      <c r="BZ670" s="117">
        <f t="shared" si="335"/>
        <v>0</v>
      </c>
      <c r="CA670" s="117">
        <f t="shared" si="335"/>
        <v>0</v>
      </c>
      <c r="CB670" s="117">
        <f t="shared" si="335"/>
        <v>0</v>
      </c>
      <c r="CC670" s="117">
        <f t="shared" si="335"/>
        <v>0</v>
      </c>
      <c r="CD670" s="116">
        <f t="shared" si="335"/>
        <v>0</v>
      </c>
    </row>
    <row r="671" spans="1:82" hidden="1" outlineLevel="1">
      <c r="A671" s="11"/>
      <c r="B671" s="11" t="s">
        <v>2149</v>
      </c>
      <c r="C671" s="116"/>
      <c r="D671" s="116"/>
      <c r="E671" s="116"/>
      <c r="F671" s="116"/>
      <c r="G671" s="116"/>
      <c r="H671" s="93"/>
      <c r="I671" s="93"/>
      <c r="J671" s="93"/>
      <c r="K671" s="93"/>
      <c r="L671" s="116"/>
      <c r="M671" s="93"/>
      <c r="N671" s="93"/>
      <c r="O671" s="93"/>
      <c r="P671" s="93"/>
      <c r="Q671" s="116"/>
      <c r="R671" s="93"/>
      <c r="S671" s="93"/>
      <c r="T671" s="93"/>
      <c r="U671" s="93"/>
      <c r="V671" s="116"/>
      <c r="W671" s="93"/>
      <c r="X671" s="93"/>
      <c r="Y671" s="93"/>
      <c r="Z671" s="93"/>
      <c r="AA671" s="116"/>
      <c r="AB671" s="93"/>
      <c r="AC671" s="93"/>
      <c r="AD671" s="93"/>
      <c r="AE671" s="93"/>
      <c r="AF671" s="116"/>
      <c r="AG671" s="93"/>
      <c r="AH671" s="93"/>
      <c r="AI671" s="93"/>
      <c r="AJ671" s="93"/>
      <c r="AK671" s="116"/>
      <c r="AL671" s="93"/>
      <c r="AM671" s="93"/>
      <c r="AN671" s="93"/>
      <c r="AO671" s="93"/>
      <c r="AP671" s="116"/>
      <c r="AQ671" s="93"/>
      <c r="AR671" s="93"/>
      <c r="AS671" s="93"/>
      <c r="AT671" s="93"/>
      <c r="AU671" s="116"/>
      <c r="AV671" s="93"/>
      <c r="AW671" s="93"/>
      <c r="AX671" s="93"/>
      <c r="AY671" s="93"/>
      <c r="AZ671" s="116"/>
      <c r="BA671" s="93"/>
      <c r="BB671" s="93"/>
      <c r="BC671" s="93"/>
      <c r="BD671" s="93"/>
      <c r="BE671" s="116"/>
      <c r="BF671" s="93"/>
      <c r="BG671" s="93"/>
      <c r="BH671" s="93"/>
      <c r="BI671" s="93"/>
      <c r="BJ671" s="116">
        <f t="shared" si="333"/>
        <v>0.22222222222222221</v>
      </c>
      <c r="BK671" s="93"/>
      <c r="BL671" s="93"/>
      <c r="BM671" s="93"/>
      <c r="BN671" s="93"/>
      <c r="BO671" s="116">
        <f t="shared" si="334"/>
        <v>0.20310478654592498</v>
      </c>
      <c r="BP671" s="117">
        <f t="shared" ref="BP671:CD671" si="336">-BP633/BP630</f>
        <v>0.2073100882932789</v>
      </c>
      <c r="BQ671" s="117">
        <f t="shared" si="336"/>
        <v>0.2038951068314831</v>
      </c>
      <c r="BR671" s="117">
        <f t="shared" si="336"/>
        <v>0.20277035148717437</v>
      </c>
      <c r="BS671" s="117">
        <f t="shared" si="336"/>
        <v>0.20688046777791869</v>
      </c>
      <c r="BT671" s="116">
        <f t="shared" si="336"/>
        <v>0.14273672090470133</v>
      </c>
      <c r="BU671" s="117">
        <f t="shared" si="336"/>
        <v>0.15389476523339907</v>
      </c>
      <c r="BV671" s="117">
        <f t="shared" si="336"/>
        <v>0.15288716118235948</v>
      </c>
      <c r="BW671" s="117">
        <f t="shared" si="336"/>
        <v>0.15066610466302868</v>
      </c>
      <c r="BX671" s="117">
        <f t="shared" si="336"/>
        <v>0.15249763231642471</v>
      </c>
      <c r="BY671" s="116">
        <f t="shared" si="336"/>
        <v>0.15253972342019881</v>
      </c>
      <c r="BZ671" s="117">
        <f t="shared" si="336"/>
        <v>0.15638737493451282</v>
      </c>
      <c r="CA671" s="117">
        <f t="shared" si="336"/>
        <v>0.15274503157875435</v>
      </c>
      <c r="CB671" s="117">
        <f t="shared" si="336"/>
        <v>0.14993600345394764</v>
      </c>
      <c r="CC671" s="117">
        <f t="shared" si="336"/>
        <v>0.15045858098357656</v>
      </c>
      <c r="CD671" s="116">
        <f t="shared" si="336"/>
        <v>0.15239515660186242</v>
      </c>
    </row>
    <row r="672" spans="1:82" hidden="1" outlineLevel="1">
      <c r="A672" s="11"/>
      <c r="B672" s="11" t="s">
        <v>2150</v>
      </c>
      <c r="C672" s="116"/>
      <c r="D672" s="116"/>
      <c r="E672" s="116"/>
      <c r="F672" s="116"/>
      <c r="G672" s="116"/>
      <c r="H672" s="93"/>
      <c r="I672" s="93"/>
      <c r="J672" s="93"/>
      <c r="K672" s="93"/>
      <c r="L672" s="116"/>
      <c r="M672" s="93"/>
      <c r="N672" s="93"/>
      <c r="O672" s="93"/>
      <c r="P672" s="93"/>
      <c r="Q672" s="116"/>
      <c r="R672" s="93"/>
      <c r="S672" s="93"/>
      <c r="T672" s="93"/>
      <c r="U672" s="93"/>
      <c r="V672" s="116"/>
      <c r="W672" s="93"/>
      <c r="X672" s="93"/>
      <c r="Y672" s="93"/>
      <c r="Z672" s="93"/>
      <c r="AA672" s="116"/>
      <c r="AB672" s="93"/>
      <c r="AC672" s="93"/>
      <c r="AD672" s="93"/>
      <c r="AE672" s="93"/>
      <c r="AF672" s="116"/>
      <c r="AG672" s="93"/>
      <c r="AH672" s="93"/>
      <c r="AI672" s="93"/>
      <c r="AJ672" s="93"/>
      <c r="AK672" s="116"/>
      <c r="AL672" s="93"/>
      <c r="AM672" s="93"/>
      <c r="AN672" s="93"/>
      <c r="AO672" s="93"/>
      <c r="AP672" s="116"/>
      <c r="AQ672" s="93"/>
      <c r="AR672" s="93"/>
      <c r="AS672" s="93"/>
      <c r="AT672" s="93"/>
      <c r="AU672" s="116"/>
      <c r="AV672" s="93"/>
      <c r="AW672" s="93"/>
      <c r="AX672" s="93"/>
      <c r="AY672" s="93"/>
      <c r="AZ672" s="116"/>
      <c r="BA672" s="93"/>
      <c r="BB672" s="93"/>
      <c r="BC672" s="93"/>
      <c r="BD672" s="93"/>
      <c r="BE672" s="116"/>
      <c r="BF672" s="93"/>
      <c r="BG672" s="93"/>
      <c r="BH672" s="93"/>
      <c r="BI672" s="93"/>
      <c r="BJ672" s="116">
        <f t="shared" si="333"/>
        <v>0</v>
      </c>
      <c r="BK672" s="93"/>
      <c r="BL672" s="93"/>
      <c r="BM672" s="93"/>
      <c r="BN672" s="93"/>
      <c r="BO672" s="116">
        <f t="shared" si="334"/>
        <v>0</v>
      </c>
      <c r="BP672" s="117">
        <f>BT672</f>
        <v>0</v>
      </c>
      <c r="BQ672" s="117">
        <f>BT672</f>
        <v>0</v>
      </c>
      <c r="BR672" s="117">
        <f>BT672</f>
        <v>0</v>
      </c>
      <c r="BS672" s="117">
        <f>BT672</f>
        <v>0</v>
      </c>
      <c r="BT672" s="118">
        <v>0</v>
      </c>
      <c r="BU672" s="117">
        <f>BY672</f>
        <v>0</v>
      </c>
      <c r="BV672" s="117">
        <f>BY672</f>
        <v>0</v>
      </c>
      <c r="BW672" s="117">
        <f>BY672</f>
        <v>0</v>
      </c>
      <c r="BX672" s="117">
        <f>BY672</f>
        <v>0</v>
      </c>
      <c r="BY672" s="118">
        <v>0</v>
      </c>
      <c r="BZ672" s="117">
        <f>CD672</f>
        <v>0</v>
      </c>
      <c r="CA672" s="117">
        <f>CD672</f>
        <v>0</v>
      </c>
      <c r="CB672" s="117">
        <f>CD672</f>
        <v>0</v>
      </c>
      <c r="CC672" s="117">
        <f>CD672</f>
        <v>0</v>
      </c>
      <c r="CD672" s="118">
        <v>0</v>
      </c>
    </row>
    <row r="673" spans="1:82" hidden="1" outlineLevel="1">
      <c r="A673" s="11"/>
      <c r="B673" s="11" t="s">
        <v>2158</v>
      </c>
      <c r="C673" s="116"/>
      <c r="D673" s="116"/>
      <c r="E673" s="116"/>
      <c r="F673" s="116"/>
      <c r="G673" s="116"/>
      <c r="H673" s="93"/>
      <c r="I673" s="93"/>
      <c r="J673" s="93"/>
      <c r="K673" s="93"/>
      <c r="L673" s="116"/>
      <c r="M673" s="93"/>
      <c r="N673" s="93"/>
      <c r="O673" s="93"/>
      <c r="P673" s="93"/>
      <c r="Q673" s="116"/>
      <c r="R673" s="93"/>
      <c r="S673" s="93"/>
      <c r="T673" s="93"/>
      <c r="U673" s="93"/>
      <c r="V673" s="116"/>
      <c r="W673" s="93"/>
      <c r="X673" s="93"/>
      <c r="Y673" s="93"/>
      <c r="Z673" s="93"/>
      <c r="AA673" s="116"/>
      <c r="AB673" s="93"/>
      <c r="AC673" s="93"/>
      <c r="AD673" s="93"/>
      <c r="AE673" s="93"/>
      <c r="AF673" s="116"/>
      <c r="AG673" s="93"/>
      <c r="AH673" s="93"/>
      <c r="AI673" s="93"/>
      <c r="AJ673" s="93"/>
      <c r="AK673" s="116"/>
      <c r="AL673" s="93"/>
      <c r="AM673" s="93"/>
      <c r="AN673" s="93"/>
      <c r="AO673" s="93"/>
      <c r="AP673" s="116"/>
      <c r="AQ673" s="93"/>
      <c r="AR673" s="93"/>
      <c r="AS673" s="93"/>
      <c r="AT673" s="93"/>
      <c r="AU673" s="116"/>
      <c r="AV673" s="93"/>
      <c r="AW673" s="93"/>
      <c r="AX673" s="93"/>
      <c r="AY673" s="93"/>
      <c r="AZ673" s="116"/>
      <c r="BA673" s="93"/>
      <c r="BB673" s="93"/>
      <c r="BC673" s="93"/>
      <c r="BD673" s="93"/>
      <c r="BE673" s="116"/>
      <c r="BF673" s="93"/>
      <c r="BG673" s="93"/>
      <c r="BH673" s="93"/>
      <c r="BI673" s="93"/>
      <c r="BJ673" s="116">
        <f t="shared" si="333"/>
        <v>-8.0246913580246909E-2</v>
      </c>
      <c r="BK673" s="93"/>
      <c r="BL673" s="93"/>
      <c r="BM673" s="93"/>
      <c r="BN673" s="93"/>
      <c r="BO673" s="116">
        <f t="shared" si="334"/>
        <v>8.6675291073738683E-2</v>
      </c>
      <c r="BP673" s="117">
        <f t="shared" ref="BP673:CD673" si="337">-BP635/BP630</f>
        <v>5.1939714398564048E-2</v>
      </c>
      <c r="BQ673" s="117">
        <f t="shared" si="337"/>
        <v>5.2175548361726318E-2</v>
      </c>
      <c r="BR673" s="117">
        <f t="shared" si="337"/>
        <v>5.4545216023461206E-2</v>
      </c>
      <c r="BS673" s="117">
        <f t="shared" si="337"/>
        <v>5.306387955795025E-2</v>
      </c>
      <c r="BT673" s="116">
        <f t="shared" si="337"/>
        <v>5.2911606391522939E-2</v>
      </c>
      <c r="BU673" s="117">
        <f t="shared" si="337"/>
        <v>5.926891314592201E-2</v>
      </c>
      <c r="BV673" s="117">
        <f t="shared" si="337"/>
        <v>5.9950385698846177E-2</v>
      </c>
      <c r="BW673" s="117">
        <f t="shared" si="337"/>
        <v>6.1721981750112009E-2</v>
      </c>
      <c r="BX673" s="117">
        <f t="shared" si="337"/>
        <v>5.9859004335224619E-2</v>
      </c>
      <c r="BY673" s="116">
        <f t="shared" si="337"/>
        <v>6.018628964950816E-2</v>
      </c>
      <c r="BZ673" s="117">
        <f t="shared" si="337"/>
        <v>4.4823802944574172E-2</v>
      </c>
      <c r="CA673" s="117">
        <f t="shared" si="337"/>
        <v>4.4772267791189958E-2</v>
      </c>
      <c r="CB673" s="117">
        <f t="shared" si="337"/>
        <v>4.5326192018805882E-2</v>
      </c>
      <c r="CC673" s="117">
        <f t="shared" si="337"/>
        <v>4.4025032109235473E-2</v>
      </c>
      <c r="CD673" s="116">
        <f t="shared" si="337"/>
        <v>4.4731982126542155E-2</v>
      </c>
    </row>
    <row r="674" spans="1:82" hidden="1" outlineLevel="1">
      <c r="A674" s="11"/>
      <c r="B674" s="11" t="s">
        <v>2154</v>
      </c>
      <c r="C674" s="116"/>
      <c r="D674" s="116"/>
      <c r="E674" s="116"/>
      <c r="F674" s="116"/>
      <c r="G674" s="116"/>
      <c r="H674" s="93"/>
      <c r="I674" s="93"/>
      <c r="J674" s="93"/>
      <c r="K674" s="93"/>
      <c r="L674" s="116"/>
      <c r="M674" s="93"/>
      <c r="N674" s="93"/>
      <c r="O674" s="93"/>
      <c r="P674" s="93"/>
      <c r="Q674" s="116"/>
      <c r="R674" s="93"/>
      <c r="S674" s="93"/>
      <c r="T674" s="93"/>
      <c r="U674" s="93"/>
      <c r="V674" s="116"/>
      <c r="W674" s="93"/>
      <c r="X674" s="93"/>
      <c r="Y674" s="93"/>
      <c r="Z674" s="93"/>
      <c r="AA674" s="116"/>
      <c r="AB674" s="93"/>
      <c r="AC674" s="93"/>
      <c r="AD674" s="93"/>
      <c r="AE674" s="93"/>
      <c r="AF674" s="116"/>
      <c r="AG674" s="93"/>
      <c r="AH674" s="93"/>
      <c r="AI674" s="93"/>
      <c r="AJ674" s="93"/>
      <c r="AK674" s="116"/>
      <c r="AL674" s="93"/>
      <c r="AM674" s="93"/>
      <c r="AN674" s="93"/>
      <c r="AO674" s="93"/>
      <c r="AP674" s="116"/>
      <c r="AQ674" s="93"/>
      <c r="AR674" s="93"/>
      <c r="AS674" s="93"/>
      <c r="AT674" s="93"/>
      <c r="AU674" s="116"/>
      <c r="AV674" s="93"/>
      <c r="AW674" s="93"/>
      <c r="AX674" s="93"/>
      <c r="AY674" s="93"/>
      <c r="AZ674" s="116"/>
      <c r="BA674" s="93"/>
      <c r="BB674" s="93"/>
      <c r="BC674" s="93"/>
      <c r="BD674" s="93"/>
      <c r="BE674" s="116"/>
      <c r="BF674" s="93"/>
      <c r="BG674" s="93"/>
      <c r="BH674" s="93"/>
      <c r="BI674" s="93"/>
      <c r="BJ674" s="116">
        <f t="shared" si="333"/>
        <v>0.29629629629629628</v>
      </c>
      <c r="BK674" s="93"/>
      <c r="BL674" s="93"/>
      <c r="BM674" s="93"/>
      <c r="BN674" s="93"/>
      <c r="BO674" s="116">
        <f t="shared" si="334"/>
        <v>0.4243208279430789</v>
      </c>
      <c r="BP674" s="117">
        <f t="shared" ref="BP674:CD674" si="338">-BP636/BP630</f>
        <v>0.31729642780377487</v>
      </c>
      <c r="BQ674" s="117">
        <f t="shared" si="338"/>
        <v>0.31206966133155661</v>
      </c>
      <c r="BR674" s="117">
        <f t="shared" si="338"/>
        <v>0.31034817804128134</v>
      </c>
      <c r="BS674" s="117">
        <f t="shared" si="338"/>
        <v>0.31663887632638538</v>
      </c>
      <c r="BT674" s="116">
        <f t="shared" si="338"/>
        <v>0.31738358644906295</v>
      </c>
      <c r="BU674" s="117">
        <f t="shared" si="338"/>
        <v>0.33413587393637761</v>
      </c>
      <c r="BV674" s="117">
        <f t="shared" si="338"/>
        <v>0.33194816690381335</v>
      </c>
      <c r="BW674" s="117">
        <f t="shared" si="338"/>
        <v>0.32712581534414098</v>
      </c>
      <c r="BX674" s="117">
        <f t="shared" si="338"/>
        <v>0.33110242294465281</v>
      </c>
      <c r="BY674" s="116">
        <f t="shared" si="338"/>
        <v>0.3345442476970657</v>
      </c>
      <c r="BZ674" s="117">
        <f t="shared" si="338"/>
        <v>0.33486635387503288</v>
      </c>
      <c r="CA674" s="117">
        <f t="shared" si="338"/>
        <v>0.32706714220839717</v>
      </c>
      <c r="CB674" s="117">
        <f t="shared" si="338"/>
        <v>0.3210522768365579</v>
      </c>
      <c r="CC674" s="117">
        <f t="shared" si="338"/>
        <v>0.32217125227838705</v>
      </c>
      <c r="CD674" s="116">
        <f t="shared" si="338"/>
        <v>0.32961907965512055</v>
      </c>
    </row>
    <row r="675" spans="1:82" hidden="1" outlineLevel="1">
      <c r="A675" s="11"/>
      <c r="B675" s="4" t="s">
        <v>930</v>
      </c>
      <c r="C675" s="116"/>
      <c r="D675" s="116"/>
      <c r="E675" s="116"/>
      <c r="F675" s="116"/>
      <c r="G675" s="116"/>
      <c r="H675" s="93"/>
      <c r="I675" s="93"/>
      <c r="J675" s="93"/>
      <c r="K675" s="93"/>
      <c r="L675" s="116"/>
      <c r="M675" s="93"/>
      <c r="N675" s="93"/>
      <c r="O675" s="93"/>
      <c r="P675" s="93"/>
      <c r="Q675" s="116"/>
      <c r="R675" s="93"/>
      <c r="S675" s="93"/>
      <c r="T675" s="93"/>
      <c r="U675" s="93"/>
      <c r="V675" s="116"/>
      <c r="W675" s="93"/>
      <c r="X675" s="93"/>
      <c r="Y675" s="93"/>
      <c r="Z675" s="93"/>
      <c r="AA675" s="116"/>
      <c r="AB675" s="93"/>
      <c r="AC675" s="93"/>
      <c r="AD675" s="93"/>
      <c r="AE675" s="93"/>
      <c r="AF675" s="116"/>
      <c r="AG675" s="93"/>
      <c r="AH675" s="93"/>
      <c r="AI675" s="93"/>
      <c r="AJ675" s="93"/>
      <c r="AK675" s="116"/>
      <c r="AL675" s="93"/>
      <c r="AM675" s="93"/>
      <c r="AN675" s="93"/>
      <c r="AO675" s="93"/>
      <c r="AP675" s="116"/>
      <c r="AQ675" s="93"/>
      <c r="AR675" s="93"/>
      <c r="AS675" s="93"/>
      <c r="AT675" s="93"/>
      <c r="AU675" s="116"/>
      <c r="AV675" s="93"/>
      <c r="AW675" s="93"/>
      <c r="AX675" s="93"/>
      <c r="AY675" s="93"/>
      <c r="AZ675" s="116"/>
      <c r="BA675" s="93"/>
      <c r="BB675" s="93"/>
      <c r="BC675" s="93"/>
      <c r="BD675" s="93"/>
      <c r="BE675" s="116"/>
      <c r="BF675" s="93"/>
      <c r="BG675" s="93"/>
      <c r="BH675" s="93"/>
      <c r="BI675" s="93"/>
      <c r="BJ675" s="116">
        <f t="shared" si="333"/>
        <v>0</v>
      </c>
      <c r="BK675" s="93"/>
      <c r="BL675" s="93"/>
      <c r="BM675" s="93"/>
      <c r="BN675" s="93"/>
      <c r="BO675" s="116">
        <f t="shared" si="334"/>
        <v>7.7619663648124193E-3</v>
      </c>
      <c r="BP675" s="117">
        <f t="shared" ref="BP675:CD675" si="339">-BP637/BP630</f>
        <v>0</v>
      </c>
      <c r="BQ675" s="117">
        <f t="shared" si="339"/>
        <v>0</v>
      </c>
      <c r="BR675" s="117">
        <f t="shared" si="339"/>
        <v>0</v>
      </c>
      <c r="BS675" s="117">
        <f t="shared" si="339"/>
        <v>0</v>
      </c>
      <c r="BT675" s="116">
        <f t="shared" si="339"/>
        <v>0</v>
      </c>
      <c r="BU675" s="117">
        <f t="shared" si="339"/>
        <v>0</v>
      </c>
      <c r="BV675" s="117">
        <f t="shared" si="339"/>
        <v>0</v>
      </c>
      <c r="BW675" s="117">
        <f t="shared" si="339"/>
        <v>0</v>
      </c>
      <c r="BX675" s="117">
        <f t="shared" si="339"/>
        <v>0</v>
      </c>
      <c r="BY675" s="116">
        <f t="shared" si="339"/>
        <v>0</v>
      </c>
      <c r="BZ675" s="117">
        <f t="shared" si="339"/>
        <v>0</v>
      </c>
      <c r="CA675" s="117">
        <f t="shared" si="339"/>
        <v>0</v>
      </c>
      <c r="CB675" s="117">
        <f t="shared" si="339"/>
        <v>0</v>
      </c>
      <c r="CC675" s="117">
        <f t="shared" si="339"/>
        <v>0</v>
      </c>
      <c r="CD675" s="116">
        <f t="shared" si="339"/>
        <v>0</v>
      </c>
    </row>
    <row r="676" spans="1:82" hidden="1" outlineLevel="1">
      <c r="A676" s="11"/>
      <c r="B676" s="11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116"/>
      <c r="BK676" s="5"/>
      <c r="BL676" s="5"/>
      <c r="BM676" s="5"/>
      <c r="BN676" s="5"/>
      <c r="BO676" s="116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</row>
    <row r="677" spans="1:82" hidden="1" outlineLevel="1">
      <c r="A677" s="11" t="s">
        <v>3095</v>
      </c>
      <c r="B677" s="11"/>
      <c r="C677" s="116"/>
      <c r="D677" s="116"/>
      <c r="E677" s="116"/>
      <c r="F677" s="116"/>
      <c r="G677" s="116"/>
      <c r="H677" s="93"/>
      <c r="I677" s="93"/>
      <c r="J677" s="93"/>
      <c r="K677" s="93"/>
      <c r="L677" s="116"/>
      <c r="M677" s="93"/>
      <c r="N677" s="93"/>
      <c r="O677" s="93"/>
      <c r="P677" s="93"/>
      <c r="Q677" s="116"/>
      <c r="R677" s="93"/>
      <c r="S677" s="93"/>
      <c r="T677" s="93"/>
      <c r="U677" s="93"/>
      <c r="V677" s="116"/>
      <c r="W677" s="93"/>
      <c r="X677" s="93"/>
      <c r="Y677" s="93"/>
      <c r="Z677" s="93"/>
      <c r="AA677" s="116"/>
      <c r="AB677" s="93"/>
      <c r="AC677" s="93"/>
      <c r="AD677" s="93"/>
      <c r="AE677" s="93"/>
      <c r="AF677" s="116"/>
      <c r="AG677" s="93"/>
      <c r="AH677" s="93"/>
      <c r="AI677" s="93"/>
      <c r="AJ677" s="93"/>
      <c r="AK677" s="116"/>
      <c r="AL677" s="93"/>
      <c r="AM677" s="93"/>
      <c r="AN677" s="93"/>
      <c r="AO677" s="93"/>
      <c r="AP677" s="116"/>
      <c r="AQ677" s="93"/>
      <c r="AR677" s="93"/>
      <c r="AS677" s="93"/>
      <c r="AT677" s="93"/>
      <c r="AU677" s="116"/>
      <c r="AV677" s="93"/>
      <c r="AW677" s="93"/>
      <c r="AX677" s="93"/>
      <c r="AY677" s="93"/>
      <c r="AZ677" s="116"/>
      <c r="BA677" s="93"/>
      <c r="BB677" s="93"/>
      <c r="BC677" s="93"/>
      <c r="BD677" s="93"/>
      <c r="BE677" s="116"/>
      <c r="BF677" s="93"/>
      <c r="BG677" s="93"/>
      <c r="BH677" s="93"/>
      <c r="BI677" s="93"/>
      <c r="BJ677" s="116">
        <f>-BJ640/BJ638</f>
        <v>0.96153846153846156</v>
      </c>
      <c r="BK677" s="93"/>
      <c r="BL677" s="93"/>
      <c r="BM677" s="93"/>
      <c r="BN677" s="93"/>
      <c r="BO677" s="116">
        <f>-BO640/BO638</f>
        <v>0.36734693877551022</v>
      </c>
      <c r="BP677" s="117">
        <f>BT677</f>
        <v>0.7</v>
      </c>
      <c r="BQ677" s="117">
        <f>BT677</f>
        <v>0.7</v>
      </c>
      <c r="BR677" s="117">
        <f>BT677</f>
        <v>0.7</v>
      </c>
      <c r="BS677" s="117">
        <f>BT677</f>
        <v>0.7</v>
      </c>
      <c r="BT677" s="118">
        <v>0.7</v>
      </c>
      <c r="BU677" s="117">
        <f>BY677</f>
        <v>0.7</v>
      </c>
      <c r="BV677" s="117">
        <f>BY677</f>
        <v>0.7</v>
      </c>
      <c r="BW677" s="117">
        <f>BY677</f>
        <v>0.7</v>
      </c>
      <c r="BX677" s="117">
        <f>BY677</f>
        <v>0.7</v>
      </c>
      <c r="BY677" s="118">
        <v>0.7</v>
      </c>
      <c r="BZ677" s="117">
        <f>CD677</f>
        <v>0.7</v>
      </c>
      <c r="CA677" s="117">
        <f>CD677</f>
        <v>0.7</v>
      </c>
      <c r="CB677" s="117">
        <f>CD677</f>
        <v>0.7</v>
      </c>
      <c r="CC677" s="117">
        <f>CD677</f>
        <v>0.7</v>
      </c>
      <c r="CD677" s="118">
        <v>0.7</v>
      </c>
    </row>
    <row r="678" spans="1:82" hidden="1" outlineLevel="1">
      <c r="A678" s="11" t="s">
        <v>3471</v>
      </c>
      <c r="B678" s="11"/>
      <c r="C678" s="116"/>
      <c r="D678" s="116"/>
      <c r="E678" s="116"/>
      <c r="F678" s="116"/>
      <c r="G678" s="116"/>
      <c r="H678" s="93"/>
      <c r="I678" s="93"/>
      <c r="J678" s="93"/>
      <c r="K678" s="93"/>
      <c r="L678" s="119"/>
      <c r="M678" s="93"/>
      <c r="N678" s="93"/>
      <c r="O678" s="93"/>
      <c r="P678" s="93"/>
      <c r="Q678" s="119"/>
      <c r="R678" s="93"/>
      <c r="S678" s="93"/>
      <c r="T678" s="93"/>
      <c r="U678" s="93"/>
      <c r="V678" s="119"/>
      <c r="W678" s="93"/>
      <c r="X678" s="93"/>
      <c r="Y678" s="93"/>
      <c r="Z678" s="93"/>
      <c r="AA678" s="119"/>
      <c r="AB678" s="93"/>
      <c r="AC678" s="93"/>
      <c r="AD678" s="93"/>
      <c r="AE678" s="93"/>
      <c r="AF678" s="119"/>
      <c r="AG678" s="93"/>
      <c r="AH678" s="93"/>
      <c r="AI678" s="93"/>
      <c r="AJ678" s="93"/>
      <c r="AK678" s="119"/>
      <c r="AL678" s="93"/>
      <c r="AM678" s="93"/>
      <c r="AN678" s="93"/>
      <c r="AO678" s="93"/>
      <c r="AP678" s="119"/>
      <c r="AQ678" s="93"/>
      <c r="AR678" s="93"/>
      <c r="AS678" s="93"/>
      <c r="AT678" s="93"/>
      <c r="AU678" s="119"/>
      <c r="AV678" s="93"/>
      <c r="AW678" s="93"/>
      <c r="AX678" s="93"/>
      <c r="AY678" s="93"/>
      <c r="AZ678" s="119"/>
      <c r="BA678" s="93"/>
      <c r="BB678" s="93"/>
      <c r="BC678" s="93"/>
      <c r="BD678" s="93"/>
      <c r="BE678" s="119"/>
      <c r="BF678" s="93"/>
      <c r="BG678" s="93"/>
      <c r="BH678" s="93"/>
      <c r="BI678" s="93"/>
      <c r="BJ678" s="119">
        <f>(BJ641-BJ637-BJ636-BJ632)/(BJ649*0.365)</f>
        <v>19.334340330225533</v>
      </c>
      <c r="BK678" s="93"/>
      <c r="BL678" s="93"/>
      <c r="BM678" s="93"/>
      <c r="BN678" s="93"/>
      <c r="BO678" s="119">
        <f>(BO641-BO637-BO636-BO632)/(BO649*0.365)</f>
        <v>32.183933816111022</v>
      </c>
      <c r="BP678" s="93"/>
      <c r="BQ678" s="93"/>
      <c r="BR678" s="93"/>
      <c r="BS678" s="93"/>
      <c r="BT678" s="119">
        <f>(BT641-BT637-BT636-BT632)/(BT649*0.365)</f>
        <v>34.305357722315648</v>
      </c>
      <c r="BU678" s="93"/>
      <c r="BV678" s="93"/>
      <c r="BW678" s="93"/>
      <c r="BX678" s="93"/>
      <c r="BY678" s="119">
        <f>(BY641-BY637-BY636-BY632)/(BY649*0.365)</f>
        <v>30.492013611957056</v>
      </c>
      <c r="BZ678" s="93"/>
      <c r="CA678" s="93"/>
      <c r="CB678" s="93"/>
      <c r="CC678" s="93"/>
      <c r="CD678" s="119">
        <f>(CD641-CD637-CD636-CD632)/(CD649*0.365)</f>
        <v>31.457709398687665</v>
      </c>
    </row>
    <row r="679" spans="1:82" hidden="1" outlineLevel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</row>
    <row r="680" spans="1:82" collapsed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</row>
    <row r="681" spans="1:82">
      <c r="A681" s="24" t="s">
        <v>1994</v>
      </c>
      <c r="B681" s="4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</row>
    <row r="682" spans="1:82">
      <c r="A682" s="10"/>
      <c r="B682" s="10"/>
      <c r="C682" s="31">
        <v>2001</v>
      </c>
      <c r="D682" s="32">
        <v>2002</v>
      </c>
      <c r="E682" s="32">
        <v>2003</v>
      </c>
      <c r="F682" s="32">
        <v>2004</v>
      </c>
      <c r="G682" s="31">
        <v>2005</v>
      </c>
      <c r="H682" s="33" t="str">
        <f>H577</f>
        <v>1Q06</v>
      </c>
      <c r="I682" s="33" t="str">
        <f>I577</f>
        <v>2Q06</v>
      </c>
      <c r="J682" s="33" t="str">
        <f>J577</f>
        <v>3Q06</v>
      </c>
      <c r="K682" s="33" t="str">
        <f>K577</f>
        <v>4Q06</v>
      </c>
      <c r="L682" s="31">
        <v>2006</v>
      </c>
      <c r="M682" s="33" t="str">
        <f>M577</f>
        <v>1Q07</v>
      </c>
      <c r="N682" s="33" t="str">
        <f>N577</f>
        <v>2Q07</v>
      </c>
      <c r="O682" s="33" t="str">
        <f>O577</f>
        <v>3Q07</v>
      </c>
      <c r="P682" s="33" t="str">
        <f>P577</f>
        <v>4Q07</v>
      </c>
      <c r="Q682" s="31">
        <v>2007</v>
      </c>
      <c r="R682" s="33" t="str">
        <f>R577</f>
        <v>1Q08</v>
      </c>
      <c r="S682" s="33" t="str">
        <f>S577</f>
        <v>2Q08</v>
      </c>
      <c r="T682" s="33" t="str">
        <f>T577</f>
        <v>3Q08</v>
      </c>
      <c r="U682" s="33" t="str">
        <f>U577</f>
        <v>4Q08</v>
      </c>
      <c r="V682" s="31">
        <v>2008</v>
      </c>
      <c r="W682" s="33" t="str">
        <f>W577</f>
        <v>1Q09</v>
      </c>
      <c r="X682" s="33" t="str">
        <f>X577</f>
        <v>2Q09</v>
      </c>
      <c r="Y682" s="33" t="str">
        <f>Y577</f>
        <v>3Q09</v>
      </c>
      <c r="Z682" s="33" t="str">
        <f>Z577</f>
        <v>4Q09</v>
      </c>
      <c r="AA682" s="31">
        <v>2009</v>
      </c>
      <c r="AB682" s="33" t="str">
        <f>AB577</f>
        <v>1Q10</v>
      </c>
      <c r="AC682" s="33" t="str">
        <f>AC577</f>
        <v>2Q10</v>
      </c>
      <c r="AD682" s="33" t="str">
        <f>AD577</f>
        <v>3Q10</v>
      </c>
      <c r="AE682" s="33" t="str">
        <f>AE577</f>
        <v>4Q10</v>
      </c>
      <c r="AF682" s="31">
        <v>2010</v>
      </c>
      <c r="AG682" s="33" t="str">
        <f>AG577</f>
        <v>1Q11</v>
      </c>
      <c r="AH682" s="33" t="str">
        <f>AH577</f>
        <v>2Q11</v>
      </c>
      <c r="AI682" s="33" t="str">
        <f>AI577</f>
        <v>3Q11</v>
      </c>
      <c r="AJ682" s="33" t="str">
        <f>AJ577</f>
        <v>4Q11</v>
      </c>
      <c r="AK682" s="31">
        <v>2011</v>
      </c>
      <c r="AL682" s="363" t="s">
        <v>2397</v>
      </c>
      <c r="AM682" s="363" t="s">
        <v>2398</v>
      </c>
      <c r="AN682" s="363" t="s">
        <v>2399</v>
      </c>
      <c r="AO682" s="363" t="s">
        <v>2400</v>
      </c>
      <c r="AP682" s="31">
        <v>2012</v>
      </c>
      <c r="AQ682" s="363" t="s">
        <v>2401</v>
      </c>
      <c r="AR682" s="363" t="s">
        <v>2402</v>
      </c>
      <c r="AS682" s="363" t="s">
        <v>2403</v>
      </c>
      <c r="AT682" s="363" t="s">
        <v>2404</v>
      </c>
      <c r="AU682" s="364">
        <v>2013</v>
      </c>
      <c r="AV682" s="363" t="s">
        <v>2405</v>
      </c>
      <c r="AW682" s="363" t="s">
        <v>2406</v>
      </c>
      <c r="AX682" s="363" t="s">
        <v>2407</v>
      </c>
      <c r="AY682" s="363" t="s">
        <v>2408</v>
      </c>
      <c r="AZ682" s="364">
        <v>2014</v>
      </c>
      <c r="BA682" s="33" t="str">
        <f t="shared" ref="BA682:BI682" si="340">BA$8</f>
        <v>1Q15</v>
      </c>
      <c r="BB682" s="33" t="str">
        <f t="shared" si="340"/>
        <v>2Q15</v>
      </c>
      <c r="BC682" s="33" t="str">
        <f t="shared" si="340"/>
        <v>3Q15</v>
      </c>
      <c r="BD682" s="33" t="str">
        <f t="shared" si="340"/>
        <v>4Q15</v>
      </c>
      <c r="BE682" s="31">
        <f t="shared" si="340"/>
        <v>2015</v>
      </c>
      <c r="BF682" s="33" t="str">
        <f t="shared" si="340"/>
        <v>1Q16</v>
      </c>
      <c r="BG682" s="33" t="str">
        <f t="shared" si="340"/>
        <v>2Q16</v>
      </c>
      <c r="BH682" s="33" t="str">
        <f t="shared" si="340"/>
        <v>3Q16</v>
      </c>
      <c r="BI682" s="33" t="str">
        <f t="shared" si="340"/>
        <v>4Q16</v>
      </c>
      <c r="BJ682" s="31">
        <v>2016</v>
      </c>
      <c r="BK682" s="33" t="s">
        <v>2417</v>
      </c>
      <c r="BL682" s="33" t="s">
        <v>2418</v>
      </c>
      <c r="BM682" s="33" t="s">
        <v>2419</v>
      </c>
      <c r="BN682" s="33" t="s">
        <v>2420</v>
      </c>
      <c r="BO682" s="31">
        <v>2017</v>
      </c>
      <c r="BP682" s="363" t="s">
        <v>2244</v>
      </c>
      <c r="BQ682" s="363" t="s">
        <v>2245</v>
      </c>
      <c r="BR682" s="363" t="s">
        <v>2508</v>
      </c>
      <c r="BS682" s="363" t="s">
        <v>2509</v>
      </c>
      <c r="BT682" s="364">
        <v>2018</v>
      </c>
      <c r="BU682" s="363" t="s">
        <v>2510</v>
      </c>
      <c r="BV682" s="363" t="s">
        <v>2511</v>
      </c>
      <c r="BW682" s="363" t="s">
        <v>3125</v>
      </c>
      <c r="BX682" s="363" t="s">
        <v>1405</v>
      </c>
      <c r="BY682" s="364">
        <v>2019</v>
      </c>
      <c r="BZ682" s="363" t="s">
        <v>1406</v>
      </c>
      <c r="CA682" s="363" t="s">
        <v>1407</v>
      </c>
      <c r="CB682" s="363" t="s">
        <v>1408</v>
      </c>
      <c r="CC682" s="363" t="s">
        <v>1409</v>
      </c>
      <c r="CD682" s="364">
        <v>2020</v>
      </c>
    </row>
    <row r="683" spans="1:82">
      <c r="A683" s="4" t="s">
        <v>2156</v>
      </c>
      <c r="B683" s="5"/>
      <c r="C683" s="72"/>
      <c r="D683" s="72"/>
      <c r="E683" s="72"/>
      <c r="F683" s="72"/>
      <c r="G683" s="72"/>
      <c r="H683" s="93"/>
      <c r="I683" s="93"/>
      <c r="J683" s="93"/>
      <c r="K683" s="93"/>
      <c r="L683" s="72"/>
      <c r="M683" s="93"/>
      <c r="N683" s="93"/>
      <c r="O683" s="93"/>
      <c r="P683" s="93"/>
      <c r="Q683" s="72"/>
      <c r="R683" s="93"/>
      <c r="S683" s="93"/>
      <c r="T683" s="93"/>
      <c r="U683" s="93"/>
      <c r="V683" s="72"/>
      <c r="W683" s="93"/>
      <c r="X683" s="93"/>
      <c r="Y683" s="93"/>
      <c r="Z683" s="93"/>
      <c r="AA683" s="5">
        <v>1977</v>
      </c>
      <c r="AB683" s="93"/>
      <c r="AC683" s="93"/>
      <c r="AD683" s="93"/>
      <c r="AE683" s="93"/>
      <c r="AF683" s="5">
        <v>2268</v>
      </c>
      <c r="AG683" s="93"/>
      <c r="AH683" s="93"/>
      <c r="AI683" s="93"/>
      <c r="AJ683" s="93"/>
      <c r="AK683" s="5">
        <v>2381</v>
      </c>
      <c r="AL683" s="93"/>
      <c r="AM683" s="93"/>
      <c r="AN683" s="93"/>
      <c r="AO683" s="93"/>
      <c r="AP683" s="5">
        <v>2267</v>
      </c>
      <c r="AQ683" s="93"/>
      <c r="AR683" s="93"/>
      <c r="AS683" s="93"/>
      <c r="AT683" s="93"/>
      <c r="AU683" s="5">
        <v>2294</v>
      </c>
      <c r="AV683" s="93"/>
      <c r="AW683" s="93"/>
      <c r="AX683" s="93"/>
      <c r="AY683" s="93"/>
      <c r="AZ683" s="5">
        <v>2472</v>
      </c>
      <c r="BA683" s="93"/>
      <c r="BB683" s="93"/>
      <c r="BC683" s="93"/>
      <c r="BD683" s="93"/>
      <c r="BE683" s="5">
        <v>2060</v>
      </c>
      <c r="BF683" s="93"/>
      <c r="BG683" s="93"/>
      <c r="BH683" s="93"/>
      <c r="BI683" s="93"/>
      <c r="BJ683" s="5">
        <v>1865</v>
      </c>
      <c r="BK683" s="93"/>
      <c r="BL683" s="93"/>
      <c r="BM683" s="93"/>
      <c r="BN683" s="93"/>
      <c r="BO683" s="5">
        <v>1750</v>
      </c>
      <c r="BP683" s="72"/>
      <c r="BQ683" s="72"/>
      <c r="BR683" s="72"/>
      <c r="BS683" s="72"/>
      <c r="BT683" s="72"/>
      <c r="BU683" s="72"/>
      <c r="BV683" s="72"/>
      <c r="BW683" s="72"/>
      <c r="BX683" s="72"/>
      <c r="BY683" s="72"/>
      <c r="BZ683" s="72"/>
      <c r="CA683" s="72"/>
      <c r="CB683" s="72"/>
      <c r="CC683" s="72"/>
      <c r="CD683" s="72"/>
    </row>
    <row r="684" spans="1:82">
      <c r="A684" s="4" t="s">
        <v>2157</v>
      </c>
      <c r="B684" s="5"/>
      <c r="C684" s="72"/>
      <c r="D684" s="72"/>
      <c r="E684" s="72"/>
      <c r="F684" s="72"/>
      <c r="G684" s="72"/>
      <c r="H684" s="93"/>
      <c r="I684" s="93"/>
      <c r="J684" s="93"/>
      <c r="K684" s="93"/>
      <c r="L684" s="72"/>
      <c r="M684" s="93"/>
      <c r="N684" s="93"/>
      <c r="O684" s="93"/>
      <c r="P684" s="93"/>
      <c r="Q684" s="72"/>
      <c r="R684" s="93"/>
      <c r="S684" s="93"/>
      <c r="T684" s="93"/>
      <c r="U684" s="93"/>
      <c r="V684" s="72"/>
      <c r="W684" s="93"/>
      <c r="X684" s="93"/>
      <c r="Y684" s="93"/>
      <c r="Z684" s="93"/>
      <c r="AA684" s="5">
        <v>0</v>
      </c>
      <c r="AB684" s="93"/>
      <c r="AC684" s="93"/>
      <c r="AD684" s="93"/>
      <c r="AE684" s="93"/>
      <c r="AF684" s="5">
        <v>0</v>
      </c>
      <c r="AG684" s="93"/>
      <c r="AH684" s="93"/>
      <c r="AI684" s="93"/>
      <c r="AJ684" s="93"/>
      <c r="AK684" s="5">
        <v>0</v>
      </c>
      <c r="AL684" s="93"/>
      <c r="AM684" s="93"/>
      <c r="AN684" s="93"/>
      <c r="AO684" s="93"/>
      <c r="AP684" s="5">
        <v>0</v>
      </c>
      <c r="AQ684" s="93"/>
      <c r="AR684" s="93"/>
      <c r="AS684" s="93"/>
      <c r="AT684" s="93"/>
      <c r="AU684" s="5">
        <v>0</v>
      </c>
      <c r="AV684" s="93"/>
      <c r="AW684" s="93"/>
      <c r="AX684" s="93"/>
      <c r="AY684" s="93"/>
      <c r="AZ684" s="5">
        <v>0</v>
      </c>
      <c r="BA684" s="93"/>
      <c r="BB684" s="93"/>
      <c r="BC684" s="93"/>
      <c r="BD684" s="93"/>
      <c r="BE684" s="5">
        <v>0</v>
      </c>
      <c r="BF684" s="93"/>
      <c r="BG684" s="93"/>
      <c r="BH684" s="93"/>
      <c r="BI684" s="93"/>
      <c r="BJ684" s="5">
        <v>0</v>
      </c>
      <c r="BK684" s="93"/>
      <c r="BL684" s="93"/>
      <c r="BM684" s="93"/>
      <c r="BN684" s="93"/>
      <c r="BO684" s="5">
        <v>0</v>
      </c>
      <c r="BP684" s="72"/>
      <c r="BQ684" s="72"/>
      <c r="BR684" s="72"/>
      <c r="BS684" s="72"/>
      <c r="BT684" s="72"/>
      <c r="BU684" s="72"/>
      <c r="BV684" s="72"/>
      <c r="BW684" s="72"/>
      <c r="BX684" s="72"/>
      <c r="BY684" s="72"/>
      <c r="BZ684" s="72"/>
      <c r="CA684" s="72"/>
      <c r="CB684" s="72"/>
      <c r="CC684" s="72"/>
      <c r="CD684" s="72"/>
    </row>
    <row r="685" spans="1:82">
      <c r="A685" s="7" t="s">
        <v>2155</v>
      </c>
      <c r="B685" s="8"/>
      <c r="C685" s="73">
        <f>C683+C684</f>
        <v>0</v>
      </c>
      <c r="D685" s="73">
        <f>D683+D684</f>
        <v>0</v>
      </c>
      <c r="E685" s="73">
        <f>E683+E684</f>
        <v>0</v>
      </c>
      <c r="F685" s="73">
        <f>F683+F684</f>
        <v>0</v>
      </c>
      <c r="G685" s="73">
        <f>G683+G684</f>
        <v>0</v>
      </c>
      <c r="H685" s="93"/>
      <c r="I685" s="93"/>
      <c r="J685" s="93"/>
      <c r="K685" s="93"/>
      <c r="L685" s="73">
        <f>L683+L684</f>
        <v>0</v>
      </c>
      <c r="M685" s="93"/>
      <c r="N685" s="93"/>
      <c r="O685" s="93"/>
      <c r="P685" s="93"/>
      <c r="Q685" s="73">
        <f>Q683+Q684</f>
        <v>0</v>
      </c>
      <c r="R685" s="93"/>
      <c r="S685" s="93"/>
      <c r="T685" s="93"/>
      <c r="U685" s="93"/>
      <c r="V685" s="73">
        <f>V683+V684</f>
        <v>0</v>
      </c>
      <c r="W685" s="93"/>
      <c r="X685" s="93"/>
      <c r="Y685" s="93"/>
      <c r="Z685" s="93"/>
      <c r="AA685" s="8">
        <f>AA683+AA684</f>
        <v>1977</v>
      </c>
      <c r="AB685" s="93"/>
      <c r="AC685" s="93"/>
      <c r="AD685" s="93"/>
      <c r="AE685" s="93"/>
      <c r="AF685" s="8">
        <f>AF683+AF684</f>
        <v>2268</v>
      </c>
      <c r="AG685" s="93"/>
      <c r="AH685" s="93"/>
      <c r="AI685" s="93"/>
      <c r="AJ685" s="93"/>
      <c r="AK685" s="8">
        <f>AK683+AK684</f>
        <v>2381</v>
      </c>
      <c r="AL685" s="93"/>
      <c r="AM685" s="93"/>
      <c r="AN685" s="93"/>
      <c r="AO685" s="93"/>
      <c r="AP685" s="8">
        <f>AP683+AP684</f>
        <v>2267</v>
      </c>
      <c r="AQ685" s="93"/>
      <c r="AR685" s="93"/>
      <c r="AS685" s="93"/>
      <c r="AT685" s="93"/>
      <c r="AU685" s="8">
        <f>AU683+AU684</f>
        <v>2294</v>
      </c>
      <c r="AV685" s="93"/>
      <c r="AW685" s="93"/>
      <c r="AX685" s="93"/>
      <c r="AY685" s="93"/>
      <c r="AZ685" s="8">
        <f>+AZ683+AZ684</f>
        <v>2472</v>
      </c>
      <c r="BA685" s="93"/>
      <c r="BB685" s="93"/>
      <c r="BC685" s="93"/>
      <c r="BD685" s="93"/>
      <c r="BE685" s="8">
        <f>+BE683+BE684</f>
        <v>2060</v>
      </c>
      <c r="BF685" s="93"/>
      <c r="BG685" s="93"/>
      <c r="BH685" s="93"/>
      <c r="BI685" s="93"/>
      <c r="BJ685" s="8">
        <f>+BJ683+BJ684</f>
        <v>1865</v>
      </c>
      <c r="BK685" s="93"/>
      <c r="BL685" s="93"/>
      <c r="BM685" s="93"/>
      <c r="BN685" s="93"/>
      <c r="BO685" s="8">
        <f>+BO683+BO684</f>
        <v>1750</v>
      </c>
      <c r="BP685" s="19">
        <f t="shared" ref="BP685:CD685" si="341">BP710*(1+BP711)</f>
        <v>421.10585920916765</v>
      </c>
      <c r="BQ685" s="19">
        <f t="shared" si="341"/>
        <v>434.42244916327513</v>
      </c>
      <c r="BR685" s="19">
        <f t="shared" si="341"/>
        <v>437.12402500616599</v>
      </c>
      <c r="BS685" s="19">
        <f t="shared" si="341"/>
        <v>432.79825593680391</v>
      </c>
      <c r="BT685" s="8">
        <f t="shared" si="341"/>
        <v>1725.4505893154128</v>
      </c>
      <c r="BU685" s="19">
        <f t="shared" si="341"/>
        <v>420.21772150255669</v>
      </c>
      <c r="BV685" s="19">
        <f t="shared" si="341"/>
        <v>419.80303849381505</v>
      </c>
      <c r="BW685" s="19">
        <f t="shared" si="341"/>
        <v>423.87225476429927</v>
      </c>
      <c r="BX685" s="19">
        <f t="shared" si="341"/>
        <v>425.25310459955602</v>
      </c>
      <c r="BY685" s="8">
        <f t="shared" si="341"/>
        <v>1689.146119360227</v>
      </c>
      <c r="BZ685" s="19">
        <f t="shared" si="341"/>
        <v>428.80326436585477</v>
      </c>
      <c r="CA685" s="19">
        <f t="shared" si="341"/>
        <v>432.61520890950942</v>
      </c>
      <c r="CB685" s="19">
        <f t="shared" si="341"/>
        <v>440.75685219980306</v>
      </c>
      <c r="CC685" s="19">
        <f t="shared" si="341"/>
        <v>444.78039919616276</v>
      </c>
      <c r="CD685" s="8">
        <f t="shared" si="341"/>
        <v>1746.95572467133</v>
      </c>
    </row>
    <row r="686" spans="1:82">
      <c r="A686" s="4"/>
      <c r="B686" s="5"/>
      <c r="C686" s="5"/>
      <c r="D686" s="5"/>
      <c r="E686" s="5"/>
      <c r="F686" s="5"/>
      <c r="G686" s="5"/>
      <c r="H686" s="12"/>
      <c r="I686" s="12"/>
      <c r="J686" s="12"/>
      <c r="K686" s="12"/>
      <c r="L686" s="5"/>
      <c r="M686" s="12"/>
      <c r="N686" s="12"/>
      <c r="O686" s="12"/>
      <c r="P686" s="12"/>
      <c r="Q686" s="5"/>
      <c r="R686" s="12"/>
      <c r="S686" s="12"/>
      <c r="T686" s="12"/>
      <c r="U686" s="12"/>
      <c r="V686" s="5"/>
      <c r="W686" s="12"/>
      <c r="X686" s="12"/>
      <c r="Y686" s="12"/>
      <c r="Z686" s="12"/>
      <c r="AA686" s="5"/>
      <c r="AB686" s="12"/>
      <c r="AC686" s="12"/>
      <c r="AD686" s="12"/>
      <c r="AE686" s="12"/>
      <c r="AF686" s="5"/>
      <c r="AG686" s="12"/>
      <c r="AH686" s="12"/>
      <c r="AI686" s="12"/>
      <c r="AJ686" s="12"/>
      <c r="AK686" s="5"/>
      <c r="AL686" s="12"/>
      <c r="AM686" s="12"/>
      <c r="AN686" s="12"/>
      <c r="AO686" s="12"/>
      <c r="AP686" s="5"/>
      <c r="AQ686" s="12"/>
      <c r="AR686" s="12"/>
      <c r="AS686" s="12"/>
      <c r="AT686" s="12"/>
      <c r="AU686" s="5"/>
      <c r="AV686" s="12"/>
      <c r="AW686" s="12"/>
      <c r="AX686" s="12"/>
      <c r="AY686" s="12"/>
      <c r="AZ686" s="5"/>
      <c r="BA686" s="12"/>
      <c r="BB686" s="12"/>
      <c r="BC686" s="12"/>
      <c r="BD686" s="12"/>
      <c r="BE686" s="5"/>
      <c r="BF686" s="12"/>
      <c r="BG686" s="12"/>
      <c r="BH686" s="12"/>
      <c r="BI686" s="12"/>
      <c r="BJ686" s="5"/>
      <c r="BK686" s="12"/>
      <c r="BL686" s="12"/>
      <c r="BM686" s="12"/>
      <c r="BN686" s="12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</row>
    <row r="687" spans="1:82">
      <c r="A687" s="4" t="s">
        <v>1897</v>
      </c>
      <c r="B687" s="5"/>
      <c r="C687" s="72"/>
      <c r="D687" s="72"/>
      <c r="E687" s="72"/>
      <c r="F687" s="72"/>
      <c r="G687" s="72"/>
      <c r="H687" s="93"/>
      <c r="I687" s="93"/>
      <c r="J687" s="93"/>
      <c r="K687" s="93"/>
      <c r="L687" s="72"/>
      <c r="M687" s="93"/>
      <c r="N687" s="93"/>
      <c r="O687" s="93"/>
      <c r="P687" s="93"/>
      <c r="Q687" s="72"/>
      <c r="R687" s="93"/>
      <c r="S687" s="93"/>
      <c r="T687" s="93"/>
      <c r="U687" s="93"/>
      <c r="V687" s="72"/>
      <c r="W687" s="93"/>
      <c r="X687" s="93"/>
      <c r="Y687" s="93"/>
      <c r="Z687" s="93"/>
      <c r="AA687" s="5">
        <v>-23</v>
      </c>
      <c r="AB687" s="93"/>
      <c r="AC687" s="93"/>
      <c r="AD687" s="93"/>
      <c r="AE687" s="93"/>
      <c r="AF687" s="5">
        <v>-22</v>
      </c>
      <c r="AG687" s="93"/>
      <c r="AH687" s="93"/>
      <c r="AI687" s="93"/>
      <c r="AJ687" s="93"/>
      <c r="AK687" s="5">
        <v>-10</v>
      </c>
      <c r="AL687" s="93"/>
      <c r="AM687" s="93"/>
      <c r="AN687" s="93"/>
      <c r="AO687" s="93"/>
      <c r="AP687" s="5">
        <v>-31</v>
      </c>
      <c r="AQ687" s="93"/>
      <c r="AR687" s="93"/>
      <c r="AS687" s="93"/>
      <c r="AT687" s="93"/>
      <c r="AU687" s="5">
        <v>0</v>
      </c>
      <c r="AV687" s="93"/>
      <c r="AW687" s="93"/>
      <c r="AX687" s="93"/>
      <c r="AY687" s="93"/>
      <c r="AZ687" s="5">
        <v>-4</v>
      </c>
      <c r="BA687" s="93"/>
      <c r="BB687" s="93"/>
      <c r="BC687" s="93"/>
      <c r="BD687" s="93"/>
      <c r="BE687" s="5">
        <v>-3</v>
      </c>
      <c r="BF687" s="93"/>
      <c r="BG687" s="93"/>
      <c r="BH687" s="93"/>
      <c r="BI687" s="93"/>
      <c r="BJ687" s="5">
        <v>0</v>
      </c>
      <c r="BK687" s="93"/>
      <c r="BL687" s="93"/>
      <c r="BM687" s="93"/>
      <c r="BN687" s="93"/>
      <c r="BO687" s="5">
        <v>0</v>
      </c>
      <c r="BP687" s="12">
        <f>BT687/4</f>
        <v>-0.75</v>
      </c>
      <c r="BQ687" s="12">
        <f>(BT687-BP687)/3</f>
        <v>-0.75</v>
      </c>
      <c r="BR687" s="12">
        <f>(BT687-BP687-BQ687)/2</f>
        <v>-0.75</v>
      </c>
      <c r="BS687" s="12">
        <f>BT687-SUM(BP687:BR687)</f>
        <v>-0.75</v>
      </c>
      <c r="BT687" s="147">
        <v>-3</v>
      </c>
      <c r="BU687" s="12">
        <f>BY687/4</f>
        <v>-0.75</v>
      </c>
      <c r="BV687" s="12">
        <f>(BY687-BU687)/3</f>
        <v>-0.75</v>
      </c>
      <c r="BW687" s="12">
        <f>(BY687-BU687-BV687)/2</f>
        <v>-0.75</v>
      </c>
      <c r="BX687" s="12">
        <f>BY687-SUM(BU687:BW687)</f>
        <v>-0.75</v>
      </c>
      <c r="BY687" s="147">
        <v>-3</v>
      </c>
      <c r="BZ687" s="12">
        <f>CD687/4</f>
        <v>-0.75</v>
      </c>
      <c r="CA687" s="12">
        <f>(CD687-BZ687)/3</f>
        <v>-0.75</v>
      </c>
      <c r="CB687" s="12">
        <f>(CD687-BZ687-CA687)/2</f>
        <v>-0.75</v>
      </c>
      <c r="CC687" s="12">
        <f>CD687-SUM(BZ687:CB687)</f>
        <v>-0.75</v>
      </c>
      <c r="CD687" s="147">
        <v>-3</v>
      </c>
    </row>
    <row r="688" spans="1:82">
      <c r="A688" s="4" t="s">
        <v>2149</v>
      </c>
      <c r="B688" s="5"/>
      <c r="C688" s="72"/>
      <c r="D688" s="72"/>
      <c r="E688" s="72"/>
      <c r="F688" s="72"/>
      <c r="G688" s="72"/>
      <c r="H688" s="93"/>
      <c r="I688" s="93"/>
      <c r="J688" s="93"/>
      <c r="K688" s="93"/>
      <c r="L688" s="72"/>
      <c r="M688" s="93"/>
      <c r="N688" s="93"/>
      <c r="O688" s="93"/>
      <c r="P688" s="93"/>
      <c r="Q688" s="72"/>
      <c r="R688" s="93"/>
      <c r="S688" s="93"/>
      <c r="T688" s="93"/>
      <c r="U688" s="93"/>
      <c r="V688" s="72"/>
      <c r="W688" s="93"/>
      <c r="X688" s="93"/>
      <c r="Y688" s="93"/>
      <c r="Z688" s="93"/>
      <c r="AA688" s="5">
        <v>-354</v>
      </c>
      <c r="AB688" s="93"/>
      <c r="AC688" s="93"/>
      <c r="AD688" s="93"/>
      <c r="AE688" s="93"/>
      <c r="AF688" s="5">
        <v>-316</v>
      </c>
      <c r="AG688" s="93"/>
      <c r="AH688" s="93"/>
      <c r="AI688" s="93"/>
      <c r="AJ688" s="93"/>
      <c r="AK688" s="5">
        <v>-459</v>
      </c>
      <c r="AL688" s="93"/>
      <c r="AM688" s="93"/>
      <c r="AN688" s="93"/>
      <c r="AO688" s="93"/>
      <c r="AP688" s="5">
        <v>-555</v>
      </c>
      <c r="AQ688" s="93"/>
      <c r="AR688" s="93"/>
      <c r="AS688" s="93"/>
      <c r="AT688" s="93"/>
      <c r="AU688" s="5">
        <v>-586</v>
      </c>
      <c r="AV688" s="93"/>
      <c r="AW688" s="93"/>
      <c r="AX688" s="93"/>
      <c r="AY688" s="93"/>
      <c r="AZ688" s="5">
        <v>-567</v>
      </c>
      <c r="BA688" s="93"/>
      <c r="BB688" s="93"/>
      <c r="BC688" s="93"/>
      <c r="BD688" s="93"/>
      <c r="BE688" s="5">
        <v>-647</v>
      </c>
      <c r="BF688" s="93"/>
      <c r="BG688" s="93"/>
      <c r="BH688" s="93"/>
      <c r="BI688" s="93"/>
      <c r="BJ688" s="5">
        <v>-559</v>
      </c>
      <c r="BK688" s="93"/>
      <c r="BL688" s="93"/>
      <c r="BM688" s="93"/>
      <c r="BN688" s="93"/>
      <c r="BO688" s="5">
        <v>-592</v>
      </c>
      <c r="BP688" s="65">
        <f>-BP704*BP715*'Key assumptions'!BP$48/1000</f>
        <v>-112.74235594790805</v>
      </c>
      <c r="BQ688" s="65">
        <f>-BQ704*BQ715*'Key assumptions'!BQ$48/1000</f>
        <v>-112.50878382786797</v>
      </c>
      <c r="BR688" s="65">
        <f>-BR704*BR715*'Key assumptions'!BR$48/1000</f>
        <v>-114.13670310160211</v>
      </c>
      <c r="BS688" s="65">
        <f>-BS704*BS715*'Key assumptions'!BS$48/1000</f>
        <v>-114.8094510728853</v>
      </c>
      <c r="BT688" s="5">
        <f>SUM(BP688:BS688)</f>
        <v>-454.19729395026343</v>
      </c>
      <c r="BU688" s="65">
        <f>-BU704*BU715*'Key assumptions'!BU$48/1000</f>
        <v>-118.96915686964698</v>
      </c>
      <c r="BV688" s="65">
        <f>-BV704*BV715*'Key assumptions'!BV$48/1000</f>
        <v>-118.6930770736429</v>
      </c>
      <c r="BW688" s="65">
        <f>-BW704*BW715*'Key assumptions'!BW$48/1000</f>
        <v>-120.41838167949311</v>
      </c>
      <c r="BX688" s="65">
        <f>-BX704*BX715*'Key assumptions'!BX$48/1000</f>
        <v>-121.14168735826682</v>
      </c>
      <c r="BY688" s="5">
        <f>SUM(BU688:BX688)</f>
        <v>-479.22230298104984</v>
      </c>
      <c r="BZ688" s="65">
        <f>-BZ704*BZ715*'Key assumptions'!BZ$48/1000</f>
        <v>-127.33222123159481</v>
      </c>
      <c r="CA688" s="65">
        <f>-CA704*CA715*'Key assumptions'!CA$48/1000</f>
        <v>-125.60913204010573</v>
      </c>
      <c r="CB688" s="65">
        <f>-CB704*CB715*'Key assumptions'!CB$48/1000</f>
        <v>-127.44340292655455</v>
      </c>
      <c r="CC688" s="65">
        <f>-CC704*CC715*'Key assumptions'!CC$48/1000</f>
        <v>-128.22334781260506</v>
      </c>
      <c r="CD688" s="5">
        <f>SUM(BZ688:CC688)</f>
        <v>-508.60810401086019</v>
      </c>
    </row>
    <row r="689" spans="1:82">
      <c r="A689" s="4" t="s">
        <v>2150</v>
      </c>
      <c r="B689" s="5"/>
      <c r="C689" s="72"/>
      <c r="D689" s="72"/>
      <c r="E689" s="72"/>
      <c r="F689" s="72"/>
      <c r="G689" s="72"/>
      <c r="H689" s="93"/>
      <c r="I689" s="93"/>
      <c r="J689" s="93"/>
      <c r="K689" s="93"/>
      <c r="L689" s="72"/>
      <c r="M689" s="93"/>
      <c r="N689" s="93"/>
      <c r="O689" s="93"/>
      <c r="P689" s="93"/>
      <c r="Q689" s="72"/>
      <c r="R689" s="93"/>
      <c r="S689" s="93"/>
      <c r="T689" s="93"/>
      <c r="U689" s="93"/>
      <c r="V689" s="72"/>
      <c r="W689" s="93"/>
      <c r="X689" s="93"/>
      <c r="Y689" s="93"/>
      <c r="Z689" s="93"/>
      <c r="AA689" s="5">
        <v>-702</v>
      </c>
      <c r="AB689" s="93"/>
      <c r="AC689" s="93"/>
      <c r="AD689" s="93"/>
      <c r="AE689" s="93"/>
      <c r="AF689" s="5">
        <v>-911</v>
      </c>
      <c r="AG689" s="93"/>
      <c r="AH689" s="93"/>
      <c r="AI689" s="93"/>
      <c r="AJ689" s="93"/>
      <c r="AK689" s="5">
        <v>-1098</v>
      </c>
      <c r="AL689" s="93"/>
      <c r="AM689" s="93"/>
      <c r="AN689" s="93"/>
      <c r="AO689" s="93"/>
      <c r="AP689" s="5">
        <v>-959</v>
      </c>
      <c r="AQ689" s="93"/>
      <c r="AR689" s="93"/>
      <c r="AS689" s="93"/>
      <c r="AT689" s="93"/>
      <c r="AU689" s="5">
        <v>-630</v>
      </c>
      <c r="AV689" s="93"/>
      <c r="AW689" s="93"/>
      <c r="AX689" s="93"/>
      <c r="AY689" s="93"/>
      <c r="AZ689" s="5">
        <v>-721</v>
      </c>
      <c r="BA689" s="93"/>
      <c r="BB689" s="93"/>
      <c r="BC689" s="93"/>
      <c r="BD689" s="93"/>
      <c r="BE689" s="5">
        <v>-425</v>
      </c>
      <c r="BF689" s="93"/>
      <c r="BG689" s="93"/>
      <c r="BH689" s="93"/>
      <c r="BI689" s="93"/>
      <c r="BJ689" s="5">
        <v>-335</v>
      </c>
      <c r="BK689" s="93"/>
      <c r="BL689" s="93"/>
      <c r="BM689" s="93"/>
      <c r="BN689" s="93"/>
      <c r="BO689" s="5">
        <v>-336</v>
      </c>
      <c r="BP689" s="12">
        <f>-BP685*BP726</f>
        <v>-105.27646480229191</v>
      </c>
      <c r="BQ689" s="12">
        <f>-BQ685*BQ726</f>
        <v>-108.60561229081878</v>
      </c>
      <c r="BR689" s="12">
        <f>-BR685*BR726</f>
        <v>-109.2810062515415</v>
      </c>
      <c r="BS689" s="12">
        <f>-BS685*BS726</f>
        <v>-108.19956398420098</v>
      </c>
      <c r="BT689" s="5">
        <f>SUM(BP689:BS689)</f>
        <v>-431.3626473288532</v>
      </c>
      <c r="BU689" s="12">
        <f>-BU685*BU726</f>
        <v>-105.05443037563917</v>
      </c>
      <c r="BV689" s="12">
        <f>-BV685*BV726</f>
        <v>-104.95075962345376</v>
      </c>
      <c r="BW689" s="12">
        <f>-BW685*BW726</f>
        <v>-105.96806369107482</v>
      </c>
      <c r="BX689" s="12">
        <f>-BX685*BX726</f>
        <v>-106.31327614988901</v>
      </c>
      <c r="BY689" s="5">
        <f>SUM(BU689:BX689)</f>
        <v>-422.28652984005674</v>
      </c>
      <c r="BZ689" s="12">
        <f>-BZ685*BZ726</f>
        <v>-107.20081609146369</v>
      </c>
      <c r="CA689" s="12">
        <f>-CA685*CA726</f>
        <v>-108.15380222737735</v>
      </c>
      <c r="CB689" s="12">
        <f>-CB685*CB726</f>
        <v>-110.18921304995077</v>
      </c>
      <c r="CC689" s="12">
        <f>-CC685*CC726</f>
        <v>-111.19509979904069</v>
      </c>
      <c r="CD689" s="5">
        <f>SUM(BZ689:CC689)</f>
        <v>-436.7389311678325</v>
      </c>
    </row>
    <row r="690" spans="1:82">
      <c r="A690" s="4" t="s">
        <v>2158</v>
      </c>
      <c r="B690" s="5"/>
      <c r="C690" s="72"/>
      <c r="D690" s="72"/>
      <c r="E690" s="72"/>
      <c r="F690" s="72"/>
      <c r="G690" s="72"/>
      <c r="H690" s="93"/>
      <c r="I690" s="93"/>
      <c r="J690" s="93"/>
      <c r="K690" s="93"/>
      <c r="L690" s="72"/>
      <c r="M690" s="93"/>
      <c r="N690" s="93"/>
      <c r="O690" s="93"/>
      <c r="P690" s="93"/>
      <c r="Q690" s="72"/>
      <c r="R690" s="93"/>
      <c r="S690" s="93"/>
      <c r="T690" s="93"/>
      <c r="U690" s="93"/>
      <c r="V690" s="72"/>
      <c r="W690" s="93"/>
      <c r="X690" s="93"/>
      <c r="Y690" s="93"/>
      <c r="Z690" s="93"/>
      <c r="AA690" s="5">
        <v>69</v>
      </c>
      <c r="AB690" s="93"/>
      <c r="AC690" s="93"/>
      <c r="AD690" s="93"/>
      <c r="AE690" s="93"/>
      <c r="AF690" s="5">
        <v>-75</v>
      </c>
      <c r="AG690" s="93"/>
      <c r="AH690" s="93"/>
      <c r="AI690" s="93"/>
      <c r="AJ690" s="93"/>
      <c r="AK690" s="5">
        <v>239</v>
      </c>
      <c r="AL690" s="93"/>
      <c r="AM690" s="93"/>
      <c r="AN690" s="93"/>
      <c r="AO690" s="93"/>
      <c r="AP690" s="5">
        <v>11</v>
      </c>
      <c r="AQ690" s="93"/>
      <c r="AR690" s="93"/>
      <c r="AS690" s="93"/>
      <c r="AT690" s="93"/>
      <c r="AU690" s="5">
        <v>-6</v>
      </c>
      <c r="AV690" s="93"/>
      <c r="AW690" s="93"/>
      <c r="AX690" s="93"/>
      <c r="AY690" s="93"/>
      <c r="AZ690" s="5">
        <v>-4</v>
      </c>
      <c r="BA690" s="93"/>
      <c r="BB690" s="93"/>
      <c r="BC690" s="93"/>
      <c r="BD690" s="93"/>
      <c r="BE690" s="5">
        <v>381</v>
      </c>
      <c r="BF690" s="93"/>
      <c r="BG690" s="93"/>
      <c r="BH690" s="93"/>
      <c r="BI690" s="93"/>
      <c r="BJ690" s="5">
        <v>429</v>
      </c>
      <c r="BK690" s="93"/>
      <c r="BL690" s="93"/>
      <c r="BM690" s="93"/>
      <c r="BN690" s="93"/>
      <c r="BO690" s="5">
        <v>-11</v>
      </c>
      <c r="BP690" s="12">
        <f>BT690/4</f>
        <v>-2.75</v>
      </c>
      <c r="BQ690" s="12">
        <f>(BT690-BP690)/3</f>
        <v>-2.75</v>
      </c>
      <c r="BR690" s="12">
        <f>(BT690-BP690-BQ690)/2</f>
        <v>-2.75</v>
      </c>
      <c r="BS690" s="12">
        <f>BT690-SUM(BP690:BR690)</f>
        <v>-2.75</v>
      </c>
      <c r="BT690" s="147">
        <f>BO690</f>
        <v>-11</v>
      </c>
      <c r="BU690" s="12">
        <f>BY690/4</f>
        <v>-2.75</v>
      </c>
      <c r="BV690" s="12">
        <f>(BY690-BU690)/3</f>
        <v>-2.75</v>
      </c>
      <c r="BW690" s="12">
        <f>(BY690-BU690-BV690)/2</f>
        <v>-2.75</v>
      </c>
      <c r="BX690" s="12">
        <f>BY690-SUM(BU690:BW690)</f>
        <v>-2.75</v>
      </c>
      <c r="BY690" s="147">
        <f>BT690</f>
        <v>-11</v>
      </c>
      <c r="BZ690" s="12">
        <f>CD690/4</f>
        <v>-2.75</v>
      </c>
      <c r="CA690" s="12">
        <f>(CD690-BZ690)/3</f>
        <v>-2.75</v>
      </c>
      <c r="CB690" s="12">
        <f>(CD690-BZ690-CA690)/2</f>
        <v>-2.75</v>
      </c>
      <c r="CC690" s="12">
        <f>CD690-SUM(BZ690:CB690)</f>
        <v>-2.75</v>
      </c>
      <c r="CD690" s="147">
        <f>BY690</f>
        <v>-11</v>
      </c>
    </row>
    <row r="691" spans="1:82">
      <c r="A691" s="4" t="s">
        <v>2154</v>
      </c>
      <c r="B691" s="5"/>
      <c r="C691" s="72"/>
      <c r="D691" s="72"/>
      <c r="E691" s="72"/>
      <c r="F691" s="72"/>
      <c r="G691" s="72"/>
      <c r="H691" s="93"/>
      <c r="I691" s="93"/>
      <c r="J691" s="93"/>
      <c r="K691" s="93"/>
      <c r="L691" s="72"/>
      <c r="M691" s="93"/>
      <c r="N691" s="93"/>
      <c r="O691" s="93"/>
      <c r="P691" s="93"/>
      <c r="Q691" s="72"/>
      <c r="R691" s="93"/>
      <c r="S691" s="93"/>
      <c r="T691" s="93"/>
      <c r="U691" s="93"/>
      <c r="V691" s="72"/>
      <c r="W691" s="93"/>
      <c r="X691" s="93"/>
      <c r="Y691" s="93"/>
      <c r="Z691" s="93"/>
      <c r="AA691" s="5">
        <v>-281</v>
      </c>
      <c r="AB691" s="93"/>
      <c r="AC691" s="93"/>
      <c r="AD691" s="93"/>
      <c r="AE691" s="93"/>
      <c r="AF691" s="5">
        <v>-269</v>
      </c>
      <c r="AG691" s="93"/>
      <c r="AH691" s="93"/>
      <c r="AI691" s="93"/>
      <c r="AJ691" s="93"/>
      <c r="AK691" s="5">
        <v>-329</v>
      </c>
      <c r="AL691" s="93"/>
      <c r="AM691" s="93"/>
      <c r="AN691" s="93"/>
      <c r="AO691" s="93"/>
      <c r="AP691" s="5">
        <v>-328</v>
      </c>
      <c r="AQ691" s="93"/>
      <c r="AR691" s="93"/>
      <c r="AS691" s="93"/>
      <c r="AT691" s="93"/>
      <c r="AU691" s="5">
        <v>-317</v>
      </c>
      <c r="AV691" s="93"/>
      <c r="AW691" s="93"/>
      <c r="AX691" s="93"/>
      <c r="AY691" s="93"/>
      <c r="AZ691" s="5">
        <v>-370</v>
      </c>
      <c r="BA691" s="93"/>
      <c r="BB691" s="93"/>
      <c r="BC691" s="93"/>
      <c r="BD691" s="93"/>
      <c r="BE691" s="5">
        <v>-465</v>
      </c>
      <c r="BF691" s="93"/>
      <c r="BG691" s="93"/>
      <c r="BH691" s="93"/>
      <c r="BI691" s="93"/>
      <c r="BJ691" s="5">
        <v>-499</v>
      </c>
      <c r="BK691" s="93"/>
      <c r="BL691" s="93"/>
      <c r="BM691" s="93"/>
      <c r="BN691" s="93"/>
      <c r="BO691" s="5">
        <v>-458</v>
      </c>
      <c r="BP691" s="12">
        <f>-BP704*BP718*'Key assumptions'!BP$48/1000</f>
        <v>-93.574700930794677</v>
      </c>
      <c r="BQ691" s="12">
        <f>-BQ704*BQ718*'Key assumptions'!BQ$48/1000</f>
        <v>-93.3808390845102</v>
      </c>
      <c r="BR691" s="12">
        <f>-BR704*BR718*'Key assumptions'!BR$48/1000</f>
        <v>-94.731991079679915</v>
      </c>
      <c r="BS691" s="12">
        <f>-BS704*BS718*'Key assumptions'!BS$48/1000</f>
        <v>-95.290363216622922</v>
      </c>
      <c r="BT691" s="5">
        <f>SUM(BP691:BS691)</f>
        <v>-376.97789431160777</v>
      </c>
      <c r="BU691" s="12">
        <f>-BU704*BU718*'Key assumptions'!BU$48/1000</f>
        <v>-97.392965531489381</v>
      </c>
      <c r="BV691" s="12">
        <f>-BV704*BV718*'Key assumptions'!BV$48/1000</f>
        <v>-97.166955439767634</v>
      </c>
      <c r="BW691" s="12">
        <f>-BW704*BW718*'Key assumptions'!BW$48/1000</f>
        <v>-98.579359599217128</v>
      </c>
      <c r="BX691" s="12">
        <f>-BX704*BX718*'Key assumptions'!BX$48/1000</f>
        <v>-99.171486894182536</v>
      </c>
      <c r="BY691" s="5">
        <f>SUM(BU691:BX691)</f>
        <v>-392.31076746465669</v>
      </c>
      <c r="BZ691" s="12">
        <f>-BZ704*BZ718*'Key assumptions'!BZ$48/1000</f>
        <v>-102.80212381891462</v>
      </c>
      <c r="CA691" s="12">
        <f>-CA704*CA718*'Key assumptions'!CA$48/1000</f>
        <v>-101.41098160289758</v>
      </c>
      <c r="CB691" s="12">
        <f>-CB704*CB718*'Key assumptions'!CB$48/1000</f>
        <v>-102.89188675763583</v>
      </c>
      <c r="CC691" s="12">
        <f>-CC704*CC718*'Key assumptions'!CC$48/1000</f>
        <v>-103.52157804843536</v>
      </c>
      <c r="CD691" s="5">
        <f>SUM(BZ691:CC691)</f>
        <v>-410.62657022788335</v>
      </c>
    </row>
    <row r="692" spans="1:82">
      <c r="A692" s="4" t="s">
        <v>610</v>
      </c>
      <c r="B692" s="5"/>
      <c r="C692" s="72"/>
      <c r="D692" s="72"/>
      <c r="E692" s="72"/>
      <c r="F692" s="72"/>
      <c r="G692" s="72"/>
      <c r="H692" s="93"/>
      <c r="I692" s="93"/>
      <c r="J692" s="93"/>
      <c r="K692" s="93"/>
      <c r="L692" s="72"/>
      <c r="M692" s="93"/>
      <c r="N692" s="93"/>
      <c r="O692" s="93"/>
      <c r="P692" s="93"/>
      <c r="Q692" s="72"/>
      <c r="R692" s="93"/>
      <c r="S692" s="93"/>
      <c r="T692" s="93"/>
      <c r="U692" s="93"/>
      <c r="V692" s="72"/>
      <c r="W692" s="93"/>
      <c r="X692" s="93"/>
      <c r="Y692" s="93"/>
      <c r="Z692" s="93"/>
      <c r="AA692" s="5">
        <v>0</v>
      </c>
      <c r="AB692" s="93"/>
      <c r="AC692" s="93"/>
      <c r="AD692" s="93"/>
      <c r="AE692" s="93"/>
      <c r="AF692" s="5">
        <v>0</v>
      </c>
      <c r="AG692" s="93"/>
      <c r="AH692" s="93"/>
      <c r="AI692" s="93"/>
      <c r="AJ692" s="93"/>
      <c r="AK692" s="5">
        <v>0</v>
      </c>
      <c r="AL692" s="93"/>
      <c r="AM692" s="93"/>
      <c r="AN692" s="93"/>
      <c r="AO692" s="93"/>
      <c r="AP692" s="5">
        <v>0</v>
      </c>
      <c r="AQ692" s="93"/>
      <c r="AR692" s="93"/>
      <c r="AS692" s="93"/>
      <c r="AT692" s="93"/>
      <c r="AU692" s="5">
        <v>0</v>
      </c>
      <c r="AV692" s="93"/>
      <c r="AW692" s="93"/>
      <c r="AX692" s="93"/>
      <c r="AY692" s="93"/>
      <c r="AZ692" s="5">
        <v>-25</v>
      </c>
      <c r="BA692" s="93"/>
      <c r="BB692" s="93"/>
      <c r="BC692" s="93"/>
      <c r="BD692" s="93"/>
      <c r="BE692" s="5">
        <v>-80</v>
      </c>
      <c r="BF692" s="93"/>
      <c r="BG692" s="93"/>
      <c r="BH692" s="93"/>
      <c r="BI692" s="93"/>
      <c r="BJ692" s="5">
        <v>-164</v>
      </c>
      <c r="BK692" s="93"/>
      <c r="BL692" s="93"/>
      <c r="BM692" s="93"/>
      <c r="BN692" s="93"/>
      <c r="BO692" s="5">
        <v>-27</v>
      </c>
      <c r="BP692" s="12">
        <f>BT692/4</f>
        <v>0</v>
      </c>
      <c r="BQ692" s="12">
        <f>(BT692-BP692)/3</f>
        <v>0</v>
      </c>
      <c r="BR692" s="12">
        <f>(BT692-BP692-BQ692)/2</f>
        <v>0</v>
      </c>
      <c r="BS692" s="12">
        <f>BT692-SUM(BP692:BR692)</f>
        <v>0</v>
      </c>
      <c r="BT692" s="147">
        <v>0</v>
      </c>
      <c r="BU692" s="12">
        <f>BY692/4</f>
        <v>0</v>
      </c>
      <c r="BV692" s="12">
        <f>(BY692-BU692)/3</f>
        <v>0</v>
      </c>
      <c r="BW692" s="12">
        <f>(BY692-BU692-BV692)/2</f>
        <v>0</v>
      </c>
      <c r="BX692" s="12">
        <f>BY692-SUM(BU692:BW692)</f>
        <v>0</v>
      </c>
      <c r="BY692" s="147">
        <v>0</v>
      </c>
      <c r="BZ692" s="12">
        <f>CD692/4</f>
        <v>0</v>
      </c>
      <c r="CA692" s="12">
        <f>(CD692-BZ692)/3</f>
        <v>0</v>
      </c>
      <c r="CB692" s="12">
        <f>(CD692-BZ692-CA692)/2</f>
        <v>0</v>
      </c>
      <c r="CC692" s="12">
        <f>CD692-SUM(BZ692:CB692)</f>
        <v>0</v>
      </c>
      <c r="CD692" s="147">
        <v>0</v>
      </c>
    </row>
    <row r="693" spans="1:82">
      <c r="A693" s="7" t="s">
        <v>2160</v>
      </c>
      <c r="B693" s="8"/>
      <c r="C693" s="73">
        <f>C685+SUM(C687:C692)</f>
        <v>0</v>
      </c>
      <c r="D693" s="73">
        <f>D685+SUM(D687:D692)</f>
        <v>0</v>
      </c>
      <c r="E693" s="73">
        <f>E685+SUM(E687:E692)</f>
        <v>0</v>
      </c>
      <c r="F693" s="73">
        <f>F685+SUM(F687:F692)</f>
        <v>0</v>
      </c>
      <c r="G693" s="73">
        <f>G685+SUM(G687:G692)</f>
        <v>0</v>
      </c>
      <c r="H693" s="93"/>
      <c r="I693" s="93"/>
      <c r="J693" s="93"/>
      <c r="K693" s="93"/>
      <c r="L693" s="73">
        <f>L685+SUM(L687:L692)</f>
        <v>0</v>
      </c>
      <c r="M693" s="93"/>
      <c r="N693" s="93"/>
      <c r="O693" s="93"/>
      <c r="P693" s="93"/>
      <c r="Q693" s="73">
        <f>Q685+SUM(Q687:Q692)</f>
        <v>0</v>
      </c>
      <c r="R693" s="93"/>
      <c r="S693" s="93"/>
      <c r="T693" s="93"/>
      <c r="U693" s="93"/>
      <c r="V693" s="73">
        <f>V685+SUM(V687:V692)</f>
        <v>0</v>
      </c>
      <c r="W693" s="93"/>
      <c r="X693" s="93"/>
      <c r="Y693" s="93"/>
      <c r="Z693" s="93"/>
      <c r="AA693" s="8">
        <f>AA685+SUM(AA687:AA692)</f>
        <v>686</v>
      </c>
      <c r="AB693" s="93"/>
      <c r="AC693" s="93"/>
      <c r="AD693" s="93"/>
      <c r="AE693" s="93"/>
      <c r="AF693" s="8">
        <f>AF685+SUM(AF687:AF692)</f>
        <v>675</v>
      </c>
      <c r="AG693" s="93"/>
      <c r="AH693" s="93"/>
      <c r="AI693" s="93"/>
      <c r="AJ693" s="93"/>
      <c r="AK693" s="8">
        <f>AK685+SUM(AK687:AK692)</f>
        <v>724</v>
      </c>
      <c r="AL693" s="93"/>
      <c r="AM693" s="93"/>
      <c r="AN693" s="93"/>
      <c r="AO693" s="93"/>
      <c r="AP693" s="8">
        <f>AP685+SUM(AP687:AP692)</f>
        <v>405</v>
      </c>
      <c r="AQ693" s="93"/>
      <c r="AR693" s="93"/>
      <c r="AS693" s="93"/>
      <c r="AT693" s="93"/>
      <c r="AU693" s="8">
        <f>AU685+SUM(AU687:AU692)</f>
        <v>755</v>
      </c>
      <c r="AV693" s="93"/>
      <c r="AW693" s="93"/>
      <c r="AX693" s="93"/>
      <c r="AY693" s="93"/>
      <c r="AZ693" s="8">
        <f>AZ685+SUM(AZ687:AZ692)</f>
        <v>781</v>
      </c>
      <c r="BA693" s="93"/>
      <c r="BB693" s="93"/>
      <c r="BC693" s="93"/>
      <c r="BD693" s="93"/>
      <c r="BE693" s="8">
        <f t="shared" ref="BE693:BO693" si="342">BE685+SUM(BE687:BE692)</f>
        <v>821</v>
      </c>
      <c r="BF693" s="93"/>
      <c r="BG693" s="93"/>
      <c r="BH693" s="93"/>
      <c r="BI693" s="93"/>
      <c r="BJ693" s="8">
        <f t="shared" ref="BJ693" si="343">BJ685+SUM(BJ687:BJ692)</f>
        <v>737</v>
      </c>
      <c r="BK693" s="93"/>
      <c r="BL693" s="93"/>
      <c r="BM693" s="93"/>
      <c r="BN693" s="93"/>
      <c r="BO693" s="8">
        <f t="shared" si="342"/>
        <v>326</v>
      </c>
      <c r="BP693" s="66">
        <f t="shared" ref="BP693:CD693" si="344">BP685+SUM(BP687:BP692)</f>
        <v>106.01233752817302</v>
      </c>
      <c r="BQ693" s="66">
        <f t="shared" si="344"/>
        <v>116.42721396007818</v>
      </c>
      <c r="BR693" s="66">
        <f t="shared" si="344"/>
        <v>115.47432457334247</v>
      </c>
      <c r="BS693" s="66">
        <f t="shared" si="344"/>
        <v>110.99887766309473</v>
      </c>
      <c r="BT693" s="8">
        <f t="shared" si="344"/>
        <v>448.9127537246884</v>
      </c>
      <c r="BU693" s="66">
        <f t="shared" si="344"/>
        <v>95.301168725781167</v>
      </c>
      <c r="BV693" s="66">
        <f t="shared" si="344"/>
        <v>95.492246356950773</v>
      </c>
      <c r="BW693" s="66">
        <f t="shared" si="344"/>
        <v>95.406449794514231</v>
      </c>
      <c r="BX693" s="66">
        <f t="shared" si="344"/>
        <v>95.126654197217647</v>
      </c>
      <c r="BY693" s="8">
        <f t="shared" si="344"/>
        <v>381.3265190744637</v>
      </c>
      <c r="BZ693" s="66">
        <f t="shared" si="344"/>
        <v>87.968103223881656</v>
      </c>
      <c r="CA693" s="66">
        <f t="shared" si="344"/>
        <v>93.941293039128709</v>
      </c>
      <c r="CB693" s="66">
        <f t="shared" si="344"/>
        <v>96.732349465661912</v>
      </c>
      <c r="CC693" s="66">
        <f t="shared" si="344"/>
        <v>98.340373536081643</v>
      </c>
      <c r="CD693" s="8">
        <f t="shared" si="344"/>
        <v>376.98211926475392</v>
      </c>
    </row>
    <row r="694" spans="1:82">
      <c r="A694" s="11"/>
      <c r="B694" s="11"/>
      <c r="C694" s="11"/>
      <c r="D694" s="11"/>
      <c r="E694" s="11"/>
      <c r="F694" s="11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  <c r="AA694" s="11"/>
      <c r="AB694" s="11"/>
      <c r="AC694" s="11"/>
      <c r="AD694" s="11"/>
      <c r="AE694" s="11"/>
      <c r="AF694" s="11"/>
      <c r="AG694" s="11"/>
      <c r="AH694" s="11"/>
      <c r="AI694" s="11"/>
      <c r="AJ694" s="11"/>
      <c r="AK694" s="11"/>
      <c r="AL694" s="11"/>
      <c r="AM694" s="11"/>
      <c r="AN694" s="11"/>
      <c r="AO694" s="11"/>
      <c r="AP694" s="11"/>
      <c r="AQ694" s="11"/>
      <c r="AR694" s="11"/>
      <c r="AS694" s="11"/>
      <c r="AT694" s="11"/>
      <c r="AU694" s="11"/>
      <c r="AV694" s="11"/>
      <c r="AW694" s="11"/>
      <c r="AX694" s="11"/>
      <c r="AY694" s="11"/>
      <c r="AZ694" s="11"/>
      <c r="BA694" s="11"/>
      <c r="BB694" s="11"/>
      <c r="BC694" s="11"/>
      <c r="BD694" s="11"/>
      <c r="BE694" s="11"/>
      <c r="BF694" s="11"/>
      <c r="BG694" s="11"/>
      <c r="BH694" s="11"/>
      <c r="BI694" s="11"/>
      <c r="BJ694" s="11"/>
      <c r="BK694" s="11"/>
      <c r="BL694" s="11"/>
      <c r="BM694" s="11"/>
      <c r="BN694" s="11"/>
      <c r="BO694" s="11"/>
      <c r="BP694" s="11"/>
      <c r="BQ694" s="11"/>
      <c r="BR694" s="11"/>
      <c r="BS694" s="11"/>
      <c r="BT694" s="11"/>
      <c r="BU694" s="11"/>
      <c r="BV694" s="11"/>
      <c r="BW694" s="11"/>
      <c r="BX694" s="11"/>
      <c r="BY694" s="11"/>
      <c r="BZ694" s="11"/>
      <c r="CA694" s="11"/>
      <c r="CB694" s="11"/>
      <c r="CC694" s="11"/>
      <c r="CD694" s="11"/>
    </row>
    <row r="695" spans="1:82">
      <c r="A695" s="4" t="s">
        <v>2152</v>
      </c>
      <c r="B695" s="5"/>
      <c r="C695" s="72"/>
      <c r="D695" s="72"/>
      <c r="E695" s="72"/>
      <c r="F695" s="72"/>
      <c r="G695" s="72"/>
      <c r="H695" s="93"/>
      <c r="I695" s="93"/>
      <c r="J695" s="93"/>
      <c r="K695" s="93"/>
      <c r="L695" s="72"/>
      <c r="M695" s="93"/>
      <c r="N695" s="93"/>
      <c r="O695" s="93"/>
      <c r="P695" s="93"/>
      <c r="Q695" s="72"/>
      <c r="R695" s="93"/>
      <c r="S695" s="93"/>
      <c r="T695" s="93"/>
      <c r="U695" s="93"/>
      <c r="V695" s="72"/>
      <c r="W695" s="93"/>
      <c r="X695" s="93"/>
      <c r="Y695" s="93"/>
      <c r="Z695" s="93"/>
      <c r="AA695" s="5">
        <v>-270</v>
      </c>
      <c r="AB695" s="93"/>
      <c r="AC695" s="93"/>
      <c r="AD695" s="93"/>
      <c r="AE695" s="93"/>
      <c r="AF695" s="5">
        <v>-260</v>
      </c>
      <c r="AG695" s="93"/>
      <c r="AH695" s="93"/>
      <c r="AI695" s="93"/>
      <c r="AJ695" s="93"/>
      <c r="AK695" s="5">
        <v>-294</v>
      </c>
      <c r="AL695" s="93"/>
      <c r="AM695" s="93"/>
      <c r="AN695" s="93"/>
      <c r="AO695" s="93"/>
      <c r="AP695" s="5">
        <v>-294</v>
      </c>
      <c r="AQ695" s="93"/>
      <c r="AR695" s="93"/>
      <c r="AS695" s="93"/>
      <c r="AT695" s="93"/>
      <c r="AU695" s="5">
        <v>-460</v>
      </c>
      <c r="AV695" s="93"/>
      <c r="AW695" s="93"/>
      <c r="AX695" s="93"/>
      <c r="AY695" s="93"/>
      <c r="AZ695" s="5">
        <v>-402</v>
      </c>
      <c r="BA695" s="93"/>
      <c r="BB695" s="93"/>
      <c r="BC695" s="93"/>
      <c r="BD695" s="93"/>
      <c r="BE695" s="5">
        <v>-504</v>
      </c>
      <c r="BF695" s="93"/>
      <c r="BG695" s="93"/>
      <c r="BH695" s="93"/>
      <c r="BI695" s="93"/>
      <c r="BJ695" s="5">
        <v>-319</v>
      </c>
      <c r="BK695" s="93"/>
      <c r="BL695" s="93"/>
      <c r="BM695" s="93"/>
      <c r="BN695" s="93"/>
      <c r="BO695" s="5">
        <v>18</v>
      </c>
      <c r="BP695" s="12">
        <f>-BP693*BP731</f>
        <v>-63.607402516903811</v>
      </c>
      <c r="BQ695" s="12">
        <f t="shared" ref="BQ695:CC695" si="345">-BQ693*BQ731</f>
        <v>-69.856328376046903</v>
      </c>
      <c r="BR695" s="12">
        <f t="shared" si="345"/>
        <v>-69.284594744005474</v>
      </c>
      <c r="BS695" s="12">
        <f t="shared" si="345"/>
        <v>-66.59932659785683</v>
      </c>
      <c r="BT695" s="5">
        <f>SUM(BP695:BS695)</f>
        <v>-269.34765223481298</v>
      </c>
      <c r="BU695" s="12">
        <f>-BU693*BU731</f>
        <v>-57.180701235468696</v>
      </c>
      <c r="BV695" s="12">
        <f t="shared" si="345"/>
        <v>-57.295347814170462</v>
      </c>
      <c r="BW695" s="12">
        <f t="shared" si="345"/>
        <v>-57.243869876708537</v>
      </c>
      <c r="BX695" s="12">
        <f t="shared" si="345"/>
        <v>-57.075992518330587</v>
      </c>
      <c r="BY695" s="5">
        <f>SUM(BU695:BX695)</f>
        <v>-228.7959114446783</v>
      </c>
      <c r="BZ695" s="12">
        <f>-BZ693*BZ731</f>
        <v>-52.780861934328989</v>
      </c>
      <c r="CA695" s="12">
        <f t="shared" si="345"/>
        <v>-56.364775823477224</v>
      </c>
      <c r="CB695" s="12">
        <f t="shared" si="345"/>
        <v>-58.039409679397146</v>
      </c>
      <c r="CC695" s="12">
        <f t="shared" si="345"/>
        <v>-59.004224121648981</v>
      </c>
      <c r="CD695" s="5">
        <f>SUM(BZ695:CC695)</f>
        <v>-226.18927155885234</v>
      </c>
    </row>
    <row r="696" spans="1:82">
      <c r="A696" s="14" t="s">
        <v>2153</v>
      </c>
      <c r="B696" s="15"/>
      <c r="C696" s="74">
        <f>SUM(C693,C695)</f>
        <v>0</v>
      </c>
      <c r="D696" s="74">
        <f>SUM(D693,D695)</f>
        <v>0</v>
      </c>
      <c r="E696" s="74">
        <f>SUM(E693,E695)</f>
        <v>0</v>
      </c>
      <c r="F696" s="74">
        <f>SUM(F693,F695)</f>
        <v>0</v>
      </c>
      <c r="G696" s="74">
        <f>SUM(G693,G695)</f>
        <v>0</v>
      </c>
      <c r="H696" s="378"/>
      <c r="I696" s="378"/>
      <c r="J696" s="378"/>
      <c r="K696" s="378"/>
      <c r="L696" s="74">
        <f>SUM(L693,L695)</f>
        <v>0</v>
      </c>
      <c r="M696" s="378"/>
      <c r="N696" s="378"/>
      <c r="O696" s="378"/>
      <c r="P696" s="378"/>
      <c r="Q696" s="74">
        <f>SUM(Q693,Q695)</f>
        <v>0</v>
      </c>
      <c r="R696" s="378"/>
      <c r="S696" s="378"/>
      <c r="T696" s="378"/>
      <c r="U696" s="378"/>
      <c r="V696" s="74">
        <f>SUM(V693,V695)</f>
        <v>0</v>
      </c>
      <c r="W696" s="378"/>
      <c r="X696" s="378"/>
      <c r="Y696" s="378"/>
      <c r="Z696" s="378"/>
      <c r="AA696" s="15">
        <f>SUM(AA693,AA695)</f>
        <v>416</v>
      </c>
      <c r="AB696" s="378"/>
      <c r="AC696" s="378"/>
      <c r="AD696" s="378"/>
      <c r="AE696" s="378"/>
      <c r="AF696" s="15">
        <f>SUM(AF693,AF695)</f>
        <v>415</v>
      </c>
      <c r="AG696" s="378"/>
      <c r="AH696" s="378"/>
      <c r="AI696" s="378"/>
      <c r="AJ696" s="378"/>
      <c r="AK696" s="15">
        <f>SUM(AK693,AK695)</f>
        <v>430</v>
      </c>
      <c r="AL696" s="378"/>
      <c r="AM696" s="378"/>
      <c r="AN696" s="378"/>
      <c r="AO696" s="378"/>
      <c r="AP696" s="15">
        <f>SUM(AP693,AP695)</f>
        <v>111</v>
      </c>
      <c r="AQ696" s="378"/>
      <c r="AR696" s="378"/>
      <c r="AS696" s="378"/>
      <c r="AT696" s="378"/>
      <c r="AU696" s="15">
        <f>SUM(AU693,AU695)</f>
        <v>295</v>
      </c>
      <c r="AV696" s="378"/>
      <c r="AW696" s="378"/>
      <c r="AX696" s="378"/>
      <c r="AY696" s="378"/>
      <c r="AZ696" s="15">
        <f>SUM(AZ693,AZ695)</f>
        <v>379</v>
      </c>
      <c r="BA696" s="378"/>
      <c r="BB696" s="378"/>
      <c r="BC696" s="378"/>
      <c r="BD696" s="378"/>
      <c r="BE696" s="15">
        <f t="shared" ref="BE696:BJ696" si="346">SUM(BE693,BE695)</f>
        <v>317</v>
      </c>
      <c r="BF696" s="378"/>
      <c r="BG696" s="378"/>
      <c r="BH696" s="378"/>
      <c r="BI696" s="378"/>
      <c r="BJ696" s="15">
        <f t="shared" si="346"/>
        <v>418</v>
      </c>
      <c r="BK696" s="378"/>
      <c r="BL696" s="378"/>
      <c r="BM696" s="378"/>
      <c r="BN696" s="378"/>
      <c r="BO696" s="15">
        <f t="shared" ref="BO696" si="347">SUM(BO693,BO695)</f>
        <v>344</v>
      </c>
      <c r="BP696" s="67">
        <f t="shared" ref="BP696:CD696" si="348">SUM(BP693,BP695)</f>
        <v>42.40493501126921</v>
      </c>
      <c r="BQ696" s="67">
        <f t="shared" si="348"/>
        <v>46.570885584031274</v>
      </c>
      <c r="BR696" s="67">
        <f t="shared" si="348"/>
        <v>46.189729829336997</v>
      </c>
      <c r="BS696" s="67">
        <f t="shared" si="348"/>
        <v>44.399551065237901</v>
      </c>
      <c r="BT696" s="15">
        <f t="shared" si="348"/>
        <v>179.56510148987542</v>
      </c>
      <c r="BU696" s="67">
        <f t="shared" si="348"/>
        <v>38.120467490312471</v>
      </c>
      <c r="BV696" s="67">
        <f t="shared" si="348"/>
        <v>38.19689854278031</v>
      </c>
      <c r="BW696" s="67">
        <f t="shared" si="348"/>
        <v>38.162579917805694</v>
      </c>
      <c r="BX696" s="67">
        <f t="shared" si="348"/>
        <v>38.05066167888706</v>
      </c>
      <c r="BY696" s="15">
        <f t="shared" si="348"/>
        <v>152.53060762978541</v>
      </c>
      <c r="BZ696" s="67">
        <f t="shared" si="348"/>
        <v>35.187241289552667</v>
      </c>
      <c r="CA696" s="67">
        <f t="shared" si="348"/>
        <v>37.576517215651485</v>
      </c>
      <c r="CB696" s="67">
        <f t="shared" si="348"/>
        <v>38.692939786264766</v>
      </c>
      <c r="CC696" s="67">
        <f t="shared" si="348"/>
        <v>39.336149414432661</v>
      </c>
      <c r="CD696" s="15">
        <f t="shared" si="348"/>
        <v>150.79284770590158</v>
      </c>
    </row>
    <row r="697" spans="1:82">
      <c r="A697" s="75"/>
      <c r="B697" s="76"/>
      <c r="C697" s="76"/>
      <c r="D697" s="76"/>
      <c r="E697" s="76"/>
      <c r="F697" s="76"/>
      <c r="G697" s="76"/>
      <c r="H697" s="76"/>
      <c r="I697" s="76"/>
      <c r="J697" s="76"/>
      <c r="K697" s="76"/>
      <c r="L697" s="76"/>
      <c r="M697" s="76"/>
      <c r="N697" s="76"/>
      <c r="O697" s="76"/>
      <c r="P697" s="76"/>
      <c r="Q697" s="76"/>
      <c r="R697" s="76"/>
      <c r="S697" s="76"/>
      <c r="T697" s="76"/>
      <c r="U697" s="76"/>
      <c r="V697" s="76"/>
      <c r="W697" s="76"/>
      <c r="X697" s="76"/>
      <c r="Y697" s="76"/>
      <c r="Z697" s="76"/>
      <c r="AA697" s="76"/>
      <c r="AB697" s="76"/>
      <c r="AC697" s="76"/>
      <c r="AD697" s="76"/>
      <c r="AE697" s="76"/>
      <c r="AF697" s="76"/>
      <c r="AG697" s="76"/>
      <c r="AH697" s="76"/>
      <c r="AI697" s="76"/>
      <c r="AJ697" s="76"/>
      <c r="AK697" s="76"/>
      <c r="AL697" s="76"/>
      <c r="AM697" s="76"/>
      <c r="AN697" s="76"/>
      <c r="AO697" s="76"/>
      <c r="AP697" s="76"/>
      <c r="AQ697" s="76"/>
      <c r="AR697" s="76"/>
      <c r="AS697" s="76"/>
      <c r="AT697" s="76"/>
      <c r="AU697" s="76"/>
      <c r="AV697" s="76"/>
      <c r="AW697" s="76"/>
      <c r="AX697" s="76"/>
      <c r="AY697" s="76"/>
      <c r="AZ697" s="76"/>
      <c r="BA697" s="76"/>
      <c r="BB697" s="76"/>
      <c r="BC697" s="76"/>
      <c r="BD697" s="76"/>
      <c r="BE697" s="76"/>
      <c r="BF697" s="76"/>
      <c r="BG697" s="76"/>
      <c r="BH697" s="76"/>
      <c r="BI697" s="76"/>
      <c r="BJ697" s="76"/>
      <c r="BK697" s="76"/>
      <c r="BL697" s="76"/>
      <c r="BM697" s="76"/>
      <c r="BN697" s="76"/>
      <c r="BO697" s="76"/>
      <c r="BP697" s="76"/>
      <c r="BQ697" s="76"/>
      <c r="BR697" s="76"/>
      <c r="BS697" s="76"/>
      <c r="BT697" s="76"/>
      <c r="BU697" s="76"/>
      <c r="BV697" s="76"/>
      <c r="BW697" s="76"/>
      <c r="BX697" s="76"/>
      <c r="BY697" s="76"/>
      <c r="BZ697" s="76"/>
      <c r="CA697" s="76"/>
      <c r="CB697" s="76"/>
      <c r="CC697" s="76"/>
      <c r="CD697" s="76"/>
    </row>
    <row r="698" spans="1:82">
      <c r="A698" s="4" t="s">
        <v>1083</v>
      </c>
      <c r="B698" s="13"/>
      <c r="C698" s="93"/>
      <c r="D698" s="93"/>
      <c r="E698" s="93"/>
      <c r="F698" s="93"/>
      <c r="G698" s="93"/>
      <c r="H698" s="93"/>
      <c r="I698" s="93"/>
      <c r="J698" s="93"/>
      <c r="K698" s="93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  <c r="X698" s="93"/>
      <c r="Y698" s="93"/>
      <c r="Z698" s="93"/>
      <c r="AA698" s="13">
        <v>214</v>
      </c>
      <c r="AB698" s="93"/>
      <c r="AC698" s="93"/>
      <c r="AD698" s="93"/>
      <c r="AE698" s="93"/>
      <c r="AF698" s="13">
        <v>199</v>
      </c>
      <c r="AG698" s="93"/>
      <c r="AH698" s="93"/>
      <c r="AI698" s="93"/>
      <c r="AJ698" s="93"/>
      <c r="AK698" s="13">
        <v>168</v>
      </c>
      <c r="AL698" s="93"/>
      <c r="AM698" s="93"/>
      <c r="AN698" s="93"/>
      <c r="AO698" s="93"/>
      <c r="AP698" s="13">
        <v>145</v>
      </c>
      <c r="AQ698" s="93"/>
      <c r="AR698" s="93"/>
      <c r="AS698" s="93"/>
      <c r="AT698" s="93"/>
      <c r="AU698" s="13">
        <v>110</v>
      </c>
      <c r="AV698" s="93"/>
      <c r="AW698" s="93"/>
      <c r="AX698" s="93"/>
      <c r="AY698" s="93"/>
      <c r="AZ698" s="13">
        <v>101</v>
      </c>
      <c r="BA698" s="93"/>
      <c r="BB698" s="93"/>
      <c r="BC698" s="93"/>
      <c r="BD698" s="93"/>
      <c r="BE698" s="13">
        <v>53</v>
      </c>
      <c r="BF698" s="93"/>
      <c r="BG698" s="93"/>
      <c r="BH698" s="93"/>
      <c r="BI698" s="93"/>
      <c r="BJ698" s="13">
        <v>29</v>
      </c>
      <c r="BK698" s="93"/>
      <c r="BL698" s="93"/>
      <c r="BM698" s="93"/>
      <c r="BN698" s="93"/>
      <c r="BO698" s="13">
        <v>37</v>
      </c>
      <c r="BP698" s="12">
        <f>BT698/4</f>
        <v>9.4812499999999993</v>
      </c>
      <c r="BQ698" s="12">
        <f>(BT698-BP698)/3</f>
        <v>9.4812499999999993</v>
      </c>
      <c r="BR698" s="12">
        <f>(BT698-BP698-BQ698)/2</f>
        <v>9.4812499999999993</v>
      </c>
      <c r="BS698" s="12">
        <f>BT698-SUM(BP698:BR698)</f>
        <v>9.4812499999999993</v>
      </c>
      <c r="BT698" s="139">
        <f>BO698*1.025</f>
        <v>37.924999999999997</v>
      </c>
      <c r="BU698" s="12">
        <f>BY698/4</f>
        <v>9.7182812499999986</v>
      </c>
      <c r="BV698" s="12">
        <f>(BY698-BU698)/3</f>
        <v>9.7182812499999986</v>
      </c>
      <c r="BW698" s="12">
        <f>(BY698-BU698-BV698)/2</f>
        <v>9.7182812500000004</v>
      </c>
      <c r="BX698" s="12">
        <f>BY698-SUM(BU698:BW698)</f>
        <v>9.7182812499999969</v>
      </c>
      <c r="BY698" s="139">
        <f>BT698*1.025</f>
        <v>38.873124999999995</v>
      </c>
      <c r="BZ698" s="12">
        <f>CD698/4</f>
        <v>9.9612382812499973</v>
      </c>
      <c r="CA698" s="12">
        <f>(CD698-BZ698)/3</f>
        <v>9.9612382812499973</v>
      </c>
      <c r="CB698" s="12">
        <f>(CD698-BZ698-CA698)/2</f>
        <v>9.9612382812499973</v>
      </c>
      <c r="CC698" s="12">
        <f>CD698-SUM(BZ698:CB698)</f>
        <v>9.9612382812499973</v>
      </c>
      <c r="CD698" s="139">
        <f>BY698*1.025</f>
        <v>39.844953124999989</v>
      </c>
    </row>
    <row r="699" spans="1:82">
      <c r="A699" s="14" t="s">
        <v>3126</v>
      </c>
      <c r="B699" s="15"/>
      <c r="C699" s="74">
        <f>SUM(C696,C698)</f>
        <v>0</v>
      </c>
      <c r="D699" s="378"/>
      <c r="E699" s="378"/>
      <c r="F699" s="378"/>
      <c r="G699" s="378"/>
      <c r="H699" s="378"/>
      <c r="I699" s="378"/>
      <c r="J699" s="378"/>
      <c r="K699" s="378"/>
      <c r="L699" s="378"/>
      <c r="M699" s="378"/>
      <c r="N699" s="378"/>
      <c r="O699" s="378"/>
      <c r="P699" s="378"/>
      <c r="Q699" s="378"/>
      <c r="R699" s="378"/>
      <c r="S699" s="378"/>
      <c r="T699" s="378"/>
      <c r="U699" s="378"/>
      <c r="V699" s="378"/>
      <c r="W699" s="378"/>
      <c r="X699" s="378"/>
      <c r="Y699" s="378"/>
      <c r="Z699" s="378"/>
      <c r="AA699" s="15">
        <f>AA696+AA698</f>
        <v>630</v>
      </c>
      <c r="AB699" s="378"/>
      <c r="AC699" s="378"/>
      <c r="AD699" s="378"/>
      <c r="AE699" s="378"/>
      <c r="AF699" s="15">
        <f>AF696+AF698</f>
        <v>614</v>
      </c>
      <c r="AG699" s="378"/>
      <c r="AH699" s="378"/>
      <c r="AI699" s="378"/>
      <c r="AJ699" s="378"/>
      <c r="AK699" s="15">
        <f t="shared" ref="AK699:CD699" si="349">AK696+AK698</f>
        <v>598</v>
      </c>
      <c r="AL699" s="378"/>
      <c r="AM699" s="378"/>
      <c r="AN699" s="378"/>
      <c r="AO699" s="378"/>
      <c r="AP699" s="15">
        <f t="shared" si="349"/>
        <v>256</v>
      </c>
      <c r="AQ699" s="378"/>
      <c r="AR699" s="378"/>
      <c r="AS699" s="378"/>
      <c r="AT699" s="378"/>
      <c r="AU699" s="15">
        <f t="shared" si="349"/>
        <v>405</v>
      </c>
      <c r="AV699" s="378"/>
      <c r="AW699" s="378"/>
      <c r="AX699" s="378"/>
      <c r="AY699" s="378"/>
      <c r="AZ699" s="15">
        <f t="shared" si="349"/>
        <v>480</v>
      </c>
      <c r="BA699" s="378"/>
      <c r="BB699" s="378"/>
      <c r="BC699" s="378"/>
      <c r="BD699" s="378"/>
      <c r="BE699" s="15">
        <f t="shared" si="349"/>
        <v>370</v>
      </c>
      <c r="BF699" s="378"/>
      <c r="BG699" s="378"/>
      <c r="BH699" s="378"/>
      <c r="BI699" s="378"/>
      <c r="BJ699" s="15">
        <f t="shared" si="349"/>
        <v>447</v>
      </c>
      <c r="BK699" s="378"/>
      <c r="BL699" s="378"/>
      <c r="BM699" s="378"/>
      <c r="BN699" s="378"/>
      <c r="BO699" s="15">
        <f t="shared" ref="BO699" si="350">BO696+BO698</f>
        <v>381</v>
      </c>
      <c r="BP699" s="67">
        <f t="shared" si="349"/>
        <v>51.886185011269205</v>
      </c>
      <c r="BQ699" s="67">
        <f t="shared" si="349"/>
        <v>56.052135584031276</v>
      </c>
      <c r="BR699" s="67">
        <f t="shared" si="349"/>
        <v>55.670979829337</v>
      </c>
      <c r="BS699" s="67">
        <f t="shared" si="349"/>
        <v>53.880801065237904</v>
      </c>
      <c r="BT699" s="15">
        <f t="shared" si="349"/>
        <v>217.49010148987543</v>
      </c>
      <c r="BU699" s="67">
        <f t="shared" si="349"/>
        <v>47.838748740312468</v>
      </c>
      <c r="BV699" s="67">
        <f t="shared" si="349"/>
        <v>47.915179792780307</v>
      </c>
      <c r="BW699" s="67">
        <f t="shared" si="349"/>
        <v>47.880861167805691</v>
      </c>
      <c r="BX699" s="67">
        <f t="shared" si="349"/>
        <v>47.768942928887057</v>
      </c>
      <c r="BY699" s="15">
        <f t="shared" si="349"/>
        <v>191.4037326297854</v>
      </c>
      <c r="BZ699" s="67">
        <f t="shared" si="349"/>
        <v>45.148479570802664</v>
      </c>
      <c r="CA699" s="67">
        <f t="shared" si="349"/>
        <v>47.537755496901482</v>
      </c>
      <c r="CB699" s="67">
        <f t="shared" si="349"/>
        <v>48.654178067514763</v>
      </c>
      <c r="CC699" s="67">
        <f t="shared" si="349"/>
        <v>49.297387695682659</v>
      </c>
      <c r="CD699" s="15">
        <f t="shared" si="349"/>
        <v>190.63780083090157</v>
      </c>
    </row>
    <row r="700" spans="1:82">
      <c r="A700" s="5"/>
      <c r="B700" s="5"/>
      <c r="C700" s="5"/>
      <c r="D700" s="5"/>
      <c r="E700" s="5"/>
      <c r="F700" s="5"/>
      <c r="G700" s="5"/>
      <c r="H700" s="76"/>
      <c r="I700" s="76"/>
      <c r="J700" s="76"/>
      <c r="K700" s="76"/>
      <c r="L700" s="5"/>
      <c r="M700" s="76"/>
      <c r="N700" s="76"/>
      <c r="O700" s="76"/>
      <c r="P700" s="76"/>
      <c r="Q700" s="5"/>
      <c r="R700" s="76"/>
      <c r="S700" s="76"/>
      <c r="T700" s="76"/>
      <c r="U700" s="76"/>
      <c r="V700" s="5"/>
      <c r="W700" s="76"/>
      <c r="X700" s="76"/>
      <c r="Y700" s="76"/>
      <c r="Z700" s="76"/>
      <c r="AA700" s="5"/>
      <c r="AB700" s="76"/>
      <c r="AC700" s="76"/>
      <c r="AD700" s="76"/>
      <c r="AE700" s="76"/>
      <c r="AF700" s="5"/>
      <c r="AG700" s="76"/>
      <c r="AH700" s="76"/>
      <c r="AI700" s="76"/>
      <c r="AJ700" s="76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</row>
    <row r="701" spans="1:82" hidden="1" outlineLevel="1">
      <c r="A701" s="39" t="s">
        <v>196</v>
      </c>
      <c r="B701" s="11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</row>
    <row r="702" spans="1:82" hidden="1" outlineLevel="1">
      <c r="A702" s="11"/>
      <c r="B702" s="11" t="s">
        <v>932</v>
      </c>
      <c r="C702" s="5">
        <f>'Production - Oil'!C82</f>
        <v>50</v>
      </c>
      <c r="D702" s="5">
        <f>'Production - Oil'!D82</f>
        <v>53</v>
      </c>
      <c r="E702" s="5">
        <f>'Production - Oil'!E82</f>
        <v>60</v>
      </c>
      <c r="F702" s="5">
        <f>'Production - Oil'!F82</f>
        <v>64</v>
      </c>
      <c r="G702" s="5">
        <f>'Production - Oil'!G82</f>
        <v>67</v>
      </c>
      <c r="H702" s="93"/>
      <c r="I702" s="93"/>
      <c r="J702" s="93"/>
      <c r="K702" s="93"/>
      <c r="L702" s="5">
        <f>'Production - Oil'!L82</f>
        <v>77</v>
      </c>
      <c r="M702" s="93"/>
      <c r="N702" s="93"/>
      <c r="O702" s="93"/>
      <c r="P702" s="93"/>
      <c r="Q702" s="5">
        <f>'Production - Oil'!Q82</f>
        <v>77</v>
      </c>
      <c r="R702" s="93"/>
      <c r="S702" s="93"/>
      <c r="T702" s="93"/>
      <c r="U702" s="93"/>
      <c r="V702" s="5">
        <f>'Production - Oil'!V82</f>
        <v>92</v>
      </c>
      <c r="W702" s="93"/>
      <c r="X702" s="93"/>
      <c r="Y702" s="93"/>
      <c r="Z702" s="93"/>
      <c r="AA702" s="5">
        <f>'Production - Oil'!AA82</f>
        <v>101</v>
      </c>
      <c r="AB702" s="93"/>
      <c r="AC702" s="93"/>
      <c r="AD702" s="93"/>
      <c r="AE702" s="93"/>
      <c r="AF702" s="5">
        <f>'Production - Oil'!AF82</f>
        <v>98</v>
      </c>
      <c r="AG702" s="93"/>
      <c r="AH702" s="93"/>
      <c r="AI702" s="93"/>
      <c r="AJ702" s="93"/>
      <c r="AK702" s="5">
        <f>'Production - Oil'!AK82</f>
        <v>90</v>
      </c>
      <c r="AL702" s="93"/>
      <c r="AM702" s="93"/>
      <c r="AN702" s="93"/>
      <c r="AO702" s="93"/>
      <c r="AP702" s="5">
        <f>'Production - Oil'!AP82</f>
        <v>80</v>
      </c>
      <c r="AQ702" s="93"/>
      <c r="AR702" s="93"/>
      <c r="AS702" s="93"/>
      <c r="AT702" s="93"/>
      <c r="AU702" s="5">
        <f>'Production - Oil'!AU82</f>
        <v>65</v>
      </c>
      <c r="AV702" s="93"/>
      <c r="AW702" s="93"/>
      <c r="AX702" s="93"/>
      <c r="AY702" s="93"/>
      <c r="AZ702" s="5">
        <f>'Production - Oil'!AZ82</f>
        <v>68</v>
      </c>
      <c r="BA702" s="93"/>
      <c r="BB702" s="93"/>
      <c r="BC702" s="93"/>
      <c r="BD702" s="93"/>
      <c r="BE702" s="5">
        <f>'Production - Oil'!BE82</f>
        <v>72</v>
      </c>
      <c r="BF702" s="93"/>
      <c r="BG702" s="93"/>
      <c r="BH702" s="93"/>
      <c r="BI702" s="93"/>
      <c r="BJ702" s="5">
        <f>'Production - Oil'!BJ82</f>
        <v>67</v>
      </c>
      <c r="BK702" s="93"/>
      <c r="BL702" s="93"/>
      <c r="BM702" s="93"/>
      <c r="BN702" s="93"/>
      <c r="BO702" s="5">
        <f>'Production - Oil'!BO82</f>
        <v>63</v>
      </c>
      <c r="BP702" s="12">
        <f>'Production - Oil'!BP82</f>
        <v>55.575000000000003</v>
      </c>
      <c r="BQ702" s="12">
        <f>'Production - Oil'!BQ82</f>
        <v>55.575000000000003</v>
      </c>
      <c r="BR702" s="12">
        <f>'Production - Oil'!BR82</f>
        <v>55.575000000000003</v>
      </c>
      <c r="BS702" s="12">
        <f>'Production - Oil'!BS82</f>
        <v>55.575000000000003</v>
      </c>
      <c r="BT702" s="5">
        <f>'Production - Oil'!BT82</f>
        <v>55.575000000000003</v>
      </c>
      <c r="BU702" s="12">
        <f>'Production - Oil'!BU82</f>
        <v>56.160000000000004</v>
      </c>
      <c r="BV702" s="12">
        <f>'Production - Oil'!BV82</f>
        <v>56.160000000000004</v>
      </c>
      <c r="BW702" s="12">
        <f>'Production - Oil'!BW82</f>
        <v>56.160000000000004</v>
      </c>
      <c r="BX702" s="12">
        <f>'Production - Oil'!BX82</f>
        <v>56.160000000000004</v>
      </c>
      <c r="BY702" s="5">
        <f>'Production - Oil'!BY82</f>
        <v>56.160000000000004</v>
      </c>
      <c r="BZ702" s="12">
        <f>'Production - Oil'!BZ82</f>
        <v>56.900000000000006</v>
      </c>
      <c r="CA702" s="12">
        <f>'Production - Oil'!CA82</f>
        <v>56.900000000000006</v>
      </c>
      <c r="CB702" s="12">
        <f>'Production - Oil'!CB82</f>
        <v>56.900000000000006</v>
      </c>
      <c r="CC702" s="12">
        <f>'Production - Oil'!CC82</f>
        <v>56.900000000000006</v>
      </c>
      <c r="CD702" s="5">
        <f>'Production - Oil'!CD82</f>
        <v>56.900000000000006</v>
      </c>
    </row>
    <row r="703" spans="1:82" hidden="1" outlineLevel="1">
      <c r="A703" s="11"/>
      <c r="B703" s="11" t="s">
        <v>933</v>
      </c>
      <c r="C703" s="5">
        <f>'Production - Gas'!C82</f>
        <v>236</v>
      </c>
      <c r="D703" s="5">
        <f>'Production - Gas'!D82</f>
        <v>251</v>
      </c>
      <c r="E703" s="5">
        <f>'Production - Gas'!E82</f>
        <v>281</v>
      </c>
      <c r="F703" s="5">
        <f>'Production - Gas'!F82</f>
        <v>317</v>
      </c>
      <c r="G703" s="5">
        <f>'Production - Gas'!G82</f>
        <v>358.94</v>
      </c>
      <c r="H703" s="93"/>
      <c r="I703" s="93"/>
      <c r="J703" s="93"/>
      <c r="K703" s="93"/>
      <c r="L703" s="5">
        <f>'Production - Gas'!L82</f>
        <v>416</v>
      </c>
      <c r="M703" s="93"/>
      <c r="N703" s="93"/>
      <c r="O703" s="93"/>
      <c r="P703" s="93"/>
      <c r="Q703" s="5">
        <f>'Production - Gas'!Q82</f>
        <v>429</v>
      </c>
      <c r="R703" s="93"/>
      <c r="S703" s="93"/>
      <c r="T703" s="93"/>
      <c r="U703" s="93"/>
      <c r="V703" s="5">
        <f>'Production - Gas'!V82</f>
        <v>454</v>
      </c>
      <c r="W703" s="93"/>
      <c r="X703" s="93"/>
      <c r="Y703" s="93"/>
      <c r="Z703" s="93"/>
      <c r="AA703" s="5">
        <f>'Production - Gas'!AA82</f>
        <v>392</v>
      </c>
      <c r="AB703" s="93"/>
      <c r="AC703" s="93"/>
      <c r="AD703" s="93"/>
      <c r="AE703" s="93"/>
      <c r="AF703" s="5">
        <f>'Production - Gas'!AF82</f>
        <v>399</v>
      </c>
      <c r="AG703" s="93"/>
      <c r="AH703" s="93"/>
      <c r="AI703" s="93"/>
      <c r="AJ703" s="93"/>
      <c r="AK703" s="5">
        <f>'Production - Gas'!AK82</f>
        <v>392</v>
      </c>
      <c r="AL703" s="93"/>
      <c r="AM703" s="93"/>
      <c r="AN703" s="93"/>
      <c r="AO703" s="93"/>
      <c r="AP703" s="5">
        <f>'Production - Gas'!AP82</f>
        <v>394</v>
      </c>
      <c r="AQ703" s="93"/>
      <c r="AR703" s="93"/>
      <c r="AS703" s="93"/>
      <c r="AT703" s="93"/>
      <c r="AU703" s="5">
        <f>'Production - Gas'!AU82</f>
        <v>384</v>
      </c>
      <c r="AV703" s="93"/>
      <c r="AW703" s="93"/>
      <c r="AX703" s="93"/>
      <c r="AY703" s="93"/>
      <c r="AZ703" s="5">
        <f>'Production - Gas'!AZ82</f>
        <v>403</v>
      </c>
      <c r="BA703" s="93"/>
      <c r="BB703" s="93"/>
      <c r="BC703" s="93"/>
      <c r="BD703" s="93"/>
      <c r="BE703" s="5">
        <f>'Production - Gas'!BE82</f>
        <v>434</v>
      </c>
      <c r="BF703" s="93"/>
      <c r="BG703" s="93"/>
      <c r="BH703" s="93"/>
      <c r="BI703" s="93"/>
      <c r="BJ703" s="5">
        <f>'Production - Gas'!BJ82</f>
        <v>449</v>
      </c>
      <c r="BK703" s="93"/>
      <c r="BL703" s="93"/>
      <c r="BM703" s="93"/>
      <c r="BN703" s="93"/>
      <c r="BO703" s="5">
        <f>'Production - Gas'!BO82</f>
        <v>418</v>
      </c>
      <c r="BP703" s="12">
        <f>'Production - Gas'!BP82</f>
        <v>314.57155132963453</v>
      </c>
      <c r="BQ703" s="12">
        <f>'Production - Gas'!BQ82</f>
        <v>306.26757758203462</v>
      </c>
      <c r="BR703" s="12">
        <f>'Production - Gas'!BR82</f>
        <v>308.43149417046533</v>
      </c>
      <c r="BS703" s="12">
        <f>'Production - Gas'!BS82</f>
        <v>312.14937691786554</v>
      </c>
      <c r="BT703" s="5">
        <f>'Production - Gas'!BT82</f>
        <v>310.35500000000002</v>
      </c>
      <c r="BU703" s="12">
        <f>'Production - Gas'!BU82</f>
        <v>329.96285808138811</v>
      </c>
      <c r="BV703" s="12">
        <f>'Production - Gas'!BV82</f>
        <v>321.25258882910066</v>
      </c>
      <c r="BW703" s="12">
        <f>'Production - Gas'!BW82</f>
        <v>323.52238118365506</v>
      </c>
      <c r="BX703" s="12">
        <f>'Production - Gas'!BX82</f>
        <v>327.42217190585603</v>
      </c>
      <c r="BY703" s="5">
        <f>'Production - Gas'!BY82</f>
        <v>325.53999999999996</v>
      </c>
      <c r="BZ703" s="12">
        <f>'Production - Gas'!BZ82</f>
        <v>347.12287278716281</v>
      </c>
      <c r="CA703" s="12">
        <f>'Production - Gas'!CA82</f>
        <v>337.95961816152277</v>
      </c>
      <c r="CB703" s="12">
        <f>'Production - Gas'!CB82</f>
        <v>340.34745310550579</v>
      </c>
      <c r="CC703" s="12">
        <f>'Production - Gas'!CC82</f>
        <v>344.45005594580863</v>
      </c>
      <c r="CD703" s="5">
        <f>'Production - Gas'!CD82</f>
        <v>342.46999999999997</v>
      </c>
    </row>
    <row r="704" spans="1:82" hidden="1" outlineLevel="1">
      <c r="A704" s="11"/>
      <c r="B704" s="39" t="s">
        <v>896</v>
      </c>
      <c r="C704" s="8">
        <f>C702+C703/5.8</f>
        <v>90.689655172413794</v>
      </c>
      <c r="D704" s="8">
        <f>D702+D703/5.8</f>
        <v>96.275862068965523</v>
      </c>
      <c r="E704" s="8">
        <f>E702+E703/5.8</f>
        <v>108.44827586206897</v>
      </c>
      <c r="F704" s="8">
        <f>F702+F703/5.8</f>
        <v>118.65517241379311</v>
      </c>
      <c r="G704" s="8">
        <f>G702+G703/5.8</f>
        <v>128.88620689655173</v>
      </c>
      <c r="H704" s="93"/>
      <c r="I704" s="93"/>
      <c r="J704" s="93"/>
      <c r="K704" s="93"/>
      <c r="L704" s="8">
        <f>L702+L703/5.8</f>
        <v>148.72413793103448</v>
      </c>
      <c r="M704" s="93"/>
      <c r="N704" s="93"/>
      <c r="O704" s="93"/>
      <c r="P704" s="93"/>
      <c r="Q704" s="8">
        <f>Q702+Q703/5.8</f>
        <v>150.9655172413793</v>
      </c>
      <c r="R704" s="93"/>
      <c r="S704" s="93"/>
      <c r="T704" s="93"/>
      <c r="U704" s="93"/>
      <c r="V704" s="8">
        <f>V702+V703/5.8</f>
        <v>170.27586206896552</v>
      </c>
      <c r="W704" s="93"/>
      <c r="X704" s="93"/>
      <c r="Y704" s="93"/>
      <c r="Z704" s="93"/>
      <c r="AA704" s="8">
        <f>AA702+AA703/5.8</f>
        <v>168.58620689655174</v>
      </c>
      <c r="AB704" s="93"/>
      <c r="AC704" s="93"/>
      <c r="AD704" s="93"/>
      <c r="AE704" s="93"/>
      <c r="AF704" s="8">
        <f>AF702+AF703/5.8</f>
        <v>166.79310344827587</v>
      </c>
      <c r="AG704" s="93"/>
      <c r="AH704" s="93"/>
      <c r="AI704" s="93"/>
      <c r="AJ704" s="93"/>
      <c r="AK704" s="8">
        <f>AK702+AK703/5.8</f>
        <v>157.58620689655174</v>
      </c>
      <c r="AL704" s="93"/>
      <c r="AM704" s="93"/>
      <c r="AN704" s="93"/>
      <c r="AO704" s="93"/>
      <c r="AP704" s="8">
        <f>AP702+AP703/5.8</f>
        <v>147.93103448275861</v>
      </c>
      <c r="AQ704" s="93"/>
      <c r="AR704" s="93"/>
      <c r="AS704" s="93"/>
      <c r="AT704" s="93"/>
      <c r="AU704" s="8">
        <f>AU702+AU703/5.8</f>
        <v>131.20689655172413</v>
      </c>
      <c r="AV704" s="93"/>
      <c r="AW704" s="93"/>
      <c r="AX704" s="93"/>
      <c r="AY704" s="93"/>
      <c r="AZ704" s="8">
        <f>AZ702+AZ703/5.8</f>
        <v>137.48275862068965</v>
      </c>
      <c r="BA704" s="93"/>
      <c r="BB704" s="93"/>
      <c r="BC704" s="93"/>
      <c r="BD704" s="93"/>
      <c r="BE704" s="8">
        <f t="shared" ref="BE704:BJ704" si="351">BE702+BE703/5.8</f>
        <v>146.82758620689657</v>
      </c>
      <c r="BF704" s="93"/>
      <c r="BG704" s="93"/>
      <c r="BH704" s="93"/>
      <c r="BI704" s="93"/>
      <c r="BJ704" s="8">
        <f t="shared" si="351"/>
        <v>144.41379310344828</v>
      </c>
      <c r="BK704" s="93"/>
      <c r="BL704" s="93"/>
      <c r="BM704" s="93"/>
      <c r="BN704" s="93"/>
      <c r="BO704" s="8">
        <f t="shared" ref="BO704:CD704" si="352">BO702+BO703/5.8</f>
        <v>135.06896551724139</v>
      </c>
      <c r="BP704" s="66">
        <f t="shared" si="352"/>
        <v>109.81147436717836</v>
      </c>
      <c r="BQ704" s="66">
        <f t="shared" si="352"/>
        <v>108.37975475552321</v>
      </c>
      <c r="BR704" s="66">
        <f t="shared" si="352"/>
        <v>108.75284382249403</v>
      </c>
      <c r="BS704" s="66">
        <f t="shared" si="352"/>
        <v>109.39385808928716</v>
      </c>
      <c r="BT704" s="8">
        <f t="shared" si="352"/>
        <v>109.08448275862069</v>
      </c>
      <c r="BU704" s="66">
        <f t="shared" si="352"/>
        <v>113.05014794506693</v>
      </c>
      <c r="BV704" s="66">
        <f t="shared" si="352"/>
        <v>111.54837738432771</v>
      </c>
      <c r="BW704" s="66">
        <f t="shared" si="352"/>
        <v>111.93972089373364</v>
      </c>
      <c r="BX704" s="66">
        <f t="shared" si="352"/>
        <v>112.61209860445794</v>
      </c>
      <c r="BY704" s="8">
        <f t="shared" si="352"/>
        <v>112.28758620689655</v>
      </c>
      <c r="BZ704" s="66">
        <f t="shared" si="352"/>
        <v>116.74877117020048</v>
      </c>
      <c r="CA704" s="66">
        <f t="shared" si="352"/>
        <v>115.16889968302118</v>
      </c>
      <c r="CB704" s="66">
        <f t="shared" si="352"/>
        <v>115.58059536301825</v>
      </c>
      <c r="CC704" s="66">
        <f t="shared" si="352"/>
        <v>116.28794068031183</v>
      </c>
      <c r="CD704" s="8">
        <f t="shared" si="352"/>
        <v>115.94655172413793</v>
      </c>
    </row>
    <row r="705" spans="1:82" hidden="1" outlineLevel="1">
      <c r="A705" s="11"/>
      <c r="B705" s="11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</row>
    <row r="706" spans="1:82" hidden="1" outlineLevel="1">
      <c r="A706" s="39" t="s">
        <v>199</v>
      </c>
      <c r="B706" s="11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</row>
    <row r="707" spans="1:82" hidden="1" outlineLevel="1">
      <c r="A707" s="11"/>
      <c r="B707" s="11" t="s">
        <v>197</v>
      </c>
      <c r="C707" s="72"/>
      <c r="D707" s="72"/>
      <c r="E707" s="72"/>
      <c r="F707" s="104">
        <f>'Key assumptions'!F25</f>
        <v>34.51</v>
      </c>
      <c r="G707" s="104">
        <f>'Key assumptions'!G25</f>
        <v>47.56</v>
      </c>
      <c r="H707" s="93"/>
      <c r="I707" s="93"/>
      <c r="J707" s="93"/>
      <c r="K707" s="93"/>
      <c r="L707" s="104">
        <f>'Key assumptions'!L25</f>
        <v>59.54</v>
      </c>
      <c r="M707" s="93"/>
      <c r="N707" s="93"/>
      <c r="O707" s="93"/>
      <c r="P707" s="93"/>
      <c r="Q707" s="104">
        <f>'Key assumptions'!Q25</f>
        <v>69.56</v>
      </c>
      <c r="R707" s="93"/>
      <c r="S707" s="93"/>
      <c r="T707" s="93"/>
      <c r="U707" s="93"/>
      <c r="V707" s="104">
        <f>'Key assumptions'!V25</f>
        <v>91.05</v>
      </c>
      <c r="W707" s="93"/>
      <c r="X707" s="93"/>
      <c r="Y707" s="93"/>
      <c r="Z707" s="93"/>
      <c r="AA707" s="104">
        <f>'Key assumptions'!AA25</f>
        <v>57.29</v>
      </c>
      <c r="AB707" s="93"/>
      <c r="AC707" s="93"/>
      <c r="AD707" s="93"/>
      <c r="AE707" s="93"/>
      <c r="AF707" s="104">
        <f>'Key assumptions'!AF25</f>
        <v>75.23</v>
      </c>
      <c r="AG707" s="93"/>
      <c r="AH707" s="93"/>
      <c r="AI707" s="93"/>
      <c r="AJ707" s="93"/>
      <c r="AK707" s="104">
        <f>'Key assumptions'!AK25</f>
        <v>105.13</v>
      </c>
      <c r="AL707" s="93"/>
      <c r="AM707" s="93"/>
      <c r="AN707" s="93"/>
      <c r="AO707" s="93"/>
      <c r="AP707" s="104">
        <f>'Key assumptions'!AP25</f>
        <v>105.8725</v>
      </c>
      <c r="AQ707" s="93"/>
      <c r="AR707" s="93"/>
      <c r="AS707" s="93"/>
      <c r="AT707" s="93"/>
      <c r="AU707" s="104">
        <f>'Key assumptions'!AU25</f>
        <v>104.2775</v>
      </c>
      <c r="AV707" s="93"/>
      <c r="AW707" s="93"/>
      <c r="AX707" s="93"/>
      <c r="AY707" s="93"/>
      <c r="AZ707" s="104">
        <f>'Key assumptions'!AZ25</f>
        <v>91.702500000000001</v>
      </c>
      <c r="BA707" s="93"/>
      <c r="BB707" s="93"/>
      <c r="BC707" s="93"/>
      <c r="BD707" s="93"/>
      <c r="BE707" s="104">
        <f>'Key assumptions'!BE25</f>
        <v>46.202499999999993</v>
      </c>
      <c r="BF707" s="93"/>
      <c r="BG707" s="93"/>
      <c r="BH707" s="93"/>
      <c r="BI707" s="93"/>
      <c r="BJ707" s="104">
        <f>'Key assumptions'!BJ25</f>
        <v>41.984999999999999</v>
      </c>
      <c r="BK707" s="93"/>
      <c r="BL707" s="93"/>
      <c r="BM707" s="93"/>
      <c r="BN707" s="93"/>
      <c r="BO707" s="104">
        <f>'Key assumptions'!BO25</f>
        <v>51.8825</v>
      </c>
      <c r="BP707" s="114">
        <f>'Key assumptions'!BP25</f>
        <v>62.570938555470903</v>
      </c>
      <c r="BQ707" s="114">
        <f>'Key assumptions'!BQ25</f>
        <v>63.174946220562603</v>
      </c>
      <c r="BR707" s="114">
        <f>'Key assumptions'!BR25</f>
        <v>61.947446772150428</v>
      </c>
      <c r="BS707" s="114">
        <f>'Key assumptions'!BS25</f>
        <v>60.924530565140266</v>
      </c>
      <c r="BT707" s="104">
        <f>'Key assumptions'!BT25</f>
        <v>62.154465528331052</v>
      </c>
      <c r="BU707" s="114">
        <f>'Key assumptions'!BU25</f>
        <v>58.693599027946703</v>
      </c>
      <c r="BV707" s="114">
        <f>'Key assumptions'!BV25</f>
        <v>58.693599027946703</v>
      </c>
      <c r="BW707" s="114">
        <f>'Key assumptions'!BW25</f>
        <v>58.693599027946703</v>
      </c>
      <c r="BX707" s="114">
        <f>'Key assumptions'!BX25</f>
        <v>58.693599027946703</v>
      </c>
      <c r="BY707" s="104">
        <f>'Key assumptions'!BY25</f>
        <v>58.693599027946703</v>
      </c>
      <c r="BZ707" s="114">
        <f>'Key assumptions'!BZ25</f>
        <v>59.073346349255459</v>
      </c>
      <c r="CA707" s="114">
        <f>'Key assumptions'!CA25</f>
        <v>59.455445159519257</v>
      </c>
      <c r="CB707" s="114">
        <f>'Key assumptions'!CB25</f>
        <v>59.839910019736948</v>
      </c>
      <c r="CC707" s="114">
        <f>'Key assumptions'!CC25</f>
        <v>60.226755581072652</v>
      </c>
      <c r="CD707" s="104">
        <f>'Key assumptions'!CD25</f>
        <v>59.648864277396086</v>
      </c>
    </row>
    <row r="708" spans="1:82" hidden="1" outlineLevel="1">
      <c r="A708" s="11"/>
      <c r="B708" s="11" t="s">
        <v>198</v>
      </c>
      <c r="C708" s="72"/>
      <c r="D708" s="72"/>
      <c r="E708" s="72"/>
      <c r="F708" s="104">
        <f>'Key assumptions'!F32</f>
        <v>2.74</v>
      </c>
      <c r="G708" s="104">
        <f>'Key assumptions'!G32</f>
        <v>3.46</v>
      </c>
      <c r="H708" s="93"/>
      <c r="I708" s="93"/>
      <c r="J708" s="93"/>
      <c r="K708" s="93"/>
      <c r="L708" s="104">
        <f>'Key assumptions'!L32</f>
        <v>3.7</v>
      </c>
      <c r="M708" s="93"/>
      <c r="N708" s="93"/>
      <c r="O708" s="93"/>
      <c r="P708" s="93"/>
      <c r="Q708" s="104">
        <f>'Key assumptions'!Q32</f>
        <v>3.71</v>
      </c>
      <c r="R708" s="93"/>
      <c r="S708" s="93"/>
      <c r="T708" s="93"/>
      <c r="U708" s="93"/>
      <c r="V708" s="104">
        <f>'Key assumptions'!V32</f>
        <v>5.19</v>
      </c>
      <c r="W708" s="93"/>
      <c r="X708" s="93"/>
      <c r="Y708" s="93"/>
      <c r="Z708" s="93"/>
      <c r="AA708" s="104">
        <f>'Key assumptions'!AA32</f>
        <v>3.14</v>
      </c>
      <c r="AB708" s="93"/>
      <c r="AC708" s="93"/>
      <c r="AD708" s="93"/>
      <c r="AE708" s="93"/>
      <c r="AF708" s="104">
        <f>'Key assumptions'!AF32</f>
        <v>3.86</v>
      </c>
      <c r="AG708" s="93"/>
      <c r="AH708" s="93"/>
      <c r="AI708" s="93"/>
      <c r="AJ708" s="93"/>
      <c r="AK708" s="104">
        <f>'Key assumptions'!AK32</f>
        <v>4.9775</v>
      </c>
      <c r="AL708" s="93"/>
      <c r="AM708" s="93"/>
      <c r="AN708" s="93"/>
      <c r="AO708" s="93"/>
      <c r="AP708" s="104">
        <f>'Key assumptions'!AP32</f>
        <v>5.33</v>
      </c>
      <c r="AQ708" s="93"/>
      <c r="AR708" s="93"/>
      <c r="AS708" s="93"/>
      <c r="AT708" s="93"/>
      <c r="AU708" s="104">
        <f>'Key assumptions'!AU32</f>
        <v>5.9725000000000001</v>
      </c>
      <c r="AV708" s="93"/>
      <c r="AW708" s="93"/>
      <c r="AX708" s="93"/>
      <c r="AY708" s="93"/>
      <c r="AZ708" s="104">
        <f>'Key assumptions'!AZ32</f>
        <v>6.3524999999999991</v>
      </c>
      <c r="BA708" s="93"/>
      <c r="BB708" s="93"/>
      <c r="BC708" s="93"/>
      <c r="BD708" s="93"/>
      <c r="BE708" s="104">
        <f>'Key assumptions'!BE32</f>
        <v>4.2450000000000001</v>
      </c>
      <c r="BF708" s="93"/>
      <c r="BG708" s="93"/>
      <c r="BH708" s="93"/>
      <c r="BI708" s="93"/>
      <c r="BJ708" s="104">
        <f>'Key assumptions'!BJ32</f>
        <v>3.1850000000000001</v>
      </c>
      <c r="BK708" s="93"/>
      <c r="BL708" s="93"/>
      <c r="BM708" s="93"/>
      <c r="BN708" s="93"/>
      <c r="BO708" s="104">
        <f>'Key assumptions'!BO32</f>
        <v>3.4649999999999999</v>
      </c>
      <c r="BP708" s="114">
        <f>'Key assumptions'!BP32</f>
        <v>3.5280681943281262</v>
      </c>
      <c r="BQ708" s="114">
        <f>'Key assumptions'!BQ32</f>
        <v>3.8179688704990125</v>
      </c>
      <c r="BR708" s="114">
        <f>'Key assumptions'!BR32</f>
        <v>3.9407618168367149</v>
      </c>
      <c r="BS708" s="114">
        <f>'Key assumptions'!BS32</f>
        <v>3.928267780961336</v>
      </c>
      <c r="BT708" s="104">
        <f>'Key assumptions'!BT32</f>
        <v>3.8037666656562972</v>
      </c>
      <c r="BU708" s="114">
        <f>'Key assumptions'!BU32</f>
        <v>3.8831721202236427</v>
      </c>
      <c r="BV708" s="114">
        <f>'Key assumptions'!BV32</f>
        <v>3.8179688704990125</v>
      </c>
      <c r="BW708" s="114">
        <f>'Key assumptions'!BW32</f>
        <v>3.7732636483824247</v>
      </c>
      <c r="BX708" s="114">
        <f>'Key assumptions'!BX32</f>
        <v>3.7732636483824247</v>
      </c>
      <c r="BY708" s="104">
        <f>'Key assumptions'!BY32</f>
        <v>3.8119170718718762</v>
      </c>
      <c r="BZ708" s="114">
        <f>'Key assumptions'!BZ32</f>
        <v>3.7732636483824247</v>
      </c>
      <c r="CA708" s="114">
        <f>'Key assumptions'!CA32</f>
        <v>3.7808733343204537</v>
      </c>
      <c r="CB708" s="114">
        <f>'Key assumptions'!CB32</f>
        <v>3.7961398272463005</v>
      </c>
      <c r="CC708" s="114">
        <f>'Key assumptions'!CC32</f>
        <v>3.8115008540568729</v>
      </c>
      <c r="CD708" s="104">
        <f>'Key assumptions'!CD32</f>
        <v>3.7904444160015132</v>
      </c>
    </row>
    <row r="709" spans="1:82" hidden="1" outlineLevel="1">
      <c r="A709" s="11"/>
      <c r="B709" s="39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</row>
    <row r="710" spans="1:82" hidden="1" outlineLevel="1">
      <c r="A710" s="11" t="s">
        <v>200</v>
      </c>
      <c r="B710" s="11"/>
      <c r="C710" s="72"/>
      <c r="D710" s="72"/>
      <c r="E710" s="72"/>
      <c r="F710" s="115">
        <f>SUMPRODUCT(F702:F703,F707:F708)*365/1000</f>
        <v>1123.1852999999999</v>
      </c>
      <c r="G710" s="115">
        <f>SUMPRODUCT(G702:G703,G707:G708)*365/1000</f>
        <v>1616.3851259999999</v>
      </c>
      <c r="H710" s="93"/>
      <c r="I710" s="93"/>
      <c r="J710" s="93"/>
      <c r="K710" s="93"/>
      <c r="L710" s="115">
        <f>SUMPRODUCT(L702:L703,L707:L708)*365/1000</f>
        <v>2235.1796999999997</v>
      </c>
      <c r="M710" s="93"/>
      <c r="N710" s="93"/>
      <c r="O710" s="93"/>
      <c r="P710" s="93"/>
      <c r="Q710" s="115">
        <f>SUMPRODUCT(Q702:Q703,Q707:Q708)*365/1000</f>
        <v>2535.9141500000001</v>
      </c>
      <c r="R710" s="93"/>
      <c r="S710" s="93"/>
      <c r="T710" s="93"/>
      <c r="U710" s="93"/>
      <c r="V710" s="115">
        <f>SUMPRODUCT(V702:V703,V707:V708)*365/1000</f>
        <v>3917.4939000000004</v>
      </c>
      <c r="W710" s="93"/>
      <c r="X710" s="93"/>
      <c r="Y710" s="93"/>
      <c r="Z710" s="93"/>
      <c r="AA710" s="115">
        <f>SUMPRODUCT(AA702:AA703,AA707:AA708)*365/1000</f>
        <v>2561.2670499999999</v>
      </c>
      <c r="AB710" s="93"/>
      <c r="AC710" s="93"/>
      <c r="AD710" s="93"/>
      <c r="AE710" s="93"/>
      <c r="AF710" s="115">
        <f>SUMPRODUCT(AF702:AF703,AF707:AF708)*365/1000</f>
        <v>3253.1282000000001</v>
      </c>
      <c r="AG710" s="93"/>
      <c r="AH710" s="93"/>
      <c r="AI710" s="93"/>
      <c r="AJ710" s="93"/>
      <c r="AK710" s="115">
        <f>SUMPRODUCT(AK702:AK703,AK707:AK708)*365/1000</f>
        <v>4165.7011999999995</v>
      </c>
      <c r="AL710" s="93"/>
      <c r="AM710" s="93"/>
      <c r="AN710" s="93"/>
      <c r="AO710" s="93"/>
      <c r="AP710" s="115">
        <f>SUMPRODUCT(AP702:AP703,AP707:AP708)*365/1000</f>
        <v>3857.9842999999996</v>
      </c>
      <c r="AQ710" s="93"/>
      <c r="AR710" s="93"/>
      <c r="AS710" s="93"/>
      <c r="AT710" s="93"/>
      <c r="AU710" s="115">
        <f>SUMPRODUCT(AU702:AU703,AU707:AU708)*365/1000</f>
        <v>3311.0892875</v>
      </c>
      <c r="AV710" s="93"/>
      <c r="AW710" s="93"/>
      <c r="AX710" s="93"/>
      <c r="AY710" s="93"/>
      <c r="AZ710" s="115">
        <f>SUMPRODUCT(AZ702:AZ703,AZ707:AZ708)*365/1000</f>
        <v>3210.4770374999998</v>
      </c>
      <c r="BA710" s="93"/>
      <c r="BB710" s="93"/>
      <c r="BC710" s="93"/>
      <c r="BD710" s="93"/>
      <c r="BE710" s="115">
        <f>SUMPRODUCT(BE702:BE703,BE707:BE708)*365/1000</f>
        <v>1886.6521499999999</v>
      </c>
      <c r="BF710" s="93"/>
      <c r="BG710" s="93"/>
      <c r="BH710" s="93"/>
      <c r="BI710" s="93"/>
      <c r="BJ710" s="115">
        <f>SUMPRODUCT(BJ702:BJ703,BJ707:BJ708)*365/1000</f>
        <v>1548.7168999999999</v>
      </c>
      <c r="BK710" s="93"/>
      <c r="BL710" s="93"/>
      <c r="BM710" s="93"/>
      <c r="BN710" s="93"/>
      <c r="BO710" s="115">
        <f>SUMPRODUCT(BO702:BO703,BO707:BO708)*365/1000</f>
        <v>1721.6931374999999</v>
      </c>
      <c r="BP710" s="65">
        <f>SUMPRODUCT(BP702:BP703,BP707:BP708)*90/1000</f>
        <v>412.84888157761532</v>
      </c>
      <c r="BQ710" s="65">
        <f>SUMPRODUCT(BQ702:BQ703,BQ707:BQ708)*91/1000</f>
        <v>425.90436192477955</v>
      </c>
      <c r="BR710" s="65">
        <f>SUMPRODUCT(BR702:BR703,BR707:BR708)*92/1000</f>
        <v>428.55296569231962</v>
      </c>
      <c r="BS710" s="65">
        <f>SUMPRODUCT(BS702:BS703,BS707:BS708)*92/1000</f>
        <v>424.31201562431755</v>
      </c>
      <c r="BT710" s="115">
        <f>SUM(BP710:BS710)</f>
        <v>1691.6182248190321</v>
      </c>
      <c r="BU710" s="65">
        <f>SUMPRODUCT(BU702:BU703,BU707:BU708)*90/1000</f>
        <v>411.97815833583991</v>
      </c>
      <c r="BV710" s="65">
        <f>SUMPRODUCT(BV702:BV703,BV707:BV708)*91/1000</f>
        <v>411.57160636648536</v>
      </c>
      <c r="BW710" s="65">
        <f>SUMPRODUCT(BW702:BW703,BW707:BW708)*92/1000</f>
        <v>415.56103408264636</v>
      </c>
      <c r="BX710" s="65">
        <f>SUMPRODUCT(BX702:BX703,BX707:BX708)*92/1000</f>
        <v>416.91480843093728</v>
      </c>
      <c r="BY710" s="115">
        <f>SUM(BU710:BX710)</f>
        <v>1656.0256072159088</v>
      </c>
      <c r="BZ710" s="65">
        <f>SUMPRODUCT(BZ702:BZ703,BZ707:BZ708)*90/1000</f>
        <v>420.39535722142625</v>
      </c>
      <c r="CA710" s="65">
        <f>SUMPRODUCT(CA702:CA703,CA707:CA708)*91/1000</f>
        <v>424.13255775442099</v>
      </c>
      <c r="CB710" s="65">
        <f>SUMPRODUCT(CB702:CB703,CB707:CB708)*92/1000</f>
        <v>432.11456098019909</v>
      </c>
      <c r="CC710" s="65">
        <f>SUMPRODUCT(CC702:CC703,CC707:CC708)*92/1000</f>
        <v>436.05921489819877</v>
      </c>
      <c r="CD710" s="115">
        <f>SUM(BZ710:CC710)</f>
        <v>1712.701690854245</v>
      </c>
    </row>
    <row r="711" spans="1:82" hidden="1" outlineLevel="1">
      <c r="A711" s="11" t="s">
        <v>550</v>
      </c>
      <c r="B711" s="11"/>
      <c r="C711" s="72"/>
      <c r="D711" s="72"/>
      <c r="E711" s="72"/>
      <c r="F711" s="72"/>
      <c r="G711" s="72"/>
      <c r="H711" s="93"/>
      <c r="I711" s="93"/>
      <c r="J711" s="93"/>
      <c r="K711" s="93"/>
      <c r="L711" s="72"/>
      <c r="M711" s="93"/>
      <c r="N711" s="93"/>
      <c r="O711" s="93"/>
      <c r="P711" s="93"/>
      <c r="Q711" s="72"/>
      <c r="R711" s="93"/>
      <c r="S711" s="93"/>
      <c r="T711" s="93"/>
      <c r="U711" s="93"/>
      <c r="V711" s="72"/>
      <c r="W711" s="93"/>
      <c r="X711" s="93"/>
      <c r="Y711" s="93"/>
      <c r="Z711" s="93"/>
      <c r="AA711" s="116">
        <f>AA685/AA710-1</f>
        <v>-0.22811641214843248</v>
      </c>
      <c r="AB711" s="93"/>
      <c r="AC711" s="93"/>
      <c r="AD711" s="93"/>
      <c r="AE711" s="93"/>
      <c r="AF711" s="116">
        <f>AF685/AF710-1</f>
        <v>-0.30282489328271789</v>
      </c>
      <c r="AG711" s="93"/>
      <c r="AH711" s="93"/>
      <c r="AI711" s="93"/>
      <c r="AJ711" s="93"/>
      <c r="AK711" s="116">
        <f>AK685/AK710-1</f>
        <v>-0.42842755980673786</v>
      </c>
      <c r="AL711" s="93"/>
      <c r="AM711" s="93"/>
      <c r="AN711" s="93"/>
      <c r="AO711" s="93"/>
      <c r="AP711" s="116">
        <f>AP685/AP710-1</f>
        <v>-0.41238744802564375</v>
      </c>
      <c r="AQ711" s="93"/>
      <c r="AR711" s="93"/>
      <c r="AS711" s="93"/>
      <c r="AT711" s="93"/>
      <c r="AU711" s="116">
        <f>AU685/AU710-1</f>
        <v>-0.30717664163866198</v>
      </c>
      <c r="AV711" s="93"/>
      <c r="AW711" s="93"/>
      <c r="AX711" s="93"/>
      <c r="AY711" s="93"/>
      <c r="AZ711" s="116">
        <f>AZ685/AZ710-1</f>
        <v>-0.23002096849602527</v>
      </c>
      <c r="BA711" s="93"/>
      <c r="BB711" s="93"/>
      <c r="BC711" s="93"/>
      <c r="BD711" s="93"/>
      <c r="BE711" s="116">
        <f>BE685/BE710-1</f>
        <v>9.1881192831439584E-2</v>
      </c>
      <c r="BF711" s="93"/>
      <c r="BG711" s="93"/>
      <c r="BH711" s="93"/>
      <c r="BI711" s="93"/>
      <c r="BJ711" s="116">
        <f>BJ685/BJ710-1</f>
        <v>0.20422266974680792</v>
      </c>
      <c r="BK711" s="93"/>
      <c r="BL711" s="93"/>
      <c r="BM711" s="93"/>
      <c r="BN711" s="93"/>
      <c r="BO711" s="116">
        <f>BO685/BO710-1</f>
        <v>1.6441293679722246E-2</v>
      </c>
      <c r="BP711" s="117">
        <f>BT711</f>
        <v>0.02</v>
      </c>
      <c r="BQ711" s="117">
        <f>BT711</f>
        <v>0.02</v>
      </c>
      <c r="BR711" s="117">
        <f>BT711</f>
        <v>0.02</v>
      </c>
      <c r="BS711" s="117">
        <f>BT711</f>
        <v>0.02</v>
      </c>
      <c r="BT711" s="118">
        <v>0.02</v>
      </c>
      <c r="BU711" s="117">
        <f>BY711</f>
        <v>0.02</v>
      </c>
      <c r="BV711" s="117">
        <f>BY711</f>
        <v>0.02</v>
      </c>
      <c r="BW711" s="117">
        <f>BY711</f>
        <v>0.02</v>
      </c>
      <c r="BX711" s="117">
        <f>BY711</f>
        <v>0.02</v>
      </c>
      <c r="BY711" s="118">
        <v>0.02</v>
      </c>
      <c r="BZ711" s="117">
        <f>CD711</f>
        <v>0.02</v>
      </c>
      <c r="CA711" s="117">
        <f>CD711</f>
        <v>0.02</v>
      </c>
      <c r="CB711" s="117">
        <f>CD711</f>
        <v>0.02</v>
      </c>
      <c r="CC711" s="117">
        <f>CD711</f>
        <v>0.02</v>
      </c>
      <c r="CD711" s="118">
        <v>0.02</v>
      </c>
    </row>
    <row r="712" spans="1:82" hidden="1" outlineLevel="1">
      <c r="A712" s="11"/>
      <c r="B712" s="11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</row>
    <row r="713" spans="1:82" hidden="1" outlineLevel="1">
      <c r="A713" s="39" t="s">
        <v>3090</v>
      </c>
      <c r="B713" s="11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</row>
    <row r="714" spans="1:82" hidden="1" outlineLevel="1">
      <c r="A714" s="11"/>
      <c r="B714" s="11" t="s">
        <v>1897</v>
      </c>
      <c r="C714" s="72"/>
      <c r="D714" s="72"/>
      <c r="E714" s="72"/>
      <c r="F714" s="72"/>
      <c r="G714" s="149"/>
      <c r="H714" s="93"/>
      <c r="I714" s="93"/>
      <c r="J714" s="93"/>
      <c r="K714" s="93"/>
      <c r="L714" s="149"/>
      <c r="M714" s="93"/>
      <c r="N714" s="93"/>
      <c r="O714" s="93"/>
      <c r="P714" s="93"/>
      <c r="Q714" s="149"/>
      <c r="R714" s="93"/>
      <c r="S714" s="93"/>
      <c r="T714" s="93"/>
      <c r="U714" s="93"/>
      <c r="V714" s="149"/>
      <c r="W714" s="93"/>
      <c r="X714" s="93"/>
      <c r="Y714" s="93"/>
      <c r="Z714" s="93"/>
      <c r="AA714" s="119">
        <f>-1000*AA687/(AA704*365)</f>
        <v>0.37377730829903305</v>
      </c>
      <c r="AB714" s="93"/>
      <c r="AC714" s="93"/>
      <c r="AD714" s="93"/>
      <c r="AE714" s="93"/>
      <c r="AF714" s="119">
        <f>-1000*AF687/(AF704*365)</f>
        <v>0.36136969309064543</v>
      </c>
      <c r="AG714" s="93"/>
      <c r="AH714" s="93"/>
      <c r="AI714" s="93"/>
      <c r="AJ714" s="93"/>
      <c r="AK714" s="119">
        <f>-1000*AK687/(AK704*365)</f>
        <v>0.17385569976919155</v>
      </c>
      <c r="AL714" s="93"/>
      <c r="AM714" s="93"/>
      <c r="AN714" s="93"/>
      <c r="AO714" s="93"/>
      <c r="AP714" s="119">
        <f>-1000*AP687/(AP704*365)</f>
        <v>0.57412906727975221</v>
      </c>
      <c r="AQ714" s="93"/>
      <c r="AR714" s="93"/>
      <c r="AS714" s="93"/>
      <c r="AT714" s="93"/>
      <c r="AU714" s="119">
        <f>-1000*AU687/(AU704*365)</f>
        <v>0</v>
      </c>
      <c r="AV714" s="93"/>
      <c r="AW714" s="93"/>
      <c r="AX714" s="93"/>
      <c r="AY714" s="93"/>
      <c r="AZ714" s="119">
        <f>-1000*AZ687/(AZ704*365)</f>
        <v>7.9711115921264661E-2</v>
      </c>
      <c r="BA714" s="93"/>
      <c r="BB714" s="93"/>
      <c r="BC714" s="93"/>
      <c r="BD714" s="93"/>
      <c r="BE714" s="119">
        <f>-1000*BE687/(BE704*365)</f>
        <v>5.5978432217839741E-2</v>
      </c>
      <c r="BF714" s="93"/>
      <c r="BG714" s="93"/>
      <c r="BH714" s="93"/>
      <c r="BI714" s="93"/>
      <c r="BJ714" s="119">
        <f>-1000*BJ687/(BJ704*365)</f>
        <v>0</v>
      </c>
      <c r="BK714" s="93"/>
      <c r="BL714" s="93"/>
      <c r="BM714" s="93"/>
      <c r="BN714" s="93"/>
      <c r="BO714" s="119">
        <f>-1000*BO687/(BO704*365)</f>
        <v>0</v>
      </c>
      <c r="BP714" s="114">
        <f>-1000*BP687/(BP$704*90)</f>
        <v>7.5887637256094348E-2</v>
      </c>
      <c r="BQ714" s="114">
        <f>-1000*BQ687/(BQ$704*91)</f>
        <v>7.6045182611360618E-2</v>
      </c>
      <c r="BR714" s="114">
        <f>-1000*BR687/(BR$704*92)</f>
        <v>7.4960558515135695E-2</v>
      </c>
      <c r="BS714" s="114">
        <f>-1000*BS687/(BS$704*92)</f>
        <v>7.4521312763187145E-2</v>
      </c>
      <c r="BT714" s="119">
        <f>-1000*BT687/(BT704*365)</f>
        <v>7.5346904292326933E-2</v>
      </c>
      <c r="BU714" s="114">
        <f>-1000*BU687/(BU$704*90)</f>
        <v>7.3713599537991295E-2</v>
      </c>
      <c r="BV714" s="114">
        <f>-1000*BV687/(BV$704*91)</f>
        <v>7.3885057183415301E-2</v>
      </c>
      <c r="BW714" s="114">
        <f>-1000*BW687/(BW$704*92)</f>
        <v>7.2826462742233214E-2</v>
      </c>
      <c r="BX714" s="114">
        <f>-1000*BX687/(BX$704*92)</f>
        <v>7.2391634771654639E-2</v>
      </c>
      <c r="BY714" s="119">
        <f>-1000*BY687/(BY704*365)</f>
        <v>7.3197566710958201E-2</v>
      </c>
      <c r="BZ714" s="114">
        <f>-1000*BZ687/(BZ$704*90)</f>
        <v>7.1378338716599474E-2</v>
      </c>
      <c r="CA714" s="114">
        <f>-1000*CA687/(CA$704*91)</f>
        <v>7.1562359842301124E-2</v>
      </c>
      <c r="CB714" s="114">
        <f>-1000*CB687/(CB$704*92)</f>
        <v>7.0532375157256619E-2</v>
      </c>
      <c r="CC714" s="114">
        <f>-1000*CC687/(CC$704*92)</f>
        <v>7.0103347478262509E-2</v>
      </c>
      <c r="CD714" s="119">
        <f>-1000*CD687/(CD704*365)</f>
        <v>7.0887645729620252E-2</v>
      </c>
    </row>
    <row r="715" spans="1:82" hidden="1" outlineLevel="1">
      <c r="A715" s="11"/>
      <c r="B715" s="11" t="s">
        <v>2149</v>
      </c>
      <c r="C715" s="72"/>
      <c r="D715" s="72"/>
      <c r="E715" s="72"/>
      <c r="F715" s="72"/>
      <c r="G715" s="149"/>
      <c r="H715" s="93"/>
      <c r="I715" s="93"/>
      <c r="J715" s="93"/>
      <c r="K715" s="93"/>
      <c r="L715" s="149"/>
      <c r="M715" s="93"/>
      <c r="N715" s="93"/>
      <c r="O715" s="93"/>
      <c r="P715" s="93"/>
      <c r="Q715" s="149"/>
      <c r="R715" s="93"/>
      <c r="S715" s="93"/>
      <c r="T715" s="93"/>
      <c r="U715" s="93"/>
      <c r="V715" s="149"/>
      <c r="W715" s="93"/>
      <c r="X715" s="93"/>
      <c r="Y715" s="93"/>
      <c r="Z715" s="93"/>
      <c r="AA715" s="119">
        <f>-1000*AA688/(AA704*365)</f>
        <v>5.7529203103416391</v>
      </c>
      <c r="AB715" s="93"/>
      <c r="AC715" s="93"/>
      <c r="AD715" s="93"/>
      <c r="AE715" s="93"/>
      <c r="AF715" s="119">
        <f>-1000*AF688/(AF704*365)</f>
        <v>5.1905828643929066</v>
      </c>
      <c r="AG715" s="93"/>
      <c r="AH715" s="93"/>
      <c r="AI715" s="93"/>
      <c r="AJ715" s="93"/>
      <c r="AK715" s="119">
        <f>-1000*AK688/(AK704*365)</f>
        <v>7.9799766194058925</v>
      </c>
      <c r="AL715" s="93"/>
      <c r="AM715" s="93"/>
      <c r="AN715" s="93"/>
      <c r="AO715" s="93"/>
      <c r="AP715" s="119">
        <f>-1000*AP688/(AP704*365)</f>
        <v>10.278762333556855</v>
      </c>
      <c r="AQ715" s="93"/>
      <c r="AR715" s="93"/>
      <c r="AS715" s="93"/>
      <c r="AT715" s="93"/>
      <c r="AU715" s="119">
        <f>-1000*AU688/(AU704*365)</f>
        <v>12.236242867171891</v>
      </c>
      <c r="AV715" s="93"/>
      <c r="AW715" s="93"/>
      <c r="AX715" s="93"/>
      <c r="AY715" s="93"/>
      <c r="AZ715" s="119">
        <f>-1000*AZ688/(AZ704*365)</f>
        <v>11.299050681839265</v>
      </c>
      <c r="BA715" s="93"/>
      <c r="BB715" s="93"/>
      <c r="BC715" s="93"/>
      <c r="BD715" s="93"/>
      <c r="BE715" s="119">
        <f>-1000*BE688/(BE704*365)</f>
        <v>12.072681881647437</v>
      </c>
      <c r="BF715" s="93"/>
      <c r="BG715" s="93"/>
      <c r="BH715" s="93"/>
      <c r="BI715" s="93"/>
      <c r="BJ715" s="119">
        <f>-1000*BJ688/(BJ704*365)</f>
        <v>10.604990121809212</v>
      </c>
      <c r="BK715" s="93"/>
      <c r="BL715" s="93"/>
      <c r="BM715" s="93"/>
      <c r="BN715" s="93"/>
      <c r="BO715" s="119">
        <f>-1000*BO688/(BO704*365)</f>
        <v>12.008071595189216</v>
      </c>
      <c r="BP715" s="109">
        <f>BT715</f>
        <v>11.407668015429755</v>
      </c>
      <c r="BQ715" s="109">
        <f>BT715</f>
        <v>11.407668015429755</v>
      </c>
      <c r="BR715" s="109">
        <f>BT715</f>
        <v>11.407668015429755</v>
      </c>
      <c r="BS715" s="109">
        <f>BT715</f>
        <v>11.407668015429755</v>
      </c>
      <c r="BT715" s="120">
        <f>BO715*(1-5%)</f>
        <v>11.407668015429755</v>
      </c>
      <c r="BU715" s="109">
        <f>BY715</f>
        <v>11.692859715815498</v>
      </c>
      <c r="BV715" s="109">
        <f>BY715</f>
        <v>11.692859715815498</v>
      </c>
      <c r="BW715" s="109">
        <f>BY715</f>
        <v>11.692859715815498</v>
      </c>
      <c r="BX715" s="109">
        <f>BY715</f>
        <v>11.692859715815498</v>
      </c>
      <c r="BY715" s="120">
        <f>BT715*(1+2.5%)</f>
        <v>11.692859715815498</v>
      </c>
      <c r="BZ715" s="109">
        <f>CD715</f>
        <v>11.985181208710884</v>
      </c>
      <c r="CA715" s="109">
        <f>CD715</f>
        <v>11.985181208710884</v>
      </c>
      <c r="CB715" s="109">
        <f>CD715</f>
        <v>11.985181208710884</v>
      </c>
      <c r="CC715" s="109">
        <f>CD715</f>
        <v>11.985181208710884</v>
      </c>
      <c r="CD715" s="120">
        <f>BY715*(1+2.5%)</f>
        <v>11.985181208710884</v>
      </c>
    </row>
    <row r="716" spans="1:82" hidden="1" outlineLevel="1">
      <c r="A716" s="11"/>
      <c r="B716" s="11" t="s">
        <v>2150</v>
      </c>
      <c r="C716" s="72"/>
      <c r="D716" s="72"/>
      <c r="E716" s="72"/>
      <c r="F716" s="72"/>
      <c r="G716" s="149"/>
      <c r="H716" s="93"/>
      <c r="I716" s="93"/>
      <c r="J716" s="93"/>
      <c r="K716" s="93"/>
      <c r="L716" s="149"/>
      <c r="M716" s="93"/>
      <c r="N716" s="93"/>
      <c r="O716" s="93"/>
      <c r="P716" s="93"/>
      <c r="Q716" s="149"/>
      <c r="R716" s="93"/>
      <c r="S716" s="93"/>
      <c r="T716" s="93"/>
      <c r="U716" s="93"/>
      <c r="V716" s="149"/>
      <c r="W716" s="93"/>
      <c r="X716" s="93"/>
      <c r="Y716" s="93"/>
      <c r="Z716" s="93"/>
      <c r="AA716" s="119">
        <f>-1000*AA689/(AA704*365)</f>
        <v>11.408333496779182</v>
      </c>
      <c r="AB716" s="93"/>
      <c r="AC716" s="93"/>
      <c r="AD716" s="93"/>
      <c r="AE716" s="93"/>
      <c r="AF716" s="119">
        <f>-1000*AF689/(AF704*365)</f>
        <v>14.963990472980816</v>
      </c>
      <c r="AG716" s="93"/>
      <c r="AH716" s="93"/>
      <c r="AI716" s="93"/>
      <c r="AJ716" s="93"/>
      <c r="AK716" s="119">
        <f>-1000*AK689/(AK704*365)</f>
        <v>19.089355834657233</v>
      </c>
      <c r="AL716" s="93"/>
      <c r="AM716" s="93"/>
      <c r="AN716" s="93"/>
      <c r="AO716" s="93"/>
      <c r="AP716" s="119">
        <f>-1000*AP689/(AP704*365)</f>
        <v>17.760960500686529</v>
      </c>
      <c r="AQ716" s="93"/>
      <c r="AR716" s="93"/>
      <c r="AS716" s="93"/>
      <c r="AT716" s="93"/>
      <c r="AU716" s="119">
        <f>-1000*AU689/(AU704*365)</f>
        <v>13.155005130235992</v>
      </c>
      <c r="AV716" s="93"/>
      <c r="AW716" s="93"/>
      <c r="AX716" s="93"/>
      <c r="AY716" s="93"/>
      <c r="AZ716" s="119">
        <f>-1000*AZ689/(AZ704*365)</f>
        <v>14.367928644807954</v>
      </c>
      <c r="BA716" s="93"/>
      <c r="BB716" s="93"/>
      <c r="BC716" s="93"/>
      <c r="BD716" s="93"/>
      <c r="BE716" s="119">
        <f>-1000*BE689/(BE704*365)</f>
        <v>7.9302778975272972</v>
      </c>
      <c r="BF716" s="93"/>
      <c r="BG716" s="93"/>
      <c r="BH716" s="93"/>
      <c r="BI716" s="93"/>
      <c r="BJ716" s="119">
        <f>-1000*BJ689/(BJ704*365)</f>
        <v>6.3554055291701008</v>
      </c>
      <c r="BK716" s="93"/>
      <c r="BL716" s="93"/>
      <c r="BM716" s="93"/>
      <c r="BN716" s="93"/>
      <c r="BO716" s="119">
        <f>-1000*BO689/(BO704*365)</f>
        <v>6.815391986458744</v>
      </c>
      <c r="BP716" s="114">
        <f>-1000*BP689/(BP$704*90)</f>
        <v>10.65224289669375</v>
      </c>
      <c r="BQ716" s="114">
        <f>-1000*BQ689/(BQ$704*91)</f>
        <v>11.011911492365259</v>
      </c>
      <c r="BR716" s="114">
        <f>-1000*BR689/(BR$704*92)</f>
        <v>10.922353684948783</v>
      </c>
      <c r="BS716" s="114">
        <f>-1000*BS689/(BS$704*92)</f>
        <v>10.750898064676161</v>
      </c>
      <c r="BT716" s="119">
        <f>-1000*BT689/(BT704*365)</f>
        <v>10.833946701190627</v>
      </c>
      <c r="BU716" s="114">
        <f>-1000*BU689/(BU$704*90)</f>
        <v>10.325253613868874</v>
      </c>
      <c r="BV716" s="114">
        <f>-1000*BV689/(BV$704*91)</f>
        <v>10.339057168295673</v>
      </c>
      <c r="BW716" s="114">
        <f>-1000*BW689/(BW$704*92)</f>
        <v>10.289705656352876</v>
      </c>
      <c r="BX716" s="114">
        <f>-1000*BX689/(BX$704*92)</f>
        <v>10.261589144561102</v>
      </c>
      <c r="BY716" s="119">
        <f>-1000*BY689/(BY704*365)</f>
        <v>10.303448813035532</v>
      </c>
      <c r="BZ716" s="114">
        <f>-1000*BZ689/(BZ$704*90)</f>
        <v>10.202421548896512</v>
      </c>
      <c r="CA716" s="114">
        <f>-1000*CA689/(CA$704*91)</f>
        <v>10.319655084411529</v>
      </c>
      <c r="CB716" s="114">
        <f>-1000*CB689/(CB$704*92)</f>
        <v>10.362542550829339</v>
      </c>
      <c r="CC716" s="114">
        <f>-1000*CC689/(CC$704*92)</f>
        <v>10.393531625456303</v>
      </c>
      <c r="CD716" s="119">
        <f>-1000*CD689/(CD704*365)</f>
        <v>10.319798209652772</v>
      </c>
    </row>
    <row r="717" spans="1:82" hidden="1" outlineLevel="1">
      <c r="A717" s="11"/>
      <c r="B717" s="11" t="s">
        <v>2158</v>
      </c>
      <c r="C717" s="72"/>
      <c r="D717" s="72"/>
      <c r="E717" s="72"/>
      <c r="F717" s="72"/>
      <c r="G717" s="149"/>
      <c r="H717" s="93"/>
      <c r="I717" s="93"/>
      <c r="J717" s="93"/>
      <c r="K717" s="93"/>
      <c r="L717" s="149"/>
      <c r="M717" s="93"/>
      <c r="N717" s="93"/>
      <c r="O717" s="93"/>
      <c r="P717" s="93"/>
      <c r="Q717" s="149"/>
      <c r="R717" s="93"/>
      <c r="S717" s="93"/>
      <c r="T717" s="93"/>
      <c r="U717" s="93"/>
      <c r="V717" s="149"/>
      <c r="W717" s="93"/>
      <c r="X717" s="93"/>
      <c r="Y717" s="93"/>
      <c r="Z717" s="93"/>
      <c r="AA717" s="119">
        <f>-1000*AA690/(AA704*365)</f>
        <v>-1.121331924897099</v>
      </c>
      <c r="AB717" s="93"/>
      <c r="AC717" s="93"/>
      <c r="AD717" s="93"/>
      <c r="AE717" s="93"/>
      <c r="AF717" s="119">
        <f>-1000*AF690/(AF704*365)</f>
        <v>1.2319421355362912</v>
      </c>
      <c r="AG717" s="93"/>
      <c r="AH717" s="93"/>
      <c r="AI717" s="93"/>
      <c r="AJ717" s="93"/>
      <c r="AK717" s="119">
        <f>-1000*AK690/(AK704*365)</f>
        <v>-4.1551512244836779</v>
      </c>
      <c r="AL717" s="93"/>
      <c r="AM717" s="93"/>
      <c r="AN717" s="93"/>
      <c r="AO717" s="93"/>
      <c r="AP717" s="119">
        <f>-1000*AP690/(AP704*365)</f>
        <v>-0.20372321742184757</v>
      </c>
      <c r="AQ717" s="93"/>
      <c r="AR717" s="93"/>
      <c r="AS717" s="93"/>
      <c r="AT717" s="93"/>
      <c r="AU717" s="119">
        <f>-1000*AU690/(AU704*365)</f>
        <v>0.1252857631451047</v>
      </c>
      <c r="AV717" s="93"/>
      <c r="AW717" s="93"/>
      <c r="AX717" s="93"/>
      <c r="AY717" s="93"/>
      <c r="AZ717" s="119">
        <f>-1000*AZ690/(AZ704*365)</f>
        <v>7.9711115921264661E-2</v>
      </c>
      <c r="BA717" s="93"/>
      <c r="BB717" s="93"/>
      <c r="BC717" s="93"/>
      <c r="BD717" s="93"/>
      <c r="BE717" s="119">
        <f>-1000*BE690/(BE704*365)</f>
        <v>-7.109260891665647</v>
      </c>
      <c r="BF717" s="93"/>
      <c r="BG717" s="93"/>
      <c r="BH717" s="93"/>
      <c r="BI717" s="93"/>
      <c r="BJ717" s="119">
        <f>-1000*BJ690/(BJ704*365)</f>
        <v>-8.1387133492954433</v>
      </c>
      <c r="BK717" s="93"/>
      <c r="BL717" s="93"/>
      <c r="BM717" s="93"/>
      <c r="BN717" s="93"/>
      <c r="BO717" s="119">
        <f>-1000*BO690/(BO704*365)</f>
        <v>0.22312295193763745</v>
      </c>
      <c r="BP717" s="114">
        <f>-1000*BP690/(BP$704*90)</f>
        <v>0.2782546699390126</v>
      </c>
      <c r="BQ717" s="114">
        <f>-1000*BQ690/(BQ$704*91)</f>
        <v>0.2788323362416556</v>
      </c>
      <c r="BR717" s="114">
        <f>-1000*BR690/(BR$704*92)</f>
        <v>0.27485538122216424</v>
      </c>
      <c r="BS717" s="114">
        <f>-1000*BS690/(BS$704*92)</f>
        <v>0.2732448134650195</v>
      </c>
      <c r="BT717" s="104">
        <f>-1000*BT690/(BT704*365)</f>
        <v>0.27627198240519879</v>
      </c>
      <c r="BU717" s="114">
        <f>-1000*BU690/(BU$704*90)</f>
        <v>0.27028319830596809</v>
      </c>
      <c r="BV717" s="114">
        <f>-1000*BV690/(BV$704*91)</f>
        <v>0.27091187633918945</v>
      </c>
      <c r="BW717" s="114">
        <f>-1000*BW690/(BW$704*92)</f>
        <v>0.26703036338818847</v>
      </c>
      <c r="BX717" s="114">
        <f>-1000*BX690/(BX$704*92)</f>
        <v>0.26543599416273367</v>
      </c>
      <c r="BY717" s="104">
        <f>-1000*BY690/(BY704*365)</f>
        <v>0.26839107794018008</v>
      </c>
      <c r="BZ717" s="114">
        <f>-1000*BZ690/(BZ$704*90)</f>
        <v>0.26172057529419807</v>
      </c>
      <c r="CA717" s="114">
        <f>-1000*CA690/(CA$704*91)</f>
        <v>0.2623953194217708</v>
      </c>
      <c r="CB717" s="114">
        <f>-1000*CB690/(CB$704*92)</f>
        <v>0.25861870890994093</v>
      </c>
      <c r="CC717" s="114">
        <f>-1000*CC690/(CC$704*92)</f>
        <v>0.25704560742029586</v>
      </c>
      <c r="CD717" s="104">
        <f>-1000*CD690/(CD704*365)</f>
        <v>0.2599213676752743</v>
      </c>
    </row>
    <row r="718" spans="1:82" hidden="1" outlineLevel="1">
      <c r="A718" s="11"/>
      <c r="B718" s="11" t="s">
        <v>2154</v>
      </c>
      <c r="C718" s="72"/>
      <c r="D718" s="72"/>
      <c r="E718" s="72"/>
      <c r="F718" s="72"/>
      <c r="G718" s="149"/>
      <c r="H718" s="93"/>
      <c r="I718" s="93"/>
      <c r="J718" s="93"/>
      <c r="K718" s="93"/>
      <c r="L718" s="149"/>
      <c r="M718" s="93"/>
      <c r="N718" s="93"/>
      <c r="O718" s="93"/>
      <c r="P718" s="93"/>
      <c r="Q718" s="149"/>
      <c r="R718" s="93"/>
      <c r="S718" s="93"/>
      <c r="T718" s="93"/>
      <c r="U718" s="93"/>
      <c r="V718" s="149"/>
      <c r="W718" s="93"/>
      <c r="X718" s="93"/>
      <c r="Y718" s="93"/>
      <c r="Z718" s="93"/>
      <c r="AA718" s="119">
        <f>-1000*AA691/(AA704*365)</f>
        <v>4.5665836361751424</v>
      </c>
      <c r="AB718" s="93"/>
      <c r="AC718" s="93"/>
      <c r="AD718" s="93"/>
      <c r="AE718" s="93"/>
      <c r="AF718" s="119">
        <f>-1000*AF691/(AF704*365)</f>
        <v>4.4185657927901643</v>
      </c>
      <c r="AG718" s="93"/>
      <c r="AH718" s="93"/>
      <c r="AI718" s="93"/>
      <c r="AJ718" s="93"/>
      <c r="AK718" s="119">
        <f>-1000*AK691/(AK704*365)</f>
        <v>5.7198525224064021</v>
      </c>
      <c r="AL718" s="93"/>
      <c r="AM718" s="93"/>
      <c r="AN718" s="93"/>
      <c r="AO718" s="93"/>
      <c r="AP718" s="119">
        <f>-1000*AP691/(AP704*365)</f>
        <v>6.074655937669637</v>
      </c>
      <c r="AQ718" s="93"/>
      <c r="AR718" s="93"/>
      <c r="AS718" s="93"/>
      <c r="AT718" s="93"/>
      <c r="AU718" s="119">
        <f>-1000*AU691/(AU704*365)</f>
        <v>6.6192644861663643</v>
      </c>
      <c r="AV718" s="93"/>
      <c r="AW718" s="93"/>
      <c r="AX718" s="93"/>
      <c r="AY718" s="93"/>
      <c r="AZ718" s="119">
        <f>-1000*AZ691/(AZ704*365)</f>
        <v>7.3732782227169809</v>
      </c>
      <c r="BA718" s="93"/>
      <c r="BB718" s="93"/>
      <c r="BC718" s="93"/>
      <c r="BD718" s="93"/>
      <c r="BE718" s="119">
        <f>-1000*BE691/(BE704*365)</f>
        <v>8.6766569937651603</v>
      </c>
      <c r="BF718" s="93"/>
      <c r="BG718" s="93"/>
      <c r="BH718" s="93"/>
      <c r="BI718" s="93"/>
      <c r="BJ718" s="119">
        <f>-1000*BJ691/(BJ704*365)</f>
        <v>9.4667085344951651</v>
      </c>
      <c r="BK718" s="93"/>
      <c r="BL718" s="93"/>
      <c r="BM718" s="93"/>
      <c r="BN718" s="93"/>
      <c r="BO718" s="119">
        <f>-1000*BO691/(BO704*365)</f>
        <v>9.2900283624943594</v>
      </c>
      <c r="BP718" s="109">
        <f>BT718</f>
        <v>9.4682172807782123</v>
      </c>
      <c r="BQ718" s="109">
        <f>BT718</f>
        <v>9.4682172807782123</v>
      </c>
      <c r="BR718" s="109">
        <f>BT718</f>
        <v>9.4682172807782123</v>
      </c>
      <c r="BS718" s="109">
        <f>BT718</f>
        <v>9.4682172807782123</v>
      </c>
      <c r="BT718" s="120">
        <f>BT721</f>
        <v>9.4682172807782123</v>
      </c>
      <c r="BU718" s="109">
        <f>BY718</f>
        <v>9.5722480786741304</v>
      </c>
      <c r="BV718" s="109">
        <f>BY718</f>
        <v>9.5722480786741304</v>
      </c>
      <c r="BW718" s="109">
        <f>BY718</f>
        <v>9.5722480786741304</v>
      </c>
      <c r="BX718" s="109">
        <f>BY718</f>
        <v>9.5722480786741304</v>
      </c>
      <c r="BY718" s="120">
        <f>BY721</f>
        <v>9.5722480786741304</v>
      </c>
      <c r="BZ718" s="109">
        <f>CD718</f>
        <v>9.6762788765700485</v>
      </c>
      <c r="CA718" s="109">
        <f>CD718</f>
        <v>9.6762788765700485</v>
      </c>
      <c r="CB718" s="109">
        <f>CD718</f>
        <v>9.6762788765700485</v>
      </c>
      <c r="CC718" s="109">
        <f>CD718</f>
        <v>9.6762788765700485</v>
      </c>
      <c r="CD718" s="120">
        <f>CD721</f>
        <v>9.6762788765700485</v>
      </c>
    </row>
    <row r="719" spans="1:82" hidden="1" outlineLevel="1">
      <c r="A719" s="11"/>
      <c r="B719" s="4" t="s">
        <v>930</v>
      </c>
      <c r="C719" s="72"/>
      <c r="D719" s="72"/>
      <c r="E719" s="72"/>
      <c r="F719" s="72"/>
      <c r="G719" s="149"/>
      <c r="H719" s="93"/>
      <c r="I719" s="93"/>
      <c r="J719" s="93"/>
      <c r="K719" s="93"/>
      <c r="L719" s="149"/>
      <c r="M719" s="93"/>
      <c r="N719" s="93"/>
      <c r="O719" s="93"/>
      <c r="P719" s="93"/>
      <c r="Q719" s="149"/>
      <c r="R719" s="93"/>
      <c r="S719" s="93"/>
      <c r="T719" s="93"/>
      <c r="U719" s="93"/>
      <c r="V719" s="149"/>
      <c r="W719" s="93"/>
      <c r="X719" s="93"/>
      <c r="Y719" s="93"/>
      <c r="Z719" s="93"/>
      <c r="AA719" s="119">
        <f>-1000*AA692/(AA704*365)</f>
        <v>0</v>
      </c>
      <c r="AB719" s="93"/>
      <c r="AC719" s="93"/>
      <c r="AD719" s="93"/>
      <c r="AE719" s="93"/>
      <c r="AF719" s="119">
        <f>-1000*AF692/(AF704*365)</f>
        <v>0</v>
      </c>
      <c r="AG719" s="93"/>
      <c r="AH719" s="93"/>
      <c r="AI719" s="93"/>
      <c r="AJ719" s="93"/>
      <c r="AK719" s="119">
        <f>-1000*AK692/(AK704*365)</f>
        <v>0</v>
      </c>
      <c r="AL719" s="93"/>
      <c r="AM719" s="93"/>
      <c r="AN719" s="93"/>
      <c r="AO719" s="93"/>
      <c r="AP719" s="119">
        <f>-1000*AP692/(AP704*365)</f>
        <v>0</v>
      </c>
      <c r="AQ719" s="93"/>
      <c r="AR719" s="93"/>
      <c r="AS719" s="93"/>
      <c r="AT719" s="93"/>
      <c r="AU719" s="119">
        <f>-1000*AU692/(AU704*365)</f>
        <v>0</v>
      </c>
      <c r="AV719" s="93"/>
      <c r="AW719" s="93"/>
      <c r="AX719" s="93"/>
      <c r="AY719" s="93"/>
      <c r="AZ719" s="119">
        <f>-1000*AZ692/(AZ704*365)</f>
        <v>0.49819447450790411</v>
      </c>
      <c r="BA719" s="93"/>
      <c r="BB719" s="93"/>
      <c r="BC719" s="93"/>
      <c r="BD719" s="93"/>
      <c r="BE719" s="119">
        <f>-1000*BE692/(BE704*365)</f>
        <v>1.4927581924757265</v>
      </c>
      <c r="BF719" s="93"/>
      <c r="BG719" s="93"/>
      <c r="BH719" s="93"/>
      <c r="BI719" s="93"/>
      <c r="BJ719" s="119">
        <f>-1000*BJ692/(BJ704*365)</f>
        <v>3.1113030053250643</v>
      </c>
      <c r="BK719" s="93"/>
      <c r="BL719" s="93"/>
      <c r="BM719" s="93"/>
      <c r="BN719" s="93"/>
      <c r="BO719" s="119">
        <f>-1000*BO692/(BO704*365)</f>
        <v>0.54766542748329194</v>
      </c>
      <c r="BP719" s="72"/>
      <c r="BQ719" s="72"/>
      <c r="BR719" s="72"/>
      <c r="BS719" s="72"/>
      <c r="BT719" s="72"/>
      <c r="BU719" s="72"/>
      <c r="BV719" s="72"/>
      <c r="BW719" s="72"/>
      <c r="BX719" s="72"/>
      <c r="BY719" s="72"/>
      <c r="BZ719" s="72"/>
      <c r="CA719" s="72"/>
      <c r="CB719" s="72"/>
      <c r="CC719" s="72"/>
      <c r="CD719" s="72"/>
    </row>
    <row r="720" spans="1:82" hidden="1" outlineLevel="1">
      <c r="A720" s="11"/>
      <c r="B720" s="11"/>
      <c r="C720" s="11"/>
      <c r="D720" s="11"/>
      <c r="E720" s="11"/>
      <c r="F720" s="11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  <c r="AA720" s="11"/>
      <c r="AB720" s="11"/>
      <c r="AC720" s="11"/>
      <c r="AD720" s="11"/>
      <c r="AE720" s="11"/>
      <c r="AF720" s="11"/>
      <c r="AG720" s="11"/>
      <c r="AH720" s="11"/>
      <c r="AI720" s="11"/>
      <c r="AJ720" s="11"/>
      <c r="AK720" s="11"/>
      <c r="AL720" s="11"/>
      <c r="AM720" s="11"/>
      <c r="AN720" s="11"/>
      <c r="AO720" s="11"/>
      <c r="AP720" s="11"/>
      <c r="AQ720" s="11"/>
      <c r="AR720" s="11"/>
      <c r="AS720" s="11"/>
      <c r="AT720" s="11"/>
      <c r="AU720" s="11"/>
      <c r="AV720" s="11"/>
      <c r="AW720" s="11"/>
      <c r="AX720" s="11"/>
      <c r="AY720" s="11"/>
      <c r="AZ720" s="11"/>
      <c r="BA720" s="11"/>
      <c r="BB720" s="11"/>
      <c r="BC720" s="11"/>
      <c r="BD720" s="11"/>
      <c r="BE720" s="11"/>
      <c r="BF720" s="11"/>
      <c r="BG720" s="11"/>
      <c r="BH720" s="11"/>
      <c r="BI720" s="11"/>
      <c r="BJ720" s="11"/>
      <c r="BK720" s="11"/>
      <c r="BL720" s="11"/>
      <c r="BM720" s="11"/>
      <c r="BN720" s="11"/>
      <c r="BO720" s="11"/>
      <c r="BP720" s="11"/>
      <c r="BQ720" s="11"/>
      <c r="BR720" s="11"/>
      <c r="BS720" s="11"/>
      <c r="BT720" s="11"/>
      <c r="BU720" s="11"/>
      <c r="BV720" s="11"/>
      <c r="BW720" s="11"/>
      <c r="BX720" s="11"/>
      <c r="BY720" s="11"/>
      <c r="BZ720" s="11"/>
      <c r="CA720" s="11"/>
      <c r="CB720" s="11"/>
      <c r="CC720" s="11"/>
      <c r="CD720" s="11"/>
    </row>
    <row r="721" spans="1:82" hidden="1" outlineLevel="1">
      <c r="A721" s="11"/>
      <c r="B721" s="5" t="s">
        <v>2138</v>
      </c>
      <c r="C721" s="72"/>
      <c r="D721" s="72"/>
      <c r="E721" s="72"/>
      <c r="F721" s="72"/>
      <c r="G721" s="72"/>
      <c r="H721" s="93"/>
      <c r="I721" s="93"/>
      <c r="J721" s="93"/>
      <c r="K721" s="93"/>
      <c r="L721" s="72"/>
      <c r="M721" s="93"/>
      <c r="N721" s="93"/>
      <c r="O721" s="93"/>
      <c r="P721" s="93"/>
      <c r="Q721" s="72"/>
      <c r="R721" s="93"/>
      <c r="S721" s="93"/>
      <c r="T721" s="93"/>
      <c r="U721" s="93"/>
      <c r="V721" s="72"/>
      <c r="W721" s="93"/>
      <c r="X721" s="93"/>
      <c r="Y721" s="93"/>
      <c r="Z721" s="93"/>
      <c r="AA721" s="119">
        <f>AA718</f>
        <v>4.5665836361751424</v>
      </c>
      <c r="AB721" s="93"/>
      <c r="AC721" s="93"/>
      <c r="AD721" s="93"/>
      <c r="AE721" s="93"/>
      <c r="AF721" s="119">
        <f>AF718</f>
        <v>4.4185657927901643</v>
      </c>
      <c r="AG721" s="93"/>
      <c r="AH721" s="93"/>
      <c r="AI721" s="93"/>
      <c r="AJ721" s="93"/>
      <c r="AK721" s="119">
        <f>AK718</f>
        <v>5.7198525224064021</v>
      </c>
      <c r="AL721" s="93"/>
      <c r="AM721" s="93"/>
      <c r="AN721" s="93"/>
      <c r="AO721" s="93"/>
      <c r="AP721" s="119">
        <f>AP718</f>
        <v>6.074655937669637</v>
      </c>
      <c r="AQ721" s="93"/>
      <c r="AR721" s="93"/>
      <c r="AS721" s="93"/>
      <c r="AT721" s="93"/>
      <c r="AU721" s="119">
        <f>AU718</f>
        <v>6.6192644861663643</v>
      </c>
      <c r="AV721" s="93"/>
      <c r="AW721" s="93"/>
      <c r="AX721" s="93"/>
      <c r="AY721" s="93"/>
      <c r="AZ721" s="119">
        <f>AZ718</f>
        <v>7.3732782227169809</v>
      </c>
      <c r="BA721" s="93"/>
      <c r="BB721" s="93"/>
      <c r="BC721" s="93"/>
      <c r="BD721" s="93"/>
      <c r="BE721" s="119">
        <f>BE718</f>
        <v>8.6766569937651603</v>
      </c>
      <c r="BF721" s="93"/>
      <c r="BG721" s="93"/>
      <c r="BH721" s="93"/>
      <c r="BI721" s="93"/>
      <c r="BJ721" s="119">
        <f>BJ718</f>
        <v>9.4667085344951651</v>
      </c>
      <c r="BK721" s="93"/>
      <c r="BL721" s="93"/>
      <c r="BM721" s="93"/>
      <c r="BN721" s="93"/>
      <c r="BO721" s="119">
        <f>BO718</f>
        <v>9.2900283624943594</v>
      </c>
      <c r="BP721" s="93"/>
      <c r="BQ721" s="93"/>
      <c r="BR721" s="93"/>
      <c r="BS721" s="93"/>
      <c r="BT721" s="104">
        <f>$BJ721*(BT$74/$BJ$74)</f>
        <v>9.4682172807782123</v>
      </c>
      <c r="BU721" s="93"/>
      <c r="BV721" s="93"/>
      <c r="BW721" s="93"/>
      <c r="BX721" s="93"/>
      <c r="BY721" s="104">
        <f>$BJ721*(BY$74/$BJ$74)</f>
        <v>9.5722480786741304</v>
      </c>
      <c r="BZ721" s="93"/>
      <c r="CA721" s="93"/>
      <c r="CB721" s="93"/>
      <c r="CC721" s="93"/>
      <c r="CD721" s="104">
        <f>$BJ721*(CD$74/$BJ$74)</f>
        <v>9.6762788765700485</v>
      </c>
    </row>
    <row r="722" spans="1:82" hidden="1" outlineLevel="1">
      <c r="A722" s="11"/>
      <c r="B722" s="11"/>
      <c r="C722" s="11"/>
      <c r="D722" s="11"/>
      <c r="E722" s="11"/>
      <c r="F722" s="11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  <c r="AA722" s="11"/>
      <c r="AB722" s="11"/>
      <c r="AC722" s="11"/>
      <c r="AD722" s="11"/>
      <c r="AE722" s="11"/>
      <c r="AF722" s="11"/>
      <c r="AG722" s="11"/>
      <c r="AH722" s="11"/>
      <c r="AI722" s="11"/>
      <c r="AJ722" s="11"/>
      <c r="AK722" s="11"/>
      <c r="AL722" s="11"/>
      <c r="AM722" s="11"/>
      <c r="AN722" s="11"/>
      <c r="AO722" s="11"/>
      <c r="AP722" s="11"/>
      <c r="AQ722" s="11"/>
      <c r="AR722" s="11"/>
      <c r="AS722" s="11"/>
      <c r="AT722" s="11"/>
      <c r="AU722" s="11"/>
      <c r="AV722" s="11"/>
      <c r="AW722" s="11"/>
      <c r="AX722" s="11"/>
      <c r="AY722" s="11"/>
      <c r="AZ722" s="11"/>
      <c r="BA722" s="11"/>
      <c r="BB722" s="11"/>
      <c r="BC722" s="11"/>
      <c r="BD722" s="11"/>
      <c r="BE722" s="11"/>
      <c r="BF722" s="11"/>
      <c r="BG722" s="11"/>
      <c r="BH722" s="11"/>
      <c r="BI722" s="11"/>
      <c r="BJ722" s="11"/>
      <c r="BK722" s="11"/>
      <c r="BL722" s="11"/>
      <c r="BM722" s="11"/>
      <c r="BN722" s="11"/>
      <c r="BO722" s="11"/>
      <c r="BP722" s="11"/>
      <c r="BQ722" s="11"/>
      <c r="BR722" s="11"/>
      <c r="BS722" s="11"/>
      <c r="BT722" s="11"/>
      <c r="BU722" s="11"/>
      <c r="BV722" s="11"/>
      <c r="BW722" s="11"/>
      <c r="BX722" s="11"/>
      <c r="BY722" s="11"/>
      <c r="BZ722" s="11"/>
      <c r="CA722" s="11"/>
      <c r="CB722" s="11"/>
      <c r="CC722" s="11"/>
      <c r="CD722" s="11"/>
    </row>
    <row r="723" spans="1:82" hidden="1" outlineLevel="1">
      <c r="A723" s="39" t="s">
        <v>3094</v>
      </c>
      <c r="B723" s="11"/>
      <c r="C723" s="11"/>
      <c r="D723" s="11"/>
      <c r="E723" s="11"/>
      <c r="F723" s="11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  <c r="AA723" s="11"/>
      <c r="AB723" s="11"/>
      <c r="AC723" s="11"/>
      <c r="AD723" s="11"/>
      <c r="AE723" s="11"/>
      <c r="AF723" s="11"/>
      <c r="AG723" s="11"/>
      <c r="AH723" s="11"/>
      <c r="AI723" s="11"/>
      <c r="AJ723" s="11"/>
      <c r="AK723" s="11"/>
      <c r="AL723" s="11"/>
      <c r="AM723" s="11"/>
      <c r="AN723" s="11"/>
      <c r="AO723" s="11"/>
      <c r="AP723" s="11"/>
      <c r="AQ723" s="11"/>
      <c r="AR723" s="11"/>
      <c r="AS723" s="11"/>
      <c r="AT723" s="11"/>
      <c r="AU723" s="11"/>
      <c r="AV723" s="11"/>
      <c r="AW723" s="11"/>
      <c r="AX723" s="11"/>
      <c r="AY723" s="11"/>
      <c r="AZ723" s="11"/>
      <c r="BA723" s="11"/>
      <c r="BB723" s="11"/>
      <c r="BC723" s="11"/>
      <c r="BD723" s="11"/>
      <c r="BE723" s="11"/>
      <c r="BF723" s="11"/>
      <c r="BG723" s="11"/>
      <c r="BH723" s="11"/>
      <c r="BI723" s="11"/>
      <c r="BJ723" s="11"/>
      <c r="BK723" s="11"/>
      <c r="BL723" s="11"/>
      <c r="BM723" s="11"/>
      <c r="BN723" s="11"/>
      <c r="BO723" s="11"/>
      <c r="BP723" s="11"/>
      <c r="BQ723" s="11"/>
      <c r="BR723" s="11"/>
      <c r="BS723" s="11"/>
      <c r="BT723" s="11"/>
      <c r="BU723" s="11"/>
      <c r="BV723" s="11"/>
      <c r="BW723" s="11"/>
      <c r="BX723" s="11"/>
      <c r="BY723" s="11"/>
      <c r="BZ723" s="11"/>
      <c r="CA723" s="11"/>
      <c r="CB723" s="11"/>
      <c r="CC723" s="11"/>
      <c r="CD723" s="11"/>
    </row>
    <row r="724" spans="1:82" hidden="1" outlineLevel="1">
      <c r="A724" s="11"/>
      <c r="B724" s="11" t="s">
        <v>1897</v>
      </c>
      <c r="C724" s="72"/>
      <c r="D724" s="72"/>
      <c r="E724" s="72"/>
      <c r="F724" s="72"/>
      <c r="G724" s="72"/>
      <c r="H724" s="93"/>
      <c r="I724" s="93"/>
      <c r="J724" s="93"/>
      <c r="K724" s="93"/>
      <c r="L724" s="72"/>
      <c r="M724" s="93"/>
      <c r="N724" s="93"/>
      <c r="O724" s="93"/>
      <c r="P724" s="93"/>
      <c r="Q724" s="72"/>
      <c r="R724" s="93"/>
      <c r="S724" s="93"/>
      <c r="T724" s="93"/>
      <c r="U724" s="93"/>
      <c r="V724" s="72"/>
      <c r="W724" s="93"/>
      <c r="X724" s="93"/>
      <c r="Y724" s="93"/>
      <c r="Z724" s="93"/>
      <c r="AA724" s="116">
        <f>-AA687/AA685</f>
        <v>1.163378856853819E-2</v>
      </c>
      <c r="AB724" s="93"/>
      <c r="AC724" s="93"/>
      <c r="AD724" s="93"/>
      <c r="AE724" s="93"/>
      <c r="AF724" s="116">
        <f>-AF687/AF685</f>
        <v>9.700176366843033E-3</v>
      </c>
      <c r="AG724" s="93"/>
      <c r="AH724" s="93"/>
      <c r="AI724" s="93"/>
      <c r="AJ724" s="93"/>
      <c r="AK724" s="116">
        <f>-AK687/AK685</f>
        <v>4.1999160016799666E-3</v>
      </c>
      <c r="AL724" s="93"/>
      <c r="AM724" s="93"/>
      <c r="AN724" s="93"/>
      <c r="AO724" s="93"/>
      <c r="AP724" s="116">
        <f>-AP687/AP685</f>
        <v>1.3674459638288486E-2</v>
      </c>
      <c r="AQ724" s="93"/>
      <c r="AR724" s="93"/>
      <c r="AS724" s="93"/>
      <c r="AT724" s="93"/>
      <c r="AU724" s="116">
        <f>-AU687/AU685</f>
        <v>0</v>
      </c>
      <c r="AV724" s="93"/>
      <c r="AW724" s="93"/>
      <c r="AX724" s="93"/>
      <c r="AY724" s="93"/>
      <c r="AZ724" s="116">
        <f>-AZ687/AZ685</f>
        <v>1.6181229773462784E-3</v>
      </c>
      <c r="BA724" s="93"/>
      <c r="BB724" s="93"/>
      <c r="BC724" s="93"/>
      <c r="BD724" s="93"/>
      <c r="BE724" s="116">
        <f>-BE687/BE685</f>
        <v>1.4563106796116505E-3</v>
      </c>
      <c r="BF724" s="93"/>
      <c r="BG724" s="93"/>
      <c r="BH724" s="93"/>
      <c r="BI724" s="93"/>
      <c r="BJ724" s="116">
        <f>-BJ687/BJ685</f>
        <v>0</v>
      </c>
      <c r="BK724" s="93"/>
      <c r="BL724" s="93"/>
      <c r="BM724" s="93"/>
      <c r="BN724" s="93"/>
      <c r="BO724" s="116">
        <f>-BO687/BO685</f>
        <v>0</v>
      </c>
      <c r="BP724" s="117">
        <f t="shared" ref="BP724:CD724" si="353">-BP687/BP685</f>
        <v>1.7810248506361134E-3</v>
      </c>
      <c r="BQ724" s="117">
        <f t="shared" si="353"/>
        <v>1.7264301176068296E-3</v>
      </c>
      <c r="BR724" s="117">
        <f t="shared" si="353"/>
        <v>1.7157601895467097E-3</v>
      </c>
      <c r="BS724" s="117">
        <f t="shared" si="353"/>
        <v>1.7329090164113624E-3</v>
      </c>
      <c r="BT724" s="116">
        <f t="shared" si="353"/>
        <v>1.7386762730715317E-3</v>
      </c>
      <c r="BU724" s="117">
        <f t="shared" si="353"/>
        <v>1.784789078666776E-3</v>
      </c>
      <c r="BV724" s="117">
        <f t="shared" si="353"/>
        <v>1.7865520999821199E-3</v>
      </c>
      <c r="BW724" s="117">
        <f t="shared" si="353"/>
        <v>1.7694010201659675E-3</v>
      </c>
      <c r="BX724" s="117">
        <f t="shared" si="353"/>
        <v>1.7636555545108724E-3</v>
      </c>
      <c r="BY724" s="116">
        <f t="shared" si="353"/>
        <v>1.7760452844282446E-3</v>
      </c>
      <c r="BZ724" s="117">
        <f t="shared" si="353"/>
        <v>1.7490538489933238E-3</v>
      </c>
      <c r="CA724" s="117">
        <f t="shared" si="353"/>
        <v>1.7336422403884518E-3</v>
      </c>
      <c r="CB724" s="117">
        <f t="shared" si="353"/>
        <v>1.7016184689058705E-3</v>
      </c>
      <c r="CC724" s="117">
        <f t="shared" si="353"/>
        <v>1.6862253852810304E-3</v>
      </c>
      <c r="CD724" s="116">
        <f t="shared" si="353"/>
        <v>1.7172730582879633E-3</v>
      </c>
    </row>
    <row r="725" spans="1:82" hidden="1" outlineLevel="1">
      <c r="A725" s="11"/>
      <c r="B725" s="11" t="s">
        <v>2149</v>
      </c>
      <c r="C725" s="72"/>
      <c r="D725" s="72"/>
      <c r="E725" s="72"/>
      <c r="F725" s="72"/>
      <c r="G725" s="72"/>
      <c r="H725" s="93"/>
      <c r="I725" s="93"/>
      <c r="J725" s="93"/>
      <c r="K725" s="93"/>
      <c r="L725" s="72"/>
      <c r="M725" s="93"/>
      <c r="N725" s="93"/>
      <c r="O725" s="93"/>
      <c r="P725" s="93"/>
      <c r="Q725" s="72"/>
      <c r="R725" s="93"/>
      <c r="S725" s="93"/>
      <c r="T725" s="93"/>
      <c r="U725" s="93"/>
      <c r="V725" s="72"/>
      <c r="W725" s="93"/>
      <c r="X725" s="93"/>
      <c r="Y725" s="93"/>
      <c r="Z725" s="93"/>
      <c r="AA725" s="116">
        <f>-AA688/AA685</f>
        <v>0.17905918057663125</v>
      </c>
      <c r="AB725" s="93"/>
      <c r="AC725" s="93"/>
      <c r="AD725" s="93"/>
      <c r="AE725" s="93"/>
      <c r="AF725" s="116">
        <f>-AF688/AF685</f>
        <v>0.13932980599647266</v>
      </c>
      <c r="AG725" s="93"/>
      <c r="AH725" s="93"/>
      <c r="AI725" s="93"/>
      <c r="AJ725" s="93"/>
      <c r="AK725" s="116">
        <f>-AK688/AK685</f>
        <v>0.19277614447711044</v>
      </c>
      <c r="AL725" s="93"/>
      <c r="AM725" s="93"/>
      <c r="AN725" s="93"/>
      <c r="AO725" s="93"/>
      <c r="AP725" s="116">
        <f>-AP688/AP685</f>
        <v>0.24481693868548743</v>
      </c>
      <c r="AQ725" s="93"/>
      <c r="AR725" s="93"/>
      <c r="AS725" s="93"/>
      <c r="AT725" s="93"/>
      <c r="AU725" s="116">
        <f>-AU688/AU685</f>
        <v>0.25544899738448124</v>
      </c>
      <c r="AV725" s="93"/>
      <c r="AW725" s="93"/>
      <c r="AX725" s="93"/>
      <c r="AY725" s="93"/>
      <c r="AZ725" s="116">
        <f>-AZ688/AZ685</f>
        <v>0.22936893203883496</v>
      </c>
      <c r="BA725" s="93"/>
      <c r="BB725" s="93"/>
      <c r="BC725" s="93"/>
      <c r="BD725" s="93"/>
      <c r="BE725" s="116">
        <f>-BE688/BE685</f>
        <v>0.31407766990291264</v>
      </c>
      <c r="BF725" s="93"/>
      <c r="BG725" s="93"/>
      <c r="BH725" s="93"/>
      <c r="BI725" s="93"/>
      <c r="BJ725" s="116">
        <f>-BJ688/BJ685</f>
        <v>0.29973190348525469</v>
      </c>
      <c r="BK725" s="93"/>
      <c r="BL725" s="93"/>
      <c r="BM725" s="93"/>
      <c r="BN725" s="93"/>
      <c r="BO725" s="116">
        <f>-BO688/BO685</f>
        <v>0.3382857142857143</v>
      </c>
      <c r="BP725" s="117">
        <f t="shared" ref="BP725:CD725" si="354">-BP688/BP685</f>
        <v>0.26772925021664862</v>
      </c>
      <c r="BQ725" s="117">
        <f t="shared" si="354"/>
        <v>0.25898473719432996</v>
      </c>
      <c r="BR725" s="117">
        <f t="shared" si="354"/>
        <v>0.26110828179712181</v>
      </c>
      <c r="BS725" s="117">
        <f t="shared" si="354"/>
        <v>0.26527244391125615</v>
      </c>
      <c r="BT725" s="116">
        <f t="shared" si="354"/>
        <v>0.26323401942820635</v>
      </c>
      <c r="BU725" s="117">
        <f t="shared" si="354"/>
        <v>0.28311313583885384</v>
      </c>
      <c r="BV725" s="117">
        <f t="shared" si="354"/>
        <v>0.28273515479900846</v>
      </c>
      <c r="BW725" s="117">
        <f t="shared" si="354"/>
        <v>0.28409120985390662</v>
      </c>
      <c r="BX725" s="117">
        <f t="shared" si="354"/>
        <v>0.28486961305630243</v>
      </c>
      <c r="BY725" s="116">
        <f t="shared" si="354"/>
        <v>0.28370683713411238</v>
      </c>
      <c r="BZ725" s="117">
        <f t="shared" si="354"/>
        <v>0.29694788219465373</v>
      </c>
      <c r="CA725" s="117">
        <f t="shared" si="354"/>
        <v>0.29034839611101038</v>
      </c>
      <c r="CB725" s="117">
        <f t="shared" si="354"/>
        <v>0.28914673088005027</v>
      </c>
      <c r="CC725" s="117">
        <f t="shared" si="354"/>
        <v>0.28828461875644468</v>
      </c>
      <c r="CD725" s="116">
        <f t="shared" si="354"/>
        <v>0.29113966474825748</v>
      </c>
    </row>
    <row r="726" spans="1:82" hidden="1" outlineLevel="1">
      <c r="A726" s="11"/>
      <c r="B726" s="11" t="s">
        <v>2150</v>
      </c>
      <c r="C726" s="72"/>
      <c r="D726" s="72"/>
      <c r="E726" s="72"/>
      <c r="F726" s="72"/>
      <c r="G726" s="72"/>
      <c r="H726" s="93"/>
      <c r="I726" s="93"/>
      <c r="J726" s="93"/>
      <c r="K726" s="93"/>
      <c r="L726" s="72"/>
      <c r="M726" s="93"/>
      <c r="N726" s="93"/>
      <c r="O726" s="93"/>
      <c r="P726" s="93"/>
      <c r="Q726" s="72"/>
      <c r="R726" s="93"/>
      <c r="S726" s="93"/>
      <c r="T726" s="93"/>
      <c r="U726" s="93"/>
      <c r="V726" s="72"/>
      <c r="W726" s="93"/>
      <c r="X726" s="93"/>
      <c r="Y726" s="93"/>
      <c r="Z726" s="93"/>
      <c r="AA726" s="116">
        <f>-AA689/AA685</f>
        <v>0.3550834597875569</v>
      </c>
      <c r="AB726" s="93"/>
      <c r="AC726" s="93"/>
      <c r="AD726" s="93"/>
      <c r="AE726" s="93"/>
      <c r="AF726" s="116">
        <f>-AF689/AF685</f>
        <v>0.40167548500881833</v>
      </c>
      <c r="AG726" s="93"/>
      <c r="AH726" s="93"/>
      <c r="AI726" s="93"/>
      <c r="AJ726" s="93"/>
      <c r="AK726" s="116">
        <f>-AK689/AK685</f>
        <v>0.46115077698446033</v>
      </c>
      <c r="AL726" s="93"/>
      <c r="AM726" s="93"/>
      <c r="AN726" s="93"/>
      <c r="AO726" s="93"/>
      <c r="AP726" s="116">
        <f>-AP689/AP685</f>
        <v>0.42302602558447289</v>
      </c>
      <c r="AQ726" s="93"/>
      <c r="AR726" s="93"/>
      <c r="AS726" s="93"/>
      <c r="AT726" s="93"/>
      <c r="AU726" s="116">
        <f>-AU689/AU685</f>
        <v>0.27462946817785527</v>
      </c>
      <c r="AV726" s="93"/>
      <c r="AW726" s="93"/>
      <c r="AX726" s="93"/>
      <c r="AY726" s="93"/>
      <c r="AZ726" s="116">
        <f>-AZ689/AZ685</f>
        <v>0.29166666666666669</v>
      </c>
      <c r="BA726" s="93"/>
      <c r="BB726" s="93"/>
      <c r="BC726" s="93"/>
      <c r="BD726" s="93"/>
      <c r="BE726" s="116">
        <f>-BE689/BE685</f>
        <v>0.20631067961165048</v>
      </c>
      <c r="BF726" s="93"/>
      <c r="BG726" s="93"/>
      <c r="BH726" s="93"/>
      <c r="BI726" s="93"/>
      <c r="BJ726" s="116">
        <f>-BJ689/BJ685</f>
        <v>0.17962466487935658</v>
      </c>
      <c r="BK726" s="93"/>
      <c r="BL726" s="93"/>
      <c r="BM726" s="93"/>
      <c r="BN726" s="93"/>
      <c r="BO726" s="116">
        <f>-BO689/BO685</f>
        <v>0.192</v>
      </c>
      <c r="BP726" s="117">
        <f>BT726</f>
        <v>0.25</v>
      </c>
      <c r="BQ726" s="117">
        <f>BT726</f>
        <v>0.25</v>
      </c>
      <c r="BR726" s="117">
        <f>BT726</f>
        <v>0.25</v>
      </c>
      <c r="BS726" s="117">
        <f>BT726</f>
        <v>0.25</v>
      </c>
      <c r="BT726" s="118">
        <v>0.25</v>
      </c>
      <c r="BU726" s="117">
        <f>BY726</f>
        <v>0.25</v>
      </c>
      <c r="BV726" s="117">
        <f>BY726</f>
        <v>0.25</v>
      </c>
      <c r="BW726" s="117">
        <f>BY726</f>
        <v>0.25</v>
      </c>
      <c r="BX726" s="117">
        <f>BY726</f>
        <v>0.25</v>
      </c>
      <c r="BY726" s="118">
        <v>0.25</v>
      </c>
      <c r="BZ726" s="117">
        <f>CD726</f>
        <v>0.25</v>
      </c>
      <c r="CA726" s="117">
        <f>CD726</f>
        <v>0.25</v>
      </c>
      <c r="CB726" s="117">
        <f>CD726</f>
        <v>0.25</v>
      </c>
      <c r="CC726" s="117">
        <f>CD726</f>
        <v>0.25</v>
      </c>
      <c r="CD726" s="118">
        <v>0.25</v>
      </c>
    </row>
    <row r="727" spans="1:82" hidden="1" outlineLevel="1">
      <c r="A727" s="11"/>
      <c r="B727" s="11" t="s">
        <v>2158</v>
      </c>
      <c r="C727" s="72"/>
      <c r="D727" s="72"/>
      <c r="E727" s="72"/>
      <c r="F727" s="72"/>
      <c r="G727" s="72"/>
      <c r="H727" s="93"/>
      <c r="I727" s="93"/>
      <c r="J727" s="93"/>
      <c r="K727" s="93"/>
      <c r="L727" s="72"/>
      <c r="M727" s="93"/>
      <c r="N727" s="93"/>
      <c r="O727" s="93"/>
      <c r="P727" s="93"/>
      <c r="Q727" s="72"/>
      <c r="R727" s="93"/>
      <c r="S727" s="93"/>
      <c r="T727" s="93"/>
      <c r="U727" s="93"/>
      <c r="V727" s="72"/>
      <c r="W727" s="93"/>
      <c r="X727" s="93"/>
      <c r="Y727" s="93"/>
      <c r="Z727" s="93"/>
      <c r="AA727" s="116">
        <f>-AA690/AA685</f>
        <v>-3.490136570561457E-2</v>
      </c>
      <c r="AB727" s="93"/>
      <c r="AC727" s="93"/>
      <c r="AD727" s="93"/>
      <c r="AE727" s="93"/>
      <c r="AF727" s="116">
        <f>-AF690/AF685</f>
        <v>3.3068783068783067E-2</v>
      </c>
      <c r="AG727" s="93"/>
      <c r="AH727" s="93"/>
      <c r="AI727" s="93"/>
      <c r="AJ727" s="93"/>
      <c r="AK727" s="116">
        <f>-AK690/AK685</f>
        <v>-0.10037799244015119</v>
      </c>
      <c r="AL727" s="93"/>
      <c r="AM727" s="93"/>
      <c r="AN727" s="93"/>
      <c r="AO727" s="93"/>
      <c r="AP727" s="116">
        <f>-AP690/AP685</f>
        <v>-4.8522276135862371E-3</v>
      </c>
      <c r="AQ727" s="93"/>
      <c r="AR727" s="93"/>
      <c r="AS727" s="93"/>
      <c r="AT727" s="93"/>
      <c r="AU727" s="116">
        <f>-AU690/AU685</f>
        <v>2.6155187445510027E-3</v>
      </c>
      <c r="AV727" s="93"/>
      <c r="AW727" s="93"/>
      <c r="AX727" s="93"/>
      <c r="AY727" s="93"/>
      <c r="AZ727" s="116">
        <f>-AZ690/AZ685</f>
        <v>1.6181229773462784E-3</v>
      </c>
      <c r="BA727" s="93"/>
      <c r="BB727" s="93"/>
      <c r="BC727" s="93"/>
      <c r="BD727" s="93"/>
      <c r="BE727" s="116">
        <f>-BE690/BE685</f>
        <v>-0.18495145631067961</v>
      </c>
      <c r="BF727" s="93"/>
      <c r="BG727" s="93"/>
      <c r="BH727" s="93"/>
      <c r="BI727" s="93"/>
      <c r="BJ727" s="116">
        <f>-BJ690/BJ685</f>
        <v>-0.23002680965147454</v>
      </c>
      <c r="BK727" s="93"/>
      <c r="BL727" s="93"/>
      <c r="BM727" s="93"/>
      <c r="BN727" s="93"/>
      <c r="BO727" s="116">
        <f>-BO690/BO685</f>
        <v>6.285714285714286E-3</v>
      </c>
      <c r="BP727" s="117">
        <f t="shared" ref="BP727:CD727" si="355">-BP690/BP685</f>
        <v>6.5304244523324154E-3</v>
      </c>
      <c r="BQ727" s="117">
        <f t="shared" si="355"/>
        <v>6.3302437645583751E-3</v>
      </c>
      <c r="BR727" s="117">
        <f t="shared" si="355"/>
        <v>6.2911206950046024E-3</v>
      </c>
      <c r="BS727" s="117">
        <f t="shared" si="355"/>
        <v>6.3539997268416623E-3</v>
      </c>
      <c r="BT727" s="116">
        <f t="shared" si="355"/>
        <v>6.3751463345956159E-3</v>
      </c>
      <c r="BU727" s="117">
        <f t="shared" si="355"/>
        <v>6.5442266217781786E-3</v>
      </c>
      <c r="BV727" s="117">
        <f t="shared" si="355"/>
        <v>6.5506910332677731E-3</v>
      </c>
      <c r="BW727" s="117">
        <f t="shared" si="355"/>
        <v>6.487803740608547E-3</v>
      </c>
      <c r="BX727" s="117">
        <f t="shared" si="355"/>
        <v>6.4667370332065323E-3</v>
      </c>
      <c r="BY727" s="116">
        <f t="shared" si="355"/>
        <v>6.5121660429035633E-3</v>
      </c>
      <c r="BZ727" s="117">
        <f t="shared" si="355"/>
        <v>6.4131974463088534E-3</v>
      </c>
      <c r="CA727" s="117">
        <f t="shared" si="355"/>
        <v>6.3566882147576562E-3</v>
      </c>
      <c r="CB727" s="117">
        <f t="shared" si="355"/>
        <v>6.2392677193215257E-3</v>
      </c>
      <c r="CC727" s="117">
        <f t="shared" si="355"/>
        <v>6.1828264126971106E-3</v>
      </c>
      <c r="CD727" s="116">
        <f t="shared" si="355"/>
        <v>6.2966678803891988E-3</v>
      </c>
    </row>
    <row r="728" spans="1:82" hidden="1" outlineLevel="1">
      <c r="A728" s="11"/>
      <c r="B728" s="11" t="s">
        <v>2154</v>
      </c>
      <c r="C728" s="72"/>
      <c r="D728" s="72"/>
      <c r="E728" s="72"/>
      <c r="F728" s="72"/>
      <c r="G728" s="72"/>
      <c r="H728" s="93"/>
      <c r="I728" s="93"/>
      <c r="J728" s="93"/>
      <c r="K728" s="93"/>
      <c r="L728" s="72"/>
      <c r="M728" s="93"/>
      <c r="N728" s="93"/>
      <c r="O728" s="93"/>
      <c r="P728" s="93"/>
      <c r="Q728" s="72"/>
      <c r="R728" s="93"/>
      <c r="S728" s="93"/>
      <c r="T728" s="93"/>
      <c r="U728" s="93"/>
      <c r="V728" s="72"/>
      <c r="W728" s="93"/>
      <c r="X728" s="93"/>
      <c r="Y728" s="93"/>
      <c r="Z728" s="93"/>
      <c r="AA728" s="116">
        <f>-AA691/AA685</f>
        <v>0.14213454729387962</v>
      </c>
      <c r="AB728" s="93"/>
      <c r="AC728" s="93"/>
      <c r="AD728" s="93"/>
      <c r="AE728" s="93"/>
      <c r="AF728" s="116">
        <f>-AF691/AF685</f>
        <v>0.11860670194003527</v>
      </c>
      <c r="AG728" s="93"/>
      <c r="AH728" s="93"/>
      <c r="AI728" s="93"/>
      <c r="AJ728" s="93"/>
      <c r="AK728" s="116">
        <f>-AK691/AK685</f>
        <v>0.13817723645527089</v>
      </c>
      <c r="AL728" s="93"/>
      <c r="AM728" s="93"/>
      <c r="AN728" s="93"/>
      <c r="AO728" s="93"/>
      <c r="AP728" s="116">
        <f>-AP691/AP685</f>
        <v>0.14468460520511689</v>
      </c>
      <c r="AQ728" s="93"/>
      <c r="AR728" s="93"/>
      <c r="AS728" s="93"/>
      <c r="AT728" s="93"/>
      <c r="AU728" s="116">
        <f>-AU691/AU685</f>
        <v>0.13818657367044465</v>
      </c>
      <c r="AV728" s="93"/>
      <c r="AW728" s="93"/>
      <c r="AX728" s="93"/>
      <c r="AY728" s="93"/>
      <c r="AZ728" s="116">
        <f>-AZ691/AZ685</f>
        <v>0.14967637540453074</v>
      </c>
      <c r="BA728" s="93"/>
      <c r="BB728" s="93"/>
      <c r="BC728" s="93"/>
      <c r="BD728" s="93"/>
      <c r="BE728" s="116">
        <f>-BE691/BE685</f>
        <v>0.22572815533980584</v>
      </c>
      <c r="BF728" s="93"/>
      <c r="BG728" s="93"/>
      <c r="BH728" s="93"/>
      <c r="BI728" s="93"/>
      <c r="BJ728" s="116">
        <f>-BJ691/BJ685</f>
        <v>0.26756032171581767</v>
      </c>
      <c r="BK728" s="93"/>
      <c r="BL728" s="93"/>
      <c r="BM728" s="93"/>
      <c r="BN728" s="93"/>
      <c r="BO728" s="116">
        <f>-BO691/BO685</f>
        <v>0.26171428571428573</v>
      </c>
      <c r="BP728" s="117">
        <f t="shared" ref="BP728:CD728" si="356">-BP691/BP685</f>
        <v>0.22221182366478343</v>
      </c>
      <c r="BQ728" s="117">
        <f t="shared" si="356"/>
        <v>0.21495399067052715</v>
      </c>
      <c r="BR728" s="117">
        <f t="shared" si="356"/>
        <v>0.21671650529467842</v>
      </c>
      <c r="BS728" s="117">
        <f t="shared" si="356"/>
        <v>0.22017270612693268</v>
      </c>
      <c r="BT728" s="116">
        <f t="shared" si="356"/>
        <v>0.21848084010402</v>
      </c>
      <c r="BU728" s="117">
        <f t="shared" si="356"/>
        <v>0.23176786829276266</v>
      </c>
      <c r="BV728" s="117">
        <f t="shared" si="356"/>
        <v>0.23145843771971458</v>
      </c>
      <c r="BW728" s="117">
        <f t="shared" si="356"/>
        <v>0.23256855925621672</v>
      </c>
      <c r="BX728" s="117">
        <f t="shared" si="356"/>
        <v>0.23320579161336963</v>
      </c>
      <c r="BY728" s="116">
        <f t="shared" si="356"/>
        <v>0.23225389619534303</v>
      </c>
      <c r="BZ728" s="117">
        <f t="shared" si="356"/>
        <v>0.23974193380021447</v>
      </c>
      <c r="CA728" s="117">
        <f t="shared" si="356"/>
        <v>0.23441381512805257</v>
      </c>
      <c r="CB728" s="117">
        <f t="shared" si="356"/>
        <v>0.23344364640981935</v>
      </c>
      <c r="CC728" s="117">
        <f t="shared" si="356"/>
        <v>0.23274761710616421</v>
      </c>
      <c r="CD728" s="116">
        <f t="shared" si="356"/>
        <v>0.2350526486898448</v>
      </c>
    </row>
    <row r="729" spans="1:82" hidden="1" outlineLevel="1">
      <c r="A729" s="11"/>
      <c r="B729" s="4" t="s">
        <v>930</v>
      </c>
      <c r="C729" s="72"/>
      <c r="D729" s="72"/>
      <c r="E729" s="72"/>
      <c r="F729" s="72"/>
      <c r="G729" s="72"/>
      <c r="H729" s="93"/>
      <c r="I729" s="93"/>
      <c r="J729" s="93"/>
      <c r="K729" s="93"/>
      <c r="L729" s="72"/>
      <c r="M729" s="93"/>
      <c r="N729" s="93"/>
      <c r="O729" s="93"/>
      <c r="P729" s="93"/>
      <c r="Q729" s="72"/>
      <c r="R729" s="93"/>
      <c r="S729" s="93"/>
      <c r="T729" s="93"/>
      <c r="U729" s="93"/>
      <c r="V729" s="72"/>
      <c r="W729" s="93"/>
      <c r="X729" s="93"/>
      <c r="Y729" s="93"/>
      <c r="Z729" s="93"/>
      <c r="AA729" s="116">
        <f>-AA692/AA685</f>
        <v>0</v>
      </c>
      <c r="AB729" s="93"/>
      <c r="AC729" s="93"/>
      <c r="AD729" s="93"/>
      <c r="AE729" s="93"/>
      <c r="AF729" s="116">
        <f>-AF692/AF685</f>
        <v>0</v>
      </c>
      <c r="AG729" s="93"/>
      <c r="AH729" s="93"/>
      <c r="AI729" s="93"/>
      <c r="AJ729" s="93"/>
      <c r="AK729" s="116">
        <f>-AK692/AK685</f>
        <v>0</v>
      </c>
      <c r="AL729" s="93"/>
      <c r="AM729" s="93"/>
      <c r="AN729" s="93"/>
      <c r="AO729" s="93"/>
      <c r="AP729" s="116">
        <f>-AP692/AP685</f>
        <v>0</v>
      </c>
      <c r="AQ729" s="93"/>
      <c r="AR729" s="93"/>
      <c r="AS729" s="93"/>
      <c r="AT729" s="93"/>
      <c r="AU729" s="116">
        <f>-AU692/AU685</f>
        <v>0</v>
      </c>
      <c r="AV729" s="93"/>
      <c r="AW729" s="93"/>
      <c r="AX729" s="93"/>
      <c r="AY729" s="93"/>
      <c r="AZ729" s="116">
        <f>-AZ692/AZ685</f>
        <v>1.0113268608414239E-2</v>
      </c>
      <c r="BA729" s="93"/>
      <c r="BB729" s="93"/>
      <c r="BC729" s="93"/>
      <c r="BD729" s="93"/>
      <c r="BE729" s="116">
        <f>-BE692/BE685</f>
        <v>3.8834951456310676E-2</v>
      </c>
      <c r="BF729" s="93"/>
      <c r="BG729" s="93"/>
      <c r="BH729" s="93"/>
      <c r="BI729" s="93"/>
      <c r="BJ729" s="116">
        <f>-BJ692/BJ685</f>
        <v>8.7935656836461124E-2</v>
      </c>
      <c r="BK729" s="93"/>
      <c r="BL729" s="93"/>
      <c r="BM729" s="93"/>
      <c r="BN729" s="93"/>
      <c r="BO729" s="116">
        <f>-BO692/BO685</f>
        <v>1.5428571428571429E-2</v>
      </c>
      <c r="BP729" s="117">
        <f t="shared" ref="BP729:CD729" si="357">-BP692/BP685</f>
        <v>0</v>
      </c>
      <c r="BQ729" s="117">
        <f t="shared" si="357"/>
        <v>0</v>
      </c>
      <c r="BR729" s="117">
        <f t="shared" si="357"/>
        <v>0</v>
      </c>
      <c r="BS729" s="117">
        <f t="shared" si="357"/>
        <v>0</v>
      </c>
      <c r="BT729" s="116">
        <f t="shared" si="357"/>
        <v>0</v>
      </c>
      <c r="BU729" s="117">
        <f t="shared" si="357"/>
        <v>0</v>
      </c>
      <c r="BV729" s="117">
        <f t="shared" si="357"/>
        <v>0</v>
      </c>
      <c r="BW729" s="117">
        <f t="shared" si="357"/>
        <v>0</v>
      </c>
      <c r="BX729" s="117">
        <f t="shared" si="357"/>
        <v>0</v>
      </c>
      <c r="BY729" s="116">
        <f t="shared" si="357"/>
        <v>0</v>
      </c>
      <c r="BZ729" s="117">
        <f t="shared" si="357"/>
        <v>0</v>
      </c>
      <c r="CA729" s="117">
        <f t="shared" si="357"/>
        <v>0</v>
      </c>
      <c r="CB729" s="117">
        <f t="shared" si="357"/>
        <v>0</v>
      </c>
      <c r="CC729" s="117">
        <f t="shared" si="357"/>
        <v>0</v>
      </c>
      <c r="CD729" s="116">
        <f t="shared" si="357"/>
        <v>0</v>
      </c>
    </row>
    <row r="730" spans="1:82" hidden="1" outlineLevel="1">
      <c r="A730" s="11"/>
      <c r="B730" s="11"/>
      <c r="C730" s="11"/>
      <c r="D730" s="11"/>
      <c r="E730" s="11"/>
      <c r="F730" s="11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  <c r="AA730" s="11"/>
      <c r="AB730" s="11"/>
      <c r="AC730" s="11"/>
      <c r="AD730" s="11"/>
      <c r="AE730" s="11"/>
      <c r="AF730" s="11"/>
      <c r="AG730" s="11"/>
      <c r="AH730" s="11"/>
      <c r="AI730" s="11"/>
      <c r="AJ730" s="11"/>
      <c r="AK730" s="11"/>
      <c r="AL730" s="11"/>
      <c r="AM730" s="11"/>
      <c r="AN730" s="11"/>
      <c r="AO730" s="11"/>
      <c r="AP730" s="11"/>
      <c r="AQ730" s="11"/>
      <c r="AR730" s="11"/>
      <c r="AS730" s="11"/>
      <c r="AT730" s="11"/>
      <c r="AU730" s="11"/>
      <c r="AV730" s="11"/>
      <c r="AW730" s="11"/>
      <c r="AX730" s="11"/>
      <c r="AY730" s="11"/>
      <c r="AZ730" s="11"/>
      <c r="BA730" s="11"/>
      <c r="BB730" s="11"/>
      <c r="BC730" s="11"/>
      <c r="BD730" s="11"/>
      <c r="BE730" s="11"/>
      <c r="BF730" s="11"/>
      <c r="BG730" s="11"/>
      <c r="BH730" s="11"/>
      <c r="BI730" s="11"/>
      <c r="BJ730" s="11"/>
      <c r="BK730" s="11"/>
      <c r="BL730" s="11"/>
      <c r="BM730" s="11"/>
      <c r="BN730" s="11"/>
      <c r="BO730" s="11"/>
      <c r="BP730" s="11"/>
      <c r="BQ730" s="11"/>
      <c r="BR730" s="11"/>
      <c r="BS730" s="11"/>
      <c r="BT730" s="11"/>
      <c r="BU730" s="11"/>
      <c r="BV730" s="11"/>
      <c r="BW730" s="11"/>
      <c r="BX730" s="11"/>
      <c r="BY730" s="11"/>
      <c r="BZ730" s="11"/>
      <c r="CA730" s="11"/>
      <c r="CB730" s="11"/>
      <c r="CC730" s="11"/>
      <c r="CD730" s="11"/>
    </row>
    <row r="731" spans="1:82" hidden="1" outlineLevel="1">
      <c r="A731" s="11" t="s">
        <v>3095</v>
      </c>
      <c r="B731" s="11"/>
      <c r="C731" s="72"/>
      <c r="D731" s="72"/>
      <c r="E731" s="72"/>
      <c r="F731" s="72"/>
      <c r="G731" s="72"/>
      <c r="H731" s="93"/>
      <c r="I731" s="93"/>
      <c r="J731" s="93"/>
      <c r="K731" s="93"/>
      <c r="L731" s="72"/>
      <c r="M731" s="93"/>
      <c r="N731" s="93"/>
      <c r="O731" s="93"/>
      <c r="P731" s="93"/>
      <c r="Q731" s="72"/>
      <c r="R731" s="93"/>
      <c r="S731" s="93"/>
      <c r="T731" s="93"/>
      <c r="U731" s="93"/>
      <c r="V731" s="72"/>
      <c r="W731" s="93"/>
      <c r="X731" s="93"/>
      <c r="Y731" s="93"/>
      <c r="Z731" s="93"/>
      <c r="AA731" s="116">
        <f>-AA695/AA693</f>
        <v>0.39358600583090381</v>
      </c>
      <c r="AB731" s="93"/>
      <c r="AC731" s="93"/>
      <c r="AD731" s="93"/>
      <c r="AE731" s="93"/>
      <c r="AF731" s="116">
        <f>-AF695/AF693</f>
        <v>0.38518518518518519</v>
      </c>
      <c r="AG731" s="93"/>
      <c r="AH731" s="93"/>
      <c r="AI731" s="93"/>
      <c r="AJ731" s="93"/>
      <c r="AK731" s="116">
        <f>-AK695/AK693</f>
        <v>0.40607734806629836</v>
      </c>
      <c r="AL731" s="93"/>
      <c r="AM731" s="93"/>
      <c r="AN731" s="93"/>
      <c r="AO731" s="93"/>
      <c r="AP731" s="116">
        <f>-AP695/AP693</f>
        <v>0.72592592592592597</v>
      </c>
      <c r="AQ731" s="93"/>
      <c r="AR731" s="93"/>
      <c r="AS731" s="93"/>
      <c r="AT731" s="93"/>
      <c r="AU731" s="116">
        <f>-AU695/AU693</f>
        <v>0.60927152317880795</v>
      </c>
      <c r="AV731" s="93"/>
      <c r="AW731" s="93"/>
      <c r="AX731" s="93"/>
      <c r="AY731" s="93"/>
      <c r="AZ731" s="116">
        <f>-AZ695/AZ693</f>
        <v>0.51472471190781055</v>
      </c>
      <c r="BA731" s="93"/>
      <c r="BB731" s="93"/>
      <c r="BC731" s="93"/>
      <c r="BD731" s="93"/>
      <c r="BE731" s="116">
        <f>-BE695/BE693</f>
        <v>0.61388550548112053</v>
      </c>
      <c r="BF731" s="93"/>
      <c r="BG731" s="93"/>
      <c r="BH731" s="93"/>
      <c r="BI731" s="93"/>
      <c r="BJ731" s="116">
        <f>-BJ695/BJ693</f>
        <v>0.43283582089552236</v>
      </c>
      <c r="BK731" s="93"/>
      <c r="BL731" s="93"/>
      <c r="BM731" s="93"/>
      <c r="BN731" s="93"/>
      <c r="BO731" s="116">
        <f>-BO695/BO693</f>
        <v>-5.5214723926380369E-2</v>
      </c>
      <c r="BP731" s="117">
        <f>BT731</f>
        <v>0.6</v>
      </c>
      <c r="BQ731" s="117">
        <f>BT731</f>
        <v>0.6</v>
      </c>
      <c r="BR731" s="117">
        <f>BT731</f>
        <v>0.6</v>
      </c>
      <c r="BS731" s="117">
        <f>BT731</f>
        <v>0.6</v>
      </c>
      <c r="BT731" s="118">
        <v>0.6</v>
      </c>
      <c r="BU731" s="117">
        <f>BY731</f>
        <v>0.6</v>
      </c>
      <c r="BV731" s="117">
        <f>BY731</f>
        <v>0.6</v>
      </c>
      <c r="BW731" s="117">
        <f>BY731</f>
        <v>0.6</v>
      </c>
      <c r="BX731" s="117">
        <f>BY731</f>
        <v>0.6</v>
      </c>
      <c r="BY731" s="118">
        <v>0.6</v>
      </c>
      <c r="BZ731" s="117">
        <f>CD731</f>
        <v>0.6</v>
      </c>
      <c r="CA731" s="117">
        <f>CD731</f>
        <v>0.6</v>
      </c>
      <c r="CB731" s="117">
        <f>CD731</f>
        <v>0.6</v>
      </c>
      <c r="CC731" s="117">
        <f>CD731</f>
        <v>0.6</v>
      </c>
      <c r="CD731" s="118">
        <v>0.6</v>
      </c>
    </row>
    <row r="732" spans="1:82" hidden="1" outlineLevel="1">
      <c r="A732" s="11" t="s">
        <v>3471</v>
      </c>
      <c r="B732" s="11"/>
      <c r="C732" s="116"/>
      <c r="D732" s="116"/>
      <c r="E732" s="116"/>
      <c r="F732" s="116"/>
      <c r="G732" s="116"/>
      <c r="H732" s="93"/>
      <c r="I732" s="93"/>
      <c r="J732" s="93"/>
      <c r="K732" s="93"/>
      <c r="L732" s="116"/>
      <c r="M732" s="93"/>
      <c r="N732" s="93"/>
      <c r="O732" s="93"/>
      <c r="P732" s="93"/>
      <c r="Q732" s="116"/>
      <c r="R732" s="93"/>
      <c r="S732" s="93"/>
      <c r="T732" s="93"/>
      <c r="U732" s="93"/>
      <c r="V732" s="116"/>
      <c r="W732" s="93"/>
      <c r="X732" s="93"/>
      <c r="Y732" s="93"/>
      <c r="Z732" s="93"/>
      <c r="AA732" s="116"/>
      <c r="AB732" s="93"/>
      <c r="AC732" s="93"/>
      <c r="AD732" s="93"/>
      <c r="AE732" s="93"/>
      <c r="AF732" s="119">
        <f>(AF696-AF692-AF691-AF687)/(AF704*0.365)</f>
        <v>11.596681969181622</v>
      </c>
      <c r="AG732" s="93"/>
      <c r="AH732" s="93"/>
      <c r="AI732" s="93"/>
      <c r="AJ732" s="93"/>
      <c r="AK732" s="119">
        <f>(AK696-AK692-AK691-AK687)/(AK704*0.365)</f>
        <v>13.369503312250831</v>
      </c>
      <c r="AL732" s="93"/>
      <c r="AM732" s="93"/>
      <c r="AN732" s="93"/>
      <c r="AO732" s="93"/>
      <c r="AP732" s="119">
        <f>(AP696-AP692-AP691-AP687)/(AP704*0.365)</f>
        <v>8.7045374716607604</v>
      </c>
      <c r="AQ732" s="93"/>
      <c r="AR732" s="93"/>
      <c r="AS732" s="93"/>
      <c r="AT732" s="93"/>
      <c r="AU732" s="119">
        <f>(AU696-AU692-AU691-AU687)/(AU704*0.365)</f>
        <v>12.779147840800677</v>
      </c>
      <c r="AV732" s="93"/>
      <c r="AW732" s="93"/>
      <c r="AX732" s="93"/>
      <c r="AY732" s="93"/>
      <c r="AZ732" s="119">
        <f>(AZ696-AZ692-AZ691-AZ687)/(AZ704*0.365)</f>
        <v>15.503812046685978</v>
      </c>
      <c r="BA732" s="93"/>
      <c r="BB732" s="93"/>
      <c r="BC732" s="93"/>
      <c r="BD732" s="93"/>
      <c r="BE732" s="119">
        <f>(BE696-BE692-BE691-BE687)/(BE704*0.365)</f>
        <v>16.140447956143792</v>
      </c>
      <c r="BF732" s="93"/>
      <c r="BG732" s="93"/>
      <c r="BH732" s="93"/>
      <c r="BI732" s="93"/>
      <c r="BJ732" s="119">
        <f>(BJ696-BJ692-BJ691-BJ687)/(BJ704*0.365)</f>
        <v>20.508039931441431</v>
      </c>
      <c r="BK732" s="93"/>
      <c r="BL732" s="93"/>
      <c r="BM732" s="93"/>
      <c r="BN732" s="93"/>
      <c r="BO732" s="119">
        <f>(BO696-BO692-BO691-BO687)/(BO704*0.365)</f>
        <v>16.815357014209223</v>
      </c>
      <c r="BP732" s="93"/>
      <c r="BQ732" s="93"/>
      <c r="BR732" s="93"/>
      <c r="BS732" s="93"/>
      <c r="BT732" s="119">
        <f>(BT696-BT692-BT691-BT687)/(BT704*0.365)</f>
        <v>14.053277517365412</v>
      </c>
      <c r="BU732" s="93"/>
      <c r="BV732" s="93"/>
      <c r="BW732" s="93"/>
      <c r="BX732" s="93"/>
      <c r="BY732" s="119">
        <f>(BY696-BY692-BY691-BY687)/(BY704*0.365)</f>
        <v>13.366885200166168</v>
      </c>
      <c r="BZ732" s="93"/>
      <c r="CA732" s="93"/>
      <c r="CB732" s="93"/>
      <c r="CC732" s="93"/>
      <c r="CD732" s="119">
        <f>(CD696-CD692-CD691-CD687)/(CD704*0.365)</f>
        <v>13.336787913802873</v>
      </c>
    </row>
    <row r="733" spans="1:82" collapsed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</row>
    <row r="734" spans="1:82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</row>
    <row r="735" spans="1:82">
      <c r="A735" s="24" t="s">
        <v>1703</v>
      </c>
      <c r="B735" s="4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</row>
    <row r="736" spans="1:82">
      <c r="A736" s="10"/>
      <c r="B736" s="10"/>
      <c r="C736" s="31">
        <v>2001</v>
      </c>
      <c r="D736" s="32">
        <v>2002</v>
      </c>
      <c r="E736" s="32">
        <v>2003</v>
      </c>
      <c r="F736" s="32">
        <v>2004</v>
      </c>
      <c r="G736" s="31">
        <v>2005</v>
      </c>
      <c r="H736" s="33" t="str">
        <f>H682</f>
        <v>1Q06</v>
      </c>
      <c r="I736" s="33" t="str">
        <f>I682</f>
        <v>2Q06</v>
      </c>
      <c r="J736" s="33" t="str">
        <f>J682</f>
        <v>3Q06</v>
      </c>
      <c r="K736" s="33" t="str">
        <f>K682</f>
        <v>4Q06</v>
      </c>
      <c r="L736" s="31">
        <v>2006</v>
      </c>
      <c r="M736" s="33" t="str">
        <f>M682</f>
        <v>1Q07</v>
      </c>
      <c r="N736" s="33" t="str">
        <f>N682</f>
        <v>2Q07</v>
      </c>
      <c r="O736" s="33" t="str">
        <f>O682</f>
        <v>3Q07</v>
      </c>
      <c r="P736" s="33" t="str">
        <f>P682</f>
        <v>4Q07</v>
      </c>
      <c r="Q736" s="31">
        <v>2007</v>
      </c>
      <c r="R736" s="33" t="str">
        <f>R682</f>
        <v>1Q08</v>
      </c>
      <c r="S736" s="33" t="str">
        <f>S682</f>
        <v>2Q08</v>
      </c>
      <c r="T736" s="33" t="str">
        <f>T682</f>
        <v>3Q08</v>
      </c>
      <c r="U736" s="33" t="str">
        <f>U682</f>
        <v>4Q08</v>
      </c>
      <c r="V736" s="31">
        <v>2008</v>
      </c>
      <c r="W736" s="33" t="str">
        <f>W682</f>
        <v>1Q09</v>
      </c>
      <c r="X736" s="33" t="str">
        <f>X682</f>
        <v>2Q09</v>
      </c>
      <c r="Y736" s="33" t="str">
        <f>Y682</f>
        <v>3Q09</v>
      </c>
      <c r="Z736" s="33" t="str">
        <f>Z682</f>
        <v>4Q09</v>
      </c>
      <c r="AA736" s="31">
        <v>2009</v>
      </c>
      <c r="AB736" s="33" t="str">
        <f>AB682</f>
        <v>1Q10</v>
      </c>
      <c r="AC736" s="33" t="str">
        <f>AC682</f>
        <v>2Q10</v>
      </c>
      <c r="AD736" s="33" t="str">
        <f>AD682</f>
        <v>3Q10</v>
      </c>
      <c r="AE736" s="33" t="str">
        <f>AE682</f>
        <v>4Q10</v>
      </c>
      <c r="AF736" s="31">
        <v>2010</v>
      </c>
      <c r="AG736" s="33" t="str">
        <f>AG682</f>
        <v>1Q11</v>
      </c>
      <c r="AH736" s="33" t="str">
        <f>AH682</f>
        <v>2Q11</v>
      </c>
      <c r="AI736" s="33" t="str">
        <f>AI682</f>
        <v>3Q11</v>
      </c>
      <c r="AJ736" s="33" t="str">
        <f>AJ682</f>
        <v>4Q11</v>
      </c>
      <c r="AK736" s="31">
        <v>2011</v>
      </c>
      <c r="AL736" s="33" t="s">
        <v>2397</v>
      </c>
      <c r="AM736" s="33" t="s">
        <v>2398</v>
      </c>
      <c r="AN736" s="33" t="s">
        <v>2399</v>
      </c>
      <c r="AO736" s="33" t="s">
        <v>2400</v>
      </c>
      <c r="AP736" s="31">
        <v>2012</v>
      </c>
      <c r="AQ736" s="363" t="s">
        <v>2401</v>
      </c>
      <c r="AR736" s="363" t="s">
        <v>2402</v>
      </c>
      <c r="AS736" s="33" t="s">
        <v>2403</v>
      </c>
      <c r="AT736" s="33" t="s">
        <v>2404</v>
      </c>
      <c r="AU736" s="31">
        <v>2013</v>
      </c>
      <c r="AV736" s="33" t="s">
        <v>2405</v>
      </c>
      <c r="AW736" s="33" t="s">
        <v>2406</v>
      </c>
      <c r="AX736" s="33" t="s">
        <v>2407</v>
      </c>
      <c r="AY736" s="33" t="s">
        <v>2408</v>
      </c>
      <c r="AZ736" s="31">
        <v>2014</v>
      </c>
      <c r="BA736" s="33" t="str">
        <f t="shared" ref="BA736:BI736" si="358">BA$8</f>
        <v>1Q15</v>
      </c>
      <c r="BB736" s="33" t="str">
        <f t="shared" si="358"/>
        <v>2Q15</v>
      </c>
      <c r="BC736" s="33" t="str">
        <f t="shared" si="358"/>
        <v>3Q15</v>
      </c>
      <c r="BD736" s="33" t="str">
        <f t="shared" si="358"/>
        <v>4Q15</v>
      </c>
      <c r="BE736" s="31">
        <f t="shared" si="358"/>
        <v>2015</v>
      </c>
      <c r="BF736" s="33" t="str">
        <f t="shared" si="358"/>
        <v>1Q16</v>
      </c>
      <c r="BG736" s="33" t="str">
        <f t="shared" si="358"/>
        <v>2Q16</v>
      </c>
      <c r="BH736" s="33" t="str">
        <f t="shared" si="358"/>
        <v>3Q16</v>
      </c>
      <c r="BI736" s="33" t="str">
        <f t="shared" si="358"/>
        <v>4Q16</v>
      </c>
      <c r="BJ736" s="31">
        <v>2016</v>
      </c>
      <c r="BK736" s="33" t="s">
        <v>2417</v>
      </c>
      <c r="BL736" s="33" t="s">
        <v>2418</v>
      </c>
      <c r="BM736" s="33" t="s">
        <v>2419</v>
      </c>
      <c r="BN736" s="33" t="s">
        <v>2420</v>
      </c>
      <c r="BO736" s="31">
        <v>2017</v>
      </c>
      <c r="BP736" s="33" t="s">
        <v>2244</v>
      </c>
      <c r="BQ736" s="33" t="s">
        <v>2245</v>
      </c>
      <c r="BR736" s="33" t="s">
        <v>2508</v>
      </c>
      <c r="BS736" s="33" t="s">
        <v>2509</v>
      </c>
      <c r="BT736" s="31">
        <v>2018</v>
      </c>
      <c r="BU736" s="33" t="s">
        <v>2510</v>
      </c>
      <c r="BV736" s="33" t="s">
        <v>2511</v>
      </c>
      <c r="BW736" s="33" t="s">
        <v>3125</v>
      </c>
      <c r="BX736" s="33" t="s">
        <v>1405</v>
      </c>
      <c r="BY736" s="31">
        <v>2019</v>
      </c>
      <c r="BZ736" s="33" t="s">
        <v>1406</v>
      </c>
      <c r="CA736" s="33" t="s">
        <v>1407</v>
      </c>
      <c r="CB736" s="33" t="s">
        <v>1408</v>
      </c>
      <c r="CC736" s="33" t="s">
        <v>1409</v>
      </c>
      <c r="CD736" s="31">
        <v>2020</v>
      </c>
    </row>
    <row r="737" spans="1:82">
      <c r="A737" s="4" t="s">
        <v>2156</v>
      </c>
      <c r="B737" s="5"/>
      <c r="C737" s="72"/>
      <c r="D737" s="72"/>
      <c r="E737" s="72"/>
      <c r="F737" s="72"/>
      <c r="G737" s="72"/>
      <c r="H737" s="93"/>
      <c r="I737" s="93"/>
      <c r="J737" s="93"/>
      <c r="K737" s="93"/>
      <c r="L737" s="72"/>
      <c r="M737" s="93"/>
      <c r="N737" s="93"/>
      <c r="O737" s="93"/>
      <c r="P737" s="93"/>
      <c r="Q737" s="72"/>
      <c r="R737" s="93"/>
      <c r="S737" s="93"/>
      <c r="T737" s="93"/>
      <c r="U737" s="93"/>
      <c r="V737" s="72"/>
      <c r="W737" s="93"/>
      <c r="X737" s="93"/>
      <c r="Y737" s="93"/>
      <c r="Z737" s="93"/>
      <c r="AA737" s="5">
        <v>4919</v>
      </c>
      <c r="AB737" s="93"/>
      <c r="AC737" s="93"/>
      <c r="AD737" s="93"/>
      <c r="AE737" s="93"/>
      <c r="AF737" s="5">
        <v>5610</v>
      </c>
      <c r="AG737" s="93"/>
      <c r="AH737" s="93"/>
      <c r="AI737" s="93"/>
      <c r="AJ737" s="93"/>
      <c r="AK737" s="5">
        <v>7380</v>
      </c>
      <c r="AL737" s="93"/>
      <c r="AM737" s="93"/>
      <c r="AN737" s="93"/>
      <c r="AO737" s="93"/>
      <c r="AP737" s="5">
        <v>6472</v>
      </c>
      <c r="AQ737" s="93"/>
      <c r="AR737" s="93"/>
      <c r="AS737" s="93"/>
      <c r="AT737" s="93"/>
      <c r="AU737" s="5">
        <v>435</v>
      </c>
      <c r="AV737" s="93"/>
      <c r="AW737" s="93"/>
      <c r="AX737" s="93"/>
      <c r="AY737" s="93"/>
      <c r="AZ737" s="5">
        <v>0</v>
      </c>
      <c r="BA737" s="93"/>
      <c r="BB737" s="93"/>
      <c r="BC737" s="93"/>
      <c r="BD737" s="93"/>
      <c r="BE737" s="5">
        <v>0</v>
      </c>
      <c r="BF737" s="93"/>
      <c r="BG737" s="93"/>
      <c r="BH737" s="93"/>
      <c r="BI737" s="93"/>
      <c r="BJ737" s="5">
        <v>0</v>
      </c>
      <c r="BK737" s="93"/>
      <c r="BL737" s="93"/>
      <c r="BM737" s="93"/>
      <c r="BN737" s="93"/>
      <c r="BO737" s="5">
        <v>0</v>
      </c>
      <c r="BP737" s="72"/>
      <c r="BQ737" s="72"/>
      <c r="BR737" s="72"/>
      <c r="BS737" s="72"/>
      <c r="BT737" s="72"/>
      <c r="BU737" s="72"/>
      <c r="BV737" s="72"/>
      <c r="BW737" s="72"/>
      <c r="BX737" s="72"/>
      <c r="BY737" s="72"/>
      <c r="BZ737" s="72"/>
      <c r="CA737" s="72"/>
      <c r="CB737" s="72"/>
      <c r="CC737" s="72"/>
      <c r="CD737" s="72"/>
    </row>
    <row r="738" spans="1:82">
      <c r="A738" s="4" t="s">
        <v>2157</v>
      </c>
      <c r="B738" s="5"/>
      <c r="C738" s="72"/>
      <c r="D738" s="72"/>
      <c r="E738" s="72"/>
      <c r="F738" s="72"/>
      <c r="G738" s="72"/>
      <c r="H738" s="93"/>
      <c r="I738" s="93"/>
      <c r="J738" s="93"/>
      <c r="K738" s="93"/>
      <c r="L738" s="72"/>
      <c r="M738" s="93"/>
      <c r="N738" s="93"/>
      <c r="O738" s="93"/>
      <c r="P738" s="93"/>
      <c r="Q738" s="72"/>
      <c r="R738" s="93"/>
      <c r="S738" s="93"/>
      <c r="T738" s="93"/>
      <c r="U738" s="93"/>
      <c r="V738" s="72"/>
      <c r="W738" s="93"/>
      <c r="X738" s="93"/>
      <c r="Y738" s="93"/>
      <c r="Z738" s="93"/>
      <c r="AA738" s="5">
        <v>2838</v>
      </c>
      <c r="AB738" s="93"/>
      <c r="AC738" s="93"/>
      <c r="AD738" s="93"/>
      <c r="AE738" s="93"/>
      <c r="AF738" s="5">
        <v>3432</v>
      </c>
      <c r="AG738" s="93"/>
      <c r="AH738" s="93"/>
      <c r="AI738" s="93"/>
      <c r="AJ738" s="93"/>
      <c r="AK738" s="5">
        <v>5149</v>
      </c>
      <c r="AL738" s="93"/>
      <c r="AM738" s="93"/>
      <c r="AN738" s="93"/>
      <c r="AO738" s="93"/>
      <c r="AP738" s="5">
        <v>3639</v>
      </c>
      <c r="AQ738" s="93"/>
      <c r="AR738" s="93"/>
      <c r="AS738" s="93"/>
      <c r="AT738" s="93"/>
      <c r="AU738" s="5">
        <v>9679</v>
      </c>
      <c r="AV738" s="93"/>
      <c r="AW738" s="93"/>
      <c r="AX738" s="93"/>
      <c r="AY738" s="93"/>
      <c r="AZ738" s="5">
        <v>10972</v>
      </c>
      <c r="BA738" s="93"/>
      <c r="BB738" s="93"/>
      <c r="BC738" s="93"/>
      <c r="BD738" s="93"/>
      <c r="BE738" s="5">
        <v>8592</v>
      </c>
      <c r="BF738" s="93"/>
      <c r="BG738" s="93"/>
      <c r="BH738" s="93"/>
      <c r="BI738" s="93"/>
      <c r="BJ738" s="5">
        <v>8129</v>
      </c>
      <c r="BK738" s="93"/>
      <c r="BL738" s="93"/>
      <c r="BM738" s="93"/>
      <c r="BN738" s="93"/>
      <c r="BO738" s="5">
        <v>11537</v>
      </c>
      <c r="BP738" s="72"/>
      <c r="BQ738" s="72"/>
      <c r="BR738" s="72"/>
      <c r="BS738" s="72"/>
      <c r="BT738" s="72"/>
      <c r="BU738" s="72"/>
      <c r="BV738" s="72"/>
      <c r="BW738" s="72"/>
      <c r="BX738" s="72"/>
      <c r="BY738" s="72"/>
      <c r="BZ738" s="72"/>
      <c r="CA738" s="72"/>
      <c r="CB738" s="72"/>
      <c r="CC738" s="72"/>
      <c r="CD738" s="72"/>
    </row>
    <row r="739" spans="1:82">
      <c r="A739" s="7" t="s">
        <v>2155</v>
      </c>
      <c r="B739" s="8"/>
      <c r="C739" s="73"/>
      <c r="D739" s="73"/>
      <c r="E739" s="73"/>
      <c r="F739" s="73"/>
      <c r="G739" s="73"/>
      <c r="H739" s="93"/>
      <c r="I739" s="93"/>
      <c r="J739" s="93"/>
      <c r="K739" s="93"/>
      <c r="L739" s="73"/>
      <c r="M739" s="93"/>
      <c r="N739" s="93"/>
      <c r="O739" s="93"/>
      <c r="P739" s="93"/>
      <c r="Q739" s="73"/>
      <c r="R739" s="93"/>
      <c r="S739" s="93"/>
      <c r="T739" s="93"/>
      <c r="U739" s="93"/>
      <c r="V739" s="73"/>
      <c r="W739" s="93"/>
      <c r="X739" s="93"/>
      <c r="Y739" s="93"/>
      <c r="Z739" s="93"/>
      <c r="AA739" s="8">
        <f>AA737+AA738</f>
        <v>7757</v>
      </c>
      <c r="AB739" s="93"/>
      <c r="AC739" s="93"/>
      <c r="AD739" s="93"/>
      <c r="AE739" s="93"/>
      <c r="AF739" s="8">
        <f>AF737+AF738</f>
        <v>9042</v>
      </c>
      <c r="AG739" s="93"/>
      <c r="AH739" s="93"/>
      <c r="AI739" s="93"/>
      <c r="AJ739" s="93"/>
      <c r="AK739" s="8">
        <f>AK737+AK738</f>
        <v>12529</v>
      </c>
      <c r="AL739" s="93"/>
      <c r="AM739" s="93"/>
      <c r="AN739" s="93"/>
      <c r="AO739" s="93"/>
      <c r="AP739" s="8">
        <f>AP737+AP738</f>
        <v>10111</v>
      </c>
      <c r="AQ739" s="93"/>
      <c r="AR739" s="93"/>
      <c r="AS739" s="93"/>
      <c r="AT739" s="93"/>
      <c r="AU739" s="8">
        <f>AU737+AU738</f>
        <v>10114</v>
      </c>
      <c r="AV739" s="93"/>
      <c r="AW739" s="93"/>
      <c r="AX739" s="93"/>
      <c r="AY739" s="93"/>
      <c r="AZ739" s="8">
        <f>+AZ737+AZ738</f>
        <v>10972</v>
      </c>
      <c r="BA739" s="93"/>
      <c r="BB739" s="93"/>
      <c r="BC739" s="93"/>
      <c r="BD739" s="93"/>
      <c r="BE739" s="8">
        <f>+BE737+BE738</f>
        <v>8592</v>
      </c>
      <c r="BF739" s="93"/>
      <c r="BG739" s="93"/>
      <c r="BH739" s="93"/>
      <c r="BI739" s="93"/>
      <c r="BJ739" s="8">
        <f>+BJ737+BJ738</f>
        <v>8129</v>
      </c>
      <c r="BK739" s="93"/>
      <c r="BL739" s="93"/>
      <c r="BM739" s="93"/>
      <c r="BN739" s="93"/>
      <c r="BO739" s="8">
        <f>+BO737+BO738</f>
        <v>11537</v>
      </c>
      <c r="BP739" s="66">
        <f t="shared" ref="BP739:CD739" ca="1" si="359">BP770*(1+BP771)</f>
        <v>2484.2993947163127</v>
      </c>
      <c r="BQ739" s="66">
        <f t="shared" ca="1" si="359"/>
        <v>2533.8502098213939</v>
      </c>
      <c r="BR739" s="66">
        <f t="shared" ca="1" si="359"/>
        <v>2528.9826773526183</v>
      </c>
      <c r="BS739" s="66">
        <f t="shared" ca="1" si="359"/>
        <v>2534.6043901047997</v>
      </c>
      <c r="BT739" s="8">
        <f t="shared" ca="1" si="359"/>
        <v>10081.736671995124</v>
      </c>
      <c r="BU739" s="66">
        <f t="shared" ca="1" si="359"/>
        <v>2525.0162322451642</v>
      </c>
      <c r="BV739" s="66">
        <f t="shared" ca="1" si="359"/>
        <v>2513.4873166631132</v>
      </c>
      <c r="BW739" s="66">
        <f t="shared" ca="1" si="359"/>
        <v>2528.2305478107455</v>
      </c>
      <c r="BX739" s="66">
        <f t="shared" ca="1" si="359"/>
        <v>2569.9200683989557</v>
      </c>
      <c r="BY739" s="8">
        <f t="shared" ca="1" si="359"/>
        <v>10136.65416511798</v>
      </c>
      <c r="BZ739" s="66">
        <f t="shared" ca="1" si="359"/>
        <v>2580.1058479112098</v>
      </c>
      <c r="CA739" s="66">
        <f t="shared" ca="1" si="359"/>
        <v>2588.1369404056259</v>
      </c>
      <c r="CB739" s="66">
        <f t="shared" ca="1" si="359"/>
        <v>2622.4801561988425</v>
      </c>
      <c r="CC739" s="66">
        <f t="shared" ca="1" si="359"/>
        <v>2682.4180315821759</v>
      </c>
      <c r="CD739" s="8">
        <f t="shared" ca="1" si="359"/>
        <v>10473.140976097855</v>
      </c>
    </row>
    <row r="740" spans="1:82">
      <c r="A740" s="4"/>
      <c r="B740" s="5"/>
      <c r="C740" s="5"/>
      <c r="D740" s="5"/>
      <c r="E740" s="5"/>
      <c r="F740" s="5"/>
      <c r="G740" s="5"/>
      <c r="H740" s="12"/>
      <c r="I740" s="12"/>
      <c r="J740" s="12"/>
      <c r="K740" s="12"/>
      <c r="L740" s="5"/>
      <c r="M740" s="12"/>
      <c r="N740" s="12"/>
      <c r="O740" s="12"/>
      <c r="P740" s="12"/>
      <c r="Q740" s="5"/>
      <c r="R740" s="12"/>
      <c r="S740" s="12"/>
      <c r="T740" s="12"/>
      <c r="U740" s="12"/>
      <c r="V740" s="5"/>
      <c r="W740" s="12"/>
      <c r="X740" s="12"/>
      <c r="Y740" s="12"/>
      <c r="Z740" s="12"/>
      <c r="AA740" s="5"/>
      <c r="AB740" s="12"/>
      <c r="AC740" s="12"/>
      <c r="AD740" s="12"/>
      <c r="AE740" s="12"/>
      <c r="AF740" s="12"/>
      <c r="AG740" s="12"/>
      <c r="AH740" s="12"/>
      <c r="AI740" s="12"/>
      <c r="AJ740" s="12"/>
      <c r="AK740" s="12"/>
      <c r="AL740" s="12"/>
      <c r="AM740" s="12"/>
      <c r="AN740" s="12"/>
      <c r="AO740" s="12"/>
      <c r="AP740" s="12"/>
      <c r="AQ740" s="12"/>
      <c r="AR740" s="12"/>
      <c r="AS740" s="12"/>
      <c r="AT740" s="12"/>
      <c r="AU740" s="12"/>
      <c r="AV740" s="12"/>
      <c r="AW740" s="12"/>
      <c r="AX740" s="12"/>
      <c r="AY740" s="12"/>
      <c r="AZ740" s="12"/>
      <c r="BA740" s="12"/>
      <c r="BB740" s="12"/>
      <c r="BC740" s="12"/>
      <c r="BD740" s="12"/>
      <c r="BE740" s="12"/>
      <c r="BF740" s="12"/>
      <c r="BG740" s="12"/>
      <c r="BH740" s="12"/>
      <c r="BI740" s="12"/>
      <c r="BJ740" s="12"/>
      <c r="BK740" s="12"/>
      <c r="BL740" s="12"/>
      <c r="BM740" s="12"/>
      <c r="BN740" s="12"/>
      <c r="BO740" s="12"/>
      <c r="BP740" s="12"/>
      <c r="BQ740" s="12"/>
      <c r="BR740" s="12"/>
      <c r="BS740" s="12"/>
      <c r="BT740" s="5"/>
      <c r="BU740" s="12"/>
      <c r="BV740" s="12"/>
      <c r="BW740" s="12"/>
      <c r="BX740" s="12"/>
      <c r="BY740" s="5"/>
      <c r="BZ740" s="12"/>
      <c r="CA740" s="12"/>
      <c r="CB740" s="12"/>
      <c r="CC740" s="12"/>
      <c r="CD740" s="5"/>
    </row>
    <row r="741" spans="1:82">
      <c r="A741" s="4" t="s">
        <v>1897</v>
      </c>
      <c r="B741" s="5"/>
      <c r="C741" s="72"/>
      <c r="D741" s="72"/>
      <c r="E741" s="72"/>
      <c r="F741" s="72"/>
      <c r="G741" s="72"/>
      <c r="H741" s="93"/>
      <c r="I741" s="93"/>
      <c r="J741" s="93"/>
      <c r="K741" s="93"/>
      <c r="L741" s="72"/>
      <c r="M741" s="93"/>
      <c r="N741" s="93"/>
      <c r="O741" s="93"/>
      <c r="P741" s="93"/>
      <c r="Q741" s="72"/>
      <c r="R741" s="93"/>
      <c r="S741" s="93"/>
      <c r="T741" s="93"/>
      <c r="U741" s="93"/>
      <c r="V741" s="72"/>
      <c r="W741" s="93"/>
      <c r="X741" s="93"/>
      <c r="Y741" s="93"/>
      <c r="Z741" s="93"/>
      <c r="AA741" s="5">
        <v>-37</v>
      </c>
      <c r="AB741" s="93"/>
      <c r="AC741" s="93"/>
      <c r="AD741" s="93"/>
      <c r="AE741" s="93"/>
      <c r="AF741" s="5">
        <v>-40</v>
      </c>
      <c r="AG741" s="93"/>
      <c r="AH741" s="93"/>
      <c r="AI741" s="93"/>
      <c r="AJ741" s="93"/>
      <c r="AK741" s="5">
        <v>-72</v>
      </c>
      <c r="AL741" s="93"/>
      <c r="AM741" s="93"/>
      <c r="AN741" s="93"/>
      <c r="AO741" s="93"/>
      <c r="AP741" s="5">
        <v>-93</v>
      </c>
      <c r="AQ741" s="93"/>
      <c r="AR741" s="93"/>
      <c r="AS741" s="93"/>
      <c r="AT741" s="93"/>
      <c r="AU741" s="5">
        <v>-126</v>
      </c>
      <c r="AV741" s="93"/>
      <c r="AW741" s="93"/>
      <c r="AX741" s="93"/>
      <c r="AY741" s="93"/>
      <c r="AZ741" s="5">
        <v>-62</v>
      </c>
      <c r="BA741" s="93"/>
      <c r="BB741" s="93"/>
      <c r="BC741" s="93"/>
      <c r="BD741" s="93"/>
      <c r="BE741" s="5">
        <v>-52</v>
      </c>
      <c r="BF741" s="93"/>
      <c r="BG741" s="93"/>
      <c r="BH741" s="93"/>
      <c r="BI741" s="93"/>
      <c r="BJ741" s="5">
        <v>-50</v>
      </c>
      <c r="BK741" s="93"/>
      <c r="BL741" s="93"/>
      <c r="BM741" s="93"/>
      <c r="BN741" s="93"/>
      <c r="BO741" s="5">
        <v>-59</v>
      </c>
      <c r="BP741" s="12">
        <f>BT741/4</f>
        <v>-10</v>
      </c>
      <c r="BQ741" s="12">
        <f>(BT741-BP741)/3</f>
        <v>-10</v>
      </c>
      <c r="BR741" s="12">
        <f>(BT741-BP741-BQ741)/2</f>
        <v>-10</v>
      </c>
      <c r="BS741" s="12">
        <f>BT741-SUM(BP741:BR741)</f>
        <v>-10</v>
      </c>
      <c r="BT741" s="147">
        <v>-40</v>
      </c>
      <c r="BU741" s="12">
        <f>BY741/4</f>
        <v>-10</v>
      </c>
      <c r="BV741" s="12">
        <f>(BY741-BU741)/3</f>
        <v>-10</v>
      </c>
      <c r="BW741" s="12">
        <f>(BY741-BU741-BV741)/2</f>
        <v>-10</v>
      </c>
      <c r="BX741" s="12">
        <f>BY741-SUM(BU741:BW741)</f>
        <v>-10</v>
      </c>
      <c r="BY741" s="147">
        <v>-40</v>
      </c>
      <c r="BZ741" s="12">
        <f>CD741/4</f>
        <v>-10</v>
      </c>
      <c r="CA741" s="12">
        <f>(CD741-BZ741)/3</f>
        <v>-10</v>
      </c>
      <c r="CB741" s="12">
        <f>(CD741-BZ741-CA741)/2</f>
        <v>-10</v>
      </c>
      <c r="CC741" s="12">
        <f>CD741-SUM(BZ741:CB741)</f>
        <v>-10</v>
      </c>
      <c r="CD741" s="147">
        <v>-40</v>
      </c>
    </row>
    <row r="742" spans="1:82">
      <c r="A742" s="4" t="s">
        <v>2149</v>
      </c>
      <c r="B742" s="5"/>
      <c r="C742" s="72"/>
      <c r="D742" s="72"/>
      <c r="E742" s="72"/>
      <c r="F742" s="72"/>
      <c r="G742" s="72"/>
      <c r="H742" s="93"/>
      <c r="I742" s="93"/>
      <c r="J742" s="93"/>
      <c r="K742" s="93"/>
      <c r="L742" s="72"/>
      <c r="M742" s="93"/>
      <c r="N742" s="93"/>
      <c r="O742" s="93"/>
      <c r="P742" s="93"/>
      <c r="Q742" s="72"/>
      <c r="R742" s="93"/>
      <c r="S742" s="93"/>
      <c r="T742" s="93"/>
      <c r="U742" s="93"/>
      <c r="V742" s="72"/>
      <c r="W742" s="93"/>
      <c r="X742" s="93"/>
      <c r="Y742" s="93"/>
      <c r="Z742" s="93"/>
      <c r="AA742" s="5">
        <v>-1428</v>
      </c>
      <c r="AB742" s="93"/>
      <c r="AC742" s="93"/>
      <c r="AD742" s="93"/>
      <c r="AE742" s="93"/>
      <c r="AF742" s="5">
        <v>-1602</v>
      </c>
      <c r="AG742" s="93"/>
      <c r="AH742" s="93"/>
      <c r="AI742" s="93"/>
      <c r="AJ742" s="93"/>
      <c r="AK742" s="5">
        <v>-1846</v>
      </c>
      <c r="AL742" s="93"/>
      <c r="AM742" s="93"/>
      <c r="AN742" s="93"/>
      <c r="AO742" s="93"/>
      <c r="AP742" s="5">
        <v>-1605</v>
      </c>
      <c r="AQ742" s="93"/>
      <c r="AR742" s="93"/>
      <c r="AS742" s="93"/>
      <c r="AT742" s="93"/>
      <c r="AU742" s="5">
        <v>-1177</v>
      </c>
      <c r="AV742" s="93"/>
      <c r="AW742" s="93"/>
      <c r="AX742" s="93"/>
      <c r="AY742" s="93"/>
      <c r="AZ742" s="5">
        <v>-1318</v>
      </c>
      <c r="BA742" s="93"/>
      <c r="BB742" s="93"/>
      <c r="BC742" s="93"/>
      <c r="BD742" s="93"/>
      <c r="BE742" s="5">
        <v>-1083</v>
      </c>
      <c r="BF742" s="93"/>
      <c r="BG742" s="93"/>
      <c r="BH742" s="93"/>
      <c r="BI742" s="93"/>
      <c r="BJ742" s="5">
        <v>-1106</v>
      </c>
      <c r="BK742" s="93"/>
      <c r="BL742" s="93"/>
      <c r="BM742" s="93"/>
      <c r="BN742" s="93"/>
      <c r="BO742" s="5">
        <v>-1424</v>
      </c>
      <c r="BP742" s="65">
        <f>-BP764*BP775*'Key assumptions'!BP$48/1000</f>
        <v>-352.29959797828167</v>
      </c>
      <c r="BQ742" s="65">
        <f>-BQ764*BQ775*'Key assumptions'!BQ$48/1000</f>
        <v>-350.7081975309294</v>
      </c>
      <c r="BR742" s="65">
        <f>-BR764*BR775*'Key assumptions'!BR$48/1000</f>
        <v>-353.19092062791151</v>
      </c>
      <c r="BS742" s="65">
        <f>-BS764*BS775*'Key assumptions'!BS$48/1000</f>
        <v>-360.51007559595183</v>
      </c>
      <c r="BT742" s="5">
        <f>SUM(BP742:BS742)</f>
        <v>-1416.7087917330743</v>
      </c>
      <c r="BU742" s="65">
        <f>-BU764*BU775*'Key assumptions'!BU$48/1000</f>
        <v>-380.38658522828098</v>
      </c>
      <c r="BV742" s="65">
        <f>-BV764*BV775*'Key assumptions'!BV$48/1000</f>
        <v>-378.2714484216018</v>
      </c>
      <c r="BW742" s="65">
        <f>-BW764*BW775*'Key assumptions'!BW$48/1000</f>
        <v>-380.84890740231447</v>
      </c>
      <c r="BX742" s="65">
        <f>-BX764*BX775*'Key assumptions'!BX$48/1000</f>
        <v>-389.27914654370193</v>
      </c>
      <c r="BY742" s="5">
        <f>SUM(BU742:BX742)</f>
        <v>-1528.7860875958993</v>
      </c>
      <c r="BZ742" s="65">
        <f>-BZ764*BZ775*'Key assumptions'!BZ$48/1000</f>
        <v>-404.34655055773987</v>
      </c>
      <c r="CA742" s="65">
        <f>-CA764*CA775*'Key assumptions'!CA$48/1000</f>
        <v>-397.32455869228352</v>
      </c>
      <c r="CB742" s="65">
        <f>-CB764*CB775*'Key assumptions'!CB$48/1000</f>
        <v>-399.9419564991652</v>
      </c>
      <c r="CC742" s="65">
        <f>-CC764*CC775*'Key assumptions'!CC$48/1000</f>
        <v>-409.27659802187753</v>
      </c>
      <c r="CD742" s="5">
        <f>SUM(BZ742:CC742)</f>
        <v>-1610.8896637710661</v>
      </c>
    </row>
    <row r="743" spans="1:82">
      <c r="A743" s="4" t="s">
        <v>2150</v>
      </c>
      <c r="B743" s="5"/>
      <c r="C743" s="72"/>
      <c r="D743" s="72"/>
      <c r="E743" s="72"/>
      <c r="F743" s="72"/>
      <c r="G743" s="72"/>
      <c r="H743" s="93"/>
      <c r="I743" s="93"/>
      <c r="J743" s="93"/>
      <c r="K743" s="93"/>
      <c r="L743" s="72"/>
      <c r="M743" s="93"/>
      <c r="N743" s="93"/>
      <c r="O743" s="93"/>
      <c r="P743" s="93"/>
      <c r="Q743" s="72"/>
      <c r="R743" s="93"/>
      <c r="S743" s="93"/>
      <c r="T743" s="93"/>
      <c r="U743" s="93"/>
      <c r="V743" s="72"/>
      <c r="W743" s="93"/>
      <c r="X743" s="93"/>
      <c r="Y743" s="93"/>
      <c r="Z743" s="93"/>
      <c r="AA743" s="5">
        <v>-2597</v>
      </c>
      <c r="AB743" s="93"/>
      <c r="AC743" s="93"/>
      <c r="AD743" s="93"/>
      <c r="AE743" s="93"/>
      <c r="AF743" s="5">
        <v>-3567</v>
      </c>
      <c r="AG743" s="93"/>
      <c r="AH743" s="93"/>
      <c r="AI743" s="93"/>
      <c r="AJ743" s="93"/>
      <c r="AK743" s="5">
        <v>-5000</v>
      </c>
      <c r="AL743" s="93"/>
      <c r="AM743" s="93"/>
      <c r="AN743" s="93"/>
      <c r="AO743" s="93"/>
      <c r="AP743" s="5">
        <v>-4400</v>
      </c>
      <c r="AQ743" s="93"/>
      <c r="AR743" s="93"/>
      <c r="AS743" s="93"/>
      <c r="AT743" s="93"/>
      <c r="AU743" s="5">
        <v>-4511</v>
      </c>
      <c r="AV743" s="93"/>
      <c r="AW743" s="93"/>
      <c r="AX743" s="93"/>
      <c r="AY743" s="93"/>
      <c r="AZ743" s="5">
        <v>-5214</v>
      </c>
      <c r="BA743" s="93"/>
      <c r="BB743" s="93"/>
      <c r="BC743" s="93"/>
      <c r="BD743" s="93"/>
      <c r="BE743" s="5">
        <v>-3911</v>
      </c>
      <c r="BF743" s="93"/>
      <c r="BG743" s="93"/>
      <c r="BH743" s="93"/>
      <c r="BI743" s="93"/>
      <c r="BJ743" s="5">
        <v>-3391</v>
      </c>
      <c r="BK743" s="93"/>
      <c r="BL743" s="93"/>
      <c r="BM743" s="93"/>
      <c r="BN743" s="93"/>
      <c r="BO743" s="5">
        <v>-5712</v>
      </c>
      <c r="BP743" s="12">
        <f ca="1">-BP739*BP786</f>
        <v>-1117.9347276223407</v>
      </c>
      <c r="BQ743" s="12">
        <f ca="1">-BQ739*BQ786</f>
        <v>-1140.2325944196273</v>
      </c>
      <c r="BR743" s="12">
        <f ca="1">-BR739*BR786</f>
        <v>-1138.0422048086782</v>
      </c>
      <c r="BS743" s="12">
        <f ca="1">-BS739*BS786</f>
        <v>-1140.5719755471598</v>
      </c>
      <c r="BT743" s="5">
        <f ca="1">SUM(BP743:BS743)</f>
        <v>-4536.7815023978064</v>
      </c>
      <c r="BU743" s="12">
        <f ca="1">-BU739*BU786</f>
        <v>-1136.257304510324</v>
      </c>
      <c r="BV743" s="12">
        <f ca="1">-BV739*BV786</f>
        <v>-1131.069292498401</v>
      </c>
      <c r="BW743" s="12">
        <f ca="1">-BW739*BW786</f>
        <v>-1137.7037465148355</v>
      </c>
      <c r="BX743" s="12">
        <f ca="1">-BX739*BX786</f>
        <v>-1156.46403077953</v>
      </c>
      <c r="BY743" s="5">
        <f ca="1">SUM(BU743:BX743)</f>
        <v>-4561.4943743030908</v>
      </c>
      <c r="BZ743" s="12">
        <f ca="1">-BZ739*BZ786</f>
        <v>-1161.0476315600445</v>
      </c>
      <c r="CA743" s="12">
        <f ca="1">-CA739*CA786</f>
        <v>-1164.6616231825317</v>
      </c>
      <c r="CB743" s="12">
        <f ca="1">-CB739*CB786</f>
        <v>-1180.1160702894792</v>
      </c>
      <c r="CC743" s="12">
        <f ca="1">-CC739*CC786</f>
        <v>-1207.0881142119792</v>
      </c>
      <c r="CD743" s="5">
        <f ca="1">SUM(BZ743:CC743)</f>
        <v>-4712.9134392440355</v>
      </c>
    </row>
    <row r="744" spans="1:82">
      <c r="A744" s="4" t="s">
        <v>2158</v>
      </c>
      <c r="B744" s="5"/>
      <c r="C744" s="72"/>
      <c r="D744" s="72"/>
      <c r="E744" s="72"/>
      <c r="F744" s="72"/>
      <c r="G744" s="72"/>
      <c r="H744" s="93"/>
      <c r="I744" s="93"/>
      <c r="J744" s="93"/>
      <c r="K744" s="93"/>
      <c r="L744" s="72"/>
      <c r="M744" s="93"/>
      <c r="N744" s="93"/>
      <c r="O744" s="93"/>
      <c r="P744" s="93"/>
      <c r="Q744" s="72"/>
      <c r="R744" s="93"/>
      <c r="S744" s="93"/>
      <c r="T744" s="93"/>
      <c r="U744" s="93"/>
      <c r="V744" s="72"/>
      <c r="W744" s="93"/>
      <c r="X744" s="93"/>
      <c r="Y744" s="93"/>
      <c r="Z744" s="93"/>
      <c r="AA744" s="5">
        <v>-12</v>
      </c>
      <c r="AB744" s="93"/>
      <c r="AC744" s="93"/>
      <c r="AD744" s="93"/>
      <c r="AE744" s="93"/>
      <c r="AF744" s="5">
        <v>-3</v>
      </c>
      <c r="AG744" s="93"/>
      <c r="AH744" s="93"/>
      <c r="AI744" s="93"/>
      <c r="AJ744" s="93"/>
      <c r="AK744" s="5">
        <v>-2</v>
      </c>
      <c r="AL744" s="93"/>
      <c r="AM744" s="93"/>
      <c r="AN744" s="93"/>
      <c r="AO744" s="93"/>
      <c r="AP744" s="5">
        <v>24</v>
      </c>
      <c r="AQ744" s="93"/>
      <c r="AR744" s="93"/>
      <c r="AS744" s="93"/>
      <c r="AT744" s="93"/>
      <c r="AU744" s="5">
        <v>-94</v>
      </c>
      <c r="AV744" s="93"/>
      <c r="AW744" s="93"/>
      <c r="AX744" s="93"/>
      <c r="AY744" s="93"/>
      <c r="AZ744" s="5">
        <v>-302</v>
      </c>
      <c r="BA744" s="93"/>
      <c r="BB744" s="93"/>
      <c r="BC744" s="93"/>
      <c r="BD744" s="93"/>
      <c r="BE744" s="5">
        <v>-284</v>
      </c>
      <c r="BF744" s="93"/>
      <c r="BG744" s="93"/>
      <c r="BH744" s="93"/>
      <c r="BI744" s="93"/>
      <c r="BJ744" s="5">
        <v>-368</v>
      </c>
      <c r="BK744" s="93"/>
      <c r="BL744" s="93"/>
      <c r="BM744" s="93"/>
      <c r="BN744" s="93"/>
      <c r="BO744" s="5">
        <v>-409</v>
      </c>
      <c r="BP744" s="12">
        <f>BT744/4</f>
        <v>-102.25</v>
      </c>
      <c r="BQ744" s="12">
        <f>(BT744-BP744)/3</f>
        <v>-102.25</v>
      </c>
      <c r="BR744" s="12">
        <f>(BT744-BP744-BQ744)/2</f>
        <v>-102.25</v>
      </c>
      <c r="BS744" s="12">
        <f>BT744-SUM(BP744:BR744)</f>
        <v>-102.25</v>
      </c>
      <c r="BT744" s="147">
        <f>BO744</f>
        <v>-409</v>
      </c>
      <c r="BU744" s="12">
        <f>BY744/4</f>
        <v>-102.25</v>
      </c>
      <c r="BV744" s="12">
        <f>(BY744-BU744)/3</f>
        <v>-102.25</v>
      </c>
      <c r="BW744" s="12">
        <f>(BY744-BU744-BV744)/2</f>
        <v>-102.25</v>
      </c>
      <c r="BX744" s="12">
        <f>BY744-SUM(BU744:BW744)</f>
        <v>-102.25</v>
      </c>
      <c r="BY744" s="147">
        <f>BT744</f>
        <v>-409</v>
      </c>
      <c r="BZ744" s="12">
        <f>CD744/4</f>
        <v>-102.25</v>
      </c>
      <c r="CA744" s="12">
        <f>(CD744-BZ744)/3</f>
        <v>-102.25</v>
      </c>
      <c r="CB744" s="12">
        <f>(CD744-BZ744-CA744)/2</f>
        <v>-102.25</v>
      </c>
      <c r="CC744" s="12">
        <f>CD744-SUM(BZ744:CB744)</f>
        <v>-102.25</v>
      </c>
      <c r="CD744" s="147">
        <f>BY744</f>
        <v>-409</v>
      </c>
    </row>
    <row r="745" spans="1:82">
      <c r="A745" s="4" t="s">
        <v>2154</v>
      </c>
      <c r="B745" s="5"/>
      <c r="C745" s="72"/>
      <c r="D745" s="72"/>
      <c r="E745" s="72"/>
      <c r="F745" s="72"/>
      <c r="G745" s="72"/>
      <c r="H745" s="93"/>
      <c r="I745" s="93"/>
      <c r="J745" s="93"/>
      <c r="K745" s="93"/>
      <c r="L745" s="72"/>
      <c r="M745" s="93"/>
      <c r="N745" s="93"/>
      <c r="O745" s="93"/>
      <c r="P745" s="93"/>
      <c r="Q745" s="72"/>
      <c r="R745" s="93"/>
      <c r="S745" s="93"/>
      <c r="T745" s="93"/>
      <c r="U745" s="93"/>
      <c r="V745" s="72"/>
      <c r="W745" s="93"/>
      <c r="X745" s="93"/>
      <c r="Y745" s="93"/>
      <c r="Z745" s="93"/>
      <c r="AA745" s="5">
        <v>-1073</v>
      </c>
      <c r="AB745" s="93"/>
      <c r="AC745" s="93"/>
      <c r="AD745" s="93"/>
      <c r="AE745" s="93"/>
      <c r="AF745" s="5">
        <v>-954</v>
      </c>
      <c r="AG745" s="93"/>
      <c r="AH745" s="93"/>
      <c r="AI745" s="93"/>
      <c r="AJ745" s="93"/>
      <c r="AK745" s="5">
        <v>-988</v>
      </c>
      <c r="AL745" s="93"/>
      <c r="AM745" s="93"/>
      <c r="AN745" s="93"/>
      <c r="AO745" s="93"/>
      <c r="AP745" s="5">
        <v>-786</v>
      </c>
      <c r="AQ745" s="93"/>
      <c r="AR745" s="93"/>
      <c r="AS745" s="93"/>
      <c r="AT745" s="93"/>
      <c r="AU745" s="5">
        <v>-1232</v>
      </c>
      <c r="AV745" s="93"/>
      <c r="AW745" s="93"/>
      <c r="AX745" s="93"/>
      <c r="AY745" s="93"/>
      <c r="AZ745" s="5">
        <v>-1509</v>
      </c>
      <c r="BA745" s="93"/>
      <c r="BB745" s="93"/>
      <c r="BC745" s="93"/>
      <c r="BD745" s="93"/>
      <c r="BE745" s="5">
        <v>-992</v>
      </c>
      <c r="BF745" s="93"/>
      <c r="BG745" s="93"/>
      <c r="BH745" s="93"/>
      <c r="BI745" s="93"/>
      <c r="BJ745" s="5">
        <v>-1072</v>
      </c>
      <c r="BK745" s="93"/>
      <c r="BL745" s="93"/>
      <c r="BM745" s="93"/>
      <c r="BN745" s="93"/>
      <c r="BO745" s="5">
        <v>-1539</v>
      </c>
      <c r="BP745" s="12">
        <f>-BP764*BP778*'Key assumptions'!BP$48/1000</f>
        <v>-282.51485232950552</v>
      </c>
      <c r="BQ745" s="12">
        <f>-BQ764*BQ778*'Key assumptions'!BQ$48/1000</f>
        <v>-281.23868208985465</v>
      </c>
      <c r="BR745" s="12">
        <f>-BR764*BR778*'Key assumptions'!BR$48/1000</f>
        <v>-283.22961864823873</v>
      </c>
      <c r="BS745" s="12">
        <f>-BS764*BS778*'Key assumptions'!BS$48/1000</f>
        <v>-289.09896961213087</v>
      </c>
      <c r="BT745" s="5">
        <f>SUM(BP745:BS745)</f>
        <v>-1136.0821226797298</v>
      </c>
      <c r="BU745" s="12">
        <f>-BU764*BU778*'Key assumptions'!BU$48/1000</f>
        <v>-300.8681348737183</v>
      </c>
      <c r="BV745" s="12">
        <f>-BV764*BV778*'Key assumptions'!BV$48/1000</f>
        <v>-299.19515982480482</v>
      </c>
      <c r="BW745" s="12">
        <f>-BW764*BW778*'Key assumptions'!BW$48/1000</f>
        <v>-301.23381025664162</v>
      </c>
      <c r="BX745" s="12">
        <f>-BX764*BX778*'Key assumptions'!BX$48/1000</f>
        <v>-307.90173816342229</v>
      </c>
      <c r="BY745" s="5">
        <f>SUM(BU745:BX745)</f>
        <v>-1209.1988431185871</v>
      </c>
      <c r="BZ745" s="12">
        <f>-BZ764*BZ778*'Key assumptions'!BZ$48/1000</f>
        <v>-315.40989173852716</v>
      </c>
      <c r="CA745" s="12">
        <f>-CA764*CA778*'Key assumptions'!CA$48/1000</f>
        <v>-309.93239801187758</v>
      </c>
      <c r="CB745" s="12">
        <f>-CB764*CB778*'Key assumptions'!CB$48/1000</f>
        <v>-311.97409506052679</v>
      </c>
      <c r="CC745" s="12">
        <f>-CC764*CC778*'Key assumptions'!CC$48/1000</f>
        <v>-319.25556752031531</v>
      </c>
      <c r="CD745" s="5">
        <f>SUM(BZ745:CC745)</f>
        <v>-1256.5719523312468</v>
      </c>
    </row>
    <row r="746" spans="1:82">
      <c r="A746" s="4" t="s">
        <v>610</v>
      </c>
      <c r="B746" s="5"/>
      <c r="C746" s="72"/>
      <c r="D746" s="72"/>
      <c r="E746" s="72"/>
      <c r="F746" s="72"/>
      <c r="G746" s="72"/>
      <c r="H746" s="93"/>
      <c r="I746" s="93"/>
      <c r="J746" s="93"/>
      <c r="K746" s="93"/>
      <c r="L746" s="72"/>
      <c r="M746" s="93"/>
      <c r="N746" s="93"/>
      <c r="O746" s="93"/>
      <c r="P746" s="93"/>
      <c r="Q746" s="72"/>
      <c r="R746" s="93"/>
      <c r="S746" s="93"/>
      <c r="T746" s="93"/>
      <c r="U746" s="93"/>
      <c r="V746" s="72"/>
      <c r="W746" s="93"/>
      <c r="X746" s="93"/>
      <c r="Y746" s="93"/>
      <c r="Z746" s="93"/>
      <c r="AA746" s="5">
        <v>-72</v>
      </c>
      <c r="AB746" s="93"/>
      <c r="AC746" s="93"/>
      <c r="AD746" s="93"/>
      <c r="AE746" s="93"/>
      <c r="AF746" s="5">
        <v>-43</v>
      </c>
      <c r="AG746" s="93"/>
      <c r="AH746" s="93"/>
      <c r="AI746" s="93"/>
      <c r="AJ746" s="93"/>
      <c r="AK746" s="5">
        <v>0</v>
      </c>
      <c r="AL746" s="93"/>
      <c r="AM746" s="93"/>
      <c r="AN746" s="93"/>
      <c r="AO746" s="93"/>
      <c r="AP746" s="5">
        <v>27</v>
      </c>
      <c r="AQ746" s="93"/>
      <c r="AR746" s="93"/>
      <c r="AS746" s="93"/>
      <c r="AT746" s="93"/>
      <c r="AU746" s="5">
        <v>-37</v>
      </c>
      <c r="AV746" s="93"/>
      <c r="AW746" s="93"/>
      <c r="AX746" s="93"/>
      <c r="AY746" s="93"/>
      <c r="AZ746" s="5">
        <v>0</v>
      </c>
      <c r="BA746" s="93"/>
      <c r="BB746" s="93"/>
      <c r="BC746" s="93"/>
      <c r="BD746" s="93"/>
      <c r="BE746" s="5">
        <v>0</v>
      </c>
      <c r="BF746" s="93"/>
      <c r="BG746" s="93"/>
      <c r="BH746" s="93"/>
      <c r="BI746" s="93"/>
      <c r="BJ746" s="5">
        <v>-25</v>
      </c>
      <c r="BK746" s="93"/>
      <c r="BL746" s="93"/>
      <c r="BM746" s="93"/>
      <c r="BN746" s="93"/>
      <c r="BO746" s="5">
        <v>-54</v>
      </c>
      <c r="BP746" s="12">
        <f>BT746/4</f>
        <v>0</v>
      </c>
      <c r="BQ746" s="12">
        <f>(BT746-BP746)/3</f>
        <v>0</v>
      </c>
      <c r="BR746" s="12">
        <f>(BT746-BP746-BQ746)/2</f>
        <v>0</v>
      </c>
      <c r="BS746" s="12">
        <f>BT746-SUM(BP746:BR746)</f>
        <v>0</v>
      </c>
      <c r="BT746" s="147">
        <v>0</v>
      </c>
      <c r="BU746" s="12">
        <f>BY746/4</f>
        <v>0</v>
      </c>
      <c r="BV746" s="12">
        <f>(BY746-BU746)/3</f>
        <v>0</v>
      </c>
      <c r="BW746" s="12">
        <f>(BY746-BU746-BV746)/2</f>
        <v>0</v>
      </c>
      <c r="BX746" s="12">
        <f>BY746-SUM(BU746:BW746)</f>
        <v>0</v>
      </c>
      <c r="BY746" s="147">
        <v>0</v>
      </c>
      <c r="BZ746" s="12">
        <f>CD746/4</f>
        <v>0</v>
      </c>
      <c r="CA746" s="12">
        <f>(CD746-BZ746)/3</f>
        <v>0</v>
      </c>
      <c r="CB746" s="12">
        <f>(CD746-BZ746-CA746)/2</f>
        <v>0</v>
      </c>
      <c r="CC746" s="12">
        <f>CD746-SUM(BZ746:CB746)</f>
        <v>0</v>
      </c>
      <c r="CD746" s="147">
        <v>0</v>
      </c>
    </row>
    <row r="747" spans="1:82">
      <c r="A747" s="7" t="s">
        <v>2160</v>
      </c>
      <c r="B747" s="8"/>
      <c r="C747" s="73"/>
      <c r="D747" s="73"/>
      <c r="E747" s="73"/>
      <c r="F747" s="73"/>
      <c r="G747" s="73"/>
      <c r="H747" s="93"/>
      <c r="I747" s="93"/>
      <c r="J747" s="93"/>
      <c r="K747" s="93"/>
      <c r="L747" s="73"/>
      <c r="M747" s="93"/>
      <c r="N747" s="93"/>
      <c r="O747" s="93"/>
      <c r="P747" s="93"/>
      <c r="Q747" s="73"/>
      <c r="R747" s="93"/>
      <c r="S747" s="93"/>
      <c r="T747" s="93"/>
      <c r="U747" s="93"/>
      <c r="V747" s="73"/>
      <c r="W747" s="93"/>
      <c r="X747" s="93"/>
      <c r="Y747" s="93"/>
      <c r="Z747" s="93"/>
      <c r="AA747" s="8">
        <f>AA739+SUM(AA741:AA746)</f>
        <v>2538</v>
      </c>
      <c r="AB747" s="93"/>
      <c r="AC747" s="93"/>
      <c r="AD747" s="93"/>
      <c r="AE747" s="93"/>
      <c r="AF747" s="8">
        <f>AF739+SUM(AF741:AF746)</f>
        <v>2833</v>
      </c>
      <c r="AG747" s="93"/>
      <c r="AH747" s="93"/>
      <c r="AI747" s="93"/>
      <c r="AJ747" s="93"/>
      <c r="AK747" s="8">
        <f t="shared" ref="AK747:CD747" si="360">AK739+SUM(AK741:AK746)</f>
        <v>4621</v>
      </c>
      <c r="AL747" s="93"/>
      <c r="AM747" s="93"/>
      <c r="AN747" s="93"/>
      <c r="AO747" s="93"/>
      <c r="AP747" s="8">
        <f t="shared" si="360"/>
        <v>3278</v>
      </c>
      <c r="AQ747" s="93"/>
      <c r="AR747" s="93"/>
      <c r="AS747" s="93"/>
      <c r="AT747" s="93"/>
      <c r="AU747" s="8">
        <f t="shared" si="360"/>
        <v>2937</v>
      </c>
      <c r="AV747" s="93"/>
      <c r="AW747" s="93"/>
      <c r="AX747" s="93"/>
      <c r="AY747" s="93"/>
      <c r="AZ747" s="8">
        <f t="shared" si="360"/>
        <v>2567</v>
      </c>
      <c r="BA747" s="93"/>
      <c r="BB747" s="93"/>
      <c r="BC747" s="93"/>
      <c r="BD747" s="93"/>
      <c r="BE747" s="8">
        <f t="shared" si="360"/>
        <v>2270</v>
      </c>
      <c r="BF747" s="93"/>
      <c r="BG747" s="93"/>
      <c r="BH747" s="93"/>
      <c r="BI747" s="93"/>
      <c r="BJ747" s="8">
        <f t="shared" ref="BJ747" si="361">BJ739+SUM(BJ741:BJ746)</f>
        <v>2117</v>
      </c>
      <c r="BK747" s="93"/>
      <c r="BL747" s="93"/>
      <c r="BM747" s="93"/>
      <c r="BN747" s="93"/>
      <c r="BO747" s="8">
        <f t="shared" si="360"/>
        <v>2340</v>
      </c>
      <c r="BP747" s="66">
        <f t="shared" ca="1" si="360"/>
        <v>619.30021678618459</v>
      </c>
      <c r="BQ747" s="66">
        <f t="shared" ca="1" si="360"/>
        <v>649.4207357809828</v>
      </c>
      <c r="BR747" s="66">
        <f t="shared" ca="1" si="360"/>
        <v>642.26993326778984</v>
      </c>
      <c r="BS747" s="66">
        <f t="shared" ca="1" si="360"/>
        <v>632.17336934955711</v>
      </c>
      <c r="BT747" s="8">
        <f t="shared" ca="1" si="360"/>
        <v>2543.1642551845134</v>
      </c>
      <c r="BU747" s="66">
        <f t="shared" ca="1" si="360"/>
        <v>595.25420763284092</v>
      </c>
      <c r="BV747" s="66">
        <f t="shared" ca="1" si="360"/>
        <v>592.70141591830588</v>
      </c>
      <c r="BW747" s="66">
        <f t="shared" ca="1" si="360"/>
        <v>596.19408363695379</v>
      </c>
      <c r="BX747" s="66">
        <f t="shared" ca="1" si="360"/>
        <v>604.02515291230134</v>
      </c>
      <c r="BY747" s="8">
        <f t="shared" ca="1" si="360"/>
        <v>2388.1748601004019</v>
      </c>
      <c r="BZ747" s="66">
        <f t="shared" ca="1" si="360"/>
        <v>587.05177405489826</v>
      </c>
      <c r="CA747" s="66">
        <f t="shared" ca="1" si="360"/>
        <v>603.96836051893297</v>
      </c>
      <c r="CB747" s="66">
        <f t="shared" ca="1" si="360"/>
        <v>618.19803434967116</v>
      </c>
      <c r="CC747" s="66">
        <f t="shared" ca="1" si="360"/>
        <v>634.54775182800381</v>
      </c>
      <c r="CD747" s="8">
        <f t="shared" ca="1" si="360"/>
        <v>2443.7659207515062</v>
      </c>
    </row>
    <row r="748" spans="1:82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  <c r="AI748" s="4"/>
      <c r="AJ748" s="4"/>
      <c r="AK748" s="4"/>
      <c r="AL748" s="4"/>
      <c r="AM748" s="4"/>
      <c r="AN748" s="4"/>
      <c r="AO748" s="4"/>
      <c r="AP748" s="4"/>
      <c r="AQ748" s="4"/>
      <c r="AR748" s="4"/>
      <c r="AS748" s="4"/>
      <c r="AT748" s="4"/>
      <c r="AU748" s="4"/>
      <c r="AV748" s="4"/>
      <c r="AW748" s="4"/>
      <c r="AX748" s="4"/>
      <c r="AY748" s="4"/>
      <c r="AZ748" s="4"/>
      <c r="BA748" s="4"/>
      <c r="BB748" s="4"/>
      <c r="BC748" s="4"/>
      <c r="BD748" s="4"/>
      <c r="BE748" s="4"/>
      <c r="BF748" s="4"/>
      <c r="BG748" s="4"/>
      <c r="BH748" s="4"/>
      <c r="BI748" s="4"/>
      <c r="BJ748" s="4"/>
      <c r="BK748" s="4"/>
      <c r="BL748" s="4"/>
      <c r="BM748" s="4"/>
      <c r="BN748" s="4"/>
      <c r="BO748" s="4"/>
      <c r="BP748" s="4"/>
      <c r="BQ748" s="4"/>
      <c r="BR748" s="4"/>
      <c r="BS748" s="4"/>
      <c r="BT748" s="4"/>
      <c r="BU748" s="4"/>
      <c r="BV748" s="4"/>
      <c r="BW748" s="4"/>
      <c r="BX748" s="4"/>
      <c r="BY748" s="4"/>
      <c r="BZ748" s="4"/>
      <c r="CA748" s="4"/>
      <c r="CB748" s="4"/>
      <c r="CC748" s="4"/>
      <c r="CD748" s="4"/>
    </row>
    <row r="749" spans="1:82">
      <c r="A749" s="4" t="s">
        <v>2152</v>
      </c>
      <c r="B749" s="5"/>
      <c r="C749" s="72"/>
      <c r="D749" s="72"/>
      <c r="E749" s="72"/>
      <c r="F749" s="72"/>
      <c r="G749" s="72"/>
      <c r="H749" s="93"/>
      <c r="I749" s="93"/>
      <c r="J749" s="93"/>
      <c r="K749" s="93"/>
      <c r="L749" s="72"/>
      <c r="M749" s="93"/>
      <c r="N749" s="93"/>
      <c r="O749" s="93"/>
      <c r="P749" s="93"/>
      <c r="Q749" s="72"/>
      <c r="R749" s="93"/>
      <c r="S749" s="93"/>
      <c r="T749" s="93"/>
      <c r="U749" s="93"/>
      <c r="V749" s="72"/>
      <c r="W749" s="93"/>
      <c r="X749" s="93"/>
      <c r="Y749" s="93"/>
      <c r="Z749" s="93"/>
      <c r="AA749" s="5">
        <v>-501</v>
      </c>
      <c r="AB749" s="93"/>
      <c r="AC749" s="93"/>
      <c r="AD749" s="93"/>
      <c r="AE749" s="93"/>
      <c r="AF749" s="5">
        <v>-475</v>
      </c>
      <c r="AG749" s="93"/>
      <c r="AH749" s="93"/>
      <c r="AI749" s="93"/>
      <c r="AJ749" s="93"/>
      <c r="AK749" s="5">
        <v>-806</v>
      </c>
      <c r="AL749" s="93"/>
      <c r="AM749" s="93"/>
      <c r="AN749" s="93"/>
      <c r="AO749" s="93"/>
      <c r="AP749" s="5">
        <v>-536</v>
      </c>
      <c r="AQ749" s="93"/>
      <c r="AR749" s="93"/>
      <c r="AS749" s="93"/>
      <c r="AT749" s="93"/>
      <c r="AU749" s="5">
        <v>-367</v>
      </c>
      <c r="AV749" s="93"/>
      <c r="AW749" s="93"/>
      <c r="AX749" s="93"/>
      <c r="AY749" s="93"/>
      <c r="AZ749" s="5">
        <v>-637</v>
      </c>
      <c r="BA749" s="93"/>
      <c r="BB749" s="93"/>
      <c r="BC749" s="93"/>
      <c r="BD749" s="93"/>
      <c r="BE749" s="5">
        <v>-449</v>
      </c>
      <c r="BF749" s="93"/>
      <c r="BG749" s="93"/>
      <c r="BH749" s="93"/>
      <c r="BI749" s="93"/>
      <c r="BJ749" s="5">
        <v>-433</v>
      </c>
      <c r="BK749" s="93"/>
      <c r="BL749" s="93"/>
      <c r="BM749" s="93"/>
      <c r="BN749" s="93"/>
      <c r="BO749" s="5">
        <v>-457</v>
      </c>
      <c r="BP749" s="12">
        <f ca="1">-BP747*BP791</f>
        <v>-123.86004335723692</v>
      </c>
      <c r="BQ749" s="12">
        <f ca="1">-BQ747*BQ791</f>
        <v>-129.88414715619658</v>
      </c>
      <c r="BR749" s="12">
        <f ca="1">-BR747*BR791</f>
        <v>-128.45398665355796</v>
      </c>
      <c r="BS749" s="12">
        <f ca="1">-BS747*BS791</f>
        <v>-126.43467386991142</v>
      </c>
      <c r="BT749" s="5">
        <f ca="1">SUM(BP749:BS749)</f>
        <v>-508.63285103690288</v>
      </c>
      <c r="BU749" s="12">
        <f ca="1">-BU747*BU791</f>
        <v>-119.05084152656819</v>
      </c>
      <c r="BV749" s="12">
        <f ca="1">-BV747*BV791</f>
        <v>-118.54028318366119</v>
      </c>
      <c r="BW749" s="12">
        <f ca="1">-BW747*BW791</f>
        <v>-119.23881672739077</v>
      </c>
      <c r="BX749" s="12">
        <f ca="1">-BX747*BX791</f>
        <v>-120.80503058246028</v>
      </c>
      <c r="BY749" s="5">
        <f ca="1">SUM(BU749:BX749)</f>
        <v>-477.63497202008045</v>
      </c>
      <c r="BZ749" s="12">
        <f ca="1">-BZ747*BZ791</f>
        <v>-117.41035481097965</v>
      </c>
      <c r="CA749" s="12">
        <f ca="1">-CA747*CA791</f>
        <v>-120.79367210378661</v>
      </c>
      <c r="CB749" s="12">
        <f ca="1">-CB747*CB791</f>
        <v>-123.63960686993424</v>
      </c>
      <c r="CC749" s="12">
        <f ca="1">-CC747*CC791</f>
        <v>-126.90955036560077</v>
      </c>
      <c r="CD749" s="5">
        <f ca="1">SUM(BZ749:CC749)</f>
        <v>-488.75318415030125</v>
      </c>
    </row>
    <row r="750" spans="1:82">
      <c r="A750" s="14" t="s">
        <v>2153</v>
      </c>
      <c r="B750" s="15"/>
      <c r="C750" s="74"/>
      <c r="D750" s="74"/>
      <c r="E750" s="74"/>
      <c r="F750" s="74"/>
      <c r="G750" s="74"/>
      <c r="H750" s="378"/>
      <c r="I750" s="378"/>
      <c r="J750" s="378"/>
      <c r="K750" s="378"/>
      <c r="L750" s="74"/>
      <c r="M750" s="378"/>
      <c r="N750" s="378"/>
      <c r="O750" s="378"/>
      <c r="P750" s="378"/>
      <c r="Q750" s="74"/>
      <c r="R750" s="378"/>
      <c r="S750" s="378"/>
      <c r="T750" s="378"/>
      <c r="U750" s="378"/>
      <c r="V750" s="74"/>
      <c r="W750" s="378"/>
      <c r="X750" s="378"/>
      <c r="Y750" s="378"/>
      <c r="Z750" s="378"/>
      <c r="AA750" s="15">
        <f>SUM(AA747,AA749)</f>
        <v>2037</v>
      </c>
      <c r="AB750" s="378"/>
      <c r="AC750" s="378"/>
      <c r="AD750" s="378"/>
      <c r="AE750" s="378"/>
      <c r="AF750" s="15">
        <f>SUM(AF747,AF749)</f>
        <v>2358</v>
      </c>
      <c r="AG750" s="378"/>
      <c r="AH750" s="378"/>
      <c r="AI750" s="378"/>
      <c r="AJ750" s="378"/>
      <c r="AK750" s="15">
        <f t="shared" ref="AK750:CD750" si="362">SUM(AK747,AK749)</f>
        <v>3815</v>
      </c>
      <c r="AL750" s="378"/>
      <c r="AM750" s="378"/>
      <c r="AN750" s="378"/>
      <c r="AO750" s="378"/>
      <c r="AP750" s="15">
        <f t="shared" si="362"/>
        <v>2742</v>
      </c>
      <c r="AQ750" s="378"/>
      <c r="AR750" s="378"/>
      <c r="AS750" s="378"/>
      <c r="AT750" s="378"/>
      <c r="AU750" s="15">
        <f t="shared" si="362"/>
        <v>2570</v>
      </c>
      <c r="AV750" s="378"/>
      <c r="AW750" s="378"/>
      <c r="AX750" s="378"/>
      <c r="AY750" s="378"/>
      <c r="AZ750" s="15">
        <f t="shared" si="362"/>
        <v>1930</v>
      </c>
      <c r="BA750" s="378"/>
      <c r="BB750" s="378"/>
      <c r="BC750" s="378"/>
      <c r="BD750" s="378"/>
      <c r="BE750" s="15">
        <f t="shared" si="362"/>
        <v>1821</v>
      </c>
      <c r="BF750" s="378"/>
      <c r="BG750" s="378"/>
      <c r="BH750" s="378"/>
      <c r="BI750" s="378"/>
      <c r="BJ750" s="15">
        <f t="shared" ref="BJ750" si="363">SUM(BJ747,BJ749)</f>
        <v>1684</v>
      </c>
      <c r="BK750" s="378"/>
      <c r="BL750" s="378"/>
      <c r="BM750" s="378"/>
      <c r="BN750" s="378"/>
      <c r="BO750" s="15">
        <f t="shared" si="362"/>
        <v>1883</v>
      </c>
      <c r="BP750" s="67">
        <f t="shared" ca="1" si="362"/>
        <v>495.44017342894767</v>
      </c>
      <c r="BQ750" s="67">
        <f t="shared" ca="1" si="362"/>
        <v>519.53658862478619</v>
      </c>
      <c r="BR750" s="67">
        <f t="shared" ca="1" si="362"/>
        <v>513.81594661423185</v>
      </c>
      <c r="BS750" s="67">
        <f t="shared" ca="1" si="362"/>
        <v>505.73869547964568</v>
      </c>
      <c r="BT750" s="15">
        <f t="shared" ca="1" si="362"/>
        <v>2034.5314041476106</v>
      </c>
      <c r="BU750" s="67">
        <f t="shared" ca="1" si="362"/>
        <v>476.20336610627271</v>
      </c>
      <c r="BV750" s="67">
        <f t="shared" ca="1" si="362"/>
        <v>474.1611327346447</v>
      </c>
      <c r="BW750" s="67">
        <f t="shared" ca="1" si="362"/>
        <v>476.95526690956302</v>
      </c>
      <c r="BX750" s="67">
        <f t="shared" ca="1" si="362"/>
        <v>483.22012232984105</v>
      </c>
      <c r="BY750" s="15">
        <f t="shared" ca="1" si="362"/>
        <v>1910.5398880803214</v>
      </c>
      <c r="BZ750" s="67">
        <f t="shared" ca="1" si="362"/>
        <v>469.64141924391862</v>
      </c>
      <c r="CA750" s="67">
        <f t="shared" ca="1" si="362"/>
        <v>483.17468841514636</v>
      </c>
      <c r="CB750" s="67">
        <f t="shared" ca="1" si="362"/>
        <v>494.55842747973691</v>
      </c>
      <c r="CC750" s="67">
        <f t="shared" ca="1" si="362"/>
        <v>507.63820146240306</v>
      </c>
      <c r="CD750" s="15">
        <f t="shared" ca="1" si="362"/>
        <v>1955.012736601205</v>
      </c>
    </row>
    <row r="751" spans="1:82">
      <c r="A751" s="75"/>
      <c r="B751" s="76"/>
      <c r="C751" s="76"/>
      <c r="D751" s="76"/>
      <c r="E751" s="76"/>
      <c r="F751" s="76"/>
      <c r="G751" s="76"/>
      <c r="H751" s="76"/>
      <c r="I751" s="76"/>
      <c r="J751" s="76"/>
      <c r="K751" s="76"/>
      <c r="L751" s="76"/>
      <c r="M751" s="76"/>
      <c r="N751" s="76"/>
      <c r="O751" s="76"/>
      <c r="P751" s="76"/>
      <c r="Q751" s="76"/>
      <c r="R751" s="76"/>
      <c r="S751" s="76"/>
      <c r="T751" s="76"/>
      <c r="U751" s="76"/>
      <c r="V751" s="76"/>
      <c r="W751" s="76"/>
      <c r="X751" s="76"/>
      <c r="Y751" s="76"/>
      <c r="Z751" s="76"/>
      <c r="AA751" s="76"/>
      <c r="AB751" s="76"/>
      <c r="AC751" s="76"/>
      <c r="AD751" s="76"/>
      <c r="AE751" s="76"/>
      <c r="AF751" s="76"/>
      <c r="AG751" s="76"/>
      <c r="AH751" s="76"/>
      <c r="AI751" s="76"/>
      <c r="AJ751" s="76"/>
      <c r="AK751" s="76"/>
      <c r="AL751" s="76"/>
      <c r="AM751" s="76"/>
      <c r="AN751" s="76"/>
      <c r="AO751" s="76"/>
      <c r="AP751" s="76"/>
      <c r="AQ751" s="76"/>
      <c r="AR751" s="76"/>
      <c r="AS751" s="76"/>
      <c r="AT751" s="76"/>
      <c r="AU751" s="76"/>
      <c r="AV751" s="76"/>
      <c r="AW751" s="76"/>
      <c r="AX751" s="76"/>
      <c r="AY751" s="76"/>
      <c r="AZ751" s="76"/>
      <c r="BA751" s="76"/>
      <c r="BB751" s="76"/>
      <c r="BC751" s="76"/>
      <c r="BD751" s="76"/>
      <c r="BE751" s="76"/>
      <c r="BF751" s="76"/>
      <c r="BG751" s="76"/>
      <c r="BH751" s="76"/>
      <c r="BI751" s="76"/>
      <c r="BJ751" s="76"/>
      <c r="BK751" s="76"/>
      <c r="BL751" s="76"/>
      <c r="BM751" s="76"/>
      <c r="BN751" s="76"/>
      <c r="BO751" s="76"/>
      <c r="BP751" s="76"/>
      <c r="BQ751" s="76"/>
      <c r="BR751" s="76"/>
      <c r="BS751" s="76"/>
      <c r="BT751" s="76"/>
      <c r="BU751" s="76"/>
      <c r="BV751" s="76"/>
      <c r="BW751" s="76"/>
      <c r="BX751" s="76"/>
      <c r="BY751" s="76"/>
      <c r="BZ751" s="76"/>
      <c r="CA751" s="76"/>
      <c r="CB751" s="76"/>
      <c r="CC751" s="76"/>
      <c r="CD751" s="76"/>
    </row>
    <row r="752" spans="1:82">
      <c r="A752" s="4" t="s">
        <v>1464</v>
      </c>
      <c r="B752" s="13"/>
      <c r="C752" s="93"/>
      <c r="D752" s="93"/>
      <c r="E752" s="93"/>
      <c r="F752" s="93"/>
      <c r="G752" s="93"/>
      <c r="H752" s="93"/>
      <c r="I752" s="93"/>
      <c r="J752" s="93"/>
      <c r="K752" s="93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  <c r="X752" s="93"/>
      <c r="Y752" s="93"/>
      <c r="Z752" s="93"/>
      <c r="AA752" s="13">
        <f>AA536</f>
        <v>-113</v>
      </c>
      <c r="AB752" s="93"/>
      <c r="AC752" s="93"/>
      <c r="AD752" s="93"/>
      <c r="AE752" s="93"/>
      <c r="AF752" s="13">
        <f>AF536</f>
        <v>255</v>
      </c>
      <c r="AG752" s="93"/>
      <c r="AH752" s="93"/>
      <c r="AI752" s="93"/>
      <c r="AJ752" s="93"/>
      <c r="AK752" s="13">
        <f>AK536</f>
        <v>280</v>
      </c>
      <c r="AL752" s="93"/>
      <c r="AM752" s="93"/>
      <c r="AN752" s="93"/>
      <c r="AO752" s="93"/>
      <c r="AP752" s="13">
        <v>263</v>
      </c>
      <c r="AQ752" s="93"/>
      <c r="AR752" s="93"/>
      <c r="AS752" s="93"/>
      <c r="AT752" s="93"/>
      <c r="AU752" s="13">
        <v>-412</v>
      </c>
      <c r="AV752" s="93"/>
      <c r="AW752" s="93"/>
      <c r="AX752" s="93"/>
      <c r="AY752" s="93"/>
      <c r="AZ752" s="13">
        <v>195</v>
      </c>
      <c r="BA752" s="93"/>
      <c r="BB752" s="93"/>
      <c r="BC752" s="93"/>
      <c r="BD752" s="93"/>
      <c r="BE752" s="13">
        <v>-495</v>
      </c>
      <c r="BF752" s="93"/>
      <c r="BG752" s="93"/>
      <c r="BH752" s="93"/>
      <c r="BI752" s="93"/>
      <c r="BJ752" s="13">
        <v>-1087</v>
      </c>
      <c r="BK752" s="93"/>
      <c r="BL752" s="93"/>
      <c r="BM752" s="93"/>
      <c r="BN752" s="93"/>
      <c r="BO752" s="13">
        <v>-1046</v>
      </c>
      <c r="BP752" s="506">
        <f ca="1">BP759</f>
        <v>-39.34199507898785</v>
      </c>
      <c r="BQ752" s="506">
        <f ca="1">BQ759</f>
        <v>-68.692378291645525</v>
      </c>
      <c r="BR752" s="506">
        <f ca="1">BR759</f>
        <v>-73.527023770930555</v>
      </c>
      <c r="BS752" s="506">
        <f ca="1">BS759</f>
        <v>-63.257253623743395</v>
      </c>
      <c r="BT752" s="205">
        <f ca="1">SUM(BP752:BS752)</f>
        <v>-244.81865076530732</v>
      </c>
      <c r="BU752" s="506">
        <f ca="1">BU759</f>
        <v>-15.199274448811366</v>
      </c>
      <c r="BV752" s="506">
        <f ca="1">BV759</f>
        <v>-5.7099876399128107</v>
      </c>
      <c r="BW752" s="506">
        <f ca="1">BW759</f>
        <v>-17.505757839993578</v>
      </c>
      <c r="BX752" s="506">
        <f ca="1">BX759</f>
        <v>-23.196778236979014</v>
      </c>
      <c r="BY752" s="205">
        <f ca="1">SUM(BU752:BX752)</f>
        <v>-61.611798165696769</v>
      </c>
      <c r="BZ752" s="506">
        <f ca="1">BZ759</f>
        <v>371.04172012903342</v>
      </c>
      <c r="CA752" s="506">
        <f ca="1">CA759</f>
        <v>351.18080123793249</v>
      </c>
      <c r="CB752" s="506">
        <f ca="1">CB759</f>
        <v>329.34156566202591</v>
      </c>
      <c r="CC752" s="506">
        <f ca="1">CC759</f>
        <v>315.34687850512472</v>
      </c>
      <c r="CD752" s="205">
        <f ca="1">SUM(BZ752:CC752)</f>
        <v>1366.9109655341165</v>
      </c>
    </row>
    <row r="753" spans="1:256">
      <c r="A753" s="14" t="s">
        <v>3126</v>
      </c>
      <c r="B753" s="15"/>
      <c r="C753" s="74"/>
      <c r="D753" s="378"/>
      <c r="E753" s="378"/>
      <c r="F753" s="378"/>
      <c r="G753" s="378"/>
      <c r="H753" s="378"/>
      <c r="I753" s="378"/>
      <c r="J753" s="378"/>
      <c r="K753" s="378"/>
      <c r="L753" s="378"/>
      <c r="M753" s="378"/>
      <c r="N753" s="378"/>
      <c r="O753" s="378"/>
      <c r="P753" s="378"/>
      <c r="Q753" s="378"/>
      <c r="R753" s="378"/>
      <c r="S753" s="378"/>
      <c r="T753" s="378"/>
      <c r="U753" s="378"/>
      <c r="V753" s="378"/>
      <c r="W753" s="378"/>
      <c r="X753" s="378"/>
      <c r="Y753" s="378"/>
      <c r="Z753" s="378"/>
      <c r="AA753" s="15">
        <f>AA750+AA752</f>
        <v>1924</v>
      </c>
      <c r="AB753" s="378"/>
      <c r="AC753" s="378"/>
      <c r="AD753" s="378"/>
      <c r="AE753" s="378"/>
      <c r="AF753" s="15">
        <f>AF750+AF752</f>
        <v>2613</v>
      </c>
      <c r="AG753" s="378"/>
      <c r="AH753" s="378"/>
      <c r="AI753" s="378"/>
      <c r="AJ753" s="378"/>
      <c r="AK753" s="15">
        <f t="shared" ref="AK753:CD753" si="364">AK750+AK752</f>
        <v>4095</v>
      </c>
      <c r="AL753" s="378"/>
      <c r="AM753" s="378"/>
      <c r="AN753" s="378"/>
      <c r="AO753" s="378"/>
      <c r="AP753" s="15">
        <f t="shared" si="364"/>
        <v>3005</v>
      </c>
      <c r="AQ753" s="378"/>
      <c r="AR753" s="378"/>
      <c r="AS753" s="378"/>
      <c r="AT753" s="378"/>
      <c r="AU753" s="15">
        <f t="shared" si="364"/>
        <v>2158</v>
      </c>
      <c r="AV753" s="378"/>
      <c r="AW753" s="378"/>
      <c r="AX753" s="378"/>
      <c r="AY753" s="378"/>
      <c r="AZ753" s="15">
        <f t="shared" si="364"/>
        <v>2125</v>
      </c>
      <c r="BA753" s="378"/>
      <c r="BB753" s="378"/>
      <c r="BC753" s="378"/>
      <c r="BD753" s="378"/>
      <c r="BE753" s="15">
        <f t="shared" si="364"/>
        <v>1326</v>
      </c>
      <c r="BF753" s="378"/>
      <c r="BG753" s="378"/>
      <c r="BH753" s="378"/>
      <c r="BI753" s="378"/>
      <c r="BJ753" s="15">
        <f t="shared" ref="BJ753" si="365">BJ750+BJ752</f>
        <v>597</v>
      </c>
      <c r="BK753" s="378"/>
      <c r="BL753" s="378"/>
      <c r="BM753" s="378"/>
      <c r="BN753" s="378"/>
      <c r="BO753" s="15">
        <f t="shared" si="364"/>
        <v>837</v>
      </c>
      <c r="BP753" s="67">
        <f t="shared" ca="1" si="364"/>
        <v>456.09817834995982</v>
      </c>
      <c r="BQ753" s="67">
        <f t="shared" ca="1" si="364"/>
        <v>450.84421033314067</v>
      </c>
      <c r="BR753" s="67">
        <f t="shared" ca="1" si="364"/>
        <v>440.28892284330129</v>
      </c>
      <c r="BS753" s="67">
        <f t="shared" ca="1" si="364"/>
        <v>442.48144185590229</v>
      </c>
      <c r="BT753" s="15">
        <f t="shared" ca="1" si="364"/>
        <v>1789.7127533823032</v>
      </c>
      <c r="BU753" s="67">
        <f t="shared" ca="1" si="364"/>
        <v>461.00409165746134</v>
      </c>
      <c r="BV753" s="67">
        <f t="shared" ca="1" si="364"/>
        <v>468.45114509473188</v>
      </c>
      <c r="BW753" s="67">
        <f t="shared" ca="1" si="364"/>
        <v>459.44950906956944</v>
      </c>
      <c r="BX753" s="67">
        <f t="shared" ca="1" si="364"/>
        <v>460.02334409286203</v>
      </c>
      <c r="BY753" s="15">
        <f t="shared" ca="1" si="364"/>
        <v>1848.9280899146247</v>
      </c>
      <c r="BZ753" s="67">
        <f t="shared" ca="1" si="364"/>
        <v>840.68313937295204</v>
      </c>
      <c r="CA753" s="67">
        <f t="shared" ca="1" si="364"/>
        <v>834.35548965307885</v>
      </c>
      <c r="CB753" s="67">
        <f t="shared" ca="1" si="364"/>
        <v>823.89999314176282</v>
      </c>
      <c r="CC753" s="67">
        <f t="shared" ca="1" si="364"/>
        <v>822.98507996752778</v>
      </c>
      <c r="CD753" s="15">
        <f t="shared" ca="1" si="364"/>
        <v>3321.9237021353215</v>
      </c>
    </row>
    <row r="754" spans="1:256">
      <c r="A754" s="207"/>
      <c r="B754" s="76"/>
      <c r="C754" s="76"/>
      <c r="D754" s="76"/>
      <c r="E754" s="76"/>
      <c r="F754" s="76"/>
      <c r="G754" s="76"/>
      <c r="H754" s="76"/>
      <c r="I754" s="76"/>
      <c r="J754" s="76"/>
      <c r="K754" s="76"/>
      <c r="L754" s="76"/>
      <c r="M754" s="76"/>
      <c r="N754" s="76"/>
      <c r="O754" s="76"/>
      <c r="P754" s="76"/>
      <c r="Q754" s="76"/>
      <c r="R754" s="76"/>
      <c r="S754" s="76"/>
      <c r="T754" s="76"/>
      <c r="U754" s="76"/>
      <c r="V754" s="76"/>
      <c r="W754" s="76"/>
      <c r="X754" s="76"/>
      <c r="Y754" s="76"/>
      <c r="Z754" s="76"/>
      <c r="AA754" s="173"/>
      <c r="AB754" s="173"/>
      <c r="AC754" s="173"/>
      <c r="AD754" s="173"/>
      <c r="AE754" s="173"/>
      <c r="AF754" s="173"/>
      <c r="AG754" s="173"/>
      <c r="AH754" s="173"/>
      <c r="AI754" s="173"/>
      <c r="AJ754" s="173"/>
      <c r="AK754" s="173"/>
      <c r="AL754" s="173"/>
      <c r="AM754" s="173"/>
      <c r="AN754" s="173"/>
      <c r="AO754" s="173"/>
      <c r="AP754" s="173"/>
      <c r="AQ754" s="173"/>
      <c r="AR754" s="173"/>
      <c r="AS754" s="173"/>
      <c r="AT754" s="173"/>
      <c r="AU754" s="173"/>
      <c r="AV754" s="173"/>
      <c r="AW754" s="173"/>
      <c r="AX754" s="173"/>
      <c r="AY754" s="173"/>
      <c r="AZ754" s="173"/>
      <c r="BA754" s="173"/>
      <c r="BB754" s="173"/>
      <c r="BC754" s="173"/>
      <c r="BD754" s="173"/>
      <c r="BE754" s="173"/>
      <c r="BF754" s="173"/>
      <c r="BG754" s="173"/>
      <c r="BH754" s="173"/>
      <c r="BI754" s="173"/>
      <c r="BJ754" s="173"/>
      <c r="BK754" s="173"/>
      <c r="BL754" s="173"/>
      <c r="BM754" s="173"/>
      <c r="BN754" s="173"/>
      <c r="BO754" s="173"/>
      <c r="BP754" s="173"/>
      <c r="BQ754" s="173"/>
      <c r="BR754" s="173"/>
      <c r="BS754" s="173"/>
      <c r="BT754" s="173"/>
      <c r="BU754" s="173"/>
      <c r="BV754" s="173"/>
      <c r="BW754" s="173"/>
      <c r="BX754" s="173"/>
      <c r="BY754" s="173"/>
      <c r="BZ754" s="173"/>
      <c r="CA754" s="173"/>
      <c r="CB754" s="173"/>
      <c r="CC754" s="173"/>
      <c r="CD754" s="173"/>
      <c r="CE754" s="173"/>
      <c r="CZ754" s="173"/>
      <c r="DA754" s="173"/>
      <c r="DB754" s="173"/>
      <c r="DC754" s="173"/>
      <c r="DD754" s="173"/>
      <c r="DE754" s="173"/>
      <c r="DF754" s="173"/>
      <c r="DG754" s="173"/>
      <c r="DH754" s="173"/>
      <c r="DI754" s="173"/>
      <c r="DJ754" s="173"/>
      <c r="DK754" s="173"/>
      <c r="DL754" s="173"/>
      <c r="DM754" s="173"/>
      <c r="DN754" s="173"/>
      <c r="DO754" s="173"/>
      <c r="DP754" s="173"/>
      <c r="DQ754" s="173"/>
      <c r="DR754" s="173"/>
      <c r="DS754" s="173"/>
      <c r="DT754" s="173"/>
      <c r="DU754" s="173"/>
      <c r="DV754" s="173"/>
      <c r="DW754" s="173"/>
      <c r="DX754" s="173"/>
      <c r="DY754" s="173"/>
      <c r="DZ754" s="173"/>
      <c r="EA754" s="173"/>
      <c r="EB754" s="173"/>
      <c r="EC754" s="173"/>
      <c r="ED754" s="173"/>
      <c r="EE754" s="173"/>
      <c r="EF754" s="173"/>
      <c r="EG754" s="173"/>
      <c r="EH754" s="173"/>
      <c r="EI754" s="173"/>
      <c r="EJ754" s="173"/>
      <c r="EK754" s="173"/>
      <c r="EL754" s="173"/>
      <c r="EM754" s="173"/>
      <c r="EN754" s="173"/>
      <c r="EO754" s="173"/>
      <c r="EP754" s="173"/>
      <c r="EQ754" s="173"/>
      <c r="ER754" s="173"/>
      <c r="ES754" s="173"/>
      <c r="ET754" s="173"/>
      <c r="EU754" s="173"/>
      <c r="EV754" s="173"/>
      <c r="EW754" s="173"/>
      <c r="EX754" s="173"/>
      <c r="EY754" s="173"/>
      <c r="EZ754" s="173"/>
      <c r="FA754" s="173"/>
      <c r="FB754" s="173"/>
      <c r="FC754" s="173"/>
      <c r="FD754" s="173"/>
      <c r="FE754" s="173"/>
      <c r="FF754" s="173"/>
      <c r="FG754" s="173"/>
      <c r="FH754" s="173"/>
      <c r="FI754" s="173"/>
      <c r="FJ754" s="173"/>
      <c r="FK754" s="173"/>
      <c r="FL754" s="173"/>
      <c r="FM754" s="173"/>
      <c r="FN754" s="173"/>
      <c r="FO754" s="173"/>
      <c r="FP754" s="173"/>
      <c r="FQ754" s="173"/>
      <c r="FR754" s="173"/>
      <c r="FS754" s="173"/>
      <c r="FT754" s="173"/>
      <c r="FU754" s="173"/>
      <c r="FV754" s="173"/>
      <c r="FW754" s="173"/>
      <c r="FX754" s="173"/>
      <c r="FY754" s="173"/>
      <c r="FZ754" s="173"/>
      <c r="GA754" s="173"/>
      <c r="GB754" s="173"/>
      <c r="GC754" s="173"/>
      <c r="GD754" s="173"/>
      <c r="GE754" s="173"/>
      <c r="GF754" s="173"/>
      <c r="GG754" s="173"/>
      <c r="GH754" s="173"/>
      <c r="GI754" s="173"/>
      <c r="GJ754" s="173"/>
      <c r="GK754" s="173"/>
      <c r="GL754" s="173"/>
      <c r="GM754" s="173"/>
      <c r="GN754" s="173"/>
      <c r="GO754" s="173"/>
      <c r="GP754" s="173"/>
      <c r="GQ754" s="173"/>
      <c r="GR754" s="173"/>
      <c r="GS754" s="173"/>
      <c r="GT754" s="173"/>
      <c r="GU754" s="173"/>
      <c r="GV754" s="173"/>
      <c r="GW754" s="173"/>
      <c r="GX754" s="173"/>
      <c r="GY754" s="173"/>
      <c r="GZ754" s="173"/>
      <c r="HA754" s="173"/>
      <c r="HB754" s="173"/>
      <c r="HC754" s="173"/>
      <c r="HD754" s="173"/>
      <c r="HE754" s="173"/>
      <c r="HF754" s="173"/>
      <c r="HG754" s="173"/>
      <c r="HH754" s="173"/>
      <c r="HI754" s="173"/>
      <c r="HJ754" s="173"/>
      <c r="HK754" s="173"/>
      <c r="HL754" s="173"/>
      <c r="HM754" s="173"/>
      <c r="HN754" s="173"/>
      <c r="HO754" s="173"/>
      <c r="HP754" s="173"/>
      <c r="HQ754" s="173"/>
      <c r="HR754" s="173"/>
      <c r="HS754" s="173"/>
      <c r="HT754" s="173"/>
      <c r="HU754" s="173"/>
      <c r="HV754" s="173"/>
      <c r="HW754" s="173"/>
      <c r="HX754" s="173"/>
      <c r="HY754" s="173"/>
      <c r="HZ754" s="173"/>
      <c r="IA754" s="173"/>
      <c r="IB754" s="173"/>
      <c r="IC754" s="173"/>
      <c r="ID754" s="173"/>
      <c r="IE754" s="173"/>
      <c r="IF754" s="173"/>
      <c r="IG754" s="173"/>
      <c r="IH754" s="173"/>
      <c r="II754" s="173"/>
      <c r="IJ754" s="173"/>
      <c r="IK754" s="173"/>
      <c r="IL754" s="173"/>
      <c r="IM754" s="173"/>
      <c r="IN754" s="173"/>
      <c r="IO754" s="173"/>
      <c r="IP754" s="173"/>
      <c r="IQ754" s="173"/>
      <c r="IR754" s="173"/>
      <c r="IS754" s="173"/>
      <c r="IT754" s="173"/>
      <c r="IU754" s="173"/>
      <c r="IV754" s="173"/>
    </row>
    <row r="755" spans="1:256" hidden="1" outlineLevel="1">
      <c r="A755" s="7" t="s">
        <v>3210</v>
      </c>
      <c r="B755" s="4"/>
      <c r="C755" s="76"/>
      <c r="D755" s="76"/>
      <c r="E755" s="76"/>
      <c r="F755" s="76"/>
      <c r="G755" s="76"/>
      <c r="H755" s="76"/>
      <c r="I755" s="76"/>
      <c r="J755" s="76"/>
      <c r="K755" s="76"/>
      <c r="L755" s="76"/>
      <c r="M755" s="76"/>
      <c r="N755" s="76"/>
      <c r="O755" s="76"/>
      <c r="P755" s="76"/>
      <c r="Q755" s="76"/>
      <c r="R755" s="76"/>
      <c r="S755" s="76"/>
      <c r="T755" s="76"/>
      <c r="U755" s="76"/>
      <c r="V755" s="76"/>
      <c r="W755" s="76"/>
      <c r="X755" s="76"/>
      <c r="Y755" s="76"/>
      <c r="Z755" s="76"/>
      <c r="AA755" s="173"/>
      <c r="AB755" s="173"/>
      <c r="AC755" s="173"/>
      <c r="AD755" s="173"/>
      <c r="AE755" s="173"/>
      <c r="AF755" s="173"/>
      <c r="AG755" s="173"/>
      <c r="AH755" s="173"/>
      <c r="AI755" s="173"/>
      <c r="AJ755" s="173"/>
      <c r="AK755" s="173"/>
      <c r="AL755" s="173"/>
      <c r="AM755" s="173"/>
      <c r="AN755" s="173"/>
      <c r="AO755" s="173"/>
      <c r="AP755" s="173"/>
      <c r="AQ755" s="173"/>
      <c r="AR755" s="173"/>
      <c r="AS755" s="173"/>
      <c r="AT755" s="173"/>
      <c r="AU755" s="509"/>
      <c r="AV755" s="173"/>
      <c r="AW755" s="173"/>
      <c r="AX755" s="173"/>
      <c r="AY755" s="173"/>
      <c r="AZ755" s="509"/>
      <c r="BA755" s="173"/>
      <c r="BB755" s="173"/>
      <c r="BC755" s="173"/>
      <c r="BD755" s="173"/>
      <c r="BE755" s="509"/>
      <c r="BF755" s="173"/>
      <c r="BG755" s="173"/>
      <c r="BH755" s="173"/>
      <c r="BI755" s="173"/>
      <c r="BJ755" s="509"/>
      <c r="BK755" s="173"/>
      <c r="BL755" s="173"/>
      <c r="BM755" s="173"/>
      <c r="BN755" s="173"/>
      <c r="BO755" s="509"/>
      <c r="BP755" s="509"/>
      <c r="BQ755" s="509"/>
      <c r="BR755" s="509"/>
      <c r="BS755" s="509"/>
      <c r="BT755" s="509"/>
      <c r="BU755" s="509"/>
      <c r="BV755" s="509"/>
      <c r="BW755" s="509"/>
      <c r="BX755" s="509"/>
      <c r="BY755" s="509"/>
      <c r="BZ755" s="509"/>
      <c r="CA755" s="509"/>
      <c r="CB755" s="509"/>
      <c r="CC755" s="509"/>
      <c r="CD755" s="509"/>
      <c r="CE755" s="173"/>
      <c r="CZ755" s="173"/>
      <c r="DA755" s="173"/>
      <c r="DB755" s="173"/>
      <c r="DC755" s="173"/>
      <c r="DD755" s="173"/>
      <c r="DE755" s="173"/>
      <c r="DF755" s="173"/>
      <c r="DG755" s="173"/>
      <c r="DH755" s="173"/>
      <c r="DI755" s="173"/>
      <c r="DJ755" s="173"/>
      <c r="DK755" s="173"/>
      <c r="DL755" s="173"/>
      <c r="DM755" s="173"/>
      <c r="DN755" s="173"/>
      <c r="DO755" s="173"/>
      <c r="DP755" s="173"/>
      <c r="DQ755" s="173"/>
      <c r="DR755" s="173"/>
      <c r="DS755" s="173"/>
      <c r="DT755" s="173"/>
      <c r="DU755" s="173"/>
      <c r="DV755" s="173"/>
      <c r="DW755" s="173"/>
      <c r="DX755" s="173"/>
      <c r="DY755" s="173"/>
      <c r="DZ755" s="173"/>
      <c r="EA755" s="173"/>
      <c r="EB755" s="173"/>
      <c r="EC755" s="173"/>
      <c r="ED755" s="173"/>
      <c r="EE755" s="173"/>
      <c r="EF755" s="173"/>
      <c r="EG755" s="173"/>
      <c r="EH755" s="173"/>
      <c r="EI755" s="173"/>
      <c r="EJ755" s="173"/>
      <c r="EK755" s="173"/>
      <c r="EL755" s="173"/>
      <c r="EM755" s="173"/>
      <c r="EN755" s="173"/>
      <c r="EO755" s="173"/>
      <c r="EP755" s="173"/>
      <c r="EQ755" s="173"/>
      <c r="ER755" s="173"/>
      <c r="ES755" s="173"/>
      <c r="ET755" s="173"/>
      <c r="EU755" s="173"/>
      <c r="EV755" s="173"/>
      <c r="EW755" s="173"/>
      <c r="EX755" s="173"/>
      <c r="EY755" s="173"/>
      <c r="EZ755" s="173"/>
      <c r="FA755" s="173"/>
      <c r="FB755" s="173"/>
      <c r="FC755" s="173"/>
      <c r="FD755" s="173"/>
      <c r="FE755" s="173"/>
      <c r="FF755" s="173"/>
      <c r="FG755" s="173"/>
      <c r="FH755" s="173"/>
      <c r="FI755" s="173"/>
      <c r="FJ755" s="173"/>
      <c r="FK755" s="173"/>
      <c r="FL755" s="173"/>
      <c r="FM755" s="173"/>
      <c r="FN755" s="173"/>
      <c r="FO755" s="173"/>
      <c r="FP755" s="173"/>
      <c r="FQ755" s="173"/>
      <c r="FR755" s="173"/>
      <c r="FS755" s="173"/>
      <c r="FT755" s="173"/>
      <c r="FU755" s="173"/>
      <c r="FV755" s="173"/>
      <c r="FW755" s="173"/>
      <c r="FX755" s="173"/>
      <c r="FY755" s="173"/>
      <c r="FZ755" s="173"/>
      <c r="GA755" s="173"/>
      <c r="GB755" s="173"/>
      <c r="GC755" s="173"/>
      <c r="GD755" s="173"/>
      <c r="GE755" s="173"/>
      <c r="GF755" s="173"/>
      <c r="GG755" s="173"/>
      <c r="GH755" s="173"/>
      <c r="GI755" s="173"/>
      <c r="GJ755" s="173"/>
      <c r="GK755" s="173"/>
      <c r="GL755" s="173"/>
      <c r="GM755" s="173"/>
      <c r="GN755" s="173"/>
      <c r="GO755" s="173"/>
      <c r="GP755" s="173"/>
      <c r="GQ755" s="173"/>
      <c r="GR755" s="173"/>
      <c r="GS755" s="173"/>
      <c r="GT755" s="173"/>
      <c r="GU755" s="173"/>
      <c r="GV755" s="173"/>
      <c r="GW755" s="173"/>
      <c r="GX755" s="173"/>
      <c r="GY755" s="173"/>
      <c r="GZ755" s="173"/>
      <c r="HA755" s="173"/>
      <c r="HB755" s="173"/>
      <c r="HC755" s="173"/>
      <c r="HD755" s="173"/>
      <c r="HE755" s="173"/>
      <c r="HF755" s="173"/>
      <c r="HG755" s="173"/>
      <c r="HH755" s="173"/>
      <c r="HI755" s="173"/>
      <c r="HJ755" s="173"/>
      <c r="HK755" s="173"/>
      <c r="HL755" s="173"/>
      <c r="HM755" s="173"/>
      <c r="HN755" s="173"/>
      <c r="HO755" s="173"/>
      <c r="HP755" s="173"/>
      <c r="HQ755" s="173"/>
      <c r="HR755" s="173"/>
      <c r="HS755" s="173"/>
      <c r="HT755" s="173"/>
      <c r="HU755" s="173"/>
      <c r="HV755" s="173"/>
      <c r="HW755" s="173"/>
      <c r="HX755" s="173"/>
      <c r="HY755" s="173"/>
      <c r="HZ755" s="173"/>
      <c r="IA755" s="173"/>
      <c r="IB755" s="173"/>
      <c r="IC755" s="173"/>
      <c r="ID755" s="173"/>
      <c r="IE755" s="173"/>
      <c r="IF755" s="173"/>
      <c r="IG755" s="173"/>
      <c r="IH755" s="173"/>
      <c r="II755" s="173"/>
      <c r="IJ755" s="173"/>
      <c r="IK755" s="173"/>
      <c r="IL755" s="173"/>
      <c r="IM755" s="173"/>
      <c r="IN755" s="173"/>
      <c r="IO755" s="173"/>
      <c r="IP755" s="173"/>
      <c r="IQ755" s="173"/>
      <c r="IR755" s="173"/>
      <c r="IS755" s="173"/>
      <c r="IT755" s="173"/>
      <c r="IU755" s="173"/>
      <c r="IV755" s="173"/>
    </row>
    <row r="756" spans="1:256" hidden="1" outlineLevel="1">
      <c r="A756" s="4"/>
      <c r="B756" s="4" t="s">
        <v>3475</v>
      </c>
      <c r="C756" s="450"/>
      <c r="D756" s="450"/>
      <c r="E756" s="450"/>
      <c r="F756" s="450"/>
      <c r="G756" s="450"/>
      <c r="H756" s="450"/>
      <c r="I756" s="450"/>
      <c r="J756" s="450"/>
      <c r="K756" s="450"/>
      <c r="L756" s="450"/>
      <c r="M756" s="450"/>
      <c r="N756" s="450"/>
      <c r="O756" s="450"/>
      <c r="P756" s="450"/>
      <c r="Q756" s="450"/>
      <c r="R756" s="450"/>
      <c r="S756" s="450"/>
      <c r="T756" s="450"/>
      <c r="U756" s="450"/>
      <c r="V756" s="450"/>
      <c r="W756" s="450"/>
      <c r="X756" s="450"/>
      <c r="Y756" s="450"/>
      <c r="Z756" s="450"/>
      <c r="AA756" s="5">
        <v>6514</v>
      </c>
      <c r="AB756" s="450"/>
      <c r="AC756" s="450"/>
      <c r="AD756" s="450"/>
      <c r="AE756" s="450"/>
      <c r="AF756" s="5">
        <v>9650.8563899868277</v>
      </c>
      <c r="AG756" s="450"/>
      <c r="AH756" s="450"/>
      <c r="AI756" s="450"/>
      <c r="AJ756" s="450"/>
      <c r="AK756" s="5">
        <v>10750.190581434566</v>
      </c>
      <c r="AL756" s="450"/>
      <c r="AM756" s="450"/>
      <c r="AN756" s="450"/>
      <c r="AO756" s="450"/>
      <c r="AP756" s="5">
        <v>10985.662535721411</v>
      </c>
      <c r="AQ756" s="450"/>
      <c r="AR756" s="450"/>
      <c r="AS756" s="450"/>
      <c r="AT756" s="450"/>
      <c r="AU756" s="5">
        <v>17107.431531036636</v>
      </c>
      <c r="AV756" s="450"/>
      <c r="AW756" s="450"/>
      <c r="AX756" s="450"/>
      <c r="AY756" s="450"/>
      <c r="AZ756" s="5">
        <v>9026.6519680954516</v>
      </c>
      <c r="BA756" s="450"/>
      <c r="BB756" s="450"/>
      <c r="BC756" s="450"/>
      <c r="BD756" s="450"/>
      <c r="BE756" s="5">
        <v>5823.9054053394902</v>
      </c>
      <c r="BF756" s="450"/>
      <c r="BG756" s="450"/>
      <c r="BH756" s="450"/>
      <c r="BI756" s="450"/>
      <c r="BJ756" s="5">
        <v>2702.3609270856837</v>
      </c>
      <c r="BK756" s="450"/>
      <c r="BL756" s="450"/>
      <c r="BM756" s="450"/>
      <c r="BN756" s="450"/>
      <c r="BO756" s="5">
        <v>4254.0878371117196</v>
      </c>
      <c r="BP756" s="503">
        <v>2309.3578650630875</v>
      </c>
      <c r="BQ756" s="503">
        <v>2282.7554953576741</v>
      </c>
      <c r="BR756" s="503">
        <v>2229.3110017382342</v>
      </c>
      <c r="BS756" s="503">
        <v>2240.4123638273531</v>
      </c>
      <c r="BT756" s="5">
        <v>9061.836725986348</v>
      </c>
      <c r="BU756" s="503">
        <v>2334.1979324428421</v>
      </c>
      <c r="BV756" s="503">
        <v>2371.9045321252247</v>
      </c>
      <c r="BW756" s="503">
        <v>2326.3266282003515</v>
      </c>
      <c r="BX756" s="503">
        <v>2329.2321219891746</v>
      </c>
      <c r="BY756" s="5">
        <v>9361.6612147575834</v>
      </c>
      <c r="BZ756" s="503">
        <v>4256.6234904959592</v>
      </c>
      <c r="CA756" s="503">
        <v>4224.5847577371078</v>
      </c>
      <c r="CB756" s="503">
        <v>4171.6455348950012</v>
      </c>
      <c r="CC756" s="503">
        <v>4167.013063126723</v>
      </c>
      <c r="CD756" s="5">
        <v>16819.86684625479</v>
      </c>
    </row>
    <row r="757" spans="1:256" hidden="1" outlineLevel="1">
      <c r="A757" s="4"/>
      <c r="B757" s="4" t="s">
        <v>3474</v>
      </c>
      <c r="C757" s="502"/>
      <c r="D757" s="502"/>
      <c r="E757" s="502"/>
      <c r="F757" s="502"/>
      <c r="G757" s="502"/>
      <c r="H757" s="502"/>
      <c r="I757" s="502"/>
      <c r="J757" s="502"/>
      <c r="K757" s="502"/>
      <c r="L757" s="502"/>
      <c r="M757" s="502"/>
      <c r="N757" s="502"/>
      <c r="O757" s="502"/>
      <c r="P757" s="502"/>
      <c r="Q757" s="502"/>
      <c r="R757" s="502"/>
      <c r="S757" s="502"/>
      <c r="T757" s="502"/>
      <c r="U757" s="502"/>
      <c r="V757" s="502"/>
      <c r="W757" s="502"/>
      <c r="X757" s="502"/>
      <c r="Y757" s="502"/>
      <c r="Z757" s="502"/>
      <c r="AA757" s="73"/>
      <c r="AB757" s="73"/>
      <c r="AC757" s="73"/>
      <c r="AD757" s="73"/>
      <c r="AE757" s="73"/>
      <c r="AF757" s="73"/>
      <c r="AG757" s="73"/>
      <c r="AH757" s="73"/>
      <c r="AI757" s="73"/>
      <c r="AJ757" s="73"/>
      <c r="AK757" s="73"/>
      <c r="AL757" s="502"/>
      <c r="AM757" s="502"/>
      <c r="AN757" s="502"/>
      <c r="AO757" s="502"/>
      <c r="AP757" s="351">
        <v>0.19750000000000001</v>
      </c>
      <c r="AQ757" s="502"/>
      <c r="AR757" s="502"/>
      <c r="AS757" s="502"/>
      <c r="AT757" s="502"/>
      <c r="AU757" s="351">
        <v>0.19750000000000001</v>
      </c>
      <c r="AV757" s="502"/>
      <c r="AW757" s="502"/>
      <c r="AX757" s="502"/>
      <c r="AY757" s="502"/>
      <c r="AZ757" s="351">
        <v>0.19750000000000001</v>
      </c>
      <c r="BA757" s="502"/>
      <c r="BB757" s="502"/>
      <c r="BC757" s="502"/>
      <c r="BD757" s="502"/>
      <c r="BE757" s="351">
        <v>0.19750000000000001</v>
      </c>
      <c r="BF757" s="502"/>
      <c r="BG757" s="502"/>
      <c r="BH757" s="502"/>
      <c r="BI757" s="502"/>
      <c r="BJ757" s="351">
        <v>0.19750000000000001</v>
      </c>
      <c r="BK757" s="502"/>
      <c r="BL757" s="502"/>
      <c r="BM757" s="502"/>
      <c r="BN757" s="502"/>
      <c r="BO757" s="351">
        <v>0.19750000000000001</v>
      </c>
      <c r="BP757" s="504">
        <v>0.19750000000000001</v>
      </c>
      <c r="BQ757" s="504">
        <v>0.19750000000000001</v>
      </c>
      <c r="BR757" s="504">
        <v>0.19750000000000001</v>
      </c>
      <c r="BS757" s="504">
        <v>0.19750000000000001</v>
      </c>
      <c r="BT757" s="351">
        <v>0.19750000000000001</v>
      </c>
      <c r="BU757" s="504">
        <v>0.19750000000000001</v>
      </c>
      <c r="BV757" s="504">
        <v>0.19750000000000001</v>
      </c>
      <c r="BW757" s="504">
        <v>0.19750000000000001</v>
      </c>
      <c r="BX757" s="504">
        <v>0.19750000000000001</v>
      </c>
      <c r="BY757" s="351">
        <v>0.19750000000000001</v>
      </c>
      <c r="BZ757" s="504">
        <v>0.19750000000000001</v>
      </c>
      <c r="CA757" s="504">
        <v>0.19750000000000001</v>
      </c>
      <c r="CB757" s="504">
        <v>0.19750000000000001</v>
      </c>
      <c r="CC757" s="504">
        <v>0.19750000000000001</v>
      </c>
      <c r="CD757" s="351">
        <v>0.19750000000000001</v>
      </c>
    </row>
    <row r="758" spans="1:256" hidden="1" outlineLevel="1">
      <c r="A758" s="4"/>
      <c r="B758" s="4" t="s">
        <v>3473</v>
      </c>
      <c r="C758" s="450"/>
      <c r="D758" s="450"/>
      <c r="E758" s="450"/>
      <c r="F758" s="450"/>
      <c r="G758" s="450"/>
      <c r="H758" s="450"/>
      <c r="I758" s="450"/>
      <c r="J758" s="450"/>
      <c r="K758" s="450"/>
      <c r="L758" s="450"/>
      <c r="M758" s="450"/>
      <c r="N758" s="450"/>
      <c r="O758" s="450"/>
      <c r="P758" s="450"/>
      <c r="Q758" s="450"/>
      <c r="R758" s="450"/>
      <c r="S758" s="450"/>
      <c r="T758" s="450"/>
      <c r="U758" s="450"/>
      <c r="V758" s="450"/>
      <c r="W758" s="450"/>
      <c r="X758" s="450"/>
      <c r="Y758" s="450"/>
      <c r="Z758" s="450"/>
      <c r="AA758" s="73"/>
      <c r="AB758" s="73"/>
      <c r="AC758" s="73"/>
      <c r="AD758" s="73"/>
      <c r="AE758" s="73"/>
      <c r="AF758" s="73"/>
      <c r="AG758" s="73"/>
      <c r="AH758" s="73"/>
      <c r="AI758" s="73"/>
      <c r="AJ758" s="73"/>
      <c r="AK758" s="73"/>
      <c r="AL758" s="450"/>
      <c r="AM758" s="450"/>
      <c r="AN758" s="450"/>
      <c r="AO758" s="450"/>
      <c r="AP758" s="5">
        <f>AP756*AP757</f>
        <v>2169.6683508049787</v>
      </c>
      <c r="AQ758" s="450"/>
      <c r="AR758" s="450"/>
      <c r="AS758" s="450"/>
      <c r="AT758" s="450"/>
      <c r="AU758" s="5">
        <f t="shared" ref="AU758:CD758" si="366">AU756*AU757</f>
        <v>3378.7177273797361</v>
      </c>
      <c r="AV758" s="450"/>
      <c r="AW758" s="450"/>
      <c r="AX758" s="450"/>
      <c r="AY758" s="450"/>
      <c r="AZ758" s="5">
        <f>AZ756*AZ757</f>
        <v>1782.7637636988518</v>
      </c>
      <c r="BA758" s="450"/>
      <c r="BB758" s="450"/>
      <c r="BC758" s="450"/>
      <c r="BD758" s="450"/>
      <c r="BE758" s="5">
        <f t="shared" si="366"/>
        <v>1150.2213175545494</v>
      </c>
      <c r="BF758" s="450"/>
      <c r="BG758" s="450"/>
      <c r="BH758" s="450"/>
      <c r="BI758" s="450"/>
      <c r="BJ758" s="5">
        <f t="shared" si="366"/>
        <v>533.71628309942253</v>
      </c>
      <c r="BK758" s="450"/>
      <c r="BL758" s="450"/>
      <c r="BM758" s="450"/>
      <c r="BN758" s="450"/>
      <c r="BO758" s="5">
        <f t="shared" si="366"/>
        <v>840.18234782956472</v>
      </c>
      <c r="BP758" s="503">
        <f t="shared" si="366"/>
        <v>456.09817834995982</v>
      </c>
      <c r="BQ758" s="503">
        <f t="shared" si="366"/>
        <v>450.84421033314067</v>
      </c>
      <c r="BR758" s="503">
        <f t="shared" si="366"/>
        <v>440.28892284330129</v>
      </c>
      <c r="BS758" s="503">
        <f t="shared" si="366"/>
        <v>442.48144185590229</v>
      </c>
      <c r="BT758" s="5">
        <f t="shared" si="366"/>
        <v>1789.7127533823038</v>
      </c>
      <c r="BU758" s="503">
        <f t="shared" si="366"/>
        <v>461.00409165746134</v>
      </c>
      <c r="BV758" s="503">
        <f t="shared" si="366"/>
        <v>468.45114509473188</v>
      </c>
      <c r="BW758" s="503">
        <f t="shared" si="366"/>
        <v>459.44950906956944</v>
      </c>
      <c r="BX758" s="503">
        <f t="shared" si="366"/>
        <v>460.02334409286203</v>
      </c>
      <c r="BY758" s="5">
        <f t="shared" si="366"/>
        <v>1848.9280899146229</v>
      </c>
      <c r="BZ758" s="503">
        <f t="shared" si="366"/>
        <v>840.68313937295204</v>
      </c>
      <c r="CA758" s="503">
        <f t="shared" si="366"/>
        <v>834.35548965307885</v>
      </c>
      <c r="CB758" s="503">
        <f t="shared" si="366"/>
        <v>823.89999314176282</v>
      </c>
      <c r="CC758" s="503">
        <f t="shared" si="366"/>
        <v>822.98507996752778</v>
      </c>
      <c r="CD758" s="5">
        <f t="shared" si="366"/>
        <v>3321.923702135321</v>
      </c>
    </row>
    <row r="759" spans="1:256" hidden="1" outlineLevel="1">
      <c r="A759" s="207"/>
      <c r="B759" s="4" t="s">
        <v>1536</v>
      </c>
      <c r="C759" s="73"/>
      <c r="D759" s="73"/>
      <c r="E759" s="73"/>
      <c r="F759" s="73"/>
      <c r="G759" s="73"/>
      <c r="H759" s="73"/>
      <c r="I759" s="73"/>
      <c r="J759" s="73"/>
      <c r="K759" s="73"/>
      <c r="L759" s="73"/>
      <c r="M759" s="73"/>
      <c r="N759" s="73"/>
      <c r="O759" s="73"/>
      <c r="P759" s="73"/>
      <c r="Q759" s="73"/>
      <c r="R759" s="73"/>
      <c r="S759" s="73"/>
      <c r="T759" s="73"/>
      <c r="U759" s="73"/>
      <c r="V759" s="73"/>
      <c r="W759" s="73"/>
      <c r="X759" s="73"/>
      <c r="Y759" s="73"/>
      <c r="Z759" s="73"/>
      <c r="AA759" s="73"/>
      <c r="AB759" s="73"/>
      <c r="AC759" s="73"/>
      <c r="AD759" s="73"/>
      <c r="AE759" s="73"/>
      <c r="AF759" s="73"/>
      <c r="AG759" s="73"/>
      <c r="AH759" s="73"/>
      <c r="AI759" s="73"/>
      <c r="AJ759" s="73"/>
      <c r="AK759" s="73"/>
      <c r="AL759" s="73"/>
      <c r="AM759" s="73"/>
      <c r="AN759" s="73"/>
      <c r="AO759" s="73"/>
      <c r="AP759">
        <f>AP758-AP750</f>
        <v>-572.33164919502133</v>
      </c>
      <c r="AQ759" s="73"/>
      <c r="AR759" s="73"/>
      <c r="AS759" s="73"/>
      <c r="AT759" s="73"/>
      <c r="AU759">
        <f t="shared" ref="AU759:CD759" si="367">AU758-AU750</f>
        <v>808.71772737973606</v>
      </c>
      <c r="AV759" s="73"/>
      <c r="AW759" s="73"/>
      <c r="AX759" s="73"/>
      <c r="AY759" s="73"/>
      <c r="AZ759">
        <f>AZ758-AZ750</f>
        <v>-147.23623630114821</v>
      </c>
      <c r="BA759" s="73"/>
      <c r="BB759" s="73"/>
      <c r="BC759" s="73"/>
      <c r="BD759" s="73"/>
      <c r="BE759">
        <f t="shared" si="367"/>
        <v>-670.77868244545061</v>
      </c>
      <c r="BF759" s="73"/>
      <c r="BG759" s="73"/>
      <c r="BH759" s="73"/>
      <c r="BI759" s="73"/>
      <c r="BJ759">
        <f t="shared" si="367"/>
        <v>-1150.2837169005775</v>
      </c>
      <c r="BK759" s="73"/>
      <c r="BL759" s="73"/>
      <c r="BM759" s="73"/>
      <c r="BN759" s="73"/>
      <c r="BO759">
        <f t="shared" si="367"/>
        <v>-1042.8176521704354</v>
      </c>
      <c r="BP759" s="505">
        <f t="shared" ca="1" si="367"/>
        <v>-39.34199507898785</v>
      </c>
      <c r="BQ759" s="505">
        <f t="shared" ca="1" si="367"/>
        <v>-68.692378291645525</v>
      </c>
      <c r="BR759" s="505">
        <f t="shared" ca="1" si="367"/>
        <v>-73.527023770930555</v>
      </c>
      <c r="BS759" s="505">
        <f t="shared" ca="1" si="367"/>
        <v>-63.257253623743395</v>
      </c>
      <c r="BT759">
        <f t="shared" ca="1" si="367"/>
        <v>-244.81865076530676</v>
      </c>
      <c r="BU759" s="505">
        <f t="shared" ca="1" si="367"/>
        <v>-15.199274448811366</v>
      </c>
      <c r="BV759" s="505">
        <f t="shared" ca="1" si="367"/>
        <v>-5.7099876399128107</v>
      </c>
      <c r="BW759" s="505">
        <f t="shared" ca="1" si="367"/>
        <v>-17.505757839993578</v>
      </c>
      <c r="BX759" s="505">
        <f t="shared" ca="1" si="367"/>
        <v>-23.196778236979014</v>
      </c>
      <c r="BY759">
        <f t="shared" ca="1" si="367"/>
        <v>-61.611798165698474</v>
      </c>
      <c r="BZ759" s="505">
        <f t="shared" ca="1" si="367"/>
        <v>371.04172012903342</v>
      </c>
      <c r="CA759" s="505">
        <f t="shared" ca="1" si="367"/>
        <v>351.18080123793249</v>
      </c>
      <c r="CB759" s="505">
        <f t="shared" ca="1" si="367"/>
        <v>329.34156566202591</v>
      </c>
      <c r="CC759" s="505">
        <f t="shared" ca="1" si="367"/>
        <v>315.34687850512472</v>
      </c>
      <c r="CD759">
        <f t="shared" ca="1" si="367"/>
        <v>1366.910965534116</v>
      </c>
    </row>
    <row r="760" spans="1:256" hidden="1" outlineLevel="1">
      <c r="A760" s="5"/>
      <c r="B760" s="5"/>
      <c r="C760" s="5"/>
      <c r="D760" s="5"/>
      <c r="E760" s="5"/>
      <c r="F760" s="5"/>
      <c r="G760" s="5"/>
      <c r="H760" s="76"/>
      <c r="I760" s="76"/>
      <c r="J760" s="76"/>
      <c r="K760" s="76"/>
      <c r="L760" s="5"/>
      <c r="M760" s="76"/>
      <c r="N760" s="76"/>
      <c r="O760" s="76"/>
      <c r="P760" s="76"/>
      <c r="Q760" s="5"/>
      <c r="R760" s="76"/>
      <c r="S760" s="76"/>
      <c r="T760" s="76"/>
      <c r="U760" s="76"/>
      <c r="V760" s="5"/>
      <c r="W760" s="76"/>
      <c r="X760" s="76"/>
      <c r="Y760" s="76"/>
      <c r="Z760" s="76"/>
      <c r="AA760" s="5"/>
      <c r="AB760" s="76"/>
      <c r="AC760" s="76"/>
      <c r="AD760" s="76"/>
      <c r="AE760" s="76"/>
      <c r="AF760" s="5"/>
      <c r="AG760" s="76"/>
      <c r="AH760" s="76"/>
      <c r="AI760" s="76"/>
      <c r="AJ760" s="76"/>
      <c r="AK760" s="5"/>
      <c r="AL760" s="76"/>
      <c r="AM760" s="76"/>
      <c r="AN760" s="76"/>
      <c r="AO760" s="76"/>
      <c r="AP760" s="5"/>
      <c r="AQ760" s="76"/>
      <c r="AR760" s="76"/>
      <c r="AS760" s="76"/>
      <c r="AT760" s="76"/>
      <c r="AU760" s="362"/>
      <c r="AV760" s="76"/>
      <c r="AW760" s="76"/>
      <c r="AX760" s="76"/>
      <c r="AY760" s="76"/>
      <c r="AZ760" s="362"/>
      <c r="BA760" s="76"/>
      <c r="BB760" s="76"/>
      <c r="BC760" s="76"/>
      <c r="BD760" s="76"/>
      <c r="BE760" s="362"/>
      <c r="BF760" s="76"/>
      <c r="BG760" s="76"/>
      <c r="BH760" s="76"/>
      <c r="BI760" s="76"/>
      <c r="BJ760" s="362"/>
      <c r="BK760" s="76"/>
      <c r="BL760" s="76"/>
      <c r="BM760" s="76"/>
      <c r="BN760" s="76"/>
      <c r="BO760" s="362"/>
      <c r="BP760" s="362"/>
      <c r="BQ760" s="362"/>
      <c r="BR760" s="362"/>
      <c r="BS760" s="362"/>
      <c r="BT760" s="362"/>
      <c r="BU760" s="362"/>
      <c r="BV760" s="362"/>
      <c r="BW760" s="362"/>
      <c r="BX760" s="362"/>
      <c r="BY760" s="362"/>
      <c r="BZ760" s="362"/>
      <c r="CA760" s="362"/>
      <c r="CB760" s="362"/>
      <c r="CC760" s="362"/>
      <c r="CD760" s="362"/>
    </row>
    <row r="761" spans="1:256" hidden="1" outlineLevel="1">
      <c r="A761" s="39" t="s">
        <v>196</v>
      </c>
      <c r="B761" s="11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V761" s="5"/>
      <c r="AW761" s="5"/>
      <c r="AX761" s="5"/>
      <c r="AY761" s="5"/>
      <c r="BA761" s="5"/>
      <c r="BB761" s="5"/>
      <c r="BC761" s="5"/>
      <c r="BD761" s="5"/>
      <c r="BF761" s="5"/>
      <c r="BG761" s="5"/>
      <c r="BH761" s="5"/>
      <c r="BI761" s="5"/>
      <c r="BK761" s="5"/>
      <c r="BL761" s="5"/>
      <c r="BM761" s="5"/>
      <c r="BN761" s="5"/>
    </row>
    <row r="762" spans="1:256" hidden="1" outlineLevel="1">
      <c r="A762" s="11"/>
      <c r="B762" s="11" t="s">
        <v>932</v>
      </c>
      <c r="C762" s="5">
        <f>'Production - Oil'!C99</f>
        <v>20</v>
      </c>
      <c r="D762" s="5">
        <f>'Production - Oil'!D99</f>
        <v>73</v>
      </c>
      <c r="E762" s="5">
        <f>'Production - Oil'!E99</f>
        <v>296</v>
      </c>
      <c r="F762" s="5">
        <f>'Production - Oil'!F99</f>
        <v>831</v>
      </c>
      <c r="G762" s="5">
        <f>'Production - Oil'!G99</f>
        <v>911</v>
      </c>
      <c r="H762" s="93"/>
      <c r="I762" s="93"/>
      <c r="J762" s="93"/>
      <c r="K762" s="93"/>
      <c r="L762" s="5">
        <f>'Production - Oil'!L99</f>
        <v>876</v>
      </c>
      <c r="M762" s="93"/>
      <c r="N762" s="93"/>
      <c r="O762" s="93"/>
      <c r="P762" s="93"/>
      <c r="Q762" s="5">
        <f>'Production - Oil'!Q99</f>
        <v>832</v>
      </c>
      <c r="R762" s="93"/>
      <c r="S762" s="93"/>
      <c r="T762" s="93"/>
      <c r="U762" s="93"/>
      <c r="V762" s="5">
        <f>'Production - Oil'!V99</f>
        <v>826</v>
      </c>
      <c r="W762" s="93"/>
      <c r="X762" s="93"/>
      <c r="Y762" s="93"/>
      <c r="Z762" s="93"/>
      <c r="AA762" s="5">
        <f>'Production - Oil'!AA99</f>
        <v>840</v>
      </c>
      <c r="AB762" s="93"/>
      <c r="AC762" s="93"/>
      <c r="AD762" s="93"/>
      <c r="AE762" s="93"/>
      <c r="AF762" s="5">
        <f>'Production - Oil'!AF99</f>
        <v>856</v>
      </c>
      <c r="AG762" s="93"/>
      <c r="AH762" s="93"/>
      <c r="AI762" s="93"/>
      <c r="AJ762" s="93"/>
      <c r="AK762" s="5">
        <f>'Production - Oil'!AK99</f>
        <v>865</v>
      </c>
      <c r="AL762" s="93"/>
      <c r="AM762" s="93"/>
      <c r="AN762" s="93"/>
      <c r="AO762" s="93"/>
      <c r="AP762" s="5">
        <f>'Production - Oil'!AP99</f>
        <v>863</v>
      </c>
      <c r="AQ762" s="93"/>
      <c r="AR762" s="93"/>
      <c r="AS762" s="93"/>
      <c r="AT762" s="93"/>
      <c r="AU762" s="5">
        <f>'Production - Oil'!AU99</f>
        <v>837</v>
      </c>
      <c r="AV762" s="93"/>
      <c r="AW762" s="93"/>
      <c r="AX762" s="93"/>
      <c r="AY762" s="93"/>
      <c r="AZ762" s="5">
        <f>'Production - Oil'!AZ99</f>
        <v>821</v>
      </c>
      <c r="BA762" s="93"/>
      <c r="BB762" s="93"/>
      <c r="BC762" s="93"/>
      <c r="BD762" s="93"/>
      <c r="BE762" s="5">
        <f>'Production - Oil'!BE99</f>
        <v>813</v>
      </c>
      <c r="BF762" s="93"/>
      <c r="BG762" s="93"/>
      <c r="BH762" s="93"/>
      <c r="BI762" s="93"/>
      <c r="BJ762" s="5">
        <f>'Production - Oil'!BJ99</f>
        <v>840</v>
      </c>
      <c r="BK762" s="93"/>
      <c r="BL762" s="93"/>
      <c r="BM762" s="93"/>
      <c r="BN762" s="93"/>
      <c r="BO762" s="5">
        <f>'Production - Oil'!BO99</f>
        <v>904</v>
      </c>
      <c r="BP762" s="12">
        <f>'Production - Oil'!BP99</f>
        <v>874.74934250000024</v>
      </c>
      <c r="BQ762" s="12">
        <f>'Production - Oil'!BQ99</f>
        <v>874.74934250000024</v>
      </c>
      <c r="BR762" s="12">
        <f>'Production - Oil'!BR99</f>
        <v>874.74934250000024</v>
      </c>
      <c r="BS762" s="12">
        <f>'Production - Oil'!BS99</f>
        <v>874.74934250000024</v>
      </c>
      <c r="BT762" s="5">
        <f>'Production - Oil'!BT99</f>
        <v>874.74934250000024</v>
      </c>
      <c r="BU762" s="12">
        <f>'Production - Oil'!BU99</f>
        <v>908.602665</v>
      </c>
      <c r="BV762" s="12">
        <f>'Production - Oil'!BV99</f>
        <v>908.602665</v>
      </c>
      <c r="BW762" s="12">
        <f>'Production - Oil'!BW99</f>
        <v>908.602665</v>
      </c>
      <c r="BX762" s="12">
        <f>'Production - Oil'!BX99</f>
        <v>908.602665</v>
      </c>
      <c r="BY762" s="5">
        <f>'Production - Oil'!BY99</f>
        <v>908.602665</v>
      </c>
      <c r="BZ762" s="12">
        <f>'Production - Oil'!BZ99</f>
        <v>919.80802250000022</v>
      </c>
      <c r="CA762" s="12">
        <f>'Production - Oil'!CA99</f>
        <v>919.80802250000022</v>
      </c>
      <c r="CB762" s="12">
        <f>'Production - Oil'!CB99</f>
        <v>919.80802250000022</v>
      </c>
      <c r="CC762" s="12">
        <f>'Production - Oil'!CC99</f>
        <v>919.80802250000022</v>
      </c>
      <c r="CD762" s="5">
        <f>'Production - Oil'!CD99</f>
        <v>919.80802250000022</v>
      </c>
    </row>
    <row r="763" spans="1:256" hidden="1" outlineLevel="1">
      <c r="A763" s="11"/>
      <c r="B763" s="11" t="s">
        <v>933</v>
      </c>
      <c r="C763" s="5">
        <f>'Production - Gas'!C99</f>
        <v>0</v>
      </c>
      <c r="D763" s="5">
        <f>'Production - Gas'!D99</f>
        <v>6</v>
      </c>
      <c r="E763" s="5">
        <f>'Production - Gas'!E99</f>
        <v>129</v>
      </c>
      <c r="F763" s="5">
        <f>'Production - Gas'!F99</f>
        <v>458</v>
      </c>
      <c r="G763" s="5">
        <f>'Production - Gas'!G99</f>
        <v>482</v>
      </c>
      <c r="H763" s="93"/>
      <c r="I763" s="93"/>
      <c r="J763" s="93"/>
      <c r="K763" s="93"/>
      <c r="L763" s="5">
        <f>'Production - Gas'!L99</f>
        <v>544</v>
      </c>
      <c r="M763" s="93"/>
      <c r="N763" s="93"/>
      <c r="O763" s="93"/>
      <c r="P763" s="93"/>
      <c r="Q763" s="5">
        <f>'Production - Gas'!Q99</f>
        <v>451</v>
      </c>
      <c r="R763" s="93"/>
      <c r="S763" s="93"/>
      <c r="T763" s="93"/>
      <c r="U763" s="93"/>
      <c r="V763" s="5">
        <f>'Production - Gas'!V99</f>
        <v>564</v>
      </c>
      <c r="W763" s="93"/>
      <c r="X763" s="93"/>
      <c r="Y763" s="93"/>
      <c r="Z763" s="93"/>
      <c r="AA763" s="5">
        <f>'Production - Gas'!AA99</f>
        <v>601</v>
      </c>
      <c r="AB763" s="93"/>
      <c r="AC763" s="93"/>
      <c r="AD763" s="93"/>
      <c r="AE763" s="93"/>
      <c r="AF763" s="5">
        <f>'Production - Gas'!AF99</f>
        <v>640</v>
      </c>
      <c r="AG763" s="93"/>
      <c r="AH763" s="93"/>
      <c r="AI763" s="93"/>
      <c r="AJ763" s="93"/>
      <c r="AK763" s="5">
        <f>'Production - Gas'!AK99</f>
        <v>699</v>
      </c>
      <c r="AL763" s="93"/>
      <c r="AM763" s="93"/>
      <c r="AN763" s="93"/>
      <c r="AO763" s="93"/>
      <c r="AP763" s="5">
        <f>'Production - Gas'!AP99</f>
        <v>734</v>
      </c>
      <c r="AQ763" s="93"/>
      <c r="AR763" s="93"/>
      <c r="AS763" s="93"/>
      <c r="AT763" s="93"/>
      <c r="AU763" s="5">
        <f>'Production - Gas'!AU99</f>
        <v>801</v>
      </c>
      <c r="AV763" s="93"/>
      <c r="AW763" s="93"/>
      <c r="AX763" s="93"/>
      <c r="AY763" s="93"/>
      <c r="AZ763" s="5">
        <f>'Production - Gas'!AZ99</f>
        <v>1084</v>
      </c>
      <c r="BA763" s="93"/>
      <c r="BB763" s="93"/>
      <c r="BC763" s="93"/>
      <c r="BD763" s="93"/>
      <c r="BE763" s="5">
        <f>'Production - Gas'!BE99</f>
        <v>1195</v>
      </c>
      <c r="BF763" s="93"/>
      <c r="BG763" s="93"/>
      <c r="BH763" s="93"/>
      <c r="BI763" s="93"/>
      <c r="BJ763" s="5">
        <f>'Production - Gas'!BJ99</f>
        <v>1279</v>
      </c>
      <c r="BK763" s="93"/>
      <c r="BL763" s="93"/>
      <c r="BM763" s="93"/>
      <c r="BN763" s="93"/>
      <c r="BO763" s="5">
        <f>'Production - Gas'!BO99</f>
        <v>1308</v>
      </c>
      <c r="BP763" s="12">
        <f>'Production - Gas'!BP99</f>
        <v>1499.6012158914721</v>
      </c>
      <c r="BQ763" s="12">
        <f>'Production - Gas'!BQ99</f>
        <v>1398.0030281992513</v>
      </c>
      <c r="BR763" s="12">
        <f>'Production - Gas'!BR99</f>
        <v>1372.975332143244</v>
      </c>
      <c r="BS763" s="12">
        <f>'Production - Gas'!BS99</f>
        <v>1506.566223766034</v>
      </c>
      <c r="BT763" s="5">
        <f>'Production - Gas'!BT99</f>
        <v>1444.2864500000005</v>
      </c>
      <c r="BU763" s="12">
        <f>'Production - Gas'!BU99</f>
        <v>1654.1921009218258</v>
      </c>
      <c r="BV763" s="12">
        <f>'Production - Gas'!BV99</f>
        <v>1540.0249803948082</v>
      </c>
      <c r="BW763" s="12">
        <f>'Production - Gas'!BW99</f>
        <v>1511.9010536098572</v>
      </c>
      <c r="BX763" s="12">
        <f>'Production - Gas'!BX99</f>
        <v>1662.0187650735093</v>
      </c>
      <c r="BY763" s="5">
        <f>'Production - Gas'!BY99</f>
        <v>1592.0342250000003</v>
      </c>
      <c r="BZ763" s="12">
        <f>'Production - Gas'!BZ99</f>
        <v>1766.9120812149822</v>
      </c>
      <c r="CA763" s="12">
        <f>'Production - Gas'!CA99</f>
        <v>1643.5803203460314</v>
      </c>
      <c r="CB763" s="12">
        <f>'Production - Gas'!CB99</f>
        <v>1613.1987761945643</v>
      </c>
      <c r="CC763" s="12">
        <f>'Production - Gas'!CC99</f>
        <v>1775.3670222444225</v>
      </c>
      <c r="CD763" s="5">
        <f>'Production - Gas'!CD99</f>
        <v>1699.7645500000001</v>
      </c>
    </row>
    <row r="764" spans="1:256" hidden="1" outlineLevel="1">
      <c r="A764" s="11"/>
      <c r="B764" s="39" t="s">
        <v>896</v>
      </c>
      <c r="C764" s="8">
        <f>C762+C763/5.8</f>
        <v>20</v>
      </c>
      <c r="D764" s="8">
        <f>D762+D763/5.8</f>
        <v>74.034482758620683</v>
      </c>
      <c r="E764" s="8">
        <f>E762+E763/5.8</f>
        <v>318.24137931034483</v>
      </c>
      <c r="F764" s="8">
        <f>F762+F763/5.8</f>
        <v>909.9655172413793</v>
      </c>
      <c r="G764" s="8">
        <f>G762+G763/5.8</f>
        <v>994.10344827586209</v>
      </c>
      <c r="H764" s="93"/>
      <c r="I764" s="93"/>
      <c r="J764" s="93"/>
      <c r="K764" s="93"/>
      <c r="L764" s="8">
        <f>L762+L763/5.8</f>
        <v>969.79310344827582</v>
      </c>
      <c r="M764" s="93"/>
      <c r="N764" s="93"/>
      <c r="O764" s="93"/>
      <c r="P764" s="93"/>
      <c r="Q764" s="8">
        <f>Q762+Q763/5.8</f>
        <v>909.75862068965512</v>
      </c>
      <c r="R764" s="93"/>
      <c r="S764" s="93"/>
      <c r="T764" s="93"/>
      <c r="U764" s="93"/>
      <c r="V764" s="8">
        <f>V762+V763/5.8</f>
        <v>923.24137931034488</v>
      </c>
      <c r="W764" s="93"/>
      <c r="X764" s="93"/>
      <c r="Y764" s="93"/>
      <c r="Z764" s="93"/>
      <c r="AA764" s="8">
        <f>AA762+AA763/5.8</f>
        <v>943.62068965517244</v>
      </c>
      <c r="AB764" s="93"/>
      <c r="AC764" s="93"/>
      <c r="AD764" s="93"/>
      <c r="AE764" s="93"/>
      <c r="AF764" s="8">
        <f>AF762+AF763/5.8</f>
        <v>966.34482758620686</v>
      </c>
      <c r="AG764" s="93"/>
      <c r="AH764" s="93"/>
      <c r="AI764" s="93"/>
      <c r="AJ764" s="93"/>
      <c r="AK764" s="8">
        <f t="shared" ref="AK764:CD764" si="368">AK762+AK763/5.8</f>
        <v>985.51724137931035</v>
      </c>
      <c r="AL764" s="93"/>
      <c r="AM764" s="93"/>
      <c r="AN764" s="93"/>
      <c r="AO764" s="93"/>
      <c r="AP764" s="8">
        <f t="shared" si="368"/>
        <v>989.55172413793105</v>
      </c>
      <c r="AQ764" s="93"/>
      <c r="AR764" s="93"/>
      <c r="AS764" s="93"/>
      <c r="AT764" s="93"/>
      <c r="AU764" s="8">
        <f t="shared" si="368"/>
        <v>975.10344827586209</v>
      </c>
      <c r="AV764" s="93"/>
      <c r="AW764" s="93"/>
      <c r="AX764" s="93"/>
      <c r="AY764" s="93"/>
      <c r="AZ764" s="8">
        <f>AZ762+AZ763/5.8</f>
        <v>1007.8965517241379</v>
      </c>
      <c r="BA764" s="93"/>
      <c r="BB764" s="93"/>
      <c r="BC764" s="93"/>
      <c r="BD764" s="93"/>
      <c r="BE764" s="8">
        <f t="shared" si="368"/>
        <v>1019.0344827586207</v>
      </c>
      <c r="BF764" s="93"/>
      <c r="BG764" s="93"/>
      <c r="BH764" s="93"/>
      <c r="BI764" s="93"/>
      <c r="BJ764" s="8">
        <f t="shared" si="368"/>
        <v>1060.5172413793102</v>
      </c>
      <c r="BK764" s="93"/>
      <c r="BL764" s="93"/>
      <c r="BM764" s="93"/>
      <c r="BN764" s="93"/>
      <c r="BO764" s="8">
        <f t="shared" si="368"/>
        <v>1129.5172413793102</v>
      </c>
      <c r="BP764" s="66">
        <f t="shared" si="368"/>
        <v>1133.301276274392</v>
      </c>
      <c r="BQ764" s="66">
        <f t="shared" si="368"/>
        <v>1115.78434736194</v>
      </c>
      <c r="BR764" s="66">
        <f t="shared" si="368"/>
        <v>1111.4692273522837</v>
      </c>
      <c r="BS764" s="66">
        <f t="shared" si="368"/>
        <v>1134.5021397010405</v>
      </c>
      <c r="BT764" s="8">
        <f t="shared" si="368"/>
        <v>1123.7642476724141</v>
      </c>
      <c r="BU764" s="66">
        <f t="shared" si="368"/>
        <v>1193.808199641694</v>
      </c>
      <c r="BV764" s="66">
        <f t="shared" si="368"/>
        <v>1174.1242133439325</v>
      </c>
      <c r="BW764" s="66">
        <f t="shared" si="368"/>
        <v>1169.2752604499753</v>
      </c>
      <c r="BX764" s="66">
        <f t="shared" si="368"/>
        <v>1195.1576244954326</v>
      </c>
      <c r="BY764" s="8">
        <f t="shared" si="368"/>
        <v>1183.0913244827586</v>
      </c>
      <c r="BZ764" s="66">
        <f t="shared" si="368"/>
        <v>1224.4480365025834</v>
      </c>
      <c r="CA764" s="66">
        <f t="shared" si="368"/>
        <v>1203.1839398010402</v>
      </c>
      <c r="CB764" s="66">
        <f t="shared" si="368"/>
        <v>1197.9457425335459</v>
      </c>
      <c r="CC764" s="66">
        <f t="shared" si="368"/>
        <v>1225.9057849559351</v>
      </c>
      <c r="CD764" s="8">
        <f t="shared" si="368"/>
        <v>1212.8708759482761</v>
      </c>
    </row>
    <row r="765" spans="1:256" hidden="1" outlineLevel="1">
      <c r="A765" s="11"/>
      <c r="B765" s="11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</row>
    <row r="766" spans="1:256" hidden="1" outlineLevel="1">
      <c r="A766" s="39" t="s">
        <v>199</v>
      </c>
      <c r="B766" s="11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</row>
    <row r="767" spans="1:256" hidden="1" outlineLevel="1">
      <c r="A767" s="11"/>
      <c r="B767" s="11" t="s">
        <v>197</v>
      </c>
      <c r="C767" s="72"/>
      <c r="D767" s="72"/>
      <c r="E767" s="72"/>
      <c r="F767" s="104">
        <f>'Key assumptions'!F17</f>
        <v>20.61</v>
      </c>
      <c r="G767" s="104">
        <f>'Key assumptions'!G17</f>
        <v>28.77</v>
      </c>
      <c r="H767" s="93"/>
      <c r="I767" s="93"/>
      <c r="J767" s="93"/>
      <c r="K767" s="93"/>
      <c r="L767" s="104">
        <f>'Key assumptions'!L17</f>
        <v>34.39</v>
      </c>
      <c r="M767" s="93"/>
      <c r="N767" s="93"/>
      <c r="O767" s="93"/>
      <c r="P767" s="93"/>
      <c r="Q767" s="104">
        <f>'Key assumptions'!Q17</f>
        <v>39.81</v>
      </c>
      <c r="R767" s="93"/>
      <c r="S767" s="93"/>
      <c r="T767" s="93"/>
      <c r="U767" s="93"/>
      <c r="V767" s="104">
        <f>'Key assumptions'!V17</f>
        <v>45.59</v>
      </c>
      <c r="W767" s="93"/>
      <c r="X767" s="93"/>
      <c r="Y767" s="93"/>
      <c r="Z767" s="93"/>
      <c r="AA767" s="104">
        <f>'Key assumptions'!AA17</f>
        <v>31.32</v>
      </c>
      <c r="AB767" s="93"/>
      <c r="AC767" s="93"/>
      <c r="AD767" s="93"/>
      <c r="AE767" s="93"/>
      <c r="AF767" s="104">
        <f>'Key assumptions'!AF17</f>
        <v>36.96</v>
      </c>
      <c r="AG767" s="93"/>
      <c r="AH767" s="93"/>
      <c r="AI767" s="93"/>
      <c r="AJ767" s="93"/>
      <c r="AK767" s="104">
        <f>'Key assumptions'!AK17</f>
        <v>49.5625</v>
      </c>
      <c r="AL767" s="93"/>
      <c r="AM767" s="93"/>
      <c r="AN767" s="93"/>
      <c r="AO767" s="93"/>
      <c r="AP767" s="104">
        <f>'Key assumptions'!AP17</f>
        <v>53.922499999999999</v>
      </c>
      <c r="AQ767" s="93"/>
      <c r="AR767" s="93"/>
      <c r="AS767" s="93"/>
      <c r="AT767" s="93"/>
      <c r="AU767" s="104">
        <f>'Key assumptions'!AU17</f>
        <v>54.894999999999996</v>
      </c>
      <c r="AV767" s="93"/>
      <c r="AW767" s="93"/>
      <c r="AX767" s="93"/>
      <c r="AY767" s="93"/>
      <c r="AZ767" s="104">
        <f>'Key assumptions'!AZ17</f>
        <v>50.567500000000003</v>
      </c>
      <c r="BA767" s="93"/>
      <c r="BB767" s="93"/>
      <c r="BC767" s="93"/>
      <c r="BD767" s="93"/>
      <c r="BE767" s="104">
        <f ca="1">'Key assumptions'!BE17</f>
        <v>26.627125748561554</v>
      </c>
      <c r="BF767" s="93"/>
      <c r="BG767" s="93"/>
      <c r="BH767" s="93"/>
      <c r="BI767" s="93"/>
      <c r="BJ767" s="104">
        <f ca="1">'Key assumptions'!BJ17</f>
        <v>22.480120171402909</v>
      </c>
      <c r="BK767" s="93"/>
      <c r="BL767" s="93"/>
      <c r="BM767" s="93"/>
      <c r="BN767" s="93"/>
      <c r="BO767" s="104">
        <f ca="1">'Key assumptions'!BO17</f>
        <v>27.404175760471837</v>
      </c>
      <c r="BP767" s="114">
        <f ca="1">'Key assumptions'!BP17</f>
        <v>33.396381668027708</v>
      </c>
      <c r="BQ767" s="114">
        <f ca="1">'Key assumptions'!BQ17</f>
        <v>33.687481974604367</v>
      </c>
      <c r="BR767" s="114">
        <f ca="1">'Key assumptions'!BR17</f>
        <v>33.09589102898083</v>
      </c>
      <c r="BS767" s="114">
        <f ca="1">'Key assumptions'!BS17</f>
        <v>32.602898574294542</v>
      </c>
      <c r="BT767" s="104">
        <f ca="1">'Key assumptions'!BT17</f>
        <v>33.195663311476864</v>
      </c>
      <c r="BU767" s="114">
        <f ca="1">'Key assumptions'!BU17</f>
        <v>31.527705506454943</v>
      </c>
      <c r="BV767" s="114">
        <f ca="1">'Key assumptions'!BV17</f>
        <v>31.527705506454943</v>
      </c>
      <c r="BW767" s="114">
        <f ca="1">'Key assumptions'!BW17</f>
        <v>31.527705506454943</v>
      </c>
      <c r="BX767" s="114">
        <f ca="1">'Key assumptions'!BX17</f>
        <v>31.527705506454943</v>
      </c>
      <c r="BY767" s="104">
        <f ca="1">'Key assumptions'!BY17</f>
        <v>31.527705506454943</v>
      </c>
      <c r="BZ767" s="114">
        <f ca="1">'Key assumptions'!BZ17</f>
        <v>31.710723981291451</v>
      </c>
      <c r="CA767" s="114">
        <f ca="1">'Key assumptions'!CA17</f>
        <v>31.894875751606289</v>
      </c>
      <c r="CB767" s="114">
        <f ca="1">'Key assumptions'!CB17</f>
        <v>32.080167835044222</v>
      </c>
      <c r="CC767" s="114">
        <f ca="1">'Key assumptions'!CC17</f>
        <v>32.26660729270499</v>
      </c>
      <c r="CD767" s="104">
        <f ca="1">'Key assumptions'!CD17</f>
        <v>31.988093715161739</v>
      </c>
    </row>
    <row r="768" spans="1:256" hidden="1" outlineLevel="1">
      <c r="A768" s="11"/>
      <c r="B768" s="11" t="s">
        <v>198</v>
      </c>
      <c r="C768" s="72"/>
      <c r="D768" s="72"/>
      <c r="E768" s="72"/>
      <c r="F768" s="104">
        <f>'Key assumptions'!F32</f>
        <v>2.74</v>
      </c>
      <c r="G768" s="104">
        <f>'Key assumptions'!G32</f>
        <v>3.46</v>
      </c>
      <c r="H768" s="93"/>
      <c r="I768" s="93"/>
      <c r="J768" s="93"/>
      <c r="K768" s="93"/>
      <c r="L768" s="104">
        <f>'Key assumptions'!L32</f>
        <v>3.7</v>
      </c>
      <c r="M768" s="93"/>
      <c r="N768" s="93"/>
      <c r="O768" s="93"/>
      <c r="P768" s="93"/>
      <c r="Q768" s="104">
        <f>'Key assumptions'!Q32</f>
        <v>3.71</v>
      </c>
      <c r="R768" s="93"/>
      <c r="S768" s="93"/>
      <c r="T768" s="93"/>
      <c r="U768" s="93"/>
      <c r="V768" s="104">
        <f>'Key assumptions'!V32</f>
        <v>5.19</v>
      </c>
      <c r="W768" s="93"/>
      <c r="X768" s="93"/>
      <c r="Y768" s="93"/>
      <c r="Z768" s="93"/>
      <c r="AA768" s="104">
        <f>'Key assumptions'!AA32</f>
        <v>3.14</v>
      </c>
      <c r="AB768" s="93"/>
      <c r="AC768" s="93"/>
      <c r="AD768" s="93"/>
      <c r="AE768" s="93"/>
      <c r="AF768" s="104">
        <f>'Key assumptions'!AF32</f>
        <v>3.86</v>
      </c>
      <c r="AG768" s="93"/>
      <c r="AH768" s="93"/>
      <c r="AI768" s="93"/>
      <c r="AJ768" s="93"/>
      <c r="AK768" s="104">
        <f>'Key assumptions'!AK32</f>
        <v>4.9775</v>
      </c>
      <c r="AL768" s="93"/>
      <c r="AM768" s="93"/>
      <c r="AN768" s="93"/>
      <c r="AO768" s="93"/>
      <c r="AP768" s="104">
        <f>'Key assumptions'!AP32</f>
        <v>5.33</v>
      </c>
      <c r="AQ768" s="93"/>
      <c r="AR768" s="93"/>
      <c r="AS768" s="93"/>
      <c r="AT768" s="93"/>
      <c r="AU768" s="104">
        <f>'Key assumptions'!AU32</f>
        <v>5.9725000000000001</v>
      </c>
      <c r="AV768" s="93"/>
      <c r="AW768" s="93"/>
      <c r="AX768" s="93"/>
      <c r="AY768" s="93"/>
      <c r="AZ768" s="104">
        <f>'Key assumptions'!AZ32</f>
        <v>6.3524999999999991</v>
      </c>
      <c r="BA768" s="93"/>
      <c r="BB768" s="93"/>
      <c r="BC768" s="93"/>
      <c r="BD768" s="93"/>
      <c r="BE768" s="104">
        <f>'Key assumptions'!BE32</f>
        <v>4.2450000000000001</v>
      </c>
      <c r="BF768" s="93"/>
      <c r="BG768" s="93"/>
      <c r="BH768" s="93"/>
      <c r="BI768" s="93"/>
      <c r="BJ768" s="104">
        <f>'Key assumptions'!BJ32</f>
        <v>3.1850000000000001</v>
      </c>
      <c r="BK768" s="93"/>
      <c r="BL768" s="93"/>
      <c r="BM768" s="93"/>
      <c r="BN768" s="93"/>
      <c r="BO768" s="104">
        <f>'Key assumptions'!BO32</f>
        <v>3.4649999999999999</v>
      </c>
      <c r="BP768" s="114">
        <f>'Key assumptions'!BP32</f>
        <v>3.5280681943281262</v>
      </c>
      <c r="BQ768" s="114">
        <f>'Key assumptions'!BQ32</f>
        <v>3.8179688704990125</v>
      </c>
      <c r="BR768" s="114">
        <f>'Key assumptions'!BR32</f>
        <v>3.9407618168367149</v>
      </c>
      <c r="BS768" s="114">
        <f>'Key assumptions'!BS32</f>
        <v>3.928267780961336</v>
      </c>
      <c r="BT768" s="104">
        <f>'Key assumptions'!BT32</f>
        <v>3.8037666656562972</v>
      </c>
      <c r="BU768" s="114">
        <f>'Key assumptions'!BU32</f>
        <v>3.8831721202236427</v>
      </c>
      <c r="BV768" s="114">
        <f>'Key assumptions'!BV32</f>
        <v>3.8179688704990125</v>
      </c>
      <c r="BW768" s="114">
        <f>'Key assumptions'!BW32</f>
        <v>3.7732636483824247</v>
      </c>
      <c r="BX768" s="114">
        <f>'Key assumptions'!BX32</f>
        <v>3.7732636483824247</v>
      </c>
      <c r="BY768" s="104">
        <f>'Key assumptions'!BY32</f>
        <v>3.8119170718718762</v>
      </c>
      <c r="BZ768" s="114">
        <f>'Key assumptions'!BZ32</f>
        <v>3.7732636483824247</v>
      </c>
      <c r="CA768" s="114">
        <f>'Key assumptions'!CA32</f>
        <v>3.7808733343204537</v>
      </c>
      <c r="CB768" s="114">
        <f>'Key assumptions'!CB32</f>
        <v>3.7961398272463005</v>
      </c>
      <c r="CC768" s="114">
        <f>'Key assumptions'!CC32</f>
        <v>3.8115008540568729</v>
      </c>
      <c r="CD768" s="104">
        <f>'Key assumptions'!CD32</f>
        <v>3.7904444160015132</v>
      </c>
    </row>
    <row r="769" spans="1:82" hidden="1" outlineLevel="1">
      <c r="A769" s="11"/>
      <c r="B769" s="39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</row>
    <row r="770" spans="1:82" hidden="1" outlineLevel="1">
      <c r="A770" s="11" t="s">
        <v>200</v>
      </c>
      <c r="B770" s="11"/>
      <c r="C770" s="72"/>
      <c r="D770" s="72"/>
      <c r="E770" s="72"/>
      <c r="F770" s="115">
        <f>SUMPRODUCT(F762:F763,F767:F768)*365/1000</f>
        <v>6709.3679499999998</v>
      </c>
      <c r="G770" s="115">
        <f>SUMPRODUCT(G762:G763,G767:G768)*365/1000</f>
        <v>10175.174350000001</v>
      </c>
      <c r="H770" s="93"/>
      <c r="I770" s="93"/>
      <c r="J770" s="93"/>
      <c r="K770" s="93"/>
      <c r="L770" s="115">
        <f>SUMPRODUCT(L762:L763,L767:L768)*365/1000</f>
        <v>11730.5306</v>
      </c>
      <c r="M770" s="93"/>
      <c r="N770" s="93"/>
      <c r="O770" s="93"/>
      <c r="P770" s="93"/>
      <c r="Q770" s="115">
        <f>SUMPRODUCT(Q762:Q763,Q767:Q768)*365/1000</f>
        <v>12700.222449999999</v>
      </c>
      <c r="R770" s="93"/>
      <c r="S770" s="93"/>
      <c r="T770" s="93"/>
      <c r="U770" s="93"/>
      <c r="V770" s="115">
        <f>SUMPRODUCT(V762:V763,V767:V768)*365/1000</f>
        <v>14813.342500000002</v>
      </c>
      <c r="W770" s="93"/>
      <c r="X770" s="93"/>
      <c r="Y770" s="93"/>
      <c r="Z770" s="93"/>
      <c r="AA770" s="115">
        <f>SUMPRODUCT(AA762:AA763,AA767:AA768)*365/1000</f>
        <v>10291.518099999999</v>
      </c>
      <c r="AB770" s="93"/>
      <c r="AC770" s="93"/>
      <c r="AD770" s="93"/>
      <c r="AE770" s="93"/>
      <c r="AF770" s="115">
        <f>SUMPRODUCT(AF762:AF763,AF767:AF768)*365/1000</f>
        <v>12449.4784</v>
      </c>
      <c r="AG770" s="93"/>
      <c r="AH770" s="93"/>
      <c r="AI770" s="93"/>
      <c r="AJ770" s="93"/>
      <c r="AK770" s="115">
        <f>SUMPRODUCT(AK762:AK763,AK767:AK768)*365/1000</f>
        <v>16918.054774999997</v>
      </c>
      <c r="AL770" s="93"/>
      <c r="AM770" s="93"/>
      <c r="AN770" s="93"/>
      <c r="AO770" s="93"/>
      <c r="AP770" s="115">
        <f>SUMPRODUCT(AP762:AP763,AP767:AP768)*365/1000</f>
        <v>18413.2781875</v>
      </c>
      <c r="AQ770" s="93"/>
      <c r="AR770" s="93"/>
      <c r="AS770" s="93"/>
      <c r="AT770" s="93"/>
      <c r="AU770" s="115">
        <f>SUMPRODUCT(AU762:AU763,AU767:AU768)*365/1000</f>
        <v>18516.846937499995</v>
      </c>
      <c r="AV770" s="93"/>
      <c r="AW770" s="93"/>
      <c r="AX770" s="93"/>
      <c r="AY770" s="93"/>
      <c r="AZ770" s="115">
        <f>SUMPRODUCT(AZ762:AZ763,AZ767:AZ768)*365/1000</f>
        <v>17666.7400375</v>
      </c>
      <c r="BA770" s="93"/>
      <c r="BB770" s="93"/>
      <c r="BC770" s="93"/>
      <c r="BD770" s="93"/>
      <c r="BE770" s="115">
        <f ca="1">SUMPRODUCT(BE762:BE763,BE767:BE768)*365/1000</f>
        <v>9753.0293052568995</v>
      </c>
      <c r="BF770" s="93"/>
      <c r="BG770" s="93"/>
      <c r="BH770" s="93"/>
      <c r="BI770" s="93"/>
      <c r="BJ770" s="115">
        <f ca="1">SUMPRODUCT(BJ762:BJ763,BJ767:BJ768)*365/1000</f>
        <v>8379.2743195521325</v>
      </c>
      <c r="BK770" s="93"/>
      <c r="BL770" s="93"/>
      <c r="BM770" s="93"/>
      <c r="BN770" s="93"/>
      <c r="BO770" s="115">
        <f ca="1">SUMPRODUCT(BO762:BO763,BO767:BO768)*365/1000</f>
        <v>10696.542133925286</v>
      </c>
      <c r="BP770" s="65">
        <f ca="1">SUMPRODUCT(BP762:BP763,BP767:BP768)*90/1000</f>
        <v>3105.3742433953907</v>
      </c>
      <c r="BQ770" s="65">
        <f ca="1">SUMPRODUCT(BQ762:BQ763,BQ767:BQ768)*91/1000</f>
        <v>3167.3127622767424</v>
      </c>
      <c r="BR770" s="65">
        <f ca="1">SUMPRODUCT(BR762:BR763,BR767:BR768)*92/1000</f>
        <v>3161.2283466907725</v>
      </c>
      <c r="BS770" s="65">
        <f ca="1">SUMPRODUCT(BS762:BS763,BS767:BS768)*92/1000</f>
        <v>3168.2554876309996</v>
      </c>
      <c r="BT770" s="115">
        <f ca="1">SUM(BP770:BS770)</f>
        <v>12602.170839993905</v>
      </c>
      <c r="BU770" s="65">
        <f ca="1">SUMPRODUCT(BU762:BU763,BU767:BU768)*90/1000</f>
        <v>3156.2702903064551</v>
      </c>
      <c r="BV770" s="65">
        <f ca="1">SUMPRODUCT(BV762:BV763,BV767:BV768)*91/1000</f>
        <v>3141.8591458288911</v>
      </c>
      <c r="BW770" s="65">
        <f ca="1">SUMPRODUCT(BW762:BW763,BW767:BW768)*92/1000</f>
        <v>3160.2881847634317</v>
      </c>
      <c r="BX770" s="65">
        <f ca="1">SUMPRODUCT(BX762:BX763,BX767:BX768)*92/1000</f>
        <v>3212.4000854986944</v>
      </c>
      <c r="BY770" s="115">
        <f ca="1">SUM(BU770:BX770)</f>
        <v>12670.817706397473</v>
      </c>
      <c r="BZ770" s="65">
        <f ca="1">SUMPRODUCT(BZ762:BZ763,BZ767:BZ768)*90/1000</f>
        <v>3225.132309889012</v>
      </c>
      <c r="CA770" s="65">
        <f ca="1">SUMPRODUCT(CA762:CA763,CA767:CA768)*91/1000</f>
        <v>3235.1711755070319</v>
      </c>
      <c r="CB770" s="65">
        <f ca="1">SUMPRODUCT(CB762:CB763,CB767:CB768)*92/1000</f>
        <v>3278.1001952485526</v>
      </c>
      <c r="CC770" s="65">
        <f ca="1">SUMPRODUCT(CC762:CC763,CC767:CC768)*92/1000</f>
        <v>3353.0225394777199</v>
      </c>
      <c r="CD770" s="115">
        <f ca="1">SUM(BZ770:CC770)</f>
        <v>13091.426220122317</v>
      </c>
    </row>
    <row r="771" spans="1:82" hidden="1" outlineLevel="1">
      <c r="A771" s="11" t="s">
        <v>550</v>
      </c>
      <c r="B771" s="11"/>
      <c r="C771" s="72"/>
      <c r="D771" s="72"/>
      <c r="E771" s="72"/>
      <c r="F771" s="72"/>
      <c r="G771" s="72"/>
      <c r="H771" s="93"/>
      <c r="I771" s="93"/>
      <c r="J771" s="93"/>
      <c r="K771" s="93"/>
      <c r="L771" s="72"/>
      <c r="M771" s="93"/>
      <c r="N771" s="93"/>
      <c r="O771" s="93"/>
      <c r="P771" s="93"/>
      <c r="Q771" s="72"/>
      <c r="R771" s="93"/>
      <c r="S771" s="93"/>
      <c r="T771" s="93"/>
      <c r="U771" s="93"/>
      <c r="V771" s="72"/>
      <c r="W771" s="93"/>
      <c r="X771" s="93"/>
      <c r="Y771" s="93"/>
      <c r="Z771" s="93"/>
      <c r="AA771" s="116">
        <f>AA739/AA770-1</f>
        <v>-0.2462725202805599</v>
      </c>
      <c r="AB771" s="93"/>
      <c r="AC771" s="93"/>
      <c r="AD771" s="93"/>
      <c r="AE771" s="93"/>
      <c r="AF771" s="116">
        <f>AF739/AF770-1</f>
        <v>-0.27370451118658912</v>
      </c>
      <c r="AG771" s="93"/>
      <c r="AH771" s="93"/>
      <c r="AI771" s="93"/>
      <c r="AJ771" s="93"/>
      <c r="AK771" s="116">
        <f>AK739/AK770-1</f>
        <v>-0.2594302260733754</v>
      </c>
      <c r="AL771" s="93"/>
      <c r="AM771" s="93"/>
      <c r="AN771" s="93"/>
      <c r="AO771" s="93"/>
      <c r="AP771" s="116">
        <f>AP739/AP770-1</f>
        <v>-0.45088539384236681</v>
      </c>
      <c r="AQ771" s="93"/>
      <c r="AR771" s="93"/>
      <c r="AS771" s="93"/>
      <c r="AT771" s="93"/>
      <c r="AU771" s="116">
        <f>AU739/AU770-1</f>
        <v>-0.45379469657345906</v>
      </c>
      <c r="AV771" s="93"/>
      <c r="AW771" s="93"/>
      <c r="AX771" s="93"/>
      <c r="AY771" s="93"/>
      <c r="AZ771" s="116">
        <f>AZ739/AZ770-1</f>
        <v>-0.37894597550479181</v>
      </c>
      <c r="BA771" s="93"/>
      <c r="BB771" s="93"/>
      <c r="BC771" s="93"/>
      <c r="BD771" s="93"/>
      <c r="BE771" s="116">
        <f ca="1">BE739/BE770-1</f>
        <v>-0.11904294234316537</v>
      </c>
      <c r="BF771" s="93"/>
      <c r="BG771" s="93"/>
      <c r="BH771" s="93"/>
      <c r="BI771" s="93"/>
      <c r="BJ771" s="116">
        <f ca="1">BJ739/BJ770-1</f>
        <v>-2.9868257083807914E-2</v>
      </c>
      <c r="BK771" s="93"/>
      <c r="BL771" s="93"/>
      <c r="BM771" s="93"/>
      <c r="BN771" s="93"/>
      <c r="BO771" s="116">
        <f ca="1">BO739/BO770-1</f>
        <v>7.8572856120400658E-2</v>
      </c>
      <c r="BP771" s="117">
        <f>BT771</f>
        <v>-0.2</v>
      </c>
      <c r="BQ771" s="117">
        <f>BT771</f>
        <v>-0.2</v>
      </c>
      <c r="BR771" s="117">
        <f>BT771</f>
        <v>-0.2</v>
      </c>
      <c r="BS771" s="117">
        <f>BT771</f>
        <v>-0.2</v>
      </c>
      <c r="BT771" s="118">
        <v>-0.2</v>
      </c>
      <c r="BU771" s="117">
        <f>BY771</f>
        <v>-0.2</v>
      </c>
      <c r="BV771" s="117">
        <f>BY771</f>
        <v>-0.2</v>
      </c>
      <c r="BW771" s="117">
        <f>BY771</f>
        <v>-0.2</v>
      </c>
      <c r="BX771" s="117">
        <f>BY771</f>
        <v>-0.2</v>
      </c>
      <c r="BY771" s="118">
        <v>-0.2</v>
      </c>
      <c r="BZ771" s="117">
        <f>CD771</f>
        <v>-0.2</v>
      </c>
      <c r="CA771" s="117">
        <f>CD771</f>
        <v>-0.2</v>
      </c>
      <c r="CB771" s="117">
        <f>CD771</f>
        <v>-0.2</v>
      </c>
      <c r="CC771" s="117">
        <f>CD771</f>
        <v>-0.2</v>
      </c>
      <c r="CD771" s="118">
        <v>-0.2</v>
      </c>
    </row>
    <row r="772" spans="1:82" hidden="1" outlineLevel="1">
      <c r="A772" s="11"/>
      <c r="B772" s="11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116"/>
      <c r="AB772" s="5"/>
      <c r="AC772" s="5"/>
      <c r="AD772" s="5"/>
      <c r="AE772" s="5"/>
      <c r="AF772" s="116"/>
      <c r="AG772" s="5"/>
      <c r="AH772" s="5"/>
      <c r="AI772" s="5"/>
      <c r="AJ772" s="5"/>
      <c r="AK772" s="116"/>
      <c r="AL772" s="5"/>
      <c r="AM772" s="5"/>
      <c r="AN772" s="5"/>
      <c r="AO772" s="5"/>
      <c r="AP772" s="116"/>
      <c r="AQ772" s="5"/>
      <c r="AR772" s="5"/>
      <c r="AS772" s="5"/>
      <c r="AT772" s="5"/>
      <c r="AU772" s="116"/>
      <c r="AV772" s="5"/>
      <c r="AW772" s="5"/>
      <c r="AX772" s="5"/>
      <c r="AY772" s="5"/>
      <c r="AZ772" s="116"/>
      <c r="BA772" s="5"/>
      <c r="BB772" s="5"/>
      <c r="BC772" s="5"/>
      <c r="BD772" s="5"/>
      <c r="BE772" s="116"/>
      <c r="BF772" s="5"/>
      <c r="BG772" s="5"/>
      <c r="BH772" s="5"/>
      <c r="BI772" s="5"/>
      <c r="BJ772" s="116"/>
      <c r="BK772" s="5"/>
      <c r="BL772" s="5"/>
      <c r="BM772" s="5"/>
      <c r="BN772" s="5"/>
      <c r="BO772" s="116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</row>
    <row r="773" spans="1:82" hidden="1" outlineLevel="1">
      <c r="A773" s="39" t="s">
        <v>3090</v>
      </c>
      <c r="B773" s="11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</row>
    <row r="774" spans="1:82" hidden="1" outlineLevel="1">
      <c r="A774" s="11"/>
      <c r="B774" s="11" t="s">
        <v>1897</v>
      </c>
      <c r="C774" s="72"/>
      <c r="D774" s="72"/>
      <c r="E774" s="72"/>
      <c r="F774" s="72"/>
      <c r="G774" s="72"/>
      <c r="H774" s="93"/>
      <c r="I774" s="93"/>
      <c r="J774" s="93"/>
      <c r="K774" s="93"/>
      <c r="L774" s="72"/>
      <c r="M774" s="93"/>
      <c r="N774" s="93"/>
      <c r="O774" s="93"/>
      <c r="P774" s="93"/>
      <c r="Q774" s="72"/>
      <c r="R774" s="93"/>
      <c r="S774" s="93"/>
      <c r="T774" s="93"/>
      <c r="U774" s="93"/>
      <c r="V774" s="72"/>
      <c r="W774" s="93"/>
      <c r="X774" s="93"/>
      <c r="Y774" s="93"/>
      <c r="Z774" s="93"/>
      <c r="AA774" s="119">
        <f>-1000*AA741/(AA764*365)</f>
        <v>0.10742649469750631</v>
      </c>
      <c r="AB774" s="93"/>
      <c r="AC774" s="93"/>
      <c r="AD774" s="93"/>
      <c r="AE774" s="93"/>
      <c r="AF774" s="119">
        <f>-1000*AF741/(AF764*365)</f>
        <v>0.11340573050887889</v>
      </c>
      <c r="AG774" s="93"/>
      <c r="AH774" s="93"/>
      <c r="AI774" s="93"/>
      <c r="AJ774" s="93"/>
      <c r="AK774" s="119">
        <f>-1000*AK741/(AK764*365)</f>
        <v>0.20015913034308885</v>
      </c>
      <c r="AL774" s="93"/>
      <c r="AM774" s="93"/>
      <c r="AN774" s="93"/>
      <c r="AO774" s="93"/>
      <c r="AP774" s="119">
        <f>-1000*AP741/(AP764*365)</f>
        <v>0.25748479269228181</v>
      </c>
      <c r="AQ774" s="93"/>
      <c r="AR774" s="93"/>
      <c r="AS774" s="93"/>
      <c r="AT774" s="93"/>
      <c r="AU774" s="119">
        <f>-1000*AU741/(AU764*365)</f>
        <v>0.35401934026839199</v>
      </c>
      <c r="AV774" s="93"/>
      <c r="AW774" s="93"/>
      <c r="AX774" s="93"/>
      <c r="AY774" s="93"/>
      <c r="AZ774" s="119">
        <f>-1000*AZ741/(AZ764*365)</f>
        <v>0.16853219053885779</v>
      </c>
      <c r="BA774" s="93"/>
      <c r="BB774" s="93"/>
      <c r="BC774" s="93"/>
      <c r="BD774" s="93"/>
      <c r="BE774" s="119">
        <f>-1000*BE741/(BE764*365)</f>
        <v>0.13980464433253478</v>
      </c>
      <c r="BF774" s="93"/>
      <c r="BG774" s="93"/>
      <c r="BH774" s="93"/>
      <c r="BI774" s="93"/>
      <c r="BJ774" s="119">
        <f>-1000*BJ741/(BJ764*365)</f>
        <v>0.12916932985615437</v>
      </c>
      <c r="BK774" s="93"/>
      <c r="BL774" s="93"/>
      <c r="BM774" s="93"/>
      <c r="BN774" s="93"/>
      <c r="BO774" s="119">
        <f>-1000*BO741/(BO764*365)</f>
        <v>0.14310878107451194</v>
      </c>
      <c r="BP774" s="114">
        <f>-1000*BP741/(BP$874*90)</f>
        <v>9.6358501544725639E-2</v>
      </c>
      <c r="BQ774" s="114">
        <f>-1000*BQ741/(BQ$874*91)</f>
        <v>9.6769658850435952E-2</v>
      </c>
      <c r="BR774" s="114">
        <f>-1000*BR741/(BR$874*92)</f>
        <v>9.6082921329269572E-2</v>
      </c>
      <c r="BS774" s="114">
        <f>-1000*BS741/(BS$874*92)</f>
        <v>9.4165685426230564E-2</v>
      </c>
      <c r="BT774" s="119">
        <f>-1000*BT741/(BT764*365)</f>
        <v>9.7519601039876169E-2</v>
      </c>
      <c r="BU774" s="114">
        <f>-1000*BU741/(BU$874*90)</f>
        <v>9.3072832926143129E-2</v>
      </c>
      <c r="BV774" s="114">
        <f>-1000*BV741/(BV$874*91)</f>
        <v>9.3593257545673436E-2</v>
      </c>
      <c r="BW774" s="114">
        <f>-1000*BW741/(BW$874*92)</f>
        <v>9.2959849447326368E-2</v>
      </c>
      <c r="BX774" s="114">
        <f>-1000*BX741/(BX$874*92)</f>
        <v>9.0946708573107077E-2</v>
      </c>
      <c r="BY774" s="119">
        <f>-1000*BY741/(BY764*365)</f>
        <v>9.2629401321831312E-2</v>
      </c>
      <c r="BZ774" s="114">
        <f>-1000*BZ741/(BZ$874*90)</f>
        <v>9.0743835425209321E-2</v>
      </c>
      <c r="CA774" s="114">
        <f>-1000*CA741/(CA$874*91)</f>
        <v>9.1332759900602925E-2</v>
      </c>
      <c r="CB774" s="114">
        <f>-1000*CB741/(CB$874*92)</f>
        <v>9.0735037752237152E-2</v>
      </c>
      <c r="CC774" s="114">
        <f>-1000*CC741/(CC$874*92)</f>
        <v>8.8665583854651661E-2</v>
      </c>
      <c r="CD774" s="119">
        <f>-1000*CD741/(CD764*365)</f>
        <v>9.0355076759682976E-2</v>
      </c>
    </row>
    <row r="775" spans="1:82" hidden="1" outlineLevel="1">
      <c r="A775" s="11"/>
      <c r="B775" s="11" t="s">
        <v>2149</v>
      </c>
      <c r="C775" s="72"/>
      <c r="D775" s="72"/>
      <c r="E775" s="72"/>
      <c r="F775" s="72"/>
      <c r="G775" s="72"/>
      <c r="H775" s="93"/>
      <c r="I775" s="93"/>
      <c r="J775" s="93"/>
      <c r="K775" s="93"/>
      <c r="L775" s="72"/>
      <c r="M775" s="93"/>
      <c r="N775" s="93"/>
      <c r="O775" s="93"/>
      <c r="P775" s="93"/>
      <c r="Q775" s="72"/>
      <c r="R775" s="93"/>
      <c r="S775" s="93"/>
      <c r="T775" s="93"/>
      <c r="U775" s="93"/>
      <c r="V775" s="72"/>
      <c r="W775" s="93"/>
      <c r="X775" s="93"/>
      <c r="Y775" s="93"/>
      <c r="Z775" s="93"/>
      <c r="AA775" s="119">
        <f>-1000*AA742/(AA764*365)</f>
        <v>4.1460820115686223</v>
      </c>
      <c r="AB775" s="93"/>
      <c r="AC775" s="93"/>
      <c r="AD775" s="93"/>
      <c r="AE775" s="93"/>
      <c r="AF775" s="119">
        <f>-1000*AF742/(AF764*365)</f>
        <v>4.5418995068805996</v>
      </c>
      <c r="AG775" s="93"/>
      <c r="AH775" s="93"/>
      <c r="AI775" s="93"/>
      <c r="AJ775" s="93"/>
      <c r="AK775" s="119">
        <f>-1000*AK742/(AK764*365)</f>
        <v>5.1318577029630834</v>
      </c>
      <c r="AL775" s="93"/>
      <c r="AM775" s="93"/>
      <c r="AN775" s="93"/>
      <c r="AO775" s="93"/>
      <c r="AP775" s="119">
        <f>-1000*AP742/(AP764*365)</f>
        <v>4.4436891642055087</v>
      </c>
      <c r="AQ775" s="93"/>
      <c r="AR775" s="93"/>
      <c r="AS775" s="93"/>
      <c r="AT775" s="93"/>
      <c r="AU775" s="119">
        <f>-1000*AU742/(AU764*365)</f>
        <v>3.3069901864753759</v>
      </c>
      <c r="AV775" s="93"/>
      <c r="AW775" s="93"/>
      <c r="AX775" s="93"/>
      <c r="AY775" s="93"/>
      <c r="AZ775" s="119">
        <f>-1000*AZ742/(AZ764*365)</f>
        <v>3.5826681795195898</v>
      </c>
      <c r="BA775" s="93"/>
      <c r="BB775" s="93"/>
      <c r="BC775" s="93"/>
      <c r="BD775" s="93"/>
      <c r="BE775" s="119">
        <f>-1000*BE742/(BE764*365)</f>
        <v>2.9117005733102919</v>
      </c>
      <c r="BF775" s="93"/>
      <c r="BG775" s="93"/>
      <c r="BH775" s="93"/>
      <c r="BI775" s="93"/>
      <c r="BJ775" s="119">
        <f>-1000*BJ742/(BJ764*365)</f>
        <v>2.8572255764181347</v>
      </c>
      <c r="BK775" s="93"/>
      <c r="BL775" s="93"/>
      <c r="BM775" s="93"/>
      <c r="BN775" s="93"/>
      <c r="BO775" s="119">
        <f>-1000*BO742/(BO764*365)</f>
        <v>3.454015326272966</v>
      </c>
      <c r="BP775" s="109">
        <f>BT775</f>
        <v>3.454015326272966</v>
      </c>
      <c r="BQ775" s="109">
        <f>BT775</f>
        <v>3.454015326272966</v>
      </c>
      <c r="BR775" s="109">
        <f>BT775</f>
        <v>3.454015326272966</v>
      </c>
      <c r="BS775" s="109">
        <f>BT775</f>
        <v>3.454015326272966</v>
      </c>
      <c r="BT775" s="120">
        <f>BO775</f>
        <v>3.454015326272966</v>
      </c>
      <c r="BU775" s="109">
        <f>BY775</f>
        <v>3.54036570942979</v>
      </c>
      <c r="BV775" s="109">
        <f>BY775</f>
        <v>3.54036570942979</v>
      </c>
      <c r="BW775" s="109">
        <f>BY775</f>
        <v>3.54036570942979</v>
      </c>
      <c r="BX775" s="109">
        <f>BY775</f>
        <v>3.54036570942979</v>
      </c>
      <c r="BY775" s="120">
        <f>BT775*(1+2.5%)</f>
        <v>3.54036570942979</v>
      </c>
      <c r="BZ775" s="109">
        <f>CD775</f>
        <v>3.6288748521655343</v>
      </c>
      <c r="CA775" s="109">
        <f>CD775</f>
        <v>3.6288748521655343</v>
      </c>
      <c r="CB775" s="109">
        <f>CD775</f>
        <v>3.6288748521655343</v>
      </c>
      <c r="CC775" s="109">
        <f>CD775</f>
        <v>3.6288748521655343</v>
      </c>
      <c r="CD775" s="120">
        <f>BY775*(1+2.5%)</f>
        <v>3.6288748521655343</v>
      </c>
    </row>
    <row r="776" spans="1:82" hidden="1" outlineLevel="1">
      <c r="A776" s="11"/>
      <c r="B776" s="11" t="s">
        <v>2150</v>
      </c>
      <c r="C776" s="72"/>
      <c r="D776" s="72"/>
      <c r="E776" s="72"/>
      <c r="F776" s="72"/>
      <c r="G776" s="72"/>
      <c r="H776" s="93"/>
      <c r="I776" s="93"/>
      <c r="J776" s="93"/>
      <c r="K776" s="93"/>
      <c r="L776" s="72"/>
      <c r="M776" s="93"/>
      <c r="N776" s="93"/>
      <c r="O776" s="93"/>
      <c r="P776" s="93"/>
      <c r="Q776" s="72"/>
      <c r="R776" s="93"/>
      <c r="S776" s="93"/>
      <c r="T776" s="93"/>
      <c r="U776" s="93"/>
      <c r="V776" s="72"/>
      <c r="W776" s="93"/>
      <c r="X776" s="93"/>
      <c r="Y776" s="93"/>
      <c r="Z776" s="93"/>
      <c r="AA776" s="119">
        <f>-1000*AA743/(AA764*365)</f>
        <v>7.5401785602547005</v>
      </c>
      <c r="AB776" s="93"/>
      <c r="AC776" s="93"/>
      <c r="AD776" s="93"/>
      <c r="AE776" s="93"/>
      <c r="AF776" s="119">
        <f>-1000*AF743/(AF764*365)</f>
        <v>10.112956018129275</v>
      </c>
      <c r="AG776" s="93"/>
      <c r="AH776" s="93"/>
      <c r="AI776" s="93"/>
      <c r="AJ776" s="93"/>
      <c r="AK776" s="119">
        <f>-1000*AK743/(AK764*365)</f>
        <v>13.899939607158947</v>
      </c>
      <c r="AL776" s="93"/>
      <c r="AM776" s="93"/>
      <c r="AN776" s="93"/>
      <c r="AO776" s="93"/>
      <c r="AP776" s="119">
        <f>-1000*AP743/(AP764*365)</f>
        <v>12.182076213398279</v>
      </c>
      <c r="AQ776" s="93"/>
      <c r="AR776" s="93"/>
      <c r="AS776" s="93"/>
      <c r="AT776" s="93"/>
      <c r="AU776" s="119">
        <f>-1000*AU743/(AU764*365)</f>
        <v>12.674454317069177</v>
      </c>
      <c r="AV776" s="93"/>
      <c r="AW776" s="93"/>
      <c r="AX776" s="93"/>
      <c r="AY776" s="93"/>
      <c r="AZ776" s="119">
        <f>-1000*AZ743/(AZ764*365)</f>
        <v>14.173013572090396</v>
      </c>
      <c r="BA776" s="93"/>
      <c r="BB776" s="93"/>
      <c r="BC776" s="93"/>
      <c r="BD776" s="93"/>
      <c r="BE776" s="119">
        <f>-1000*BE743/(BE764*365)</f>
        <v>10.514922384318146</v>
      </c>
      <c r="BF776" s="93"/>
      <c r="BG776" s="93"/>
      <c r="BH776" s="93"/>
      <c r="BI776" s="93"/>
      <c r="BJ776" s="119">
        <f>-1000*BJ743/(BJ764*365)</f>
        <v>8.76026395084439</v>
      </c>
      <c r="BK776" s="93"/>
      <c r="BL776" s="93"/>
      <c r="BM776" s="93"/>
      <c r="BN776" s="93"/>
      <c r="BO776" s="119">
        <f>-1000*BO743/(BO764*365)</f>
        <v>13.854870466061223</v>
      </c>
      <c r="BP776" s="114">
        <f ca="1">-1000*BP743/(BP$874*90)</f>
        <v>10.772251517849975</v>
      </c>
      <c r="BQ776" s="114">
        <f ca="1">-1000*BQ743/(BQ$874*91)</f>
        <v>11.033991917213482</v>
      </c>
      <c r="BR776" s="114">
        <f ca="1">-1000*BR743/(BR$874*92)</f>
        <v>10.934641963402072</v>
      </c>
      <c r="BS776" s="114">
        <f ca="1">-1000*BS743/(BS$874*92)</f>
        <v>10.740274185534819</v>
      </c>
      <c r="BT776" s="119">
        <f ca="1">-1000*BT743/(BT764*365)</f>
        <v>11.060628052973103</v>
      </c>
      <c r="BU776" s="114">
        <f ca="1">-1000*BU743/(BU$874*90)</f>
        <v>10.575468626379912</v>
      </c>
      <c r="BV776" s="114">
        <f ca="1">-1000*BV743/(BV$874*91)</f>
        <v>10.586045959480547</v>
      </c>
      <c r="BW776" s="114">
        <f ca="1">-1000*BW743/(BW$874*92)</f>
        <v>10.576076899167829</v>
      </c>
      <c r="BX776" s="114">
        <f ca="1">-1000*BX743/(BX$874*92)</f>
        <v>10.517659718258665</v>
      </c>
      <c r="BY776" s="119">
        <f ca="1">-1000*BY743/(BY764*365)</f>
        <v>10.56321232561492</v>
      </c>
      <c r="BZ776" s="114">
        <f ca="1">-1000*BZ743/(BZ$874*90)</f>
        <v>10.535791519911372</v>
      </c>
      <c r="CA776" s="114">
        <f ca="1">-1000*CA743/(CA$874*91)</f>
        <v>10.637176039557664</v>
      </c>
      <c r="CB776" s="114">
        <f ca="1">-1000*CB743/(CB$874*92)</f>
        <v>10.707787618973766</v>
      </c>
      <c r="CC776" s="114">
        <f ca="1">-1000*CC743/(CC$874*92)</f>
        <v>10.70271724106156</v>
      </c>
      <c r="CD776" s="119">
        <f ca="1">-1000*CD743/(CD764*365)</f>
        <v>10.645891389115908</v>
      </c>
    </row>
    <row r="777" spans="1:82" hidden="1" outlineLevel="1">
      <c r="A777" s="11"/>
      <c r="B777" s="11" t="s">
        <v>2158</v>
      </c>
      <c r="C777" s="72"/>
      <c r="D777" s="72"/>
      <c r="E777" s="72"/>
      <c r="F777" s="72"/>
      <c r="G777" s="72"/>
      <c r="H777" s="93"/>
      <c r="I777" s="93"/>
      <c r="J777" s="93"/>
      <c r="K777" s="93"/>
      <c r="L777" s="72"/>
      <c r="M777" s="93"/>
      <c r="N777" s="93"/>
      <c r="O777" s="93"/>
      <c r="P777" s="93"/>
      <c r="Q777" s="72"/>
      <c r="R777" s="93"/>
      <c r="S777" s="93"/>
      <c r="T777" s="93"/>
      <c r="U777" s="93"/>
      <c r="V777" s="72"/>
      <c r="W777" s="93"/>
      <c r="X777" s="93"/>
      <c r="Y777" s="93"/>
      <c r="Z777" s="93"/>
      <c r="AA777" s="119">
        <f>-1000*AA744/(AA764*365)</f>
        <v>3.4841025307299343E-2</v>
      </c>
      <c r="AB777" s="93"/>
      <c r="AC777" s="93"/>
      <c r="AD777" s="93"/>
      <c r="AE777" s="93"/>
      <c r="AF777" s="119">
        <f>-1000*AF744/(AF764*365)</f>
        <v>8.5054297881659163E-3</v>
      </c>
      <c r="AG777" s="93"/>
      <c r="AH777" s="93"/>
      <c r="AI777" s="93"/>
      <c r="AJ777" s="93"/>
      <c r="AK777" s="119">
        <f>-1000*AK744/(AK764*365)</f>
        <v>5.5599758428635793E-3</v>
      </c>
      <c r="AL777" s="93"/>
      <c r="AM777" s="93"/>
      <c r="AN777" s="93"/>
      <c r="AO777" s="93"/>
      <c r="AP777" s="119">
        <f>-1000*AP744/(AP764*365)</f>
        <v>-6.6447688436717889E-2</v>
      </c>
      <c r="AQ777" s="93"/>
      <c r="AR777" s="93"/>
      <c r="AS777" s="93"/>
      <c r="AT777" s="93"/>
      <c r="AU777" s="119">
        <f>-1000*AU744/(AU764*365)</f>
        <v>0.2641096665494353</v>
      </c>
      <c r="AV777" s="93"/>
      <c r="AW777" s="93"/>
      <c r="AX777" s="93"/>
      <c r="AY777" s="93"/>
      <c r="AZ777" s="119">
        <f>-1000*AZ744/(AZ764*365)</f>
        <v>0.82091486359250088</v>
      </c>
      <c r="BA777" s="93"/>
      <c r="BB777" s="93"/>
      <c r="BC777" s="93"/>
      <c r="BD777" s="93"/>
      <c r="BE777" s="119">
        <f>-1000*BE744/(BE764*365)</f>
        <v>0.76354844212384387</v>
      </c>
      <c r="BF777" s="93"/>
      <c r="BG777" s="93"/>
      <c r="BH777" s="93"/>
      <c r="BI777" s="93"/>
      <c r="BJ777" s="119">
        <f>-1000*BJ744/(BJ764*365)</f>
        <v>0.95068626774129616</v>
      </c>
      <c r="BK777" s="93"/>
      <c r="BL777" s="93"/>
      <c r="BM777" s="93"/>
      <c r="BN777" s="93"/>
      <c r="BO777" s="119">
        <f>-1000*BO744/(BO764*365)</f>
        <v>0.99205917727924375</v>
      </c>
      <c r="BP777" s="114">
        <f>-1000*BP744/(BP$874*90)</f>
        <v>0.9852656782948197</v>
      </c>
      <c r="BQ777" s="114">
        <f>-1000*BQ744/(BQ$874*91)</f>
        <v>0.98946976174570755</v>
      </c>
      <c r="BR777" s="114">
        <f>-1000*BR744/(BR$874*92)</f>
        <v>0.98244787059178129</v>
      </c>
      <c r="BS777" s="114">
        <f>-1000*BS744/(BS$874*92)</f>
        <v>0.96284413348320752</v>
      </c>
      <c r="BT777" s="104">
        <f>-1000*BT744/(BT764*365)</f>
        <v>0.99713792063273388</v>
      </c>
      <c r="BU777" s="114">
        <f>-1000*BU744/(BU$874*90)</f>
        <v>0.95166971666981359</v>
      </c>
      <c r="BV777" s="114">
        <f>-1000*BV744/(BV$874*91)</f>
        <v>0.95699105840451082</v>
      </c>
      <c r="BW777" s="114">
        <f>-1000*BW744/(BW$874*92)</f>
        <v>0.9505144605989122</v>
      </c>
      <c r="BX777" s="114">
        <f>-1000*BX744/(BX$874*92)</f>
        <v>0.92993009516001979</v>
      </c>
      <c r="BY777" s="104">
        <f>-1000*BY744/(BY764*365)</f>
        <v>0.94713562851572519</v>
      </c>
      <c r="BZ777" s="114">
        <f>-1000*BZ744/(BZ$874*90)</f>
        <v>0.92785571722276527</v>
      </c>
      <c r="CA777" s="114">
        <f>-1000*CA744/(CA$874*91)</f>
        <v>0.93387746998366494</v>
      </c>
      <c r="CB777" s="114">
        <f>-1000*CB744/(CB$874*92)</f>
        <v>0.92776576101662478</v>
      </c>
      <c r="CC777" s="114">
        <f>-1000*CC744/(CC$874*92)</f>
        <v>0.90660559491381332</v>
      </c>
      <c r="CD777" s="104">
        <f>-1000*CD744/(CD764*365)</f>
        <v>0.92388065986775847</v>
      </c>
    </row>
    <row r="778" spans="1:82" hidden="1" outlineLevel="1">
      <c r="A778" s="11"/>
      <c r="B778" s="11" t="s">
        <v>2154</v>
      </c>
      <c r="C778" s="72"/>
      <c r="D778" s="72"/>
      <c r="E778" s="72"/>
      <c r="F778" s="72"/>
      <c r="G778" s="72"/>
      <c r="H778" s="93"/>
      <c r="I778" s="93"/>
      <c r="J778" s="93"/>
      <c r="K778" s="93"/>
      <c r="L778" s="72"/>
      <c r="M778" s="93"/>
      <c r="N778" s="93"/>
      <c r="O778" s="93"/>
      <c r="P778" s="93"/>
      <c r="Q778" s="72"/>
      <c r="R778" s="93"/>
      <c r="S778" s="93"/>
      <c r="T778" s="93"/>
      <c r="U778" s="93"/>
      <c r="V778" s="72"/>
      <c r="W778" s="93"/>
      <c r="X778" s="93"/>
      <c r="Y778" s="93"/>
      <c r="Z778" s="93"/>
      <c r="AA778" s="119">
        <f>-1000*AA745/(AA764*365)</f>
        <v>3.1153683462276831</v>
      </c>
      <c r="AB778" s="93"/>
      <c r="AC778" s="93"/>
      <c r="AD778" s="93"/>
      <c r="AE778" s="93"/>
      <c r="AF778" s="119">
        <f>-1000*AF745/(AF764*365)</f>
        <v>2.7047266726367614</v>
      </c>
      <c r="AG778" s="93"/>
      <c r="AH778" s="93"/>
      <c r="AI778" s="93"/>
      <c r="AJ778" s="93"/>
      <c r="AK778" s="119">
        <f>-1000*AK745/(AK764*365)</f>
        <v>2.7466280663746079</v>
      </c>
      <c r="AL778" s="93"/>
      <c r="AM778" s="93"/>
      <c r="AN778" s="93"/>
      <c r="AO778" s="93"/>
      <c r="AP778" s="119">
        <f>-1000*AP745/(AP764*365)</f>
        <v>2.1761617963025111</v>
      </c>
      <c r="AQ778" s="93"/>
      <c r="AR778" s="93"/>
      <c r="AS778" s="93"/>
      <c r="AT778" s="93"/>
      <c r="AU778" s="119">
        <f>-1000*AU745/(AU764*365)</f>
        <v>3.4615224381798329</v>
      </c>
      <c r="AV778" s="93"/>
      <c r="AW778" s="93"/>
      <c r="AX778" s="93"/>
      <c r="AY778" s="93"/>
      <c r="AZ778" s="119">
        <f>-1000*AZ745/(AZ764*365)</f>
        <v>4.101856056824781</v>
      </c>
      <c r="BA778" s="93"/>
      <c r="BB778" s="93"/>
      <c r="BC778" s="93"/>
      <c r="BD778" s="93"/>
      <c r="BE778" s="119">
        <f>-1000*BE745/(BE764*365)</f>
        <v>2.6670424457283559</v>
      </c>
      <c r="BF778" s="93"/>
      <c r="BG778" s="93"/>
      <c r="BH778" s="93"/>
      <c r="BI778" s="93"/>
      <c r="BJ778" s="119">
        <f>-1000*BJ745/(BJ764*365)</f>
        <v>2.7693904321159497</v>
      </c>
      <c r="BK778" s="93"/>
      <c r="BL778" s="93"/>
      <c r="BM778" s="93"/>
      <c r="BN778" s="93"/>
      <c r="BO778" s="119">
        <f>-1000*BO745/(BO764*365)</f>
        <v>3.732956170740235</v>
      </c>
      <c r="BP778" s="109">
        <f>BT778</f>
        <v>2.769831800676684</v>
      </c>
      <c r="BQ778" s="109">
        <f>BT778</f>
        <v>2.769831800676684</v>
      </c>
      <c r="BR778" s="109">
        <f>BT778</f>
        <v>2.769831800676684</v>
      </c>
      <c r="BS778" s="109">
        <f>BT778</f>
        <v>2.769831800676684</v>
      </c>
      <c r="BT778" s="120">
        <f>+BT$781</f>
        <v>2.769831800676684</v>
      </c>
      <c r="BU778" s="109">
        <f>BY778</f>
        <v>2.8002649649901881</v>
      </c>
      <c r="BV778" s="109">
        <f>BY778</f>
        <v>2.8002649649901881</v>
      </c>
      <c r="BW778" s="109">
        <f>BY778</f>
        <v>2.8002649649901881</v>
      </c>
      <c r="BX778" s="109">
        <f>BY778</f>
        <v>2.8002649649901881</v>
      </c>
      <c r="BY778" s="120">
        <f>+BY$781</f>
        <v>2.8002649649901881</v>
      </c>
      <c r="BZ778" s="109">
        <f>CD778</f>
        <v>2.8306981293036921</v>
      </c>
      <c r="CA778" s="109">
        <f>CD778</f>
        <v>2.8306981293036921</v>
      </c>
      <c r="CB778" s="109">
        <f>CD778</f>
        <v>2.8306981293036921</v>
      </c>
      <c r="CC778" s="109">
        <f>CD778</f>
        <v>2.8306981293036921</v>
      </c>
      <c r="CD778" s="120">
        <f>+CD$781</f>
        <v>2.8306981293036921</v>
      </c>
    </row>
    <row r="779" spans="1:82" hidden="1" outlineLevel="1">
      <c r="A779" s="11"/>
      <c r="B779" s="4" t="s">
        <v>930</v>
      </c>
      <c r="C779" s="72"/>
      <c r="D779" s="72"/>
      <c r="E779" s="72"/>
      <c r="F779" s="72"/>
      <c r="G779" s="72"/>
      <c r="H779" s="93"/>
      <c r="I779" s="93"/>
      <c r="J779" s="93"/>
      <c r="K779" s="93"/>
      <c r="L779" s="72"/>
      <c r="M779" s="93"/>
      <c r="N779" s="93"/>
      <c r="O779" s="93"/>
      <c r="P779" s="93"/>
      <c r="Q779" s="72"/>
      <c r="R779" s="93"/>
      <c r="S779" s="93"/>
      <c r="T779" s="93"/>
      <c r="U779" s="93"/>
      <c r="V779" s="72"/>
      <c r="W779" s="93"/>
      <c r="X779" s="93"/>
      <c r="Y779" s="93"/>
      <c r="Z779" s="93"/>
      <c r="AA779" s="119">
        <f>-1000*AA746/(AA764*365)</f>
        <v>0.20904615184379607</v>
      </c>
      <c r="AB779" s="93"/>
      <c r="AC779" s="93"/>
      <c r="AD779" s="93"/>
      <c r="AE779" s="93"/>
      <c r="AF779" s="119">
        <f>-1000*AF746/(AF764*365)</f>
        <v>0.12191116029704481</v>
      </c>
      <c r="AG779" s="93"/>
      <c r="AH779" s="93"/>
      <c r="AI779" s="93"/>
      <c r="AJ779" s="93"/>
      <c r="AK779" s="119">
        <f>-1000*AK746/(AK764*365)</f>
        <v>0</v>
      </c>
      <c r="AL779" s="93"/>
      <c r="AM779" s="93"/>
      <c r="AN779" s="93"/>
      <c r="AO779" s="93"/>
      <c r="AP779" s="119">
        <f>-1000*AP746/(AP764*365)</f>
        <v>-7.4753649491307625E-2</v>
      </c>
      <c r="AQ779" s="93"/>
      <c r="AR779" s="93"/>
      <c r="AS779" s="93"/>
      <c r="AT779" s="93"/>
      <c r="AU779" s="119">
        <f>-1000*AU746/(AU764*365)</f>
        <v>0.10395806023754367</v>
      </c>
      <c r="AV779" s="93"/>
      <c r="AW779" s="93"/>
      <c r="AX779" s="93"/>
      <c r="AY779" s="93"/>
      <c r="AZ779" s="119">
        <f>-1000*AZ746/(AZ764*365)</f>
        <v>0</v>
      </c>
      <c r="BA779" s="93"/>
      <c r="BB779" s="93"/>
      <c r="BC779" s="93"/>
      <c r="BD779" s="93"/>
      <c r="BE779" s="119">
        <f>-1000*BE746/(BE764*365)</f>
        <v>0</v>
      </c>
      <c r="BF779" s="93"/>
      <c r="BG779" s="93"/>
      <c r="BH779" s="93"/>
      <c r="BI779" s="93"/>
      <c r="BJ779" s="119">
        <f>-1000*BJ746/(BJ764*365)</f>
        <v>6.4584664928077185E-2</v>
      </c>
      <c r="BK779" s="93"/>
      <c r="BL779" s="93"/>
      <c r="BM779" s="93"/>
      <c r="BN779" s="93"/>
      <c r="BO779" s="119">
        <f>-1000*BO746/(BO764*365)</f>
        <v>0.1309809182715872</v>
      </c>
      <c r="BP779" s="114">
        <f>-1000*BP746/(BP$874*90)</f>
        <v>0</v>
      </c>
      <c r="BQ779" s="114">
        <f>-1000*BQ746/(BQ$874*91)</f>
        <v>0</v>
      </c>
      <c r="BR779" s="114">
        <f>-1000*BR746/(BR$874*92)</f>
        <v>0</v>
      </c>
      <c r="BS779" s="114">
        <f>-1000*BS746/(BS$874*92)</f>
        <v>0</v>
      </c>
      <c r="BT779" s="104">
        <f>-1000*BT746/(BT764*365)</f>
        <v>0</v>
      </c>
      <c r="BU779" s="114">
        <f>-1000*BU746/(BU$874*90)</f>
        <v>0</v>
      </c>
      <c r="BV779" s="114">
        <f>-1000*BV746/(BV$874*91)</f>
        <v>0</v>
      </c>
      <c r="BW779" s="114">
        <f>-1000*BW746/(BW$874*92)</f>
        <v>0</v>
      </c>
      <c r="BX779" s="114">
        <f>-1000*BX746/(BX$874*92)</f>
        <v>0</v>
      </c>
      <c r="BY779" s="104">
        <f>-1000*BY746/(BY764*365)</f>
        <v>0</v>
      </c>
      <c r="BZ779" s="114">
        <f>-1000*BZ746/(BZ$874*90)</f>
        <v>0</v>
      </c>
      <c r="CA779" s="114">
        <f>-1000*CA746/(CA$874*91)</f>
        <v>0</v>
      </c>
      <c r="CB779" s="114">
        <f>-1000*CB746/(CB$874*92)</f>
        <v>0</v>
      </c>
      <c r="CC779" s="114">
        <f>-1000*CC746/(CC$874*92)</f>
        <v>0</v>
      </c>
      <c r="CD779" s="104">
        <f>-1000*CD746/(CD764*365)</f>
        <v>0</v>
      </c>
    </row>
    <row r="780" spans="1:82" hidden="1" outlineLevel="1">
      <c r="A780" s="11"/>
      <c r="B780" s="11"/>
      <c r="C780" s="11"/>
      <c r="D780" s="11"/>
      <c r="E780" s="11"/>
      <c r="F780" s="11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  <c r="AA780" s="11"/>
      <c r="AB780" s="11"/>
      <c r="AC780" s="11"/>
      <c r="AD780" s="11"/>
      <c r="AE780" s="11"/>
      <c r="AF780" s="11"/>
      <c r="AG780" s="11"/>
      <c r="AH780" s="11"/>
      <c r="AI780" s="11"/>
      <c r="AJ780" s="11"/>
      <c r="AK780" s="11"/>
      <c r="AL780" s="11"/>
      <c r="AM780" s="11"/>
      <c r="AN780" s="11"/>
      <c r="AO780" s="11"/>
      <c r="AP780" s="11"/>
      <c r="AQ780" s="11"/>
      <c r="AR780" s="11"/>
      <c r="AS780" s="11"/>
      <c r="AT780" s="11"/>
      <c r="AU780" s="11"/>
      <c r="AV780" s="11"/>
      <c r="AW780" s="11"/>
      <c r="AX780" s="11"/>
      <c r="AY780" s="11"/>
      <c r="AZ780" s="11"/>
      <c r="BA780" s="11"/>
      <c r="BB780" s="11"/>
      <c r="BC780" s="11"/>
      <c r="BD780" s="11"/>
      <c r="BE780" s="11"/>
      <c r="BF780" s="11"/>
      <c r="BG780" s="11"/>
      <c r="BH780" s="11"/>
      <c r="BI780" s="11"/>
      <c r="BJ780" s="11"/>
      <c r="BK780" s="11"/>
      <c r="BL780" s="11"/>
      <c r="BM780" s="11"/>
      <c r="BN780" s="11"/>
      <c r="BO780" s="11"/>
      <c r="BP780" s="11"/>
      <c r="BQ780" s="11"/>
      <c r="BR780" s="11"/>
      <c r="BS780" s="11"/>
      <c r="BT780" s="11"/>
      <c r="BU780" s="11"/>
      <c r="BV780" s="11"/>
      <c r="BW780" s="11"/>
      <c r="BX780" s="11"/>
      <c r="BY780" s="11"/>
      <c r="BZ780" s="11"/>
      <c r="CA780" s="11"/>
      <c r="CB780" s="11"/>
      <c r="CC780" s="11"/>
      <c r="CD780" s="11"/>
    </row>
    <row r="781" spans="1:82" hidden="1" outlineLevel="1">
      <c r="A781" s="11"/>
      <c r="B781" s="5" t="s">
        <v>2138</v>
      </c>
      <c r="C781" s="72"/>
      <c r="D781" s="72"/>
      <c r="E781" s="72"/>
      <c r="F781" s="72"/>
      <c r="G781" s="72"/>
      <c r="H781" s="93"/>
      <c r="I781" s="93"/>
      <c r="J781" s="93"/>
      <c r="K781" s="93"/>
      <c r="L781" s="72"/>
      <c r="M781" s="93"/>
      <c r="N781" s="93"/>
      <c r="O781" s="93"/>
      <c r="P781" s="93"/>
      <c r="Q781" s="72"/>
      <c r="R781" s="93"/>
      <c r="S781" s="93"/>
      <c r="T781" s="93"/>
      <c r="U781" s="93"/>
      <c r="V781" s="72"/>
      <c r="W781" s="93"/>
      <c r="X781" s="93"/>
      <c r="Y781" s="93"/>
      <c r="Z781" s="93"/>
      <c r="AA781" s="119">
        <f>AA778</f>
        <v>3.1153683462276831</v>
      </c>
      <c r="AB781" s="93"/>
      <c r="AC781" s="93"/>
      <c r="AD781" s="93"/>
      <c r="AE781" s="93"/>
      <c r="AF781" s="119">
        <f>AF778</f>
        <v>2.7047266726367614</v>
      </c>
      <c r="AG781" s="93"/>
      <c r="AH781" s="93"/>
      <c r="AI781" s="93"/>
      <c r="AJ781" s="93"/>
      <c r="AK781" s="119">
        <f>AK778</f>
        <v>2.7466280663746079</v>
      </c>
      <c r="AL781" s="93"/>
      <c r="AM781" s="93"/>
      <c r="AN781" s="93"/>
      <c r="AO781" s="93"/>
      <c r="AP781" s="119">
        <f>AP778</f>
        <v>2.1761617963025111</v>
      </c>
      <c r="AQ781" s="93"/>
      <c r="AR781" s="93"/>
      <c r="AS781" s="93"/>
      <c r="AT781" s="93"/>
      <c r="AU781" s="119">
        <f>AU778</f>
        <v>3.4615224381798329</v>
      </c>
      <c r="AV781" s="93"/>
      <c r="AW781" s="93"/>
      <c r="AX781" s="93"/>
      <c r="AY781" s="93"/>
      <c r="AZ781" s="119">
        <f>AZ778</f>
        <v>4.101856056824781</v>
      </c>
      <c r="BA781" s="93"/>
      <c r="BB781" s="93"/>
      <c r="BC781" s="93"/>
      <c r="BD781" s="93"/>
      <c r="BE781" s="119">
        <f>BE778</f>
        <v>2.6670424457283559</v>
      </c>
      <c r="BF781" s="93"/>
      <c r="BG781" s="93"/>
      <c r="BH781" s="93"/>
      <c r="BI781" s="93"/>
      <c r="BJ781" s="119">
        <f>BJ778</f>
        <v>2.7693904321159497</v>
      </c>
      <c r="BK781" s="93"/>
      <c r="BL781" s="93"/>
      <c r="BM781" s="93"/>
      <c r="BN781" s="93"/>
      <c r="BO781" s="119">
        <f>BO778</f>
        <v>3.732956170740235</v>
      </c>
      <c r="BP781" s="93"/>
      <c r="BQ781" s="93"/>
      <c r="BR781" s="93"/>
      <c r="BS781" s="93"/>
      <c r="BT781" s="104">
        <f>$BJ781*(BT$74/$BJ$74)</f>
        <v>2.769831800676684</v>
      </c>
      <c r="BU781" s="93"/>
      <c r="BV781" s="93"/>
      <c r="BW781" s="93"/>
      <c r="BX781" s="93"/>
      <c r="BY781" s="104">
        <f>$BJ781*(BY$74/$BJ$74)</f>
        <v>2.8002649649901881</v>
      </c>
      <c r="BZ781" s="93"/>
      <c r="CA781" s="93"/>
      <c r="CB781" s="93"/>
      <c r="CC781" s="93"/>
      <c r="CD781" s="104">
        <f>$BJ781*(CD$74/$BJ$74)</f>
        <v>2.8306981293036921</v>
      </c>
    </row>
    <row r="782" spans="1:82" hidden="1" outlineLevel="1">
      <c r="A782" s="11"/>
      <c r="B782" s="11"/>
      <c r="C782" s="11"/>
      <c r="D782" s="11"/>
      <c r="E782" s="11"/>
      <c r="F782" s="11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  <c r="AA782" s="11"/>
      <c r="AB782" s="11"/>
      <c r="AC782" s="11"/>
      <c r="AD782" s="11"/>
      <c r="AE782" s="11"/>
      <c r="AF782" s="11"/>
      <c r="AG782" s="11"/>
      <c r="AH782" s="11"/>
      <c r="AI782" s="11"/>
      <c r="AJ782" s="11"/>
      <c r="AK782" s="11"/>
      <c r="AL782" s="11"/>
      <c r="AM782" s="11"/>
      <c r="AN782" s="11"/>
      <c r="AO782" s="11"/>
      <c r="AP782" s="11"/>
      <c r="AQ782" s="11"/>
      <c r="AR782" s="11"/>
      <c r="AS782" s="11"/>
      <c r="AT782" s="11"/>
      <c r="AU782" s="11"/>
      <c r="AV782" s="11"/>
      <c r="AW782" s="11"/>
      <c r="AX782" s="11"/>
      <c r="AY782" s="11"/>
      <c r="AZ782" s="11"/>
      <c r="BA782" s="11"/>
      <c r="BB782" s="11"/>
      <c r="BC782" s="11"/>
      <c r="BD782" s="11"/>
      <c r="BE782" s="11"/>
      <c r="BF782" s="11"/>
      <c r="BG782" s="11"/>
      <c r="BH782" s="11"/>
      <c r="BI782" s="11"/>
      <c r="BJ782" s="11"/>
      <c r="BK782" s="11"/>
      <c r="BL782" s="11"/>
      <c r="BM782" s="11"/>
      <c r="BN782" s="11"/>
      <c r="BO782" s="11"/>
      <c r="BP782" s="11"/>
      <c r="BQ782" s="11"/>
      <c r="BR782" s="11"/>
      <c r="BS782" s="11"/>
      <c r="BT782" s="11"/>
      <c r="BU782" s="11"/>
      <c r="BV782" s="11"/>
      <c r="BW782" s="11"/>
      <c r="BX782" s="11"/>
      <c r="BY782" s="11"/>
      <c r="BZ782" s="11"/>
      <c r="CA782" s="11"/>
      <c r="CB782" s="11"/>
      <c r="CC782" s="11"/>
      <c r="CD782" s="11"/>
    </row>
    <row r="783" spans="1:82" hidden="1" outlineLevel="1">
      <c r="A783" s="39" t="s">
        <v>3094</v>
      </c>
      <c r="B783" s="11"/>
      <c r="C783" s="11"/>
      <c r="D783" s="11"/>
      <c r="E783" s="11"/>
      <c r="F783" s="11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  <c r="AA783" s="11"/>
      <c r="AB783" s="11"/>
      <c r="AC783" s="11"/>
      <c r="AD783" s="11"/>
      <c r="AE783" s="11"/>
      <c r="AF783" s="11"/>
      <c r="AG783" s="11"/>
      <c r="AH783" s="11"/>
      <c r="AI783" s="11"/>
      <c r="AJ783" s="11"/>
      <c r="AK783" s="11"/>
      <c r="AL783" s="11"/>
      <c r="AM783" s="11"/>
      <c r="AN783" s="11"/>
      <c r="AO783" s="11"/>
      <c r="AP783" s="11"/>
      <c r="AQ783" s="11"/>
      <c r="AR783" s="11"/>
      <c r="AS783" s="11"/>
      <c r="AT783" s="11"/>
      <c r="AU783" s="11"/>
      <c r="AV783" s="11"/>
      <c r="AW783" s="11"/>
      <c r="AX783" s="11"/>
      <c r="AY783" s="11"/>
      <c r="AZ783" s="11"/>
      <c r="BA783" s="11"/>
      <c r="BB783" s="11"/>
      <c r="BC783" s="11"/>
      <c r="BD783" s="11"/>
      <c r="BE783" s="11"/>
      <c r="BF783" s="11"/>
      <c r="BG783" s="11"/>
      <c r="BH783" s="11"/>
      <c r="BI783" s="11"/>
      <c r="BJ783" s="11"/>
      <c r="BK783" s="11"/>
      <c r="BL783" s="11"/>
      <c r="BM783" s="11"/>
      <c r="BN783" s="11"/>
      <c r="BO783" s="11"/>
      <c r="BP783" s="11"/>
      <c r="BQ783" s="11"/>
      <c r="BR783" s="11"/>
      <c r="BS783" s="11"/>
      <c r="BT783" s="11"/>
      <c r="BU783" s="11"/>
      <c r="BV783" s="11"/>
      <c r="BW783" s="11"/>
      <c r="BX783" s="11"/>
      <c r="BY783" s="11"/>
      <c r="BZ783" s="11"/>
      <c r="CA783" s="11"/>
      <c r="CB783" s="11"/>
      <c r="CC783" s="11"/>
      <c r="CD783" s="11"/>
    </row>
    <row r="784" spans="1:82" hidden="1" outlineLevel="1">
      <c r="A784" s="11"/>
      <c r="B784" s="11" t="s">
        <v>1897</v>
      </c>
      <c r="C784" s="72"/>
      <c r="D784" s="72"/>
      <c r="E784" s="72"/>
      <c r="F784" s="72"/>
      <c r="G784" s="72"/>
      <c r="H784" s="93"/>
      <c r="I784" s="93"/>
      <c r="J784" s="93"/>
      <c r="K784" s="93"/>
      <c r="L784" s="72"/>
      <c r="M784" s="93"/>
      <c r="N784" s="93"/>
      <c r="O784" s="93"/>
      <c r="P784" s="93"/>
      <c r="Q784" s="72"/>
      <c r="R784" s="93"/>
      <c r="S784" s="93"/>
      <c r="T784" s="93"/>
      <c r="U784" s="93"/>
      <c r="V784" s="72"/>
      <c r="W784" s="93"/>
      <c r="X784" s="93"/>
      <c r="Y784" s="93"/>
      <c r="Z784" s="93"/>
      <c r="AA784" s="116">
        <f>-AA741/AA739</f>
        <v>4.769885264922006E-3</v>
      </c>
      <c r="AB784" s="93"/>
      <c r="AC784" s="93"/>
      <c r="AD784" s="93"/>
      <c r="AE784" s="93"/>
      <c r="AF784" s="116">
        <f>-AF741/AF739</f>
        <v>4.4238000442380007E-3</v>
      </c>
      <c r="AG784" s="93"/>
      <c r="AH784" s="93"/>
      <c r="AI784" s="93"/>
      <c r="AJ784" s="93"/>
      <c r="AK784" s="116">
        <f>-AK741/AK739</f>
        <v>5.7466677308643946E-3</v>
      </c>
      <c r="AL784" s="93"/>
      <c r="AM784" s="93"/>
      <c r="AN784" s="93"/>
      <c r="AO784" s="93"/>
      <c r="AP784" s="116">
        <f>-AP741/AP739</f>
        <v>9.1979032736623483E-3</v>
      </c>
      <c r="AQ784" s="93"/>
      <c r="AR784" s="93"/>
      <c r="AS784" s="93"/>
      <c r="AT784" s="93"/>
      <c r="AU784" s="116">
        <f t="shared" ref="AU784:CD784" si="369">-AU741/AU739</f>
        <v>1.2457979038955902E-2</v>
      </c>
      <c r="AV784" s="93"/>
      <c r="AW784" s="93"/>
      <c r="AX784" s="93"/>
      <c r="AY784" s="93"/>
      <c r="AZ784" s="116">
        <f>-AZ741/AZ739</f>
        <v>5.6507473569084943E-3</v>
      </c>
      <c r="BA784" s="93"/>
      <c r="BB784" s="93"/>
      <c r="BC784" s="93"/>
      <c r="BD784" s="93"/>
      <c r="BE784" s="116">
        <f t="shared" si="369"/>
        <v>6.0521415270018619E-3</v>
      </c>
      <c r="BF784" s="93"/>
      <c r="BG784" s="93"/>
      <c r="BH784" s="93"/>
      <c r="BI784" s="93"/>
      <c r="BJ784" s="116">
        <f t="shared" ref="BJ784" si="370">-BJ741/BJ739</f>
        <v>6.1508180588018208E-3</v>
      </c>
      <c r="BK784" s="93"/>
      <c r="BL784" s="93"/>
      <c r="BM784" s="93"/>
      <c r="BN784" s="93"/>
      <c r="BO784" s="116">
        <f t="shared" si="369"/>
        <v>5.1139811042732082E-3</v>
      </c>
      <c r="BP784" s="117">
        <f t="shared" ca="1" si="369"/>
        <v>4.0252797312869456E-3</v>
      </c>
      <c r="BQ784" s="117">
        <f t="shared" ca="1" si="369"/>
        <v>3.9465632030019956E-3</v>
      </c>
      <c r="BR784" s="117">
        <f t="shared" ca="1" si="369"/>
        <v>3.9541591524336452E-3</v>
      </c>
      <c r="BS784" s="117">
        <f t="shared" ca="1" si="369"/>
        <v>3.945388889501026E-3</v>
      </c>
      <c r="BT784" s="116">
        <f t="shared" ca="1" si="369"/>
        <v>3.9675703999600895E-3</v>
      </c>
      <c r="BU784" s="117">
        <f t="shared" ca="1" si="369"/>
        <v>3.9603705799183386E-3</v>
      </c>
      <c r="BV784" s="117">
        <f t="shared" ca="1" si="369"/>
        <v>3.978536089561782E-3</v>
      </c>
      <c r="BW784" s="117">
        <f t="shared" ca="1" si="369"/>
        <v>3.9553354849933432E-3</v>
      </c>
      <c r="BX784" s="117">
        <f t="shared" ca="1" si="369"/>
        <v>3.89117160606086E-3</v>
      </c>
      <c r="BY784" s="116">
        <f t="shared" ca="1" si="369"/>
        <v>3.9460752382819847E-3</v>
      </c>
      <c r="BZ784" s="117">
        <f t="shared" ca="1" si="369"/>
        <v>3.8758099820190533E-3</v>
      </c>
      <c r="CA784" s="117">
        <f t="shared" ca="1" si="369"/>
        <v>3.8637831885482651E-3</v>
      </c>
      <c r="CB784" s="117">
        <f t="shared" ca="1" si="369"/>
        <v>3.813184239492784E-3</v>
      </c>
      <c r="CC784" s="117">
        <f t="shared" ca="1" si="369"/>
        <v>3.727979711686355E-3</v>
      </c>
      <c r="CD784" s="116">
        <f t="shared" ca="1" si="369"/>
        <v>3.8192935711730902E-3</v>
      </c>
    </row>
    <row r="785" spans="1:82" hidden="1" outlineLevel="1">
      <c r="A785" s="11"/>
      <c r="B785" s="11" t="s">
        <v>2149</v>
      </c>
      <c r="C785" s="72"/>
      <c r="D785" s="72"/>
      <c r="E785" s="72"/>
      <c r="F785" s="72"/>
      <c r="G785" s="72"/>
      <c r="H785" s="93"/>
      <c r="I785" s="93"/>
      <c r="J785" s="93"/>
      <c r="K785" s="93"/>
      <c r="L785" s="72"/>
      <c r="M785" s="93"/>
      <c r="N785" s="93"/>
      <c r="O785" s="93"/>
      <c r="P785" s="93"/>
      <c r="Q785" s="72"/>
      <c r="R785" s="93"/>
      <c r="S785" s="93"/>
      <c r="T785" s="93"/>
      <c r="U785" s="93"/>
      <c r="V785" s="72"/>
      <c r="W785" s="93"/>
      <c r="X785" s="93"/>
      <c r="Y785" s="93"/>
      <c r="Z785" s="93"/>
      <c r="AA785" s="116">
        <f>-AA742/AA739</f>
        <v>0.18409178806239526</v>
      </c>
      <c r="AB785" s="93"/>
      <c r="AC785" s="93"/>
      <c r="AD785" s="93"/>
      <c r="AE785" s="93"/>
      <c r="AF785" s="116">
        <f>-AF742/AF739</f>
        <v>0.17717319177173191</v>
      </c>
      <c r="AG785" s="93"/>
      <c r="AH785" s="93"/>
      <c r="AI785" s="93"/>
      <c r="AJ785" s="93"/>
      <c r="AK785" s="116">
        <f>-AK742/AK739</f>
        <v>0.14733817543299546</v>
      </c>
      <c r="AL785" s="93"/>
      <c r="AM785" s="93"/>
      <c r="AN785" s="93"/>
      <c r="AO785" s="93"/>
      <c r="AP785" s="116">
        <f>-AP742/AP739</f>
        <v>0.15873800810997923</v>
      </c>
      <c r="AQ785" s="93"/>
      <c r="AR785" s="93"/>
      <c r="AS785" s="93"/>
      <c r="AT785" s="93"/>
      <c r="AU785" s="116">
        <f t="shared" ref="AU785:CD785" si="371">-AU742/AU739</f>
        <v>0.11637334387977062</v>
      </c>
      <c r="AV785" s="93"/>
      <c r="AW785" s="93"/>
      <c r="AX785" s="93"/>
      <c r="AY785" s="93"/>
      <c r="AZ785" s="116">
        <f>-AZ742/AZ739</f>
        <v>0.12012395187750638</v>
      </c>
      <c r="BA785" s="93"/>
      <c r="BB785" s="93"/>
      <c r="BC785" s="93"/>
      <c r="BD785" s="93"/>
      <c r="BE785" s="116">
        <f t="shared" si="371"/>
        <v>0.12604748603351956</v>
      </c>
      <c r="BF785" s="93"/>
      <c r="BG785" s="93"/>
      <c r="BH785" s="93"/>
      <c r="BI785" s="93"/>
      <c r="BJ785" s="116">
        <f t="shared" ref="BJ785" si="372">-BJ742/BJ739</f>
        <v>0.13605609546069627</v>
      </c>
      <c r="BK785" s="93"/>
      <c r="BL785" s="93"/>
      <c r="BM785" s="93"/>
      <c r="BN785" s="93"/>
      <c r="BO785" s="116">
        <f t="shared" si="371"/>
        <v>0.12342896766923811</v>
      </c>
      <c r="BP785" s="117">
        <f t="shared" ca="1" si="371"/>
        <v>0.14181044310825164</v>
      </c>
      <c r="BQ785" s="117">
        <f t="shared" ca="1" si="371"/>
        <v>0.13840920673667215</v>
      </c>
      <c r="BR785" s="117">
        <f t="shared" ca="1" si="371"/>
        <v>0.13965731113573215</v>
      </c>
      <c r="BS785" s="117">
        <f t="shared" ca="1" si="371"/>
        <v>0.14223524468094431</v>
      </c>
      <c r="BT785" s="116">
        <f t="shared" ca="1" si="371"/>
        <v>0.14052229668608424</v>
      </c>
      <c r="BU785" s="117">
        <f t="shared" ca="1" si="371"/>
        <v>0.15064718411336839</v>
      </c>
      <c r="BV785" s="117">
        <f t="shared" ca="1" si="371"/>
        <v>0.15049666091961511</v>
      </c>
      <c r="BW785" s="117">
        <f t="shared" ca="1" si="371"/>
        <v>0.15063851978693182</v>
      </c>
      <c r="BX785" s="117">
        <f t="shared" ca="1" si="371"/>
        <v>0.15147519618624575</v>
      </c>
      <c r="BY785" s="116">
        <f t="shared" ca="1" si="371"/>
        <v>0.15081762312230426</v>
      </c>
      <c r="BZ785" s="117">
        <f t="shared" ca="1" si="371"/>
        <v>0.15671703968466599</v>
      </c>
      <c r="CA785" s="117">
        <f t="shared" ca="1" si="371"/>
        <v>0.15351759502726034</v>
      </c>
      <c r="CB785" s="117">
        <f t="shared" ca="1" si="371"/>
        <v>0.15250523652345252</v>
      </c>
      <c r="CC785" s="117">
        <f t="shared" ca="1" si="371"/>
        <v>0.15257748538935711</v>
      </c>
      <c r="CD785" s="116">
        <f t="shared" ca="1" si="371"/>
        <v>0.15381151341775035</v>
      </c>
    </row>
    <row r="786" spans="1:82" hidden="1" outlineLevel="1">
      <c r="A786" s="11"/>
      <c r="B786" s="11" t="s">
        <v>2150</v>
      </c>
      <c r="C786" s="72"/>
      <c r="D786" s="72"/>
      <c r="E786" s="72"/>
      <c r="F786" s="72"/>
      <c r="G786" s="72"/>
      <c r="H786" s="93"/>
      <c r="I786" s="93"/>
      <c r="J786" s="93"/>
      <c r="K786" s="93"/>
      <c r="L786" s="72"/>
      <c r="M786" s="93"/>
      <c r="N786" s="93"/>
      <c r="O786" s="93"/>
      <c r="P786" s="93"/>
      <c r="Q786" s="72"/>
      <c r="R786" s="93"/>
      <c r="S786" s="93"/>
      <c r="T786" s="93"/>
      <c r="U786" s="93"/>
      <c r="V786" s="72"/>
      <c r="W786" s="93"/>
      <c r="X786" s="93"/>
      <c r="Y786" s="93"/>
      <c r="Z786" s="93"/>
      <c r="AA786" s="116">
        <f>-AA743/AA739</f>
        <v>0.33479437927033645</v>
      </c>
      <c r="AB786" s="93"/>
      <c r="AC786" s="93"/>
      <c r="AD786" s="93"/>
      <c r="AE786" s="93"/>
      <c r="AF786" s="116">
        <f>-AF743/AF739</f>
        <v>0.39449236894492368</v>
      </c>
      <c r="AG786" s="93"/>
      <c r="AH786" s="93"/>
      <c r="AI786" s="93"/>
      <c r="AJ786" s="93"/>
      <c r="AK786" s="116">
        <f>-AK743/AK739</f>
        <v>0.39907414797669405</v>
      </c>
      <c r="AL786" s="93"/>
      <c r="AM786" s="93"/>
      <c r="AN786" s="93"/>
      <c r="AO786" s="93"/>
      <c r="AP786" s="116">
        <f>-AP743/AP739</f>
        <v>0.4351696172485412</v>
      </c>
      <c r="AQ786" s="93"/>
      <c r="AR786" s="93"/>
      <c r="AS786" s="93"/>
      <c r="AT786" s="93"/>
      <c r="AU786" s="116">
        <f>-AU743/AU739</f>
        <v>0.44601542416452444</v>
      </c>
      <c r="AV786" s="93"/>
      <c r="AW786" s="93"/>
      <c r="AX786" s="93"/>
      <c r="AY786" s="93"/>
      <c r="AZ786" s="116">
        <f>-AZ743/AZ739</f>
        <v>0.475209624498724</v>
      </c>
      <c r="BA786" s="93"/>
      <c r="BB786" s="93"/>
      <c r="BC786" s="93"/>
      <c r="BD786" s="93"/>
      <c r="BE786" s="116">
        <f>-BE743/BE739</f>
        <v>0.45519087523277468</v>
      </c>
      <c r="BF786" s="93"/>
      <c r="BG786" s="93"/>
      <c r="BH786" s="93"/>
      <c r="BI786" s="93"/>
      <c r="BJ786" s="116">
        <f>-BJ743/BJ739</f>
        <v>0.41714848074793948</v>
      </c>
      <c r="BK786" s="93"/>
      <c r="BL786" s="93"/>
      <c r="BM786" s="93"/>
      <c r="BN786" s="93"/>
      <c r="BO786" s="116">
        <f>-BO743/BO739</f>
        <v>0.49510271301031467</v>
      </c>
      <c r="BP786" s="117">
        <f>BT786</f>
        <v>0.45</v>
      </c>
      <c r="BQ786" s="117">
        <f>BT786</f>
        <v>0.45</v>
      </c>
      <c r="BR786" s="117">
        <f>BT786</f>
        <v>0.45</v>
      </c>
      <c r="BS786" s="117">
        <f>BT786</f>
        <v>0.45</v>
      </c>
      <c r="BT786" s="118">
        <v>0.45</v>
      </c>
      <c r="BU786" s="117">
        <f>BY786</f>
        <v>0.45</v>
      </c>
      <c r="BV786" s="117">
        <f>BY786</f>
        <v>0.45</v>
      </c>
      <c r="BW786" s="117">
        <f>BY786</f>
        <v>0.45</v>
      </c>
      <c r="BX786" s="117">
        <f>BY786</f>
        <v>0.45</v>
      </c>
      <c r="BY786" s="118">
        <v>0.45</v>
      </c>
      <c r="BZ786" s="117">
        <f>CD786</f>
        <v>0.45</v>
      </c>
      <c r="CA786" s="117">
        <f>CD786</f>
        <v>0.45</v>
      </c>
      <c r="CB786" s="117">
        <f>CD786</f>
        <v>0.45</v>
      </c>
      <c r="CC786" s="117">
        <f>CD786</f>
        <v>0.45</v>
      </c>
      <c r="CD786" s="118">
        <v>0.45</v>
      </c>
    </row>
    <row r="787" spans="1:82" hidden="1" outlineLevel="1">
      <c r="A787" s="11"/>
      <c r="B787" s="11" t="s">
        <v>2158</v>
      </c>
      <c r="C787" s="72"/>
      <c r="D787" s="72"/>
      <c r="E787" s="72"/>
      <c r="F787" s="72"/>
      <c r="G787" s="72"/>
      <c r="H787" s="93"/>
      <c r="I787" s="93"/>
      <c r="J787" s="93"/>
      <c r="K787" s="93"/>
      <c r="L787" s="72"/>
      <c r="M787" s="93"/>
      <c r="N787" s="93"/>
      <c r="O787" s="93"/>
      <c r="P787" s="93"/>
      <c r="Q787" s="72"/>
      <c r="R787" s="93"/>
      <c r="S787" s="93"/>
      <c r="T787" s="93"/>
      <c r="U787" s="93"/>
      <c r="V787" s="72"/>
      <c r="W787" s="93"/>
      <c r="X787" s="93"/>
      <c r="Y787" s="93"/>
      <c r="Z787" s="93"/>
      <c r="AA787" s="116">
        <f>-AA744/AA739</f>
        <v>1.5469898156503803E-3</v>
      </c>
      <c r="AB787" s="93"/>
      <c r="AC787" s="93"/>
      <c r="AD787" s="93"/>
      <c r="AE787" s="93"/>
      <c r="AF787" s="116">
        <f>-AF744/AF739</f>
        <v>3.3178500331785003E-4</v>
      </c>
      <c r="AG787" s="93"/>
      <c r="AH787" s="93"/>
      <c r="AI787" s="93"/>
      <c r="AJ787" s="93"/>
      <c r="AK787" s="116">
        <f>-AK744/AK739</f>
        <v>1.5962965919067763E-4</v>
      </c>
      <c r="AL787" s="93"/>
      <c r="AM787" s="93"/>
      <c r="AN787" s="93"/>
      <c r="AO787" s="93"/>
      <c r="AP787" s="116">
        <f>-AP744/AP739</f>
        <v>-2.3736524577193155E-3</v>
      </c>
      <c r="AQ787" s="93"/>
      <c r="AR787" s="93"/>
      <c r="AS787" s="93"/>
      <c r="AT787" s="93"/>
      <c r="AU787" s="116">
        <f t="shared" ref="AU787:CD787" si="373">-AU744/AU739</f>
        <v>9.2940478544591663E-3</v>
      </c>
      <c r="AV787" s="93"/>
      <c r="AW787" s="93"/>
      <c r="AX787" s="93"/>
      <c r="AY787" s="93"/>
      <c r="AZ787" s="116">
        <f>-AZ744/AZ739</f>
        <v>2.7524608093328472E-2</v>
      </c>
      <c r="BA787" s="93"/>
      <c r="BB787" s="93"/>
      <c r="BC787" s="93"/>
      <c r="BD787" s="93"/>
      <c r="BE787" s="116">
        <f t="shared" si="373"/>
        <v>3.3054003724394786E-2</v>
      </c>
      <c r="BF787" s="93"/>
      <c r="BG787" s="93"/>
      <c r="BH787" s="93"/>
      <c r="BI787" s="93"/>
      <c r="BJ787" s="116">
        <f t="shared" ref="BJ787" si="374">-BJ744/BJ739</f>
        <v>4.52700209127814E-2</v>
      </c>
      <c r="BK787" s="93"/>
      <c r="BL787" s="93"/>
      <c r="BM787" s="93"/>
      <c r="BN787" s="93"/>
      <c r="BO787" s="116">
        <f t="shared" si="373"/>
        <v>3.5451157146571897E-2</v>
      </c>
      <c r="BP787" s="117">
        <f t="shared" ca="1" si="373"/>
        <v>4.1158485252409019E-2</v>
      </c>
      <c r="BQ787" s="117">
        <f t="shared" ca="1" si="373"/>
        <v>4.0353608750695408E-2</v>
      </c>
      <c r="BR787" s="117">
        <f t="shared" ca="1" si="373"/>
        <v>4.0431277333634025E-2</v>
      </c>
      <c r="BS787" s="117">
        <f t="shared" ca="1" si="373"/>
        <v>4.0341601395147988E-2</v>
      </c>
      <c r="BT787" s="116">
        <f t="shared" ca="1" si="373"/>
        <v>4.0568407339591918E-2</v>
      </c>
      <c r="BU787" s="117">
        <f t="shared" ca="1" si="373"/>
        <v>4.0494789179665015E-2</v>
      </c>
      <c r="BV787" s="117">
        <f t="shared" ca="1" si="373"/>
        <v>4.0680531515769225E-2</v>
      </c>
      <c r="BW787" s="117">
        <f t="shared" ca="1" si="373"/>
        <v>4.0443305334056934E-2</v>
      </c>
      <c r="BX787" s="117">
        <f t="shared" ca="1" si="373"/>
        <v>3.9787229671972298E-2</v>
      </c>
      <c r="BY787" s="116">
        <f t="shared" ca="1" si="373"/>
        <v>4.0348619311433291E-2</v>
      </c>
      <c r="BZ787" s="117">
        <f t="shared" ca="1" si="373"/>
        <v>3.9630157066144818E-2</v>
      </c>
      <c r="CA787" s="117">
        <f t="shared" ca="1" si="373"/>
        <v>3.9507183102906011E-2</v>
      </c>
      <c r="CB787" s="117">
        <f t="shared" ca="1" si="373"/>
        <v>3.8989808848813715E-2</v>
      </c>
      <c r="CC787" s="117">
        <f t="shared" ca="1" si="373"/>
        <v>3.8118592551992979E-2</v>
      </c>
      <c r="CD787" s="116">
        <f t="shared" ca="1" si="373"/>
        <v>3.905227676524485E-2</v>
      </c>
    </row>
    <row r="788" spans="1:82" hidden="1" outlineLevel="1">
      <c r="A788" s="11"/>
      <c r="B788" s="11" t="s">
        <v>2154</v>
      </c>
      <c r="C788" s="72"/>
      <c r="D788" s="72"/>
      <c r="E788" s="72"/>
      <c r="F788" s="72"/>
      <c r="G788" s="72"/>
      <c r="H788" s="93"/>
      <c r="I788" s="93"/>
      <c r="J788" s="93"/>
      <c r="K788" s="93"/>
      <c r="L788" s="72"/>
      <c r="M788" s="93"/>
      <c r="N788" s="93"/>
      <c r="O788" s="93"/>
      <c r="P788" s="93"/>
      <c r="Q788" s="72"/>
      <c r="R788" s="93"/>
      <c r="S788" s="93"/>
      <c r="T788" s="93"/>
      <c r="U788" s="93"/>
      <c r="V788" s="72"/>
      <c r="W788" s="93"/>
      <c r="X788" s="93"/>
      <c r="Y788" s="93"/>
      <c r="Z788" s="93"/>
      <c r="AA788" s="116">
        <f>-AA745/AA739</f>
        <v>0.13832667268273818</v>
      </c>
      <c r="AB788" s="93"/>
      <c r="AC788" s="93"/>
      <c r="AD788" s="93"/>
      <c r="AE788" s="93"/>
      <c r="AF788" s="116">
        <f>-AF745/AF739</f>
        <v>0.10550763105507631</v>
      </c>
      <c r="AG788" s="93"/>
      <c r="AH788" s="93"/>
      <c r="AI788" s="93"/>
      <c r="AJ788" s="93"/>
      <c r="AK788" s="116">
        <f>-AK745/AK739</f>
        <v>7.8857051640194742E-2</v>
      </c>
      <c r="AL788" s="93"/>
      <c r="AM788" s="93"/>
      <c r="AN788" s="93"/>
      <c r="AO788" s="93"/>
      <c r="AP788" s="116">
        <f>-AP745/AP739</f>
        <v>7.773711799030758E-2</v>
      </c>
      <c r="AQ788" s="93"/>
      <c r="AR788" s="93"/>
      <c r="AS788" s="93"/>
      <c r="AT788" s="93"/>
      <c r="AU788" s="116">
        <f t="shared" ref="AU788:CD788" si="375">-AU745/AU739</f>
        <v>0.12181135060312438</v>
      </c>
      <c r="AV788" s="93"/>
      <c r="AW788" s="93"/>
      <c r="AX788" s="93"/>
      <c r="AY788" s="93"/>
      <c r="AZ788" s="116">
        <f>-AZ745/AZ739</f>
        <v>0.1375318993802406</v>
      </c>
      <c r="BA788" s="93"/>
      <c r="BB788" s="93"/>
      <c r="BC788" s="93"/>
      <c r="BD788" s="93"/>
      <c r="BE788" s="116">
        <f t="shared" si="375"/>
        <v>0.1154562383612663</v>
      </c>
      <c r="BF788" s="93"/>
      <c r="BG788" s="93"/>
      <c r="BH788" s="93"/>
      <c r="BI788" s="93"/>
      <c r="BJ788" s="116">
        <f t="shared" ref="BJ788" si="376">-BJ745/BJ739</f>
        <v>0.13187353918071104</v>
      </c>
      <c r="BK788" s="93"/>
      <c r="BL788" s="93"/>
      <c r="BM788" s="93"/>
      <c r="BN788" s="93"/>
      <c r="BO788" s="116">
        <f t="shared" si="375"/>
        <v>0.13339689694027909</v>
      </c>
      <c r="BP788" s="117">
        <f t="shared" ca="1" si="375"/>
        <v>0.1137201308869483</v>
      </c>
      <c r="BQ788" s="117">
        <f t="shared" ca="1" si="375"/>
        <v>0.11099262339965968</v>
      </c>
      <c r="BR788" s="117">
        <f t="shared" ca="1" si="375"/>
        <v>0.11199349888182242</v>
      </c>
      <c r="BS788" s="117">
        <f t="shared" ca="1" si="375"/>
        <v>0.11406078626738958</v>
      </c>
      <c r="BT788" s="116">
        <f t="shared" ca="1" si="375"/>
        <v>0.11268714504669808</v>
      </c>
      <c r="BU788" s="117">
        <f t="shared" ca="1" si="375"/>
        <v>0.11915493097887768</v>
      </c>
      <c r="BV788" s="117">
        <f t="shared" ca="1" si="375"/>
        <v>0.11903587411851915</v>
      </c>
      <c r="BW788" s="117">
        <f t="shared" ca="1" si="375"/>
        <v>0.11914807789878462</v>
      </c>
      <c r="BX788" s="117">
        <f t="shared" ca="1" si="375"/>
        <v>0.11980985009982943</v>
      </c>
      <c r="BY788" s="116">
        <f t="shared" ca="1" si="375"/>
        <v>0.11928974032473696</v>
      </c>
      <c r="BZ788" s="117">
        <f t="shared" ca="1" si="375"/>
        <v>0.12224688068277324</v>
      </c>
      <c r="CA788" s="117">
        <f t="shared" ca="1" si="375"/>
        <v>0.11975115890247423</v>
      </c>
      <c r="CB788" s="117">
        <f t="shared" ca="1" si="375"/>
        <v>0.11896147024148243</v>
      </c>
      <c r="CC788" s="117">
        <f t="shared" ca="1" si="375"/>
        <v>0.11901782785586487</v>
      </c>
      <c r="CD788" s="116">
        <f t="shared" ca="1" si="375"/>
        <v>0.11998042948137874</v>
      </c>
    </row>
    <row r="789" spans="1:82" hidden="1" outlineLevel="1">
      <c r="A789" s="11"/>
      <c r="B789" s="4" t="s">
        <v>930</v>
      </c>
      <c r="C789" s="72"/>
      <c r="D789" s="72"/>
      <c r="E789" s="72"/>
      <c r="F789" s="72"/>
      <c r="G789" s="72"/>
      <c r="H789" s="93"/>
      <c r="I789" s="93"/>
      <c r="J789" s="93"/>
      <c r="K789" s="93"/>
      <c r="L789" s="72"/>
      <c r="M789" s="93"/>
      <c r="N789" s="93"/>
      <c r="O789" s="93"/>
      <c r="P789" s="93"/>
      <c r="Q789" s="72"/>
      <c r="R789" s="93"/>
      <c r="S789" s="93"/>
      <c r="T789" s="93"/>
      <c r="U789" s="93"/>
      <c r="V789" s="72"/>
      <c r="W789" s="93"/>
      <c r="X789" s="93"/>
      <c r="Y789" s="93"/>
      <c r="Z789" s="93"/>
      <c r="AA789" s="116">
        <f>-AA746/AA739</f>
        <v>9.2819388939022821E-3</v>
      </c>
      <c r="AB789" s="93"/>
      <c r="AC789" s="93"/>
      <c r="AD789" s="93"/>
      <c r="AE789" s="93"/>
      <c r="AF789" s="116">
        <f>-AF746/AF739</f>
        <v>4.7555850475558504E-3</v>
      </c>
      <c r="AG789" s="93"/>
      <c r="AH789" s="93"/>
      <c r="AI789" s="93"/>
      <c r="AJ789" s="93"/>
      <c r="AK789" s="116">
        <f>-AK746/AK739</f>
        <v>0</v>
      </c>
      <c r="AL789" s="93"/>
      <c r="AM789" s="93"/>
      <c r="AN789" s="93"/>
      <c r="AO789" s="93"/>
      <c r="AP789" s="116">
        <f>-AP746/AP739</f>
        <v>-2.6703590149342303E-3</v>
      </c>
      <c r="AQ789" s="93"/>
      <c r="AR789" s="93"/>
      <c r="AS789" s="93"/>
      <c r="AT789" s="93"/>
      <c r="AU789" s="116">
        <f t="shared" ref="AU789:CD789" si="377">-AU746/AU739</f>
        <v>3.6582954320743522E-3</v>
      </c>
      <c r="AV789" s="93"/>
      <c r="AW789" s="93"/>
      <c r="AX789" s="93"/>
      <c r="AY789" s="93"/>
      <c r="AZ789" s="116">
        <f>-AZ746/AZ739</f>
        <v>0</v>
      </c>
      <c r="BA789" s="93"/>
      <c r="BB789" s="93"/>
      <c r="BC789" s="93"/>
      <c r="BD789" s="93"/>
      <c r="BE789" s="116">
        <f t="shared" si="377"/>
        <v>0</v>
      </c>
      <c r="BF789" s="93"/>
      <c r="BG789" s="93"/>
      <c r="BH789" s="93"/>
      <c r="BI789" s="93"/>
      <c r="BJ789" s="116">
        <f t="shared" ref="BJ789" si="378">-BJ746/BJ739</f>
        <v>3.0754090294009104E-3</v>
      </c>
      <c r="BK789" s="93"/>
      <c r="BL789" s="93"/>
      <c r="BM789" s="93"/>
      <c r="BN789" s="93"/>
      <c r="BO789" s="116">
        <f t="shared" si="377"/>
        <v>4.6805928750975126E-3</v>
      </c>
      <c r="BP789" s="117">
        <f t="shared" ca="1" si="377"/>
        <v>0</v>
      </c>
      <c r="BQ789" s="117">
        <f t="shared" ca="1" si="377"/>
        <v>0</v>
      </c>
      <c r="BR789" s="117">
        <f t="shared" ca="1" si="377"/>
        <v>0</v>
      </c>
      <c r="BS789" s="117">
        <f t="shared" ca="1" si="377"/>
        <v>0</v>
      </c>
      <c r="BT789" s="116">
        <f t="shared" ca="1" si="377"/>
        <v>0</v>
      </c>
      <c r="BU789" s="117">
        <f t="shared" ca="1" si="377"/>
        <v>0</v>
      </c>
      <c r="BV789" s="117">
        <f t="shared" ca="1" si="377"/>
        <v>0</v>
      </c>
      <c r="BW789" s="117">
        <f t="shared" ca="1" si="377"/>
        <v>0</v>
      </c>
      <c r="BX789" s="117">
        <f t="shared" ca="1" si="377"/>
        <v>0</v>
      </c>
      <c r="BY789" s="116">
        <f t="shared" ca="1" si="377"/>
        <v>0</v>
      </c>
      <c r="BZ789" s="117">
        <f t="shared" ca="1" si="377"/>
        <v>0</v>
      </c>
      <c r="CA789" s="117">
        <f t="shared" ca="1" si="377"/>
        <v>0</v>
      </c>
      <c r="CB789" s="117">
        <f t="shared" ca="1" si="377"/>
        <v>0</v>
      </c>
      <c r="CC789" s="117">
        <f t="shared" ca="1" si="377"/>
        <v>0</v>
      </c>
      <c r="CD789" s="116">
        <f t="shared" ca="1" si="377"/>
        <v>0</v>
      </c>
    </row>
    <row r="790" spans="1:82" hidden="1" outlineLevel="1">
      <c r="A790" s="11"/>
      <c r="B790" s="11"/>
      <c r="C790" s="11"/>
      <c r="D790" s="11"/>
      <c r="E790" s="11"/>
      <c r="F790" s="11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  <c r="AA790" s="11"/>
      <c r="AB790" s="11"/>
      <c r="AC790" s="11"/>
      <c r="AD790" s="11"/>
      <c r="AE790" s="11"/>
      <c r="AF790" s="11"/>
      <c r="AG790" s="11"/>
      <c r="AH790" s="11"/>
      <c r="AI790" s="11"/>
      <c r="AJ790" s="11"/>
      <c r="AK790" s="11"/>
      <c r="AL790" s="11"/>
      <c r="AM790" s="11"/>
      <c r="AN790" s="11"/>
      <c r="AO790" s="11"/>
      <c r="AP790" s="11"/>
      <c r="AQ790" s="11"/>
      <c r="AR790" s="11"/>
      <c r="AS790" s="11"/>
      <c r="AT790" s="11"/>
      <c r="AU790" s="11"/>
      <c r="AV790" s="11"/>
      <c r="AW790" s="11"/>
      <c r="AX790" s="11"/>
      <c r="AY790" s="11"/>
      <c r="AZ790" s="11"/>
      <c r="BA790" s="11"/>
      <c r="BB790" s="11"/>
      <c r="BC790" s="11"/>
      <c r="BD790" s="11"/>
      <c r="BE790" s="11"/>
      <c r="BF790" s="11"/>
      <c r="BG790" s="11"/>
      <c r="BH790" s="11"/>
      <c r="BI790" s="11"/>
      <c r="BJ790" s="11"/>
      <c r="BK790" s="11"/>
      <c r="BL790" s="11"/>
      <c r="BM790" s="11"/>
      <c r="BN790" s="11"/>
      <c r="BO790" s="11"/>
      <c r="BP790" s="11"/>
      <c r="BQ790" s="11"/>
      <c r="BR790" s="11"/>
      <c r="BS790" s="11"/>
      <c r="BT790" s="11"/>
      <c r="BU790" s="11"/>
      <c r="BV790" s="11"/>
      <c r="BW790" s="11"/>
      <c r="BX790" s="11"/>
      <c r="BY790" s="11"/>
      <c r="BZ790" s="11"/>
      <c r="CA790" s="11"/>
      <c r="CB790" s="11"/>
      <c r="CC790" s="11"/>
      <c r="CD790" s="11"/>
    </row>
    <row r="791" spans="1:82" hidden="1" outlineLevel="1">
      <c r="A791" s="11" t="s">
        <v>3095</v>
      </c>
      <c r="B791" s="11"/>
      <c r="C791" s="72"/>
      <c r="D791" s="72"/>
      <c r="E791" s="72"/>
      <c r="F791" s="72"/>
      <c r="G791" s="72"/>
      <c r="H791" s="93"/>
      <c r="I791" s="93"/>
      <c r="J791" s="93"/>
      <c r="K791" s="93"/>
      <c r="L791" s="72"/>
      <c r="M791" s="93"/>
      <c r="N791" s="93"/>
      <c r="O791" s="93"/>
      <c r="P791" s="93"/>
      <c r="Q791" s="72"/>
      <c r="R791" s="93"/>
      <c r="S791" s="93"/>
      <c r="T791" s="93"/>
      <c r="U791" s="93"/>
      <c r="V791" s="72"/>
      <c r="W791" s="93"/>
      <c r="X791" s="93"/>
      <c r="Y791" s="93"/>
      <c r="Z791" s="93"/>
      <c r="AA791" s="116">
        <f>-AA749/AA747</f>
        <v>0.19739952718676124</v>
      </c>
      <c r="AB791" s="93"/>
      <c r="AC791" s="93"/>
      <c r="AD791" s="93"/>
      <c r="AE791" s="93"/>
      <c r="AF791" s="116">
        <f>-AF749/AF747</f>
        <v>0.16766678432756796</v>
      </c>
      <c r="AG791" s="93"/>
      <c r="AH791" s="93"/>
      <c r="AI791" s="93"/>
      <c r="AJ791" s="93"/>
      <c r="AK791" s="116">
        <f>-AK749/AK747</f>
        <v>0.17442112096948711</v>
      </c>
      <c r="AL791" s="93"/>
      <c r="AM791" s="93"/>
      <c r="AN791" s="93"/>
      <c r="AO791" s="93"/>
      <c r="AP791" s="116">
        <f>-AP749/AP747</f>
        <v>0.16351433801098231</v>
      </c>
      <c r="AQ791" s="93"/>
      <c r="AR791" s="93"/>
      <c r="AS791" s="93"/>
      <c r="AT791" s="93"/>
      <c r="AU791" s="116">
        <f>-AU749/AU747</f>
        <v>0.12495743956418114</v>
      </c>
      <c r="AV791" s="93"/>
      <c r="AW791" s="93"/>
      <c r="AX791" s="93"/>
      <c r="AY791" s="93"/>
      <c r="AZ791" s="116">
        <f>-AZ749/AZ747</f>
        <v>0.2481495909622127</v>
      </c>
      <c r="BA791" s="93"/>
      <c r="BB791" s="93"/>
      <c r="BC791" s="93"/>
      <c r="BD791" s="93"/>
      <c r="BE791" s="116">
        <f>-BE749/BE747</f>
        <v>0.19779735682819383</v>
      </c>
      <c r="BF791" s="93"/>
      <c r="BG791" s="93"/>
      <c r="BH791" s="93"/>
      <c r="BI791" s="93"/>
      <c r="BJ791" s="116">
        <f>-BJ749/BJ747</f>
        <v>0.20453471894189892</v>
      </c>
      <c r="BK791" s="93"/>
      <c r="BL791" s="93"/>
      <c r="BM791" s="93"/>
      <c r="BN791" s="93"/>
      <c r="BO791" s="116">
        <f>-BO749/BO747</f>
        <v>0.1952991452991453</v>
      </c>
      <c r="BP791" s="117">
        <f>BT791</f>
        <v>0.2</v>
      </c>
      <c r="BQ791" s="117">
        <f>BT791</f>
        <v>0.2</v>
      </c>
      <c r="BR791" s="117">
        <f>BT791</f>
        <v>0.2</v>
      </c>
      <c r="BS791" s="117">
        <f>BT791</f>
        <v>0.2</v>
      </c>
      <c r="BT791" s="118">
        <v>0.2</v>
      </c>
      <c r="BU791" s="117">
        <f>BY791</f>
        <v>0.2</v>
      </c>
      <c r="BV791" s="117">
        <f>BY791</f>
        <v>0.2</v>
      </c>
      <c r="BW791" s="117">
        <f>BY791</f>
        <v>0.2</v>
      </c>
      <c r="BX791" s="117">
        <f>BY791</f>
        <v>0.2</v>
      </c>
      <c r="BY791" s="118">
        <v>0.2</v>
      </c>
      <c r="BZ791" s="117">
        <f>CD791</f>
        <v>0.2</v>
      </c>
      <c r="CA791" s="117">
        <f>CD791</f>
        <v>0.2</v>
      </c>
      <c r="CB791" s="117">
        <f>CD791</f>
        <v>0.2</v>
      </c>
      <c r="CC791" s="117">
        <f>CD791</f>
        <v>0.2</v>
      </c>
      <c r="CD791" s="118">
        <v>0.2</v>
      </c>
    </row>
    <row r="792" spans="1:82" hidden="1" outlineLevel="1">
      <c r="A792" s="11" t="s">
        <v>3471</v>
      </c>
      <c r="B792" s="11"/>
      <c r="C792" s="93"/>
      <c r="D792" s="93"/>
      <c r="E792" s="93"/>
      <c r="F792" s="93"/>
      <c r="G792" s="93"/>
      <c r="H792" s="93"/>
      <c r="I792" s="93"/>
      <c r="J792" s="93"/>
      <c r="K792" s="93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  <c r="X792" s="93"/>
      <c r="Y792" s="93"/>
      <c r="Z792" s="93"/>
      <c r="AA792" s="119">
        <f>(AA753-AA746-AA745-AA741)/(AA764*0.365)</f>
        <v>9.0180187170393129</v>
      </c>
      <c r="AB792" s="93"/>
      <c r="AC792" s="93"/>
      <c r="AD792" s="93"/>
      <c r="AE792" s="93"/>
      <c r="AF792" s="119">
        <f>(AF753-AF746-AF745-AF741)/(AF764*0.365)</f>
        <v>10.348272908935199</v>
      </c>
      <c r="AG792" s="93"/>
      <c r="AH792" s="93"/>
      <c r="AI792" s="93"/>
      <c r="AJ792" s="93"/>
      <c r="AK792" s="119">
        <f>(AK753-AK746-AK745-AK741)/(AK764*0.365)</f>
        <v>14.330837734980875</v>
      </c>
      <c r="AL792" s="93"/>
      <c r="AM792" s="93"/>
      <c r="AN792" s="93"/>
      <c r="AO792" s="93"/>
      <c r="AP792" s="119">
        <f>(AP753-AP746-AP745-AP741)/(AP764*0.365)</f>
        <v>10.678697262517536</v>
      </c>
      <c r="AQ792" s="93"/>
      <c r="AR792" s="93"/>
      <c r="AS792" s="93"/>
      <c r="AT792" s="93"/>
      <c r="AU792" s="119">
        <f>(AU753-AU746-AU745-AU741)/(AU764*0.365)</f>
        <v>9.9827834601079104</v>
      </c>
      <c r="AV792" s="93"/>
      <c r="AW792" s="93"/>
      <c r="AX792" s="93"/>
      <c r="AY792" s="93"/>
      <c r="AZ792" s="119">
        <f>(AZ753-AZ746-AZ745-AZ741)/(AZ764*0.365)</f>
        <v>10.046693165026104</v>
      </c>
      <c r="BA792" s="93"/>
      <c r="BB792" s="93"/>
      <c r="BC792" s="93"/>
      <c r="BD792" s="93"/>
      <c r="BE792" s="119">
        <f>(BE753-BE746-BE745-BE741)/(BE764*0.365)</f>
        <v>6.3718655205405286</v>
      </c>
      <c r="BF792" s="93"/>
      <c r="BG792" s="93"/>
      <c r="BH792" s="93"/>
      <c r="BI792" s="93"/>
      <c r="BJ792" s="119">
        <f>(BJ753-BJ746-BJ745-BJ741)/(BJ764*0.365)</f>
        <v>4.5054262253826645</v>
      </c>
      <c r="BK792" s="93"/>
      <c r="BL792" s="93"/>
      <c r="BM792" s="93"/>
      <c r="BN792" s="93"/>
      <c r="BO792" s="119">
        <f>(BO753-BO746-BO745-BO741)/(BO764*0.365)</f>
        <v>6.0372501032959356</v>
      </c>
      <c r="BP792" s="93"/>
      <c r="BQ792" s="93"/>
      <c r="BR792" s="93"/>
      <c r="BS792" s="93"/>
      <c r="BT792" s="119">
        <f ca="1">(BT753-BT746-BT745-BT741)/(BT764*0.365)</f>
        <v>7.230578326991961</v>
      </c>
      <c r="BU792" s="93"/>
      <c r="BV792" s="93"/>
      <c r="BW792" s="93"/>
      <c r="BX792" s="93"/>
      <c r="BY792" s="119">
        <f ca="1">(BY753-BY746-BY745-BY741)/(BY764*0.365)</f>
        <v>7.1744410756476951</v>
      </c>
      <c r="BZ792" s="93"/>
      <c r="CA792" s="93"/>
      <c r="CB792" s="93"/>
      <c r="CC792" s="93"/>
      <c r="CD792" s="119">
        <f ca="1">(CD753-CD746-CD745-CD741)/(CD764*0.365)</f>
        <v>10.432613234339726</v>
      </c>
    </row>
    <row r="793" spans="1:82" hidden="1" outlineLevel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</row>
    <row r="794" spans="1:82" collapsed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</row>
    <row r="795" spans="1:82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</row>
    <row r="796" spans="1:82">
      <c r="A796" s="24" t="s">
        <v>1672</v>
      </c>
      <c r="B796" s="4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</row>
    <row r="797" spans="1:82">
      <c r="A797" s="10"/>
      <c r="B797" s="10"/>
      <c r="C797" s="31">
        <v>2001</v>
      </c>
      <c r="D797" s="32">
        <v>2002</v>
      </c>
      <c r="E797" s="32">
        <v>2003</v>
      </c>
      <c r="F797" s="32">
        <v>2004</v>
      </c>
      <c r="G797" s="31">
        <v>2005</v>
      </c>
      <c r="H797" s="33" t="str">
        <f>H736</f>
        <v>1Q06</v>
      </c>
      <c r="I797" s="33" t="str">
        <f>I736</f>
        <v>2Q06</v>
      </c>
      <c r="J797" s="33" t="str">
        <f>J736</f>
        <v>3Q06</v>
      </c>
      <c r="K797" s="33" t="str">
        <f>K736</f>
        <v>4Q06</v>
      </c>
      <c r="L797" s="31">
        <v>2006</v>
      </c>
      <c r="M797" s="33" t="str">
        <f>M736</f>
        <v>1Q07</v>
      </c>
      <c r="N797" s="33" t="str">
        <f>N736</f>
        <v>2Q07</v>
      </c>
      <c r="O797" s="33" t="str">
        <f>O736</f>
        <v>3Q07</v>
      </c>
      <c r="P797" s="33" t="str">
        <f>P736</f>
        <v>4Q07</v>
      </c>
      <c r="Q797" s="31">
        <v>2007</v>
      </c>
      <c r="R797" s="33" t="str">
        <f>R736</f>
        <v>1Q08</v>
      </c>
      <c r="S797" s="33" t="str">
        <f>S736</f>
        <v>2Q08</v>
      </c>
      <c r="T797" s="33" t="str">
        <f>T736</f>
        <v>3Q08</v>
      </c>
      <c r="U797" s="33" t="str">
        <f>U736</f>
        <v>4Q08</v>
      </c>
      <c r="V797" s="31">
        <v>2008</v>
      </c>
      <c r="W797" s="33" t="str">
        <f>W736</f>
        <v>1Q09</v>
      </c>
      <c r="X797" s="33" t="str">
        <f>X736</f>
        <v>2Q09</v>
      </c>
      <c r="Y797" s="33" t="str">
        <f>Y736</f>
        <v>3Q09</v>
      </c>
      <c r="Z797" s="33" t="str">
        <f>Z736</f>
        <v>4Q09</v>
      </c>
      <c r="AA797" s="31">
        <v>2009</v>
      </c>
      <c r="AB797" s="33" t="str">
        <f>AB736</f>
        <v>1Q10</v>
      </c>
      <c r="AC797" s="33" t="str">
        <f>AC736</f>
        <v>2Q10</v>
      </c>
      <c r="AD797" s="33" t="str">
        <f>AD736</f>
        <v>3Q10</v>
      </c>
      <c r="AE797" s="33" t="str">
        <f>AE736</f>
        <v>4Q10</v>
      </c>
      <c r="AF797" s="31">
        <v>2010</v>
      </c>
      <c r="AG797" s="33" t="str">
        <f>AG736</f>
        <v>1Q11</v>
      </c>
      <c r="AH797" s="33" t="str">
        <f>AH736</f>
        <v>2Q11</v>
      </c>
      <c r="AI797" s="33" t="str">
        <f>AI736</f>
        <v>3Q11</v>
      </c>
      <c r="AJ797" s="33" t="str">
        <f>AJ736</f>
        <v>4Q11</v>
      </c>
      <c r="AK797" s="31">
        <v>2011</v>
      </c>
      <c r="AL797" s="33" t="s">
        <v>2397</v>
      </c>
      <c r="AM797" s="33" t="s">
        <v>2398</v>
      </c>
      <c r="AN797" s="33" t="s">
        <v>2399</v>
      </c>
      <c r="AO797" s="33" t="s">
        <v>2400</v>
      </c>
      <c r="AP797" s="31">
        <v>2012</v>
      </c>
      <c r="AQ797" s="363" t="s">
        <v>2401</v>
      </c>
      <c r="AR797" s="363" t="s">
        <v>2402</v>
      </c>
      <c r="AS797" s="33" t="s">
        <v>2403</v>
      </c>
      <c r="AT797" s="33" t="s">
        <v>2404</v>
      </c>
      <c r="AU797" s="31">
        <v>2013</v>
      </c>
      <c r="AV797" s="33" t="s">
        <v>2405</v>
      </c>
      <c r="AW797" s="33" t="s">
        <v>2406</v>
      </c>
      <c r="AX797" s="33" t="s">
        <v>2407</v>
      </c>
      <c r="AY797" s="33" t="s">
        <v>2408</v>
      </c>
      <c r="AZ797" s="31">
        <v>2014</v>
      </c>
      <c r="BA797" s="33" t="str">
        <f t="shared" ref="BA797:BI797" si="379">BA$8</f>
        <v>1Q15</v>
      </c>
      <c r="BB797" s="33" t="str">
        <f t="shared" si="379"/>
        <v>2Q15</v>
      </c>
      <c r="BC797" s="33" t="str">
        <f t="shared" si="379"/>
        <v>3Q15</v>
      </c>
      <c r="BD797" s="33" t="str">
        <f t="shared" si="379"/>
        <v>4Q15</v>
      </c>
      <c r="BE797" s="31">
        <f t="shared" si="379"/>
        <v>2015</v>
      </c>
      <c r="BF797" s="33" t="str">
        <f t="shared" si="379"/>
        <v>1Q16</v>
      </c>
      <c r="BG797" s="33" t="str">
        <f t="shared" si="379"/>
        <v>2Q16</v>
      </c>
      <c r="BH797" s="33" t="str">
        <f t="shared" si="379"/>
        <v>3Q16</v>
      </c>
      <c r="BI797" s="33" t="str">
        <f t="shared" si="379"/>
        <v>4Q16</v>
      </c>
      <c r="BJ797" s="31">
        <v>2016</v>
      </c>
      <c r="BK797" s="33" t="s">
        <v>2417</v>
      </c>
      <c r="BL797" s="33" t="s">
        <v>2418</v>
      </c>
      <c r="BM797" s="33" t="s">
        <v>2419</v>
      </c>
      <c r="BN797" s="33" t="s">
        <v>2420</v>
      </c>
      <c r="BO797" s="31">
        <v>2017</v>
      </c>
      <c r="BP797" s="33" t="s">
        <v>2244</v>
      </c>
      <c r="BQ797" s="33" t="s">
        <v>2245</v>
      </c>
      <c r="BR797" s="33" t="s">
        <v>2508</v>
      </c>
      <c r="BS797" s="33" t="s">
        <v>2509</v>
      </c>
      <c r="BT797" s="31">
        <v>2018</v>
      </c>
      <c r="BU797" s="33" t="s">
        <v>2510</v>
      </c>
      <c r="BV797" s="33" t="s">
        <v>2511</v>
      </c>
      <c r="BW797" s="33" t="s">
        <v>3125</v>
      </c>
      <c r="BX797" s="33" t="s">
        <v>1405</v>
      </c>
      <c r="BY797" s="31">
        <v>2019</v>
      </c>
      <c r="BZ797" s="33" t="s">
        <v>1406</v>
      </c>
      <c r="CA797" s="33" t="s">
        <v>1407</v>
      </c>
      <c r="CB797" s="33" t="s">
        <v>1408</v>
      </c>
      <c r="CC797" s="33" t="s">
        <v>1409</v>
      </c>
      <c r="CD797" s="31">
        <v>2020</v>
      </c>
    </row>
    <row r="798" spans="1:82">
      <c r="A798" s="4" t="s">
        <v>2156</v>
      </c>
      <c r="B798" s="5"/>
      <c r="C798" s="72"/>
      <c r="D798" s="72"/>
      <c r="E798" s="72"/>
      <c r="F798" s="72"/>
      <c r="G798" s="72"/>
      <c r="H798" s="93"/>
      <c r="I798" s="93"/>
      <c r="J798" s="93"/>
      <c r="K798" s="93"/>
      <c r="L798" s="72"/>
      <c r="M798" s="93"/>
      <c r="N798" s="93"/>
      <c r="O798" s="93"/>
      <c r="P798" s="93"/>
      <c r="Q798" s="72"/>
      <c r="R798" s="93"/>
      <c r="S798" s="93"/>
      <c r="T798" s="93"/>
      <c r="U798" s="93"/>
      <c r="V798" s="72"/>
      <c r="W798" s="93"/>
      <c r="X798" s="93"/>
      <c r="Y798" s="93"/>
      <c r="Z798" s="93"/>
      <c r="AA798" s="5">
        <v>1874</v>
      </c>
      <c r="AB798" s="93"/>
      <c r="AC798" s="93"/>
      <c r="AD798" s="93"/>
      <c r="AE798" s="93"/>
      <c r="AF798" s="5">
        <v>2557</v>
      </c>
      <c r="AG798" s="93"/>
      <c r="AH798" s="93"/>
      <c r="AI798" s="93"/>
      <c r="AJ798" s="93"/>
      <c r="AK798" s="5">
        <v>3828</v>
      </c>
      <c r="AL798" s="93"/>
      <c r="AM798" s="93"/>
      <c r="AN798" s="93"/>
      <c r="AO798" s="93"/>
      <c r="AP798" s="5">
        <v>4245</v>
      </c>
      <c r="AQ798" s="93"/>
      <c r="AR798" s="93"/>
      <c r="AS798" s="93"/>
      <c r="AT798" s="93"/>
      <c r="AU798" s="5">
        <v>4770</v>
      </c>
      <c r="AV798" s="93"/>
      <c r="AW798" s="93"/>
      <c r="AX798" s="93"/>
      <c r="AY798" s="93"/>
      <c r="AZ798" s="5">
        <v>1257</v>
      </c>
      <c r="BA798" s="93"/>
      <c r="BB798" s="93"/>
      <c r="BC798" s="93"/>
      <c r="BD798" s="93"/>
      <c r="BE798" s="5">
        <v>1022</v>
      </c>
      <c r="BF798" s="93"/>
      <c r="BG798" s="93"/>
      <c r="BH798" s="93"/>
      <c r="BI798" s="93"/>
      <c r="BJ798" s="5">
        <v>876</v>
      </c>
      <c r="BK798" s="93"/>
      <c r="BL798" s="93"/>
      <c r="BM798" s="93"/>
      <c r="BN798" s="93"/>
      <c r="BO798" s="5">
        <v>988</v>
      </c>
      <c r="BP798" s="72"/>
      <c r="BQ798" s="72"/>
      <c r="BR798" s="72"/>
      <c r="BS798" s="72"/>
      <c r="BT798" s="72"/>
      <c r="BU798" s="72"/>
      <c r="BV798" s="72"/>
      <c r="BW798" s="72"/>
      <c r="BX798" s="72"/>
      <c r="BY798" s="72"/>
      <c r="BZ798" s="72"/>
      <c r="CA798" s="72"/>
      <c r="CB798" s="72"/>
      <c r="CC798" s="72"/>
      <c r="CD798" s="72"/>
    </row>
    <row r="799" spans="1:82">
      <c r="A799" s="4" t="s">
        <v>2157</v>
      </c>
      <c r="B799" s="5"/>
      <c r="C799" s="72"/>
      <c r="D799" s="72"/>
      <c r="E799" s="72"/>
      <c r="F799" s="72"/>
      <c r="G799" s="72"/>
      <c r="H799" s="93"/>
      <c r="I799" s="93"/>
      <c r="J799" s="93"/>
      <c r="K799" s="93"/>
      <c r="L799" s="72"/>
      <c r="M799" s="93"/>
      <c r="N799" s="93"/>
      <c r="O799" s="93"/>
      <c r="P799" s="93"/>
      <c r="Q799" s="72"/>
      <c r="R799" s="93"/>
      <c r="S799" s="93"/>
      <c r="T799" s="93"/>
      <c r="U799" s="93"/>
      <c r="V799" s="72"/>
      <c r="W799" s="93"/>
      <c r="X799" s="93"/>
      <c r="Y799" s="93"/>
      <c r="Z799" s="93"/>
      <c r="AA799" s="5">
        <v>0</v>
      </c>
      <c r="AB799" s="93"/>
      <c r="AC799" s="93"/>
      <c r="AD799" s="93"/>
      <c r="AE799" s="93"/>
      <c r="AF799" s="5">
        <v>19</v>
      </c>
      <c r="AG799" s="93"/>
      <c r="AH799" s="93"/>
      <c r="AI799" s="93"/>
      <c r="AJ799" s="93"/>
      <c r="AK799" s="5">
        <v>23</v>
      </c>
      <c r="AL799" s="93"/>
      <c r="AM799" s="93"/>
      <c r="AN799" s="93"/>
      <c r="AO799" s="93"/>
      <c r="AP799" s="5">
        <v>21</v>
      </c>
      <c r="AQ799" s="93"/>
      <c r="AR799" s="93"/>
      <c r="AS799" s="93"/>
      <c r="AT799" s="93"/>
      <c r="AU799" s="5">
        <v>14</v>
      </c>
      <c r="AV799" s="93"/>
      <c r="AW799" s="93"/>
      <c r="AX799" s="93"/>
      <c r="AY799" s="93"/>
      <c r="AZ799" s="5">
        <v>19</v>
      </c>
      <c r="BA799" s="93"/>
      <c r="BB799" s="93"/>
      <c r="BC799" s="93"/>
      <c r="BD799" s="93"/>
      <c r="BE799" s="5">
        <v>19</v>
      </c>
      <c r="BF799" s="93"/>
      <c r="BG799" s="93"/>
      <c r="BH799" s="93"/>
      <c r="BI799" s="93"/>
      <c r="BJ799" s="5">
        <v>16</v>
      </c>
      <c r="BK799" s="93"/>
      <c r="BL799" s="93"/>
      <c r="BM799" s="93"/>
      <c r="BN799" s="93"/>
      <c r="BO799" s="5">
        <v>0</v>
      </c>
      <c r="BP799" s="72"/>
      <c r="BQ799" s="72"/>
      <c r="BR799" s="72"/>
      <c r="BS799" s="72"/>
      <c r="BT799" s="72"/>
      <c r="BU799" s="72"/>
      <c r="BV799" s="72"/>
      <c r="BW799" s="72"/>
      <c r="BX799" s="72"/>
      <c r="BY799" s="72"/>
      <c r="BZ799" s="72"/>
      <c r="CA799" s="72"/>
      <c r="CB799" s="72"/>
      <c r="CC799" s="72"/>
      <c r="CD799" s="72"/>
    </row>
    <row r="800" spans="1:82">
      <c r="A800" s="7" t="s">
        <v>2155</v>
      </c>
      <c r="B800" s="8"/>
      <c r="C800" s="73"/>
      <c r="D800" s="73"/>
      <c r="E800" s="73"/>
      <c r="F800" s="73"/>
      <c r="G800" s="73"/>
      <c r="H800" s="93"/>
      <c r="I800" s="93"/>
      <c r="J800" s="93"/>
      <c r="K800" s="93"/>
      <c r="L800" s="73"/>
      <c r="M800" s="93"/>
      <c r="N800" s="93"/>
      <c r="O800" s="93"/>
      <c r="P800" s="93"/>
      <c r="Q800" s="73"/>
      <c r="R800" s="93"/>
      <c r="S800" s="93"/>
      <c r="T800" s="93"/>
      <c r="U800" s="93"/>
      <c r="V800" s="73"/>
      <c r="W800" s="93"/>
      <c r="X800" s="93"/>
      <c r="Y800" s="93"/>
      <c r="Z800" s="93"/>
      <c r="AA800" s="8">
        <f>AA798+AA799</f>
        <v>1874</v>
      </c>
      <c r="AB800" s="93"/>
      <c r="AC800" s="93"/>
      <c r="AD800" s="93"/>
      <c r="AE800" s="93"/>
      <c r="AF800" s="8">
        <f>AF798+AF799</f>
        <v>2576</v>
      </c>
      <c r="AG800" s="93"/>
      <c r="AH800" s="93"/>
      <c r="AI800" s="93"/>
      <c r="AJ800" s="93"/>
      <c r="AK800" s="8">
        <f>AK798+AK799</f>
        <v>3851</v>
      </c>
      <c r="AL800" s="93"/>
      <c r="AM800" s="93"/>
      <c r="AN800" s="93"/>
      <c r="AO800" s="93"/>
      <c r="AP800" s="8">
        <f>AP798+AP799</f>
        <v>4266</v>
      </c>
      <c r="AQ800" s="93"/>
      <c r="AR800" s="93"/>
      <c r="AS800" s="93"/>
      <c r="AT800" s="93"/>
      <c r="AU800" s="8">
        <f>AU798+AU799</f>
        <v>4784</v>
      </c>
      <c r="AV800" s="93"/>
      <c r="AW800" s="93"/>
      <c r="AX800" s="93"/>
      <c r="AY800" s="93"/>
      <c r="AZ800" s="8">
        <f>+AZ798+AZ799</f>
        <v>1276</v>
      </c>
      <c r="BA800" s="93"/>
      <c r="BB800" s="93"/>
      <c r="BC800" s="93"/>
      <c r="BD800" s="93"/>
      <c r="BE800" s="8">
        <f>+BE798+BE799</f>
        <v>1041</v>
      </c>
      <c r="BF800" s="93"/>
      <c r="BG800" s="93"/>
      <c r="BH800" s="93"/>
      <c r="BI800" s="93"/>
      <c r="BJ800" s="8">
        <f>+BJ798+BJ799</f>
        <v>892</v>
      </c>
      <c r="BK800" s="93"/>
      <c r="BL800" s="93"/>
      <c r="BM800" s="93"/>
      <c r="BN800" s="93"/>
      <c r="BO800" s="8">
        <f>+BO798+BO799</f>
        <v>988</v>
      </c>
      <c r="BP800" s="66">
        <f t="shared" ref="BP800:CD800" si="380">BP825*(1+BP826)</f>
        <v>55.750706252924445</v>
      </c>
      <c r="BQ800" s="66">
        <f t="shared" si="380"/>
        <v>56.914309050104713</v>
      </c>
      <c r="BR800" s="66">
        <f t="shared" si="380"/>
        <v>56.42173452007448</v>
      </c>
      <c r="BS800" s="66">
        <f t="shared" si="380"/>
        <v>55.490062438729623</v>
      </c>
      <c r="BT800" s="8">
        <f t="shared" si="380"/>
        <v>224.57681226183325</v>
      </c>
      <c r="BU800" s="66">
        <f t="shared" si="380"/>
        <v>0</v>
      </c>
      <c r="BV800" s="66">
        <f t="shared" si="380"/>
        <v>0</v>
      </c>
      <c r="BW800" s="66">
        <f t="shared" si="380"/>
        <v>0</v>
      </c>
      <c r="BX800" s="66">
        <f t="shared" si="380"/>
        <v>0</v>
      </c>
      <c r="BY800" s="8">
        <f t="shared" si="380"/>
        <v>0</v>
      </c>
      <c r="BZ800" s="66">
        <f t="shared" si="380"/>
        <v>0</v>
      </c>
      <c r="CA800" s="66">
        <f t="shared" si="380"/>
        <v>0</v>
      </c>
      <c r="CB800" s="66">
        <f t="shared" si="380"/>
        <v>0</v>
      </c>
      <c r="CC800" s="66">
        <f t="shared" si="380"/>
        <v>0</v>
      </c>
      <c r="CD800" s="8">
        <f t="shared" si="380"/>
        <v>0</v>
      </c>
    </row>
    <row r="801" spans="1:82">
      <c r="A801" s="4"/>
      <c r="B801" s="5"/>
      <c r="C801" s="5"/>
      <c r="D801" s="5"/>
      <c r="E801" s="5"/>
      <c r="F801" s="5"/>
      <c r="G801" s="5"/>
      <c r="H801" s="12"/>
      <c r="I801" s="12"/>
      <c r="J801" s="12"/>
      <c r="K801" s="12"/>
      <c r="L801" s="5"/>
      <c r="M801" s="12"/>
      <c r="N801" s="12"/>
      <c r="O801" s="12"/>
      <c r="P801" s="12"/>
      <c r="Q801" s="5"/>
      <c r="R801" s="12"/>
      <c r="S801" s="12"/>
      <c r="T801" s="12"/>
      <c r="U801" s="12"/>
      <c r="V801" s="5"/>
      <c r="W801" s="12"/>
      <c r="X801" s="12"/>
      <c r="Y801" s="12"/>
      <c r="Z801" s="12"/>
      <c r="AA801" s="5"/>
      <c r="AB801" s="12"/>
      <c r="AC801" s="12"/>
      <c r="AD801" s="12"/>
      <c r="AE801" s="12"/>
      <c r="AF801" s="12"/>
      <c r="AG801" s="12"/>
      <c r="AH801" s="12"/>
      <c r="AI801" s="12"/>
      <c r="AJ801" s="12"/>
      <c r="AK801" s="12"/>
      <c r="AL801" s="12"/>
      <c r="AM801" s="12"/>
      <c r="AN801" s="12"/>
      <c r="AO801" s="12"/>
      <c r="AP801" s="12"/>
      <c r="AQ801" s="12"/>
      <c r="AR801" s="12"/>
      <c r="AS801" s="12"/>
      <c r="AT801" s="12"/>
      <c r="AU801" s="12"/>
      <c r="AV801" s="12"/>
      <c r="AW801" s="12"/>
      <c r="AX801" s="12"/>
      <c r="AY801" s="12"/>
      <c r="AZ801" s="12"/>
      <c r="BA801" s="12"/>
      <c r="BB801" s="12"/>
      <c r="BC801" s="12"/>
      <c r="BD801" s="12"/>
      <c r="BE801" s="12"/>
      <c r="BF801" s="12"/>
      <c r="BG801" s="12"/>
      <c r="BH801" s="12"/>
      <c r="BI801" s="12"/>
      <c r="BJ801" s="12"/>
      <c r="BK801" s="12"/>
      <c r="BL801" s="12"/>
      <c r="BM801" s="12"/>
      <c r="BN801" s="12"/>
      <c r="BO801" s="12"/>
      <c r="BP801" s="12"/>
      <c r="BQ801" s="12"/>
      <c r="BR801" s="12"/>
      <c r="BS801" s="12"/>
      <c r="BT801" s="5"/>
      <c r="BU801" s="12"/>
      <c r="BV801" s="12"/>
      <c r="BW801" s="12"/>
      <c r="BX801" s="12"/>
      <c r="BY801" s="5"/>
      <c r="BZ801" s="12"/>
      <c r="CA801" s="12"/>
      <c r="CB801" s="12"/>
      <c r="CC801" s="12"/>
      <c r="CD801" s="5"/>
    </row>
    <row r="802" spans="1:82">
      <c r="A802" s="4" t="s">
        <v>1897</v>
      </c>
      <c r="B802" s="5"/>
      <c r="C802" s="72"/>
      <c r="D802" s="72"/>
      <c r="E802" s="72"/>
      <c r="F802" s="72"/>
      <c r="G802" s="72"/>
      <c r="H802" s="93"/>
      <c r="I802" s="93"/>
      <c r="J802" s="93"/>
      <c r="K802" s="93"/>
      <c r="L802" s="72"/>
      <c r="M802" s="93"/>
      <c r="N802" s="93"/>
      <c r="O802" s="93"/>
      <c r="P802" s="93"/>
      <c r="Q802" s="72"/>
      <c r="R802" s="93"/>
      <c r="S802" s="93"/>
      <c r="T802" s="93"/>
      <c r="U802" s="93"/>
      <c r="V802" s="72"/>
      <c r="W802" s="93"/>
      <c r="X802" s="93"/>
      <c r="Y802" s="93"/>
      <c r="Z802" s="93"/>
      <c r="AA802" s="5">
        <v>0</v>
      </c>
      <c r="AB802" s="93"/>
      <c r="AC802" s="93"/>
      <c r="AD802" s="93"/>
      <c r="AE802" s="93"/>
      <c r="AF802" s="5">
        <v>0</v>
      </c>
      <c r="AG802" s="93"/>
      <c r="AH802" s="93"/>
      <c r="AI802" s="93"/>
      <c r="AJ802" s="93"/>
      <c r="AK802" s="5">
        <v>-1</v>
      </c>
      <c r="AL802" s="93"/>
      <c r="AM802" s="93"/>
      <c r="AN802" s="93"/>
      <c r="AO802" s="93"/>
      <c r="AP802" s="5">
        <v>-1</v>
      </c>
      <c r="AQ802" s="93"/>
      <c r="AR802" s="93"/>
      <c r="AS802" s="93"/>
      <c r="AT802" s="93"/>
      <c r="AU802" s="5">
        <v>-1</v>
      </c>
      <c r="AV802" s="93"/>
      <c r="AW802" s="93"/>
      <c r="AX802" s="93"/>
      <c r="AY802" s="93"/>
      <c r="AZ802" s="5">
        <v>-1</v>
      </c>
      <c r="BA802" s="93"/>
      <c r="BB802" s="93"/>
      <c r="BC802" s="93"/>
      <c r="BD802" s="93"/>
      <c r="BE802" s="5">
        <v>0</v>
      </c>
      <c r="BF802" s="93"/>
      <c r="BG802" s="93"/>
      <c r="BH802" s="93"/>
      <c r="BI802" s="93"/>
      <c r="BJ802" s="5">
        <v>0</v>
      </c>
      <c r="BK802" s="93"/>
      <c r="BL802" s="93"/>
      <c r="BM802" s="93"/>
      <c r="BN802" s="93"/>
      <c r="BO802" s="5">
        <v>0</v>
      </c>
      <c r="BP802" s="12">
        <f>BT802/4</f>
        <v>0</v>
      </c>
      <c r="BQ802" s="12">
        <f>(BT802-BP802)/3</f>
        <v>0</v>
      </c>
      <c r="BR802" s="12">
        <f>(BT802-BP802-BQ802)/2</f>
        <v>0</v>
      </c>
      <c r="BS802" s="12">
        <f>BT802-SUM(BP802:BR802)</f>
        <v>0</v>
      </c>
      <c r="BT802" s="147">
        <v>0</v>
      </c>
      <c r="BU802" s="12">
        <f>BY802/4</f>
        <v>0</v>
      </c>
      <c r="BV802" s="12">
        <f>(BY802-BU802)/3</f>
        <v>0</v>
      </c>
      <c r="BW802" s="12">
        <f>(BY802-BU802-BV802)/2</f>
        <v>0</v>
      </c>
      <c r="BX802" s="12">
        <f>BY802-SUM(BU802:BW802)</f>
        <v>0</v>
      </c>
      <c r="BY802" s="147">
        <v>0</v>
      </c>
      <c r="BZ802" s="12">
        <f>CD802/4</f>
        <v>0</v>
      </c>
      <c r="CA802" s="12">
        <f>(CD802-BZ802)/3</f>
        <v>0</v>
      </c>
      <c r="CB802" s="12">
        <f>(CD802-BZ802-CA802)/2</f>
        <v>0</v>
      </c>
      <c r="CC802" s="12">
        <f>CD802-SUM(BZ802:CB802)</f>
        <v>0</v>
      </c>
      <c r="CD802" s="147">
        <v>0</v>
      </c>
    </row>
    <row r="803" spans="1:82">
      <c r="A803" s="4" t="s">
        <v>2149</v>
      </c>
      <c r="B803" s="5"/>
      <c r="C803" s="72"/>
      <c r="D803" s="72"/>
      <c r="E803" s="72"/>
      <c r="F803" s="72"/>
      <c r="G803" s="72"/>
      <c r="H803" s="93"/>
      <c r="I803" s="93"/>
      <c r="J803" s="93"/>
      <c r="K803" s="93"/>
      <c r="L803" s="72"/>
      <c r="M803" s="93"/>
      <c r="N803" s="93"/>
      <c r="O803" s="93"/>
      <c r="P803" s="93"/>
      <c r="Q803" s="72"/>
      <c r="R803" s="93"/>
      <c r="S803" s="93"/>
      <c r="T803" s="93"/>
      <c r="U803" s="93"/>
      <c r="V803" s="72"/>
      <c r="W803" s="93"/>
      <c r="X803" s="93"/>
      <c r="Y803" s="93"/>
      <c r="Z803" s="93"/>
      <c r="AA803" s="5">
        <v>-159</v>
      </c>
      <c r="AB803" s="93"/>
      <c r="AC803" s="93"/>
      <c r="AD803" s="93"/>
      <c r="AE803" s="93"/>
      <c r="AF803" s="5">
        <v>-184</v>
      </c>
      <c r="AG803" s="93"/>
      <c r="AH803" s="93"/>
      <c r="AI803" s="93"/>
      <c r="AJ803" s="93"/>
      <c r="AK803" s="5">
        <v>-212</v>
      </c>
      <c r="AL803" s="93"/>
      <c r="AM803" s="93"/>
      <c r="AN803" s="93"/>
      <c r="AO803" s="93"/>
      <c r="AP803" s="5">
        <v>-295</v>
      </c>
      <c r="AQ803" s="93"/>
      <c r="AR803" s="93"/>
      <c r="AS803" s="93"/>
      <c r="AT803" s="93"/>
      <c r="AU803" s="5">
        <v>-404</v>
      </c>
      <c r="AV803" s="93"/>
      <c r="AW803" s="93"/>
      <c r="AX803" s="93"/>
      <c r="AY803" s="93"/>
      <c r="AZ803" s="5">
        <v>-152</v>
      </c>
      <c r="BA803" s="93"/>
      <c r="BB803" s="93"/>
      <c r="BC803" s="93"/>
      <c r="BD803" s="93"/>
      <c r="BE803" s="5">
        <v>-168</v>
      </c>
      <c r="BF803" s="93"/>
      <c r="BG803" s="93"/>
      <c r="BH803" s="93"/>
      <c r="BI803" s="93"/>
      <c r="BJ803" s="5">
        <v>-145</v>
      </c>
      <c r="BK803" s="93"/>
      <c r="BL803" s="93"/>
      <c r="BM803" s="93"/>
      <c r="BN803" s="93"/>
      <c r="BO803" s="5">
        <v>-117</v>
      </c>
      <c r="BP803" s="65">
        <f>-BP819*BP830*'Key assumptions'!BP$48/1000</f>
        <v>-5.2178424657534128</v>
      </c>
      <c r="BQ803" s="65">
        <f>-BQ819*BQ830*'Key assumptions'!BQ$48/1000</f>
        <v>-5.2758184931506733</v>
      </c>
      <c r="BR803" s="65">
        <f>-BR819*BR830*'Key assumptions'!BR$48/1000</f>
        <v>-5.3337945205479329</v>
      </c>
      <c r="BS803" s="65">
        <f>-BS819*BS830*'Key assumptions'!BS$48/1000</f>
        <v>-5.3337945205479329</v>
      </c>
      <c r="BT803" s="5">
        <f>SUM(BP803:BS803)</f>
        <v>-21.161249999999953</v>
      </c>
      <c r="BU803" s="65">
        <f>-BU819*BU830*'Key assumptions'!BU$48/1000</f>
        <v>0</v>
      </c>
      <c r="BV803" s="65">
        <f>-BV819*BV830*'Key assumptions'!BV$48/1000</f>
        <v>0</v>
      </c>
      <c r="BW803" s="65">
        <f>-BW819*BW830*'Key assumptions'!BW$48/1000</f>
        <v>0</v>
      </c>
      <c r="BX803" s="65">
        <f>-BX819*BX830*'Key assumptions'!BX$48/1000</f>
        <v>0</v>
      </c>
      <c r="BY803" s="5">
        <f>SUM(BU803:BX803)</f>
        <v>0</v>
      </c>
      <c r="BZ803" s="65">
        <f>-BZ819*BZ830*'Key assumptions'!BZ$48/1000</f>
        <v>0</v>
      </c>
      <c r="CA803" s="65">
        <f>-CA819*CA830*'Key assumptions'!CA$48/1000</f>
        <v>0</v>
      </c>
      <c r="CB803" s="65">
        <f>-CB819*CB830*'Key assumptions'!CB$48/1000</f>
        <v>0</v>
      </c>
      <c r="CC803" s="65">
        <f>-CC819*CC830*'Key assumptions'!CC$48/1000</f>
        <v>0</v>
      </c>
      <c r="CD803" s="5">
        <f>SUM(BZ803:CC803)</f>
        <v>0</v>
      </c>
    </row>
    <row r="804" spans="1:82">
      <c r="A804" s="4" t="s">
        <v>2150</v>
      </c>
      <c r="B804" s="5"/>
      <c r="C804" s="72"/>
      <c r="D804" s="72"/>
      <c r="E804" s="72"/>
      <c r="F804" s="72"/>
      <c r="G804" s="72"/>
      <c r="H804" s="93"/>
      <c r="I804" s="93"/>
      <c r="J804" s="93"/>
      <c r="K804" s="93"/>
      <c r="L804" s="72"/>
      <c r="M804" s="93"/>
      <c r="N804" s="93"/>
      <c r="O804" s="93"/>
      <c r="P804" s="93"/>
      <c r="Q804" s="72"/>
      <c r="R804" s="93"/>
      <c r="S804" s="93"/>
      <c r="T804" s="93"/>
      <c r="U804" s="93"/>
      <c r="V804" s="72"/>
      <c r="W804" s="93"/>
      <c r="X804" s="93"/>
      <c r="Y804" s="93"/>
      <c r="Z804" s="93"/>
      <c r="AA804" s="5">
        <v>-1523</v>
      </c>
      <c r="AB804" s="93"/>
      <c r="AC804" s="93"/>
      <c r="AD804" s="93"/>
      <c r="AE804" s="93"/>
      <c r="AF804" s="5">
        <v>-2029</v>
      </c>
      <c r="AG804" s="93"/>
      <c r="AH804" s="93"/>
      <c r="AI804" s="93"/>
      <c r="AJ804" s="93"/>
      <c r="AK804" s="5">
        <v>-3125</v>
      </c>
      <c r="AL804" s="93"/>
      <c r="AM804" s="93"/>
      <c r="AN804" s="93"/>
      <c r="AO804" s="93"/>
      <c r="AP804" s="5">
        <v>-3245</v>
      </c>
      <c r="AQ804" s="93"/>
      <c r="AR804" s="93"/>
      <c r="AS804" s="93"/>
      <c r="AT804" s="93"/>
      <c r="AU804" s="5">
        <v>-3645</v>
      </c>
      <c r="AV804" s="93"/>
      <c r="AW804" s="93"/>
      <c r="AX804" s="93"/>
      <c r="AY804" s="93"/>
      <c r="AZ804" s="5">
        <v>-692</v>
      </c>
      <c r="BA804" s="93"/>
      <c r="BB804" s="93"/>
      <c r="BC804" s="93"/>
      <c r="BD804" s="93"/>
      <c r="BE804" s="5">
        <v>-388</v>
      </c>
      <c r="BF804" s="93"/>
      <c r="BG804" s="93"/>
      <c r="BH804" s="93"/>
      <c r="BI804" s="93"/>
      <c r="BJ804" s="5">
        <v>-352</v>
      </c>
      <c r="BK804" s="93"/>
      <c r="BL804" s="93"/>
      <c r="BM804" s="93"/>
      <c r="BN804" s="93"/>
      <c r="BO804" s="5">
        <v>-426</v>
      </c>
      <c r="BP804" s="12">
        <f>-BP800*BP841</f>
        <v>-27.875353126462223</v>
      </c>
      <c r="BQ804" s="12">
        <f>-BQ800*BQ841</f>
        <v>-28.457154525052356</v>
      </c>
      <c r="BR804" s="12">
        <f>-BR800*BR841</f>
        <v>-28.21086726003724</v>
      </c>
      <c r="BS804" s="12">
        <f>-BS800*BS841</f>
        <v>-27.745031219364812</v>
      </c>
      <c r="BT804" s="5">
        <f>SUM(BP804:BS804)</f>
        <v>-112.28840613091663</v>
      </c>
      <c r="BU804" s="12">
        <f>-BU800*BU841</f>
        <v>0</v>
      </c>
      <c r="BV804" s="12">
        <f>-BV800*BV841</f>
        <v>0</v>
      </c>
      <c r="BW804" s="12">
        <f>-BW800*BW841</f>
        <v>0</v>
      </c>
      <c r="BX804" s="12">
        <f>-BX800*BX841</f>
        <v>0</v>
      </c>
      <c r="BY804" s="5">
        <f>SUM(BU804:BX804)</f>
        <v>0</v>
      </c>
      <c r="BZ804" s="12">
        <f>-BZ800*BZ841</f>
        <v>0</v>
      </c>
      <c r="CA804" s="12">
        <f>-CA800*CA841</f>
        <v>0</v>
      </c>
      <c r="CB804" s="12">
        <f>-CB800*CB841</f>
        <v>0</v>
      </c>
      <c r="CC804" s="12">
        <f>-CC800*CC841</f>
        <v>0</v>
      </c>
      <c r="CD804" s="5">
        <f>SUM(BZ804:CC804)</f>
        <v>0</v>
      </c>
    </row>
    <row r="805" spans="1:82">
      <c r="A805" s="4" t="s">
        <v>2158</v>
      </c>
      <c r="B805" s="5"/>
      <c r="C805" s="72"/>
      <c r="D805" s="72"/>
      <c r="E805" s="72"/>
      <c r="F805" s="72"/>
      <c r="G805" s="72"/>
      <c r="H805" s="93"/>
      <c r="I805" s="93"/>
      <c r="J805" s="93"/>
      <c r="K805" s="93"/>
      <c r="L805" s="72"/>
      <c r="M805" s="93"/>
      <c r="N805" s="93"/>
      <c r="O805" s="93"/>
      <c r="P805" s="93"/>
      <c r="Q805" s="72"/>
      <c r="R805" s="93"/>
      <c r="S805" s="93"/>
      <c r="T805" s="93"/>
      <c r="U805" s="93"/>
      <c r="V805" s="72"/>
      <c r="W805" s="93"/>
      <c r="X805" s="93"/>
      <c r="Y805" s="93"/>
      <c r="Z805" s="93"/>
      <c r="AA805" s="5">
        <v>2</v>
      </c>
      <c r="AB805" s="93"/>
      <c r="AC805" s="93"/>
      <c r="AD805" s="93"/>
      <c r="AE805" s="93"/>
      <c r="AF805" s="5">
        <v>2</v>
      </c>
      <c r="AG805" s="93"/>
      <c r="AH805" s="93"/>
      <c r="AI805" s="93"/>
      <c r="AJ805" s="93"/>
      <c r="AK805" s="5">
        <v>1</v>
      </c>
      <c r="AL805" s="93"/>
      <c r="AM805" s="93"/>
      <c r="AN805" s="93"/>
      <c r="AO805" s="93"/>
      <c r="AP805" s="5">
        <v>2</v>
      </c>
      <c r="AQ805" s="93"/>
      <c r="AR805" s="93"/>
      <c r="AS805" s="93"/>
      <c r="AT805" s="93"/>
      <c r="AU805" s="5">
        <v>1</v>
      </c>
      <c r="AV805" s="93"/>
      <c r="AW805" s="93"/>
      <c r="AX805" s="93"/>
      <c r="AY805" s="93"/>
      <c r="AZ805" s="5">
        <v>0</v>
      </c>
      <c r="BA805" s="93"/>
      <c r="BB805" s="93"/>
      <c r="BC805" s="93"/>
      <c r="BD805" s="93"/>
      <c r="BE805" s="5">
        <v>0</v>
      </c>
      <c r="BF805" s="93"/>
      <c r="BG805" s="93"/>
      <c r="BH805" s="93"/>
      <c r="BI805" s="93"/>
      <c r="BJ805" s="5">
        <v>-3</v>
      </c>
      <c r="BK805" s="93"/>
      <c r="BL805" s="93"/>
      <c r="BM805" s="93"/>
      <c r="BN805" s="93"/>
      <c r="BO805" s="5">
        <v>5</v>
      </c>
      <c r="BP805" s="12">
        <f>BT805/4</f>
        <v>0</v>
      </c>
      <c r="BQ805" s="12">
        <f>(BT805-BP805)/3</f>
        <v>0</v>
      </c>
      <c r="BR805" s="12">
        <f>(BT805-BP805-BQ805)/2</f>
        <v>0</v>
      </c>
      <c r="BS805" s="12">
        <f>BT805-SUM(BP805:BR805)</f>
        <v>0</v>
      </c>
      <c r="BT805" s="147">
        <v>0</v>
      </c>
      <c r="BU805" s="12">
        <f>BY805/4</f>
        <v>0</v>
      </c>
      <c r="BV805" s="12">
        <f>(BY805-BU805)/3</f>
        <v>0</v>
      </c>
      <c r="BW805" s="12">
        <f>(BY805-BU805-BV805)/2</f>
        <v>0</v>
      </c>
      <c r="BX805" s="12">
        <f>BY805-SUM(BU805:BW805)</f>
        <v>0</v>
      </c>
      <c r="BY805" s="147">
        <v>0</v>
      </c>
      <c r="BZ805" s="12">
        <f>CD805/4</f>
        <v>0</v>
      </c>
      <c r="CA805" s="12">
        <f>(CD805-BZ805)/3</f>
        <v>0</v>
      </c>
      <c r="CB805" s="12">
        <f>(CD805-BZ805-CA805)/2</f>
        <v>0</v>
      </c>
      <c r="CC805" s="12">
        <f>CD805-SUM(BZ805:CB805)</f>
        <v>0</v>
      </c>
      <c r="CD805" s="147">
        <v>0</v>
      </c>
    </row>
    <row r="806" spans="1:82">
      <c r="A806" s="4" t="s">
        <v>2154</v>
      </c>
      <c r="B806" s="5"/>
      <c r="C806" s="72"/>
      <c r="D806" s="72"/>
      <c r="E806" s="72"/>
      <c r="F806" s="72"/>
      <c r="G806" s="72"/>
      <c r="H806" s="93"/>
      <c r="I806" s="93"/>
      <c r="J806" s="93"/>
      <c r="K806" s="93"/>
      <c r="L806" s="72"/>
      <c r="M806" s="93"/>
      <c r="N806" s="93"/>
      <c r="O806" s="93"/>
      <c r="P806" s="93"/>
      <c r="Q806" s="72"/>
      <c r="R806" s="93"/>
      <c r="S806" s="93"/>
      <c r="T806" s="93"/>
      <c r="U806" s="93"/>
      <c r="V806" s="72"/>
      <c r="W806" s="93"/>
      <c r="X806" s="93"/>
      <c r="Y806" s="93"/>
      <c r="Z806" s="93"/>
      <c r="AA806" s="5">
        <v>-274</v>
      </c>
      <c r="AB806" s="93"/>
      <c r="AC806" s="93"/>
      <c r="AD806" s="93"/>
      <c r="AE806" s="93"/>
      <c r="AF806" s="5">
        <v>-363</v>
      </c>
      <c r="AG806" s="93"/>
      <c r="AH806" s="93"/>
      <c r="AI806" s="93"/>
      <c r="AJ806" s="93"/>
      <c r="AK806" s="5">
        <v>-431</v>
      </c>
      <c r="AL806" s="93"/>
      <c r="AM806" s="93"/>
      <c r="AN806" s="93"/>
      <c r="AO806" s="93"/>
      <c r="AP806" s="5">
        <v>-538</v>
      </c>
      <c r="AQ806" s="93"/>
      <c r="AR806" s="93"/>
      <c r="AS806" s="93"/>
      <c r="AT806" s="93"/>
      <c r="AU806" s="5">
        <v>-544</v>
      </c>
      <c r="AV806" s="93"/>
      <c r="AW806" s="93"/>
      <c r="AX806" s="93"/>
      <c r="AY806" s="93"/>
      <c r="AZ806" s="5">
        <v>-371</v>
      </c>
      <c r="BA806" s="93"/>
      <c r="BB806" s="93"/>
      <c r="BC806" s="93"/>
      <c r="BD806" s="93"/>
      <c r="BE806" s="5">
        <v>-484</v>
      </c>
      <c r="BF806" s="93"/>
      <c r="BG806" s="93"/>
      <c r="BH806" s="93"/>
      <c r="BI806" s="93"/>
      <c r="BJ806" s="5">
        <v>-386</v>
      </c>
      <c r="BK806" s="93"/>
      <c r="BL806" s="93"/>
      <c r="BM806" s="93"/>
      <c r="BN806" s="93"/>
      <c r="BO806" s="5">
        <v>-446</v>
      </c>
      <c r="BP806" s="12">
        <f>-BP819*BP833*'Key assumptions'!BP$48/1000</f>
        <v>-22.316722332028295</v>
      </c>
      <c r="BQ806" s="12">
        <f>-BQ819*BQ833*'Key assumptions'!BQ$48/1000</f>
        <v>-22.564685913495275</v>
      </c>
      <c r="BR806" s="12">
        <f>-BR819*BR833*'Key assumptions'!BR$48/1000</f>
        <v>-22.812649494962258</v>
      </c>
      <c r="BS806" s="12">
        <f>-BS819*BS833*'Key assumptions'!BS$48/1000</f>
        <v>-22.812649494962258</v>
      </c>
      <c r="BT806" s="5">
        <f>SUM(BP806:BS806)</f>
        <v>-90.50670723544809</v>
      </c>
      <c r="BU806" s="12">
        <f>-BU819*BU833*'Key assumptions'!BU$48/1000</f>
        <v>0</v>
      </c>
      <c r="BV806" s="12">
        <f>-BV819*BV833*'Key assumptions'!BV$48/1000</f>
        <v>0</v>
      </c>
      <c r="BW806" s="12">
        <f>-BW819*BW833*'Key assumptions'!BW$48/1000</f>
        <v>0</v>
      </c>
      <c r="BX806" s="12">
        <f>-BX819*BX833*'Key assumptions'!BX$48/1000</f>
        <v>0</v>
      </c>
      <c r="BY806" s="5">
        <f>SUM(BU806:BX806)</f>
        <v>0</v>
      </c>
      <c r="BZ806" s="12">
        <f>-BZ819*BZ833*'Key assumptions'!BZ$48/1000</f>
        <v>0</v>
      </c>
      <c r="CA806" s="12">
        <f>-CA819*CA833*'Key assumptions'!CA$48/1000</f>
        <v>0</v>
      </c>
      <c r="CB806" s="12">
        <f>-CB819*CB833*'Key assumptions'!CB$48/1000</f>
        <v>0</v>
      </c>
      <c r="CC806" s="12">
        <f>-CC819*CC833*'Key assumptions'!CC$48/1000</f>
        <v>0</v>
      </c>
      <c r="CD806" s="5">
        <f>SUM(BZ806:CC806)</f>
        <v>0</v>
      </c>
    </row>
    <row r="807" spans="1:82">
      <c r="A807" s="4" t="s">
        <v>610</v>
      </c>
      <c r="B807" s="5"/>
      <c r="C807" s="72"/>
      <c r="D807" s="72"/>
      <c r="E807" s="72"/>
      <c r="F807" s="72"/>
      <c r="G807" s="72"/>
      <c r="H807" s="93"/>
      <c r="I807" s="93"/>
      <c r="J807" s="93"/>
      <c r="K807" s="93"/>
      <c r="L807" s="72"/>
      <c r="M807" s="93"/>
      <c r="N807" s="93"/>
      <c r="O807" s="93"/>
      <c r="P807" s="93"/>
      <c r="Q807" s="72"/>
      <c r="R807" s="93"/>
      <c r="S807" s="93"/>
      <c r="T807" s="93"/>
      <c r="U807" s="93"/>
      <c r="V807" s="72"/>
      <c r="W807" s="93"/>
      <c r="X807" s="93"/>
      <c r="Y807" s="93"/>
      <c r="Z807" s="93"/>
      <c r="AA807" s="5">
        <v>0</v>
      </c>
      <c r="AB807" s="93"/>
      <c r="AC807" s="93"/>
      <c r="AD807" s="93"/>
      <c r="AE807" s="93"/>
      <c r="AF807" s="5">
        <v>0</v>
      </c>
      <c r="AG807" s="93"/>
      <c r="AH807" s="93"/>
      <c r="AI807" s="93"/>
      <c r="AJ807" s="93"/>
      <c r="AK807" s="5">
        <v>0</v>
      </c>
      <c r="AL807" s="93"/>
      <c r="AM807" s="93"/>
      <c r="AN807" s="93"/>
      <c r="AO807" s="93"/>
      <c r="AP807" s="5">
        <v>0</v>
      </c>
      <c r="AQ807" s="93"/>
      <c r="AR807" s="93"/>
      <c r="AS807" s="93"/>
      <c r="AT807" s="93"/>
      <c r="AU807" s="5">
        <v>0</v>
      </c>
      <c r="AV807" s="93"/>
      <c r="AW807" s="93"/>
      <c r="AX807" s="93"/>
      <c r="AY807" s="93"/>
      <c r="AZ807" s="5">
        <v>0</v>
      </c>
      <c r="BA807" s="93"/>
      <c r="BB807" s="93"/>
      <c r="BC807" s="93"/>
      <c r="BD807" s="93"/>
      <c r="BE807" s="5">
        <v>-35</v>
      </c>
      <c r="BF807" s="93"/>
      <c r="BG807" s="93"/>
      <c r="BH807" s="93"/>
      <c r="BI807" s="93"/>
      <c r="BJ807" s="5">
        <v>0</v>
      </c>
      <c r="BK807" s="93"/>
      <c r="BL807" s="93"/>
      <c r="BM807" s="93"/>
      <c r="BN807" s="93"/>
      <c r="BO807" s="5">
        <v>0</v>
      </c>
      <c r="BP807" s="12">
        <f>BT807/4</f>
        <v>0</v>
      </c>
      <c r="BQ807" s="12">
        <f>(BT807-BP807)/3</f>
        <v>0</v>
      </c>
      <c r="BR807" s="12">
        <f>(BT807-BP807-BQ807)/2</f>
        <v>0</v>
      </c>
      <c r="BS807" s="12">
        <f>BT807-SUM(BP807:BR807)</f>
        <v>0</v>
      </c>
      <c r="BT807" s="147">
        <v>0</v>
      </c>
      <c r="BU807" s="12">
        <f>BY807/4</f>
        <v>0</v>
      </c>
      <c r="BV807" s="12">
        <f>(BY807-BU807)/3</f>
        <v>0</v>
      </c>
      <c r="BW807" s="12">
        <f>(BY807-BU807-BV807)/2</f>
        <v>0</v>
      </c>
      <c r="BX807" s="12">
        <f>BY807-SUM(BU807:BW807)</f>
        <v>0</v>
      </c>
      <c r="BY807" s="147">
        <v>0</v>
      </c>
      <c r="BZ807" s="12">
        <f>CD807/4</f>
        <v>0</v>
      </c>
      <c r="CA807" s="12">
        <f>(CD807-BZ807)/3</f>
        <v>0</v>
      </c>
      <c r="CB807" s="12">
        <f>(CD807-BZ807-CA807)/2</f>
        <v>0</v>
      </c>
      <c r="CC807" s="12">
        <f>CD807-SUM(BZ807:CB807)</f>
        <v>0</v>
      </c>
      <c r="CD807" s="147">
        <v>0</v>
      </c>
    </row>
    <row r="808" spans="1:82">
      <c r="A808" s="7" t="s">
        <v>2160</v>
      </c>
      <c r="B808" s="8"/>
      <c r="C808" s="73"/>
      <c r="D808" s="73"/>
      <c r="E808" s="73"/>
      <c r="F808" s="73"/>
      <c r="G808" s="73"/>
      <c r="H808" s="93"/>
      <c r="I808" s="93"/>
      <c r="J808" s="93"/>
      <c r="K808" s="93"/>
      <c r="L808" s="73"/>
      <c r="M808" s="93"/>
      <c r="N808" s="93"/>
      <c r="O808" s="93"/>
      <c r="P808" s="93"/>
      <c r="Q808" s="73"/>
      <c r="R808" s="93"/>
      <c r="S808" s="93"/>
      <c r="T808" s="93"/>
      <c r="U808" s="93"/>
      <c r="V808" s="73"/>
      <c r="W808" s="93"/>
      <c r="X808" s="93"/>
      <c r="Y808" s="93"/>
      <c r="Z808" s="93"/>
      <c r="AA808" s="8">
        <f>AA800+SUM(AA802:AA807)</f>
        <v>-80</v>
      </c>
      <c r="AB808" s="93"/>
      <c r="AC808" s="93"/>
      <c r="AD808" s="93"/>
      <c r="AE808" s="93"/>
      <c r="AF808" s="8">
        <f>AF800+SUM(AF802:AF807)</f>
        <v>2</v>
      </c>
      <c r="AG808" s="93"/>
      <c r="AH808" s="93"/>
      <c r="AI808" s="93"/>
      <c r="AJ808" s="93"/>
      <c r="AK808" s="8">
        <f t="shared" ref="AK808:CD808" si="381">AK800+SUM(AK802:AK807)</f>
        <v>83</v>
      </c>
      <c r="AL808" s="93"/>
      <c r="AM808" s="93"/>
      <c r="AN808" s="93"/>
      <c r="AO808" s="93"/>
      <c r="AP808" s="8">
        <f t="shared" si="381"/>
        <v>189</v>
      </c>
      <c r="AQ808" s="93"/>
      <c r="AR808" s="93"/>
      <c r="AS808" s="93"/>
      <c r="AT808" s="93"/>
      <c r="AU808" s="8">
        <f t="shared" si="381"/>
        <v>191</v>
      </c>
      <c r="AV808" s="93"/>
      <c r="AW808" s="93"/>
      <c r="AX808" s="93"/>
      <c r="AY808" s="93"/>
      <c r="AZ808" s="8">
        <f t="shared" si="381"/>
        <v>60</v>
      </c>
      <c r="BA808" s="93"/>
      <c r="BB808" s="93"/>
      <c r="BC808" s="93"/>
      <c r="BD808" s="93"/>
      <c r="BE808" s="8">
        <f t="shared" si="381"/>
        <v>-34</v>
      </c>
      <c r="BF808" s="93"/>
      <c r="BG808" s="93"/>
      <c r="BH808" s="93"/>
      <c r="BI808" s="93"/>
      <c r="BJ808" s="8">
        <f t="shared" ref="BJ808" si="382">BJ800+SUM(BJ802:BJ807)</f>
        <v>6</v>
      </c>
      <c r="BK808" s="93"/>
      <c r="BL808" s="93"/>
      <c r="BM808" s="93"/>
      <c r="BN808" s="93"/>
      <c r="BO808" s="8">
        <f t="shared" si="381"/>
        <v>4</v>
      </c>
      <c r="BP808" s="66">
        <f t="shared" si="381"/>
        <v>0.34078832868051734</v>
      </c>
      <c r="BQ808" s="66">
        <f t="shared" si="381"/>
        <v>0.61665011840641171</v>
      </c>
      <c r="BR808" s="66">
        <f t="shared" si="381"/>
        <v>6.4423244527048951E-2</v>
      </c>
      <c r="BS808" s="66">
        <f t="shared" si="381"/>
        <v>-0.4014127961453795</v>
      </c>
      <c r="BT808" s="8">
        <f t="shared" si="381"/>
        <v>0.62044889546857007</v>
      </c>
      <c r="BU808" s="66">
        <f t="shared" si="381"/>
        <v>0</v>
      </c>
      <c r="BV808" s="66">
        <f t="shared" si="381"/>
        <v>0</v>
      </c>
      <c r="BW808" s="66">
        <f t="shared" si="381"/>
        <v>0</v>
      </c>
      <c r="BX808" s="66">
        <f t="shared" si="381"/>
        <v>0</v>
      </c>
      <c r="BY808" s="8">
        <f t="shared" si="381"/>
        <v>0</v>
      </c>
      <c r="BZ808" s="66">
        <f t="shared" si="381"/>
        <v>0</v>
      </c>
      <c r="CA808" s="66">
        <f t="shared" si="381"/>
        <v>0</v>
      </c>
      <c r="CB808" s="66">
        <f t="shared" si="381"/>
        <v>0</v>
      </c>
      <c r="CC808" s="66">
        <f t="shared" si="381"/>
        <v>0</v>
      </c>
      <c r="CD808" s="8">
        <f t="shared" si="381"/>
        <v>0</v>
      </c>
    </row>
    <row r="809" spans="1:82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O809" s="4"/>
      <c r="AP809" s="4"/>
      <c r="AQ809" s="4"/>
      <c r="AR809" s="4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4"/>
      <c r="BE809" s="4"/>
      <c r="BF809" s="4"/>
      <c r="BG809" s="4"/>
      <c r="BH809" s="4"/>
      <c r="BI809" s="4"/>
      <c r="BJ809" s="4"/>
      <c r="BK809" s="4"/>
      <c r="BL809" s="4"/>
      <c r="BM809" s="4"/>
      <c r="BN809" s="4"/>
      <c r="BO809" s="4"/>
      <c r="BP809" s="4"/>
      <c r="BQ809" s="4"/>
      <c r="BR809" s="4"/>
      <c r="BS809" s="4"/>
      <c r="BT809" s="4"/>
      <c r="BU809" s="4"/>
      <c r="BV809" s="4"/>
      <c r="BW809" s="4"/>
      <c r="BX809" s="4"/>
      <c r="BY809" s="4"/>
      <c r="BZ809" s="4"/>
      <c r="CA809" s="4"/>
      <c r="CB809" s="4"/>
      <c r="CC809" s="4"/>
      <c r="CD809" s="4"/>
    </row>
    <row r="810" spans="1:82">
      <c r="A810" s="4" t="s">
        <v>2152</v>
      </c>
      <c r="B810" s="5"/>
      <c r="C810" s="72"/>
      <c r="D810" s="72"/>
      <c r="E810" s="72"/>
      <c r="F810" s="72"/>
      <c r="G810" s="72"/>
      <c r="H810" s="93"/>
      <c r="I810" s="93"/>
      <c r="J810" s="93"/>
      <c r="K810" s="93"/>
      <c r="L810" s="72"/>
      <c r="M810" s="93"/>
      <c r="N810" s="93"/>
      <c r="O810" s="93"/>
      <c r="P810" s="93"/>
      <c r="Q810" s="72"/>
      <c r="R810" s="93"/>
      <c r="S810" s="93"/>
      <c r="T810" s="93"/>
      <c r="U810" s="93"/>
      <c r="V810" s="72"/>
      <c r="W810" s="93"/>
      <c r="X810" s="93"/>
      <c r="Y810" s="93"/>
      <c r="Z810" s="93"/>
      <c r="AA810" s="5">
        <v>0</v>
      </c>
      <c r="AB810" s="93"/>
      <c r="AC810" s="93"/>
      <c r="AD810" s="93"/>
      <c r="AE810" s="93"/>
      <c r="AF810" s="5">
        <v>-33</v>
      </c>
      <c r="AG810" s="93"/>
      <c r="AH810" s="93"/>
      <c r="AI810" s="93"/>
      <c r="AJ810" s="93"/>
      <c r="AK810" s="5">
        <v>-19</v>
      </c>
      <c r="AL810" s="93"/>
      <c r="AM810" s="93"/>
      <c r="AN810" s="93"/>
      <c r="AO810" s="93"/>
      <c r="AP810" s="5">
        <v>-54</v>
      </c>
      <c r="AQ810" s="93"/>
      <c r="AR810" s="93"/>
      <c r="AS810" s="93"/>
      <c r="AT810" s="93"/>
      <c r="AU810" s="5">
        <v>-40</v>
      </c>
      <c r="AV810" s="93"/>
      <c r="AW810" s="93"/>
      <c r="AX810" s="93"/>
      <c r="AY810" s="93"/>
      <c r="AZ810" s="5">
        <v>-29</v>
      </c>
      <c r="BA810" s="93"/>
      <c r="BB810" s="93"/>
      <c r="BC810" s="93"/>
      <c r="BD810" s="93"/>
      <c r="BE810" s="5">
        <v>-1</v>
      </c>
      <c r="BF810" s="93"/>
      <c r="BG810" s="93"/>
      <c r="BH810" s="93"/>
      <c r="BI810" s="93"/>
      <c r="BJ810" s="5">
        <v>-3</v>
      </c>
      <c r="BK810" s="93"/>
      <c r="BL810" s="93"/>
      <c r="BM810" s="93"/>
      <c r="BN810" s="93"/>
      <c r="BO810" s="5">
        <v>0</v>
      </c>
      <c r="BP810" s="12">
        <f>-BP808*BP846</f>
        <v>-6.8157665736103476E-2</v>
      </c>
      <c r="BQ810" s="12">
        <f>-BQ808*BQ846</f>
        <v>-0.12333002368128235</v>
      </c>
      <c r="BR810" s="12">
        <f>-BR808*BR846</f>
        <v>-1.2884648905409791E-2</v>
      </c>
      <c r="BS810" s="12">
        <f>-BS808*BS846</f>
        <v>8.02825592290759E-2</v>
      </c>
      <c r="BT810" s="5">
        <f>SUM(BP810:BS810)</f>
        <v>-0.12408977909371971</v>
      </c>
      <c r="BU810" s="12">
        <f>-BU808*BU846</f>
        <v>0</v>
      </c>
      <c r="BV810" s="12">
        <f>-BV808*BV846</f>
        <v>0</v>
      </c>
      <c r="BW810" s="12">
        <f>-BW808*BW846</f>
        <v>0</v>
      </c>
      <c r="BX810" s="12">
        <f>-BX808*BX846</f>
        <v>0</v>
      </c>
      <c r="BY810" s="5">
        <f>SUM(BU810:BX810)</f>
        <v>0</v>
      </c>
      <c r="BZ810" s="12">
        <f>-BZ808*BZ846</f>
        <v>0</v>
      </c>
      <c r="CA810" s="12">
        <f>-CA808*CA846</f>
        <v>0</v>
      </c>
      <c r="CB810" s="12">
        <f>-CB808*CB846</f>
        <v>0</v>
      </c>
      <c r="CC810" s="12">
        <f>-CC808*CC846</f>
        <v>0</v>
      </c>
      <c r="CD810" s="5">
        <f>SUM(BZ810:CC810)</f>
        <v>0</v>
      </c>
    </row>
    <row r="811" spans="1:82">
      <c r="A811" s="14" t="s">
        <v>2153</v>
      </c>
      <c r="B811" s="15"/>
      <c r="C811" s="74"/>
      <c r="D811" s="74"/>
      <c r="E811" s="74"/>
      <c r="F811" s="74"/>
      <c r="G811" s="74"/>
      <c r="H811" s="378"/>
      <c r="I811" s="378"/>
      <c r="J811" s="378"/>
      <c r="K811" s="378"/>
      <c r="L811" s="74"/>
      <c r="M811" s="378"/>
      <c r="N811" s="378"/>
      <c r="O811" s="378"/>
      <c r="P811" s="378"/>
      <c r="Q811" s="74"/>
      <c r="R811" s="378"/>
      <c r="S811" s="378"/>
      <c r="T811" s="378"/>
      <c r="U811" s="378"/>
      <c r="V811" s="74"/>
      <c r="W811" s="378"/>
      <c r="X811" s="378"/>
      <c r="Y811" s="378"/>
      <c r="Z811" s="378"/>
      <c r="AA811" s="15">
        <f>SUM(AA808,AA810)</f>
        <v>-80</v>
      </c>
      <c r="AB811" s="378"/>
      <c r="AC811" s="378"/>
      <c r="AD811" s="378"/>
      <c r="AE811" s="378"/>
      <c r="AF811" s="15">
        <f>SUM(AF808,AF810)</f>
        <v>-31</v>
      </c>
      <c r="AG811" s="378"/>
      <c r="AH811" s="378"/>
      <c r="AI811" s="378"/>
      <c r="AJ811" s="378"/>
      <c r="AK811" s="15">
        <f t="shared" ref="AK811:CD811" si="383">SUM(AK808,AK810)</f>
        <v>64</v>
      </c>
      <c r="AL811" s="378"/>
      <c r="AM811" s="378"/>
      <c r="AN811" s="378"/>
      <c r="AO811" s="378"/>
      <c r="AP811" s="15">
        <f t="shared" si="383"/>
        <v>135</v>
      </c>
      <c r="AQ811" s="378"/>
      <c r="AR811" s="378"/>
      <c r="AS811" s="378"/>
      <c r="AT811" s="378"/>
      <c r="AU811" s="15">
        <f t="shared" si="383"/>
        <v>151</v>
      </c>
      <c r="AV811" s="378"/>
      <c r="AW811" s="378"/>
      <c r="AX811" s="378"/>
      <c r="AY811" s="378"/>
      <c r="AZ811" s="15">
        <f t="shared" si="383"/>
        <v>31</v>
      </c>
      <c r="BA811" s="378"/>
      <c r="BB811" s="378"/>
      <c r="BC811" s="378"/>
      <c r="BD811" s="378"/>
      <c r="BE811" s="15">
        <f t="shared" si="383"/>
        <v>-35</v>
      </c>
      <c r="BF811" s="378"/>
      <c r="BG811" s="378"/>
      <c r="BH811" s="378"/>
      <c r="BI811" s="378"/>
      <c r="BJ811" s="15">
        <f t="shared" ref="BJ811" si="384">SUM(BJ808,BJ810)</f>
        <v>3</v>
      </c>
      <c r="BK811" s="378"/>
      <c r="BL811" s="378"/>
      <c r="BM811" s="378"/>
      <c r="BN811" s="378"/>
      <c r="BO811" s="15">
        <f t="shared" si="383"/>
        <v>4</v>
      </c>
      <c r="BP811" s="67">
        <f t="shared" si="383"/>
        <v>0.27263066294441385</v>
      </c>
      <c r="BQ811" s="67">
        <f t="shared" si="383"/>
        <v>0.49332009472512939</v>
      </c>
      <c r="BR811" s="67">
        <f t="shared" si="383"/>
        <v>5.1538595621639163E-2</v>
      </c>
      <c r="BS811" s="67">
        <f t="shared" si="383"/>
        <v>-0.3211302369163036</v>
      </c>
      <c r="BT811" s="15">
        <f t="shared" si="383"/>
        <v>0.49635911637485036</v>
      </c>
      <c r="BU811" s="67">
        <f t="shared" si="383"/>
        <v>0</v>
      </c>
      <c r="BV811" s="67">
        <f t="shared" si="383"/>
        <v>0</v>
      </c>
      <c r="BW811" s="67">
        <f t="shared" si="383"/>
        <v>0</v>
      </c>
      <c r="BX811" s="67">
        <f t="shared" si="383"/>
        <v>0</v>
      </c>
      <c r="BY811" s="15">
        <f t="shared" si="383"/>
        <v>0</v>
      </c>
      <c r="BZ811" s="67">
        <f t="shared" si="383"/>
        <v>0</v>
      </c>
      <c r="CA811" s="67">
        <f t="shared" si="383"/>
        <v>0</v>
      </c>
      <c r="CB811" s="67">
        <f t="shared" si="383"/>
        <v>0</v>
      </c>
      <c r="CC811" s="67">
        <f t="shared" si="383"/>
        <v>0</v>
      </c>
      <c r="CD811" s="15">
        <f t="shared" si="383"/>
        <v>0</v>
      </c>
    </row>
    <row r="812" spans="1:82">
      <c r="A812" s="75"/>
      <c r="B812" s="76"/>
      <c r="C812" s="76"/>
      <c r="D812" s="76"/>
      <c r="E812" s="76"/>
      <c r="F812" s="76"/>
      <c r="G812" s="76"/>
      <c r="H812" s="76"/>
      <c r="I812" s="76"/>
      <c r="J812" s="76"/>
      <c r="K812" s="76"/>
      <c r="L812" s="76"/>
      <c r="M812" s="76"/>
      <c r="N812" s="76"/>
      <c r="O812" s="76"/>
      <c r="P812" s="76"/>
      <c r="Q812" s="76"/>
      <c r="R812" s="76"/>
      <c r="S812" s="76"/>
      <c r="T812" s="76"/>
      <c r="U812" s="76"/>
      <c r="V812" s="76"/>
      <c r="W812" s="76"/>
      <c r="X812" s="76"/>
      <c r="Y812" s="76"/>
      <c r="Z812" s="76"/>
      <c r="AA812" s="76"/>
      <c r="AB812" s="76"/>
      <c r="AC812" s="76"/>
      <c r="AD812" s="76"/>
      <c r="AE812" s="76"/>
      <c r="AF812" s="76"/>
      <c r="AG812" s="76"/>
      <c r="AH812" s="76"/>
      <c r="AI812" s="76"/>
      <c r="AJ812" s="76"/>
      <c r="AK812" s="5"/>
      <c r="AL812" s="76"/>
      <c r="AM812" s="76"/>
      <c r="AN812" s="76"/>
      <c r="AO812" s="76"/>
      <c r="AP812" s="5"/>
      <c r="AQ812" s="76"/>
      <c r="AR812" s="76"/>
      <c r="AS812" s="76"/>
      <c r="AT812" s="76"/>
      <c r="AU812" s="5"/>
      <c r="AV812" s="76"/>
      <c r="AW812" s="76"/>
      <c r="AX812" s="76"/>
      <c r="AY812" s="76"/>
      <c r="AZ812" s="5"/>
      <c r="BA812" s="76"/>
      <c r="BB812" s="76"/>
      <c r="BC812" s="76"/>
      <c r="BD812" s="76"/>
      <c r="BE812" s="5"/>
      <c r="BF812" s="76"/>
      <c r="BG812" s="76"/>
      <c r="BH812" s="76"/>
      <c r="BI812" s="76"/>
      <c r="BJ812" s="5"/>
      <c r="BK812" s="76"/>
      <c r="BL812" s="76"/>
      <c r="BM812" s="76"/>
      <c r="BN812" s="76"/>
      <c r="BO812" s="5"/>
      <c r="BP812" s="76"/>
      <c r="BQ812" s="76"/>
      <c r="BR812" s="76"/>
      <c r="BS812" s="76"/>
      <c r="BT812" s="5"/>
      <c r="BU812" s="76"/>
      <c r="BV812" s="76"/>
      <c r="BW812" s="76"/>
      <c r="BX812" s="76"/>
      <c r="BY812" s="5"/>
      <c r="BZ812" s="76"/>
      <c r="CA812" s="76"/>
      <c r="CB812" s="76"/>
      <c r="CC812" s="76"/>
      <c r="CD812" s="5"/>
    </row>
    <row r="813" spans="1:82">
      <c r="A813" s="4" t="s">
        <v>1083</v>
      </c>
      <c r="B813" s="13"/>
      <c r="C813" s="93"/>
      <c r="D813" s="93"/>
      <c r="E813" s="93"/>
      <c r="F813" s="93"/>
      <c r="G813" s="93"/>
      <c r="H813" s="93"/>
      <c r="I813" s="93"/>
      <c r="J813" s="93"/>
      <c r="K813" s="93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  <c r="X813" s="93"/>
      <c r="Y813" s="93"/>
      <c r="Z813" s="93"/>
      <c r="AA813" s="13">
        <v>611</v>
      </c>
      <c r="AB813" s="93"/>
      <c r="AC813" s="93"/>
      <c r="AD813" s="93"/>
      <c r="AE813" s="93"/>
      <c r="AF813" s="13">
        <v>518</v>
      </c>
      <c r="AG813" s="93"/>
      <c r="AH813" s="93"/>
      <c r="AI813" s="93"/>
      <c r="AJ813" s="93"/>
      <c r="AK813" s="13">
        <v>509</v>
      </c>
      <c r="AL813" s="93"/>
      <c r="AM813" s="93"/>
      <c r="AN813" s="93"/>
      <c r="AO813" s="93"/>
      <c r="AP813" s="13">
        <v>505</v>
      </c>
      <c r="AQ813" s="93"/>
      <c r="AR813" s="93"/>
      <c r="AS813" s="93"/>
      <c r="AT813" s="93"/>
      <c r="AU813" s="13">
        <v>402</v>
      </c>
      <c r="AV813" s="93"/>
      <c r="AW813" s="93"/>
      <c r="AX813" s="93"/>
      <c r="AY813" s="93"/>
      <c r="AZ813" s="13">
        <v>526</v>
      </c>
      <c r="BA813" s="93"/>
      <c r="BB813" s="93"/>
      <c r="BC813" s="93"/>
      <c r="BD813" s="93"/>
      <c r="BE813" s="13">
        <v>398</v>
      </c>
      <c r="BF813" s="93"/>
      <c r="BG813" s="93"/>
      <c r="BH813" s="93"/>
      <c r="BI813" s="93"/>
      <c r="BJ813" s="13">
        <v>263</v>
      </c>
      <c r="BK813" s="93"/>
      <c r="BL813" s="93"/>
      <c r="BM813" s="93"/>
      <c r="BN813" s="93"/>
      <c r="BO813" s="13">
        <v>241</v>
      </c>
      <c r="BP813" s="12">
        <f>BT813/4</f>
        <v>100</v>
      </c>
      <c r="BQ813" s="12">
        <f>(BT813-BP813)/3</f>
        <v>100</v>
      </c>
      <c r="BR813" s="12">
        <f>(BT813-BP813-BQ813)/2</f>
        <v>100</v>
      </c>
      <c r="BS813" s="12">
        <f>BT813-SUM(BP813:BR813)</f>
        <v>100</v>
      </c>
      <c r="BT813" s="139">
        <v>400</v>
      </c>
      <c r="BU813" s="12">
        <f>BY813/4</f>
        <v>100</v>
      </c>
      <c r="BV813" s="12">
        <f>(BY813-BU813)/3</f>
        <v>100</v>
      </c>
      <c r="BW813" s="12">
        <f>(BY813-BU813-BV813)/2</f>
        <v>100</v>
      </c>
      <c r="BX813" s="12">
        <f>BY813-SUM(BU813:BW813)</f>
        <v>100</v>
      </c>
      <c r="BY813" s="139">
        <v>400</v>
      </c>
      <c r="BZ813" s="12">
        <f>CD813/4</f>
        <v>100</v>
      </c>
      <c r="CA813" s="12">
        <f>(CD813-BZ813)/3</f>
        <v>100</v>
      </c>
      <c r="CB813" s="12">
        <f>(CD813-BZ813-CA813)/2</f>
        <v>100</v>
      </c>
      <c r="CC813" s="12">
        <f>CD813-SUM(BZ813:CB813)</f>
        <v>100</v>
      </c>
      <c r="CD813" s="139">
        <v>400</v>
      </c>
    </row>
    <row r="814" spans="1:82">
      <c r="A814" s="14" t="s">
        <v>3126</v>
      </c>
      <c r="B814" s="15"/>
      <c r="C814" s="74"/>
      <c r="D814" s="378"/>
      <c r="E814" s="378"/>
      <c r="F814" s="378"/>
      <c r="G814" s="378"/>
      <c r="H814" s="378"/>
      <c r="I814" s="378"/>
      <c r="J814" s="378"/>
      <c r="K814" s="378"/>
      <c r="L814" s="378"/>
      <c r="M814" s="378"/>
      <c r="N814" s="378"/>
      <c r="O814" s="378"/>
      <c r="P814" s="378"/>
      <c r="Q814" s="378"/>
      <c r="R814" s="378"/>
      <c r="S814" s="378"/>
      <c r="T814" s="378"/>
      <c r="U814" s="378"/>
      <c r="V814" s="378"/>
      <c r="W814" s="378"/>
      <c r="X814" s="378"/>
      <c r="Y814" s="378"/>
      <c r="Z814" s="378"/>
      <c r="AA814" s="15">
        <f>AA811+AA813</f>
        <v>531</v>
      </c>
      <c r="AB814" s="378"/>
      <c r="AC814" s="378"/>
      <c r="AD814" s="378"/>
      <c r="AE814" s="378"/>
      <c r="AF814" s="15">
        <f>AF811+AF813</f>
        <v>487</v>
      </c>
      <c r="AG814" s="378"/>
      <c r="AH814" s="378"/>
      <c r="AI814" s="378"/>
      <c r="AJ814" s="378"/>
      <c r="AK814" s="15">
        <f t="shared" ref="AK814:CD814" si="385">AK811+AK813</f>
        <v>573</v>
      </c>
      <c r="AL814" s="378"/>
      <c r="AM814" s="378"/>
      <c r="AN814" s="378"/>
      <c r="AO814" s="378"/>
      <c r="AP814" s="15">
        <f t="shared" si="385"/>
        <v>640</v>
      </c>
      <c r="AQ814" s="378"/>
      <c r="AR814" s="378"/>
      <c r="AS814" s="378"/>
      <c r="AT814" s="378"/>
      <c r="AU814" s="15">
        <f t="shared" si="385"/>
        <v>553</v>
      </c>
      <c r="AV814" s="378"/>
      <c r="AW814" s="378"/>
      <c r="AX814" s="378"/>
      <c r="AY814" s="378"/>
      <c r="AZ814" s="15">
        <f t="shared" si="385"/>
        <v>557</v>
      </c>
      <c r="BA814" s="378"/>
      <c r="BB814" s="378"/>
      <c r="BC814" s="378"/>
      <c r="BD814" s="378"/>
      <c r="BE814" s="15">
        <f t="shared" si="385"/>
        <v>363</v>
      </c>
      <c r="BF814" s="378"/>
      <c r="BG814" s="378"/>
      <c r="BH814" s="378"/>
      <c r="BI814" s="378"/>
      <c r="BJ814" s="15">
        <f t="shared" ref="BJ814" si="386">BJ811+BJ813</f>
        <v>266</v>
      </c>
      <c r="BK814" s="378"/>
      <c r="BL814" s="378"/>
      <c r="BM814" s="378"/>
      <c r="BN814" s="378"/>
      <c r="BO814" s="15">
        <f t="shared" si="385"/>
        <v>245</v>
      </c>
      <c r="BP814" s="67">
        <f t="shared" si="385"/>
        <v>100.27263066294441</v>
      </c>
      <c r="BQ814" s="67">
        <f t="shared" si="385"/>
        <v>100.49332009472514</v>
      </c>
      <c r="BR814" s="67">
        <f t="shared" si="385"/>
        <v>100.05153859562164</v>
      </c>
      <c r="BS814" s="67">
        <f t="shared" si="385"/>
        <v>99.678869763083696</v>
      </c>
      <c r="BT814" s="15">
        <f t="shared" si="385"/>
        <v>400.49635911637483</v>
      </c>
      <c r="BU814" s="67">
        <f t="shared" si="385"/>
        <v>100</v>
      </c>
      <c r="BV814" s="67">
        <f t="shared" si="385"/>
        <v>100</v>
      </c>
      <c r="BW814" s="67">
        <f t="shared" si="385"/>
        <v>100</v>
      </c>
      <c r="BX814" s="67">
        <f t="shared" si="385"/>
        <v>100</v>
      </c>
      <c r="BY814" s="15">
        <f t="shared" si="385"/>
        <v>400</v>
      </c>
      <c r="BZ814" s="67">
        <f t="shared" si="385"/>
        <v>100</v>
      </c>
      <c r="CA814" s="67">
        <f t="shared" si="385"/>
        <v>100</v>
      </c>
      <c r="CB814" s="67">
        <f t="shared" si="385"/>
        <v>100</v>
      </c>
      <c r="CC814" s="67">
        <f t="shared" si="385"/>
        <v>100</v>
      </c>
      <c r="CD814" s="15">
        <f t="shared" si="385"/>
        <v>400</v>
      </c>
    </row>
    <row r="815" spans="1:82">
      <c r="A815" s="5"/>
      <c r="B815" s="5"/>
      <c r="C815" s="5"/>
      <c r="D815" s="5"/>
      <c r="E815" s="5"/>
      <c r="F815" s="5"/>
      <c r="G815" s="5"/>
      <c r="H815" s="76"/>
      <c r="I815" s="76"/>
      <c r="J815" s="76"/>
      <c r="K815" s="76"/>
      <c r="L815" s="5"/>
      <c r="M815" s="76"/>
      <c r="N815" s="76"/>
      <c r="O815" s="76"/>
      <c r="P815" s="76"/>
      <c r="Q815" s="5"/>
      <c r="R815" s="76"/>
      <c r="S815" s="76"/>
      <c r="T815" s="76"/>
      <c r="U815" s="76"/>
      <c r="V815" s="5"/>
      <c r="W815" s="76"/>
      <c r="X815" s="76"/>
      <c r="Y815" s="76"/>
      <c r="Z815" s="76"/>
      <c r="AA815" s="5"/>
      <c r="AB815" s="76"/>
      <c r="AC815" s="76"/>
      <c r="AD815" s="76"/>
      <c r="AE815" s="76"/>
      <c r="AF815" s="5"/>
      <c r="AG815" s="76"/>
      <c r="AH815" s="76"/>
      <c r="AI815" s="76"/>
      <c r="AJ815" s="76"/>
      <c r="AK815" s="5"/>
      <c r="AL815" s="76"/>
      <c r="AM815" s="76"/>
      <c r="AN815" s="76"/>
      <c r="AO815" s="76"/>
      <c r="AP815" s="5"/>
      <c r="AQ815" s="76"/>
      <c r="AR815" s="76"/>
      <c r="AS815" s="76"/>
      <c r="AT815" s="76"/>
      <c r="AU815" s="5"/>
      <c r="AV815" s="76"/>
      <c r="AW815" s="76"/>
      <c r="AX815" s="76"/>
      <c r="AY815" s="76"/>
      <c r="AZ815" s="5"/>
      <c r="BA815" s="76"/>
      <c r="BB815" s="76"/>
      <c r="BC815" s="76"/>
      <c r="BD815" s="76"/>
      <c r="BE815" s="5"/>
      <c r="BF815" s="76"/>
      <c r="BG815" s="76"/>
      <c r="BH815" s="76"/>
      <c r="BI815" s="76"/>
      <c r="BJ815" s="5"/>
      <c r="BK815" s="76"/>
      <c r="BL815" s="76"/>
      <c r="BM815" s="76"/>
      <c r="BN815" s="76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</row>
    <row r="816" spans="1:82" hidden="1" outlineLevel="1">
      <c r="A816" s="39" t="s">
        <v>196</v>
      </c>
      <c r="B816" s="11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</row>
    <row r="817" spans="1:82" hidden="1" outlineLevel="1">
      <c r="A817" s="11"/>
      <c r="B817" s="11" t="s">
        <v>932</v>
      </c>
      <c r="C817" s="5">
        <f>'Production - Oil'!C103-C762</f>
        <v>138</v>
      </c>
      <c r="D817" s="5">
        <f>'Production - Oil'!D103-D762</f>
        <v>126</v>
      </c>
      <c r="E817" s="5">
        <f>'Production - Oil'!E103-E762</f>
        <v>150</v>
      </c>
      <c r="F817" s="5">
        <f>'Production - Oil'!F103-F762</f>
        <v>156</v>
      </c>
      <c r="G817" s="5">
        <f>'Production - Oil'!G103-G762</f>
        <v>161</v>
      </c>
      <c r="H817" s="93">
        <f>'Production - Oil'!H103-H762</f>
        <v>0</v>
      </c>
      <c r="I817" s="93">
        <f>'Production - Oil'!I103-I762</f>
        <v>0</v>
      </c>
      <c r="J817" s="93">
        <f>'Production - Oil'!J103-J762</f>
        <v>0</v>
      </c>
      <c r="K817" s="93">
        <f>'Production - Oil'!K103-K762</f>
        <v>0</v>
      </c>
      <c r="L817" s="5">
        <f>'Production - Oil'!L103-L762</f>
        <v>171</v>
      </c>
      <c r="M817" s="93">
        <f>'Production - Oil'!M103-M762</f>
        <v>0</v>
      </c>
      <c r="N817" s="93">
        <f>'Production - Oil'!N103-N762</f>
        <v>0</v>
      </c>
      <c r="O817" s="93">
        <f>'Production - Oil'!O103-O762</f>
        <v>0</v>
      </c>
      <c r="P817" s="93">
        <f>'Production - Oil'!P103-P762</f>
        <v>0</v>
      </c>
      <c r="Q817" s="5">
        <f>'Production - Oil'!Q103-Q762</f>
        <v>201</v>
      </c>
      <c r="R817" s="93">
        <f>'Production - Oil'!R103-R762</f>
        <v>0</v>
      </c>
      <c r="S817" s="93">
        <f>'Production - Oil'!S103-S762</f>
        <v>0</v>
      </c>
      <c r="T817" s="93">
        <f>'Production - Oil'!T103-T762</f>
        <v>0</v>
      </c>
      <c r="U817" s="93">
        <f>'Production - Oil'!U103-U762</f>
        <v>0</v>
      </c>
      <c r="V817" s="5">
        <f>'Production - Oil'!V103-V762</f>
        <v>220</v>
      </c>
      <c r="W817" s="93">
        <f>'Production - Oil'!W103-W762</f>
        <v>0</v>
      </c>
      <c r="X817" s="93">
        <f>'Production - Oil'!X103-X762</f>
        <v>0</v>
      </c>
      <c r="Y817" s="93">
        <f>'Production - Oil'!Y103-Y762</f>
        <v>0</v>
      </c>
      <c r="Z817" s="93">
        <f>'Production - Oil'!Z103-Z762</f>
        <v>0</v>
      </c>
      <c r="AA817" s="5">
        <f>'Production - Oil'!AA103-AA762</f>
        <v>194</v>
      </c>
      <c r="AB817" s="93">
        <f>'Production - Oil'!AB103-AB762</f>
        <v>0</v>
      </c>
      <c r="AC817" s="93">
        <f>'Production - Oil'!AC103-AC762</f>
        <v>0</v>
      </c>
      <c r="AD817" s="93">
        <f>'Production - Oil'!AD103-AD762</f>
        <v>0</v>
      </c>
      <c r="AE817" s="93">
        <f>'Production - Oil'!AE103-AE762</f>
        <v>0</v>
      </c>
      <c r="AF817" s="5">
        <f>'Production - Oil'!AF103-AF762</f>
        <v>191</v>
      </c>
      <c r="AG817" s="93"/>
      <c r="AH817" s="93"/>
      <c r="AI817" s="93"/>
      <c r="AJ817" s="93"/>
      <c r="AK817" s="5">
        <f>'Production - Oil'!AK103-AK762</f>
        <v>210</v>
      </c>
      <c r="AL817" s="93"/>
      <c r="AM817" s="93"/>
      <c r="AN817" s="93"/>
      <c r="AO817" s="93"/>
      <c r="AP817" s="5">
        <f>'Production - Oil'!AP103-AP762</f>
        <v>217</v>
      </c>
      <c r="AQ817" s="93"/>
      <c r="AR817" s="93"/>
      <c r="AS817" s="93"/>
      <c r="AT817" s="93"/>
      <c r="AU817" s="5">
        <f>'Production - Oil'!AU103-AU762</f>
        <v>232</v>
      </c>
      <c r="AV817" s="93"/>
      <c r="AW817" s="93"/>
      <c r="AX817" s="93"/>
      <c r="AY817" s="93"/>
      <c r="AZ817" s="5">
        <f>'Production - Oil'!AZ103-AZ762</f>
        <v>98</v>
      </c>
      <c r="BA817" s="93"/>
      <c r="BB817" s="93"/>
      <c r="BC817" s="93"/>
      <c r="BD817" s="93"/>
      <c r="BE817" s="5">
        <f>'Production - Oil'!BE103-BE762</f>
        <v>97</v>
      </c>
      <c r="BF817" s="93"/>
      <c r="BG817" s="93"/>
      <c r="BH817" s="93"/>
      <c r="BI817" s="93"/>
      <c r="BJ817" s="5">
        <f>'Production - Oil'!BJ103-BJ762</f>
        <v>105</v>
      </c>
      <c r="BK817" s="93"/>
      <c r="BL817" s="93"/>
      <c r="BM817" s="93"/>
      <c r="BN817" s="93"/>
      <c r="BO817" s="5">
        <f>'Production - Oil'!BO103-BO762</f>
        <v>104</v>
      </c>
      <c r="BP817" s="12">
        <f>'Production - Oil'!BP103-BP762</f>
        <v>19.799999999999955</v>
      </c>
      <c r="BQ817" s="12">
        <f>'Production - Oil'!BQ103-BQ762</f>
        <v>19.799999999999955</v>
      </c>
      <c r="BR817" s="12">
        <f>'Production - Oil'!BR103-BR762</f>
        <v>19.799999999999955</v>
      </c>
      <c r="BS817" s="12">
        <f>'Production - Oil'!BS103-BS762</f>
        <v>19.799999999999955</v>
      </c>
      <c r="BT817" s="5">
        <f>'Production - Oil'!BT103-BT762</f>
        <v>19.799999999999955</v>
      </c>
      <c r="BU817" s="12">
        <f>'Production - Oil'!BU103-BU762</f>
        <v>0</v>
      </c>
      <c r="BV817" s="12">
        <f>'Production - Oil'!BV103-BV762</f>
        <v>0</v>
      </c>
      <c r="BW817" s="12">
        <f>'Production - Oil'!BW103-BW762</f>
        <v>0</v>
      </c>
      <c r="BX817" s="12">
        <f>'Production - Oil'!BX103-BX762</f>
        <v>0</v>
      </c>
      <c r="BY817" s="5">
        <f>'Production - Oil'!BY103-BY762</f>
        <v>0</v>
      </c>
      <c r="BZ817" s="12">
        <f>'Production - Oil'!BZ103-BZ762</f>
        <v>0</v>
      </c>
      <c r="CA817" s="12">
        <f>'Production - Oil'!CA103-CA762</f>
        <v>0</v>
      </c>
      <c r="CB817" s="12">
        <f>'Production - Oil'!CB103-CB762</f>
        <v>0</v>
      </c>
      <c r="CC817" s="12">
        <f>'Production - Oil'!CC103-CC762</f>
        <v>0</v>
      </c>
      <c r="CD817" s="5">
        <f>'Production - Oil'!CD103-CD762</f>
        <v>0</v>
      </c>
    </row>
    <row r="818" spans="1:82" hidden="1" outlineLevel="1">
      <c r="A818" s="11"/>
      <c r="B818" s="11" t="s">
        <v>933</v>
      </c>
      <c r="C818" s="5">
        <f>'Production - Gas'!C103-C763</f>
        <v>109</v>
      </c>
      <c r="D818" s="5">
        <f>'Production - Gas'!D103-D763</f>
        <v>126</v>
      </c>
      <c r="E818" s="5">
        <f>'Production - Gas'!E103-E763</f>
        <v>111</v>
      </c>
      <c r="F818" s="5">
        <f>'Production - Gas'!F103-F763</f>
        <v>104</v>
      </c>
      <c r="G818" s="5">
        <f>'Production - Gas'!G103-G763</f>
        <v>71.059999999999945</v>
      </c>
      <c r="H818" s="93">
        <f>'Production - Gas'!H103-H763</f>
        <v>0</v>
      </c>
      <c r="I818" s="93">
        <f>'Production - Gas'!I103-I763</f>
        <v>0</v>
      </c>
      <c r="J818" s="93">
        <f>'Production - Gas'!J103-J763</f>
        <v>0</v>
      </c>
      <c r="K818" s="93">
        <f>'Production - Gas'!K103-K763</f>
        <v>0</v>
      </c>
      <c r="L818" s="5">
        <f>'Production - Gas'!L103-L763</f>
        <v>45</v>
      </c>
      <c r="M818" s="93">
        <f>'Production - Gas'!M103-M763</f>
        <v>0</v>
      </c>
      <c r="N818" s="93">
        <f>'Production - Gas'!N103-N763</f>
        <v>0</v>
      </c>
      <c r="O818" s="93">
        <f>'Production - Gas'!O103-O763</f>
        <v>0</v>
      </c>
      <c r="P818" s="93">
        <f>'Production - Gas'!P103-P763</f>
        <v>0</v>
      </c>
      <c r="Q818" s="5">
        <f>'Production - Gas'!Q103-Q763</f>
        <v>41</v>
      </c>
      <c r="R818" s="93">
        <f>'Production - Gas'!R103-R763</f>
        <v>0</v>
      </c>
      <c r="S818" s="93">
        <f>'Production - Gas'!S103-S763</f>
        <v>0</v>
      </c>
      <c r="T818" s="93">
        <f>'Production - Gas'!T103-T763</f>
        <v>0</v>
      </c>
      <c r="U818" s="93">
        <f>'Production - Gas'!U103-U763</f>
        <v>0</v>
      </c>
      <c r="V818" s="5">
        <f>'Production - Gas'!V103-V763</f>
        <v>39</v>
      </c>
      <c r="W818" s="93">
        <f>'Production - Gas'!W103-W763</f>
        <v>0</v>
      </c>
      <c r="X818" s="93">
        <f>'Production - Gas'!X103-X763</f>
        <v>0</v>
      </c>
      <c r="Y818" s="93">
        <f>'Production - Gas'!Y103-Y763</f>
        <v>0</v>
      </c>
      <c r="Z818" s="93">
        <f>'Production - Gas'!Z103-Z763</f>
        <v>0</v>
      </c>
      <c r="AA818" s="5">
        <f>'Production - Gas'!AA103-AA763</f>
        <v>42</v>
      </c>
      <c r="AB818" s="93">
        <f>'Production - Gas'!AB103-AB763</f>
        <v>0</v>
      </c>
      <c r="AC818" s="93">
        <f>'Production - Gas'!AC103-AC763</f>
        <v>0</v>
      </c>
      <c r="AD818" s="93">
        <f>'Production - Gas'!AD103-AD763</f>
        <v>0</v>
      </c>
      <c r="AE818" s="93">
        <f>'Production - Gas'!AE103-AE763</f>
        <v>0</v>
      </c>
      <c r="AF818" s="5">
        <f>'Production - Gas'!AF103-AF763</f>
        <v>30</v>
      </c>
      <c r="AG818" s="93"/>
      <c r="AH818" s="93"/>
      <c r="AI818" s="93"/>
      <c r="AJ818" s="93"/>
      <c r="AK818" s="5">
        <f>'Production - Gas'!AK103-AK763</f>
        <v>34</v>
      </c>
      <c r="AL818" s="93"/>
      <c r="AM818" s="93"/>
      <c r="AN818" s="93"/>
      <c r="AO818" s="93"/>
      <c r="AP818" s="5">
        <f>'Production - Gas'!AP103-AP763</f>
        <v>72</v>
      </c>
      <c r="AQ818" s="93"/>
      <c r="AR818" s="93"/>
      <c r="AS818" s="93"/>
      <c r="AT818" s="93"/>
      <c r="AU818" s="5">
        <f>'Production - Gas'!AU103-AU763</f>
        <v>22</v>
      </c>
      <c r="AV818" s="93"/>
      <c r="AW818" s="93"/>
      <c r="AX818" s="93"/>
      <c r="AY818" s="93"/>
      <c r="AZ818" s="5">
        <f>'Production - Gas'!AZ103-AZ763</f>
        <v>28</v>
      </c>
      <c r="BA818" s="93"/>
      <c r="BB818" s="93"/>
      <c r="BC818" s="93"/>
      <c r="BD818" s="93"/>
      <c r="BE818" s="5">
        <f>'Production - Gas'!BE103-BE763</f>
        <v>21</v>
      </c>
      <c r="BF818" s="93"/>
      <c r="BG818" s="93"/>
      <c r="BH818" s="93"/>
      <c r="BI818" s="93"/>
      <c r="BJ818" s="5">
        <f>'Production - Gas'!BJ103-BJ763</f>
        <v>15</v>
      </c>
      <c r="BK818" s="93"/>
      <c r="BL818" s="93"/>
      <c r="BM818" s="93"/>
      <c r="BN818" s="93"/>
      <c r="BO818" s="5">
        <f>'Production - Gas'!BO103-BO763</f>
        <v>0</v>
      </c>
      <c r="BP818" s="12">
        <f>'Production - Gas'!BP103-BP763</f>
        <v>0</v>
      </c>
      <c r="BQ818" s="12">
        <f>'Production - Gas'!BQ103-BQ763</f>
        <v>0</v>
      </c>
      <c r="BR818" s="12">
        <f>'Production - Gas'!BR103-BR763</f>
        <v>0</v>
      </c>
      <c r="BS818" s="12">
        <f>'Production - Gas'!BS103-BS763</f>
        <v>0</v>
      </c>
      <c r="BT818" s="5">
        <f>'Production - Gas'!BT103-BT763</f>
        <v>0</v>
      </c>
      <c r="BU818" s="12">
        <f>'Production - Gas'!BU103-BU763</f>
        <v>0</v>
      </c>
      <c r="BV818" s="12">
        <f>'Production - Gas'!BV103-BV763</f>
        <v>0</v>
      </c>
      <c r="BW818" s="12">
        <f>'Production - Gas'!BW103-BW763</f>
        <v>0</v>
      </c>
      <c r="BX818" s="12">
        <f>'Production - Gas'!BX103-BX763</f>
        <v>0</v>
      </c>
      <c r="BY818" s="5">
        <f>'Production - Gas'!BY103-BY763</f>
        <v>0</v>
      </c>
      <c r="BZ818" s="12">
        <f>'Production - Gas'!BZ103-BZ763</f>
        <v>0</v>
      </c>
      <c r="CA818" s="12">
        <f>'Production - Gas'!CA103-CA763</f>
        <v>0</v>
      </c>
      <c r="CB818" s="12">
        <f>'Production - Gas'!CB103-CB763</f>
        <v>0</v>
      </c>
      <c r="CC818" s="12">
        <f>'Production - Gas'!CC103-CC763</f>
        <v>0</v>
      </c>
      <c r="CD818" s="5">
        <f>'Production - Gas'!CD103-CD763</f>
        <v>0</v>
      </c>
    </row>
    <row r="819" spans="1:82" hidden="1" outlineLevel="1">
      <c r="A819" s="11"/>
      <c r="B819" s="39" t="s">
        <v>896</v>
      </c>
      <c r="C819" s="8">
        <f>C817+C818/5.8</f>
        <v>156.79310344827587</v>
      </c>
      <c r="D819" s="8">
        <f>D817+D818/5.8</f>
        <v>147.72413793103448</v>
      </c>
      <c r="E819" s="8">
        <f>E817+E818/5.8</f>
        <v>169.13793103448276</v>
      </c>
      <c r="F819" s="8">
        <f>F817+F818/5.8</f>
        <v>173.93103448275863</v>
      </c>
      <c r="G819" s="8">
        <f>G817+G818/5.8</f>
        <v>173.25172413793103</v>
      </c>
      <c r="H819" s="93"/>
      <c r="I819" s="93"/>
      <c r="J819" s="93"/>
      <c r="K819" s="93"/>
      <c r="L819" s="8">
        <f>L817+L818/5.8</f>
        <v>178.75862068965517</v>
      </c>
      <c r="M819" s="93"/>
      <c r="N819" s="93"/>
      <c r="O819" s="93"/>
      <c r="P819" s="93"/>
      <c r="Q819" s="8">
        <f>Q817+Q818/5.8</f>
        <v>208.06896551724137</v>
      </c>
      <c r="R819" s="93"/>
      <c r="S819" s="93"/>
      <c r="T819" s="93"/>
      <c r="U819" s="93"/>
      <c r="V819" s="8">
        <f>V817+V818/5.8</f>
        <v>226.72413793103448</v>
      </c>
      <c r="W819" s="93"/>
      <c r="X819" s="93"/>
      <c r="Y819" s="93"/>
      <c r="Z819" s="93"/>
      <c r="AA819" s="8">
        <f>AA817+AA818/5.8</f>
        <v>201.24137931034483</v>
      </c>
      <c r="AB819" s="93"/>
      <c r="AC819" s="93"/>
      <c r="AD819" s="93"/>
      <c r="AE819" s="93"/>
      <c r="AF819" s="8">
        <f>AF817+AF818/5.8</f>
        <v>196.17241379310346</v>
      </c>
      <c r="AG819" s="93"/>
      <c r="AH819" s="93"/>
      <c r="AI819" s="93"/>
      <c r="AJ819" s="93"/>
      <c r="AK819" s="8">
        <f t="shared" ref="AK819:CD819" si="387">AK817+AK818/5.8</f>
        <v>215.86206896551724</v>
      </c>
      <c r="AL819" s="93"/>
      <c r="AM819" s="93"/>
      <c r="AN819" s="93"/>
      <c r="AO819" s="93"/>
      <c r="AP819" s="8">
        <f t="shared" si="387"/>
        <v>229.41379310344828</v>
      </c>
      <c r="AQ819" s="93"/>
      <c r="AR819" s="93"/>
      <c r="AS819" s="93"/>
      <c r="AT819" s="93"/>
      <c r="AU819" s="8">
        <f t="shared" si="387"/>
        <v>235.79310344827587</v>
      </c>
      <c r="AV819" s="93"/>
      <c r="AW819" s="93"/>
      <c r="AX819" s="93"/>
      <c r="AY819" s="93"/>
      <c r="AZ819" s="8">
        <f>AZ817+AZ818/5.8</f>
        <v>102.82758620689656</v>
      </c>
      <c r="BA819" s="93"/>
      <c r="BB819" s="93"/>
      <c r="BC819" s="93"/>
      <c r="BD819" s="93"/>
      <c r="BE819" s="8">
        <f t="shared" si="387"/>
        <v>100.62068965517241</v>
      </c>
      <c r="BF819" s="93"/>
      <c r="BG819" s="93"/>
      <c r="BH819" s="93"/>
      <c r="BI819" s="93"/>
      <c r="BJ819" s="8">
        <f t="shared" si="387"/>
        <v>107.58620689655173</v>
      </c>
      <c r="BK819" s="93"/>
      <c r="BL819" s="93"/>
      <c r="BM819" s="93"/>
      <c r="BN819" s="93"/>
      <c r="BO819" s="8">
        <f t="shared" si="387"/>
        <v>104</v>
      </c>
      <c r="BP819" s="66">
        <f t="shared" si="387"/>
        <v>19.799999999999955</v>
      </c>
      <c r="BQ819" s="66">
        <f t="shared" si="387"/>
        <v>19.799999999999955</v>
      </c>
      <c r="BR819" s="66">
        <f t="shared" si="387"/>
        <v>19.799999999999955</v>
      </c>
      <c r="BS819" s="66">
        <f t="shared" si="387"/>
        <v>19.799999999999955</v>
      </c>
      <c r="BT819" s="8">
        <f t="shared" si="387"/>
        <v>19.799999999999955</v>
      </c>
      <c r="BU819" s="66">
        <f t="shared" si="387"/>
        <v>0</v>
      </c>
      <c r="BV819" s="66">
        <f t="shared" si="387"/>
        <v>0</v>
      </c>
      <c r="BW819" s="66">
        <f t="shared" si="387"/>
        <v>0</v>
      </c>
      <c r="BX819" s="66">
        <f t="shared" si="387"/>
        <v>0</v>
      </c>
      <c r="BY819" s="8">
        <f t="shared" si="387"/>
        <v>0</v>
      </c>
      <c r="BZ819" s="66">
        <f t="shared" si="387"/>
        <v>0</v>
      </c>
      <c r="CA819" s="66">
        <f t="shared" si="387"/>
        <v>0</v>
      </c>
      <c r="CB819" s="66">
        <f t="shared" si="387"/>
        <v>0</v>
      </c>
      <c r="CC819" s="66">
        <f t="shared" si="387"/>
        <v>0</v>
      </c>
      <c r="CD819" s="8">
        <f t="shared" si="387"/>
        <v>0</v>
      </c>
    </row>
    <row r="820" spans="1:82" hidden="1" outlineLevel="1">
      <c r="A820" s="11"/>
      <c r="B820" s="11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</row>
    <row r="821" spans="1:82" hidden="1" outlineLevel="1">
      <c r="A821" s="39" t="s">
        <v>199</v>
      </c>
      <c r="B821" s="11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</row>
    <row r="822" spans="1:82" hidden="1" outlineLevel="1">
      <c r="A822" s="11"/>
      <c r="B822" s="11" t="s">
        <v>197</v>
      </c>
      <c r="C822" s="72"/>
      <c r="D822" s="72"/>
      <c r="E822" s="72"/>
      <c r="F822" s="104">
        <f>'Key assumptions'!F25</f>
        <v>34.51</v>
      </c>
      <c r="G822" s="104">
        <f>'Key assumptions'!G25</f>
        <v>47.56</v>
      </c>
      <c r="H822" s="93">
        <f>'Key assumptions'!H25</f>
        <v>55.02</v>
      </c>
      <c r="I822" s="93">
        <f>'Key assumptions'!I25</f>
        <v>63</v>
      </c>
      <c r="J822" s="93">
        <f>'Key assumptions'!J25</f>
        <v>65.5</v>
      </c>
      <c r="K822" s="93">
        <f>'Key assumptions'!K25</f>
        <v>54.63</v>
      </c>
      <c r="L822" s="104">
        <f>'Key assumptions'!L25</f>
        <v>59.54</v>
      </c>
      <c r="M822" s="93">
        <f>'Key assumptions'!M25</f>
        <v>54.09</v>
      </c>
      <c r="N822" s="93">
        <f>'Key assumptions'!N25</f>
        <v>64.760000000000005</v>
      </c>
      <c r="O822" s="93">
        <f>'Key assumptions'!O25</f>
        <v>73.56</v>
      </c>
      <c r="P822" s="93">
        <f>'Key assumptions'!P25</f>
        <v>84.51</v>
      </c>
      <c r="Q822" s="104">
        <f>'Key assumptions'!Q25</f>
        <v>69.56</v>
      </c>
      <c r="R822" s="93">
        <f>'Key assumptions'!R25</f>
        <v>92.04</v>
      </c>
      <c r="S822" s="93">
        <f>'Key assumptions'!S25</f>
        <v>111.23</v>
      </c>
      <c r="T822" s="93">
        <f>'Key assumptions'!T25</f>
        <v>114.59</v>
      </c>
      <c r="U822" s="93">
        <f>'Key assumptions'!U25</f>
        <v>49.7</v>
      </c>
      <c r="V822" s="104">
        <f>'Key assumptions'!V25</f>
        <v>91.05</v>
      </c>
      <c r="W822" s="93">
        <f>'Key assumptions'!W25</f>
        <v>40.89</v>
      </c>
      <c r="X822" s="93">
        <f>'Key assumptions'!X25</f>
        <v>55.22</v>
      </c>
      <c r="Y822" s="93">
        <f>'Key assumptions'!Y25</f>
        <v>64.209999999999994</v>
      </c>
      <c r="Z822" s="93">
        <f>'Key assumptions'!Z25</f>
        <v>68.95</v>
      </c>
      <c r="AA822" s="104">
        <f>'Key assumptions'!AA25</f>
        <v>57.29</v>
      </c>
      <c r="AB822" s="93">
        <f>'Key assumptions'!AB25</f>
        <v>72.94</v>
      </c>
      <c r="AC822" s="93">
        <f>'Key assumptions'!AC25</f>
        <v>74.44</v>
      </c>
      <c r="AD822" s="93">
        <f>'Key assumptions'!AD25</f>
        <v>72.06</v>
      </c>
      <c r="AE822" s="93">
        <f>'Key assumptions'!AE25</f>
        <v>82.3</v>
      </c>
      <c r="AF822" s="104">
        <f>'Key assumptions'!AF25</f>
        <v>75.23</v>
      </c>
      <c r="AG822" s="93"/>
      <c r="AH822" s="93"/>
      <c r="AI822" s="93"/>
      <c r="AJ822" s="93"/>
      <c r="AK822" s="104">
        <f>'Key assumptions'!AK25</f>
        <v>105.13</v>
      </c>
      <c r="AL822" s="93"/>
      <c r="AM822" s="93"/>
      <c r="AN822" s="93"/>
      <c r="AO822" s="93"/>
      <c r="AP822" s="104">
        <f>'Key assumptions'!AP25</f>
        <v>105.8725</v>
      </c>
      <c r="AQ822" s="93"/>
      <c r="AR822" s="93"/>
      <c r="AS822" s="93"/>
      <c r="AT822" s="93"/>
      <c r="AU822" s="104">
        <f>'Key assumptions'!AU25</f>
        <v>104.2775</v>
      </c>
      <c r="AV822" s="93"/>
      <c r="AW822" s="93"/>
      <c r="AX822" s="93"/>
      <c r="AY822" s="93"/>
      <c r="AZ822" s="104">
        <f>'Key assumptions'!AZ25</f>
        <v>91.702500000000001</v>
      </c>
      <c r="BA822" s="93"/>
      <c r="BB822" s="93"/>
      <c r="BC822" s="93"/>
      <c r="BD822" s="93"/>
      <c r="BE822" s="104">
        <f>'Key assumptions'!BE25</f>
        <v>46.202499999999993</v>
      </c>
      <c r="BF822" s="93"/>
      <c r="BG822" s="93"/>
      <c r="BH822" s="93"/>
      <c r="BI822" s="93"/>
      <c r="BJ822" s="104">
        <f>'Key assumptions'!BJ25</f>
        <v>41.984999999999999</v>
      </c>
      <c r="BK822" s="93"/>
      <c r="BL822" s="93"/>
      <c r="BM822" s="93"/>
      <c r="BN822" s="93"/>
      <c r="BO822" s="104">
        <f>'Key assumptions'!BO25</f>
        <v>51.8825</v>
      </c>
      <c r="BP822" s="114">
        <f>'Key assumptions'!BP25</f>
        <v>62.570938555470903</v>
      </c>
      <c r="BQ822" s="114">
        <f>'Key assumptions'!BQ25</f>
        <v>63.174946220562603</v>
      </c>
      <c r="BR822" s="114">
        <f>'Key assumptions'!BR25</f>
        <v>61.947446772150428</v>
      </c>
      <c r="BS822" s="114">
        <f>'Key assumptions'!BS25</f>
        <v>60.924530565140266</v>
      </c>
      <c r="BT822" s="104">
        <f>'Key assumptions'!BT25</f>
        <v>62.154465528331052</v>
      </c>
      <c r="BU822" s="114">
        <f>'Key assumptions'!BU25</f>
        <v>58.693599027946703</v>
      </c>
      <c r="BV822" s="114">
        <f>'Key assumptions'!BV25</f>
        <v>58.693599027946703</v>
      </c>
      <c r="BW822" s="114">
        <f>'Key assumptions'!BW25</f>
        <v>58.693599027946703</v>
      </c>
      <c r="BX822" s="114">
        <f>'Key assumptions'!BX25</f>
        <v>58.693599027946703</v>
      </c>
      <c r="BY822" s="104">
        <f>'Key assumptions'!BY25</f>
        <v>58.693599027946703</v>
      </c>
      <c r="BZ822" s="114">
        <f>'Key assumptions'!BZ25</f>
        <v>59.073346349255459</v>
      </c>
      <c r="CA822" s="114">
        <f>'Key assumptions'!CA25</f>
        <v>59.455445159519257</v>
      </c>
      <c r="CB822" s="114">
        <f>'Key assumptions'!CB25</f>
        <v>59.839910019736948</v>
      </c>
      <c r="CC822" s="114">
        <f>'Key assumptions'!CC25</f>
        <v>60.226755581072652</v>
      </c>
      <c r="CD822" s="104">
        <f>'Key assumptions'!CD25</f>
        <v>59.648864277396086</v>
      </c>
    </row>
    <row r="823" spans="1:82" hidden="1" outlineLevel="1">
      <c r="A823" s="11"/>
      <c r="B823" s="11" t="s">
        <v>198</v>
      </c>
      <c r="C823" s="72"/>
      <c r="D823" s="72"/>
      <c r="E823" s="72"/>
      <c r="F823" s="104">
        <f>'Key assumptions'!F32</f>
        <v>2.74</v>
      </c>
      <c r="G823" s="104">
        <f>'Key assumptions'!G32</f>
        <v>3.46</v>
      </c>
      <c r="H823" s="93">
        <f>'Key assumptions'!H32</f>
        <v>3.94</v>
      </c>
      <c r="I823" s="93">
        <f>'Key assumptions'!I32</f>
        <v>3.54</v>
      </c>
      <c r="J823" s="93">
        <f>'Key assumptions'!J32</f>
        <v>3.62</v>
      </c>
      <c r="K823" s="93">
        <f>'Key assumptions'!K32</f>
        <v>3.7</v>
      </c>
      <c r="L823" s="104">
        <f>'Key assumptions'!L32</f>
        <v>3.7</v>
      </c>
      <c r="M823" s="93">
        <f>'Key assumptions'!M32</f>
        <v>3.9</v>
      </c>
      <c r="N823" s="93">
        <f>'Key assumptions'!N32</f>
        <v>3.56</v>
      </c>
      <c r="O823" s="93">
        <f>'Key assumptions'!O32</f>
        <v>3.42</v>
      </c>
      <c r="P823" s="93">
        <f>'Key assumptions'!P32</f>
        <v>3.94</v>
      </c>
      <c r="Q823" s="104">
        <f>'Key assumptions'!Q32</f>
        <v>3.71</v>
      </c>
      <c r="R823" s="93">
        <f>'Key assumptions'!R32</f>
        <v>4.97</v>
      </c>
      <c r="S823" s="93">
        <f>'Key assumptions'!S32</f>
        <v>5.26</v>
      </c>
      <c r="T823" s="93">
        <f>'Key assumptions'!T32</f>
        <v>5.61</v>
      </c>
      <c r="U823" s="93">
        <f>'Key assumptions'!U32</f>
        <v>4.9400000000000004</v>
      </c>
      <c r="V823" s="104">
        <f>'Key assumptions'!V32</f>
        <v>5.19</v>
      </c>
      <c r="W823" s="93">
        <f>'Key assumptions'!W32</f>
        <v>3.41</v>
      </c>
      <c r="X823" s="93">
        <f>'Key assumptions'!X32</f>
        <v>2.77</v>
      </c>
      <c r="Y823" s="93">
        <f>'Key assumptions'!Y32</f>
        <v>2.84</v>
      </c>
      <c r="Z823" s="93">
        <f>'Key assumptions'!Z32</f>
        <v>3.51</v>
      </c>
      <c r="AA823" s="104">
        <f>'Key assumptions'!AA32</f>
        <v>3.14</v>
      </c>
      <c r="AB823" s="93">
        <f>'Key assumptions'!AB32</f>
        <v>3.9</v>
      </c>
      <c r="AC823" s="93">
        <f>'Key assumptions'!AC32</f>
        <v>3.71</v>
      </c>
      <c r="AD823" s="93">
        <f>'Key assumptions'!AD32</f>
        <v>3.87</v>
      </c>
      <c r="AE823" s="93">
        <f>'Key assumptions'!AE32</f>
        <v>4.05</v>
      </c>
      <c r="AF823" s="104">
        <f>'Key assumptions'!AF32</f>
        <v>3.86</v>
      </c>
      <c r="AG823" s="93"/>
      <c r="AH823" s="93"/>
      <c r="AI823" s="93"/>
      <c r="AJ823" s="93"/>
      <c r="AK823" s="104">
        <f>'Key assumptions'!AK32</f>
        <v>4.9775</v>
      </c>
      <c r="AL823" s="93"/>
      <c r="AM823" s="93"/>
      <c r="AN823" s="93"/>
      <c r="AO823" s="93"/>
      <c r="AP823" s="104">
        <f>'Key assumptions'!AP32</f>
        <v>5.33</v>
      </c>
      <c r="AQ823" s="93"/>
      <c r="AR823" s="93"/>
      <c r="AS823" s="93"/>
      <c r="AT823" s="93"/>
      <c r="AU823" s="104">
        <f>'Key assumptions'!AU32</f>
        <v>5.9725000000000001</v>
      </c>
      <c r="AV823" s="93"/>
      <c r="AW823" s="93"/>
      <c r="AX823" s="93"/>
      <c r="AY823" s="93"/>
      <c r="AZ823" s="104">
        <f>'Key assumptions'!AZ32</f>
        <v>6.3524999999999991</v>
      </c>
      <c r="BA823" s="93"/>
      <c r="BB823" s="93"/>
      <c r="BC823" s="93"/>
      <c r="BD823" s="93"/>
      <c r="BE823" s="104">
        <f>'Key assumptions'!BE32</f>
        <v>4.2450000000000001</v>
      </c>
      <c r="BF823" s="93"/>
      <c r="BG823" s="93"/>
      <c r="BH823" s="93"/>
      <c r="BI823" s="93"/>
      <c r="BJ823" s="104">
        <f>'Key assumptions'!BJ32</f>
        <v>3.1850000000000001</v>
      </c>
      <c r="BK823" s="93"/>
      <c r="BL823" s="93"/>
      <c r="BM823" s="93"/>
      <c r="BN823" s="93"/>
      <c r="BO823" s="104">
        <f>'Key assumptions'!BO32</f>
        <v>3.4649999999999999</v>
      </c>
      <c r="BP823" s="114">
        <f>'Key assumptions'!BP32</f>
        <v>3.5280681943281262</v>
      </c>
      <c r="BQ823" s="114">
        <f>'Key assumptions'!BQ32</f>
        <v>3.8179688704990125</v>
      </c>
      <c r="BR823" s="114">
        <f>'Key assumptions'!BR32</f>
        <v>3.9407618168367149</v>
      </c>
      <c r="BS823" s="114">
        <f>'Key assumptions'!BS32</f>
        <v>3.928267780961336</v>
      </c>
      <c r="BT823" s="104">
        <f>'Key assumptions'!BT32</f>
        <v>3.8037666656562972</v>
      </c>
      <c r="BU823" s="114">
        <f>'Key assumptions'!BU32</f>
        <v>3.8831721202236427</v>
      </c>
      <c r="BV823" s="114">
        <f>'Key assumptions'!BV32</f>
        <v>3.8179688704990125</v>
      </c>
      <c r="BW823" s="114">
        <f>'Key assumptions'!BW32</f>
        <v>3.7732636483824247</v>
      </c>
      <c r="BX823" s="114">
        <f>'Key assumptions'!BX32</f>
        <v>3.7732636483824247</v>
      </c>
      <c r="BY823" s="104">
        <f>'Key assumptions'!BY32</f>
        <v>3.8119170718718762</v>
      </c>
      <c r="BZ823" s="114">
        <f>'Key assumptions'!BZ32</f>
        <v>3.7732636483824247</v>
      </c>
      <c r="CA823" s="114">
        <f>'Key assumptions'!CA32</f>
        <v>3.7808733343204537</v>
      </c>
      <c r="CB823" s="114">
        <f>'Key assumptions'!CB32</f>
        <v>3.7961398272463005</v>
      </c>
      <c r="CC823" s="114">
        <f>'Key assumptions'!CC32</f>
        <v>3.8115008540568729</v>
      </c>
      <c r="CD823" s="104">
        <f>'Key assumptions'!CD32</f>
        <v>3.7904444160015132</v>
      </c>
    </row>
    <row r="824" spans="1:82" hidden="1" outlineLevel="1">
      <c r="A824" s="11"/>
      <c r="B824" s="39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</row>
    <row r="825" spans="1:82" hidden="1" outlineLevel="1">
      <c r="A825" s="11" t="s">
        <v>200</v>
      </c>
      <c r="B825" s="11"/>
      <c r="C825" s="72"/>
      <c r="D825" s="72"/>
      <c r="E825" s="72"/>
      <c r="F825" s="115">
        <f>SUMPRODUCT(F817:F818,F822:F823)*365/1000</f>
        <v>2069.0097999999998</v>
      </c>
      <c r="G825" s="115">
        <f>SUMPRODUCT(G817:G818,G822:G823)*365/1000</f>
        <v>2884.6050740000001</v>
      </c>
      <c r="H825" s="93"/>
      <c r="I825" s="93"/>
      <c r="J825" s="93"/>
      <c r="K825" s="93"/>
      <c r="L825" s="115">
        <f>SUMPRODUCT(L817:L818,L822:L823)*365/1000</f>
        <v>3776.9616000000001</v>
      </c>
      <c r="M825" s="93"/>
      <c r="N825" s="93"/>
      <c r="O825" s="93"/>
      <c r="P825" s="93"/>
      <c r="Q825" s="115">
        <f>SUMPRODUCT(Q817:Q818,Q822:Q823)*365/1000</f>
        <v>5158.7895500000004</v>
      </c>
      <c r="R825" s="93"/>
      <c r="S825" s="93"/>
      <c r="T825" s="93"/>
      <c r="U825" s="93"/>
      <c r="V825" s="115">
        <f>SUMPRODUCT(V817:V818,V822:V823)*365/1000</f>
        <v>7385.1946500000004</v>
      </c>
      <c r="W825" s="93"/>
      <c r="X825" s="93"/>
      <c r="Y825" s="93"/>
      <c r="Z825" s="93"/>
      <c r="AA825" s="115">
        <f>SUMPRODUCT(AA817:AA818,AA822:AA823)*365/1000</f>
        <v>4104.8410999999996</v>
      </c>
      <c r="AB825" s="93"/>
      <c r="AC825" s="93"/>
      <c r="AD825" s="93"/>
      <c r="AE825" s="93"/>
      <c r="AF825" s="115">
        <f>SUMPRODUCT(AF817:AF818,AF822:AF823)*365/1000</f>
        <v>5286.9264499999999</v>
      </c>
      <c r="AG825" s="93"/>
      <c r="AH825" s="93"/>
      <c r="AI825" s="93"/>
      <c r="AJ825" s="93"/>
      <c r="AK825" s="115">
        <f>SUMPRODUCT(AK817:AK818,AK822:AK823)*365/1000</f>
        <v>8119.985275</v>
      </c>
      <c r="AL825" s="93"/>
      <c r="AM825" s="93"/>
      <c r="AN825" s="93"/>
      <c r="AO825" s="93"/>
      <c r="AP825" s="115">
        <f>SUMPRODUCT(AP817:AP818,AP822:AP823)*365/1000</f>
        <v>8525.7037624999994</v>
      </c>
      <c r="AQ825" s="93"/>
      <c r="AR825" s="93"/>
      <c r="AS825" s="93"/>
      <c r="AT825" s="93"/>
      <c r="AU825" s="115">
        <f>SUMPRODUCT(AU817:AU818,AU822:AU823)*365/1000</f>
        <v>8878.1778749999994</v>
      </c>
      <c r="AV825" s="93"/>
      <c r="AW825" s="93"/>
      <c r="AX825" s="93"/>
      <c r="AY825" s="93"/>
      <c r="AZ825" s="115">
        <f>SUMPRODUCT(AZ817:AZ818,AZ822:AZ823)*365/1000</f>
        <v>3345.1209750000003</v>
      </c>
      <c r="BA825" s="93"/>
      <c r="BB825" s="93"/>
      <c r="BC825" s="93"/>
      <c r="BD825" s="93"/>
      <c r="BE825" s="115">
        <f>SUMPRODUCT(BE817:BE818,BE822:BE823)*365/1000</f>
        <v>1668.3374374999999</v>
      </c>
      <c r="BF825" s="93"/>
      <c r="BG825" s="93"/>
      <c r="BH825" s="93"/>
      <c r="BI825" s="93"/>
      <c r="BJ825" s="115">
        <f>SUMPRODUCT(BJ817:BJ818,BJ822:BJ823)*365/1000</f>
        <v>1626.5129999999999</v>
      </c>
      <c r="BK825" s="93"/>
      <c r="BL825" s="93"/>
      <c r="BM825" s="93"/>
      <c r="BN825" s="93"/>
      <c r="BO825" s="115">
        <f>SUMPRODUCT(BO817:BO818,BO822:BO823)*365/1000</f>
        <v>1969.4596999999999</v>
      </c>
      <c r="BP825" s="65">
        <f>SUMPRODUCT(BP817:BP818,BP822:BP823)*90/1000</f>
        <v>111.50141250584889</v>
      </c>
      <c r="BQ825" s="65">
        <f>SUMPRODUCT(BQ817:BQ818,BQ822:BQ823)*91/1000</f>
        <v>113.82861810020943</v>
      </c>
      <c r="BR825" s="65">
        <f>SUMPRODUCT(BR817:BR818,BR822:BR823)*92/1000</f>
        <v>112.84346904014896</v>
      </c>
      <c r="BS825" s="65">
        <f>SUMPRODUCT(BS817:BS818,BS822:BS823)*92/1000</f>
        <v>110.98012487745925</v>
      </c>
      <c r="BT825" s="115">
        <f>SUM(BP825:BS825)</f>
        <v>449.15362452366651</v>
      </c>
      <c r="BU825" s="65">
        <f>SUMPRODUCT(BU817:BU818,BU822:BU823)*90/1000</f>
        <v>0</v>
      </c>
      <c r="BV825" s="65">
        <f>SUMPRODUCT(BV817:BV818,BV822:BV823)*91/1000</f>
        <v>0</v>
      </c>
      <c r="BW825" s="65">
        <f>SUMPRODUCT(BW817:BW818,BW822:BW823)*92/1000</f>
        <v>0</v>
      </c>
      <c r="BX825" s="65">
        <f>SUMPRODUCT(BX817:BX818,BX822:BX823)*92/1000</f>
        <v>0</v>
      </c>
      <c r="BY825" s="115">
        <f>SUM(BU825:BX825)</f>
        <v>0</v>
      </c>
      <c r="BZ825" s="65">
        <f>SUMPRODUCT(BZ817:BZ818,BZ822:BZ823)*90/1000</f>
        <v>0</v>
      </c>
      <c r="CA825" s="65">
        <f>SUMPRODUCT(CA817:CA818,CA822:CA823)*91/1000</f>
        <v>0</v>
      </c>
      <c r="CB825" s="65">
        <f>SUMPRODUCT(CB817:CB818,CB822:CB823)*92/1000</f>
        <v>0</v>
      </c>
      <c r="CC825" s="65">
        <f>SUMPRODUCT(CC817:CC818,CC822:CC823)*92/1000</f>
        <v>0</v>
      </c>
      <c r="CD825" s="115">
        <f>SUM(BZ825:CC825)</f>
        <v>0</v>
      </c>
    </row>
    <row r="826" spans="1:82" hidden="1" outlineLevel="1">
      <c r="A826" s="11" t="s">
        <v>550</v>
      </c>
      <c r="B826" s="11"/>
      <c r="C826" s="72"/>
      <c r="D826" s="72"/>
      <c r="E826" s="72"/>
      <c r="F826" s="72"/>
      <c r="G826" s="72"/>
      <c r="H826" s="93"/>
      <c r="I826" s="93"/>
      <c r="J826" s="93"/>
      <c r="K826" s="93"/>
      <c r="L826" s="72"/>
      <c r="M826" s="93"/>
      <c r="N826" s="93"/>
      <c r="O826" s="93"/>
      <c r="P826" s="93"/>
      <c r="Q826" s="72"/>
      <c r="R826" s="93"/>
      <c r="S826" s="93"/>
      <c r="T826" s="93"/>
      <c r="U826" s="93"/>
      <c r="V826" s="72"/>
      <c r="W826" s="93"/>
      <c r="X826" s="93"/>
      <c r="Y826" s="93"/>
      <c r="Z826" s="93"/>
      <c r="AA826" s="116">
        <f>AA800/AA825-1</f>
        <v>-0.54346588470866752</v>
      </c>
      <c r="AB826" s="93"/>
      <c r="AC826" s="93"/>
      <c r="AD826" s="93"/>
      <c r="AE826" s="93"/>
      <c r="AF826" s="116">
        <f>AF800/AF825-1</f>
        <v>-0.51276038651908995</v>
      </c>
      <c r="AG826" s="93"/>
      <c r="AH826" s="93"/>
      <c r="AI826" s="93"/>
      <c r="AJ826" s="93"/>
      <c r="AK826" s="116">
        <f>AK800/AK825-1</f>
        <v>-0.52573805621833469</v>
      </c>
      <c r="AL826" s="93"/>
      <c r="AM826" s="93"/>
      <c r="AN826" s="93"/>
      <c r="AO826" s="93"/>
      <c r="AP826" s="116">
        <f>AP800/AP825-1</f>
        <v>-0.49963074969085286</v>
      </c>
      <c r="AQ826" s="93"/>
      <c r="AR826" s="93"/>
      <c r="AS826" s="93"/>
      <c r="AT826" s="93"/>
      <c r="AU826" s="116">
        <f>AU800/AU825-1</f>
        <v>-0.46115069247810037</v>
      </c>
      <c r="AV826" s="93"/>
      <c r="AW826" s="93"/>
      <c r="AX826" s="93"/>
      <c r="AY826" s="93"/>
      <c r="AZ826" s="116">
        <f>AZ800/AZ825-1</f>
        <v>-0.61854892258418248</v>
      </c>
      <c r="BA826" s="93"/>
      <c r="BB826" s="93"/>
      <c r="BC826" s="93"/>
      <c r="BD826" s="93"/>
      <c r="BE826" s="116">
        <f>BE800/BE825-1</f>
        <v>-0.37602551102615289</v>
      </c>
      <c r="BF826" s="93"/>
      <c r="BG826" s="93"/>
      <c r="BH826" s="93"/>
      <c r="BI826" s="93"/>
      <c r="BJ826" s="116">
        <f>BJ800/BJ825-1</f>
        <v>-0.4515875372653031</v>
      </c>
      <c r="BK826" s="93"/>
      <c r="BL826" s="93"/>
      <c r="BM826" s="93"/>
      <c r="BN826" s="93"/>
      <c r="BO826" s="116">
        <f>BO800/BO825-1</f>
        <v>-0.49833956998460027</v>
      </c>
      <c r="BP826" s="117">
        <f>BT826</f>
        <v>-0.5</v>
      </c>
      <c r="BQ826" s="117">
        <f>BT826</f>
        <v>-0.5</v>
      </c>
      <c r="BR826" s="117">
        <f>BT826</f>
        <v>-0.5</v>
      </c>
      <c r="BS826" s="117">
        <f>BT826</f>
        <v>-0.5</v>
      </c>
      <c r="BT826" s="118">
        <v>-0.5</v>
      </c>
      <c r="BU826" s="117">
        <f>BY826</f>
        <v>-0.4</v>
      </c>
      <c r="BV826" s="117">
        <f>BY826</f>
        <v>-0.4</v>
      </c>
      <c r="BW826" s="117">
        <f>BY826</f>
        <v>-0.4</v>
      </c>
      <c r="BX826" s="117">
        <f>BY826</f>
        <v>-0.4</v>
      </c>
      <c r="BY826" s="118">
        <v>-0.4</v>
      </c>
      <c r="BZ826" s="117">
        <f>CD826</f>
        <v>-0.4</v>
      </c>
      <c r="CA826" s="117">
        <f>CD826</f>
        <v>-0.4</v>
      </c>
      <c r="CB826" s="117">
        <f>CD826</f>
        <v>-0.4</v>
      </c>
      <c r="CC826" s="117">
        <f>CD826</f>
        <v>-0.4</v>
      </c>
      <c r="CD826" s="118">
        <v>-0.4</v>
      </c>
    </row>
    <row r="827" spans="1:82" hidden="1" outlineLevel="1">
      <c r="A827" s="11"/>
      <c r="B827" s="11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116"/>
      <c r="AB827" s="5"/>
      <c r="AC827" s="5"/>
      <c r="AD827" s="5"/>
      <c r="AE827" s="5"/>
      <c r="AF827" s="116"/>
      <c r="AG827" s="5"/>
      <c r="AH827" s="5"/>
      <c r="AI827" s="5"/>
      <c r="AJ827" s="5"/>
      <c r="AK827" s="116"/>
      <c r="AL827" s="5"/>
      <c r="AM827" s="5"/>
      <c r="AN827" s="5"/>
      <c r="AO827" s="5"/>
      <c r="AP827" s="116"/>
      <c r="AQ827" s="5"/>
      <c r="AR827" s="5"/>
      <c r="AS827" s="5"/>
      <c r="AT827" s="5"/>
      <c r="AU827" s="116"/>
      <c r="AV827" s="5"/>
      <c r="AW827" s="5"/>
      <c r="AX827" s="5"/>
      <c r="AY827" s="5"/>
      <c r="AZ827" s="116"/>
      <c r="BA827" s="5"/>
      <c r="BB827" s="5"/>
      <c r="BC827" s="5"/>
      <c r="BD827" s="5"/>
      <c r="BE827" s="116"/>
      <c r="BF827" s="5"/>
      <c r="BG827" s="5"/>
      <c r="BH827" s="5"/>
      <c r="BI827" s="5"/>
      <c r="BJ827" s="116"/>
      <c r="BK827" s="5"/>
      <c r="BL827" s="5"/>
      <c r="BM827" s="5"/>
      <c r="BN827" s="5"/>
      <c r="BO827" s="116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</row>
    <row r="828" spans="1:82" hidden="1" outlineLevel="1">
      <c r="A828" s="39" t="s">
        <v>3090</v>
      </c>
      <c r="B828" s="11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</row>
    <row r="829" spans="1:82" hidden="1" outlineLevel="1">
      <c r="A829" s="11"/>
      <c r="B829" s="11" t="s">
        <v>1897</v>
      </c>
      <c r="C829" s="72"/>
      <c r="D829" s="72"/>
      <c r="E829" s="72"/>
      <c r="F829" s="72"/>
      <c r="G829" s="72"/>
      <c r="H829" s="93"/>
      <c r="I829" s="93"/>
      <c r="J829" s="93"/>
      <c r="K829" s="93"/>
      <c r="L829" s="72"/>
      <c r="M829" s="93"/>
      <c r="N829" s="93"/>
      <c r="O829" s="93"/>
      <c r="P829" s="93"/>
      <c r="Q829" s="72"/>
      <c r="R829" s="93"/>
      <c r="S829" s="93"/>
      <c r="T829" s="93"/>
      <c r="U829" s="93"/>
      <c r="V829" s="72"/>
      <c r="W829" s="93"/>
      <c r="X829" s="93"/>
      <c r="Y829" s="93"/>
      <c r="Z829" s="93"/>
      <c r="AA829" s="119">
        <f>-1000*AA802/(AA819*365)</f>
        <v>0</v>
      </c>
      <c r="AB829" s="93"/>
      <c r="AC829" s="93"/>
      <c r="AD829" s="93"/>
      <c r="AE829" s="93"/>
      <c r="AF829" s="119">
        <f>-1000*AF802/(AF819*365)</f>
        <v>0</v>
      </c>
      <c r="AG829" s="93"/>
      <c r="AH829" s="93"/>
      <c r="AI829" s="93"/>
      <c r="AJ829" s="93"/>
      <c r="AK829" s="119">
        <f>-1000*AK802/(AK819*365)</f>
        <v>1.2692021532671013E-2</v>
      </c>
      <c r="AL829" s="93"/>
      <c r="AM829" s="93"/>
      <c r="AN829" s="93"/>
      <c r="AO829" s="93"/>
      <c r="AP829" s="119">
        <f>-1000*AP802/(AP819*365)</f>
        <v>1.1942289913500758E-2</v>
      </c>
      <c r="AQ829" s="93"/>
      <c r="AR829" s="93"/>
      <c r="AS829" s="93"/>
      <c r="AT829" s="93"/>
      <c r="AU829" s="119">
        <f>-1000*AU802/(AU819*365)</f>
        <v>1.1619194909991306E-2</v>
      </c>
      <c r="AV829" s="93"/>
      <c r="AW829" s="93"/>
      <c r="AX829" s="93"/>
      <c r="AY829" s="93"/>
      <c r="AZ829" s="119">
        <f>-1000*AZ802/(AZ819*365)</f>
        <v>2.6643881554165177E-2</v>
      </c>
      <c r="BA829" s="93"/>
      <c r="BB829" s="93"/>
      <c r="BC829" s="93"/>
      <c r="BD829" s="93"/>
      <c r="BE829" s="119">
        <f>-1000*BE802/(BE819*365)</f>
        <v>0</v>
      </c>
      <c r="BF829" s="93"/>
      <c r="BG829" s="93"/>
      <c r="BH829" s="93"/>
      <c r="BI829" s="93"/>
      <c r="BJ829" s="119">
        <f>-1000*BJ802/(BJ819*365)</f>
        <v>0</v>
      </c>
      <c r="BK829" s="93"/>
      <c r="BL829" s="93"/>
      <c r="BM829" s="93"/>
      <c r="BN829" s="93"/>
      <c r="BO829" s="119">
        <f>-1000*BO802/(BO819*365)</f>
        <v>0</v>
      </c>
      <c r="BP829" s="114">
        <f>-1000*BP802/(BP$874*90)</f>
        <v>0</v>
      </c>
      <c r="BQ829" s="114">
        <f>-1000*BQ802/(BQ$874*91)</f>
        <v>0</v>
      </c>
      <c r="BR829" s="114">
        <f>-1000*BR802/(BR$874*92)</f>
        <v>0</v>
      </c>
      <c r="BS829" s="114">
        <f>-1000*BS802/(BS$874*92)</f>
        <v>0</v>
      </c>
      <c r="BT829" s="119">
        <f>-1000*BT802/(BT819*365)</f>
        <v>0</v>
      </c>
      <c r="BU829" s="114">
        <f>-1000*BU802/(BU$874*90)</f>
        <v>0</v>
      </c>
      <c r="BV829" s="114">
        <f>-1000*BV802/(BV$874*91)</f>
        <v>0</v>
      </c>
      <c r="BW829" s="114">
        <f>-1000*BW802/(BW$874*92)</f>
        <v>0</v>
      </c>
      <c r="BX829" s="114">
        <f>-1000*BX802/(BX$874*92)</f>
        <v>0</v>
      </c>
      <c r="BY829" s="515" t="s">
        <v>819</v>
      </c>
      <c r="BZ829" s="114">
        <f>-1000*BZ802/(BZ$874*90)</f>
        <v>0</v>
      </c>
      <c r="CA829" s="114">
        <f>-1000*CA802/(CA$874*91)</f>
        <v>0</v>
      </c>
      <c r="CB829" s="114">
        <f>-1000*CB802/(CB$874*92)</f>
        <v>0</v>
      </c>
      <c r="CC829" s="114">
        <f>-1000*CC802/(CC$874*92)</f>
        <v>0</v>
      </c>
      <c r="CD829" s="515" t="s">
        <v>819</v>
      </c>
    </row>
    <row r="830" spans="1:82" hidden="1" outlineLevel="1">
      <c r="A830" s="11"/>
      <c r="B830" s="11" t="s">
        <v>2149</v>
      </c>
      <c r="C830" s="72"/>
      <c r="D830" s="72"/>
      <c r="E830" s="72"/>
      <c r="F830" s="72"/>
      <c r="G830" s="72"/>
      <c r="H830" s="93"/>
      <c r="I830" s="93"/>
      <c r="J830" s="93"/>
      <c r="K830" s="93"/>
      <c r="L830" s="72"/>
      <c r="M830" s="93"/>
      <c r="N830" s="93"/>
      <c r="O830" s="93"/>
      <c r="P830" s="93"/>
      <c r="Q830" s="72"/>
      <c r="R830" s="93"/>
      <c r="S830" s="93"/>
      <c r="T830" s="93"/>
      <c r="U830" s="93"/>
      <c r="V830" s="72"/>
      <c r="W830" s="93"/>
      <c r="X830" s="93"/>
      <c r="Y830" s="93"/>
      <c r="Z830" s="93"/>
      <c r="AA830" s="119">
        <f>-1000*AA803/(AA819*365)</f>
        <v>2.1646464551625715</v>
      </c>
      <c r="AB830" s="93"/>
      <c r="AC830" s="93"/>
      <c r="AD830" s="93"/>
      <c r="AE830" s="93"/>
      <c r="AF830" s="119">
        <f>-1000*AF803/(AF819*365)</f>
        <v>2.5697272072757564</v>
      </c>
      <c r="AG830" s="93"/>
      <c r="AH830" s="93"/>
      <c r="AI830" s="93"/>
      <c r="AJ830" s="93"/>
      <c r="AK830" s="119">
        <f>-1000*AK803/(AK819*365)</f>
        <v>2.690708564926255</v>
      </c>
      <c r="AL830" s="93"/>
      <c r="AM830" s="93"/>
      <c r="AN830" s="93"/>
      <c r="AO830" s="93"/>
      <c r="AP830" s="119">
        <f>-1000*AP803/(AP819*365)</f>
        <v>3.5229755244827237</v>
      </c>
      <c r="AQ830" s="93"/>
      <c r="AR830" s="93"/>
      <c r="AS830" s="93"/>
      <c r="AT830" s="93"/>
      <c r="AU830" s="119">
        <f>-1000*AU803/(AU819*365)</f>
        <v>4.6941547436364868</v>
      </c>
      <c r="AV830" s="93"/>
      <c r="AW830" s="93"/>
      <c r="AX830" s="93"/>
      <c r="AY830" s="93"/>
      <c r="AZ830" s="119">
        <f>-1000*AZ803/(AZ819*365)</f>
        <v>4.0498699962331068</v>
      </c>
      <c r="BA830" s="93"/>
      <c r="BB830" s="93"/>
      <c r="BC830" s="93"/>
      <c r="BD830" s="93"/>
      <c r="BE830" s="119">
        <f>-1000*BE803/(BE819*365)</f>
        <v>4.5743472260039253</v>
      </c>
      <c r="BF830" s="93"/>
      <c r="BG830" s="93"/>
      <c r="BH830" s="93"/>
      <c r="BI830" s="93"/>
      <c r="BJ830" s="119">
        <f>-1000*BJ803/(BJ819*365)</f>
        <v>3.6924833157709864</v>
      </c>
      <c r="BK830" s="93"/>
      <c r="BL830" s="93"/>
      <c r="BM830" s="93"/>
      <c r="BN830" s="93"/>
      <c r="BO830" s="119">
        <f>-1000*BO803/(BO819*365)</f>
        <v>3.0821917808219177</v>
      </c>
      <c r="BP830" s="109">
        <f>BT830</f>
        <v>2.9280821917808217</v>
      </c>
      <c r="BQ830" s="109">
        <f>BT830</f>
        <v>2.9280821917808217</v>
      </c>
      <c r="BR830" s="109">
        <f>BT830</f>
        <v>2.9280821917808217</v>
      </c>
      <c r="BS830" s="109">
        <f>BT830</f>
        <v>2.9280821917808217</v>
      </c>
      <c r="BT830" s="120">
        <f>BO830*(1-5%)</f>
        <v>2.9280821917808217</v>
      </c>
      <c r="BU830" s="109">
        <f>BY830</f>
        <v>3.001284246575342</v>
      </c>
      <c r="BV830" s="109">
        <f>BY830</f>
        <v>3.001284246575342</v>
      </c>
      <c r="BW830" s="109">
        <f>BY830</f>
        <v>3.001284246575342</v>
      </c>
      <c r="BX830" s="109">
        <f>BY830</f>
        <v>3.001284246575342</v>
      </c>
      <c r="BY830" s="120">
        <f>BT830*(1+2.5%)</f>
        <v>3.001284246575342</v>
      </c>
      <c r="BZ830" s="109">
        <f>CD830</f>
        <v>3.0763163527397253</v>
      </c>
      <c r="CA830" s="109">
        <f>CD830</f>
        <v>3.0763163527397253</v>
      </c>
      <c r="CB830" s="109">
        <f>CD830</f>
        <v>3.0763163527397253</v>
      </c>
      <c r="CC830" s="109">
        <f>CD830</f>
        <v>3.0763163527397253</v>
      </c>
      <c r="CD830" s="120">
        <f>BY830*(1+2.5%)</f>
        <v>3.0763163527397253</v>
      </c>
    </row>
    <row r="831" spans="1:82" hidden="1" outlineLevel="1">
      <c r="A831" s="11"/>
      <c r="B831" s="11" t="s">
        <v>2150</v>
      </c>
      <c r="C831" s="72"/>
      <c r="D831" s="72"/>
      <c r="E831" s="72"/>
      <c r="F831" s="72"/>
      <c r="G831" s="72"/>
      <c r="H831" s="93"/>
      <c r="I831" s="93"/>
      <c r="J831" s="93"/>
      <c r="K831" s="93"/>
      <c r="L831" s="72"/>
      <c r="M831" s="93"/>
      <c r="N831" s="93"/>
      <c r="O831" s="93"/>
      <c r="P831" s="93"/>
      <c r="Q831" s="72"/>
      <c r="R831" s="93"/>
      <c r="S831" s="93"/>
      <c r="T831" s="93"/>
      <c r="U831" s="93"/>
      <c r="V831" s="72"/>
      <c r="W831" s="93"/>
      <c r="X831" s="93"/>
      <c r="Y831" s="93"/>
      <c r="Z831" s="93"/>
      <c r="AA831" s="119">
        <f>-1000*AA804/(AA819*365)</f>
        <v>20.734317932154696</v>
      </c>
      <c r="AB831" s="93"/>
      <c r="AC831" s="93"/>
      <c r="AD831" s="93"/>
      <c r="AE831" s="93"/>
      <c r="AF831" s="119">
        <f>-1000*AF804/(AF819*365)</f>
        <v>28.336828823709293</v>
      </c>
      <c r="AG831" s="93"/>
      <c r="AH831" s="93"/>
      <c r="AI831" s="93"/>
      <c r="AJ831" s="93"/>
      <c r="AK831" s="119">
        <f>-1000*AK804/(AK819*365)</f>
        <v>39.662567289596915</v>
      </c>
      <c r="AL831" s="93"/>
      <c r="AM831" s="93"/>
      <c r="AN831" s="93"/>
      <c r="AO831" s="93"/>
      <c r="AP831" s="119">
        <f>-1000*AP804/(AP819*365)</f>
        <v>38.752730769309963</v>
      </c>
      <c r="AQ831" s="93"/>
      <c r="AR831" s="93"/>
      <c r="AS831" s="93"/>
      <c r="AT831" s="93"/>
      <c r="AU831" s="119">
        <f>-1000*AU804/(AU819*365)</f>
        <v>42.351965446918307</v>
      </c>
      <c r="AV831" s="93"/>
      <c r="AW831" s="93"/>
      <c r="AX831" s="93"/>
      <c r="AY831" s="93"/>
      <c r="AZ831" s="119">
        <f>-1000*AZ804/(AZ819*365)</f>
        <v>18.437566035482302</v>
      </c>
      <c r="BA831" s="93"/>
      <c r="BB831" s="93"/>
      <c r="BC831" s="93"/>
      <c r="BD831" s="93"/>
      <c r="BE831" s="119">
        <f>-1000*BE804/(BE819*365)</f>
        <v>10.564563831485255</v>
      </c>
      <c r="BF831" s="93"/>
      <c r="BG831" s="93"/>
      <c r="BH831" s="93"/>
      <c r="BI831" s="93"/>
      <c r="BJ831" s="119">
        <f>-1000*BJ804/(BJ819*365)</f>
        <v>8.9638215665612915</v>
      </c>
      <c r="BK831" s="93"/>
      <c r="BL831" s="93"/>
      <c r="BM831" s="93"/>
      <c r="BN831" s="93"/>
      <c r="BO831" s="119">
        <f>-1000*BO804/(BO819*365)</f>
        <v>11.222339304531085</v>
      </c>
      <c r="BP831" s="114">
        <f>-1000*BP804/(BP$874*90)</f>
        <v>0.26860272572959826</v>
      </c>
      <c r="BQ831" s="114">
        <f>-1000*BQ804/(BQ$874*91)</f>
        <v>0.27537891352434563</v>
      </c>
      <c r="BR831" s="114">
        <f>-1000*BR804/(BR$874*92)</f>
        <v>0.27105825395766248</v>
      </c>
      <c r="BS831" s="114">
        <f>-1000*BS804/(BS$874*92)</f>
        <v>0.26126298819436533</v>
      </c>
      <c r="BT831" s="119">
        <f>-1000*BT804/(BT819*365)</f>
        <v>15.537346911708438</v>
      </c>
      <c r="BU831" s="114">
        <f>-1000*BU804/(BU$874*90)</f>
        <v>0</v>
      </c>
      <c r="BV831" s="114">
        <f>-1000*BV804/(BV$874*91)</f>
        <v>0</v>
      </c>
      <c r="BW831" s="114">
        <f>-1000*BW804/(BW$874*92)</f>
        <v>0</v>
      </c>
      <c r="BX831" s="114">
        <f>-1000*BX804/(BX$874*92)</f>
        <v>0</v>
      </c>
      <c r="BY831" s="515" t="s">
        <v>819</v>
      </c>
      <c r="BZ831" s="114">
        <f>-1000*BZ804/(BZ$874*90)</f>
        <v>0</v>
      </c>
      <c r="CA831" s="114">
        <f>-1000*CA804/(CA$874*91)</f>
        <v>0</v>
      </c>
      <c r="CB831" s="114">
        <f>-1000*CB804/(CB$874*92)</f>
        <v>0</v>
      </c>
      <c r="CC831" s="114">
        <f>-1000*CC804/(CC$874*92)</f>
        <v>0</v>
      </c>
      <c r="CD831" s="515" t="s">
        <v>819</v>
      </c>
    </row>
    <row r="832" spans="1:82" hidden="1" outlineLevel="1">
      <c r="A832" s="11"/>
      <c r="B832" s="11" t="s">
        <v>2158</v>
      </c>
      <c r="C832" s="72"/>
      <c r="D832" s="72"/>
      <c r="E832" s="72"/>
      <c r="F832" s="72"/>
      <c r="G832" s="72"/>
      <c r="H832" s="93"/>
      <c r="I832" s="93"/>
      <c r="J832" s="93"/>
      <c r="K832" s="93"/>
      <c r="L832" s="72"/>
      <c r="M832" s="93"/>
      <c r="N832" s="93"/>
      <c r="O832" s="93"/>
      <c r="P832" s="93"/>
      <c r="Q832" s="72"/>
      <c r="R832" s="93"/>
      <c r="S832" s="93"/>
      <c r="T832" s="93"/>
      <c r="U832" s="93"/>
      <c r="V832" s="72"/>
      <c r="W832" s="93"/>
      <c r="X832" s="93"/>
      <c r="Y832" s="93"/>
      <c r="Z832" s="93"/>
      <c r="AA832" s="119">
        <f>-1000*AA805/(AA819*365)</f>
        <v>-2.7228257297642409E-2</v>
      </c>
      <c r="AB832" s="93"/>
      <c r="AC832" s="93"/>
      <c r="AD832" s="93"/>
      <c r="AE832" s="93"/>
      <c r="AF832" s="119">
        <f>-1000*AF805/(AF819*365)</f>
        <v>-2.7931817470388656E-2</v>
      </c>
      <c r="AG832" s="93"/>
      <c r="AH832" s="93"/>
      <c r="AI832" s="93"/>
      <c r="AJ832" s="93"/>
      <c r="AK832" s="119">
        <f>-1000*AK805/(AK819*365)</f>
        <v>-1.2692021532671013E-2</v>
      </c>
      <c r="AL832" s="93"/>
      <c r="AM832" s="93"/>
      <c r="AN832" s="93"/>
      <c r="AO832" s="93"/>
      <c r="AP832" s="119">
        <f>-1000*AP805/(AP819*365)</f>
        <v>-2.3884579827001515E-2</v>
      </c>
      <c r="AQ832" s="93"/>
      <c r="AR832" s="93"/>
      <c r="AS832" s="93"/>
      <c r="AT832" s="93"/>
      <c r="AU832" s="119">
        <f>-1000*AU805/(AU819*365)</f>
        <v>-1.1619194909991306E-2</v>
      </c>
      <c r="AV832" s="93"/>
      <c r="AW832" s="93"/>
      <c r="AX832" s="93"/>
      <c r="AY832" s="93"/>
      <c r="AZ832" s="119">
        <f>-1000*AZ805/(AZ819*365)</f>
        <v>0</v>
      </c>
      <c r="BA832" s="93"/>
      <c r="BB832" s="93"/>
      <c r="BC832" s="93"/>
      <c r="BD832" s="93"/>
      <c r="BE832" s="119">
        <f>-1000*BE805/(BE819*365)</f>
        <v>0</v>
      </c>
      <c r="BF832" s="93"/>
      <c r="BG832" s="93"/>
      <c r="BH832" s="93"/>
      <c r="BI832" s="93"/>
      <c r="BJ832" s="119">
        <f>-1000*BJ805/(BJ819*365)</f>
        <v>7.6396206533192831E-2</v>
      </c>
      <c r="BK832" s="93"/>
      <c r="BL832" s="93"/>
      <c r="BM832" s="93"/>
      <c r="BN832" s="93"/>
      <c r="BO832" s="119">
        <f>-1000*BO805/(BO819*365)</f>
        <v>-0.13171759747102213</v>
      </c>
      <c r="BP832" s="114">
        <f>-1000*BP805/(BP$874*90)</f>
        <v>0</v>
      </c>
      <c r="BQ832" s="114">
        <f>-1000*BQ805/(BQ$874*91)</f>
        <v>0</v>
      </c>
      <c r="BR832" s="114">
        <f>-1000*BR805/(BR$874*92)</f>
        <v>0</v>
      </c>
      <c r="BS832" s="114">
        <f>-1000*BS805/(BS$874*92)</f>
        <v>0</v>
      </c>
      <c r="BT832" s="104">
        <f>-1000*BT805/(BT819*365)</f>
        <v>0</v>
      </c>
      <c r="BU832" s="114">
        <f>-1000*BU805/(BU$874*90)</f>
        <v>0</v>
      </c>
      <c r="BV832" s="114">
        <f>-1000*BV805/(BV$874*91)</f>
        <v>0</v>
      </c>
      <c r="BW832" s="114">
        <f>-1000*BW805/(BW$874*92)</f>
        <v>0</v>
      </c>
      <c r="BX832" s="114">
        <f>-1000*BX805/(BX$874*92)</f>
        <v>0</v>
      </c>
      <c r="BY832" s="515" t="s">
        <v>819</v>
      </c>
      <c r="BZ832" s="114">
        <f>-1000*BZ805/(BZ$874*90)</f>
        <v>0</v>
      </c>
      <c r="CA832" s="114">
        <f>-1000*CA805/(CA$874*91)</f>
        <v>0</v>
      </c>
      <c r="CB832" s="114">
        <f>-1000*CB805/(CB$874*92)</f>
        <v>0</v>
      </c>
      <c r="CC832" s="114">
        <f>-1000*CC805/(CC$874*92)</f>
        <v>0</v>
      </c>
      <c r="CD832" s="515" t="s">
        <v>819</v>
      </c>
    </row>
    <row r="833" spans="1:82" hidden="1" outlineLevel="1">
      <c r="A833" s="11"/>
      <c r="B833" s="11" t="s">
        <v>2154</v>
      </c>
      <c r="C833" s="72"/>
      <c r="D833" s="72"/>
      <c r="E833" s="72"/>
      <c r="F833" s="72"/>
      <c r="G833" s="72"/>
      <c r="H833" s="93"/>
      <c r="I833" s="93"/>
      <c r="J833" s="93"/>
      <c r="K833" s="93"/>
      <c r="L833" s="72"/>
      <c r="M833" s="93"/>
      <c r="N833" s="93"/>
      <c r="O833" s="93"/>
      <c r="P833" s="93"/>
      <c r="Q833" s="72"/>
      <c r="R833" s="93"/>
      <c r="S833" s="93"/>
      <c r="T833" s="93"/>
      <c r="U833" s="93"/>
      <c r="V833" s="72"/>
      <c r="W833" s="93"/>
      <c r="X833" s="93"/>
      <c r="Y833" s="93"/>
      <c r="Z833" s="93"/>
      <c r="AA833" s="119">
        <f>-1000*AA806/(AA819*365)</f>
        <v>3.7302712497770103</v>
      </c>
      <c r="AB833" s="93"/>
      <c r="AC833" s="93"/>
      <c r="AD833" s="93"/>
      <c r="AE833" s="93"/>
      <c r="AF833" s="119">
        <f>-1000*AF806/(AF819*365)</f>
        <v>5.0696248708755416</v>
      </c>
      <c r="AG833" s="93"/>
      <c r="AH833" s="93"/>
      <c r="AI833" s="93"/>
      <c r="AJ833" s="93"/>
      <c r="AK833" s="119">
        <f>-1000*AK806/(AK819*365)</f>
        <v>5.470261280581207</v>
      </c>
      <c r="AL833" s="93"/>
      <c r="AM833" s="93"/>
      <c r="AN833" s="93"/>
      <c r="AO833" s="93"/>
      <c r="AP833" s="119">
        <f>-1000*AP806/(AP819*365)</f>
        <v>6.4249519734634077</v>
      </c>
      <c r="AQ833" s="93"/>
      <c r="AR833" s="93"/>
      <c r="AS833" s="93"/>
      <c r="AT833" s="93"/>
      <c r="AU833" s="119">
        <f>-1000*AU806/(AU819*365)</f>
        <v>6.3208420310352702</v>
      </c>
      <c r="AV833" s="93"/>
      <c r="AW833" s="93"/>
      <c r="AX833" s="93"/>
      <c r="AY833" s="93"/>
      <c r="AZ833" s="119">
        <f>-1000*AZ806/(AZ819*365)</f>
        <v>9.8848800565952804</v>
      </c>
      <c r="BA833" s="93"/>
      <c r="BB833" s="93"/>
      <c r="BC833" s="93"/>
      <c r="BD833" s="93"/>
      <c r="BE833" s="119">
        <f>-1000*BE806/(BE819*365)</f>
        <v>13.178476532058927</v>
      </c>
      <c r="BF833" s="93"/>
      <c r="BG833" s="93"/>
      <c r="BH833" s="93"/>
      <c r="BI833" s="93"/>
      <c r="BJ833" s="119">
        <f>-1000*BJ806/(BJ819*365)</f>
        <v>9.8296452406041439</v>
      </c>
      <c r="BK833" s="93"/>
      <c r="BL833" s="93"/>
      <c r="BM833" s="93"/>
      <c r="BN833" s="93"/>
      <c r="BO833" s="119">
        <f>-1000*BO806/(BO819*365)</f>
        <v>11.749209694415175</v>
      </c>
      <c r="BP833" s="109">
        <f>BT833</f>
        <v>12.523413205403113</v>
      </c>
      <c r="BQ833" s="109">
        <f>BT833</f>
        <v>12.523413205403113</v>
      </c>
      <c r="BR833" s="109">
        <f>BT833</f>
        <v>12.523413205403113</v>
      </c>
      <c r="BS833" s="109">
        <f>BT833</f>
        <v>12.523413205403113</v>
      </c>
      <c r="BT833" s="120">
        <f>+BT$836</f>
        <v>12.523413205403113</v>
      </c>
      <c r="BU833" s="109">
        <f>BY833</f>
        <v>12.661012568567628</v>
      </c>
      <c r="BV833" s="109">
        <f>BY833</f>
        <v>12.661012568567628</v>
      </c>
      <c r="BW833" s="109">
        <f>BY833</f>
        <v>12.661012568567628</v>
      </c>
      <c r="BX833" s="109">
        <f>BY833</f>
        <v>12.661012568567628</v>
      </c>
      <c r="BY833" s="120">
        <f>+BY$836</f>
        <v>12.661012568567628</v>
      </c>
      <c r="BZ833" s="109">
        <f>CD833</f>
        <v>12.798611931732145</v>
      </c>
      <c r="CA833" s="109">
        <f>CD833</f>
        <v>12.798611931732145</v>
      </c>
      <c r="CB833" s="109">
        <f>CD833</f>
        <v>12.798611931732145</v>
      </c>
      <c r="CC833" s="109">
        <f>CD833</f>
        <v>12.798611931732145</v>
      </c>
      <c r="CD833" s="120">
        <f>+CD$836</f>
        <v>12.798611931732145</v>
      </c>
    </row>
    <row r="834" spans="1:82" hidden="1" outlineLevel="1">
      <c r="A834" s="11"/>
      <c r="B834" s="4" t="s">
        <v>930</v>
      </c>
      <c r="C834" s="72"/>
      <c r="D834" s="72"/>
      <c r="E834" s="72"/>
      <c r="F834" s="72"/>
      <c r="G834" s="72"/>
      <c r="H834" s="93"/>
      <c r="I834" s="93"/>
      <c r="J834" s="93"/>
      <c r="K834" s="93"/>
      <c r="L834" s="72"/>
      <c r="M834" s="93"/>
      <c r="N834" s="93"/>
      <c r="O834" s="93"/>
      <c r="P834" s="93"/>
      <c r="Q834" s="72"/>
      <c r="R834" s="93"/>
      <c r="S834" s="93"/>
      <c r="T834" s="93"/>
      <c r="U834" s="93"/>
      <c r="V834" s="72"/>
      <c r="W834" s="93"/>
      <c r="X834" s="93"/>
      <c r="Y834" s="93"/>
      <c r="Z834" s="93"/>
      <c r="AA834" s="119">
        <f>-1000*AA807/(AA819*365)</f>
        <v>0</v>
      </c>
      <c r="AB834" s="93"/>
      <c r="AC834" s="93"/>
      <c r="AD834" s="93"/>
      <c r="AE834" s="93"/>
      <c r="AF834" s="119">
        <f>-1000*AF807/(AF819*365)</f>
        <v>0</v>
      </c>
      <c r="AG834" s="93"/>
      <c r="AH834" s="93"/>
      <c r="AI834" s="93"/>
      <c r="AJ834" s="93"/>
      <c r="AK834" s="119">
        <f>-1000*AK807/(AK819*365)</f>
        <v>0</v>
      </c>
      <c r="AL834" s="93"/>
      <c r="AM834" s="93"/>
      <c r="AN834" s="93"/>
      <c r="AO834" s="93"/>
      <c r="AP834" s="119">
        <f>-1000*AP807/(AP819*365)</f>
        <v>0</v>
      </c>
      <c r="AQ834" s="93"/>
      <c r="AR834" s="93"/>
      <c r="AS834" s="93"/>
      <c r="AT834" s="93"/>
      <c r="AU834" s="119">
        <f>-1000*AU807/(AU819*365)</f>
        <v>0</v>
      </c>
      <c r="AV834" s="93"/>
      <c r="AW834" s="93"/>
      <c r="AX834" s="93"/>
      <c r="AY834" s="93"/>
      <c r="AZ834" s="119">
        <f>-1000*AZ807/(AZ819*365)</f>
        <v>0</v>
      </c>
      <c r="BA834" s="93"/>
      <c r="BB834" s="93"/>
      <c r="BC834" s="93"/>
      <c r="BD834" s="93"/>
      <c r="BE834" s="119">
        <f>-1000*BE807/(BE819*365)</f>
        <v>0.95298900541748444</v>
      </c>
      <c r="BF834" s="93"/>
      <c r="BG834" s="93"/>
      <c r="BH834" s="93"/>
      <c r="BI834" s="93"/>
      <c r="BJ834" s="119">
        <f>-1000*BJ807/(BJ819*365)</f>
        <v>0</v>
      </c>
      <c r="BK834" s="93"/>
      <c r="BL834" s="93"/>
      <c r="BM834" s="93"/>
      <c r="BN834" s="93"/>
      <c r="BO834" s="119">
        <f>-1000*BO807/(BO819*365)</f>
        <v>0</v>
      </c>
      <c r="BP834" s="114">
        <f>-1000*BP807/(BP$874*90)</f>
        <v>0</v>
      </c>
      <c r="BQ834" s="114">
        <f>-1000*BQ807/(BQ$874*91)</f>
        <v>0</v>
      </c>
      <c r="BR834" s="114">
        <f>-1000*BR807/(BR$874*92)</f>
        <v>0</v>
      </c>
      <c r="BS834" s="114">
        <f>-1000*BS807/(BS$874*92)</f>
        <v>0</v>
      </c>
      <c r="BT834" s="104">
        <f>-1000*BT807/(BT819*365)</f>
        <v>0</v>
      </c>
      <c r="BU834" s="114">
        <f>-1000*BU807/(BU$874*90)</f>
        <v>0</v>
      </c>
      <c r="BV834" s="114">
        <f>-1000*BV807/(BV$874*91)</f>
        <v>0</v>
      </c>
      <c r="BW834" s="114">
        <f>-1000*BW807/(BW$874*92)</f>
        <v>0</v>
      </c>
      <c r="BX834" s="114">
        <f>-1000*BX807/(BX$874*92)</f>
        <v>0</v>
      </c>
      <c r="BY834" s="590" t="str">
        <f>IF(ISNUMBER(-1000*BY807/(BY819*365)),(-1000*BY807/(BY819*365)),"-")</f>
        <v>-</v>
      </c>
      <c r="BZ834" s="114">
        <f>-1000*BZ807/(BZ$874*90)</f>
        <v>0</v>
      </c>
      <c r="CA834" s="114">
        <f>-1000*CA807/(CA$874*91)</f>
        <v>0</v>
      </c>
      <c r="CB834" s="114">
        <f>-1000*CB807/(CB$874*92)</f>
        <v>0</v>
      </c>
      <c r="CC834" s="114">
        <f>-1000*CC807/(CC$874*92)</f>
        <v>0</v>
      </c>
      <c r="CD834" s="590" t="str">
        <f>IF(ISNUMBER(-1000*CD807/(CD819*365)),(-1000*CD807/(CD819*365)),"-")</f>
        <v>-</v>
      </c>
    </row>
    <row r="835" spans="1:82" hidden="1" outlineLevel="1">
      <c r="A835" s="11"/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  <c r="AA835" s="11"/>
      <c r="AB835" s="11"/>
      <c r="AC835" s="11"/>
      <c r="AD835" s="11"/>
      <c r="AE835" s="11"/>
      <c r="AF835" s="11"/>
      <c r="AG835" s="11"/>
      <c r="AH835" s="11"/>
      <c r="AI835" s="11"/>
      <c r="AJ835" s="11"/>
      <c r="AK835" s="11"/>
      <c r="AL835" s="11"/>
      <c r="AM835" s="11"/>
      <c r="AN835" s="11"/>
      <c r="AO835" s="11"/>
      <c r="AP835" s="11"/>
      <c r="AQ835" s="11"/>
      <c r="AR835" s="11"/>
      <c r="AS835" s="11"/>
      <c r="AT835" s="11"/>
      <c r="AU835" s="11"/>
      <c r="AV835" s="11"/>
      <c r="AW835" s="11"/>
      <c r="AX835" s="11"/>
      <c r="AY835" s="11"/>
      <c r="AZ835" s="11"/>
      <c r="BA835" s="11"/>
      <c r="BB835" s="11"/>
      <c r="BC835" s="11"/>
      <c r="BD835" s="11"/>
      <c r="BE835" s="11"/>
      <c r="BF835" s="11"/>
      <c r="BG835" s="11"/>
      <c r="BH835" s="11"/>
      <c r="BI835" s="11"/>
      <c r="BJ835" s="11"/>
      <c r="BK835" s="11"/>
      <c r="BL835" s="11"/>
      <c r="BM835" s="11"/>
      <c r="BN835" s="11"/>
      <c r="BO835" s="11"/>
      <c r="BP835" s="11"/>
      <c r="BQ835" s="11"/>
      <c r="BR835" s="11"/>
      <c r="BS835" s="11"/>
      <c r="BT835" s="11"/>
      <c r="BU835" s="11"/>
      <c r="BV835" s="11"/>
      <c r="BW835" s="11"/>
      <c r="BX835" s="11"/>
      <c r="BY835" s="11"/>
      <c r="BZ835" s="11"/>
      <c r="CA835" s="11"/>
      <c r="CB835" s="11"/>
      <c r="CC835" s="11"/>
      <c r="CD835" s="11"/>
    </row>
    <row r="836" spans="1:82" hidden="1" outlineLevel="1">
      <c r="A836" s="11"/>
      <c r="B836" s="5" t="s">
        <v>2138</v>
      </c>
      <c r="C836" s="72"/>
      <c r="D836" s="72"/>
      <c r="E836" s="72"/>
      <c r="F836" s="72"/>
      <c r="G836" s="72"/>
      <c r="H836" s="93"/>
      <c r="I836" s="93"/>
      <c r="J836" s="93"/>
      <c r="K836" s="93"/>
      <c r="L836" s="72"/>
      <c r="M836" s="93"/>
      <c r="N836" s="93"/>
      <c r="O836" s="93"/>
      <c r="P836" s="93"/>
      <c r="Q836" s="72"/>
      <c r="R836" s="93"/>
      <c r="S836" s="93"/>
      <c r="T836" s="93"/>
      <c r="U836" s="93"/>
      <c r="V836" s="72"/>
      <c r="W836" s="93"/>
      <c r="X836" s="93"/>
      <c r="Y836" s="93"/>
      <c r="Z836" s="93"/>
      <c r="AA836" s="119">
        <f>AA833</f>
        <v>3.7302712497770103</v>
      </c>
      <c r="AB836" s="93"/>
      <c r="AC836" s="93"/>
      <c r="AD836" s="93"/>
      <c r="AE836" s="93"/>
      <c r="AF836" s="119">
        <f>AF833</f>
        <v>5.0696248708755416</v>
      </c>
      <c r="AG836" s="93"/>
      <c r="AH836" s="93"/>
      <c r="AI836" s="93"/>
      <c r="AJ836" s="93"/>
      <c r="AK836" s="119">
        <f>AK833</f>
        <v>5.470261280581207</v>
      </c>
      <c r="AL836" s="93"/>
      <c r="AM836" s="93"/>
      <c r="AN836" s="93"/>
      <c r="AO836" s="93"/>
      <c r="AP836" s="119">
        <f>AP833</f>
        <v>6.4249519734634077</v>
      </c>
      <c r="AQ836" s="93"/>
      <c r="AR836" s="93"/>
      <c r="AS836" s="93"/>
      <c r="AT836" s="93"/>
      <c r="AU836" s="119">
        <f>AU833</f>
        <v>6.3208420310352702</v>
      </c>
      <c r="AV836" s="93"/>
      <c r="AW836" s="93"/>
      <c r="AX836" s="93"/>
      <c r="AY836" s="93"/>
      <c r="AZ836" s="119">
        <f>AZ833</f>
        <v>9.8848800565952804</v>
      </c>
      <c r="BA836" s="93"/>
      <c r="BB836" s="93"/>
      <c r="BC836" s="93"/>
      <c r="BD836" s="93"/>
      <c r="BE836" s="119">
        <f>BE833</f>
        <v>13.178476532058927</v>
      </c>
      <c r="BF836" s="93"/>
      <c r="BG836" s="93"/>
      <c r="BH836" s="93"/>
      <c r="BI836" s="93"/>
      <c r="BJ836" s="119">
        <f>BJ833</f>
        <v>9.8296452406041439</v>
      </c>
      <c r="BK836" s="93"/>
      <c r="BL836" s="93"/>
      <c r="BM836" s="93"/>
      <c r="BN836" s="93"/>
      <c r="BO836" s="119">
        <f>BO833</f>
        <v>11.749209694415175</v>
      </c>
      <c r="BP836" s="114"/>
      <c r="BQ836" s="114"/>
      <c r="BR836" s="114"/>
      <c r="BS836" s="114"/>
      <c r="BT836" s="104">
        <f>$BE836*(BT$74/$BE$74)</f>
        <v>12.523413205403113</v>
      </c>
      <c r="BU836" s="114"/>
      <c r="BV836" s="114"/>
      <c r="BW836" s="114"/>
      <c r="BX836" s="114"/>
      <c r="BY836" s="104">
        <f>$BE836*(BY$74/$BE$74)</f>
        <v>12.661012568567628</v>
      </c>
      <c r="BZ836" s="114"/>
      <c r="CA836" s="114"/>
      <c r="CB836" s="114"/>
      <c r="CC836" s="114"/>
      <c r="CD836" s="104">
        <f>$BE836*(CD$74/$BE$74)</f>
        <v>12.798611931732145</v>
      </c>
    </row>
    <row r="837" spans="1:82" hidden="1" outlineLevel="1">
      <c r="A837" s="11"/>
      <c r="B837" s="11"/>
      <c r="C837" s="11"/>
      <c r="D837" s="11"/>
      <c r="E837" s="11"/>
      <c r="F837" s="11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  <c r="AA837" s="11"/>
      <c r="AB837" s="11"/>
      <c r="AC837" s="11"/>
      <c r="AD837" s="11"/>
      <c r="AE837" s="11"/>
      <c r="AF837" s="11"/>
      <c r="AG837" s="11"/>
      <c r="AH837" s="11"/>
      <c r="AI837" s="11"/>
      <c r="AJ837" s="11"/>
      <c r="AK837" s="11"/>
      <c r="AL837" s="11"/>
      <c r="AM837" s="11"/>
      <c r="AN837" s="11"/>
      <c r="AO837" s="11"/>
      <c r="AP837" s="11"/>
      <c r="AQ837" s="11"/>
      <c r="AR837" s="11"/>
      <c r="AS837" s="11"/>
      <c r="AT837" s="11"/>
      <c r="AU837" s="11"/>
      <c r="AV837" s="11"/>
      <c r="AW837" s="11"/>
      <c r="AX837" s="11"/>
      <c r="AY837" s="11"/>
      <c r="AZ837" s="11"/>
      <c r="BA837" s="11"/>
      <c r="BB837" s="11"/>
      <c r="BC837" s="11"/>
      <c r="BD837" s="11"/>
      <c r="BE837" s="11"/>
      <c r="BF837" s="11"/>
      <c r="BG837" s="11"/>
      <c r="BH837" s="11"/>
      <c r="BI837" s="11"/>
      <c r="BJ837" s="11"/>
      <c r="BK837" s="11"/>
      <c r="BL837" s="11"/>
      <c r="BM837" s="11"/>
      <c r="BN837" s="11"/>
      <c r="BO837" s="11"/>
      <c r="BP837" s="11"/>
      <c r="BQ837" s="11"/>
      <c r="BR837" s="11"/>
      <c r="BS837" s="11"/>
      <c r="BT837" s="11"/>
      <c r="BU837" s="11"/>
      <c r="BV837" s="11"/>
      <c r="BW837" s="11"/>
      <c r="BX837" s="11"/>
      <c r="BY837" s="11"/>
      <c r="BZ837" s="11"/>
      <c r="CA837" s="11"/>
      <c r="CB837" s="11"/>
      <c r="CC837" s="11"/>
      <c r="CD837" s="11"/>
    </row>
    <row r="838" spans="1:82" hidden="1" outlineLevel="1">
      <c r="A838" s="39" t="s">
        <v>3094</v>
      </c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  <c r="AA838" s="11"/>
      <c r="AB838" s="11"/>
      <c r="AC838" s="11"/>
      <c r="AD838" s="11"/>
      <c r="AE838" s="11"/>
      <c r="AF838" s="11"/>
      <c r="AG838" s="11"/>
      <c r="AH838" s="11"/>
      <c r="AI838" s="11"/>
      <c r="AJ838" s="11"/>
      <c r="AK838" s="11"/>
      <c r="AL838" s="11"/>
      <c r="AM838" s="11"/>
      <c r="AN838" s="11"/>
      <c r="AO838" s="11"/>
      <c r="AP838" s="11"/>
      <c r="AQ838" s="11"/>
      <c r="AR838" s="11"/>
      <c r="AS838" s="11"/>
      <c r="AT838" s="11"/>
      <c r="AU838" s="11"/>
      <c r="AV838" s="11"/>
      <c r="AW838" s="11"/>
      <c r="AX838" s="11"/>
      <c r="AY838" s="11"/>
      <c r="AZ838" s="11"/>
      <c r="BA838" s="11"/>
      <c r="BB838" s="11"/>
      <c r="BC838" s="11"/>
      <c r="BD838" s="11"/>
      <c r="BE838" s="11"/>
      <c r="BF838" s="11"/>
      <c r="BG838" s="11"/>
      <c r="BH838" s="11"/>
      <c r="BI838" s="11"/>
      <c r="BJ838" s="11"/>
      <c r="BK838" s="11"/>
      <c r="BL838" s="11"/>
      <c r="BM838" s="11"/>
      <c r="BN838" s="11"/>
      <c r="BO838" s="11"/>
      <c r="BP838" s="11"/>
      <c r="BQ838" s="11"/>
      <c r="BR838" s="11"/>
      <c r="BS838" s="11"/>
      <c r="BT838" s="11"/>
      <c r="BU838" s="11"/>
      <c r="BV838" s="11"/>
      <c r="BW838" s="11"/>
      <c r="BX838" s="11"/>
      <c r="BY838" s="11"/>
      <c r="BZ838" s="11"/>
      <c r="CA838" s="11"/>
      <c r="CB838" s="11"/>
      <c r="CC838" s="11"/>
      <c r="CD838" s="11"/>
    </row>
    <row r="839" spans="1:82" hidden="1" outlineLevel="1">
      <c r="A839" s="11"/>
      <c r="B839" s="11" t="s">
        <v>1897</v>
      </c>
      <c r="C839" s="72"/>
      <c r="D839" s="72"/>
      <c r="E839" s="72"/>
      <c r="F839" s="72"/>
      <c r="G839" s="72"/>
      <c r="H839" s="93"/>
      <c r="I839" s="93"/>
      <c r="J839" s="93"/>
      <c r="K839" s="93"/>
      <c r="L839" s="72"/>
      <c r="M839" s="93"/>
      <c r="N839" s="93"/>
      <c r="O839" s="93"/>
      <c r="P839" s="93"/>
      <c r="Q839" s="72"/>
      <c r="R839" s="93"/>
      <c r="S839" s="93"/>
      <c r="T839" s="93"/>
      <c r="U839" s="93"/>
      <c r="V839" s="72"/>
      <c r="W839" s="93"/>
      <c r="X839" s="93"/>
      <c r="Y839" s="93"/>
      <c r="Z839" s="93"/>
      <c r="AA839" s="116">
        <f>-AA802/AA800</f>
        <v>0</v>
      </c>
      <c r="AB839" s="93"/>
      <c r="AC839" s="93"/>
      <c r="AD839" s="93"/>
      <c r="AE839" s="93"/>
      <c r="AF839" s="116">
        <f>-AF802/AF800</f>
        <v>0</v>
      </c>
      <c r="AG839" s="93"/>
      <c r="AH839" s="93"/>
      <c r="AI839" s="93"/>
      <c r="AJ839" s="93"/>
      <c r="AK839" s="116">
        <f>-AK802/AK800</f>
        <v>2.5967281225655674E-4</v>
      </c>
      <c r="AL839" s="93"/>
      <c r="AM839" s="93"/>
      <c r="AN839" s="93"/>
      <c r="AO839" s="93"/>
      <c r="AP839" s="116">
        <f>-AP802/AP800</f>
        <v>2.3441162681669012E-4</v>
      </c>
      <c r="AQ839" s="93"/>
      <c r="AR839" s="93"/>
      <c r="AS839" s="93"/>
      <c r="AT839" s="93"/>
      <c r="AU839" s="116">
        <f>-AU802/AU800</f>
        <v>2.0903010033444816E-4</v>
      </c>
      <c r="AV839" s="93"/>
      <c r="AW839" s="93"/>
      <c r="AX839" s="93"/>
      <c r="AY839" s="93"/>
      <c r="AZ839" s="116">
        <f>-AZ802/AZ800</f>
        <v>7.836990595611285E-4</v>
      </c>
      <c r="BA839" s="93"/>
      <c r="BB839" s="93"/>
      <c r="BC839" s="93"/>
      <c r="BD839" s="93"/>
      <c r="BE839" s="116">
        <f>-BE802/BE800</f>
        <v>0</v>
      </c>
      <c r="BF839" s="93"/>
      <c r="BG839" s="93"/>
      <c r="BH839" s="93"/>
      <c r="BI839" s="93"/>
      <c r="BJ839" s="116">
        <f>-BJ802/BJ800</f>
        <v>0</v>
      </c>
      <c r="BK839" s="93"/>
      <c r="BL839" s="93"/>
      <c r="BM839" s="93"/>
      <c r="BN839" s="93"/>
      <c r="BO839" s="116">
        <f>-BO802/BO800</f>
        <v>0</v>
      </c>
      <c r="BP839" s="117">
        <f t="shared" ref="BP839:BT839" si="388">-BP802/BP800</f>
        <v>0</v>
      </c>
      <c r="BQ839" s="117">
        <f t="shared" si="388"/>
        <v>0</v>
      </c>
      <c r="BR839" s="117">
        <f t="shared" si="388"/>
        <v>0</v>
      </c>
      <c r="BS839" s="117">
        <f t="shared" si="388"/>
        <v>0</v>
      </c>
      <c r="BT839" s="116">
        <f t="shared" si="388"/>
        <v>0</v>
      </c>
      <c r="BU839" s="583" t="s">
        <v>819</v>
      </c>
      <c r="BV839" s="583" t="s">
        <v>819</v>
      </c>
      <c r="BW839" s="583" t="s">
        <v>819</v>
      </c>
      <c r="BX839" s="583" t="s">
        <v>819</v>
      </c>
      <c r="BY839" s="584" t="s">
        <v>819</v>
      </c>
      <c r="BZ839" s="583" t="s">
        <v>819</v>
      </c>
      <c r="CA839" s="583" t="s">
        <v>819</v>
      </c>
      <c r="CB839" s="583" t="s">
        <v>819</v>
      </c>
      <c r="CC839" s="583" t="s">
        <v>819</v>
      </c>
      <c r="CD839" s="584" t="s">
        <v>819</v>
      </c>
    </row>
    <row r="840" spans="1:82" hidden="1" outlineLevel="1">
      <c r="A840" s="11"/>
      <c r="B840" s="11" t="s">
        <v>2149</v>
      </c>
      <c r="C840" s="72"/>
      <c r="D840" s="72"/>
      <c r="E840" s="72"/>
      <c r="F840" s="72"/>
      <c r="G840" s="72"/>
      <c r="H840" s="93"/>
      <c r="I840" s="93"/>
      <c r="J840" s="93"/>
      <c r="K840" s="93"/>
      <c r="L840" s="72"/>
      <c r="M840" s="93"/>
      <c r="N840" s="93"/>
      <c r="O840" s="93"/>
      <c r="P840" s="93"/>
      <c r="Q840" s="72"/>
      <c r="R840" s="93"/>
      <c r="S840" s="93"/>
      <c r="T840" s="93"/>
      <c r="U840" s="93"/>
      <c r="V840" s="72"/>
      <c r="W840" s="93"/>
      <c r="X840" s="93"/>
      <c r="Y840" s="93"/>
      <c r="Z840" s="93"/>
      <c r="AA840" s="116">
        <f>-AA803/AA800</f>
        <v>8.4845250800426888E-2</v>
      </c>
      <c r="AB840" s="93"/>
      <c r="AC840" s="93"/>
      <c r="AD840" s="93"/>
      <c r="AE840" s="93"/>
      <c r="AF840" s="116">
        <f>-AF803/AF800</f>
        <v>7.1428571428571425E-2</v>
      </c>
      <c r="AG840" s="93"/>
      <c r="AH840" s="93"/>
      <c r="AI840" s="93"/>
      <c r="AJ840" s="93"/>
      <c r="AK840" s="116">
        <f>-AK803/AK800</f>
        <v>5.5050636198390027E-2</v>
      </c>
      <c r="AL840" s="93"/>
      <c r="AM840" s="93"/>
      <c r="AN840" s="93"/>
      <c r="AO840" s="93"/>
      <c r="AP840" s="116">
        <f>-AP803/AP800</f>
        <v>6.9151429910923587E-2</v>
      </c>
      <c r="AQ840" s="93"/>
      <c r="AR840" s="93"/>
      <c r="AS840" s="93"/>
      <c r="AT840" s="93"/>
      <c r="AU840" s="116">
        <f>-AU803/AU800</f>
        <v>8.4448160535117056E-2</v>
      </c>
      <c r="AV840" s="93"/>
      <c r="AW840" s="93"/>
      <c r="AX840" s="93"/>
      <c r="AY840" s="93"/>
      <c r="AZ840" s="116">
        <f>-AZ803/AZ800</f>
        <v>0.11912225705329153</v>
      </c>
      <c r="BA840" s="93"/>
      <c r="BB840" s="93"/>
      <c r="BC840" s="93"/>
      <c r="BD840" s="93"/>
      <c r="BE840" s="116">
        <f>-BE803/BE800</f>
        <v>0.16138328530259366</v>
      </c>
      <c r="BF840" s="93"/>
      <c r="BG840" s="93"/>
      <c r="BH840" s="93"/>
      <c r="BI840" s="93"/>
      <c r="BJ840" s="116">
        <f>-BJ803/BJ800</f>
        <v>0.16255605381165919</v>
      </c>
      <c r="BK840" s="93"/>
      <c r="BL840" s="93"/>
      <c r="BM840" s="93"/>
      <c r="BN840" s="93"/>
      <c r="BO840" s="116">
        <f>-BO803/BO800</f>
        <v>0.11842105263157894</v>
      </c>
      <c r="BP840" s="117">
        <f t="shared" ref="BP840:BT840" si="389">-BP803/BP800</f>
        <v>9.3592401181100862E-2</v>
      </c>
      <c r="BQ840" s="117">
        <f t="shared" si="389"/>
        <v>9.2697576078909924E-2</v>
      </c>
      <c r="BR840" s="117">
        <f t="shared" si="389"/>
        <v>9.4534394695898694E-2</v>
      </c>
      <c r="BS840" s="117">
        <f t="shared" si="389"/>
        <v>9.6121616846932559E-2</v>
      </c>
      <c r="BT840" s="116">
        <f t="shared" si="389"/>
        <v>9.4227225806946313E-2</v>
      </c>
      <c r="BU840" s="583" t="s">
        <v>819</v>
      </c>
      <c r="BV840" s="583" t="s">
        <v>819</v>
      </c>
      <c r="BW840" s="583" t="s">
        <v>819</v>
      </c>
      <c r="BX840" s="583" t="s">
        <v>819</v>
      </c>
      <c r="BY840" s="584" t="s">
        <v>819</v>
      </c>
      <c r="BZ840" s="583" t="s">
        <v>819</v>
      </c>
      <c r="CA840" s="583" t="s">
        <v>819</v>
      </c>
      <c r="CB840" s="583" t="s">
        <v>819</v>
      </c>
      <c r="CC840" s="583" t="s">
        <v>819</v>
      </c>
      <c r="CD840" s="584" t="s">
        <v>819</v>
      </c>
    </row>
    <row r="841" spans="1:82" hidden="1" outlineLevel="1">
      <c r="A841" s="11"/>
      <c r="B841" s="11" t="s">
        <v>2150</v>
      </c>
      <c r="C841" s="72"/>
      <c r="D841" s="72"/>
      <c r="E841" s="72"/>
      <c r="F841" s="72"/>
      <c r="G841" s="72"/>
      <c r="H841" s="93"/>
      <c r="I841" s="93"/>
      <c r="J841" s="93"/>
      <c r="K841" s="93"/>
      <c r="L841" s="72"/>
      <c r="M841" s="93"/>
      <c r="N841" s="93"/>
      <c r="O841" s="93"/>
      <c r="P841" s="93"/>
      <c r="Q841" s="72"/>
      <c r="R841" s="93"/>
      <c r="S841" s="93"/>
      <c r="T841" s="93"/>
      <c r="U841" s="93"/>
      <c r="V841" s="72"/>
      <c r="W841" s="93"/>
      <c r="X841" s="93"/>
      <c r="Y841" s="93"/>
      <c r="Z841" s="93"/>
      <c r="AA841" s="116">
        <f>-AA804/AA800</f>
        <v>0.81270010672358595</v>
      </c>
      <c r="AB841" s="93"/>
      <c r="AC841" s="93"/>
      <c r="AD841" s="93"/>
      <c r="AE841" s="93"/>
      <c r="AF841" s="116">
        <f>-AF804/AF800</f>
        <v>0.78765527950310554</v>
      </c>
      <c r="AG841" s="93"/>
      <c r="AH841" s="93"/>
      <c r="AI841" s="93"/>
      <c r="AJ841" s="93"/>
      <c r="AK841" s="116">
        <f>-AK804/AK800</f>
        <v>0.81147753830173985</v>
      </c>
      <c r="AL841" s="93"/>
      <c r="AM841" s="93"/>
      <c r="AN841" s="93"/>
      <c r="AO841" s="93"/>
      <c r="AP841" s="116">
        <f>-AP804/AP800</f>
        <v>0.76066572902015939</v>
      </c>
      <c r="AQ841" s="93"/>
      <c r="AR841" s="93"/>
      <c r="AS841" s="93"/>
      <c r="AT841" s="93"/>
      <c r="AU841" s="116">
        <f>-AU804/AU800</f>
        <v>0.76191471571906355</v>
      </c>
      <c r="AV841" s="93"/>
      <c r="AW841" s="93"/>
      <c r="AX841" s="93"/>
      <c r="AY841" s="93"/>
      <c r="AZ841" s="116">
        <f>-AZ804/AZ800</f>
        <v>0.54231974921630099</v>
      </c>
      <c r="BA841" s="93"/>
      <c r="BB841" s="93"/>
      <c r="BC841" s="93"/>
      <c r="BD841" s="93"/>
      <c r="BE841" s="116">
        <f>-BE804/BE800</f>
        <v>0.37271853986551395</v>
      </c>
      <c r="BF841" s="93"/>
      <c r="BG841" s="93"/>
      <c r="BH841" s="93"/>
      <c r="BI841" s="93"/>
      <c r="BJ841" s="116">
        <f>-BJ804/BJ800</f>
        <v>0.39461883408071746</v>
      </c>
      <c r="BK841" s="93"/>
      <c r="BL841" s="93"/>
      <c r="BM841" s="93"/>
      <c r="BN841" s="93"/>
      <c r="BO841" s="116">
        <f>-BO804/BO800</f>
        <v>0.43117408906882593</v>
      </c>
      <c r="BP841" s="117">
        <f>BT841</f>
        <v>0.5</v>
      </c>
      <c r="BQ841" s="117">
        <f>BT841</f>
        <v>0.5</v>
      </c>
      <c r="BR841" s="117">
        <f>BT841</f>
        <v>0.5</v>
      </c>
      <c r="BS841" s="117">
        <f>BT841</f>
        <v>0.5</v>
      </c>
      <c r="BT841" s="118">
        <v>0.5</v>
      </c>
      <c r="BU841" s="117">
        <f>BY841</f>
        <v>0.5</v>
      </c>
      <c r="BV841" s="117">
        <f>BY841</f>
        <v>0.5</v>
      </c>
      <c r="BW841" s="117">
        <f>BY841</f>
        <v>0.5</v>
      </c>
      <c r="BX841" s="117">
        <f>BY841</f>
        <v>0.5</v>
      </c>
      <c r="BY841" s="118">
        <v>0.5</v>
      </c>
      <c r="BZ841" s="117">
        <f>CD841</f>
        <v>0.5</v>
      </c>
      <c r="CA841" s="117">
        <f>CD841</f>
        <v>0.5</v>
      </c>
      <c r="CB841" s="117">
        <f>CD841</f>
        <v>0.5</v>
      </c>
      <c r="CC841" s="117">
        <f>CD841</f>
        <v>0.5</v>
      </c>
      <c r="CD841" s="118">
        <v>0.5</v>
      </c>
    </row>
    <row r="842" spans="1:82" hidden="1" outlineLevel="1">
      <c r="A842" s="11"/>
      <c r="B842" s="11" t="s">
        <v>2158</v>
      </c>
      <c r="C842" s="72"/>
      <c r="D842" s="72"/>
      <c r="E842" s="72"/>
      <c r="F842" s="72"/>
      <c r="G842" s="72"/>
      <c r="H842" s="93"/>
      <c r="I842" s="93"/>
      <c r="J842" s="93"/>
      <c r="K842" s="93"/>
      <c r="L842" s="72"/>
      <c r="M842" s="93"/>
      <c r="N842" s="93"/>
      <c r="O842" s="93"/>
      <c r="P842" s="93"/>
      <c r="Q842" s="72"/>
      <c r="R842" s="93"/>
      <c r="S842" s="93"/>
      <c r="T842" s="93"/>
      <c r="U842" s="93"/>
      <c r="V842" s="72"/>
      <c r="W842" s="93"/>
      <c r="X842" s="93"/>
      <c r="Y842" s="93"/>
      <c r="Z842" s="93"/>
      <c r="AA842" s="116">
        <f>-AA805/AA800</f>
        <v>-1.0672358591248667E-3</v>
      </c>
      <c r="AB842" s="93"/>
      <c r="AC842" s="93"/>
      <c r="AD842" s="93"/>
      <c r="AE842" s="93"/>
      <c r="AF842" s="116">
        <f>-AF805/AF800</f>
        <v>-7.7639751552795026E-4</v>
      </c>
      <c r="AG842" s="93"/>
      <c r="AH842" s="93"/>
      <c r="AI842" s="93"/>
      <c r="AJ842" s="93"/>
      <c r="AK842" s="116">
        <f>-AK805/AK800</f>
        <v>-2.5967281225655674E-4</v>
      </c>
      <c r="AL842" s="93"/>
      <c r="AM842" s="93"/>
      <c r="AN842" s="93"/>
      <c r="AO842" s="93"/>
      <c r="AP842" s="116">
        <f>-AP805/AP800</f>
        <v>-4.6882325363338024E-4</v>
      </c>
      <c r="AQ842" s="93"/>
      <c r="AR842" s="93"/>
      <c r="AS842" s="93"/>
      <c r="AT842" s="93"/>
      <c r="AU842" s="116">
        <f>-AU805/AU800</f>
        <v>-2.0903010033444816E-4</v>
      </c>
      <c r="AV842" s="93"/>
      <c r="AW842" s="93"/>
      <c r="AX842" s="93"/>
      <c r="AY842" s="93"/>
      <c r="AZ842" s="116">
        <f>-AZ805/AZ800</f>
        <v>0</v>
      </c>
      <c r="BA842" s="93"/>
      <c r="BB842" s="93"/>
      <c r="BC842" s="93"/>
      <c r="BD842" s="93"/>
      <c r="BE842" s="116">
        <f>-BE805/BE800</f>
        <v>0</v>
      </c>
      <c r="BF842" s="93"/>
      <c r="BG842" s="93"/>
      <c r="BH842" s="93"/>
      <c r="BI842" s="93"/>
      <c r="BJ842" s="116">
        <f>-BJ805/BJ800</f>
        <v>3.3632286995515697E-3</v>
      </c>
      <c r="BK842" s="93"/>
      <c r="BL842" s="93"/>
      <c r="BM842" s="93"/>
      <c r="BN842" s="93"/>
      <c r="BO842" s="116">
        <f>-BO805/BO800</f>
        <v>-5.0607287449392713E-3</v>
      </c>
      <c r="BP842" s="117">
        <f t="shared" ref="BP842:BT842" si="390">-BP805/BP800</f>
        <v>0</v>
      </c>
      <c r="BQ842" s="117">
        <f t="shared" si="390"/>
        <v>0</v>
      </c>
      <c r="BR842" s="117">
        <f t="shared" si="390"/>
        <v>0</v>
      </c>
      <c r="BS842" s="117">
        <f t="shared" si="390"/>
        <v>0</v>
      </c>
      <c r="BT842" s="116">
        <f t="shared" si="390"/>
        <v>0</v>
      </c>
      <c r="BU842" s="583" t="s">
        <v>819</v>
      </c>
      <c r="BV842" s="583" t="s">
        <v>819</v>
      </c>
      <c r="BW842" s="583" t="s">
        <v>819</v>
      </c>
      <c r="BX842" s="583" t="s">
        <v>819</v>
      </c>
      <c r="BY842" s="584" t="s">
        <v>819</v>
      </c>
      <c r="BZ842" s="583" t="s">
        <v>819</v>
      </c>
      <c r="CA842" s="583" t="s">
        <v>819</v>
      </c>
      <c r="CB842" s="583" t="s">
        <v>819</v>
      </c>
      <c r="CC842" s="583" t="s">
        <v>819</v>
      </c>
      <c r="CD842" s="584" t="s">
        <v>819</v>
      </c>
    </row>
    <row r="843" spans="1:82" hidden="1" outlineLevel="1">
      <c r="A843" s="11"/>
      <c r="B843" s="11" t="s">
        <v>2154</v>
      </c>
      <c r="C843" s="72"/>
      <c r="D843" s="72"/>
      <c r="E843" s="72"/>
      <c r="F843" s="72"/>
      <c r="G843" s="72"/>
      <c r="H843" s="93"/>
      <c r="I843" s="93"/>
      <c r="J843" s="93"/>
      <c r="K843" s="93"/>
      <c r="L843" s="72"/>
      <c r="M843" s="93"/>
      <c r="N843" s="93"/>
      <c r="O843" s="93"/>
      <c r="P843" s="93"/>
      <c r="Q843" s="72"/>
      <c r="R843" s="93"/>
      <c r="S843" s="93"/>
      <c r="T843" s="93"/>
      <c r="U843" s="93"/>
      <c r="V843" s="72"/>
      <c r="W843" s="93"/>
      <c r="X843" s="93"/>
      <c r="Y843" s="93"/>
      <c r="Z843" s="93"/>
      <c r="AA843" s="116">
        <f>-AA806/AA800</f>
        <v>0.14621131270010673</v>
      </c>
      <c r="AB843" s="93"/>
      <c r="AC843" s="93"/>
      <c r="AD843" s="93"/>
      <c r="AE843" s="93"/>
      <c r="AF843" s="116">
        <f>-AF806/AF800</f>
        <v>0.14091614906832298</v>
      </c>
      <c r="AG843" s="93"/>
      <c r="AH843" s="93"/>
      <c r="AI843" s="93"/>
      <c r="AJ843" s="93"/>
      <c r="AK843" s="116">
        <f>-AK806/AK800</f>
        <v>0.11191898208257596</v>
      </c>
      <c r="AL843" s="93"/>
      <c r="AM843" s="93"/>
      <c r="AN843" s="93"/>
      <c r="AO843" s="93"/>
      <c r="AP843" s="116">
        <f>-AP806/AP800</f>
        <v>0.12611345522737927</v>
      </c>
      <c r="AQ843" s="93"/>
      <c r="AR843" s="93"/>
      <c r="AS843" s="93"/>
      <c r="AT843" s="93"/>
      <c r="AU843" s="116">
        <f>-AU806/AU800</f>
        <v>0.11371237458193979</v>
      </c>
      <c r="AV843" s="93"/>
      <c r="AW843" s="93"/>
      <c r="AX843" s="93"/>
      <c r="AY843" s="93"/>
      <c r="AZ843" s="116">
        <f>-AZ806/AZ800</f>
        <v>0.29075235109717867</v>
      </c>
      <c r="BA843" s="93"/>
      <c r="BB843" s="93"/>
      <c r="BC843" s="93"/>
      <c r="BD843" s="93"/>
      <c r="BE843" s="116">
        <f>-BE806/BE800</f>
        <v>0.46493756003842457</v>
      </c>
      <c r="BF843" s="93"/>
      <c r="BG843" s="93"/>
      <c r="BH843" s="93"/>
      <c r="BI843" s="93"/>
      <c r="BJ843" s="116">
        <f>-BJ806/BJ800</f>
        <v>0.43273542600896858</v>
      </c>
      <c r="BK843" s="93"/>
      <c r="BL843" s="93"/>
      <c r="BM843" s="93"/>
      <c r="BN843" s="93"/>
      <c r="BO843" s="116">
        <f>-BO806/BO800</f>
        <v>0.45141700404858298</v>
      </c>
      <c r="BP843" s="117">
        <f t="shared" ref="BP843:BT843" si="391">-BP806/BP800</f>
        <v>0.40029488112283163</v>
      </c>
      <c r="BQ843" s="117">
        <f t="shared" si="391"/>
        <v>0.39646771242764933</v>
      </c>
      <c r="BR843" s="117">
        <f t="shared" si="391"/>
        <v>0.4043237892100901</v>
      </c>
      <c r="BS843" s="117">
        <f t="shared" si="391"/>
        <v>0.41111234142421926</v>
      </c>
      <c r="BT843" s="116">
        <f t="shared" si="391"/>
        <v>0.40301002727711116</v>
      </c>
      <c r="BU843" s="583" t="s">
        <v>819</v>
      </c>
      <c r="BV843" s="583" t="s">
        <v>819</v>
      </c>
      <c r="BW843" s="583" t="s">
        <v>819</v>
      </c>
      <c r="BX843" s="583" t="s">
        <v>819</v>
      </c>
      <c r="BY843" s="584" t="s">
        <v>819</v>
      </c>
      <c r="BZ843" s="583" t="s">
        <v>819</v>
      </c>
      <c r="CA843" s="583" t="s">
        <v>819</v>
      </c>
      <c r="CB843" s="583" t="s">
        <v>819</v>
      </c>
      <c r="CC843" s="583" t="s">
        <v>819</v>
      </c>
      <c r="CD843" s="584" t="s">
        <v>819</v>
      </c>
    </row>
    <row r="844" spans="1:82" hidden="1" outlineLevel="1">
      <c r="A844" s="11"/>
      <c r="B844" s="4" t="s">
        <v>930</v>
      </c>
      <c r="C844" s="72"/>
      <c r="D844" s="72"/>
      <c r="E844" s="72"/>
      <c r="F844" s="72"/>
      <c r="G844" s="72"/>
      <c r="H844" s="93"/>
      <c r="I844" s="93"/>
      <c r="J844" s="93"/>
      <c r="K844" s="93"/>
      <c r="L844" s="72"/>
      <c r="M844" s="93"/>
      <c r="N844" s="93"/>
      <c r="O844" s="93"/>
      <c r="P844" s="93"/>
      <c r="Q844" s="72"/>
      <c r="R844" s="93"/>
      <c r="S844" s="93"/>
      <c r="T844" s="93"/>
      <c r="U844" s="93"/>
      <c r="V844" s="72"/>
      <c r="W844" s="93"/>
      <c r="X844" s="93"/>
      <c r="Y844" s="93"/>
      <c r="Z844" s="93"/>
      <c r="AA844" s="116">
        <f>-AA807/AA800</f>
        <v>0</v>
      </c>
      <c r="AB844" s="93"/>
      <c r="AC844" s="93"/>
      <c r="AD844" s="93"/>
      <c r="AE844" s="93"/>
      <c r="AF844" s="116">
        <f>-AF807/AF800</f>
        <v>0</v>
      </c>
      <c r="AG844" s="93"/>
      <c r="AH844" s="93"/>
      <c r="AI844" s="93"/>
      <c r="AJ844" s="93"/>
      <c r="AK844" s="116">
        <f>-AK807/AK800</f>
        <v>0</v>
      </c>
      <c r="AL844" s="93"/>
      <c r="AM844" s="93"/>
      <c r="AN844" s="93"/>
      <c r="AO844" s="93"/>
      <c r="AP844" s="116">
        <f>-AP807/AP800</f>
        <v>0</v>
      </c>
      <c r="AQ844" s="93"/>
      <c r="AR844" s="93"/>
      <c r="AS844" s="93"/>
      <c r="AT844" s="93"/>
      <c r="AU844" s="116">
        <f>-AU807/AU800</f>
        <v>0</v>
      </c>
      <c r="AV844" s="93"/>
      <c r="AW844" s="93"/>
      <c r="AX844" s="93"/>
      <c r="AY844" s="93"/>
      <c r="AZ844" s="116">
        <f>-AZ807/AZ800</f>
        <v>0</v>
      </c>
      <c r="BA844" s="93"/>
      <c r="BB844" s="93"/>
      <c r="BC844" s="93"/>
      <c r="BD844" s="93"/>
      <c r="BE844" s="116">
        <f>-BE807/BE800</f>
        <v>3.3621517771373677E-2</v>
      </c>
      <c r="BF844" s="93"/>
      <c r="BG844" s="93"/>
      <c r="BH844" s="93"/>
      <c r="BI844" s="93"/>
      <c r="BJ844" s="116">
        <f>-BJ807/BJ800</f>
        <v>0</v>
      </c>
      <c r="BK844" s="93"/>
      <c r="BL844" s="93"/>
      <c r="BM844" s="93"/>
      <c r="BN844" s="93"/>
      <c r="BO844" s="116">
        <f>-BO807/BO800</f>
        <v>0</v>
      </c>
      <c r="BP844" s="117">
        <f t="shared" ref="BP844:BT844" si="392">-BP807/BP800</f>
        <v>0</v>
      </c>
      <c r="BQ844" s="117">
        <f t="shared" si="392"/>
        <v>0</v>
      </c>
      <c r="BR844" s="117">
        <f t="shared" si="392"/>
        <v>0</v>
      </c>
      <c r="BS844" s="117">
        <f t="shared" si="392"/>
        <v>0</v>
      </c>
      <c r="BT844" s="116">
        <f t="shared" si="392"/>
        <v>0</v>
      </c>
      <c r="BU844" s="583" t="s">
        <v>819</v>
      </c>
      <c r="BV844" s="583" t="s">
        <v>819</v>
      </c>
      <c r="BW844" s="583" t="s">
        <v>819</v>
      </c>
      <c r="BX844" s="583" t="s">
        <v>819</v>
      </c>
      <c r="BY844" s="584" t="s">
        <v>819</v>
      </c>
      <c r="BZ844" s="583" t="s">
        <v>819</v>
      </c>
      <c r="CA844" s="583" t="s">
        <v>819</v>
      </c>
      <c r="CB844" s="583" t="s">
        <v>819</v>
      </c>
      <c r="CC844" s="583" t="s">
        <v>819</v>
      </c>
      <c r="CD844" s="584" t="s">
        <v>819</v>
      </c>
    </row>
    <row r="845" spans="1:82" hidden="1" outlineLevel="1">
      <c r="A845" s="11"/>
      <c r="B845" s="11"/>
      <c r="C845" s="11"/>
      <c r="D845" s="11"/>
      <c r="E845" s="11"/>
      <c r="F845" s="11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  <c r="AA845" s="11"/>
      <c r="AB845" s="11"/>
      <c r="AC845" s="11"/>
      <c r="AD845" s="11"/>
      <c r="AE845" s="11"/>
      <c r="AF845" s="11"/>
      <c r="AG845" s="11"/>
      <c r="AH845" s="11"/>
      <c r="AI845" s="11"/>
      <c r="AJ845" s="11"/>
      <c r="AK845" s="11"/>
      <c r="AL845" s="11"/>
      <c r="AM845" s="11"/>
      <c r="AN845" s="11"/>
      <c r="AO845" s="11"/>
      <c r="AP845" s="11"/>
      <c r="AQ845" s="11"/>
      <c r="AR845" s="11"/>
      <c r="AS845" s="11"/>
      <c r="AT845" s="11"/>
      <c r="AU845" s="11"/>
      <c r="AV845" s="11"/>
      <c r="AW845" s="11"/>
      <c r="AX845" s="11"/>
      <c r="AY845" s="11"/>
      <c r="AZ845" s="11"/>
      <c r="BA845" s="11"/>
      <c r="BB845" s="11"/>
      <c r="BC845" s="11"/>
      <c r="BD845" s="11"/>
      <c r="BE845" s="11"/>
      <c r="BF845" s="11"/>
      <c r="BG845" s="11"/>
      <c r="BH845" s="11"/>
      <c r="BI845" s="11"/>
      <c r="BJ845" s="11"/>
      <c r="BK845" s="11"/>
      <c r="BL845" s="11"/>
      <c r="BM845" s="11"/>
      <c r="BN845" s="11"/>
      <c r="BO845" s="11"/>
      <c r="BP845" s="11"/>
      <c r="BQ845" s="11"/>
      <c r="BR845" s="11"/>
      <c r="BS845" s="11"/>
      <c r="BT845" s="11"/>
      <c r="BU845" s="11"/>
      <c r="BV845" s="11"/>
      <c r="BW845" s="11"/>
      <c r="BX845" s="11"/>
      <c r="BY845" s="11"/>
      <c r="BZ845" s="11"/>
      <c r="CA845" s="11"/>
      <c r="CB845" s="11"/>
      <c r="CC845" s="11"/>
      <c r="CD845" s="11"/>
    </row>
    <row r="846" spans="1:82" hidden="1" outlineLevel="1">
      <c r="A846" s="11" t="s">
        <v>3095</v>
      </c>
      <c r="B846" s="11"/>
      <c r="C846" s="72"/>
      <c r="D846" s="72"/>
      <c r="E846" s="72"/>
      <c r="F846" s="72"/>
      <c r="G846" s="72"/>
      <c r="H846" s="93"/>
      <c r="I846" s="93"/>
      <c r="J846" s="93"/>
      <c r="K846" s="93"/>
      <c r="L846" s="72"/>
      <c r="M846" s="93"/>
      <c r="N846" s="93"/>
      <c r="O846" s="93"/>
      <c r="P846" s="93"/>
      <c r="Q846" s="72"/>
      <c r="R846" s="93"/>
      <c r="S846" s="93"/>
      <c r="T846" s="93"/>
      <c r="U846" s="93"/>
      <c r="V846" s="72"/>
      <c r="W846" s="93"/>
      <c r="X846" s="93"/>
      <c r="Y846" s="93"/>
      <c r="Z846" s="93"/>
      <c r="AA846" s="116">
        <f>-AA810/AA808</f>
        <v>0</v>
      </c>
      <c r="AB846" s="93"/>
      <c r="AC846" s="93"/>
      <c r="AD846" s="93"/>
      <c r="AE846" s="93"/>
      <c r="AF846" s="116">
        <f>-AF810/AF808</f>
        <v>16.5</v>
      </c>
      <c r="AG846" s="93"/>
      <c r="AH846" s="93"/>
      <c r="AI846" s="93"/>
      <c r="AJ846" s="93"/>
      <c r="AK846" s="116">
        <f>-AK810/AK808</f>
        <v>0.2289156626506024</v>
      </c>
      <c r="AL846" s="93"/>
      <c r="AM846" s="93"/>
      <c r="AN846" s="93"/>
      <c r="AO846" s="93"/>
      <c r="AP846" s="116">
        <f>-AP810/AP808</f>
        <v>0.2857142857142857</v>
      </c>
      <c r="AQ846" s="93"/>
      <c r="AR846" s="93"/>
      <c r="AS846" s="93"/>
      <c r="AT846" s="93"/>
      <c r="AU846" s="116">
        <f>-AU810/AU808</f>
        <v>0.20942408376963351</v>
      </c>
      <c r="AV846" s="93"/>
      <c r="AW846" s="93"/>
      <c r="AX846" s="93"/>
      <c r="AY846" s="93"/>
      <c r="AZ846" s="116">
        <f>-AZ810/AZ808</f>
        <v>0.48333333333333334</v>
      </c>
      <c r="BA846" s="93"/>
      <c r="BB846" s="93"/>
      <c r="BC846" s="93"/>
      <c r="BD846" s="93"/>
      <c r="BE846" s="116">
        <f>-BE810/BE808</f>
        <v>-2.9411764705882353E-2</v>
      </c>
      <c r="BF846" s="93"/>
      <c r="BG846" s="93"/>
      <c r="BH846" s="93"/>
      <c r="BI846" s="93"/>
      <c r="BJ846" s="116">
        <f>-BJ810/BJ808</f>
        <v>0.5</v>
      </c>
      <c r="BK846" s="93"/>
      <c r="BL846" s="93"/>
      <c r="BM846" s="93"/>
      <c r="BN846" s="93"/>
      <c r="BO846" s="116">
        <f>-BO810/BO808</f>
        <v>0</v>
      </c>
      <c r="BP846" s="117">
        <f>BT846</f>
        <v>0.2</v>
      </c>
      <c r="BQ846" s="117">
        <f>BT846</f>
        <v>0.2</v>
      </c>
      <c r="BR846" s="117">
        <f>BT846</f>
        <v>0.2</v>
      </c>
      <c r="BS846" s="117">
        <f>BT846</f>
        <v>0.2</v>
      </c>
      <c r="BT846" s="118">
        <v>0.2</v>
      </c>
      <c r="BU846" s="117">
        <f>BY846</f>
        <v>0.2</v>
      </c>
      <c r="BV846" s="117">
        <f>BY846</f>
        <v>0.2</v>
      </c>
      <c r="BW846" s="117">
        <f>BY846</f>
        <v>0.2</v>
      </c>
      <c r="BX846" s="117">
        <f>BY846</f>
        <v>0.2</v>
      </c>
      <c r="BY846" s="118">
        <v>0.2</v>
      </c>
      <c r="BZ846" s="117">
        <f>CD846</f>
        <v>0.2</v>
      </c>
      <c r="CA846" s="117">
        <f>CD846</f>
        <v>0.2</v>
      </c>
      <c r="CB846" s="117">
        <f>CD846</f>
        <v>0.2</v>
      </c>
      <c r="CC846" s="117">
        <f>CD846</f>
        <v>0.2</v>
      </c>
      <c r="CD846" s="118">
        <v>0.2</v>
      </c>
    </row>
    <row r="847" spans="1:82" hidden="1" outlineLevel="1">
      <c r="A847" s="11" t="s">
        <v>3471</v>
      </c>
      <c r="B847" s="11"/>
      <c r="C847" s="116"/>
      <c r="D847" s="116"/>
      <c r="E847" s="116"/>
      <c r="F847" s="116"/>
      <c r="G847" s="116"/>
      <c r="H847" s="93"/>
      <c r="I847" s="93"/>
      <c r="J847" s="93"/>
      <c r="K847" s="93"/>
      <c r="L847" s="116"/>
      <c r="M847" s="93"/>
      <c r="N847" s="93"/>
      <c r="O847" s="93"/>
      <c r="P847" s="93"/>
      <c r="Q847" s="116"/>
      <c r="R847" s="93"/>
      <c r="S847" s="93"/>
      <c r="T847" s="93"/>
      <c r="U847" s="93"/>
      <c r="V847" s="116"/>
      <c r="W847" s="93"/>
      <c r="X847" s="93"/>
      <c r="Y847" s="93"/>
      <c r="Z847" s="93"/>
      <c r="AA847" s="119">
        <f>(AA811-AA807-AA806-AA802)/(AA819*0.365)</f>
        <v>2.6411409578713139</v>
      </c>
      <c r="AB847" s="93"/>
      <c r="AC847" s="93"/>
      <c r="AD847" s="93"/>
      <c r="AE847" s="93"/>
      <c r="AF847" s="119">
        <f>(AF811-AF807-AF806-AF802)/(AF819*0.365)</f>
        <v>4.6366817000845177</v>
      </c>
      <c r="AG847" s="93"/>
      <c r="AH847" s="93"/>
      <c r="AI847" s="93"/>
      <c r="AJ847" s="93"/>
      <c r="AK847" s="119">
        <f>(AK811-AK807-AK806-AK802)/(AK819*0.365)</f>
        <v>6.2952426802048231</v>
      </c>
      <c r="AL847" s="93"/>
      <c r="AM847" s="93"/>
      <c r="AN847" s="93"/>
      <c r="AO847" s="93"/>
      <c r="AP847" s="119">
        <f>(AP811-AP807-AP806-AP802)/(AP819*0.365)</f>
        <v>8.0491034016995116</v>
      </c>
      <c r="AQ847" s="93"/>
      <c r="AR847" s="93"/>
      <c r="AS847" s="93"/>
      <c r="AT847" s="93"/>
      <c r="AU847" s="119">
        <f>(AU811-AU807-AU806-AU802)/(AU819*0.365)</f>
        <v>8.0869596573539493</v>
      </c>
      <c r="AV847" s="93"/>
      <c r="AW847" s="93"/>
      <c r="AX847" s="93"/>
      <c r="AY847" s="93"/>
      <c r="AZ847" s="119">
        <f>(AZ811-AZ807-AZ806-AZ802)/(AZ819*0.365)</f>
        <v>10.737484266328565</v>
      </c>
      <c r="BA847" s="93"/>
      <c r="BB847" s="93"/>
      <c r="BC847" s="93"/>
      <c r="BD847" s="93"/>
      <c r="BE847" s="119">
        <f>(BE811-BE807-BE806-BE802)/(BE819*0.365)</f>
        <v>13.178476532058927</v>
      </c>
      <c r="BF847" s="93"/>
      <c r="BG847" s="93"/>
      <c r="BH847" s="93"/>
      <c r="BI847" s="93"/>
      <c r="BJ847" s="119">
        <f>(BJ811-BJ807-BJ806-BJ802)/(BJ819*0.365)</f>
        <v>9.906041447137337</v>
      </c>
      <c r="BK847" s="93"/>
      <c r="BL847" s="93"/>
      <c r="BM847" s="93"/>
      <c r="BN847" s="93"/>
      <c r="BO847" s="119">
        <f>(BO811-BO807-BO806-BO802)/(BO819*0.365)</f>
        <v>11.854583772391992</v>
      </c>
      <c r="BP847" s="93"/>
      <c r="BQ847" s="93"/>
      <c r="BR847" s="93"/>
      <c r="BS847" s="93"/>
      <c r="BT847" s="119">
        <f>(BT811-BT807-BT806-BT802)/(BT819*0.365)</f>
        <v>12.592094417022713</v>
      </c>
      <c r="BU847" s="93"/>
      <c r="BV847" s="93"/>
      <c r="BW847" s="93"/>
      <c r="BX847" s="93"/>
      <c r="BY847" s="119"/>
      <c r="BZ847" s="93"/>
      <c r="CA847" s="93"/>
      <c r="CB847" s="93"/>
      <c r="CC847" s="93"/>
      <c r="CD847" s="119"/>
    </row>
    <row r="848" spans="1:82" hidden="1" outlineLevel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</row>
    <row r="849" spans="1:82" hidden="1" outlineLevel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</row>
    <row r="850" spans="1:82" collapsed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</row>
    <row r="851" spans="1:82">
      <c r="A851" s="24" t="s">
        <v>2221</v>
      </c>
      <c r="B851" s="4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</row>
    <row r="852" spans="1:82">
      <c r="A852" s="10"/>
      <c r="B852" s="10"/>
      <c r="C852" s="31">
        <v>2001</v>
      </c>
      <c r="D852" s="32">
        <v>2002</v>
      </c>
      <c r="E852" s="32">
        <v>2003</v>
      </c>
      <c r="F852" s="32">
        <v>2004</v>
      </c>
      <c r="G852" s="31">
        <v>2005</v>
      </c>
      <c r="H852" s="33" t="str">
        <f>H797</f>
        <v>1Q06</v>
      </c>
      <c r="I852" s="33" t="str">
        <f>I797</f>
        <v>2Q06</v>
      </c>
      <c r="J852" s="33" t="str">
        <f>J797</f>
        <v>3Q06</v>
      </c>
      <c r="K852" s="33" t="str">
        <f>K797</f>
        <v>4Q06</v>
      </c>
      <c r="L852" s="31">
        <v>2006</v>
      </c>
      <c r="M852" s="33" t="str">
        <f>M797</f>
        <v>1Q07</v>
      </c>
      <c r="N852" s="33" t="str">
        <f>N797</f>
        <v>2Q07</v>
      </c>
      <c r="O852" s="33" t="str">
        <f>O797</f>
        <v>3Q07</v>
      </c>
      <c r="P852" s="33" t="str">
        <f>P797</f>
        <v>4Q07</v>
      </c>
      <c r="Q852" s="31">
        <v>2007</v>
      </c>
      <c r="R852" s="33" t="str">
        <f>R797</f>
        <v>1Q08</v>
      </c>
      <c r="S852" s="33" t="str">
        <f>S797</f>
        <v>2Q08</v>
      </c>
      <c r="T852" s="33" t="str">
        <f>T797</f>
        <v>3Q08</v>
      </c>
      <c r="U852" s="33" t="str">
        <f>U797</f>
        <v>4Q08</v>
      </c>
      <c r="V852" s="31">
        <v>2008</v>
      </c>
      <c r="W852" s="33" t="str">
        <f>W797</f>
        <v>1Q09</v>
      </c>
      <c r="X852" s="33" t="str">
        <f>X797</f>
        <v>2Q09</v>
      </c>
      <c r="Y852" s="33" t="str">
        <f>Y797</f>
        <v>3Q09</v>
      </c>
      <c r="Z852" s="33" t="str">
        <f>Z797</f>
        <v>4Q09</v>
      </c>
      <c r="AA852" s="31">
        <v>2009</v>
      </c>
      <c r="AB852" s="33" t="str">
        <f>AB797</f>
        <v>1Q10</v>
      </c>
      <c r="AC852" s="33" t="str">
        <f>AC797</f>
        <v>2Q10</v>
      </c>
      <c r="AD852" s="33" t="str">
        <f>AD797</f>
        <v>3Q10</v>
      </c>
      <c r="AE852" s="33" t="str">
        <f>AE797</f>
        <v>4Q10</v>
      </c>
      <c r="AF852" s="31">
        <v>2010</v>
      </c>
      <c r="AG852" s="33" t="str">
        <f>AG797</f>
        <v>1Q11</v>
      </c>
      <c r="AH852" s="33" t="str">
        <f>AH797</f>
        <v>2Q11</v>
      </c>
      <c r="AI852" s="33" t="str">
        <f>AI797</f>
        <v>3Q11</v>
      </c>
      <c r="AJ852" s="33" t="str">
        <f>AJ797</f>
        <v>4Q11</v>
      </c>
      <c r="AK852" s="31">
        <v>2011</v>
      </c>
      <c r="AL852" s="363" t="s">
        <v>2397</v>
      </c>
      <c r="AM852" s="363" t="s">
        <v>2398</v>
      </c>
      <c r="AN852" s="363" t="s">
        <v>2399</v>
      </c>
      <c r="AO852" s="363" t="s">
        <v>2400</v>
      </c>
      <c r="AP852" s="364">
        <v>2012</v>
      </c>
      <c r="AQ852" s="363" t="s">
        <v>2401</v>
      </c>
      <c r="AR852" s="363" t="s">
        <v>2402</v>
      </c>
      <c r="AS852" s="363" t="s">
        <v>2403</v>
      </c>
      <c r="AT852" s="363" t="s">
        <v>2404</v>
      </c>
      <c r="AU852" s="364">
        <v>2013</v>
      </c>
      <c r="AV852" s="363" t="s">
        <v>2405</v>
      </c>
      <c r="AW852" s="363" t="s">
        <v>2406</v>
      </c>
      <c r="AX852" s="363" t="s">
        <v>2407</v>
      </c>
      <c r="AY852" s="363" t="s">
        <v>2408</v>
      </c>
      <c r="AZ852" s="364">
        <v>2014</v>
      </c>
      <c r="BA852" s="33" t="str">
        <f t="shared" ref="BA852:BI852" si="393">BA$8</f>
        <v>1Q15</v>
      </c>
      <c r="BB852" s="33" t="str">
        <f t="shared" si="393"/>
        <v>2Q15</v>
      </c>
      <c r="BC852" s="33" t="str">
        <f t="shared" si="393"/>
        <v>3Q15</v>
      </c>
      <c r="BD852" s="33" t="str">
        <f t="shared" si="393"/>
        <v>4Q15</v>
      </c>
      <c r="BE852" s="31">
        <f t="shared" si="393"/>
        <v>2015</v>
      </c>
      <c r="BF852" s="33" t="str">
        <f t="shared" si="393"/>
        <v>1Q16</v>
      </c>
      <c r="BG852" s="33" t="str">
        <f t="shared" si="393"/>
        <v>2Q16</v>
      </c>
      <c r="BH852" s="33" t="str">
        <f t="shared" si="393"/>
        <v>3Q16</v>
      </c>
      <c r="BI852" s="33" t="str">
        <f t="shared" si="393"/>
        <v>4Q16</v>
      </c>
      <c r="BJ852" s="31">
        <v>2016</v>
      </c>
      <c r="BK852" s="33" t="s">
        <v>2417</v>
      </c>
      <c r="BL852" s="33" t="s">
        <v>2418</v>
      </c>
      <c r="BM852" s="33" t="s">
        <v>2419</v>
      </c>
      <c r="BN852" s="33" t="s">
        <v>2420</v>
      </c>
      <c r="BO852" s="31">
        <v>2017</v>
      </c>
      <c r="BP852" s="363" t="s">
        <v>2244</v>
      </c>
      <c r="BQ852" s="363" t="s">
        <v>2245</v>
      </c>
      <c r="BR852" s="363" t="s">
        <v>2508</v>
      </c>
      <c r="BS852" s="363" t="s">
        <v>2509</v>
      </c>
      <c r="BT852" s="364">
        <v>2018</v>
      </c>
      <c r="BU852" s="363" t="s">
        <v>2510</v>
      </c>
      <c r="BV852" s="363" t="s">
        <v>2511</v>
      </c>
      <c r="BW852" s="363" t="s">
        <v>3125</v>
      </c>
      <c r="BX852" s="363" t="s">
        <v>1405</v>
      </c>
      <c r="BY852" s="364">
        <v>2019</v>
      </c>
      <c r="BZ852" s="363" t="s">
        <v>1406</v>
      </c>
      <c r="CA852" s="363" t="s">
        <v>1407</v>
      </c>
      <c r="CB852" s="363" t="s">
        <v>1408</v>
      </c>
      <c r="CC852" s="363" t="s">
        <v>1409</v>
      </c>
      <c r="CD852" s="364">
        <v>2020</v>
      </c>
    </row>
    <row r="853" spans="1:82">
      <c r="A853" s="4" t="s">
        <v>2156</v>
      </c>
      <c r="B853" s="5"/>
      <c r="C853" s="72"/>
      <c r="D853" s="72"/>
      <c r="E853" s="72"/>
      <c r="F853" s="72"/>
      <c r="G853" s="72"/>
      <c r="H853" s="93"/>
      <c r="I853" s="93"/>
      <c r="J853" s="93"/>
      <c r="K853" s="93"/>
      <c r="L853" s="72"/>
      <c r="M853" s="93"/>
      <c r="N853" s="93"/>
      <c r="O853" s="93"/>
      <c r="P853" s="93"/>
      <c r="Q853" s="72"/>
      <c r="R853" s="93"/>
      <c r="S853" s="93"/>
      <c r="T853" s="93"/>
      <c r="U853" s="93"/>
      <c r="V853" s="72"/>
      <c r="W853" s="93"/>
      <c r="X853" s="93"/>
      <c r="Y853" s="93"/>
      <c r="Z853" s="93"/>
      <c r="AA853" s="5">
        <f>SUM(AA737,AA798)</f>
        <v>6793</v>
      </c>
      <c r="AB853" s="93"/>
      <c r="AC853" s="93"/>
      <c r="AD853" s="93"/>
      <c r="AE853" s="93"/>
      <c r="AF853" s="5">
        <f>SUM(AF737,AF798)</f>
        <v>8167</v>
      </c>
      <c r="AG853" s="93"/>
      <c r="AH853" s="93"/>
      <c r="AI853" s="93"/>
      <c r="AJ853" s="93"/>
      <c r="AK853" s="5">
        <f>SUM(AK737,AK798)</f>
        <v>11208</v>
      </c>
      <c r="AL853" s="93"/>
      <c r="AM853" s="93"/>
      <c r="AN853" s="93"/>
      <c r="AO853" s="93"/>
      <c r="AP853" s="5">
        <f>SUM(AP737,AP798)</f>
        <v>10717</v>
      </c>
      <c r="AQ853" s="93"/>
      <c r="AR853" s="93"/>
      <c r="AS853" s="93"/>
      <c r="AT853" s="93"/>
      <c r="AU853" s="5">
        <f>SUM(AU737,AU798)</f>
        <v>5205</v>
      </c>
      <c r="AV853" s="93"/>
      <c r="AW853" s="93"/>
      <c r="AX853" s="93"/>
      <c r="AY853" s="93"/>
      <c r="AZ853" s="5">
        <f>SUM(AZ737,AZ798)</f>
        <v>1257</v>
      </c>
      <c r="BA853" s="72"/>
      <c r="BB853" s="72"/>
      <c r="BC853" s="72"/>
      <c r="BD853" s="72"/>
      <c r="BE853" s="5">
        <f>SUM(BE737,BE798)</f>
        <v>1022</v>
      </c>
      <c r="BF853" s="72"/>
      <c r="BG853" s="72"/>
      <c r="BH853" s="72"/>
      <c r="BI853" s="72"/>
      <c r="BJ853" s="5">
        <f>SUM(BJ737,BJ798)</f>
        <v>876</v>
      </c>
      <c r="BK853" s="72"/>
      <c r="BL853" s="72"/>
      <c r="BM853" s="72"/>
      <c r="BN853" s="72"/>
      <c r="BO853" s="5">
        <f>SUM(BO737,BO798)</f>
        <v>988</v>
      </c>
      <c r="BP853" s="72"/>
      <c r="BQ853" s="72"/>
      <c r="BR853" s="72"/>
      <c r="BS853" s="72"/>
      <c r="BT853" s="72"/>
      <c r="BU853" s="72"/>
      <c r="BV853" s="72"/>
      <c r="BW853" s="72"/>
      <c r="BX853" s="72"/>
      <c r="BY853" s="72"/>
      <c r="BZ853" s="72"/>
      <c r="CA853" s="72"/>
      <c r="CB853" s="72"/>
      <c r="CC853" s="72"/>
      <c r="CD853" s="72"/>
    </row>
    <row r="854" spans="1:82">
      <c r="A854" s="4" t="s">
        <v>2157</v>
      </c>
      <c r="B854" s="5"/>
      <c r="C854" s="72"/>
      <c r="D854" s="72"/>
      <c r="E854" s="72"/>
      <c r="F854" s="72"/>
      <c r="G854" s="72"/>
      <c r="H854" s="93"/>
      <c r="I854" s="93"/>
      <c r="J854" s="93"/>
      <c r="K854" s="93"/>
      <c r="L854" s="72"/>
      <c r="M854" s="93"/>
      <c r="N854" s="93"/>
      <c r="O854" s="93"/>
      <c r="P854" s="93"/>
      <c r="Q854" s="72"/>
      <c r="R854" s="93"/>
      <c r="S854" s="93"/>
      <c r="T854" s="93"/>
      <c r="U854" s="93"/>
      <c r="V854" s="72"/>
      <c r="W854" s="93"/>
      <c r="X854" s="93"/>
      <c r="Y854" s="93"/>
      <c r="Z854" s="93"/>
      <c r="AA854" s="5">
        <f>SUM(AA738,AA799)</f>
        <v>2838</v>
      </c>
      <c r="AB854" s="93"/>
      <c r="AC854" s="93"/>
      <c r="AD854" s="93"/>
      <c r="AE854" s="93"/>
      <c r="AF854" s="5">
        <f>SUM(AF738,AF799)</f>
        <v>3451</v>
      </c>
      <c r="AG854" s="93"/>
      <c r="AH854" s="93"/>
      <c r="AI854" s="93"/>
      <c r="AJ854" s="93"/>
      <c r="AK854" s="5">
        <f>SUM(AK738,AK799)</f>
        <v>5172</v>
      </c>
      <c r="AL854" s="93"/>
      <c r="AM854" s="93"/>
      <c r="AN854" s="93"/>
      <c r="AO854" s="93"/>
      <c r="AP854" s="5">
        <f>SUM(AP738,AP799)</f>
        <v>3660</v>
      </c>
      <c r="AQ854" s="93"/>
      <c r="AR854" s="93"/>
      <c r="AS854" s="93"/>
      <c r="AT854" s="93"/>
      <c r="AU854" s="5">
        <f>SUM(AU738,AU799)</f>
        <v>9693</v>
      </c>
      <c r="AV854" s="93"/>
      <c r="AW854" s="93"/>
      <c r="AX854" s="93"/>
      <c r="AY854" s="93"/>
      <c r="AZ854" s="5">
        <f>SUM(AZ738,AZ799)</f>
        <v>10991</v>
      </c>
      <c r="BA854" s="72"/>
      <c r="BB854" s="72"/>
      <c r="BC854" s="72"/>
      <c r="BD854" s="72"/>
      <c r="BE854" s="5">
        <f>SUM(BE738,BE799)</f>
        <v>8611</v>
      </c>
      <c r="BF854" s="72"/>
      <c r="BG854" s="72"/>
      <c r="BH854" s="72"/>
      <c r="BI854" s="72"/>
      <c r="BJ854" s="5">
        <f>SUM(BJ738,BJ799)</f>
        <v>8145</v>
      </c>
      <c r="BK854" s="72"/>
      <c r="BL854" s="72"/>
      <c r="BM854" s="72"/>
      <c r="BN854" s="72"/>
      <c r="BO854" s="5">
        <f>SUM(BO738,BO799)</f>
        <v>11537</v>
      </c>
      <c r="BP854" s="72"/>
      <c r="BQ854" s="72"/>
      <c r="BR854" s="72"/>
      <c r="BS854" s="72"/>
      <c r="BT854" s="72"/>
      <c r="BU854" s="72"/>
      <c r="BV854" s="72"/>
      <c r="BW854" s="72"/>
      <c r="BX854" s="72"/>
      <c r="BY854" s="72"/>
      <c r="BZ854" s="72"/>
      <c r="CA854" s="72"/>
      <c r="CB854" s="72"/>
      <c r="CC854" s="72"/>
      <c r="CD854" s="72"/>
    </row>
    <row r="855" spans="1:82">
      <c r="A855" s="7" t="s">
        <v>2155</v>
      </c>
      <c r="B855" s="8"/>
      <c r="C855" s="73"/>
      <c r="D855" s="73"/>
      <c r="E855" s="73"/>
      <c r="F855" s="73"/>
      <c r="G855" s="73"/>
      <c r="H855" s="93"/>
      <c r="I855" s="93"/>
      <c r="J855" s="93"/>
      <c r="K855" s="93"/>
      <c r="L855" s="73"/>
      <c r="M855" s="93"/>
      <c r="N855" s="93"/>
      <c r="O855" s="93"/>
      <c r="P855" s="93"/>
      <c r="Q855" s="73"/>
      <c r="R855" s="93"/>
      <c r="S855" s="93"/>
      <c r="T855" s="93"/>
      <c r="U855" s="93"/>
      <c r="V855" s="73"/>
      <c r="W855" s="93"/>
      <c r="X855" s="93"/>
      <c r="Y855" s="93"/>
      <c r="Z855" s="93"/>
      <c r="AA855" s="8">
        <f>SUM(AA739,AA800)</f>
        <v>9631</v>
      </c>
      <c r="AB855" s="93"/>
      <c r="AC855" s="93"/>
      <c r="AD855" s="93"/>
      <c r="AE855" s="93"/>
      <c r="AF855" s="8">
        <f>AF853+AF854</f>
        <v>11618</v>
      </c>
      <c r="AG855" s="93"/>
      <c r="AH855" s="93"/>
      <c r="AI855" s="93"/>
      <c r="AJ855" s="93"/>
      <c r="AK855" s="8">
        <f>AK853+AK854</f>
        <v>16380</v>
      </c>
      <c r="AL855" s="93"/>
      <c r="AM855" s="93"/>
      <c r="AN855" s="93"/>
      <c r="AO855" s="93"/>
      <c r="AP855" s="8">
        <f>AP853+AP854</f>
        <v>14377</v>
      </c>
      <c r="AQ855" s="93"/>
      <c r="AR855" s="93"/>
      <c r="AS855" s="93"/>
      <c r="AT855" s="93"/>
      <c r="AU855" s="8">
        <f t="shared" ref="AU855:CD855" si="394">SUM(AU739,AU800)</f>
        <v>14898</v>
      </c>
      <c r="AV855" s="93"/>
      <c r="AW855" s="93"/>
      <c r="AX855" s="93"/>
      <c r="AY855" s="93"/>
      <c r="AZ855" s="8">
        <f t="shared" si="394"/>
        <v>12248</v>
      </c>
      <c r="BA855" s="93"/>
      <c r="BB855" s="93"/>
      <c r="BC855" s="93"/>
      <c r="BD855" s="93"/>
      <c r="BE855" s="8">
        <f>SUM(BE739,BE800)</f>
        <v>9633</v>
      </c>
      <c r="BF855" s="93"/>
      <c r="BG855" s="93"/>
      <c r="BH855" s="93"/>
      <c r="BI855" s="93"/>
      <c r="BJ855" s="8">
        <f t="shared" si="394"/>
        <v>9021</v>
      </c>
      <c r="BK855" s="93"/>
      <c r="BL855" s="93"/>
      <c r="BM855" s="93"/>
      <c r="BN855" s="93"/>
      <c r="BO855" s="8">
        <f t="shared" ref="BO855" si="395">SUM(BO739,BO800)</f>
        <v>12525</v>
      </c>
      <c r="BP855" s="66">
        <f t="shared" ca="1" si="394"/>
        <v>2540.0501009692371</v>
      </c>
      <c r="BQ855" s="66">
        <f t="shared" ca="1" si="394"/>
        <v>2590.7645188714987</v>
      </c>
      <c r="BR855" s="66">
        <f t="shared" ca="1" si="394"/>
        <v>2585.4044118726929</v>
      </c>
      <c r="BS855" s="66">
        <f t="shared" ca="1" si="394"/>
        <v>2590.0944525435293</v>
      </c>
      <c r="BT855" s="8">
        <f t="shared" ca="1" si="394"/>
        <v>10306.313484256958</v>
      </c>
      <c r="BU855" s="66">
        <f t="shared" ca="1" si="394"/>
        <v>2525.0162322451642</v>
      </c>
      <c r="BV855" s="66">
        <f t="shared" ca="1" si="394"/>
        <v>2513.4873166631132</v>
      </c>
      <c r="BW855" s="66">
        <f t="shared" ca="1" si="394"/>
        <v>2528.2305478107455</v>
      </c>
      <c r="BX855" s="66">
        <f t="shared" ca="1" si="394"/>
        <v>2569.9200683989557</v>
      </c>
      <c r="BY855" s="8">
        <f t="shared" ca="1" si="394"/>
        <v>10136.65416511798</v>
      </c>
      <c r="BZ855" s="66">
        <f t="shared" ca="1" si="394"/>
        <v>2580.1058479112098</v>
      </c>
      <c r="CA855" s="66">
        <f t="shared" ca="1" si="394"/>
        <v>2588.1369404056259</v>
      </c>
      <c r="CB855" s="66">
        <f t="shared" ca="1" si="394"/>
        <v>2622.4801561988425</v>
      </c>
      <c r="CC855" s="66">
        <f t="shared" ca="1" si="394"/>
        <v>2682.4180315821759</v>
      </c>
      <c r="CD855" s="8">
        <f t="shared" ca="1" si="394"/>
        <v>10473.140976097855</v>
      </c>
    </row>
    <row r="856" spans="1:82">
      <c r="A856" s="4"/>
      <c r="B856" s="5"/>
      <c r="C856" s="5"/>
      <c r="D856" s="5"/>
      <c r="E856" s="5"/>
      <c r="F856" s="5"/>
      <c r="G856" s="5"/>
      <c r="H856" s="12"/>
      <c r="I856" s="12"/>
      <c r="J856" s="12"/>
      <c r="K856" s="12"/>
      <c r="L856" s="5"/>
      <c r="M856" s="12"/>
      <c r="N856" s="12"/>
      <c r="O856" s="12"/>
      <c r="P856" s="12"/>
      <c r="Q856" s="5"/>
      <c r="R856" s="12"/>
      <c r="S856" s="12"/>
      <c r="T856" s="12"/>
      <c r="U856" s="12"/>
      <c r="V856" s="5"/>
      <c r="W856" s="12"/>
      <c r="X856" s="12"/>
      <c r="Y856" s="12"/>
      <c r="Z856" s="12"/>
      <c r="AA856" s="5"/>
      <c r="AB856" s="12"/>
      <c r="AC856" s="12"/>
      <c r="AD856" s="12"/>
      <c r="AE856" s="12"/>
      <c r="AF856" s="5"/>
      <c r="AG856" s="12"/>
      <c r="AH856" s="12"/>
      <c r="AI856" s="12"/>
      <c r="AJ856" s="12"/>
      <c r="AK856" s="5"/>
      <c r="AL856" s="12"/>
      <c r="AM856" s="12"/>
      <c r="AN856" s="12"/>
      <c r="AO856" s="12"/>
      <c r="AP856" s="5"/>
      <c r="AQ856" s="12"/>
      <c r="AR856" s="12"/>
      <c r="AS856" s="12"/>
      <c r="AT856" s="12"/>
      <c r="AU856" s="5"/>
      <c r="AV856" s="12"/>
      <c r="AW856" s="12"/>
      <c r="AX856" s="12"/>
      <c r="AY856" s="12"/>
      <c r="AZ856" s="5"/>
      <c r="BA856" s="12"/>
      <c r="BB856" s="12"/>
      <c r="BC856" s="12"/>
      <c r="BD856" s="12"/>
      <c r="BE856" s="5"/>
      <c r="BF856" s="12"/>
      <c r="BG856" s="12"/>
      <c r="BH856" s="12"/>
      <c r="BI856" s="12"/>
      <c r="BJ856" s="5"/>
      <c r="BK856" s="12"/>
      <c r="BL856" s="12"/>
      <c r="BM856" s="12"/>
      <c r="BN856" s="12"/>
      <c r="BO856" s="5"/>
      <c r="BP856" s="12"/>
      <c r="BQ856" s="12"/>
      <c r="BR856" s="12"/>
      <c r="BS856" s="12"/>
      <c r="BT856" s="5"/>
      <c r="BU856" s="12"/>
      <c r="BV856" s="12"/>
      <c r="BW856" s="12"/>
      <c r="BX856" s="12"/>
      <c r="BY856" s="5"/>
      <c r="BZ856" s="12"/>
      <c r="CA856" s="12"/>
      <c r="CB856" s="12"/>
      <c r="CC856" s="12"/>
      <c r="CD856" s="5"/>
    </row>
    <row r="857" spans="1:82">
      <c r="A857" s="4" t="s">
        <v>1897</v>
      </c>
      <c r="B857" s="5"/>
      <c r="C857" s="72"/>
      <c r="D857" s="72"/>
      <c r="E857" s="72"/>
      <c r="F857" s="72"/>
      <c r="G857" s="72"/>
      <c r="H857" s="93"/>
      <c r="I857" s="93"/>
      <c r="J857" s="93"/>
      <c r="K857" s="93"/>
      <c r="L857" s="72"/>
      <c r="M857" s="93"/>
      <c r="N857" s="93"/>
      <c r="O857" s="93"/>
      <c r="P857" s="93"/>
      <c r="Q857" s="72"/>
      <c r="R857" s="93"/>
      <c r="S857" s="93"/>
      <c r="T857" s="93"/>
      <c r="U857" s="93"/>
      <c r="V857" s="72"/>
      <c r="W857" s="93"/>
      <c r="X857" s="93"/>
      <c r="Y857" s="93"/>
      <c r="Z857" s="93"/>
      <c r="AA857" s="5">
        <f t="shared" ref="AA857:AA862" si="396">SUM(AA741,AA802)</f>
        <v>-37</v>
      </c>
      <c r="AB857" s="93"/>
      <c r="AC857" s="93"/>
      <c r="AD857" s="93"/>
      <c r="AE857" s="93"/>
      <c r="AF857" s="5">
        <f t="shared" ref="AF857:AF862" si="397">SUM(AF741,AF802)</f>
        <v>-40</v>
      </c>
      <c r="AG857" s="93"/>
      <c r="AH857" s="93"/>
      <c r="AI857" s="93"/>
      <c r="AJ857" s="93"/>
      <c r="AK857" s="5">
        <f t="shared" ref="AK857:AK862" si="398">SUM(AK741,AK802)</f>
        <v>-73</v>
      </c>
      <c r="AL857" s="93"/>
      <c r="AM857" s="93"/>
      <c r="AN857" s="93"/>
      <c r="AO857" s="93"/>
      <c r="AP857" s="5">
        <f t="shared" ref="AP857:CD857" si="399">SUM(AP741,AP802)</f>
        <v>-94</v>
      </c>
      <c r="AQ857" s="93"/>
      <c r="AR857" s="93"/>
      <c r="AS857" s="93"/>
      <c r="AT857" s="93"/>
      <c r="AU857" s="5">
        <f t="shared" si="399"/>
        <v>-127</v>
      </c>
      <c r="AV857" s="93"/>
      <c r="AW857" s="93"/>
      <c r="AX857" s="93"/>
      <c r="AY857" s="93"/>
      <c r="AZ857" s="5">
        <f t="shared" si="399"/>
        <v>-63</v>
      </c>
      <c r="BA857" s="93"/>
      <c r="BB857" s="93"/>
      <c r="BC857" s="93"/>
      <c r="BD857" s="93"/>
      <c r="BE857" s="5">
        <f t="shared" ref="BE857:BE862" si="400">SUM(BE741,BE802)</f>
        <v>-52</v>
      </c>
      <c r="BF857" s="93"/>
      <c r="BG857" s="93"/>
      <c r="BH857" s="93"/>
      <c r="BI857" s="93"/>
      <c r="BJ857" s="5">
        <f t="shared" si="399"/>
        <v>-50</v>
      </c>
      <c r="BK857" s="93"/>
      <c r="BL857" s="93"/>
      <c r="BM857" s="93"/>
      <c r="BN857" s="93"/>
      <c r="BO857" s="5">
        <f t="shared" ref="BO857" si="401">SUM(BO741,BO802)</f>
        <v>-59</v>
      </c>
      <c r="BP857" s="12">
        <f t="shared" si="399"/>
        <v>-10</v>
      </c>
      <c r="BQ857" s="12">
        <f t="shared" si="399"/>
        <v>-10</v>
      </c>
      <c r="BR857" s="12">
        <f t="shared" si="399"/>
        <v>-10</v>
      </c>
      <c r="BS857" s="12">
        <f t="shared" si="399"/>
        <v>-10</v>
      </c>
      <c r="BT857" s="5">
        <f t="shared" si="399"/>
        <v>-40</v>
      </c>
      <c r="BU857" s="12">
        <f t="shared" si="399"/>
        <v>-10</v>
      </c>
      <c r="BV857" s="12">
        <f t="shared" si="399"/>
        <v>-10</v>
      </c>
      <c r="BW857" s="12">
        <f t="shared" si="399"/>
        <v>-10</v>
      </c>
      <c r="BX857" s="12">
        <f t="shared" si="399"/>
        <v>-10</v>
      </c>
      <c r="BY857" s="5">
        <f t="shared" si="399"/>
        <v>-40</v>
      </c>
      <c r="BZ857" s="12">
        <f t="shared" si="399"/>
        <v>-10</v>
      </c>
      <c r="CA857" s="12">
        <f t="shared" si="399"/>
        <v>-10</v>
      </c>
      <c r="CB857" s="12">
        <f t="shared" si="399"/>
        <v>-10</v>
      </c>
      <c r="CC857" s="12">
        <f t="shared" si="399"/>
        <v>-10</v>
      </c>
      <c r="CD857" s="5">
        <f t="shared" si="399"/>
        <v>-40</v>
      </c>
    </row>
    <row r="858" spans="1:82">
      <c r="A858" s="4" t="s">
        <v>2149</v>
      </c>
      <c r="B858" s="5"/>
      <c r="C858" s="72"/>
      <c r="D858" s="72"/>
      <c r="E858" s="72"/>
      <c r="F858" s="72"/>
      <c r="G858" s="72"/>
      <c r="H858" s="93"/>
      <c r="I858" s="93"/>
      <c r="J858" s="93"/>
      <c r="K858" s="93"/>
      <c r="L858" s="72"/>
      <c r="M858" s="93"/>
      <c r="N858" s="93"/>
      <c r="O858" s="93"/>
      <c r="P858" s="93"/>
      <c r="Q858" s="72"/>
      <c r="R858" s="93"/>
      <c r="S858" s="93"/>
      <c r="T858" s="93"/>
      <c r="U858" s="93"/>
      <c r="V858" s="72"/>
      <c r="W858" s="93"/>
      <c r="X858" s="93"/>
      <c r="Y858" s="93"/>
      <c r="Z858" s="93"/>
      <c r="AA858" s="5">
        <f t="shared" si="396"/>
        <v>-1587</v>
      </c>
      <c r="AB858" s="93"/>
      <c r="AC858" s="93"/>
      <c r="AD858" s="93"/>
      <c r="AE858" s="93"/>
      <c r="AF858" s="5">
        <f t="shared" si="397"/>
        <v>-1786</v>
      </c>
      <c r="AG858" s="93"/>
      <c r="AH858" s="93"/>
      <c r="AI858" s="93"/>
      <c r="AJ858" s="93"/>
      <c r="AK858" s="5">
        <f t="shared" si="398"/>
        <v>-2058</v>
      </c>
      <c r="AL858" s="93"/>
      <c r="AM858" s="93"/>
      <c r="AN858" s="93"/>
      <c r="AO858" s="93"/>
      <c r="AP858" s="5">
        <f t="shared" ref="AP858:CD858" si="402">SUM(AP742,AP803)</f>
        <v>-1900</v>
      </c>
      <c r="AQ858" s="93"/>
      <c r="AR858" s="93"/>
      <c r="AS858" s="93"/>
      <c r="AT858" s="93"/>
      <c r="AU858" s="5">
        <f t="shared" si="402"/>
        <v>-1581</v>
      </c>
      <c r="AV858" s="93"/>
      <c r="AW858" s="93"/>
      <c r="AX858" s="93"/>
      <c r="AY858" s="93"/>
      <c r="AZ858" s="5">
        <f t="shared" si="402"/>
        <v>-1470</v>
      </c>
      <c r="BA858" s="93"/>
      <c r="BB858" s="93"/>
      <c r="BC858" s="93"/>
      <c r="BD858" s="93"/>
      <c r="BE858" s="5">
        <f t="shared" si="400"/>
        <v>-1251</v>
      </c>
      <c r="BF858" s="93"/>
      <c r="BG858" s="93"/>
      <c r="BH858" s="93"/>
      <c r="BI858" s="93"/>
      <c r="BJ858" s="5">
        <f t="shared" si="402"/>
        <v>-1251</v>
      </c>
      <c r="BK858" s="93"/>
      <c r="BL858" s="93"/>
      <c r="BM858" s="93"/>
      <c r="BN858" s="93"/>
      <c r="BO858" s="5">
        <f t="shared" ref="BO858" si="403">SUM(BO742,BO803)</f>
        <v>-1541</v>
      </c>
      <c r="BP858" s="65">
        <f t="shared" si="402"/>
        <v>-357.51744044403506</v>
      </c>
      <c r="BQ858" s="65">
        <f t="shared" si="402"/>
        <v>-355.98401602408006</v>
      </c>
      <c r="BR858" s="65">
        <f t="shared" si="402"/>
        <v>-358.52471514845945</v>
      </c>
      <c r="BS858" s="65">
        <f t="shared" si="402"/>
        <v>-365.84387011649977</v>
      </c>
      <c r="BT858" s="5">
        <f t="shared" si="402"/>
        <v>-1437.8700417330742</v>
      </c>
      <c r="BU858" s="65">
        <f t="shared" si="402"/>
        <v>-380.38658522828098</v>
      </c>
      <c r="BV858" s="65">
        <f t="shared" si="402"/>
        <v>-378.2714484216018</v>
      </c>
      <c r="BW858" s="65">
        <f t="shared" si="402"/>
        <v>-380.84890740231447</v>
      </c>
      <c r="BX858" s="65">
        <f t="shared" si="402"/>
        <v>-389.27914654370193</v>
      </c>
      <c r="BY858" s="5">
        <f t="shared" si="402"/>
        <v>-1528.7860875958993</v>
      </c>
      <c r="BZ858" s="65">
        <f t="shared" si="402"/>
        <v>-404.34655055773987</v>
      </c>
      <c r="CA858" s="65">
        <f t="shared" si="402"/>
        <v>-397.32455869228352</v>
      </c>
      <c r="CB858" s="65">
        <f t="shared" si="402"/>
        <v>-399.9419564991652</v>
      </c>
      <c r="CC858" s="65">
        <f t="shared" si="402"/>
        <v>-409.27659802187753</v>
      </c>
      <c r="CD858" s="5">
        <f t="shared" si="402"/>
        <v>-1610.8896637710661</v>
      </c>
    </row>
    <row r="859" spans="1:82">
      <c r="A859" s="4" t="s">
        <v>2150</v>
      </c>
      <c r="B859" s="5"/>
      <c r="C859" s="72"/>
      <c r="D859" s="72"/>
      <c r="E859" s="72"/>
      <c r="F859" s="72"/>
      <c r="G859" s="72"/>
      <c r="H859" s="93"/>
      <c r="I859" s="93"/>
      <c r="J859" s="93"/>
      <c r="K859" s="93"/>
      <c r="L859" s="72"/>
      <c r="M859" s="93"/>
      <c r="N859" s="93"/>
      <c r="O859" s="93"/>
      <c r="P859" s="93"/>
      <c r="Q859" s="72"/>
      <c r="R859" s="93"/>
      <c r="S859" s="93"/>
      <c r="T859" s="93"/>
      <c r="U859" s="93"/>
      <c r="V859" s="72"/>
      <c r="W859" s="93"/>
      <c r="X859" s="93"/>
      <c r="Y859" s="93"/>
      <c r="Z859" s="93"/>
      <c r="AA859" s="5">
        <f t="shared" si="396"/>
        <v>-4120</v>
      </c>
      <c r="AB859" s="93"/>
      <c r="AC859" s="93"/>
      <c r="AD859" s="93"/>
      <c r="AE859" s="93"/>
      <c r="AF859" s="5">
        <f t="shared" si="397"/>
        <v>-5596</v>
      </c>
      <c r="AG859" s="93"/>
      <c r="AH859" s="93"/>
      <c r="AI859" s="93"/>
      <c r="AJ859" s="93"/>
      <c r="AK859" s="5">
        <f t="shared" si="398"/>
        <v>-8125</v>
      </c>
      <c r="AL859" s="93"/>
      <c r="AM859" s="93"/>
      <c r="AN859" s="93"/>
      <c r="AO859" s="93"/>
      <c r="AP859" s="5">
        <f t="shared" ref="AP859:CD859" si="404">SUM(AP743,AP804)</f>
        <v>-7645</v>
      </c>
      <c r="AQ859" s="93"/>
      <c r="AR859" s="93"/>
      <c r="AS859" s="93"/>
      <c r="AT859" s="93"/>
      <c r="AU859" s="5">
        <f t="shared" si="404"/>
        <v>-8156</v>
      </c>
      <c r="AV859" s="93"/>
      <c r="AW859" s="93"/>
      <c r="AX859" s="93"/>
      <c r="AY859" s="93"/>
      <c r="AZ859" s="5">
        <f t="shared" si="404"/>
        <v>-5906</v>
      </c>
      <c r="BA859" s="93"/>
      <c r="BB859" s="93"/>
      <c r="BC859" s="93"/>
      <c r="BD859" s="93"/>
      <c r="BE859" s="5">
        <f t="shared" si="400"/>
        <v>-4299</v>
      </c>
      <c r="BF859" s="93"/>
      <c r="BG859" s="93"/>
      <c r="BH859" s="93"/>
      <c r="BI859" s="93"/>
      <c r="BJ859" s="5">
        <f t="shared" si="404"/>
        <v>-3743</v>
      </c>
      <c r="BK859" s="93"/>
      <c r="BL859" s="93"/>
      <c r="BM859" s="93"/>
      <c r="BN859" s="93"/>
      <c r="BO859" s="5">
        <f t="shared" ref="BO859" si="405">SUM(BO743,BO804)</f>
        <v>-6138</v>
      </c>
      <c r="BP859" s="12">
        <f t="shared" ca="1" si="404"/>
        <v>-1145.8100807488029</v>
      </c>
      <c r="BQ859" s="12">
        <f t="shared" ca="1" si="404"/>
        <v>-1168.6897489446796</v>
      </c>
      <c r="BR859" s="12">
        <f t="shared" ca="1" si="404"/>
        <v>-1166.2530720687155</v>
      </c>
      <c r="BS859" s="12">
        <f t="shared" ca="1" si="404"/>
        <v>-1168.3170067665246</v>
      </c>
      <c r="BT859" s="5">
        <f t="shared" ca="1" si="404"/>
        <v>-4649.0699085287233</v>
      </c>
      <c r="BU859" s="12">
        <f t="shared" ca="1" si="404"/>
        <v>-1136.257304510324</v>
      </c>
      <c r="BV859" s="12">
        <f t="shared" ca="1" si="404"/>
        <v>-1131.069292498401</v>
      </c>
      <c r="BW859" s="12">
        <f t="shared" ca="1" si="404"/>
        <v>-1137.7037465148355</v>
      </c>
      <c r="BX859" s="12">
        <f t="shared" ca="1" si="404"/>
        <v>-1156.46403077953</v>
      </c>
      <c r="BY859" s="5">
        <f t="shared" ca="1" si="404"/>
        <v>-4561.4943743030908</v>
      </c>
      <c r="BZ859" s="12">
        <f t="shared" ca="1" si="404"/>
        <v>-1161.0476315600445</v>
      </c>
      <c r="CA859" s="12">
        <f t="shared" ca="1" si="404"/>
        <v>-1164.6616231825317</v>
      </c>
      <c r="CB859" s="12">
        <f t="shared" ca="1" si="404"/>
        <v>-1180.1160702894792</v>
      </c>
      <c r="CC859" s="12">
        <f t="shared" ca="1" si="404"/>
        <v>-1207.0881142119792</v>
      </c>
      <c r="CD859" s="5">
        <f t="shared" ca="1" si="404"/>
        <v>-4712.9134392440355</v>
      </c>
    </row>
    <row r="860" spans="1:82">
      <c r="A860" s="4" t="s">
        <v>2158</v>
      </c>
      <c r="B860" s="5"/>
      <c r="C860" s="72"/>
      <c r="D860" s="72"/>
      <c r="E860" s="72"/>
      <c r="F860" s="72"/>
      <c r="G860" s="72"/>
      <c r="H860" s="93"/>
      <c r="I860" s="93"/>
      <c r="J860" s="93"/>
      <c r="K860" s="93"/>
      <c r="L860" s="72"/>
      <c r="M860" s="93"/>
      <c r="N860" s="93"/>
      <c r="O860" s="93"/>
      <c r="P860" s="93"/>
      <c r="Q860" s="72"/>
      <c r="R860" s="93"/>
      <c r="S860" s="93"/>
      <c r="T860" s="93"/>
      <c r="U860" s="93"/>
      <c r="V860" s="72"/>
      <c r="W860" s="93"/>
      <c r="X860" s="93"/>
      <c r="Y860" s="93"/>
      <c r="Z860" s="93"/>
      <c r="AA860" s="5">
        <f t="shared" si="396"/>
        <v>-10</v>
      </c>
      <c r="AB860" s="93"/>
      <c r="AC860" s="93"/>
      <c r="AD860" s="93"/>
      <c r="AE860" s="93"/>
      <c r="AF860" s="5">
        <f t="shared" si="397"/>
        <v>-1</v>
      </c>
      <c r="AG860" s="93"/>
      <c r="AH860" s="93"/>
      <c r="AI860" s="93"/>
      <c r="AJ860" s="93"/>
      <c r="AK860" s="5">
        <f t="shared" si="398"/>
        <v>-1</v>
      </c>
      <c r="AL860" s="93"/>
      <c r="AM860" s="93"/>
      <c r="AN860" s="93"/>
      <c r="AO860" s="93"/>
      <c r="AP860" s="5">
        <f t="shared" ref="AP860:CD860" si="406">SUM(AP744,AP805)</f>
        <v>26</v>
      </c>
      <c r="AQ860" s="93"/>
      <c r="AR860" s="93"/>
      <c r="AS860" s="93"/>
      <c r="AT860" s="93"/>
      <c r="AU860" s="5">
        <f t="shared" si="406"/>
        <v>-93</v>
      </c>
      <c r="AV860" s="93"/>
      <c r="AW860" s="93"/>
      <c r="AX860" s="93"/>
      <c r="AY860" s="93"/>
      <c r="AZ860" s="5">
        <f t="shared" si="406"/>
        <v>-302</v>
      </c>
      <c r="BA860" s="93"/>
      <c r="BB860" s="93"/>
      <c r="BC860" s="93"/>
      <c r="BD860" s="93"/>
      <c r="BE860" s="5">
        <f t="shared" si="400"/>
        <v>-284</v>
      </c>
      <c r="BF860" s="93"/>
      <c r="BG860" s="93"/>
      <c r="BH860" s="93"/>
      <c r="BI860" s="93"/>
      <c r="BJ860" s="5">
        <f t="shared" si="406"/>
        <v>-371</v>
      </c>
      <c r="BK860" s="93"/>
      <c r="BL860" s="93"/>
      <c r="BM860" s="93"/>
      <c r="BN860" s="93"/>
      <c r="BO860" s="5">
        <f t="shared" ref="BO860" si="407">SUM(BO744,BO805)</f>
        <v>-404</v>
      </c>
      <c r="BP860" s="12">
        <f t="shared" si="406"/>
        <v>-102.25</v>
      </c>
      <c r="BQ860" s="12">
        <f t="shared" si="406"/>
        <v>-102.25</v>
      </c>
      <c r="BR860" s="12">
        <f t="shared" si="406"/>
        <v>-102.25</v>
      </c>
      <c r="BS860" s="12">
        <f t="shared" si="406"/>
        <v>-102.25</v>
      </c>
      <c r="BT860" s="5">
        <f t="shared" si="406"/>
        <v>-409</v>
      </c>
      <c r="BU860" s="12">
        <f t="shared" si="406"/>
        <v>-102.25</v>
      </c>
      <c r="BV860" s="12">
        <f t="shared" si="406"/>
        <v>-102.25</v>
      </c>
      <c r="BW860" s="12">
        <f t="shared" si="406"/>
        <v>-102.25</v>
      </c>
      <c r="BX860" s="12">
        <f t="shared" si="406"/>
        <v>-102.25</v>
      </c>
      <c r="BY860" s="5">
        <f t="shared" si="406"/>
        <v>-409</v>
      </c>
      <c r="BZ860" s="12">
        <f t="shared" si="406"/>
        <v>-102.25</v>
      </c>
      <c r="CA860" s="12">
        <f t="shared" si="406"/>
        <v>-102.25</v>
      </c>
      <c r="CB860" s="12">
        <f t="shared" si="406"/>
        <v>-102.25</v>
      </c>
      <c r="CC860" s="12">
        <f t="shared" si="406"/>
        <v>-102.25</v>
      </c>
      <c r="CD860" s="5">
        <f t="shared" si="406"/>
        <v>-409</v>
      </c>
    </row>
    <row r="861" spans="1:82">
      <c r="A861" s="4" t="s">
        <v>2154</v>
      </c>
      <c r="B861" s="5"/>
      <c r="C861" s="72"/>
      <c r="D861" s="72"/>
      <c r="E861" s="72"/>
      <c r="F861" s="72"/>
      <c r="G861" s="72"/>
      <c r="H861" s="93"/>
      <c r="I861" s="93"/>
      <c r="J861" s="93"/>
      <c r="K861" s="93"/>
      <c r="L861" s="72"/>
      <c r="M861" s="93"/>
      <c r="N861" s="93"/>
      <c r="O861" s="93"/>
      <c r="P861" s="93"/>
      <c r="Q861" s="72"/>
      <c r="R861" s="93"/>
      <c r="S861" s="93"/>
      <c r="T861" s="93"/>
      <c r="U861" s="93"/>
      <c r="V861" s="72"/>
      <c r="W861" s="93"/>
      <c r="X861" s="93"/>
      <c r="Y861" s="93"/>
      <c r="Z861" s="93"/>
      <c r="AA861" s="5">
        <f t="shared" si="396"/>
        <v>-1347</v>
      </c>
      <c r="AB861" s="93"/>
      <c r="AC861" s="93"/>
      <c r="AD861" s="93"/>
      <c r="AE861" s="93"/>
      <c r="AF861" s="5">
        <f t="shared" si="397"/>
        <v>-1317</v>
      </c>
      <c r="AG861" s="93"/>
      <c r="AH861" s="93"/>
      <c r="AI861" s="93"/>
      <c r="AJ861" s="93"/>
      <c r="AK861" s="5">
        <f t="shared" si="398"/>
        <v>-1419</v>
      </c>
      <c r="AL861" s="93"/>
      <c r="AM861" s="93"/>
      <c r="AN861" s="93"/>
      <c r="AO861" s="93"/>
      <c r="AP861" s="5">
        <f t="shared" ref="AP861:CD861" si="408">SUM(AP745,AP806)</f>
        <v>-1324</v>
      </c>
      <c r="AQ861" s="93"/>
      <c r="AR861" s="93"/>
      <c r="AS861" s="93"/>
      <c r="AT861" s="93"/>
      <c r="AU861" s="5">
        <f t="shared" si="408"/>
        <v>-1776</v>
      </c>
      <c r="AV861" s="93"/>
      <c r="AW861" s="93"/>
      <c r="AX861" s="93"/>
      <c r="AY861" s="93"/>
      <c r="AZ861" s="5">
        <f t="shared" si="408"/>
        <v>-1880</v>
      </c>
      <c r="BA861" s="93"/>
      <c r="BB861" s="93"/>
      <c r="BC861" s="93"/>
      <c r="BD861" s="93"/>
      <c r="BE861" s="5">
        <f t="shared" si="400"/>
        <v>-1476</v>
      </c>
      <c r="BF861" s="93"/>
      <c r="BG861" s="93"/>
      <c r="BH861" s="93"/>
      <c r="BI861" s="93"/>
      <c r="BJ861" s="5">
        <f t="shared" si="408"/>
        <v>-1458</v>
      </c>
      <c r="BK861" s="93"/>
      <c r="BL861" s="93"/>
      <c r="BM861" s="93"/>
      <c r="BN861" s="93"/>
      <c r="BO861" s="5">
        <f t="shared" ref="BO861" si="409">SUM(BO745,BO806)</f>
        <v>-1985</v>
      </c>
      <c r="BP861" s="12">
        <f t="shared" si="408"/>
        <v>-304.83157466153381</v>
      </c>
      <c r="BQ861" s="12">
        <f t="shared" si="408"/>
        <v>-303.80336800334993</v>
      </c>
      <c r="BR861" s="12">
        <f t="shared" si="408"/>
        <v>-306.042268143201</v>
      </c>
      <c r="BS861" s="12">
        <f t="shared" si="408"/>
        <v>-311.91161910709314</v>
      </c>
      <c r="BT861" s="5">
        <f t="shared" si="408"/>
        <v>-1226.5888299151779</v>
      </c>
      <c r="BU861" s="12">
        <f t="shared" si="408"/>
        <v>-300.8681348737183</v>
      </c>
      <c r="BV861" s="12">
        <f t="shared" si="408"/>
        <v>-299.19515982480482</v>
      </c>
      <c r="BW861" s="12">
        <f t="shared" si="408"/>
        <v>-301.23381025664162</v>
      </c>
      <c r="BX861" s="12">
        <f t="shared" si="408"/>
        <v>-307.90173816342229</v>
      </c>
      <c r="BY861" s="5">
        <f t="shared" si="408"/>
        <v>-1209.1988431185871</v>
      </c>
      <c r="BZ861" s="12">
        <f t="shared" si="408"/>
        <v>-315.40989173852716</v>
      </c>
      <c r="CA861" s="12">
        <f t="shared" si="408"/>
        <v>-309.93239801187758</v>
      </c>
      <c r="CB861" s="12">
        <f t="shared" si="408"/>
        <v>-311.97409506052679</v>
      </c>
      <c r="CC861" s="12">
        <f t="shared" si="408"/>
        <v>-319.25556752031531</v>
      </c>
      <c r="CD861" s="5">
        <f t="shared" si="408"/>
        <v>-1256.5719523312468</v>
      </c>
    </row>
    <row r="862" spans="1:82">
      <c r="A862" s="4" t="s">
        <v>930</v>
      </c>
      <c r="B862" s="5"/>
      <c r="C862" s="72"/>
      <c r="D862" s="72"/>
      <c r="E862" s="72"/>
      <c r="F862" s="72"/>
      <c r="G862" s="72"/>
      <c r="H862" s="93"/>
      <c r="I862" s="93"/>
      <c r="J862" s="93"/>
      <c r="K862" s="93"/>
      <c r="L862" s="72"/>
      <c r="M862" s="93"/>
      <c r="N862" s="93"/>
      <c r="O862" s="93"/>
      <c r="P862" s="93"/>
      <c r="Q862" s="72"/>
      <c r="R862" s="93"/>
      <c r="S862" s="93"/>
      <c r="T862" s="93"/>
      <c r="U862" s="93"/>
      <c r="V862" s="72"/>
      <c r="W862" s="93"/>
      <c r="X862" s="93"/>
      <c r="Y862" s="93"/>
      <c r="Z862" s="93"/>
      <c r="AA862" s="5">
        <f t="shared" si="396"/>
        <v>-72</v>
      </c>
      <c r="AB862" s="93"/>
      <c r="AC862" s="93"/>
      <c r="AD862" s="93"/>
      <c r="AE862" s="93"/>
      <c r="AF862" s="5">
        <f t="shared" si="397"/>
        <v>-43</v>
      </c>
      <c r="AG862" s="93"/>
      <c r="AH862" s="93"/>
      <c r="AI862" s="93"/>
      <c r="AJ862" s="93"/>
      <c r="AK862" s="5">
        <f t="shared" si="398"/>
        <v>0</v>
      </c>
      <c r="AL862" s="93"/>
      <c r="AM862" s="93"/>
      <c r="AN862" s="93"/>
      <c r="AO862" s="93"/>
      <c r="AP862" s="5">
        <f t="shared" ref="AP862:CD862" si="410">SUM(AP746,AP807)</f>
        <v>27</v>
      </c>
      <c r="AQ862" s="93"/>
      <c r="AR862" s="93"/>
      <c r="AS862" s="93"/>
      <c r="AT862" s="93"/>
      <c r="AU862" s="5">
        <f t="shared" si="410"/>
        <v>-37</v>
      </c>
      <c r="AV862" s="93"/>
      <c r="AW862" s="93"/>
      <c r="AX862" s="93"/>
      <c r="AY862" s="93"/>
      <c r="AZ862" s="5">
        <f>SUM(AZ746,AZ807)</f>
        <v>0</v>
      </c>
      <c r="BA862" s="93"/>
      <c r="BB862" s="93"/>
      <c r="BC862" s="93"/>
      <c r="BD862" s="93"/>
      <c r="BE862" s="5">
        <f t="shared" si="400"/>
        <v>-35</v>
      </c>
      <c r="BF862" s="93"/>
      <c r="BG862" s="93"/>
      <c r="BH862" s="93"/>
      <c r="BI862" s="93"/>
      <c r="BJ862" s="5">
        <f t="shared" si="410"/>
        <v>-25</v>
      </c>
      <c r="BK862" s="93"/>
      <c r="BL862" s="93"/>
      <c r="BM862" s="93"/>
      <c r="BN862" s="93"/>
      <c r="BO862" s="5">
        <f t="shared" ref="BO862" si="411">SUM(BO746,BO807)</f>
        <v>-54</v>
      </c>
      <c r="BP862" s="12">
        <f t="shared" si="410"/>
        <v>0</v>
      </c>
      <c r="BQ862" s="12">
        <f t="shared" si="410"/>
        <v>0</v>
      </c>
      <c r="BR862" s="12">
        <f t="shared" si="410"/>
        <v>0</v>
      </c>
      <c r="BS862" s="12">
        <f t="shared" si="410"/>
        <v>0</v>
      </c>
      <c r="BT862" s="5">
        <f t="shared" si="410"/>
        <v>0</v>
      </c>
      <c r="BU862" s="12">
        <f t="shared" si="410"/>
        <v>0</v>
      </c>
      <c r="BV862" s="12">
        <f t="shared" si="410"/>
        <v>0</v>
      </c>
      <c r="BW862" s="12">
        <f t="shared" si="410"/>
        <v>0</v>
      </c>
      <c r="BX862" s="12">
        <f t="shared" si="410"/>
        <v>0</v>
      </c>
      <c r="BY862" s="5">
        <f t="shared" si="410"/>
        <v>0</v>
      </c>
      <c r="BZ862" s="12">
        <f t="shared" si="410"/>
        <v>0</v>
      </c>
      <c r="CA862" s="12">
        <f t="shared" si="410"/>
        <v>0</v>
      </c>
      <c r="CB862" s="12">
        <f t="shared" si="410"/>
        <v>0</v>
      </c>
      <c r="CC862" s="12">
        <f t="shared" si="410"/>
        <v>0</v>
      </c>
      <c r="CD862" s="5">
        <f t="shared" si="410"/>
        <v>0</v>
      </c>
    </row>
    <row r="863" spans="1:82">
      <c r="A863" s="7" t="s">
        <v>2160</v>
      </c>
      <c r="B863" s="8"/>
      <c r="C863" s="73"/>
      <c r="D863" s="73"/>
      <c r="E863" s="73"/>
      <c r="F863" s="73"/>
      <c r="G863" s="73"/>
      <c r="H863" s="93"/>
      <c r="I863" s="93"/>
      <c r="J863" s="93"/>
      <c r="K863" s="93"/>
      <c r="L863" s="73"/>
      <c r="M863" s="93"/>
      <c r="N863" s="93"/>
      <c r="O863" s="93"/>
      <c r="P863" s="93"/>
      <c r="Q863" s="73"/>
      <c r="R863" s="93"/>
      <c r="S863" s="93"/>
      <c r="T863" s="93"/>
      <c r="U863" s="93"/>
      <c r="V863" s="73"/>
      <c r="W863" s="93"/>
      <c r="X863" s="93"/>
      <c r="Y863" s="93"/>
      <c r="Z863" s="93"/>
      <c r="AA863" s="8">
        <f>AA855+SUM(AA857:AA862)</f>
        <v>2458</v>
      </c>
      <c r="AB863" s="93"/>
      <c r="AC863" s="93"/>
      <c r="AD863" s="93"/>
      <c r="AE863" s="93"/>
      <c r="AF863" s="8">
        <f>AF855+SUM(AF857:AF862)</f>
        <v>2835</v>
      </c>
      <c r="AG863" s="93"/>
      <c r="AH863" s="93"/>
      <c r="AI863" s="93"/>
      <c r="AJ863" s="93"/>
      <c r="AK863" s="8">
        <f>AK855+SUM(AK857:AK862)</f>
        <v>4704</v>
      </c>
      <c r="AL863" s="93"/>
      <c r="AM863" s="93"/>
      <c r="AN863" s="93"/>
      <c r="AO863" s="93"/>
      <c r="AP863" s="8">
        <f>AP855+SUM(AP857:AP862)</f>
        <v>3467</v>
      </c>
      <c r="AQ863" s="93"/>
      <c r="AR863" s="93"/>
      <c r="AS863" s="93"/>
      <c r="AT863" s="93"/>
      <c r="AU863" s="8">
        <f t="shared" ref="AU863:CD863" si="412">AU855+SUM(AU857:AU862)</f>
        <v>3128</v>
      </c>
      <c r="AV863" s="93"/>
      <c r="AW863" s="93"/>
      <c r="AX863" s="93"/>
      <c r="AY863" s="93"/>
      <c r="AZ863" s="8">
        <f t="shared" si="412"/>
        <v>2627</v>
      </c>
      <c r="BA863" s="93"/>
      <c r="BB863" s="93"/>
      <c r="BC863" s="93"/>
      <c r="BD863" s="93"/>
      <c r="BE863" s="8">
        <f>BE855+SUM(BE857:BE862)</f>
        <v>2236</v>
      </c>
      <c r="BF863" s="93"/>
      <c r="BG863" s="93"/>
      <c r="BH863" s="93"/>
      <c r="BI863" s="93"/>
      <c r="BJ863" s="8">
        <f t="shared" si="412"/>
        <v>2123</v>
      </c>
      <c r="BK863" s="93"/>
      <c r="BL863" s="93"/>
      <c r="BM863" s="93"/>
      <c r="BN863" s="93"/>
      <c r="BO863" s="8">
        <f t="shared" ref="BO863" si="413">BO855+SUM(BO857:BO862)</f>
        <v>2344</v>
      </c>
      <c r="BP863" s="66">
        <f t="shared" ca="1" si="412"/>
        <v>619.64100511486527</v>
      </c>
      <c r="BQ863" s="66">
        <f t="shared" ca="1" si="412"/>
        <v>650.03738589938894</v>
      </c>
      <c r="BR863" s="66">
        <f t="shared" ca="1" si="412"/>
        <v>642.33435651231684</v>
      </c>
      <c r="BS863" s="66">
        <f t="shared" ca="1" si="412"/>
        <v>631.77195655341166</v>
      </c>
      <c r="BT863" s="8">
        <f t="shared" ca="1" si="412"/>
        <v>2543.7847040799825</v>
      </c>
      <c r="BU863" s="66">
        <f t="shared" ca="1" si="412"/>
        <v>595.25420763284092</v>
      </c>
      <c r="BV863" s="66">
        <f t="shared" ca="1" si="412"/>
        <v>592.70141591830588</v>
      </c>
      <c r="BW863" s="66">
        <f t="shared" ca="1" si="412"/>
        <v>596.19408363695379</v>
      </c>
      <c r="BX863" s="66">
        <f t="shared" ca="1" si="412"/>
        <v>604.02515291230134</v>
      </c>
      <c r="BY863" s="8">
        <f t="shared" ca="1" si="412"/>
        <v>2388.1748601004019</v>
      </c>
      <c r="BZ863" s="66">
        <f t="shared" ca="1" si="412"/>
        <v>587.05177405489826</v>
      </c>
      <c r="CA863" s="66">
        <f t="shared" ca="1" si="412"/>
        <v>603.96836051893297</v>
      </c>
      <c r="CB863" s="66">
        <f t="shared" ca="1" si="412"/>
        <v>618.19803434967116</v>
      </c>
      <c r="CC863" s="66">
        <f t="shared" ca="1" si="412"/>
        <v>634.54775182800381</v>
      </c>
      <c r="CD863" s="8">
        <f t="shared" ca="1" si="412"/>
        <v>2443.7659207515062</v>
      </c>
    </row>
    <row r="864" spans="1:82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  <c r="AH864" s="4"/>
      <c r="AI864" s="4"/>
      <c r="AJ864" s="4"/>
      <c r="AK864" s="4"/>
      <c r="AL864" s="4"/>
      <c r="AM864" s="4"/>
      <c r="AN864" s="4"/>
      <c r="AO864" s="4"/>
      <c r="AP864" s="4"/>
      <c r="AQ864" s="4"/>
      <c r="AR864" s="4"/>
      <c r="AS864" s="4"/>
      <c r="AT864" s="4"/>
      <c r="AU864" s="4"/>
      <c r="AV864" s="4"/>
      <c r="AW864" s="4"/>
      <c r="AX864" s="4"/>
      <c r="AY864" s="4"/>
      <c r="AZ864" s="4"/>
      <c r="BA864" s="4"/>
      <c r="BB864" s="4"/>
      <c r="BC864" s="4"/>
      <c r="BD864" s="4"/>
      <c r="BE864" s="4"/>
      <c r="BF864" s="4"/>
      <c r="BG864" s="4"/>
      <c r="BH864" s="4"/>
      <c r="BI864" s="4"/>
      <c r="BJ864" s="4"/>
      <c r="BK864" s="4"/>
      <c r="BL864" s="4"/>
      <c r="BM864" s="4"/>
      <c r="BN864" s="4"/>
      <c r="BO864" s="4"/>
      <c r="BP864" s="4"/>
      <c r="BQ864" s="4"/>
      <c r="BR864" s="4"/>
      <c r="BS864" s="4"/>
      <c r="BT864" s="4"/>
      <c r="BU864" s="4"/>
      <c r="BV864" s="4"/>
      <c r="BW864" s="4"/>
      <c r="BX864" s="4"/>
      <c r="BY864" s="4"/>
      <c r="BZ864" s="4"/>
      <c r="CA864" s="4"/>
      <c r="CB864" s="4"/>
      <c r="CC864" s="4"/>
      <c r="CD864" s="4"/>
    </row>
    <row r="865" spans="1:82">
      <c r="A865" s="4" t="s">
        <v>2152</v>
      </c>
      <c r="B865" s="5"/>
      <c r="C865" s="72"/>
      <c r="D865" s="72"/>
      <c r="E865" s="72"/>
      <c r="F865" s="72"/>
      <c r="G865" s="72"/>
      <c r="H865" s="93"/>
      <c r="I865" s="93"/>
      <c r="J865" s="93"/>
      <c r="K865" s="93"/>
      <c r="L865" s="72"/>
      <c r="M865" s="93"/>
      <c r="N865" s="93"/>
      <c r="O865" s="93"/>
      <c r="P865" s="93"/>
      <c r="Q865" s="72"/>
      <c r="R865" s="93"/>
      <c r="S865" s="93"/>
      <c r="T865" s="93"/>
      <c r="U865" s="93"/>
      <c r="V865" s="72"/>
      <c r="W865" s="93"/>
      <c r="X865" s="93"/>
      <c r="Y865" s="93"/>
      <c r="Z865" s="93"/>
      <c r="AA865" s="5">
        <f>SUM(AA749,AA810)</f>
        <v>-501</v>
      </c>
      <c r="AB865" s="93"/>
      <c r="AC865" s="93"/>
      <c r="AD865" s="93"/>
      <c r="AE865" s="93"/>
      <c r="AF865" s="5">
        <f>SUM(AF749,AF810)</f>
        <v>-508</v>
      </c>
      <c r="AG865" s="93"/>
      <c r="AH865" s="93"/>
      <c r="AI865" s="93"/>
      <c r="AJ865" s="93"/>
      <c r="AK865" s="5">
        <f>SUM(AK749,AK810)</f>
        <v>-825</v>
      </c>
      <c r="AL865" s="93"/>
      <c r="AM865" s="93"/>
      <c r="AN865" s="93"/>
      <c r="AO865" s="93"/>
      <c r="AP865" s="5">
        <f t="shared" ref="AP865:CD865" si="414">SUM(AP749,AP810)</f>
        <v>-590</v>
      </c>
      <c r="AQ865" s="93"/>
      <c r="AR865" s="93"/>
      <c r="AS865" s="93"/>
      <c r="AT865" s="93"/>
      <c r="AU865" s="5">
        <f t="shared" si="414"/>
        <v>-407</v>
      </c>
      <c r="AV865" s="93"/>
      <c r="AW865" s="93"/>
      <c r="AX865" s="93"/>
      <c r="AY865" s="93"/>
      <c r="AZ865" s="5">
        <f t="shared" si="414"/>
        <v>-666</v>
      </c>
      <c r="BA865" s="93"/>
      <c r="BB865" s="93"/>
      <c r="BC865" s="93"/>
      <c r="BD865" s="93"/>
      <c r="BE865" s="5">
        <f>SUM(BE749,BE810)</f>
        <v>-450</v>
      </c>
      <c r="BF865" s="93"/>
      <c r="BG865" s="93"/>
      <c r="BH865" s="93"/>
      <c r="BI865" s="93"/>
      <c r="BJ865" s="5">
        <f t="shared" si="414"/>
        <v>-436</v>
      </c>
      <c r="BK865" s="93"/>
      <c r="BL865" s="93"/>
      <c r="BM865" s="93"/>
      <c r="BN865" s="93"/>
      <c r="BO865" s="5">
        <f t="shared" ref="BO865" si="415">SUM(BO749,BO810)</f>
        <v>-457</v>
      </c>
      <c r="BP865" s="12">
        <f t="shared" ca="1" si="414"/>
        <v>-123.92820102297303</v>
      </c>
      <c r="BQ865" s="12">
        <f t="shared" ca="1" si="414"/>
        <v>-130.00747717987787</v>
      </c>
      <c r="BR865" s="12">
        <f t="shared" ca="1" si="414"/>
        <v>-128.46687130246337</v>
      </c>
      <c r="BS865" s="12">
        <f t="shared" ca="1" si="414"/>
        <v>-126.35439131068235</v>
      </c>
      <c r="BT865" s="5">
        <f t="shared" ca="1" si="414"/>
        <v>-508.75694081599659</v>
      </c>
      <c r="BU865" s="12">
        <f t="shared" ca="1" si="414"/>
        <v>-119.05084152656819</v>
      </c>
      <c r="BV865" s="12">
        <f t="shared" ca="1" si="414"/>
        <v>-118.54028318366119</v>
      </c>
      <c r="BW865" s="12">
        <f t="shared" ca="1" si="414"/>
        <v>-119.23881672739077</v>
      </c>
      <c r="BX865" s="12">
        <f t="shared" ca="1" si="414"/>
        <v>-120.80503058246028</v>
      </c>
      <c r="BY865" s="5">
        <f t="shared" ca="1" si="414"/>
        <v>-477.63497202008045</v>
      </c>
      <c r="BZ865" s="12">
        <f t="shared" ca="1" si="414"/>
        <v>-117.41035481097965</v>
      </c>
      <c r="CA865" s="12">
        <f t="shared" ca="1" si="414"/>
        <v>-120.79367210378661</v>
      </c>
      <c r="CB865" s="12">
        <f t="shared" ca="1" si="414"/>
        <v>-123.63960686993424</v>
      </c>
      <c r="CC865" s="12">
        <f t="shared" ca="1" si="414"/>
        <v>-126.90955036560077</v>
      </c>
      <c r="CD865" s="5">
        <f t="shared" ca="1" si="414"/>
        <v>-488.75318415030125</v>
      </c>
    </row>
    <row r="866" spans="1:82">
      <c r="A866" s="14" t="s">
        <v>2153</v>
      </c>
      <c r="B866" s="15"/>
      <c r="C866" s="74"/>
      <c r="D866" s="74"/>
      <c r="E866" s="74"/>
      <c r="F866" s="74"/>
      <c r="G866" s="74"/>
      <c r="H866" s="378"/>
      <c r="I866" s="378"/>
      <c r="J866" s="378"/>
      <c r="K866" s="378"/>
      <c r="L866" s="74"/>
      <c r="M866" s="378"/>
      <c r="N866" s="378"/>
      <c r="O866" s="378"/>
      <c r="P866" s="378"/>
      <c r="Q866" s="74"/>
      <c r="R866" s="378"/>
      <c r="S866" s="378"/>
      <c r="T866" s="378"/>
      <c r="U866" s="378"/>
      <c r="V866" s="74"/>
      <c r="W866" s="378"/>
      <c r="X866" s="378"/>
      <c r="Y866" s="378"/>
      <c r="Z866" s="378"/>
      <c r="AA866" s="15">
        <f>SUM(AA863,AA865)</f>
        <v>1957</v>
      </c>
      <c r="AB866" s="378"/>
      <c r="AC866" s="378"/>
      <c r="AD866" s="378"/>
      <c r="AE866" s="378"/>
      <c r="AF866" s="15">
        <f>SUM(AF863,AF865)</f>
        <v>2327</v>
      </c>
      <c r="AG866" s="378"/>
      <c r="AH866" s="378"/>
      <c r="AI866" s="378"/>
      <c r="AJ866" s="378"/>
      <c r="AK866" s="15">
        <f>SUM(AK863,AK865)</f>
        <v>3879</v>
      </c>
      <c r="AL866" s="378"/>
      <c r="AM866" s="378"/>
      <c r="AN866" s="378"/>
      <c r="AO866" s="378"/>
      <c r="AP866" s="15">
        <f>SUM(AP863,AP865)</f>
        <v>2877</v>
      </c>
      <c r="AQ866" s="378"/>
      <c r="AR866" s="378"/>
      <c r="AS866" s="378"/>
      <c r="AT866" s="378"/>
      <c r="AU866" s="15">
        <f t="shared" ref="AU866:CD866" si="416">SUM(AU863,AU865)</f>
        <v>2721</v>
      </c>
      <c r="AV866" s="378"/>
      <c r="AW866" s="378"/>
      <c r="AX866" s="378"/>
      <c r="AY866" s="378"/>
      <c r="AZ866" s="15">
        <f t="shared" si="416"/>
        <v>1961</v>
      </c>
      <c r="BA866" s="378"/>
      <c r="BB866" s="378"/>
      <c r="BC866" s="378"/>
      <c r="BD866" s="378"/>
      <c r="BE866" s="15">
        <f>SUM(BE863,BE865)</f>
        <v>1786</v>
      </c>
      <c r="BF866" s="378"/>
      <c r="BG866" s="378"/>
      <c r="BH866" s="378"/>
      <c r="BI866" s="378"/>
      <c r="BJ866" s="15">
        <f t="shared" si="416"/>
        <v>1687</v>
      </c>
      <c r="BK866" s="378"/>
      <c r="BL866" s="378"/>
      <c r="BM866" s="378"/>
      <c r="BN866" s="378"/>
      <c r="BO866" s="15">
        <f t="shared" ref="BO866" si="417">SUM(BO863,BO865)</f>
        <v>1887</v>
      </c>
      <c r="BP866" s="67">
        <f t="shared" ca="1" si="416"/>
        <v>495.71280409189222</v>
      </c>
      <c r="BQ866" s="67">
        <f t="shared" ca="1" si="416"/>
        <v>520.02990871951101</v>
      </c>
      <c r="BR866" s="67">
        <f t="shared" ca="1" si="416"/>
        <v>513.8674852098535</v>
      </c>
      <c r="BS866" s="67">
        <f t="shared" ca="1" si="416"/>
        <v>505.41756524272932</v>
      </c>
      <c r="BT866" s="15">
        <f t="shared" ca="1" si="416"/>
        <v>2035.0277632639859</v>
      </c>
      <c r="BU866" s="67">
        <f t="shared" ca="1" si="416"/>
        <v>476.20336610627271</v>
      </c>
      <c r="BV866" s="67">
        <f t="shared" ca="1" si="416"/>
        <v>474.1611327346447</v>
      </c>
      <c r="BW866" s="67">
        <f t="shared" ca="1" si="416"/>
        <v>476.95526690956302</v>
      </c>
      <c r="BX866" s="67">
        <f t="shared" ca="1" si="416"/>
        <v>483.22012232984105</v>
      </c>
      <c r="BY866" s="15">
        <f t="shared" ca="1" si="416"/>
        <v>1910.5398880803214</v>
      </c>
      <c r="BZ866" s="67">
        <f t="shared" ca="1" si="416"/>
        <v>469.64141924391862</v>
      </c>
      <c r="CA866" s="67">
        <f t="shared" ca="1" si="416"/>
        <v>483.17468841514636</v>
      </c>
      <c r="CB866" s="67">
        <f t="shared" ca="1" si="416"/>
        <v>494.55842747973691</v>
      </c>
      <c r="CC866" s="67">
        <f t="shared" ca="1" si="416"/>
        <v>507.63820146240306</v>
      </c>
      <c r="CD866" s="15">
        <f t="shared" ca="1" si="416"/>
        <v>1955.012736601205</v>
      </c>
    </row>
    <row r="867" spans="1:82">
      <c r="A867" s="75"/>
      <c r="B867" s="76"/>
      <c r="C867" s="76"/>
      <c r="D867" s="76"/>
      <c r="E867" s="76"/>
      <c r="F867" s="76"/>
      <c r="G867" s="76"/>
      <c r="H867" s="76"/>
      <c r="I867" s="76"/>
      <c r="J867" s="76"/>
      <c r="K867" s="76"/>
      <c r="L867" s="76"/>
      <c r="M867" s="76"/>
      <c r="N867" s="76"/>
      <c r="O867" s="76"/>
      <c r="P867" s="76"/>
      <c r="Q867" s="76"/>
      <c r="R867" s="76"/>
      <c r="S867" s="76"/>
      <c r="T867" s="76"/>
      <c r="U867" s="76"/>
      <c r="V867" s="76"/>
      <c r="W867" s="76"/>
      <c r="X867" s="76"/>
      <c r="Y867" s="76"/>
      <c r="Z867" s="76"/>
      <c r="AA867" s="76"/>
      <c r="AB867" s="76"/>
      <c r="AC867" s="76"/>
      <c r="AD867" s="76"/>
      <c r="AE867" s="76"/>
      <c r="AF867" s="76"/>
      <c r="AG867" s="76"/>
      <c r="AH867" s="76"/>
      <c r="AI867" s="76"/>
      <c r="AJ867" s="76"/>
      <c r="AK867" s="76"/>
      <c r="AL867" s="76"/>
      <c r="AM867" s="76"/>
      <c r="AN867" s="76"/>
      <c r="AO867" s="76"/>
      <c r="AP867" s="76"/>
      <c r="AQ867" s="76"/>
      <c r="AR867" s="76"/>
      <c r="AS867" s="76"/>
      <c r="AT867" s="76"/>
      <c r="AU867" s="425"/>
      <c r="AV867" s="76"/>
      <c r="AW867" s="76"/>
      <c r="AX867" s="76"/>
      <c r="AY867" s="76"/>
      <c r="AZ867" s="425"/>
      <c r="BA867" s="76"/>
      <c r="BB867" s="76"/>
      <c r="BC867" s="76"/>
      <c r="BD867" s="76"/>
      <c r="BE867" s="425"/>
      <c r="BF867" s="76"/>
      <c r="BG867" s="76"/>
      <c r="BH867" s="76"/>
      <c r="BI867" s="76"/>
      <c r="BJ867" s="425"/>
      <c r="BK867" s="76"/>
      <c r="BL867" s="76"/>
      <c r="BM867" s="76"/>
      <c r="BN867" s="76"/>
      <c r="BO867" s="425"/>
      <c r="BP867" s="425"/>
      <c r="BQ867" s="425"/>
      <c r="BR867" s="425"/>
      <c r="BS867" s="425"/>
      <c r="BT867" s="425"/>
      <c r="BU867" s="425"/>
      <c r="BV867" s="425"/>
      <c r="BW867" s="425"/>
      <c r="BX867" s="425"/>
      <c r="BY867" s="425"/>
      <c r="BZ867" s="425"/>
      <c r="CA867" s="425"/>
      <c r="CB867" s="425"/>
      <c r="CC867" s="425"/>
      <c r="CD867" s="425"/>
    </row>
    <row r="868" spans="1:82">
      <c r="A868" s="4" t="s">
        <v>1083</v>
      </c>
      <c r="B868" s="13"/>
      <c r="C868" s="93"/>
      <c r="D868" s="93"/>
      <c r="E868" s="93"/>
      <c r="F868" s="93"/>
      <c r="G868" s="93"/>
      <c r="H868" s="93"/>
      <c r="I868" s="93"/>
      <c r="J868" s="93"/>
      <c r="K868" s="93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  <c r="X868" s="93"/>
      <c r="Y868" s="93"/>
      <c r="Z868" s="93"/>
      <c r="AA868" s="5">
        <f t="shared" ref="AA868:AF868" si="418">SUM(AA752,AA813)</f>
        <v>498</v>
      </c>
      <c r="AB868" s="5">
        <f t="shared" si="418"/>
        <v>0</v>
      </c>
      <c r="AC868" s="5">
        <f t="shared" si="418"/>
        <v>0</v>
      </c>
      <c r="AD868" s="5">
        <f t="shared" si="418"/>
        <v>0</v>
      </c>
      <c r="AE868" s="5">
        <f t="shared" si="418"/>
        <v>0</v>
      </c>
      <c r="AF868" s="5">
        <f t="shared" si="418"/>
        <v>773</v>
      </c>
      <c r="AG868" s="93"/>
      <c r="AH868" s="93"/>
      <c r="AI868" s="93"/>
      <c r="AJ868" s="93"/>
      <c r="AK868" s="5">
        <f>SUM(AK752,AK813)</f>
        <v>789</v>
      </c>
      <c r="AL868" s="93"/>
      <c r="AM868" s="93"/>
      <c r="AN868" s="93"/>
      <c r="AO868" s="93"/>
      <c r="AP868" s="5">
        <f t="shared" ref="AP868:CD868" si="419">SUM(AP752,AP813)</f>
        <v>768</v>
      </c>
      <c r="AQ868" s="93"/>
      <c r="AR868" s="93"/>
      <c r="AS868" s="93"/>
      <c r="AT868" s="93"/>
      <c r="AU868" s="5">
        <f t="shared" si="419"/>
        <v>-10</v>
      </c>
      <c r="AV868" s="93"/>
      <c r="AW868" s="93"/>
      <c r="AX868" s="93"/>
      <c r="AY868" s="93"/>
      <c r="AZ868" s="5">
        <f t="shared" si="419"/>
        <v>721</v>
      </c>
      <c r="BA868" s="93"/>
      <c r="BB868" s="93"/>
      <c r="BC868" s="93"/>
      <c r="BD868" s="93"/>
      <c r="BE868" s="5">
        <f>SUM(BE752,BE813)</f>
        <v>-97</v>
      </c>
      <c r="BF868" s="93"/>
      <c r="BG868" s="93"/>
      <c r="BH868" s="93"/>
      <c r="BI868" s="93"/>
      <c r="BJ868" s="5">
        <f t="shared" si="419"/>
        <v>-824</v>
      </c>
      <c r="BK868" s="93"/>
      <c r="BL868" s="93"/>
      <c r="BM868" s="93"/>
      <c r="BN868" s="93"/>
      <c r="BO868" s="5">
        <f t="shared" ref="BO868" si="420">SUM(BO752,BO813)</f>
        <v>-805</v>
      </c>
      <c r="BP868" s="107">
        <f t="shared" ca="1" si="419"/>
        <v>60.65800492101215</v>
      </c>
      <c r="BQ868" s="107">
        <f t="shared" ca="1" si="419"/>
        <v>31.307621708354475</v>
      </c>
      <c r="BR868" s="107">
        <f t="shared" ca="1" si="419"/>
        <v>26.472976229069445</v>
      </c>
      <c r="BS868" s="107">
        <f t="shared" ca="1" si="419"/>
        <v>36.742746376256605</v>
      </c>
      <c r="BT868" s="5">
        <f t="shared" ca="1" si="419"/>
        <v>155.18134923469268</v>
      </c>
      <c r="BU868" s="107">
        <f t="shared" ca="1" si="419"/>
        <v>84.800725551188634</v>
      </c>
      <c r="BV868" s="107">
        <f t="shared" ca="1" si="419"/>
        <v>94.290012360087189</v>
      </c>
      <c r="BW868" s="107">
        <f t="shared" ca="1" si="419"/>
        <v>82.494242160006422</v>
      </c>
      <c r="BX868" s="107">
        <f t="shared" ca="1" si="419"/>
        <v>76.803221763020986</v>
      </c>
      <c r="BY868" s="5">
        <f t="shared" ca="1" si="419"/>
        <v>338.38820183430323</v>
      </c>
      <c r="BZ868" s="107">
        <f t="shared" ca="1" si="419"/>
        <v>471.04172012903342</v>
      </c>
      <c r="CA868" s="107">
        <f t="shared" ca="1" si="419"/>
        <v>451.18080123793249</v>
      </c>
      <c r="CB868" s="107">
        <f t="shared" ca="1" si="419"/>
        <v>429.34156566202591</v>
      </c>
      <c r="CC868" s="107">
        <f t="shared" ca="1" si="419"/>
        <v>415.34687850512472</v>
      </c>
      <c r="CD868" s="5">
        <f t="shared" ca="1" si="419"/>
        <v>1766.9109655341165</v>
      </c>
    </row>
    <row r="869" spans="1:82">
      <c r="A869" s="14" t="s">
        <v>3126</v>
      </c>
      <c r="B869" s="15"/>
      <c r="C869" s="74"/>
      <c r="D869" s="378"/>
      <c r="E869" s="378"/>
      <c r="F869" s="378"/>
      <c r="G869" s="378"/>
      <c r="H869" s="378"/>
      <c r="I869" s="378"/>
      <c r="J869" s="378"/>
      <c r="K869" s="378"/>
      <c r="L869" s="378"/>
      <c r="M869" s="378"/>
      <c r="N869" s="378"/>
      <c r="O869" s="378"/>
      <c r="P869" s="378"/>
      <c r="Q869" s="378"/>
      <c r="R869" s="378"/>
      <c r="S869" s="378"/>
      <c r="T869" s="378"/>
      <c r="U869" s="378"/>
      <c r="V869" s="378"/>
      <c r="W869" s="378"/>
      <c r="X869" s="378"/>
      <c r="Y869" s="378"/>
      <c r="Z869" s="378"/>
      <c r="AA869" s="15">
        <f>AA866+AA868</f>
        <v>2455</v>
      </c>
      <c r="AB869" s="378"/>
      <c r="AC869" s="378"/>
      <c r="AD869" s="378"/>
      <c r="AE869" s="378"/>
      <c r="AF869" s="15">
        <f>AF866+AF868</f>
        <v>3100</v>
      </c>
      <c r="AG869" s="378"/>
      <c r="AH869" s="378"/>
      <c r="AI869" s="378"/>
      <c r="AJ869" s="378"/>
      <c r="AK869" s="15">
        <f>AK866+AK868</f>
        <v>4668</v>
      </c>
      <c r="AL869" s="378"/>
      <c r="AM869" s="378"/>
      <c r="AN869" s="378"/>
      <c r="AO869" s="378"/>
      <c r="AP869" s="15">
        <f>AP866+AP868</f>
        <v>3645</v>
      </c>
      <c r="AQ869" s="378"/>
      <c r="AR869" s="378"/>
      <c r="AS869" s="378"/>
      <c r="AT869" s="378"/>
      <c r="AU869" s="15">
        <f t="shared" ref="AU869:CD869" si="421">AU866+AU868</f>
        <v>2711</v>
      </c>
      <c r="AV869" s="378"/>
      <c r="AW869" s="378"/>
      <c r="AX869" s="378"/>
      <c r="AY869" s="378"/>
      <c r="AZ869" s="15">
        <f t="shared" si="421"/>
        <v>2682</v>
      </c>
      <c r="BA869" s="378"/>
      <c r="BB869" s="378"/>
      <c r="BC869" s="378"/>
      <c r="BD869" s="378"/>
      <c r="BE869" s="15">
        <f>BE866+BE868</f>
        <v>1689</v>
      </c>
      <c r="BF869" s="378"/>
      <c r="BG869" s="378"/>
      <c r="BH869" s="378"/>
      <c r="BI869" s="378"/>
      <c r="BJ869" s="15">
        <f t="shared" si="421"/>
        <v>863</v>
      </c>
      <c r="BK869" s="378"/>
      <c r="BL869" s="378"/>
      <c r="BM869" s="378"/>
      <c r="BN869" s="378"/>
      <c r="BO869" s="15">
        <f t="shared" ref="BO869" si="422">BO866+BO868</f>
        <v>1082</v>
      </c>
      <c r="BP869" s="16">
        <f t="shared" ca="1" si="421"/>
        <v>556.37080901290437</v>
      </c>
      <c r="BQ869" s="16">
        <f t="shared" ca="1" si="421"/>
        <v>551.33753042786543</v>
      </c>
      <c r="BR869" s="16">
        <f t="shared" ca="1" si="421"/>
        <v>540.34046143892294</v>
      </c>
      <c r="BS869" s="16">
        <f t="shared" ca="1" si="421"/>
        <v>542.16031161898593</v>
      </c>
      <c r="BT869" s="15">
        <f t="shared" ca="1" si="421"/>
        <v>2190.2091124986787</v>
      </c>
      <c r="BU869" s="16">
        <f t="shared" ca="1" si="421"/>
        <v>561.00409165746134</v>
      </c>
      <c r="BV869" s="16">
        <f t="shared" ca="1" si="421"/>
        <v>568.45114509473183</v>
      </c>
      <c r="BW869" s="16">
        <f t="shared" ca="1" si="421"/>
        <v>559.44950906956944</v>
      </c>
      <c r="BX869" s="16">
        <f t="shared" ca="1" si="421"/>
        <v>560.02334409286209</v>
      </c>
      <c r="BY869" s="15">
        <f t="shared" ca="1" si="421"/>
        <v>2248.9280899146247</v>
      </c>
      <c r="BZ869" s="16">
        <f t="shared" ca="1" si="421"/>
        <v>940.68313937295204</v>
      </c>
      <c r="CA869" s="16">
        <f t="shared" ca="1" si="421"/>
        <v>934.35548965307885</v>
      </c>
      <c r="CB869" s="16">
        <f t="shared" ca="1" si="421"/>
        <v>923.89999314176282</v>
      </c>
      <c r="CC869" s="16">
        <f t="shared" ca="1" si="421"/>
        <v>922.98507996752778</v>
      </c>
      <c r="CD869" s="15">
        <f t="shared" ca="1" si="421"/>
        <v>3721.9237021353215</v>
      </c>
    </row>
    <row r="870" spans="1:82">
      <c r="A870" s="5"/>
      <c r="B870" s="5"/>
      <c r="C870" s="5"/>
      <c r="D870" s="5"/>
      <c r="E870" s="5"/>
      <c r="F870" s="5"/>
      <c r="G870" s="5"/>
      <c r="H870" s="76"/>
      <c r="I870" s="76"/>
      <c r="J870" s="76"/>
      <c r="K870" s="76"/>
      <c r="L870" s="5"/>
      <c r="M870" s="76"/>
      <c r="N870" s="76"/>
      <c r="O870" s="76"/>
      <c r="P870" s="76"/>
      <c r="Q870" s="5"/>
      <c r="R870" s="76"/>
      <c r="S870" s="76"/>
      <c r="T870" s="76"/>
      <c r="U870" s="76"/>
      <c r="V870" s="5"/>
      <c r="W870" s="76"/>
      <c r="X870" s="76"/>
      <c r="Y870" s="76"/>
      <c r="Z870" s="76"/>
      <c r="AA870" s="5"/>
      <c r="AB870" s="76"/>
      <c r="AC870" s="76"/>
      <c r="AD870" s="76"/>
      <c r="AE870" s="76"/>
      <c r="AF870" s="5"/>
      <c r="AG870" s="76"/>
      <c r="AH870" s="76"/>
      <c r="AI870" s="76"/>
      <c r="AJ870" s="76"/>
      <c r="AK870" s="5"/>
      <c r="AL870" s="76"/>
      <c r="AM870" s="76"/>
      <c r="AN870" s="76"/>
      <c r="AO870" s="76"/>
      <c r="AP870" s="266"/>
      <c r="AQ870" s="76"/>
      <c r="AR870" s="76"/>
      <c r="AS870" s="76"/>
      <c r="AT870" s="76"/>
      <c r="AU870" s="266"/>
      <c r="AV870" s="76"/>
      <c r="AW870" s="76"/>
      <c r="AX870" s="76"/>
      <c r="AY870" s="76"/>
      <c r="AZ870" s="266"/>
      <c r="BA870" s="76"/>
      <c r="BB870" s="76"/>
      <c r="BC870" s="76"/>
      <c r="BD870" s="76"/>
      <c r="BE870" s="266"/>
      <c r="BF870" s="76"/>
      <c r="BG870" s="76"/>
      <c r="BH870" s="76"/>
      <c r="BI870" s="76"/>
      <c r="BJ870" s="266"/>
      <c r="BK870" s="76"/>
      <c r="BL870" s="76"/>
      <c r="BM870" s="76"/>
      <c r="BN870" s="76"/>
      <c r="BO870" s="266"/>
      <c r="BP870" s="266"/>
      <c r="BQ870" s="266"/>
      <c r="BR870" s="266"/>
      <c r="BS870" s="266"/>
      <c r="BT870" s="266"/>
      <c r="BU870" s="266"/>
      <c r="BV870" s="266"/>
      <c r="BW870" s="266"/>
      <c r="BX870" s="266"/>
      <c r="BY870" s="266"/>
      <c r="BZ870" s="266"/>
      <c r="CA870" s="266"/>
      <c r="CB870" s="266"/>
      <c r="CC870" s="266"/>
      <c r="CD870" s="266"/>
    </row>
    <row r="871" spans="1:82">
      <c r="A871" s="39" t="s">
        <v>196</v>
      </c>
      <c r="B871" s="11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</row>
    <row r="872" spans="1:82">
      <c r="A872" s="11"/>
      <c r="B872" s="11" t="s">
        <v>932</v>
      </c>
      <c r="C872" s="5">
        <f>'Production - Oil'!C103</f>
        <v>158</v>
      </c>
      <c r="D872" s="5">
        <f>'Production - Oil'!D103</f>
        <v>199</v>
      </c>
      <c r="E872" s="5">
        <f>'Production - Oil'!E103</f>
        <v>446</v>
      </c>
      <c r="F872" s="5">
        <f>'Production - Oil'!F103</f>
        <v>987</v>
      </c>
      <c r="G872" s="5">
        <f>'Production - Oil'!G103</f>
        <v>1072</v>
      </c>
      <c r="H872" s="93"/>
      <c r="I872" s="93"/>
      <c r="J872" s="93"/>
      <c r="K872" s="93"/>
      <c r="L872" s="5">
        <f>'Production - Oil'!L103</f>
        <v>1047</v>
      </c>
      <c r="M872" s="93"/>
      <c r="N872" s="93"/>
      <c r="O872" s="93"/>
      <c r="P872" s="93"/>
      <c r="Q872" s="5">
        <f>'Production - Oil'!Q103</f>
        <v>1033</v>
      </c>
      <c r="R872" s="93"/>
      <c r="S872" s="93"/>
      <c r="T872" s="93"/>
      <c r="U872" s="93"/>
      <c r="V872" s="5">
        <f>'Production - Oil'!V103</f>
        <v>1046</v>
      </c>
      <c r="W872" s="93"/>
      <c r="X872" s="93"/>
      <c r="Y872" s="93"/>
      <c r="Z872" s="93"/>
      <c r="AA872" s="5">
        <f>'Production - Oil'!AA103</f>
        <v>1034</v>
      </c>
      <c r="AB872" s="93"/>
      <c r="AC872" s="93"/>
      <c r="AD872" s="93"/>
      <c r="AE872" s="93"/>
      <c r="AF872" s="5">
        <f>'Production - Oil'!AF103</f>
        <v>1047</v>
      </c>
      <c r="AG872" s="93"/>
      <c r="AH872" s="93"/>
      <c r="AI872" s="93"/>
      <c r="AJ872" s="93"/>
      <c r="AK872" s="5">
        <f>'Production - Oil'!AK103</f>
        <v>1075</v>
      </c>
      <c r="AL872" s="93"/>
      <c r="AM872" s="93"/>
      <c r="AN872" s="93"/>
      <c r="AO872" s="93"/>
      <c r="AP872" s="5">
        <f>'Production - Oil'!AP103</f>
        <v>1080</v>
      </c>
      <c r="AQ872" s="93"/>
      <c r="AR872" s="93"/>
      <c r="AS872" s="93"/>
      <c r="AT872" s="93"/>
      <c r="AU872" s="5">
        <f>'Production - Oil'!AU103</f>
        <v>1069</v>
      </c>
      <c r="AV872" s="93"/>
      <c r="AW872" s="93"/>
      <c r="AX872" s="93"/>
      <c r="AY872" s="93"/>
      <c r="AZ872" s="5">
        <f>'Production - Oil'!AZ103</f>
        <v>919</v>
      </c>
      <c r="BA872" s="93"/>
      <c r="BB872" s="93"/>
      <c r="BC872" s="93"/>
      <c r="BD872" s="93"/>
      <c r="BE872" s="5">
        <f>'Production - Oil'!BE103</f>
        <v>910</v>
      </c>
      <c r="BF872" s="93"/>
      <c r="BG872" s="93"/>
      <c r="BH872" s="93"/>
      <c r="BI872" s="93"/>
      <c r="BJ872" s="5">
        <f>'Production - Oil'!BJ103</f>
        <v>945</v>
      </c>
      <c r="BK872" s="93"/>
      <c r="BL872" s="93"/>
      <c r="BM872" s="93"/>
      <c r="BN872" s="93"/>
      <c r="BO872" s="5">
        <f>'Production - Oil'!BO103</f>
        <v>1008</v>
      </c>
      <c r="BP872" s="12">
        <f>'Production - Oil'!BP103</f>
        <v>894.54934250000019</v>
      </c>
      <c r="BQ872" s="12">
        <f>'Production - Oil'!BQ103</f>
        <v>894.54934250000019</v>
      </c>
      <c r="BR872" s="12">
        <f>'Production - Oil'!BR103</f>
        <v>894.54934250000019</v>
      </c>
      <c r="BS872" s="12">
        <f>'Production - Oil'!BS103</f>
        <v>894.54934250000019</v>
      </c>
      <c r="BT872" s="5">
        <f>'Production - Oil'!BT103</f>
        <v>894.54934250000019</v>
      </c>
      <c r="BU872" s="12">
        <f>'Production - Oil'!BU103</f>
        <v>908.602665</v>
      </c>
      <c r="BV872" s="12">
        <f>'Production - Oil'!BV103</f>
        <v>908.602665</v>
      </c>
      <c r="BW872" s="12">
        <f>'Production - Oil'!BW103</f>
        <v>908.602665</v>
      </c>
      <c r="BX872" s="12">
        <f>'Production - Oil'!BX103</f>
        <v>908.602665</v>
      </c>
      <c r="BY872" s="5">
        <f>'Production - Oil'!BY103</f>
        <v>908.602665</v>
      </c>
      <c r="BZ872" s="12">
        <f>'Production - Oil'!BZ103</f>
        <v>919.80802250000022</v>
      </c>
      <c r="CA872" s="12">
        <f>'Production - Oil'!CA103</f>
        <v>919.80802250000022</v>
      </c>
      <c r="CB872" s="12">
        <f>'Production - Oil'!CB103</f>
        <v>919.80802250000022</v>
      </c>
      <c r="CC872" s="12">
        <f>'Production - Oil'!CC103</f>
        <v>919.80802250000022</v>
      </c>
      <c r="CD872" s="5">
        <f>'Production - Oil'!CD103</f>
        <v>919.80802250000022</v>
      </c>
    </row>
    <row r="873" spans="1:82">
      <c r="A873" s="11"/>
      <c r="B873" s="11" t="s">
        <v>933</v>
      </c>
      <c r="C873" s="5">
        <f>'Production - Gas'!C103</f>
        <v>109</v>
      </c>
      <c r="D873" s="5">
        <f>'Production - Gas'!D103</f>
        <v>132</v>
      </c>
      <c r="E873" s="5">
        <f>'Production - Gas'!E103</f>
        <v>240</v>
      </c>
      <c r="F873" s="5">
        <f>'Production - Gas'!F103</f>
        <v>562</v>
      </c>
      <c r="G873" s="5">
        <f>'Production - Gas'!G103</f>
        <v>553.05999999999995</v>
      </c>
      <c r="H873" s="93"/>
      <c r="I873" s="93"/>
      <c r="J873" s="93"/>
      <c r="K873" s="93"/>
      <c r="L873" s="5">
        <f>'Production - Gas'!L103</f>
        <v>589</v>
      </c>
      <c r="M873" s="93"/>
      <c r="N873" s="93"/>
      <c r="O873" s="93"/>
      <c r="P873" s="93"/>
      <c r="Q873" s="5">
        <f>'Production - Gas'!Q103</f>
        <v>492</v>
      </c>
      <c r="R873" s="93"/>
      <c r="S873" s="93"/>
      <c r="T873" s="93"/>
      <c r="U873" s="93"/>
      <c r="V873" s="5">
        <f>'Production - Gas'!V103</f>
        <v>603</v>
      </c>
      <c r="W873" s="93"/>
      <c r="X873" s="93"/>
      <c r="Y873" s="93"/>
      <c r="Z873" s="93"/>
      <c r="AA873" s="5">
        <f>'Production - Gas'!AA103</f>
        <v>643</v>
      </c>
      <c r="AB873" s="93"/>
      <c r="AC873" s="93"/>
      <c r="AD873" s="93"/>
      <c r="AE873" s="93"/>
      <c r="AF873" s="5">
        <f>'Production - Gas'!AF103</f>
        <v>670</v>
      </c>
      <c r="AG873" s="93"/>
      <c r="AH873" s="93"/>
      <c r="AI873" s="93"/>
      <c r="AJ873" s="93"/>
      <c r="AK873" s="5">
        <f>'Production - Gas'!AK103</f>
        <v>733</v>
      </c>
      <c r="AL873" s="93"/>
      <c r="AM873" s="93"/>
      <c r="AN873" s="93"/>
      <c r="AO873" s="93"/>
      <c r="AP873" s="5">
        <f>'Production - Gas'!AP103</f>
        <v>806</v>
      </c>
      <c r="AQ873" s="93"/>
      <c r="AR873" s="93"/>
      <c r="AS873" s="93"/>
      <c r="AT873" s="93"/>
      <c r="AU873" s="5">
        <f>'Production - Gas'!AU103</f>
        <v>823</v>
      </c>
      <c r="AV873" s="93"/>
      <c r="AW873" s="93"/>
      <c r="AX873" s="93"/>
      <c r="AY873" s="93"/>
      <c r="AZ873" s="5">
        <f>'Production - Gas'!AZ103</f>
        <v>1112</v>
      </c>
      <c r="BA873" s="93"/>
      <c r="BB873" s="93"/>
      <c r="BC873" s="93"/>
      <c r="BD873" s="93"/>
      <c r="BE873" s="5">
        <f>'Production - Gas'!BE103</f>
        <v>1216</v>
      </c>
      <c r="BF873" s="93"/>
      <c r="BG873" s="93"/>
      <c r="BH873" s="93"/>
      <c r="BI873" s="93"/>
      <c r="BJ873" s="5">
        <f>'Production - Gas'!BJ103</f>
        <v>1294</v>
      </c>
      <c r="BK873" s="93"/>
      <c r="BL873" s="93"/>
      <c r="BM873" s="93"/>
      <c r="BN873" s="93"/>
      <c r="BO873" s="5">
        <f>'Production - Gas'!BO103</f>
        <v>1308</v>
      </c>
      <c r="BP873" s="12">
        <f>'Production - Gas'!BP103</f>
        <v>1499.6012158914721</v>
      </c>
      <c r="BQ873" s="12">
        <f>'Production - Gas'!BQ103</f>
        <v>1398.0030281992513</v>
      </c>
      <c r="BR873" s="12">
        <f>'Production - Gas'!BR103</f>
        <v>1372.975332143244</v>
      </c>
      <c r="BS873" s="12">
        <f>'Production - Gas'!BS103</f>
        <v>1506.566223766034</v>
      </c>
      <c r="BT873" s="5">
        <f>'Production - Gas'!BT103</f>
        <v>1444.2864500000005</v>
      </c>
      <c r="BU873" s="12">
        <f>'Production - Gas'!BU103</f>
        <v>1654.1921009218258</v>
      </c>
      <c r="BV873" s="12">
        <f>'Production - Gas'!BV103</f>
        <v>1540.0249803948082</v>
      </c>
      <c r="BW873" s="12">
        <f>'Production - Gas'!BW103</f>
        <v>1511.9010536098572</v>
      </c>
      <c r="BX873" s="12">
        <f>'Production - Gas'!BX103</f>
        <v>1662.0187650735093</v>
      </c>
      <c r="BY873" s="5">
        <f>'Production - Gas'!BY103</f>
        <v>1592.0342250000003</v>
      </c>
      <c r="BZ873" s="12">
        <f>'Production - Gas'!BZ103</f>
        <v>1766.9120812149822</v>
      </c>
      <c r="CA873" s="12">
        <f>'Production - Gas'!CA103</f>
        <v>1643.5803203460314</v>
      </c>
      <c r="CB873" s="12">
        <f>'Production - Gas'!CB103</f>
        <v>1613.1987761945643</v>
      </c>
      <c r="CC873" s="12">
        <f>'Production - Gas'!CC103</f>
        <v>1775.3670222444225</v>
      </c>
      <c r="CD873" s="5">
        <f>'Production - Gas'!CD103</f>
        <v>1699.7645500000001</v>
      </c>
    </row>
    <row r="874" spans="1:82">
      <c r="A874" s="11"/>
      <c r="B874" s="39" t="s">
        <v>896</v>
      </c>
      <c r="C874" s="8">
        <f>C872+C873/5.8</f>
        <v>176.79310344827587</v>
      </c>
      <c r="D874" s="8">
        <f>D872+D873/5.8</f>
        <v>221.75862068965517</v>
      </c>
      <c r="E874" s="8">
        <f>E872+E873/5.8</f>
        <v>487.37931034482756</v>
      </c>
      <c r="F874" s="8">
        <f>F872+F873/5.8</f>
        <v>1083.8965517241379</v>
      </c>
      <c r="G874" s="8">
        <f>G872+G873/5.8</f>
        <v>1167.3551724137931</v>
      </c>
      <c r="H874" s="93"/>
      <c r="I874" s="93"/>
      <c r="J874" s="93"/>
      <c r="K874" s="93"/>
      <c r="L874" s="8">
        <f>L872+L873/5.8</f>
        <v>1148.5517241379309</v>
      </c>
      <c r="M874" s="93"/>
      <c r="N874" s="93"/>
      <c r="O874" s="93"/>
      <c r="P874" s="93"/>
      <c r="Q874" s="8">
        <f>Q872+Q873/5.8</f>
        <v>1117.8275862068965</v>
      </c>
      <c r="R874" s="93"/>
      <c r="S874" s="93"/>
      <c r="T874" s="93"/>
      <c r="U874" s="93"/>
      <c r="V874" s="8">
        <f>V872+V873/5.8</f>
        <v>1149.9655172413793</v>
      </c>
      <c r="W874" s="93"/>
      <c r="X874" s="93"/>
      <c r="Y874" s="93"/>
      <c r="Z874" s="93"/>
      <c r="AA874" s="8">
        <f>AA872+AA873/5.8</f>
        <v>1144.8620689655172</v>
      </c>
      <c r="AB874" s="93"/>
      <c r="AC874" s="93"/>
      <c r="AD874" s="93"/>
      <c r="AE874" s="93"/>
      <c r="AF874" s="8">
        <f>AF872+AF873/5.8</f>
        <v>1162.5172413793102</v>
      </c>
      <c r="AG874" s="93"/>
      <c r="AH874" s="93"/>
      <c r="AI874" s="93"/>
      <c r="AJ874" s="93"/>
      <c r="AK874" s="8">
        <f>AK872+AK873/5.8</f>
        <v>1201.3793103448277</v>
      </c>
      <c r="AL874" s="93"/>
      <c r="AM874" s="93"/>
      <c r="AN874" s="93"/>
      <c r="AO874" s="93"/>
      <c r="AP874" s="8">
        <f>AP872+AP873/5.8</f>
        <v>1218.9655172413793</v>
      </c>
      <c r="AQ874" s="93"/>
      <c r="AR874" s="93"/>
      <c r="AS874" s="93"/>
      <c r="AT874" s="93"/>
      <c r="AU874" s="8">
        <f>AU872+AU873/5.8</f>
        <v>1210.8965517241379</v>
      </c>
      <c r="AV874" s="93"/>
      <c r="AW874" s="93"/>
      <c r="AX874" s="93"/>
      <c r="AY874" s="93"/>
      <c r="AZ874" s="8">
        <f>AZ872+AZ873/5.8</f>
        <v>1110.7241379310344</v>
      </c>
      <c r="BA874" s="93"/>
      <c r="BB874" s="93"/>
      <c r="BC874" s="93"/>
      <c r="BD874" s="93"/>
      <c r="BE874" s="8">
        <f t="shared" ref="BE874:BJ874" si="423">BE872+BE873/5.8</f>
        <v>1119.655172413793</v>
      </c>
      <c r="BF874" s="93"/>
      <c r="BG874" s="93"/>
      <c r="BH874" s="93"/>
      <c r="BI874" s="93"/>
      <c r="BJ874" s="8">
        <f t="shared" si="423"/>
        <v>1168.1034482758621</v>
      </c>
      <c r="BK874" s="93"/>
      <c r="BL874" s="93"/>
      <c r="BM874" s="93"/>
      <c r="BN874" s="93"/>
      <c r="BO874" s="8">
        <f t="shared" ref="BO874:CD874" si="424">BO872+BO873/5.8</f>
        <v>1233.5172413793102</v>
      </c>
      <c r="BP874" s="66">
        <f t="shared" si="424"/>
        <v>1153.1012762743919</v>
      </c>
      <c r="BQ874" s="66">
        <f t="shared" si="424"/>
        <v>1135.58434736194</v>
      </c>
      <c r="BR874" s="66">
        <f t="shared" si="424"/>
        <v>1131.2692273522837</v>
      </c>
      <c r="BS874" s="66">
        <f t="shared" si="424"/>
        <v>1154.3021397010407</v>
      </c>
      <c r="BT874" s="8">
        <f t="shared" si="424"/>
        <v>1143.564247672414</v>
      </c>
      <c r="BU874" s="66">
        <f t="shared" si="424"/>
        <v>1193.808199641694</v>
      </c>
      <c r="BV874" s="66">
        <f t="shared" si="424"/>
        <v>1174.1242133439325</v>
      </c>
      <c r="BW874" s="66">
        <f t="shared" si="424"/>
        <v>1169.2752604499753</v>
      </c>
      <c r="BX874" s="66">
        <f t="shared" si="424"/>
        <v>1195.1576244954326</v>
      </c>
      <c r="BY874" s="8">
        <f t="shared" si="424"/>
        <v>1183.0913244827586</v>
      </c>
      <c r="BZ874" s="66">
        <f t="shared" si="424"/>
        <v>1224.4480365025834</v>
      </c>
      <c r="CA874" s="66">
        <f t="shared" si="424"/>
        <v>1203.1839398010402</v>
      </c>
      <c r="CB874" s="66">
        <f t="shared" si="424"/>
        <v>1197.9457425335459</v>
      </c>
      <c r="CC874" s="66">
        <f t="shared" si="424"/>
        <v>1225.9057849559351</v>
      </c>
      <c r="CD874" s="8">
        <f t="shared" si="424"/>
        <v>1212.8708759482761</v>
      </c>
    </row>
    <row r="875" spans="1:82">
      <c r="A875" s="11"/>
      <c r="B875" s="11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</row>
    <row r="876" spans="1:82">
      <c r="A876" s="39" t="s">
        <v>199</v>
      </c>
      <c r="B876" s="11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</row>
    <row r="877" spans="1:82">
      <c r="A877" s="11"/>
      <c r="B877" s="11" t="s">
        <v>197</v>
      </c>
      <c r="C877" s="72"/>
      <c r="D877" s="72"/>
      <c r="E877" s="72"/>
      <c r="F877" s="104">
        <f>'Key assumptions'!F25</f>
        <v>34.51</v>
      </c>
      <c r="G877" s="104">
        <f>'Key assumptions'!G25</f>
        <v>47.56</v>
      </c>
      <c r="H877" s="93"/>
      <c r="I877" s="93"/>
      <c r="J877" s="93"/>
      <c r="K877" s="93"/>
      <c r="L877" s="104">
        <f>'Key assumptions'!L25</f>
        <v>59.54</v>
      </c>
      <c r="M877" s="93"/>
      <c r="N877" s="93"/>
      <c r="O877" s="93"/>
      <c r="P877" s="93"/>
      <c r="Q877" s="104">
        <f>'Key assumptions'!Q25</f>
        <v>69.56</v>
      </c>
      <c r="R877" s="93"/>
      <c r="S877" s="93"/>
      <c r="T877" s="93"/>
      <c r="U877" s="93"/>
      <c r="V877" s="104">
        <f>'Key assumptions'!V25</f>
        <v>91.05</v>
      </c>
      <c r="W877" s="93"/>
      <c r="X877" s="93"/>
      <c r="Y877" s="93"/>
      <c r="Z877" s="93"/>
      <c r="AA877" s="104">
        <f>'Key assumptions'!AA25</f>
        <v>57.29</v>
      </c>
      <c r="AB877" s="93"/>
      <c r="AC877" s="93"/>
      <c r="AD877" s="93"/>
      <c r="AE877" s="93"/>
      <c r="AF877" s="104">
        <f>'Key assumptions'!AF25</f>
        <v>75.23</v>
      </c>
      <c r="AG877" s="93"/>
      <c r="AH877" s="93"/>
      <c r="AI877" s="93"/>
      <c r="AJ877" s="93"/>
      <c r="AK877" s="104">
        <f>'Key assumptions'!AK25</f>
        <v>105.13</v>
      </c>
      <c r="AL877" s="93"/>
      <c r="AM877" s="93"/>
      <c r="AN877" s="93"/>
      <c r="AO877" s="93"/>
      <c r="AP877" s="104">
        <f>'Key assumptions'!AP25</f>
        <v>105.8725</v>
      </c>
      <c r="AQ877" s="93"/>
      <c r="AR877" s="93"/>
      <c r="AS877" s="93"/>
      <c r="AT877" s="93"/>
      <c r="AU877" s="104">
        <f>'Key assumptions'!AU25</f>
        <v>104.2775</v>
      </c>
      <c r="AV877" s="93"/>
      <c r="AW877" s="93"/>
      <c r="AX877" s="93"/>
      <c r="AY877" s="93"/>
      <c r="AZ877" s="104">
        <f>'Key assumptions'!AZ25</f>
        <v>91.702500000000001</v>
      </c>
      <c r="BA877" s="93"/>
      <c r="BB877" s="93"/>
      <c r="BC877" s="93"/>
      <c r="BD877" s="93"/>
      <c r="BE877" s="104">
        <f>'Key assumptions'!BE25</f>
        <v>46.202499999999993</v>
      </c>
      <c r="BF877" s="93"/>
      <c r="BG877" s="93"/>
      <c r="BH877" s="93"/>
      <c r="BI877" s="93"/>
      <c r="BJ877" s="104">
        <f>'Key assumptions'!BJ25</f>
        <v>41.984999999999999</v>
      </c>
      <c r="BK877" s="93"/>
      <c r="BL877" s="93"/>
      <c r="BM877" s="93"/>
      <c r="BN877" s="93"/>
      <c r="BO877" s="104">
        <f>'Key assumptions'!BO25</f>
        <v>51.8825</v>
      </c>
      <c r="BP877" s="114">
        <f>'Key assumptions'!BP25</f>
        <v>62.570938555470903</v>
      </c>
      <c r="BQ877" s="114">
        <f>'Key assumptions'!BQ25</f>
        <v>63.174946220562603</v>
      </c>
      <c r="BR877" s="114">
        <f>'Key assumptions'!BR25</f>
        <v>61.947446772150428</v>
      </c>
      <c r="BS877" s="114">
        <f>'Key assumptions'!BS25</f>
        <v>60.924530565140266</v>
      </c>
      <c r="BT877" s="104">
        <f>'Key assumptions'!BT25</f>
        <v>62.154465528331052</v>
      </c>
      <c r="BU877" s="114">
        <f>'Key assumptions'!BU25</f>
        <v>58.693599027946703</v>
      </c>
      <c r="BV877" s="114">
        <f>'Key assumptions'!BV25</f>
        <v>58.693599027946703</v>
      </c>
      <c r="BW877" s="114">
        <f>'Key assumptions'!BW25</f>
        <v>58.693599027946703</v>
      </c>
      <c r="BX877" s="114">
        <f>'Key assumptions'!BX25</f>
        <v>58.693599027946703</v>
      </c>
      <c r="BY877" s="104">
        <f>'Key assumptions'!BY25</f>
        <v>58.693599027946703</v>
      </c>
      <c r="BZ877" s="114">
        <f>'Key assumptions'!BZ25</f>
        <v>59.073346349255459</v>
      </c>
      <c r="CA877" s="114">
        <f>'Key assumptions'!CA25</f>
        <v>59.455445159519257</v>
      </c>
      <c r="CB877" s="114">
        <f>'Key assumptions'!CB25</f>
        <v>59.839910019736948</v>
      </c>
      <c r="CC877" s="114">
        <f>'Key assumptions'!CC25</f>
        <v>60.226755581072652</v>
      </c>
      <c r="CD877" s="104">
        <f>'Key assumptions'!CD25</f>
        <v>59.648864277396086</v>
      </c>
    </row>
    <row r="878" spans="1:82">
      <c r="A878" s="11"/>
      <c r="B878" s="11" t="s">
        <v>198</v>
      </c>
      <c r="C878" s="72"/>
      <c r="D878" s="72"/>
      <c r="E878" s="72"/>
      <c r="F878" s="104">
        <f>'Key assumptions'!F32</f>
        <v>2.74</v>
      </c>
      <c r="G878" s="104">
        <f>'Key assumptions'!G32</f>
        <v>3.46</v>
      </c>
      <c r="H878" s="93"/>
      <c r="I878" s="93"/>
      <c r="J878" s="93"/>
      <c r="K878" s="93"/>
      <c r="L878" s="104">
        <f>'Key assumptions'!L32</f>
        <v>3.7</v>
      </c>
      <c r="M878" s="93"/>
      <c r="N878" s="93"/>
      <c r="O878" s="93"/>
      <c r="P878" s="93"/>
      <c r="Q878" s="104">
        <f>'Key assumptions'!Q32</f>
        <v>3.71</v>
      </c>
      <c r="R878" s="93"/>
      <c r="S878" s="93"/>
      <c r="T878" s="93"/>
      <c r="U878" s="93"/>
      <c r="V878" s="104">
        <f>'Key assumptions'!V32</f>
        <v>5.19</v>
      </c>
      <c r="W878" s="93"/>
      <c r="X878" s="93"/>
      <c r="Y878" s="93"/>
      <c r="Z878" s="93"/>
      <c r="AA878" s="104">
        <f>'Key assumptions'!AA32</f>
        <v>3.14</v>
      </c>
      <c r="AB878" s="93"/>
      <c r="AC878" s="93"/>
      <c r="AD878" s="93"/>
      <c r="AE878" s="93"/>
      <c r="AF878" s="104">
        <f>'Key assumptions'!AF32</f>
        <v>3.86</v>
      </c>
      <c r="AG878" s="93"/>
      <c r="AH878" s="93"/>
      <c r="AI878" s="93"/>
      <c r="AJ878" s="93"/>
      <c r="AK878" s="104">
        <f>'Key assumptions'!AK32</f>
        <v>4.9775</v>
      </c>
      <c r="AL878" s="93"/>
      <c r="AM878" s="93"/>
      <c r="AN878" s="93"/>
      <c r="AO878" s="93"/>
      <c r="AP878" s="104">
        <f>'Key assumptions'!AP32</f>
        <v>5.33</v>
      </c>
      <c r="AQ878" s="93"/>
      <c r="AR878" s="93"/>
      <c r="AS878" s="93"/>
      <c r="AT878" s="93"/>
      <c r="AU878" s="104">
        <f>'Key assumptions'!AU32</f>
        <v>5.9725000000000001</v>
      </c>
      <c r="AV878" s="93"/>
      <c r="AW878" s="93"/>
      <c r="AX878" s="93"/>
      <c r="AY878" s="93"/>
      <c r="AZ878" s="104">
        <f>'Key assumptions'!AZ32</f>
        <v>6.3524999999999991</v>
      </c>
      <c r="BA878" s="93"/>
      <c r="BB878" s="93"/>
      <c r="BC878" s="93"/>
      <c r="BD878" s="93"/>
      <c r="BE878" s="104">
        <f>'Key assumptions'!BE32</f>
        <v>4.2450000000000001</v>
      </c>
      <c r="BF878" s="93"/>
      <c r="BG878" s="93"/>
      <c r="BH878" s="93"/>
      <c r="BI878" s="93"/>
      <c r="BJ878" s="104">
        <f>'Key assumptions'!BJ32</f>
        <v>3.1850000000000001</v>
      </c>
      <c r="BK878" s="93"/>
      <c r="BL878" s="93"/>
      <c r="BM878" s="93"/>
      <c r="BN878" s="93"/>
      <c r="BO878" s="104">
        <f>'Key assumptions'!BO32</f>
        <v>3.4649999999999999</v>
      </c>
      <c r="BP878" s="114">
        <f>'Key assumptions'!BP32</f>
        <v>3.5280681943281262</v>
      </c>
      <c r="BQ878" s="114">
        <f>'Key assumptions'!BQ32</f>
        <v>3.8179688704990125</v>
      </c>
      <c r="BR878" s="114">
        <f>'Key assumptions'!BR32</f>
        <v>3.9407618168367149</v>
      </c>
      <c r="BS878" s="114">
        <f>'Key assumptions'!BS32</f>
        <v>3.928267780961336</v>
      </c>
      <c r="BT878" s="104">
        <f>'Key assumptions'!BT32</f>
        <v>3.8037666656562972</v>
      </c>
      <c r="BU878" s="114">
        <f>'Key assumptions'!BU32</f>
        <v>3.8831721202236427</v>
      </c>
      <c r="BV878" s="114">
        <f>'Key assumptions'!BV32</f>
        <v>3.8179688704990125</v>
      </c>
      <c r="BW878" s="114">
        <f>'Key assumptions'!BW32</f>
        <v>3.7732636483824247</v>
      </c>
      <c r="BX878" s="114">
        <f>'Key assumptions'!BX32</f>
        <v>3.7732636483824247</v>
      </c>
      <c r="BY878" s="104">
        <f>'Key assumptions'!BY32</f>
        <v>3.8119170718718762</v>
      </c>
      <c r="BZ878" s="114">
        <f>'Key assumptions'!BZ32</f>
        <v>3.7732636483824247</v>
      </c>
      <c r="CA878" s="114">
        <f>'Key assumptions'!CA32</f>
        <v>3.7808733343204537</v>
      </c>
      <c r="CB878" s="114">
        <f>'Key assumptions'!CB32</f>
        <v>3.7961398272463005</v>
      </c>
      <c r="CC878" s="114">
        <f>'Key assumptions'!CC32</f>
        <v>3.8115008540568729</v>
      </c>
      <c r="CD878" s="104">
        <f>'Key assumptions'!CD32</f>
        <v>3.7904444160015132</v>
      </c>
    </row>
    <row r="879" spans="1:82">
      <c r="A879" s="11"/>
      <c r="B879" s="39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</row>
    <row r="880" spans="1:82">
      <c r="A880" s="11" t="s">
        <v>200</v>
      </c>
      <c r="B880" s="11"/>
      <c r="C880" s="72"/>
      <c r="D880" s="72"/>
      <c r="E880" s="72"/>
      <c r="F880" s="115">
        <f>SUMPRODUCT(F872:F873,F877:F878)*365/1000</f>
        <v>12994.456249999997</v>
      </c>
      <c r="G880" s="115">
        <f>SUMPRODUCT(G872:G873,G877:G878)*365/1000</f>
        <v>19307.736273999999</v>
      </c>
      <c r="H880" s="93"/>
      <c r="I880" s="93"/>
      <c r="J880" s="93"/>
      <c r="K880" s="93"/>
      <c r="L880" s="115">
        <f>SUMPRODUCT(L872:L873,L877:L878)*365/1000</f>
        <v>23548.9532</v>
      </c>
      <c r="M880" s="93"/>
      <c r="N880" s="93"/>
      <c r="O880" s="93"/>
      <c r="P880" s="93"/>
      <c r="Q880" s="115">
        <f>SUMPRODUCT(Q872:Q873,Q877:Q878)*365/1000</f>
        <v>26893.491999999998</v>
      </c>
      <c r="R880" s="93"/>
      <c r="S880" s="93"/>
      <c r="T880" s="93"/>
      <c r="U880" s="93"/>
      <c r="V880" s="115">
        <f>SUMPRODUCT(V872:V873,V877:V878)*365/1000</f>
        <v>35904.272550000002</v>
      </c>
      <c r="W880" s="93"/>
      <c r="X880" s="93"/>
      <c r="Y880" s="93"/>
      <c r="Z880" s="93"/>
      <c r="AA880" s="115">
        <f>SUMPRODUCT(AA872:AA873,AA877:AA878)*365/1000</f>
        <v>22358.761200000001</v>
      </c>
      <c r="AB880" s="93"/>
      <c r="AC880" s="93"/>
      <c r="AD880" s="93"/>
      <c r="AE880" s="93"/>
      <c r="AF880" s="115">
        <f>SUMPRODUCT(AF872:AF873,AF877:AF878)*365/1000</f>
        <v>29693.483649999998</v>
      </c>
      <c r="AG880" s="93"/>
      <c r="AH880" s="93"/>
      <c r="AI880" s="93"/>
      <c r="AJ880" s="93"/>
      <c r="AK880" s="115">
        <f>SUMPRODUCT(AK872:AK873,AK877:AK878)*365/1000</f>
        <v>42582.088987500007</v>
      </c>
      <c r="AL880" s="93"/>
      <c r="AM880" s="93"/>
      <c r="AN880" s="93"/>
      <c r="AO880" s="93"/>
      <c r="AP880" s="115">
        <f>SUMPRODUCT(AP872:AP873,AP877:AP878)*365/1000</f>
        <v>43302.972200000004</v>
      </c>
      <c r="AQ880" s="93"/>
      <c r="AR880" s="93"/>
      <c r="AS880" s="93"/>
      <c r="AT880" s="93"/>
      <c r="AU880" s="115">
        <f>SUMPRODUCT(AU872:AU873,AU877:AU878)*365/1000</f>
        <v>42481.625475000001</v>
      </c>
      <c r="AV880" s="93"/>
      <c r="AW880" s="93"/>
      <c r="AX880" s="93"/>
      <c r="AY880" s="93"/>
      <c r="AZ880" s="115">
        <f>SUMPRODUCT(AZ872:AZ873,AZ877:AZ878)*365/1000</f>
        <v>33338.580787500003</v>
      </c>
      <c r="BA880" s="93"/>
      <c r="BB880" s="93"/>
      <c r="BC880" s="93"/>
      <c r="BD880" s="93"/>
      <c r="BE880" s="115">
        <f>SUMPRODUCT(BE872:BE873,BE877:BE878)*365/1000</f>
        <v>17230.261174999996</v>
      </c>
      <c r="BF880" s="93"/>
      <c r="BG880" s="93"/>
      <c r="BH880" s="93"/>
      <c r="BI880" s="93"/>
      <c r="BJ880" s="115">
        <f>SUMPRODUCT(BJ872:BJ873,BJ877:BJ878)*365/1000</f>
        <v>15985.983474999999</v>
      </c>
      <c r="BK880" s="93"/>
      <c r="BL880" s="93"/>
      <c r="BM880" s="93"/>
      <c r="BN880" s="93"/>
      <c r="BO880" s="115">
        <f>SUMPRODUCT(BO872:BO873,BO877:BO878)*365/1000</f>
        <v>20742.869699999999</v>
      </c>
      <c r="BP880" s="65">
        <f>SUMPRODUCT(BP872:BP873,BP877:BP878)*90/1000</f>
        <v>5513.7138568530199</v>
      </c>
      <c r="BQ880" s="65">
        <f>SUMPRODUCT(BQ872:BQ873,BQ877:BQ878)*91/1000</f>
        <v>5628.4081168410767</v>
      </c>
      <c r="BR880" s="65">
        <f>SUMPRODUCT(BR872:BR873,BR877:BR878)*92/1000</f>
        <v>5595.9567220433746</v>
      </c>
      <c r="BS880" s="65">
        <f>SUMPRODUCT(BS872:BS873,BS877:BS878)*92/1000</f>
        <v>5558.4738770602326</v>
      </c>
      <c r="BT880" s="115">
        <f>SUM(BP880:BS880)</f>
        <v>22296.552572797707</v>
      </c>
      <c r="BU880" s="65">
        <f>SUMPRODUCT(BU872:BU873,BU877:BU878)*90/1000</f>
        <v>5377.7405828724841</v>
      </c>
      <c r="BV880" s="65">
        <f>SUMPRODUCT(BV872:BV873,BV877:BV878)*91/1000</f>
        <v>5388.0124416456538</v>
      </c>
      <c r="BW880" s="65">
        <f>SUMPRODUCT(BW872:BW873,BW877:BW878)*92/1000</f>
        <v>5431.1244838309276</v>
      </c>
      <c r="BX880" s="65">
        <f>SUMPRODUCT(BX872:BX873,BX877:BX878)*92/1000</f>
        <v>5483.2363845661894</v>
      </c>
      <c r="BY880" s="115">
        <f>SUM(BU880:BX880)</f>
        <v>21680.113892915255</v>
      </c>
      <c r="BZ880" s="65">
        <f>SUMPRODUCT(BZ872:BZ873,BZ877:BZ878)*90/1000</f>
        <v>5490.2846712512255</v>
      </c>
      <c r="CA880" s="65">
        <f>SUMPRODUCT(CA872:CA873,CA877:CA878)*91/1000</f>
        <v>5542.0605644990765</v>
      </c>
      <c r="CB880" s="65">
        <f>SUMPRODUCT(CB872:CB873,CB877:CB878)*92/1000</f>
        <v>5627.1944831376622</v>
      </c>
      <c r="CC880" s="65">
        <f>SUMPRODUCT(CC872:CC873,CC877:CC878)*92/1000</f>
        <v>5719.0756604233011</v>
      </c>
      <c r="CD880" s="115">
        <f>SUM(BZ880:CC880)</f>
        <v>22378.615379311268</v>
      </c>
    </row>
    <row r="881" spans="1:83">
      <c r="A881" s="11" t="s">
        <v>550</v>
      </c>
      <c r="B881" s="11"/>
      <c r="C881" s="72"/>
      <c r="D881" s="72"/>
      <c r="E881" s="72"/>
      <c r="F881" s="72"/>
      <c r="G881" s="72"/>
      <c r="H881" s="93"/>
      <c r="I881" s="93"/>
      <c r="J881" s="93"/>
      <c r="K881" s="93"/>
      <c r="L881" s="72"/>
      <c r="M881" s="93"/>
      <c r="N881" s="93"/>
      <c r="O881" s="93"/>
      <c r="P881" s="93"/>
      <c r="Q881" s="72"/>
      <c r="R881" s="93"/>
      <c r="S881" s="93"/>
      <c r="T881" s="93"/>
      <c r="U881" s="93"/>
      <c r="V881" s="72"/>
      <c r="W881" s="93"/>
      <c r="X881" s="93"/>
      <c r="Y881" s="93"/>
      <c r="Z881" s="93"/>
      <c r="AA881" s="116">
        <f>AA855/AA880-1</f>
        <v>-0.56925162741127178</v>
      </c>
      <c r="AB881" s="93"/>
      <c r="AC881" s="93"/>
      <c r="AD881" s="93"/>
      <c r="AE881" s="93"/>
      <c r="AF881" s="116">
        <f>AF855/AF880-1</f>
        <v>-0.60873570319526982</v>
      </c>
      <c r="AG881" s="93"/>
      <c r="AH881" s="93"/>
      <c r="AI881" s="93"/>
      <c r="AJ881" s="93"/>
      <c r="AK881" s="116">
        <f>AK855/AK880-1</f>
        <v>-0.61533122518229777</v>
      </c>
      <c r="AL881" s="93"/>
      <c r="AM881" s="93"/>
      <c r="AN881" s="93"/>
      <c r="AO881" s="93"/>
      <c r="AP881" s="116">
        <f>AP855/AP880-1</f>
        <v>-0.66799045724625805</v>
      </c>
      <c r="AQ881" s="93"/>
      <c r="AR881" s="93"/>
      <c r="AS881" s="93"/>
      <c r="AT881" s="93"/>
      <c r="AU881" s="116">
        <f>AU855/AU880-1</f>
        <v>-0.64930720438728695</v>
      </c>
      <c r="AV881" s="93"/>
      <c r="AW881" s="93"/>
      <c r="AX881" s="93"/>
      <c r="AY881" s="93"/>
      <c r="AZ881" s="116">
        <f>AZ855/AZ880-1</f>
        <v>-0.63261783463223265</v>
      </c>
      <c r="BA881" s="93"/>
      <c r="BB881" s="93"/>
      <c r="BC881" s="93"/>
      <c r="BD881" s="93"/>
      <c r="BE881" s="116">
        <f>BE855/BE880-1</f>
        <v>-0.44092547976133611</v>
      </c>
      <c r="BF881" s="93"/>
      <c r="BG881" s="93"/>
      <c r="BH881" s="93"/>
      <c r="BI881" s="93"/>
      <c r="BJ881" s="116">
        <f>BJ855/BJ880-1</f>
        <v>-0.43569314868192677</v>
      </c>
      <c r="BK881" s="93"/>
      <c r="BL881" s="93"/>
      <c r="BM881" s="93"/>
      <c r="BN881" s="93"/>
      <c r="BO881" s="116">
        <f>BO855/BO880-1</f>
        <v>-0.39617805148725393</v>
      </c>
      <c r="BP881" s="117">
        <f ca="1">BT881</f>
        <v>-0.53776201721736605</v>
      </c>
      <c r="BQ881" s="117">
        <f ca="1">BT881</f>
        <v>-0.53776201721736605</v>
      </c>
      <c r="BR881" s="117">
        <f ca="1">BT881</f>
        <v>-0.53776201721736605</v>
      </c>
      <c r="BS881" s="117">
        <f ca="1">BT881</f>
        <v>-0.53776201721736605</v>
      </c>
      <c r="BT881" s="116">
        <f ca="1">BT855/BT880-1</f>
        <v>-0.53776201721736605</v>
      </c>
      <c r="BU881" s="117">
        <f ca="1">BY881</f>
        <v>-0.53244460729376097</v>
      </c>
      <c r="BV881" s="117">
        <f ca="1">BY881</f>
        <v>-0.53244460729376097</v>
      </c>
      <c r="BW881" s="117">
        <f ca="1">BY881</f>
        <v>-0.53244460729376097</v>
      </c>
      <c r="BX881" s="117">
        <f ca="1">BY881</f>
        <v>-0.53244460729376097</v>
      </c>
      <c r="BY881" s="116">
        <f ca="1">BY855/BY880-1</f>
        <v>-0.53244460729376097</v>
      </c>
      <c r="BZ881" s="117">
        <f ca="1">CD881</f>
        <v>-0.53200227991852733</v>
      </c>
      <c r="CA881" s="117">
        <f ca="1">CD881</f>
        <v>-0.53200227991852733</v>
      </c>
      <c r="CB881" s="117">
        <f ca="1">CD881</f>
        <v>-0.53200227991852733</v>
      </c>
      <c r="CC881" s="117">
        <f ca="1">CD881</f>
        <v>-0.53200227991852733</v>
      </c>
      <c r="CD881" s="116">
        <f ca="1">CD855/CD880-1</f>
        <v>-0.53200227991852733</v>
      </c>
    </row>
    <row r="882" spans="1:83">
      <c r="A882" s="11"/>
      <c r="B882" s="11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116"/>
      <c r="AB882" s="5"/>
      <c r="AC882" s="5"/>
      <c r="AD882" s="5"/>
      <c r="AE882" s="5"/>
      <c r="AF882" s="116"/>
      <c r="AG882" s="5"/>
      <c r="AH882" s="5"/>
      <c r="AI882" s="5"/>
      <c r="AJ882" s="5"/>
      <c r="AK882" s="116"/>
      <c r="AL882" s="5"/>
      <c r="AM882" s="5"/>
      <c r="AN882" s="5"/>
      <c r="AO882" s="5"/>
      <c r="AP882" s="116"/>
      <c r="AQ882" s="5"/>
      <c r="AR882" s="5"/>
      <c r="AS882" s="5"/>
      <c r="AT882" s="5"/>
      <c r="AU882" s="116"/>
      <c r="AV882" s="5"/>
      <c r="AW882" s="5"/>
      <c r="AX882" s="5"/>
      <c r="AY882" s="5"/>
      <c r="AZ882" s="116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</row>
    <row r="883" spans="1:83">
      <c r="A883" s="39" t="s">
        <v>3090</v>
      </c>
      <c r="B883" s="11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</row>
    <row r="884" spans="1:83">
      <c r="A884" s="11"/>
      <c r="B884" s="11" t="s">
        <v>1897</v>
      </c>
      <c r="C884" s="72"/>
      <c r="D884" s="72"/>
      <c r="E884" s="72"/>
      <c r="F884" s="72"/>
      <c r="G884" s="72"/>
      <c r="H884" s="93"/>
      <c r="I884" s="93"/>
      <c r="J884" s="93"/>
      <c r="K884" s="93"/>
      <c r="L884" s="72"/>
      <c r="M884" s="93"/>
      <c r="N884" s="93"/>
      <c r="O884" s="93"/>
      <c r="P884" s="93"/>
      <c r="Q884" s="72"/>
      <c r="R884" s="93"/>
      <c r="S884" s="93"/>
      <c r="T884" s="93"/>
      <c r="U884" s="93"/>
      <c r="V884" s="72"/>
      <c r="W884" s="93"/>
      <c r="X884" s="93"/>
      <c r="Y884" s="93"/>
      <c r="Z884" s="93"/>
      <c r="AA884" s="119">
        <f>-1000*AA857/(AA874*365)</f>
        <v>8.8543297713841757E-2</v>
      </c>
      <c r="AB884" s="93"/>
      <c r="AC884" s="93"/>
      <c r="AD884" s="93"/>
      <c r="AE884" s="93"/>
      <c r="AF884" s="119">
        <f>-1000*AF857/(AF874*365)</f>
        <v>9.4268744750714034E-2</v>
      </c>
      <c r="AG884" s="93"/>
      <c r="AH884" s="93"/>
      <c r="AI884" s="93"/>
      <c r="AJ884" s="93"/>
      <c r="AK884" s="119">
        <f>-1000*AK857/(AK874*365)</f>
        <v>0.16647531572904706</v>
      </c>
      <c r="AL884" s="93"/>
      <c r="AM884" s="93"/>
      <c r="AN884" s="93"/>
      <c r="AO884" s="93"/>
      <c r="AP884" s="119">
        <f>-1000*AP857/(AP874*365)</f>
        <v>0.2112727906841565</v>
      </c>
      <c r="AQ884" s="93"/>
      <c r="AR884" s="93"/>
      <c r="AS884" s="93"/>
      <c r="AT884" s="93"/>
      <c r="AU884" s="119">
        <f>-1000*AU857/(AU874*365)</f>
        <v>0.28734511216835945</v>
      </c>
      <c r="AV884" s="93"/>
      <c r="AW884" s="93"/>
      <c r="AX884" s="93"/>
      <c r="AY884" s="93"/>
      <c r="AZ884" s="119">
        <f>-1000*AZ857/(AZ874*365)</f>
        <v>0.15539658663359707</v>
      </c>
      <c r="BA884" s="93"/>
      <c r="BB884" s="93"/>
      <c r="BC884" s="93"/>
      <c r="BD884" s="93"/>
      <c r="BE884" s="119">
        <f>-1000*BE857/(BE874*365)</f>
        <v>0.12724074066261376</v>
      </c>
      <c r="BF884" s="93"/>
      <c r="BG884" s="93"/>
      <c r="BH884" s="93"/>
      <c r="BI884" s="93"/>
      <c r="BJ884" s="119">
        <f>-1000*BJ857/(BJ874*365)</f>
        <v>0.11727240560076833</v>
      </c>
      <c r="BK884" s="93"/>
      <c r="BL884" s="93"/>
      <c r="BM884" s="93"/>
      <c r="BN884" s="93"/>
      <c r="BO884" s="119">
        <f>-1000*BO857/(BO874*365)</f>
        <v>0.13104302898570705</v>
      </c>
      <c r="BP884" s="114">
        <f>-1000*BP857/(BP$874*90)</f>
        <v>9.6358501544725639E-2</v>
      </c>
      <c r="BQ884" s="114">
        <f>-1000*BQ857/(BQ$874*91)</f>
        <v>9.6769658850435952E-2</v>
      </c>
      <c r="BR884" s="114">
        <f>-1000*BR857/(BR$874*92)</f>
        <v>9.6082921329269572E-2</v>
      </c>
      <c r="BS884" s="114">
        <f>-1000*BS857/(BS$874*92)</f>
        <v>9.4165685426230564E-2</v>
      </c>
      <c r="BT884" s="119">
        <f>-1000*BT857/(BT874*365)</f>
        <v>9.5831118644138777E-2</v>
      </c>
      <c r="BU884" s="114">
        <f>-1000*BU857/(BU$874*90)</f>
        <v>9.3072832926143129E-2</v>
      </c>
      <c r="BV884" s="114">
        <f>-1000*BV857/(BV$874*91)</f>
        <v>9.3593257545673436E-2</v>
      </c>
      <c r="BW884" s="114">
        <f>-1000*BW857/(BW$874*92)</f>
        <v>9.2959849447326368E-2</v>
      </c>
      <c r="BX884" s="114">
        <f>-1000*BX857/(BX$874*92)</f>
        <v>9.0946708573107077E-2</v>
      </c>
      <c r="BY884" s="119">
        <f>-1000*BY857/(BY874*365)</f>
        <v>9.2629401321831312E-2</v>
      </c>
      <c r="BZ884" s="114">
        <f>-1000*BZ857/(BZ$874*90)</f>
        <v>9.0743835425209321E-2</v>
      </c>
      <c r="CA884" s="114">
        <f>-1000*CA857/(CA$874*91)</f>
        <v>9.1332759900602925E-2</v>
      </c>
      <c r="CB884" s="114">
        <f>-1000*CB857/(CB$874*92)</f>
        <v>9.0735037752237152E-2</v>
      </c>
      <c r="CC884" s="114">
        <f>-1000*CC857/(CC$874*92)</f>
        <v>8.8665583854651661E-2</v>
      </c>
      <c r="CD884" s="119">
        <f>-1000*CD857/(CD874*365)</f>
        <v>9.0355076759682976E-2</v>
      </c>
      <c r="CE884" s="119"/>
    </row>
    <row r="885" spans="1:83">
      <c r="A885" s="11"/>
      <c r="B885" s="11" t="s">
        <v>2149</v>
      </c>
      <c r="C885" s="72"/>
      <c r="D885" s="72"/>
      <c r="E885" s="72"/>
      <c r="F885" s="72"/>
      <c r="G885" s="72"/>
      <c r="H885" s="93"/>
      <c r="I885" s="93"/>
      <c r="J885" s="93"/>
      <c r="K885" s="93"/>
      <c r="L885" s="72"/>
      <c r="M885" s="93"/>
      <c r="N885" s="93"/>
      <c r="O885" s="93"/>
      <c r="P885" s="93"/>
      <c r="Q885" s="72"/>
      <c r="R885" s="93"/>
      <c r="S885" s="93"/>
      <c r="T885" s="93"/>
      <c r="U885" s="93"/>
      <c r="V885" s="72"/>
      <c r="W885" s="93"/>
      <c r="X885" s="93"/>
      <c r="Y885" s="93"/>
      <c r="Z885" s="93"/>
      <c r="AA885" s="119">
        <f>-1000*AA858/(AA874*365)</f>
        <v>3.7977895532936992</v>
      </c>
      <c r="AB885" s="93"/>
      <c r="AC885" s="93"/>
      <c r="AD885" s="93"/>
      <c r="AE885" s="93"/>
      <c r="AF885" s="119">
        <f>-1000*AF858/(AF874*365)</f>
        <v>4.2090994531193813</v>
      </c>
      <c r="AG885" s="93"/>
      <c r="AH885" s="93"/>
      <c r="AI885" s="93"/>
      <c r="AJ885" s="93"/>
      <c r="AK885" s="119">
        <f>-1000*AK858/(AK874*365)</f>
        <v>4.6932356132928614</v>
      </c>
      <c r="AL885" s="93"/>
      <c r="AM885" s="93"/>
      <c r="AN885" s="93"/>
      <c r="AO885" s="93"/>
      <c r="AP885" s="119">
        <f>-1000*AP858/(AP874*365)</f>
        <v>4.2704074712755036</v>
      </c>
      <c r="AQ885" s="93"/>
      <c r="AR885" s="93"/>
      <c r="AS885" s="93"/>
      <c r="AT885" s="93"/>
      <c r="AU885" s="119">
        <f>-1000*AU858/(AU874*365)</f>
        <v>3.5771072625053248</v>
      </c>
      <c r="AV885" s="93"/>
      <c r="AW885" s="93"/>
      <c r="AX885" s="93"/>
      <c r="AY885" s="93"/>
      <c r="AZ885" s="119">
        <f>-1000*AZ858/(AZ874*365)</f>
        <v>3.6259203547839314</v>
      </c>
      <c r="BA885" s="93"/>
      <c r="BB885" s="93"/>
      <c r="BC885" s="93"/>
      <c r="BD885" s="93"/>
      <c r="BE885" s="119">
        <f>-1000*BE858/(BE874*365)</f>
        <v>3.0611185878640352</v>
      </c>
      <c r="BF885" s="93"/>
      <c r="BG885" s="93"/>
      <c r="BH885" s="93"/>
      <c r="BI885" s="93"/>
      <c r="BJ885" s="119">
        <f>-1000*BJ858/(BJ874*365)</f>
        <v>2.9341555881312238</v>
      </c>
      <c r="BK885" s="93"/>
      <c r="BL885" s="93"/>
      <c r="BM885" s="93"/>
      <c r="BN885" s="93"/>
      <c r="BO885" s="119">
        <f>-1000*BO858/(BO874*365)</f>
        <v>3.4226662316436367</v>
      </c>
      <c r="BP885" s="109">
        <f>BT885</f>
        <v>3.4448173641043756</v>
      </c>
      <c r="BQ885" s="109">
        <f>BT885</f>
        <v>3.4448173641043756</v>
      </c>
      <c r="BR885" s="109">
        <f>BT885</f>
        <v>3.4448173641043756</v>
      </c>
      <c r="BS885" s="109">
        <f>BT885</f>
        <v>3.4448173641043756</v>
      </c>
      <c r="BT885" s="119">
        <f>-1000*BT858/(BT874*365)</f>
        <v>3.4448173641043756</v>
      </c>
      <c r="BU885" s="109">
        <f>BY885</f>
        <v>3.5402635010788233</v>
      </c>
      <c r="BV885" s="109">
        <f>BY885</f>
        <v>3.5402635010788233</v>
      </c>
      <c r="BW885" s="109">
        <f>BY885</f>
        <v>3.5402635010788233</v>
      </c>
      <c r="BX885" s="109">
        <f>BY885</f>
        <v>3.5402635010788233</v>
      </c>
      <c r="BY885" s="119">
        <f>-1000*BY858/(BY874*365)</f>
        <v>3.5402635010788233</v>
      </c>
      <c r="BZ885" s="109">
        <f>CD885</f>
        <v>3.6388014805353648</v>
      </c>
      <c r="CA885" s="109">
        <f>CD885</f>
        <v>3.6388014805353648</v>
      </c>
      <c r="CB885" s="109">
        <f>CD885</f>
        <v>3.6388014805353648</v>
      </c>
      <c r="CC885" s="109">
        <f>CD885</f>
        <v>3.6388014805353648</v>
      </c>
      <c r="CD885" s="119">
        <f>-1000*CD858/(CD874*365)</f>
        <v>3.6388014805353648</v>
      </c>
      <c r="CE885" s="119"/>
    </row>
    <row r="886" spans="1:83">
      <c r="A886" s="11"/>
      <c r="B886" s="11" t="s">
        <v>2150</v>
      </c>
      <c r="C886" s="72"/>
      <c r="D886" s="72"/>
      <c r="E886" s="72"/>
      <c r="F886" s="72"/>
      <c r="G886" s="72"/>
      <c r="H886" s="93"/>
      <c r="I886" s="93"/>
      <c r="J886" s="93"/>
      <c r="K886" s="93"/>
      <c r="L886" s="72"/>
      <c r="M886" s="93"/>
      <c r="N886" s="93"/>
      <c r="O886" s="93"/>
      <c r="P886" s="93"/>
      <c r="Q886" s="72"/>
      <c r="R886" s="93"/>
      <c r="S886" s="93"/>
      <c r="T886" s="93"/>
      <c r="U886" s="93"/>
      <c r="V886" s="72"/>
      <c r="W886" s="93"/>
      <c r="X886" s="93"/>
      <c r="Y886" s="93"/>
      <c r="Z886" s="93"/>
      <c r="AA886" s="119">
        <f>-1000*AA859/(AA874*365)</f>
        <v>9.8594158535412983</v>
      </c>
      <c r="AB886" s="93"/>
      <c r="AC886" s="93"/>
      <c r="AD886" s="93"/>
      <c r="AE886" s="93"/>
      <c r="AF886" s="119">
        <f>-1000*AF859/(AF874*365)</f>
        <v>13.188197390624893</v>
      </c>
      <c r="AG886" s="93"/>
      <c r="AH886" s="93"/>
      <c r="AI886" s="93"/>
      <c r="AJ886" s="93"/>
      <c r="AK886" s="119">
        <f>-1000*AK859/(AK874*365)</f>
        <v>18.528930689020651</v>
      </c>
      <c r="AL886" s="93"/>
      <c r="AM886" s="93"/>
      <c r="AN886" s="93"/>
      <c r="AO886" s="93"/>
      <c r="AP886" s="119">
        <f>-1000*AP859/(AP874*365)</f>
        <v>17.182771114684854</v>
      </c>
      <c r="AQ886" s="93"/>
      <c r="AR886" s="93"/>
      <c r="AS886" s="93"/>
      <c r="AT886" s="93"/>
      <c r="AU886" s="119">
        <f>-1000*AU859/(AU874*365)</f>
        <v>18.453438857048344</v>
      </c>
      <c r="AV886" s="93"/>
      <c r="AW886" s="93"/>
      <c r="AX886" s="93"/>
      <c r="AY886" s="93"/>
      <c r="AZ886" s="119">
        <f>-1000*AZ859/(AZ874*365)</f>
        <v>14.567813343778163</v>
      </c>
      <c r="BA886" s="93"/>
      <c r="BB886" s="93"/>
      <c r="BC886" s="93"/>
      <c r="BD886" s="93"/>
      <c r="BE886" s="119">
        <f>-1000*BE859/(BE874*365)</f>
        <v>10.519383540549549</v>
      </c>
      <c r="BF886" s="93"/>
      <c r="BG886" s="93"/>
      <c r="BH886" s="93"/>
      <c r="BI886" s="93"/>
      <c r="BJ886" s="119">
        <f>-1000*BJ859/(BJ874*365)</f>
        <v>8.7790122832735165</v>
      </c>
      <c r="BK886" s="93"/>
      <c r="BL886" s="93"/>
      <c r="BM886" s="93"/>
      <c r="BN886" s="93"/>
      <c r="BO886" s="119">
        <f>-1000*BO859/(BO874*365)</f>
        <v>13.63291715108932</v>
      </c>
      <c r="BP886" s="114">
        <f ca="1">-1000*BP859/(BP$874*90)</f>
        <v>11.040854243579574</v>
      </c>
      <c r="BQ886" s="114">
        <f ca="1">-1000*BQ859/(BQ$874*91)</f>
        <v>11.30937083073783</v>
      </c>
      <c r="BR886" s="114">
        <f ca="1">-1000*BR859/(BR$874*92)</f>
        <v>11.205700217359734</v>
      </c>
      <c r="BS886" s="114">
        <f ca="1">-1000*BS859/(BS$874*92)</f>
        <v>11.001537173729185</v>
      </c>
      <c r="BT886" s="119">
        <f ca="1">-1000*BT859/(BT874*365)</f>
        <v>11.138139249727789</v>
      </c>
      <c r="BU886" s="114">
        <f ca="1">-1000*BU859/(BU$874*90)</f>
        <v>10.575468626379912</v>
      </c>
      <c r="BV886" s="114">
        <f ca="1">-1000*BV859/(BV$874*91)</f>
        <v>10.586045959480547</v>
      </c>
      <c r="BW886" s="114">
        <f ca="1">-1000*BW859/(BW$874*92)</f>
        <v>10.576076899167829</v>
      </c>
      <c r="BX886" s="114">
        <f ca="1">-1000*BX859/(BX$874*92)</f>
        <v>10.517659718258665</v>
      </c>
      <c r="BY886" s="119">
        <f ca="1">-1000*BY859/(BY874*365)</f>
        <v>10.56321232561492</v>
      </c>
      <c r="BZ886" s="114">
        <f ca="1">-1000*BZ859/(BZ$874*90)</f>
        <v>10.535791519911372</v>
      </c>
      <c r="CA886" s="114">
        <f ca="1">-1000*CA859/(CA$874*91)</f>
        <v>10.637176039557664</v>
      </c>
      <c r="CB886" s="114">
        <f ca="1">-1000*CB859/(CB$874*92)</f>
        <v>10.707787618973766</v>
      </c>
      <c r="CC886" s="114">
        <f ca="1">-1000*CC859/(CC$874*92)</f>
        <v>10.70271724106156</v>
      </c>
      <c r="CD886" s="119">
        <f ca="1">-1000*CD859/(CD874*365)</f>
        <v>10.645891389115908</v>
      </c>
      <c r="CE886" s="119"/>
    </row>
    <row r="887" spans="1:83">
      <c r="A887" s="11"/>
      <c r="B887" s="11" t="s">
        <v>2158</v>
      </c>
      <c r="C887" s="72"/>
      <c r="D887" s="72"/>
      <c r="E887" s="72"/>
      <c r="F887" s="72"/>
      <c r="G887" s="72"/>
      <c r="H887" s="93"/>
      <c r="I887" s="93"/>
      <c r="J887" s="93"/>
      <c r="K887" s="93"/>
      <c r="L887" s="72"/>
      <c r="M887" s="93"/>
      <c r="N887" s="93"/>
      <c r="O887" s="93"/>
      <c r="P887" s="93"/>
      <c r="Q887" s="72"/>
      <c r="R887" s="93"/>
      <c r="S887" s="93"/>
      <c r="T887" s="93"/>
      <c r="U887" s="93"/>
      <c r="V887" s="72"/>
      <c r="W887" s="93"/>
      <c r="X887" s="93"/>
      <c r="Y887" s="93"/>
      <c r="Z887" s="93"/>
      <c r="AA887" s="119">
        <f>-1000*AA860/(AA874*365)</f>
        <v>2.3930621003741017E-2</v>
      </c>
      <c r="AB887" s="93"/>
      <c r="AC887" s="93"/>
      <c r="AD887" s="93"/>
      <c r="AE887" s="93"/>
      <c r="AF887" s="119">
        <f>-1000*AF860/(AF874*365)</f>
        <v>2.356718618767851E-3</v>
      </c>
      <c r="AG887" s="93"/>
      <c r="AH887" s="93"/>
      <c r="AI887" s="93"/>
      <c r="AJ887" s="93"/>
      <c r="AK887" s="119">
        <f>-1000*AK860/(AK874*365)</f>
        <v>2.2804837771102336E-3</v>
      </c>
      <c r="AL887" s="93"/>
      <c r="AM887" s="93"/>
      <c r="AN887" s="93"/>
      <c r="AO887" s="93"/>
      <c r="AP887" s="119">
        <f>-1000*AP860/(AP874*365)</f>
        <v>-5.8437154870085835E-2</v>
      </c>
      <c r="AQ887" s="93"/>
      <c r="AR887" s="93"/>
      <c r="AS887" s="93"/>
      <c r="AT887" s="93"/>
      <c r="AU887" s="119">
        <f>-1000*AU860/(AU874*365)</f>
        <v>0.21041807426501913</v>
      </c>
      <c r="AV887" s="93"/>
      <c r="AW887" s="93"/>
      <c r="AX887" s="93"/>
      <c r="AY887" s="93"/>
      <c r="AZ887" s="119">
        <f>-1000*AZ860/(AZ874*365)</f>
        <v>0.74491697084676689</v>
      </c>
      <c r="BA887" s="93"/>
      <c r="BB887" s="93"/>
      <c r="BC887" s="93"/>
      <c r="BD887" s="93"/>
      <c r="BE887" s="119">
        <f>-1000*BE860/(BE874*365)</f>
        <v>0.69493019900350594</v>
      </c>
      <c r="BF887" s="93"/>
      <c r="BG887" s="93"/>
      <c r="BH887" s="93"/>
      <c r="BI887" s="93"/>
      <c r="BJ887" s="119">
        <f>-1000*BJ860/(BJ874*365)</f>
        <v>0.87016124955770102</v>
      </c>
      <c r="BK887" s="93"/>
      <c r="BL887" s="93"/>
      <c r="BM887" s="93"/>
      <c r="BN887" s="93"/>
      <c r="BO887" s="119">
        <f>-1000*BO860/(BO874*365)</f>
        <v>0.89731158830890934</v>
      </c>
      <c r="BP887" s="114">
        <f>-1000*BP860/(BP$874*90)</f>
        <v>0.9852656782948197</v>
      </c>
      <c r="BQ887" s="114">
        <f>-1000*BQ860/(BQ$874*91)</f>
        <v>0.98946976174570755</v>
      </c>
      <c r="BR887" s="114">
        <f>-1000*BR860/(BR$874*92)</f>
        <v>0.98244787059178129</v>
      </c>
      <c r="BS887" s="114">
        <f>-1000*BS860/(BS$874*92)</f>
        <v>0.96284413348320752</v>
      </c>
      <c r="BT887" s="119">
        <f>-1000*BT860/(BT874*365)</f>
        <v>0.97987318813631896</v>
      </c>
      <c r="BU887" s="114">
        <f>-1000*BU860/(BU$874*90)</f>
        <v>0.95166971666981359</v>
      </c>
      <c r="BV887" s="114">
        <f>-1000*BV860/(BV$874*91)</f>
        <v>0.95699105840451082</v>
      </c>
      <c r="BW887" s="114">
        <f>-1000*BW860/(BW$874*92)</f>
        <v>0.9505144605989122</v>
      </c>
      <c r="BX887" s="114">
        <f>-1000*BX860/(BX$874*92)</f>
        <v>0.92993009516001979</v>
      </c>
      <c r="BY887" s="119">
        <f>-1000*BY860/(BY874*365)</f>
        <v>0.94713562851572519</v>
      </c>
      <c r="BZ887" s="114">
        <f>-1000*BZ860/(BZ$874*90)</f>
        <v>0.92785571722276527</v>
      </c>
      <c r="CA887" s="114">
        <f>-1000*CA860/(CA$874*91)</f>
        <v>0.93387746998366494</v>
      </c>
      <c r="CB887" s="114">
        <f>-1000*CB860/(CB$874*92)</f>
        <v>0.92776576101662478</v>
      </c>
      <c r="CC887" s="114">
        <f>-1000*CC860/(CC$874*92)</f>
        <v>0.90660559491381332</v>
      </c>
      <c r="CD887" s="119">
        <f>-1000*CD860/(CD874*365)</f>
        <v>0.92388065986775847</v>
      </c>
      <c r="CE887" s="119"/>
    </row>
    <row r="888" spans="1:83">
      <c r="A888" s="11"/>
      <c r="B888" s="11" t="s">
        <v>2154</v>
      </c>
      <c r="C888" s="72"/>
      <c r="D888" s="72"/>
      <c r="E888" s="72"/>
      <c r="F888" s="72"/>
      <c r="G888" s="72"/>
      <c r="H888" s="93"/>
      <c r="I888" s="93"/>
      <c r="J888" s="93"/>
      <c r="K888" s="93"/>
      <c r="L888" s="72"/>
      <c r="M888" s="93"/>
      <c r="N888" s="93"/>
      <c r="O888" s="93"/>
      <c r="P888" s="93"/>
      <c r="Q888" s="72"/>
      <c r="R888" s="93"/>
      <c r="S888" s="93"/>
      <c r="T888" s="93"/>
      <c r="U888" s="93"/>
      <c r="V888" s="72"/>
      <c r="W888" s="93"/>
      <c r="X888" s="93"/>
      <c r="Y888" s="93"/>
      <c r="Z888" s="93"/>
      <c r="AA888" s="119">
        <f>-1000*AA861/(AA874*365)</f>
        <v>3.2234546492039149</v>
      </c>
      <c r="AB888" s="93"/>
      <c r="AC888" s="93"/>
      <c r="AD888" s="93"/>
      <c r="AE888" s="93"/>
      <c r="AF888" s="119">
        <f>-1000*AF861/(AF874*365)</f>
        <v>3.1037984209172595</v>
      </c>
      <c r="AG888" s="93"/>
      <c r="AH888" s="93"/>
      <c r="AI888" s="93"/>
      <c r="AJ888" s="93"/>
      <c r="AK888" s="119">
        <f>-1000*AK861/(AK874*365)</f>
        <v>3.2360064797194217</v>
      </c>
      <c r="AL888" s="93"/>
      <c r="AM888" s="93"/>
      <c r="AN888" s="93"/>
      <c r="AO888" s="93"/>
      <c r="AP888" s="119">
        <f>-1000*AP861/(AP874*365)</f>
        <v>2.9757997326151404</v>
      </c>
      <c r="AQ888" s="93"/>
      <c r="AR888" s="93"/>
      <c r="AS888" s="93"/>
      <c r="AT888" s="93"/>
      <c r="AU888" s="119">
        <f>-1000*AU861/(AU874*365)</f>
        <v>4.0183064504803649</v>
      </c>
      <c r="AV888" s="93"/>
      <c r="AW888" s="93"/>
      <c r="AX888" s="93"/>
      <c r="AY888" s="93"/>
      <c r="AZ888" s="119">
        <f>-1000*AZ861/(AZ874*365)</f>
        <v>4.6372314741454366</v>
      </c>
      <c r="BA888" s="93"/>
      <c r="BB888" s="93"/>
      <c r="BC888" s="93"/>
      <c r="BD888" s="93"/>
      <c r="BE888" s="119">
        <f>-1000*BE861/(BE874*365)</f>
        <v>3.6116794849618832</v>
      </c>
      <c r="BF888" s="93"/>
      <c r="BG888" s="93"/>
      <c r="BH888" s="93"/>
      <c r="BI888" s="93"/>
      <c r="BJ888" s="119">
        <f>-1000*BJ861/(BJ874*365)</f>
        <v>3.4196633473184046</v>
      </c>
      <c r="BK888" s="93"/>
      <c r="BL888" s="93"/>
      <c r="BM888" s="93"/>
      <c r="BN888" s="93"/>
      <c r="BO888" s="119">
        <f>-1000*BO861/(BO874*365)</f>
        <v>4.4088205514682794</v>
      </c>
      <c r="BP888" s="109">
        <f>BT888</f>
        <v>2.9386344921794194</v>
      </c>
      <c r="BQ888" s="109">
        <f>BT888</f>
        <v>2.9386344921794194</v>
      </c>
      <c r="BR888" s="109">
        <f>BT888</f>
        <v>2.9386344921794194</v>
      </c>
      <c r="BS888" s="109">
        <f>BT888</f>
        <v>2.9386344921794194</v>
      </c>
      <c r="BT888" s="119">
        <f>-1000*BT861/(BT874*365)</f>
        <v>2.9386344921794194</v>
      </c>
      <c r="BU888" s="109">
        <f>BY888</f>
        <v>2.8001841229281439</v>
      </c>
      <c r="BV888" s="109">
        <f>BY888</f>
        <v>2.8001841229281439</v>
      </c>
      <c r="BW888" s="109">
        <f>BY888</f>
        <v>2.8001841229281439</v>
      </c>
      <c r="BX888" s="109">
        <f>BY888</f>
        <v>2.8001841229281439</v>
      </c>
      <c r="BY888" s="119">
        <f>-1000*BY861/(BY874*365)</f>
        <v>2.8001841229281439</v>
      </c>
      <c r="BZ888" s="109">
        <f>CD888</f>
        <v>2.8384413801738626</v>
      </c>
      <c r="CA888" s="109">
        <f>CD888</f>
        <v>2.8384413801738626</v>
      </c>
      <c r="CB888" s="109">
        <f>CD888</f>
        <v>2.8384413801738626</v>
      </c>
      <c r="CC888" s="109">
        <f>CD888</f>
        <v>2.8384413801738626</v>
      </c>
      <c r="CD888" s="119">
        <f>-1000*CD861/(CD874*365)</f>
        <v>2.8384413801738626</v>
      </c>
      <c r="CE888" s="119"/>
    </row>
    <row r="889" spans="1:83">
      <c r="A889" s="11"/>
      <c r="B889" s="4" t="s">
        <v>930</v>
      </c>
      <c r="C889" s="72"/>
      <c r="D889" s="72"/>
      <c r="E889" s="72"/>
      <c r="F889" s="72"/>
      <c r="G889" s="72"/>
      <c r="H889" s="93"/>
      <c r="I889" s="93"/>
      <c r="J889" s="93"/>
      <c r="K889" s="93"/>
      <c r="L889" s="72"/>
      <c r="M889" s="93"/>
      <c r="N889" s="93"/>
      <c r="O889" s="93"/>
      <c r="P889" s="93"/>
      <c r="Q889" s="72"/>
      <c r="R889" s="93"/>
      <c r="S889" s="93"/>
      <c r="T889" s="93"/>
      <c r="U889" s="93"/>
      <c r="V889" s="72"/>
      <c r="W889" s="93"/>
      <c r="X889" s="93"/>
      <c r="Y889" s="93"/>
      <c r="Z889" s="93"/>
      <c r="AA889" s="119">
        <f>-1000*AA862/(AA874*365)</f>
        <v>0.17230047122693531</v>
      </c>
      <c r="AB889" s="93"/>
      <c r="AC889" s="93"/>
      <c r="AD889" s="93"/>
      <c r="AE889" s="93"/>
      <c r="AF889" s="119">
        <f>-1000*AF862/(AF874*365)</f>
        <v>0.10133890060701758</v>
      </c>
      <c r="AG889" s="93"/>
      <c r="AH889" s="93"/>
      <c r="AI889" s="93"/>
      <c r="AJ889" s="93"/>
      <c r="AK889" s="119">
        <f>-1000*AK862/(AK874*365)</f>
        <v>0</v>
      </c>
      <c r="AL889" s="93"/>
      <c r="AM889" s="93"/>
      <c r="AN889" s="93"/>
      <c r="AO889" s="93"/>
      <c r="AP889" s="119">
        <f>-1000*AP862/(AP874*365)</f>
        <v>-6.0684737749704523E-2</v>
      </c>
      <c r="AQ889" s="93"/>
      <c r="AR889" s="93"/>
      <c r="AS889" s="93"/>
      <c r="AT889" s="93"/>
      <c r="AU889" s="119">
        <f>-1000*AU862/(AU874*365)</f>
        <v>8.3714717718340936E-2</v>
      </c>
      <c r="AV889" s="93"/>
      <c r="AW889" s="93"/>
      <c r="AX889" s="93"/>
      <c r="AY889" s="93"/>
      <c r="AZ889" s="119">
        <f>-1000*AZ862/(AZ874*365)</f>
        <v>0</v>
      </c>
      <c r="BA889" s="93"/>
      <c r="BB889" s="93"/>
      <c r="BC889" s="93"/>
      <c r="BD889" s="93"/>
      <c r="BE889" s="119">
        <f>-1000*BE862/(BE874*365)</f>
        <v>8.5642806215220801E-2</v>
      </c>
      <c r="BF889" s="93"/>
      <c r="BG889" s="93"/>
      <c r="BH889" s="93"/>
      <c r="BI889" s="93"/>
      <c r="BJ889" s="119">
        <f>-1000*BJ862/(BJ874*365)</f>
        <v>5.8636202800384167E-2</v>
      </c>
      <c r="BK889" s="93"/>
      <c r="BL889" s="93"/>
      <c r="BM889" s="93"/>
      <c r="BN889" s="93"/>
      <c r="BO889" s="119">
        <f>-1000*BO862/(BO874*365)</f>
        <v>0.11993768754624036</v>
      </c>
      <c r="BP889" s="114">
        <f>-1000*BP862/(BP$874*90)</f>
        <v>0</v>
      </c>
      <c r="BQ889" s="114">
        <f>-1000*BQ862/(BQ$874*91)</f>
        <v>0</v>
      </c>
      <c r="BR889" s="114">
        <f>-1000*BR862/(BR$874*92)</f>
        <v>0</v>
      </c>
      <c r="BS889" s="114">
        <f>-1000*BS862/(BS$874*92)</f>
        <v>0</v>
      </c>
      <c r="BT889" s="119">
        <f>-1000*BT862/(BT874*365)</f>
        <v>0</v>
      </c>
      <c r="BU889" s="114">
        <f>-1000*BU862/(BU$874*90)</f>
        <v>0</v>
      </c>
      <c r="BV889" s="114">
        <f>-1000*BV862/(BV$874*91)</f>
        <v>0</v>
      </c>
      <c r="BW889" s="114">
        <f>-1000*BW862/(BW$874*92)</f>
        <v>0</v>
      </c>
      <c r="BX889" s="114">
        <f>-1000*BX862/(BX$874*92)</f>
        <v>0</v>
      </c>
      <c r="BY889" s="119">
        <f>-1000*BY862/(BY874*365)</f>
        <v>0</v>
      </c>
      <c r="BZ889" s="114">
        <f>-1000*BZ862/(BZ$874*90)</f>
        <v>0</v>
      </c>
      <c r="CA889" s="114">
        <f>-1000*CA862/(CA$874*91)</f>
        <v>0</v>
      </c>
      <c r="CB889" s="114">
        <f>-1000*CB862/(CB$874*92)</f>
        <v>0</v>
      </c>
      <c r="CC889" s="114">
        <f>-1000*CC862/(CC$874*92)</f>
        <v>0</v>
      </c>
      <c r="CD889" s="119">
        <f>-1000*CD862/(CD874*365)</f>
        <v>0</v>
      </c>
      <c r="CE889" s="119"/>
    </row>
    <row r="890" spans="1:83">
      <c r="A890" s="11"/>
      <c r="B890" s="11"/>
      <c r="C890" s="11"/>
      <c r="D890" s="11"/>
      <c r="E890" s="11"/>
      <c r="F890" s="11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  <c r="AA890" s="11"/>
      <c r="AB890" s="11"/>
      <c r="AC890" s="11"/>
      <c r="AD890" s="11"/>
      <c r="AE890" s="11"/>
      <c r="AF890" s="11"/>
      <c r="AG890" s="11"/>
      <c r="AH890" s="11"/>
      <c r="AI890" s="11"/>
      <c r="AJ890" s="11"/>
      <c r="AK890" s="11"/>
      <c r="AL890" s="11"/>
      <c r="AM890" s="11"/>
      <c r="AN890" s="11"/>
      <c r="AO890" s="11"/>
      <c r="AP890" s="11"/>
      <c r="AQ890" s="11"/>
      <c r="AR890" s="11"/>
      <c r="AS890" s="11"/>
      <c r="AT890" s="11"/>
      <c r="AU890" s="11"/>
      <c r="AV890" s="11"/>
      <c r="AW890" s="11"/>
      <c r="AX890" s="11"/>
      <c r="AY890" s="11"/>
      <c r="AZ890" s="11"/>
      <c r="BA890" s="11"/>
      <c r="BB890" s="11"/>
      <c r="BC890" s="11"/>
      <c r="BD890" s="11"/>
      <c r="BE890" s="11"/>
      <c r="BF890" s="11"/>
      <c r="BG890" s="11"/>
      <c r="BH890" s="11"/>
      <c r="BI890" s="11"/>
      <c r="BJ890" s="11"/>
      <c r="BK890" s="11"/>
      <c r="BL890" s="11"/>
      <c r="BM890" s="11"/>
      <c r="BN890" s="11"/>
      <c r="BO890" s="11"/>
      <c r="BP890" s="11"/>
      <c r="BQ890" s="11"/>
      <c r="BR890" s="11"/>
      <c r="BS890" s="11"/>
      <c r="BT890" s="11"/>
      <c r="BU890" s="11"/>
      <c r="BV890" s="11"/>
      <c r="BW890" s="11"/>
      <c r="BX890" s="11"/>
      <c r="BY890" s="11"/>
      <c r="BZ890" s="11"/>
      <c r="CA890" s="11"/>
      <c r="CB890" s="11"/>
      <c r="CC890" s="11"/>
      <c r="CD890" s="11"/>
    </row>
    <row r="891" spans="1:83">
      <c r="A891" s="11"/>
      <c r="B891" s="5" t="s">
        <v>2138</v>
      </c>
      <c r="C891" s="72"/>
      <c r="D891" s="72"/>
      <c r="E891" s="72"/>
      <c r="F891" s="72"/>
      <c r="G891" s="72"/>
      <c r="H891" s="93"/>
      <c r="I891" s="93"/>
      <c r="J891" s="93"/>
      <c r="K891" s="93"/>
      <c r="L891" s="72"/>
      <c r="M891" s="93"/>
      <c r="N891" s="93"/>
      <c r="O891" s="93"/>
      <c r="P891" s="93"/>
      <c r="Q891" s="72"/>
      <c r="R891" s="93"/>
      <c r="S891" s="93"/>
      <c r="T891" s="93"/>
      <c r="U891" s="93"/>
      <c r="V891" s="72"/>
      <c r="W891" s="93"/>
      <c r="X891" s="93"/>
      <c r="Y891" s="93"/>
      <c r="Z891" s="93"/>
      <c r="AA891" s="119">
        <f>AA888</f>
        <v>3.2234546492039149</v>
      </c>
      <c r="AB891" s="93"/>
      <c r="AC891" s="93"/>
      <c r="AD891" s="93"/>
      <c r="AE891" s="93"/>
      <c r="AF891" s="119">
        <f>AF888</f>
        <v>3.1037984209172595</v>
      </c>
      <c r="AG891" s="93"/>
      <c r="AH891" s="93"/>
      <c r="AI891" s="93"/>
      <c r="AJ891" s="93"/>
      <c r="AK891" s="119">
        <f>AK888</f>
        <v>3.2360064797194217</v>
      </c>
      <c r="AL891" s="93"/>
      <c r="AM891" s="93"/>
      <c r="AN891" s="93"/>
      <c r="AO891" s="93"/>
      <c r="AP891" s="119">
        <f>AP888</f>
        <v>2.9757997326151404</v>
      </c>
      <c r="AQ891" s="93"/>
      <c r="AR891" s="93"/>
      <c r="AS891" s="93"/>
      <c r="AT891" s="93"/>
      <c r="AU891" s="104">
        <f>$AK891*(AU$74/$AK$74)</f>
        <v>4.5725954264805431</v>
      </c>
      <c r="AV891" s="93"/>
      <c r="AW891" s="93"/>
      <c r="AX891" s="93"/>
      <c r="AY891" s="93"/>
      <c r="AZ891" s="104">
        <f>$AK891*(AZ$74/$AK$74)</f>
        <v>5.1889395427800524</v>
      </c>
      <c r="BA891" s="93"/>
      <c r="BB891" s="93"/>
      <c r="BC891" s="93"/>
      <c r="BD891" s="93"/>
      <c r="BE891" s="104">
        <f>$AK891*(BE$74/$AK$74)</f>
        <v>5.0852385562879849</v>
      </c>
      <c r="BF891" s="93"/>
      <c r="BG891" s="93"/>
      <c r="BH891" s="93"/>
      <c r="BI891" s="93"/>
      <c r="BJ891" s="104">
        <f>$AK891*(BJ$74/$AK$74)</f>
        <v>4.8316962508236969</v>
      </c>
      <c r="BK891" s="93"/>
      <c r="BL891" s="93"/>
      <c r="BM891" s="93"/>
      <c r="BN891" s="93"/>
      <c r="BO891" s="104">
        <f>$AK891*(BO$74/$AK$74)</f>
        <v>4.7793702062856553</v>
      </c>
      <c r="BP891" s="114"/>
      <c r="BQ891" s="114"/>
      <c r="BR891" s="114"/>
      <c r="BS891" s="114"/>
      <c r="BT891" s="104">
        <f>$AK891*(BT$74/$AK$74)</f>
        <v>4.8324662971109236</v>
      </c>
      <c r="BU891" s="114"/>
      <c r="BV891" s="114"/>
      <c r="BW891" s="114"/>
      <c r="BX891" s="114"/>
      <c r="BY891" s="104">
        <f>$AK891*(BY$74/$AK$74)</f>
        <v>4.8855623879361918</v>
      </c>
      <c r="BZ891" s="114"/>
      <c r="CA891" s="114"/>
      <c r="CB891" s="114"/>
      <c r="CC891" s="114"/>
      <c r="CD891" s="104">
        <f>$AK891*(CD$74/$AK$74)</f>
        <v>4.9386584787614609</v>
      </c>
    </row>
    <row r="892" spans="1:83">
      <c r="A892" s="11"/>
      <c r="B892" s="11"/>
      <c r="C892" s="11"/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  <c r="AA892" s="11"/>
      <c r="AB892" s="11"/>
      <c r="AC892" s="11"/>
      <c r="AD892" s="11"/>
      <c r="AE892" s="11"/>
      <c r="AF892" s="11"/>
      <c r="AG892" s="11"/>
      <c r="AH892" s="11"/>
      <c r="AI892" s="11"/>
      <c r="AJ892" s="11"/>
      <c r="AK892" s="11"/>
      <c r="AL892" s="11"/>
      <c r="AM892" s="11"/>
      <c r="AN892" s="11"/>
      <c r="AO892" s="11"/>
      <c r="AP892" s="11"/>
      <c r="AQ892" s="11"/>
      <c r="AR892" s="11"/>
      <c r="AS892" s="11"/>
      <c r="AT892" s="11"/>
      <c r="AU892" s="11"/>
      <c r="AV892" s="11"/>
      <c r="AW892" s="11"/>
      <c r="AX892" s="11"/>
      <c r="AY892" s="11"/>
      <c r="AZ892" s="11"/>
      <c r="BA892" s="11"/>
      <c r="BB892" s="11"/>
      <c r="BC892" s="11"/>
      <c r="BD892" s="11"/>
      <c r="BE892" s="11"/>
      <c r="BF892" s="11"/>
      <c r="BG892" s="11"/>
      <c r="BH892" s="11"/>
      <c r="BI892" s="11"/>
      <c r="BJ892" s="11"/>
      <c r="BK892" s="11"/>
      <c r="BL892" s="11"/>
      <c r="BM892" s="11"/>
      <c r="BN892" s="11"/>
      <c r="BO892" s="11"/>
      <c r="BP892" s="11"/>
      <c r="BQ892" s="11"/>
      <c r="BR892" s="11"/>
      <c r="BS892" s="11"/>
      <c r="BT892" s="11"/>
      <c r="BU892" s="11"/>
      <c r="BV892" s="11"/>
      <c r="BW892" s="11"/>
      <c r="BX892" s="11"/>
      <c r="BY892" s="11"/>
      <c r="BZ892" s="11"/>
      <c r="CA892" s="11"/>
      <c r="CB892" s="11"/>
      <c r="CC892" s="11"/>
      <c r="CD892" s="11"/>
    </row>
    <row r="893" spans="1:83">
      <c r="A893" s="39" t="s">
        <v>3094</v>
      </c>
      <c r="B893" s="11"/>
      <c r="C893" s="11"/>
      <c r="D893" s="11"/>
      <c r="E893" s="11"/>
      <c r="F893" s="11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  <c r="AA893" s="11"/>
      <c r="AB893" s="11"/>
      <c r="AC893" s="11"/>
      <c r="AD893" s="11"/>
      <c r="AE893" s="11"/>
      <c r="AF893" s="11"/>
      <c r="AG893" s="11"/>
      <c r="AH893" s="11"/>
      <c r="AI893" s="11"/>
      <c r="AJ893" s="11"/>
      <c r="AK893" s="11"/>
      <c r="AL893" s="11"/>
      <c r="AM893" s="11"/>
      <c r="AN893" s="11"/>
      <c r="AO893" s="11"/>
      <c r="AP893" s="11"/>
      <c r="AQ893" s="11"/>
      <c r="AR893" s="11"/>
      <c r="AS893" s="11"/>
      <c r="AT893" s="11"/>
      <c r="AU893" s="11"/>
      <c r="AV893" s="11"/>
      <c r="AW893" s="11"/>
      <c r="AX893" s="11"/>
      <c r="AY893" s="11"/>
      <c r="AZ893" s="11"/>
      <c r="BA893" s="11"/>
      <c r="BB893" s="11"/>
      <c r="BC893" s="11"/>
      <c r="BD893" s="11"/>
      <c r="BE893" s="11"/>
      <c r="BF893" s="11"/>
      <c r="BG893" s="11"/>
      <c r="BH893" s="11"/>
      <c r="BI893" s="11"/>
      <c r="BJ893" s="11"/>
      <c r="BK893" s="11"/>
      <c r="BL893" s="11"/>
      <c r="BM893" s="11"/>
      <c r="BN893" s="11"/>
      <c r="BO893" s="11"/>
      <c r="BP893" s="11"/>
      <c r="BQ893" s="11"/>
      <c r="BR893" s="11"/>
      <c r="BS893" s="11"/>
      <c r="BT893" s="11"/>
      <c r="BU893" s="11"/>
      <c r="BV893" s="11"/>
      <c r="BW893" s="11"/>
      <c r="BX893" s="11"/>
      <c r="BY893" s="11"/>
      <c r="BZ893" s="11"/>
      <c r="CA893" s="11"/>
      <c r="CB893" s="11"/>
      <c r="CC893" s="11"/>
      <c r="CD893" s="11"/>
    </row>
    <row r="894" spans="1:83">
      <c r="A894" s="11"/>
      <c r="B894" s="11" t="s">
        <v>1897</v>
      </c>
      <c r="C894" s="72"/>
      <c r="D894" s="72"/>
      <c r="E894" s="72"/>
      <c r="F894" s="72"/>
      <c r="G894" s="72"/>
      <c r="H894" s="93"/>
      <c r="I894" s="93"/>
      <c r="J894" s="93"/>
      <c r="K894" s="93"/>
      <c r="L894" s="72"/>
      <c r="M894" s="93"/>
      <c r="N894" s="93"/>
      <c r="O894" s="93"/>
      <c r="P894" s="93"/>
      <c r="Q894" s="72"/>
      <c r="R894" s="93"/>
      <c r="S894" s="93"/>
      <c r="T894" s="93"/>
      <c r="U894" s="93"/>
      <c r="V894" s="72"/>
      <c r="W894" s="93"/>
      <c r="X894" s="93"/>
      <c r="Y894" s="93"/>
      <c r="Z894" s="93"/>
      <c r="AA894" s="116">
        <f>-AA857/AA855</f>
        <v>3.8417609801682066E-3</v>
      </c>
      <c r="AB894" s="93"/>
      <c r="AC894" s="93"/>
      <c r="AD894" s="93"/>
      <c r="AE894" s="93"/>
      <c r="AF894" s="116">
        <f>-AF857/AF855</f>
        <v>3.4429333792391119E-3</v>
      </c>
      <c r="AG894" s="93"/>
      <c r="AH894" s="93"/>
      <c r="AI894" s="93"/>
      <c r="AJ894" s="93"/>
      <c r="AK894" s="116">
        <f>-AK857/AK855</f>
        <v>4.4566544566544564E-3</v>
      </c>
      <c r="AL894" s="93"/>
      <c r="AM894" s="93"/>
      <c r="AN894" s="93"/>
      <c r="AO894" s="93"/>
      <c r="AP894" s="116">
        <f>-AP857/AP855</f>
        <v>6.5382207692842734E-3</v>
      </c>
      <c r="AQ894" s="93"/>
      <c r="AR894" s="93"/>
      <c r="AS894" s="93"/>
      <c r="AT894" s="93"/>
      <c r="AU894" s="116">
        <f>-AU857/AU855</f>
        <v>8.5246341790844414E-3</v>
      </c>
      <c r="AV894" s="93"/>
      <c r="AW894" s="93"/>
      <c r="AX894" s="93"/>
      <c r="AY894" s="93"/>
      <c r="AZ894" s="116">
        <f>-AZ857/AZ855</f>
        <v>5.1436969301110382E-3</v>
      </c>
      <c r="BA894" s="93"/>
      <c r="BB894" s="93"/>
      <c r="BC894" s="93"/>
      <c r="BD894" s="93"/>
      <c r="BE894" s="116">
        <f>-BE857/BE855</f>
        <v>5.3981106612685558E-3</v>
      </c>
      <c r="BF894" s="93"/>
      <c r="BG894" s="93"/>
      <c r="BH894" s="93"/>
      <c r="BI894" s="93"/>
      <c r="BJ894" s="116">
        <f>-BJ857/BJ855</f>
        <v>5.5426227690943356E-3</v>
      </c>
      <c r="BK894" s="93"/>
      <c r="BL894" s="93"/>
      <c r="BM894" s="93"/>
      <c r="BN894" s="93"/>
      <c r="BO894" s="116">
        <f>-BO857/BO855</f>
        <v>4.7105788423153694E-3</v>
      </c>
      <c r="BP894" s="117">
        <f t="shared" ref="BP894:CC894" ca="1" si="425">-BP857/BP855</f>
        <v>3.936930218889848E-3</v>
      </c>
      <c r="BQ894" s="117">
        <f t="shared" ca="1" si="425"/>
        <v>3.8598645022187746E-3</v>
      </c>
      <c r="BR894" s="117">
        <f t="shared" ca="1" si="425"/>
        <v>3.8678668428343377E-3</v>
      </c>
      <c r="BS894" s="117">
        <f t="shared" ca="1" si="425"/>
        <v>3.8608630624183539E-3</v>
      </c>
      <c r="BT894" s="116">
        <f ca="1">-BT857/BT855</f>
        <v>3.8811161780689645E-3</v>
      </c>
      <c r="BU894" s="117">
        <f t="shared" ca="1" si="425"/>
        <v>3.9603705799183386E-3</v>
      </c>
      <c r="BV894" s="117">
        <f t="shared" ca="1" si="425"/>
        <v>3.978536089561782E-3</v>
      </c>
      <c r="BW894" s="117">
        <f t="shared" ca="1" si="425"/>
        <v>3.9553354849933432E-3</v>
      </c>
      <c r="BX894" s="117">
        <f t="shared" ca="1" si="425"/>
        <v>3.89117160606086E-3</v>
      </c>
      <c r="BY894" s="116">
        <f ca="1">-BY857/BY855</f>
        <v>3.9460752382819847E-3</v>
      </c>
      <c r="BZ894" s="117">
        <f t="shared" ca="1" si="425"/>
        <v>3.8758099820190533E-3</v>
      </c>
      <c r="CA894" s="117">
        <f t="shared" ca="1" si="425"/>
        <v>3.8637831885482651E-3</v>
      </c>
      <c r="CB894" s="117">
        <f t="shared" ca="1" si="425"/>
        <v>3.813184239492784E-3</v>
      </c>
      <c r="CC894" s="117">
        <f t="shared" ca="1" si="425"/>
        <v>3.727979711686355E-3</v>
      </c>
      <c r="CD894" s="116">
        <f ca="1">-CD857/CD855</f>
        <v>3.8192935711730902E-3</v>
      </c>
      <c r="CE894" s="116"/>
    </row>
    <row r="895" spans="1:83">
      <c r="A895" s="11"/>
      <c r="B895" s="11" t="s">
        <v>2149</v>
      </c>
      <c r="C895" s="72"/>
      <c r="D895" s="72"/>
      <c r="E895" s="72"/>
      <c r="F895" s="72"/>
      <c r="G895" s="72"/>
      <c r="H895" s="93"/>
      <c r="I895" s="93"/>
      <c r="J895" s="93"/>
      <c r="K895" s="93"/>
      <c r="L895" s="72"/>
      <c r="M895" s="93"/>
      <c r="N895" s="93"/>
      <c r="O895" s="93"/>
      <c r="P895" s="93"/>
      <c r="Q895" s="72"/>
      <c r="R895" s="93"/>
      <c r="S895" s="93"/>
      <c r="T895" s="93"/>
      <c r="U895" s="93"/>
      <c r="V895" s="72"/>
      <c r="W895" s="93"/>
      <c r="X895" s="93"/>
      <c r="Y895" s="93"/>
      <c r="Z895" s="93"/>
      <c r="AA895" s="116">
        <f>-AA858/AA855</f>
        <v>0.16478039663586336</v>
      </c>
      <c r="AB895" s="93"/>
      <c r="AC895" s="93"/>
      <c r="AD895" s="93"/>
      <c r="AE895" s="93"/>
      <c r="AF895" s="116">
        <f>-AF858/AF855</f>
        <v>0.15372697538302635</v>
      </c>
      <c r="AG895" s="93"/>
      <c r="AH895" s="93"/>
      <c r="AI895" s="93"/>
      <c r="AJ895" s="93"/>
      <c r="AK895" s="116">
        <f>-AK858/AK855</f>
        <v>0.12564102564102564</v>
      </c>
      <c r="AL895" s="93"/>
      <c r="AM895" s="93"/>
      <c r="AN895" s="93"/>
      <c r="AO895" s="93"/>
      <c r="AP895" s="116">
        <f>-AP858/AP855</f>
        <v>0.13215552618766085</v>
      </c>
      <c r="AQ895" s="93"/>
      <c r="AR895" s="93"/>
      <c r="AS895" s="93"/>
      <c r="AT895" s="93"/>
      <c r="AU895" s="116">
        <f>-AU858/AU855</f>
        <v>0.10612162706403544</v>
      </c>
      <c r="AV895" s="93"/>
      <c r="AW895" s="93"/>
      <c r="AX895" s="93"/>
      <c r="AY895" s="93"/>
      <c r="AZ895" s="116">
        <f>-AZ858/AZ855</f>
        <v>0.12001959503592423</v>
      </c>
      <c r="BA895" s="93"/>
      <c r="BB895" s="93"/>
      <c r="BC895" s="93"/>
      <c r="BD895" s="93"/>
      <c r="BE895" s="116">
        <f>-BE858/BE855</f>
        <v>0.12986608533167238</v>
      </c>
      <c r="BF895" s="93"/>
      <c r="BG895" s="93"/>
      <c r="BH895" s="93"/>
      <c r="BI895" s="93"/>
      <c r="BJ895" s="116">
        <f>-BJ858/BJ855</f>
        <v>0.13867642168274028</v>
      </c>
      <c r="BK895" s="93"/>
      <c r="BL895" s="93"/>
      <c r="BM895" s="93"/>
      <c r="BN895" s="93"/>
      <c r="BO895" s="116">
        <f>-BO858/BO855</f>
        <v>0.12303393213572854</v>
      </c>
      <c r="BP895" s="117">
        <f t="shared" ref="BP895:CC895" ca="1" si="426">-BP858/BP855</f>
        <v>0.14075212150642732</v>
      </c>
      <c r="BQ895" s="117">
        <f t="shared" ca="1" si="426"/>
        <v>0.13740500668086261</v>
      </c>
      <c r="BR895" s="117">
        <f t="shared" ca="1" si="426"/>
        <v>0.13867258580593519</v>
      </c>
      <c r="BS895" s="117">
        <f t="shared" ca="1" si="426"/>
        <v>0.14124730847449718</v>
      </c>
      <c r="BT895" s="116">
        <f ca="1">-BT858/BT855</f>
        <v>0.1395135170232733</v>
      </c>
      <c r="BU895" s="117">
        <f t="shared" ca="1" si="426"/>
        <v>0.15064718411336839</v>
      </c>
      <c r="BV895" s="117">
        <f t="shared" ca="1" si="426"/>
        <v>0.15049666091961511</v>
      </c>
      <c r="BW895" s="117">
        <f t="shared" ca="1" si="426"/>
        <v>0.15063851978693182</v>
      </c>
      <c r="BX895" s="117">
        <f t="shared" ca="1" si="426"/>
        <v>0.15147519618624575</v>
      </c>
      <c r="BY895" s="116">
        <f ca="1">-BY858/BY855</f>
        <v>0.15081762312230426</v>
      </c>
      <c r="BZ895" s="117">
        <f t="shared" ca="1" si="426"/>
        <v>0.15671703968466599</v>
      </c>
      <c r="CA895" s="117">
        <f t="shared" ca="1" si="426"/>
        <v>0.15351759502726034</v>
      </c>
      <c r="CB895" s="117">
        <f t="shared" ca="1" si="426"/>
        <v>0.15250523652345252</v>
      </c>
      <c r="CC895" s="117">
        <f t="shared" ca="1" si="426"/>
        <v>0.15257748538935711</v>
      </c>
      <c r="CD895" s="116">
        <f ca="1">-CD858/CD855</f>
        <v>0.15381151341775035</v>
      </c>
      <c r="CE895" s="116"/>
    </row>
    <row r="896" spans="1:83">
      <c r="A896" s="11"/>
      <c r="B896" s="11" t="s">
        <v>2150</v>
      </c>
      <c r="C896" s="72"/>
      <c r="D896" s="72"/>
      <c r="E896" s="72"/>
      <c r="F896" s="72"/>
      <c r="G896" s="72"/>
      <c r="H896" s="93"/>
      <c r="I896" s="93"/>
      <c r="J896" s="93"/>
      <c r="K896" s="93"/>
      <c r="L896" s="72"/>
      <c r="M896" s="93"/>
      <c r="N896" s="93"/>
      <c r="O896" s="93"/>
      <c r="P896" s="93"/>
      <c r="Q896" s="72"/>
      <c r="R896" s="93"/>
      <c r="S896" s="93"/>
      <c r="T896" s="93"/>
      <c r="U896" s="93"/>
      <c r="V896" s="72"/>
      <c r="W896" s="93"/>
      <c r="X896" s="93"/>
      <c r="Y896" s="93"/>
      <c r="Z896" s="93"/>
      <c r="AA896" s="116">
        <f>-AA859/AA855</f>
        <v>0.42778527671062194</v>
      </c>
      <c r="AB896" s="93"/>
      <c r="AC896" s="93"/>
      <c r="AD896" s="93"/>
      <c r="AE896" s="93"/>
      <c r="AF896" s="116">
        <f>-AF859/AF855</f>
        <v>0.48166637975555171</v>
      </c>
      <c r="AG896" s="93"/>
      <c r="AH896" s="93"/>
      <c r="AI896" s="93"/>
      <c r="AJ896" s="93"/>
      <c r="AK896" s="116">
        <f>-AK859/AK855</f>
        <v>0.49603174603174605</v>
      </c>
      <c r="AL896" s="93"/>
      <c r="AM896" s="93"/>
      <c r="AN896" s="93"/>
      <c r="AO896" s="93"/>
      <c r="AP896" s="116">
        <f>-AP859/AP855</f>
        <v>0.53175210405508799</v>
      </c>
      <c r="AQ896" s="93"/>
      <c r="AR896" s="93"/>
      <c r="AS896" s="93"/>
      <c r="AT896" s="93"/>
      <c r="AU896" s="116">
        <f>-AU859/AU855</f>
        <v>0.54745603436702917</v>
      </c>
      <c r="AV896" s="93"/>
      <c r="AW896" s="93"/>
      <c r="AX896" s="93"/>
      <c r="AY896" s="93"/>
      <c r="AZ896" s="116">
        <f>-AZ859/AZ855</f>
        <v>0.48220117570215543</v>
      </c>
      <c r="BA896" s="93"/>
      <c r="BB896" s="93"/>
      <c r="BC896" s="93"/>
      <c r="BD896" s="93"/>
      <c r="BE896" s="116">
        <f>-BE859/BE855</f>
        <v>0.44627841793833695</v>
      </c>
      <c r="BF896" s="93"/>
      <c r="BG896" s="93"/>
      <c r="BH896" s="93"/>
      <c r="BI896" s="93"/>
      <c r="BJ896" s="116">
        <f>-BJ859/BJ855</f>
        <v>0.41492074049440197</v>
      </c>
      <c r="BK896" s="93"/>
      <c r="BL896" s="93"/>
      <c r="BM896" s="93"/>
      <c r="BN896" s="93"/>
      <c r="BO896" s="116">
        <f>-BO859/BO855</f>
        <v>0.49005988023952096</v>
      </c>
      <c r="BP896" s="117">
        <f ca="1">BT896</f>
        <v>0.45108951087411076</v>
      </c>
      <c r="BQ896" s="117">
        <f ca="1">BT896</f>
        <v>0.45108951087411076</v>
      </c>
      <c r="BR896" s="117">
        <f ca="1">BT896</f>
        <v>0.45108951087411076</v>
      </c>
      <c r="BS896" s="117">
        <f ca="1">BT896</f>
        <v>0.45108951087411076</v>
      </c>
      <c r="BT896" s="116">
        <f ca="1">-BT859/BT855</f>
        <v>0.45108951087411076</v>
      </c>
      <c r="BU896" s="117">
        <f ca="1">BY896</f>
        <v>0.45</v>
      </c>
      <c r="BV896" s="117">
        <f ca="1">BY896</f>
        <v>0.45</v>
      </c>
      <c r="BW896" s="117">
        <f ca="1">BY896</f>
        <v>0.45</v>
      </c>
      <c r="BX896" s="117">
        <f ca="1">BY896</f>
        <v>0.45</v>
      </c>
      <c r="BY896" s="116">
        <f ca="1">-BY859/BY855</f>
        <v>0.45</v>
      </c>
      <c r="BZ896" s="117">
        <f ca="1">CD896</f>
        <v>0.45000000000000007</v>
      </c>
      <c r="CA896" s="117">
        <f ca="1">CD896</f>
        <v>0.45000000000000007</v>
      </c>
      <c r="CB896" s="117">
        <f ca="1">CD896</f>
        <v>0.45000000000000007</v>
      </c>
      <c r="CC896" s="117">
        <f ca="1">CD896</f>
        <v>0.45000000000000007</v>
      </c>
      <c r="CD896" s="116">
        <f ca="1">-CD859/CD855</f>
        <v>0.45000000000000007</v>
      </c>
      <c r="CE896" s="116"/>
    </row>
    <row r="897" spans="1:83">
      <c r="A897" s="11"/>
      <c r="B897" s="11" t="s">
        <v>2158</v>
      </c>
      <c r="C897" s="72"/>
      <c r="D897" s="72"/>
      <c r="E897" s="72"/>
      <c r="F897" s="72"/>
      <c r="G897" s="72"/>
      <c r="H897" s="93"/>
      <c r="I897" s="93"/>
      <c r="J897" s="93"/>
      <c r="K897" s="93"/>
      <c r="L897" s="72"/>
      <c r="M897" s="93"/>
      <c r="N897" s="93"/>
      <c r="O897" s="93"/>
      <c r="P897" s="93"/>
      <c r="Q897" s="72"/>
      <c r="R897" s="93"/>
      <c r="S897" s="93"/>
      <c r="T897" s="93"/>
      <c r="U897" s="93"/>
      <c r="V897" s="72"/>
      <c r="W897" s="93"/>
      <c r="X897" s="93"/>
      <c r="Y897" s="93"/>
      <c r="Z897" s="93"/>
      <c r="AA897" s="116">
        <f>-AA860/AA855</f>
        <v>1.0383137784238396E-3</v>
      </c>
      <c r="AB897" s="93"/>
      <c r="AC897" s="93"/>
      <c r="AD897" s="93"/>
      <c r="AE897" s="93"/>
      <c r="AF897" s="116">
        <f>-AF860/AF855</f>
        <v>8.6073334480977787E-5</v>
      </c>
      <c r="AG897" s="93"/>
      <c r="AH897" s="93"/>
      <c r="AI897" s="93"/>
      <c r="AJ897" s="93"/>
      <c r="AK897" s="116">
        <f>-AK860/AK855</f>
        <v>6.105006105006105E-5</v>
      </c>
      <c r="AL897" s="93"/>
      <c r="AM897" s="93"/>
      <c r="AN897" s="93"/>
      <c r="AO897" s="93"/>
      <c r="AP897" s="116">
        <f>-AP860/AP855</f>
        <v>-1.8084440425679906E-3</v>
      </c>
      <c r="AQ897" s="93"/>
      <c r="AR897" s="93"/>
      <c r="AS897" s="93"/>
      <c r="AT897" s="93"/>
      <c r="AU897" s="116">
        <f>-AU860/AU855</f>
        <v>6.2424486508256142E-3</v>
      </c>
      <c r="AV897" s="93"/>
      <c r="AW897" s="93"/>
      <c r="AX897" s="93"/>
      <c r="AY897" s="93"/>
      <c r="AZ897" s="116">
        <f>-AZ860/AZ855</f>
        <v>2.465708687132593E-2</v>
      </c>
      <c r="BA897" s="93"/>
      <c r="BB897" s="93"/>
      <c r="BC897" s="93"/>
      <c r="BD897" s="93"/>
      <c r="BE897" s="116">
        <f>-BE860/BE855</f>
        <v>2.9481988996159038E-2</v>
      </c>
      <c r="BF897" s="93"/>
      <c r="BG897" s="93"/>
      <c r="BH897" s="93"/>
      <c r="BI897" s="93"/>
      <c r="BJ897" s="116">
        <f>-BJ860/BJ855</f>
        <v>4.1126260946679968E-2</v>
      </c>
      <c r="BK897" s="93"/>
      <c r="BL897" s="93"/>
      <c r="BM897" s="93"/>
      <c r="BN897" s="93"/>
      <c r="BO897" s="116">
        <f>-BO860/BO855</f>
        <v>3.2255489021956088E-2</v>
      </c>
      <c r="BP897" s="117">
        <f t="shared" ref="BP897:CC897" ca="1" si="427">-BP860/BP855</f>
        <v>4.0255111488148698E-2</v>
      </c>
      <c r="BQ897" s="117">
        <f t="shared" ca="1" si="427"/>
        <v>3.9467114535186969E-2</v>
      </c>
      <c r="BR897" s="117">
        <f t="shared" ca="1" si="427"/>
        <v>3.9548938467981104E-2</v>
      </c>
      <c r="BS897" s="117">
        <f t="shared" ca="1" si="427"/>
        <v>3.9477324813227667E-2</v>
      </c>
      <c r="BT897" s="116">
        <f ca="1">-BT860/BT855</f>
        <v>3.9684412920755162E-2</v>
      </c>
      <c r="BU897" s="117">
        <f t="shared" ca="1" si="427"/>
        <v>4.0494789179665015E-2</v>
      </c>
      <c r="BV897" s="117">
        <f t="shared" ca="1" si="427"/>
        <v>4.0680531515769225E-2</v>
      </c>
      <c r="BW897" s="117">
        <f t="shared" ca="1" si="427"/>
        <v>4.0443305334056934E-2</v>
      </c>
      <c r="BX897" s="117">
        <f t="shared" ca="1" si="427"/>
        <v>3.9787229671972298E-2</v>
      </c>
      <c r="BY897" s="116">
        <f ca="1">-BY860/BY855</f>
        <v>4.0348619311433291E-2</v>
      </c>
      <c r="BZ897" s="117">
        <f t="shared" ca="1" si="427"/>
        <v>3.9630157066144818E-2</v>
      </c>
      <c r="CA897" s="117">
        <f t="shared" ca="1" si="427"/>
        <v>3.9507183102906011E-2</v>
      </c>
      <c r="CB897" s="117">
        <f t="shared" ca="1" si="427"/>
        <v>3.8989808848813715E-2</v>
      </c>
      <c r="CC897" s="117">
        <f t="shared" ca="1" si="427"/>
        <v>3.8118592551992979E-2</v>
      </c>
      <c r="CD897" s="116">
        <f ca="1">-CD860/CD855</f>
        <v>3.905227676524485E-2</v>
      </c>
      <c r="CE897" s="116"/>
    </row>
    <row r="898" spans="1:83">
      <c r="A898" s="11"/>
      <c r="B898" s="11" t="s">
        <v>2154</v>
      </c>
      <c r="C898" s="72"/>
      <c r="D898" s="72"/>
      <c r="E898" s="72"/>
      <c r="F898" s="72"/>
      <c r="G898" s="72"/>
      <c r="H898" s="93"/>
      <c r="I898" s="93"/>
      <c r="J898" s="93"/>
      <c r="K898" s="93"/>
      <c r="L898" s="72"/>
      <c r="M898" s="93"/>
      <c r="N898" s="93"/>
      <c r="O898" s="93"/>
      <c r="P898" s="93"/>
      <c r="Q898" s="72"/>
      <c r="R898" s="93"/>
      <c r="S898" s="93"/>
      <c r="T898" s="93"/>
      <c r="U898" s="93"/>
      <c r="V898" s="72"/>
      <c r="W898" s="93"/>
      <c r="X898" s="93"/>
      <c r="Y898" s="93"/>
      <c r="Z898" s="93"/>
      <c r="AA898" s="116">
        <f>-AA861/AA855</f>
        <v>0.13986086595369121</v>
      </c>
      <c r="AB898" s="93"/>
      <c r="AC898" s="93"/>
      <c r="AD898" s="93"/>
      <c r="AE898" s="93"/>
      <c r="AF898" s="116">
        <f>-AF861/AF855</f>
        <v>0.11335858151144776</v>
      </c>
      <c r="AG898" s="93"/>
      <c r="AH898" s="93"/>
      <c r="AI898" s="93"/>
      <c r="AJ898" s="93"/>
      <c r="AK898" s="116">
        <f>-AK861/AK855</f>
        <v>8.6630036630036628E-2</v>
      </c>
      <c r="AL898" s="93"/>
      <c r="AM898" s="93"/>
      <c r="AN898" s="93"/>
      <c r="AO898" s="93"/>
      <c r="AP898" s="116">
        <f>-AP861/AP855</f>
        <v>9.2091535090769977E-2</v>
      </c>
      <c r="AQ898" s="93"/>
      <c r="AR898" s="93"/>
      <c r="AS898" s="93"/>
      <c r="AT898" s="93"/>
      <c r="AU898" s="116">
        <f>-AU861/AU855</f>
        <v>0.11921063229963753</v>
      </c>
      <c r="AV898" s="93"/>
      <c r="AW898" s="93"/>
      <c r="AX898" s="93"/>
      <c r="AY898" s="93"/>
      <c r="AZ898" s="116">
        <f>-AZ861/AZ855</f>
        <v>0.15349444807315479</v>
      </c>
      <c r="BA898" s="93"/>
      <c r="BB898" s="93"/>
      <c r="BC898" s="93"/>
      <c r="BD898" s="93"/>
      <c r="BE898" s="116">
        <f>-BE861/BE855</f>
        <v>0.15322329492369979</v>
      </c>
      <c r="BF898" s="93"/>
      <c r="BG898" s="93"/>
      <c r="BH898" s="93"/>
      <c r="BI898" s="93"/>
      <c r="BJ898" s="116">
        <f>-BJ861/BJ855</f>
        <v>0.16162287994679081</v>
      </c>
      <c r="BK898" s="93"/>
      <c r="BL898" s="93"/>
      <c r="BM898" s="93"/>
      <c r="BN898" s="93"/>
      <c r="BO898" s="116">
        <f>-BO861/BO855</f>
        <v>0.15848303393213573</v>
      </c>
      <c r="BP898" s="117">
        <f t="shared" ref="BP898:CC898" ca="1" si="428">-BP861/BP855</f>
        <v>0.12001006379567694</v>
      </c>
      <c r="BQ898" s="117">
        <f t="shared" ca="1" si="428"/>
        <v>0.11726398358106374</v>
      </c>
      <c r="BR898" s="117">
        <f t="shared" ca="1" si="428"/>
        <v>0.11837307414569026</v>
      </c>
      <c r="BS898" s="117">
        <f t="shared" ca="1" si="428"/>
        <v>0.12042480489496787</v>
      </c>
      <c r="BT898" s="116">
        <f ca="1">-BT861/BT855</f>
        <v>0.11901334379056197</v>
      </c>
      <c r="BU898" s="117">
        <f t="shared" ca="1" si="428"/>
        <v>0.11915493097887768</v>
      </c>
      <c r="BV898" s="117">
        <f t="shared" ca="1" si="428"/>
        <v>0.11903587411851915</v>
      </c>
      <c r="BW898" s="117">
        <f t="shared" ca="1" si="428"/>
        <v>0.11914807789878462</v>
      </c>
      <c r="BX898" s="117">
        <f t="shared" ca="1" si="428"/>
        <v>0.11980985009982943</v>
      </c>
      <c r="BY898" s="116">
        <f ca="1">-BY861/BY855</f>
        <v>0.11928974032473696</v>
      </c>
      <c r="BZ898" s="117">
        <f t="shared" ca="1" si="428"/>
        <v>0.12224688068277324</v>
      </c>
      <c r="CA898" s="117">
        <f t="shared" ca="1" si="428"/>
        <v>0.11975115890247423</v>
      </c>
      <c r="CB898" s="117">
        <f t="shared" ca="1" si="428"/>
        <v>0.11896147024148243</v>
      </c>
      <c r="CC898" s="117">
        <f t="shared" ca="1" si="428"/>
        <v>0.11901782785586487</v>
      </c>
      <c r="CD898" s="116">
        <f ca="1">-CD861/CD855</f>
        <v>0.11998042948137874</v>
      </c>
      <c r="CE898" s="116"/>
    </row>
    <row r="899" spans="1:83">
      <c r="A899" s="11"/>
      <c r="B899" s="4" t="s">
        <v>930</v>
      </c>
      <c r="C899" s="72"/>
      <c r="D899" s="72"/>
      <c r="E899" s="72"/>
      <c r="F899" s="72"/>
      <c r="G899" s="72"/>
      <c r="H899" s="93"/>
      <c r="I899" s="93"/>
      <c r="J899" s="93"/>
      <c r="K899" s="93"/>
      <c r="L899" s="72"/>
      <c r="M899" s="93"/>
      <c r="N899" s="93"/>
      <c r="O899" s="93"/>
      <c r="P899" s="93"/>
      <c r="Q899" s="72"/>
      <c r="R899" s="93"/>
      <c r="S899" s="93"/>
      <c r="T899" s="93"/>
      <c r="U899" s="93"/>
      <c r="V899" s="72"/>
      <c r="W899" s="93"/>
      <c r="X899" s="93"/>
      <c r="Y899" s="93"/>
      <c r="Z899" s="93"/>
      <c r="AA899" s="116">
        <f>-AA862/AA855</f>
        <v>7.475859204651646E-3</v>
      </c>
      <c r="AB899" s="93"/>
      <c r="AC899" s="93"/>
      <c r="AD899" s="93"/>
      <c r="AE899" s="93"/>
      <c r="AF899" s="116">
        <f>-AF862/AF855</f>
        <v>3.7011533826820449E-3</v>
      </c>
      <c r="AG899" s="93"/>
      <c r="AH899" s="93"/>
      <c r="AI899" s="93"/>
      <c r="AJ899" s="93"/>
      <c r="AK899" s="116">
        <f>-AK862/AK855</f>
        <v>0</v>
      </c>
      <c r="AL899" s="93"/>
      <c r="AM899" s="93"/>
      <c r="AN899" s="93"/>
      <c r="AO899" s="93"/>
      <c r="AP899" s="116">
        <f>-AP862/AP855</f>
        <v>-1.8779995826667594E-3</v>
      </c>
      <c r="AQ899" s="93"/>
      <c r="AR899" s="93"/>
      <c r="AS899" s="93"/>
      <c r="AT899" s="93"/>
      <c r="AU899" s="116">
        <f>-AU862/AU855</f>
        <v>2.483554839575782E-3</v>
      </c>
      <c r="AV899" s="93"/>
      <c r="AW899" s="93"/>
      <c r="AX899" s="93"/>
      <c r="AY899" s="93"/>
      <c r="AZ899" s="116">
        <f>-AZ862/AZ855</f>
        <v>0</v>
      </c>
      <c r="BA899" s="93"/>
      <c r="BB899" s="93"/>
      <c r="BC899" s="93"/>
      <c r="BD899" s="93"/>
      <c r="BE899" s="116">
        <f>-BE862/BE855</f>
        <v>3.633343714315374E-3</v>
      </c>
      <c r="BF899" s="93"/>
      <c r="BG899" s="93"/>
      <c r="BH899" s="93"/>
      <c r="BI899" s="93"/>
      <c r="BJ899" s="116">
        <f>-BJ862/BJ855</f>
        <v>2.7713113845471678E-3</v>
      </c>
      <c r="BK899" s="93"/>
      <c r="BL899" s="93"/>
      <c r="BM899" s="93"/>
      <c r="BN899" s="93"/>
      <c r="BO899" s="116">
        <f>-BO862/BO855</f>
        <v>4.311377245508982E-3</v>
      </c>
      <c r="BP899" s="117">
        <f t="shared" ref="BP899:CC899" ca="1" si="429">-BP862/BP855</f>
        <v>0</v>
      </c>
      <c r="BQ899" s="117">
        <f t="shared" ca="1" si="429"/>
        <v>0</v>
      </c>
      <c r="BR899" s="117">
        <f t="shared" ca="1" si="429"/>
        <v>0</v>
      </c>
      <c r="BS899" s="117">
        <f t="shared" ca="1" si="429"/>
        <v>0</v>
      </c>
      <c r="BT899" s="116">
        <f ca="1">-BT862/BT855</f>
        <v>0</v>
      </c>
      <c r="BU899" s="117">
        <f t="shared" ca="1" si="429"/>
        <v>0</v>
      </c>
      <c r="BV899" s="117">
        <f t="shared" ca="1" si="429"/>
        <v>0</v>
      </c>
      <c r="BW899" s="117">
        <f t="shared" ca="1" si="429"/>
        <v>0</v>
      </c>
      <c r="BX899" s="117">
        <f t="shared" ca="1" si="429"/>
        <v>0</v>
      </c>
      <c r="BY899" s="116">
        <f ca="1">-BY862/BY855</f>
        <v>0</v>
      </c>
      <c r="BZ899" s="117">
        <f t="shared" ca="1" si="429"/>
        <v>0</v>
      </c>
      <c r="CA899" s="117">
        <f t="shared" ca="1" si="429"/>
        <v>0</v>
      </c>
      <c r="CB899" s="117">
        <f t="shared" ca="1" si="429"/>
        <v>0</v>
      </c>
      <c r="CC899" s="117">
        <f t="shared" ca="1" si="429"/>
        <v>0</v>
      </c>
      <c r="CD899" s="116">
        <f ca="1">-CD862/CD855</f>
        <v>0</v>
      </c>
      <c r="CE899" s="116"/>
    </row>
    <row r="900" spans="1:83">
      <c r="A900" s="11"/>
      <c r="B900" s="11"/>
      <c r="C900" s="11"/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  <c r="AA900" s="11"/>
      <c r="AB900" s="11"/>
      <c r="AC900" s="11"/>
      <c r="AD900" s="11"/>
      <c r="AE900" s="11"/>
      <c r="AF900" s="11"/>
      <c r="AG900" s="11"/>
      <c r="AH900" s="11"/>
      <c r="AI900" s="11"/>
      <c r="AJ900" s="11"/>
      <c r="AK900" s="11"/>
      <c r="AL900" s="11"/>
      <c r="AM900" s="11"/>
      <c r="AN900" s="11"/>
      <c r="AO900" s="11"/>
      <c r="AP900" s="11"/>
      <c r="AQ900" s="11"/>
      <c r="AR900" s="11"/>
      <c r="AS900" s="11"/>
      <c r="AT900" s="11"/>
      <c r="AU900" s="11"/>
      <c r="AV900" s="11"/>
      <c r="AW900" s="11"/>
      <c r="AX900" s="11"/>
      <c r="AY900" s="11"/>
      <c r="AZ900" s="11"/>
      <c r="BA900" s="11"/>
      <c r="BB900" s="11"/>
      <c r="BC900" s="11"/>
      <c r="BD900" s="11"/>
      <c r="BE900" s="11"/>
      <c r="BF900" s="11"/>
      <c r="BG900" s="11"/>
      <c r="BH900" s="11"/>
      <c r="BI900" s="11"/>
      <c r="BJ900" s="11"/>
      <c r="BK900" s="11"/>
      <c r="BL900" s="11"/>
      <c r="BM900" s="11"/>
      <c r="BN900" s="11"/>
      <c r="BO900" s="11"/>
      <c r="BP900" s="11"/>
      <c r="BQ900" s="11"/>
      <c r="BR900" s="11"/>
      <c r="BS900" s="11"/>
      <c r="BT900" s="11"/>
      <c r="BU900" s="11"/>
      <c r="BV900" s="11"/>
      <c r="BW900" s="11"/>
      <c r="BX900" s="11"/>
      <c r="BY900" s="11"/>
      <c r="BZ900" s="11"/>
      <c r="CA900" s="11"/>
      <c r="CB900" s="11"/>
      <c r="CC900" s="11"/>
      <c r="CD900" s="11"/>
      <c r="CE900" s="11"/>
    </row>
    <row r="901" spans="1:83">
      <c r="A901" s="11" t="s">
        <v>3095</v>
      </c>
      <c r="B901" s="11"/>
      <c r="C901" s="72"/>
      <c r="D901" s="72"/>
      <c r="E901" s="72"/>
      <c r="F901" s="72"/>
      <c r="G901" s="72"/>
      <c r="H901" s="93"/>
      <c r="I901" s="93"/>
      <c r="J901" s="93"/>
      <c r="K901" s="93"/>
      <c r="L901" s="72"/>
      <c r="M901" s="93"/>
      <c r="N901" s="93"/>
      <c r="O901" s="93"/>
      <c r="P901" s="93"/>
      <c r="Q901" s="72"/>
      <c r="R901" s="93"/>
      <c r="S901" s="93"/>
      <c r="T901" s="93"/>
      <c r="U901" s="93"/>
      <c r="V901" s="72"/>
      <c r="W901" s="93"/>
      <c r="X901" s="93"/>
      <c r="Y901" s="93"/>
      <c r="Z901" s="93"/>
      <c r="AA901" s="116">
        <f>-AA865/AA863</f>
        <v>0.20382424735557364</v>
      </c>
      <c r="AB901" s="93"/>
      <c r="AC901" s="93"/>
      <c r="AD901" s="93"/>
      <c r="AE901" s="93"/>
      <c r="AF901" s="116">
        <f>-AF865/AF863</f>
        <v>0.17918871252204585</v>
      </c>
      <c r="AG901" s="93"/>
      <c r="AH901" s="93"/>
      <c r="AI901" s="93"/>
      <c r="AJ901" s="93"/>
      <c r="AK901" s="116">
        <f>-AK865/AK863</f>
        <v>0.1753826530612245</v>
      </c>
      <c r="AL901" s="93"/>
      <c r="AM901" s="93"/>
      <c r="AN901" s="93"/>
      <c r="AO901" s="93"/>
      <c r="AP901" s="116">
        <f>-AP865/AP863</f>
        <v>0.17017594462070953</v>
      </c>
      <c r="AQ901" s="93"/>
      <c r="AR901" s="93"/>
      <c r="AS901" s="93"/>
      <c r="AT901" s="93"/>
      <c r="AU901" s="116">
        <f>-AU865/AU863</f>
        <v>0.1301150895140665</v>
      </c>
      <c r="AV901" s="93"/>
      <c r="AW901" s="93"/>
      <c r="AX901" s="93"/>
      <c r="AY901" s="93"/>
      <c r="AZ901" s="116">
        <f>-AZ865/AZ863</f>
        <v>0.25352112676056338</v>
      </c>
      <c r="BA901" s="93"/>
      <c r="BB901" s="93"/>
      <c r="BC901" s="93"/>
      <c r="BD901" s="93"/>
      <c r="BE901" s="116">
        <f>-BE865/BE863</f>
        <v>0.20125223613595708</v>
      </c>
      <c r="BF901" s="93"/>
      <c r="BG901" s="93"/>
      <c r="BH901" s="93"/>
      <c r="BI901" s="93"/>
      <c r="BJ901" s="116">
        <f>-BJ865/BJ863</f>
        <v>0.20536975977390484</v>
      </c>
      <c r="BK901" s="93"/>
      <c r="BL901" s="93"/>
      <c r="BM901" s="93"/>
      <c r="BN901" s="93"/>
      <c r="BO901" s="116">
        <f>-BO865/BO863</f>
        <v>0.19496587030716722</v>
      </c>
      <c r="BP901" s="117">
        <f ca="1">BT901</f>
        <v>0.20000000000000004</v>
      </c>
      <c r="BQ901" s="117">
        <f ca="1">BT901</f>
        <v>0.20000000000000004</v>
      </c>
      <c r="BR901" s="117">
        <f ca="1">BT901</f>
        <v>0.20000000000000004</v>
      </c>
      <c r="BS901" s="117">
        <f ca="1">BT901</f>
        <v>0.20000000000000004</v>
      </c>
      <c r="BT901" s="116">
        <f ca="1">-BT865/BT863</f>
        <v>0.20000000000000004</v>
      </c>
      <c r="BU901" s="117">
        <f ca="1">BY901</f>
        <v>0.20000000000000004</v>
      </c>
      <c r="BV901" s="117">
        <f ca="1">BY901</f>
        <v>0.20000000000000004</v>
      </c>
      <c r="BW901" s="117">
        <f ca="1">BY901</f>
        <v>0.20000000000000004</v>
      </c>
      <c r="BX901" s="117">
        <f ca="1">BY901</f>
        <v>0.20000000000000004</v>
      </c>
      <c r="BY901" s="116">
        <f ca="1">-BY865/BY863</f>
        <v>0.20000000000000004</v>
      </c>
      <c r="BZ901" s="117">
        <f ca="1">CD901</f>
        <v>0.2</v>
      </c>
      <c r="CA901" s="117">
        <f ca="1">CD901</f>
        <v>0.2</v>
      </c>
      <c r="CB901" s="117">
        <f ca="1">CD901</f>
        <v>0.2</v>
      </c>
      <c r="CC901" s="117">
        <f ca="1">CD901</f>
        <v>0.2</v>
      </c>
      <c r="CD901" s="116">
        <f ca="1">-CD865/CD863</f>
        <v>0.2</v>
      </c>
      <c r="CE901" s="116"/>
    </row>
  </sheetData>
  <phoneticPr fontId="14" type="noConversion"/>
  <pageMargins left="0.75" right="0.75" top="1" bottom="1" header="0.5" footer="0.5"/>
  <pageSetup paperSize="9" scale="22" fitToHeight="0" orientation="landscape" r:id="rId1"/>
  <headerFooter alignWithMargins="0"/>
  <rowBreaks count="8" manualBreakCount="8">
    <brk id="85" max="16383" man="1"/>
    <brk id="216" max="16383" man="1"/>
    <brk id="269" max="16383" man="1"/>
    <brk id="321" max="16383" man="1"/>
    <brk id="411" max="16383" man="1"/>
    <brk id="463" max="16383" man="1"/>
    <brk id="515" max="16383" man="1"/>
    <brk id="575" max="16383" man="1"/>
  </rowBreaks>
  <drawing r:id="rId2"/>
  <legacyDrawing r:id="rId3"/>
  <controls>
    <mc:AlternateContent xmlns:mc="http://schemas.openxmlformats.org/markup-compatibility/2006">
      <mc:Choice Requires="x14">
        <control shapeId="7226" r:id="rId4" name="XLDataChannel1">
          <controlPr defaultSize="0" print="0" autoLine="0" linkedCell="CG755" r:id="rId5">
            <anchor moveWithCells="1">
              <from>
                <xdr:col>26</xdr:col>
                <xdr:colOff>304800</xdr:colOff>
                <xdr:row>1266</xdr:row>
                <xdr:rowOff>104775</xdr:rowOff>
              </from>
              <to>
                <xdr:col>31</xdr:col>
                <xdr:colOff>276225</xdr:colOff>
                <xdr:row>1267</xdr:row>
                <xdr:rowOff>104775</xdr:rowOff>
              </to>
            </anchor>
          </controlPr>
        </control>
      </mc:Choice>
      <mc:Fallback>
        <control shapeId="7226" r:id="rId4" name="XLDataChannel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 enableFormatConditionsCalculation="0">
    <tabColor indexed="26"/>
  </sheetPr>
  <dimension ref="A1:ES105"/>
  <sheetViews>
    <sheetView zoomScale="85" zoomScaleNormal="85" workbookViewId="0">
      <pane xSplit="2" ySplit="9" topLeftCell="AF10" activePane="bottomRight" state="frozen"/>
      <selection sqref="A1:IV65536"/>
      <selection pane="topRight" sqref="A1:IV65536"/>
      <selection pane="bottomLeft" sqref="A1:IV65536"/>
      <selection pane="bottomRight" sqref="A1:XFD1048576"/>
    </sheetView>
  </sheetViews>
  <sheetFormatPr defaultColWidth="9.7109375" defaultRowHeight="12.75" outlineLevelCol="1"/>
  <cols>
    <col min="1" max="1" width="3.7109375" customWidth="1"/>
    <col min="2" max="2" width="35.7109375" customWidth="1"/>
    <col min="3" max="3" width="9.7109375" customWidth="1"/>
    <col min="4" max="7" width="9.7109375" hidden="1" customWidth="1"/>
    <col min="8" max="11" width="9.7109375" hidden="1" customWidth="1" outlineLevel="1"/>
    <col min="12" max="12" width="9.7109375" hidden="1" customWidth="1" collapsed="1"/>
    <col min="13" max="16" width="9.7109375" hidden="1" customWidth="1" outlineLevel="1"/>
    <col min="17" max="17" width="9.7109375" hidden="1" customWidth="1" collapsed="1"/>
    <col min="18" max="21" width="9.7109375" hidden="1" customWidth="1" outlineLevel="1"/>
    <col min="22" max="22" width="9.7109375" hidden="1" customWidth="1" collapsed="1"/>
    <col min="23" max="26" width="9.7109375" hidden="1" customWidth="1" outlineLevel="1"/>
    <col min="27" max="27" width="9.7109375" hidden="1" customWidth="1" collapsed="1"/>
    <col min="28" max="31" width="9.7109375" hidden="1" customWidth="1" outlineLevel="1"/>
    <col min="32" max="32" width="9.7109375" customWidth="1" collapsed="1"/>
    <col min="33" max="36" width="9.7109375" hidden="1" customWidth="1" outlineLevel="1"/>
    <col min="37" max="37" width="9.7109375" customWidth="1" collapsed="1"/>
    <col min="38" max="41" width="9.7109375" hidden="1" customWidth="1" outlineLevel="1"/>
    <col min="42" max="42" width="9.7109375" customWidth="1" collapsed="1"/>
    <col min="43" max="46" width="9.7109375" hidden="1" customWidth="1" outlineLevel="1"/>
    <col min="47" max="47" width="9.7109375" customWidth="1" collapsed="1"/>
    <col min="48" max="51" width="9.7109375" hidden="1" customWidth="1" outlineLevel="1"/>
    <col min="52" max="52" width="9.7109375" customWidth="1" collapsed="1"/>
    <col min="53" max="56" width="9.7109375" hidden="1" customWidth="1" outlineLevel="1"/>
    <col min="57" max="57" width="9.7109375" customWidth="1" collapsed="1"/>
    <col min="58" max="61" width="9.7109375" hidden="1" customWidth="1" outlineLevel="1"/>
    <col min="62" max="62" width="9.7109375" customWidth="1" collapsed="1"/>
    <col min="63" max="66" width="9.7109375" hidden="1" customWidth="1" outlineLevel="1"/>
    <col min="67" max="67" width="9.7109375" customWidth="1" collapsed="1"/>
    <col min="68" max="71" width="9.7109375" customWidth="1" outlineLevel="1"/>
    <col min="72" max="72" width="9.7109375" customWidth="1"/>
    <col min="73" max="76" width="9.7109375" hidden="1" customWidth="1" outlineLevel="1"/>
    <col min="77" max="77" width="9.7109375" customWidth="1" collapsed="1"/>
    <col min="78" max="81" width="9.7109375" hidden="1" customWidth="1" outlineLevel="1"/>
    <col min="82" max="82" width="9.7109375" customWidth="1" collapsed="1"/>
    <col min="83" max="147" width="9.7109375" hidden="1" customWidth="1" outlineLevel="1"/>
    <col min="148" max="148" width="9.7109375" collapsed="1"/>
  </cols>
  <sheetData>
    <row r="1" spans="1:147" ht="12.75" customHeight="1">
      <c r="A1" s="1"/>
      <c r="B1" s="1"/>
      <c r="C1" s="1"/>
      <c r="D1" s="2"/>
      <c r="E1" s="2"/>
      <c r="F1" s="2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3"/>
      <c r="T1" s="3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 t="s">
        <v>3421</v>
      </c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</row>
    <row r="2" spans="1:147" ht="18" customHeight="1">
      <c r="A2" s="1"/>
      <c r="B2" s="20" t="s">
        <v>3369</v>
      </c>
      <c r="C2" s="1"/>
      <c r="D2" s="2"/>
      <c r="E2" s="2"/>
      <c r="F2" s="2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3"/>
      <c r="T2" s="3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 t="s">
        <v>3421</v>
      </c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</row>
    <row r="3" spans="1:147" ht="12.75" customHeight="1">
      <c r="A3" s="1"/>
      <c r="B3" s="21" t="s">
        <v>2695</v>
      </c>
      <c r="C3" s="1"/>
      <c r="D3" s="2"/>
      <c r="E3" s="2"/>
      <c r="F3" s="2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3"/>
      <c r="T3" s="3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 t="s">
        <v>3421</v>
      </c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</row>
    <row r="4" spans="1:147" ht="12.75" customHeight="1">
      <c r="A4" s="1"/>
      <c r="B4" s="1"/>
      <c r="C4" s="1"/>
      <c r="D4" s="2"/>
      <c r="E4" s="2"/>
      <c r="F4" s="2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3"/>
      <c r="T4" s="3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 t="s">
        <v>3421</v>
      </c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</row>
    <row r="5" spans="1:147" ht="12.75" customHeight="1">
      <c r="A5" s="4"/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</row>
    <row r="6" spans="1:147" ht="12.75" customHeight="1">
      <c r="A6" s="6"/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</row>
    <row r="7" spans="1:147" ht="12.75" customHeight="1">
      <c r="A7" s="4"/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</row>
    <row r="8" spans="1:147" ht="12.75" customHeight="1">
      <c r="A8" s="9" t="s">
        <v>2712</v>
      </c>
      <c r="B8" s="4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</row>
    <row r="9" spans="1:147" ht="12.75" customHeight="1">
      <c r="A9" s="10"/>
      <c r="B9" s="10"/>
      <c r="C9" s="31">
        <v>2001</v>
      </c>
      <c r="D9" s="32">
        <v>2002</v>
      </c>
      <c r="E9" s="32">
        <v>2003</v>
      </c>
      <c r="F9" s="32">
        <v>2004</v>
      </c>
      <c r="G9" s="31">
        <v>2005</v>
      </c>
      <c r="H9" s="33" t="s">
        <v>714</v>
      </c>
      <c r="I9" s="33" t="s">
        <v>715</v>
      </c>
      <c r="J9" s="33" t="s">
        <v>716</v>
      </c>
      <c r="K9" s="33" t="s">
        <v>717</v>
      </c>
      <c r="L9" s="31">
        <v>2006</v>
      </c>
      <c r="M9" s="33" t="s">
        <v>718</v>
      </c>
      <c r="N9" s="33" t="s">
        <v>719</v>
      </c>
      <c r="O9" s="33" t="s">
        <v>1970</v>
      </c>
      <c r="P9" s="33" t="s">
        <v>1971</v>
      </c>
      <c r="Q9" s="31">
        <v>2007</v>
      </c>
      <c r="R9" s="33" t="s">
        <v>1972</v>
      </c>
      <c r="S9" s="33" t="s">
        <v>1973</v>
      </c>
      <c r="T9" s="33" t="s">
        <v>1974</v>
      </c>
      <c r="U9" s="33" t="s">
        <v>1975</v>
      </c>
      <c r="V9" s="31">
        <v>2008</v>
      </c>
      <c r="W9" s="33" t="s">
        <v>1976</v>
      </c>
      <c r="X9" s="33" t="s">
        <v>1977</v>
      </c>
      <c r="Y9" s="33" t="s">
        <v>1978</v>
      </c>
      <c r="Z9" s="33" t="s">
        <v>1979</v>
      </c>
      <c r="AA9" s="31">
        <v>2009</v>
      </c>
      <c r="AB9" s="33" t="s">
        <v>1980</v>
      </c>
      <c r="AC9" s="33" t="s">
        <v>1981</v>
      </c>
      <c r="AD9" s="33" t="s">
        <v>1982</v>
      </c>
      <c r="AE9" s="33" t="s">
        <v>2392</v>
      </c>
      <c r="AF9" s="31">
        <v>2010</v>
      </c>
      <c r="AG9" s="33" t="s">
        <v>2393</v>
      </c>
      <c r="AH9" s="33" t="s">
        <v>2394</v>
      </c>
      <c r="AI9" s="33" t="s">
        <v>2395</v>
      </c>
      <c r="AJ9" s="368" t="s">
        <v>2396</v>
      </c>
      <c r="AK9" s="369">
        <v>2011</v>
      </c>
      <c r="AL9" s="368" t="s">
        <v>2397</v>
      </c>
      <c r="AM9" s="368" t="s">
        <v>2398</v>
      </c>
      <c r="AN9" s="368" t="s">
        <v>2399</v>
      </c>
      <c r="AO9" s="368" t="s">
        <v>2400</v>
      </c>
      <c r="AP9" s="369">
        <v>2012</v>
      </c>
      <c r="AQ9" s="368" t="s">
        <v>2401</v>
      </c>
      <c r="AR9" s="368" t="s">
        <v>2402</v>
      </c>
      <c r="AS9" s="368" t="s">
        <v>2403</v>
      </c>
      <c r="AT9" s="368" t="s">
        <v>2404</v>
      </c>
      <c r="AU9" s="369">
        <v>2013</v>
      </c>
      <c r="AV9" s="368" t="s">
        <v>2405</v>
      </c>
      <c r="AW9" s="368" t="s">
        <v>2406</v>
      </c>
      <c r="AX9" s="368" t="s">
        <v>2407</v>
      </c>
      <c r="AY9" s="368" t="s">
        <v>2408</v>
      </c>
      <c r="AZ9" s="369">
        <v>2014</v>
      </c>
      <c r="BA9" s="368" t="s">
        <v>2409</v>
      </c>
      <c r="BB9" s="368" t="s">
        <v>2410</v>
      </c>
      <c r="BC9" s="368" t="s">
        <v>2411</v>
      </c>
      <c r="BD9" s="368" t="s">
        <v>2412</v>
      </c>
      <c r="BE9" s="31">
        <v>2015</v>
      </c>
      <c r="BF9" s="368" t="s">
        <v>2413</v>
      </c>
      <c r="BG9" s="368" t="s">
        <v>2414</v>
      </c>
      <c r="BH9" s="368" t="s">
        <v>2415</v>
      </c>
      <c r="BI9" s="368" t="s">
        <v>2416</v>
      </c>
      <c r="BJ9" s="31">
        <v>2016</v>
      </c>
      <c r="BK9" s="368" t="s">
        <v>2417</v>
      </c>
      <c r="BL9" s="368" t="s">
        <v>2418</v>
      </c>
      <c r="BM9" s="368" t="s">
        <v>2419</v>
      </c>
      <c r="BN9" s="368" t="s">
        <v>2420</v>
      </c>
      <c r="BO9" s="31">
        <v>2017</v>
      </c>
      <c r="BP9" s="363" t="s">
        <v>2244</v>
      </c>
      <c r="BQ9" s="363" t="s">
        <v>2245</v>
      </c>
      <c r="BR9" s="363" t="s">
        <v>2508</v>
      </c>
      <c r="BS9" s="363" t="s">
        <v>2509</v>
      </c>
      <c r="BT9" s="364">
        <v>2018</v>
      </c>
      <c r="BU9" s="363" t="s">
        <v>2510</v>
      </c>
      <c r="BV9" s="363" t="s">
        <v>2511</v>
      </c>
      <c r="BW9" s="363" t="s">
        <v>3125</v>
      </c>
      <c r="BX9" s="363" t="s">
        <v>1405</v>
      </c>
      <c r="BY9" s="364">
        <v>2019</v>
      </c>
      <c r="BZ9" s="363" t="s">
        <v>1406</v>
      </c>
      <c r="CA9" s="363" t="s">
        <v>1407</v>
      </c>
      <c r="CB9" s="363" t="s">
        <v>1408</v>
      </c>
      <c r="CC9" s="363" t="s">
        <v>1409</v>
      </c>
      <c r="CD9" s="364">
        <v>2020</v>
      </c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</row>
    <row r="10" spans="1:147" ht="12.75" customHeight="1">
      <c r="A10" s="4" t="s">
        <v>38</v>
      </c>
      <c r="B10" s="4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93"/>
      <c r="AC10" s="12">
        <v>-32192</v>
      </c>
      <c r="AD10" s="12">
        <v>-7656</v>
      </c>
      <c r="AE10" s="12">
        <v>-1010</v>
      </c>
      <c r="AF10" s="5">
        <f>SUM(AB10:AE10)</f>
        <v>-40858</v>
      </c>
      <c r="AG10" s="12">
        <v>-384</v>
      </c>
      <c r="AH10" s="12">
        <v>617</v>
      </c>
      <c r="AI10" s="12">
        <v>-541</v>
      </c>
      <c r="AJ10" s="12">
        <v>4108</v>
      </c>
      <c r="AK10" s="5">
        <f>SUM(AG10:AJ10)</f>
        <v>3800</v>
      </c>
      <c r="AL10" s="12">
        <v>30</v>
      </c>
      <c r="AM10" s="12">
        <v>-843</v>
      </c>
      <c r="AN10" s="12">
        <v>-56</v>
      </c>
      <c r="AO10" s="12">
        <v>-4126</v>
      </c>
      <c r="AP10" s="5">
        <f>SUM(AL10:AO10)</f>
        <v>-4995</v>
      </c>
      <c r="AQ10" s="12">
        <v>-22</v>
      </c>
      <c r="AR10" s="12">
        <v>-199</v>
      </c>
      <c r="AS10" s="12">
        <v>-30</v>
      </c>
      <c r="AT10" s="12">
        <v>-179</v>
      </c>
      <c r="AU10" s="5">
        <f>AQ10+AR10+AS10+AT10</f>
        <v>-430</v>
      </c>
      <c r="AV10" s="12">
        <v>-29</v>
      </c>
      <c r="AW10" s="12">
        <v>-251</v>
      </c>
      <c r="AX10" s="12">
        <v>-33</v>
      </c>
      <c r="AY10" s="12">
        <v>-468</v>
      </c>
      <c r="AZ10" s="5">
        <f>AV10+AW10+AX10+AY10</f>
        <v>-781</v>
      </c>
      <c r="BA10" s="12">
        <v>-323</v>
      </c>
      <c r="BB10" s="12">
        <v>-10747</v>
      </c>
      <c r="BC10" s="12">
        <v>-311</v>
      </c>
      <c r="BD10" s="12">
        <v>-328</v>
      </c>
      <c r="BE10" s="5">
        <f>BA10+BB10+BC10+BD10</f>
        <v>-11709</v>
      </c>
      <c r="BF10" s="12">
        <v>-794</v>
      </c>
      <c r="BG10" s="12">
        <v>-5106</v>
      </c>
      <c r="BH10" s="12">
        <v>-66</v>
      </c>
      <c r="BI10" s="12">
        <v>-674</v>
      </c>
      <c r="BJ10" s="5">
        <f>SUM(BF10:BI10)</f>
        <v>-6640</v>
      </c>
      <c r="BK10" s="12">
        <v>-35</v>
      </c>
      <c r="BL10" s="12">
        <v>-347</v>
      </c>
      <c r="BM10" s="181">
        <v>-84</v>
      </c>
      <c r="BN10" s="181">
        <v>-2221</v>
      </c>
      <c r="BO10" s="5">
        <f>SUM(BK10:BN10)</f>
        <v>-2687</v>
      </c>
      <c r="BP10" s="240">
        <v>0</v>
      </c>
      <c r="BQ10" s="240">
        <v>0</v>
      </c>
      <c r="BR10" s="240">
        <v>0</v>
      </c>
      <c r="BS10" s="240">
        <v>0</v>
      </c>
      <c r="BT10" s="5">
        <f t="shared" ref="BT10:BT11" si="0">SUM(BP10:BS10)</f>
        <v>0</v>
      </c>
      <c r="BU10" s="240">
        <v>0</v>
      </c>
      <c r="BV10" s="240">
        <v>0</v>
      </c>
      <c r="BW10" s="240">
        <v>0</v>
      </c>
      <c r="BX10" s="240">
        <v>0</v>
      </c>
      <c r="BY10" s="5">
        <f t="shared" ref="BY10:BY11" si="1">SUM(BU10:BX10)</f>
        <v>0</v>
      </c>
      <c r="BZ10" s="240">
        <v>0</v>
      </c>
      <c r="CA10" s="240">
        <v>0</v>
      </c>
      <c r="CB10" s="240">
        <v>0</v>
      </c>
      <c r="CC10" s="240">
        <v>0</v>
      </c>
      <c r="CD10" s="5">
        <f t="shared" ref="CD10:CD11" si="2">SUM(BZ10:CC10)</f>
        <v>0</v>
      </c>
      <c r="CE10" s="5"/>
      <c r="CF10" s="5"/>
      <c r="CG10" s="5"/>
    </row>
    <row r="11" spans="1:147" ht="12.75" customHeight="1">
      <c r="A11" s="7" t="s">
        <v>2713</v>
      </c>
      <c r="B11" s="7"/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94"/>
      <c r="AC11" s="19">
        <f>AC10</f>
        <v>-32192</v>
      </c>
      <c r="AD11" s="19">
        <f>AD10</f>
        <v>-7656</v>
      </c>
      <c r="AE11" s="19">
        <f>AE10</f>
        <v>-1010</v>
      </c>
      <c r="AF11" s="8">
        <f>SUM(AB11:AE11)</f>
        <v>-40858</v>
      </c>
      <c r="AG11" s="19">
        <f>AG10</f>
        <v>-384</v>
      </c>
      <c r="AH11" s="19">
        <f>AH10</f>
        <v>617</v>
      </c>
      <c r="AI11" s="19">
        <f>AI10</f>
        <v>-541</v>
      </c>
      <c r="AJ11" s="19">
        <f>AJ10</f>
        <v>4108</v>
      </c>
      <c r="AK11" s="8">
        <f>SUM(AG11:AJ11)</f>
        <v>3800</v>
      </c>
      <c r="AL11" s="19">
        <f>AL10</f>
        <v>30</v>
      </c>
      <c r="AM11" s="19">
        <f>AM10</f>
        <v>-843</v>
      </c>
      <c r="AN11" s="19">
        <f>AN10</f>
        <v>-56</v>
      </c>
      <c r="AO11" s="19">
        <f>AO10</f>
        <v>-4126</v>
      </c>
      <c r="AP11" s="8">
        <f>SUM(AL11:AO11)</f>
        <v>-4995</v>
      </c>
      <c r="AQ11" s="19">
        <f>AQ10</f>
        <v>-22</v>
      </c>
      <c r="AR11" s="19">
        <f>AR10</f>
        <v>-199</v>
      </c>
      <c r="AS11" s="19">
        <f>AS10</f>
        <v>-30</v>
      </c>
      <c r="AT11" s="19">
        <f>AT10</f>
        <v>-179</v>
      </c>
      <c r="AU11" s="8">
        <f>AQ11+AR11+AS11+AT11</f>
        <v>-430</v>
      </c>
      <c r="AV11" s="19">
        <f>AV10</f>
        <v>-29</v>
      </c>
      <c r="AW11" s="19">
        <f>AW10</f>
        <v>-251</v>
      </c>
      <c r="AX11" s="19">
        <f>AX10</f>
        <v>-33</v>
      </c>
      <c r="AY11" s="19">
        <f>AY10</f>
        <v>-468</v>
      </c>
      <c r="AZ11" s="8">
        <f>AV11+AW11+AX11+AY11</f>
        <v>-781</v>
      </c>
      <c r="BA11" s="19">
        <f>BA10</f>
        <v>-323</v>
      </c>
      <c r="BB11" s="19">
        <f>BB10</f>
        <v>-10747</v>
      </c>
      <c r="BC11" s="19">
        <f>BC10</f>
        <v>-311</v>
      </c>
      <c r="BD11" s="19">
        <f>BD10</f>
        <v>-328</v>
      </c>
      <c r="BE11" s="8">
        <f>BA11+BB11+BC11+BD11</f>
        <v>-11709</v>
      </c>
      <c r="BF11" s="19">
        <f>BF10</f>
        <v>-794</v>
      </c>
      <c r="BG11" s="19">
        <f>BG10</f>
        <v>-5106</v>
      </c>
      <c r="BH11" s="19">
        <f>BH10</f>
        <v>-66</v>
      </c>
      <c r="BI11" s="19">
        <f>BI10</f>
        <v>-674</v>
      </c>
      <c r="BJ11" s="8">
        <f>SUM(BF11:BI11)</f>
        <v>-6640</v>
      </c>
      <c r="BK11" s="19">
        <f>BK10</f>
        <v>-35</v>
      </c>
      <c r="BL11" s="19">
        <f>BL10</f>
        <v>-347</v>
      </c>
      <c r="BM11" s="180">
        <f>BM10</f>
        <v>-84</v>
      </c>
      <c r="BN11" s="180">
        <f>BN10</f>
        <v>-2221</v>
      </c>
      <c r="BO11" s="8">
        <f>SUM(BK11:BN11)</f>
        <v>-2687</v>
      </c>
      <c r="BP11" s="19">
        <f t="shared" ref="BP11:BS11" si="3">BP10</f>
        <v>0</v>
      </c>
      <c r="BQ11" s="19">
        <f t="shared" si="3"/>
        <v>0</v>
      </c>
      <c r="BR11" s="19">
        <f t="shared" si="3"/>
        <v>0</v>
      </c>
      <c r="BS11" s="19">
        <f t="shared" si="3"/>
        <v>0</v>
      </c>
      <c r="BT11" s="8">
        <f t="shared" si="0"/>
        <v>0</v>
      </c>
      <c r="BU11" s="19">
        <f t="shared" ref="BU11:BX11" si="4">BU10</f>
        <v>0</v>
      </c>
      <c r="BV11" s="19">
        <f t="shared" si="4"/>
        <v>0</v>
      </c>
      <c r="BW11" s="19">
        <f t="shared" si="4"/>
        <v>0</v>
      </c>
      <c r="BX11" s="19">
        <f t="shared" si="4"/>
        <v>0</v>
      </c>
      <c r="BY11" s="8">
        <f t="shared" si="1"/>
        <v>0</v>
      </c>
      <c r="BZ11" s="19">
        <f t="shared" ref="BZ11:CC11" si="5">BZ10</f>
        <v>0</v>
      </c>
      <c r="CA11" s="19">
        <f t="shared" si="5"/>
        <v>0</v>
      </c>
      <c r="CB11" s="19">
        <f t="shared" si="5"/>
        <v>0</v>
      </c>
      <c r="CC11" s="19">
        <f t="shared" si="5"/>
        <v>0</v>
      </c>
      <c r="CD11" s="8">
        <f t="shared" si="2"/>
        <v>0</v>
      </c>
      <c r="CE11" s="8"/>
      <c r="CF11" s="8"/>
      <c r="CG11" s="8"/>
    </row>
    <row r="12" spans="1:147" ht="12.75" customHeight="1">
      <c r="A12" s="7"/>
      <c r="B12" s="7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  <c r="AA12" s="73"/>
      <c r="AB12" s="94"/>
      <c r="AC12" s="19"/>
      <c r="AD12" s="19"/>
      <c r="AE12" s="19"/>
      <c r="AF12" s="8"/>
      <c r="AG12" s="66"/>
      <c r="AH12" s="66"/>
      <c r="AI12" s="66"/>
      <c r="AJ12" s="66"/>
      <c r="AK12" s="8"/>
      <c r="AL12" s="66"/>
      <c r="AM12" s="66"/>
      <c r="AN12" s="66"/>
      <c r="AO12" s="66"/>
      <c r="AP12" s="8"/>
      <c r="AQ12" s="66"/>
      <c r="AR12" s="66"/>
      <c r="AS12" s="66"/>
      <c r="AT12" s="66"/>
      <c r="AU12" s="8"/>
      <c r="AV12" s="66"/>
      <c r="AW12" s="66"/>
      <c r="AX12" s="66"/>
      <c r="AY12" s="66"/>
      <c r="AZ12" s="8"/>
      <c r="BA12" s="66"/>
      <c r="BB12" s="66"/>
      <c r="BC12" s="66"/>
      <c r="BD12" s="66"/>
      <c r="BE12" s="8"/>
      <c r="BF12" s="66"/>
      <c r="BG12" s="66"/>
      <c r="BH12" s="66"/>
      <c r="BI12" s="66"/>
      <c r="BJ12" s="8"/>
      <c r="BK12" s="66"/>
      <c r="BL12" s="66"/>
      <c r="BM12" s="337"/>
      <c r="BN12" s="337"/>
      <c r="BO12" s="8"/>
      <c r="BP12" s="66"/>
      <c r="BQ12" s="66"/>
      <c r="BR12" s="66"/>
      <c r="BS12" s="66"/>
      <c r="BT12" s="8"/>
      <c r="BU12" s="66"/>
      <c r="BV12" s="66"/>
      <c r="BW12" s="66"/>
      <c r="BX12" s="66"/>
      <c r="BY12" s="8"/>
      <c r="BZ12" s="66"/>
      <c r="CA12" s="66"/>
      <c r="CB12" s="66"/>
      <c r="CC12" s="66"/>
      <c r="CD12" s="8"/>
      <c r="CE12" s="8"/>
      <c r="CF12" s="8"/>
      <c r="CG12" s="8"/>
    </row>
    <row r="13" spans="1:147" ht="12.75" customHeight="1">
      <c r="A13" s="4" t="s">
        <v>350</v>
      </c>
      <c r="B13" s="4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93"/>
      <c r="AC13" s="12">
        <v>0</v>
      </c>
      <c r="AD13" s="12">
        <v>-47</v>
      </c>
      <c r="AE13" s="12">
        <v>-30</v>
      </c>
      <c r="AF13" s="5">
        <f>SUM(AB13:AE13)</f>
        <v>-77</v>
      </c>
      <c r="AG13" s="12">
        <v>-16</v>
      </c>
      <c r="AH13" s="12">
        <v>-15</v>
      </c>
      <c r="AI13" s="12">
        <v>-14</v>
      </c>
      <c r="AJ13" s="12">
        <v>-13</v>
      </c>
      <c r="AK13" s="5">
        <f>SUM(AG13:AJ13)</f>
        <v>-58</v>
      </c>
      <c r="AL13" s="12">
        <v>-6</v>
      </c>
      <c r="AM13" s="12">
        <v>-4</v>
      </c>
      <c r="AN13" s="12">
        <v>-3</v>
      </c>
      <c r="AO13" s="12">
        <v>-6</v>
      </c>
      <c r="AP13" s="5">
        <f>SUM(AL13:AO13)</f>
        <v>-19</v>
      </c>
      <c r="AQ13" s="12">
        <v>-10</v>
      </c>
      <c r="AR13" s="12">
        <v>-10</v>
      </c>
      <c r="AS13" s="12">
        <v>-9</v>
      </c>
      <c r="AT13" s="12">
        <v>-10</v>
      </c>
      <c r="AU13" s="5">
        <f>AQ13+AR13+AS13+AT13</f>
        <v>-39</v>
      </c>
      <c r="AV13" s="12">
        <v>-10</v>
      </c>
      <c r="AW13" s="12">
        <v>-9</v>
      </c>
      <c r="AX13" s="12">
        <v>-10</v>
      </c>
      <c r="AY13" s="12">
        <v>-9</v>
      </c>
      <c r="AZ13" s="5">
        <f>AV13+AW13+AX13+AY13</f>
        <v>-38</v>
      </c>
      <c r="BA13" s="12">
        <v>-9</v>
      </c>
      <c r="BB13" s="12">
        <v>-8</v>
      </c>
      <c r="BC13" s="12">
        <v>-115</v>
      </c>
      <c r="BD13" s="12">
        <v>-115</v>
      </c>
      <c r="BE13" s="5">
        <f>BA13+BB13+BC13+BD13</f>
        <v>-247</v>
      </c>
      <c r="BF13" s="12">
        <v>-123</v>
      </c>
      <c r="BG13" s="12">
        <v>-123</v>
      </c>
      <c r="BH13" s="12">
        <v>-123</v>
      </c>
      <c r="BI13" s="12">
        <v>-125</v>
      </c>
      <c r="BJ13" s="5">
        <f>SUM(BF13:BI13)</f>
        <v>-494</v>
      </c>
      <c r="BK13" s="12">
        <v>-126</v>
      </c>
      <c r="BL13" s="12">
        <v>-121</v>
      </c>
      <c r="BM13" s="181">
        <v>-122</v>
      </c>
      <c r="BN13" s="181">
        <v>-124</v>
      </c>
      <c r="BO13" s="5">
        <f>SUM(BK13:BN13)</f>
        <v>-493</v>
      </c>
      <c r="BP13" s="240">
        <f>BP79</f>
        <v>-72.961622542768964</v>
      </c>
      <c r="BQ13" s="240">
        <f>BQ79</f>
        <v>-66.468877098002849</v>
      </c>
      <c r="BR13" s="240">
        <f>BR79</f>
        <v>-62.902390939838369</v>
      </c>
      <c r="BS13" s="240">
        <f>BS79</f>
        <v>-61.783626145981543</v>
      </c>
      <c r="BT13" s="5">
        <f t="shared" ref="BT13" si="6">SUM(BP13:BS13)</f>
        <v>-264.11651672659173</v>
      </c>
      <c r="BU13" s="240">
        <f>BU79</f>
        <v>-74.592210184679061</v>
      </c>
      <c r="BV13" s="240">
        <f>BV79</f>
        <v>-73.969889203313869</v>
      </c>
      <c r="BW13" s="240">
        <f>BW79</f>
        <v>-66.761382533848519</v>
      </c>
      <c r="BX13" s="240">
        <f>BX79</f>
        <v>-66.095899886167899</v>
      </c>
      <c r="BY13" s="5">
        <f t="shared" ref="BY13" si="7">SUM(BU13:BX13)</f>
        <v>-281.41938180800935</v>
      </c>
      <c r="BZ13" s="240">
        <f>BZ79</f>
        <v>-76.387316331898546</v>
      </c>
      <c r="CA13" s="240">
        <f>CA79</f>
        <v>-76.878877649223796</v>
      </c>
      <c r="CB13" s="240">
        <f>CB79</f>
        <v>-69.655899840945494</v>
      </c>
      <c r="CC13" s="240">
        <f>CC79</f>
        <v>-70.104143705628303</v>
      </c>
      <c r="CD13" s="5">
        <f t="shared" ref="CD13" si="8">SUM(BZ13:CC13)</f>
        <v>-293.02623752769614</v>
      </c>
      <c r="CE13" s="5"/>
      <c r="CF13" s="5"/>
      <c r="CG13" s="5"/>
    </row>
    <row r="14" spans="1:147" ht="12.75" customHeight="1">
      <c r="A14" s="7" t="s">
        <v>2714</v>
      </c>
      <c r="B14" s="7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94"/>
      <c r="AC14" s="19">
        <f t="shared" ref="AC14:AJ14" si="9">AC11+AC13</f>
        <v>-32192</v>
      </c>
      <c r="AD14" s="19">
        <f t="shared" si="9"/>
        <v>-7703</v>
      </c>
      <c r="AE14" s="19">
        <f t="shared" si="9"/>
        <v>-1040</v>
      </c>
      <c r="AF14" s="8">
        <f t="shared" si="9"/>
        <v>-40935</v>
      </c>
      <c r="AG14" s="19">
        <f t="shared" si="9"/>
        <v>-400</v>
      </c>
      <c r="AH14" s="19">
        <f t="shared" si="9"/>
        <v>602</v>
      </c>
      <c r="AI14" s="19">
        <f t="shared" si="9"/>
        <v>-555</v>
      </c>
      <c r="AJ14" s="19">
        <f t="shared" si="9"/>
        <v>4095</v>
      </c>
      <c r="AK14" s="8">
        <f>SUM(AG14:AJ14)</f>
        <v>3742</v>
      </c>
      <c r="AL14" s="19">
        <f>AL11+AL13</f>
        <v>24</v>
      </c>
      <c r="AM14" s="19">
        <f>AM11+AM13</f>
        <v>-847</v>
      </c>
      <c r="AN14" s="19">
        <v>-59</v>
      </c>
      <c r="AO14" s="19">
        <v>-4132</v>
      </c>
      <c r="AP14" s="8">
        <f>SUM(AL14:AO14)</f>
        <v>-5014</v>
      </c>
      <c r="AQ14" s="19">
        <v>-32</v>
      </c>
      <c r="AR14" s="19">
        <v>-209</v>
      </c>
      <c r="AS14" s="19">
        <v>-39</v>
      </c>
      <c r="AT14" s="19">
        <v>-189</v>
      </c>
      <c r="AU14" s="8">
        <f>AQ14+AR14+AS14+AT14</f>
        <v>-469</v>
      </c>
      <c r="AV14" s="19">
        <v>-39</v>
      </c>
      <c r="AW14" s="19">
        <v>-260</v>
      </c>
      <c r="AX14" s="19">
        <v>-43</v>
      </c>
      <c r="AY14" s="19">
        <v>-477</v>
      </c>
      <c r="AZ14" s="8">
        <f>AV14+AW14+AX14+AY14</f>
        <v>-819</v>
      </c>
      <c r="BA14" s="19">
        <v>-332</v>
      </c>
      <c r="BB14" s="19">
        <v>-10755</v>
      </c>
      <c r="BC14" s="19">
        <v>-426</v>
      </c>
      <c r="BD14" s="19">
        <v>-443</v>
      </c>
      <c r="BE14" s="8">
        <f>BA14+BB14+BC14+BD14</f>
        <v>-11956</v>
      </c>
      <c r="BF14" s="19">
        <v>-917</v>
      </c>
      <c r="BG14" s="19">
        <v>-5229</v>
      </c>
      <c r="BH14" s="19">
        <v>-189</v>
      </c>
      <c r="BI14" s="19">
        <v>-799</v>
      </c>
      <c r="BJ14" s="666">
        <f>SUM(BF14:BI14)</f>
        <v>-7134</v>
      </c>
      <c r="BK14" s="19">
        <v>-161</v>
      </c>
      <c r="BL14" s="19">
        <f>+BL11+BL13</f>
        <v>-468</v>
      </c>
      <c r="BM14" s="180">
        <f>+BM11+BM13</f>
        <v>-206</v>
      </c>
      <c r="BN14" s="180">
        <f>SUM(BN11,BN13)</f>
        <v>-2345</v>
      </c>
      <c r="BO14" s="666">
        <f>SUM(BK14:BN14)</f>
        <v>-3180</v>
      </c>
      <c r="BP14" s="19">
        <f t="shared" ref="BP14:BS14" si="10">SUM(BP11,BP13)</f>
        <v>-72.961622542768964</v>
      </c>
      <c r="BQ14" s="19">
        <f t="shared" si="10"/>
        <v>-66.468877098002849</v>
      </c>
      <c r="BR14" s="19">
        <f t="shared" si="10"/>
        <v>-62.902390939838369</v>
      </c>
      <c r="BS14" s="19">
        <f t="shared" si="10"/>
        <v>-61.783626145981543</v>
      </c>
      <c r="BT14" s="666">
        <f t="shared" ref="BT14:BT15" si="11">SUM(BP14:BS14)</f>
        <v>-264.11651672659173</v>
      </c>
      <c r="BU14" s="19">
        <f t="shared" ref="BU14:BX14" si="12">SUM(BU11,BU13)</f>
        <v>-74.592210184679061</v>
      </c>
      <c r="BV14" s="19">
        <f t="shared" si="12"/>
        <v>-73.969889203313869</v>
      </c>
      <c r="BW14" s="19">
        <f t="shared" si="12"/>
        <v>-66.761382533848519</v>
      </c>
      <c r="BX14" s="19">
        <f t="shared" si="12"/>
        <v>-66.095899886167899</v>
      </c>
      <c r="BY14" s="666">
        <f t="shared" ref="BY14:BY15" si="13">SUM(BU14:BX14)</f>
        <v>-281.41938180800935</v>
      </c>
      <c r="BZ14" s="19">
        <f t="shared" ref="BZ14:CC14" si="14">SUM(BZ11,BZ13)</f>
        <v>-76.387316331898546</v>
      </c>
      <c r="CA14" s="19">
        <f t="shared" si="14"/>
        <v>-76.878877649223796</v>
      </c>
      <c r="CB14" s="19">
        <f t="shared" si="14"/>
        <v>-69.655899840945494</v>
      </c>
      <c r="CC14" s="19">
        <f t="shared" si="14"/>
        <v>-70.104143705628303</v>
      </c>
      <c r="CD14" s="666">
        <f t="shared" ref="CD14:CD15" si="15">SUM(BZ14:CC14)</f>
        <v>-293.02623752769614</v>
      </c>
      <c r="CE14" s="5"/>
      <c r="CF14" s="5"/>
      <c r="CG14" s="5"/>
    </row>
    <row r="15" spans="1:147" ht="12.75" customHeight="1">
      <c r="A15" s="4" t="s">
        <v>2696</v>
      </c>
      <c r="B15" s="4"/>
      <c r="C15" s="72"/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  <c r="AA15" s="72"/>
      <c r="AB15" s="93"/>
      <c r="AC15" s="12">
        <v>10003</v>
      </c>
      <c r="AD15" s="12">
        <v>2604</v>
      </c>
      <c r="AE15" s="12">
        <v>287</v>
      </c>
      <c r="AF15" s="5">
        <f>SUM(AB15:AE15)</f>
        <v>12894</v>
      </c>
      <c r="AG15" s="12">
        <v>201</v>
      </c>
      <c r="AH15" s="12">
        <v>-234</v>
      </c>
      <c r="AI15" s="12">
        <v>115</v>
      </c>
      <c r="AJ15" s="12">
        <v>-1469</v>
      </c>
      <c r="AK15" s="5">
        <f>SUM(AG15:AJ15)</f>
        <v>-1387</v>
      </c>
      <c r="AL15" s="12">
        <v>-26</v>
      </c>
      <c r="AM15" s="12">
        <v>102</v>
      </c>
      <c r="AN15" s="12">
        <v>-51</v>
      </c>
      <c r="AO15" s="12">
        <v>69</v>
      </c>
      <c r="AP15" s="5">
        <f>SUM(AL15:AO15)</f>
        <v>94</v>
      </c>
      <c r="AQ15" s="12">
        <v>-5</v>
      </c>
      <c r="AR15" s="12">
        <v>42</v>
      </c>
      <c r="AS15" s="12">
        <v>-44</v>
      </c>
      <c r="AT15" s="12">
        <v>80</v>
      </c>
      <c r="AU15" s="5">
        <f>AQ15+AR15+AS15+AT15</f>
        <v>73</v>
      </c>
      <c r="AV15" s="12">
        <v>10</v>
      </c>
      <c r="AW15" s="12">
        <v>44</v>
      </c>
      <c r="AX15" s="12">
        <v>45</v>
      </c>
      <c r="AY15" s="12">
        <v>163</v>
      </c>
      <c r="AZ15" s="5">
        <f>AV15+AW15+AX15+AY15</f>
        <v>262</v>
      </c>
      <c r="BA15" s="12">
        <v>112</v>
      </c>
      <c r="BB15" s="12">
        <v>3601</v>
      </c>
      <c r="BC15" s="12">
        <v>-87</v>
      </c>
      <c r="BD15" s="12">
        <v>-134</v>
      </c>
      <c r="BE15" s="5">
        <f>BA15+BB15+BC15+BD15</f>
        <v>3492</v>
      </c>
      <c r="BF15" s="12">
        <v>251</v>
      </c>
      <c r="BG15" s="12">
        <v>2533</v>
      </c>
      <c r="BH15" s="12">
        <v>53</v>
      </c>
      <c r="BI15" s="12">
        <v>268</v>
      </c>
      <c r="BJ15" s="5">
        <f>SUM(BF15:BI15)</f>
        <v>3105</v>
      </c>
      <c r="BK15" s="12">
        <v>48</v>
      </c>
      <c r="BL15" s="12">
        <v>154</v>
      </c>
      <c r="BM15" s="181">
        <v>71</v>
      </c>
      <c r="BN15" s="181">
        <v>-2495</v>
      </c>
      <c r="BO15" s="5">
        <f>SUM(BK15:BN15)</f>
        <v>-2222</v>
      </c>
      <c r="BP15" s="240">
        <v>0</v>
      </c>
      <c r="BQ15" s="240">
        <v>0</v>
      </c>
      <c r="BR15" s="240">
        <v>0</v>
      </c>
      <c r="BS15" s="240">
        <v>0</v>
      </c>
      <c r="BT15" s="5">
        <f t="shared" si="11"/>
        <v>0</v>
      </c>
      <c r="BU15" s="240">
        <v>0</v>
      </c>
      <c r="BV15" s="240">
        <v>0</v>
      </c>
      <c r="BW15" s="240">
        <v>0</v>
      </c>
      <c r="BX15" s="240">
        <v>0</v>
      </c>
      <c r="BY15" s="5">
        <f t="shared" si="13"/>
        <v>0</v>
      </c>
      <c r="BZ15" s="240">
        <v>0</v>
      </c>
      <c r="CA15" s="240">
        <v>0</v>
      </c>
      <c r="CB15" s="240">
        <v>0</v>
      </c>
      <c r="CC15" s="240">
        <v>0</v>
      </c>
      <c r="CD15" s="5">
        <f t="shared" si="15"/>
        <v>0</v>
      </c>
      <c r="CE15" s="5"/>
      <c r="CF15" s="5"/>
      <c r="CG15" s="5"/>
    </row>
    <row r="16" spans="1:147" ht="13.5" thickBot="1">
      <c r="A16" s="17" t="s">
        <v>2715</v>
      </c>
      <c r="B16" s="17"/>
      <c r="C16" s="300"/>
      <c r="D16" s="300"/>
      <c r="E16" s="300"/>
      <c r="F16" s="300"/>
      <c r="G16" s="300"/>
      <c r="H16" s="300"/>
      <c r="I16" s="300"/>
      <c r="J16" s="300"/>
      <c r="K16" s="300"/>
      <c r="L16" s="300"/>
      <c r="M16" s="300"/>
      <c r="N16" s="300"/>
      <c r="O16" s="300"/>
      <c r="P16" s="300"/>
      <c r="Q16" s="300"/>
      <c r="R16" s="300"/>
      <c r="S16" s="300"/>
      <c r="T16" s="300"/>
      <c r="U16" s="300"/>
      <c r="V16" s="300"/>
      <c r="W16" s="300"/>
      <c r="X16" s="300"/>
      <c r="Y16" s="300"/>
      <c r="Z16" s="300"/>
      <c r="AA16" s="300"/>
      <c r="AB16" s="301"/>
      <c r="AC16" s="18">
        <f t="shared" ref="AC16:AK16" si="16">AC14+AC15</f>
        <v>-22189</v>
      </c>
      <c r="AD16" s="18">
        <f t="shared" si="16"/>
        <v>-5099</v>
      </c>
      <c r="AE16" s="18">
        <f t="shared" si="16"/>
        <v>-753</v>
      </c>
      <c r="AF16" s="17">
        <f t="shared" si="16"/>
        <v>-28041</v>
      </c>
      <c r="AG16" s="18">
        <f t="shared" si="16"/>
        <v>-199</v>
      </c>
      <c r="AH16" s="18">
        <f t="shared" si="16"/>
        <v>368</v>
      </c>
      <c r="AI16" s="18">
        <f t="shared" si="16"/>
        <v>-440</v>
      </c>
      <c r="AJ16" s="18">
        <f>AJ14+AJ15</f>
        <v>2626</v>
      </c>
      <c r="AK16" s="17">
        <f t="shared" si="16"/>
        <v>2355</v>
      </c>
      <c r="AL16" s="18">
        <f>AL14+AL15</f>
        <v>-2</v>
      </c>
      <c r="AM16" s="18">
        <f>AM14+AM15</f>
        <v>-745</v>
      </c>
      <c r="AN16" s="18">
        <v>-110</v>
      </c>
      <c r="AO16" s="18">
        <v>-4063</v>
      </c>
      <c r="AP16" s="17">
        <f>AP14+AP15</f>
        <v>-4920</v>
      </c>
      <c r="AQ16" s="18">
        <v>-37</v>
      </c>
      <c r="AR16" s="18">
        <v>-167</v>
      </c>
      <c r="AS16" s="18">
        <v>-83</v>
      </c>
      <c r="AT16" s="18">
        <v>-109</v>
      </c>
      <c r="AU16" s="17">
        <f>AQ16+AR16+AS16+AT16</f>
        <v>-396</v>
      </c>
      <c r="AV16" s="18">
        <v>-29</v>
      </c>
      <c r="AW16" s="18">
        <v>-216</v>
      </c>
      <c r="AX16" s="18">
        <v>2</v>
      </c>
      <c r="AY16" s="18">
        <v>-314</v>
      </c>
      <c r="AZ16" s="17">
        <f>AV16+AW16+AX16+AY16</f>
        <v>-557</v>
      </c>
      <c r="BA16" s="18">
        <v>-220</v>
      </c>
      <c r="BB16" s="18">
        <v>-7154</v>
      </c>
      <c r="BC16" s="18">
        <v>-513</v>
      </c>
      <c r="BD16" s="18">
        <v>-577</v>
      </c>
      <c r="BE16" s="17">
        <f>BA16+BB16+BC16+BD16</f>
        <v>-8464</v>
      </c>
      <c r="BF16" s="18">
        <v>-666</v>
      </c>
      <c r="BG16" s="18">
        <v>-2696</v>
      </c>
      <c r="BH16" s="18">
        <v>-136</v>
      </c>
      <c r="BI16" s="18">
        <v>-531</v>
      </c>
      <c r="BJ16" s="667">
        <f t="shared" ref="BJ16:BN16" si="17">SUM(BJ14:BJ15)</f>
        <v>-4029</v>
      </c>
      <c r="BK16" s="18">
        <f t="shared" si="17"/>
        <v>-113</v>
      </c>
      <c r="BL16" s="18">
        <f t="shared" si="17"/>
        <v>-314</v>
      </c>
      <c r="BM16" s="256">
        <f t="shared" si="17"/>
        <v>-135</v>
      </c>
      <c r="BN16" s="256">
        <f t="shared" si="17"/>
        <v>-4840</v>
      </c>
      <c r="BO16" s="667">
        <f t="shared" ref="BO16" si="18">SUM(BO14:BO15)</f>
        <v>-5402</v>
      </c>
      <c r="BP16" s="18">
        <f t="shared" ref="BP16:CD16" si="19">SUM(BP14:BP15)</f>
        <v>-72.961622542768964</v>
      </c>
      <c r="BQ16" s="18">
        <f t="shared" si="19"/>
        <v>-66.468877098002849</v>
      </c>
      <c r="BR16" s="18">
        <f t="shared" si="19"/>
        <v>-62.902390939838369</v>
      </c>
      <c r="BS16" s="18">
        <f t="shared" si="19"/>
        <v>-61.783626145981543</v>
      </c>
      <c r="BT16" s="667">
        <f t="shared" si="19"/>
        <v>-264.11651672659173</v>
      </c>
      <c r="BU16" s="18">
        <f t="shared" si="19"/>
        <v>-74.592210184679061</v>
      </c>
      <c r="BV16" s="18">
        <f t="shared" si="19"/>
        <v>-73.969889203313869</v>
      </c>
      <c r="BW16" s="18">
        <f t="shared" si="19"/>
        <v>-66.761382533848519</v>
      </c>
      <c r="BX16" s="18">
        <f t="shared" si="19"/>
        <v>-66.095899886167899</v>
      </c>
      <c r="BY16" s="667">
        <f t="shared" si="19"/>
        <v>-281.41938180800935</v>
      </c>
      <c r="BZ16" s="18">
        <f t="shared" si="19"/>
        <v>-76.387316331898546</v>
      </c>
      <c r="CA16" s="18">
        <f t="shared" si="19"/>
        <v>-76.878877649223796</v>
      </c>
      <c r="CB16" s="18">
        <f t="shared" si="19"/>
        <v>-69.655899840945494</v>
      </c>
      <c r="CC16" s="18">
        <f t="shared" si="19"/>
        <v>-70.104143705628303</v>
      </c>
      <c r="CD16" s="667">
        <f t="shared" si="19"/>
        <v>-293.02623752769614</v>
      </c>
      <c r="CE16" s="8"/>
      <c r="CF16" s="8"/>
      <c r="CG16" s="8"/>
    </row>
    <row r="17" spans="1:148" ht="12.75" customHeight="1" thickTop="1">
      <c r="A17" s="4"/>
      <c r="B17" s="11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12"/>
      <c r="AC17" s="12"/>
      <c r="AD17" s="12"/>
      <c r="AE17" s="12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138"/>
      <c r="BN17" s="138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</row>
    <row r="18" spans="1:148" ht="12.75" customHeight="1">
      <c r="A18" s="4"/>
      <c r="B18" s="11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12"/>
      <c r="AC18" s="12"/>
      <c r="AD18" s="12"/>
      <c r="AE18" s="12"/>
      <c r="AF18" s="5"/>
      <c r="AG18" s="5"/>
      <c r="AH18" s="5"/>
      <c r="AI18" s="5"/>
      <c r="AJ18" s="5"/>
      <c r="AK18" s="116"/>
      <c r="AL18" s="5"/>
      <c r="AM18" s="5"/>
      <c r="AN18" s="5"/>
      <c r="AO18" s="5"/>
      <c r="AP18" s="116"/>
      <c r="AQ18" s="5"/>
      <c r="AR18" s="5"/>
      <c r="AS18" s="5"/>
      <c r="AT18" s="5"/>
      <c r="AU18" s="116"/>
      <c r="AV18" s="5"/>
      <c r="AW18" s="5"/>
      <c r="AX18" s="5"/>
      <c r="AY18" s="5"/>
      <c r="AZ18" s="116"/>
      <c r="BA18" s="672"/>
      <c r="BB18" s="672"/>
      <c r="BC18" s="672"/>
      <c r="BD18" s="672"/>
      <c r="BE18" s="116"/>
      <c r="BF18" s="672"/>
      <c r="BG18" s="672"/>
      <c r="BH18" s="672"/>
      <c r="BI18" s="672"/>
      <c r="BJ18" s="116"/>
      <c r="BK18" s="672"/>
      <c r="BL18" s="672"/>
      <c r="BM18" s="749"/>
      <c r="BN18" s="749"/>
      <c r="BO18" s="116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</row>
    <row r="19" spans="1:148" ht="12.75" customHeight="1">
      <c r="A19" s="4"/>
      <c r="B19" s="11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12"/>
      <c r="AC19" s="12"/>
      <c r="AD19" s="12"/>
      <c r="AE19" s="12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138"/>
      <c r="BN19" s="138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</row>
    <row r="20" spans="1:148">
      <c r="A20" s="29" t="s">
        <v>713</v>
      </c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12"/>
      <c r="AC20" s="12"/>
      <c r="AD20" s="12"/>
      <c r="AE20" s="12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I20" s="466"/>
    </row>
    <row r="21" spans="1:148" ht="12.75" customHeight="1">
      <c r="A21" s="10"/>
      <c r="B21" s="10"/>
      <c r="C21" s="31">
        <v>2001</v>
      </c>
      <c r="D21" s="32">
        <v>2002</v>
      </c>
      <c r="E21" s="32">
        <v>2003</v>
      </c>
      <c r="F21" s="32">
        <v>2004</v>
      </c>
      <c r="G21" s="31">
        <v>2005</v>
      </c>
      <c r="H21" s="33" t="s">
        <v>714</v>
      </c>
      <c r="I21" s="33" t="s">
        <v>715</v>
      </c>
      <c r="J21" s="33" t="s">
        <v>716</v>
      </c>
      <c r="K21" s="33" t="s">
        <v>717</v>
      </c>
      <c r="L21" s="31">
        <v>2006</v>
      </c>
      <c r="M21" s="33" t="s">
        <v>718</v>
      </c>
      <c r="N21" s="33" t="s">
        <v>719</v>
      </c>
      <c r="O21" s="33" t="s">
        <v>1970</v>
      </c>
      <c r="P21" s="33" t="s">
        <v>1971</v>
      </c>
      <c r="Q21" s="31">
        <v>2007</v>
      </c>
      <c r="R21" s="33" t="s">
        <v>1972</v>
      </c>
      <c r="S21" s="33" t="s">
        <v>1973</v>
      </c>
      <c r="T21" s="33" t="s">
        <v>1974</v>
      </c>
      <c r="U21" s="33" t="s">
        <v>1975</v>
      </c>
      <c r="V21" s="31">
        <v>2008</v>
      </c>
      <c r="W21" s="33" t="s">
        <v>1976</v>
      </c>
      <c r="X21" s="33" t="s">
        <v>1977</v>
      </c>
      <c r="Y21" s="33" t="s">
        <v>1978</v>
      </c>
      <c r="Z21" s="33" t="s">
        <v>1979</v>
      </c>
      <c r="AA21" s="31">
        <v>2009</v>
      </c>
      <c r="AB21" s="33" t="s">
        <v>1980</v>
      </c>
      <c r="AC21" s="33" t="s">
        <v>1981</v>
      </c>
      <c r="AD21" s="33" t="s">
        <v>1982</v>
      </c>
      <c r="AE21" s="33" t="s">
        <v>2392</v>
      </c>
      <c r="AF21" s="31">
        <v>2010</v>
      </c>
      <c r="AG21" s="33" t="s">
        <v>2393</v>
      </c>
      <c r="AH21" s="33" t="s">
        <v>2394</v>
      </c>
      <c r="AI21" s="33" t="s">
        <v>2395</v>
      </c>
      <c r="AJ21" s="33" t="s">
        <v>2396</v>
      </c>
      <c r="AK21" s="31">
        <v>2011</v>
      </c>
      <c r="AL21" s="368" t="s">
        <v>2397</v>
      </c>
      <c r="AM21" s="368" t="s">
        <v>2398</v>
      </c>
      <c r="AN21" s="368" t="s">
        <v>2399</v>
      </c>
      <c r="AO21" s="368" t="s">
        <v>2400</v>
      </c>
      <c r="AP21" s="369">
        <v>2012</v>
      </c>
      <c r="AQ21" s="368" t="s">
        <v>2401</v>
      </c>
      <c r="AR21" s="368" t="s">
        <v>2402</v>
      </c>
      <c r="AS21" s="368" t="s">
        <v>2403</v>
      </c>
      <c r="AT21" s="368" t="s">
        <v>2404</v>
      </c>
      <c r="AU21" s="369">
        <v>2013</v>
      </c>
      <c r="AV21" s="368" t="s">
        <v>2405</v>
      </c>
      <c r="AW21" s="368" t="s">
        <v>2406</v>
      </c>
      <c r="AX21" s="368" t="s">
        <v>2407</v>
      </c>
      <c r="AY21" s="368" t="s">
        <v>2408</v>
      </c>
      <c r="AZ21" s="369">
        <v>2014</v>
      </c>
      <c r="BA21" s="368" t="s">
        <v>2409</v>
      </c>
      <c r="BB21" s="368" t="s">
        <v>2410</v>
      </c>
      <c r="BC21" s="368" t="s">
        <v>2411</v>
      </c>
      <c r="BD21" s="368" t="s">
        <v>2412</v>
      </c>
      <c r="BE21" s="31">
        <v>2015</v>
      </c>
      <c r="BF21" s="368" t="s">
        <v>2413</v>
      </c>
      <c r="BG21" s="368" t="s">
        <v>2414</v>
      </c>
      <c r="BH21" s="368" t="s">
        <v>2415</v>
      </c>
      <c r="BI21" s="368" t="s">
        <v>2416</v>
      </c>
      <c r="BJ21" s="31">
        <v>2016</v>
      </c>
      <c r="BK21" s="368" t="s">
        <v>2417</v>
      </c>
      <c r="BL21" s="368" t="s">
        <v>2418</v>
      </c>
      <c r="BM21" s="368" t="s">
        <v>2419</v>
      </c>
      <c r="BN21" s="368" t="s">
        <v>2420</v>
      </c>
      <c r="BO21" s="31">
        <v>2017</v>
      </c>
      <c r="BP21" s="363" t="s">
        <v>2244</v>
      </c>
      <c r="BQ21" s="363" t="s">
        <v>2245</v>
      </c>
      <c r="BR21" s="363" t="s">
        <v>2508</v>
      </c>
      <c r="BS21" s="363" t="s">
        <v>2509</v>
      </c>
      <c r="BT21" s="364">
        <v>2018</v>
      </c>
      <c r="BU21" s="363" t="s">
        <v>2510</v>
      </c>
      <c r="BV21" s="363" t="s">
        <v>2511</v>
      </c>
      <c r="BW21" s="363" t="s">
        <v>3125</v>
      </c>
      <c r="BX21" s="363" t="s">
        <v>1405</v>
      </c>
      <c r="BY21" s="364">
        <v>2019</v>
      </c>
      <c r="BZ21" s="363" t="s">
        <v>1406</v>
      </c>
      <c r="CA21" s="363" t="s">
        <v>1407</v>
      </c>
      <c r="CB21" s="363" t="s">
        <v>1408</v>
      </c>
      <c r="CC21" s="363" t="s">
        <v>1409</v>
      </c>
      <c r="CD21" s="364">
        <v>2020</v>
      </c>
      <c r="CE21" s="11"/>
      <c r="CF21" s="11"/>
      <c r="CG21" s="11"/>
    </row>
    <row r="22" spans="1:148">
      <c r="A22" s="7" t="s">
        <v>2716</v>
      </c>
      <c r="B22" s="4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  <c r="AA22" s="72"/>
      <c r="AB22" s="93"/>
      <c r="AC22" s="12"/>
      <c r="AD22" s="12"/>
      <c r="AE22" s="12"/>
      <c r="AF22" s="5"/>
      <c r="AG22" s="12"/>
      <c r="AH22" s="12"/>
      <c r="AI22" s="12"/>
      <c r="AJ22" s="12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138"/>
      <c r="BN22" s="138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</row>
    <row r="23" spans="1:148">
      <c r="A23" s="5"/>
      <c r="B23" s="4" t="s">
        <v>1412</v>
      </c>
      <c r="C23" s="72"/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  <c r="AA23" s="72"/>
      <c r="AB23" s="93"/>
      <c r="AC23" s="12">
        <v>6233</v>
      </c>
      <c r="AD23" s="12">
        <v>6663</v>
      </c>
      <c r="AE23" s="12">
        <v>5943</v>
      </c>
      <c r="AF23" s="5">
        <v>5943</v>
      </c>
      <c r="AG23" s="12">
        <v>5981</v>
      </c>
      <c r="AH23" s="12">
        <v>7170</v>
      </c>
      <c r="AI23" s="12">
        <v>5598</v>
      </c>
      <c r="AJ23" s="12">
        <v>6587</v>
      </c>
      <c r="AK23" s="5">
        <f>AJ23</f>
        <v>6587</v>
      </c>
      <c r="AL23" s="12">
        <v>4985</v>
      </c>
      <c r="AM23" s="12">
        <v>5109</v>
      </c>
      <c r="AN23" s="12">
        <v>4913</v>
      </c>
      <c r="AO23" s="12">
        <v>4515</v>
      </c>
      <c r="AP23" s="5">
        <f>AO23</f>
        <v>4515</v>
      </c>
      <c r="AQ23" s="12">
        <v>4082</v>
      </c>
      <c r="AR23" s="12">
        <v>4530</v>
      </c>
      <c r="AS23" s="12">
        <v>2861</v>
      </c>
      <c r="AT23" s="12">
        <v>2457</v>
      </c>
      <c r="AU23" s="5">
        <f>AT23</f>
        <v>2457</v>
      </c>
      <c r="AV23" s="12">
        <v>1931</v>
      </c>
      <c r="AW23" s="12">
        <v>1944</v>
      </c>
      <c r="AX23" s="12">
        <v>1566</v>
      </c>
      <c r="AY23" s="12">
        <v>1154</v>
      </c>
      <c r="AZ23" s="5">
        <f>AY23</f>
        <v>1154</v>
      </c>
      <c r="BA23" s="12">
        <v>1079</v>
      </c>
      <c r="BB23" s="12">
        <v>2638</v>
      </c>
      <c r="BC23" s="12">
        <v>1205</v>
      </c>
      <c r="BD23" s="12">
        <v>686</v>
      </c>
      <c r="BE23" s="5">
        <f>BD23</f>
        <v>686</v>
      </c>
      <c r="BF23" s="12">
        <f>508+5</f>
        <v>513</v>
      </c>
      <c r="BG23" s="12">
        <f>359+5</f>
        <v>364</v>
      </c>
      <c r="BH23" s="12">
        <f>330+4</f>
        <v>334</v>
      </c>
      <c r="BI23" s="12">
        <v>194</v>
      </c>
      <c r="BJ23" s="5">
        <f>BI23</f>
        <v>194</v>
      </c>
      <c r="BK23" s="12">
        <v>264</v>
      </c>
      <c r="BL23" s="12">
        <v>172</v>
      </c>
      <c r="BM23" s="181">
        <v>214</v>
      </c>
      <c r="BN23" s="181">
        <v>252</v>
      </c>
      <c r="BO23" s="5">
        <f>BN23</f>
        <v>252</v>
      </c>
      <c r="BP23" s="12">
        <f t="shared" ref="BP23:CC23" ca="1" si="20">BP50</f>
        <v>252</v>
      </c>
      <c r="BQ23" s="12">
        <f t="shared" ca="1" si="20"/>
        <v>252</v>
      </c>
      <c r="BR23" s="12">
        <f t="shared" ca="1" si="20"/>
        <v>252</v>
      </c>
      <c r="BS23" s="12">
        <f t="shared" ca="1" si="20"/>
        <v>252</v>
      </c>
      <c r="BT23" s="5">
        <f ca="1">BS23</f>
        <v>252</v>
      </c>
      <c r="BU23" s="12">
        <f t="shared" ca="1" si="20"/>
        <v>252</v>
      </c>
      <c r="BV23" s="12">
        <f t="shared" ca="1" si="20"/>
        <v>252</v>
      </c>
      <c r="BW23" s="12">
        <f t="shared" ca="1" si="20"/>
        <v>252</v>
      </c>
      <c r="BX23" s="12">
        <f t="shared" ca="1" si="20"/>
        <v>252</v>
      </c>
      <c r="BY23" s="5">
        <f ca="1">BX23</f>
        <v>252</v>
      </c>
      <c r="BZ23" s="12">
        <f t="shared" ca="1" si="20"/>
        <v>252</v>
      </c>
      <c r="CA23" s="12">
        <f t="shared" ca="1" si="20"/>
        <v>252</v>
      </c>
      <c r="CB23" s="12">
        <f t="shared" ca="1" si="20"/>
        <v>252</v>
      </c>
      <c r="CC23" s="12">
        <f t="shared" ca="1" si="20"/>
        <v>252</v>
      </c>
      <c r="CD23" s="5">
        <f ca="1">CC23</f>
        <v>252</v>
      </c>
      <c r="CE23" s="5"/>
      <c r="CF23" s="5"/>
      <c r="CG23" s="5"/>
      <c r="ER23" s="632"/>
    </row>
    <row r="24" spans="1:148">
      <c r="A24" s="4"/>
      <c r="B24" s="4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  <c r="AA24" s="72"/>
      <c r="AB24" s="93"/>
      <c r="AC24" s="12"/>
      <c r="AD24" s="12"/>
      <c r="AE24" s="12"/>
      <c r="AF24" s="5"/>
      <c r="AG24" s="12"/>
      <c r="AH24" s="12"/>
      <c r="AI24" s="12"/>
      <c r="AJ24" s="12"/>
      <c r="AK24" s="5"/>
      <c r="AL24" s="12"/>
      <c r="AM24" s="12"/>
      <c r="AN24" s="12"/>
      <c r="AO24" s="12"/>
      <c r="AP24" s="5"/>
      <c r="AQ24" s="12"/>
      <c r="AR24" s="12"/>
      <c r="AS24" s="12"/>
      <c r="AT24" s="12"/>
      <c r="AU24" s="5"/>
      <c r="AV24" s="12"/>
      <c r="AW24" s="12"/>
      <c r="AX24" s="12"/>
      <c r="AY24" s="12"/>
      <c r="AZ24" s="5"/>
      <c r="BA24" s="12"/>
      <c r="BB24" s="12"/>
      <c r="BC24" s="12"/>
      <c r="BD24" s="12"/>
      <c r="BE24" s="5"/>
      <c r="BF24" s="12"/>
      <c r="BG24" s="12"/>
      <c r="BH24" s="12"/>
      <c r="BI24" s="12"/>
      <c r="BJ24" s="5"/>
      <c r="BK24" s="12"/>
      <c r="BL24" s="12"/>
      <c r="BM24" s="181"/>
      <c r="BN24" s="138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ER24" s="632"/>
    </row>
    <row r="25" spans="1:148">
      <c r="A25" s="7" t="s">
        <v>2717</v>
      </c>
      <c r="B25" s="4"/>
      <c r="C25" s="72"/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  <c r="AA25" s="72"/>
      <c r="AB25" s="93"/>
      <c r="AC25" s="12"/>
      <c r="AD25" s="12"/>
      <c r="AE25" s="12"/>
      <c r="AF25" s="5"/>
      <c r="AG25" s="12"/>
      <c r="AH25" s="12"/>
      <c r="AI25" s="12"/>
      <c r="AJ25" s="12"/>
      <c r="AK25" s="5"/>
      <c r="AL25" s="12"/>
      <c r="AM25" s="12"/>
      <c r="AN25" s="12"/>
      <c r="AO25" s="12"/>
      <c r="AP25" s="5"/>
      <c r="AQ25" s="12"/>
      <c r="AR25" s="12"/>
      <c r="AS25" s="12"/>
      <c r="AT25" s="12"/>
      <c r="AU25" s="5"/>
      <c r="AV25" s="12"/>
      <c r="AW25" s="12"/>
      <c r="AX25" s="12"/>
      <c r="AY25" s="12"/>
      <c r="AZ25" s="5"/>
      <c r="BA25" s="12"/>
      <c r="BB25" s="12"/>
      <c r="BC25" s="12"/>
      <c r="BD25" s="12"/>
      <c r="BE25" s="5"/>
      <c r="BF25" s="12"/>
      <c r="BG25" s="12"/>
      <c r="BH25" s="12"/>
      <c r="BI25" s="12"/>
      <c r="BJ25" s="5"/>
      <c r="BK25" s="12"/>
      <c r="BL25" s="12"/>
      <c r="BM25" s="181"/>
      <c r="BN25" s="138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ER25" s="632"/>
    </row>
    <row r="26" spans="1:148">
      <c r="A26" s="4"/>
      <c r="B26" s="4" t="s">
        <v>3368</v>
      </c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  <c r="AA26" s="72"/>
      <c r="AB26" s="93"/>
      <c r="AC26" s="12">
        <f>AC27+AC28</f>
        <v>-8276</v>
      </c>
      <c r="AD26" s="12">
        <f>AD27+AD28</f>
        <v>-7272</v>
      </c>
      <c r="AE26" s="12">
        <f>AE27+AE28</f>
        <v>-6587</v>
      </c>
      <c r="AF26" s="5">
        <f>AF27+AF28</f>
        <v>-6587</v>
      </c>
      <c r="AG26" s="12">
        <f>AG27+AG28</f>
        <v>-6031</v>
      </c>
      <c r="AH26" s="12">
        <f>SUM(AH27:AH28)</f>
        <v>-6796</v>
      </c>
      <c r="AI26" s="12">
        <v>-5495</v>
      </c>
      <c r="AJ26" s="12">
        <v>-5425</v>
      </c>
      <c r="AK26" s="5">
        <f>AJ26</f>
        <v>-5425</v>
      </c>
      <c r="AL26" s="12">
        <v>-3800</v>
      </c>
      <c r="AM26" s="12">
        <v>-2377</v>
      </c>
      <c r="AN26" s="12">
        <v>-1118</v>
      </c>
      <c r="AO26" s="12">
        <v>-522</v>
      </c>
      <c r="AP26" s="5">
        <f>AO26</f>
        <v>-522</v>
      </c>
      <c r="AQ26" s="12">
        <v>-1082</v>
      </c>
      <c r="AR26" s="12">
        <v>-1063</v>
      </c>
      <c r="AS26" s="12">
        <v>-1029</v>
      </c>
      <c r="AT26" s="12">
        <v>-1030</v>
      </c>
      <c r="AU26" s="5">
        <f>AT26</f>
        <v>-1030</v>
      </c>
      <c r="AV26" s="12">
        <v>-887</v>
      </c>
      <c r="AW26" s="12">
        <v>-838</v>
      </c>
      <c r="AX26" s="12">
        <v>-653</v>
      </c>
      <c r="AY26" s="12">
        <v>-655</v>
      </c>
      <c r="AZ26" s="5">
        <f>AY26</f>
        <v>-655</v>
      </c>
      <c r="BA26" s="12">
        <v>-724</v>
      </c>
      <c r="BB26" s="12">
        <f>-817-40</f>
        <v>-857</v>
      </c>
      <c r="BC26" s="12">
        <f>-797-40</f>
        <v>-837</v>
      </c>
      <c r="BD26" s="12">
        <f>-693-40</f>
        <v>-733</v>
      </c>
      <c r="BE26" s="5">
        <f>BD26</f>
        <v>-733</v>
      </c>
      <c r="BF26" s="12">
        <v>-2137</v>
      </c>
      <c r="BG26" s="12">
        <v>-2813</v>
      </c>
      <c r="BH26" s="12">
        <v>-1979</v>
      </c>
      <c r="BI26" s="12">
        <v>-3056</v>
      </c>
      <c r="BJ26" s="5">
        <f>BI26</f>
        <v>-3056</v>
      </c>
      <c r="BK26" s="12">
        <v>-2945</v>
      </c>
      <c r="BL26" s="12">
        <v>-2202</v>
      </c>
      <c r="BM26" s="181">
        <v>-2069</v>
      </c>
      <c r="BN26" s="181">
        <v>-2089</v>
      </c>
      <c r="BO26" s="5">
        <f t="shared" ref="BO26:BO29" si="21">BN26</f>
        <v>-2089</v>
      </c>
      <c r="BP26" s="12">
        <f t="shared" ref="BP26" si="22">BN26*BP54/BN54</f>
        <v>-991.59744398185944</v>
      </c>
      <c r="BQ26" s="12">
        <f t="shared" ref="BQ26:BS26" si="23">BP26*BQ54/BP54</f>
        <v>-1299.2954395422337</v>
      </c>
      <c r="BR26" s="12">
        <f t="shared" si="23"/>
        <v>-1225.2804168664968</v>
      </c>
      <c r="BS26" s="12">
        <f t="shared" si="23"/>
        <v>-1151.2653941907599</v>
      </c>
      <c r="BT26" s="5">
        <f t="shared" ref="BT26" si="24">BS26</f>
        <v>-1151.2653941907599</v>
      </c>
      <c r="BU26" s="12">
        <f t="shared" ref="BU26" si="25">BS26*BU54/BS54</f>
        <v>-1040.2428601771544</v>
      </c>
      <c r="BV26" s="12">
        <f t="shared" ref="BV26:BX26" si="26">BU26*BV54/BU54</f>
        <v>-932.18092707057838</v>
      </c>
      <c r="BW26" s="12">
        <f t="shared" si="26"/>
        <v>-821.15839305697295</v>
      </c>
      <c r="BX26" s="12">
        <f t="shared" si="26"/>
        <v>-710.13585904336753</v>
      </c>
      <c r="BY26" s="5">
        <f t="shared" ref="BY26" si="27">BX26</f>
        <v>-710.13585904336753</v>
      </c>
      <c r="BZ26" s="12">
        <f t="shared" ref="BZ26" si="28">BX26*BZ54/BX54</f>
        <v>-1269.05361374376</v>
      </c>
      <c r="CA26" s="12">
        <f t="shared" ref="CA26:CC26" si="29">BZ26*CA54/BZ54</f>
        <v>-736.40067455675592</v>
      </c>
      <c r="CB26" s="12">
        <f t="shared" si="29"/>
        <v>-913.88359441311934</v>
      </c>
      <c r="CC26" s="12">
        <f t="shared" si="29"/>
        <v>-1091.3665142694829</v>
      </c>
      <c r="CD26" s="5">
        <f t="shared" ref="CD26" si="30">CC26</f>
        <v>-1091.3665142694829</v>
      </c>
      <c r="CE26" s="5"/>
      <c r="CF26" s="5"/>
      <c r="CG26" s="5"/>
      <c r="ER26" s="632"/>
    </row>
    <row r="27" spans="1:148">
      <c r="A27" s="9"/>
      <c r="B27" s="302" t="s">
        <v>2699</v>
      </c>
      <c r="C27" s="95"/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  <c r="AB27" s="303"/>
      <c r="AC27" s="92">
        <v>-7500</v>
      </c>
      <c r="AD27" s="92">
        <v>-5750</v>
      </c>
      <c r="AE27" s="92">
        <v>-5002</v>
      </c>
      <c r="AF27" s="29">
        <v>-5002</v>
      </c>
      <c r="AG27" s="305">
        <v>-5001</v>
      </c>
      <c r="AH27" s="305">
        <v>-6146</v>
      </c>
      <c r="AI27" s="92">
        <v>-5008</v>
      </c>
      <c r="AJ27" s="92">
        <v>-4872</v>
      </c>
      <c r="AK27" s="29">
        <f>AJ27</f>
        <v>-4872</v>
      </c>
      <c r="AL27" s="92">
        <v>-3368</v>
      </c>
      <c r="AM27" s="92">
        <v>-2128</v>
      </c>
      <c r="AN27" s="92">
        <v>-881</v>
      </c>
      <c r="AO27" s="92">
        <v>-22</v>
      </c>
      <c r="AP27" s="29">
        <f>AO27</f>
        <v>-22</v>
      </c>
      <c r="AQ27" s="92">
        <v>-1</v>
      </c>
      <c r="AR27" s="92">
        <v>-1</v>
      </c>
      <c r="AS27" s="92">
        <v>-1</v>
      </c>
      <c r="AT27" s="92">
        <v>-1</v>
      </c>
      <c r="AU27" s="29">
        <f>AT27</f>
        <v>-1</v>
      </c>
      <c r="AV27" s="92">
        <v>-1</v>
      </c>
      <c r="AW27" s="92">
        <v>-1</v>
      </c>
      <c r="AX27" s="92">
        <v>-1</v>
      </c>
      <c r="AY27" s="92">
        <v>0</v>
      </c>
      <c r="AZ27" s="29">
        <f>AY27</f>
        <v>0</v>
      </c>
      <c r="BA27" s="92">
        <v>0</v>
      </c>
      <c r="BB27" s="92">
        <v>0</v>
      </c>
      <c r="BC27" s="92">
        <v>0</v>
      </c>
      <c r="BD27" s="92">
        <v>0</v>
      </c>
      <c r="BE27" s="29">
        <f>BD27</f>
        <v>0</v>
      </c>
      <c r="BF27" s="92">
        <v>0</v>
      </c>
      <c r="BG27" s="92">
        <v>0</v>
      </c>
      <c r="BH27" s="92">
        <v>0</v>
      </c>
      <c r="BI27" s="92">
        <v>0</v>
      </c>
      <c r="BJ27" s="29">
        <f>BI27</f>
        <v>0</v>
      </c>
      <c r="BK27" s="92">
        <v>0</v>
      </c>
      <c r="BL27" s="92">
        <v>0</v>
      </c>
      <c r="BM27" s="305">
        <v>0</v>
      </c>
      <c r="BN27" s="305">
        <v>0</v>
      </c>
      <c r="BO27" s="29">
        <f t="shared" si="21"/>
        <v>0</v>
      </c>
      <c r="BP27" s="92">
        <v>0</v>
      </c>
      <c r="BQ27" s="92">
        <v>0</v>
      </c>
      <c r="BR27" s="92">
        <v>0</v>
      </c>
      <c r="BS27" s="92">
        <v>0</v>
      </c>
      <c r="BT27" s="29">
        <f t="shared" ref="BT27" si="31">BS27</f>
        <v>0</v>
      </c>
      <c r="BU27" s="92">
        <v>0</v>
      </c>
      <c r="BV27" s="92">
        <v>0</v>
      </c>
      <c r="BW27" s="92">
        <v>0</v>
      </c>
      <c r="BX27" s="92">
        <v>0</v>
      </c>
      <c r="BY27" s="29">
        <f t="shared" ref="BY27" si="32">BX27</f>
        <v>0</v>
      </c>
      <c r="BZ27" s="92">
        <v>0</v>
      </c>
      <c r="CA27" s="92">
        <v>0</v>
      </c>
      <c r="CB27" s="92">
        <v>0</v>
      </c>
      <c r="CC27" s="92">
        <v>0</v>
      </c>
      <c r="CD27" s="29">
        <f t="shared" ref="CD27:CD28" si="33">CC27</f>
        <v>0</v>
      </c>
      <c r="CE27" s="29"/>
      <c r="CF27" s="29"/>
      <c r="CG27" s="29"/>
      <c r="ER27" s="632"/>
    </row>
    <row r="28" spans="1:148">
      <c r="A28" s="9"/>
      <c r="B28" s="302" t="s">
        <v>1294</v>
      </c>
      <c r="C28" s="95"/>
      <c r="D28" s="95"/>
      <c r="E28" s="95"/>
      <c r="F28" s="95"/>
      <c r="G28" s="95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  <c r="AB28" s="303"/>
      <c r="AC28" s="92">
        <v>-776</v>
      </c>
      <c r="AD28" s="92">
        <v>-1522</v>
      </c>
      <c r="AE28" s="92">
        <v>-1585</v>
      </c>
      <c r="AF28" s="29">
        <v>-1585</v>
      </c>
      <c r="AG28" s="92">
        <v>-1030</v>
      </c>
      <c r="AH28" s="92">
        <f>-6796-AH27</f>
        <v>-650</v>
      </c>
      <c r="AI28" s="92">
        <f>-5495-AI27</f>
        <v>-487</v>
      </c>
      <c r="AJ28" s="92">
        <f>-5425-AJ27</f>
        <v>-553</v>
      </c>
      <c r="AK28" s="29">
        <f>AJ28</f>
        <v>-553</v>
      </c>
      <c r="AL28" s="92">
        <f>-3800-AL27</f>
        <v>-432</v>
      </c>
      <c r="AM28" s="92">
        <f>AM26-AM27</f>
        <v>-249</v>
      </c>
      <c r="AN28" s="92">
        <f>AN26-AN27</f>
        <v>-237</v>
      </c>
      <c r="AO28" s="92">
        <f>AO26-AO27</f>
        <v>-500</v>
      </c>
      <c r="AP28" s="29">
        <f>AO28</f>
        <v>-500</v>
      </c>
      <c r="AQ28" s="92">
        <f>AQ26-AQ27</f>
        <v>-1081</v>
      </c>
      <c r="AR28" s="92">
        <f>AR26-AR27</f>
        <v>-1062</v>
      </c>
      <c r="AS28" s="92">
        <f>AS26-AS27</f>
        <v>-1028</v>
      </c>
      <c r="AT28" s="92">
        <f>AT26-AT27</f>
        <v>-1029</v>
      </c>
      <c r="AU28" s="29">
        <f>AT28</f>
        <v>-1029</v>
      </c>
      <c r="AV28" s="92">
        <f>AV26-AV27</f>
        <v>-886</v>
      </c>
      <c r="AW28" s="92">
        <f>AW26-AW27</f>
        <v>-837</v>
      </c>
      <c r="AX28" s="92">
        <f>AX26-AX27</f>
        <v>-652</v>
      </c>
      <c r="AY28" s="92">
        <f>AY26-AY27</f>
        <v>-655</v>
      </c>
      <c r="AZ28" s="29">
        <f>AY28</f>
        <v>-655</v>
      </c>
      <c r="BA28" s="92">
        <v>-724</v>
      </c>
      <c r="BB28" s="92">
        <f>-817-40</f>
        <v>-857</v>
      </c>
      <c r="BC28" s="92">
        <f>-797-40</f>
        <v>-837</v>
      </c>
      <c r="BD28" s="92">
        <f>BD26-BD27</f>
        <v>-733</v>
      </c>
      <c r="BE28" s="29">
        <f>BD28</f>
        <v>-733</v>
      </c>
      <c r="BF28" s="92">
        <f>BF26-BF27</f>
        <v>-2137</v>
      </c>
      <c r="BG28" s="92">
        <f>BG26-BG27</f>
        <v>-2813</v>
      </c>
      <c r="BH28" s="92">
        <f>BH26-BH27</f>
        <v>-1979</v>
      </c>
      <c r="BI28" s="92">
        <f>BI26-BI27</f>
        <v>-3056</v>
      </c>
      <c r="BJ28" s="29">
        <f>BI28</f>
        <v>-3056</v>
      </c>
      <c r="BK28" s="92">
        <f t="shared" ref="BK28:BN28" si="34">BK26-BK27</f>
        <v>-2945</v>
      </c>
      <c r="BL28" s="92">
        <f t="shared" si="34"/>
        <v>-2202</v>
      </c>
      <c r="BM28" s="305">
        <f t="shared" si="34"/>
        <v>-2069</v>
      </c>
      <c r="BN28" s="305">
        <f t="shared" si="34"/>
        <v>-2089</v>
      </c>
      <c r="BO28" s="29">
        <f t="shared" si="21"/>
        <v>-2089</v>
      </c>
      <c r="BP28" s="92">
        <f t="shared" ref="BP28:BS28" si="35">BP26-BP27</f>
        <v>-991.59744398185944</v>
      </c>
      <c r="BQ28" s="92">
        <f t="shared" si="35"/>
        <v>-1299.2954395422337</v>
      </c>
      <c r="BR28" s="92">
        <f t="shared" si="35"/>
        <v>-1225.2804168664968</v>
      </c>
      <c r="BS28" s="92">
        <f t="shared" si="35"/>
        <v>-1151.2653941907599</v>
      </c>
      <c r="BT28" s="29">
        <f t="shared" ref="BT28" si="36">BS28</f>
        <v>-1151.2653941907599</v>
      </c>
      <c r="BU28" s="92">
        <f t="shared" ref="BU28:BX28" si="37">BU26-BU27</f>
        <v>-1040.2428601771544</v>
      </c>
      <c r="BV28" s="92">
        <f t="shared" si="37"/>
        <v>-932.18092707057838</v>
      </c>
      <c r="BW28" s="92">
        <f t="shared" si="37"/>
        <v>-821.15839305697295</v>
      </c>
      <c r="BX28" s="92">
        <f t="shared" si="37"/>
        <v>-710.13585904336753</v>
      </c>
      <c r="BY28" s="29">
        <f t="shared" ref="BY28" si="38">BX28</f>
        <v>-710.13585904336753</v>
      </c>
      <c r="BZ28" s="92">
        <f t="shared" ref="BZ28:CC28" si="39">BZ26-BZ27</f>
        <v>-1269.05361374376</v>
      </c>
      <c r="CA28" s="92">
        <f t="shared" si="39"/>
        <v>-736.40067455675592</v>
      </c>
      <c r="CB28" s="92">
        <f t="shared" si="39"/>
        <v>-913.88359441311934</v>
      </c>
      <c r="CC28" s="92">
        <f t="shared" si="39"/>
        <v>-1091.3665142694829</v>
      </c>
      <c r="CD28" s="29">
        <f t="shared" si="33"/>
        <v>-1091.3665142694829</v>
      </c>
      <c r="CE28" s="29"/>
      <c r="CF28" s="29"/>
      <c r="CG28" s="29"/>
      <c r="ER28" s="632"/>
    </row>
    <row r="29" spans="1:148">
      <c r="A29" s="5"/>
      <c r="B29" s="4" t="s">
        <v>644</v>
      </c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93"/>
      <c r="AC29" s="12">
        <v>-11809</v>
      </c>
      <c r="AD29" s="12">
        <v>-11343</v>
      </c>
      <c r="AE29" s="12">
        <v>-7938</v>
      </c>
      <c r="AF29" s="5">
        <v>-7938</v>
      </c>
      <c r="AG29" s="12">
        <v>-7379</v>
      </c>
      <c r="AH29" s="12">
        <v>-7414</v>
      </c>
      <c r="AI29" s="12">
        <v>-7078</v>
      </c>
      <c r="AJ29" s="12">
        <v>-7537</v>
      </c>
      <c r="AK29" s="5">
        <f>AJ29</f>
        <v>-7537</v>
      </c>
      <c r="AL29" s="12">
        <v>-5877</v>
      </c>
      <c r="AM29" s="12">
        <v>-6177</v>
      </c>
      <c r="AN29" s="12">
        <v>-6181</v>
      </c>
      <c r="AO29" s="12">
        <v>-5725</v>
      </c>
      <c r="AP29" s="5">
        <f>AO29</f>
        <v>-5725</v>
      </c>
      <c r="AQ29" s="12">
        <v>-4810</v>
      </c>
      <c r="AR29" s="12">
        <v>-5183</v>
      </c>
      <c r="AS29" s="12">
        <v>-3457</v>
      </c>
      <c r="AT29" s="12">
        <v>-2951</v>
      </c>
      <c r="AU29" s="5">
        <f>AT29</f>
        <v>-2951</v>
      </c>
      <c r="AV29" s="12">
        <v>-2375</v>
      </c>
      <c r="AW29" s="12">
        <v>-2345</v>
      </c>
      <c r="AX29" s="12">
        <v>-1942</v>
      </c>
      <c r="AY29" s="12">
        <v>-1702</v>
      </c>
      <c r="AZ29" s="5">
        <f>AY29</f>
        <v>-1702</v>
      </c>
      <c r="BA29" s="12">
        <v>-1562</v>
      </c>
      <c r="BB29" s="12">
        <v>-3569</v>
      </c>
      <c r="BC29" s="12">
        <f>-2523</f>
        <v>-2523</v>
      </c>
      <c r="BD29" s="12">
        <v>-3076</v>
      </c>
      <c r="BE29" s="5">
        <f>BD29</f>
        <v>-3076</v>
      </c>
      <c r="BF29" s="12">
        <v>-1980</v>
      </c>
      <c r="BG29" s="12">
        <v>-3427</v>
      </c>
      <c r="BH29" s="12">
        <v>-3348</v>
      </c>
      <c r="BI29" s="12">
        <v>-2330</v>
      </c>
      <c r="BJ29" s="5">
        <f>BI29</f>
        <v>-2330</v>
      </c>
      <c r="BK29" s="12">
        <v>-1296</v>
      </c>
      <c r="BL29" s="12">
        <v>-955</v>
      </c>
      <c r="BM29" s="181">
        <v>-726</v>
      </c>
      <c r="BN29" s="181">
        <v>-1439</v>
      </c>
      <c r="BO29" s="5">
        <f t="shared" si="21"/>
        <v>-1439</v>
      </c>
      <c r="BP29" s="12">
        <f t="shared" ref="BP29" si="40">BN29*BP54/BN54</f>
        <v>-683.05826801814055</v>
      </c>
      <c r="BQ29" s="12">
        <f t="shared" ref="BQ29:BS29" si="41">BP29*BQ54/BP54</f>
        <v>-895.0149054577663</v>
      </c>
      <c r="BR29" s="12">
        <f t="shared" si="41"/>
        <v>-844.02992813350329</v>
      </c>
      <c r="BS29" s="12">
        <f t="shared" si="41"/>
        <v>-793.04495080924016</v>
      </c>
      <c r="BT29" s="5">
        <f t="shared" ref="BT29" si="42">BS29</f>
        <v>-793.04495080924016</v>
      </c>
      <c r="BU29" s="12">
        <f t="shared" ref="BU29" si="43">BS29*BU54/BS54</f>
        <v>-716.5674848228457</v>
      </c>
      <c r="BV29" s="12">
        <f t="shared" ref="BV29:BX29" si="44">BU29*BV54/BU54</f>
        <v>-642.12941792942172</v>
      </c>
      <c r="BW29" s="12">
        <f t="shared" si="44"/>
        <v>-565.65195194302714</v>
      </c>
      <c r="BX29" s="12">
        <f t="shared" si="44"/>
        <v>-489.17448595663262</v>
      </c>
      <c r="BY29" s="5">
        <f t="shared" ref="BY29" si="45">BX29</f>
        <v>-489.17448595663262</v>
      </c>
      <c r="BZ29" s="12">
        <f t="shared" ref="BZ29" si="46">BX29*BZ54/BX54</f>
        <v>-874.18293450324086</v>
      </c>
      <c r="CA29" s="12">
        <f t="shared" ref="CA29:CC29" si="47">BZ29*CA54/BZ54</f>
        <v>-507.26690794024483</v>
      </c>
      <c r="CB29" s="12">
        <f t="shared" si="47"/>
        <v>-629.52536733388149</v>
      </c>
      <c r="CC29" s="12">
        <f t="shared" si="47"/>
        <v>-751.78382672751832</v>
      </c>
      <c r="CD29" s="5">
        <f t="shared" ref="CD29" si="48">CC29</f>
        <v>-751.78382672751832</v>
      </c>
      <c r="CE29" s="5"/>
      <c r="CF29" s="5"/>
      <c r="CG29" s="5"/>
      <c r="ER29" s="632"/>
    </row>
    <row r="30" spans="1:148">
      <c r="A30" s="4"/>
      <c r="B30" s="4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93"/>
      <c r="AC30" s="12"/>
      <c r="AD30" s="12"/>
      <c r="AE30" s="12"/>
      <c r="AF30" s="5"/>
      <c r="AG30" s="181"/>
      <c r="AH30" s="181"/>
      <c r="AI30" s="181"/>
      <c r="AJ30" s="181"/>
      <c r="AK30" s="5"/>
      <c r="AL30" s="181"/>
      <c r="AM30" s="181"/>
      <c r="AN30" s="181"/>
      <c r="AO30" s="181"/>
      <c r="AP30" s="5"/>
      <c r="AQ30" s="181"/>
      <c r="AR30" s="181"/>
      <c r="AS30" s="181"/>
      <c r="AT30" s="181"/>
      <c r="AU30" s="5"/>
      <c r="AV30" s="181"/>
      <c r="AW30" s="181"/>
      <c r="AX30" s="181"/>
      <c r="AY30" s="181"/>
      <c r="AZ30" s="5"/>
      <c r="BA30" s="181"/>
      <c r="BB30" s="181"/>
      <c r="BC30" s="181"/>
      <c r="BD30" s="181"/>
      <c r="BE30" s="5"/>
      <c r="BF30" s="181"/>
      <c r="BG30" s="181"/>
      <c r="BH30" s="181"/>
      <c r="BI30" s="181"/>
      <c r="BJ30" s="5"/>
      <c r="BK30" s="181"/>
      <c r="BL30" s="181"/>
      <c r="BM30" s="181"/>
      <c r="BN30" s="138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ER30" s="632"/>
    </row>
    <row r="31" spans="1:148">
      <c r="A31" s="14" t="s">
        <v>1296</v>
      </c>
      <c r="B31" s="14"/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304"/>
      <c r="AC31" s="16">
        <f t="shared" ref="AC31:AJ31" si="49">SUM(AC23,AC26,AC29)</f>
        <v>-13852</v>
      </c>
      <c r="AD31" s="16">
        <f t="shared" si="49"/>
        <v>-11952</v>
      </c>
      <c r="AE31" s="16">
        <f t="shared" si="49"/>
        <v>-8582</v>
      </c>
      <c r="AF31" s="15">
        <f t="shared" si="49"/>
        <v>-8582</v>
      </c>
      <c r="AG31" s="177">
        <f t="shared" si="49"/>
        <v>-7429</v>
      </c>
      <c r="AH31" s="177">
        <f t="shared" si="49"/>
        <v>-7040</v>
      </c>
      <c r="AI31" s="177">
        <f t="shared" si="49"/>
        <v>-6975</v>
      </c>
      <c r="AJ31" s="177">
        <f t="shared" si="49"/>
        <v>-6375</v>
      </c>
      <c r="AK31" s="15">
        <f>AJ31</f>
        <v>-6375</v>
      </c>
      <c r="AL31" s="177">
        <f>SUM(AL23,AL26,AL29)</f>
        <v>-4692</v>
      </c>
      <c r="AM31" s="177">
        <f>SUM(AM23,AM26,AM29)</f>
        <v>-3445</v>
      </c>
      <c r="AN31" s="177">
        <f>SUM(AN23,AN26,AN29)</f>
        <v>-2386</v>
      </c>
      <c r="AO31" s="177">
        <f>SUM(AO23,AO26,AO29)</f>
        <v>-1732</v>
      </c>
      <c r="AP31" s="15">
        <f>AO31</f>
        <v>-1732</v>
      </c>
      <c r="AQ31" s="177">
        <f>SUM(AQ23,AQ26,AQ29)</f>
        <v>-1810</v>
      </c>
      <c r="AR31" s="177">
        <f>SUM(AR23,AR26,AR29)</f>
        <v>-1716</v>
      </c>
      <c r="AS31" s="177">
        <f>SUM(AS23,AS26,AS29)</f>
        <v>-1625</v>
      </c>
      <c r="AT31" s="177">
        <f>SUM(AT23,AT26,AT29)</f>
        <v>-1524</v>
      </c>
      <c r="AU31" s="15">
        <f>AT31</f>
        <v>-1524</v>
      </c>
      <c r="AV31" s="177">
        <f>SUM(AV23,AV26,AV29)</f>
        <v>-1331</v>
      </c>
      <c r="AW31" s="177">
        <f>SUM(AW23,AW26,AW29)</f>
        <v>-1239</v>
      </c>
      <c r="AX31" s="177">
        <f>SUM(AX23,AX26,AX29)</f>
        <v>-1029</v>
      </c>
      <c r="AY31" s="177">
        <f>SUM(AY23,AY26,AY29)</f>
        <v>-1203</v>
      </c>
      <c r="AZ31" s="15">
        <f>AY31</f>
        <v>-1203</v>
      </c>
      <c r="BA31" s="177">
        <f>SUM(BA23,BA26,BA29)</f>
        <v>-1207</v>
      </c>
      <c r="BB31" s="177">
        <f>SUM(BB23,BB26,BB29)</f>
        <v>-1788</v>
      </c>
      <c r="BC31" s="177">
        <f>SUM(BC23,BC26,BC29)</f>
        <v>-2155</v>
      </c>
      <c r="BD31" s="177">
        <f>SUM(BD23,BD26,BD29)</f>
        <v>-3123</v>
      </c>
      <c r="BE31" s="15">
        <f>BD31</f>
        <v>-3123</v>
      </c>
      <c r="BF31" s="177">
        <f>SUM(BF23,BF26,BF29)</f>
        <v>-3604</v>
      </c>
      <c r="BG31" s="177">
        <f>SUM(BG23,BG26,BG29)</f>
        <v>-5876</v>
      </c>
      <c r="BH31" s="177">
        <f>SUM(BH23,BH26,BH29)</f>
        <v>-4993</v>
      </c>
      <c r="BI31" s="177">
        <f>SUM(BI23,BI26,BI29)</f>
        <v>-5192</v>
      </c>
      <c r="BJ31" s="15">
        <f>BI31</f>
        <v>-5192</v>
      </c>
      <c r="BK31" s="177">
        <f>SUM(BK23,BK26,BK29)</f>
        <v>-3977</v>
      </c>
      <c r="BL31" s="177">
        <f>SUM(BL23,BL26,BL29)</f>
        <v>-2985</v>
      </c>
      <c r="BM31" s="177">
        <f>SUM(BM23,BM26,BM29)</f>
        <v>-2581</v>
      </c>
      <c r="BN31" s="177">
        <f>SUM(BN23,BN26,BN29)</f>
        <v>-3276</v>
      </c>
      <c r="BO31" s="15">
        <f>BN31</f>
        <v>-3276</v>
      </c>
      <c r="BP31" s="177">
        <f ca="1">SUM(BP23,BP26,BP29)</f>
        <v>-1422.655712</v>
      </c>
      <c r="BQ31" s="177">
        <f ca="1">SUM(BQ23,BQ26,BQ29)</f>
        <v>-1942.3103449999999</v>
      </c>
      <c r="BR31" s="177">
        <f ca="1">SUM(BR23,BR26,BR29)</f>
        <v>-1817.3103450000001</v>
      </c>
      <c r="BS31" s="177">
        <f ca="1">SUM(BS23,BS26,BS29)</f>
        <v>-1692.3103450000001</v>
      </c>
      <c r="BT31" s="15">
        <f ca="1">BS31</f>
        <v>-1692.3103450000001</v>
      </c>
      <c r="BU31" s="177">
        <f ca="1">SUM(BU23,BU26,BU29)</f>
        <v>-1504.8103450000001</v>
      </c>
      <c r="BV31" s="177">
        <f ca="1">SUM(BV23,BV26,BV29)</f>
        <v>-1322.3103450000001</v>
      </c>
      <c r="BW31" s="177">
        <f ca="1">SUM(BW23,BW26,BW29)</f>
        <v>-1134.8103450000001</v>
      </c>
      <c r="BX31" s="177">
        <f ca="1">SUM(BX23,BX26,BX29)</f>
        <v>-947.3103450000001</v>
      </c>
      <c r="BY31" s="15">
        <f ca="1">BX31</f>
        <v>-947.3103450000001</v>
      </c>
      <c r="BZ31" s="177">
        <f ca="1">SUM(BZ23,BZ26,BZ29)</f>
        <v>-1891.2365482470009</v>
      </c>
      <c r="CA31" s="177">
        <f ca="1">SUM(CA23,CA26,CA29)</f>
        <v>-991.66758249700069</v>
      </c>
      <c r="CB31" s="177">
        <f ca="1">SUM(CB23,CB26,CB29)</f>
        <v>-1291.4089617470008</v>
      </c>
      <c r="CC31" s="177">
        <f ca="1">SUM(CC23,CC26,CC29)</f>
        <v>-1591.1503409970012</v>
      </c>
      <c r="CD31" s="15">
        <f ca="1">CC31</f>
        <v>-1591.1503409970012</v>
      </c>
      <c r="CE31" s="8"/>
      <c r="CF31" s="8"/>
      <c r="CG31" s="8"/>
      <c r="ER31" s="632"/>
    </row>
    <row r="32" spans="1:148">
      <c r="A32" s="4"/>
      <c r="B32" s="4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  <c r="AA32" s="72"/>
      <c r="AB32" s="93"/>
      <c r="AC32" s="12"/>
      <c r="AD32" s="12"/>
      <c r="AE32" s="12"/>
      <c r="AF32" s="5"/>
      <c r="AG32" s="181"/>
      <c r="AH32" s="181"/>
      <c r="AI32" s="181"/>
      <c r="AJ32" s="181"/>
      <c r="AK32" s="181"/>
      <c r="AL32" s="181"/>
      <c r="AM32" s="181"/>
      <c r="AN32" s="181"/>
      <c r="AO32" s="181"/>
      <c r="AP32" s="181"/>
      <c r="AQ32" s="181"/>
      <c r="AR32" s="181"/>
      <c r="AS32" s="181"/>
      <c r="AT32" s="181"/>
      <c r="AU32" s="181"/>
      <c r="AV32" s="181"/>
      <c r="AW32" s="181"/>
      <c r="AX32" s="181"/>
      <c r="AY32" s="181"/>
      <c r="AZ32" s="181"/>
      <c r="BA32" s="181"/>
      <c r="BB32" s="181"/>
      <c r="BC32" s="181"/>
      <c r="BD32" s="181"/>
      <c r="BE32" s="181"/>
      <c r="BF32" s="181"/>
      <c r="BG32" s="181"/>
      <c r="BH32" s="181"/>
      <c r="BI32" s="181"/>
      <c r="BJ32" s="181"/>
      <c r="BK32" s="181"/>
      <c r="BL32" s="181"/>
      <c r="BM32" s="181"/>
      <c r="BN32" s="138"/>
      <c r="BO32" s="181"/>
      <c r="BP32" s="5"/>
      <c r="BQ32" s="5"/>
      <c r="BR32" s="5"/>
      <c r="BS32" s="5"/>
      <c r="BT32" s="181"/>
      <c r="BU32" s="5"/>
      <c r="BV32" s="5"/>
      <c r="BW32" s="5"/>
      <c r="BX32" s="5"/>
      <c r="BY32" s="181"/>
      <c r="BZ32" s="5"/>
      <c r="CA32" s="5"/>
      <c r="CB32" s="5"/>
      <c r="CC32" s="5"/>
      <c r="CD32" s="181"/>
      <c r="CE32" s="5"/>
      <c r="CF32" s="5"/>
      <c r="CG32" s="5"/>
      <c r="ER32" s="632"/>
    </row>
    <row r="33" spans="1:149">
      <c r="A33" s="7" t="s">
        <v>2718</v>
      </c>
      <c r="B33" s="4"/>
      <c r="C33" s="72"/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  <c r="AA33" s="72"/>
      <c r="AB33" s="93"/>
      <c r="AC33" s="12"/>
      <c r="AD33" s="12"/>
      <c r="AE33" s="12"/>
      <c r="AF33" s="5"/>
      <c r="AG33" s="181"/>
      <c r="AH33" s="181"/>
      <c r="AI33" s="181"/>
      <c r="AJ33" s="181"/>
      <c r="AK33" s="181"/>
      <c r="AL33" s="181"/>
      <c r="AM33" s="181"/>
      <c r="AN33" s="181"/>
      <c r="AO33" s="181"/>
      <c r="AP33" s="181"/>
      <c r="AQ33" s="181"/>
      <c r="AR33" s="181"/>
      <c r="AS33" s="181"/>
      <c r="AT33" s="181"/>
      <c r="AU33" s="181"/>
      <c r="AV33" s="181"/>
      <c r="AW33" s="181"/>
      <c r="AX33" s="181"/>
      <c r="AY33" s="181"/>
      <c r="AZ33" s="181"/>
      <c r="BA33" s="181"/>
      <c r="BB33" s="181"/>
      <c r="BC33" s="181"/>
      <c r="BD33" s="181"/>
      <c r="BE33" s="181"/>
      <c r="BF33" s="181"/>
      <c r="BG33" s="181"/>
      <c r="BH33" s="181"/>
      <c r="BI33" s="181"/>
      <c r="BJ33" s="181"/>
      <c r="BK33" s="181"/>
      <c r="BL33" s="181"/>
      <c r="BM33" s="181"/>
      <c r="BN33" s="138"/>
      <c r="BO33" s="181"/>
      <c r="BP33" s="5"/>
      <c r="BQ33" s="5"/>
      <c r="BR33" s="5"/>
      <c r="BS33" s="5"/>
      <c r="BT33" s="181"/>
      <c r="BU33" s="5"/>
      <c r="BV33" s="5"/>
      <c r="BW33" s="5"/>
      <c r="BX33" s="5"/>
      <c r="BY33" s="181"/>
      <c r="BZ33" s="5"/>
      <c r="CA33" s="5"/>
      <c r="CB33" s="5"/>
      <c r="CC33" s="5"/>
      <c r="CD33" s="181"/>
      <c r="CE33" s="5"/>
      <c r="CF33" s="5"/>
      <c r="CG33" s="5"/>
      <c r="ER33" s="632"/>
    </row>
    <row r="34" spans="1:149">
      <c r="A34" s="4"/>
      <c r="B34" s="4" t="s">
        <v>634</v>
      </c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  <c r="AA34" s="72"/>
      <c r="AB34" s="93"/>
      <c r="AC34" s="12">
        <v>1693</v>
      </c>
      <c r="AD34" s="12">
        <v>352</v>
      </c>
      <c r="AE34" s="12">
        <v>3601</v>
      </c>
      <c r="AF34" s="5">
        <v>3601</v>
      </c>
      <c r="AG34" s="181">
        <v>3563</v>
      </c>
      <c r="AH34" s="181">
        <v>2667</v>
      </c>
      <c r="AI34" s="181">
        <v>2278</v>
      </c>
      <c r="AJ34" s="181">
        <v>1401</v>
      </c>
      <c r="AK34" s="5">
        <f>AJ34</f>
        <v>1401</v>
      </c>
      <c r="AL34" s="181">
        <v>4881</v>
      </c>
      <c r="AM34" s="181">
        <v>4181</v>
      </c>
      <c r="AN34" s="181">
        <v>4754</v>
      </c>
      <c r="AO34" s="181">
        <v>2782</v>
      </c>
      <c r="AP34" s="5">
        <f>AO34</f>
        <v>2782</v>
      </c>
      <c r="AQ34" s="181">
        <v>2074</v>
      </c>
      <c r="AR34" s="181">
        <v>2067</v>
      </c>
      <c r="AS34" s="181">
        <v>2286</v>
      </c>
      <c r="AT34" s="181">
        <v>2442</v>
      </c>
      <c r="AU34" s="5">
        <f>AT34</f>
        <v>2442</v>
      </c>
      <c r="AV34" s="181">
        <v>2799</v>
      </c>
      <c r="AW34" s="181">
        <v>2569</v>
      </c>
      <c r="AX34" s="181">
        <v>3289</v>
      </c>
      <c r="AY34" s="181">
        <v>2701</v>
      </c>
      <c r="AZ34" s="5">
        <f>AY34</f>
        <v>2701</v>
      </c>
      <c r="BA34" s="181">
        <v>2304</v>
      </c>
      <c r="BB34" s="181">
        <v>203</v>
      </c>
      <c r="BC34" s="181">
        <v>223</v>
      </c>
      <c r="BD34" s="181">
        <v>0</v>
      </c>
      <c r="BE34" s="5">
        <f>BD34</f>
        <v>0</v>
      </c>
      <c r="BF34" s="181">
        <v>0</v>
      </c>
      <c r="BG34" s="181">
        <v>0</v>
      </c>
      <c r="BH34" s="181">
        <v>0</v>
      </c>
      <c r="BI34" s="181">
        <v>0</v>
      </c>
      <c r="BJ34" s="5">
        <f>BI34</f>
        <v>0</v>
      </c>
      <c r="BK34" s="181">
        <v>0</v>
      </c>
      <c r="BL34" s="181">
        <v>0</v>
      </c>
      <c r="BM34" s="181">
        <v>0</v>
      </c>
      <c r="BN34" s="181">
        <f t="shared" ref="BN34" ca="1" si="50">BN51</f>
        <v>0</v>
      </c>
      <c r="BO34" s="5">
        <f ca="1">BN34</f>
        <v>0</v>
      </c>
      <c r="BP34" s="12">
        <f t="shared" ref="BP34:CC34" ca="1" si="51">BP51</f>
        <v>0</v>
      </c>
      <c r="BQ34" s="12">
        <f t="shared" ca="1" si="51"/>
        <v>0</v>
      </c>
      <c r="BR34" s="12">
        <f t="shared" ca="1" si="51"/>
        <v>0</v>
      </c>
      <c r="BS34" s="12">
        <f t="shared" ca="1" si="51"/>
        <v>0</v>
      </c>
      <c r="BT34" s="5">
        <f ca="1">BS34</f>
        <v>0</v>
      </c>
      <c r="BU34" s="5">
        <f t="shared" ca="1" si="51"/>
        <v>0</v>
      </c>
      <c r="BV34" s="5">
        <f t="shared" ca="1" si="51"/>
        <v>0</v>
      </c>
      <c r="BW34" s="5">
        <f t="shared" ca="1" si="51"/>
        <v>0</v>
      </c>
      <c r="BX34" s="5">
        <f t="shared" ca="1" si="51"/>
        <v>0</v>
      </c>
      <c r="BY34" s="5">
        <f ca="1">BX34</f>
        <v>0</v>
      </c>
      <c r="BZ34" s="5">
        <f t="shared" ca="1" si="51"/>
        <v>0</v>
      </c>
      <c r="CA34" s="5">
        <f t="shared" ca="1" si="51"/>
        <v>0</v>
      </c>
      <c r="CB34" s="5">
        <f t="shared" ca="1" si="51"/>
        <v>0</v>
      </c>
      <c r="CC34" s="5">
        <f t="shared" ca="1" si="51"/>
        <v>0</v>
      </c>
      <c r="CD34" s="5">
        <f ca="1">CC34</f>
        <v>0</v>
      </c>
      <c r="CE34" s="5"/>
      <c r="CF34" s="5"/>
      <c r="CG34" s="5"/>
      <c r="ER34" s="632"/>
    </row>
    <row r="35" spans="1:149">
      <c r="A35" s="4"/>
      <c r="B35" s="4"/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93"/>
      <c r="AC35" s="12"/>
      <c r="AD35" s="12"/>
      <c r="AE35" s="12"/>
      <c r="AF35" s="5"/>
      <c r="AG35" s="181"/>
      <c r="AH35" s="181"/>
      <c r="AI35" s="181"/>
      <c r="AJ35" s="181"/>
      <c r="AK35" s="5"/>
      <c r="AL35" s="181"/>
      <c r="AM35" s="181"/>
      <c r="AN35" s="181"/>
      <c r="AO35" s="181"/>
      <c r="AP35" s="5"/>
      <c r="AQ35" s="181"/>
      <c r="AR35" s="181"/>
      <c r="AS35" s="181"/>
      <c r="AT35" s="181"/>
      <c r="AU35" s="5"/>
      <c r="AV35" s="181"/>
      <c r="AW35" s="181"/>
      <c r="AX35" s="181"/>
      <c r="AY35" s="181"/>
      <c r="AZ35" s="5"/>
      <c r="BA35" s="181"/>
      <c r="BB35" s="181"/>
      <c r="BC35" s="181"/>
      <c r="BD35" s="181"/>
      <c r="BE35" s="5"/>
      <c r="BF35" s="181"/>
      <c r="BG35" s="181"/>
      <c r="BH35" s="181"/>
      <c r="BI35" s="181"/>
      <c r="BJ35" s="5"/>
      <c r="BK35" s="181"/>
      <c r="BL35" s="181"/>
      <c r="BM35" s="181"/>
      <c r="BN35" s="181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ER35" s="632"/>
    </row>
    <row r="36" spans="1:149">
      <c r="A36" s="7" t="s">
        <v>1298</v>
      </c>
      <c r="B36" s="4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93"/>
      <c r="AC36" s="12"/>
      <c r="AD36" s="12"/>
      <c r="AE36" s="12"/>
      <c r="AF36" s="5"/>
      <c r="AG36" s="181"/>
      <c r="AH36" s="181"/>
      <c r="AI36" s="181"/>
      <c r="AJ36" s="181"/>
      <c r="AK36" s="5"/>
      <c r="AL36" s="181"/>
      <c r="AM36" s="181"/>
      <c r="AN36" s="181"/>
      <c r="AO36" s="181"/>
      <c r="AP36" s="5"/>
      <c r="AQ36" s="181"/>
      <c r="AR36" s="181"/>
      <c r="AS36" s="181"/>
      <c r="AT36" s="181"/>
      <c r="AU36" s="5"/>
      <c r="AV36" s="181"/>
      <c r="AW36" s="181"/>
      <c r="AX36" s="181"/>
      <c r="AY36" s="181"/>
      <c r="AZ36" s="5"/>
      <c r="BA36" s="181"/>
      <c r="BB36" s="181"/>
      <c r="BC36" s="181"/>
      <c r="BD36" s="181"/>
      <c r="BE36" s="5"/>
      <c r="BF36" s="181"/>
      <c r="BG36" s="181"/>
      <c r="BH36" s="181"/>
      <c r="BI36" s="181"/>
      <c r="BJ36" s="5"/>
      <c r="BK36" s="181"/>
      <c r="BL36" s="181"/>
      <c r="BM36" s="181"/>
      <c r="BN36" s="181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ER36" s="632"/>
    </row>
    <row r="37" spans="1:149">
      <c r="A37" s="4"/>
      <c r="B37" s="4" t="s">
        <v>480</v>
      </c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  <c r="AA37" s="72"/>
      <c r="AB37" s="93"/>
      <c r="AC37" s="12">
        <v>-12080</v>
      </c>
      <c r="AD37" s="12">
        <v>-11010</v>
      </c>
      <c r="AE37" s="12">
        <v>-9899</v>
      </c>
      <c r="AF37" s="5">
        <v>-9899</v>
      </c>
      <c r="AG37" s="12">
        <v>-8667</v>
      </c>
      <c r="AH37" s="12">
        <v>-6307</v>
      </c>
      <c r="AI37" s="12">
        <v>-5071</v>
      </c>
      <c r="AJ37" s="12">
        <v>0</v>
      </c>
      <c r="AK37" s="13">
        <f>AJ37</f>
        <v>0</v>
      </c>
      <c r="AL37" s="12">
        <v>0</v>
      </c>
      <c r="AM37" s="12">
        <v>0</v>
      </c>
      <c r="AN37" s="12">
        <v>0</v>
      </c>
      <c r="AO37" s="12">
        <v>-175</v>
      </c>
      <c r="AP37" s="29">
        <f>AO37</f>
        <v>-175</v>
      </c>
      <c r="AQ37" s="12">
        <v>-3160</v>
      </c>
      <c r="AR37" s="12">
        <v>-3144</v>
      </c>
      <c r="AS37" s="12">
        <v>-2977</v>
      </c>
      <c r="AT37" s="12">
        <v>-2986</v>
      </c>
      <c r="AU37" s="29">
        <f>AT37</f>
        <v>-2986</v>
      </c>
      <c r="AV37" s="12">
        <v>-2404</v>
      </c>
      <c r="AW37" s="12">
        <v>-2397</v>
      </c>
      <c r="AX37" s="12">
        <f>-2406</f>
        <v>-2406</v>
      </c>
      <c r="AY37" s="12">
        <v>-2412</v>
      </c>
      <c r="AZ37" s="29">
        <f>AY37</f>
        <v>-2412</v>
      </c>
      <c r="BA37" s="12">
        <v>-2098</v>
      </c>
      <c r="BB37" s="12">
        <v>-2077</v>
      </c>
      <c r="BC37" s="12">
        <v>-2068</v>
      </c>
      <c r="BD37" s="12">
        <v>-2057</v>
      </c>
      <c r="BE37" s="173">
        <f>BD37</f>
        <v>-2057</v>
      </c>
      <c r="BF37" s="12">
        <v>-14096</v>
      </c>
      <c r="BG37" s="12">
        <v>-13268</v>
      </c>
      <c r="BH37" s="12">
        <v>-13293</v>
      </c>
      <c r="BI37" s="12">
        <v>-13522</v>
      </c>
      <c r="BJ37" s="173">
        <f>BI37</f>
        <v>-13522</v>
      </c>
      <c r="BK37" s="12">
        <v>-12663</v>
      </c>
      <c r="BL37" s="12">
        <v>-12151</v>
      </c>
      <c r="BM37" s="181">
        <v>-12197</v>
      </c>
      <c r="BN37" s="181">
        <v>-12253</v>
      </c>
      <c r="BO37" s="173">
        <f t="shared" ref="BO37:BO38" si="52">BN37</f>
        <v>-12253</v>
      </c>
      <c r="BP37" s="12">
        <f>BP55-BP38</f>
        <v>-12657.805910542769</v>
      </c>
      <c r="BQ37" s="12">
        <f>BQ55-BQ38</f>
        <v>-11342.464442640772</v>
      </c>
      <c r="BR37" s="12">
        <f>BR55-BR38</f>
        <v>-11217.866833580611</v>
      </c>
      <c r="BS37" s="12">
        <f>BS55-BS38</f>
        <v>-11092.150459726592</v>
      </c>
      <c r="BT37" s="173">
        <f t="shared" ref="BT37" si="53">BS37</f>
        <v>-11092.150459726592</v>
      </c>
      <c r="BU37" s="12">
        <f t="shared" ref="BU37:BX37" si="54">BU55-BU38</f>
        <v>-11166.742669911269</v>
      </c>
      <c r="BV37" s="12">
        <f t="shared" si="54"/>
        <v>-10041.402214114583</v>
      </c>
      <c r="BW37" s="12">
        <f t="shared" si="54"/>
        <v>-10108.163596648432</v>
      </c>
      <c r="BX37" s="12">
        <f t="shared" si="54"/>
        <v>-10174.2594965346</v>
      </c>
      <c r="BY37" s="173">
        <f t="shared" ref="BY37" si="55">BX37</f>
        <v>-10174.2594965346</v>
      </c>
      <c r="BZ37" s="12">
        <f t="shared" ref="BZ37:CC37" si="56">BZ55-BZ38</f>
        <v>-9306.7206096194968</v>
      </c>
      <c r="CA37" s="12">
        <f t="shared" si="56"/>
        <v>-9083.8581080187214</v>
      </c>
      <c r="CB37" s="12">
        <f t="shared" si="56"/>
        <v>-8853.7726286096677</v>
      </c>
      <c r="CC37" s="12">
        <f t="shared" si="56"/>
        <v>-8624.1353930652949</v>
      </c>
      <c r="CD37" s="173">
        <f t="shared" ref="CD37" si="57">CC37</f>
        <v>-8624.1353930652949</v>
      </c>
      <c r="CE37" s="5"/>
      <c r="CF37" s="5"/>
      <c r="CG37" s="5"/>
      <c r="ER37" s="632"/>
    </row>
    <row r="38" spans="1:149">
      <c r="A38" s="4"/>
      <c r="B38" s="4" t="s">
        <v>644</v>
      </c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93"/>
      <c r="AC38" s="12">
        <v>-5837</v>
      </c>
      <c r="AD38" s="12">
        <v>-5062</v>
      </c>
      <c r="AE38" s="12">
        <v>-8397</v>
      </c>
      <c r="AF38" s="5">
        <v>-8397</v>
      </c>
      <c r="AG38" s="12">
        <v>-8098</v>
      </c>
      <c r="AH38" s="12">
        <v>-6964</v>
      </c>
      <c r="AI38" s="12">
        <v>-6611</v>
      </c>
      <c r="AJ38" s="12">
        <v>-5655</v>
      </c>
      <c r="AK38" s="5">
        <f>AJ38</f>
        <v>-5655</v>
      </c>
      <c r="AL38" s="12">
        <v>-9048</v>
      </c>
      <c r="AM38" s="12">
        <v>-8745</v>
      </c>
      <c r="AN38" s="12">
        <v>-8909</v>
      </c>
      <c r="AO38" s="12">
        <v>-10269</v>
      </c>
      <c r="AP38" s="5">
        <f>AO38</f>
        <v>-10269</v>
      </c>
      <c r="AQ38" s="12">
        <v>-5984</v>
      </c>
      <c r="AR38" s="12">
        <v>-6057</v>
      </c>
      <c r="AS38" s="12">
        <v>-6159</v>
      </c>
      <c r="AT38" s="12">
        <v>-6395</v>
      </c>
      <c r="AU38" s="5">
        <f>AT38</f>
        <v>-6395</v>
      </c>
      <c r="AV38" s="12">
        <f>-6701-161</f>
        <v>-6862</v>
      </c>
      <c r="AW38" s="12">
        <f>-6653-170</f>
        <v>-6823</v>
      </c>
      <c r="AX38" s="12">
        <f>-7328-166</f>
        <v>-7494</v>
      </c>
      <c r="AY38" s="12">
        <f>-6903-169</f>
        <v>-7072</v>
      </c>
      <c r="AZ38" s="5">
        <f>AY38</f>
        <v>-7072</v>
      </c>
      <c r="BA38" s="12">
        <f>-6472-154</f>
        <v>-6626</v>
      </c>
      <c r="BB38" s="12">
        <f>-14424-190</f>
        <v>-14614</v>
      </c>
      <c r="BC38" s="12">
        <f>-14304-187</f>
        <v>-14491</v>
      </c>
      <c r="BD38" s="12">
        <f>-13431-186</f>
        <v>-13617</v>
      </c>
      <c r="BE38" s="5">
        <f>BD38</f>
        <v>-13617</v>
      </c>
      <c r="BF38" s="12">
        <v>-889</v>
      </c>
      <c r="BG38" s="12">
        <v>-3063</v>
      </c>
      <c r="BH38" s="12">
        <v>-1784</v>
      </c>
      <c r="BI38" s="12">
        <v>-112</v>
      </c>
      <c r="BJ38" s="5">
        <f>BI38</f>
        <v>-112</v>
      </c>
      <c r="BK38" s="12">
        <v>-54</v>
      </c>
      <c r="BL38" s="12">
        <v>0</v>
      </c>
      <c r="BM38" s="181">
        <v>0</v>
      </c>
      <c r="BN38" s="181">
        <v>-1141</v>
      </c>
      <c r="BO38" s="5">
        <f t="shared" si="52"/>
        <v>-1141</v>
      </c>
      <c r="BP38" s="12">
        <f>BO38</f>
        <v>-1141</v>
      </c>
      <c r="BQ38" s="12">
        <f>BP38</f>
        <v>-1141</v>
      </c>
      <c r="BR38" s="12">
        <f>BQ38</f>
        <v>-1141</v>
      </c>
      <c r="BS38" s="12">
        <f>BR38</f>
        <v>-1141</v>
      </c>
      <c r="BT38" s="5">
        <f t="shared" ref="BT38:BX38" si="58">BS38</f>
        <v>-1141</v>
      </c>
      <c r="BU38" s="12">
        <f t="shared" si="58"/>
        <v>-1141</v>
      </c>
      <c r="BV38" s="12">
        <f t="shared" si="58"/>
        <v>-1141</v>
      </c>
      <c r="BW38" s="12">
        <f t="shared" si="58"/>
        <v>-1141</v>
      </c>
      <c r="BX38" s="12">
        <f t="shared" si="58"/>
        <v>-1141</v>
      </c>
      <c r="BY38" s="5">
        <f t="shared" ref="BY38" si="59">BX38</f>
        <v>-1141</v>
      </c>
      <c r="BZ38" s="12">
        <f t="shared" ref="BZ38:CC38" si="60">BY38</f>
        <v>-1141</v>
      </c>
      <c r="CA38" s="12">
        <f t="shared" si="60"/>
        <v>-1141</v>
      </c>
      <c r="CB38" s="12">
        <f t="shared" si="60"/>
        <v>-1141</v>
      </c>
      <c r="CC38" s="12">
        <f t="shared" si="60"/>
        <v>-1141</v>
      </c>
      <c r="CD38" s="5">
        <f t="shared" ref="CD38" si="61">CC38</f>
        <v>-1141</v>
      </c>
      <c r="CE38" s="5"/>
      <c r="CF38" s="5"/>
      <c r="CG38" s="5"/>
      <c r="ER38" s="632"/>
    </row>
    <row r="39" spans="1:149">
      <c r="A39" s="4"/>
      <c r="B39" s="4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93"/>
      <c r="AC39" s="12"/>
      <c r="AD39" s="12"/>
      <c r="AE39" s="12"/>
      <c r="AF39" s="5"/>
      <c r="AG39" s="12"/>
      <c r="AH39" s="12"/>
      <c r="AI39" s="12"/>
      <c r="AJ39" s="12"/>
      <c r="AK39" s="5"/>
      <c r="AL39" s="12"/>
      <c r="AM39" s="12"/>
      <c r="AN39" s="12"/>
      <c r="AO39" s="12"/>
      <c r="AP39" s="5"/>
      <c r="AQ39" s="12"/>
      <c r="AR39" s="12"/>
      <c r="AS39" s="12"/>
      <c r="AT39" s="12"/>
      <c r="AU39" s="5"/>
      <c r="AV39" s="12"/>
      <c r="AW39" s="12"/>
      <c r="AX39" s="12"/>
      <c r="AY39" s="12"/>
      <c r="AZ39" s="5"/>
      <c r="BA39" s="12"/>
      <c r="BB39" s="12"/>
      <c r="BC39" s="12"/>
      <c r="BD39" s="12"/>
      <c r="BE39" s="5"/>
      <c r="BF39" s="12"/>
      <c r="BG39" s="12"/>
      <c r="BH39" s="12"/>
      <c r="BI39" s="12"/>
      <c r="BJ39" s="5"/>
      <c r="BK39" s="12"/>
      <c r="BL39" s="12"/>
      <c r="BM39" s="181"/>
      <c r="BN39" s="181"/>
      <c r="BO39" s="5"/>
      <c r="BP39" s="12"/>
      <c r="BQ39" s="12"/>
      <c r="BR39" s="12"/>
      <c r="BS39" s="12"/>
      <c r="BT39" s="5"/>
      <c r="BU39" s="12"/>
      <c r="BV39" s="12"/>
      <c r="BW39" s="12"/>
      <c r="BX39" s="12"/>
      <c r="BY39" s="5"/>
      <c r="BZ39" s="12"/>
      <c r="CA39" s="12"/>
      <c r="CB39" s="12"/>
      <c r="CC39" s="12"/>
      <c r="CD39" s="5"/>
      <c r="CE39" s="5"/>
      <c r="CF39" s="5"/>
      <c r="CG39" s="5"/>
      <c r="ER39" s="632"/>
    </row>
    <row r="40" spans="1:149">
      <c r="A40" s="4"/>
      <c r="B40" s="4" t="s">
        <v>1340</v>
      </c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  <c r="AA40" s="72"/>
      <c r="AB40" s="93"/>
      <c r="AC40" s="12">
        <v>9440</v>
      </c>
      <c r="AD40" s="12">
        <v>10988</v>
      </c>
      <c r="AE40" s="12">
        <v>11255</v>
      </c>
      <c r="AF40" s="5">
        <v>11255</v>
      </c>
      <c r="AG40" s="181">
        <v>11218</v>
      </c>
      <c r="AH40" s="181">
        <v>10497</v>
      </c>
      <c r="AI40" s="181">
        <v>9721</v>
      </c>
      <c r="AJ40" s="181">
        <v>7775</v>
      </c>
      <c r="AK40" s="5">
        <f>AJ40</f>
        <v>7775</v>
      </c>
      <c r="AL40" s="181">
        <v>7211</v>
      </c>
      <c r="AM40" s="181">
        <v>7285</v>
      </c>
      <c r="AN40" s="181">
        <v>5841</v>
      </c>
      <c r="AO40" s="181">
        <v>4002</v>
      </c>
      <c r="AP40" s="5">
        <f>AO40</f>
        <v>4002</v>
      </c>
      <c r="AQ40" s="181">
        <v>3782</v>
      </c>
      <c r="AR40" s="181">
        <v>3443</v>
      </c>
      <c r="AS40" s="181">
        <v>2989</v>
      </c>
      <c r="AT40" s="181">
        <v>2748</v>
      </c>
      <c r="AU40" s="5">
        <f>AT40</f>
        <v>2748</v>
      </c>
      <c r="AV40" s="181">
        <v>2638</v>
      </c>
      <c r="AW40" s="181">
        <v>2285</v>
      </c>
      <c r="AX40" s="181">
        <v>1995</v>
      </c>
      <c r="AY40" s="181">
        <v>1723</v>
      </c>
      <c r="AZ40" s="5">
        <f>AY40</f>
        <v>1723</v>
      </c>
      <c r="BA40" s="181">
        <v>1835</v>
      </c>
      <c r="BB40" s="181">
        <v>5436</v>
      </c>
      <c r="BC40" s="181">
        <v>5334</v>
      </c>
      <c r="BD40" s="181">
        <v>5200</v>
      </c>
      <c r="BE40" s="5">
        <f>BD40</f>
        <v>5200</v>
      </c>
      <c r="BF40" s="181">
        <v>5451</v>
      </c>
      <c r="BG40" s="181">
        <v>7771</v>
      </c>
      <c r="BH40" s="181">
        <v>7824</v>
      </c>
      <c r="BI40" s="181">
        <f>5119+2973</f>
        <v>8092</v>
      </c>
      <c r="BJ40" s="5">
        <f>BI40</f>
        <v>8092</v>
      </c>
      <c r="BK40" s="181">
        <f>5226+2915</f>
        <v>8141</v>
      </c>
      <c r="BL40" s="181">
        <f>5294+3001</f>
        <v>8295</v>
      </c>
      <c r="BM40" s="181">
        <f>5544+2821</f>
        <v>8365</v>
      </c>
      <c r="BN40" s="181">
        <f>2067+3634</f>
        <v>5701</v>
      </c>
      <c r="BO40" s="5">
        <f t="shared" ref="BO40" si="62">BN40</f>
        <v>5701</v>
      </c>
      <c r="BP40" s="661">
        <f>BO40</f>
        <v>5701</v>
      </c>
      <c r="BQ40" s="661">
        <f t="shared" ref="BQ40:BS40" si="63">BP40</f>
        <v>5701</v>
      </c>
      <c r="BR40" s="661">
        <f t="shared" si="63"/>
        <v>5701</v>
      </c>
      <c r="BS40" s="661">
        <f t="shared" si="63"/>
        <v>5701</v>
      </c>
      <c r="BT40" s="5">
        <f t="shared" ref="BT40:CC40" si="64">BS40</f>
        <v>5701</v>
      </c>
      <c r="BU40" s="661">
        <f t="shared" si="64"/>
        <v>5701</v>
      </c>
      <c r="BV40" s="661">
        <f t="shared" si="64"/>
        <v>5701</v>
      </c>
      <c r="BW40" s="661">
        <f t="shared" si="64"/>
        <v>5701</v>
      </c>
      <c r="BX40" s="661">
        <f t="shared" si="64"/>
        <v>5701</v>
      </c>
      <c r="BY40" s="5">
        <f t="shared" ref="BY40:BZ40" si="65">BX40</f>
        <v>5701</v>
      </c>
      <c r="BZ40" s="661">
        <f t="shared" si="65"/>
        <v>5701</v>
      </c>
      <c r="CA40" s="661">
        <f t="shared" si="64"/>
        <v>5701</v>
      </c>
      <c r="CB40" s="661">
        <f t="shared" si="64"/>
        <v>5701</v>
      </c>
      <c r="CC40" s="661">
        <f t="shared" si="64"/>
        <v>5701</v>
      </c>
      <c r="CD40" s="5">
        <f t="shared" ref="CD40" si="66">CC40</f>
        <v>5701</v>
      </c>
      <c r="CE40" s="5"/>
      <c r="CF40" s="5"/>
      <c r="CG40" s="5"/>
      <c r="ER40" s="632"/>
      <c r="ES40">
        <f>ER40+BT16</f>
        <v>-264.11651672659173</v>
      </c>
    </row>
    <row r="41" spans="1:149">
      <c r="A41" s="4"/>
      <c r="B41" s="4"/>
      <c r="C41" s="72"/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  <c r="AA41" s="72"/>
      <c r="AB41" s="93"/>
      <c r="AC41" s="12"/>
      <c r="AD41" s="12"/>
      <c r="AE41" s="12"/>
      <c r="AF41" s="5"/>
      <c r="AG41" s="12"/>
      <c r="AH41" s="12"/>
      <c r="AI41" s="12"/>
      <c r="AJ41" s="12"/>
      <c r="AK41" s="5"/>
      <c r="AL41" s="12"/>
      <c r="AM41" s="12"/>
      <c r="AN41" s="12"/>
      <c r="AO41" s="12"/>
      <c r="AP41" s="5"/>
      <c r="AQ41" s="12"/>
      <c r="AR41" s="12"/>
      <c r="AS41" s="12"/>
      <c r="AT41" s="12"/>
      <c r="AU41" s="5"/>
      <c r="AV41" s="12"/>
      <c r="AW41" s="12"/>
      <c r="AX41" s="12"/>
      <c r="AY41" s="12"/>
      <c r="AZ41" s="5"/>
      <c r="BA41" s="12"/>
      <c r="BB41" s="12"/>
      <c r="BC41" s="12"/>
      <c r="BD41" s="12"/>
      <c r="BE41" s="5"/>
      <c r="BF41" s="12"/>
      <c r="BG41" s="12"/>
      <c r="BH41" s="12"/>
      <c r="BI41" s="12"/>
      <c r="BJ41" s="5"/>
      <c r="BK41" s="12"/>
      <c r="BL41" s="12"/>
      <c r="BM41" s="181"/>
      <c r="BN41" s="181"/>
      <c r="BO41" s="5"/>
      <c r="BP41" s="12"/>
      <c r="BQ41" s="12"/>
      <c r="BR41" s="12"/>
      <c r="BS41" s="12"/>
      <c r="BT41" s="5">
        <f>BT40-BO40</f>
        <v>0</v>
      </c>
      <c r="BU41" s="12"/>
      <c r="BV41" s="12"/>
      <c r="BW41" s="12"/>
      <c r="BX41" s="12"/>
      <c r="BY41" s="5"/>
      <c r="BZ41" s="12"/>
      <c r="CA41" s="12"/>
      <c r="CB41" s="12"/>
      <c r="CC41" s="12"/>
      <c r="CD41" s="5"/>
      <c r="CE41" s="5"/>
      <c r="CF41" s="5"/>
      <c r="CG41" s="5"/>
      <c r="ER41" s="632"/>
    </row>
    <row r="42" spans="1:149">
      <c r="A42" s="14" t="s">
        <v>1301</v>
      </c>
      <c r="B42" s="14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304"/>
      <c r="AC42" s="67">
        <f t="shared" ref="AC42:AJ42" si="67">SUM(AC34,AC37,AC38,AC40)</f>
        <v>-6784</v>
      </c>
      <c r="AD42" s="67">
        <f t="shared" si="67"/>
        <v>-4732</v>
      </c>
      <c r="AE42" s="67">
        <f t="shared" si="67"/>
        <v>-3440</v>
      </c>
      <c r="AF42" s="15">
        <f t="shared" si="67"/>
        <v>-3440</v>
      </c>
      <c r="AG42" s="67">
        <f t="shared" si="67"/>
        <v>-1984</v>
      </c>
      <c r="AH42" s="67">
        <f t="shared" si="67"/>
        <v>-107</v>
      </c>
      <c r="AI42" s="67">
        <f t="shared" si="67"/>
        <v>317</v>
      </c>
      <c r="AJ42" s="67">
        <f t="shared" si="67"/>
        <v>3521</v>
      </c>
      <c r="AK42" s="15">
        <f>AJ42</f>
        <v>3521</v>
      </c>
      <c r="AL42" s="67">
        <f>SUM(AL34,AL37,AL38,AL40)</f>
        <v>3044</v>
      </c>
      <c r="AM42" s="67">
        <f>SUM(AM34,AM37,AM38,AM40)</f>
        <v>2721</v>
      </c>
      <c r="AN42" s="67">
        <f>SUM(AN34,AN37,AN38,AN40)</f>
        <v>1686</v>
      </c>
      <c r="AO42" s="67">
        <f>SUM(AO34,AO37,AO38,AO40)</f>
        <v>-3660</v>
      </c>
      <c r="AP42" s="15">
        <f>AO42</f>
        <v>-3660</v>
      </c>
      <c r="AQ42" s="67">
        <f>SUM(AQ34,AQ37,AQ38,AQ40)</f>
        <v>-3288</v>
      </c>
      <c r="AR42" s="67">
        <f>SUM(AR34,AR37,AR38,AR40)</f>
        <v>-3691</v>
      </c>
      <c r="AS42" s="67">
        <f>SUM(AS34,AS37,AS38,AS40)</f>
        <v>-3861</v>
      </c>
      <c r="AT42" s="67">
        <f>SUM(AT34,AT37,AT38,AT40)</f>
        <v>-4191</v>
      </c>
      <c r="AU42" s="15">
        <f>AT42</f>
        <v>-4191</v>
      </c>
      <c r="AV42" s="67">
        <f>SUM(AV34,AV37,AV38,AV40)</f>
        <v>-3829</v>
      </c>
      <c r="AW42" s="67">
        <f>SUM(AW34,AW37,AW38,AW40)</f>
        <v>-4366</v>
      </c>
      <c r="AX42" s="67">
        <f>SUM(AX34,AX37,AX38,AX40)</f>
        <v>-4616</v>
      </c>
      <c r="AY42" s="67">
        <f>SUM(AY34,AY37,AY38,AY40)</f>
        <v>-5060</v>
      </c>
      <c r="AZ42" s="15">
        <f>AY42</f>
        <v>-5060</v>
      </c>
      <c r="BA42" s="67">
        <f>SUM(BA34,BA37,BA38,BA40)</f>
        <v>-4585</v>
      </c>
      <c r="BB42" s="67">
        <f>SUM(BB34,BB37,BB38,BB40)</f>
        <v>-11052</v>
      </c>
      <c r="BC42" s="67">
        <f>SUM(BC34,BC37,BC38,BC40)</f>
        <v>-11002</v>
      </c>
      <c r="BD42" s="67">
        <f>SUM(BD34,BD37,BD38,BD40)</f>
        <v>-10474</v>
      </c>
      <c r="BE42" s="15">
        <f>BD42</f>
        <v>-10474</v>
      </c>
      <c r="BF42" s="67">
        <f>SUM(BF34,BF37,BF38,BF40)</f>
        <v>-9534</v>
      </c>
      <c r="BG42" s="67">
        <f>SUM(BG34,BG37,BG38,BG40)</f>
        <v>-8560</v>
      </c>
      <c r="BH42" s="67">
        <f>SUM(BH34,BH37,BH38,BH40)</f>
        <v>-7253</v>
      </c>
      <c r="BI42" s="67">
        <f>SUM(BI34,BI37,BI38,BI40)</f>
        <v>-5542</v>
      </c>
      <c r="BJ42" s="15">
        <f>BI42</f>
        <v>-5542</v>
      </c>
      <c r="BK42" s="67">
        <f>SUM(BK34,BK37,BK38,BK40)</f>
        <v>-4576</v>
      </c>
      <c r="BL42" s="67">
        <f>SUM(BL34,BL37,BL38,BL40)</f>
        <v>-3856</v>
      </c>
      <c r="BM42" s="178">
        <f>SUM(BM34,BM37,BM38,BM40)</f>
        <v>-3832</v>
      </c>
      <c r="BN42" s="178">
        <f ca="1">SUM(BN34,BN37,BN38,BN40)</f>
        <v>-7693</v>
      </c>
      <c r="BO42" s="15">
        <f ca="1">BN42</f>
        <v>-7693</v>
      </c>
      <c r="BP42" s="67">
        <f ca="1">SUM(BP34,BP37,BP38,BP40)</f>
        <v>-8097.8059105427692</v>
      </c>
      <c r="BQ42" s="67">
        <f ca="1">SUM(BQ34,BQ37,BQ38,BQ40)</f>
        <v>-6782.4644426407722</v>
      </c>
      <c r="BR42" s="67">
        <f ca="1">SUM(BR34,BR37,BR38,BR40)</f>
        <v>-6657.8668335806105</v>
      </c>
      <c r="BS42" s="67">
        <f ca="1">SUM(BS34,BS37,BS38,BS40)</f>
        <v>-6532.1504597265921</v>
      </c>
      <c r="BT42" s="15">
        <f ca="1">BS42</f>
        <v>-6532.1504597265921</v>
      </c>
      <c r="BU42" s="67">
        <f ca="1">SUM(BU34,BU37,BU38,BU40)</f>
        <v>-6606.7426699112693</v>
      </c>
      <c r="BV42" s="67">
        <f ca="1">SUM(BV34,BV37,BV38,BV40)</f>
        <v>-5481.4022141145833</v>
      </c>
      <c r="BW42" s="67">
        <f ca="1">SUM(BW34,BW37,BW38,BW40)</f>
        <v>-5548.1635966484318</v>
      </c>
      <c r="BX42" s="67">
        <f ca="1">SUM(BX34,BX37,BX38,BX40)</f>
        <v>-5614.2594965345997</v>
      </c>
      <c r="BY42" s="15">
        <f ca="1">BX42</f>
        <v>-5614.2594965345997</v>
      </c>
      <c r="BZ42" s="67">
        <f ca="1">SUM(BZ34,BZ37,BZ38,BZ40)</f>
        <v>-4746.7206096194968</v>
      </c>
      <c r="CA42" s="67">
        <f ca="1">SUM(CA34,CA37,CA38,CA40)</f>
        <v>-4523.8581080187214</v>
      </c>
      <c r="CB42" s="67">
        <f ca="1">SUM(CB34,CB37,CB38,CB40)</f>
        <v>-4293.7726286096677</v>
      </c>
      <c r="CC42" s="67">
        <f ca="1">SUM(CC34,CC37,CC38,CC40)</f>
        <v>-4064.1353930652949</v>
      </c>
      <c r="CD42" s="15">
        <f ca="1">CC42</f>
        <v>-4064.1353930652949</v>
      </c>
      <c r="CE42" s="8"/>
      <c r="CF42" s="8"/>
      <c r="CG42" s="8"/>
      <c r="ER42" s="632"/>
    </row>
    <row r="43" spans="1:149">
      <c r="A43" s="4"/>
      <c r="B43" s="4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93"/>
      <c r="AC43" s="12"/>
      <c r="AD43" s="12"/>
      <c r="AE43" s="12"/>
      <c r="AF43" s="5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81"/>
      <c r="BN43" s="138"/>
      <c r="BO43" s="12"/>
      <c r="BP43" s="5"/>
      <c r="BQ43" s="5"/>
      <c r="BR43" s="5"/>
      <c r="BS43" s="5"/>
      <c r="BT43" s="12"/>
      <c r="BU43" s="5"/>
      <c r="BV43" s="5"/>
      <c r="BW43" s="5"/>
      <c r="BX43" s="5"/>
      <c r="BY43" s="12"/>
      <c r="BZ43" s="5"/>
      <c r="CA43" s="5"/>
      <c r="CB43" s="5"/>
      <c r="CC43" s="5"/>
      <c r="CD43" s="12"/>
      <c r="CE43" s="5"/>
      <c r="CF43" s="5"/>
      <c r="CG43" s="5"/>
      <c r="ER43" s="632"/>
    </row>
    <row r="44" spans="1:149" ht="13.5" thickBot="1">
      <c r="A44" s="241" t="s">
        <v>1129</v>
      </c>
      <c r="B44" s="241"/>
      <c r="C44" s="300"/>
      <c r="D44" s="300"/>
      <c r="E44" s="300"/>
      <c r="F44" s="300"/>
      <c r="G44" s="300"/>
      <c r="H44" s="300"/>
      <c r="I44" s="300"/>
      <c r="J44" s="300"/>
      <c r="K44" s="300"/>
      <c r="L44" s="300"/>
      <c r="M44" s="300"/>
      <c r="N44" s="300"/>
      <c r="O44" s="300"/>
      <c r="P44" s="300"/>
      <c r="Q44" s="300"/>
      <c r="R44" s="300"/>
      <c r="S44" s="300"/>
      <c r="T44" s="300"/>
      <c r="U44" s="300"/>
      <c r="V44" s="300"/>
      <c r="W44" s="300"/>
      <c r="X44" s="300"/>
      <c r="Y44" s="300"/>
      <c r="Z44" s="300"/>
      <c r="AA44" s="300"/>
      <c r="AB44" s="301"/>
      <c r="AC44" s="91">
        <f t="shared" ref="AC44:AJ44" si="68">SUM(AC31,AC42)</f>
        <v>-20636</v>
      </c>
      <c r="AD44" s="91">
        <f t="shared" si="68"/>
        <v>-16684</v>
      </c>
      <c r="AE44" s="91">
        <f t="shared" si="68"/>
        <v>-12022</v>
      </c>
      <c r="AF44" s="17">
        <f t="shared" si="68"/>
        <v>-12022</v>
      </c>
      <c r="AG44" s="91">
        <f t="shared" si="68"/>
        <v>-9413</v>
      </c>
      <c r="AH44" s="91">
        <f t="shared" si="68"/>
        <v>-7147</v>
      </c>
      <c r="AI44" s="91">
        <f t="shared" si="68"/>
        <v>-6658</v>
      </c>
      <c r="AJ44" s="91">
        <f t="shared" si="68"/>
        <v>-2854</v>
      </c>
      <c r="AK44" s="17">
        <f>AJ44</f>
        <v>-2854</v>
      </c>
      <c r="AL44" s="91">
        <f>SUM(AL31,AL42)</f>
        <v>-1648</v>
      </c>
      <c r="AM44" s="91">
        <f>SUM(AM31,AM42)</f>
        <v>-724</v>
      </c>
      <c r="AN44" s="91">
        <f>SUM(AN31,AN42)</f>
        <v>-700</v>
      </c>
      <c r="AO44" s="91">
        <f>SUM(AO31,AO42)</f>
        <v>-5392</v>
      </c>
      <c r="AP44" s="17">
        <f>AO44</f>
        <v>-5392</v>
      </c>
      <c r="AQ44" s="91">
        <f>SUM(AQ31,AQ42)</f>
        <v>-5098</v>
      </c>
      <c r="AR44" s="91">
        <f>SUM(AR31,AR42)</f>
        <v>-5407</v>
      </c>
      <c r="AS44" s="91">
        <f>SUM(AS31,AS42)</f>
        <v>-5486</v>
      </c>
      <c r="AT44" s="91">
        <f>SUM(AT31,AT42)</f>
        <v>-5715</v>
      </c>
      <c r="AU44" s="17">
        <f>AT44</f>
        <v>-5715</v>
      </c>
      <c r="AV44" s="91">
        <f>SUM(AV31,AV42)</f>
        <v>-5160</v>
      </c>
      <c r="AW44" s="91">
        <f>SUM(AW31,AW42)</f>
        <v>-5605</v>
      </c>
      <c r="AX44" s="91">
        <f>SUM(AX31,AX42)</f>
        <v>-5645</v>
      </c>
      <c r="AY44" s="91">
        <f>SUM(AY31,AY42)</f>
        <v>-6263</v>
      </c>
      <c r="AZ44" s="17">
        <f>AY44</f>
        <v>-6263</v>
      </c>
      <c r="BA44" s="91">
        <f>SUM(BA31,BA42)</f>
        <v>-5792</v>
      </c>
      <c r="BB44" s="91">
        <f>SUM(BB31,BB42)</f>
        <v>-12840</v>
      </c>
      <c r="BC44" s="91">
        <f>SUM(BC31,BC42)</f>
        <v>-13157</v>
      </c>
      <c r="BD44" s="91">
        <f>SUM(BD31,BD42)</f>
        <v>-13597</v>
      </c>
      <c r="BE44" s="17">
        <f>BD44</f>
        <v>-13597</v>
      </c>
      <c r="BF44" s="91">
        <f>SUM(BF31,BF42)</f>
        <v>-13138</v>
      </c>
      <c r="BG44" s="91">
        <f>SUM(BG31,BG42)</f>
        <v>-14436</v>
      </c>
      <c r="BH44" s="91">
        <f>SUM(BH31,BH42)</f>
        <v>-12246</v>
      </c>
      <c r="BI44" s="91">
        <f>SUM(BI31,BI42)</f>
        <v>-10734</v>
      </c>
      <c r="BJ44" s="17">
        <f>BI44</f>
        <v>-10734</v>
      </c>
      <c r="BK44" s="91">
        <f>SUM(BK31,BK42)</f>
        <v>-8553</v>
      </c>
      <c r="BL44" s="91">
        <f>SUM(BL31,BL42)</f>
        <v>-6841</v>
      </c>
      <c r="BM44" s="255">
        <f>SUM(BM31,BM42)</f>
        <v>-6413</v>
      </c>
      <c r="BN44" s="255">
        <f ca="1">SUM(BN31,BN42)</f>
        <v>-10969</v>
      </c>
      <c r="BO44" s="17">
        <f ca="1">BN44</f>
        <v>-10969</v>
      </c>
      <c r="BP44" s="91">
        <f ca="1">SUM(BP31,BP42)</f>
        <v>-9520.461622542769</v>
      </c>
      <c r="BQ44" s="91">
        <f ca="1">SUM(BQ31,BQ42)</f>
        <v>-8724.774787640772</v>
      </c>
      <c r="BR44" s="91">
        <f ca="1">SUM(BR31,BR42)</f>
        <v>-8475.1771785806104</v>
      </c>
      <c r="BS44" s="91">
        <f ca="1">SUM(BS31,BS42)</f>
        <v>-8224.460804726592</v>
      </c>
      <c r="BT44" s="17">
        <f ca="1">BS44</f>
        <v>-8224.460804726592</v>
      </c>
      <c r="BU44" s="91">
        <f ca="1">SUM(BU31,BU42)</f>
        <v>-8111.5530149112692</v>
      </c>
      <c r="BV44" s="91">
        <f ca="1">SUM(BV31,BV42)</f>
        <v>-6803.7125591145832</v>
      </c>
      <c r="BW44" s="91">
        <f ca="1">SUM(BW31,BW42)</f>
        <v>-6682.9739416484317</v>
      </c>
      <c r="BX44" s="91">
        <f ca="1">SUM(BX31,BX42)</f>
        <v>-6561.5698415345996</v>
      </c>
      <c r="BY44" s="17">
        <f ca="1">BX44</f>
        <v>-6561.5698415345996</v>
      </c>
      <c r="BZ44" s="91">
        <f ca="1">SUM(BZ31,BZ42)</f>
        <v>-6637.9571578664982</v>
      </c>
      <c r="CA44" s="91">
        <f ca="1">SUM(CA31,CA42)</f>
        <v>-5515.5256905157221</v>
      </c>
      <c r="CB44" s="91">
        <f ca="1">SUM(CB31,CB42)</f>
        <v>-5585.1815903566685</v>
      </c>
      <c r="CC44" s="91">
        <f ca="1">SUM(CC31,CC42)</f>
        <v>-5655.2857340622959</v>
      </c>
      <c r="CD44" s="17">
        <f ca="1">CC44</f>
        <v>-5655.2857340622959</v>
      </c>
      <c r="CE44" s="8"/>
      <c r="CF44" s="8"/>
      <c r="CG44" s="8"/>
      <c r="ER44" s="632"/>
    </row>
    <row r="45" spans="1:149" ht="13.5" thickTop="1">
      <c r="A45" s="7"/>
      <c r="B45" s="7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19"/>
      <c r="AC45" s="19"/>
      <c r="AD45" s="19"/>
      <c r="AE45" s="19"/>
      <c r="AF45" s="19"/>
      <c r="AG45" s="66"/>
      <c r="AH45" s="66"/>
      <c r="AI45" s="66"/>
      <c r="AJ45" s="66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</row>
    <row r="46" spans="1:149">
      <c r="A46" s="7"/>
      <c r="B46" s="7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19"/>
      <c r="AC46" s="19"/>
      <c r="AD46" s="19"/>
      <c r="AE46" s="19"/>
      <c r="AF46" s="8"/>
      <c r="AG46" s="66"/>
      <c r="AH46" s="66"/>
      <c r="AI46" s="66"/>
      <c r="AJ46" s="66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</row>
    <row r="47" spans="1:149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</row>
    <row r="48" spans="1:149">
      <c r="A48" s="14" t="s">
        <v>2358</v>
      </c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6">
        <v>1</v>
      </c>
      <c r="AD48" s="16">
        <v>2</v>
      </c>
      <c r="AE48" s="16">
        <v>3</v>
      </c>
      <c r="AF48" s="15"/>
      <c r="AG48" s="16">
        <v>4</v>
      </c>
      <c r="AH48" s="16">
        <v>5</v>
      </c>
      <c r="AI48" s="16">
        <v>6</v>
      </c>
      <c r="AJ48" s="16">
        <v>7</v>
      </c>
      <c r="AK48" s="16"/>
      <c r="AL48" s="16">
        <f>AG48+4</f>
        <v>8</v>
      </c>
      <c r="AM48" s="16">
        <f>AH48+4</f>
        <v>9</v>
      </c>
      <c r="AN48" s="16">
        <f>AI48+4</f>
        <v>10</v>
      </c>
      <c r="AO48" s="16">
        <f>AJ48+4</f>
        <v>11</v>
      </c>
      <c r="AP48" s="16"/>
      <c r="AQ48" s="16">
        <f>AL48+4</f>
        <v>12</v>
      </c>
      <c r="AR48" s="16">
        <f>AM48+4</f>
        <v>13</v>
      </c>
      <c r="AS48" s="16">
        <f>AN48+4</f>
        <v>14</v>
      </c>
      <c r="AT48" s="16">
        <f>AO48+4</f>
        <v>15</v>
      </c>
      <c r="AU48" s="16"/>
      <c r="AV48" s="16">
        <f>AQ48+4</f>
        <v>16</v>
      </c>
      <c r="AW48" s="16">
        <f>AR48+4</f>
        <v>17</v>
      </c>
      <c r="AX48" s="16">
        <f>AS48+4</f>
        <v>18</v>
      </c>
      <c r="AY48" s="16">
        <f>AT48+4</f>
        <v>19</v>
      </c>
      <c r="AZ48" s="16"/>
      <c r="BA48" s="16">
        <f>AV48+4</f>
        <v>20</v>
      </c>
      <c r="BB48" s="16">
        <f>AW48+4</f>
        <v>21</v>
      </c>
      <c r="BC48" s="16">
        <f>AX48+4</f>
        <v>22</v>
      </c>
      <c r="BD48" s="16">
        <f>AY48+4</f>
        <v>23</v>
      </c>
      <c r="BE48" s="16"/>
      <c r="BF48" s="16">
        <f>BA48+4</f>
        <v>24</v>
      </c>
      <c r="BG48" s="16">
        <f>BB48+4</f>
        <v>25</v>
      </c>
      <c r="BH48" s="16">
        <f>BC48+4</f>
        <v>26</v>
      </c>
      <c r="BI48" s="16">
        <f>BD48+4</f>
        <v>27</v>
      </c>
      <c r="BJ48" s="16"/>
      <c r="BK48" s="16">
        <f>BF48+4</f>
        <v>28</v>
      </c>
      <c r="BL48" s="16">
        <f>BG48+4</f>
        <v>29</v>
      </c>
      <c r="BM48" s="16">
        <f>BH48+4</f>
        <v>30</v>
      </c>
      <c r="BN48" s="16">
        <f>BI48+4</f>
        <v>31</v>
      </c>
      <c r="BO48" s="16"/>
      <c r="BP48" s="16">
        <f>BK48+4</f>
        <v>32</v>
      </c>
      <c r="BQ48" s="16">
        <f>BL48+4</f>
        <v>33</v>
      </c>
      <c r="BR48" s="16">
        <f>BM48+4</f>
        <v>34</v>
      </c>
      <c r="BS48" s="16">
        <f>BN48+4</f>
        <v>35</v>
      </c>
      <c r="BT48" s="16"/>
      <c r="BU48" s="16">
        <f>BP48+4</f>
        <v>36</v>
      </c>
      <c r="BV48" s="16">
        <f>BQ48+4</f>
        <v>37</v>
      </c>
      <c r="BW48" s="16">
        <f>BR48+4</f>
        <v>38</v>
      </c>
      <c r="BX48" s="16">
        <f>BS48+4</f>
        <v>39</v>
      </c>
      <c r="BY48" s="16"/>
      <c r="BZ48" s="16">
        <f>BU48+4</f>
        <v>40</v>
      </c>
      <c r="CA48" s="16">
        <f>BV48+4</f>
        <v>41</v>
      </c>
      <c r="CB48" s="16">
        <f>BW48+4</f>
        <v>42</v>
      </c>
      <c r="CC48" s="16">
        <f>BX48+4</f>
        <v>43</v>
      </c>
      <c r="CD48" s="16"/>
      <c r="CE48" s="5"/>
      <c r="CF48" s="5"/>
      <c r="CG48" s="5"/>
    </row>
    <row r="49" spans="1:147">
      <c r="A49" s="7" t="s">
        <v>1412</v>
      </c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19">
        <f>SUM(AC50:AC51)</f>
        <v>7926</v>
      </c>
      <c r="AD49" s="19">
        <f>SUM(AD50:AD51)</f>
        <v>7015</v>
      </c>
      <c r="AE49" s="19">
        <f>SUM(AE50:AE51)</f>
        <v>9544</v>
      </c>
      <c r="AF49" s="8"/>
      <c r="AG49" s="19">
        <f>SUM(AG50:AG51)</f>
        <v>9544</v>
      </c>
      <c r="AH49" s="19">
        <f>SUM(AH50:AH51)</f>
        <v>9837</v>
      </c>
      <c r="AI49" s="19">
        <f>SUM(AI50:AI51)</f>
        <v>7876</v>
      </c>
      <c r="AJ49" s="19">
        <f>SUM(AJ50:AJ51)</f>
        <v>7988</v>
      </c>
      <c r="AK49" s="8"/>
      <c r="AL49" s="19">
        <f>SUM(AL50:AL51)</f>
        <v>9866</v>
      </c>
      <c r="AM49" s="19">
        <f>SUM(AM50:AM51)</f>
        <v>9290</v>
      </c>
      <c r="AN49" s="19">
        <f>SUM(AN50:AN51)</f>
        <v>9667</v>
      </c>
      <c r="AO49" s="19">
        <f>SUM(AO50:AO51)</f>
        <v>7297</v>
      </c>
      <c r="AP49" s="8"/>
      <c r="AQ49" s="19">
        <f>SUM(AQ50:AQ51)</f>
        <v>6156</v>
      </c>
      <c r="AR49" s="19">
        <f>SUM(AR50:AR51)</f>
        <v>6597</v>
      </c>
      <c r="AS49" s="19">
        <f>SUM(AS50:AS51)</f>
        <v>5147</v>
      </c>
      <c r="AT49" s="19">
        <f>SUM(AT50:AT51)</f>
        <v>4899</v>
      </c>
      <c r="AU49" s="8"/>
      <c r="AV49" s="19">
        <f>SUM(AV50:AV51)</f>
        <v>4730</v>
      </c>
      <c r="AW49" s="19">
        <f>SUM(AW50:AW51)</f>
        <v>4513</v>
      </c>
      <c r="AX49" s="19">
        <f>SUM(AX50:AX51)</f>
        <v>4855</v>
      </c>
      <c r="AY49" s="19">
        <f>SUM(AY50:AY51)</f>
        <v>3855</v>
      </c>
      <c r="AZ49" s="8"/>
      <c r="BA49" s="19">
        <f>SUM(BA50:BA51)</f>
        <v>3383</v>
      </c>
      <c r="BB49" s="19">
        <f>SUM(BB50:BB51)</f>
        <v>2841</v>
      </c>
      <c r="BC49" s="19">
        <f>SUM(BC50:BC51)</f>
        <v>1428</v>
      </c>
      <c r="BD49" s="19">
        <f>SUM(BD50:BD51)</f>
        <v>686</v>
      </c>
      <c r="BE49" s="8"/>
      <c r="BF49" s="19">
        <f>SUM(BF50:BF51)</f>
        <v>513</v>
      </c>
      <c r="BG49" s="19">
        <f ca="1">SUM(BG50:BG51)</f>
        <v>364</v>
      </c>
      <c r="BH49" s="19">
        <f ca="1">SUM(BH50:BH51)</f>
        <v>334</v>
      </c>
      <c r="BI49" s="19">
        <f ca="1">SUM(BI50:BI51)</f>
        <v>194</v>
      </c>
      <c r="BJ49" s="5"/>
      <c r="BK49" s="19">
        <f>SUM(BK50:BK51)</f>
        <v>264</v>
      </c>
      <c r="BL49" s="19">
        <f>SUM(BL50:BL51)</f>
        <v>172</v>
      </c>
      <c r="BM49" s="19">
        <f>SUM(BM50:BM51)</f>
        <v>214</v>
      </c>
      <c r="BN49" s="19">
        <f ca="1">SUM(BN50:BN51)</f>
        <v>252</v>
      </c>
      <c r="BO49" s="5"/>
      <c r="BP49" s="187">
        <f ca="1">BN49</f>
        <v>252</v>
      </c>
      <c r="BQ49" s="187">
        <f ca="1">BP49</f>
        <v>252</v>
      </c>
      <c r="BR49" s="187">
        <f ca="1">BQ49</f>
        <v>252</v>
      </c>
      <c r="BS49" s="187">
        <f ca="1">BR49</f>
        <v>252</v>
      </c>
      <c r="BT49" s="5"/>
      <c r="BU49" s="187">
        <f t="shared" ref="BU49" ca="1" si="69">BS49</f>
        <v>252</v>
      </c>
      <c r="BV49" s="187">
        <f t="shared" ref="BV49:BX49" ca="1" si="70">BU49</f>
        <v>252</v>
      </c>
      <c r="BW49" s="187">
        <f t="shared" ca="1" si="70"/>
        <v>252</v>
      </c>
      <c r="BX49" s="187">
        <f t="shared" ca="1" si="70"/>
        <v>252</v>
      </c>
      <c r="BY49" s="5"/>
      <c r="BZ49" s="187">
        <f t="shared" ref="BZ49" ca="1" si="71">BX49</f>
        <v>252</v>
      </c>
      <c r="CA49" s="187">
        <f t="shared" ref="CA49:CC49" ca="1" si="72">BZ49</f>
        <v>252</v>
      </c>
      <c r="CB49" s="187">
        <f t="shared" ca="1" si="72"/>
        <v>252</v>
      </c>
      <c r="CC49" s="187">
        <f t="shared" ca="1" si="72"/>
        <v>252</v>
      </c>
      <c r="CD49" s="5"/>
      <c r="CE49" s="5"/>
      <c r="CF49" s="5"/>
      <c r="CG49" s="116"/>
    </row>
    <row r="50" spans="1:147">
      <c r="A50" s="5"/>
      <c r="B50" s="5" t="s">
        <v>2356</v>
      </c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12">
        <f>AC23</f>
        <v>6233</v>
      </c>
      <c r="AD50" s="12">
        <f>AD23</f>
        <v>6663</v>
      </c>
      <c r="AE50" s="12">
        <f>AE23</f>
        <v>5943</v>
      </c>
      <c r="AF50" s="13"/>
      <c r="AG50" s="12">
        <f>AG23</f>
        <v>5981</v>
      </c>
      <c r="AH50" s="12">
        <f>AH23</f>
        <v>7170</v>
      </c>
      <c r="AI50" s="12">
        <f>AI23</f>
        <v>5598</v>
      </c>
      <c r="AJ50" s="12">
        <f>AJ23</f>
        <v>6587</v>
      </c>
      <c r="AK50" s="5"/>
      <c r="AL50" s="12">
        <f>AL23</f>
        <v>4985</v>
      </c>
      <c r="AM50" s="12">
        <f>AM23</f>
        <v>5109</v>
      </c>
      <c r="AN50" s="12">
        <f>AN23</f>
        <v>4913</v>
      </c>
      <c r="AO50" s="12">
        <f>AO23</f>
        <v>4515</v>
      </c>
      <c r="AP50" s="5"/>
      <c r="AQ50" s="12">
        <f>AQ23</f>
        <v>4082</v>
      </c>
      <c r="AR50" s="12">
        <f>AR23</f>
        <v>4530</v>
      </c>
      <c r="AS50" s="12">
        <f>AS23</f>
        <v>2861</v>
      </c>
      <c r="AT50" s="12">
        <f>AT23</f>
        <v>2457</v>
      </c>
      <c r="AU50" s="5"/>
      <c r="AV50" s="12">
        <f>AV23</f>
        <v>1931</v>
      </c>
      <c r="AW50" s="12">
        <f>AW23</f>
        <v>1944</v>
      </c>
      <c r="AX50" s="12">
        <f>AX23</f>
        <v>1566</v>
      </c>
      <c r="AY50" s="12">
        <f>AY23</f>
        <v>1154</v>
      </c>
      <c r="AZ50" s="5"/>
      <c r="BA50" s="12">
        <f>BA23</f>
        <v>1079</v>
      </c>
      <c r="BB50" s="12">
        <f>BB23</f>
        <v>2638</v>
      </c>
      <c r="BC50" s="12">
        <f>BC23</f>
        <v>1205</v>
      </c>
      <c r="BD50" s="12">
        <f>BD23</f>
        <v>686</v>
      </c>
      <c r="BE50" s="5"/>
      <c r="BF50" s="12">
        <f>BF23</f>
        <v>513</v>
      </c>
      <c r="BG50" s="12">
        <f>BG23</f>
        <v>364</v>
      </c>
      <c r="BH50" s="12">
        <f>BH23</f>
        <v>334</v>
      </c>
      <c r="BI50" s="12">
        <f>BI23</f>
        <v>194</v>
      </c>
      <c r="BJ50" s="5"/>
      <c r="BK50" s="12">
        <f>BK23</f>
        <v>264</v>
      </c>
      <c r="BL50" s="12">
        <f>BL23</f>
        <v>172</v>
      </c>
      <c r="BM50" s="12">
        <f>BM23</f>
        <v>214</v>
      </c>
      <c r="BN50" s="12">
        <f>BN23</f>
        <v>252</v>
      </c>
      <c r="BO50" s="5"/>
      <c r="BP50" s="12">
        <f ca="1">MIN(BN50,BP49)</f>
        <v>252</v>
      </c>
      <c r="BQ50" s="12">
        <f ca="1">MIN(BP50,BQ49)</f>
        <v>252</v>
      </c>
      <c r="BR50" s="12">
        <f ca="1">MIN(BQ50,BR49)</f>
        <v>252</v>
      </c>
      <c r="BS50" s="12">
        <f ca="1">MIN(BR50,BS49)</f>
        <v>252</v>
      </c>
      <c r="BT50" s="5"/>
      <c r="BU50" s="12">
        <f ca="1">MIN(BS50,BU49)</f>
        <v>252</v>
      </c>
      <c r="BV50" s="12">
        <f ca="1">MIN(BU50,BV49)</f>
        <v>252</v>
      </c>
      <c r="BW50" s="12">
        <f ca="1">MIN(BV50,BW49)</f>
        <v>252</v>
      </c>
      <c r="BX50" s="12">
        <f ca="1">MIN(BW50,BX49)</f>
        <v>252</v>
      </c>
      <c r="BY50" s="5"/>
      <c r="BZ50" s="12">
        <f ca="1">MIN(BX50,BZ49)</f>
        <v>252</v>
      </c>
      <c r="CA50" s="12">
        <f ca="1">MIN(BZ50,CA49)</f>
        <v>252</v>
      </c>
      <c r="CB50" s="12">
        <f ca="1">MIN(CA50,CB49)</f>
        <v>252</v>
      </c>
      <c r="CC50" s="12">
        <f ca="1">MIN(CB50,CC49)</f>
        <v>252</v>
      </c>
      <c r="CD50" s="5"/>
      <c r="CE50" s="5"/>
      <c r="CF50" s="5"/>
      <c r="CG50" s="5"/>
    </row>
    <row r="51" spans="1:147">
      <c r="A51" s="5"/>
      <c r="B51" s="5" t="s">
        <v>2357</v>
      </c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12">
        <f>AC34</f>
        <v>1693</v>
      </c>
      <c r="AD51" s="12">
        <f>AD34</f>
        <v>352</v>
      </c>
      <c r="AE51" s="12">
        <f>AE34</f>
        <v>3601</v>
      </c>
      <c r="AF51" s="13"/>
      <c r="AG51" s="12">
        <f>AG34</f>
        <v>3563</v>
      </c>
      <c r="AH51" s="12">
        <f>AH34</f>
        <v>2667</v>
      </c>
      <c r="AI51" s="12">
        <f>AI34</f>
        <v>2278</v>
      </c>
      <c r="AJ51" s="12">
        <f>AJ34</f>
        <v>1401</v>
      </c>
      <c r="AK51" s="5"/>
      <c r="AL51" s="12">
        <f>AL34</f>
        <v>4881</v>
      </c>
      <c r="AM51" s="12">
        <f>AM34</f>
        <v>4181</v>
      </c>
      <c r="AN51" s="12">
        <f>AN34</f>
        <v>4754</v>
      </c>
      <c r="AO51" s="12">
        <f>AO34</f>
        <v>2782</v>
      </c>
      <c r="AP51" s="5"/>
      <c r="AQ51" s="12">
        <f>AQ34</f>
        <v>2074</v>
      </c>
      <c r="AR51" s="12">
        <f>AR34</f>
        <v>2067</v>
      </c>
      <c r="AS51" s="12">
        <f>AS34</f>
        <v>2286</v>
      </c>
      <c r="AT51" s="12">
        <f>AT34</f>
        <v>2442</v>
      </c>
      <c r="AU51" s="5"/>
      <c r="AV51" s="12">
        <f>AV34</f>
        <v>2799</v>
      </c>
      <c r="AW51" s="12">
        <f>AW34</f>
        <v>2569</v>
      </c>
      <c r="AX51" s="12">
        <f>AX34</f>
        <v>3289</v>
      </c>
      <c r="AY51" s="12">
        <f>AY34</f>
        <v>2701</v>
      </c>
      <c r="AZ51" s="5"/>
      <c r="BA51" s="12">
        <f>BA34</f>
        <v>2304</v>
      </c>
      <c r="BB51" s="12">
        <f>BB34</f>
        <v>203</v>
      </c>
      <c r="BC51" s="12">
        <f>BC34</f>
        <v>223</v>
      </c>
      <c r="BD51" s="12">
        <f>BD34</f>
        <v>0</v>
      </c>
      <c r="BE51" s="5"/>
      <c r="BF51" s="12">
        <f>BF34</f>
        <v>0</v>
      </c>
      <c r="BG51" s="12">
        <f ca="1">BG49-BG50</f>
        <v>0</v>
      </c>
      <c r="BH51" s="12">
        <f ca="1">BH49-BH50</f>
        <v>0</v>
      </c>
      <c r="BI51" s="12">
        <f ca="1">BI49-BI50</f>
        <v>0</v>
      </c>
      <c r="BJ51" s="5"/>
      <c r="BK51" s="12">
        <f>BK34</f>
        <v>0</v>
      </c>
      <c r="BL51" s="12">
        <f>BL34</f>
        <v>0</v>
      </c>
      <c r="BM51" s="12">
        <f>BM34</f>
        <v>0</v>
      </c>
      <c r="BN51" s="12">
        <f ca="1">BN34</f>
        <v>0</v>
      </c>
      <c r="BO51" s="5"/>
      <c r="BP51" s="12">
        <f ca="1">BP49-BP50</f>
        <v>0</v>
      </c>
      <c r="BQ51" s="12">
        <f ca="1">BQ49-BQ50</f>
        <v>0</v>
      </c>
      <c r="BR51" s="12">
        <f ca="1">BR49-BR50</f>
        <v>0</v>
      </c>
      <c r="BS51" s="12">
        <f ca="1">BS49-BS50</f>
        <v>0</v>
      </c>
      <c r="BT51" s="5"/>
      <c r="BU51" s="12">
        <f ca="1">BU49-BU50</f>
        <v>0</v>
      </c>
      <c r="BV51" s="12">
        <f ca="1">BV49-BV50</f>
        <v>0</v>
      </c>
      <c r="BW51" s="12">
        <f ca="1">BW49-BW50</f>
        <v>0</v>
      </c>
      <c r="BX51" s="12">
        <f ca="1">BX49-BX50</f>
        <v>0</v>
      </c>
      <c r="BY51" s="5"/>
      <c r="BZ51" s="12">
        <f ca="1">BZ49-BZ50</f>
        <v>0</v>
      </c>
      <c r="CA51" s="12">
        <f ca="1">CA49-CA50</f>
        <v>0</v>
      </c>
      <c r="CB51" s="12">
        <f ca="1">CB49-CB50</f>
        <v>0</v>
      </c>
      <c r="CC51" s="12">
        <f ca="1">CC49-CC50</f>
        <v>0</v>
      </c>
      <c r="CD51" s="5"/>
      <c r="CE51" s="5"/>
      <c r="CF51" s="5"/>
      <c r="CG51" s="5"/>
    </row>
    <row r="52" spans="1:147">
      <c r="A52" s="5"/>
      <c r="B52" s="8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66"/>
      <c r="AD52" s="66"/>
      <c r="AE52" s="66"/>
      <c r="AF52" s="8"/>
      <c r="AG52" s="66"/>
      <c r="AH52" s="66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</row>
    <row r="53" spans="1:147">
      <c r="A53" s="7" t="s">
        <v>3571</v>
      </c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12">
        <f>SUM(AC26,AC29,AC37,AC38)</f>
        <v>-38002</v>
      </c>
      <c r="AD53" s="12">
        <f>SUM(AD26,AD29,AD37,AD38)</f>
        <v>-34687</v>
      </c>
      <c r="AE53" s="12">
        <f>SUM(AE26,AE29,AE37,AE38)</f>
        <v>-32821</v>
      </c>
      <c r="AF53" s="8"/>
      <c r="AG53" s="12">
        <f>SUM(AG26,AG29,AG37,AG38)</f>
        <v>-30175</v>
      </c>
      <c r="AH53" s="12">
        <f>SUM(AH26,AH29,AH37,AH38)</f>
        <v>-27481</v>
      </c>
      <c r="AI53" s="12">
        <f>SUM(AI26,AI29,AI37,AI38)</f>
        <v>-24255</v>
      </c>
      <c r="AJ53" s="12">
        <f>SUM(AJ26,AJ29,AJ37,AJ38)</f>
        <v>-18617</v>
      </c>
      <c r="AK53" s="5"/>
      <c r="AL53" s="12">
        <f>SUM(AL26,AL29,AL37,AL38)</f>
        <v>-18725</v>
      </c>
      <c r="AM53" s="12">
        <f>SUM(AM26,AM29,AM37,AM38)</f>
        <v>-17299</v>
      </c>
      <c r="AN53" s="12">
        <f>SUM(AN26,AN29,AN37,AN38)</f>
        <v>-16208</v>
      </c>
      <c r="AO53" s="12">
        <f>SUM(AO26,AO29,AO37,AO38)</f>
        <v>-16691</v>
      </c>
      <c r="AP53" s="5"/>
      <c r="AQ53" s="12">
        <f>SUM(AQ26,AQ29,AQ37,AQ38)</f>
        <v>-15036</v>
      </c>
      <c r="AR53" s="12">
        <f>SUM(AR26,AR29,AR37,AR38)</f>
        <v>-15447</v>
      </c>
      <c r="AS53" s="12">
        <f>SUM(AS26,AS29,AS37,AS38)</f>
        <v>-13622</v>
      </c>
      <c r="AT53" s="12">
        <f>SUM(AT26,AT29,AT37,AT38)</f>
        <v>-13362</v>
      </c>
      <c r="AU53" s="5"/>
      <c r="AV53" s="19">
        <f>SUM(AV26,AV29,AV37,AV38)</f>
        <v>-12528</v>
      </c>
      <c r="AW53" s="19">
        <f>SUM(AW26,AW29,AW37,AW38)</f>
        <v>-12403</v>
      </c>
      <c r="AX53" s="19">
        <f>SUM(AX26,AX29,AX37,AX38)</f>
        <v>-12495</v>
      </c>
      <c r="AY53" s="19">
        <f>SUM(AY26,AY29,AY37,AY38)</f>
        <v>-11841</v>
      </c>
      <c r="AZ53" s="8"/>
      <c r="BA53" s="19">
        <f>SUM(BA26,BA29,BA37,BA38)</f>
        <v>-11010</v>
      </c>
      <c r="BB53" s="19">
        <f>SUM(BB26,BB29,BB37,BB38)</f>
        <v>-21117</v>
      </c>
      <c r="BC53" s="19">
        <f>SUM(BC26,BC29,BC37,BC38)</f>
        <v>-19919</v>
      </c>
      <c r="BD53" s="19">
        <f>SUM(BD26,BD29,BD37,BD38)</f>
        <v>-19483</v>
      </c>
      <c r="BE53" s="8"/>
      <c r="BF53" s="19">
        <f>SUM(BF26,BF29,BF37,BF38)</f>
        <v>-19102</v>
      </c>
      <c r="BG53" s="19">
        <f>SUM(BG26,BG29,BG37,BG38)</f>
        <v>-22571</v>
      </c>
      <c r="BH53" s="19">
        <f>SUM(BH26,BH29,BH37,BH38)</f>
        <v>-20404</v>
      </c>
      <c r="BI53" s="19">
        <f>SUM(BI26,BI29,BI37,BI38)</f>
        <v>-19020</v>
      </c>
      <c r="BJ53" s="8"/>
      <c r="BK53" s="19">
        <f>SUM(BK26,BK29,BK37,BK38)</f>
        <v>-16958</v>
      </c>
      <c r="BL53" s="19">
        <f>SUM(BL26,BL29,BL37,BL38)</f>
        <v>-15308</v>
      </c>
      <c r="BM53" s="19">
        <f>SUM(BM26,BM29,BM37,BM38)</f>
        <v>-14992</v>
      </c>
      <c r="BN53" s="19">
        <f>SUM(BN26,BN29,BN37,BN38)</f>
        <v>-16922</v>
      </c>
      <c r="BO53" s="8"/>
      <c r="BP53" s="19">
        <f>SUM(BP58,BP81:BP82)</f>
        <v>-15473.461622542769</v>
      </c>
      <c r="BQ53" s="19">
        <f>SUM(BQ58,BQ81:BQ82)</f>
        <v>-14677.774787640772</v>
      </c>
      <c r="BR53" s="19">
        <f>SUM(BR58,BR81:BR82)</f>
        <v>-14428.17717858061</v>
      </c>
      <c r="BS53" s="19">
        <f>SUM(BS58,BS81:BS82)</f>
        <v>-14177.460804726592</v>
      </c>
      <c r="BT53" s="8"/>
      <c r="BU53" s="19">
        <f>SUM(BU58,BU81:BU82)</f>
        <v>-14064.553014911269</v>
      </c>
      <c r="BV53" s="19">
        <f>SUM(BV58,BV81:BV82)</f>
        <v>-12756.712559114583</v>
      </c>
      <c r="BW53" s="19">
        <f>SUM(BW58,BW81:BW82)</f>
        <v>-12635.973941648432</v>
      </c>
      <c r="BX53" s="19">
        <f>SUM(BX58,BX81:BX82)</f>
        <v>-12514.5698415346</v>
      </c>
      <c r="BY53" s="8"/>
      <c r="BZ53" s="19">
        <f>SUM(BZ58,BZ81:BZ82)</f>
        <v>-12590.957157866498</v>
      </c>
      <c r="CA53" s="19">
        <f>SUM(CA58,CA81:CA82)</f>
        <v>-11468.525690515722</v>
      </c>
      <c r="CB53" s="19">
        <f>SUM(CB58,CB81:CB82)</f>
        <v>-11538.181590356668</v>
      </c>
      <c r="CC53" s="19">
        <f>SUM(CC58,CC81:CC82)</f>
        <v>-11608.285734062296</v>
      </c>
      <c r="CD53" s="8"/>
      <c r="CE53" s="5"/>
      <c r="CF53" s="5"/>
      <c r="CG53" s="5"/>
    </row>
    <row r="54" spans="1:147">
      <c r="A54" s="5"/>
      <c r="B54" s="5" t="s">
        <v>2356</v>
      </c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12">
        <f>SUM(AC26,AC29)</f>
        <v>-20085</v>
      </c>
      <c r="AD54" s="12">
        <f>SUM(AD26,AD29)</f>
        <v>-18615</v>
      </c>
      <c r="AE54" s="12">
        <f>SUM(AE26,AE29)</f>
        <v>-14525</v>
      </c>
      <c r="AF54" s="8"/>
      <c r="AG54" s="12">
        <f>SUM(AG26,AG29)</f>
        <v>-13410</v>
      </c>
      <c r="AH54" s="12">
        <f>SUM(AH26,AH29)</f>
        <v>-14210</v>
      </c>
      <c r="AI54" s="12">
        <f>SUM(AI26,AI29)</f>
        <v>-12573</v>
      </c>
      <c r="AJ54" s="12">
        <f>SUM(AJ26,AJ29)</f>
        <v>-12962</v>
      </c>
      <c r="AK54" s="5"/>
      <c r="AL54" s="12">
        <f>SUM(AL26,AL29)</f>
        <v>-9677</v>
      </c>
      <c r="AM54" s="12">
        <f>SUM(AM26,AM29)</f>
        <v>-8554</v>
      </c>
      <c r="AN54" s="12">
        <f>SUM(AN26,AN29)</f>
        <v>-7299</v>
      </c>
      <c r="AO54" s="12">
        <f>SUM(AO26,AO29)</f>
        <v>-6247</v>
      </c>
      <c r="AP54" s="5"/>
      <c r="AQ54" s="12">
        <f>SUM(AQ26,AQ29)</f>
        <v>-5892</v>
      </c>
      <c r="AR54" s="12">
        <f>SUM(AR26,AR29)</f>
        <v>-6246</v>
      </c>
      <c r="AS54" s="12">
        <f>SUM(AS26,AS29)</f>
        <v>-4486</v>
      </c>
      <c r="AT54" s="12">
        <f>SUM(AT26,AT29)</f>
        <v>-3981</v>
      </c>
      <c r="AU54" s="5"/>
      <c r="AV54" s="12">
        <f>SUM(AV26,AV29)</f>
        <v>-3262</v>
      </c>
      <c r="AW54" s="12">
        <f>SUM(AW26,AW29)</f>
        <v>-3183</v>
      </c>
      <c r="AX54" s="12">
        <f>SUM(AX26,AX29)</f>
        <v>-2595</v>
      </c>
      <c r="AY54" s="12">
        <f>SUM(AY26,AY29)</f>
        <v>-2357</v>
      </c>
      <c r="AZ54" s="5"/>
      <c r="BA54" s="12">
        <f>SUM(BA26,BA29)</f>
        <v>-2286</v>
      </c>
      <c r="BB54" s="12">
        <f>SUM(BB26,BB29)</f>
        <v>-4426</v>
      </c>
      <c r="BC54" s="12">
        <f>SUM(BC26,BC29)</f>
        <v>-3360</v>
      </c>
      <c r="BD54" s="12">
        <f>SUM(BD26,BD29)</f>
        <v>-3809</v>
      </c>
      <c r="BE54" s="5"/>
      <c r="BF54" s="12">
        <f>SUM(BF26,BF29)</f>
        <v>-4117</v>
      </c>
      <c r="BG54" s="12">
        <f>SUM(BG26,BG29)</f>
        <v>-6240</v>
      </c>
      <c r="BH54" s="12">
        <f>SUM(BH26,BH29)</f>
        <v>-5327</v>
      </c>
      <c r="BI54" s="12">
        <f>SUM(BI26,BI29)</f>
        <v>-5386</v>
      </c>
      <c r="BJ54" s="5"/>
      <c r="BK54" s="12">
        <f>SUM(BK26,BK29)</f>
        <v>-4241</v>
      </c>
      <c r="BL54" s="12">
        <f>SUM(BL26,BL29)</f>
        <v>-3157</v>
      </c>
      <c r="BM54" s="12">
        <f>SUM(BM26,BM29)</f>
        <v>-2795</v>
      </c>
      <c r="BN54" s="12">
        <f>SUM(BN26,BN29)</f>
        <v>-3528</v>
      </c>
      <c r="BO54" s="5"/>
      <c r="BP54" s="12">
        <f t="shared" ref="BP54:BS55" si="73">SUM(BP59,BP81)</f>
        <v>-1674.655712</v>
      </c>
      <c r="BQ54" s="12">
        <f t="shared" si="73"/>
        <v>-2194.3103449999999</v>
      </c>
      <c r="BR54" s="12">
        <f t="shared" si="73"/>
        <v>-2069.3103449999999</v>
      </c>
      <c r="BS54" s="12">
        <f t="shared" si="73"/>
        <v>-1944.3103449999999</v>
      </c>
      <c r="BT54" s="5"/>
      <c r="BU54" s="12">
        <f t="shared" ref="BU54:BX55" si="74">SUM(BU59,BU81)</f>
        <v>-1756.8103449999999</v>
      </c>
      <c r="BV54" s="12">
        <f t="shared" si="74"/>
        <v>-1574.3103449999999</v>
      </c>
      <c r="BW54" s="12">
        <f t="shared" si="74"/>
        <v>-1386.8103449999999</v>
      </c>
      <c r="BX54" s="12">
        <f t="shared" si="74"/>
        <v>-1199.3103449999999</v>
      </c>
      <c r="BY54" s="5"/>
      <c r="BZ54" s="12">
        <f t="shared" ref="BZ54:CC55" si="75">SUM(BZ59,BZ81)</f>
        <v>-2143.2365482470004</v>
      </c>
      <c r="CA54" s="12">
        <f t="shared" si="75"/>
        <v>-1243.6675824970005</v>
      </c>
      <c r="CB54" s="12">
        <f t="shared" si="75"/>
        <v>-1543.4089617470004</v>
      </c>
      <c r="CC54" s="12">
        <f t="shared" si="75"/>
        <v>-1843.1503409970005</v>
      </c>
      <c r="CD54" s="5"/>
      <c r="CE54" s="5"/>
      <c r="CF54" s="5"/>
      <c r="CG54" s="5"/>
    </row>
    <row r="55" spans="1:147">
      <c r="A55" s="5"/>
      <c r="B55" s="5" t="s">
        <v>2357</v>
      </c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12">
        <f>SUM(AC37,AC38)</f>
        <v>-17917</v>
      </c>
      <c r="AD55" s="12">
        <f>SUM(AD37,AD38)</f>
        <v>-16072</v>
      </c>
      <c r="AE55" s="12">
        <f>SUM(AE37,AE38)</f>
        <v>-18296</v>
      </c>
      <c r="AF55" s="8"/>
      <c r="AG55" s="12">
        <f>SUM(AG37,AG38)</f>
        <v>-16765</v>
      </c>
      <c r="AH55" s="12">
        <f>SUM(AH37,AH38)</f>
        <v>-13271</v>
      </c>
      <c r="AI55" s="12">
        <f>SUM(AI37,AI38)</f>
        <v>-11682</v>
      </c>
      <c r="AJ55" s="12">
        <f>SUM(AJ37,AJ38)</f>
        <v>-5655</v>
      </c>
      <c r="AK55" s="5"/>
      <c r="AL55" s="12">
        <f>SUM(AL37,AL38)</f>
        <v>-9048</v>
      </c>
      <c r="AM55" s="12">
        <f>SUM(AM37,AM38)</f>
        <v>-8745</v>
      </c>
      <c r="AN55" s="12">
        <f>SUM(AN37,AN38)</f>
        <v>-8909</v>
      </c>
      <c r="AO55" s="12">
        <f>SUM(AO37,AO38)</f>
        <v>-10444</v>
      </c>
      <c r="AP55" s="5"/>
      <c r="AQ55" s="12">
        <f>SUM(AQ37,AQ38)</f>
        <v>-9144</v>
      </c>
      <c r="AR55" s="12">
        <f>SUM(AR37,AR38)</f>
        <v>-9201</v>
      </c>
      <c r="AS55" s="12">
        <f>SUM(AS37,AS38)</f>
        <v>-9136</v>
      </c>
      <c r="AT55" s="12">
        <f>SUM(AT37,AT38)</f>
        <v>-9381</v>
      </c>
      <c r="AU55" s="5"/>
      <c r="AV55" s="12">
        <f>SUM(AV37,AV38)</f>
        <v>-9266</v>
      </c>
      <c r="AW55" s="12">
        <f>SUM(AW37,AW38)</f>
        <v>-9220</v>
      </c>
      <c r="AX55" s="12">
        <f>SUM(AX37,AX38)</f>
        <v>-9900</v>
      </c>
      <c r="AY55" s="12">
        <f>SUM(AY37,AY38)</f>
        <v>-9484</v>
      </c>
      <c r="AZ55" s="5"/>
      <c r="BA55" s="12">
        <f>SUM(BA37,BA38)</f>
        <v>-8724</v>
      </c>
      <c r="BB55" s="12">
        <f>SUM(BB37,BB38)</f>
        <v>-16691</v>
      </c>
      <c r="BC55" s="12">
        <f>SUM(BC37,BC38)</f>
        <v>-16559</v>
      </c>
      <c r="BD55" s="12">
        <f>SUM(BD37,BD38)</f>
        <v>-15674</v>
      </c>
      <c r="BE55" s="5"/>
      <c r="BF55" s="12">
        <f>SUM(BF37,BF38)</f>
        <v>-14985</v>
      </c>
      <c r="BG55" s="12">
        <f>SUM(BG37,BG38)</f>
        <v>-16331</v>
      </c>
      <c r="BH55" s="12">
        <f>SUM(BH37,BH38)</f>
        <v>-15077</v>
      </c>
      <c r="BI55" s="12">
        <f>SUM(BI37,BI38)</f>
        <v>-13634</v>
      </c>
      <c r="BJ55" s="5"/>
      <c r="BK55" s="12">
        <f>SUM(BK37,BK38)</f>
        <v>-12717</v>
      </c>
      <c r="BL55" s="12">
        <f>SUM(BL37,BL38)</f>
        <v>-12151</v>
      </c>
      <c r="BM55" s="12">
        <f>SUM(BM37,BM38)</f>
        <v>-12197</v>
      </c>
      <c r="BN55" s="12">
        <f>SUM(BN37,BN38)</f>
        <v>-13394</v>
      </c>
      <c r="BO55" s="5"/>
      <c r="BP55" s="12">
        <f t="shared" si="73"/>
        <v>-13798.805910542769</v>
      </c>
      <c r="BQ55" s="12">
        <f t="shared" si="73"/>
        <v>-12483.464442640772</v>
      </c>
      <c r="BR55" s="12">
        <f t="shared" si="73"/>
        <v>-12358.866833580611</v>
      </c>
      <c r="BS55" s="12">
        <f t="shared" si="73"/>
        <v>-12233.150459726592</v>
      </c>
      <c r="BT55" s="5"/>
      <c r="BU55" s="12">
        <f t="shared" si="74"/>
        <v>-12307.742669911269</v>
      </c>
      <c r="BV55" s="12">
        <f t="shared" si="74"/>
        <v>-11182.402214114583</v>
      </c>
      <c r="BW55" s="12">
        <f t="shared" si="74"/>
        <v>-11249.163596648432</v>
      </c>
      <c r="BX55" s="12">
        <f t="shared" si="74"/>
        <v>-11315.2594965346</v>
      </c>
      <c r="BY55" s="5"/>
      <c r="BZ55" s="12">
        <f t="shared" si="75"/>
        <v>-10447.720609619497</v>
      </c>
      <c r="CA55" s="12">
        <f t="shared" si="75"/>
        <v>-10224.858108018721</v>
      </c>
      <c r="CB55" s="12">
        <f t="shared" si="75"/>
        <v>-9994.7726286096677</v>
      </c>
      <c r="CC55" s="12">
        <f t="shared" si="75"/>
        <v>-9765.1353930652949</v>
      </c>
      <c r="CD55" s="5"/>
      <c r="CE55" s="5"/>
      <c r="CF55" s="5"/>
      <c r="CG55" s="5"/>
    </row>
    <row r="56" spans="1:147">
      <c r="A56" s="5"/>
      <c r="B56" s="8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66"/>
      <c r="AD56" s="66"/>
      <c r="AE56" s="66"/>
      <c r="AF56" s="8"/>
      <c r="AG56" s="66"/>
      <c r="AH56" s="66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</row>
    <row r="57" spans="1:147">
      <c r="A57" s="5"/>
      <c r="B57" s="8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66"/>
      <c r="AD57" s="66"/>
      <c r="AE57" s="66"/>
      <c r="AF57" s="8"/>
      <c r="AG57" s="66"/>
      <c r="AH57" s="66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</row>
    <row r="58" spans="1:147">
      <c r="A58" s="7" t="s">
        <v>3623</v>
      </c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66"/>
      <c r="AD58" s="66"/>
      <c r="AE58" s="66"/>
      <c r="AF58" s="8"/>
      <c r="AG58" s="66"/>
      <c r="AH58" s="66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12">
        <f>BA53-SUM(BA81:BA82)</f>
        <v>17934.245532252196</v>
      </c>
      <c r="BB58" s="12">
        <f>BB53-SUM(BB81:BB82)</f>
        <v>7634.7455322521964</v>
      </c>
      <c r="BC58" s="12">
        <f>BC53-SUM(BC81:BC82)</f>
        <v>8640.2455322521964</v>
      </c>
      <c r="BD58" s="12">
        <f>BD53-SUM(BD81:BD82)</f>
        <v>8883.7455322521964</v>
      </c>
      <c r="BE58" s="5"/>
      <c r="BF58" s="12">
        <f>BF53-SUM(BF81:BF82)</f>
        <v>8189.7372629498022</v>
      </c>
      <c r="BG58" s="12">
        <f>BG53-SUM(BG81:BG82)</f>
        <v>3157.8344681074377</v>
      </c>
      <c r="BH58" s="12">
        <f>BH53-SUM(BH81:BH82)</f>
        <v>3044.1773137444361</v>
      </c>
      <c r="BI58" s="12">
        <f>BI53-SUM(BI81:BI82)</f>
        <v>2426.500875669637</v>
      </c>
      <c r="BJ58" s="5"/>
      <c r="BK58" s="12">
        <f>BK53-SUM(BK81:BK82)</f>
        <v>2262.6964831805089</v>
      </c>
      <c r="BL58" s="12">
        <f>BL53-SUM(BL81:BL82)</f>
        <v>1948.8144753905872</v>
      </c>
      <c r="BM58" s="181">
        <f>BM53-SUM(BM81:BM82)</f>
        <v>1720.1194980597065</v>
      </c>
      <c r="BN58" s="181">
        <f>BN53-SUM(BN81:BN82)</f>
        <v>-644.18482399700042</v>
      </c>
      <c r="BO58" s="5"/>
      <c r="BP58" s="187">
        <f>BN58</f>
        <v>-644.18482399700042</v>
      </c>
      <c r="BQ58" s="187">
        <f>BP58</f>
        <v>-644.18482399700042</v>
      </c>
      <c r="BR58" s="187">
        <f>BQ58</f>
        <v>-644.18482399700042</v>
      </c>
      <c r="BS58" s="187">
        <f>BR58</f>
        <v>-644.18482399700042</v>
      </c>
      <c r="BT58" s="5"/>
      <c r="BU58" s="187">
        <f t="shared" ref="BU58" si="76">BS58</f>
        <v>-644.18482399700042</v>
      </c>
      <c r="BV58" s="187">
        <f t="shared" ref="BV58:BX58" si="77">BU58</f>
        <v>-644.18482399700042</v>
      </c>
      <c r="BW58" s="187">
        <f t="shared" si="77"/>
        <v>-644.18482399700042</v>
      </c>
      <c r="BX58" s="187">
        <f t="shared" si="77"/>
        <v>-644.18482399700042</v>
      </c>
      <c r="BY58" s="5"/>
      <c r="BZ58" s="187">
        <f t="shared" ref="BZ58" si="78">BX58</f>
        <v>-644.18482399700042</v>
      </c>
      <c r="CA58" s="187">
        <f t="shared" ref="CA58:CC58" si="79">BZ58</f>
        <v>-644.18482399700042</v>
      </c>
      <c r="CB58" s="187">
        <f t="shared" si="79"/>
        <v>-644.18482399700042</v>
      </c>
      <c r="CC58" s="187">
        <f t="shared" si="79"/>
        <v>-644.18482399700042</v>
      </c>
      <c r="CD58" s="5"/>
      <c r="CE58" s="5"/>
      <c r="CF58" s="5"/>
      <c r="CG58" s="5"/>
    </row>
    <row r="59" spans="1:147">
      <c r="A59" s="5"/>
      <c r="B59" s="5" t="s">
        <v>2356</v>
      </c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66"/>
      <c r="AD59" s="66"/>
      <c r="AE59" s="66"/>
      <c r="AF59" s="8"/>
      <c r="AG59" s="66"/>
      <c r="AH59" s="66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12">
        <f t="shared" ref="BA59:BD60" si="80">BA54-BA81</f>
        <v>-583.5</v>
      </c>
      <c r="BB59" s="12">
        <f t="shared" si="80"/>
        <v>-1305</v>
      </c>
      <c r="BC59" s="12">
        <f t="shared" si="80"/>
        <v>1894.5</v>
      </c>
      <c r="BD59" s="12">
        <f t="shared" si="80"/>
        <v>3296</v>
      </c>
      <c r="BE59" s="5"/>
      <c r="BF59" s="12">
        <f t="shared" ref="BF59:BI60" si="81">BF54-BF81</f>
        <v>4157</v>
      </c>
      <c r="BG59" s="12">
        <f t="shared" si="81"/>
        <v>2448</v>
      </c>
      <c r="BH59" s="12">
        <f t="shared" si="81"/>
        <v>1599</v>
      </c>
      <c r="BI59" s="12">
        <f t="shared" si="81"/>
        <v>-50</v>
      </c>
      <c r="BJ59" s="12"/>
      <c r="BK59" s="12">
        <f t="shared" ref="BK59:BM60" si="82">BK54-BK81</f>
        <v>322.5</v>
      </c>
      <c r="BL59" s="12">
        <f t="shared" si="82"/>
        <v>243.65571199999977</v>
      </c>
      <c r="BM59" s="181">
        <f t="shared" si="82"/>
        <v>4168.6557119999998</v>
      </c>
      <c r="BN59" s="181">
        <f>BN54-BN81</f>
        <v>3954.5</v>
      </c>
      <c r="BO59" s="12"/>
      <c r="BP59" s="12">
        <f>BP58-BU58</f>
        <v>0</v>
      </c>
      <c r="BQ59" s="12">
        <f>BQ58-BV58</f>
        <v>0</v>
      </c>
      <c r="BR59" s="12">
        <f>BR58-BW58</f>
        <v>0</v>
      </c>
      <c r="BS59" s="12">
        <f>BS58-BX58</f>
        <v>0</v>
      </c>
      <c r="BT59" s="5"/>
      <c r="BU59" s="12">
        <f t="shared" ref="BU59:BX59" si="83">BU58-BZ58</f>
        <v>0</v>
      </c>
      <c r="BV59" s="12">
        <f t="shared" si="83"/>
        <v>0</v>
      </c>
      <c r="BW59" s="12">
        <f t="shared" si="83"/>
        <v>0</v>
      </c>
      <c r="BX59" s="12">
        <f t="shared" si="83"/>
        <v>0</v>
      </c>
      <c r="BY59" s="5"/>
      <c r="BZ59" s="12">
        <f t="shared" ref="BZ59:CC59" si="84">BZ58-CE58</f>
        <v>-644.18482399700042</v>
      </c>
      <c r="CA59" s="12">
        <f t="shared" si="84"/>
        <v>-644.18482399700042</v>
      </c>
      <c r="CB59" s="12">
        <f t="shared" si="84"/>
        <v>-644.18482399700042</v>
      </c>
      <c r="CC59" s="12">
        <f t="shared" si="84"/>
        <v>-644.18482399700042</v>
      </c>
      <c r="CD59" s="5"/>
      <c r="CE59" s="5"/>
      <c r="CF59" s="5"/>
      <c r="CG59" s="5"/>
    </row>
    <row r="60" spans="1:147">
      <c r="A60" s="5"/>
      <c r="B60" s="5" t="s">
        <v>2357</v>
      </c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66"/>
      <c r="AD60" s="66"/>
      <c r="AE60" s="66"/>
      <c r="AF60" s="8"/>
      <c r="AG60" s="66"/>
      <c r="AH60" s="66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12">
        <f t="shared" si="80"/>
        <v>18517.745532252196</v>
      </c>
      <c r="BB60" s="12">
        <f t="shared" si="80"/>
        <v>8939.7455322521964</v>
      </c>
      <c r="BC60" s="12">
        <f t="shared" si="80"/>
        <v>6745.7455322521964</v>
      </c>
      <c r="BD60" s="12">
        <f t="shared" si="80"/>
        <v>5587.7455322521964</v>
      </c>
      <c r="BE60" s="5"/>
      <c r="BF60" s="12">
        <f t="shared" si="81"/>
        <v>4032.7372629498022</v>
      </c>
      <c r="BG60" s="12">
        <f t="shared" si="81"/>
        <v>709.83446810743771</v>
      </c>
      <c r="BH60" s="12">
        <f t="shared" si="81"/>
        <v>1445.1773137444361</v>
      </c>
      <c r="BI60" s="12">
        <f t="shared" si="81"/>
        <v>2476.500875669637</v>
      </c>
      <c r="BJ60" s="12"/>
      <c r="BK60" s="12">
        <f t="shared" si="82"/>
        <v>1940.1964831805089</v>
      </c>
      <c r="BL60" s="12">
        <f t="shared" si="82"/>
        <v>1705.1587633905874</v>
      </c>
      <c r="BM60" s="181">
        <f t="shared" si="82"/>
        <v>-2448.5362139402932</v>
      </c>
      <c r="BN60" s="181">
        <f t="shared" ref="BN60" si="85">BN55-BN82</f>
        <v>-4598.6848239970004</v>
      </c>
      <c r="BO60" s="12"/>
      <c r="BP60" s="12">
        <f>BP58-BP59</f>
        <v>-644.18482399700042</v>
      </c>
      <c r="BQ60" s="12">
        <f>BQ58-BQ59</f>
        <v>-644.18482399700042</v>
      </c>
      <c r="BR60" s="12">
        <f>BR58-BR59</f>
        <v>-644.18482399700042</v>
      </c>
      <c r="BS60" s="12">
        <f>BS58-BS59</f>
        <v>-644.18482399700042</v>
      </c>
      <c r="BT60" s="5"/>
      <c r="BU60" s="12">
        <f t="shared" ref="BU60:BX60" si="86">BU58-BU59</f>
        <v>-644.18482399700042</v>
      </c>
      <c r="BV60" s="12">
        <f t="shared" si="86"/>
        <v>-644.18482399700042</v>
      </c>
      <c r="BW60" s="12">
        <f t="shared" si="86"/>
        <v>-644.18482399700042</v>
      </c>
      <c r="BX60" s="12">
        <f t="shared" si="86"/>
        <v>-644.18482399700042</v>
      </c>
      <c r="BY60" s="5"/>
      <c r="BZ60" s="12">
        <f t="shared" ref="BZ60:CC60" si="87">BZ58-BZ59</f>
        <v>0</v>
      </c>
      <c r="CA60" s="12">
        <f t="shared" si="87"/>
        <v>0</v>
      </c>
      <c r="CB60" s="12">
        <f t="shared" si="87"/>
        <v>0</v>
      </c>
      <c r="CC60" s="12">
        <f t="shared" si="87"/>
        <v>0</v>
      </c>
      <c r="CD60" s="5"/>
      <c r="CE60" s="5"/>
      <c r="CF60" s="5"/>
      <c r="CG60" s="5"/>
    </row>
    <row r="61" spans="1:147">
      <c r="BM61" s="406"/>
      <c r="BN61" s="406"/>
    </row>
    <row r="62" spans="1:147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138"/>
      <c r="BN62" s="138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</row>
    <row r="63" spans="1:147">
      <c r="A63" s="8" t="s">
        <v>3620</v>
      </c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G63" s="5"/>
      <c r="AH63" s="5"/>
      <c r="AI63" s="5"/>
      <c r="AJ63" s="5"/>
      <c r="AK63" s="5"/>
      <c r="AL63" s="5"/>
      <c r="AM63" s="5"/>
      <c r="AN63" s="435"/>
      <c r="AO63" s="435"/>
      <c r="AP63" s="138"/>
      <c r="AQ63" s="435"/>
      <c r="AR63" s="435"/>
      <c r="AS63" s="435"/>
      <c r="AT63" s="435"/>
      <c r="AU63" s="138"/>
      <c r="AV63" s="435"/>
      <c r="AW63" s="435"/>
      <c r="AX63" s="435"/>
      <c r="AY63" s="435"/>
      <c r="AZ63" s="138"/>
      <c r="BA63" s="435"/>
      <c r="BB63" s="435"/>
      <c r="BC63" s="435"/>
      <c r="BD63" s="435"/>
      <c r="BE63" s="138"/>
      <c r="BF63" s="435"/>
      <c r="BG63" s="435"/>
      <c r="BH63" s="435"/>
      <c r="BI63" s="435"/>
      <c r="BJ63" s="138"/>
      <c r="BK63" s="435"/>
      <c r="BL63" s="435"/>
      <c r="BM63" s="435"/>
      <c r="BN63" s="435"/>
      <c r="BO63" s="138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</row>
    <row r="64" spans="1:147">
      <c r="A64" s="5"/>
      <c r="B64" s="173" t="s">
        <v>3619</v>
      </c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G64" s="5"/>
      <c r="AH64" s="5"/>
      <c r="AI64" s="5"/>
      <c r="AJ64" s="5"/>
      <c r="AK64" s="5"/>
      <c r="AL64" s="5"/>
      <c r="AM64" s="5"/>
      <c r="AN64" s="435"/>
      <c r="AO64" s="435"/>
      <c r="AP64" s="138"/>
      <c r="AQ64" s="435"/>
      <c r="AR64" s="435"/>
      <c r="AS64" s="435"/>
      <c r="AT64" s="435"/>
      <c r="AU64" s="138"/>
      <c r="AV64" s="435"/>
      <c r="AW64" s="435"/>
      <c r="AX64" s="435"/>
      <c r="AY64" s="435"/>
      <c r="AZ64" s="138"/>
      <c r="BA64" s="316"/>
      <c r="BB64" s="316"/>
      <c r="BC64" s="316"/>
      <c r="BD64" s="316"/>
      <c r="BE64" s="138">
        <v>-770</v>
      </c>
      <c r="BF64" s="435">
        <f>BJ64</f>
        <v>-530</v>
      </c>
      <c r="BG64" s="435">
        <v>0</v>
      </c>
      <c r="BH64" s="435">
        <v>0</v>
      </c>
      <c r="BI64" s="435">
        <v>0</v>
      </c>
      <c r="BJ64" s="138">
        <v>-530</v>
      </c>
      <c r="BK64" s="435">
        <f>BO64</f>
        <v>-740</v>
      </c>
      <c r="BL64" s="435">
        <v>0</v>
      </c>
      <c r="BM64" s="435">
        <v>0</v>
      </c>
      <c r="BN64" s="435">
        <v>0</v>
      </c>
      <c r="BO64" s="138">
        <v>-740</v>
      </c>
      <c r="BP64" s="435">
        <f>BT64</f>
        <v>-1209</v>
      </c>
      <c r="BQ64" s="435">
        <v>0</v>
      </c>
      <c r="BR64" s="435">
        <v>0</v>
      </c>
      <c r="BS64" s="435">
        <v>0</v>
      </c>
      <c r="BT64" s="138">
        <v>-1209</v>
      </c>
      <c r="BU64" s="435">
        <f>BY64</f>
        <v>0</v>
      </c>
      <c r="BV64" s="435">
        <v>0</v>
      </c>
      <c r="BW64" s="435">
        <v>0</v>
      </c>
      <c r="BX64" s="435">
        <v>0</v>
      </c>
      <c r="BY64" s="5">
        <v>0</v>
      </c>
      <c r="BZ64" s="435">
        <f>CD64</f>
        <v>0</v>
      </c>
      <c r="CA64" s="435">
        <v>0</v>
      </c>
      <c r="CB64" s="435">
        <v>0</v>
      </c>
      <c r="CC64" s="435">
        <v>0</v>
      </c>
      <c r="CD64" s="5">
        <v>0</v>
      </c>
      <c r="CE64" s="316"/>
      <c r="CF64" s="316"/>
      <c r="CG64" s="316"/>
      <c r="CH64" s="316"/>
      <c r="CI64" s="5">
        <v>0</v>
      </c>
      <c r="CJ64" s="316"/>
      <c r="CK64" s="316"/>
      <c r="CL64" s="316"/>
      <c r="CM64" s="316"/>
      <c r="CN64" s="5">
        <v>0</v>
      </c>
      <c r="CO64" s="316"/>
      <c r="CP64" s="316"/>
      <c r="CQ64" s="316"/>
      <c r="CR64" s="316"/>
      <c r="CS64" s="5">
        <v>0</v>
      </c>
      <c r="CT64" s="316"/>
      <c r="CU64" s="316"/>
      <c r="CV64" s="316"/>
      <c r="CW64" s="316"/>
      <c r="CX64" s="5">
        <v>0</v>
      </c>
      <c r="CY64" s="316"/>
      <c r="CZ64" s="316"/>
      <c r="DA64" s="316"/>
      <c r="DB64" s="316"/>
      <c r="DC64" s="5">
        <v>0</v>
      </c>
      <c r="DD64" s="316"/>
      <c r="DE64" s="316"/>
      <c r="DF64" s="316"/>
      <c r="DG64" s="316"/>
      <c r="DH64" s="5">
        <v>0</v>
      </c>
      <c r="DI64" s="316"/>
      <c r="DJ64" s="316"/>
      <c r="DK64" s="316"/>
      <c r="DL64" s="316"/>
      <c r="DM64" s="5">
        <v>0</v>
      </c>
      <c r="DN64" s="316"/>
      <c r="DO64" s="316"/>
      <c r="DP64" s="316"/>
      <c r="DQ64" s="316"/>
      <c r="DR64" s="5">
        <v>0</v>
      </c>
      <c r="DS64" s="316"/>
      <c r="DT64" s="316"/>
      <c r="DU64" s="316"/>
      <c r="DV64" s="316"/>
      <c r="DW64" s="5">
        <v>0</v>
      </c>
      <c r="DX64" s="316"/>
      <c r="DY64" s="316"/>
      <c r="DZ64" s="316"/>
      <c r="EA64" s="316"/>
      <c r="EB64" s="5">
        <v>0</v>
      </c>
      <c r="EC64" s="316"/>
      <c r="ED64" s="316"/>
      <c r="EE64" s="316"/>
      <c r="EF64" s="316"/>
      <c r="EG64" s="5">
        <v>0</v>
      </c>
      <c r="EH64" s="316"/>
      <c r="EI64" s="316"/>
      <c r="EJ64" s="316"/>
      <c r="EK64" s="316"/>
      <c r="EL64" s="5">
        <v>0</v>
      </c>
      <c r="EM64" s="316"/>
      <c r="EN64" s="316"/>
      <c r="EO64" s="316"/>
      <c r="EP64" s="316"/>
      <c r="EQ64" s="5">
        <v>0</v>
      </c>
    </row>
    <row r="65" spans="1:149">
      <c r="A65" s="5"/>
      <c r="B65" s="5" t="s">
        <v>3543</v>
      </c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G65" s="5"/>
      <c r="AH65" s="5"/>
      <c r="AI65" s="5"/>
      <c r="AJ65" s="5"/>
      <c r="AK65" s="5"/>
      <c r="AL65" s="5"/>
      <c r="AM65" s="5"/>
      <c r="AN65" s="435"/>
      <c r="AO65" s="435"/>
      <c r="AP65" s="138"/>
      <c r="AQ65" s="435"/>
      <c r="AR65" s="435"/>
      <c r="AS65" s="435"/>
      <c r="AT65" s="435"/>
      <c r="AU65" s="138"/>
      <c r="AV65" s="435"/>
      <c r="AW65" s="435"/>
      <c r="AX65" s="435"/>
      <c r="AY65" s="435"/>
      <c r="AZ65" s="138"/>
      <c r="BA65" s="316"/>
      <c r="BB65" s="316"/>
      <c r="BC65" s="316"/>
      <c r="BD65" s="316"/>
      <c r="BE65" s="138">
        <v>0</v>
      </c>
      <c r="BF65" s="435">
        <v>0</v>
      </c>
      <c r="BG65" s="435">
        <f>BJ65</f>
        <v>0</v>
      </c>
      <c r="BH65" s="435">
        <v>0</v>
      </c>
      <c r="BI65" s="435">
        <v>0</v>
      </c>
      <c r="BJ65" s="138">
        <v>0</v>
      </c>
      <c r="BK65" s="435">
        <v>0</v>
      </c>
      <c r="BL65" s="435">
        <f t="shared" ref="BL65:BN68" si="88">BO65</f>
        <v>-379.31034499999998</v>
      </c>
      <c r="BM65" s="435">
        <f t="shared" si="88"/>
        <v>0</v>
      </c>
      <c r="BN65" s="435">
        <f t="shared" si="88"/>
        <v>-189.65571199999999</v>
      </c>
      <c r="BO65" s="138">
        <v>-379.31034499999998</v>
      </c>
      <c r="BP65" s="435">
        <v>0</v>
      </c>
      <c r="BQ65" s="435">
        <f>BT65</f>
        <v>-189.65571199999999</v>
      </c>
      <c r="BR65" s="435">
        <v>0</v>
      </c>
      <c r="BS65" s="435">
        <v>0</v>
      </c>
      <c r="BT65" s="138">
        <v>-189.65571199999999</v>
      </c>
      <c r="BU65" s="435">
        <v>0</v>
      </c>
      <c r="BV65" s="435">
        <f>BY65</f>
        <v>-379.31034499999998</v>
      </c>
      <c r="BW65" s="435">
        <v>0</v>
      </c>
      <c r="BX65" s="435">
        <v>0</v>
      </c>
      <c r="BY65" s="138">
        <v>-379.31034499999998</v>
      </c>
      <c r="BZ65" s="435">
        <v>0</v>
      </c>
      <c r="CA65" s="435">
        <f>CD65</f>
        <v>-379.31034499999998</v>
      </c>
      <c r="CB65" s="435">
        <v>0</v>
      </c>
      <c r="CC65" s="435">
        <v>0</v>
      </c>
      <c r="CD65" s="138">
        <v>-379.31034499999998</v>
      </c>
      <c r="CE65" s="316"/>
      <c r="CF65" s="316"/>
      <c r="CG65" s="316"/>
      <c r="CH65" s="316"/>
      <c r="CI65" s="138">
        <v>-379.31034499999998</v>
      </c>
      <c r="CJ65" s="316"/>
      <c r="CK65" s="316"/>
      <c r="CL65" s="316"/>
      <c r="CM65" s="316"/>
      <c r="CN65" s="138">
        <v>-379.31034499999998</v>
      </c>
      <c r="CO65" s="316"/>
      <c r="CP65" s="316"/>
      <c r="CQ65" s="316"/>
      <c r="CR65" s="316"/>
      <c r="CS65" s="138">
        <v>-379.31034499999998</v>
      </c>
      <c r="CT65" s="316"/>
      <c r="CU65" s="316"/>
      <c r="CV65" s="316"/>
      <c r="CW65" s="316"/>
      <c r="CX65" s="138">
        <v>-379.31034499999998</v>
      </c>
      <c r="CY65" s="316"/>
      <c r="CZ65" s="316"/>
      <c r="DA65" s="316"/>
      <c r="DB65" s="316"/>
      <c r="DC65" s="138">
        <v>-379.31034499999998</v>
      </c>
      <c r="DD65" s="316"/>
      <c r="DE65" s="316"/>
      <c r="DF65" s="316"/>
      <c r="DG65" s="316"/>
      <c r="DH65" s="138">
        <v>-379.31034499999998</v>
      </c>
      <c r="DI65" s="316"/>
      <c r="DJ65" s="316"/>
      <c r="DK65" s="316"/>
      <c r="DL65" s="316"/>
      <c r="DM65" s="138">
        <v>-379.31034499999998</v>
      </c>
      <c r="DN65" s="316"/>
      <c r="DO65" s="316"/>
      <c r="DP65" s="316"/>
      <c r="DQ65" s="316"/>
      <c r="DR65" s="138">
        <v>-379.31034499999998</v>
      </c>
      <c r="DS65" s="316"/>
      <c r="DT65" s="316"/>
      <c r="DU65" s="316"/>
      <c r="DV65" s="316"/>
      <c r="DW65" s="138">
        <v>-379.31034499999998</v>
      </c>
      <c r="DX65" s="316"/>
      <c r="DY65" s="316"/>
      <c r="DZ65" s="316"/>
      <c r="EA65" s="316"/>
      <c r="EB65" s="138">
        <v>-379.31034499999998</v>
      </c>
      <c r="EC65" s="316"/>
      <c r="ED65" s="316"/>
      <c r="EE65" s="316"/>
      <c r="EF65" s="316"/>
      <c r="EG65" s="138">
        <v>-379.31034299999999</v>
      </c>
      <c r="EH65" s="316"/>
      <c r="EI65" s="316"/>
      <c r="EJ65" s="316"/>
      <c r="EK65" s="316"/>
      <c r="EL65" s="138">
        <v>0</v>
      </c>
      <c r="EM65" s="316"/>
      <c r="EN65" s="316"/>
      <c r="EO65" s="316"/>
      <c r="EP65" s="316"/>
      <c r="EQ65" s="138">
        <v>0</v>
      </c>
    </row>
    <row r="66" spans="1:149">
      <c r="A66" s="5"/>
      <c r="B66" s="5" t="s">
        <v>3544</v>
      </c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G66" s="5"/>
      <c r="AH66" s="5"/>
      <c r="AI66" s="5"/>
      <c r="AJ66" s="5"/>
      <c r="AK66" s="5"/>
      <c r="AL66" s="5"/>
      <c r="AM66" s="5"/>
      <c r="AN66" s="435"/>
      <c r="AO66" s="435"/>
      <c r="AP66" s="138"/>
      <c r="AQ66" s="435"/>
      <c r="AR66" s="435"/>
      <c r="AS66" s="435"/>
      <c r="AT66" s="435"/>
      <c r="AU66" s="138"/>
      <c r="AV66" s="435"/>
      <c r="AW66" s="435"/>
      <c r="AX66" s="435"/>
      <c r="AY66" s="435"/>
      <c r="AZ66" s="138"/>
      <c r="BA66" s="316"/>
      <c r="BB66" s="316"/>
      <c r="BC66" s="316"/>
      <c r="BD66" s="316"/>
      <c r="BE66" s="138">
        <v>0</v>
      </c>
      <c r="BF66" s="435">
        <v>0</v>
      </c>
      <c r="BG66" s="435">
        <f>BJ66</f>
        <v>0</v>
      </c>
      <c r="BH66" s="435">
        <v>0</v>
      </c>
      <c r="BI66" s="435">
        <v>0</v>
      </c>
      <c r="BJ66" s="138">
        <v>0</v>
      </c>
      <c r="BK66" s="435">
        <v>0</v>
      </c>
      <c r="BL66" s="435">
        <f t="shared" si="88"/>
        <v>-489.65517199999999</v>
      </c>
      <c r="BM66" s="435">
        <f t="shared" si="88"/>
        <v>0</v>
      </c>
      <c r="BN66" s="435">
        <f t="shared" si="88"/>
        <v>-245</v>
      </c>
      <c r="BO66" s="138">
        <v>-489.65517199999999</v>
      </c>
      <c r="BP66" s="435">
        <v>0</v>
      </c>
      <c r="BQ66" s="435">
        <f>BT66</f>
        <v>-245</v>
      </c>
      <c r="BR66" s="435">
        <v>0</v>
      </c>
      <c r="BS66" s="435">
        <v>0</v>
      </c>
      <c r="BT66" s="138">
        <v>-245</v>
      </c>
      <c r="BU66" s="435">
        <v>0</v>
      </c>
      <c r="BV66" s="435">
        <f>BY66</f>
        <v>-490</v>
      </c>
      <c r="BW66" s="435">
        <v>0</v>
      </c>
      <c r="BX66" s="435">
        <v>0</v>
      </c>
      <c r="BY66" s="138">
        <v>-490</v>
      </c>
      <c r="BZ66" s="435">
        <v>0</v>
      </c>
      <c r="CA66" s="435">
        <f>CD66</f>
        <v>-490</v>
      </c>
      <c r="CB66" s="435">
        <v>0</v>
      </c>
      <c r="CC66" s="435">
        <v>0</v>
      </c>
      <c r="CD66" s="138">
        <v>-490</v>
      </c>
      <c r="CE66" s="316"/>
      <c r="CF66" s="316"/>
      <c r="CG66" s="316"/>
      <c r="CH66" s="316"/>
      <c r="CI66" s="138">
        <v>-489.65517199999999</v>
      </c>
      <c r="CJ66" s="316"/>
      <c r="CK66" s="316"/>
      <c r="CL66" s="316"/>
      <c r="CM66" s="316"/>
      <c r="CN66" s="138">
        <v>-489.65517199999999</v>
      </c>
      <c r="CO66" s="316"/>
      <c r="CP66" s="316"/>
      <c r="CQ66" s="316"/>
      <c r="CR66" s="316"/>
      <c r="CS66" s="138">
        <v>-489.65517199999999</v>
      </c>
      <c r="CT66" s="316"/>
      <c r="CU66" s="316"/>
      <c r="CV66" s="316"/>
      <c r="CW66" s="316"/>
      <c r="CX66" s="138">
        <v>-489.65517199999999</v>
      </c>
      <c r="CY66" s="316"/>
      <c r="CZ66" s="316"/>
      <c r="DA66" s="316"/>
      <c r="DB66" s="316"/>
      <c r="DC66" s="138">
        <v>-489.65517199999999</v>
      </c>
      <c r="DD66" s="316"/>
      <c r="DE66" s="316"/>
      <c r="DF66" s="316"/>
      <c r="DG66" s="316"/>
      <c r="DH66" s="138">
        <v>-489.65517199999999</v>
      </c>
      <c r="DI66" s="316"/>
      <c r="DJ66" s="316"/>
      <c r="DK66" s="316"/>
      <c r="DL66" s="316"/>
      <c r="DM66" s="138">
        <v>-489.65517199999999</v>
      </c>
      <c r="DN66" s="316"/>
      <c r="DO66" s="316"/>
      <c r="DP66" s="316"/>
      <c r="DQ66" s="316"/>
      <c r="DR66" s="138">
        <v>-489.65517199999999</v>
      </c>
      <c r="DS66" s="316"/>
      <c r="DT66" s="316"/>
      <c r="DU66" s="316"/>
      <c r="DV66" s="316"/>
      <c r="DW66" s="138">
        <v>-489.65517199999999</v>
      </c>
      <c r="DX66" s="316"/>
      <c r="DY66" s="316"/>
      <c r="DZ66" s="316"/>
      <c r="EA66" s="316"/>
      <c r="EB66" s="138">
        <v>-489.65517199999999</v>
      </c>
      <c r="EC66" s="316"/>
      <c r="ED66" s="316"/>
      <c r="EE66" s="316"/>
      <c r="EF66" s="316"/>
      <c r="EG66" s="138">
        <v>-489.65517199999999</v>
      </c>
      <c r="EH66" s="316"/>
      <c r="EI66" s="316"/>
      <c r="EJ66" s="316"/>
      <c r="EK66" s="316"/>
      <c r="EL66" s="138">
        <v>-232</v>
      </c>
      <c r="EM66" s="316"/>
      <c r="EN66" s="316"/>
      <c r="EO66" s="316"/>
      <c r="EP66" s="316"/>
      <c r="EQ66" s="138">
        <v>0</v>
      </c>
    </row>
    <row r="67" spans="1:149">
      <c r="A67" s="5"/>
      <c r="B67" s="5" t="s">
        <v>3545</v>
      </c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G67" s="5"/>
      <c r="AH67" s="5"/>
      <c r="AI67" s="5"/>
      <c r="AJ67" s="5"/>
      <c r="AK67" s="5"/>
      <c r="AL67" s="5"/>
      <c r="AM67" s="5"/>
      <c r="AN67" s="435"/>
      <c r="AO67" s="435"/>
      <c r="AP67" s="138"/>
      <c r="AQ67" s="435"/>
      <c r="AR67" s="435"/>
      <c r="AS67" s="435"/>
      <c r="AT67" s="435"/>
      <c r="AU67" s="138"/>
      <c r="AV67" s="435"/>
      <c r="AW67" s="435"/>
      <c r="AX67" s="435"/>
      <c r="AY67" s="435"/>
      <c r="AZ67" s="138"/>
      <c r="BA67" s="316"/>
      <c r="BB67" s="316"/>
      <c r="BC67" s="316"/>
      <c r="BD67" s="316"/>
      <c r="BE67" s="138">
        <v>0</v>
      </c>
      <c r="BF67" s="435">
        <v>0</v>
      </c>
      <c r="BG67" s="435">
        <f>BJ67</f>
        <v>-900</v>
      </c>
      <c r="BH67" s="435">
        <v>0</v>
      </c>
      <c r="BI67" s="435">
        <v>0</v>
      </c>
      <c r="BJ67" s="138">
        <v>-900</v>
      </c>
      <c r="BK67" s="435">
        <v>0</v>
      </c>
      <c r="BL67" s="435">
        <f t="shared" si="88"/>
        <v>-50</v>
      </c>
      <c r="BM67" s="435">
        <f t="shared" si="88"/>
        <v>0</v>
      </c>
      <c r="BN67" s="435">
        <f t="shared" si="88"/>
        <v>-50</v>
      </c>
      <c r="BO67" s="138">
        <v>-50</v>
      </c>
      <c r="BP67" s="435">
        <v>0</v>
      </c>
      <c r="BQ67" s="435">
        <f>BT67</f>
        <v>-50</v>
      </c>
      <c r="BR67" s="435">
        <v>0</v>
      </c>
      <c r="BS67" s="435">
        <v>0</v>
      </c>
      <c r="BT67" s="138">
        <v>-50</v>
      </c>
      <c r="BU67" s="435">
        <v>0</v>
      </c>
      <c r="BV67" s="435">
        <f>BY67</f>
        <v>-260</v>
      </c>
      <c r="BW67" s="435">
        <v>0</v>
      </c>
      <c r="BX67" s="435">
        <v>0</v>
      </c>
      <c r="BY67" s="138">
        <v>-260</v>
      </c>
      <c r="BZ67" s="435">
        <v>0</v>
      </c>
      <c r="CA67" s="435">
        <f>CD67</f>
        <v>-260</v>
      </c>
      <c r="CB67" s="435">
        <v>0</v>
      </c>
      <c r="CC67" s="435">
        <v>0</v>
      </c>
      <c r="CD67" s="138">
        <v>-260</v>
      </c>
      <c r="CE67" s="316"/>
      <c r="CF67" s="316"/>
      <c r="CG67" s="316"/>
      <c r="CH67" s="316"/>
      <c r="CI67" s="138">
        <v>-260</v>
      </c>
      <c r="CJ67" s="316"/>
      <c r="CK67" s="316"/>
      <c r="CL67" s="316"/>
      <c r="CM67" s="316"/>
      <c r="CN67" s="138">
        <v>-260</v>
      </c>
      <c r="CO67" s="316"/>
      <c r="CP67" s="316"/>
      <c r="CQ67" s="316"/>
      <c r="CR67" s="316"/>
      <c r="CS67" s="138">
        <v>-260</v>
      </c>
      <c r="CT67" s="316"/>
      <c r="CU67" s="316"/>
      <c r="CV67" s="316"/>
      <c r="CW67" s="316"/>
      <c r="CX67" s="138">
        <v>-260</v>
      </c>
      <c r="CY67" s="316"/>
      <c r="CZ67" s="316"/>
      <c r="DA67" s="316"/>
      <c r="DB67" s="316"/>
      <c r="DC67" s="138">
        <v>-260</v>
      </c>
      <c r="DD67" s="316"/>
      <c r="DE67" s="316"/>
      <c r="DF67" s="316"/>
      <c r="DG67" s="316"/>
      <c r="DH67" s="138">
        <v>-260</v>
      </c>
      <c r="DI67" s="316"/>
      <c r="DJ67" s="316"/>
      <c r="DK67" s="316"/>
      <c r="DL67" s="316"/>
      <c r="DM67" s="138">
        <v>-260</v>
      </c>
      <c r="DN67" s="316"/>
      <c r="DO67" s="316"/>
      <c r="DP67" s="316"/>
      <c r="DQ67" s="316"/>
      <c r="DR67" s="138">
        <v>-260</v>
      </c>
      <c r="DS67" s="316"/>
      <c r="DT67" s="316"/>
      <c r="DU67" s="316"/>
      <c r="DV67" s="316"/>
      <c r="DW67" s="138">
        <v>-260</v>
      </c>
      <c r="DX67" s="316"/>
      <c r="DY67" s="316"/>
      <c r="DZ67" s="316"/>
      <c r="EA67" s="316"/>
      <c r="EB67" s="138">
        <v>-260</v>
      </c>
      <c r="EC67" s="316"/>
      <c r="ED67" s="316"/>
      <c r="EE67" s="316"/>
      <c r="EF67" s="316"/>
      <c r="EG67" s="138">
        <v>-260</v>
      </c>
      <c r="EH67" s="316"/>
      <c r="EI67" s="316"/>
      <c r="EJ67" s="316"/>
      <c r="EK67" s="316"/>
      <c r="EL67" s="138">
        <v>-260</v>
      </c>
      <c r="EM67" s="316"/>
      <c r="EN67" s="316"/>
      <c r="EO67" s="316"/>
      <c r="EP67" s="316"/>
      <c r="EQ67" s="138">
        <v>-260</v>
      </c>
    </row>
    <row r="68" spans="1:149">
      <c r="A68" s="5"/>
      <c r="B68" s="173" t="s">
        <v>1246</v>
      </c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G68" s="5"/>
      <c r="AH68" s="5"/>
      <c r="AI68" s="5"/>
      <c r="AJ68" s="5"/>
      <c r="AK68" s="5"/>
      <c r="AL68" s="5"/>
      <c r="AM68" s="5"/>
      <c r="AN68" s="435"/>
      <c r="AO68" s="435"/>
      <c r="AP68" s="138"/>
      <c r="AQ68" s="435"/>
      <c r="AR68" s="435"/>
      <c r="AS68" s="435"/>
      <c r="AT68" s="435"/>
      <c r="AU68" s="138"/>
      <c r="AV68" s="435"/>
      <c r="AW68" s="435"/>
      <c r="AX68" s="435"/>
      <c r="AY68" s="435"/>
      <c r="AZ68" s="138"/>
      <c r="BA68" s="316"/>
      <c r="BB68" s="316"/>
      <c r="BC68" s="316"/>
      <c r="BD68" s="316"/>
      <c r="BE68" s="138">
        <v>0</v>
      </c>
      <c r="BF68" s="435">
        <v>0</v>
      </c>
      <c r="BG68" s="435">
        <f>BJ68</f>
        <v>-228</v>
      </c>
      <c r="BH68" s="435">
        <v>0</v>
      </c>
      <c r="BI68" s="435">
        <v>0</v>
      </c>
      <c r="BJ68" s="138">
        <f>-138-90</f>
        <v>-228</v>
      </c>
      <c r="BK68" s="435">
        <v>0</v>
      </c>
      <c r="BL68" s="435">
        <f t="shared" si="88"/>
        <v>-80</v>
      </c>
      <c r="BM68" s="435">
        <f t="shared" si="88"/>
        <v>0</v>
      </c>
      <c r="BN68" s="435">
        <f t="shared" si="88"/>
        <v>-65</v>
      </c>
      <c r="BO68" s="138">
        <v>-80</v>
      </c>
      <c r="BP68" s="435">
        <v>0</v>
      </c>
      <c r="BQ68" s="435">
        <f>BT68</f>
        <v>-65</v>
      </c>
      <c r="BR68" s="435">
        <v>0</v>
      </c>
      <c r="BS68" s="435">
        <v>0</v>
      </c>
      <c r="BT68" s="138">
        <v>-65</v>
      </c>
      <c r="BU68" s="435">
        <v>0</v>
      </c>
      <c r="BV68" s="435">
        <f>BY68</f>
        <v>-65</v>
      </c>
      <c r="BW68" s="435">
        <v>0</v>
      </c>
      <c r="BX68" s="435">
        <v>0</v>
      </c>
      <c r="BY68" s="138">
        <v>-65</v>
      </c>
      <c r="BZ68" s="435">
        <v>0</v>
      </c>
      <c r="CA68" s="435">
        <f>CD68</f>
        <v>-70</v>
      </c>
      <c r="CB68" s="435">
        <v>0</v>
      </c>
      <c r="CC68" s="435">
        <v>0</v>
      </c>
      <c r="CD68" s="138">
        <v>-70</v>
      </c>
      <c r="CE68" s="316"/>
      <c r="CF68" s="316"/>
      <c r="CG68" s="316"/>
      <c r="CH68" s="316"/>
      <c r="CI68" s="138">
        <v>-70</v>
      </c>
      <c r="CJ68" s="316"/>
      <c r="CK68" s="316"/>
      <c r="CL68" s="316"/>
      <c r="CM68" s="316"/>
      <c r="CN68" s="138">
        <v>-75</v>
      </c>
      <c r="CO68" s="316"/>
      <c r="CP68" s="316"/>
      <c r="CQ68" s="316"/>
      <c r="CR68" s="316"/>
      <c r="CS68" s="138">
        <v>-75</v>
      </c>
      <c r="CT68" s="316"/>
      <c r="CU68" s="316"/>
      <c r="CV68" s="316"/>
      <c r="CW68" s="316"/>
      <c r="CX68" s="138">
        <v>0</v>
      </c>
      <c r="CY68" s="316"/>
      <c r="CZ68" s="316"/>
      <c r="DA68" s="316"/>
      <c r="DB68" s="316"/>
      <c r="DC68" s="138">
        <v>0</v>
      </c>
      <c r="DD68" s="316"/>
      <c r="DE68" s="316"/>
      <c r="DF68" s="316"/>
      <c r="DG68" s="316"/>
      <c r="DH68" s="138">
        <v>0</v>
      </c>
      <c r="DI68" s="316"/>
      <c r="DJ68" s="316"/>
      <c r="DK68" s="316"/>
      <c r="DL68" s="316"/>
      <c r="DM68" s="138">
        <v>0</v>
      </c>
      <c r="DN68" s="316"/>
      <c r="DO68" s="316"/>
      <c r="DP68" s="316"/>
      <c r="DQ68" s="316"/>
      <c r="DR68" s="138">
        <v>0</v>
      </c>
      <c r="DS68" s="316"/>
      <c r="DT68" s="316"/>
      <c r="DU68" s="316"/>
      <c r="DV68" s="316"/>
      <c r="DW68" s="138">
        <v>0</v>
      </c>
      <c r="DX68" s="316"/>
      <c r="DY68" s="316"/>
      <c r="DZ68" s="316"/>
      <c r="EA68" s="316"/>
      <c r="EB68" s="138">
        <v>0</v>
      </c>
      <c r="EC68" s="316"/>
      <c r="ED68" s="316"/>
      <c r="EE68" s="316"/>
      <c r="EF68" s="316"/>
      <c r="EG68" s="138">
        <v>0</v>
      </c>
      <c r="EH68" s="316"/>
      <c r="EI68" s="316"/>
      <c r="EJ68" s="316"/>
      <c r="EK68" s="316"/>
      <c r="EL68" s="138">
        <v>0</v>
      </c>
      <c r="EM68" s="316"/>
      <c r="EN68" s="316"/>
      <c r="EO68" s="316"/>
      <c r="EP68" s="316"/>
      <c r="EQ68" s="138">
        <v>0</v>
      </c>
    </row>
    <row r="69" spans="1:149">
      <c r="A69" s="5"/>
      <c r="B69" s="173" t="s">
        <v>3621</v>
      </c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G69" s="5"/>
      <c r="AH69" s="5"/>
      <c r="AI69" s="5"/>
      <c r="AJ69" s="5"/>
      <c r="AK69" s="5"/>
      <c r="AL69" s="5"/>
      <c r="AM69" s="5"/>
      <c r="AN69" s="435"/>
      <c r="AO69" s="435"/>
      <c r="AP69" s="138"/>
      <c r="AQ69" s="435"/>
      <c r="AR69" s="435"/>
      <c r="AS69" s="435"/>
      <c r="AT69" s="435"/>
      <c r="AU69" s="138"/>
      <c r="AV69" s="435"/>
      <c r="AW69" s="435"/>
      <c r="AX69" s="435"/>
      <c r="AY69" s="435"/>
      <c r="AZ69" s="138"/>
      <c r="BA69" s="316"/>
      <c r="BB69" s="316"/>
      <c r="BC69" s="316"/>
      <c r="BD69" s="316"/>
      <c r="BE69" s="138">
        <v>0</v>
      </c>
      <c r="BF69" s="435">
        <f>BF71-SUM(BF64:BF68,BF70)</f>
        <v>-551.25</v>
      </c>
      <c r="BG69" s="435">
        <f>BG71-SUM(BG64:BG68,BG70)</f>
        <v>-439.25</v>
      </c>
      <c r="BH69" s="435">
        <f>BH71-SUM(BH64:BH68,BH70)</f>
        <v>-2282.25</v>
      </c>
      <c r="BI69" s="435">
        <f>BI71-SUM(BI64:BI68,BI70)</f>
        <v>-1999.25</v>
      </c>
      <c r="BJ69" s="138">
        <f>SUM(BF69:BI69)</f>
        <v>-5272</v>
      </c>
      <c r="BK69" s="435">
        <f>BK71-SUM(BK64:BK68,BK70)</f>
        <v>-1554</v>
      </c>
      <c r="BL69" s="435">
        <f>BL71-SUM(BL64:BL68,BL70)</f>
        <v>-1026.0344829999999</v>
      </c>
      <c r="BM69" s="435">
        <f>BM71-SUM(BM64:BM68,BM70)</f>
        <v>-564</v>
      </c>
      <c r="BN69" s="435">
        <f>BN71-SUM(BN64:BN68,BN70)</f>
        <v>96.655711999999994</v>
      </c>
      <c r="BO69" s="138">
        <f>BO71-SUM(BO64:BO68,BO70)</f>
        <v>-3597.0344830000004</v>
      </c>
      <c r="BP69" s="435">
        <f>BT69/4</f>
        <v>-312.5</v>
      </c>
      <c r="BQ69" s="435">
        <f>(BT69-BP69)/3</f>
        <v>-312.5</v>
      </c>
      <c r="BR69" s="435">
        <f>(BT69-SUM(BP69:BQ69))/2</f>
        <v>-312.5</v>
      </c>
      <c r="BS69" s="435">
        <f>BT69-SUM(BP69:BR69)</f>
        <v>-312.5</v>
      </c>
      <c r="BT69" s="660">
        <v>-1250</v>
      </c>
      <c r="BU69" s="435">
        <f>BY69/4</f>
        <v>-187.5</v>
      </c>
      <c r="BV69" s="435">
        <f>(BY69-BU69)/3</f>
        <v>-187.5</v>
      </c>
      <c r="BW69" s="435">
        <f>(BY69-SUM(BU69:BV69))/2</f>
        <v>-187.5</v>
      </c>
      <c r="BX69" s="435">
        <f>BY69-SUM(BU69:BW69)</f>
        <v>-187.5</v>
      </c>
      <c r="BY69" s="660">
        <v>-750</v>
      </c>
      <c r="BZ69" s="435">
        <f>CD69/4</f>
        <v>0</v>
      </c>
      <c r="CA69" s="435">
        <f>(CD69-BZ69)/3</f>
        <v>0</v>
      </c>
      <c r="CB69" s="435">
        <f>(CD69-SUM(BZ69:CA69))/2</f>
        <v>0</v>
      </c>
      <c r="CC69" s="435">
        <f>CD69-SUM(BZ69:CB69)</f>
        <v>0</v>
      </c>
      <c r="CD69" s="660">
        <v>0</v>
      </c>
      <c r="CE69" s="316"/>
      <c r="CF69" s="316"/>
      <c r="CG69" s="316"/>
      <c r="CH69" s="316"/>
      <c r="CI69" s="138">
        <v>0</v>
      </c>
      <c r="CJ69" s="316"/>
      <c r="CK69" s="316"/>
      <c r="CL69" s="316"/>
      <c r="CM69" s="316"/>
      <c r="CN69" s="138">
        <v>0</v>
      </c>
      <c r="CO69" s="316"/>
      <c r="CP69" s="316"/>
      <c r="CQ69" s="316"/>
      <c r="CR69" s="316"/>
      <c r="CS69" s="138">
        <v>0</v>
      </c>
      <c r="CT69" s="316"/>
      <c r="CU69" s="316"/>
      <c r="CV69" s="316"/>
      <c r="CW69" s="316"/>
      <c r="CX69" s="138">
        <v>0</v>
      </c>
      <c r="CY69" s="316"/>
      <c r="CZ69" s="316"/>
      <c r="DA69" s="316"/>
      <c r="DB69" s="316"/>
      <c r="DC69" s="138">
        <v>0</v>
      </c>
      <c r="DD69" s="316"/>
      <c r="DE69" s="316"/>
      <c r="DF69" s="316"/>
      <c r="DG69" s="316"/>
      <c r="DH69" s="138">
        <v>0</v>
      </c>
      <c r="DI69" s="316"/>
      <c r="DJ69" s="316"/>
      <c r="DK69" s="316"/>
      <c r="DL69" s="316"/>
      <c r="DM69" s="138">
        <v>0</v>
      </c>
      <c r="DN69" s="316"/>
      <c r="DO69" s="316"/>
      <c r="DP69" s="316"/>
      <c r="DQ69" s="316"/>
      <c r="DR69" s="138">
        <v>0</v>
      </c>
      <c r="DS69" s="316"/>
      <c r="DT69" s="316"/>
      <c r="DU69" s="316"/>
      <c r="DV69" s="316"/>
      <c r="DW69" s="138">
        <v>0</v>
      </c>
      <c r="DX69" s="316"/>
      <c r="DY69" s="316"/>
      <c r="DZ69" s="316"/>
      <c r="EA69" s="316"/>
      <c r="EB69" s="138">
        <v>0</v>
      </c>
      <c r="EC69" s="316"/>
      <c r="ED69" s="316"/>
      <c r="EE69" s="316"/>
      <c r="EF69" s="316"/>
      <c r="EG69" s="138">
        <v>0</v>
      </c>
      <c r="EH69" s="316"/>
      <c r="EI69" s="316"/>
      <c r="EJ69" s="316"/>
      <c r="EK69" s="316"/>
      <c r="EL69" s="138">
        <v>0</v>
      </c>
      <c r="EM69" s="316"/>
      <c r="EN69" s="316"/>
      <c r="EO69" s="316"/>
      <c r="EP69" s="316"/>
      <c r="EQ69" s="138">
        <v>0</v>
      </c>
    </row>
    <row r="70" spans="1:149">
      <c r="A70" s="5"/>
      <c r="B70" s="173" t="s">
        <v>3622</v>
      </c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G70" s="5"/>
      <c r="AH70" s="5"/>
      <c r="AI70" s="5"/>
      <c r="AJ70" s="5"/>
      <c r="AK70" s="5"/>
      <c r="AL70" s="5"/>
      <c r="AM70" s="5"/>
      <c r="AN70" s="435"/>
      <c r="AO70" s="435"/>
      <c r="AP70" s="138"/>
      <c r="AQ70" s="435"/>
      <c r="AR70" s="435"/>
      <c r="AS70" s="435"/>
      <c r="AT70" s="435"/>
      <c r="AU70" s="138"/>
      <c r="AV70" s="435"/>
      <c r="AW70" s="435"/>
      <c r="AX70" s="435"/>
      <c r="AY70" s="435"/>
      <c r="AZ70" s="138"/>
      <c r="BA70" s="316"/>
      <c r="BB70" s="316"/>
      <c r="BC70" s="316"/>
      <c r="BD70" s="316"/>
      <c r="BE70" s="138">
        <v>0</v>
      </c>
      <c r="BF70" s="435">
        <f>BJ70/4</f>
        <v>-43.75</v>
      </c>
      <c r="BG70" s="435">
        <f>BJ70/4</f>
        <v>-43.75</v>
      </c>
      <c r="BH70" s="435">
        <f>BJ70/4</f>
        <v>-43.75</v>
      </c>
      <c r="BI70" s="435">
        <f>BJ70/4</f>
        <v>-43.75</v>
      </c>
      <c r="BJ70" s="660">
        <v>-175</v>
      </c>
      <c r="BK70" s="435">
        <f>BO70/4</f>
        <v>0</v>
      </c>
      <c r="BL70" s="435">
        <f>BO70/4</f>
        <v>0</v>
      </c>
      <c r="BM70" s="435">
        <f>BO70/4</f>
        <v>0</v>
      </c>
      <c r="BN70" s="435">
        <f>BO70/4</f>
        <v>0</v>
      </c>
      <c r="BO70" s="660">
        <v>0</v>
      </c>
      <c r="BP70" s="435">
        <f>$BT$70/4</f>
        <v>0</v>
      </c>
      <c r="BQ70" s="435">
        <f>$BT$70/4</f>
        <v>0</v>
      </c>
      <c r="BR70" s="435">
        <f>$BT$70/4</f>
        <v>0</v>
      </c>
      <c r="BS70" s="435">
        <f>$BT$70/4</f>
        <v>0</v>
      </c>
      <c r="BT70" s="660">
        <v>0</v>
      </c>
      <c r="BU70" s="435">
        <f>$BY$70/4</f>
        <v>0</v>
      </c>
      <c r="BV70" s="435">
        <f>$BY$70/4</f>
        <v>0</v>
      </c>
      <c r="BW70" s="435">
        <f>$BY$70/4</f>
        <v>0</v>
      </c>
      <c r="BX70" s="435">
        <f>$BY$70/4</f>
        <v>0</v>
      </c>
      <c r="BY70" s="660">
        <v>0</v>
      </c>
      <c r="BZ70" s="435">
        <f>$CD$70/4</f>
        <v>0</v>
      </c>
      <c r="CA70" s="435">
        <f>$CD$70/4</f>
        <v>0</v>
      </c>
      <c r="CB70" s="435">
        <f>$CD$70/4</f>
        <v>0</v>
      </c>
      <c r="CC70" s="435">
        <f>$CD$70/4</f>
        <v>0</v>
      </c>
      <c r="CD70" s="660">
        <v>0</v>
      </c>
      <c r="CE70" s="316"/>
      <c r="CF70" s="316"/>
      <c r="CG70" s="316"/>
      <c r="CH70" s="316"/>
      <c r="CI70" s="5">
        <v>0</v>
      </c>
      <c r="CJ70" s="316"/>
      <c r="CK70" s="316"/>
      <c r="CL70" s="316"/>
      <c r="CM70" s="316"/>
      <c r="CN70" s="5">
        <v>0</v>
      </c>
      <c r="CO70" s="316"/>
      <c r="CP70" s="316"/>
      <c r="CQ70" s="316"/>
      <c r="CR70" s="316"/>
      <c r="CS70" s="5">
        <v>0</v>
      </c>
      <c r="CT70" s="316"/>
      <c r="CU70" s="316"/>
      <c r="CV70" s="316"/>
      <c r="CW70" s="316"/>
      <c r="CX70" s="5">
        <v>0</v>
      </c>
      <c r="CY70" s="316"/>
      <c r="CZ70" s="316"/>
      <c r="DA70" s="316"/>
      <c r="DB70" s="316"/>
      <c r="DC70" s="5">
        <v>0</v>
      </c>
      <c r="DD70" s="316"/>
      <c r="DE70" s="316"/>
      <c r="DF70" s="316"/>
      <c r="DG70" s="316"/>
      <c r="DH70" s="5">
        <v>0</v>
      </c>
      <c r="DI70" s="316"/>
      <c r="DJ70" s="316"/>
      <c r="DK70" s="316"/>
      <c r="DL70" s="316"/>
      <c r="DM70" s="5">
        <v>0</v>
      </c>
      <c r="DN70" s="316"/>
      <c r="DO70" s="316"/>
      <c r="DP70" s="316"/>
      <c r="DQ70" s="316"/>
      <c r="DR70" s="5">
        <v>0</v>
      </c>
      <c r="DS70" s="316"/>
      <c r="DT70" s="316"/>
      <c r="DU70" s="316"/>
      <c r="DV70" s="316"/>
      <c r="DW70" s="5">
        <v>0</v>
      </c>
      <c r="DX70" s="316"/>
      <c r="DY70" s="316"/>
      <c r="DZ70" s="316"/>
      <c r="EA70" s="316"/>
      <c r="EB70" s="5">
        <v>0</v>
      </c>
      <c r="EC70" s="316"/>
      <c r="ED70" s="316"/>
      <c r="EE70" s="316"/>
      <c r="EF70" s="316"/>
      <c r="EG70" s="5">
        <v>0</v>
      </c>
      <c r="EH70" s="316"/>
      <c r="EI70" s="316"/>
      <c r="EJ70" s="316"/>
      <c r="EK70" s="316"/>
      <c r="EL70" s="5">
        <v>0</v>
      </c>
      <c r="EM70" s="316"/>
      <c r="EN70" s="316"/>
      <c r="EO70" s="316"/>
      <c r="EP70" s="316"/>
      <c r="EQ70" s="5">
        <v>0</v>
      </c>
    </row>
    <row r="71" spans="1:149">
      <c r="A71" s="5"/>
      <c r="B71" s="8" t="s">
        <v>3644</v>
      </c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G71" s="5"/>
      <c r="AH71" s="5"/>
      <c r="AI71" s="5"/>
      <c r="AJ71" s="5"/>
      <c r="AK71" s="5"/>
      <c r="AL71" s="5"/>
      <c r="AM71" s="5"/>
      <c r="AN71" s="435"/>
      <c r="AO71" s="435"/>
      <c r="AP71" s="138"/>
      <c r="AQ71" s="435"/>
      <c r="AR71" s="435"/>
      <c r="AS71" s="435"/>
      <c r="AT71" s="435"/>
      <c r="AU71" s="138"/>
      <c r="AV71" s="435"/>
      <c r="AW71" s="435"/>
      <c r="AX71" s="435"/>
      <c r="AY71" s="435"/>
      <c r="AZ71" s="138"/>
      <c r="BA71" s="180">
        <f>BE71/4</f>
        <v>-192.5</v>
      </c>
      <c r="BB71" s="180">
        <f>BE71/4</f>
        <v>-192.5</v>
      </c>
      <c r="BC71" s="180">
        <f>BE71/4</f>
        <v>-192.5</v>
      </c>
      <c r="BD71" s="180">
        <f>BE71/4</f>
        <v>-192.5</v>
      </c>
      <c r="BE71" s="179">
        <f>SUM(BE64:BE70)</f>
        <v>-770</v>
      </c>
      <c r="BF71" s="180">
        <f t="shared" ref="BF71:BI71" si="89">BF94</f>
        <v>-1125</v>
      </c>
      <c r="BG71" s="180">
        <f t="shared" si="89"/>
        <v>-1611</v>
      </c>
      <c r="BH71" s="180">
        <f t="shared" si="89"/>
        <v>-2326</v>
      </c>
      <c r="BI71" s="180">
        <f t="shared" si="89"/>
        <v>-2043</v>
      </c>
      <c r="BJ71" s="179">
        <f t="shared" ref="BJ71:BO71" si="90">BJ94</f>
        <v>-7105</v>
      </c>
      <c r="BK71" s="180">
        <f t="shared" si="90"/>
        <v>-2294</v>
      </c>
      <c r="BL71" s="180">
        <f t="shared" si="90"/>
        <v>-2025</v>
      </c>
      <c r="BM71" s="180">
        <f t="shared" si="90"/>
        <v>-564</v>
      </c>
      <c r="BN71" s="180">
        <f t="shared" si="90"/>
        <v>-453</v>
      </c>
      <c r="BO71" s="179">
        <f t="shared" si="90"/>
        <v>-5336</v>
      </c>
      <c r="BP71" s="180">
        <f>SUM(BP64:BP70)</f>
        <v>-1521.5</v>
      </c>
      <c r="BQ71" s="180">
        <f>SUM(BQ64:BQ70)</f>
        <v>-862.15571199999999</v>
      </c>
      <c r="BR71" s="180">
        <f>SUM(BR64:BR70)</f>
        <v>-312.5</v>
      </c>
      <c r="BS71" s="180">
        <f>SUM(BS64:BS70)</f>
        <v>-312.5</v>
      </c>
      <c r="BT71" s="179">
        <f t="shared" ref="BT71:BX71" si="91">SUM(BT64:BT70)</f>
        <v>-3008.6557119999998</v>
      </c>
      <c r="BU71" s="180">
        <f t="shared" si="91"/>
        <v>-187.5</v>
      </c>
      <c r="BV71" s="180">
        <f t="shared" si="91"/>
        <v>-1381.8103449999999</v>
      </c>
      <c r="BW71" s="180">
        <f t="shared" si="91"/>
        <v>-187.5</v>
      </c>
      <c r="BX71" s="180">
        <f t="shared" si="91"/>
        <v>-187.5</v>
      </c>
      <c r="BY71" s="179">
        <f t="shared" ref="BY71:CD71" si="92">SUM(BY64:BY70)</f>
        <v>-1944.3103449999999</v>
      </c>
      <c r="BZ71" s="180">
        <f t="shared" si="92"/>
        <v>0</v>
      </c>
      <c r="CA71" s="180">
        <f t="shared" si="92"/>
        <v>-1199.3103449999999</v>
      </c>
      <c r="CB71" s="180">
        <f t="shared" si="92"/>
        <v>0</v>
      </c>
      <c r="CC71" s="180">
        <f t="shared" si="92"/>
        <v>0</v>
      </c>
      <c r="CD71" s="179">
        <f t="shared" si="92"/>
        <v>-1199.3103449999999</v>
      </c>
      <c r="CE71" s="180">
        <f t="shared" ref="CE71" si="93">CI71/4</f>
        <v>-299.74137925000002</v>
      </c>
      <c r="CF71" s="180">
        <f t="shared" ref="CF71" si="94">CI71/4</f>
        <v>-299.74137925000002</v>
      </c>
      <c r="CG71" s="180">
        <f t="shared" ref="CG71" si="95">CI71/4</f>
        <v>-299.74137925000002</v>
      </c>
      <c r="CH71" s="180">
        <f t="shared" ref="CH71" si="96">CI71/4</f>
        <v>-299.74137925000002</v>
      </c>
      <c r="CI71" s="179">
        <f t="shared" ref="CI71" si="97">SUM(CI64:CI70)</f>
        <v>-1198.9655170000001</v>
      </c>
      <c r="CJ71" s="180">
        <f t="shared" ref="CJ71" si="98">CN71/4</f>
        <v>-300.99137925000002</v>
      </c>
      <c r="CK71" s="180">
        <f t="shared" ref="CK71" si="99">CN71/4</f>
        <v>-300.99137925000002</v>
      </c>
      <c r="CL71" s="180">
        <f t="shared" ref="CL71" si="100">CN71/4</f>
        <v>-300.99137925000002</v>
      </c>
      <c r="CM71" s="180">
        <f t="shared" ref="CM71" si="101">CN71/4</f>
        <v>-300.99137925000002</v>
      </c>
      <c r="CN71" s="179">
        <f t="shared" ref="CN71" si="102">SUM(CN64:CN70)</f>
        <v>-1203.9655170000001</v>
      </c>
      <c r="CO71" s="180">
        <f t="shared" ref="CO71" si="103">CS71/4</f>
        <v>-300.99137925000002</v>
      </c>
      <c r="CP71" s="180">
        <f t="shared" ref="CP71" si="104">CS71/4</f>
        <v>-300.99137925000002</v>
      </c>
      <c r="CQ71" s="180">
        <f t="shared" ref="CQ71" si="105">CS71/4</f>
        <v>-300.99137925000002</v>
      </c>
      <c r="CR71" s="180">
        <f t="shared" ref="CR71" si="106">CS71/4</f>
        <v>-300.99137925000002</v>
      </c>
      <c r="CS71" s="179">
        <f t="shared" ref="CS71" si="107">SUM(CS64:CS70)</f>
        <v>-1203.9655170000001</v>
      </c>
      <c r="CT71" s="180">
        <f t="shared" ref="CT71" si="108">CX71/4</f>
        <v>-282.24137925000002</v>
      </c>
      <c r="CU71" s="180">
        <f t="shared" ref="CU71" si="109">CX71/4</f>
        <v>-282.24137925000002</v>
      </c>
      <c r="CV71" s="180">
        <f t="shared" ref="CV71" si="110">CX71/4</f>
        <v>-282.24137925000002</v>
      </c>
      <c r="CW71" s="180">
        <f t="shared" ref="CW71" si="111">CX71/4</f>
        <v>-282.24137925000002</v>
      </c>
      <c r="CX71" s="179">
        <f t="shared" ref="CX71" si="112">SUM(CX64:CX70)</f>
        <v>-1128.9655170000001</v>
      </c>
      <c r="CY71" s="180">
        <f t="shared" ref="CY71" si="113">DC71/4</f>
        <v>-282.24137925000002</v>
      </c>
      <c r="CZ71" s="180">
        <f t="shared" ref="CZ71" si="114">DC71/4</f>
        <v>-282.24137925000002</v>
      </c>
      <c r="DA71" s="180">
        <f t="shared" ref="DA71" si="115">DC71/4</f>
        <v>-282.24137925000002</v>
      </c>
      <c r="DB71" s="180">
        <f t="shared" ref="DB71" si="116">DC71/4</f>
        <v>-282.24137925000002</v>
      </c>
      <c r="DC71" s="179">
        <f t="shared" ref="DC71" si="117">SUM(DC64:DC70)</f>
        <v>-1128.9655170000001</v>
      </c>
      <c r="DD71" s="180">
        <f t="shared" ref="DD71" si="118">DH71/4</f>
        <v>-282.24137925000002</v>
      </c>
      <c r="DE71" s="180">
        <f t="shared" ref="DE71" si="119">DH71/4</f>
        <v>-282.24137925000002</v>
      </c>
      <c r="DF71" s="180">
        <f t="shared" ref="DF71" si="120">DH71/4</f>
        <v>-282.24137925000002</v>
      </c>
      <c r="DG71" s="180">
        <f t="shared" ref="DG71" si="121">DH71/4</f>
        <v>-282.24137925000002</v>
      </c>
      <c r="DH71" s="179">
        <f t="shared" ref="DH71" si="122">SUM(DH64:DH70)</f>
        <v>-1128.9655170000001</v>
      </c>
      <c r="DI71" s="180">
        <f t="shared" ref="DI71" si="123">DM71/4</f>
        <v>-282.24137925000002</v>
      </c>
      <c r="DJ71" s="180">
        <f t="shared" ref="DJ71" si="124">DM71/4</f>
        <v>-282.24137925000002</v>
      </c>
      <c r="DK71" s="180">
        <f t="shared" ref="DK71" si="125">DM71/4</f>
        <v>-282.24137925000002</v>
      </c>
      <c r="DL71" s="180">
        <f t="shared" ref="DL71" si="126">DM71/4</f>
        <v>-282.24137925000002</v>
      </c>
      <c r="DM71" s="179">
        <f t="shared" ref="DM71" si="127">SUM(DM64:DM70)</f>
        <v>-1128.9655170000001</v>
      </c>
      <c r="DN71" s="180">
        <f t="shared" ref="DN71" si="128">DR71/4</f>
        <v>-282.24137925000002</v>
      </c>
      <c r="DO71" s="180">
        <f t="shared" ref="DO71" si="129">DR71/4</f>
        <v>-282.24137925000002</v>
      </c>
      <c r="DP71" s="180">
        <f t="shared" ref="DP71" si="130">DR71/4</f>
        <v>-282.24137925000002</v>
      </c>
      <c r="DQ71" s="180">
        <f t="shared" ref="DQ71" si="131">DR71/4</f>
        <v>-282.24137925000002</v>
      </c>
      <c r="DR71" s="179">
        <f t="shared" ref="DR71" si="132">SUM(DR64:DR70)</f>
        <v>-1128.9655170000001</v>
      </c>
      <c r="DS71" s="180">
        <f t="shared" ref="DS71" si="133">DW71/4</f>
        <v>-282.24137925000002</v>
      </c>
      <c r="DT71" s="180">
        <f t="shared" ref="DT71" si="134">DW71/4</f>
        <v>-282.24137925000002</v>
      </c>
      <c r="DU71" s="180">
        <f t="shared" ref="DU71" si="135">DW71/4</f>
        <v>-282.24137925000002</v>
      </c>
      <c r="DV71" s="180">
        <f t="shared" ref="DV71" si="136">DW71/4</f>
        <v>-282.24137925000002</v>
      </c>
      <c r="DW71" s="179">
        <f t="shared" ref="DW71" si="137">SUM(DW64:DW70)</f>
        <v>-1128.9655170000001</v>
      </c>
      <c r="DX71" s="180">
        <f t="shared" ref="DX71" si="138">EB71/4</f>
        <v>-282.24137925000002</v>
      </c>
      <c r="DY71" s="180">
        <f t="shared" ref="DY71" si="139">EB71/4</f>
        <v>-282.24137925000002</v>
      </c>
      <c r="DZ71" s="180">
        <f t="shared" ref="DZ71" si="140">EB71/4</f>
        <v>-282.24137925000002</v>
      </c>
      <c r="EA71" s="180">
        <f t="shared" ref="EA71" si="141">EB71/4</f>
        <v>-282.24137925000002</v>
      </c>
      <c r="EB71" s="179">
        <f t="shared" ref="EB71" si="142">SUM(EB64:EB70)</f>
        <v>-1128.9655170000001</v>
      </c>
      <c r="EC71" s="180">
        <f t="shared" ref="EC71" si="143">EG71/4</f>
        <v>-282.24137874999997</v>
      </c>
      <c r="ED71" s="180">
        <f t="shared" ref="ED71" si="144">EG71/4</f>
        <v>-282.24137874999997</v>
      </c>
      <c r="EE71" s="180">
        <f t="shared" ref="EE71" si="145">EG71/4</f>
        <v>-282.24137874999997</v>
      </c>
      <c r="EF71" s="180">
        <f t="shared" ref="EF71" si="146">EG71/4</f>
        <v>-282.24137874999997</v>
      </c>
      <c r="EG71" s="179">
        <f t="shared" ref="EG71" si="147">SUM(EG64:EG70)</f>
        <v>-1128.9655149999999</v>
      </c>
      <c r="EH71" s="180">
        <f t="shared" ref="EH71" si="148">EL71/4</f>
        <v>-123</v>
      </c>
      <c r="EI71" s="180">
        <f t="shared" ref="EI71" si="149">EL71/4</f>
        <v>-123</v>
      </c>
      <c r="EJ71" s="180">
        <f t="shared" ref="EJ71" si="150">EL71/4</f>
        <v>-123</v>
      </c>
      <c r="EK71" s="180">
        <f t="shared" ref="EK71" si="151">EL71/4</f>
        <v>-123</v>
      </c>
      <c r="EL71" s="179">
        <f t="shared" ref="EL71" si="152">SUM(EL64:EL70)</f>
        <v>-492</v>
      </c>
      <c r="EM71" s="180">
        <f t="shared" ref="EM71" si="153">EQ71/4</f>
        <v>-65</v>
      </c>
      <c r="EN71" s="180">
        <f t="shared" ref="EN71" si="154">EQ71/4</f>
        <v>-65</v>
      </c>
      <c r="EO71" s="180">
        <f t="shared" ref="EO71" si="155">EQ71/4</f>
        <v>-65</v>
      </c>
      <c r="EP71" s="180">
        <f t="shared" ref="EP71" si="156">EQ71/4</f>
        <v>-65</v>
      </c>
      <c r="EQ71" s="179">
        <f t="shared" ref="EQ71" si="157">SUM(EQ64:EQ70)</f>
        <v>-260</v>
      </c>
    </row>
    <row r="72" spans="1:149" s="632" customFormat="1">
      <c r="A72" s="603"/>
      <c r="B72" s="700"/>
      <c r="C72" s="603"/>
      <c r="D72" s="603"/>
      <c r="E72" s="603"/>
      <c r="F72" s="603"/>
      <c r="G72" s="603"/>
      <c r="H72" s="603"/>
      <c r="I72" s="603"/>
      <c r="J72" s="603"/>
      <c r="K72" s="603"/>
      <c r="L72" s="603"/>
      <c r="M72" s="603"/>
      <c r="N72" s="603"/>
      <c r="O72" s="603"/>
      <c r="P72" s="603"/>
      <c r="Q72" s="603"/>
      <c r="R72" s="603"/>
      <c r="S72" s="603"/>
      <c r="T72" s="603"/>
      <c r="U72" s="603"/>
      <c r="V72" s="603"/>
      <c r="W72" s="603"/>
      <c r="X72" s="603"/>
      <c r="Y72" s="603"/>
      <c r="Z72" s="603"/>
      <c r="AA72" s="603"/>
      <c r="AB72" s="603"/>
      <c r="AC72" s="603"/>
      <c r="AD72" s="603"/>
      <c r="AE72" s="603"/>
      <c r="AG72" s="603"/>
      <c r="AH72" s="603"/>
      <c r="AI72" s="603"/>
      <c r="AJ72" s="603"/>
      <c r="AK72" s="603"/>
      <c r="AL72" s="603"/>
      <c r="AM72" s="603"/>
      <c r="AN72" s="701"/>
      <c r="AO72" s="701"/>
      <c r="AP72" s="542"/>
      <c r="AQ72" s="701"/>
      <c r="AR72" s="701"/>
      <c r="AS72" s="701"/>
      <c r="AT72" s="701"/>
      <c r="AU72" s="542"/>
      <c r="AV72" s="701"/>
      <c r="AW72" s="701"/>
      <c r="AX72" s="701"/>
      <c r="AY72" s="701"/>
      <c r="AZ72" s="542"/>
      <c r="BA72" s="702"/>
      <c r="BB72" s="702"/>
      <c r="BC72" s="702"/>
      <c r="BD72" s="702"/>
      <c r="BE72" s="702"/>
      <c r="BF72" s="702"/>
      <c r="BG72" s="702"/>
      <c r="BH72" s="702"/>
      <c r="BI72" s="702"/>
      <c r="BJ72" s="702"/>
      <c r="BK72" s="702"/>
      <c r="BL72" s="702"/>
      <c r="BM72" s="702"/>
      <c r="BN72" s="702"/>
      <c r="BO72" s="702"/>
      <c r="BP72" s="702"/>
      <c r="BQ72" s="702"/>
      <c r="BR72" s="702"/>
      <c r="BS72" s="702"/>
      <c r="BT72" s="702"/>
      <c r="BU72" s="702"/>
      <c r="BV72" s="702"/>
      <c r="BW72" s="702"/>
      <c r="BX72" s="702"/>
      <c r="BY72" s="702"/>
      <c r="BZ72" s="702"/>
      <c r="CA72" s="702"/>
      <c r="CB72" s="702"/>
      <c r="CC72" s="702"/>
      <c r="CD72" s="702"/>
      <c r="CE72" s="702"/>
      <c r="CF72" s="702"/>
      <c r="CG72" s="702"/>
      <c r="CH72" s="702"/>
      <c r="CI72" s="702"/>
      <c r="CJ72" s="702"/>
      <c r="CK72" s="702"/>
      <c r="CL72" s="702"/>
      <c r="CM72" s="702"/>
      <c r="CN72" s="702"/>
      <c r="CO72" s="702"/>
      <c r="CP72" s="702"/>
      <c r="CQ72" s="702"/>
      <c r="CR72" s="702"/>
      <c r="CS72" s="702"/>
      <c r="CT72" s="702"/>
      <c r="CU72" s="702"/>
      <c r="CV72" s="702"/>
      <c r="CW72" s="702"/>
      <c r="CX72" s="702"/>
      <c r="CY72" s="702"/>
      <c r="CZ72" s="702"/>
      <c r="DA72" s="702"/>
      <c r="DB72" s="702"/>
      <c r="DC72" s="702"/>
      <c r="DD72" s="702"/>
      <c r="DE72" s="702"/>
      <c r="DF72" s="702"/>
      <c r="DG72" s="702"/>
      <c r="DH72" s="702"/>
      <c r="DI72" s="702"/>
      <c r="DJ72" s="702"/>
      <c r="DK72" s="702"/>
      <c r="DL72" s="702"/>
      <c r="DM72" s="702"/>
      <c r="DN72" s="702"/>
      <c r="DO72" s="702"/>
      <c r="DP72" s="702"/>
      <c r="DQ72" s="702"/>
      <c r="DR72" s="702"/>
      <c r="DS72" s="702"/>
      <c r="DT72" s="702"/>
      <c r="DU72" s="702"/>
      <c r="DV72" s="702"/>
      <c r="DW72" s="702"/>
      <c r="DX72" s="702"/>
      <c r="DY72" s="702"/>
      <c r="DZ72" s="702"/>
      <c r="EA72" s="702"/>
      <c r="EB72" s="702"/>
      <c r="EC72" s="702"/>
      <c r="ED72" s="702"/>
      <c r="EE72" s="702"/>
      <c r="EF72" s="702"/>
      <c r="EG72" s="702"/>
      <c r="EH72" s="702"/>
      <c r="EI72" s="702"/>
      <c r="EJ72" s="702"/>
      <c r="EK72" s="702"/>
      <c r="EL72" s="702"/>
      <c r="EM72" s="702"/>
      <c r="EN72" s="702"/>
      <c r="EO72" s="702"/>
      <c r="EP72" s="702"/>
      <c r="EQ72" s="702"/>
    </row>
    <row r="73" spans="1:149" s="632" customFormat="1">
      <c r="A73" s="603"/>
      <c r="B73" s="603"/>
      <c r="C73" s="603"/>
      <c r="D73" s="603"/>
      <c r="E73" s="603"/>
      <c r="F73" s="603"/>
      <c r="G73" s="603"/>
      <c r="H73" s="603"/>
      <c r="I73" s="603"/>
      <c r="J73" s="603"/>
      <c r="K73" s="603"/>
      <c r="L73" s="603"/>
      <c r="M73" s="603"/>
      <c r="N73" s="603"/>
      <c r="O73" s="603"/>
      <c r="P73" s="603"/>
      <c r="Q73" s="603"/>
      <c r="R73" s="603"/>
      <c r="S73" s="603"/>
      <c r="T73" s="603"/>
      <c r="U73" s="603"/>
      <c r="V73" s="603"/>
      <c r="W73" s="603"/>
      <c r="X73" s="603"/>
      <c r="Y73" s="603"/>
      <c r="Z73" s="603"/>
      <c r="AA73" s="603"/>
      <c r="AB73" s="603"/>
      <c r="AC73" s="603"/>
      <c r="AD73" s="603"/>
      <c r="AE73" s="603"/>
      <c r="AG73" s="603"/>
      <c r="AH73" s="603"/>
      <c r="AI73" s="603"/>
      <c r="AJ73" s="603"/>
      <c r="AK73" s="603"/>
      <c r="AL73" s="603"/>
      <c r="AM73" s="603"/>
      <c r="AN73" s="701"/>
      <c r="AO73" s="701"/>
      <c r="AP73" s="542"/>
      <c r="AQ73" s="701"/>
      <c r="AR73" s="701"/>
      <c r="AS73" s="701"/>
      <c r="AT73" s="701"/>
      <c r="AU73" s="542"/>
      <c r="AV73" s="701"/>
      <c r="AW73" s="701"/>
      <c r="AX73" s="701"/>
      <c r="AY73" s="701"/>
      <c r="AZ73" s="542"/>
      <c r="BA73" s="701"/>
      <c r="BB73" s="701"/>
      <c r="BC73" s="701"/>
      <c r="BD73" s="701"/>
      <c r="BE73" s="703"/>
      <c r="BF73" s="701"/>
      <c r="BG73" s="701"/>
      <c r="BH73" s="701"/>
      <c r="BI73" s="701"/>
      <c r="BJ73" s="701"/>
      <c r="BK73" s="701"/>
      <c r="BL73" s="701"/>
      <c r="BM73" s="701"/>
      <c r="BN73" s="701"/>
      <c r="BO73" s="701"/>
      <c r="BP73" s="701"/>
      <c r="BQ73" s="701"/>
      <c r="BR73" s="701"/>
      <c r="BS73" s="701"/>
      <c r="BT73" s="701"/>
      <c r="BU73" s="701"/>
      <c r="BV73" s="701"/>
      <c r="BW73" s="701"/>
      <c r="BX73" s="701"/>
      <c r="BY73" s="701"/>
      <c r="BZ73" s="701"/>
      <c r="CA73" s="701"/>
      <c r="CB73" s="701"/>
      <c r="CC73" s="701"/>
      <c r="CD73" s="701"/>
      <c r="CE73" s="701"/>
      <c r="CF73" s="701"/>
      <c r="CG73" s="701"/>
      <c r="CH73" s="701"/>
      <c r="CI73" s="701"/>
      <c r="CJ73" s="701"/>
      <c r="CK73" s="701"/>
      <c r="CL73" s="701"/>
      <c r="CM73" s="701"/>
      <c r="CN73" s="701"/>
      <c r="CO73" s="701"/>
      <c r="CP73" s="701"/>
      <c r="CQ73" s="701"/>
      <c r="CR73" s="701"/>
      <c r="CS73" s="701"/>
      <c r="CT73" s="701"/>
      <c r="CU73" s="701"/>
      <c r="CV73" s="701"/>
      <c r="CW73" s="701"/>
      <c r="CX73" s="701"/>
      <c r="CY73" s="701"/>
      <c r="CZ73" s="701"/>
      <c r="DA73" s="701"/>
      <c r="DB73" s="701"/>
      <c r="DC73" s="701"/>
      <c r="DD73" s="701"/>
      <c r="DE73" s="701"/>
      <c r="DF73" s="701"/>
      <c r="DG73" s="701"/>
      <c r="DH73" s="701"/>
      <c r="DI73" s="701"/>
      <c r="DJ73" s="701"/>
      <c r="DK73" s="701"/>
      <c r="DL73" s="701"/>
      <c r="DM73" s="701"/>
      <c r="DN73" s="701"/>
      <c r="DO73" s="701"/>
      <c r="DP73" s="701"/>
      <c r="DQ73" s="701"/>
      <c r="DR73" s="701"/>
      <c r="DS73" s="701"/>
      <c r="DT73" s="701"/>
      <c r="DU73" s="701"/>
      <c r="DV73" s="701"/>
      <c r="DW73" s="701"/>
      <c r="DX73" s="701"/>
      <c r="DY73" s="701"/>
      <c r="DZ73" s="701"/>
      <c r="EA73" s="701"/>
      <c r="EB73" s="701"/>
      <c r="EC73" s="701"/>
      <c r="ED73" s="701"/>
      <c r="EE73" s="701"/>
      <c r="EF73" s="701"/>
      <c r="EG73" s="701"/>
      <c r="EH73" s="701"/>
      <c r="EI73" s="701"/>
      <c r="EJ73" s="701"/>
      <c r="EK73" s="701"/>
      <c r="EL73" s="701"/>
      <c r="EM73" s="701"/>
      <c r="EN73" s="701"/>
      <c r="EO73" s="701"/>
      <c r="EP73" s="701"/>
      <c r="EQ73" s="701"/>
    </row>
    <row r="74" spans="1:149">
      <c r="A74" s="5"/>
      <c r="B74" s="5" t="s">
        <v>231</v>
      </c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G74" s="5"/>
      <c r="AH74" s="5"/>
      <c r="AI74" s="5"/>
      <c r="AJ74" s="5"/>
      <c r="AK74" s="5"/>
      <c r="AL74" s="5"/>
      <c r="AM74" s="5"/>
      <c r="AN74" s="435"/>
      <c r="AO74" s="435"/>
      <c r="AP74" s="138"/>
      <c r="AQ74" s="435"/>
      <c r="AR74" s="435"/>
      <c r="AS74" s="435"/>
      <c r="AT74" s="435"/>
      <c r="AU74" s="138"/>
      <c r="AV74" s="435"/>
      <c r="AW74" s="435"/>
      <c r="AX74" s="435"/>
      <c r="AY74" s="435"/>
      <c r="AZ74" s="138"/>
      <c r="BA74" s="658">
        <f t="shared" ref="BA74:BC74" si="158">BB74</f>
        <v>0</v>
      </c>
      <c r="BB74" s="658">
        <f t="shared" si="158"/>
        <v>0</v>
      </c>
      <c r="BC74" s="658">
        <f t="shared" si="158"/>
        <v>0</v>
      </c>
      <c r="BD74" s="658">
        <f>BE74</f>
        <v>0</v>
      </c>
      <c r="BE74" s="5"/>
      <c r="BF74" s="658">
        <f>(1+BJ74)^(1/4)-1</f>
        <v>1.7623357829599229E-3</v>
      </c>
      <c r="BG74" s="658">
        <f>(1+BJ74)^(1/4)-1</f>
        <v>1.7623357829599229E-3</v>
      </c>
      <c r="BH74" s="658">
        <f>(1+BJ74)^(1/4)-1</f>
        <v>1.7623357829599229E-3</v>
      </c>
      <c r="BI74" s="658">
        <f>(1+BJ74)^(1/4)-1</f>
        <v>1.7623357829599229E-3</v>
      </c>
      <c r="BJ74" s="507">
        <v>7.0679999999999996E-3</v>
      </c>
      <c r="BK74" s="658">
        <f>(1+BO74)^(1/4)-1</f>
        <v>3.1798011202954779E-3</v>
      </c>
      <c r="BL74" s="658">
        <f>(1+BO74)^(1/4)-1</f>
        <v>3.1798011202954779E-3</v>
      </c>
      <c r="BM74" s="658">
        <f>(1+BP74)^(1/4)-1</f>
        <v>1.118689819413099E-3</v>
      </c>
      <c r="BN74" s="658">
        <f>(1+BQ74)^(1/4)-1</f>
        <v>1.118689819413099E-3</v>
      </c>
      <c r="BO74" s="507">
        <v>1.278E-2</v>
      </c>
      <c r="BP74" s="658">
        <f>(1+BT74)^(1/4)-1</f>
        <v>4.4822736807044183E-3</v>
      </c>
      <c r="BQ74" s="658">
        <f>(1+BT74)^(1/4)-1</f>
        <v>4.4822736807044183E-3</v>
      </c>
      <c r="BR74" s="658">
        <f>(1+BT74)^(1/4)-1</f>
        <v>4.4822736807044183E-3</v>
      </c>
      <c r="BS74" s="658">
        <f>(1+BT74)^(1/4)-1</f>
        <v>4.4822736807044183E-3</v>
      </c>
      <c r="BT74" s="507">
        <v>1.805E-2</v>
      </c>
      <c r="BU74" s="658">
        <f>(1+BY74)^(1/4)-1</f>
        <v>5.5117630269929663E-3</v>
      </c>
      <c r="BV74" s="658">
        <f>(1+BY74)^(1/4)-1</f>
        <v>5.5117630269929663E-3</v>
      </c>
      <c r="BW74" s="658">
        <f>(1+BY74)^(1/4)-1</f>
        <v>5.5117630269929663E-3</v>
      </c>
      <c r="BX74" s="658">
        <f>(1+BY74)^(1/4)-1</f>
        <v>5.5117630269929663E-3</v>
      </c>
      <c r="BY74" s="507">
        <v>2.223E-2</v>
      </c>
      <c r="BZ74" s="658">
        <f>(1+CD74)^(1/4)-1</f>
        <v>6.4351169923335672E-3</v>
      </c>
      <c r="CA74" s="658">
        <f>(1+CD74)^(1/4)-1</f>
        <v>6.4351169923335672E-3</v>
      </c>
      <c r="CB74" s="658">
        <f>(1+CD74)^(1/4)-1</f>
        <v>6.4351169923335672E-3</v>
      </c>
      <c r="CC74" s="658">
        <f>(1+CD74)^(1/4)-1</f>
        <v>6.4351169923335672E-3</v>
      </c>
      <c r="CD74" s="507">
        <v>2.5989999999999999E-2</v>
      </c>
      <c r="CE74" s="658">
        <f>(1+CI74)^(1/4)-1</f>
        <v>7.176134430259884E-3</v>
      </c>
      <c r="CF74" s="658">
        <f>(1+CI74)^(1/4)-1</f>
        <v>7.176134430259884E-3</v>
      </c>
      <c r="CG74" s="658">
        <f>(1+CI74)^(1/4)-1</f>
        <v>7.176134430259884E-3</v>
      </c>
      <c r="CH74" s="658">
        <f>(1+CI74)^(1/4)-1</f>
        <v>7.176134430259884E-3</v>
      </c>
      <c r="CI74" s="507">
        <v>2.9014999999999999E-2</v>
      </c>
      <c r="CJ74" s="658">
        <f>(1+CN74)^(1/4)-1</f>
        <v>7.915519885486777E-3</v>
      </c>
      <c r="CK74" s="658">
        <f>(1+CN74)^(1/4)-1</f>
        <v>7.915519885486777E-3</v>
      </c>
      <c r="CL74" s="658">
        <f>(1+CN74)^(1/4)-1</f>
        <v>7.915519885486777E-3</v>
      </c>
      <c r="CM74" s="658">
        <f>(1+CN74)^(1/4)-1</f>
        <v>7.915519885486777E-3</v>
      </c>
      <c r="CN74" s="507">
        <v>3.2039999999999999E-2</v>
      </c>
      <c r="CO74" s="658">
        <f>(1+CS74)^(1/4)-1</f>
        <v>8.4026649838586653E-3</v>
      </c>
      <c r="CP74" s="658">
        <f>(1+CS74)^(1/4)-1</f>
        <v>8.4026649838586653E-3</v>
      </c>
      <c r="CQ74" s="658">
        <f>(1+CS74)^(1/4)-1</f>
        <v>8.4026649838586653E-3</v>
      </c>
      <c r="CR74" s="658">
        <f>(1+CS74)^(1/4)-1</f>
        <v>8.4026649838586653E-3</v>
      </c>
      <c r="CS74" s="507">
        <v>3.4036666666666666E-2</v>
      </c>
      <c r="CT74" s="658">
        <f>(1+CX74)^(1/4)-1</f>
        <v>8.8891051048813896E-3</v>
      </c>
      <c r="CU74" s="658">
        <f>(1+CX74)^(1/4)-1</f>
        <v>8.8891051048813896E-3</v>
      </c>
      <c r="CV74" s="658">
        <f>(1+CX74)^(1/4)-1</f>
        <v>8.8891051048813896E-3</v>
      </c>
      <c r="CW74" s="658">
        <f>(1+CX74)^(1/4)-1</f>
        <v>8.8891051048813896E-3</v>
      </c>
      <c r="CX74" s="507">
        <v>3.6033333333333334E-2</v>
      </c>
      <c r="CY74" s="658">
        <f>(1+DC74)^(1/4)-1</f>
        <v>9.3748426244741889E-3</v>
      </c>
      <c r="CZ74" s="658">
        <f>(1+DC74)^(1/4)-1</f>
        <v>9.3748426244741889E-3</v>
      </c>
      <c r="DA74" s="658">
        <f>(1+DC74)^(1/4)-1</f>
        <v>9.3748426244741889E-3</v>
      </c>
      <c r="DB74" s="658">
        <f>(1+DC74)^(1/4)-1</f>
        <v>9.3748426244741889E-3</v>
      </c>
      <c r="DC74" s="507">
        <v>3.8030000000000001E-2</v>
      </c>
      <c r="DD74" s="658">
        <f>(1+DH74)^(1/4)-1</f>
        <v>9.6319427690176873E-3</v>
      </c>
      <c r="DE74" s="658">
        <f>(1+DH74)^(1/4)-1</f>
        <v>9.6319427690176873E-3</v>
      </c>
      <c r="DF74" s="658">
        <f>(1+DH74)^(1/4)-1</f>
        <v>9.6319427690176873E-3</v>
      </c>
      <c r="DG74" s="658">
        <f>(1+DH74)^(1/4)-1</f>
        <v>9.6319427690176873E-3</v>
      </c>
      <c r="DH74" s="507">
        <v>3.9087999999999998E-2</v>
      </c>
      <c r="DI74" s="658">
        <f>(1+DM74)^(1/4)-1</f>
        <v>9.8888466538247233E-3</v>
      </c>
      <c r="DJ74" s="658">
        <f>(1+DM74)^(1/4)-1</f>
        <v>9.8888466538247233E-3</v>
      </c>
      <c r="DK74" s="658">
        <f>(1+DM74)^(1/4)-1</f>
        <v>9.8888466538247233E-3</v>
      </c>
      <c r="DL74" s="658">
        <f>(1+DM74)^(1/4)-1</f>
        <v>9.8888466538247233E-3</v>
      </c>
      <c r="DM74" s="507">
        <v>4.0145999999999994E-2</v>
      </c>
      <c r="DN74" s="658">
        <f>(1+DR74)^(1/4)-1</f>
        <v>1.014555462811173E-2</v>
      </c>
      <c r="DO74" s="658">
        <f>(1+DR74)^(1/4)-1</f>
        <v>1.014555462811173E-2</v>
      </c>
      <c r="DP74" s="658">
        <f>(1+DR74)^(1/4)-1</f>
        <v>1.014555462811173E-2</v>
      </c>
      <c r="DQ74" s="658">
        <f>(1+DR74)^(1/4)-1</f>
        <v>1.014555462811173E-2</v>
      </c>
      <c r="DR74" s="507">
        <v>4.1203999999999991E-2</v>
      </c>
      <c r="DS74" s="658">
        <f>(1+DW74)^(1/4)-1</f>
        <v>1.0402067040120588E-2</v>
      </c>
      <c r="DT74" s="658">
        <f>(1+DW74)^(1/4)-1</f>
        <v>1.0402067040120588E-2</v>
      </c>
      <c r="DU74" s="658">
        <f>(1+DW74)^(1/4)-1</f>
        <v>1.0402067040120588E-2</v>
      </c>
      <c r="DV74" s="658">
        <f>(1+DW74)^(1/4)-1</f>
        <v>1.0402067040120588E-2</v>
      </c>
      <c r="DW74" s="507">
        <v>4.2261999999999987E-2</v>
      </c>
      <c r="DX74" s="658">
        <f>(1+EB74)^(1/4)-1</f>
        <v>1.06583842371204E-2</v>
      </c>
      <c r="DY74" s="658">
        <f>(1+EB74)^(1/4)-1</f>
        <v>1.06583842371204E-2</v>
      </c>
      <c r="DZ74" s="658">
        <f>(1+EB74)^(1/4)-1</f>
        <v>1.06583842371204E-2</v>
      </c>
      <c r="EA74" s="658">
        <f>(1+EB74)^(1/4)-1</f>
        <v>1.06583842371204E-2</v>
      </c>
      <c r="EB74" s="507">
        <v>4.3319999999999997E-2</v>
      </c>
      <c r="EC74" s="658">
        <f>(1+EG74)^(1/4)-1</f>
        <v>1.0801720532763071E-2</v>
      </c>
      <c r="ED74" s="658">
        <f>(1+EG74)^(1/4)-1</f>
        <v>1.0801720532763071E-2</v>
      </c>
      <c r="EE74" s="658">
        <f>(1+EG74)^(1/4)-1</f>
        <v>1.0801720532763071E-2</v>
      </c>
      <c r="EF74" s="658">
        <f>(1+EG74)^(1/4)-1</f>
        <v>1.0801720532763071E-2</v>
      </c>
      <c r="EG74" s="507">
        <v>4.3912E-2</v>
      </c>
      <c r="EH74" s="658">
        <f>(1+EL74)^(1/4)-1</f>
        <v>1.0944995877111285E-2</v>
      </c>
      <c r="EI74" s="658">
        <f>(1+EL74)^(1/4)-1</f>
        <v>1.0944995877111285E-2</v>
      </c>
      <c r="EJ74" s="658">
        <f>(1+EL74)^(1/4)-1</f>
        <v>1.0944995877111285E-2</v>
      </c>
      <c r="EK74" s="658">
        <f>(1+EL74)^(1/4)-1</f>
        <v>1.0944995877111285E-2</v>
      </c>
      <c r="EL74" s="507">
        <v>4.4504000000000002E-2</v>
      </c>
      <c r="EM74" s="658">
        <f>(1+EQ74)^(1/4)-1</f>
        <v>1.108821033060714E-2</v>
      </c>
      <c r="EN74" s="658">
        <f>(1+EQ74)^(1/4)-1</f>
        <v>1.108821033060714E-2</v>
      </c>
      <c r="EO74" s="658">
        <f>(1+EQ74)^(1/4)-1</f>
        <v>1.108821033060714E-2</v>
      </c>
      <c r="EP74" s="658">
        <f>(1+EQ74)^(1/4)-1</f>
        <v>1.108821033060714E-2</v>
      </c>
      <c r="EQ74" s="507">
        <v>4.5096000000000004E-2</v>
      </c>
    </row>
    <row r="75" spans="1:149">
      <c r="A75" s="5"/>
      <c r="B75" s="173" t="s">
        <v>3652</v>
      </c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G75" s="5"/>
      <c r="AH75" s="5"/>
      <c r="AI75" s="5"/>
      <c r="AJ75" s="5"/>
      <c r="AK75" s="5"/>
      <c r="AL75" s="5"/>
      <c r="AM75" s="5"/>
      <c r="AN75" s="435"/>
      <c r="AO75" s="435"/>
      <c r="AP75" s="138"/>
      <c r="AQ75" s="435"/>
      <c r="AR75" s="435"/>
      <c r="AS75" s="435"/>
      <c r="AT75" s="435"/>
      <c r="AU75" s="138"/>
      <c r="AV75" s="435"/>
      <c r="AW75" s="435"/>
      <c r="AX75" s="435"/>
      <c r="AY75" s="435"/>
      <c r="AZ75" s="138"/>
      <c r="BA75" s="181">
        <f>(BB75+BB71)/(1+BB74)</f>
        <v>-28944.245532252196</v>
      </c>
      <c r="BB75" s="181">
        <f>(BC75+BC71)/(1+BC74)</f>
        <v>-28751.745532252196</v>
      </c>
      <c r="BC75" s="181">
        <f>(BD75+BD71)/(1+BD74)</f>
        <v>-28559.245532252196</v>
      </c>
      <c r="BD75" s="181">
        <f>(BF75+BF71)/(1+BF74)</f>
        <v>-28366.745532252196</v>
      </c>
      <c r="BE75" s="138">
        <f>(BJ71+BJ75)/(1+BJ74)</f>
        <v>-28351.115193482103</v>
      </c>
      <c r="BF75" s="181">
        <f>(BG75+BG71)/(1+BG74)</f>
        <v>-27291.737262949802</v>
      </c>
      <c r="BG75" s="181">
        <f>(BH75+BH71)/(1+BH74)</f>
        <v>-25728.834468107438</v>
      </c>
      <c r="BH75" s="181">
        <f>(BI75+BI71)/(1+BI74)</f>
        <v>-23448.177313744436</v>
      </c>
      <c r="BI75" s="181">
        <f>(BK75+BK71)/(1+BK74)</f>
        <v>-21446.500875669637</v>
      </c>
      <c r="BJ75" s="138">
        <f>BI75</f>
        <v>-21446.500875669637</v>
      </c>
      <c r="BK75" s="181">
        <f>(BL75+BL71)/(1+BL74)</f>
        <v>-19220.696483180509</v>
      </c>
      <c r="BL75" s="181">
        <f>(BM75+BM71)/(1+BM74)</f>
        <v>-17256.814475390587</v>
      </c>
      <c r="BM75" s="181">
        <f>(BN75+BN71)/(1+BN74)</f>
        <v>-16712.119498059707</v>
      </c>
      <c r="BN75" s="181">
        <f>(BP75+BP71)/(1+BP74)</f>
        <v>-16277.815176003</v>
      </c>
      <c r="BO75" s="138">
        <f>BN75</f>
        <v>-16277.815176003</v>
      </c>
      <c r="BP75" s="181">
        <f>(BQ75+BQ71)/(1+BQ74)</f>
        <v>-14829.276798545769</v>
      </c>
      <c r="BQ75" s="181">
        <f>(BR75+BR71)/(1+BR74)</f>
        <v>-14033.589963643772</v>
      </c>
      <c r="BR75" s="181">
        <f>(BS75+BS71)/(1+BS74)</f>
        <v>-13783.99235458361</v>
      </c>
      <c r="BS75" s="181">
        <f>(BU75+BU71)/(1+BU74)</f>
        <v>-13533.275980729592</v>
      </c>
      <c r="BT75" s="138">
        <f>BS75</f>
        <v>-13533.275980729592</v>
      </c>
      <c r="BU75" s="181">
        <f>(BV75+BV71)/(1+BV74)</f>
        <v>-13420.368190914269</v>
      </c>
      <c r="BV75" s="181">
        <f>(BW75+BW71)/(1+BW74)</f>
        <v>-12112.527735117583</v>
      </c>
      <c r="BW75" s="181">
        <f>(BX75+BX71)/(1+BX74)</f>
        <v>-11991.789117651431</v>
      </c>
      <c r="BX75" s="181">
        <f>(BZ75+BZ71)/(1+BZ74)</f>
        <v>-11870.385017537599</v>
      </c>
      <c r="BY75" s="138">
        <f>BX75</f>
        <v>-11870.385017537599</v>
      </c>
      <c r="BZ75" s="181">
        <f>(CA75+CA71)/(1+CA74)</f>
        <v>-11946.772333869498</v>
      </c>
      <c r="CA75" s="181">
        <f>(CB75+CB71)/(1+CB74)</f>
        <v>-10824.340866518722</v>
      </c>
      <c r="CB75" s="181">
        <f>(CC75+CC71)/(1+CC74)</f>
        <v>-10893.996766359667</v>
      </c>
      <c r="CC75" s="181">
        <f>(CE75+CE71)/(1+CE74)</f>
        <v>-10964.100910065295</v>
      </c>
      <c r="CD75" s="138">
        <f>CC75</f>
        <v>-10964.100910065295</v>
      </c>
      <c r="CE75" s="181">
        <f>(CF75+CF71)/(1+CF74)</f>
        <v>-10743.039392852859</v>
      </c>
      <c r="CF75" s="181">
        <f>(CG75+CG71)/(1+CG74)</f>
        <v>-10520.39150847555</v>
      </c>
      <c r="CG75" s="181">
        <f>(CH75+CH71)/(1+CH74)</f>
        <v>-10296.145872949335</v>
      </c>
      <c r="CH75" s="181">
        <f>(CJ75+CJ71)/(1+CJ74)</f>
        <v>-10070.291020597186</v>
      </c>
      <c r="CI75" s="138">
        <f>CH75</f>
        <v>-10070.291020597186</v>
      </c>
      <c r="CJ75" s="181">
        <f>(CK75+CK71)/(1+CK74)</f>
        <v>-9849.0112301733625</v>
      </c>
      <c r="CK75" s="181">
        <f>(CL75+CL71)/(1+CL74)</f>
        <v>-9625.9798951681823</v>
      </c>
      <c r="CL75" s="181">
        <f>(CM75+CM71)/(1+CM74)</f>
        <v>-9401.1831511956825</v>
      </c>
      <c r="CM75" s="181">
        <f>(CO75+CO71)/(1+CO74)</f>
        <v>-9174.6070241260768</v>
      </c>
      <c r="CN75" s="138">
        <f>CM75</f>
        <v>-9174.6070241260768</v>
      </c>
      <c r="CO75" s="181">
        <f>(CP75+CP71)/(1+CP74)</f>
        <v>-8950.7067940583656</v>
      </c>
      <c r="CP75" s="181">
        <f>(CQ75+CQ71)/(1+CQ74)</f>
        <v>-8724.9252053675864</v>
      </c>
      <c r="CQ75" s="181">
        <f>(CR75+CR71)/(1+CR74)</f>
        <v>-8497.2464496275152</v>
      </c>
      <c r="CR75" s="181">
        <f>(CT75+CT71)/(1+CT74)</f>
        <v>-8267.6545855790191</v>
      </c>
      <c r="CS75" s="138">
        <f>CR75</f>
        <v>-8267.6545855790191</v>
      </c>
      <c r="CT75" s="181">
        <f>(CU75+CU71)/(1+CU74)</f>
        <v>-8058.9052569110863</v>
      </c>
      <c r="CU75" s="181">
        <f>(CV75+CV71)/(1+CV74)</f>
        <v>-7848.3003335200501</v>
      </c>
      <c r="CV75" s="181">
        <f>(CW75+CW71)/(1+CW74)</f>
        <v>-7635.823320829385</v>
      </c>
      <c r="CW75" s="181">
        <f>(CY75+CY71)/(1+CY74)</f>
        <v>-7421.4575776405418</v>
      </c>
      <c r="CX75" s="138">
        <f>CW75</f>
        <v>-7421.4575776405418</v>
      </c>
      <c r="CY75" s="181">
        <f>(CZ75+CZ71)/(1+CZ74)</f>
        <v>-7208.7911952251334</v>
      </c>
      <c r="CZ75" s="181">
        <f>(DA75+DA71)/(1+DA74)</f>
        <v>-6994.131098943064</v>
      </c>
      <c r="DA75" s="181">
        <f>(DB75+DB71)/(1+DB74)</f>
        <v>-6777.4585980405955</v>
      </c>
      <c r="DB75" s="181">
        <f>(DD75+DD71)/(1+DD74)</f>
        <v>-6558.7548265411151</v>
      </c>
      <c r="DC75" s="138">
        <f>DB75</f>
        <v>-6558.7548265411151</v>
      </c>
      <c r="DD75" s="181">
        <f>(DE75+DE71)/(1+DE74)</f>
        <v>-6339.6869984163777</v>
      </c>
      <c r="DE75" s="181">
        <f>(DF75+DF71)/(1+DF74)</f>
        <v>-6118.5091215086095</v>
      </c>
      <c r="DF75" s="181">
        <f>(DG75+DG71)/(1+DG74)</f>
        <v>-5895.200871948693</v>
      </c>
      <c r="DG75" s="181">
        <f>(DI75+DI71)/(1+DI74)</f>
        <v>-5669.7417301091655</v>
      </c>
      <c r="DH75" s="138">
        <f>DG75</f>
        <v>-5669.7417301091655</v>
      </c>
      <c r="DI75" s="181">
        <f>(DJ75+DJ71)/(1+DJ74)</f>
        <v>-5443.5675573950057</v>
      </c>
      <c r="DJ75" s="181">
        <f>(DK75+DK71)/(1+DK74)</f>
        <v>-5215.1567829698197</v>
      </c>
      <c r="DK75" s="181">
        <f>(DL75+DL71)/(1+DL74)</f>
        <v>-4984.4872894222617</v>
      </c>
      <c r="DL75" s="181">
        <f>(DN75+DN71)/(1+DN74)</f>
        <v>-4751.5367406252972</v>
      </c>
      <c r="DM75" s="138">
        <f>DL75</f>
        <v>-4751.5367406252972</v>
      </c>
      <c r="DN75" s="181">
        <f>(DO75+DO71)/(1+DO74)</f>
        <v>-4517.5023369447908</v>
      </c>
      <c r="DO75" s="181">
        <f>(DP75+DP71)/(1+DP74)</f>
        <v>-4281.0935244368866</v>
      </c>
      <c r="DP75" s="181">
        <f>(DQ75+DQ71)/(1+DQ74)</f>
        <v>-4042.286213407117</v>
      </c>
      <c r="DQ75" s="181">
        <f>(DS75+DS71)/(1+DS74)</f>
        <v>-3801.0560697577016</v>
      </c>
      <c r="DR75" s="138">
        <f>DQ75</f>
        <v>-3801.0560697577016</v>
      </c>
      <c r="DS75" s="181">
        <f>(DT75+DT71)/(1+DT74)</f>
        <v>-3558.3535305685782</v>
      </c>
      <c r="DT75" s="181">
        <f>(DU75+DU71)/(1+DU74)</f>
        <v>-3313.1263832960021</v>
      </c>
      <c r="DU75" s="181">
        <f>(DV75+DV71)/(1+DV74)</f>
        <v>-3065.3483667974392</v>
      </c>
      <c r="DV75" s="181">
        <f>(DX75+DX71)/(1+DX74)</f>
        <v>-2814.9929467601901</v>
      </c>
      <c r="DW75" s="138">
        <f>DV75</f>
        <v>-2814.9929467601901</v>
      </c>
      <c r="DX75" s="181">
        <f>(DY75+DY71)/(1+DY74)</f>
        <v>-2562.7548439615439</v>
      </c>
      <c r="DY75" s="181">
        <f>(DZ75+DZ71)/(1+DZ74)</f>
        <v>-2307.8282905440274</v>
      </c>
      <c r="DZ75" s="181">
        <f>(EA75+EA71)/(1+EA74)</f>
        <v>-2050.1846319679421</v>
      </c>
      <c r="EA75" s="181">
        <f>(EC75+EC71)/(1+EC74)</f>
        <v>-1789.794908282496</v>
      </c>
      <c r="EB75" s="138">
        <f>EA75</f>
        <v>-1789.794908282496</v>
      </c>
      <c r="EC75" s="181">
        <f>(ED75+ED71)/(1+ED74)</f>
        <v>-1526.8863939427258</v>
      </c>
      <c r="ED75" s="181">
        <f>(EE75+EE71)/(1+EE74)</f>
        <v>-1261.1380153053735</v>
      </c>
      <c r="EE75" s="181">
        <f>(EF75+EF71)/(1+EF74)</f>
        <v>-992.51909694994561</v>
      </c>
      <c r="EF75" s="181">
        <f>(EH75+EH71)/(1+EH74)</f>
        <v>-720.99863210862929</v>
      </c>
      <c r="EG75" s="138">
        <f>EF75</f>
        <v>-720.99863210862929</v>
      </c>
      <c r="EH75" s="181">
        <f>(EI75+EI71)/(1+EI74)</f>
        <v>-605.88995916446117</v>
      </c>
      <c r="EI75" s="181">
        <f>(EJ75+EJ71)/(1+EJ74)</f>
        <v>-489.52142226949934</v>
      </c>
      <c r="EJ75" s="181">
        <f>(EK75+EK71)/(1+EK74)</f>
        <v>-371.87923221799667</v>
      </c>
      <c r="EK75" s="181">
        <f>(EM75+EM71)/(1+EM74)</f>
        <v>-252.94944888140591</v>
      </c>
      <c r="EL75" s="138">
        <f>EK75</f>
        <v>-252.94944888140591</v>
      </c>
      <c r="EM75" s="181">
        <f>(EN75+EN71)/(1+EN74)</f>
        <v>-190.75420557361412</v>
      </c>
      <c r="EN75" s="181">
        <f>(EO75+EO71)/(1+EO74)</f>
        <v>-127.86932832646222</v>
      </c>
      <c r="EO75" s="181">
        <f>(EP75+EP71)/(1+EP74)</f>
        <v>-64.287170333779486</v>
      </c>
      <c r="EP75" s="659">
        <v>0</v>
      </c>
      <c r="EQ75" s="138">
        <f>EP75</f>
        <v>0</v>
      </c>
    </row>
    <row r="78" spans="1:149">
      <c r="A78" s="5"/>
      <c r="B78" s="173" t="s">
        <v>3653</v>
      </c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G78" s="5"/>
      <c r="AH78" s="5"/>
      <c r="AI78" s="5"/>
      <c r="AJ78" s="5"/>
      <c r="AK78" s="5"/>
      <c r="AL78" s="5"/>
      <c r="AM78" s="5"/>
      <c r="AN78" s="435"/>
      <c r="AO78" s="435"/>
      <c r="AP78" s="138"/>
      <c r="AQ78" s="435"/>
      <c r="AR78" s="435"/>
      <c r="AS78" s="435"/>
      <c r="AT78" s="435"/>
      <c r="AU78" s="138"/>
      <c r="AV78" s="435"/>
      <c r="AW78" s="435"/>
      <c r="AX78" s="435"/>
      <c r="AY78" s="435"/>
      <c r="AZ78" s="138"/>
      <c r="BA78" s="181">
        <f>BB78+BB71</f>
        <v>-32561.39708699999</v>
      </c>
      <c r="BB78" s="181">
        <f>BC78+BC71</f>
        <v>-32368.89708699999</v>
      </c>
      <c r="BC78" s="181">
        <f>BD78+BD71</f>
        <v>-32176.39708699999</v>
      </c>
      <c r="BD78" s="181">
        <f>BF78+BF71</f>
        <v>-31983.89708699999</v>
      </c>
      <c r="BE78" s="673">
        <f t="shared" ref="BE78" si="159">BD78</f>
        <v>-31983.89708699999</v>
      </c>
      <c r="BF78" s="181">
        <f>BG78+BG71</f>
        <v>-30858.89708699999</v>
      </c>
      <c r="BG78" s="181">
        <f>BH78+BH71</f>
        <v>-29247.89708699999</v>
      </c>
      <c r="BH78" s="181">
        <f>BI78+BI71</f>
        <v>-26921.89708699999</v>
      </c>
      <c r="BI78" s="181">
        <f>BK78+BK71</f>
        <v>-24878.89708699999</v>
      </c>
      <c r="BJ78" s="673">
        <f t="shared" ref="BJ78" si="160">BI78</f>
        <v>-24878.89708699999</v>
      </c>
      <c r="BK78" s="181">
        <f>BL78+BL71</f>
        <v>-22584.89708699999</v>
      </c>
      <c r="BL78" s="181">
        <f>BM78+BM71</f>
        <v>-20559.89708699999</v>
      </c>
      <c r="BM78" s="181">
        <f>BN78+BN71</f>
        <v>-19995.89708699999</v>
      </c>
      <c r="BN78" s="181">
        <f>BP78+BP71</f>
        <v>-19542.89708699999</v>
      </c>
      <c r="BO78" s="673">
        <f t="shared" ref="BO78" si="161">BN78</f>
        <v>-19542.89708699999</v>
      </c>
      <c r="BP78" s="181">
        <f>BQ78+BQ71</f>
        <v>-18021.39708699999</v>
      </c>
      <c r="BQ78" s="181">
        <f>BR78+BR71</f>
        <v>-17159.241374999991</v>
      </c>
      <c r="BR78" s="181">
        <f>BS78+BS71</f>
        <v>-16846.741374999991</v>
      </c>
      <c r="BS78" s="181">
        <f>BU78+BU71</f>
        <v>-16534.241374999991</v>
      </c>
      <c r="BT78" s="673">
        <f t="shared" ref="BT78" si="162">BS78</f>
        <v>-16534.241374999991</v>
      </c>
      <c r="BU78" s="181">
        <f>BV78+BV71</f>
        <v>-16346.741374999989</v>
      </c>
      <c r="BV78" s="181">
        <f>BW78+BW71</f>
        <v>-14964.931029999989</v>
      </c>
      <c r="BW78" s="181">
        <f>BX78+BX71</f>
        <v>-14777.431029999989</v>
      </c>
      <c r="BX78" s="181">
        <f>BZ78+BZ71</f>
        <v>-14589.931029999989</v>
      </c>
      <c r="BY78" s="673">
        <f t="shared" ref="BY78" si="163">BX78</f>
        <v>-14589.931029999989</v>
      </c>
      <c r="BZ78" s="181">
        <f>CA78+CA71</f>
        <v>-14589.931029999989</v>
      </c>
      <c r="CA78" s="181">
        <f>CB78+CB71</f>
        <v>-13390.620684999989</v>
      </c>
      <c r="CB78" s="181">
        <f>CC78+CC71</f>
        <v>-13390.620684999989</v>
      </c>
      <c r="CC78" s="181">
        <f>CE78+CE71</f>
        <v>-13390.620684999989</v>
      </c>
      <c r="CD78" s="673">
        <f t="shared" ref="CD78" si="164">CC78</f>
        <v>-13390.620684999989</v>
      </c>
      <c r="CE78" s="181">
        <f>CF78+CF71</f>
        <v>-13090.87930574999</v>
      </c>
      <c r="CF78" s="181">
        <f>CG78+CG71</f>
        <v>-12791.13792649999</v>
      </c>
      <c r="CG78" s="181">
        <f>CH78+CH71</f>
        <v>-12491.396547249991</v>
      </c>
      <c r="CH78" s="181">
        <f>CJ78+CJ71</f>
        <v>-12191.655167999992</v>
      </c>
      <c r="CI78" s="673">
        <f t="shared" ref="CI78" si="165">CH78</f>
        <v>-12191.655167999992</v>
      </c>
      <c r="CJ78" s="181">
        <f>CK78+CK71</f>
        <v>-11890.663788749993</v>
      </c>
      <c r="CK78" s="181">
        <f>CL78+CL71</f>
        <v>-11589.672409499994</v>
      </c>
      <c r="CL78" s="181">
        <f>CM78+CM71</f>
        <v>-11288.681030249994</v>
      </c>
      <c r="CM78" s="181">
        <f>CO78+CO71</f>
        <v>-10987.689650999995</v>
      </c>
      <c r="CN78" s="673">
        <f t="shared" ref="CN78" si="166">CM78</f>
        <v>-10987.689650999995</v>
      </c>
      <c r="CO78" s="181">
        <f>CP78+CP71</f>
        <v>-10686.698271749996</v>
      </c>
      <c r="CP78" s="181">
        <f>CQ78+CQ71</f>
        <v>-10385.706892499997</v>
      </c>
      <c r="CQ78" s="181">
        <f>CR78+CR71</f>
        <v>-10084.715513249997</v>
      </c>
      <c r="CR78" s="181">
        <f>CT78+CT71</f>
        <v>-9783.7241339999982</v>
      </c>
      <c r="CS78" s="673">
        <f t="shared" ref="CS78" si="167">CR78</f>
        <v>-9783.7241339999982</v>
      </c>
      <c r="CT78" s="181">
        <f>CU78+CU71</f>
        <v>-9501.482754749999</v>
      </c>
      <c r="CU78" s="181">
        <f>CV78+CV71</f>
        <v>-9219.2413754999998</v>
      </c>
      <c r="CV78" s="181">
        <f>CW78+CW71</f>
        <v>-8936.9999962500005</v>
      </c>
      <c r="CW78" s="181">
        <f>CY78+CY71</f>
        <v>-8654.7586170000013</v>
      </c>
      <c r="CX78" s="673">
        <f t="shared" ref="CX78" si="168">CW78</f>
        <v>-8654.7586170000013</v>
      </c>
      <c r="CY78" s="181">
        <f>CZ78+CZ71</f>
        <v>-8372.5172377500021</v>
      </c>
      <c r="CZ78" s="181">
        <f>DA78+DA71</f>
        <v>-8090.2758585000029</v>
      </c>
      <c r="DA78" s="181">
        <f>DB78+DB71</f>
        <v>-7808.0344792500027</v>
      </c>
      <c r="DB78" s="181">
        <f>DD78+DD71</f>
        <v>-7525.7931000000026</v>
      </c>
      <c r="DC78" s="673">
        <f t="shared" ref="DC78" si="169">DB78</f>
        <v>-7525.7931000000026</v>
      </c>
      <c r="DD78" s="181">
        <f>DE78+DE71</f>
        <v>-7243.5517207500025</v>
      </c>
      <c r="DE78" s="181">
        <f>DF78+DF71</f>
        <v>-6961.3103415000023</v>
      </c>
      <c r="DF78" s="181">
        <f>DG78+DG71</f>
        <v>-6679.0689622500022</v>
      </c>
      <c r="DG78" s="181">
        <f>DI78+DI71</f>
        <v>-6396.8275830000021</v>
      </c>
      <c r="DH78" s="673">
        <f t="shared" ref="DH78" si="170">DG78</f>
        <v>-6396.8275830000021</v>
      </c>
      <c r="DI78" s="181">
        <f>DJ78+DJ71</f>
        <v>-6114.5862037500019</v>
      </c>
      <c r="DJ78" s="181">
        <f>DK78+DK71</f>
        <v>-5832.3448245000018</v>
      </c>
      <c r="DK78" s="181">
        <f>DL78+DL71</f>
        <v>-5550.1034452500016</v>
      </c>
      <c r="DL78" s="181">
        <f>DN78+DN71</f>
        <v>-5267.8620660000015</v>
      </c>
      <c r="DM78" s="673">
        <f t="shared" ref="DM78" si="171">DL78</f>
        <v>-5267.8620660000015</v>
      </c>
      <c r="DN78" s="181">
        <f>DO78+DO71</f>
        <v>-4985.6206867500014</v>
      </c>
      <c r="DO78" s="181">
        <f>DP78+DP71</f>
        <v>-4703.3793075000012</v>
      </c>
      <c r="DP78" s="181">
        <f>DQ78+DQ71</f>
        <v>-4421.1379282500011</v>
      </c>
      <c r="DQ78" s="181">
        <f>DS78+DS71</f>
        <v>-4138.896549000001</v>
      </c>
      <c r="DR78" s="673">
        <f t="shared" ref="DR78" si="172">DQ78</f>
        <v>-4138.896549000001</v>
      </c>
      <c r="DS78" s="181">
        <f>DT78+DT71</f>
        <v>-3856.6551697500008</v>
      </c>
      <c r="DT78" s="181">
        <f>DU78+DU71</f>
        <v>-3574.4137905000007</v>
      </c>
      <c r="DU78" s="181">
        <f>DV78+DV71</f>
        <v>-3292.1724112500006</v>
      </c>
      <c r="DV78" s="181">
        <f>DX78+DX71</f>
        <v>-3009.9310320000004</v>
      </c>
      <c r="DW78" s="673">
        <f t="shared" ref="DW78" si="173">DV78</f>
        <v>-3009.9310320000004</v>
      </c>
      <c r="DX78" s="181">
        <f>DY78+DY71</f>
        <v>-2727.6896527500003</v>
      </c>
      <c r="DY78" s="181">
        <f>DZ78+DZ71</f>
        <v>-2445.4482735000001</v>
      </c>
      <c r="DZ78" s="181">
        <f>EA78+EA71</f>
        <v>-2163.20689425</v>
      </c>
      <c r="EA78" s="181">
        <f>EC78+EC71</f>
        <v>-1880.9655149999999</v>
      </c>
      <c r="EB78" s="673">
        <f t="shared" ref="EB78" si="174">EA78</f>
        <v>-1880.9655149999999</v>
      </c>
      <c r="EC78" s="181">
        <f>ED78+ED71</f>
        <v>-1598.7241362499999</v>
      </c>
      <c r="ED78" s="181">
        <f>EE78+EE71</f>
        <v>-1316.4827574999999</v>
      </c>
      <c r="EE78" s="181">
        <f>EF78+EF71</f>
        <v>-1034.24137875</v>
      </c>
      <c r="EF78" s="181">
        <f>EH78+EH71</f>
        <v>-752</v>
      </c>
      <c r="EG78" s="673">
        <f t="shared" ref="EG78" si="175">EF78</f>
        <v>-752</v>
      </c>
      <c r="EH78" s="181">
        <f>EI78+EI71</f>
        <v>-629</v>
      </c>
      <c r="EI78" s="181">
        <f>EJ78+EJ71</f>
        <v>-506</v>
      </c>
      <c r="EJ78" s="181">
        <f>EK78+EK71</f>
        <v>-383</v>
      </c>
      <c r="EK78" s="181">
        <f>EM78+EM71</f>
        <v>-260</v>
      </c>
      <c r="EL78" s="673">
        <f>EK78</f>
        <v>-260</v>
      </c>
      <c r="EM78" s="181">
        <f>EN78+EN71</f>
        <v>-195</v>
      </c>
      <c r="EN78" s="181">
        <f>EO78+EO71</f>
        <v>-130</v>
      </c>
      <c r="EO78" s="181">
        <f>EP78+EP71</f>
        <v>-65</v>
      </c>
      <c r="EP78" s="659">
        <v>0</v>
      </c>
      <c r="EQ78" s="138">
        <f>EP78</f>
        <v>0</v>
      </c>
    </row>
    <row r="79" spans="1:149">
      <c r="A79" s="5"/>
      <c r="B79" s="173" t="s">
        <v>3645</v>
      </c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G79" s="5"/>
      <c r="AH79" s="5"/>
      <c r="AI79" s="5"/>
      <c r="AJ79" s="5"/>
      <c r="AK79" s="5"/>
      <c r="AL79" s="5"/>
      <c r="AM79" s="5"/>
      <c r="AN79" s="435"/>
      <c r="AO79" s="435"/>
      <c r="AP79" s="138"/>
      <c r="AQ79" s="435"/>
      <c r="AR79" s="435"/>
      <c r="AS79" s="435"/>
      <c r="AT79" s="435"/>
      <c r="AU79" s="138"/>
      <c r="AV79" s="435"/>
      <c r="AW79" s="435"/>
      <c r="AX79" s="435"/>
      <c r="AY79" s="435"/>
      <c r="AZ79" s="138"/>
      <c r="BA79" s="181"/>
      <c r="BB79" s="181"/>
      <c r="BC79" s="181"/>
      <c r="BD79" s="181"/>
      <c r="BE79" s="138"/>
      <c r="BF79" s="181">
        <f>(BF75-BE75)-(BF78-BE78)</f>
        <v>-65.622069467699475</v>
      </c>
      <c r="BG79" s="181">
        <f>(BG75-BF75)-(BG78-BF78)</f>
        <v>-48.097205157635472</v>
      </c>
      <c r="BH79" s="181">
        <f>(BH75-BG75)-(BH78-BG78)</f>
        <v>-45.342845636998391</v>
      </c>
      <c r="BI79" s="181">
        <f>(BI75-BH75)-(BI78-BH78)</f>
        <v>-41.32356192520092</v>
      </c>
      <c r="BJ79" s="138">
        <f t="shared" ref="BJ79" si="176">SUM(BF79:BI79)</f>
        <v>-200.38568218753426</v>
      </c>
      <c r="BK79" s="181">
        <f>(BK75-BJ75)-(BK78-BJ78)</f>
        <v>-68.195607510871923</v>
      </c>
      <c r="BL79" s="181">
        <f>(BL75-BK75)-(BL78-BK78)</f>
        <v>-61.117992210078228</v>
      </c>
      <c r="BM79" s="181">
        <f>(BM75-BL75)-(BM78-BL78)</f>
        <v>-19.305022669119353</v>
      </c>
      <c r="BN79" s="181">
        <f>(BN75-BM75)-(BN78-BM78)</f>
        <v>-18.695677943293049</v>
      </c>
      <c r="BO79" s="138">
        <f t="shared" ref="BO79" si="177">SUM(BK79:BN79)</f>
        <v>-167.31430033336255</v>
      </c>
      <c r="BP79" s="181">
        <f>(BP75-BO75)-(BP78-BO78)</f>
        <v>-72.961622542768964</v>
      </c>
      <c r="BQ79" s="181">
        <f>(BQ75-BP75)-(BQ78-BP78)</f>
        <v>-66.468877098002849</v>
      </c>
      <c r="BR79" s="181">
        <f>(BR75-BQ75)-(BR78-BQ78)</f>
        <v>-62.902390939838369</v>
      </c>
      <c r="BS79" s="181">
        <f>(BS75-BR75)-(BS78-BR78)</f>
        <v>-61.783626145981543</v>
      </c>
      <c r="BT79" s="138">
        <f t="shared" ref="BT79" si="178">SUM(BP79:BS79)</f>
        <v>-264.11651672659173</v>
      </c>
      <c r="BU79" s="181">
        <f>(BU75-BT75)-(BU78-BT78)</f>
        <v>-74.592210184679061</v>
      </c>
      <c r="BV79" s="181">
        <f>(BV75-BU75)-(BV78-BU78)</f>
        <v>-73.969889203313869</v>
      </c>
      <c r="BW79" s="181">
        <f>(BW75-BV75)-(BW78-BV78)</f>
        <v>-66.761382533848519</v>
      </c>
      <c r="BX79" s="181">
        <f>(BX75-BW75)-(BX78-BW78)</f>
        <v>-66.095899886167899</v>
      </c>
      <c r="BY79" s="138">
        <f t="shared" ref="BY79" si="179">SUM(BU79:BX79)</f>
        <v>-281.41938180800935</v>
      </c>
      <c r="BZ79" s="181">
        <f>(BZ75-BY75)-(BZ78-BY78)</f>
        <v>-76.387316331898546</v>
      </c>
      <c r="CA79" s="181">
        <f>(CA75-BZ75)-(CA78-BZ78)</f>
        <v>-76.878877649223796</v>
      </c>
      <c r="CB79" s="181">
        <f>(CB75-CA75)-(CB78-CA78)</f>
        <v>-69.655899840945494</v>
      </c>
      <c r="CC79" s="181">
        <f>(CC75-CB75)-(CC78-CB78)</f>
        <v>-70.104143705628303</v>
      </c>
      <c r="CD79" s="138">
        <f t="shared" ref="CD79" si="180">SUM(BZ79:CC79)</f>
        <v>-293.02623752769614</v>
      </c>
      <c r="CE79" s="181">
        <f>(CE75-CD75)-(CE78-CD78)</f>
        <v>-78.679862037562998</v>
      </c>
      <c r="CF79" s="181">
        <f>(CF75-CE75)-(CF78-CE78)</f>
        <v>-77.093494872689917</v>
      </c>
      <c r="CG79" s="181">
        <f>(CG75-CF75)-(CG78-CF78)</f>
        <v>-75.495743723784472</v>
      </c>
      <c r="CH79" s="181">
        <f>(CH75-CG75)-(CH78-CG78)</f>
        <v>-73.886526897849762</v>
      </c>
      <c r="CI79" s="138">
        <f t="shared" ref="CI79" si="181">SUM(CE79:CH79)</f>
        <v>-305.15562753188715</v>
      </c>
      <c r="CJ79" s="181">
        <f>(CJ75-CI75)-(CJ78-CI78)</f>
        <v>-79.711588826176012</v>
      </c>
      <c r="CK79" s="181">
        <f>(CK75-CJ75)-(CK78-CJ78)</f>
        <v>-77.960044244819073</v>
      </c>
      <c r="CL79" s="181">
        <f>(CL75-CK75)-(CL78-CK78)</f>
        <v>-76.194635277499401</v>
      </c>
      <c r="CM79" s="181">
        <f>(CM75-CL75)-(CM78-CL78)</f>
        <v>-74.415252180393509</v>
      </c>
      <c r="CN79" s="138">
        <f t="shared" ref="CN79" si="182">SUM(CJ79:CM79)</f>
        <v>-308.281520528888</v>
      </c>
      <c r="CO79" s="181">
        <f>(CO75-CN75)-(CO78-CN78)</f>
        <v>-77.091149182288063</v>
      </c>
      <c r="CP79" s="181">
        <f>(CP75-CO75)-(CP78-CO78)</f>
        <v>-75.209790559219982</v>
      </c>
      <c r="CQ79" s="181">
        <f>(CQ75-CP75)-(CQ78-CP78)</f>
        <v>-73.312623509928017</v>
      </c>
      <c r="CR79" s="181">
        <f>(CR75-CQ75)-(CR78-CQ78)</f>
        <v>-71.399515201503164</v>
      </c>
      <c r="CS79" s="138">
        <f t="shared" ref="CS79" si="183">SUM(CO79:CR79)</f>
        <v>-297.01307845293923</v>
      </c>
      <c r="CT79" s="181">
        <f>(CT75-CS75)-(CT78-CS78)</f>
        <v>-73.49205058206644</v>
      </c>
      <c r="CU79" s="181">
        <f>(CU75-CT75)-(CU78-CT78)</f>
        <v>-71.636455858963018</v>
      </c>
      <c r="CV79" s="181">
        <f>(CV75-CU75)-(CV78-CU78)</f>
        <v>-69.764366559334121</v>
      </c>
      <c r="CW79" s="181">
        <f>(CW75-CV75)-(CW78-CV78)</f>
        <v>-67.875636061156001</v>
      </c>
      <c r="CX79" s="138">
        <f t="shared" ref="CX79" si="184">SUM(CT79:CW79)</f>
        <v>-282.76850906151958</v>
      </c>
      <c r="CY79" s="181">
        <f>(CY75-CX75)-(CY78-CX78)</f>
        <v>-69.57499683459082</v>
      </c>
      <c r="CZ79" s="181">
        <f>(CZ75-CY75)-(CZ78-CY78)</f>
        <v>-67.581282967929837</v>
      </c>
      <c r="DA79" s="181">
        <f>(DA75-CZ75)-(DA78-CZ78)</f>
        <v>-65.568878347531609</v>
      </c>
      <c r="DB79" s="181">
        <f>(DB75-DA75)-(DB78-DA78)</f>
        <v>-63.537607750519783</v>
      </c>
      <c r="DC79" s="138">
        <f t="shared" ref="DC79" si="185">SUM(CY79:DB79)</f>
        <v>-266.26276590057205</v>
      </c>
      <c r="DD79" s="181">
        <f>(DD75-DC75)-(DD78-DC78)</f>
        <v>-63.173551125262748</v>
      </c>
      <c r="DE79" s="181">
        <f>(DE75-DD75)-(DE78-DD78)</f>
        <v>-61.063502342231914</v>
      </c>
      <c r="DF79" s="181">
        <f>(DF75-DE75)-(DF78-DE78)</f>
        <v>-58.933129690083661</v>
      </c>
      <c r="DG79" s="181">
        <f>(DG75-DF75)-(DG78-DF78)</f>
        <v>-56.78223741047259</v>
      </c>
      <c r="DH79" s="138">
        <f t="shared" ref="DH79" si="186">SUM(DD79:DG79)</f>
        <v>-239.95242056805091</v>
      </c>
      <c r="DI79" s="181">
        <f>(DI75-DH75)-(DI78-DH78)</f>
        <v>-56.067206535840342</v>
      </c>
      <c r="DJ79" s="181">
        <f>(DJ75-DI75)-(DJ78-DI78)</f>
        <v>-53.830604824814145</v>
      </c>
      <c r="DK79" s="181">
        <f>(DK75-DJ75)-(DK78-DJ78)</f>
        <v>-51.57188570244216</v>
      </c>
      <c r="DL79" s="181">
        <f>(DL75-DK75)-(DL78-DK78)</f>
        <v>-49.290830453035596</v>
      </c>
      <c r="DM79" s="138">
        <f t="shared" ref="DM79" si="187">SUM(DI79:DL79)</f>
        <v>-210.76052751613224</v>
      </c>
      <c r="DN79" s="181">
        <f>(DN75-DM75)-(DN78-DM78)</f>
        <v>-48.206975569493807</v>
      </c>
      <c r="DO79" s="181">
        <f>(DO75-DN75)-(DO78-DN78)</f>
        <v>-45.832566742095878</v>
      </c>
      <c r="DP79" s="181">
        <f>(DP75-DO75)-(DP78-DO78)</f>
        <v>-43.434068220230529</v>
      </c>
      <c r="DQ79" s="181">
        <f>(DQ75-DP75)-(DQ78-DP78)</f>
        <v>-41.011235600584769</v>
      </c>
      <c r="DR79" s="138">
        <f t="shared" ref="DR79" si="188">SUM(DN79:DQ79)</f>
        <v>-178.48484613240498</v>
      </c>
      <c r="DS79" s="181">
        <f>(DS75-DR75)-(DS78-DR78)</f>
        <v>-39.538840060876737</v>
      </c>
      <c r="DT79" s="181">
        <f>(DT75-DS75)-(DT78-DS78)</f>
        <v>-37.01423197742406</v>
      </c>
      <c r="DU79" s="181">
        <f>(DU75-DT75)-(DU78-DT78)</f>
        <v>-34.463362751437217</v>
      </c>
      <c r="DV79" s="181">
        <f>(DV75-DU75)-(DV78-DU78)</f>
        <v>-31.885959212751004</v>
      </c>
      <c r="DW79" s="138">
        <f t="shared" ref="DW79" si="189">SUM(DS79:DV79)</f>
        <v>-142.90239400248902</v>
      </c>
      <c r="DX79" s="181">
        <f>(DX75-DW75)-(DX78-DW78)</f>
        <v>-30.003276451353941</v>
      </c>
      <c r="DY79" s="181">
        <f>(DY75-DX75)-(DY78-DX78)</f>
        <v>-27.314825832483621</v>
      </c>
      <c r="DZ79" s="181">
        <f>(DZ75-DY75)-(DZ78-DY78)</f>
        <v>-24.597720673914864</v>
      </c>
      <c r="EA79" s="181">
        <f>(EA75-DZ75)-(EA78-DZ78)</f>
        <v>-21.851655564553994</v>
      </c>
      <c r="EB79" s="138">
        <f t="shared" ref="EB79" si="190">SUM(DX79:EA79)</f>
        <v>-103.76747852230642</v>
      </c>
      <c r="EC79" s="181">
        <f>(EC75-EB75)-(EC78-EB78)</f>
        <v>-19.332864410229831</v>
      </c>
      <c r="ED79" s="181">
        <f>(ED75-EC75)-(ED78-EC78)</f>
        <v>-16.493000112647678</v>
      </c>
      <c r="EE79" s="181">
        <f>(EE75-ED75)-(EE78-ED78)</f>
        <v>-13.622460394572045</v>
      </c>
      <c r="EF79" s="181">
        <f>(EF75-EE75)-(EF78-EE78)</f>
        <v>-10.720913908683656</v>
      </c>
      <c r="EG79" s="138">
        <f t="shared" ref="EG79" si="191">SUM(EC79:EF79)</f>
        <v>-60.16923882613321</v>
      </c>
      <c r="EH79" s="181">
        <f>(EH75-EG75)-(EH78-EG78)</f>
        <v>-7.89132705583188</v>
      </c>
      <c r="EI79" s="181">
        <f>(EI75-EH75)-(EI78-EH78)</f>
        <v>-6.6314631050381649</v>
      </c>
      <c r="EJ79" s="181">
        <f>(EJ75-EI75)-(EJ78-EI78)</f>
        <v>-5.3578099484973336</v>
      </c>
      <c r="EK79" s="181">
        <f>(EK75-EJ75)-(EK78-EJ78)</f>
        <v>-4.0702166634092407</v>
      </c>
      <c r="EL79" s="138">
        <f>SUM(EH79:EK79)</f>
        <v>-23.950816772776619</v>
      </c>
      <c r="EM79" s="181">
        <f>(EM75-EL75)-(EM78-EL78)</f>
        <v>-2.8047566922082012</v>
      </c>
      <c r="EN79" s="181">
        <f>(EN75-EM75)-(EN78-EM78)</f>
        <v>-2.1151227528481087</v>
      </c>
      <c r="EO79" s="181">
        <f>(EO75-EN75)-(EO78-EN78)</f>
        <v>-1.4178420073172617</v>
      </c>
      <c r="EP79" s="181">
        <f>(EP75-EO75)-(EP78-EO78)</f>
        <v>-0.71282966622051447</v>
      </c>
      <c r="EQ79" s="138">
        <f>SUM(EM79:EP79)</f>
        <v>-7.0505511185940861</v>
      </c>
      <c r="ES79" s="684" t="s">
        <v>2983</v>
      </c>
    </row>
    <row r="80" spans="1:149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</row>
    <row r="81" spans="1:147">
      <c r="A81" s="5"/>
      <c r="B81" s="5" t="s">
        <v>2356</v>
      </c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G81" s="5"/>
      <c r="AH81" s="5"/>
      <c r="AI81" s="5"/>
      <c r="AJ81" s="5"/>
      <c r="AK81" s="5"/>
      <c r="AL81" s="5"/>
      <c r="AM81" s="5"/>
      <c r="AN81" s="435"/>
      <c r="AO81" s="435"/>
      <c r="AP81" s="138"/>
      <c r="AQ81" s="435"/>
      <c r="AR81" s="435"/>
      <c r="AS81" s="435"/>
      <c r="AT81" s="435"/>
      <c r="AU81" s="138"/>
      <c r="AV81" s="435"/>
      <c r="AW81" s="435"/>
      <c r="AX81" s="435"/>
      <c r="AY81" s="435"/>
      <c r="AZ81" s="138"/>
      <c r="BA81" s="435">
        <f>SUM(BB71:BD71,BF71)</f>
        <v>-1702.5</v>
      </c>
      <c r="BB81" s="435">
        <f>SUM(BC71:BD71,BF71:BG71)</f>
        <v>-3121</v>
      </c>
      <c r="BC81" s="435">
        <f>SUM(BD71,BF71:BH71)</f>
        <v>-5254.5</v>
      </c>
      <c r="BD81" s="435">
        <f>SUM(BF71:BI71)</f>
        <v>-7105</v>
      </c>
      <c r="BE81" s="600">
        <f t="shared" ref="BE81" si="192">BD81</f>
        <v>-7105</v>
      </c>
      <c r="BF81" s="435">
        <f>SUM(BG71:BI71,BK71)</f>
        <v>-8274</v>
      </c>
      <c r="BG81" s="435">
        <f>SUM(BH71:BI71,BK71:BL71)</f>
        <v>-8688</v>
      </c>
      <c r="BH81" s="435">
        <f>SUM(BI71,BK71:BM71)</f>
        <v>-6926</v>
      </c>
      <c r="BI81" s="435">
        <f>SUM(BK71:BN71)</f>
        <v>-5336</v>
      </c>
      <c r="BJ81" s="600">
        <f t="shared" ref="BJ81" si="193">BI81</f>
        <v>-5336</v>
      </c>
      <c r="BK81" s="435">
        <f>SUM(BL71:BN71,BP71)</f>
        <v>-4563.5</v>
      </c>
      <c r="BL81" s="435">
        <f>SUM(BM71:BN71,BP71:BQ71)</f>
        <v>-3400.6557119999998</v>
      </c>
      <c r="BM81" s="435">
        <f>SUM(BN71:BO71,BQ71:BR71)</f>
        <v>-6963.6557119999998</v>
      </c>
      <c r="BN81" s="435">
        <f>SUM(BO71:BP71,BR71:BS71)</f>
        <v>-7482.5</v>
      </c>
      <c r="BO81" s="600">
        <f t="shared" ref="BO81" si="194">BN81</f>
        <v>-7482.5</v>
      </c>
      <c r="BP81" s="435">
        <f>SUM(BQ71:BS71,BU71)</f>
        <v>-1674.655712</v>
      </c>
      <c r="BQ81" s="435">
        <f>SUM(BR71:BS71,BU71:BV71)</f>
        <v>-2194.3103449999999</v>
      </c>
      <c r="BR81" s="435">
        <f>SUM(BS71,BU71:BW71)</f>
        <v>-2069.3103449999999</v>
      </c>
      <c r="BS81" s="435">
        <f>SUM(BU71:BX71)</f>
        <v>-1944.3103449999999</v>
      </c>
      <c r="BT81" s="600">
        <f t="shared" ref="BT81" si="195">BS81</f>
        <v>-1944.3103449999999</v>
      </c>
      <c r="BU81" s="435">
        <f>SUM(BV71:BX71,BZ71)</f>
        <v>-1756.8103449999999</v>
      </c>
      <c r="BV81" s="435">
        <f>SUM(BW71:BX71,BZ71:CA71)</f>
        <v>-1574.3103449999999</v>
      </c>
      <c r="BW81" s="435">
        <f>SUM(BX71,BZ71:CB71)</f>
        <v>-1386.8103449999999</v>
      </c>
      <c r="BX81" s="435">
        <f>SUM(BZ71:CC71)</f>
        <v>-1199.3103449999999</v>
      </c>
      <c r="BY81" s="600">
        <f t="shared" ref="BY81" si="196">BX81</f>
        <v>-1199.3103449999999</v>
      </c>
      <c r="BZ81" s="435">
        <f>SUM(CA71:CC71,CE71)</f>
        <v>-1499.05172425</v>
      </c>
      <c r="CA81" s="435">
        <f>SUM(CB71:CC71,CE71:CF71)</f>
        <v>-599.48275850000005</v>
      </c>
      <c r="CB81" s="435">
        <f>SUM(CC71,CE71:CG71)</f>
        <v>-899.22413775000007</v>
      </c>
      <c r="CC81" s="435">
        <f>SUM(CE71:CH71)</f>
        <v>-1198.9655170000001</v>
      </c>
      <c r="CD81" s="600">
        <f t="shared" ref="CD81" si="197">CC81</f>
        <v>-1198.9655170000001</v>
      </c>
      <c r="CE81" s="435">
        <f>SUM(CF71:CH71,CJ71)</f>
        <v>-1200.2155170000001</v>
      </c>
      <c r="CF81" s="435">
        <f>SUM(CG71:CH71,CJ71:CK71)</f>
        <v>-1201.4655170000001</v>
      </c>
      <c r="CG81" s="435">
        <f>SUM(CH71,CJ71:CL71)</f>
        <v>-1202.7155170000001</v>
      </c>
      <c r="CH81" s="435">
        <f>SUM(CJ71:CM71)</f>
        <v>-1203.9655170000001</v>
      </c>
      <c r="CI81" s="600">
        <f t="shared" ref="CI81" si="198">CH81</f>
        <v>-1203.9655170000001</v>
      </c>
      <c r="CJ81" s="435">
        <f>SUM(CK71:CM71,CO71)</f>
        <v>-1203.9655170000001</v>
      </c>
      <c r="CK81" s="435">
        <f>SUM(CL71:CM71,CO71:CP71)</f>
        <v>-1203.9655170000001</v>
      </c>
      <c r="CL81" s="435">
        <f>SUM(CM71,CO71:CQ71)</f>
        <v>-1203.9655170000001</v>
      </c>
      <c r="CM81" s="435">
        <f>SUM(CO71:CR71)</f>
        <v>-1203.9655170000001</v>
      </c>
      <c r="CN81" s="600">
        <f t="shared" ref="CN81" si="199">CM81</f>
        <v>-1203.9655170000001</v>
      </c>
      <c r="CO81" s="435">
        <f>SUM(CP71:CR71,CT71)</f>
        <v>-1185.2155170000001</v>
      </c>
      <c r="CP81" s="435">
        <f>SUM(CQ71:CR71,CT71:CU71)</f>
        <v>-1166.4655170000001</v>
      </c>
      <c r="CQ81" s="435">
        <f>SUM(CR71,CT71:CV71)</f>
        <v>-1147.7155170000001</v>
      </c>
      <c r="CR81" s="435">
        <f>SUM(CT71:CW71)</f>
        <v>-1128.9655170000001</v>
      </c>
      <c r="CS81" s="600">
        <f t="shared" ref="CS81" si="200">CR81</f>
        <v>-1128.9655170000001</v>
      </c>
      <c r="CT81" s="435">
        <f>SUM(CU71:CW71,CY71)</f>
        <v>-1128.9655170000001</v>
      </c>
      <c r="CU81" s="435">
        <f>SUM(CV71:CW71,CY71:CZ71)</f>
        <v>-1128.9655170000001</v>
      </c>
      <c r="CV81" s="435">
        <f>SUM(CW71,CY71:DA71)</f>
        <v>-1128.9655170000001</v>
      </c>
      <c r="CW81" s="435">
        <f>SUM(CY71:DB71)</f>
        <v>-1128.9655170000001</v>
      </c>
      <c r="CX81" s="600">
        <f t="shared" ref="CX81" si="201">CW81</f>
        <v>-1128.9655170000001</v>
      </c>
      <c r="CY81" s="435">
        <f>SUM(CZ71:DB71,DD71)</f>
        <v>-1128.9655170000001</v>
      </c>
      <c r="CZ81" s="435">
        <f>SUM(DA71:DB71,DD71:DE71)</f>
        <v>-1128.9655170000001</v>
      </c>
      <c r="DA81" s="435">
        <f>SUM(DB71,DD71:DF71)</f>
        <v>-1128.9655170000001</v>
      </c>
      <c r="DB81" s="435">
        <f>SUM(DD71:DG71)</f>
        <v>-1128.9655170000001</v>
      </c>
      <c r="DC81" s="600">
        <f t="shared" ref="DC81" si="202">DB81</f>
        <v>-1128.9655170000001</v>
      </c>
      <c r="DD81" s="435">
        <f>SUM(DE71:DG71,DI71)</f>
        <v>-1128.9655170000001</v>
      </c>
      <c r="DE81" s="435">
        <f>SUM(DF71:DG71,DI71:DJ71)</f>
        <v>-1128.9655170000001</v>
      </c>
      <c r="DF81" s="435">
        <f>SUM(DG71,DI71:DK71)</f>
        <v>-1128.9655170000001</v>
      </c>
      <c r="DG81" s="435">
        <f>SUM(DI71:DL71)</f>
        <v>-1128.9655170000001</v>
      </c>
      <c r="DH81" s="600">
        <f t="shared" ref="DH81" si="203">DG81</f>
        <v>-1128.9655170000001</v>
      </c>
      <c r="DI81" s="435">
        <f>SUM(DJ71:DL71,DN71)</f>
        <v>-1128.9655170000001</v>
      </c>
      <c r="DJ81" s="435">
        <f>SUM(DK71:DL71,DN71:DO71)</f>
        <v>-1128.9655170000001</v>
      </c>
      <c r="DK81" s="435">
        <f>SUM(DL71,DN71:DP71)</f>
        <v>-1128.9655170000001</v>
      </c>
      <c r="DL81" s="435">
        <f>SUM(DN71:DQ71)</f>
        <v>-1128.9655170000001</v>
      </c>
      <c r="DM81" s="600">
        <f t="shared" ref="DM81" si="204">DL81</f>
        <v>-1128.9655170000001</v>
      </c>
      <c r="DN81" s="435">
        <f>SUM(DO71:DQ71,DS71)</f>
        <v>-1128.9655170000001</v>
      </c>
      <c r="DO81" s="435">
        <f>SUM(DP71:DQ71,DS71:DT71)</f>
        <v>-1128.9655170000001</v>
      </c>
      <c r="DP81" s="435">
        <f>SUM(DQ71,DS71:DU71)</f>
        <v>-1128.9655170000001</v>
      </c>
      <c r="DQ81" s="435">
        <f>SUM(DS71:DV71)</f>
        <v>-1128.9655170000001</v>
      </c>
      <c r="DR81" s="600">
        <f t="shared" ref="DR81" si="205">DQ81</f>
        <v>-1128.9655170000001</v>
      </c>
      <c r="DS81" s="435">
        <f>SUM(DT71:DV71,DX71)</f>
        <v>-1128.9655170000001</v>
      </c>
      <c r="DT81" s="435">
        <f>SUM(DU71:DV71,DX71:DY71)</f>
        <v>-1128.9655170000001</v>
      </c>
      <c r="DU81" s="435">
        <f>SUM(DV71,DX71:DZ71)</f>
        <v>-1128.9655170000001</v>
      </c>
      <c r="DV81" s="435">
        <f>SUM(DX71:EA71)</f>
        <v>-1128.9655170000001</v>
      </c>
      <c r="DW81" s="600">
        <f t="shared" ref="DW81" si="206">DV81</f>
        <v>-1128.9655170000001</v>
      </c>
      <c r="DX81" s="435">
        <f>SUM(DY71:EA71,EC71)</f>
        <v>-1128.9655164999999</v>
      </c>
      <c r="DY81" s="435">
        <f>SUM(DZ71:EA71,EC71:ED71)</f>
        <v>-1128.965516</v>
      </c>
      <c r="DZ81" s="435">
        <f>SUM(EA71,EC71:EE71)</f>
        <v>-1128.9655155</v>
      </c>
      <c r="EA81" s="435">
        <f>SUM(EC71:EF71)</f>
        <v>-1128.9655149999999</v>
      </c>
      <c r="EB81" s="600">
        <f t="shared" ref="EB81" si="207">EA81</f>
        <v>-1128.9655149999999</v>
      </c>
      <c r="EC81" s="435">
        <f>SUM(ED71:EF71,EH71)</f>
        <v>-969.7241362499999</v>
      </c>
      <c r="ED81" s="435">
        <f>SUM(EE71:EF71,EH71:EI71)</f>
        <v>-810.48275749999993</v>
      </c>
      <c r="EE81" s="435">
        <f>SUM(EF71,EH71:EJ71)</f>
        <v>-651.24137874999997</v>
      </c>
      <c r="EF81" s="435">
        <f>SUM(EH71:EK71)</f>
        <v>-492</v>
      </c>
      <c r="EG81" s="600">
        <f t="shared" ref="EG81:EG82" si="208">EF81</f>
        <v>-492</v>
      </c>
      <c r="EH81" s="435">
        <f>SUM(EI71:EK71,EM71)</f>
        <v>-434</v>
      </c>
      <c r="EI81" s="435">
        <f>SUM(EJ71:EK71,EM71:EN71)</f>
        <v>-376</v>
      </c>
      <c r="EJ81" s="435">
        <f>SUM(EK71,EM71:EO71)</f>
        <v>-318</v>
      </c>
      <c r="EK81" s="435">
        <f>SUM(EM71:EP71)</f>
        <v>-260</v>
      </c>
      <c r="EL81" s="600">
        <f>EK81</f>
        <v>-260</v>
      </c>
      <c r="EM81" s="435">
        <f>SUM(EN71:EP71)</f>
        <v>-195</v>
      </c>
      <c r="EN81" s="435">
        <f>SUM(EO71:EP71)</f>
        <v>-130</v>
      </c>
      <c r="EO81" s="435">
        <f>EP71</f>
        <v>-65</v>
      </c>
      <c r="EP81" s="435">
        <f>EQ81</f>
        <v>0</v>
      </c>
      <c r="EQ81" s="600">
        <v>0</v>
      </c>
    </row>
    <row r="82" spans="1:147">
      <c r="A82" s="5"/>
      <c r="B82" s="5" t="s">
        <v>2357</v>
      </c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G82" s="5"/>
      <c r="AH82" s="5"/>
      <c r="AI82" s="5"/>
      <c r="AJ82" s="5"/>
      <c r="AK82" s="5"/>
      <c r="AL82" s="5"/>
      <c r="AM82" s="5"/>
      <c r="AN82" s="435"/>
      <c r="AO82" s="435"/>
      <c r="AP82" s="138"/>
      <c r="AQ82" s="435"/>
      <c r="AR82" s="435"/>
      <c r="AS82" s="435"/>
      <c r="AT82" s="435"/>
      <c r="AU82" s="138"/>
      <c r="AV82" s="435"/>
      <c r="AW82" s="435"/>
      <c r="AX82" s="435"/>
      <c r="AY82" s="435"/>
      <c r="AZ82" s="138"/>
      <c r="BA82" s="435">
        <f>BA75-BA81</f>
        <v>-27241.745532252196</v>
      </c>
      <c r="BB82" s="435">
        <f>BB75-BB81</f>
        <v>-25630.745532252196</v>
      </c>
      <c r="BC82" s="435">
        <f>BC75-BC81</f>
        <v>-23304.745532252196</v>
      </c>
      <c r="BD82" s="435">
        <f>BD75-BD81</f>
        <v>-21261.745532252196</v>
      </c>
      <c r="BE82" s="600">
        <f t="shared" ref="BE82" si="209">BD82</f>
        <v>-21261.745532252196</v>
      </c>
      <c r="BF82" s="435">
        <f>BF75-BF81</f>
        <v>-19017.737262949802</v>
      </c>
      <c r="BG82" s="435">
        <f>BG75-BG81</f>
        <v>-17040.834468107438</v>
      </c>
      <c r="BH82" s="435">
        <f>BH75-BH81</f>
        <v>-16522.177313744436</v>
      </c>
      <c r="BI82" s="435">
        <f>BI75-BI81</f>
        <v>-16110.500875669637</v>
      </c>
      <c r="BJ82" s="600">
        <f t="shared" ref="BJ82" si="210">BI82</f>
        <v>-16110.500875669637</v>
      </c>
      <c r="BK82" s="435">
        <f>BK75-BK81</f>
        <v>-14657.196483180509</v>
      </c>
      <c r="BL82" s="435">
        <f>BL75-BL81</f>
        <v>-13856.158763390587</v>
      </c>
      <c r="BM82" s="435">
        <f>BM75-BM81</f>
        <v>-9748.4637860597068</v>
      </c>
      <c r="BN82" s="435">
        <f>BN75-BN81</f>
        <v>-8795.3151760029996</v>
      </c>
      <c r="BO82" s="600">
        <f t="shared" ref="BO82" si="211">BN82</f>
        <v>-8795.3151760029996</v>
      </c>
      <c r="BP82" s="435">
        <f>BP75-BP81</f>
        <v>-13154.621086545769</v>
      </c>
      <c r="BQ82" s="435">
        <f>BQ75-BQ81</f>
        <v>-11839.279618643772</v>
      </c>
      <c r="BR82" s="435">
        <f>BR75-BR81</f>
        <v>-11714.68200958361</v>
      </c>
      <c r="BS82" s="435">
        <f>BS75-BS81</f>
        <v>-11588.965635729592</v>
      </c>
      <c r="BT82" s="600">
        <f t="shared" ref="BT82" si="212">BS82</f>
        <v>-11588.965635729592</v>
      </c>
      <c r="BU82" s="435">
        <f>BU75-BU81</f>
        <v>-11663.557845914269</v>
      </c>
      <c r="BV82" s="435">
        <f>BV75-BV81</f>
        <v>-10538.217390117583</v>
      </c>
      <c r="BW82" s="435">
        <f>BW75-BW81</f>
        <v>-10604.978772651431</v>
      </c>
      <c r="BX82" s="435">
        <f>BX75-BX81</f>
        <v>-10671.074672537599</v>
      </c>
      <c r="BY82" s="600">
        <f t="shared" ref="BY82" si="213">BX82</f>
        <v>-10671.074672537599</v>
      </c>
      <c r="BZ82" s="435">
        <f>BZ75-BZ81</f>
        <v>-10447.720609619497</v>
      </c>
      <c r="CA82" s="435">
        <f>CA75-CA81</f>
        <v>-10224.858108018721</v>
      </c>
      <c r="CB82" s="435">
        <f>CB75-CB81</f>
        <v>-9994.7726286096677</v>
      </c>
      <c r="CC82" s="435">
        <f>CC75-CC81</f>
        <v>-9765.1353930652949</v>
      </c>
      <c r="CD82" s="600">
        <f t="shared" ref="CD82" si="214">CC82</f>
        <v>-9765.1353930652949</v>
      </c>
      <c r="CE82" s="435">
        <f>CE75-CE81</f>
        <v>-9542.8238758528587</v>
      </c>
      <c r="CF82" s="435">
        <f>CF75-CF81</f>
        <v>-9318.9259914755494</v>
      </c>
      <c r="CG82" s="435">
        <f>CG75-CG81</f>
        <v>-9093.4303559493346</v>
      </c>
      <c r="CH82" s="435">
        <f>CH75-CH81</f>
        <v>-8866.3255035971852</v>
      </c>
      <c r="CI82" s="600">
        <f t="shared" ref="CI82" si="215">CH82</f>
        <v>-8866.3255035971852</v>
      </c>
      <c r="CJ82" s="435">
        <f>CJ75-CJ81</f>
        <v>-8645.0457131733619</v>
      </c>
      <c r="CK82" s="435">
        <f>CK75-CK81</f>
        <v>-8422.0143781681818</v>
      </c>
      <c r="CL82" s="435">
        <f>CL75-CL81</f>
        <v>-8197.217634195682</v>
      </c>
      <c r="CM82" s="435">
        <f>CM75-CM81</f>
        <v>-7970.6415071260762</v>
      </c>
      <c r="CN82" s="600">
        <f t="shared" ref="CN82" si="216">CM82</f>
        <v>-7970.6415071260762</v>
      </c>
      <c r="CO82" s="435">
        <f>CO75-CO81</f>
        <v>-7765.4912770583651</v>
      </c>
      <c r="CP82" s="435">
        <f>CP75-CP81</f>
        <v>-7558.4596883675858</v>
      </c>
      <c r="CQ82" s="435">
        <f>CQ75-CQ81</f>
        <v>-7349.5309326275146</v>
      </c>
      <c r="CR82" s="435">
        <f>CR75-CR81</f>
        <v>-7138.6890685790186</v>
      </c>
      <c r="CS82" s="600">
        <f t="shared" ref="CS82" si="217">CR82</f>
        <v>-7138.6890685790186</v>
      </c>
      <c r="CT82" s="435">
        <f>CT75-CT81</f>
        <v>-6929.9397399110858</v>
      </c>
      <c r="CU82" s="435">
        <f>CU75-CU81</f>
        <v>-6719.3348165200496</v>
      </c>
      <c r="CV82" s="435">
        <f>CV75-CV81</f>
        <v>-6506.8578038293854</v>
      </c>
      <c r="CW82" s="435">
        <f>CW75-CW81</f>
        <v>-6292.4920606405412</v>
      </c>
      <c r="CX82" s="600">
        <f t="shared" ref="CX82" si="218">CW82</f>
        <v>-6292.4920606405412</v>
      </c>
      <c r="CY82" s="435">
        <f>CY75-CY81</f>
        <v>-6079.8256782251337</v>
      </c>
      <c r="CZ82" s="435">
        <f>CZ75-CZ81</f>
        <v>-5865.1655819430634</v>
      </c>
      <c r="DA82" s="435">
        <f>DA75-DA81</f>
        <v>-5648.4930810405949</v>
      </c>
      <c r="DB82" s="435">
        <f>DB75-DB81</f>
        <v>-5429.7893095411146</v>
      </c>
      <c r="DC82" s="600">
        <f t="shared" ref="DC82" si="219">DB82</f>
        <v>-5429.7893095411146</v>
      </c>
      <c r="DD82" s="435">
        <f>DD75-DD81</f>
        <v>-5210.7214814163781</v>
      </c>
      <c r="DE82" s="435">
        <f>DE75-DE81</f>
        <v>-4989.5436045086099</v>
      </c>
      <c r="DF82" s="435">
        <f>DF75-DF81</f>
        <v>-4766.2353549486925</v>
      </c>
      <c r="DG82" s="435">
        <f>DG75-DG81</f>
        <v>-4540.7762131091658</v>
      </c>
      <c r="DH82" s="600">
        <f t="shared" ref="DH82" si="220">DG82</f>
        <v>-4540.7762131091658</v>
      </c>
      <c r="DI82" s="435">
        <f>DI75-DI81</f>
        <v>-4314.602040395006</v>
      </c>
      <c r="DJ82" s="435">
        <f>DJ75-DJ81</f>
        <v>-4086.1912659698196</v>
      </c>
      <c r="DK82" s="435">
        <f>DK75-DK81</f>
        <v>-3855.5217724222616</v>
      </c>
      <c r="DL82" s="435">
        <f>DL75-DL81</f>
        <v>-3622.5712236252971</v>
      </c>
      <c r="DM82" s="600">
        <f t="shared" ref="DM82" si="221">DL82</f>
        <v>-3622.5712236252971</v>
      </c>
      <c r="DN82" s="435">
        <f>DN75-DN81</f>
        <v>-3388.5368199447908</v>
      </c>
      <c r="DO82" s="435">
        <f>DO75-DO81</f>
        <v>-3152.1280074368865</v>
      </c>
      <c r="DP82" s="435">
        <f>DP75-DP81</f>
        <v>-2913.3206964071169</v>
      </c>
      <c r="DQ82" s="435">
        <f>DQ75-DQ81</f>
        <v>-2672.0905527577015</v>
      </c>
      <c r="DR82" s="600">
        <f t="shared" ref="DR82" si="222">DQ82</f>
        <v>-2672.0905527577015</v>
      </c>
      <c r="DS82" s="435">
        <f>DS75-DS81</f>
        <v>-2429.3880135685781</v>
      </c>
      <c r="DT82" s="435">
        <f>DT75-DT81</f>
        <v>-2184.160866296002</v>
      </c>
      <c r="DU82" s="435">
        <f>DU75-DU81</f>
        <v>-1936.3828497974391</v>
      </c>
      <c r="DV82" s="435">
        <f>DV75-DV81</f>
        <v>-1686.02742976019</v>
      </c>
      <c r="DW82" s="600">
        <f t="shared" ref="DW82" si="223">DV82</f>
        <v>-1686.02742976019</v>
      </c>
      <c r="DX82" s="435">
        <f>DX75-DX81</f>
        <v>-1433.789327461544</v>
      </c>
      <c r="DY82" s="435">
        <f>DY75-DY81</f>
        <v>-1178.8627745440274</v>
      </c>
      <c r="DZ82" s="435">
        <f>DZ75-DZ81</f>
        <v>-921.21911646794206</v>
      </c>
      <c r="EA82" s="435">
        <f>EA75-EA81</f>
        <v>-660.82939328249608</v>
      </c>
      <c r="EB82" s="600">
        <f t="shared" ref="EB82" si="224">EA82</f>
        <v>-660.82939328249608</v>
      </c>
      <c r="EC82" s="435">
        <f>EC75-EC81</f>
        <v>-557.16225769272592</v>
      </c>
      <c r="ED82" s="435">
        <f>ED75-ED81</f>
        <v>-450.65525780537359</v>
      </c>
      <c r="EE82" s="435">
        <f>EE75-EE81</f>
        <v>-341.27771819994564</v>
      </c>
      <c r="EF82" s="435">
        <f>EF75-EF81</f>
        <v>-228.99863210862929</v>
      </c>
      <c r="EG82" s="600">
        <f t="shared" si="208"/>
        <v>-228.99863210862929</v>
      </c>
      <c r="EH82" s="435">
        <f>EH75-EH81</f>
        <v>-171.88995916446117</v>
      </c>
      <c r="EI82" s="435">
        <f>EI75-EI81</f>
        <v>-113.52142226949934</v>
      </c>
      <c r="EJ82" s="435">
        <f>EJ75-EJ81</f>
        <v>-53.879232217996673</v>
      </c>
      <c r="EK82" s="435">
        <f>EK75-EK81</f>
        <v>7.0505511185940861</v>
      </c>
      <c r="EL82" s="600">
        <f>EK82</f>
        <v>7.0505511185940861</v>
      </c>
      <c r="EM82" s="435">
        <f>EM75-EM81</f>
        <v>4.2457944263858849</v>
      </c>
      <c r="EN82" s="435">
        <f>EN75-EN81</f>
        <v>2.1306716735377762</v>
      </c>
      <c r="EO82" s="435">
        <f>EO75-EO81</f>
        <v>0.71282966622051447</v>
      </c>
      <c r="EP82" s="435">
        <f>EQ82</f>
        <v>0</v>
      </c>
      <c r="EQ82" s="600">
        <f>EQ75-EQ81</f>
        <v>0</v>
      </c>
    </row>
    <row r="83" spans="1:147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G83" s="5"/>
      <c r="AH83" s="5"/>
      <c r="AI83" s="5"/>
      <c r="AJ83" s="5"/>
      <c r="AK83" s="5"/>
      <c r="AL83" s="5"/>
      <c r="AM83" s="5"/>
      <c r="AN83" s="435"/>
      <c r="AO83" s="435"/>
      <c r="AP83" s="138"/>
      <c r="AQ83" s="435"/>
      <c r="AR83" s="435"/>
      <c r="AS83" s="435"/>
      <c r="AT83" s="435"/>
      <c r="AU83" s="138"/>
      <c r="AV83" s="435"/>
      <c r="AW83" s="435"/>
      <c r="AX83" s="435"/>
      <c r="AY83" s="435"/>
      <c r="AZ83" s="138"/>
      <c r="BA83" s="435"/>
      <c r="BB83" s="435"/>
      <c r="BC83" s="435"/>
      <c r="BD83" s="435"/>
      <c r="BE83" s="600"/>
      <c r="BF83" s="435"/>
      <c r="BG83" s="435"/>
      <c r="BH83" s="435"/>
      <c r="BI83" s="435"/>
      <c r="BJ83" s="600"/>
      <c r="BK83" s="435"/>
      <c r="BL83" s="435"/>
      <c r="BM83" s="435"/>
      <c r="BN83" s="435"/>
      <c r="BO83" s="600"/>
      <c r="BP83" s="435"/>
      <c r="BQ83" s="435"/>
      <c r="BR83" s="435"/>
      <c r="BS83" s="435"/>
      <c r="BT83" s="600"/>
      <c r="BU83" s="435"/>
      <c r="BV83" s="435"/>
      <c r="BW83" s="435"/>
      <c r="BX83" s="435"/>
      <c r="BY83" s="600"/>
      <c r="BZ83" s="435"/>
      <c r="CA83" s="435"/>
      <c r="CB83" s="435"/>
      <c r="CC83" s="435"/>
      <c r="CD83" s="600"/>
      <c r="CE83" s="435"/>
      <c r="CF83" s="435"/>
      <c r="CG83" s="435"/>
      <c r="CH83" s="435"/>
      <c r="CI83" s="600"/>
      <c r="CJ83" s="435"/>
      <c r="CK83" s="435"/>
      <c r="CL83" s="435"/>
      <c r="CM83" s="435"/>
      <c r="CN83" s="600"/>
      <c r="CO83" s="435"/>
      <c r="CP83" s="435"/>
      <c r="CQ83" s="435"/>
      <c r="CR83" s="435"/>
      <c r="CS83" s="600"/>
      <c r="CT83" s="435"/>
      <c r="CU83" s="435"/>
      <c r="CV83" s="435"/>
      <c r="CW83" s="435"/>
      <c r="CX83" s="600"/>
      <c r="CY83" s="435"/>
      <c r="CZ83" s="435"/>
      <c r="DA83" s="435"/>
      <c r="DB83" s="435"/>
      <c r="DC83" s="600"/>
      <c r="DD83" s="435"/>
      <c r="DE83" s="435"/>
      <c r="DF83" s="435"/>
      <c r="DG83" s="435"/>
      <c r="DH83" s="600"/>
      <c r="DI83" s="435"/>
      <c r="DJ83" s="435"/>
      <c r="DK83" s="435"/>
      <c r="DL83" s="435"/>
      <c r="DM83" s="600"/>
      <c r="DN83" s="435"/>
      <c r="DO83" s="435"/>
      <c r="DP83" s="435"/>
      <c r="DQ83" s="435"/>
      <c r="DR83" s="600"/>
      <c r="DS83" s="435"/>
      <c r="DT83" s="435"/>
      <c r="DU83" s="435"/>
      <c r="DV83" s="435"/>
      <c r="DW83" s="600"/>
      <c r="DX83" s="435"/>
      <c r="DY83" s="435"/>
      <c r="DZ83" s="435"/>
      <c r="EA83" s="435"/>
      <c r="EB83" s="600"/>
      <c r="EC83" s="435"/>
      <c r="ED83" s="435"/>
      <c r="EE83" s="435"/>
      <c r="EF83" s="435"/>
      <c r="EG83" s="600"/>
      <c r="EH83" s="435"/>
      <c r="EI83" s="435"/>
      <c r="EJ83" s="435"/>
      <c r="EK83" s="435"/>
      <c r="EL83" s="600"/>
      <c r="EM83" s="435"/>
      <c r="EN83" s="435"/>
      <c r="EO83" s="435"/>
      <c r="EP83" s="435"/>
      <c r="EQ83" s="600"/>
    </row>
    <row r="85" spans="1:147">
      <c r="A85" s="121" t="s">
        <v>1341</v>
      </c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107"/>
      <c r="AD85" s="107">
        <f>AC44-AD44</f>
        <v>-3952</v>
      </c>
      <c r="AE85" s="107">
        <f>AD44-AE44</f>
        <v>-4662</v>
      </c>
      <c r="AF85" s="5">
        <f>SUM(AB85:AE85)</f>
        <v>-8614</v>
      </c>
      <c r="AG85" s="107">
        <f>AE44-AG44</f>
        <v>-2609</v>
      </c>
      <c r="AH85" s="107">
        <f>AG44-AH44</f>
        <v>-2266</v>
      </c>
      <c r="AI85" s="107">
        <f>AH44-AI44</f>
        <v>-489</v>
      </c>
      <c r="AJ85" s="12">
        <f>AI44-AJ44</f>
        <v>-3804</v>
      </c>
      <c r="AK85" s="5">
        <f>SUM(AG85:AJ85)</f>
        <v>-9168</v>
      </c>
      <c r="AL85" s="12">
        <f>AK44-AL44</f>
        <v>-1206</v>
      </c>
      <c r="AM85" s="12">
        <f>AL44-AM44</f>
        <v>-924</v>
      </c>
      <c r="AN85" s="12">
        <f>AM44-AN44</f>
        <v>-24</v>
      </c>
      <c r="AO85" s="12">
        <f>AN44-AO44</f>
        <v>4692</v>
      </c>
      <c r="AP85" s="5">
        <f>SUM(AL85:AO85)</f>
        <v>2538</v>
      </c>
      <c r="AQ85" s="12">
        <f>AO44-AQ44</f>
        <v>-294</v>
      </c>
      <c r="AR85" s="12">
        <f>AQ44-AR44</f>
        <v>309</v>
      </c>
      <c r="AS85" s="12">
        <f>AR44-AS44</f>
        <v>79</v>
      </c>
      <c r="AT85" s="12">
        <f>AS44-AT44</f>
        <v>229</v>
      </c>
      <c r="AU85" s="5">
        <f>SUM(AQ85:AT85)</f>
        <v>323</v>
      </c>
      <c r="AV85" s="12">
        <f>AT44-AV44</f>
        <v>-555</v>
      </c>
      <c r="AW85" s="12">
        <f>AV44-AW44</f>
        <v>445</v>
      </c>
      <c r="AX85" s="12">
        <f>AW44-AX44</f>
        <v>40</v>
      </c>
      <c r="AY85" s="12">
        <f>AX44-AY44</f>
        <v>618</v>
      </c>
      <c r="AZ85" s="5">
        <f>SUM(AV85:AY85)</f>
        <v>548</v>
      </c>
      <c r="BA85" s="12">
        <f>AY44-BA44</f>
        <v>-471</v>
      </c>
      <c r="BB85" s="12">
        <f>BA44-BB44</f>
        <v>7048</v>
      </c>
      <c r="BC85" s="12">
        <f>BB44-BC44</f>
        <v>317</v>
      </c>
      <c r="BD85" s="12">
        <f>BC44-BD44</f>
        <v>440</v>
      </c>
      <c r="BE85" s="5">
        <f>SUM(BA85:BD85)</f>
        <v>7334</v>
      </c>
      <c r="BF85" s="12">
        <f>BD44-BF44</f>
        <v>-459</v>
      </c>
      <c r="BG85" s="12">
        <f>BF44-BG44</f>
        <v>1298</v>
      </c>
      <c r="BH85" s="12">
        <f>BG44-BH44</f>
        <v>-2190</v>
      </c>
      <c r="BI85" s="12">
        <f>BH44-BI44</f>
        <v>-1512</v>
      </c>
      <c r="BJ85" s="5">
        <f>SUM(BF85:BI85)</f>
        <v>-2863</v>
      </c>
      <c r="BK85" s="12">
        <f>BI44-BK44</f>
        <v>-2181</v>
      </c>
      <c r="BL85" s="12">
        <f>BK44-BL44</f>
        <v>-1712</v>
      </c>
      <c r="BM85" s="12">
        <f>BL44-BM44</f>
        <v>-428</v>
      </c>
      <c r="BN85" s="12">
        <f ca="1">BM44-BN44</f>
        <v>4556</v>
      </c>
      <c r="BO85" s="5">
        <f ca="1">SUM(BK85:BN85)</f>
        <v>235</v>
      </c>
      <c r="BP85" s="12">
        <f ca="1">BN44-BP44</f>
        <v>-1448.538377457231</v>
      </c>
      <c r="BQ85" s="12">
        <f ca="1">BP44-BQ44</f>
        <v>-795.68683490199692</v>
      </c>
      <c r="BR85" s="12">
        <f ca="1">BQ44-BR44</f>
        <v>-249.59760906016163</v>
      </c>
      <c r="BS85" s="12">
        <f ca="1">BR44-BS44</f>
        <v>-250.71637385401846</v>
      </c>
      <c r="BT85" s="5">
        <f ca="1">SUM(BP85:BS85)</f>
        <v>-2744.539195273408</v>
      </c>
      <c r="BU85" s="12">
        <f ca="1">BS44-BU44</f>
        <v>-112.90778981532276</v>
      </c>
      <c r="BV85" s="12">
        <f ca="1">BU44-BV44</f>
        <v>-1307.840455796686</v>
      </c>
      <c r="BW85" s="12">
        <f ca="1">BV44-BW44</f>
        <v>-120.73861746615148</v>
      </c>
      <c r="BX85" s="12">
        <f ca="1">BW44-BX44</f>
        <v>-121.4041001138321</v>
      </c>
      <c r="BY85" s="5">
        <f ca="1">SUM(BU85:BX85)</f>
        <v>-1662.8909631919923</v>
      </c>
      <c r="BZ85" s="12">
        <f ca="1">BX44-BZ44</f>
        <v>76.387316331898546</v>
      </c>
      <c r="CA85" s="12">
        <f ca="1">BZ44-CA44</f>
        <v>-1122.4314673507761</v>
      </c>
      <c r="CB85" s="12">
        <f ca="1">CA44-CB44</f>
        <v>69.655899840946404</v>
      </c>
      <c r="CC85" s="12">
        <f ca="1">CB44-CC44</f>
        <v>70.104143705627394</v>
      </c>
      <c r="CD85" s="5">
        <f ca="1">SUM(BZ85:CC85)</f>
        <v>-906.28410747230373</v>
      </c>
      <c r="CE85" s="5"/>
      <c r="CF85" s="5"/>
      <c r="CG85" s="5"/>
    </row>
    <row r="87" spans="1:147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</row>
    <row r="88" spans="1:147">
      <c r="A88" s="9" t="s">
        <v>2719</v>
      </c>
      <c r="B88" s="4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12"/>
      <c r="AC88" s="12"/>
      <c r="AD88" s="12"/>
      <c r="AE88" s="12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</row>
    <row r="89" spans="1:147" ht="12.75" customHeight="1">
      <c r="A89" s="10"/>
      <c r="B89" s="10"/>
      <c r="C89" s="31">
        <v>2001</v>
      </c>
      <c r="D89" s="32">
        <v>2002</v>
      </c>
      <c r="E89" s="32">
        <v>2003</v>
      </c>
      <c r="F89" s="32">
        <v>2004</v>
      </c>
      <c r="G89" s="31">
        <v>2005</v>
      </c>
      <c r="H89" s="33" t="s">
        <v>714</v>
      </c>
      <c r="I89" s="33" t="s">
        <v>715</v>
      </c>
      <c r="J89" s="33" t="s">
        <v>716</v>
      </c>
      <c r="K89" s="33" t="s">
        <v>717</v>
      </c>
      <c r="L89" s="31">
        <v>2006</v>
      </c>
      <c r="M89" s="33" t="s">
        <v>718</v>
      </c>
      <c r="N89" s="33" t="s">
        <v>719</v>
      </c>
      <c r="O89" s="33" t="s">
        <v>1970</v>
      </c>
      <c r="P89" s="33" t="s">
        <v>1971</v>
      </c>
      <c r="Q89" s="31">
        <v>2007</v>
      </c>
      <c r="R89" s="33" t="s">
        <v>1972</v>
      </c>
      <c r="S89" s="33" t="s">
        <v>1973</v>
      </c>
      <c r="T89" s="33" t="s">
        <v>1974</v>
      </c>
      <c r="U89" s="33" t="s">
        <v>1975</v>
      </c>
      <c r="V89" s="31">
        <v>2008</v>
      </c>
      <c r="W89" s="33" t="s">
        <v>1976</v>
      </c>
      <c r="X89" s="33" t="s">
        <v>1977</v>
      </c>
      <c r="Y89" s="33" t="s">
        <v>1978</v>
      </c>
      <c r="Z89" s="33" t="s">
        <v>1979</v>
      </c>
      <c r="AA89" s="31">
        <v>2009</v>
      </c>
      <c r="AB89" s="33" t="s">
        <v>1980</v>
      </c>
      <c r="AC89" s="33" t="s">
        <v>1981</v>
      </c>
      <c r="AD89" s="33" t="s">
        <v>1982</v>
      </c>
      <c r="AE89" s="33" t="s">
        <v>2392</v>
      </c>
      <c r="AF89" s="31">
        <v>2010</v>
      </c>
      <c r="AG89" s="33" t="s">
        <v>2393</v>
      </c>
      <c r="AH89" s="33" t="s">
        <v>2394</v>
      </c>
      <c r="AI89" s="33" t="s">
        <v>2395</v>
      </c>
      <c r="AJ89" s="33" t="s">
        <v>2396</v>
      </c>
      <c r="AK89" s="31">
        <v>2011</v>
      </c>
      <c r="AL89" s="368" t="s">
        <v>2397</v>
      </c>
      <c r="AM89" s="368" t="s">
        <v>2398</v>
      </c>
      <c r="AN89" s="368" t="s">
        <v>2399</v>
      </c>
      <c r="AO89" s="368" t="s">
        <v>2400</v>
      </c>
      <c r="AP89" s="369">
        <v>2012</v>
      </c>
      <c r="AQ89" s="33" t="s">
        <v>2401</v>
      </c>
      <c r="AR89" s="33" t="s">
        <v>2402</v>
      </c>
      <c r="AS89" s="33" t="s">
        <v>2403</v>
      </c>
      <c r="AT89" s="33" t="s">
        <v>2404</v>
      </c>
      <c r="AU89" s="31">
        <v>2013</v>
      </c>
      <c r="AV89" s="33" t="s">
        <v>2405</v>
      </c>
      <c r="AW89" s="33" t="s">
        <v>2406</v>
      </c>
      <c r="AX89" s="33" t="s">
        <v>2407</v>
      </c>
      <c r="AY89" s="368" t="s">
        <v>2408</v>
      </c>
      <c r="AZ89" s="31">
        <v>2014</v>
      </c>
      <c r="BA89" s="368" t="s">
        <v>2409</v>
      </c>
      <c r="BB89" s="368" t="s">
        <v>2410</v>
      </c>
      <c r="BC89" s="368" t="s">
        <v>2411</v>
      </c>
      <c r="BD89" s="368" t="s">
        <v>2412</v>
      </c>
      <c r="BE89" s="31">
        <v>2015</v>
      </c>
      <c r="BF89" s="368" t="s">
        <v>2413</v>
      </c>
      <c r="BG89" s="368" t="s">
        <v>2414</v>
      </c>
      <c r="BH89" s="368" t="s">
        <v>2415</v>
      </c>
      <c r="BI89" s="368" t="s">
        <v>2416</v>
      </c>
      <c r="BJ89" s="31">
        <v>2016</v>
      </c>
      <c r="BK89" s="368" t="s">
        <v>2417</v>
      </c>
      <c r="BL89" s="368" t="s">
        <v>2418</v>
      </c>
      <c r="BM89" s="368" t="s">
        <v>2419</v>
      </c>
      <c r="BN89" s="33" t="s">
        <v>2420</v>
      </c>
      <c r="BO89" s="31">
        <v>2017</v>
      </c>
      <c r="BP89" s="33" t="s">
        <v>2244</v>
      </c>
      <c r="BQ89" s="33" t="s">
        <v>2245</v>
      </c>
      <c r="BR89" s="33" t="s">
        <v>2508</v>
      </c>
      <c r="BS89" s="33" t="s">
        <v>2509</v>
      </c>
      <c r="BT89" s="31">
        <v>2018</v>
      </c>
      <c r="BU89" s="33" t="s">
        <v>2510</v>
      </c>
      <c r="BV89" s="33" t="s">
        <v>2511</v>
      </c>
      <c r="BW89" s="33" t="s">
        <v>3125</v>
      </c>
      <c r="BX89" s="33" t="s">
        <v>1405</v>
      </c>
      <c r="BY89" s="31">
        <v>2019</v>
      </c>
      <c r="BZ89" s="33" t="s">
        <v>1406</v>
      </c>
      <c r="CA89" s="33" t="s">
        <v>1407</v>
      </c>
      <c r="CB89" s="33" t="s">
        <v>1408</v>
      </c>
      <c r="CC89" s="33" t="s">
        <v>1409</v>
      </c>
      <c r="CD89" s="31">
        <v>2020</v>
      </c>
    </row>
    <row r="90" spans="1:147">
      <c r="A90" s="4" t="s">
        <v>2714</v>
      </c>
      <c r="B90" s="4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  <c r="AA90" s="72"/>
      <c r="AB90" s="93"/>
      <c r="AC90" s="12">
        <v>-32192</v>
      </c>
      <c r="AD90" s="12">
        <v>-7703</v>
      </c>
      <c r="AE90" s="12">
        <v>-1040</v>
      </c>
      <c r="AF90" s="5">
        <f>SUM(AB90:AE90)</f>
        <v>-40935</v>
      </c>
      <c r="AG90" s="12">
        <v>-400</v>
      </c>
      <c r="AH90" s="12">
        <v>602</v>
      </c>
      <c r="AI90" s="12">
        <v>-555</v>
      </c>
      <c r="AJ90" s="12">
        <v>4095</v>
      </c>
      <c r="AK90" s="5">
        <f>SUM(AG90:AJ90)</f>
        <v>3742</v>
      </c>
      <c r="AL90" s="12">
        <v>24</v>
      </c>
      <c r="AM90" s="12">
        <v>-847</v>
      </c>
      <c r="AN90" s="12">
        <v>-59</v>
      </c>
      <c r="AO90" s="12">
        <v>-4132</v>
      </c>
      <c r="AP90" s="5">
        <f>SUM(AL90:AO90)</f>
        <v>-5014</v>
      </c>
      <c r="AQ90" s="12">
        <v>-32</v>
      </c>
      <c r="AR90" s="12">
        <v>-209</v>
      </c>
      <c r="AS90" s="12">
        <v>-39</v>
      </c>
      <c r="AT90" s="12">
        <v>-189</v>
      </c>
      <c r="AU90" s="5">
        <f>SUM(AQ90:AT90)</f>
        <v>-469</v>
      </c>
      <c r="AV90" s="12">
        <v>-39</v>
      </c>
      <c r="AW90" s="12">
        <v>-260</v>
      </c>
      <c r="AX90" s="12">
        <v>-43</v>
      </c>
      <c r="AY90" s="12">
        <v>-477</v>
      </c>
      <c r="AZ90" s="5">
        <f>SUM(AV90:AY90)</f>
        <v>-819</v>
      </c>
      <c r="BA90" s="12">
        <v>-332</v>
      </c>
      <c r="BB90" s="12">
        <v>-10755</v>
      </c>
      <c r="BC90" s="12">
        <v>-426</v>
      </c>
      <c r="BD90" s="12">
        <v>-443</v>
      </c>
      <c r="BE90" s="5">
        <f>SUM(BA90:BD90)</f>
        <v>-11956</v>
      </c>
      <c r="BF90" s="12">
        <v>-917</v>
      </c>
      <c r="BG90" s="12">
        <v>-5229</v>
      </c>
      <c r="BH90" s="12">
        <v>-189</v>
      </c>
      <c r="BI90" s="12">
        <v>-799</v>
      </c>
      <c r="BJ90" s="5">
        <f>SUM(BF90:BI90)</f>
        <v>-7134</v>
      </c>
      <c r="BK90" s="12">
        <v>-161</v>
      </c>
      <c r="BL90" s="12">
        <v>-468</v>
      </c>
      <c r="BM90" s="181">
        <v>-206</v>
      </c>
      <c r="BN90" s="181">
        <f>BN14</f>
        <v>-2345</v>
      </c>
      <c r="BO90" s="5">
        <f>SUM(BK90:BN90)</f>
        <v>-3180</v>
      </c>
      <c r="BP90" s="12">
        <f>BP14</f>
        <v>-72.961622542768964</v>
      </c>
      <c r="BQ90" s="12">
        <f>BQ14</f>
        <v>-66.468877098002849</v>
      </c>
      <c r="BR90" s="12">
        <f>BR14</f>
        <v>-62.902390939838369</v>
      </c>
      <c r="BS90" s="12">
        <f>BS14</f>
        <v>-61.783626145981543</v>
      </c>
      <c r="BT90" s="5">
        <f t="shared" ref="BT90:BT91" si="225">SUM(BP90:BS90)</f>
        <v>-264.11651672659173</v>
      </c>
      <c r="BU90" s="12">
        <f>BU14</f>
        <v>-74.592210184679061</v>
      </c>
      <c r="BV90" s="12">
        <f>BV14</f>
        <v>-73.969889203313869</v>
      </c>
      <c r="BW90" s="12">
        <f>BW14</f>
        <v>-66.761382533848519</v>
      </c>
      <c r="BX90" s="12">
        <f>BX14</f>
        <v>-66.095899886167899</v>
      </c>
      <c r="BY90" s="5">
        <f t="shared" ref="BY90:BY92" si="226">SUM(BU90:BX90)</f>
        <v>-281.41938180800935</v>
      </c>
      <c r="BZ90" s="12">
        <f>BZ14</f>
        <v>-76.387316331898546</v>
      </c>
      <c r="CA90" s="12">
        <f>CA14</f>
        <v>-76.878877649223796</v>
      </c>
      <c r="CB90" s="12">
        <f>CB14</f>
        <v>-69.655899840945494</v>
      </c>
      <c r="CC90" s="12">
        <f>CC14</f>
        <v>-70.104143705628303</v>
      </c>
      <c r="CD90" s="5">
        <f t="shared" ref="CD90:CD92" si="227">SUM(BZ90:CC90)</f>
        <v>-293.02623752769614</v>
      </c>
      <c r="CE90" s="5"/>
      <c r="CF90" s="5"/>
      <c r="CG90" s="5"/>
    </row>
    <row r="91" spans="1:147">
      <c r="A91" s="35" t="s">
        <v>3646</v>
      </c>
      <c r="B91" s="4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  <c r="AA91" s="72"/>
      <c r="AB91" s="93"/>
      <c r="AC91" s="12">
        <v>0</v>
      </c>
      <c r="AD91" s="12">
        <v>47</v>
      </c>
      <c r="AE91" s="12">
        <v>30</v>
      </c>
      <c r="AF91" s="5">
        <f>SUM(AB91:AE91)</f>
        <v>77</v>
      </c>
      <c r="AG91" s="12">
        <v>16</v>
      </c>
      <c r="AH91" s="12">
        <v>15</v>
      </c>
      <c r="AI91" s="12">
        <v>14</v>
      </c>
      <c r="AJ91" s="12">
        <v>13</v>
      </c>
      <c r="AK91" s="5">
        <f>SUM(AG91:AJ91)</f>
        <v>58</v>
      </c>
      <c r="AL91" s="12">
        <v>6</v>
      </c>
      <c r="AM91" s="12">
        <v>4</v>
      </c>
      <c r="AN91" s="12">
        <v>3</v>
      </c>
      <c r="AO91" s="12">
        <v>6</v>
      </c>
      <c r="AP91" s="5">
        <f>SUM(AL91:AO91)</f>
        <v>19</v>
      </c>
      <c r="AQ91" s="12">
        <v>10</v>
      </c>
      <c r="AR91" s="12">
        <v>10</v>
      </c>
      <c r="AS91" s="12">
        <v>9</v>
      </c>
      <c r="AT91" s="12">
        <v>10</v>
      </c>
      <c r="AU91" s="5">
        <f>SUM(AQ91:AT91)</f>
        <v>39</v>
      </c>
      <c r="AV91" s="12">
        <v>10</v>
      </c>
      <c r="AW91" s="12">
        <v>9</v>
      </c>
      <c r="AX91" s="12">
        <v>10</v>
      </c>
      <c r="AY91" s="12">
        <v>9</v>
      </c>
      <c r="AZ91" s="5">
        <f>SUM(AV91:AY91)</f>
        <v>38</v>
      </c>
      <c r="BA91" s="12">
        <v>9</v>
      </c>
      <c r="BB91" s="12">
        <v>8</v>
      </c>
      <c r="BC91" s="12">
        <v>115</v>
      </c>
      <c r="BD91" s="12">
        <v>115</v>
      </c>
      <c r="BE91" s="5">
        <f>SUM(BA91:BD91)</f>
        <v>247</v>
      </c>
      <c r="BF91" s="12">
        <v>123</v>
      </c>
      <c r="BG91" s="12">
        <v>123</v>
      </c>
      <c r="BH91" s="12">
        <v>123</v>
      </c>
      <c r="BI91" s="12">
        <v>125</v>
      </c>
      <c r="BJ91" s="5">
        <f>SUM(BF91:BI91)</f>
        <v>494</v>
      </c>
      <c r="BK91" s="12">
        <v>126</v>
      </c>
      <c r="BL91" s="12">
        <v>121</v>
      </c>
      <c r="BM91" s="181">
        <v>122</v>
      </c>
      <c r="BN91" s="181">
        <v>124</v>
      </c>
      <c r="BO91" s="5">
        <f>SUM(BK91:BN91)</f>
        <v>493</v>
      </c>
      <c r="BP91" s="12">
        <v>0</v>
      </c>
      <c r="BQ91" s="12">
        <v>0</v>
      </c>
      <c r="BR91" s="12">
        <v>0</v>
      </c>
      <c r="BS91" s="12">
        <v>0</v>
      </c>
      <c r="BT91" s="5">
        <f t="shared" si="225"/>
        <v>0</v>
      </c>
      <c r="BU91" s="12">
        <v>0</v>
      </c>
      <c r="BV91" s="12">
        <v>0</v>
      </c>
      <c r="BW91" s="12">
        <v>0</v>
      </c>
      <c r="BX91" s="12">
        <v>0</v>
      </c>
      <c r="BY91" s="5">
        <f t="shared" si="226"/>
        <v>0</v>
      </c>
      <c r="BZ91" s="12">
        <v>0</v>
      </c>
      <c r="CA91" s="12">
        <v>0</v>
      </c>
      <c r="CB91" s="12">
        <v>0</v>
      </c>
      <c r="CC91" s="12">
        <v>0</v>
      </c>
      <c r="CD91" s="5">
        <f t="shared" si="227"/>
        <v>0</v>
      </c>
    </row>
    <row r="92" spans="1:147">
      <c r="A92" s="4" t="s">
        <v>2720</v>
      </c>
      <c r="B92" s="4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72"/>
      <c r="AB92" s="93"/>
      <c r="AC92" s="12">
        <v>17646</v>
      </c>
      <c r="AD92" s="12">
        <v>-409</v>
      </c>
      <c r="AE92" s="12">
        <v>2117</v>
      </c>
      <c r="AF92" s="5">
        <f>SUM(AB92:AE92)</f>
        <v>19354</v>
      </c>
      <c r="AG92" s="12">
        <v>202</v>
      </c>
      <c r="AH92" s="12">
        <v>-90</v>
      </c>
      <c r="AI92" s="12">
        <v>244</v>
      </c>
      <c r="AJ92" s="12">
        <v>202</v>
      </c>
      <c r="AK92" s="5">
        <f>SUM(AG92:AJ92)</f>
        <v>558</v>
      </c>
      <c r="AL92" s="12">
        <v>85</v>
      </c>
      <c r="AM92" s="12">
        <v>585</v>
      </c>
      <c r="AN92" s="12">
        <v>546</v>
      </c>
      <c r="AO92" s="12">
        <v>4412</v>
      </c>
      <c r="AP92" s="5">
        <f>SUM(AL92:AO92)</f>
        <v>5628</v>
      </c>
      <c r="AQ92" s="12">
        <v>304</v>
      </c>
      <c r="AR92" s="12">
        <v>1390</v>
      </c>
      <c r="AS92" s="12">
        <v>-576</v>
      </c>
      <c r="AT92" s="12">
        <v>11</v>
      </c>
      <c r="AU92" s="5">
        <f>SUM(AQ92:AT92)</f>
        <v>1129</v>
      </c>
      <c r="AV92" s="12">
        <v>-97</v>
      </c>
      <c r="AW92" s="12">
        <v>116</v>
      </c>
      <c r="AX92" s="12">
        <v>586</v>
      </c>
      <c r="AY92" s="12">
        <v>334</v>
      </c>
      <c r="AZ92" s="5">
        <f>SUM(AV92:AY92)</f>
        <v>939</v>
      </c>
      <c r="BA92" s="12">
        <v>227</v>
      </c>
      <c r="BB92" s="12">
        <v>10607</v>
      </c>
      <c r="BC92" s="12">
        <v>235</v>
      </c>
      <c r="BD92" s="12">
        <v>227</v>
      </c>
      <c r="BE92" s="5">
        <f>SUM(BA92:BD92)</f>
        <v>11296</v>
      </c>
      <c r="BF92" s="12">
        <v>757</v>
      </c>
      <c r="BG92" s="12">
        <v>4466</v>
      </c>
      <c r="BH92" s="12">
        <v>-494</v>
      </c>
      <c r="BI92" s="12">
        <v>-376</v>
      </c>
      <c r="BJ92" s="5">
        <f>SUM(BF92:BI92)</f>
        <v>4353</v>
      </c>
      <c r="BK92" s="12">
        <v>-5</v>
      </c>
      <c r="BL92" s="12">
        <v>298</v>
      </c>
      <c r="BM92" s="181">
        <v>68</v>
      </c>
      <c r="BN92" s="181">
        <v>2181</v>
      </c>
      <c r="BO92" s="5">
        <f>SUM(BK92:BN92)</f>
        <v>2542</v>
      </c>
      <c r="BP92" s="12">
        <f>BN53-BP53</f>
        <v>-1448.538377457231</v>
      </c>
      <c r="BQ92" s="12">
        <f>BP53-BQ53</f>
        <v>-795.68683490199692</v>
      </c>
      <c r="BR92" s="12">
        <f>BQ53-BR53</f>
        <v>-249.59760906016163</v>
      </c>
      <c r="BS92" s="12">
        <f>BR53-BS53</f>
        <v>-250.71637385401846</v>
      </c>
      <c r="BT92" s="5">
        <f>SUM(BP92:BS92)</f>
        <v>-2744.539195273408</v>
      </c>
      <c r="BU92" s="12">
        <f>BS53-BU53</f>
        <v>-112.90778981532276</v>
      </c>
      <c r="BV92" s="12">
        <f>BU53-BV53</f>
        <v>-1307.840455796686</v>
      </c>
      <c r="BW92" s="12">
        <f>BV53-BW53</f>
        <v>-120.73861746615148</v>
      </c>
      <c r="BX92" s="12">
        <f>BW53-BX53</f>
        <v>-121.4041001138321</v>
      </c>
      <c r="BY92" s="5">
        <f t="shared" si="226"/>
        <v>-1662.8909631919923</v>
      </c>
      <c r="BZ92" s="12">
        <f>BX53-BZ53</f>
        <v>76.387316331898546</v>
      </c>
      <c r="CA92" s="12">
        <f>BZ53-CA53</f>
        <v>-1122.4314673507761</v>
      </c>
      <c r="CB92" s="12">
        <f>CA53-CB53</f>
        <v>69.655899840945494</v>
      </c>
      <c r="CC92" s="12">
        <f>CB53-CC53</f>
        <v>70.104143705628303</v>
      </c>
      <c r="CD92" s="5">
        <f t="shared" si="227"/>
        <v>-906.28410747230373</v>
      </c>
      <c r="CE92" s="5"/>
      <c r="CF92" s="5"/>
      <c r="CG92" s="5"/>
    </row>
    <row r="93" spans="1:147">
      <c r="A93" s="4" t="s">
        <v>1303</v>
      </c>
      <c r="B93" s="4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  <c r="AA93" s="72"/>
      <c r="AB93" s="93"/>
      <c r="AC93" s="12">
        <v>12430</v>
      </c>
      <c r="AD93" s="12">
        <v>-2042</v>
      </c>
      <c r="AE93" s="12">
        <v>-6542</v>
      </c>
      <c r="AF93" s="5">
        <f>SUM(AB93:AE93)</f>
        <v>3846</v>
      </c>
      <c r="AG93" s="12">
        <v>-2864</v>
      </c>
      <c r="AH93" s="12">
        <v>-2912</v>
      </c>
      <c r="AI93" s="12">
        <v>-1523</v>
      </c>
      <c r="AJ93" s="12">
        <v>-5965</v>
      </c>
      <c r="AK93" s="5">
        <f>SUM(AG93:AJ93)</f>
        <v>-13264</v>
      </c>
      <c r="AL93" s="12">
        <v>-1861</v>
      </c>
      <c r="AM93" s="12">
        <v>-1439</v>
      </c>
      <c r="AN93" s="12">
        <v>-2017</v>
      </c>
      <c r="AO93" s="12">
        <v>-1565</v>
      </c>
      <c r="AP93" s="5">
        <f>SUM(AL93:AO93)</f>
        <v>-6882</v>
      </c>
      <c r="AQ93" s="12">
        <v>-828</v>
      </c>
      <c r="AR93" s="12">
        <v>-1430</v>
      </c>
      <c r="AS93" s="12">
        <v>192</v>
      </c>
      <c r="AT93" s="12">
        <v>-33</v>
      </c>
      <c r="AU93" s="5">
        <f>SUM(AQ93:AT93)</f>
        <v>-2099</v>
      </c>
      <c r="AV93" s="12">
        <v>-578</v>
      </c>
      <c r="AW93" s="12">
        <v>-33</v>
      </c>
      <c r="AX93" s="12">
        <v>-846</v>
      </c>
      <c r="AY93" s="12">
        <v>3</v>
      </c>
      <c r="AZ93" s="5">
        <f>SUM(AV93:AY93)</f>
        <v>-1454</v>
      </c>
      <c r="BA93" s="12">
        <v>-595</v>
      </c>
      <c r="BB93" s="12">
        <v>34</v>
      </c>
      <c r="BC93" s="12">
        <v>-135</v>
      </c>
      <c r="BD93" s="12">
        <v>-36</v>
      </c>
      <c r="BE93" s="5">
        <f>SUM(BA93:BD93)</f>
        <v>-732</v>
      </c>
      <c r="BF93" s="12">
        <v>-1088</v>
      </c>
      <c r="BG93" s="12">
        <v>-971</v>
      </c>
      <c r="BH93" s="12">
        <v>-1766</v>
      </c>
      <c r="BI93" s="12">
        <v>-993</v>
      </c>
      <c r="BJ93" s="5">
        <f>SUM(BF93:BI93)</f>
        <v>-4818</v>
      </c>
      <c r="BK93" s="12">
        <v>-2254</v>
      </c>
      <c r="BL93" s="12">
        <v>-1976</v>
      </c>
      <c r="BM93" s="181">
        <v>-548</v>
      </c>
      <c r="BN93" s="181">
        <v>-413</v>
      </c>
      <c r="BO93" s="5">
        <f>SUM(BK93:BN93)</f>
        <v>-5191</v>
      </c>
      <c r="BP93" s="12">
        <f ca="1">(BN49-BP49)+(BN58-BP58)</f>
        <v>0</v>
      </c>
      <c r="BQ93" s="12">
        <f ca="1">(BP49-BQ49)+(BP58-BQ58)</f>
        <v>0</v>
      </c>
      <c r="BR93" s="12">
        <f ca="1">(BQ49-BR49)+(BQ58-BR58)</f>
        <v>0</v>
      </c>
      <c r="BS93" s="12">
        <f ca="1">(BR49-BS49)+(BR58-BS58)</f>
        <v>0</v>
      </c>
      <c r="BT93" s="5">
        <f ca="1">SUM(BP93:BS93)</f>
        <v>0</v>
      </c>
      <c r="BU93" s="12">
        <f ca="1">(BS49-BU49)+(BS58-BU58)</f>
        <v>0</v>
      </c>
      <c r="BV93" s="12">
        <f ca="1">(BU49-BV49)+(BU58-BV58)</f>
        <v>0</v>
      </c>
      <c r="BW93" s="12">
        <f ca="1">(BV49-BW49)+(BV58-BW58)</f>
        <v>0</v>
      </c>
      <c r="BX93" s="12">
        <f ca="1">(BW49-BX49)+(BW58-BX58)</f>
        <v>0</v>
      </c>
      <c r="BY93" s="5">
        <f ca="1">(BS49-BX49)+(BS58-BX58)</f>
        <v>0</v>
      </c>
      <c r="BZ93" s="12">
        <f ca="1">(BX49-BZ49)+(BX58-BZ58)</f>
        <v>0</v>
      </c>
      <c r="CA93" s="12">
        <f ca="1">(BZ49-CA49)+(BZ58-CA58)</f>
        <v>0</v>
      </c>
      <c r="CB93" s="12">
        <f ca="1">(CA49-CB49)+(CA58-CB58)</f>
        <v>0</v>
      </c>
      <c r="CC93" s="12">
        <f ca="1">(CB49-CC49)+(CB58-CC58)</f>
        <v>0</v>
      </c>
      <c r="CD93" s="5">
        <f ca="1">(BX49-CC49)+(BX58-CC58)</f>
        <v>0</v>
      </c>
      <c r="CE93" s="5"/>
      <c r="CF93" s="5"/>
      <c r="CG93" s="5"/>
    </row>
    <row r="94" spans="1:147">
      <c r="A94" s="75" t="s">
        <v>1304</v>
      </c>
      <c r="B94" s="75"/>
      <c r="C94" s="668"/>
      <c r="D94" s="668"/>
      <c r="E94" s="668"/>
      <c r="F94" s="668"/>
      <c r="G94" s="668"/>
      <c r="H94" s="668"/>
      <c r="I94" s="668"/>
      <c r="J94" s="668"/>
      <c r="K94" s="668"/>
      <c r="L94" s="668"/>
      <c r="M94" s="668"/>
      <c r="N94" s="668"/>
      <c r="O94" s="668"/>
      <c r="P94" s="668"/>
      <c r="Q94" s="668"/>
      <c r="R94" s="668"/>
      <c r="S94" s="668"/>
      <c r="T94" s="668"/>
      <c r="U94" s="668"/>
      <c r="V94" s="668"/>
      <c r="W94" s="668"/>
      <c r="X94" s="668"/>
      <c r="Y94" s="668"/>
      <c r="Z94" s="668"/>
      <c r="AA94" s="668"/>
      <c r="AB94" s="669"/>
      <c r="AC94" s="266">
        <f t="shared" ref="AC94:AV94" si="228">SUM(AC90:AC93)</f>
        <v>-2116</v>
      </c>
      <c r="AD94" s="266">
        <f t="shared" si="228"/>
        <v>-10107</v>
      </c>
      <c r="AE94" s="266">
        <f t="shared" si="228"/>
        <v>-5435</v>
      </c>
      <c r="AF94" s="76">
        <f t="shared" si="228"/>
        <v>-17658</v>
      </c>
      <c r="AG94" s="266">
        <f t="shared" si="228"/>
        <v>-3046</v>
      </c>
      <c r="AH94" s="266">
        <f t="shared" si="228"/>
        <v>-2385</v>
      </c>
      <c r="AI94" s="266">
        <f t="shared" si="228"/>
        <v>-1820</v>
      </c>
      <c r="AJ94" s="266">
        <f t="shared" si="228"/>
        <v>-1655</v>
      </c>
      <c r="AK94" s="76">
        <f>SUM(AG94:AJ94)</f>
        <v>-8906</v>
      </c>
      <c r="AL94" s="266">
        <f t="shared" si="228"/>
        <v>-1746</v>
      </c>
      <c r="AM94" s="266">
        <f t="shared" si="228"/>
        <v>-1697</v>
      </c>
      <c r="AN94" s="266">
        <f t="shared" si="228"/>
        <v>-1527</v>
      </c>
      <c r="AO94" s="266">
        <f t="shared" si="228"/>
        <v>-1279</v>
      </c>
      <c r="AP94" s="76">
        <f>SUM(AL94:AO94)</f>
        <v>-6249</v>
      </c>
      <c r="AQ94" s="266">
        <f t="shared" si="228"/>
        <v>-546</v>
      </c>
      <c r="AR94" s="266">
        <f t="shared" si="228"/>
        <v>-239</v>
      </c>
      <c r="AS94" s="266">
        <f t="shared" si="228"/>
        <v>-414</v>
      </c>
      <c r="AT94" s="266">
        <f t="shared" si="228"/>
        <v>-201</v>
      </c>
      <c r="AU94" s="76">
        <f>SUM(AQ94:AT94)</f>
        <v>-1400</v>
      </c>
      <c r="AV94" s="266">
        <f t="shared" si="228"/>
        <v>-704</v>
      </c>
      <c r="AW94" s="266">
        <f>SUM(AW90:AW93)</f>
        <v>-168</v>
      </c>
      <c r="AX94" s="266">
        <f>SUM(AX90:AX93)</f>
        <v>-293</v>
      </c>
      <c r="AY94" s="266">
        <f>SUM(AY90:AY93)</f>
        <v>-131</v>
      </c>
      <c r="AZ94" s="76">
        <f>SUM(AV94:AY94)</f>
        <v>-1296</v>
      </c>
      <c r="BA94" s="266">
        <f>SUM(BA90:BA93)</f>
        <v>-691</v>
      </c>
      <c r="BB94" s="266">
        <v>-106</v>
      </c>
      <c r="BC94" s="266">
        <v>-211</v>
      </c>
      <c r="BD94" s="266">
        <v>-137</v>
      </c>
      <c r="BE94" s="76">
        <f>SUM(BA94:BD94)</f>
        <v>-1145</v>
      </c>
      <c r="BF94" s="266">
        <v>-1125</v>
      </c>
      <c r="BG94" s="266">
        <v>-1611</v>
      </c>
      <c r="BH94" s="266">
        <v>-2326</v>
      </c>
      <c r="BI94" s="266">
        <f t="shared" ref="BI94:BO94" si="229">SUM(BI90:BI93)</f>
        <v>-2043</v>
      </c>
      <c r="BJ94" s="76">
        <f t="shared" si="229"/>
        <v>-7105</v>
      </c>
      <c r="BK94" s="266">
        <f t="shared" si="229"/>
        <v>-2294</v>
      </c>
      <c r="BL94" s="266">
        <f t="shared" si="229"/>
        <v>-2025</v>
      </c>
      <c r="BM94" s="265">
        <f t="shared" si="229"/>
        <v>-564</v>
      </c>
      <c r="BN94" s="180">
        <f t="shared" si="229"/>
        <v>-453</v>
      </c>
      <c r="BO94" s="76">
        <f t="shared" si="229"/>
        <v>-5336</v>
      </c>
      <c r="BP94" s="19">
        <f t="shared" ref="BP94:CD94" ca="1" si="230">SUM(BP90:BP93)</f>
        <v>-1521.5</v>
      </c>
      <c r="BQ94" s="19">
        <f t="shared" ca="1" si="230"/>
        <v>-862.15571199999977</v>
      </c>
      <c r="BR94" s="19">
        <f t="shared" ca="1" si="230"/>
        <v>-312.5</v>
      </c>
      <c r="BS94" s="19">
        <f t="shared" ca="1" si="230"/>
        <v>-312.5</v>
      </c>
      <c r="BT94" s="76">
        <f t="shared" ca="1" si="230"/>
        <v>-3008.6557119999998</v>
      </c>
      <c r="BU94" s="19">
        <f t="shared" ca="1" si="230"/>
        <v>-187.50000000000182</v>
      </c>
      <c r="BV94" s="19">
        <f t="shared" ca="1" si="230"/>
        <v>-1381.8103449999999</v>
      </c>
      <c r="BW94" s="19">
        <f t="shared" ca="1" si="230"/>
        <v>-187.5</v>
      </c>
      <c r="BX94" s="19">
        <f t="shared" ca="1" si="230"/>
        <v>-187.5</v>
      </c>
      <c r="BY94" s="76">
        <f t="shared" ca="1" si="230"/>
        <v>-1944.3103450000017</v>
      </c>
      <c r="BZ94" s="19">
        <f t="shared" ca="1" si="230"/>
        <v>0</v>
      </c>
      <c r="CA94" s="19">
        <f t="shared" ca="1" si="230"/>
        <v>-1199.3103449999999</v>
      </c>
      <c r="CB94" s="19">
        <f t="shared" ca="1" si="230"/>
        <v>0</v>
      </c>
      <c r="CC94" s="19">
        <f t="shared" ca="1" si="230"/>
        <v>0</v>
      </c>
      <c r="CD94" s="76">
        <f t="shared" ca="1" si="230"/>
        <v>-1199.3103449999999</v>
      </c>
      <c r="CE94" s="8"/>
      <c r="CF94" s="8"/>
      <c r="CG94" s="8"/>
    </row>
    <row r="95" spans="1:147">
      <c r="BM95" s="406"/>
      <c r="BN95" s="406"/>
    </row>
    <row r="96" spans="1:147">
      <c r="A96" s="35" t="s">
        <v>3643</v>
      </c>
      <c r="AB96" s="12">
        <v>0</v>
      </c>
      <c r="AC96" s="12">
        <v>0</v>
      </c>
      <c r="AD96" s="12">
        <v>0</v>
      </c>
      <c r="AE96" s="12">
        <v>0</v>
      </c>
      <c r="AF96" s="670">
        <f>SUM(AB96:AE96)</f>
        <v>0</v>
      </c>
      <c r="AG96" s="12">
        <v>0</v>
      </c>
      <c r="AH96" s="12">
        <v>0</v>
      </c>
      <c r="AI96" s="12">
        <v>0</v>
      </c>
      <c r="AJ96" s="12">
        <v>0</v>
      </c>
      <c r="AK96" s="670">
        <f>SUM(AG96:AJ96)</f>
        <v>0</v>
      </c>
      <c r="AL96" s="12">
        <v>0</v>
      </c>
      <c r="AM96" s="12">
        <v>0</v>
      </c>
      <c r="AN96" s="12">
        <v>0</v>
      </c>
      <c r="AO96" s="12">
        <v>0</v>
      </c>
      <c r="AP96" s="670">
        <f>SUM(AL96:AO96)</f>
        <v>0</v>
      </c>
      <c r="AQ96" s="12">
        <v>0</v>
      </c>
      <c r="AR96" s="12">
        <v>0</v>
      </c>
      <c r="AS96" s="12">
        <v>0</v>
      </c>
      <c r="AT96" s="12">
        <v>0</v>
      </c>
      <c r="AU96" s="670">
        <f>SUM(AQ96:AT96)</f>
        <v>0</v>
      </c>
      <c r="AV96" s="12">
        <v>0</v>
      </c>
      <c r="AW96" s="12">
        <v>0</v>
      </c>
      <c r="AX96" s="12">
        <v>0</v>
      </c>
      <c r="AY96" s="12">
        <v>0</v>
      </c>
      <c r="AZ96" s="670">
        <f>SUM(AV96:AY96)</f>
        <v>0</v>
      </c>
      <c r="BA96" s="12">
        <f t="shared" ref="BA96:BI96" si="231">BA97-BA94</f>
        <v>0</v>
      </c>
      <c r="BB96" s="12">
        <f t="shared" si="231"/>
        <v>0</v>
      </c>
      <c r="BC96" s="12">
        <f t="shared" si="231"/>
        <v>15</v>
      </c>
      <c r="BD96" s="12">
        <f t="shared" si="231"/>
        <v>0</v>
      </c>
      <c r="BE96" s="670">
        <f t="shared" si="231"/>
        <v>15</v>
      </c>
      <c r="BF96" s="12">
        <f t="shared" si="231"/>
        <v>0</v>
      </c>
      <c r="BG96" s="12">
        <f t="shared" si="231"/>
        <v>213</v>
      </c>
      <c r="BH96" s="12">
        <f t="shared" si="231"/>
        <v>0</v>
      </c>
      <c r="BI96" s="12">
        <f t="shared" si="231"/>
        <v>0</v>
      </c>
      <c r="BJ96">
        <f>SUM(BF96:BI96)</f>
        <v>213</v>
      </c>
      <c r="BK96" s="12">
        <v>0</v>
      </c>
      <c r="BL96" s="12">
        <f t="shared" ref="BL96:BN96" si="232">BL97-BL94</f>
        <v>0</v>
      </c>
      <c r="BM96" s="181">
        <f t="shared" si="232"/>
        <v>0</v>
      </c>
      <c r="BN96" s="181">
        <f t="shared" si="232"/>
        <v>0</v>
      </c>
      <c r="BO96">
        <f>SUM(BK96:BN96)</f>
        <v>0</v>
      </c>
      <c r="BP96" s="12">
        <f>BO40-BP40</f>
        <v>0</v>
      </c>
      <c r="BQ96" s="12">
        <f>BP40-BQ40</f>
        <v>0</v>
      </c>
      <c r="BR96" s="12">
        <f>BQ40-BR40</f>
        <v>0</v>
      </c>
      <c r="BS96" s="12">
        <f>BR40-BS40</f>
        <v>0</v>
      </c>
      <c r="BT96" s="686">
        <f>SUM(BP96:BS96)</f>
        <v>0</v>
      </c>
      <c r="BU96" s="12">
        <f>BT40-BU40</f>
        <v>0</v>
      </c>
      <c r="BV96" s="12">
        <f>BU40-BV40</f>
        <v>0</v>
      </c>
      <c r="BW96" s="12">
        <f>BV40-BW40</f>
        <v>0</v>
      </c>
      <c r="BX96" s="12">
        <f>BW40-BX40</f>
        <v>0</v>
      </c>
      <c r="BY96" s="686">
        <f t="shared" ref="BY96" si="233">SUM(BU96:BX96)</f>
        <v>0</v>
      </c>
      <c r="BZ96" s="12">
        <f>BY40-BZ40</f>
        <v>0</v>
      </c>
      <c r="CA96" s="12">
        <f>BZ40-CA40</f>
        <v>0</v>
      </c>
      <c r="CB96" s="12">
        <f>CA40-CB40</f>
        <v>0</v>
      </c>
      <c r="CC96" s="12">
        <f>CB40-CC40</f>
        <v>0</v>
      </c>
      <c r="CD96" s="686">
        <f t="shared" ref="CD96" si="234">SUM(BZ96:CC96)</f>
        <v>0</v>
      </c>
    </row>
    <row r="97" spans="1:82">
      <c r="A97" s="628" t="s">
        <v>3642</v>
      </c>
      <c r="B97" s="671"/>
      <c r="C97" s="671"/>
      <c r="D97" s="671"/>
      <c r="E97" s="671"/>
      <c r="F97" s="671"/>
      <c r="G97" s="671"/>
      <c r="H97" s="671"/>
      <c r="I97" s="671"/>
      <c r="J97" s="671"/>
      <c r="K97" s="671"/>
      <c r="L97" s="671"/>
      <c r="M97" s="671"/>
      <c r="N97" s="671"/>
      <c r="O97" s="671"/>
      <c r="P97" s="671"/>
      <c r="Q97" s="671"/>
      <c r="R97" s="671"/>
      <c r="S97" s="671"/>
      <c r="T97" s="671"/>
      <c r="U97" s="671"/>
      <c r="V97" s="671"/>
      <c r="W97" s="671"/>
      <c r="X97" s="671"/>
      <c r="Y97" s="671"/>
      <c r="Z97" s="671"/>
      <c r="AA97" s="671"/>
      <c r="AB97" s="16">
        <f>SUM(AB94,AB96)</f>
        <v>0</v>
      </c>
      <c r="AC97" s="16">
        <f>SUM(AC94,AC96)</f>
        <v>-2116</v>
      </c>
      <c r="AD97" s="16">
        <f>SUM(AD94,AD96)</f>
        <v>-10107</v>
      </c>
      <c r="AE97" s="16">
        <f>SUM(AE94,AE96)</f>
        <v>-5435</v>
      </c>
      <c r="AF97" s="15">
        <f>SUM(AB97:AE97)</f>
        <v>-17658</v>
      </c>
      <c r="AG97" s="16">
        <f>SUM(AG94,AG96)</f>
        <v>-3046</v>
      </c>
      <c r="AH97" s="16">
        <f>SUM(AH94,AH96)</f>
        <v>-2385</v>
      </c>
      <c r="AI97" s="16">
        <f>SUM(AI94,AI96)</f>
        <v>-1820</v>
      </c>
      <c r="AJ97" s="16">
        <f>SUM(AJ94,AJ96)</f>
        <v>-1655</v>
      </c>
      <c r="AK97" s="15">
        <f>SUM(AG97:AJ97)</f>
        <v>-8906</v>
      </c>
      <c r="AL97" s="16">
        <f>SUM(AL94,AL96)</f>
        <v>-1746</v>
      </c>
      <c r="AM97" s="16">
        <f>SUM(AM94,AM96)</f>
        <v>-1697</v>
      </c>
      <c r="AN97" s="16">
        <f>SUM(AN94,AN96)</f>
        <v>-1527</v>
      </c>
      <c r="AO97" s="16">
        <f>SUM(AO94,AO96)</f>
        <v>-1279</v>
      </c>
      <c r="AP97" s="15">
        <f>SUM(AL97:AO97)</f>
        <v>-6249</v>
      </c>
      <c r="AQ97" s="16">
        <f>SUM(AQ94,AQ96)</f>
        <v>-546</v>
      </c>
      <c r="AR97" s="16">
        <f>SUM(AR94,AR96)</f>
        <v>-239</v>
      </c>
      <c r="AS97" s="16">
        <f>SUM(AS94,AS96)</f>
        <v>-414</v>
      </c>
      <c r="AT97" s="16">
        <f>SUM(AT94,AT96)</f>
        <v>-201</v>
      </c>
      <c r="AU97" s="15">
        <f>SUM(AQ97:AT97)</f>
        <v>-1400</v>
      </c>
      <c r="AV97" s="16">
        <f>SUM(AV94,AV96)</f>
        <v>-704</v>
      </c>
      <c r="AW97" s="16">
        <f>SUM(AW94,AW96)</f>
        <v>-168</v>
      </c>
      <c r="AX97" s="16">
        <f>SUM(AX94,AX96)</f>
        <v>-293</v>
      </c>
      <c r="AY97" s="16">
        <f>SUM(AY94,AY96)</f>
        <v>-131</v>
      </c>
      <c r="AZ97" s="15">
        <f>SUM(AV97:AY97)</f>
        <v>-1296</v>
      </c>
      <c r="BA97" s="16">
        <f>-797-BB97</f>
        <v>-691</v>
      </c>
      <c r="BB97" s="16">
        <v>-106</v>
      </c>
      <c r="BC97" s="16">
        <f>BE97-SUM(BD97,BA97:BB97)</f>
        <v>-196</v>
      </c>
      <c r="BD97" s="16">
        <v>-137</v>
      </c>
      <c r="BE97" s="15">
        <v>-1130</v>
      </c>
      <c r="BF97" s="16">
        <f>-2523-BG97</f>
        <v>-1125</v>
      </c>
      <c r="BG97" s="16">
        <v>-1398</v>
      </c>
      <c r="BH97" s="16">
        <v>-2326</v>
      </c>
      <c r="BI97" s="16">
        <v>-2043</v>
      </c>
      <c r="BJ97" s="15">
        <f t="shared" ref="BJ97:BO97" si="235">SUM(BJ94,BJ96)</f>
        <v>-6892</v>
      </c>
      <c r="BK97" s="16">
        <v>-2294</v>
      </c>
      <c r="BL97" s="16">
        <v>-2025</v>
      </c>
      <c r="BM97" s="177">
        <v>-564</v>
      </c>
      <c r="BN97" s="177">
        <v>-453</v>
      </c>
      <c r="BO97" s="15">
        <f t="shared" si="235"/>
        <v>-5336</v>
      </c>
      <c r="BP97" s="16">
        <f t="shared" ref="BP97:CD97" ca="1" si="236">SUM(BP94,BP96)</f>
        <v>-1521.5</v>
      </c>
      <c r="BQ97" s="16">
        <f t="shared" ca="1" si="236"/>
        <v>-862.15571199999977</v>
      </c>
      <c r="BR97" s="16">
        <f t="shared" ca="1" si="236"/>
        <v>-312.5</v>
      </c>
      <c r="BS97" s="16">
        <f t="shared" ca="1" si="236"/>
        <v>-312.5</v>
      </c>
      <c r="BT97" s="15">
        <f t="shared" ca="1" si="236"/>
        <v>-3008.6557119999998</v>
      </c>
      <c r="BU97" s="16">
        <f t="shared" ca="1" si="236"/>
        <v>-187.50000000000182</v>
      </c>
      <c r="BV97" s="16">
        <f t="shared" ca="1" si="236"/>
        <v>-1381.8103449999999</v>
      </c>
      <c r="BW97" s="16">
        <f t="shared" ca="1" si="236"/>
        <v>-187.5</v>
      </c>
      <c r="BX97" s="16">
        <f t="shared" ca="1" si="236"/>
        <v>-187.5</v>
      </c>
      <c r="BY97" s="15">
        <f t="shared" ca="1" si="236"/>
        <v>-1944.3103450000017</v>
      </c>
      <c r="BZ97" s="16">
        <f t="shared" ca="1" si="236"/>
        <v>0</v>
      </c>
      <c r="CA97" s="16">
        <f t="shared" ca="1" si="236"/>
        <v>-1199.3103449999999</v>
      </c>
      <c r="CB97" s="16">
        <f t="shared" ca="1" si="236"/>
        <v>0</v>
      </c>
      <c r="CC97" s="16">
        <f t="shared" ca="1" si="236"/>
        <v>0</v>
      </c>
      <c r="CD97" s="15">
        <f t="shared" ca="1" si="236"/>
        <v>-1199.3103449999999</v>
      </c>
    </row>
    <row r="98" spans="1:82">
      <c r="BM98" s="406"/>
      <c r="BN98" s="406"/>
    </row>
    <row r="99" spans="1:82">
      <c r="A99" s="391" t="s">
        <v>3647</v>
      </c>
      <c r="AB99" s="12">
        <f t="shared" ref="AB99:BG99" si="237">-AB16+AB97</f>
        <v>0</v>
      </c>
      <c r="AC99" s="12">
        <f t="shared" si="237"/>
        <v>20073</v>
      </c>
      <c r="AD99" s="12">
        <f t="shared" si="237"/>
        <v>-5008</v>
      </c>
      <c r="AE99" s="12">
        <f t="shared" si="237"/>
        <v>-4682</v>
      </c>
      <c r="AF99" s="5">
        <f t="shared" si="237"/>
        <v>10383</v>
      </c>
      <c r="AG99" s="12">
        <f t="shared" si="237"/>
        <v>-2847</v>
      </c>
      <c r="AH99" s="12">
        <f t="shared" si="237"/>
        <v>-2753</v>
      </c>
      <c r="AI99" s="12">
        <f t="shared" si="237"/>
        <v>-1380</v>
      </c>
      <c r="AJ99" s="12">
        <f t="shared" si="237"/>
        <v>-4281</v>
      </c>
      <c r="AK99" s="5">
        <f t="shared" si="237"/>
        <v>-11261</v>
      </c>
      <c r="AL99" s="12">
        <f t="shared" si="237"/>
        <v>-1744</v>
      </c>
      <c r="AM99" s="12">
        <f t="shared" si="237"/>
        <v>-952</v>
      </c>
      <c r="AN99" s="12">
        <f t="shared" si="237"/>
        <v>-1417</v>
      </c>
      <c r="AO99" s="12">
        <f t="shared" si="237"/>
        <v>2784</v>
      </c>
      <c r="AP99" s="5">
        <f t="shared" si="237"/>
        <v>-1329</v>
      </c>
      <c r="AQ99" s="12">
        <f t="shared" si="237"/>
        <v>-509</v>
      </c>
      <c r="AR99" s="12">
        <f t="shared" si="237"/>
        <v>-72</v>
      </c>
      <c r="AS99" s="12">
        <f t="shared" si="237"/>
        <v>-331</v>
      </c>
      <c r="AT99" s="12">
        <f t="shared" si="237"/>
        <v>-92</v>
      </c>
      <c r="AU99" s="5">
        <f t="shared" si="237"/>
        <v>-1004</v>
      </c>
      <c r="AV99" s="12">
        <f t="shared" si="237"/>
        <v>-675</v>
      </c>
      <c r="AW99" s="12">
        <f t="shared" si="237"/>
        <v>48</v>
      </c>
      <c r="AX99" s="12">
        <f t="shared" si="237"/>
        <v>-295</v>
      </c>
      <c r="AY99" s="12">
        <f t="shared" si="237"/>
        <v>183</v>
      </c>
      <c r="AZ99" s="5">
        <f t="shared" si="237"/>
        <v>-739</v>
      </c>
      <c r="BA99" s="12">
        <f t="shared" si="237"/>
        <v>-471</v>
      </c>
      <c r="BB99" s="12">
        <f t="shared" si="237"/>
        <v>7048</v>
      </c>
      <c r="BC99" s="12">
        <f t="shared" si="237"/>
        <v>317</v>
      </c>
      <c r="BD99" s="12">
        <f t="shared" si="237"/>
        <v>440</v>
      </c>
      <c r="BE99" s="5">
        <f t="shared" si="237"/>
        <v>7334</v>
      </c>
      <c r="BF99" s="12">
        <f t="shared" si="237"/>
        <v>-459</v>
      </c>
      <c r="BG99" s="12">
        <f t="shared" si="237"/>
        <v>1298</v>
      </c>
      <c r="BH99" s="12">
        <f t="shared" ref="BH99:CD99" si="238">-BH16+BH97</f>
        <v>-2190</v>
      </c>
      <c r="BI99" s="12">
        <f t="shared" si="238"/>
        <v>-1512</v>
      </c>
      <c r="BJ99" s="5">
        <f t="shared" si="238"/>
        <v>-2863</v>
      </c>
      <c r="BK99" s="12">
        <f t="shared" si="238"/>
        <v>-2181</v>
      </c>
      <c r="BL99" s="12">
        <f t="shared" si="238"/>
        <v>-1711</v>
      </c>
      <c r="BM99" s="181">
        <f t="shared" si="238"/>
        <v>-429</v>
      </c>
      <c r="BN99" s="181">
        <f t="shared" si="238"/>
        <v>4387</v>
      </c>
      <c r="BO99" s="5">
        <f t="shared" si="238"/>
        <v>66</v>
      </c>
      <c r="BP99" s="12">
        <f t="shared" ca="1" si="238"/>
        <v>-1448.538377457231</v>
      </c>
      <c r="BQ99" s="12">
        <f t="shared" ca="1" si="238"/>
        <v>-795.68683490199692</v>
      </c>
      <c r="BR99" s="12">
        <f t="shared" ca="1" si="238"/>
        <v>-249.59760906016163</v>
      </c>
      <c r="BS99" s="12">
        <f t="shared" ca="1" si="238"/>
        <v>-250.71637385401846</v>
      </c>
      <c r="BT99" s="5">
        <f t="shared" ca="1" si="238"/>
        <v>-2744.539195273408</v>
      </c>
      <c r="BU99" s="12">
        <f t="shared" ca="1" si="238"/>
        <v>-112.90778981532276</v>
      </c>
      <c r="BV99" s="12">
        <f t="shared" ca="1" si="238"/>
        <v>-1307.840455796686</v>
      </c>
      <c r="BW99" s="12">
        <f t="shared" ca="1" si="238"/>
        <v>-120.73861746615148</v>
      </c>
      <c r="BX99" s="12">
        <f t="shared" ca="1" si="238"/>
        <v>-121.4041001138321</v>
      </c>
      <c r="BY99" s="5">
        <f t="shared" ca="1" si="238"/>
        <v>-1662.8909631919923</v>
      </c>
      <c r="BZ99" s="12">
        <f t="shared" ca="1" si="238"/>
        <v>76.387316331898546</v>
      </c>
      <c r="CA99" s="12">
        <f t="shared" ca="1" si="238"/>
        <v>-1122.4314673507761</v>
      </c>
      <c r="CB99" s="12">
        <f t="shared" ca="1" si="238"/>
        <v>69.655899840945494</v>
      </c>
      <c r="CC99" s="12">
        <f t="shared" ca="1" si="238"/>
        <v>70.104143705628303</v>
      </c>
      <c r="CD99" s="5">
        <f t="shared" ca="1" si="238"/>
        <v>-906.28410747230373</v>
      </c>
    </row>
    <row r="100" spans="1:82">
      <c r="A100" s="391" t="s">
        <v>3648</v>
      </c>
      <c r="AB100" s="12">
        <f t="shared" ref="AB100:BG100" si="239">AB85</f>
        <v>0</v>
      </c>
      <c r="AC100" s="12">
        <f t="shared" si="239"/>
        <v>0</v>
      </c>
      <c r="AD100" s="12">
        <f t="shared" si="239"/>
        <v>-3952</v>
      </c>
      <c r="AE100" s="12">
        <f t="shared" si="239"/>
        <v>-4662</v>
      </c>
      <c r="AF100" s="5">
        <f t="shared" si="239"/>
        <v>-8614</v>
      </c>
      <c r="AG100" s="12">
        <f t="shared" si="239"/>
        <v>-2609</v>
      </c>
      <c r="AH100" s="12">
        <f t="shared" si="239"/>
        <v>-2266</v>
      </c>
      <c r="AI100" s="12">
        <f t="shared" si="239"/>
        <v>-489</v>
      </c>
      <c r="AJ100" s="12">
        <f t="shared" si="239"/>
        <v>-3804</v>
      </c>
      <c r="AK100" s="5">
        <f t="shared" si="239"/>
        <v>-9168</v>
      </c>
      <c r="AL100" s="12">
        <f t="shared" si="239"/>
        <v>-1206</v>
      </c>
      <c r="AM100" s="12">
        <f t="shared" si="239"/>
        <v>-924</v>
      </c>
      <c r="AN100" s="12">
        <f t="shared" si="239"/>
        <v>-24</v>
      </c>
      <c r="AO100" s="12">
        <f t="shared" si="239"/>
        <v>4692</v>
      </c>
      <c r="AP100" s="5">
        <f t="shared" si="239"/>
        <v>2538</v>
      </c>
      <c r="AQ100" s="12">
        <f t="shared" si="239"/>
        <v>-294</v>
      </c>
      <c r="AR100" s="12">
        <f t="shared" si="239"/>
        <v>309</v>
      </c>
      <c r="AS100" s="12">
        <f t="shared" si="239"/>
        <v>79</v>
      </c>
      <c r="AT100" s="12">
        <f t="shared" si="239"/>
        <v>229</v>
      </c>
      <c r="AU100" s="5">
        <f t="shared" si="239"/>
        <v>323</v>
      </c>
      <c r="AV100" s="12">
        <f t="shared" si="239"/>
        <v>-555</v>
      </c>
      <c r="AW100" s="12">
        <f t="shared" si="239"/>
        <v>445</v>
      </c>
      <c r="AX100" s="12">
        <f t="shared" si="239"/>
        <v>40</v>
      </c>
      <c r="AY100" s="12">
        <f t="shared" si="239"/>
        <v>618</v>
      </c>
      <c r="AZ100" s="5">
        <f t="shared" si="239"/>
        <v>548</v>
      </c>
      <c r="BA100" s="12">
        <f t="shared" si="239"/>
        <v>-471</v>
      </c>
      <c r="BB100" s="12">
        <f t="shared" si="239"/>
        <v>7048</v>
      </c>
      <c r="BC100" s="12">
        <f t="shared" si="239"/>
        <v>317</v>
      </c>
      <c r="BD100" s="12">
        <f t="shared" si="239"/>
        <v>440</v>
      </c>
      <c r="BE100" s="5">
        <f t="shared" si="239"/>
        <v>7334</v>
      </c>
      <c r="BF100" s="12">
        <f t="shared" si="239"/>
        <v>-459</v>
      </c>
      <c r="BG100" s="12">
        <f t="shared" si="239"/>
        <v>1298</v>
      </c>
      <c r="BH100" s="12">
        <f t="shared" ref="BH100:CD100" si="240">BH85</f>
        <v>-2190</v>
      </c>
      <c r="BI100" s="12">
        <f t="shared" si="240"/>
        <v>-1512</v>
      </c>
      <c r="BJ100" s="5">
        <f t="shared" si="240"/>
        <v>-2863</v>
      </c>
      <c r="BK100" s="12">
        <f t="shared" si="240"/>
        <v>-2181</v>
      </c>
      <c r="BL100" s="12">
        <f t="shared" si="240"/>
        <v>-1712</v>
      </c>
      <c r="BM100" s="181">
        <f t="shared" si="240"/>
        <v>-428</v>
      </c>
      <c r="BN100" s="181">
        <f t="shared" ca="1" si="240"/>
        <v>4556</v>
      </c>
      <c r="BO100" s="5">
        <f t="shared" ca="1" si="240"/>
        <v>235</v>
      </c>
      <c r="BP100" s="12">
        <f t="shared" ca="1" si="240"/>
        <v>-1448.538377457231</v>
      </c>
      <c r="BQ100" s="12">
        <f t="shared" ca="1" si="240"/>
        <v>-795.68683490199692</v>
      </c>
      <c r="BR100" s="12">
        <f t="shared" ca="1" si="240"/>
        <v>-249.59760906016163</v>
      </c>
      <c r="BS100" s="12">
        <f t="shared" ca="1" si="240"/>
        <v>-250.71637385401846</v>
      </c>
      <c r="BT100" s="5">
        <f t="shared" ca="1" si="240"/>
        <v>-2744.539195273408</v>
      </c>
      <c r="BU100" s="12">
        <f t="shared" ca="1" si="240"/>
        <v>-112.90778981532276</v>
      </c>
      <c r="BV100" s="12">
        <f t="shared" ca="1" si="240"/>
        <v>-1307.840455796686</v>
      </c>
      <c r="BW100" s="12">
        <f t="shared" ca="1" si="240"/>
        <v>-120.73861746615148</v>
      </c>
      <c r="BX100" s="12">
        <f t="shared" ca="1" si="240"/>
        <v>-121.4041001138321</v>
      </c>
      <c r="BY100" s="5">
        <f t="shared" ca="1" si="240"/>
        <v>-1662.8909631919923</v>
      </c>
      <c r="BZ100" s="12">
        <f t="shared" ca="1" si="240"/>
        <v>76.387316331898546</v>
      </c>
      <c r="CA100" s="12">
        <f t="shared" ca="1" si="240"/>
        <v>-1122.4314673507761</v>
      </c>
      <c r="CB100" s="12">
        <f t="shared" ca="1" si="240"/>
        <v>69.655899840946404</v>
      </c>
      <c r="CC100" s="12">
        <f t="shared" ca="1" si="240"/>
        <v>70.104143705627394</v>
      </c>
      <c r="CD100" s="5">
        <f t="shared" ca="1" si="240"/>
        <v>-906.28410747230373</v>
      </c>
    </row>
    <row r="104" spans="1:82">
      <c r="A104" s="391"/>
      <c r="AB104" s="12"/>
      <c r="AC104" s="12"/>
      <c r="AD104" s="12"/>
      <c r="AE104" s="12"/>
      <c r="AF104" s="5"/>
      <c r="AG104" s="12"/>
      <c r="AH104" s="12"/>
      <c r="AI104" s="12"/>
      <c r="AJ104" s="12"/>
      <c r="AK104" s="5"/>
      <c r="AL104" s="12"/>
      <c r="AM104" s="12"/>
      <c r="AN104" s="12"/>
      <c r="AO104" s="12"/>
      <c r="AP104" s="5"/>
      <c r="AQ104" s="12"/>
      <c r="AR104" s="12"/>
      <c r="AS104" s="12"/>
      <c r="AT104" s="12"/>
      <c r="AU104" s="5"/>
      <c r="AV104" s="12"/>
      <c r="AW104" s="12"/>
      <c r="AX104" s="12"/>
      <c r="AY104" s="12"/>
      <c r="AZ104" s="5"/>
      <c r="BA104" s="12"/>
      <c r="BB104" s="12"/>
      <c r="BC104" s="12"/>
      <c r="BD104" s="12"/>
      <c r="BE104" s="5"/>
      <c r="BF104" s="12"/>
      <c r="BG104" s="12"/>
      <c r="BH104" s="12"/>
      <c r="BI104" s="12"/>
      <c r="BK104" s="12"/>
      <c r="BL104" s="12"/>
      <c r="BM104" s="12"/>
    </row>
    <row r="105" spans="1:82">
      <c r="A105" s="391"/>
      <c r="AB105" s="19"/>
      <c r="AC105" s="19"/>
      <c r="AD105" s="19"/>
      <c r="AE105" s="19"/>
      <c r="AF105" s="8"/>
      <c r="AG105" s="19"/>
      <c r="AH105" s="19"/>
      <c r="AI105" s="19"/>
      <c r="AJ105" s="19"/>
      <c r="AK105" s="8"/>
      <c r="AL105" s="19"/>
      <c r="AM105" s="19"/>
      <c r="AN105" s="19"/>
      <c r="AO105" s="19"/>
      <c r="AP105" s="8"/>
      <c r="AQ105" s="19"/>
      <c r="AR105" s="19"/>
      <c r="AS105" s="19"/>
      <c r="AT105" s="19"/>
      <c r="AU105" s="8"/>
      <c r="AV105" s="19"/>
      <c r="AW105" s="19"/>
      <c r="AX105" s="19"/>
      <c r="AY105" s="19"/>
      <c r="AZ105" s="8"/>
      <c r="BA105" s="19"/>
      <c r="BB105" s="19"/>
      <c r="BC105" s="19"/>
      <c r="BD105" s="19"/>
      <c r="BE105" s="8"/>
      <c r="BF105" s="19"/>
      <c r="BG105" s="19"/>
      <c r="BH105" s="19"/>
      <c r="BI105" s="19"/>
      <c r="BK105" s="19"/>
      <c r="BL105" s="19"/>
      <c r="BM105" s="19"/>
    </row>
  </sheetData>
  <phoneticPr fontId="14" type="noConversion"/>
  <hyperlinks>
    <hyperlink ref="ES79" r:id="rId1"/>
  </hyperlinks>
  <pageMargins left="0.75" right="0.75" top="1" bottom="1" header="0.5" footer="0.5"/>
  <pageSetup paperSize="9" orientation="portrait" r:id="rId2"/>
  <headerFooter alignWithMargins="0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41A95C"/>
  </sheetPr>
  <dimension ref="A1:CW105"/>
  <sheetViews>
    <sheetView zoomScale="85" zoomScaleNormal="85" workbookViewId="0">
      <pane xSplit="2" ySplit="8" topLeftCell="AF9" activePane="bottomRight" state="frozen"/>
      <selection sqref="A1:IV65536"/>
      <selection pane="topRight" sqref="A1:IV65536"/>
      <selection pane="bottomLeft" sqref="A1:IV65536"/>
      <selection pane="bottomRight" sqref="A1:XFD1048576"/>
    </sheetView>
  </sheetViews>
  <sheetFormatPr defaultColWidth="9.7109375" defaultRowHeight="12.75" outlineLevelCol="1"/>
  <cols>
    <col min="1" max="1" width="3.7109375" customWidth="1"/>
    <col min="2" max="2" width="35.7109375" customWidth="1"/>
    <col min="3" max="7" width="9.7109375" hidden="1" customWidth="1"/>
    <col min="8" max="11" width="9.7109375" hidden="1" customWidth="1" outlineLevel="1"/>
    <col min="12" max="12" width="9.7109375" hidden="1" customWidth="1" collapsed="1"/>
    <col min="13" max="16" width="9.7109375" hidden="1" customWidth="1" outlineLevel="1"/>
    <col min="17" max="17" width="9.7109375" collapsed="1"/>
    <col min="18" max="21" width="9.7109375" hidden="1" customWidth="1" outlineLevel="1"/>
    <col min="22" max="22" width="9.7109375" collapsed="1"/>
    <col min="23" max="26" width="9.7109375" hidden="1" customWidth="1" outlineLevel="1"/>
    <col min="27" max="27" width="9.7109375" collapsed="1"/>
    <col min="28" max="31" width="9.7109375" hidden="1" customWidth="1" outlineLevel="1"/>
    <col min="32" max="32" width="9.7109375" collapsed="1"/>
    <col min="33" max="36" width="9.7109375" hidden="1" customWidth="1" outlineLevel="1"/>
    <col min="37" max="37" width="9.7109375" collapsed="1"/>
    <col min="38" max="41" width="9.7109375" hidden="1" customWidth="1" outlineLevel="1"/>
    <col min="42" max="42" width="9.7109375" collapsed="1"/>
    <col min="43" max="46" width="9.7109375" hidden="1" customWidth="1" outlineLevel="1"/>
    <col min="47" max="47" width="9.7109375" collapsed="1"/>
    <col min="48" max="51" width="9.7109375" hidden="1" customWidth="1" outlineLevel="1"/>
    <col min="52" max="52" width="9.7109375" collapsed="1"/>
    <col min="53" max="56" width="9.7109375" hidden="1" customWidth="1" outlineLevel="1"/>
    <col min="57" max="57" width="9.7109375" collapsed="1"/>
    <col min="58" max="61" width="9.7109375" hidden="1" customWidth="1" outlineLevel="1"/>
    <col min="62" max="62" width="9.7109375" collapsed="1"/>
    <col min="63" max="66" width="9.7109375" hidden="1" customWidth="1" outlineLevel="1"/>
    <col min="67" max="67" width="9.7109375" collapsed="1"/>
    <col min="68" max="71" width="9.7109375" customWidth="1" outlineLevel="1"/>
    <col min="73" max="76" width="9.7109375" hidden="1" customWidth="1" outlineLevel="1"/>
    <col min="77" max="77" width="9.7109375" collapsed="1"/>
    <col min="78" max="81" width="9.7109375" hidden="1" customWidth="1" outlineLevel="1"/>
    <col min="82" max="82" width="9.7109375" collapsed="1"/>
    <col min="91" max="91" width="23.85546875" bestFit="1" customWidth="1"/>
    <col min="92" max="92" width="9.7109375" customWidth="1"/>
  </cols>
  <sheetData>
    <row r="1" spans="1:89" ht="12.75" customHeight="1">
      <c r="A1" s="1"/>
      <c r="B1" s="1"/>
      <c r="C1" s="1"/>
      <c r="D1" s="2"/>
      <c r="E1" s="2"/>
      <c r="F1" s="2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3"/>
      <c r="T1" s="3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 t="s">
        <v>3421</v>
      </c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</row>
    <row r="2" spans="1:89" ht="18" customHeight="1">
      <c r="A2" s="1"/>
      <c r="B2" s="20" t="s">
        <v>3369</v>
      </c>
      <c r="C2" s="1"/>
      <c r="D2" s="2"/>
      <c r="E2" s="2"/>
      <c r="F2" s="2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3"/>
      <c r="T2" s="3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 t="s">
        <v>3421</v>
      </c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</row>
    <row r="3" spans="1:89" ht="12.75" customHeight="1">
      <c r="A3" s="1"/>
      <c r="B3" s="21" t="s">
        <v>2320</v>
      </c>
      <c r="C3" s="1"/>
      <c r="D3" s="2"/>
      <c r="E3" s="2"/>
      <c r="F3" s="2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3"/>
      <c r="T3" s="3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 t="s">
        <v>3421</v>
      </c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</row>
    <row r="4" spans="1:89" ht="12.75" customHeight="1">
      <c r="A4" s="1"/>
      <c r="B4" s="1"/>
      <c r="C4" s="1"/>
      <c r="D4" s="2"/>
      <c r="E4" s="2"/>
      <c r="F4" s="2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3"/>
      <c r="T4" s="3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 t="s">
        <v>3421</v>
      </c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</row>
    <row r="5" spans="1:89" ht="12.75" customHeight="1">
      <c r="A5" s="4"/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49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</row>
    <row r="6" spans="1:89" ht="12.75" customHeight="1">
      <c r="A6" s="42"/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49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603"/>
      <c r="BK6" s="5"/>
      <c r="BL6" s="5"/>
      <c r="BM6" s="5"/>
      <c r="BN6" s="603"/>
      <c r="BO6" s="603"/>
      <c r="BP6" s="603"/>
      <c r="BQ6" s="603"/>
      <c r="BR6" s="603"/>
      <c r="BS6" s="603"/>
      <c r="BT6" s="603"/>
      <c r="BU6" s="603"/>
      <c r="BV6" s="603"/>
      <c r="BW6" s="603"/>
      <c r="BX6" s="603"/>
      <c r="BY6" s="603"/>
      <c r="BZ6" s="603"/>
      <c r="CA6" s="603"/>
      <c r="CB6" s="603"/>
      <c r="CC6" s="603"/>
      <c r="CD6" s="603"/>
    </row>
    <row r="7" spans="1:89" ht="12.75" customHeight="1">
      <c r="A7" s="9" t="s">
        <v>3483</v>
      </c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49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G7" s="376" t="s">
        <v>3692</v>
      </c>
    </row>
    <row r="8" spans="1:89" ht="12.75" customHeight="1">
      <c r="A8" s="10"/>
      <c r="B8" s="10"/>
      <c r="C8" s="31">
        <v>2001</v>
      </c>
      <c r="D8" s="32">
        <v>2002</v>
      </c>
      <c r="E8" s="32">
        <v>2003</v>
      </c>
      <c r="F8" s="32">
        <v>2004</v>
      </c>
      <c r="G8" s="31">
        <v>2005</v>
      </c>
      <c r="H8" s="33" t="s">
        <v>714</v>
      </c>
      <c r="I8" s="33" t="s">
        <v>715</v>
      </c>
      <c r="J8" s="33" t="s">
        <v>716</v>
      </c>
      <c r="K8" s="33" t="s">
        <v>717</v>
      </c>
      <c r="L8" s="31">
        <v>2006</v>
      </c>
      <c r="M8" s="33" t="s">
        <v>718</v>
      </c>
      <c r="N8" s="33" t="s">
        <v>719</v>
      </c>
      <c r="O8" s="33" t="s">
        <v>1970</v>
      </c>
      <c r="P8" s="33" t="s">
        <v>1971</v>
      </c>
      <c r="Q8" s="31">
        <v>2007</v>
      </c>
      <c r="R8" s="33" t="s">
        <v>1972</v>
      </c>
      <c r="S8" s="33" t="s">
        <v>1973</v>
      </c>
      <c r="T8" s="33" t="s">
        <v>1974</v>
      </c>
      <c r="U8" s="33" t="s">
        <v>1975</v>
      </c>
      <c r="V8" s="31">
        <v>2008</v>
      </c>
      <c r="W8" s="33" t="s">
        <v>1976</v>
      </c>
      <c r="X8" s="33" t="s">
        <v>1977</v>
      </c>
      <c r="Y8" s="33" t="s">
        <v>1978</v>
      </c>
      <c r="Z8" s="33" t="s">
        <v>1979</v>
      </c>
      <c r="AA8" s="31">
        <v>2009</v>
      </c>
      <c r="AB8" s="33" t="s">
        <v>1980</v>
      </c>
      <c r="AC8" s="33" t="s">
        <v>1981</v>
      </c>
      <c r="AD8" s="33" t="s">
        <v>1982</v>
      </c>
      <c r="AE8" s="33" t="s">
        <v>2392</v>
      </c>
      <c r="AF8" s="31">
        <v>2010</v>
      </c>
      <c r="AG8" s="33" t="s">
        <v>2393</v>
      </c>
      <c r="AH8" s="33" t="s">
        <v>2394</v>
      </c>
      <c r="AI8" s="33" t="s">
        <v>2395</v>
      </c>
      <c r="AJ8" s="33" t="s">
        <v>2396</v>
      </c>
      <c r="AK8" s="31">
        <v>2011</v>
      </c>
      <c r="AL8" s="33" t="s">
        <v>2397</v>
      </c>
      <c r="AM8" s="33" t="s">
        <v>2398</v>
      </c>
      <c r="AN8" s="33" t="s">
        <v>2399</v>
      </c>
      <c r="AO8" s="33" t="s">
        <v>2400</v>
      </c>
      <c r="AP8" s="31">
        <v>2012</v>
      </c>
      <c r="AQ8" s="33" t="s">
        <v>2401</v>
      </c>
      <c r="AR8" s="33" t="s">
        <v>2402</v>
      </c>
      <c r="AS8" s="33" t="s">
        <v>2403</v>
      </c>
      <c r="AT8" s="33" t="s">
        <v>2404</v>
      </c>
      <c r="AU8" s="31">
        <v>2013</v>
      </c>
      <c r="AV8" s="33" t="s">
        <v>2405</v>
      </c>
      <c r="AW8" s="33" t="s">
        <v>2406</v>
      </c>
      <c r="AX8" s="33" t="s">
        <v>2407</v>
      </c>
      <c r="AY8" s="33" t="s">
        <v>2408</v>
      </c>
      <c r="AZ8" s="31">
        <v>2014</v>
      </c>
      <c r="BA8" s="33" t="s">
        <v>2409</v>
      </c>
      <c r="BB8" s="33" t="s">
        <v>2410</v>
      </c>
      <c r="BC8" s="33" t="s">
        <v>2411</v>
      </c>
      <c r="BD8" s="33" t="s">
        <v>2412</v>
      </c>
      <c r="BE8" s="31">
        <v>2015</v>
      </c>
      <c r="BF8" s="33" t="s">
        <v>2413</v>
      </c>
      <c r="BG8" s="33" t="s">
        <v>2414</v>
      </c>
      <c r="BH8" s="33" t="s">
        <v>2415</v>
      </c>
      <c r="BI8" s="33" t="s">
        <v>2416</v>
      </c>
      <c r="BJ8" s="31">
        <v>2016</v>
      </c>
      <c r="BK8" s="33" t="s">
        <v>2417</v>
      </c>
      <c r="BL8" s="33" t="s">
        <v>2418</v>
      </c>
      <c r="BM8" s="33" t="s">
        <v>2419</v>
      </c>
      <c r="BN8" s="363" t="s">
        <v>2420</v>
      </c>
      <c r="BO8" s="31">
        <v>2017</v>
      </c>
      <c r="BP8" s="363" t="s">
        <v>2244</v>
      </c>
      <c r="BQ8" s="363" t="s">
        <v>2245</v>
      </c>
      <c r="BR8" s="363" t="s">
        <v>2508</v>
      </c>
      <c r="BS8" s="363" t="s">
        <v>2509</v>
      </c>
      <c r="BT8" s="364">
        <v>2018</v>
      </c>
      <c r="BU8" s="363" t="s">
        <v>2510</v>
      </c>
      <c r="BV8" s="363" t="s">
        <v>2511</v>
      </c>
      <c r="BW8" s="363" t="s">
        <v>3125</v>
      </c>
      <c r="BX8" s="363" t="s">
        <v>1405</v>
      </c>
      <c r="BY8" s="364">
        <v>2019</v>
      </c>
      <c r="BZ8" s="363" t="s">
        <v>1406</v>
      </c>
      <c r="CA8" s="363" t="s">
        <v>1407</v>
      </c>
      <c r="CB8" s="363" t="s">
        <v>1408</v>
      </c>
      <c r="CC8" s="363" t="s">
        <v>1409</v>
      </c>
      <c r="CD8" s="364">
        <v>2020</v>
      </c>
      <c r="CG8" s="364"/>
      <c r="CH8" s="364" t="s">
        <v>320</v>
      </c>
      <c r="CI8" s="364" t="s">
        <v>321</v>
      </c>
      <c r="CJ8" s="364" t="s">
        <v>322</v>
      </c>
      <c r="CK8" s="364" t="s">
        <v>2663</v>
      </c>
    </row>
    <row r="9" spans="1:89">
      <c r="A9" s="121" t="s">
        <v>1338</v>
      </c>
      <c r="C9" s="93"/>
      <c r="D9" s="93"/>
      <c r="E9" s="93"/>
      <c r="F9" s="93"/>
      <c r="G9" s="93"/>
      <c r="H9" s="93"/>
      <c r="I9" s="93"/>
      <c r="J9" s="93"/>
      <c r="K9" s="93"/>
      <c r="L9" s="93"/>
      <c r="M9" s="12">
        <v>1146</v>
      </c>
      <c r="N9" s="12">
        <v>1227</v>
      </c>
      <c r="O9" s="12">
        <v>377</v>
      </c>
      <c r="P9" s="12">
        <v>-360</v>
      </c>
      <c r="Q9" s="5">
        <v>2390</v>
      </c>
      <c r="R9" s="12">
        <v>32</v>
      </c>
      <c r="S9" s="12">
        <v>351</v>
      </c>
      <c r="T9" s="12">
        <v>983</v>
      </c>
      <c r="U9" s="12">
        <v>524</v>
      </c>
      <c r="V9" s="5">
        <v>1890</v>
      </c>
      <c r="W9" s="12">
        <v>1229</v>
      </c>
      <c r="X9" s="12">
        <v>418</v>
      </c>
      <c r="Y9" s="12">
        <v>476</v>
      </c>
      <c r="Z9" s="12">
        <v>-382</v>
      </c>
      <c r="AA9" s="5">
        <v>1741</v>
      </c>
      <c r="AB9" s="12">
        <v>118</v>
      </c>
      <c r="AC9" s="12">
        <v>983</v>
      </c>
      <c r="AD9" s="12">
        <v>1002</v>
      </c>
      <c r="AE9" s="12">
        <v>144</v>
      </c>
      <c r="AF9" s="5">
        <v>2247</v>
      </c>
      <c r="AG9" s="12">
        <v>1308</v>
      </c>
      <c r="AH9" s="12">
        <v>754</v>
      </c>
      <c r="AI9" s="12">
        <v>1183</v>
      </c>
      <c r="AJ9" s="12">
        <v>394</v>
      </c>
      <c r="AK9" s="5">
        <v>3639</v>
      </c>
      <c r="AL9" s="12">
        <v>490</v>
      </c>
      <c r="AM9" s="12">
        <v>785</v>
      </c>
      <c r="AN9" s="12">
        <v>2718</v>
      </c>
      <c r="AO9" s="12">
        <v>1019</v>
      </c>
      <c r="AP9" s="5">
        <v>5012</v>
      </c>
      <c r="AQ9" s="12">
        <v>1237</v>
      </c>
      <c r="AR9" s="12">
        <v>853</v>
      </c>
      <c r="AS9" s="12">
        <v>344</v>
      </c>
      <c r="AT9" s="12">
        <v>-204</v>
      </c>
      <c r="AU9" s="5">
        <v>2230</v>
      </c>
      <c r="AV9" s="181">
        <v>700</v>
      </c>
      <c r="AW9" s="12">
        <v>516</v>
      </c>
      <c r="AX9" s="12">
        <v>1078</v>
      </c>
      <c r="AY9" s="12">
        <v>925</v>
      </c>
      <c r="AZ9" s="5">
        <f>SUM(AV9:AY9)</f>
        <v>3219</v>
      </c>
      <c r="BA9" s="181">
        <v>1796</v>
      </c>
      <c r="BB9" s="181">
        <v>1394</v>
      </c>
      <c r="BC9" s="181">
        <v>1917</v>
      </c>
      <c r="BD9" s="181">
        <v>888</v>
      </c>
      <c r="BE9" s="5">
        <f>SUM(BA9:BD9)</f>
        <v>5995</v>
      </c>
      <c r="BF9" s="181">
        <v>1316</v>
      </c>
      <c r="BG9" s="181">
        <v>1011</v>
      </c>
      <c r="BH9" s="181">
        <v>983</v>
      </c>
      <c r="BI9" s="181">
        <v>417</v>
      </c>
      <c r="BJ9" s="5">
        <f>SUM(BF9:BI9)</f>
        <v>3727</v>
      </c>
      <c r="BK9" s="181">
        <v>1200</v>
      </c>
      <c r="BL9" s="181">
        <v>908</v>
      </c>
      <c r="BM9" s="181">
        <v>1788</v>
      </c>
      <c r="BN9" s="181">
        <v>976</v>
      </c>
      <c r="BO9" s="5">
        <f>SUM(BK9:BN9)</f>
        <v>4872</v>
      </c>
      <c r="BP9" s="12">
        <f>BP38*BP72*90/1000</f>
        <v>1082.1374776063149</v>
      </c>
      <c r="BQ9" s="12">
        <f>BQ38*BQ72*90/1000</f>
        <v>1469.787356180356</v>
      </c>
      <c r="BR9" s="12">
        <f>BR38*BR72*90/1000</f>
        <v>1699.287356180356</v>
      </c>
      <c r="BS9" s="12">
        <f>BS38*BS72*90/1000</f>
        <v>1240.287356180356</v>
      </c>
      <c r="BT9" s="5">
        <f>SUM(BP9:BS9)</f>
        <v>5491.4995461473836</v>
      </c>
      <c r="BU9" s="12">
        <f>BU38*BU72*90/1000</f>
        <v>1791.3350525471053</v>
      </c>
      <c r="BV9" s="12">
        <f>BV38*BV72*90/1000</f>
        <v>1638.3350525471053</v>
      </c>
      <c r="BW9" s="12">
        <f>BW38*BW72*90/1000</f>
        <v>1867.8350525471053</v>
      </c>
      <c r="BX9" s="12">
        <f>BX38*BX72*90/1000</f>
        <v>1561.8350525471053</v>
      </c>
      <c r="BY9" s="5">
        <f>SUM(BU9:BX9)</f>
        <v>6859.3402101884212</v>
      </c>
      <c r="BZ9" s="12">
        <f>BZ38*BZ72*90/1000</f>
        <v>1875.6089007304802</v>
      </c>
      <c r="CA9" s="12">
        <f>CA38*CA72*90/1000</f>
        <v>1722.6089007304802</v>
      </c>
      <c r="CB9" s="12">
        <f>CB38*CB72*90/1000</f>
        <v>1952.1089007304802</v>
      </c>
      <c r="CC9" s="12">
        <f>CC38*CC72*90/1000</f>
        <v>1646.1089007304802</v>
      </c>
      <c r="CD9" s="5">
        <f>SUM(BZ9:CC9)</f>
        <v>7196.4356029219207</v>
      </c>
      <c r="CG9" s="456">
        <v>2008</v>
      </c>
      <c r="CH9">
        <f>INDEX($9:$9,MATCH(CH$8&amp;RIGHT($CG9,2),$8:$8,0))</f>
        <v>32</v>
      </c>
      <c r="CI9">
        <f t="shared" ref="CI9:CK15" si="0">INDEX($9:$9,MATCH(CI$8&amp;RIGHT($CG9,2),$8:$8,0))</f>
        <v>351</v>
      </c>
      <c r="CJ9">
        <f t="shared" si="0"/>
        <v>983</v>
      </c>
      <c r="CK9">
        <f t="shared" si="0"/>
        <v>524</v>
      </c>
    </row>
    <row r="10" spans="1:89">
      <c r="A10" s="121" t="s">
        <v>1339</v>
      </c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12">
        <v>179</v>
      </c>
      <c r="N10" s="12">
        <v>232</v>
      </c>
      <c r="O10" s="12">
        <v>193</v>
      </c>
      <c r="P10" s="12">
        <v>108</v>
      </c>
      <c r="Q10" s="5">
        <v>712</v>
      </c>
      <c r="R10" s="12">
        <v>282</v>
      </c>
      <c r="S10" s="12">
        <v>261</v>
      </c>
      <c r="T10" s="12">
        <v>243</v>
      </c>
      <c r="U10" s="12">
        <v>235</v>
      </c>
      <c r="V10" s="5">
        <v>1021</v>
      </c>
      <c r="W10" s="12">
        <v>245</v>
      </c>
      <c r="X10" s="12">
        <v>380</v>
      </c>
      <c r="Y10" s="12">
        <v>360</v>
      </c>
      <c r="Z10" s="12">
        <v>245</v>
      </c>
      <c r="AA10" s="5">
        <v>1230</v>
      </c>
      <c r="AB10" s="12">
        <v>360</v>
      </c>
      <c r="AC10" s="12">
        <v>381</v>
      </c>
      <c r="AD10" s="12">
        <v>324</v>
      </c>
      <c r="AE10" s="12">
        <v>339</v>
      </c>
      <c r="AF10" s="5">
        <v>1404</v>
      </c>
      <c r="AG10" s="12">
        <v>372</v>
      </c>
      <c r="AH10" s="12">
        <v>368</v>
      </c>
      <c r="AI10" s="12">
        <v>247</v>
      </c>
      <c r="AJ10" s="12">
        <v>263</v>
      </c>
      <c r="AK10" s="5">
        <v>1250</v>
      </c>
      <c r="AL10" s="12">
        <v>325</v>
      </c>
      <c r="AM10" s="12">
        <v>320</v>
      </c>
      <c r="AN10" s="12">
        <v>311</v>
      </c>
      <c r="AO10" s="12">
        <v>329</v>
      </c>
      <c r="AP10" s="5">
        <v>1285</v>
      </c>
      <c r="AQ10" s="12">
        <v>345</v>
      </c>
      <c r="AR10" s="12">
        <v>372</v>
      </c>
      <c r="AS10" s="12">
        <v>325</v>
      </c>
      <c r="AT10" s="12">
        <v>230</v>
      </c>
      <c r="AU10" s="5">
        <v>1272</v>
      </c>
      <c r="AV10" s="181">
        <v>307</v>
      </c>
      <c r="AW10" s="12">
        <v>315</v>
      </c>
      <c r="AX10" s="12">
        <v>336</v>
      </c>
      <c r="AY10" s="12">
        <v>313</v>
      </c>
      <c r="AZ10" s="5">
        <f>SUM(AV10:AY10)</f>
        <v>1271</v>
      </c>
      <c r="BA10" s="181">
        <v>345</v>
      </c>
      <c r="BB10" s="181">
        <v>397</v>
      </c>
      <c r="BC10" s="181">
        <v>348</v>
      </c>
      <c r="BD10" s="181">
        <v>294</v>
      </c>
      <c r="BE10" s="5">
        <f>SUM(BA10:BD10)</f>
        <v>1384</v>
      </c>
      <c r="BF10" s="181">
        <v>384</v>
      </c>
      <c r="BG10" s="181">
        <v>412</v>
      </c>
      <c r="BH10" s="181">
        <v>370</v>
      </c>
      <c r="BI10" s="181">
        <v>357</v>
      </c>
      <c r="BJ10" s="5">
        <f>SUM(BF10:BI10)</f>
        <v>1523</v>
      </c>
      <c r="BK10" s="181">
        <v>393</v>
      </c>
      <c r="BL10" s="181">
        <v>355</v>
      </c>
      <c r="BM10" s="181">
        <v>356</v>
      </c>
      <c r="BN10" s="181">
        <v>375</v>
      </c>
      <c r="BO10" s="5">
        <f>SUM(BK10:BN10)</f>
        <v>1479</v>
      </c>
      <c r="BP10" s="513">
        <v>375</v>
      </c>
      <c r="BQ10" s="513">
        <v>375</v>
      </c>
      <c r="BR10" s="513">
        <v>375</v>
      </c>
      <c r="BS10" s="513">
        <v>375</v>
      </c>
      <c r="BT10" s="5">
        <f>SUM(BP10:BS10)</f>
        <v>1500</v>
      </c>
      <c r="BU10" s="513">
        <v>385</v>
      </c>
      <c r="BV10" s="513">
        <v>385</v>
      </c>
      <c r="BW10" s="513">
        <v>385</v>
      </c>
      <c r="BX10" s="513">
        <v>385</v>
      </c>
      <c r="BY10" s="5">
        <f>SUM(BU10:BX10)</f>
        <v>1540</v>
      </c>
      <c r="BZ10" s="513">
        <v>400</v>
      </c>
      <c r="CA10" s="513">
        <v>400</v>
      </c>
      <c r="CB10" s="513">
        <v>400</v>
      </c>
      <c r="CC10" s="513">
        <v>400</v>
      </c>
      <c r="CD10" s="5">
        <f>SUM(BZ10:CC10)</f>
        <v>1600</v>
      </c>
      <c r="CG10" s="456">
        <v>2009</v>
      </c>
      <c r="CH10">
        <f t="shared" ref="CH10:CH15" si="1">INDEX($9:$9,MATCH(CH$8&amp;RIGHT($CG10,2),$8:$8,0))</f>
        <v>1229</v>
      </c>
      <c r="CI10">
        <f t="shared" si="0"/>
        <v>418</v>
      </c>
      <c r="CJ10">
        <f t="shared" si="0"/>
        <v>476</v>
      </c>
      <c r="CK10">
        <f t="shared" si="0"/>
        <v>-382</v>
      </c>
    </row>
    <row r="11" spans="1:89">
      <c r="A11" s="121" t="s">
        <v>3481</v>
      </c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12">
        <v>247</v>
      </c>
      <c r="N11" s="12">
        <v>179</v>
      </c>
      <c r="O11" s="12">
        <v>238</v>
      </c>
      <c r="P11" s="12">
        <v>164</v>
      </c>
      <c r="Q11" s="5">
        <v>828</v>
      </c>
      <c r="R11" s="12">
        <v>225</v>
      </c>
      <c r="S11" s="12">
        <v>187</v>
      </c>
      <c r="T11" s="12">
        <v>110</v>
      </c>
      <c r="U11" s="12">
        <v>-115</v>
      </c>
      <c r="V11" s="5">
        <v>407</v>
      </c>
      <c r="W11" s="12">
        <v>75</v>
      </c>
      <c r="X11" s="12">
        <v>174</v>
      </c>
      <c r="Y11" s="12">
        <v>235</v>
      </c>
      <c r="Z11" s="12">
        <v>152</v>
      </c>
      <c r="AA11" s="5">
        <v>636</v>
      </c>
      <c r="AB11" s="12">
        <v>311</v>
      </c>
      <c r="AC11" s="12">
        <v>360</v>
      </c>
      <c r="AD11" s="12">
        <v>300</v>
      </c>
      <c r="AE11" s="12">
        <v>261</v>
      </c>
      <c r="AF11" s="5">
        <v>1232</v>
      </c>
      <c r="AG11" s="12">
        <v>519</v>
      </c>
      <c r="AH11" s="12">
        <v>270</v>
      </c>
      <c r="AI11" s="12">
        <v>235</v>
      </c>
      <c r="AJ11" s="12">
        <v>96</v>
      </c>
      <c r="AK11" s="5">
        <v>1120</v>
      </c>
      <c r="AL11" s="12">
        <v>112</v>
      </c>
      <c r="AM11" s="12">
        <v>28</v>
      </c>
      <c r="AN11" s="12">
        <v>-20</v>
      </c>
      <c r="AO11" s="12">
        <v>46</v>
      </c>
      <c r="AP11" s="5">
        <v>166</v>
      </c>
      <c r="AQ11" s="12">
        <v>59</v>
      </c>
      <c r="AR11" s="12">
        <v>-24</v>
      </c>
      <c r="AS11" s="12">
        <v>51</v>
      </c>
      <c r="AT11" s="12">
        <v>44</v>
      </c>
      <c r="AU11" s="5">
        <v>130</v>
      </c>
      <c r="AV11" s="181">
        <v>4</v>
      </c>
      <c r="AW11" s="12">
        <v>-98</v>
      </c>
      <c r="AX11" s="12">
        <v>70</v>
      </c>
      <c r="AY11" s="12">
        <v>-25</v>
      </c>
      <c r="AZ11" s="5">
        <f>SUM(AV11:AY11)</f>
        <v>-49</v>
      </c>
      <c r="BA11" s="181">
        <v>17</v>
      </c>
      <c r="BB11" s="181">
        <v>76</v>
      </c>
      <c r="BC11" s="181">
        <v>37</v>
      </c>
      <c r="BD11" s="181">
        <v>36</v>
      </c>
      <c r="BE11" s="5">
        <f>SUM(BA11:BD11)</f>
        <v>166</v>
      </c>
      <c r="BF11" s="181">
        <v>113</v>
      </c>
      <c r="BG11" s="181">
        <v>90</v>
      </c>
      <c r="BH11" s="181">
        <v>78</v>
      </c>
      <c r="BI11" s="181">
        <v>103</v>
      </c>
      <c r="BJ11" s="5">
        <f>SUM(BF11:BI11)</f>
        <v>384</v>
      </c>
      <c r="BK11" s="181">
        <v>149</v>
      </c>
      <c r="BL11" s="181">
        <v>150</v>
      </c>
      <c r="BM11" s="181">
        <v>194</v>
      </c>
      <c r="BN11" s="181">
        <v>123</v>
      </c>
      <c r="BO11" s="5">
        <f>SUM(BK11:BN11)</f>
        <v>616</v>
      </c>
      <c r="BP11" s="513">
        <v>80</v>
      </c>
      <c r="BQ11" s="513">
        <f t="shared" ref="BQ11:BS11" si="2">500/4</f>
        <v>125</v>
      </c>
      <c r="BR11" s="513">
        <f t="shared" si="2"/>
        <v>125</v>
      </c>
      <c r="BS11" s="513">
        <f t="shared" si="2"/>
        <v>125</v>
      </c>
      <c r="BT11" s="5">
        <f>SUM(BP11:BS11)</f>
        <v>455</v>
      </c>
      <c r="BU11" s="513">
        <f t="shared" ref="BU11:CC11" si="3">500/4</f>
        <v>125</v>
      </c>
      <c r="BV11" s="513">
        <f t="shared" si="3"/>
        <v>125</v>
      </c>
      <c r="BW11" s="513">
        <f t="shared" si="3"/>
        <v>125</v>
      </c>
      <c r="BX11" s="513">
        <f t="shared" si="3"/>
        <v>125</v>
      </c>
      <c r="BY11" s="5">
        <f t="shared" ref="BY11" si="4">SUM(BU11:BX11)</f>
        <v>500</v>
      </c>
      <c r="BZ11" s="513">
        <f t="shared" ref="BZ11" si="5">500/4</f>
        <v>125</v>
      </c>
      <c r="CA11" s="513">
        <f t="shared" si="3"/>
        <v>125</v>
      </c>
      <c r="CB11" s="513">
        <f t="shared" si="3"/>
        <v>125</v>
      </c>
      <c r="CC11" s="513">
        <f t="shared" si="3"/>
        <v>125</v>
      </c>
      <c r="CD11" s="5">
        <f t="shared" ref="CD11" si="6">SUM(BZ11:CC11)</f>
        <v>500</v>
      </c>
      <c r="CG11" s="456">
        <v>2010</v>
      </c>
      <c r="CH11">
        <f t="shared" si="1"/>
        <v>118</v>
      </c>
      <c r="CI11">
        <f t="shared" si="0"/>
        <v>983</v>
      </c>
      <c r="CJ11">
        <f t="shared" si="0"/>
        <v>1002</v>
      </c>
      <c r="CK11">
        <f t="shared" si="0"/>
        <v>144</v>
      </c>
    </row>
    <row r="12" spans="1:89">
      <c r="A12" s="7" t="s">
        <v>646</v>
      </c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19">
        <v>1572</v>
      </c>
      <c r="N12" s="19">
        <v>1638</v>
      </c>
      <c r="O12" s="19">
        <v>808</v>
      </c>
      <c r="P12" s="19">
        <v>-88</v>
      </c>
      <c r="Q12" s="8">
        <v>3930</v>
      </c>
      <c r="R12" s="19">
        <v>539</v>
      </c>
      <c r="S12" s="19">
        <v>799</v>
      </c>
      <c r="T12" s="19">
        <v>1336</v>
      </c>
      <c r="U12" s="19">
        <v>644</v>
      </c>
      <c r="V12" s="8">
        <v>3318</v>
      </c>
      <c r="W12" s="19">
        <v>1549</v>
      </c>
      <c r="X12" s="19">
        <v>972</v>
      </c>
      <c r="Y12" s="19">
        <v>1071</v>
      </c>
      <c r="Z12" s="19">
        <v>15</v>
      </c>
      <c r="AA12" s="8">
        <v>3607</v>
      </c>
      <c r="AB12" s="19">
        <v>789</v>
      </c>
      <c r="AC12" s="19">
        <v>1724</v>
      </c>
      <c r="AD12" s="19">
        <v>1626</v>
      </c>
      <c r="AE12" s="19">
        <v>744</v>
      </c>
      <c r="AF12" s="8">
        <v>4883</v>
      </c>
      <c r="AG12" s="19">
        <v>2199</v>
      </c>
      <c r="AH12" s="19">
        <v>1392</v>
      </c>
      <c r="AI12" s="19">
        <v>1665</v>
      </c>
      <c r="AJ12" s="19">
        <v>753</v>
      </c>
      <c r="AK12" s="8">
        <v>6009</v>
      </c>
      <c r="AL12" s="19">
        <v>927</v>
      </c>
      <c r="AM12" s="19">
        <v>1133</v>
      </c>
      <c r="AN12" s="19">
        <v>3009</v>
      </c>
      <c r="AO12" s="19">
        <v>1394</v>
      </c>
      <c r="AP12" s="8">
        <v>6463</v>
      </c>
      <c r="AQ12" s="19">
        <v>1641</v>
      </c>
      <c r="AR12" s="19">
        <v>1201</v>
      </c>
      <c r="AS12" s="19">
        <v>720</v>
      </c>
      <c r="AT12" s="19">
        <v>70</v>
      </c>
      <c r="AU12" s="8">
        <v>3632</v>
      </c>
      <c r="AV12" s="180">
        <v>1011</v>
      </c>
      <c r="AW12" s="19">
        <v>733</v>
      </c>
      <c r="AX12" s="19">
        <f>SUM(AX9:AX11)</f>
        <v>1484</v>
      </c>
      <c r="AY12" s="19">
        <f>SUM(AY9:AY11)</f>
        <v>1213</v>
      </c>
      <c r="AZ12" s="8">
        <f>SUM(AV12:AY12)</f>
        <v>4441</v>
      </c>
      <c r="BA12" s="180">
        <v>2158</v>
      </c>
      <c r="BB12" s="180">
        <f>SUM(BB9:BB11)</f>
        <v>1867</v>
      </c>
      <c r="BC12" s="180">
        <f>SUM(BC9:BC11)</f>
        <v>2302</v>
      </c>
      <c r="BD12" s="180">
        <f>SUM(BD9:BD11)</f>
        <v>1218</v>
      </c>
      <c r="BE12" s="8">
        <f>SUM(BA12:BD12)</f>
        <v>7545</v>
      </c>
      <c r="BF12" s="180">
        <f>SUM(BF9:BF11)</f>
        <v>1813</v>
      </c>
      <c r="BG12" s="180">
        <f>SUM(BG9:BG11)</f>
        <v>1513</v>
      </c>
      <c r="BH12" s="180">
        <f>SUM(BH9:BH11)</f>
        <v>1431</v>
      </c>
      <c r="BI12" s="180">
        <f>SUM(BI9:BI11)</f>
        <v>877</v>
      </c>
      <c r="BJ12" s="8">
        <f>SUM(BF12:BI12)</f>
        <v>5634</v>
      </c>
      <c r="BK12" s="180">
        <f>SUM(BK9:BK11)</f>
        <v>1742</v>
      </c>
      <c r="BL12" s="180">
        <f>SUM(BL9:BL11)</f>
        <v>1413</v>
      </c>
      <c r="BM12" s="180">
        <f>SUM(BM9:BM11)</f>
        <v>2338</v>
      </c>
      <c r="BN12" s="180">
        <f>SUM(BN9:BN11)</f>
        <v>1474</v>
      </c>
      <c r="BO12" s="8">
        <f>SUM(BK12:BN12)</f>
        <v>6967</v>
      </c>
      <c r="BP12" s="19">
        <f>SUM(BP9:BP11)</f>
        <v>1537.1374776063149</v>
      </c>
      <c r="BQ12" s="19">
        <f>SUM(BQ9:BQ11)</f>
        <v>1969.787356180356</v>
      </c>
      <c r="BR12" s="19">
        <f>SUM(BR9:BR11)</f>
        <v>2199.2873561803563</v>
      </c>
      <c r="BS12" s="19">
        <f>SUM(BS9:BS11)</f>
        <v>1740.287356180356</v>
      </c>
      <c r="BT12" s="8">
        <f>SUM(BP12:BS12)</f>
        <v>7446.4995461473836</v>
      </c>
      <c r="BU12" s="19">
        <f>SUM(BU9:BU11)</f>
        <v>2301.3350525471051</v>
      </c>
      <c r="BV12" s="19">
        <f>SUM(BV9:BV11)</f>
        <v>2148.3350525471051</v>
      </c>
      <c r="BW12" s="19">
        <f>SUM(BW9:BW11)</f>
        <v>2377.8350525471051</v>
      </c>
      <c r="BX12" s="19">
        <f>SUM(BX9:BX11)</f>
        <v>2071.8350525471051</v>
      </c>
      <c r="BY12" s="8">
        <f>SUM(BU12:BX12)</f>
        <v>8899.3402101884203</v>
      </c>
      <c r="BZ12" s="19">
        <f>SUM(BZ9:BZ11)</f>
        <v>2400.6089007304799</v>
      </c>
      <c r="CA12" s="19">
        <f>SUM(CA9:CA11)</f>
        <v>2247.6089007304799</v>
      </c>
      <c r="CB12" s="19">
        <f>SUM(CB9:CB11)</f>
        <v>2477.1089007304799</v>
      </c>
      <c r="CC12" s="19">
        <f>SUM(CC9:CC11)</f>
        <v>2171.1089007304799</v>
      </c>
      <c r="CD12" s="8">
        <f>SUM(BZ12:CC12)</f>
        <v>9296.4356029219198</v>
      </c>
      <c r="CE12" s="289"/>
      <c r="CG12" s="456">
        <v>2011</v>
      </c>
      <c r="CH12">
        <f t="shared" si="1"/>
        <v>1308</v>
      </c>
      <c r="CI12">
        <f t="shared" si="0"/>
        <v>754</v>
      </c>
      <c r="CJ12">
        <f t="shared" si="0"/>
        <v>1183</v>
      </c>
      <c r="CK12">
        <f t="shared" si="0"/>
        <v>394</v>
      </c>
    </row>
    <row r="13" spans="1:89">
      <c r="AV13" s="406"/>
      <c r="BA13" s="406"/>
      <c r="BB13" s="406"/>
      <c r="BC13" s="406"/>
      <c r="BD13" s="406"/>
      <c r="BF13" s="406"/>
      <c r="BG13" s="406"/>
      <c r="BH13" s="406"/>
      <c r="BI13" s="406"/>
      <c r="BK13" s="406"/>
      <c r="BL13" s="406"/>
      <c r="BM13" s="406"/>
      <c r="BN13" s="406"/>
      <c r="CG13" s="456">
        <v>2012</v>
      </c>
      <c r="CH13">
        <f t="shared" si="1"/>
        <v>490</v>
      </c>
      <c r="CI13">
        <f t="shared" si="0"/>
        <v>785</v>
      </c>
      <c r="CJ13">
        <f t="shared" si="0"/>
        <v>2718</v>
      </c>
      <c r="CK13">
        <f t="shared" si="0"/>
        <v>1019</v>
      </c>
    </row>
    <row r="14" spans="1:89">
      <c r="A14" s="35" t="s">
        <v>2154</v>
      </c>
      <c r="H14" s="93"/>
      <c r="I14" s="93"/>
      <c r="J14" s="93"/>
      <c r="K14" s="93"/>
      <c r="L14" s="93"/>
      <c r="M14" s="93"/>
      <c r="N14" s="93"/>
      <c r="O14" s="93"/>
      <c r="P14" s="93"/>
      <c r="Q14" s="5">
        <f>INDEX(Assets!$38:$38,MATCH('R&amp;M'!Q8,Assets!$9:$9,0))</f>
        <v>2421</v>
      </c>
      <c r="R14" s="93"/>
      <c r="S14" s="93"/>
      <c r="T14" s="93"/>
      <c r="U14" s="93"/>
      <c r="V14" s="5">
        <f>INDEX(Assets!$38:$38,MATCH('R&amp;M'!V8,Assets!$9:$9,0))</f>
        <v>2208</v>
      </c>
      <c r="W14" s="93"/>
      <c r="X14" s="93"/>
      <c r="Y14" s="93"/>
      <c r="Z14" s="93"/>
      <c r="AA14" s="5">
        <f>INDEX(Assets!$38:$38,MATCH('R&amp;M'!AA8,Assets!$9:$9,0))</f>
        <v>2236</v>
      </c>
      <c r="AB14" s="93"/>
      <c r="AC14" s="93"/>
      <c r="AD14" s="93"/>
      <c r="AE14" s="93"/>
      <c r="AF14" s="5">
        <f>INDEX(Assets!$38:$38,MATCH('R&amp;M'!AF8,Assets!$9:$9,0))</f>
        <v>2258</v>
      </c>
      <c r="AG14" s="93"/>
      <c r="AH14" s="93"/>
      <c r="AI14" s="93"/>
      <c r="AJ14" s="93"/>
      <c r="AK14" s="5">
        <f>INDEX(Assets!$38:$38,MATCH('R&amp;M'!AK8,Assets!$9:$9,0))</f>
        <v>2117</v>
      </c>
      <c r="AL14" s="93"/>
      <c r="AM14" s="93"/>
      <c r="AN14" s="93"/>
      <c r="AO14" s="93"/>
      <c r="AP14" s="5">
        <f>INDEX(Assets!$38:$38,MATCH('R&amp;M'!AP8,Assets!$9:$9,0))</f>
        <v>1769</v>
      </c>
      <c r="AQ14" s="93"/>
      <c r="AR14" s="93"/>
      <c r="AS14" s="93"/>
      <c r="AT14" s="93"/>
      <c r="AU14" s="5">
        <f>INDEX(Assets!$38:$38,MATCH('R&amp;M'!AU8,Assets!$9:$9,0))</f>
        <v>2090</v>
      </c>
      <c r="AV14" s="93"/>
      <c r="AW14" s="93"/>
      <c r="AX14" s="93"/>
      <c r="AY14" s="93"/>
      <c r="AZ14" s="5">
        <f>INDEX(Assets!$38:$38,MATCH('R&amp;M'!AZ8,Assets!$9:$9,0))</f>
        <v>2320</v>
      </c>
      <c r="BA14" s="93"/>
      <c r="BB14" s="93"/>
      <c r="BC14" s="93"/>
      <c r="BD14" s="93"/>
      <c r="BE14" s="5">
        <f>INDEX(Assets!$38:$38,MATCH('R&amp;M'!BE8,Assets!$9:$9,0))</f>
        <v>2068</v>
      </c>
      <c r="BF14" s="93"/>
      <c r="BG14" s="93"/>
      <c r="BH14" s="93"/>
      <c r="BI14" s="93"/>
      <c r="BJ14" s="5">
        <f>INDEX(Assets!$38:$38,MATCH('R&amp;M'!BJ8,Assets!$9:$9,0))</f>
        <v>1950</v>
      </c>
      <c r="BK14" s="12">
        <f>INDEX(Assets!$38:$38,MATCH('R&amp;M'!BK8,Assets!$9:$9,0))</f>
        <v>0</v>
      </c>
      <c r="BL14" s="12">
        <f>INDEX(Assets!$38:$38,MATCH('R&amp;M'!BL8,Assets!$9:$9,0))</f>
        <v>0</v>
      </c>
      <c r="BM14" s="181">
        <f>INDEX(Assets!$38:$38,MATCH('R&amp;M'!BM8,Assets!$9:$9,0))</f>
        <v>0</v>
      </c>
      <c r="BN14" s="181">
        <f>INDEX(Assets!$38:$38,MATCH('R&amp;M'!BN8,Assets!$9:$9,0))</f>
        <v>0</v>
      </c>
      <c r="BO14" s="5">
        <f>INDEX(Assets!$38:$38,MATCH('R&amp;M'!BO8,Assets!$9:$9,0))</f>
        <v>2016</v>
      </c>
      <c r="BP14" s="93"/>
      <c r="BQ14" s="93"/>
      <c r="BR14" s="93"/>
      <c r="BS14" s="93"/>
      <c r="BT14" s="5">
        <f>INDEX(Assets!$38:$38,MATCH('R&amp;M'!BT8,Assets!$9:$9,0))</f>
        <v>2200</v>
      </c>
      <c r="BU14" s="93"/>
      <c r="BV14" s="93"/>
      <c r="BW14" s="93"/>
      <c r="BX14" s="93"/>
      <c r="BY14" s="5">
        <f>INDEX(Assets!$38:$38,MATCH('R&amp;M'!BY8,Assets!$9:$9,0))</f>
        <v>2300</v>
      </c>
      <c r="BZ14" s="93"/>
      <c r="CA14" s="93"/>
      <c r="CB14" s="93"/>
      <c r="CC14" s="93"/>
      <c r="CD14" s="5">
        <f>INDEX(Assets!$38:$38,MATCH('R&amp;M'!CD8,Assets!$9:$9,0))</f>
        <v>2400</v>
      </c>
      <c r="CG14" s="456">
        <v>2013</v>
      </c>
      <c r="CH14">
        <f t="shared" si="1"/>
        <v>1237</v>
      </c>
      <c r="CI14">
        <f t="shared" si="0"/>
        <v>853</v>
      </c>
      <c r="CJ14">
        <f t="shared" si="0"/>
        <v>344</v>
      </c>
      <c r="CK14">
        <f t="shared" si="0"/>
        <v>-204</v>
      </c>
    </row>
    <row r="15" spans="1:89">
      <c r="A15" s="7" t="s">
        <v>2282</v>
      </c>
      <c r="H15" s="93"/>
      <c r="I15" s="93"/>
      <c r="J15" s="93"/>
      <c r="K15" s="93"/>
      <c r="L15" s="93"/>
      <c r="M15" s="93"/>
      <c r="N15" s="93"/>
      <c r="O15" s="93"/>
      <c r="P15" s="93"/>
      <c r="Q15" s="8">
        <f>Q12+Q14</f>
        <v>6351</v>
      </c>
      <c r="R15" s="93"/>
      <c r="S15" s="93"/>
      <c r="T15" s="93"/>
      <c r="U15" s="93"/>
      <c r="V15" s="8">
        <f>V12+V14</f>
        <v>5526</v>
      </c>
      <c r="W15" s="93"/>
      <c r="X15" s="93"/>
      <c r="Y15" s="93"/>
      <c r="Z15" s="93"/>
      <c r="AA15" s="8">
        <f t="shared" ref="AA15" si="7">AA12+AA14</f>
        <v>5843</v>
      </c>
      <c r="AB15" s="93"/>
      <c r="AC15" s="93"/>
      <c r="AD15" s="93"/>
      <c r="AE15" s="93"/>
      <c r="AF15" s="8">
        <f t="shared" ref="AF15" si="8">AF12+AF14</f>
        <v>7141</v>
      </c>
      <c r="AG15" s="93"/>
      <c r="AH15" s="93"/>
      <c r="AI15" s="93"/>
      <c r="AJ15" s="93"/>
      <c r="AK15" s="8">
        <f t="shared" ref="AK15" si="9">AK12+AK14</f>
        <v>8126</v>
      </c>
      <c r="AL15" s="93"/>
      <c r="AM15" s="93"/>
      <c r="AN15" s="93"/>
      <c r="AO15" s="93"/>
      <c r="AP15" s="8">
        <f t="shared" ref="AP15" si="10">AP12+AP14</f>
        <v>8232</v>
      </c>
      <c r="AQ15" s="93"/>
      <c r="AR15" s="93"/>
      <c r="AS15" s="93"/>
      <c r="AT15" s="93"/>
      <c r="AU15" s="8">
        <f t="shared" ref="AU15" si="11">AU12+AU14</f>
        <v>5722</v>
      </c>
      <c r="AV15" s="93"/>
      <c r="AW15" s="93"/>
      <c r="AX15" s="93"/>
      <c r="AY15" s="93"/>
      <c r="AZ15" s="8">
        <f t="shared" ref="AZ15" si="12">AZ12+AZ14</f>
        <v>6761</v>
      </c>
      <c r="BA15" s="93"/>
      <c r="BB15" s="93"/>
      <c r="BC15" s="93"/>
      <c r="BD15" s="93"/>
      <c r="BE15" s="8">
        <f t="shared" ref="BE15" si="13">BE12+BE14</f>
        <v>9613</v>
      </c>
      <c r="BF15" s="93"/>
      <c r="BG15" s="93"/>
      <c r="BH15" s="93"/>
      <c r="BI15" s="93"/>
      <c r="BJ15" s="8">
        <f t="shared" ref="BJ15:BN15" si="14">BJ12+BJ14</f>
        <v>7584</v>
      </c>
      <c r="BK15" s="180">
        <f t="shared" si="14"/>
        <v>1742</v>
      </c>
      <c r="BL15" s="180">
        <f t="shared" si="14"/>
        <v>1413</v>
      </c>
      <c r="BM15" s="180">
        <f t="shared" si="14"/>
        <v>2338</v>
      </c>
      <c r="BN15" s="180">
        <f t="shared" si="14"/>
        <v>1474</v>
      </c>
      <c r="BO15" s="8">
        <f t="shared" ref="BO15" si="15">BO12+BO14</f>
        <v>8983</v>
      </c>
      <c r="BP15" s="93"/>
      <c r="BQ15" s="93"/>
      <c r="BR15" s="93"/>
      <c r="BS15" s="93"/>
      <c r="BT15" s="8">
        <f t="shared" ref="BT15" si="16">BT12+BT14</f>
        <v>9646.4995461473845</v>
      </c>
      <c r="BU15" s="93"/>
      <c r="BV15" s="93"/>
      <c r="BW15" s="93"/>
      <c r="BX15" s="93"/>
      <c r="BY15" s="8">
        <f t="shared" ref="BY15" si="17">BY12+BY14</f>
        <v>11199.34021018842</v>
      </c>
      <c r="BZ15" s="93"/>
      <c r="CA15" s="93"/>
      <c r="CB15" s="93"/>
      <c r="CC15" s="93"/>
      <c r="CD15" s="8">
        <f t="shared" ref="CD15" si="18">CD12+CD14</f>
        <v>11696.43560292192</v>
      </c>
      <c r="CG15" s="456">
        <v>2014</v>
      </c>
      <c r="CH15">
        <f t="shared" si="1"/>
        <v>700</v>
      </c>
      <c r="CI15">
        <f t="shared" si="0"/>
        <v>516</v>
      </c>
      <c r="CJ15">
        <f t="shared" si="0"/>
        <v>1078</v>
      </c>
      <c r="CK15">
        <f t="shared" si="0"/>
        <v>925</v>
      </c>
    </row>
    <row r="16" spans="1:89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148"/>
      <c r="BN16" s="148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G16" s="456">
        <v>2015</v>
      </c>
      <c r="CH16">
        <f t="shared" ref="CH16:CK17" si="19">INDEX($9:$9,MATCH(CH$8&amp;RIGHT($CG16,2),$8:$8,0))</f>
        <v>1796</v>
      </c>
      <c r="CI16">
        <f t="shared" si="19"/>
        <v>1394</v>
      </c>
      <c r="CJ16">
        <f t="shared" si="19"/>
        <v>1917</v>
      </c>
      <c r="CK16">
        <f t="shared" si="19"/>
        <v>888</v>
      </c>
    </row>
    <row r="17" spans="1:90">
      <c r="A17" s="35" t="s">
        <v>1153</v>
      </c>
      <c r="H17" s="93"/>
      <c r="I17" s="93"/>
      <c r="J17" s="93"/>
      <c r="K17" s="93"/>
      <c r="L17" s="93"/>
      <c r="M17" s="93"/>
      <c r="N17" s="93"/>
      <c r="O17" s="93"/>
      <c r="P17" s="93"/>
      <c r="Q17" s="173">
        <f>-INDEX(Capex!12:12,MATCH('R&amp;M'!Q8,Capex!9:9,0))</f>
        <v>-5495</v>
      </c>
      <c r="R17" s="12">
        <f>INDEX(Capex!12:12,MATCH('R&amp;M'!R8,Capex!9:9,0))</f>
        <v>2668</v>
      </c>
      <c r="S17" s="12">
        <f>INDEX(Capex!12:12,MATCH('R&amp;M'!S8,Capex!9:9,0))</f>
        <v>1244</v>
      </c>
      <c r="T17" s="12">
        <f>INDEX(Capex!12:12,MATCH('R&amp;M'!T8,Capex!9:9,0))</f>
        <v>1116</v>
      </c>
      <c r="U17" s="12">
        <f>INDEX(Capex!12:12,MATCH('R&amp;M'!U8,Capex!9:9,0))</f>
        <v>1606</v>
      </c>
      <c r="V17" s="173">
        <f>-INDEX(Capex!12:12,MATCH('R&amp;M'!V8,Capex!9:9,0))</f>
        <v>-6634</v>
      </c>
      <c r="W17" s="12">
        <f>INDEX(Capex!12:12,MATCH('R&amp;M'!W8,Capex!9:9,0))</f>
        <v>793</v>
      </c>
      <c r="X17" s="12">
        <f>INDEX(Capex!12:12,MATCH('R&amp;M'!X8,Capex!9:9,0))</f>
        <v>838</v>
      </c>
      <c r="Y17" s="12">
        <f>INDEX(Capex!12:12,MATCH('R&amp;M'!Y8,Capex!9:9,0))</f>
        <v>919</v>
      </c>
      <c r="Z17" s="12">
        <f>INDEX(Capex!12:12,MATCH('R&amp;M'!Z8,Capex!9:9,0))</f>
        <v>1564</v>
      </c>
      <c r="AA17" s="173">
        <f>-INDEX(Capex!12:12,MATCH('R&amp;M'!AA8,Capex!9:9,0))</f>
        <v>-4114</v>
      </c>
      <c r="AB17" s="12">
        <f>INDEX(Capex!12:12,MATCH('R&amp;M'!AB8,Capex!9:9,0))</f>
        <v>672</v>
      </c>
      <c r="AC17" s="12">
        <f>INDEX(Capex!12:12,MATCH('R&amp;M'!AC8,Capex!9:9,0))</f>
        <v>925</v>
      </c>
      <c r="AD17" s="12">
        <f>INDEX(Capex!12:12,MATCH('R&amp;M'!AD8,Capex!9:9,0))</f>
        <v>1067</v>
      </c>
      <c r="AE17" s="12">
        <f>INDEX(Capex!12:12,MATCH('R&amp;M'!AE8,Capex!9:9,0))</f>
        <v>1365</v>
      </c>
      <c r="AF17" s="173">
        <f>-INDEX(Capex!12:12,MATCH('R&amp;M'!AF8,Capex!9:9,0))</f>
        <v>-4029</v>
      </c>
      <c r="AG17" s="12">
        <f>INDEX(Capex!12:12,MATCH('R&amp;M'!AG8,Capex!9:9,0))</f>
        <v>737</v>
      </c>
      <c r="AH17" s="12">
        <f>INDEX(Capex!12:12,MATCH('R&amp;M'!AH8,Capex!9:9,0))</f>
        <v>939</v>
      </c>
      <c r="AI17" s="12">
        <f>INDEX(Capex!12:12,MATCH('R&amp;M'!AI8,Capex!9:9,0))</f>
        <v>1085</v>
      </c>
      <c r="AJ17" s="12">
        <f>INDEX(Capex!12:12,MATCH('R&amp;M'!AJ8,Capex!9:9,0))</f>
        <v>1369</v>
      </c>
      <c r="AK17" s="173">
        <f>-INDEX(Capex!12:12,MATCH('R&amp;M'!AK8,Capex!9:9,0))</f>
        <v>-4130</v>
      </c>
      <c r="AL17" s="12">
        <f>INDEX(Capex!12:12,MATCH('R&amp;M'!AL8,Capex!9:9,0))</f>
        <v>876</v>
      </c>
      <c r="AM17" s="12">
        <f>INDEX(Capex!12:12,MATCH('R&amp;M'!AM8,Capex!9:9,0))</f>
        <v>1268</v>
      </c>
      <c r="AN17" s="12">
        <f>INDEX(Capex!12:12,MATCH('R&amp;M'!AN8,Capex!9:9,0))</f>
        <v>1281</v>
      </c>
      <c r="AO17" s="12">
        <f>INDEX(Capex!12:12,MATCH('R&amp;M'!AO8,Capex!9:9,0))</f>
        <v>1623</v>
      </c>
      <c r="AP17" s="173">
        <f>-INDEX(Capex!12:12,MATCH('R&amp;M'!AP8,Capex!9:9,0))</f>
        <v>-5048</v>
      </c>
      <c r="AQ17" s="12">
        <f>INDEX(Capex!12:12,MATCH('R&amp;M'!AQ8,Capex!9:9,0))</f>
        <v>1054</v>
      </c>
      <c r="AR17" s="12">
        <f>INDEX(Capex!12:12,MATCH('R&amp;M'!AR8,Capex!9:9,0))</f>
        <v>1174</v>
      </c>
      <c r="AS17" s="12">
        <f>INDEX(Capex!12:12,MATCH('R&amp;M'!AS8,Capex!9:9,0))</f>
        <v>997</v>
      </c>
      <c r="AT17" s="12">
        <f>INDEX(Capex!12:12,MATCH('R&amp;M'!AT8,Capex!9:9,0))</f>
        <v>1281</v>
      </c>
      <c r="AU17" s="173">
        <f>-INDEX(Capex!12:12,MATCH('R&amp;M'!AU8,Capex!9:9,0))</f>
        <v>-4506</v>
      </c>
      <c r="AV17" s="12">
        <f>INDEX(Capex!12:12,MATCH('R&amp;M'!AV8,Capex!9:9,0))</f>
        <v>550</v>
      </c>
      <c r="AW17" s="12">
        <f>INDEX(Capex!12:12,MATCH('R&amp;M'!AW8,Capex!9:9,0))</f>
        <v>610</v>
      </c>
      <c r="AX17" s="12">
        <f>INDEX(Capex!12:12,MATCH('R&amp;M'!AX8,Capex!9:9,0))</f>
        <v>697</v>
      </c>
      <c r="AY17" s="12">
        <f>INDEX(Capex!12:12,MATCH('R&amp;M'!AY8,Capex!9:9,0))</f>
        <v>1249</v>
      </c>
      <c r="AZ17" s="173">
        <f>-INDEX(Capex!12:12,MATCH('R&amp;M'!AZ8,Capex!9:9,0))</f>
        <v>-3106</v>
      </c>
      <c r="BA17" s="12">
        <f>INDEX(Capex!12:12,MATCH('R&amp;M'!BA8,Capex!9:9,0))</f>
        <v>344</v>
      </c>
      <c r="BB17" s="12">
        <f>INDEX(Capex!12:12,MATCH('R&amp;M'!BB8,Capex!9:9,0))</f>
        <v>496</v>
      </c>
      <c r="BC17" s="12">
        <f>INDEX(Capex!12:12,MATCH('R&amp;M'!BC8,Capex!9:9,0))</f>
        <v>412</v>
      </c>
      <c r="BD17" s="12">
        <f>INDEX(Capex!12:12,MATCH('R&amp;M'!BD8,Capex!9:9,0))</f>
        <v>857</v>
      </c>
      <c r="BE17" s="173">
        <f>-INDEX(Capex!12:12,MATCH('R&amp;M'!BE8,Capex!9:9,0))</f>
        <v>-2109</v>
      </c>
      <c r="BF17" s="12">
        <f>INDEX(Capex!12:12,MATCH('R&amp;M'!BF8,Capex!9:9,0))</f>
        <v>265</v>
      </c>
      <c r="BG17" s="12">
        <f>INDEX(Capex!12:12,MATCH('R&amp;M'!BG8,Capex!9:9,0))</f>
        <v>428</v>
      </c>
      <c r="BH17" s="12">
        <f>INDEX(Capex!12:12,MATCH('R&amp;M'!BH8,Capex!9:9,0))</f>
        <v>472</v>
      </c>
      <c r="BI17" s="12">
        <f>INDEX(Capex!12:12,MATCH('R&amp;M'!BI8,Capex!9:9,0))</f>
        <v>976</v>
      </c>
      <c r="BJ17" s="173">
        <f>-INDEX(Capex!12:12,MATCH('R&amp;M'!BJ8,Capex!9:9,0))</f>
        <v>-2141</v>
      </c>
      <c r="BK17" s="12">
        <f>INDEX(Capex!12:12,MATCH('R&amp;M'!BK8,Capex!9:9,0))</f>
        <v>472</v>
      </c>
      <c r="BL17" s="12">
        <f>INDEX(Capex!12:12,MATCH('R&amp;M'!BL8,Capex!9:9,0))</f>
        <v>465</v>
      </c>
      <c r="BM17" s="181">
        <f>INDEX(Capex!12:12,MATCH('R&amp;M'!BM8,Capex!9:9,0))</f>
        <v>515</v>
      </c>
      <c r="BN17" s="181">
        <f>INDEX(Capex!12:12,MATCH('R&amp;M'!BN8,Capex!9:9,0))</f>
        <v>947</v>
      </c>
      <c r="BO17" s="173">
        <f>-INDEX(Capex!12:12,MATCH('R&amp;M'!BO8,Capex!9:9,0))</f>
        <v>-2399</v>
      </c>
      <c r="BP17" s="93"/>
      <c r="BQ17" s="93"/>
      <c r="BR17" s="93"/>
      <c r="BS17" s="93"/>
      <c r="BT17" s="173">
        <f>-INDEX(Capex!12:12,MATCH('R&amp;M'!BT8,Capex!9:9,0))</f>
        <v>-3800</v>
      </c>
      <c r="BU17" s="93"/>
      <c r="BV17" s="93"/>
      <c r="BW17" s="93"/>
      <c r="BX17" s="93"/>
      <c r="BY17" s="173">
        <f>-INDEX(Capex!12:12,MATCH('R&amp;M'!BY8,Capex!9:9,0))</f>
        <v>-2500</v>
      </c>
      <c r="BZ17" s="93"/>
      <c r="CA17" s="93"/>
      <c r="CB17" s="93"/>
      <c r="CC17" s="93"/>
      <c r="CD17" s="173">
        <f>-INDEX(Capex!12:12,MATCH('R&amp;M'!CD8,Capex!9:9,0))</f>
        <v>-2500</v>
      </c>
      <c r="CG17" s="456">
        <v>2016</v>
      </c>
      <c r="CH17">
        <f t="shared" si="19"/>
        <v>1316</v>
      </c>
      <c r="CI17">
        <f t="shared" si="19"/>
        <v>1011</v>
      </c>
      <c r="CJ17">
        <f t="shared" si="19"/>
        <v>983</v>
      </c>
      <c r="CK17">
        <f t="shared" si="19"/>
        <v>417</v>
      </c>
    </row>
    <row r="18" spans="1:90">
      <c r="A18" s="7" t="s">
        <v>3698</v>
      </c>
      <c r="H18" s="93"/>
      <c r="I18" s="93"/>
      <c r="J18" s="93"/>
      <c r="K18" s="93"/>
      <c r="L18" s="93"/>
      <c r="M18" s="93"/>
      <c r="N18" s="93"/>
      <c r="O18" s="93"/>
      <c r="P18" s="93"/>
      <c r="Q18" s="8">
        <f>SUM(Q15,Q17)</f>
        <v>856</v>
      </c>
      <c r="R18" s="93"/>
      <c r="S18" s="93"/>
      <c r="T18" s="93"/>
      <c r="U18" s="93"/>
      <c r="V18" s="8">
        <f>SUM(V15,V17)</f>
        <v>-1108</v>
      </c>
      <c r="W18" s="93"/>
      <c r="X18" s="93"/>
      <c r="Y18" s="93"/>
      <c r="Z18" s="93"/>
      <c r="AA18" s="8">
        <f t="shared" ref="AA18" si="20">SUM(AA15,AA17)</f>
        <v>1729</v>
      </c>
      <c r="AB18" s="93"/>
      <c r="AC18" s="93"/>
      <c r="AD18" s="93"/>
      <c r="AE18" s="93"/>
      <c r="AF18" s="8">
        <f t="shared" ref="AF18" si="21">SUM(AF15,AF17)</f>
        <v>3112</v>
      </c>
      <c r="AG18" s="93"/>
      <c r="AH18" s="93"/>
      <c r="AI18" s="93"/>
      <c r="AJ18" s="93"/>
      <c r="AK18" s="8">
        <f t="shared" ref="AK18" si="22">SUM(AK15,AK17)</f>
        <v>3996</v>
      </c>
      <c r="AL18" s="93"/>
      <c r="AM18" s="93"/>
      <c r="AN18" s="93"/>
      <c r="AO18" s="93"/>
      <c r="AP18" s="8">
        <f t="shared" ref="AP18" si="23">SUM(AP15,AP17)</f>
        <v>3184</v>
      </c>
      <c r="AQ18" s="93"/>
      <c r="AR18" s="93"/>
      <c r="AS18" s="93"/>
      <c r="AT18" s="93"/>
      <c r="AU18" s="8">
        <f t="shared" ref="AU18" si="24">SUM(AU15,AU17)</f>
        <v>1216</v>
      </c>
      <c r="AV18" s="93"/>
      <c r="AW18" s="93"/>
      <c r="AX18" s="93"/>
      <c r="AY18" s="93"/>
      <c r="AZ18" s="8">
        <f t="shared" ref="AZ18" si="25">SUM(AZ15,AZ17)</f>
        <v>3655</v>
      </c>
      <c r="BA18" s="93"/>
      <c r="BB18" s="93"/>
      <c r="BC18" s="93"/>
      <c r="BD18" s="93"/>
      <c r="BE18" s="8">
        <f t="shared" ref="BE18" si="26">SUM(BE15,BE17)</f>
        <v>7504</v>
      </c>
      <c r="BF18" s="93"/>
      <c r="BG18" s="93"/>
      <c r="BH18" s="93"/>
      <c r="BI18" s="93"/>
      <c r="BJ18" s="8">
        <f t="shared" ref="BJ18" si="27">SUM(BJ15,BJ17)</f>
        <v>5443</v>
      </c>
      <c r="BK18" s="93"/>
      <c r="BL18" s="93"/>
      <c r="BM18" s="181"/>
      <c r="BN18" s="181"/>
      <c r="BO18" s="8">
        <f t="shared" ref="BO18" si="28">SUM(BO15,BO17)</f>
        <v>6584</v>
      </c>
      <c r="BP18" s="93"/>
      <c r="BQ18" s="93"/>
      <c r="BR18" s="93"/>
      <c r="BS18" s="93"/>
      <c r="BT18" s="8">
        <f t="shared" ref="BT18" si="29">SUM(BT15,BT17)</f>
        <v>5846.4995461473845</v>
      </c>
      <c r="BU18" s="93"/>
      <c r="BV18" s="93"/>
      <c r="BW18" s="93"/>
      <c r="BX18" s="93"/>
      <c r="BY18" s="8">
        <f t="shared" ref="BY18" si="30">SUM(BY15,BY17)</f>
        <v>8699.3402101884203</v>
      </c>
      <c r="BZ18" s="93"/>
      <c r="CA18" s="93"/>
      <c r="CB18" s="93"/>
      <c r="CC18" s="93"/>
      <c r="CD18" s="8">
        <f t="shared" ref="CD18" si="31">SUM(CD15,CD17)</f>
        <v>9196.4356029219198</v>
      </c>
      <c r="CG18" s="456">
        <v>2017</v>
      </c>
      <c r="CH18">
        <f>INDEX($9:$9,MATCH(CH$8&amp;RIGHT($CG18,2),$8:$8,0))</f>
        <v>1200</v>
      </c>
      <c r="CI18">
        <f>INDEX($9:$9,MATCH(CI$8&amp;RIGHT($CG18,2),$8:$8,0))</f>
        <v>908</v>
      </c>
      <c r="CJ18">
        <f>INDEX($9:$9,MATCH(CJ$8&amp;RIGHT($CG18,2),$8:$8,0))</f>
        <v>1788</v>
      </c>
      <c r="CK18">
        <f>INDEX($9:$9,MATCH(CK$8&amp;RIGHT($CG18,2),$8:$8,0))</f>
        <v>976</v>
      </c>
    </row>
    <row r="19" spans="1:90">
      <c r="AV19" s="406"/>
      <c r="BA19" s="406"/>
      <c r="BB19" s="406"/>
      <c r="BC19" s="406"/>
      <c r="BD19" s="406"/>
      <c r="BF19" s="406"/>
      <c r="BG19" s="406"/>
      <c r="BH19" s="406"/>
      <c r="BI19" s="406"/>
      <c r="BK19" s="406"/>
      <c r="BL19" s="406"/>
      <c r="BM19" s="406"/>
      <c r="BN19" s="406"/>
      <c r="CG19" s="695" t="s">
        <v>2316</v>
      </c>
      <c r="CH19" s="289">
        <f>AVERAGE(CH9:CH18)</f>
        <v>942.6</v>
      </c>
      <c r="CI19" s="289">
        <f>AVERAGE(CI9:CI18)</f>
        <v>797.3</v>
      </c>
      <c r="CJ19" s="289">
        <f>AVERAGE(CJ9:CJ18)</f>
        <v>1247.2</v>
      </c>
      <c r="CK19" s="289">
        <f>AVERAGE(CK9:CK18)</f>
        <v>470.1</v>
      </c>
      <c r="CL19" s="289"/>
    </row>
    <row r="20" spans="1:90">
      <c r="A20" s="9" t="s">
        <v>3700</v>
      </c>
      <c r="AV20" s="406"/>
      <c r="BA20" s="406"/>
      <c r="BB20" s="406"/>
      <c r="BC20" s="406"/>
      <c r="BD20" s="406"/>
      <c r="BF20" s="406"/>
      <c r="BG20" s="406"/>
      <c r="BH20" s="406"/>
      <c r="BI20" s="406"/>
      <c r="BK20" s="406"/>
      <c r="BL20" s="406"/>
      <c r="BM20" s="406"/>
      <c r="BN20" s="406"/>
      <c r="CG20" s="695"/>
      <c r="CH20" s="289"/>
      <c r="CI20" s="289"/>
      <c r="CJ20" s="289"/>
      <c r="CK20" s="289"/>
    </row>
    <row r="21" spans="1:90">
      <c r="A21" s="9"/>
      <c r="B21" t="s">
        <v>1338</v>
      </c>
      <c r="AU21">
        <f>AU9+(14-'Key assumptions'!AU45)*'R&amp;M'!AU24</f>
        <v>1529.9999999999998</v>
      </c>
      <c r="AV21" s="181">
        <f>AV9+(14-'Key assumptions'!AV45)*'R&amp;M'!AV24/4</f>
        <v>787.49999999999989</v>
      </c>
      <c r="AW21" s="181">
        <f>AW9+(14-'Key assumptions'!AW45)*'R&amp;M'!AW24/4</f>
        <v>340.99999999999994</v>
      </c>
      <c r="AX21" s="181">
        <f>AX9+(14-'Key assumptions'!AX45)*'R&amp;M'!AX24/4</f>
        <v>878</v>
      </c>
      <c r="AY21" s="181">
        <f>AY9+(14-'Key assumptions'!AY45)*'R&amp;M'!AY24/4</f>
        <v>1050</v>
      </c>
      <c r="AZ21">
        <f>AZ9+(14-'Key assumptions'!AZ45)*'R&amp;M'!AZ24</f>
        <v>3019</v>
      </c>
      <c r="BA21" s="181">
        <f>BA9+(14-'Key assumptions'!BA45)*'R&amp;M'!BA24/4</f>
        <v>1646</v>
      </c>
      <c r="BB21" s="181">
        <f>BB9+(14-'Key assumptions'!BB45)*'R&amp;M'!BB24/4</f>
        <v>719.00000000000023</v>
      </c>
      <c r="BC21" s="181">
        <f>BC9+(14-'Key assumptions'!BC45)*'R&amp;M'!BC24/4</f>
        <v>1167</v>
      </c>
      <c r="BD21" s="181">
        <f>BD9+(14-'Key assumptions'!BD45)*'R&amp;M'!BD24/4</f>
        <v>988.00000000000011</v>
      </c>
      <c r="BE21">
        <f>BE9+(14-'Key assumptions'!BE45)*'R&amp;M'!BE24</f>
        <v>4495</v>
      </c>
      <c r="BF21" s="181">
        <f>BF9+(14-'Key assumptions'!BF45)*'R&amp;M'!BF24/4</f>
        <v>1753.5</v>
      </c>
      <c r="BG21" s="181">
        <f>BG9+(14-'Key assumptions'!BG45)*'R&amp;M'!BG24/4</f>
        <v>1036</v>
      </c>
      <c r="BH21" s="181">
        <f>BH9+(14-'Key assumptions'!BH45)*'R&amp;M'!BH24/4</f>
        <v>1283</v>
      </c>
      <c r="BI21" s="181">
        <f>BI9+(14-'Key assumptions'!BI45)*'R&amp;M'!BI24/4</f>
        <v>742</v>
      </c>
      <c r="BJ21">
        <f>BJ9+(14-'Key assumptions'!BJ45)*'R&amp;M'!BJ24</f>
        <v>4814.5</v>
      </c>
      <c r="BK21" s="181">
        <f>BK9+(14-'Key assumptions'!BK45)*'R&amp;M'!BK24/4</f>
        <v>1487.5</v>
      </c>
      <c r="BL21" s="181">
        <f>BL9+(14-'Key assumptions'!BL45)*'R&amp;M'!BL24/4</f>
        <v>932.99999999999989</v>
      </c>
      <c r="BM21" s="181">
        <f>BM9+(14-'Key assumptions'!BM45)*'R&amp;M'!BM24/4</f>
        <v>1500.5</v>
      </c>
      <c r="BN21" s="181">
        <f>BN9+(14-'Key assumptions'!BN45)*'R&amp;M'!BN24/4</f>
        <v>926</v>
      </c>
      <c r="BO21">
        <f>BO9+(14-'Key assumptions'!BO45)*'R&amp;M'!BO24</f>
        <v>4847.0000000000009</v>
      </c>
      <c r="BP21" s="181">
        <f>BP9+(14-'Key assumptions'!BP45)*'R&amp;M'!BP24/4</f>
        <v>1369.6374776063149</v>
      </c>
      <c r="BQ21" s="181">
        <f>BQ9+(14-'Key assumptions'!BQ45)*'R&amp;M'!BQ24/4</f>
        <v>1594.787356180356</v>
      </c>
      <c r="BR21" s="181">
        <f>BR9+(14-'Key assumptions'!BR45)*'R&amp;M'!BR24/4</f>
        <v>1824.287356180356</v>
      </c>
      <c r="BS21" s="181">
        <f>BS9+(14-'Key assumptions'!BS45)*'R&amp;M'!BS24/4</f>
        <v>1365.287356180356</v>
      </c>
      <c r="BT21">
        <f>BT9+(14-'Key assumptions'!BT45)*'R&amp;M'!BT24</f>
        <v>6153.9995461473836</v>
      </c>
      <c r="BU21" s="181">
        <f>BU9+(14-'Key assumptions'!BU45)*'R&amp;M'!BU24/4</f>
        <v>1666.3350525471053</v>
      </c>
      <c r="BV21" s="181">
        <f>BV9+(14-'Key assumptions'!BV45)*'R&amp;M'!BV24/4</f>
        <v>1513.3350525471053</v>
      </c>
      <c r="BW21" s="181">
        <f>BW9+(14-'Key assumptions'!BW45)*'R&amp;M'!BW24/4</f>
        <v>1742.8350525471053</v>
      </c>
      <c r="BX21" s="181">
        <f>BX9+(14-'Key assumptions'!BX45)*'R&amp;M'!BX24/4</f>
        <v>1436.8350525471053</v>
      </c>
      <c r="BY21">
        <f>BY9+(14-'Key assumptions'!BY45)*'R&amp;M'!BY24</f>
        <v>6359.3402101884212</v>
      </c>
      <c r="BZ21" s="181">
        <f>BZ9+(14-'Key assumptions'!BZ45)*'R&amp;M'!BZ24/4</f>
        <v>1625.6089007304802</v>
      </c>
      <c r="CA21" s="181">
        <f>CA9+(14-'Key assumptions'!CA45)*'R&amp;M'!CA24/4</f>
        <v>1472.6089007304802</v>
      </c>
      <c r="CB21" s="181">
        <f>CB9+(14-'Key assumptions'!CB45)*'R&amp;M'!CB24/4</f>
        <v>1702.1089007304802</v>
      </c>
      <c r="CC21" s="181">
        <f>CC9+(14-'Key assumptions'!CC45)*'R&amp;M'!CC24/4</f>
        <v>1396.1089007304802</v>
      </c>
      <c r="CD21">
        <f>CD9+(14-'Key assumptions'!CD45)*'R&amp;M'!CD24</f>
        <v>6196.4356029219207</v>
      </c>
      <c r="CG21" s="695"/>
      <c r="CH21" s="289"/>
      <c r="CI21" s="289"/>
      <c r="CJ21" s="289"/>
      <c r="CK21" s="289"/>
    </row>
    <row r="22" spans="1:90">
      <c r="B22" s="35" t="s">
        <v>646</v>
      </c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  <c r="AA22" s="93"/>
      <c r="AB22" s="93"/>
      <c r="AC22" s="93"/>
      <c r="AD22" s="93"/>
      <c r="AE22" s="93"/>
      <c r="AF22" s="93"/>
      <c r="AG22" s="93"/>
      <c r="AH22" s="93"/>
      <c r="AI22" s="93"/>
      <c r="AJ22" s="93"/>
      <c r="AK22" s="93"/>
      <c r="AL22" s="93"/>
      <c r="AM22" s="93"/>
      <c r="AN22" s="93"/>
      <c r="AO22" s="93"/>
      <c r="AP22" s="93"/>
      <c r="AQ22" s="181">
        <f>AQ12+(14-'Key assumptions'!AQ45)*'R&amp;M'!AQ24/4</f>
        <v>1166</v>
      </c>
      <c r="AR22" s="181">
        <f>AR12+(14-'Key assumptions'!AR45)*'R&amp;M'!AR24/4</f>
        <v>551.00000000000011</v>
      </c>
      <c r="AS22" s="181">
        <f>AS12+(14-'Key assumptions'!AS45)*'R&amp;M'!AS24/4</f>
        <v>770</v>
      </c>
      <c r="AT22" s="181">
        <f>AT12+(14-'Key assumptions'!AT45)*'R&amp;M'!AT24/4</f>
        <v>445</v>
      </c>
      <c r="AU22" s="406">
        <f>AU12+(14-'Key assumptions'!AU45)*'R&amp;M'!AU24</f>
        <v>2932</v>
      </c>
      <c r="AV22" s="181">
        <f>AV12+(14-'Key assumptions'!AV45)*'R&amp;M'!AV24/4</f>
        <v>1098.5</v>
      </c>
      <c r="AW22" s="181">
        <f>AW12+(14-'Key assumptions'!AW45)*'R&amp;M'!AW24/4</f>
        <v>558</v>
      </c>
      <c r="AX22" s="181">
        <f>AX12+(14-'Key assumptions'!AX45)*'R&amp;M'!AX24/4</f>
        <v>1284</v>
      </c>
      <c r="AY22" s="181">
        <f>AY12+(14-'Key assumptions'!AY45)*'R&amp;M'!AY24/4</f>
        <v>1338</v>
      </c>
      <c r="AZ22" s="406">
        <f>AZ12+(14-'Key assumptions'!AZ45)*'R&amp;M'!AZ24</f>
        <v>4241</v>
      </c>
      <c r="BA22" s="181">
        <f>BA12+(14-'Key assumptions'!BA45)*'R&amp;M'!BA24/4</f>
        <v>2008</v>
      </c>
      <c r="BB22" s="181">
        <f>BB12+(14-'Key assumptions'!BB45)*'R&amp;M'!BB24/4</f>
        <v>1192.0000000000002</v>
      </c>
      <c r="BC22" s="181">
        <f>BC12+(14-'Key assumptions'!BC45)*'R&amp;M'!BC24/4</f>
        <v>1552</v>
      </c>
      <c r="BD22" s="181">
        <f>BD12+(14-'Key assumptions'!BD45)*'R&amp;M'!BD24/4</f>
        <v>1318</v>
      </c>
      <c r="BE22" s="406">
        <f>BE12+(14-'Key assumptions'!BE45)*'R&amp;M'!BE24</f>
        <v>6045</v>
      </c>
      <c r="BF22" s="181">
        <f>BF12+(14-'Key assumptions'!BF45)*'R&amp;M'!BF24/4</f>
        <v>2250.5</v>
      </c>
      <c r="BG22" s="181">
        <f>BG12+(14-'Key assumptions'!BG45)*'R&amp;M'!BG24/4</f>
        <v>1538</v>
      </c>
      <c r="BH22" s="181">
        <f>BH12+(14-'Key assumptions'!BH45)*'R&amp;M'!BH24/4</f>
        <v>1731</v>
      </c>
      <c r="BI22" s="181">
        <f>BI12+(14-'Key assumptions'!BI45)*'R&amp;M'!BI24/4</f>
        <v>1202</v>
      </c>
      <c r="BJ22" s="406">
        <f>BJ12+(14-'Key assumptions'!BJ45)*'R&amp;M'!BJ24</f>
        <v>6721.5</v>
      </c>
      <c r="BK22" s="181">
        <f>BK12+(14-'Key assumptions'!BK45)*'R&amp;M'!BK24/4</f>
        <v>2029.5</v>
      </c>
      <c r="BL22" s="181">
        <f>BL12+(14-'Key assumptions'!BL45)*'R&amp;M'!BL24/4</f>
        <v>1438</v>
      </c>
      <c r="BM22" s="181">
        <f>BM12+(14-'Key assumptions'!BM45)*'R&amp;M'!BM24/4</f>
        <v>2050.5</v>
      </c>
      <c r="BN22" s="181">
        <f>BN12+(14-'Key assumptions'!BN45)*'R&amp;M'!BN24/4</f>
        <v>1424</v>
      </c>
      <c r="BO22" s="406">
        <f>BO12+(14-'Key assumptions'!BO45)*'R&amp;M'!BO24</f>
        <v>6942.0000000000009</v>
      </c>
      <c r="BP22" s="181">
        <f>BP12+(14-'Key assumptions'!BP45)*'R&amp;M'!BP24/4</f>
        <v>1824.6374776063149</v>
      </c>
      <c r="BQ22" s="181">
        <f>BQ12+(14-'Key assumptions'!BQ45)*'R&amp;M'!BQ24/4</f>
        <v>2094.7873561803563</v>
      </c>
      <c r="BR22" s="181">
        <f>BR12+(14-'Key assumptions'!BR45)*'R&amp;M'!BR24/4</f>
        <v>2324.2873561803563</v>
      </c>
      <c r="BS22" s="181">
        <f>BS12+(14-'Key assumptions'!BS45)*'R&amp;M'!BS24/4</f>
        <v>1865.287356180356</v>
      </c>
      <c r="BT22" s="406">
        <f>BT12+(14-'Key assumptions'!BT45)*'R&amp;M'!BT24</f>
        <v>8108.9995461473836</v>
      </c>
      <c r="BU22" s="181">
        <f>BU12+(14-'Key assumptions'!BU45)*'R&amp;M'!BU24/4</f>
        <v>2176.3350525471051</v>
      </c>
      <c r="BV22" s="181">
        <f>BV12+(14-'Key assumptions'!BV45)*'R&amp;M'!BV24/4</f>
        <v>2023.3350525471051</v>
      </c>
      <c r="BW22" s="181">
        <f>BW12+(14-'Key assumptions'!BW45)*'R&amp;M'!BW24/4</f>
        <v>2252.8350525471051</v>
      </c>
      <c r="BX22" s="181">
        <f>BX12+(14-'Key assumptions'!BX45)*'R&amp;M'!BX24/4</f>
        <v>1946.8350525471051</v>
      </c>
      <c r="BY22" s="406">
        <f>BY12+(14-'Key assumptions'!BY45)*'R&amp;M'!BY24</f>
        <v>8399.3402101884203</v>
      </c>
      <c r="BZ22" s="181">
        <f>BZ12+(14-'Key assumptions'!BZ45)*'R&amp;M'!BZ24/4</f>
        <v>2150.6089007304799</v>
      </c>
      <c r="CA22" s="181">
        <f>CA12+(14-'Key assumptions'!CA45)*'R&amp;M'!CA24/4</f>
        <v>1997.6089007304799</v>
      </c>
      <c r="CB22" s="181">
        <f>CB12+(14-'Key assumptions'!CB45)*'R&amp;M'!CB24/4</f>
        <v>2227.1089007304799</v>
      </c>
      <c r="CC22" s="181">
        <f>CC12+(14-'Key assumptions'!CC45)*'R&amp;M'!CC24/4</f>
        <v>1921.1089007304799</v>
      </c>
      <c r="CD22" s="406">
        <f>CD12+(14-'Key assumptions'!CD45)*'R&amp;M'!CD24</f>
        <v>8296.4356029219198</v>
      </c>
      <c r="CG22" s="695"/>
      <c r="CH22" s="289"/>
      <c r="CI22" s="289"/>
      <c r="CJ22" s="289"/>
      <c r="CK22" s="289"/>
    </row>
    <row r="23" spans="1:90">
      <c r="B23" s="35" t="s">
        <v>3698</v>
      </c>
      <c r="H23" s="93"/>
      <c r="I23" s="93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  <c r="W23" s="93"/>
      <c r="X23" s="93"/>
      <c r="Y23" s="93"/>
      <c r="Z23" s="93"/>
      <c r="AA23" s="93"/>
      <c r="AB23" s="93"/>
      <c r="AC23" s="93"/>
      <c r="AD23" s="93"/>
      <c r="AE23" s="93"/>
      <c r="AF23" s="93"/>
      <c r="AG23" s="93"/>
      <c r="AH23" s="93"/>
      <c r="AI23" s="93"/>
      <c r="AJ23" s="93"/>
      <c r="AK23" s="93"/>
      <c r="AL23" s="93"/>
      <c r="AM23" s="93"/>
      <c r="AN23" s="93"/>
      <c r="AO23" s="93"/>
      <c r="AP23" s="93"/>
      <c r="AQ23" s="93"/>
      <c r="AR23" s="93"/>
      <c r="AS23" s="93"/>
      <c r="AT23" s="93"/>
      <c r="AU23">
        <f>AU18+(14-'Key assumptions'!AU45)*'R&amp;M'!AU24</f>
        <v>515.99999999999977</v>
      </c>
      <c r="AV23" s="93"/>
      <c r="AW23" s="93"/>
      <c r="AX23" s="93"/>
      <c r="AY23" s="93"/>
      <c r="AZ23">
        <f>AZ18+(14-'Key assumptions'!AZ45)*'R&amp;M'!AZ24</f>
        <v>3455</v>
      </c>
      <c r="BA23" s="93"/>
      <c r="BB23" s="93"/>
      <c r="BC23" s="93"/>
      <c r="BD23" s="93"/>
      <c r="BE23">
        <f>BE18+(14-'Key assumptions'!BE45)*'R&amp;M'!BE24</f>
        <v>6004</v>
      </c>
      <c r="BF23" s="93"/>
      <c r="BG23" s="93"/>
      <c r="BH23" s="93"/>
      <c r="BI23" s="93"/>
      <c r="BJ23">
        <f>BJ18+(14-'Key assumptions'!BJ45)*'R&amp;M'!BJ24</f>
        <v>6530.5</v>
      </c>
      <c r="BK23" s="93"/>
      <c r="BL23" s="93"/>
      <c r="BM23" s="181"/>
      <c r="BN23" s="181"/>
      <c r="BO23">
        <f>BO18+(14-'Key assumptions'!BO45)*'R&amp;M'!BO24</f>
        <v>6559.0000000000009</v>
      </c>
      <c r="BP23" s="93"/>
      <c r="BQ23" s="93"/>
      <c r="BR23" s="93"/>
      <c r="BS23" s="93"/>
      <c r="BT23">
        <f>BT18+(14-'Key assumptions'!BT45)*'R&amp;M'!BT24</f>
        <v>6508.9995461473845</v>
      </c>
      <c r="BU23" s="93"/>
      <c r="BV23" s="93"/>
      <c r="BW23" s="93"/>
      <c r="BX23" s="93"/>
      <c r="BY23">
        <f>BY18+(14-'Key assumptions'!BY45)*'R&amp;M'!BY24</f>
        <v>8199.3402101884203</v>
      </c>
      <c r="BZ23" s="93"/>
      <c r="CA23" s="93"/>
      <c r="CB23" s="93"/>
      <c r="CC23" s="93"/>
      <c r="CD23">
        <f>CD18+(14-'Key assumptions'!CD45)*'R&amp;M'!CD24</f>
        <v>8196.4356029219198</v>
      </c>
      <c r="CG23" s="695"/>
      <c r="CH23" s="289"/>
      <c r="CI23" s="289"/>
      <c r="CJ23" s="289"/>
      <c r="CK23" s="289"/>
    </row>
    <row r="24" spans="1:90">
      <c r="A24" s="35" t="s">
        <v>3699</v>
      </c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3"/>
      <c r="AI24" s="93"/>
      <c r="AJ24" s="93"/>
      <c r="AK24" s="93"/>
      <c r="AL24" s="93"/>
      <c r="AM24" s="93"/>
      <c r="AN24" s="93"/>
      <c r="AO24" s="93"/>
      <c r="AP24" s="93"/>
      <c r="AQ24" s="181">
        <v>500</v>
      </c>
      <c r="AR24" s="181">
        <v>500</v>
      </c>
      <c r="AS24" s="181">
        <v>500</v>
      </c>
      <c r="AT24" s="181">
        <v>500</v>
      </c>
      <c r="AU24" s="406">
        <v>500</v>
      </c>
      <c r="AV24" s="181">
        <v>500</v>
      </c>
      <c r="AW24" s="181">
        <v>500</v>
      </c>
      <c r="AX24" s="181">
        <v>500</v>
      </c>
      <c r="AY24" s="181">
        <v>500</v>
      </c>
      <c r="AZ24" s="406">
        <v>500</v>
      </c>
      <c r="BA24" s="181">
        <v>500</v>
      </c>
      <c r="BB24" s="181">
        <v>500</v>
      </c>
      <c r="BC24" s="181">
        <v>500</v>
      </c>
      <c r="BD24" s="181">
        <v>500</v>
      </c>
      <c r="BE24" s="406">
        <v>500</v>
      </c>
      <c r="BF24" s="181">
        <v>500</v>
      </c>
      <c r="BG24" s="181">
        <v>500</v>
      </c>
      <c r="BH24" s="181">
        <v>500</v>
      </c>
      <c r="BI24" s="181">
        <v>500</v>
      </c>
      <c r="BJ24" s="406">
        <v>500</v>
      </c>
      <c r="BK24" s="181">
        <v>500</v>
      </c>
      <c r="BL24" s="181">
        <v>500</v>
      </c>
      <c r="BM24" s="181">
        <v>500</v>
      </c>
      <c r="BN24" s="181">
        <v>500</v>
      </c>
      <c r="BO24" s="406">
        <v>500</v>
      </c>
      <c r="BP24" s="181">
        <v>500</v>
      </c>
      <c r="BQ24" s="181">
        <v>500</v>
      </c>
      <c r="BR24" s="181">
        <v>500</v>
      </c>
      <c r="BS24" s="181">
        <v>500</v>
      </c>
      <c r="BT24" s="406">
        <v>500</v>
      </c>
      <c r="BU24" s="181">
        <v>500</v>
      </c>
      <c r="BV24" s="181">
        <v>500</v>
      </c>
      <c r="BW24" s="181">
        <v>500</v>
      </c>
      <c r="BX24" s="181">
        <v>500</v>
      </c>
      <c r="BY24" s="406">
        <v>500</v>
      </c>
      <c r="BZ24" s="181">
        <v>500</v>
      </c>
      <c r="CA24" s="181">
        <v>500</v>
      </c>
      <c r="CB24" s="181">
        <v>500</v>
      </c>
      <c r="CC24" s="181">
        <v>500</v>
      </c>
      <c r="CD24" s="406">
        <v>500</v>
      </c>
      <c r="CG24" s="695"/>
      <c r="CH24" s="289"/>
      <c r="CI24" s="289"/>
      <c r="CJ24" s="289"/>
      <c r="CK24" s="289"/>
    </row>
    <row r="25" spans="1:90">
      <c r="BM25" s="406"/>
      <c r="BN25" s="406"/>
    </row>
    <row r="26" spans="1:90">
      <c r="BM26" s="406"/>
      <c r="BN26" s="406"/>
    </row>
    <row r="27" spans="1:90">
      <c r="A27" s="35" t="s">
        <v>3482</v>
      </c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12">
        <f>INDEX(Segments!52:52,MATCH('R&amp;M'!M8,Segments!$50:$50,0))</f>
        <v>1572</v>
      </c>
      <c r="N27" s="12">
        <f>INDEX(Segments!52:52,MATCH('R&amp;M'!N8,Segments!$50:$50,0))</f>
        <v>1638</v>
      </c>
      <c r="O27" s="12">
        <f>INDEX(Segments!52:52,MATCH('R&amp;M'!O8,Segments!$50:$50,0))</f>
        <v>808</v>
      </c>
      <c r="P27" s="12">
        <f>INDEX(Segments!52:52,MATCH('R&amp;M'!P8,Segments!$50:$50,0))</f>
        <v>-88</v>
      </c>
      <c r="Q27" s="5">
        <f>INDEX(Segments!52:52,MATCH('R&amp;M'!Q8,Segments!$50:$50,0))</f>
        <v>3930</v>
      </c>
      <c r="R27" s="12">
        <f>INDEX(Segments!52:52,MATCH('R&amp;M'!R8,Segments!$50:$50,0))</f>
        <v>539</v>
      </c>
      <c r="S27" s="12">
        <f>INDEX(Segments!52:52,MATCH('R&amp;M'!S8,Segments!$50:$50,0))</f>
        <v>799</v>
      </c>
      <c r="T27" s="12">
        <f>INDEX(Segments!52:52,MATCH('R&amp;M'!T8,Segments!$50:$50,0))</f>
        <v>1336</v>
      </c>
      <c r="U27" s="12">
        <f>INDEX(Segments!52:52,MATCH('R&amp;M'!U8,Segments!$50:$50,0))</f>
        <v>644</v>
      </c>
      <c r="V27" s="5">
        <f>INDEX(Segments!52:52,MATCH('R&amp;M'!V8,Segments!$50:$50,0))</f>
        <v>3318</v>
      </c>
      <c r="W27" s="12">
        <f>INDEX(Segments!52:52,MATCH('R&amp;M'!W8,Segments!$50:$50,0))</f>
        <v>1549</v>
      </c>
      <c r="X27" s="12">
        <f>INDEX(Segments!52:52,MATCH('R&amp;M'!X8,Segments!$50:$50,0))</f>
        <v>972</v>
      </c>
      <c r="Y27" s="12">
        <f>INDEX(Segments!52:52,MATCH('R&amp;M'!Y8,Segments!$50:$50,0))</f>
        <v>1071</v>
      </c>
      <c r="Z27" s="12">
        <f>INDEX(Segments!52:52,MATCH('R&amp;M'!Z8,Segments!$50:$50,0))</f>
        <v>15</v>
      </c>
      <c r="AA27" s="5">
        <f>INDEX(Segments!52:52,MATCH('R&amp;M'!AA8,Segments!$50:$50,0))</f>
        <v>3607</v>
      </c>
      <c r="AB27" s="12">
        <f>INDEX(Segments!52:52,MATCH('R&amp;M'!AB8,Segments!$50:$50,0))</f>
        <v>789</v>
      </c>
      <c r="AC27" s="12">
        <f>INDEX(Segments!52:52,MATCH('R&amp;M'!AC8,Segments!$50:$50,0))</f>
        <v>1724</v>
      </c>
      <c r="AD27" s="12">
        <f>INDEX(Segments!52:52,MATCH('R&amp;M'!AD8,Segments!$50:$50,0))</f>
        <v>1626</v>
      </c>
      <c r="AE27" s="12">
        <f>INDEX(Segments!52:52,MATCH('R&amp;M'!AE8,Segments!$50:$50,0))</f>
        <v>744</v>
      </c>
      <c r="AF27" s="5">
        <f>INDEX(Segments!52:52,MATCH('R&amp;M'!AF8,Segments!$50:$50,0))</f>
        <v>4883</v>
      </c>
      <c r="AG27" s="12">
        <f>INDEX(Segments!52:52,MATCH('R&amp;M'!AG8,Segments!$50:$50,0))</f>
        <v>2196</v>
      </c>
      <c r="AH27" s="12">
        <f>INDEX(Segments!52:52,MATCH('R&amp;M'!AH8,Segments!$50:$50,0))</f>
        <v>1392</v>
      </c>
      <c r="AI27" s="12">
        <f>INDEX(Segments!52:52,MATCH('R&amp;M'!AI8,Segments!$50:$50,0))</f>
        <v>1666</v>
      </c>
      <c r="AJ27" s="12">
        <f>INDEX(Segments!52:52,MATCH('R&amp;M'!AJ8,Segments!$50:$50,0))</f>
        <v>759</v>
      </c>
      <c r="AK27" s="5">
        <f>INDEX(Segments!52:52,MATCH('R&amp;M'!AK8,Segments!$50:$50,0))</f>
        <v>6013</v>
      </c>
      <c r="AL27" s="12">
        <f>INDEX(Segments!52:52,MATCH('R&amp;M'!AL8,Segments!$50:$50,0))</f>
        <v>924</v>
      </c>
      <c r="AM27" s="12">
        <f>INDEX(Segments!52:52,MATCH('R&amp;M'!AM8,Segments!$50:$50,0))</f>
        <v>1129</v>
      </c>
      <c r="AN27" s="12">
        <f>INDEX(Segments!52:52,MATCH('R&amp;M'!AN8,Segments!$50:$50,0))</f>
        <v>3004</v>
      </c>
      <c r="AO27" s="12">
        <f>INDEX(Segments!52:52,MATCH('R&amp;M'!AO8,Segments!$50:$50,0))</f>
        <v>1390</v>
      </c>
      <c r="AP27" s="5">
        <f>INDEX(Segments!52:52,MATCH('R&amp;M'!AP8,Segments!$50:$50,0))</f>
        <v>6447</v>
      </c>
      <c r="AQ27" s="12">
        <f>INDEX(Segments!52:52,MATCH('R&amp;M'!AQ8,Segments!$50:$50,0))</f>
        <v>1641</v>
      </c>
      <c r="AR27" s="12">
        <f>INDEX(Segments!52:52,MATCH('R&amp;M'!AR8,Segments!$50:$50,0))</f>
        <v>1201</v>
      </c>
      <c r="AS27" s="12">
        <f>INDEX(Segments!52:52,MATCH('R&amp;M'!AS8,Segments!$50:$50,0))</f>
        <v>720</v>
      </c>
      <c r="AT27" s="12">
        <f>INDEX(Segments!52:52,MATCH('R&amp;M'!AT8,Segments!$50:$50,0))</f>
        <v>70</v>
      </c>
      <c r="AU27" s="5">
        <f>INDEX(Segments!52:52,MATCH('R&amp;M'!AU8,Segments!$50:$50,0))</f>
        <v>3632</v>
      </c>
      <c r="AV27" s="181">
        <f>INDEX(Segments!52:52,MATCH('R&amp;M'!AV8,Segments!$50:$50,0))</f>
        <v>1011</v>
      </c>
      <c r="AW27" s="12">
        <f>INDEX(Segments!52:52,MATCH('R&amp;M'!AW8,Segments!$50:$50,0))</f>
        <v>733</v>
      </c>
      <c r="AX27" s="12">
        <f>INDEX(Segments!52:52,MATCH('R&amp;M'!AX8,Segments!$50:$50,0))</f>
        <v>1484</v>
      </c>
      <c r="AY27" s="12">
        <f>INDEX(Segments!52:52,MATCH('R&amp;M'!AY8,Segments!$50:$50,0))</f>
        <v>1213</v>
      </c>
      <c r="AZ27" s="5">
        <f>INDEX(Segments!52:52,MATCH('R&amp;M'!AZ8,Segments!$50:$50,0))</f>
        <v>4441</v>
      </c>
      <c r="BA27" s="181">
        <f>INDEX(Segments!52:52,MATCH('R&amp;M'!BA8,Segments!$50:$50,0))</f>
        <v>2158</v>
      </c>
      <c r="BB27" s="181">
        <f>INDEX(Segments!52:52,MATCH('R&amp;M'!BB8,Segments!$50:$50,0))</f>
        <v>1867</v>
      </c>
      <c r="BC27" s="181">
        <f>INDEX(Segments!52:52,MATCH('R&amp;M'!BC8,Segments!$50:$50,0))</f>
        <v>2302</v>
      </c>
      <c r="BD27" s="181">
        <f>INDEX(Segments!52:52,MATCH('R&amp;M'!BD8,Segments!$50:$50,0))</f>
        <v>1218</v>
      </c>
      <c r="BE27" s="5">
        <f>INDEX(Segments!52:52,MATCH('R&amp;M'!BE8,Segments!$50:$50,0))</f>
        <v>7545</v>
      </c>
      <c r="BF27" s="181">
        <f>INDEX(Segments!52:52,MATCH('R&amp;M'!BF8,Segments!$50:$50,0))</f>
        <v>1813</v>
      </c>
      <c r="BG27" s="181">
        <f>INDEX(Segments!52:52,MATCH('R&amp;M'!BG8,Segments!$50:$50,0))</f>
        <v>1513</v>
      </c>
      <c r="BH27" s="181">
        <f>INDEX(Segments!52:52,MATCH('R&amp;M'!BH8,Segments!$50:$50,0))</f>
        <v>1431</v>
      </c>
      <c r="BI27" s="181">
        <f>INDEX(Segments!52:52,MATCH('R&amp;M'!BI8,Segments!$50:$50,0))</f>
        <v>877</v>
      </c>
      <c r="BJ27" s="173">
        <f>INDEX(Segments!52:52,MATCH('R&amp;M'!BJ8,Segments!$50:$50,0))</f>
        <v>5634</v>
      </c>
      <c r="BK27" s="181">
        <f>INDEX(Segments!52:52,MATCH('R&amp;M'!BK8,Segments!$50:$50,0))</f>
        <v>1742</v>
      </c>
      <c r="BL27" s="181">
        <f>INDEX(Segments!52:52,MATCH('R&amp;M'!BL8,Segments!$50:$50,0))</f>
        <v>1413</v>
      </c>
      <c r="BM27" s="181">
        <f>INDEX(Segments!52:52,MATCH('R&amp;M'!BM8,Segments!$50:$50,0))</f>
        <v>2338</v>
      </c>
      <c r="BN27" s="181">
        <f>INDEX(Segments!52:52,MATCH('R&amp;M'!BN8,Segments!$50:$50,0))</f>
        <v>1474</v>
      </c>
      <c r="BO27" s="173">
        <f>INDEX(Segments!52:52,MATCH('R&amp;M'!BO8,Segments!$50:$50,0))</f>
        <v>6967</v>
      </c>
      <c r="BP27" s="12">
        <f>INDEX(Segments!52:52,MATCH('R&amp;M'!BP8,Segments!$50:$50,0))</f>
        <v>1537.1374776063149</v>
      </c>
      <c r="BQ27" s="12">
        <f>INDEX(Segments!52:52,MATCH('R&amp;M'!BQ8,Segments!$50:$50,0))</f>
        <v>1969.787356180356</v>
      </c>
      <c r="BR27" s="12">
        <f>INDEX(Segments!52:52,MATCH('R&amp;M'!BR8,Segments!$50:$50,0))</f>
        <v>2199.2873561803563</v>
      </c>
      <c r="BS27" s="12">
        <f>INDEX(Segments!52:52,MATCH('R&amp;M'!BS8,Segments!$50:$50,0))</f>
        <v>1740.287356180356</v>
      </c>
      <c r="BT27" s="173">
        <f>INDEX(Segments!52:52,MATCH('R&amp;M'!BT8,Segments!$50:$50,0))</f>
        <v>7446.4995461473836</v>
      </c>
      <c r="BU27" s="12">
        <f>INDEX(Segments!52:52,MATCH('R&amp;M'!BU8,Segments!$50:$50,0))</f>
        <v>2301.3350525471051</v>
      </c>
      <c r="BV27" s="12">
        <f>INDEX(Segments!52:52,MATCH('R&amp;M'!BV8,Segments!$50:$50,0))</f>
        <v>2148.3350525471051</v>
      </c>
      <c r="BW27" s="12">
        <f>INDEX(Segments!52:52,MATCH('R&amp;M'!BW8,Segments!$50:$50,0))</f>
        <v>2377.8350525471051</v>
      </c>
      <c r="BX27" s="12">
        <f>INDEX(Segments!52:52,MATCH('R&amp;M'!BX8,Segments!$50:$50,0))</f>
        <v>2071.8350525471051</v>
      </c>
      <c r="BY27" s="173">
        <f>INDEX(Segments!52:52,MATCH('R&amp;M'!BY8,Segments!$50:$50,0))</f>
        <v>8899.3402101884203</v>
      </c>
      <c r="BZ27" s="12">
        <f>INDEX(Segments!52:52,MATCH('R&amp;M'!BZ8,Segments!$50:$50,0))</f>
        <v>2400.6089007304799</v>
      </c>
      <c r="CA27" s="12">
        <f>INDEX(Segments!52:52,MATCH('R&amp;M'!CA8,Segments!$50:$50,0))</f>
        <v>2247.6089007304799</v>
      </c>
      <c r="CB27" s="12">
        <f>INDEX(Segments!52:52,MATCH('R&amp;M'!CB8,Segments!$50:$50,0))</f>
        <v>2477.1089007304799</v>
      </c>
      <c r="CC27" s="12">
        <f>INDEX(Segments!52:52,MATCH('R&amp;M'!CC8,Segments!$50:$50,0))</f>
        <v>2171.1089007304799</v>
      </c>
      <c r="CD27" s="173">
        <f>INDEX(Segments!52:52,MATCH('R&amp;M'!CD8,Segments!$50:$50,0))</f>
        <v>9296.4356029219198</v>
      </c>
    </row>
    <row r="28" spans="1:90">
      <c r="A28" s="714"/>
      <c r="B28" s="714" t="s">
        <v>1536</v>
      </c>
      <c r="C28" s="715"/>
      <c r="D28" s="715"/>
      <c r="E28" s="715"/>
      <c r="F28" s="715"/>
      <c r="G28" s="715"/>
      <c r="H28" s="715"/>
      <c r="I28" s="715"/>
      <c r="J28" s="715"/>
      <c r="K28" s="715"/>
      <c r="L28" s="715"/>
      <c r="M28" s="716">
        <f t="shared" ref="M28:AB28" si="32">M12-M27</f>
        <v>0</v>
      </c>
      <c r="N28" s="716">
        <f t="shared" si="32"/>
        <v>0</v>
      </c>
      <c r="O28" s="716">
        <f t="shared" si="32"/>
        <v>0</v>
      </c>
      <c r="P28" s="716">
        <f t="shared" si="32"/>
        <v>0</v>
      </c>
      <c r="Q28" s="716">
        <f t="shared" si="32"/>
        <v>0</v>
      </c>
      <c r="R28" s="716">
        <f t="shared" si="32"/>
        <v>0</v>
      </c>
      <c r="S28" s="716">
        <f t="shared" si="32"/>
        <v>0</v>
      </c>
      <c r="T28" s="716">
        <f t="shared" si="32"/>
        <v>0</v>
      </c>
      <c r="U28" s="716">
        <f t="shared" si="32"/>
        <v>0</v>
      </c>
      <c r="V28" s="716">
        <f t="shared" si="32"/>
        <v>0</v>
      </c>
      <c r="W28" s="716">
        <f t="shared" si="32"/>
        <v>0</v>
      </c>
      <c r="X28" s="716">
        <f t="shared" si="32"/>
        <v>0</v>
      </c>
      <c r="Y28" s="716">
        <f t="shared" si="32"/>
        <v>0</v>
      </c>
      <c r="Z28" s="716">
        <f t="shared" si="32"/>
        <v>0</v>
      </c>
      <c r="AA28" s="716">
        <f t="shared" si="32"/>
        <v>0</v>
      </c>
      <c r="AB28" s="716">
        <f t="shared" si="32"/>
        <v>0</v>
      </c>
      <c r="AC28" s="716">
        <f t="shared" ref="AC28:BJ28" si="33">AC12-AC27</f>
        <v>0</v>
      </c>
      <c r="AD28" s="716">
        <f t="shared" si="33"/>
        <v>0</v>
      </c>
      <c r="AE28" s="716">
        <f t="shared" si="33"/>
        <v>0</v>
      </c>
      <c r="AF28" s="716">
        <f t="shared" si="33"/>
        <v>0</v>
      </c>
      <c r="AG28" s="716">
        <f t="shared" si="33"/>
        <v>3</v>
      </c>
      <c r="AH28" s="716">
        <f t="shared" si="33"/>
        <v>0</v>
      </c>
      <c r="AI28" s="716">
        <f t="shared" si="33"/>
        <v>-1</v>
      </c>
      <c r="AJ28" s="716">
        <f t="shared" si="33"/>
        <v>-6</v>
      </c>
      <c r="AK28" s="716">
        <f t="shared" si="33"/>
        <v>-4</v>
      </c>
      <c r="AL28" s="716">
        <f t="shared" si="33"/>
        <v>3</v>
      </c>
      <c r="AM28" s="716">
        <f t="shared" si="33"/>
        <v>4</v>
      </c>
      <c r="AN28" s="716">
        <f t="shared" si="33"/>
        <v>5</v>
      </c>
      <c r="AO28" s="716">
        <f t="shared" si="33"/>
        <v>4</v>
      </c>
      <c r="AP28" s="716">
        <f t="shared" si="33"/>
        <v>16</v>
      </c>
      <c r="AQ28" s="716">
        <f t="shared" si="33"/>
        <v>0</v>
      </c>
      <c r="AR28" s="716">
        <f t="shared" si="33"/>
        <v>0</v>
      </c>
      <c r="AS28" s="716">
        <f t="shared" si="33"/>
        <v>0</v>
      </c>
      <c r="AT28" s="716">
        <f t="shared" si="33"/>
        <v>0</v>
      </c>
      <c r="AU28" s="716">
        <f t="shared" si="33"/>
        <v>0</v>
      </c>
      <c r="AV28" s="717">
        <f t="shared" si="33"/>
        <v>0</v>
      </c>
      <c r="AW28" s="716">
        <f t="shared" si="33"/>
        <v>0</v>
      </c>
      <c r="AX28" s="716">
        <f t="shared" si="33"/>
        <v>0</v>
      </c>
      <c r="AY28" s="716">
        <f>AY12-AY27</f>
        <v>0</v>
      </c>
      <c r="AZ28" s="716">
        <f t="shared" si="33"/>
        <v>0</v>
      </c>
      <c r="BA28" s="717">
        <f t="shared" si="33"/>
        <v>0</v>
      </c>
      <c r="BB28" s="717">
        <f t="shared" si="33"/>
        <v>0</v>
      </c>
      <c r="BC28" s="717">
        <f t="shared" si="33"/>
        <v>0</v>
      </c>
      <c r="BD28" s="717">
        <f t="shared" si="33"/>
        <v>0</v>
      </c>
      <c r="BE28" s="716">
        <f>BE12-BE27</f>
        <v>0</v>
      </c>
      <c r="BF28" s="717">
        <f>BF12-BF27</f>
        <v>0</v>
      </c>
      <c r="BG28" s="717">
        <f t="shared" si="33"/>
        <v>0</v>
      </c>
      <c r="BH28" s="717">
        <f t="shared" si="33"/>
        <v>0</v>
      </c>
      <c r="BI28" s="717">
        <f t="shared" si="33"/>
        <v>0</v>
      </c>
      <c r="BJ28" s="716">
        <f t="shared" si="33"/>
        <v>0</v>
      </c>
      <c r="BK28" s="717">
        <f t="shared" ref="BK28" si="34">BK12-BK27</f>
        <v>0</v>
      </c>
      <c r="BL28" s="717">
        <f t="shared" ref="BL28:CD28" si="35">BL12-BL27</f>
        <v>0</v>
      </c>
      <c r="BM28" s="717">
        <f t="shared" si="35"/>
        <v>0</v>
      </c>
      <c r="BN28" s="717">
        <f t="shared" si="35"/>
        <v>0</v>
      </c>
      <c r="BO28" s="716">
        <f t="shared" si="35"/>
        <v>0</v>
      </c>
      <c r="BP28" s="716">
        <f t="shared" si="35"/>
        <v>0</v>
      </c>
      <c r="BQ28" s="716">
        <f t="shared" si="35"/>
        <v>0</v>
      </c>
      <c r="BR28" s="716">
        <f t="shared" si="35"/>
        <v>0</v>
      </c>
      <c r="BS28" s="716">
        <f t="shared" si="35"/>
        <v>0</v>
      </c>
      <c r="BT28" s="716">
        <f t="shared" si="35"/>
        <v>0</v>
      </c>
      <c r="BU28" s="716">
        <f t="shared" si="35"/>
        <v>0</v>
      </c>
      <c r="BV28" s="716">
        <f t="shared" si="35"/>
        <v>0</v>
      </c>
      <c r="BW28" s="716">
        <f t="shared" si="35"/>
        <v>0</v>
      </c>
      <c r="BX28" s="716">
        <f t="shared" si="35"/>
        <v>0</v>
      </c>
      <c r="BY28" s="716">
        <f t="shared" si="35"/>
        <v>0</v>
      </c>
      <c r="BZ28" s="716">
        <f t="shared" si="35"/>
        <v>0</v>
      </c>
      <c r="CA28" s="716">
        <f t="shared" si="35"/>
        <v>0</v>
      </c>
      <c r="CB28" s="716">
        <f t="shared" si="35"/>
        <v>0</v>
      </c>
      <c r="CC28" s="716">
        <f t="shared" si="35"/>
        <v>0</v>
      </c>
      <c r="CD28" s="716">
        <f t="shared" si="35"/>
        <v>0</v>
      </c>
    </row>
    <row r="30" spans="1:90">
      <c r="BA30" s="604"/>
      <c r="BB30" s="604"/>
      <c r="BC30" s="604"/>
      <c r="BD30" s="604"/>
      <c r="BE30" s="604"/>
      <c r="BF30" s="604"/>
      <c r="BG30" s="604"/>
      <c r="BH30" s="604"/>
      <c r="BI30" s="604"/>
      <c r="BK30" s="604"/>
      <c r="BL30" s="604"/>
      <c r="BM30" s="604"/>
    </row>
    <row r="32" spans="1:90" ht="12.75" customHeight="1">
      <c r="A32" s="9" t="s">
        <v>3488</v>
      </c>
      <c r="B32" s="4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49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</row>
    <row r="33" spans="1:89" ht="12.75" customHeight="1">
      <c r="A33" s="10"/>
      <c r="B33" s="10"/>
      <c r="C33" s="31">
        <v>2001</v>
      </c>
      <c r="D33" s="32">
        <v>2002</v>
      </c>
      <c r="E33" s="32">
        <v>2003</v>
      </c>
      <c r="F33" s="32">
        <v>2004</v>
      </c>
      <c r="G33" s="31">
        <v>2005</v>
      </c>
      <c r="H33" s="33" t="s">
        <v>714</v>
      </c>
      <c r="I33" s="33" t="s">
        <v>715</v>
      </c>
      <c r="J33" s="33" t="s">
        <v>716</v>
      </c>
      <c r="K33" s="33" t="s">
        <v>717</v>
      </c>
      <c r="L33" s="31">
        <v>2006</v>
      </c>
      <c r="M33" s="33" t="s">
        <v>718</v>
      </c>
      <c r="N33" s="33" t="s">
        <v>719</v>
      </c>
      <c r="O33" s="33" t="s">
        <v>1970</v>
      </c>
      <c r="P33" s="33" t="s">
        <v>1971</v>
      </c>
      <c r="Q33" s="31">
        <v>2007</v>
      </c>
      <c r="R33" s="33" t="s">
        <v>1972</v>
      </c>
      <c r="S33" s="33" t="s">
        <v>1973</v>
      </c>
      <c r="T33" s="33" t="s">
        <v>1974</v>
      </c>
      <c r="U33" s="33" t="s">
        <v>1975</v>
      </c>
      <c r="V33" s="31">
        <v>2008</v>
      </c>
      <c r="W33" s="33" t="s">
        <v>1976</v>
      </c>
      <c r="X33" s="33" t="s">
        <v>1977</v>
      </c>
      <c r="Y33" s="33" t="s">
        <v>1978</v>
      </c>
      <c r="Z33" s="33" t="s">
        <v>1979</v>
      </c>
      <c r="AA33" s="31">
        <v>2009</v>
      </c>
      <c r="AB33" s="33" t="s">
        <v>1980</v>
      </c>
      <c r="AC33" s="33" t="s">
        <v>1981</v>
      </c>
      <c r="AD33" s="33" t="s">
        <v>1982</v>
      </c>
      <c r="AE33" s="33" t="s">
        <v>2392</v>
      </c>
      <c r="AF33" s="31">
        <v>2010</v>
      </c>
      <c r="AG33" s="33" t="s">
        <v>2393</v>
      </c>
      <c r="AH33" s="33" t="s">
        <v>2394</v>
      </c>
      <c r="AI33" s="33" t="s">
        <v>2395</v>
      </c>
      <c r="AJ33" s="33" t="s">
        <v>2396</v>
      </c>
      <c r="AK33" s="31">
        <v>2011</v>
      </c>
      <c r="AL33" s="33" t="s">
        <v>2397</v>
      </c>
      <c r="AM33" s="33" t="s">
        <v>2398</v>
      </c>
      <c r="AN33" s="33" t="s">
        <v>2399</v>
      </c>
      <c r="AO33" s="33" t="s">
        <v>2400</v>
      </c>
      <c r="AP33" s="31">
        <v>2012</v>
      </c>
      <c r="AQ33" s="33" t="s">
        <v>2401</v>
      </c>
      <c r="AR33" s="33" t="s">
        <v>2402</v>
      </c>
      <c r="AS33" s="33" t="s">
        <v>2403</v>
      </c>
      <c r="AT33" s="33" t="s">
        <v>2404</v>
      </c>
      <c r="AU33" s="31">
        <v>2013</v>
      </c>
      <c r="AV33" s="33" t="s">
        <v>2405</v>
      </c>
      <c r="AW33" s="33" t="s">
        <v>2406</v>
      </c>
      <c r="AX33" s="33" t="s">
        <v>2407</v>
      </c>
      <c r="AY33" s="33" t="s">
        <v>2408</v>
      </c>
      <c r="AZ33" s="31">
        <v>2014</v>
      </c>
      <c r="BA33" s="33" t="s">
        <v>2409</v>
      </c>
      <c r="BB33" s="33" t="s">
        <v>2410</v>
      </c>
      <c r="BC33" s="33" t="s">
        <v>2411</v>
      </c>
      <c r="BD33" s="33" t="s">
        <v>2412</v>
      </c>
      <c r="BE33" s="31">
        <v>2015</v>
      </c>
      <c r="BF33" s="33" t="s">
        <v>2413</v>
      </c>
      <c r="BG33" s="33" t="s">
        <v>2414</v>
      </c>
      <c r="BH33" s="33" t="s">
        <v>2415</v>
      </c>
      <c r="BI33" s="33" t="s">
        <v>2416</v>
      </c>
      <c r="BJ33" s="31">
        <v>2016</v>
      </c>
      <c r="BK33" s="33" t="s">
        <v>2417</v>
      </c>
      <c r="BL33" s="33" t="s">
        <v>2418</v>
      </c>
      <c r="BM33" s="33" t="s">
        <v>2419</v>
      </c>
      <c r="BN33" s="363" t="s">
        <v>2420</v>
      </c>
      <c r="BO33" s="31">
        <v>2017</v>
      </c>
      <c r="BP33" s="363" t="s">
        <v>2244</v>
      </c>
      <c r="BQ33" s="363" t="s">
        <v>2245</v>
      </c>
      <c r="BR33" s="363" t="s">
        <v>2508</v>
      </c>
      <c r="BS33" s="363" t="s">
        <v>2509</v>
      </c>
      <c r="BT33" s="364">
        <v>2018</v>
      </c>
      <c r="BU33" s="363" t="s">
        <v>2510</v>
      </c>
      <c r="BV33" s="363" t="s">
        <v>2511</v>
      </c>
      <c r="BW33" s="363" t="s">
        <v>3125</v>
      </c>
      <c r="BX33" s="363" t="s">
        <v>1405</v>
      </c>
      <c r="BY33" s="364">
        <v>2019</v>
      </c>
      <c r="BZ33" s="363" t="s">
        <v>1406</v>
      </c>
      <c r="CA33" s="363" t="s">
        <v>1407</v>
      </c>
      <c r="CB33" s="363" t="s">
        <v>1408</v>
      </c>
      <c r="CC33" s="363" t="s">
        <v>1409</v>
      </c>
      <c r="CD33" s="364">
        <v>2020</v>
      </c>
    </row>
    <row r="34" spans="1:89">
      <c r="A34" t="s">
        <v>3701</v>
      </c>
      <c r="CG34" s="376" t="s">
        <v>3691</v>
      </c>
    </row>
    <row r="35" spans="1:89">
      <c r="B35" t="s">
        <v>728</v>
      </c>
      <c r="M35" s="12">
        <v>1152</v>
      </c>
      <c r="N35" s="12">
        <v>996</v>
      </c>
      <c r="O35" s="12">
        <v>1109</v>
      </c>
      <c r="P35" s="12">
        <v>996</v>
      </c>
      <c r="Q35" s="5">
        <v>1064</v>
      </c>
      <c r="R35" s="12">
        <v>1076</v>
      </c>
      <c r="S35" s="12">
        <v>1189</v>
      </c>
      <c r="T35" s="12">
        <v>1158</v>
      </c>
      <c r="U35" s="12">
        <v>1063</v>
      </c>
      <c r="V35" s="5">
        <v>1121</v>
      </c>
      <c r="W35" s="12">
        <v>1164</v>
      </c>
      <c r="X35" s="12">
        <v>1188</v>
      </c>
      <c r="Y35" s="12">
        <v>1307</v>
      </c>
      <c r="Z35" s="12">
        <v>1289</v>
      </c>
      <c r="AA35" s="5">
        <v>1238</v>
      </c>
      <c r="AB35" s="12">
        <v>1366</v>
      </c>
      <c r="AC35" s="12">
        <v>1350</v>
      </c>
      <c r="AD35" s="12">
        <v>1342</v>
      </c>
      <c r="AE35" s="12">
        <v>1343</v>
      </c>
      <c r="AF35" s="5">
        <v>1350</v>
      </c>
      <c r="AG35" s="12">
        <v>1194</v>
      </c>
      <c r="AH35" s="12">
        <v>1190</v>
      </c>
      <c r="AI35" s="12">
        <v>1371</v>
      </c>
      <c r="AJ35" s="12">
        <v>1352</v>
      </c>
      <c r="AK35" s="5">
        <v>1277</v>
      </c>
      <c r="AL35" s="12">
        <v>1218</v>
      </c>
      <c r="AM35" s="12">
        <v>1295</v>
      </c>
      <c r="AN35" s="12">
        <v>1403</v>
      </c>
      <c r="AO35" s="12">
        <v>1325</v>
      </c>
      <c r="AP35" s="5">
        <v>1310</v>
      </c>
      <c r="AQ35" s="12">
        <v>937</v>
      </c>
      <c r="AR35" s="12">
        <v>711</v>
      </c>
      <c r="AS35" s="12">
        <v>618</v>
      </c>
      <c r="AT35" s="12">
        <v>641</v>
      </c>
      <c r="AU35" s="5">
        <v>726</v>
      </c>
      <c r="AV35" s="181">
        <v>614</v>
      </c>
      <c r="AW35" s="12">
        <v>645</v>
      </c>
      <c r="AX35" s="12">
        <v>651</v>
      </c>
      <c r="AY35" s="12">
        <v>657</v>
      </c>
      <c r="AZ35" s="5">
        <v>642</v>
      </c>
      <c r="BA35" s="181">
        <v>623</v>
      </c>
      <c r="BB35" s="181">
        <v>622</v>
      </c>
      <c r="BC35" s="181">
        <v>681</v>
      </c>
      <c r="BD35" s="181">
        <v>700</v>
      </c>
      <c r="BE35" s="5">
        <v>657</v>
      </c>
      <c r="BF35" s="181">
        <v>699</v>
      </c>
      <c r="BG35" s="181">
        <v>668</v>
      </c>
      <c r="BH35" s="181">
        <v>613</v>
      </c>
      <c r="BI35" s="181">
        <v>604</v>
      </c>
      <c r="BJ35" s="173">
        <f>AVERAGE(BF35:BI35)</f>
        <v>646</v>
      </c>
      <c r="BK35" s="181">
        <v>694</v>
      </c>
      <c r="BL35" s="181">
        <v>708</v>
      </c>
      <c r="BM35" s="181">
        <v>737</v>
      </c>
      <c r="BN35" s="181">
        <v>714</v>
      </c>
      <c r="BO35" s="173">
        <f>AVERAGE(BK35:BN35)</f>
        <v>713.25</v>
      </c>
      <c r="BP35" s="93"/>
      <c r="BQ35" s="93"/>
      <c r="BR35" s="93"/>
      <c r="BS35" s="93"/>
      <c r="BT35" s="93"/>
      <c r="BU35" s="93"/>
      <c r="BV35" s="93"/>
      <c r="BW35" s="93"/>
      <c r="BX35" s="93"/>
      <c r="BY35" s="93"/>
      <c r="BZ35" s="93"/>
      <c r="CA35" s="93"/>
      <c r="CB35" s="93"/>
      <c r="CC35" s="93"/>
      <c r="CD35" s="93"/>
      <c r="CG35" s="364"/>
      <c r="CH35" s="364" t="s">
        <v>320</v>
      </c>
      <c r="CI35" s="364" t="s">
        <v>321</v>
      </c>
      <c r="CJ35" s="364" t="s">
        <v>322</v>
      </c>
      <c r="CK35" s="364" t="s">
        <v>2663</v>
      </c>
    </row>
    <row r="36" spans="1:89">
      <c r="B36" t="s">
        <v>305</v>
      </c>
      <c r="M36" s="12">
        <v>788</v>
      </c>
      <c r="N36" s="12">
        <v>823</v>
      </c>
      <c r="O36" s="12">
        <v>735</v>
      </c>
      <c r="P36" s="12">
        <v>689</v>
      </c>
      <c r="Q36" s="5">
        <v>758</v>
      </c>
      <c r="R36" s="12">
        <v>775</v>
      </c>
      <c r="S36" s="12">
        <v>753</v>
      </c>
      <c r="T36" s="12">
        <v>730</v>
      </c>
      <c r="U36" s="12">
        <v>697</v>
      </c>
      <c r="V36" s="5">
        <v>739</v>
      </c>
      <c r="W36" s="12">
        <v>783</v>
      </c>
      <c r="X36" s="12">
        <v>763</v>
      </c>
      <c r="Y36" s="12">
        <v>751</v>
      </c>
      <c r="Z36" s="12">
        <v>722</v>
      </c>
      <c r="AA36" s="5">
        <v>755</v>
      </c>
      <c r="AB36" s="12">
        <v>780</v>
      </c>
      <c r="AC36" s="12">
        <v>770</v>
      </c>
      <c r="AD36" s="12">
        <v>772</v>
      </c>
      <c r="AE36" s="12">
        <v>777</v>
      </c>
      <c r="AF36" s="5">
        <v>775</v>
      </c>
      <c r="AG36" s="12">
        <v>768</v>
      </c>
      <c r="AH36" s="12">
        <v>749</v>
      </c>
      <c r="AI36" s="12">
        <v>776</v>
      </c>
      <c r="AJ36" s="12">
        <v>790</v>
      </c>
      <c r="AK36" s="5">
        <v>771</v>
      </c>
      <c r="AL36" s="12">
        <v>775</v>
      </c>
      <c r="AM36" s="12">
        <v>706</v>
      </c>
      <c r="AN36" s="12">
        <v>791</v>
      </c>
      <c r="AO36" s="12">
        <v>732</v>
      </c>
      <c r="AP36" s="5">
        <v>751</v>
      </c>
      <c r="AQ36" s="12">
        <v>806</v>
      </c>
      <c r="AR36" s="12">
        <v>745</v>
      </c>
      <c r="AS36" s="12">
        <v>772</v>
      </c>
      <c r="AT36" s="12">
        <v>742</v>
      </c>
      <c r="AU36" s="5">
        <v>766</v>
      </c>
      <c r="AV36" s="181">
        <v>798</v>
      </c>
      <c r="AW36" s="12">
        <v>757</v>
      </c>
      <c r="AX36" s="12">
        <v>766</v>
      </c>
      <c r="AY36" s="12">
        <v>807</v>
      </c>
      <c r="AZ36" s="5">
        <v>782</v>
      </c>
      <c r="BA36" s="181">
        <v>805</v>
      </c>
      <c r="BB36" s="181">
        <v>810</v>
      </c>
      <c r="BC36" s="181">
        <v>785</v>
      </c>
      <c r="BD36" s="181">
        <v>776</v>
      </c>
      <c r="BE36" s="5">
        <v>794</v>
      </c>
      <c r="BF36" s="181">
        <v>807</v>
      </c>
      <c r="BG36" s="181">
        <v>805</v>
      </c>
      <c r="BH36" s="181">
        <v>795</v>
      </c>
      <c r="BI36" s="181">
        <v>806</v>
      </c>
      <c r="BJ36" s="173">
        <f>AVERAGE(BF36:BI36)</f>
        <v>803.25</v>
      </c>
      <c r="BK36" s="181">
        <v>801</v>
      </c>
      <c r="BL36" s="181">
        <v>782</v>
      </c>
      <c r="BM36" s="181">
        <v>768</v>
      </c>
      <c r="BN36" s="181">
        <v>741</v>
      </c>
      <c r="BO36" s="173">
        <f>AVERAGE(BK36:BN36)</f>
        <v>773</v>
      </c>
      <c r="BP36" s="93"/>
      <c r="BQ36" s="93"/>
      <c r="BR36" s="93"/>
      <c r="BS36" s="93"/>
      <c r="BT36" s="93"/>
      <c r="BU36" s="93"/>
      <c r="BV36" s="93"/>
      <c r="BW36" s="93"/>
      <c r="BX36" s="93"/>
      <c r="BY36" s="93"/>
      <c r="BZ36" s="93"/>
      <c r="CA36" s="93"/>
      <c r="CB36" s="93"/>
      <c r="CC36" s="93"/>
      <c r="CD36" s="93"/>
      <c r="CG36" s="456">
        <v>2008</v>
      </c>
      <c r="CH36" s="613">
        <f t="shared" ref="CH36:CK44" si="36">INDEX($72:$72,MATCH(CH$8&amp;RIGHT($CG36,2),$8:$8,0))</f>
        <v>6.1739113657849551E-2</v>
      </c>
      <c r="CI36" s="613">
        <f t="shared" si="36"/>
        <v>1.7418490397498883</v>
      </c>
      <c r="CJ36" s="613">
        <f t="shared" si="36"/>
        <v>4.9987287058225274</v>
      </c>
      <c r="CK36" s="613">
        <f t="shared" si="36"/>
        <v>2.8652668416447944</v>
      </c>
    </row>
    <row r="37" spans="1:89">
      <c r="B37" t="s">
        <v>2012</v>
      </c>
      <c r="M37" s="12">
        <v>292</v>
      </c>
      <c r="N37" s="12">
        <v>309</v>
      </c>
      <c r="O37" s="12">
        <v>304</v>
      </c>
      <c r="P37" s="12">
        <v>313</v>
      </c>
      <c r="Q37" s="5">
        <v>305</v>
      </c>
      <c r="R37" s="12">
        <v>315</v>
      </c>
      <c r="S37" s="12">
        <v>297</v>
      </c>
      <c r="T37" s="12">
        <v>297</v>
      </c>
      <c r="U37" s="12">
        <v>272</v>
      </c>
      <c r="V37" s="5">
        <v>295</v>
      </c>
      <c r="W37" s="12">
        <v>299</v>
      </c>
      <c r="X37" s="12">
        <v>318</v>
      </c>
      <c r="Y37" s="12">
        <v>271</v>
      </c>
      <c r="Z37" s="12">
        <v>292</v>
      </c>
      <c r="AA37" s="5">
        <v>294</v>
      </c>
      <c r="AB37" s="12">
        <v>282</v>
      </c>
      <c r="AC37" s="12">
        <v>309</v>
      </c>
      <c r="AD37" s="12">
        <v>315</v>
      </c>
      <c r="AE37" s="12">
        <v>300</v>
      </c>
      <c r="AF37" s="5">
        <v>301</v>
      </c>
      <c r="AG37" s="12">
        <v>307</v>
      </c>
      <c r="AH37" s="12">
        <v>314</v>
      </c>
      <c r="AI37" s="12">
        <v>283</v>
      </c>
      <c r="AJ37" s="12">
        <v>312</v>
      </c>
      <c r="AK37" s="5">
        <v>304</v>
      </c>
      <c r="AL37" s="12">
        <v>277</v>
      </c>
      <c r="AM37" s="12">
        <v>281</v>
      </c>
      <c r="AN37" s="12">
        <v>318</v>
      </c>
      <c r="AO37" s="12">
        <v>293</v>
      </c>
      <c r="AP37" s="5">
        <v>293</v>
      </c>
      <c r="AQ37" s="12">
        <v>322</v>
      </c>
      <c r="AR37" s="12">
        <v>252</v>
      </c>
      <c r="AS37" s="12">
        <v>312</v>
      </c>
      <c r="AT37" s="12">
        <v>312</v>
      </c>
      <c r="AU37" s="5">
        <v>299</v>
      </c>
      <c r="AV37" s="181">
        <v>308</v>
      </c>
      <c r="AW37" s="12">
        <v>250</v>
      </c>
      <c r="AX37" s="12">
        <v>312</v>
      </c>
      <c r="AY37" s="12">
        <v>318</v>
      </c>
      <c r="AZ37" s="5">
        <v>297</v>
      </c>
      <c r="BA37" s="181">
        <v>324</v>
      </c>
      <c r="BB37" s="181">
        <v>224</v>
      </c>
      <c r="BC37" s="181">
        <v>230</v>
      </c>
      <c r="BD37" s="181">
        <v>238</v>
      </c>
      <c r="BE37" s="5">
        <v>254</v>
      </c>
      <c r="BF37" s="181">
        <v>238</v>
      </c>
      <c r="BG37" s="181">
        <v>231</v>
      </c>
      <c r="BH37" s="181">
        <v>242</v>
      </c>
      <c r="BI37" s="181">
        <v>234</v>
      </c>
      <c r="BJ37" s="173">
        <f>AVERAGE(BF37:BI37)</f>
        <v>236.25</v>
      </c>
      <c r="BK37" s="181">
        <v>181</v>
      </c>
      <c r="BL37" s="181">
        <v>198</v>
      </c>
      <c r="BM37" s="181">
        <v>240</v>
      </c>
      <c r="BN37" s="181">
        <v>243</v>
      </c>
      <c r="BO37" s="173">
        <f>AVERAGE(BK37:BN37)</f>
        <v>215.5</v>
      </c>
      <c r="BP37" s="93"/>
      <c r="BQ37" s="93"/>
      <c r="BR37" s="93"/>
      <c r="BS37" s="93"/>
      <c r="BT37" s="93"/>
      <c r="BU37" s="93"/>
      <c r="BV37" s="93"/>
      <c r="BW37" s="93"/>
      <c r="BX37" s="93"/>
      <c r="BY37" s="93"/>
      <c r="BZ37" s="93"/>
      <c r="CA37" s="93"/>
      <c r="CB37" s="93"/>
      <c r="CC37" s="93"/>
      <c r="CD37" s="93"/>
      <c r="CG37" s="456">
        <v>2009</v>
      </c>
      <c r="CH37" s="613">
        <f t="shared" si="36"/>
        <v>2.3302995828593098</v>
      </c>
      <c r="CI37" s="613">
        <f t="shared" si="36"/>
        <v>2.0469124920425052</v>
      </c>
      <c r="CJ37" s="613">
        <f t="shared" si="36"/>
        <v>2.2708840227088403</v>
      </c>
      <c r="CK37" s="613">
        <f t="shared" si="36"/>
        <v>-1.8430067062285906</v>
      </c>
    </row>
    <row r="38" spans="1:89">
      <c r="B38" s="289" t="s">
        <v>896</v>
      </c>
      <c r="M38" s="19">
        <f>SUM(M35:M37)</f>
        <v>2232</v>
      </c>
      <c r="N38" s="19">
        <f>SUM(N35:N37)</f>
        <v>2128</v>
      </c>
      <c r="O38" s="19">
        <f>SUM(O35:O37)</f>
        <v>2148</v>
      </c>
      <c r="P38" s="19">
        <f>SUM(P35:P37)</f>
        <v>1998</v>
      </c>
      <c r="Q38" s="8">
        <f>SUM(Q35:Q37)</f>
        <v>2127</v>
      </c>
      <c r="R38" s="19">
        <f t="shared" ref="R38:AU38" si="37">SUM(R35:R37)</f>
        <v>2166</v>
      </c>
      <c r="S38" s="19">
        <f t="shared" si="37"/>
        <v>2239</v>
      </c>
      <c r="T38" s="19">
        <f t="shared" si="37"/>
        <v>2185</v>
      </c>
      <c r="U38" s="19">
        <f t="shared" si="37"/>
        <v>2032</v>
      </c>
      <c r="V38" s="8">
        <f t="shared" si="37"/>
        <v>2155</v>
      </c>
      <c r="W38" s="19">
        <f t="shared" si="37"/>
        <v>2246</v>
      </c>
      <c r="X38" s="19">
        <f t="shared" si="37"/>
        <v>2269</v>
      </c>
      <c r="Y38" s="19">
        <f t="shared" si="37"/>
        <v>2329</v>
      </c>
      <c r="Z38" s="19">
        <f t="shared" si="37"/>
        <v>2303</v>
      </c>
      <c r="AA38" s="8">
        <f t="shared" si="37"/>
        <v>2287</v>
      </c>
      <c r="AB38" s="19">
        <f t="shared" si="37"/>
        <v>2428</v>
      </c>
      <c r="AC38" s="19">
        <f t="shared" si="37"/>
        <v>2429</v>
      </c>
      <c r="AD38" s="19">
        <f t="shared" si="37"/>
        <v>2429</v>
      </c>
      <c r="AE38" s="19">
        <f t="shared" si="37"/>
        <v>2420</v>
      </c>
      <c r="AF38" s="8">
        <f t="shared" si="37"/>
        <v>2426</v>
      </c>
      <c r="AG38" s="19">
        <f t="shared" si="37"/>
        <v>2269</v>
      </c>
      <c r="AH38" s="19">
        <f t="shared" si="37"/>
        <v>2253</v>
      </c>
      <c r="AI38" s="19">
        <f t="shared" si="37"/>
        <v>2430</v>
      </c>
      <c r="AJ38" s="19">
        <f t="shared" si="37"/>
        <v>2454</v>
      </c>
      <c r="AK38" s="8">
        <f t="shared" si="37"/>
        <v>2352</v>
      </c>
      <c r="AL38" s="19">
        <f t="shared" si="37"/>
        <v>2270</v>
      </c>
      <c r="AM38" s="19">
        <f t="shared" si="37"/>
        <v>2282</v>
      </c>
      <c r="AN38" s="19">
        <f t="shared" si="37"/>
        <v>2512</v>
      </c>
      <c r="AO38" s="19">
        <f t="shared" si="37"/>
        <v>2350</v>
      </c>
      <c r="AP38" s="8">
        <f t="shared" si="37"/>
        <v>2354</v>
      </c>
      <c r="AQ38" s="19">
        <f t="shared" si="37"/>
        <v>2065</v>
      </c>
      <c r="AR38" s="19">
        <f t="shared" si="37"/>
        <v>1708</v>
      </c>
      <c r="AS38" s="19">
        <f t="shared" si="37"/>
        <v>1702</v>
      </c>
      <c r="AT38" s="19">
        <f t="shared" si="37"/>
        <v>1695</v>
      </c>
      <c r="AU38" s="8">
        <f t="shared" si="37"/>
        <v>1791</v>
      </c>
      <c r="AV38" s="180">
        <f>SUM(AV35:AV37)</f>
        <v>1720</v>
      </c>
      <c r="AW38" s="19">
        <f>SUM(AW35:AW37)</f>
        <v>1652</v>
      </c>
      <c r="AX38" s="19">
        <v>1729</v>
      </c>
      <c r="AY38" s="19">
        <v>1782</v>
      </c>
      <c r="AZ38" s="8">
        <f>AVERAGE(AV38:AY38)</f>
        <v>1720.75</v>
      </c>
      <c r="BA38" s="180">
        <f>SUM(BA35:BA37)</f>
        <v>1752</v>
      </c>
      <c r="BB38" s="180">
        <f>SUM(BB35:BB37)</f>
        <v>1656</v>
      </c>
      <c r="BC38" s="180">
        <f>SUM(BC35:BC37)</f>
        <v>1696</v>
      </c>
      <c r="BD38" s="180">
        <f>SUM(BD35:BD37)</f>
        <v>1714</v>
      </c>
      <c r="BE38" s="8">
        <f>AVERAGE(BA38:BD38)</f>
        <v>1704.5</v>
      </c>
      <c r="BF38" s="180">
        <f>SUM(BF35:BF37)</f>
        <v>1744</v>
      </c>
      <c r="BG38" s="180">
        <f>SUM(BG35:BG37)</f>
        <v>1704</v>
      </c>
      <c r="BH38" s="180">
        <f>SUM(BH35:BH37)</f>
        <v>1650</v>
      </c>
      <c r="BI38" s="180">
        <f>SUM(BI35:BI37)</f>
        <v>1644</v>
      </c>
      <c r="BJ38" s="8">
        <f>AVERAGE(BF38:BI38)</f>
        <v>1685.5</v>
      </c>
      <c r="BK38" s="180">
        <f>SUM(BK35:BK37)</f>
        <v>1676</v>
      </c>
      <c r="BL38" s="180">
        <f>SUM(BL35:BL37)</f>
        <v>1688</v>
      </c>
      <c r="BM38" s="180">
        <f>SUM(BM35:BM37)</f>
        <v>1745</v>
      </c>
      <c r="BN38" s="180">
        <f>SUM(BN35:BN37)</f>
        <v>1698</v>
      </c>
      <c r="BO38" s="8">
        <f>AVERAGE(BK38:BN38)</f>
        <v>1701.75</v>
      </c>
      <c r="BP38" s="522">
        <v>1745</v>
      </c>
      <c r="BQ38" s="522">
        <v>1700</v>
      </c>
      <c r="BR38" s="522">
        <v>1700</v>
      </c>
      <c r="BS38" s="522">
        <v>1700</v>
      </c>
      <c r="BT38" s="8">
        <f>AVERAGE(BP38:BS38)</f>
        <v>1711.25</v>
      </c>
      <c r="BU38" s="522">
        <v>1700</v>
      </c>
      <c r="BV38" s="522">
        <v>1700</v>
      </c>
      <c r="BW38" s="522">
        <v>1700</v>
      </c>
      <c r="BX38" s="522">
        <v>1700</v>
      </c>
      <c r="BY38" s="8">
        <f>AVERAGE(BU38:BX38)</f>
        <v>1700</v>
      </c>
      <c r="BZ38" s="522">
        <v>1700</v>
      </c>
      <c r="CA38" s="522">
        <v>1700</v>
      </c>
      <c r="CB38" s="522">
        <v>1700</v>
      </c>
      <c r="CC38" s="522">
        <v>1700</v>
      </c>
      <c r="CD38" s="8">
        <f>AVERAGE(BZ38:CC38)</f>
        <v>1700</v>
      </c>
      <c r="CG38" s="456">
        <v>2010</v>
      </c>
      <c r="CH38" s="613">
        <f t="shared" si="36"/>
        <v>0.2150420060867822</v>
      </c>
      <c r="CI38" s="613">
        <f t="shared" si="36"/>
        <v>4.4965921046612687</v>
      </c>
      <c r="CJ38" s="613">
        <f t="shared" si="36"/>
        <v>4.5835048716893096</v>
      </c>
      <c r="CK38" s="613">
        <f t="shared" si="36"/>
        <v>0.66115702479338845</v>
      </c>
    </row>
    <row r="39" spans="1:89">
      <c r="AV39" s="406"/>
      <c r="BA39" s="406"/>
      <c r="BB39" s="406"/>
      <c r="BC39" s="406"/>
      <c r="BD39" s="406"/>
      <c r="BF39" s="406"/>
      <c r="BG39" s="406"/>
      <c r="BH39" s="406"/>
      <c r="BI39" s="406"/>
      <c r="BK39" s="406"/>
      <c r="BL39" s="406"/>
      <c r="BM39" s="406"/>
      <c r="BN39" s="406"/>
      <c r="CG39" s="456">
        <v>2011</v>
      </c>
      <c r="CH39" s="613">
        <f t="shared" si="36"/>
        <v>6.4051711473483177</v>
      </c>
      <c r="CI39" s="613">
        <f t="shared" si="36"/>
        <v>3.7184987917344774</v>
      </c>
      <c r="CJ39" s="613">
        <f t="shared" si="36"/>
        <v>5.4092363968907176</v>
      </c>
      <c r="CK39" s="613">
        <f t="shared" si="36"/>
        <v>1.7839355247668207</v>
      </c>
    </row>
    <row r="40" spans="1:89">
      <c r="A40" t="s">
        <v>3484</v>
      </c>
      <c r="AV40" s="406"/>
      <c r="BA40" s="406"/>
      <c r="BB40" s="406"/>
      <c r="BC40" s="406"/>
      <c r="BD40" s="406"/>
      <c r="BF40" s="406"/>
      <c r="BG40" s="406"/>
      <c r="BH40" s="406"/>
      <c r="BI40" s="406"/>
      <c r="BK40" s="406"/>
      <c r="BL40" s="406"/>
      <c r="BM40" s="406"/>
      <c r="BN40" s="406"/>
      <c r="CG40" s="456">
        <v>2012</v>
      </c>
      <c r="CH40" s="613">
        <f t="shared" si="36"/>
        <v>2.3984336759667158</v>
      </c>
      <c r="CI40" s="613">
        <f t="shared" si="36"/>
        <v>3.8221832700360308</v>
      </c>
      <c r="CJ40" s="613">
        <f t="shared" si="36"/>
        <v>12.022292993630574</v>
      </c>
      <c r="CK40" s="613">
        <f t="shared" si="36"/>
        <v>4.8179669030732857</v>
      </c>
    </row>
    <row r="41" spans="1:89">
      <c r="B41" t="s">
        <v>728</v>
      </c>
      <c r="M41" s="12">
        <v>1564</v>
      </c>
      <c r="N41" s="12">
        <v>1579</v>
      </c>
      <c r="O41" s="12">
        <v>1535</v>
      </c>
      <c r="P41" s="12">
        <v>1455</v>
      </c>
      <c r="Q41" s="5">
        <v>1533</v>
      </c>
      <c r="R41" s="12">
        <v>1455</v>
      </c>
      <c r="S41" s="12">
        <v>1498</v>
      </c>
      <c r="T41" s="12">
        <v>1453</v>
      </c>
      <c r="U41" s="12">
        <v>1435</v>
      </c>
      <c r="V41" s="5">
        <v>1460</v>
      </c>
      <c r="W41" s="12">
        <v>1402</v>
      </c>
      <c r="X41" s="12">
        <v>1431</v>
      </c>
      <c r="Y41" s="12">
        <v>1442</v>
      </c>
      <c r="Z41" s="12">
        <v>1426</v>
      </c>
      <c r="AA41" s="5">
        <v>1426</v>
      </c>
      <c r="AB41" s="12">
        <v>1418</v>
      </c>
      <c r="AC41" s="12">
        <v>1466</v>
      </c>
      <c r="AD41" s="12">
        <v>1431</v>
      </c>
      <c r="AE41" s="12">
        <v>1415</v>
      </c>
      <c r="AF41" s="5">
        <v>1433</v>
      </c>
      <c r="AG41" s="12">
        <v>1375</v>
      </c>
      <c r="AH41" s="12">
        <v>1407</v>
      </c>
      <c r="AI41" s="12">
        <v>1411</v>
      </c>
      <c r="AJ41" s="12">
        <v>1409</v>
      </c>
      <c r="AK41" s="5">
        <v>1401</v>
      </c>
      <c r="AL41" s="12">
        <v>1349</v>
      </c>
      <c r="AM41" s="12">
        <v>1409</v>
      </c>
      <c r="AN41" s="12">
        <v>1432</v>
      </c>
      <c r="AO41" s="12">
        <v>1393</v>
      </c>
      <c r="AP41" s="5">
        <v>1396</v>
      </c>
      <c r="AQ41" s="12">
        <v>1402</v>
      </c>
      <c r="AR41" s="12">
        <v>1340</v>
      </c>
      <c r="AS41" s="12">
        <v>1211</v>
      </c>
      <c r="AT41" s="12">
        <v>1179</v>
      </c>
      <c r="AU41" s="5">
        <v>1282</v>
      </c>
      <c r="AV41" s="181">
        <v>1120</v>
      </c>
      <c r="AW41" s="12">
        <v>1183</v>
      </c>
      <c r="AX41" s="12">
        <v>1197</v>
      </c>
      <c r="AY41" s="12">
        <v>1166</v>
      </c>
      <c r="AZ41" s="5">
        <v>1166</v>
      </c>
      <c r="BA41" s="181">
        <v>1098</v>
      </c>
      <c r="BB41" s="181">
        <v>1145</v>
      </c>
      <c r="BC41" s="181">
        <v>1121</v>
      </c>
      <c r="BD41" s="181">
        <v>1267</v>
      </c>
      <c r="BE41" s="5">
        <v>1158</v>
      </c>
      <c r="BF41" s="181">
        <v>1071</v>
      </c>
      <c r="BG41" s="181">
        <v>1115</v>
      </c>
      <c r="BH41" s="181">
        <v>1205</v>
      </c>
      <c r="BI41" s="181">
        <v>1146</v>
      </c>
      <c r="BJ41" s="173">
        <f>AVERAGE(BF41:BI41)</f>
        <v>1134.25</v>
      </c>
      <c r="BK41" s="181">
        <v>1116</v>
      </c>
      <c r="BL41" s="181">
        <v>1177</v>
      </c>
      <c r="BM41" s="181">
        <v>1186</v>
      </c>
      <c r="BN41" s="181">
        <v>1127</v>
      </c>
      <c r="BO41" s="173">
        <f>AVERAGE(BK41:BN41)</f>
        <v>1151.5</v>
      </c>
      <c r="BP41" s="93"/>
      <c r="BQ41" s="93"/>
      <c r="BR41" s="93"/>
      <c r="BS41" s="93"/>
      <c r="BT41" s="93"/>
      <c r="BU41" s="93"/>
      <c r="BV41" s="93"/>
      <c r="BW41" s="93"/>
      <c r="BX41" s="93"/>
      <c r="BY41" s="93"/>
      <c r="BZ41" s="93"/>
      <c r="CA41" s="93"/>
      <c r="CB41" s="93"/>
      <c r="CC41" s="93"/>
      <c r="CD41" s="93"/>
      <c r="CG41" s="456">
        <v>2013</v>
      </c>
      <c r="CH41" s="613">
        <f t="shared" si="36"/>
        <v>6.6559052999730968</v>
      </c>
      <c r="CI41" s="613">
        <f t="shared" si="36"/>
        <v>5.5490502211813686</v>
      </c>
      <c r="CJ41" s="613">
        <f t="shared" si="36"/>
        <v>2.2457239848544197</v>
      </c>
      <c r="CK41" s="613">
        <f t="shared" si="36"/>
        <v>-1.3372664700098329</v>
      </c>
    </row>
    <row r="42" spans="1:89">
      <c r="B42" t="s">
        <v>305</v>
      </c>
      <c r="M42" s="12">
        <v>1581</v>
      </c>
      <c r="N42" s="12">
        <v>1614</v>
      </c>
      <c r="O42" s="12">
        <v>1679</v>
      </c>
      <c r="P42" s="12">
        <v>1658</v>
      </c>
      <c r="Q42" s="5">
        <v>1633</v>
      </c>
      <c r="R42" s="12">
        <v>1565</v>
      </c>
      <c r="S42" s="12">
        <v>1551</v>
      </c>
      <c r="T42" s="12">
        <v>1584</v>
      </c>
      <c r="U42" s="12">
        <v>1564</v>
      </c>
      <c r="V42" s="5">
        <v>1566</v>
      </c>
      <c r="W42" s="12">
        <v>1529</v>
      </c>
      <c r="X42" s="12">
        <v>1457</v>
      </c>
      <c r="Y42" s="12">
        <v>1522</v>
      </c>
      <c r="Z42" s="12">
        <v>1507</v>
      </c>
      <c r="AA42" s="5">
        <v>1504</v>
      </c>
      <c r="AB42" s="12">
        <v>1428</v>
      </c>
      <c r="AC42" s="12">
        <v>1312</v>
      </c>
      <c r="AD42" s="12">
        <v>1491</v>
      </c>
      <c r="AE42" s="12">
        <v>1379</v>
      </c>
      <c r="AF42" s="5">
        <v>1402</v>
      </c>
      <c r="AG42" s="12">
        <v>1267</v>
      </c>
      <c r="AH42" s="12">
        <v>1298</v>
      </c>
      <c r="AI42" s="12">
        <v>1353</v>
      </c>
      <c r="AJ42" s="12">
        <v>1302</v>
      </c>
      <c r="AK42" s="5">
        <v>1305</v>
      </c>
      <c r="AL42" s="12">
        <v>1192</v>
      </c>
      <c r="AM42" s="12">
        <v>1247</v>
      </c>
      <c r="AN42" s="12">
        <v>1247</v>
      </c>
      <c r="AO42" s="12">
        <v>1236</v>
      </c>
      <c r="AP42" s="5">
        <v>1230</v>
      </c>
      <c r="AQ42" s="12">
        <v>1158</v>
      </c>
      <c r="AR42" s="12">
        <v>1316</v>
      </c>
      <c r="AS42" s="12">
        <v>1284</v>
      </c>
      <c r="AT42" s="12">
        <v>1189</v>
      </c>
      <c r="AU42" s="5">
        <v>1237</v>
      </c>
      <c r="AV42" s="181">
        <v>1139</v>
      </c>
      <c r="AW42" s="12">
        <v>1154</v>
      </c>
      <c r="AX42" s="12">
        <v>1240</v>
      </c>
      <c r="AY42" s="12">
        <v>1173</v>
      </c>
      <c r="AZ42" s="5">
        <v>1177</v>
      </c>
      <c r="BA42" s="181">
        <v>1174</v>
      </c>
      <c r="BB42" s="181">
        <v>1160</v>
      </c>
      <c r="BC42" s="181">
        <v>1272</v>
      </c>
      <c r="BD42" s="181">
        <v>1188</v>
      </c>
      <c r="BE42" s="5">
        <v>1199</v>
      </c>
      <c r="BF42" s="181">
        <v>1144</v>
      </c>
      <c r="BG42" s="181">
        <v>1170</v>
      </c>
      <c r="BH42" s="181">
        <v>1236</v>
      </c>
      <c r="BI42" s="181">
        <v>1166</v>
      </c>
      <c r="BJ42" s="173">
        <f>AVERAGE(BF42:BI42)</f>
        <v>1179</v>
      </c>
      <c r="BK42" s="181">
        <v>1069</v>
      </c>
      <c r="BL42" s="181">
        <v>1153</v>
      </c>
      <c r="BM42" s="181">
        <v>1204</v>
      </c>
      <c r="BN42" s="181">
        <v>1132</v>
      </c>
      <c r="BO42" s="173">
        <f>AVERAGE(BK42:BN42)</f>
        <v>1139.5</v>
      </c>
      <c r="BP42" s="93"/>
      <c r="BQ42" s="93"/>
      <c r="BR42" s="93"/>
      <c r="BS42" s="93"/>
      <c r="BT42" s="93"/>
      <c r="BU42" s="93"/>
      <c r="BV42" s="93"/>
      <c r="BW42" s="93"/>
      <c r="BX42" s="93"/>
      <c r="BY42" s="93"/>
      <c r="BZ42" s="93"/>
      <c r="CA42" s="93"/>
      <c r="CB42" s="93"/>
      <c r="CC42" s="93"/>
      <c r="CD42" s="93"/>
      <c r="CG42" s="456">
        <v>2014</v>
      </c>
      <c r="CH42" s="613">
        <f t="shared" si="36"/>
        <v>4.521963824289406</v>
      </c>
      <c r="CI42" s="613">
        <f t="shared" si="36"/>
        <v>3.4705407586763517</v>
      </c>
      <c r="CJ42" s="613">
        <f t="shared" si="36"/>
        <v>6.9275753486279799</v>
      </c>
      <c r="CK42" s="613">
        <f t="shared" si="36"/>
        <v>5.7675520638483597</v>
      </c>
    </row>
    <row r="43" spans="1:89">
      <c r="B43" t="s">
        <v>2012</v>
      </c>
      <c r="M43" s="12">
        <v>624</v>
      </c>
      <c r="N43" s="12">
        <v>615</v>
      </c>
      <c r="O43" s="12">
        <v>641</v>
      </c>
      <c r="P43" s="12">
        <v>680</v>
      </c>
      <c r="Q43" s="5">
        <v>640</v>
      </c>
      <c r="R43" s="12">
        <v>692</v>
      </c>
      <c r="S43" s="12">
        <v>716</v>
      </c>
      <c r="T43" s="12">
        <v>662</v>
      </c>
      <c r="U43" s="12">
        <v>667</v>
      </c>
      <c r="V43" s="5">
        <v>685</v>
      </c>
      <c r="W43" s="12">
        <v>617</v>
      </c>
      <c r="X43" s="12">
        <v>634</v>
      </c>
      <c r="Y43" s="12">
        <v>619</v>
      </c>
      <c r="Z43" s="12">
        <v>651</v>
      </c>
      <c r="AA43" s="5">
        <v>630</v>
      </c>
      <c r="AB43" s="12">
        <v>629</v>
      </c>
      <c r="AC43" s="12">
        <v>622</v>
      </c>
      <c r="AD43" s="12">
        <v>592</v>
      </c>
      <c r="AE43" s="12">
        <v>597</v>
      </c>
      <c r="AF43" s="5">
        <v>610</v>
      </c>
      <c r="AG43" s="12">
        <v>610</v>
      </c>
      <c r="AH43" s="12">
        <v>613</v>
      </c>
      <c r="AI43" s="12">
        <v>592</v>
      </c>
      <c r="AJ43" s="12">
        <v>607</v>
      </c>
      <c r="AK43" s="5">
        <v>605</v>
      </c>
      <c r="AL43" s="12">
        <v>574</v>
      </c>
      <c r="AM43" s="12">
        <v>603</v>
      </c>
      <c r="AN43" s="12">
        <v>571</v>
      </c>
      <c r="AO43" s="12">
        <v>599</v>
      </c>
      <c r="AP43" s="5">
        <v>587</v>
      </c>
      <c r="AQ43" s="12">
        <v>557</v>
      </c>
      <c r="AR43" s="12">
        <v>549</v>
      </c>
      <c r="AS43" s="12">
        <v>551</v>
      </c>
      <c r="AT43" s="12">
        <v>603</v>
      </c>
      <c r="AU43" s="5">
        <v>565</v>
      </c>
      <c r="AV43" s="181">
        <v>545</v>
      </c>
      <c r="AW43" s="12">
        <v>515</v>
      </c>
      <c r="AX43" s="12">
        <v>522</v>
      </c>
      <c r="AY43" s="12">
        <v>534</v>
      </c>
      <c r="AZ43" s="5">
        <v>529</v>
      </c>
      <c r="BA43" s="181">
        <v>607</v>
      </c>
      <c r="BB43" s="181">
        <v>569</v>
      </c>
      <c r="BC43" s="181">
        <v>542</v>
      </c>
      <c r="BD43" s="181">
        <v>476</v>
      </c>
      <c r="BE43" s="5">
        <v>478</v>
      </c>
      <c r="BF43" s="181">
        <v>488</v>
      </c>
      <c r="BG43" s="181">
        <v>515</v>
      </c>
      <c r="BH43" s="181">
        <v>503</v>
      </c>
      <c r="BI43" s="181">
        <v>540</v>
      </c>
      <c r="BJ43" s="173">
        <f>AVERAGE(BF43:BI43)</f>
        <v>511.5</v>
      </c>
      <c r="BK43" s="181">
        <v>512</v>
      </c>
      <c r="BL43" s="181">
        <v>497</v>
      </c>
      <c r="BM43" s="181">
        <v>480</v>
      </c>
      <c r="BN43" s="181">
        <v>542</v>
      </c>
      <c r="BO43" s="173">
        <f>AVERAGE(BK43:BN43)</f>
        <v>507.75</v>
      </c>
      <c r="BP43" s="93"/>
      <c r="BQ43" s="93"/>
      <c r="BR43" s="93"/>
      <c r="BS43" s="93"/>
      <c r="BT43" s="93"/>
      <c r="BU43" s="93"/>
      <c r="BV43" s="93"/>
      <c r="BW43" s="93"/>
      <c r="BX43" s="93"/>
      <c r="BY43" s="93"/>
      <c r="BZ43" s="93"/>
      <c r="CA43" s="93"/>
      <c r="CB43" s="93"/>
      <c r="CC43" s="93"/>
      <c r="CD43" s="93"/>
      <c r="CF43" s="391"/>
      <c r="CG43" s="456">
        <v>2015</v>
      </c>
      <c r="CH43" s="613">
        <f t="shared" si="36"/>
        <v>9.1704718417047193</v>
      </c>
      <c r="CI43" s="613">
        <f t="shared" si="36"/>
        <v>9.3531937734836283</v>
      </c>
      <c r="CJ43" s="613">
        <f t="shared" si="36"/>
        <v>12.558962264150944</v>
      </c>
      <c r="CK43" s="613">
        <f t="shared" si="36"/>
        <v>5.7565149747180087</v>
      </c>
    </row>
    <row r="44" spans="1:89">
      <c r="B44" s="289" t="s">
        <v>896</v>
      </c>
      <c r="M44" s="19">
        <f t="shared" ref="M44:BN44" si="38">SUM(M41:M43)</f>
        <v>3769</v>
      </c>
      <c r="N44" s="19">
        <f t="shared" si="38"/>
        <v>3808</v>
      </c>
      <c r="O44" s="19">
        <f t="shared" si="38"/>
        <v>3855</v>
      </c>
      <c r="P44" s="19">
        <f t="shared" si="38"/>
        <v>3793</v>
      </c>
      <c r="Q44" s="8">
        <f t="shared" si="38"/>
        <v>3806</v>
      </c>
      <c r="R44" s="19">
        <f t="shared" si="38"/>
        <v>3712</v>
      </c>
      <c r="S44" s="19">
        <f t="shared" si="38"/>
        <v>3765</v>
      </c>
      <c r="T44" s="19">
        <f t="shared" si="38"/>
        <v>3699</v>
      </c>
      <c r="U44" s="19">
        <f t="shared" si="38"/>
        <v>3666</v>
      </c>
      <c r="V44" s="8">
        <f t="shared" si="38"/>
        <v>3711</v>
      </c>
      <c r="W44" s="19">
        <f t="shared" si="38"/>
        <v>3548</v>
      </c>
      <c r="X44" s="19">
        <f t="shared" si="38"/>
        <v>3522</v>
      </c>
      <c r="Y44" s="19">
        <f t="shared" si="38"/>
        <v>3583</v>
      </c>
      <c r="Z44" s="19">
        <f t="shared" si="38"/>
        <v>3584</v>
      </c>
      <c r="AA44" s="8">
        <f t="shared" si="38"/>
        <v>3560</v>
      </c>
      <c r="AB44" s="19">
        <f t="shared" si="38"/>
        <v>3475</v>
      </c>
      <c r="AC44" s="19">
        <f t="shared" si="38"/>
        <v>3400</v>
      </c>
      <c r="AD44" s="19">
        <f t="shared" si="38"/>
        <v>3514</v>
      </c>
      <c r="AE44" s="19">
        <f t="shared" si="38"/>
        <v>3391</v>
      </c>
      <c r="AF44" s="8">
        <f t="shared" si="38"/>
        <v>3445</v>
      </c>
      <c r="AG44" s="19">
        <f t="shared" si="38"/>
        <v>3252</v>
      </c>
      <c r="AH44" s="19">
        <f t="shared" si="38"/>
        <v>3318</v>
      </c>
      <c r="AI44" s="19">
        <f t="shared" si="38"/>
        <v>3356</v>
      </c>
      <c r="AJ44" s="19">
        <f t="shared" si="38"/>
        <v>3318</v>
      </c>
      <c r="AK44" s="8">
        <f t="shared" si="38"/>
        <v>3311</v>
      </c>
      <c r="AL44" s="19">
        <f t="shared" si="38"/>
        <v>3115</v>
      </c>
      <c r="AM44" s="19">
        <f t="shared" si="38"/>
        <v>3259</v>
      </c>
      <c r="AN44" s="19">
        <f t="shared" si="38"/>
        <v>3250</v>
      </c>
      <c r="AO44" s="19">
        <f t="shared" si="38"/>
        <v>3228</v>
      </c>
      <c r="AP44" s="8">
        <f t="shared" si="38"/>
        <v>3213</v>
      </c>
      <c r="AQ44" s="19">
        <f t="shared" si="38"/>
        <v>3117</v>
      </c>
      <c r="AR44" s="19">
        <f t="shared" si="38"/>
        <v>3205</v>
      </c>
      <c r="AS44" s="19">
        <f t="shared" si="38"/>
        <v>3046</v>
      </c>
      <c r="AT44" s="19">
        <f t="shared" si="38"/>
        <v>2971</v>
      </c>
      <c r="AU44" s="8">
        <f t="shared" si="38"/>
        <v>3084</v>
      </c>
      <c r="AV44" s="180">
        <f t="shared" si="38"/>
        <v>2804</v>
      </c>
      <c r="AW44" s="19">
        <f t="shared" si="38"/>
        <v>2852</v>
      </c>
      <c r="AX44" s="19">
        <f t="shared" si="38"/>
        <v>2959</v>
      </c>
      <c r="AY44" s="19">
        <f t="shared" si="38"/>
        <v>2873</v>
      </c>
      <c r="AZ44" s="8">
        <f t="shared" si="38"/>
        <v>2872</v>
      </c>
      <c r="BA44" s="180">
        <f t="shared" si="38"/>
        <v>2879</v>
      </c>
      <c r="BB44" s="180">
        <f t="shared" si="38"/>
        <v>2874</v>
      </c>
      <c r="BC44" s="180">
        <f t="shared" si="38"/>
        <v>2935</v>
      </c>
      <c r="BD44" s="180">
        <f t="shared" si="38"/>
        <v>2931</v>
      </c>
      <c r="BE44" s="8">
        <f t="shared" si="38"/>
        <v>2835</v>
      </c>
      <c r="BF44" s="180">
        <f t="shared" si="38"/>
        <v>2703</v>
      </c>
      <c r="BG44" s="180">
        <f t="shared" si="38"/>
        <v>2800</v>
      </c>
      <c r="BH44" s="180">
        <f t="shared" si="38"/>
        <v>2944</v>
      </c>
      <c r="BI44" s="180">
        <f t="shared" si="38"/>
        <v>2852</v>
      </c>
      <c r="BJ44" s="8">
        <f>AVERAGE(BF44:BI44)</f>
        <v>2824.75</v>
      </c>
      <c r="BK44" s="180">
        <f t="shared" si="38"/>
        <v>2697</v>
      </c>
      <c r="BL44" s="180">
        <f t="shared" si="38"/>
        <v>2827</v>
      </c>
      <c r="BM44" s="180">
        <f t="shared" si="38"/>
        <v>2870</v>
      </c>
      <c r="BN44" s="180">
        <f t="shared" si="38"/>
        <v>2801</v>
      </c>
      <c r="BO44" s="8">
        <f>AVERAGE(BK44:BN44)</f>
        <v>2798.75</v>
      </c>
      <c r="BP44" s="93"/>
      <c r="BQ44" s="93"/>
      <c r="BR44" s="93"/>
      <c r="BS44" s="93"/>
      <c r="BT44" s="93"/>
      <c r="BU44" s="93"/>
      <c r="BV44" s="93"/>
      <c r="BW44" s="93"/>
      <c r="BX44" s="93"/>
      <c r="BY44" s="93"/>
      <c r="BZ44" s="93"/>
      <c r="CA44" s="93"/>
      <c r="CB44" s="93"/>
      <c r="CC44" s="93"/>
      <c r="CD44" s="93"/>
      <c r="CG44" s="456">
        <v>2016</v>
      </c>
      <c r="CH44" s="613">
        <f t="shared" si="36"/>
        <v>8.3843017329255858</v>
      </c>
      <c r="CI44" s="613">
        <f t="shared" si="36"/>
        <v>6.5923317683881066</v>
      </c>
      <c r="CJ44" s="613">
        <f t="shared" si="36"/>
        <v>6.6195286195286194</v>
      </c>
      <c r="CK44" s="613">
        <f t="shared" si="36"/>
        <v>2.8183292781832927</v>
      </c>
    </row>
    <row r="45" spans="1:89">
      <c r="AV45" s="406"/>
      <c r="BA45" s="406"/>
      <c r="BB45" s="406"/>
      <c r="BC45" s="406"/>
      <c r="BD45" s="406"/>
      <c r="BF45" s="406"/>
      <c r="BG45" s="406"/>
      <c r="BH45" s="406"/>
      <c r="BI45" s="406"/>
      <c r="BK45" s="406"/>
      <c r="BL45" s="406"/>
      <c r="BM45" s="406"/>
      <c r="BN45" s="406"/>
      <c r="CG45" s="456">
        <v>2017</v>
      </c>
      <c r="CH45" s="613">
        <f>INDEX($72:$72,MATCH(CH$8&amp;RIGHT($CG45,2),$8:$8,0))</f>
        <v>7.9554494828957836</v>
      </c>
      <c r="CI45" s="613">
        <f>INDEX($72:$72,MATCH(CI$8&amp;RIGHT($CG45,2),$8:$8,0))</f>
        <v>5.9768299104792</v>
      </c>
      <c r="CJ45" s="613">
        <f>INDEX($72:$72,MATCH(CJ$8&amp;RIGHT($CG45,2),$8:$8,0))</f>
        <v>11.384909264565424</v>
      </c>
      <c r="CK45" s="613">
        <f>INDEX($72:$72,MATCH(CK$8&amp;RIGHT($CG45,2),$8:$8,0))</f>
        <v>6.3865986127470222</v>
      </c>
    </row>
    <row r="46" spans="1:89">
      <c r="A46" t="s">
        <v>3485</v>
      </c>
      <c r="M46" s="12">
        <v>2026</v>
      </c>
      <c r="N46" s="12">
        <v>1867</v>
      </c>
      <c r="O46" s="12">
        <v>1687</v>
      </c>
      <c r="P46" s="12">
        <v>1696</v>
      </c>
      <c r="Q46" s="5">
        <v>1818</v>
      </c>
      <c r="R46" s="12">
        <v>2047</v>
      </c>
      <c r="S46" s="12">
        <v>2017</v>
      </c>
      <c r="T46" s="12">
        <v>2107</v>
      </c>
      <c r="U46" s="12">
        <v>1779</v>
      </c>
      <c r="V46" s="5">
        <v>1987</v>
      </c>
      <c r="W46" s="12">
        <v>2312</v>
      </c>
      <c r="X46" s="12">
        <v>2228</v>
      </c>
      <c r="Y46" s="12">
        <v>2377</v>
      </c>
      <c r="Z46" s="12">
        <v>2390</v>
      </c>
      <c r="AA46" s="5">
        <v>2327</v>
      </c>
      <c r="AB46" s="12">
        <v>2622</v>
      </c>
      <c r="AC46" s="12">
        <v>2544</v>
      </c>
      <c r="AD46" s="12">
        <v>2279</v>
      </c>
      <c r="AE46" s="12">
        <v>2485</v>
      </c>
      <c r="AF46" s="5">
        <v>2482</v>
      </c>
      <c r="AG46" s="12">
        <v>2256</v>
      </c>
      <c r="AH46" s="12">
        <v>2729</v>
      </c>
      <c r="AI46" s="12">
        <v>2358</v>
      </c>
      <c r="AJ46" s="12">
        <v>2515</v>
      </c>
      <c r="AK46" s="5">
        <v>2465</v>
      </c>
      <c r="AL46" s="12">
        <v>2380</v>
      </c>
      <c r="AM46" s="12">
        <v>2568</v>
      </c>
      <c r="AN46" s="12">
        <v>2393</v>
      </c>
      <c r="AO46" s="12">
        <v>2434</v>
      </c>
      <c r="AP46" s="5">
        <v>2444</v>
      </c>
      <c r="AQ46" s="12">
        <v>2308</v>
      </c>
      <c r="AR46" s="12">
        <v>2527</v>
      </c>
      <c r="AS46" s="12">
        <v>2596</v>
      </c>
      <c r="AT46" s="12">
        <v>2504</v>
      </c>
      <c r="AU46" s="5">
        <v>2485</v>
      </c>
      <c r="AV46" s="181">
        <v>2416</v>
      </c>
      <c r="AW46" s="12">
        <v>2468</v>
      </c>
      <c r="AX46" s="12">
        <v>2439</v>
      </c>
      <c r="AY46" s="12">
        <v>2470</v>
      </c>
      <c r="AZ46" s="5">
        <v>2448</v>
      </c>
      <c r="BA46" s="181">
        <v>2544</v>
      </c>
      <c r="BB46" s="181">
        <v>2649</v>
      </c>
      <c r="BC46" s="181">
        <v>2718</v>
      </c>
      <c r="BD46" s="181">
        <v>2883</v>
      </c>
      <c r="BE46" s="5">
        <v>2770</v>
      </c>
      <c r="BF46" s="181">
        <v>2810</v>
      </c>
      <c r="BG46" s="181">
        <v>2875</v>
      </c>
      <c r="BH46" s="181">
        <v>2581</v>
      </c>
      <c r="BI46" s="181">
        <v>2836</v>
      </c>
      <c r="BJ46" s="173">
        <f>AVERAGE(BF46:BI46)</f>
        <v>2775.5</v>
      </c>
      <c r="BK46" s="181">
        <v>2959</v>
      </c>
      <c r="BL46" s="181">
        <v>2996</v>
      </c>
      <c r="BM46" s="181">
        <v>3088</v>
      </c>
      <c r="BN46" s="181">
        <v>3549</v>
      </c>
      <c r="BO46" s="173"/>
      <c r="BP46" s="93"/>
      <c r="BQ46" s="93"/>
      <c r="BR46" s="93"/>
      <c r="BS46" s="93"/>
      <c r="BT46" s="93"/>
      <c r="BU46" s="93"/>
      <c r="BV46" s="93"/>
      <c r="BW46" s="93"/>
      <c r="BX46" s="93"/>
      <c r="BY46" s="93"/>
      <c r="BZ46" s="93"/>
      <c r="CA46" s="93"/>
      <c r="CB46" s="93"/>
      <c r="CC46" s="93"/>
      <c r="CD46" s="93"/>
      <c r="CG46" s="695" t="s">
        <v>2316</v>
      </c>
      <c r="CH46" s="696">
        <f>AVERAGE(CH36:CH45)</f>
        <v>4.8098777707707567</v>
      </c>
      <c r="CI46" s="696">
        <f>AVERAGE(CI36:CI45)</f>
        <v>4.6767982130432824</v>
      </c>
      <c r="CJ46" s="696">
        <f>AVERAGE(CJ36:CJ45)</f>
        <v>6.9021346472469345</v>
      </c>
      <c r="CK46" s="696">
        <f>AVERAGE(CK36:CK45)</f>
        <v>2.767704804753655</v>
      </c>
    </row>
    <row r="47" spans="1:89">
      <c r="A47" s="289" t="s">
        <v>3486</v>
      </c>
      <c r="M47" s="19">
        <f t="shared" ref="M47:AB47" si="39">SUM(M44,M46)</f>
        <v>5795</v>
      </c>
      <c r="N47" s="19">
        <f t="shared" si="39"/>
        <v>5675</v>
      </c>
      <c r="O47" s="19">
        <f t="shared" si="39"/>
        <v>5542</v>
      </c>
      <c r="P47" s="19">
        <f t="shared" si="39"/>
        <v>5489</v>
      </c>
      <c r="Q47" s="8">
        <f t="shared" si="39"/>
        <v>5624</v>
      </c>
      <c r="R47" s="19">
        <f t="shared" si="39"/>
        <v>5759</v>
      </c>
      <c r="S47" s="19">
        <f t="shared" si="39"/>
        <v>5782</v>
      </c>
      <c r="T47" s="19">
        <f t="shared" si="39"/>
        <v>5806</v>
      </c>
      <c r="U47" s="19">
        <f t="shared" si="39"/>
        <v>5445</v>
      </c>
      <c r="V47" s="8">
        <f t="shared" si="39"/>
        <v>5698</v>
      </c>
      <c r="W47" s="19">
        <f t="shared" si="39"/>
        <v>5860</v>
      </c>
      <c r="X47" s="19">
        <f t="shared" si="39"/>
        <v>5750</v>
      </c>
      <c r="Y47" s="19">
        <f t="shared" si="39"/>
        <v>5960</v>
      </c>
      <c r="Z47" s="19">
        <f t="shared" si="39"/>
        <v>5974</v>
      </c>
      <c r="AA47" s="8">
        <f t="shared" si="39"/>
        <v>5887</v>
      </c>
      <c r="AB47" s="19">
        <f t="shared" si="39"/>
        <v>6097</v>
      </c>
      <c r="AC47" s="19">
        <f t="shared" ref="AC47:BN47" si="40">SUM(AC44,AC46)</f>
        <v>5944</v>
      </c>
      <c r="AD47" s="19">
        <f t="shared" si="40"/>
        <v>5793</v>
      </c>
      <c r="AE47" s="19">
        <f t="shared" si="40"/>
        <v>5876</v>
      </c>
      <c r="AF47" s="8">
        <f t="shared" si="40"/>
        <v>5927</v>
      </c>
      <c r="AG47" s="19">
        <f t="shared" si="40"/>
        <v>5508</v>
      </c>
      <c r="AH47" s="19">
        <f t="shared" si="40"/>
        <v>6047</v>
      </c>
      <c r="AI47" s="19">
        <f t="shared" si="40"/>
        <v>5714</v>
      </c>
      <c r="AJ47" s="19">
        <f t="shared" si="40"/>
        <v>5833</v>
      </c>
      <c r="AK47" s="8">
        <f t="shared" si="40"/>
        <v>5776</v>
      </c>
      <c r="AL47" s="19">
        <f t="shared" si="40"/>
        <v>5495</v>
      </c>
      <c r="AM47" s="19">
        <f t="shared" si="40"/>
        <v>5827</v>
      </c>
      <c r="AN47" s="19">
        <f t="shared" si="40"/>
        <v>5643</v>
      </c>
      <c r="AO47" s="19">
        <f t="shared" si="40"/>
        <v>5662</v>
      </c>
      <c r="AP47" s="8">
        <f t="shared" si="40"/>
        <v>5657</v>
      </c>
      <c r="AQ47" s="19">
        <f t="shared" si="40"/>
        <v>5425</v>
      </c>
      <c r="AR47" s="19">
        <f t="shared" si="40"/>
        <v>5732</v>
      </c>
      <c r="AS47" s="19">
        <f t="shared" si="40"/>
        <v>5642</v>
      </c>
      <c r="AT47" s="19">
        <f t="shared" si="40"/>
        <v>5475</v>
      </c>
      <c r="AU47" s="8">
        <f t="shared" si="40"/>
        <v>5569</v>
      </c>
      <c r="AV47" s="180">
        <f t="shared" si="40"/>
        <v>5220</v>
      </c>
      <c r="AW47" s="19">
        <f t="shared" si="40"/>
        <v>5320</v>
      </c>
      <c r="AX47" s="19">
        <f t="shared" si="40"/>
        <v>5398</v>
      </c>
      <c r="AY47" s="19">
        <f t="shared" si="40"/>
        <v>5343</v>
      </c>
      <c r="AZ47" s="8">
        <f t="shared" si="40"/>
        <v>5320</v>
      </c>
      <c r="BA47" s="19">
        <f t="shared" si="40"/>
        <v>5423</v>
      </c>
      <c r="BB47" s="19">
        <f t="shared" si="40"/>
        <v>5523</v>
      </c>
      <c r="BC47" s="19">
        <f t="shared" si="40"/>
        <v>5653</v>
      </c>
      <c r="BD47" s="19">
        <f t="shared" si="40"/>
        <v>5814</v>
      </c>
      <c r="BE47" s="8">
        <f t="shared" si="40"/>
        <v>5605</v>
      </c>
      <c r="BF47" s="19">
        <f t="shared" si="40"/>
        <v>5513</v>
      </c>
      <c r="BG47" s="19">
        <f t="shared" si="40"/>
        <v>5675</v>
      </c>
      <c r="BH47" s="19">
        <f t="shared" si="40"/>
        <v>5525</v>
      </c>
      <c r="BI47" s="19">
        <f t="shared" si="40"/>
        <v>5688</v>
      </c>
      <c r="BJ47" s="8">
        <f>AVERAGE(BF47:BI47)</f>
        <v>5600.25</v>
      </c>
      <c r="BK47" s="19">
        <f t="shared" si="40"/>
        <v>5656</v>
      </c>
      <c r="BL47" s="19">
        <f t="shared" si="40"/>
        <v>5823</v>
      </c>
      <c r="BM47" s="180">
        <f t="shared" si="40"/>
        <v>5958</v>
      </c>
      <c r="BN47" s="180">
        <f t="shared" si="40"/>
        <v>6350</v>
      </c>
      <c r="BO47" s="8">
        <f>AVERAGE(BK47:BN47)</f>
        <v>5946.75</v>
      </c>
      <c r="BP47" s="19">
        <f>BP38/BP49</f>
        <v>5816.666666666667</v>
      </c>
      <c r="BQ47" s="19">
        <f>BQ38/BQ49</f>
        <v>5666.666666666667</v>
      </c>
      <c r="BR47" s="19">
        <f>BR38/BR49</f>
        <v>5666.666666666667</v>
      </c>
      <c r="BS47" s="19">
        <f>BS38/BS49</f>
        <v>5666.666666666667</v>
      </c>
      <c r="BT47" s="8">
        <f>AVERAGE(BP47:BS47)</f>
        <v>5704.166666666667</v>
      </c>
      <c r="BU47" s="19">
        <f>BU38/BU49</f>
        <v>5666.666666666667</v>
      </c>
      <c r="BV47" s="19">
        <f>BV38/BV49</f>
        <v>5666.666666666667</v>
      </c>
      <c r="BW47" s="19">
        <f>BW38/BW49</f>
        <v>5666.666666666667</v>
      </c>
      <c r="BX47" s="19">
        <f>BX38/BX49</f>
        <v>5666.666666666667</v>
      </c>
      <c r="BY47" s="8">
        <f>AVERAGE(BU47:BX47)</f>
        <v>5666.666666666667</v>
      </c>
      <c r="BZ47" s="19">
        <f>BZ38/BZ49</f>
        <v>5666.666666666667</v>
      </c>
      <c r="CA47" s="19">
        <f>CA38/CA49</f>
        <v>5666.666666666667</v>
      </c>
      <c r="CB47" s="19">
        <f>CB38/CB49</f>
        <v>5666.666666666667</v>
      </c>
      <c r="CC47" s="19">
        <f>CC38/CC49</f>
        <v>5666.666666666667</v>
      </c>
      <c r="CD47" s="8">
        <f>AVERAGE(BZ47:CC47)</f>
        <v>5666.666666666667</v>
      </c>
      <c r="CG47" t="s">
        <v>3690</v>
      </c>
      <c r="CH47" s="613">
        <f>(SUM(CH36:CH45)-LARGE(CH36:CH45,1)-LARGE(CH36:CH45,2)-SMALL(CH36:CH45,1)-SMALL(CH36:CH45,2))/6</f>
        <v>5.0445371688887723</v>
      </c>
      <c r="CI47" s="613">
        <f>(SUM(CI36:CI45)-LARGE(CI36:CI45,1)-LARGE(CI36:CI45,2)-SMALL(CI36:CI45,1)-SMALL(CI36:CI45,2))/6</f>
        <v>4.5056158427947839</v>
      </c>
      <c r="CJ47" s="613">
        <f>(SUM(CJ36:CJ45)-LARGE(CJ36:CJ45,1)-LARGE(CJ36:CJ45,2)-SMALL(CJ36:CJ45,1)-SMALL(CJ36:CJ45,2))/6</f>
        <v>6.6539138678540946</v>
      </c>
      <c r="CK47" s="613">
        <f>(SUM(CK36:CK45)-LARGE(CK36:CK45,1)-LARGE(CK36:CK45,2)-SMALL(CK36:CK45,1)-SMALL(CK36:CK45,2))/6</f>
        <v>3.117195091196598</v>
      </c>
    </row>
    <row r="48" spans="1:89">
      <c r="A48" s="289"/>
      <c r="M48" s="19"/>
      <c r="N48" s="19"/>
      <c r="O48" s="19"/>
      <c r="P48" s="19"/>
      <c r="Q48" s="8"/>
      <c r="R48" s="19"/>
      <c r="S48" s="19"/>
      <c r="T48" s="19"/>
      <c r="U48" s="19"/>
      <c r="V48" s="8"/>
      <c r="W48" s="19"/>
      <c r="X48" s="19"/>
      <c r="Y48" s="19"/>
      <c r="Z48" s="19"/>
      <c r="AA48" s="8"/>
      <c r="AB48" s="19"/>
      <c r="AC48" s="19"/>
      <c r="AD48" s="19"/>
      <c r="AE48" s="19"/>
      <c r="AF48" s="8"/>
      <c r="AG48" s="19"/>
      <c r="AH48" s="19"/>
      <c r="AI48" s="19"/>
      <c r="AJ48" s="19"/>
      <c r="AK48" s="8"/>
      <c r="AL48" s="19"/>
      <c r="AM48" s="19"/>
      <c r="AN48" s="19"/>
      <c r="AO48" s="19"/>
      <c r="AP48" s="8"/>
      <c r="AQ48" s="19"/>
      <c r="AR48" s="19"/>
      <c r="AS48" s="19"/>
      <c r="AT48" s="19"/>
      <c r="AU48" s="8"/>
      <c r="AV48" s="180"/>
      <c r="AW48" s="19"/>
      <c r="AX48" s="19"/>
      <c r="AY48" s="19"/>
      <c r="AZ48" s="8"/>
      <c r="BA48" s="180"/>
      <c r="BB48" s="180"/>
      <c r="BC48" s="180"/>
      <c r="BD48" s="180"/>
      <c r="BF48" s="180"/>
      <c r="BG48" s="180"/>
      <c r="BH48" s="180"/>
      <c r="BI48" s="180"/>
      <c r="BK48" s="180"/>
      <c r="BL48" s="180"/>
      <c r="BM48" s="180"/>
      <c r="BN48" s="406"/>
    </row>
    <row r="49" spans="1:94">
      <c r="A49" t="s">
        <v>3500</v>
      </c>
      <c r="M49" s="520">
        <f t="shared" ref="M49:AB49" si="41">M38/M47</f>
        <v>0.38515962036238138</v>
      </c>
      <c r="N49" s="520">
        <f t="shared" si="41"/>
        <v>0.37497797356828194</v>
      </c>
      <c r="O49" s="520">
        <f t="shared" si="41"/>
        <v>0.3875857091302779</v>
      </c>
      <c r="P49" s="520">
        <f t="shared" si="41"/>
        <v>0.36400072873018763</v>
      </c>
      <c r="Q49" s="380">
        <f t="shared" si="41"/>
        <v>0.37820056899004267</v>
      </c>
      <c r="R49" s="520">
        <f t="shared" si="41"/>
        <v>0.37610696301441221</v>
      </c>
      <c r="S49" s="520">
        <f t="shared" si="41"/>
        <v>0.38723625043237636</v>
      </c>
      <c r="T49" s="520">
        <f t="shared" si="41"/>
        <v>0.37633482604202551</v>
      </c>
      <c r="U49" s="520">
        <f t="shared" si="41"/>
        <v>0.37318640955004589</v>
      </c>
      <c r="V49" s="380">
        <f t="shared" si="41"/>
        <v>0.37820287820287818</v>
      </c>
      <c r="W49" s="520">
        <f t="shared" si="41"/>
        <v>0.38327645051194537</v>
      </c>
      <c r="X49" s="520">
        <f t="shared" si="41"/>
        <v>0.39460869565217394</v>
      </c>
      <c r="Y49" s="520">
        <f t="shared" si="41"/>
        <v>0.39077181208053691</v>
      </c>
      <c r="Z49" s="520">
        <f t="shared" si="41"/>
        <v>0.3855038500167392</v>
      </c>
      <c r="AA49" s="380">
        <f t="shared" si="41"/>
        <v>0.38848309835230166</v>
      </c>
      <c r="AB49" s="520">
        <f t="shared" si="41"/>
        <v>0.3982286370346072</v>
      </c>
      <c r="AC49" s="520">
        <f t="shared" ref="AC49:BN49" si="42">AC38/AC47</f>
        <v>0.40864737550471064</v>
      </c>
      <c r="AD49" s="520">
        <f t="shared" si="42"/>
        <v>0.41929915415156221</v>
      </c>
      <c r="AE49" s="520">
        <f t="shared" si="42"/>
        <v>0.41184479237576582</v>
      </c>
      <c r="AF49" s="380">
        <f t="shared" si="42"/>
        <v>0.40931331196220683</v>
      </c>
      <c r="AG49" s="520">
        <f t="shared" si="42"/>
        <v>0.41194625998547568</v>
      </c>
      <c r="AH49" s="520">
        <f t="shared" si="42"/>
        <v>0.37258144534479909</v>
      </c>
      <c r="AI49" s="520">
        <f t="shared" si="42"/>
        <v>0.42527126356317818</v>
      </c>
      <c r="AJ49" s="520">
        <f t="shared" si="42"/>
        <v>0.42070975484313389</v>
      </c>
      <c r="AK49" s="380">
        <f t="shared" si="42"/>
        <v>0.40720221606648199</v>
      </c>
      <c r="AL49" s="520">
        <f t="shared" si="42"/>
        <v>0.41310282074613286</v>
      </c>
      <c r="AM49" s="520">
        <f t="shared" si="42"/>
        <v>0.39162519306675819</v>
      </c>
      <c r="AN49" s="520">
        <f t="shared" si="42"/>
        <v>0.44515328725855041</v>
      </c>
      <c r="AO49" s="520">
        <f t="shared" si="42"/>
        <v>0.41504768632991873</v>
      </c>
      <c r="AP49" s="380">
        <f t="shared" si="42"/>
        <v>0.41612161923280894</v>
      </c>
      <c r="AQ49" s="520">
        <f t="shared" si="42"/>
        <v>0.38064516129032255</v>
      </c>
      <c r="AR49" s="520">
        <f t="shared" si="42"/>
        <v>0.29797627355198886</v>
      </c>
      <c r="AS49" s="520">
        <f t="shared" si="42"/>
        <v>0.30166607585962424</v>
      </c>
      <c r="AT49" s="520">
        <f t="shared" si="42"/>
        <v>0.30958904109589042</v>
      </c>
      <c r="AU49" s="380">
        <f t="shared" si="42"/>
        <v>0.32160172382833541</v>
      </c>
      <c r="AV49" s="593">
        <f t="shared" si="42"/>
        <v>0.32950191570881227</v>
      </c>
      <c r="AW49" s="520">
        <f t="shared" si="42"/>
        <v>0.31052631578947371</v>
      </c>
      <c r="AX49" s="520">
        <f t="shared" si="42"/>
        <v>0.32030381622823267</v>
      </c>
      <c r="AY49" s="520">
        <f t="shared" si="42"/>
        <v>0.33352049410443568</v>
      </c>
      <c r="AZ49" s="380">
        <f t="shared" si="42"/>
        <v>0.32344924812030074</v>
      </c>
      <c r="BA49" s="593">
        <f t="shared" si="42"/>
        <v>0.32306841231790523</v>
      </c>
      <c r="BB49" s="593">
        <f t="shared" si="42"/>
        <v>0.2998370450841934</v>
      </c>
      <c r="BC49" s="593">
        <f t="shared" si="42"/>
        <v>0.30001768972227139</v>
      </c>
      <c r="BD49" s="593">
        <f t="shared" si="42"/>
        <v>0.29480564155486755</v>
      </c>
      <c r="BE49" s="380">
        <f t="shared" si="42"/>
        <v>0.30410347903657448</v>
      </c>
      <c r="BF49" s="593">
        <f t="shared" si="42"/>
        <v>0.31634318882641033</v>
      </c>
      <c r="BG49" s="593">
        <f t="shared" si="42"/>
        <v>0.30026431718061675</v>
      </c>
      <c r="BH49" s="593">
        <f t="shared" si="42"/>
        <v>0.29864253393665158</v>
      </c>
      <c r="BI49" s="593">
        <f t="shared" si="42"/>
        <v>0.28902953586497893</v>
      </c>
      <c r="BJ49" s="510">
        <f>AVERAGE(BF49:BI49)</f>
        <v>0.30106989395216444</v>
      </c>
      <c r="BK49" s="593">
        <f t="shared" si="42"/>
        <v>0.29632248939179634</v>
      </c>
      <c r="BL49" s="593">
        <f t="shared" si="42"/>
        <v>0.28988493903486173</v>
      </c>
      <c r="BM49" s="593">
        <f t="shared" si="42"/>
        <v>0.29288351795904666</v>
      </c>
      <c r="BN49" s="593">
        <f t="shared" si="42"/>
        <v>0.26740157480314963</v>
      </c>
      <c r="BO49" s="510">
        <f>AVERAGE(BK49:BN49)</f>
        <v>0.28662313029721359</v>
      </c>
      <c r="BP49" s="519">
        <v>0.3</v>
      </c>
      <c r="BQ49" s="519">
        <v>0.3</v>
      </c>
      <c r="BR49" s="519">
        <v>0.3</v>
      </c>
      <c r="BS49" s="519">
        <v>0.3</v>
      </c>
      <c r="BT49" s="510">
        <f>AVERAGE(BP49:BS49)</f>
        <v>0.3</v>
      </c>
      <c r="BU49" s="519">
        <v>0.3</v>
      </c>
      <c r="BV49" s="519">
        <v>0.3</v>
      </c>
      <c r="BW49" s="519">
        <v>0.3</v>
      </c>
      <c r="BX49" s="519">
        <v>0.3</v>
      </c>
      <c r="BY49" s="510">
        <f>AVERAGE(BU49:BX49)</f>
        <v>0.3</v>
      </c>
      <c r="BZ49" s="519">
        <v>0.3</v>
      </c>
      <c r="CA49" s="519">
        <v>0.3</v>
      </c>
      <c r="CB49" s="519">
        <v>0.3</v>
      </c>
      <c r="CC49" s="519">
        <v>0.3</v>
      </c>
      <c r="CD49" s="510">
        <f>AVERAGE(BZ49:CC49)</f>
        <v>0.3</v>
      </c>
    </row>
    <row r="50" spans="1:94">
      <c r="M50" s="381"/>
      <c r="N50" s="381"/>
      <c r="O50" s="381"/>
      <c r="P50" s="381"/>
      <c r="Q50" s="381"/>
      <c r="R50" s="381"/>
      <c r="S50" s="381"/>
      <c r="T50" s="381"/>
      <c r="U50" s="381"/>
      <c r="V50" s="381"/>
      <c r="W50" s="381"/>
      <c r="X50" s="381"/>
      <c r="Y50" s="381"/>
      <c r="Z50" s="381"/>
      <c r="AA50" s="381"/>
      <c r="AB50" s="381"/>
      <c r="AC50" s="381"/>
      <c r="AD50" s="381"/>
      <c r="AE50" s="381"/>
      <c r="AF50" s="381"/>
      <c r="AG50" s="381"/>
      <c r="AH50" s="381"/>
      <c r="AI50" s="381"/>
      <c r="AJ50" s="381"/>
      <c r="AK50" s="381"/>
      <c r="AL50" s="381"/>
      <c r="AM50" s="381"/>
      <c r="AN50" s="381"/>
      <c r="AO50" s="381"/>
      <c r="AP50" s="381"/>
      <c r="AQ50" s="381"/>
      <c r="AR50" s="381"/>
      <c r="AS50" s="381"/>
      <c r="AT50" s="381"/>
      <c r="AU50" s="381"/>
      <c r="AV50" s="585"/>
      <c r="AW50" s="381"/>
      <c r="AX50" s="381"/>
      <c r="AY50" s="381"/>
      <c r="AZ50" s="381"/>
      <c r="BA50" s="585"/>
      <c r="BB50" s="585"/>
      <c r="BC50" s="585"/>
      <c r="BD50" s="585"/>
      <c r="BF50" s="585"/>
      <c r="BG50" s="585"/>
      <c r="BH50" s="585"/>
      <c r="BI50" s="585"/>
      <c r="BK50" s="585"/>
      <c r="BL50" s="585"/>
      <c r="BM50" s="585"/>
      <c r="BN50" s="406"/>
    </row>
    <row r="51" spans="1:94">
      <c r="A51" t="s">
        <v>3487</v>
      </c>
      <c r="AV51" s="406"/>
      <c r="BA51" s="406"/>
      <c r="BB51" s="406"/>
      <c r="BC51" s="406"/>
      <c r="BD51" s="406"/>
      <c r="BF51" s="406"/>
      <c r="BG51" s="406"/>
      <c r="BH51" s="406"/>
      <c r="BI51" s="406"/>
      <c r="BK51" s="406"/>
      <c r="BL51" s="406"/>
      <c r="BM51" s="406"/>
      <c r="BN51" s="406"/>
    </row>
    <row r="52" spans="1:94">
      <c r="B52" t="s">
        <v>728</v>
      </c>
      <c r="M52" s="12">
        <v>1076</v>
      </c>
      <c r="N52" s="12">
        <v>1047</v>
      </c>
      <c r="O52" s="12">
        <v>1117</v>
      </c>
      <c r="P52" s="12">
        <v>1088</v>
      </c>
      <c r="Q52" s="5">
        <v>4328</v>
      </c>
      <c r="R52" s="12">
        <v>1036</v>
      </c>
      <c r="S52" s="12">
        <v>1022</v>
      </c>
      <c r="T52" s="12">
        <v>850</v>
      </c>
      <c r="U52" s="12">
        <v>579</v>
      </c>
      <c r="V52" s="5">
        <v>3487</v>
      </c>
      <c r="W52" s="12">
        <v>713</v>
      </c>
      <c r="X52" s="12">
        <v>744</v>
      </c>
      <c r="Y52" s="12">
        <v>812</v>
      </c>
      <c r="Z52" s="12">
        <v>841</v>
      </c>
      <c r="AA52" s="5">
        <v>3110</v>
      </c>
      <c r="AB52" s="12">
        <v>940</v>
      </c>
      <c r="AC52" s="12">
        <v>1088</v>
      </c>
      <c r="AD52" s="12">
        <v>1072</v>
      </c>
      <c r="AE52" s="12">
        <v>1046</v>
      </c>
      <c r="AF52" s="5">
        <v>4146</v>
      </c>
      <c r="AG52" s="12">
        <v>1135</v>
      </c>
      <c r="AH52" s="12">
        <v>766</v>
      </c>
      <c r="AI52" s="12">
        <v>1127</v>
      </c>
      <c r="AJ52" s="12">
        <v>1001</v>
      </c>
      <c r="AK52" s="5">
        <v>4029</v>
      </c>
      <c r="AL52" s="12">
        <v>1078</v>
      </c>
      <c r="AM52" s="12">
        <v>1110</v>
      </c>
      <c r="AN52" s="12">
        <v>900</v>
      </c>
      <c r="AO52" s="12">
        <v>959</v>
      </c>
      <c r="AP52" s="5">
        <v>4047</v>
      </c>
      <c r="AQ52" s="12">
        <v>1076</v>
      </c>
      <c r="AR52" s="12">
        <v>1081</v>
      </c>
      <c r="AS52" s="12">
        <v>1114</v>
      </c>
      <c r="AT52" s="12">
        <v>993</v>
      </c>
      <c r="AU52" s="5">
        <v>4264</v>
      </c>
      <c r="AV52" s="181">
        <v>1071</v>
      </c>
      <c r="AW52" s="12">
        <v>969</v>
      </c>
      <c r="AX52" s="12">
        <v>932</v>
      </c>
      <c r="AY52" s="12">
        <v>872</v>
      </c>
      <c r="AZ52" s="5">
        <v>3844</v>
      </c>
      <c r="BA52" s="181">
        <v>905</v>
      </c>
      <c r="BB52" s="181">
        <v>946</v>
      </c>
      <c r="BC52" s="181">
        <v>877</v>
      </c>
      <c r="BD52" s="181">
        <v>938</v>
      </c>
      <c r="BE52" s="5">
        <v>3666</v>
      </c>
      <c r="BF52" s="181">
        <v>896</v>
      </c>
      <c r="BG52" s="181">
        <v>558</v>
      </c>
      <c r="BH52" s="181">
        <v>564</v>
      </c>
      <c r="BI52" s="181">
        <v>546</v>
      </c>
      <c r="BJ52" s="173">
        <f t="shared" ref="BJ52:BJ54" si="43">SUM(BF52:BI52)</f>
        <v>2564</v>
      </c>
      <c r="BK52" s="181">
        <v>498</v>
      </c>
      <c r="BL52" s="181">
        <v>672</v>
      </c>
      <c r="BM52" s="181">
        <v>617</v>
      </c>
      <c r="BN52" s="181">
        <v>641</v>
      </c>
      <c r="BO52" s="173">
        <f t="shared" ref="BO52:BO54" si="44">SUM(BK52:BN52)</f>
        <v>2428</v>
      </c>
      <c r="BP52" s="93"/>
      <c r="BQ52" s="93"/>
      <c r="BR52" s="93"/>
      <c r="BS52" s="93"/>
      <c r="BT52" s="93"/>
      <c r="BU52" s="93"/>
      <c r="BV52" s="93"/>
      <c r="BW52" s="93"/>
      <c r="BX52" s="93"/>
      <c r="BY52" s="93"/>
      <c r="BZ52" s="93"/>
      <c r="CA52" s="93"/>
      <c r="CB52" s="93"/>
      <c r="CC52" s="93"/>
      <c r="CD52" s="93"/>
    </row>
    <row r="53" spans="1:94">
      <c r="B53" t="s">
        <v>305</v>
      </c>
      <c r="M53" s="12">
        <v>1074.62158</v>
      </c>
      <c r="N53" s="12">
        <v>985.10027599999989</v>
      </c>
      <c r="O53" s="12">
        <v>893.07874599999991</v>
      </c>
      <c r="P53" s="12">
        <v>956.50732700000003</v>
      </c>
      <c r="Q53" s="5">
        <v>3909.3079289999996</v>
      </c>
      <c r="R53" s="12">
        <v>1054.3161640000001</v>
      </c>
      <c r="S53" s="12">
        <v>904.95141599999999</v>
      </c>
      <c r="T53" s="12">
        <v>940.26768599999991</v>
      </c>
      <c r="U53" s="12">
        <v>674.23234600000001</v>
      </c>
      <c r="V53" s="5">
        <v>3573.7676119999996</v>
      </c>
      <c r="W53" s="12">
        <v>846.78760399999999</v>
      </c>
      <c r="X53" s="12">
        <v>927.38232799999992</v>
      </c>
      <c r="Y53" s="12">
        <v>1048.5329120000001</v>
      </c>
      <c r="Z53" s="12">
        <v>901</v>
      </c>
      <c r="AA53" s="5">
        <v>3724</v>
      </c>
      <c r="AB53" s="12">
        <v>1063</v>
      </c>
      <c r="AC53" s="12">
        <v>1067</v>
      </c>
      <c r="AD53" s="12">
        <v>1027</v>
      </c>
      <c r="AE53" s="12">
        <v>894</v>
      </c>
      <c r="AF53" s="5">
        <v>4051</v>
      </c>
      <c r="AG53" s="12">
        <v>985</v>
      </c>
      <c r="AH53" s="12">
        <v>1050</v>
      </c>
      <c r="AI53" s="12">
        <v>955</v>
      </c>
      <c r="AJ53" s="12">
        <v>864</v>
      </c>
      <c r="AK53" s="5">
        <v>3854</v>
      </c>
      <c r="AL53" s="12">
        <v>1011</v>
      </c>
      <c r="AM53" s="12">
        <v>998</v>
      </c>
      <c r="AN53" s="12">
        <v>993</v>
      </c>
      <c r="AO53" s="12">
        <v>925</v>
      </c>
      <c r="AP53" s="5">
        <v>3927</v>
      </c>
      <c r="AQ53" s="12">
        <v>1014</v>
      </c>
      <c r="AR53" s="12">
        <v>814</v>
      </c>
      <c r="AS53" s="12">
        <v>999</v>
      </c>
      <c r="AT53" s="12">
        <v>952</v>
      </c>
      <c r="AU53" s="5">
        <v>3779</v>
      </c>
      <c r="AV53" s="181">
        <v>972</v>
      </c>
      <c r="AW53" s="12">
        <v>895</v>
      </c>
      <c r="AX53" s="12">
        <v>1048</v>
      </c>
      <c r="AY53" s="12">
        <v>937</v>
      </c>
      <c r="AZ53" s="5">
        <v>3851</v>
      </c>
      <c r="BA53" s="181">
        <v>972</v>
      </c>
      <c r="BB53" s="181">
        <v>852</v>
      </c>
      <c r="BC53" s="181">
        <v>976</v>
      </c>
      <c r="BD53" s="181">
        <v>727</v>
      </c>
      <c r="BE53" s="5">
        <v>3527</v>
      </c>
      <c r="BF53" s="181">
        <v>992</v>
      </c>
      <c r="BG53" s="181">
        <v>909</v>
      </c>
      <c r="BH53" s="181">
        <v>898</v>
      </c>
      <c r="BI53" s="181">
        <v>930</v>
      </c>
      <c r="BJ53" s="173">
        <f t="shared" si="43"/>
        <v>3729</v>
      </c>
      <c r="BK53" s="181">
        <v>1253</v>
      </c>
      <c r="BL53" s="181">
        <v>1365</v>
      </c>
      <c r="BM53" s="181">
        <v>1285</v>
      </c>
      <c r="BN53" s="181">
        <v>1559</v>
      </c>
      <c r="BO53" s="173">
        <f t="shared" si="44"/>
        <v>5462</v>
      </c>
      <c r="BP53" s="93"/>
      <c r="BQ53" s="93"/>
      <c r="BR53" s="93"/>
      <c r="BS53" s="93"/>
      <c r="BT53" s="93"/>
      <c r="BU53" s="93"/>
      <c r="BV53" s="93"/>
      <c r="BW53" s="93"/>
      <c r="BX53" s="93"/>
      <c r="BY53" s="93"/>
      <c r="BZ53" s="93"/>
      <c r="CA53" s="93"/>
      <c r="CB53" s="93"/>
      <c r="CC53" s="93"/>
      <c r="CD53" s="93"/>
    </row>
    <row r="54" spans="1:94">
      <c r="B54" t="s">
        <v>2012</v>
      </c>
      <c r="M54" s="12">
        <v>1520</v>
      </c>
      <c r="N54" s="12">
        <v>1497</v>
      </c>
      <c r="O54" s="12">
        <v>1569</v>
      </c>
      <c r="P54" s="12">
        <v>1497</v>
      </c>
      <c r="Q54" s="5">
        <v>6083</v>
      </c>
      <c r="R54" s="12">
        <v>1531</v>
      </c>
      <c r="S54" s="12">
        <v>1598</v>
      </c>
      <c r="T54" s="12">
        <v>1358</v>
      </c>
      <c r="U54" s="12">
        <v>1287</v>
      </c>
      <c r="V54" s="5">
        <v>5774</v>
      </c>
      <c r="W54" s="12">
        <v>1244</v>
      </c>
      <c r="X54" s="12">
        <v>1221</v>
      </c>
      <c r="Y54" s="12">
        <v>1634</v>
      </c>
      <c r="Z54" s="12">
        <v>1727</v>
      </c>
      <c r="AA54" s="5">
        <v>5826</v>
      </c>
      <c r="AB54" s="12">
        <v>1888</v>
      </c>
      <c r="AC54" s="12">
        <v>1846</v>
      </c>
      <c r="AD54" s="12">
        <v>1883</v>
      </c>
      <c r="AE54" s="12">
        <v>1780</v>
      </c>
      <c r="AF54" s="5">
        <v>7397</v>
      </c>
      <c r="AG54" s="12">
        <v>1918</v>
      </c>
      <c r="AH54" s="12">
        <v>1846</v>
      </c>
      <c r="AI54" s="12">
        <v>1504</v>
      </c>
      <c r="AJ54" s="12">
        <v>1715</v>
      </c>
      <c r="AK54" s="5">
        <v>6983</v>
      </c>
      <c r="AL54" s="12">
        <v>1817</v>
      </c>
      <c r="AM54" s="12">
        <v>1750</v>
      </c>
      <c r="AN54" s="12">
        <v>1686</v>
      </c>
      <c r="AO54" s="12">
        <v>1500</v>
      </c>
      <c r="AP54" s="5">
        <v>6753</v>
      </c>
      <c r="AQ54" s="12">
        <v>1417</v>
      </c>
      <c r="AR54" s="12">
        <v>1519</v>
      </c>
      <c r="AS54" s="12">
        <v>1538</v>
      </c>
      <c r="AT54" s="12">
        <v>1426</v>
      </c>
      <c r="AU54" s="5">
        <v>5900</v>
      </c>
      <c r="AV54" s="181">
        <v>1422</v>
      </c>
      <c r="AW54" s="12">
        <v>1501</v>
      </c>
      <c r="AX54" s="12">
        <v>1676</v>
      </c>
      <c r="AY54" s="12">
        <v>1719</v>
      </c>
      <c r="AZ54" s="5">
        <v>6319</v>
      </c>
      <c r="BA54" s="181">
        <v>1663</v>
      </c>
      <c r="BB54" s="181">
        <v>1898</v>
      </c>
      <c r="BC54" s="181">
        <v>2004</v>
      </c>
      <c r="BD54" s="181">
        <v>2002</v>
      </c>
      <c r="BE54" s="5">
        <v>7567</v>
      </c>
      <c r="BF54" s="181">
        <v>1909</v>
      </c>
      <c r="BG54" s="181">
        <v>1967</v>
      </c>
      <c r="BH54" s="181">
        <v>1987</v>
      </c>
      <c r="BI54" s="181">
        <v>2071</v>
      </c>
      <c r="BJ54" s="173">
        <f t="shared" si="43"/>
        <v>7934</v>
      </c>
      <c r="BK54" s="181">
        <v>2073</v>
      </c>
      <c r="BL54" s="181">
        <v>2001</v>
      </c>
      <c r="BM54" s="181">
        <v>2025</v>
      </c>
      <c r="BN54" s="181">
        <v>1306</v>
      </c>
      <c r="BO54" s="173">
        <f t="shared" si="44"/>
        <v>7405</v>
      </c>
      <c r="BP54" s="93"/>
      <c r="BQ54" s="93"/>
      <c r="BR54" s="93"/>
      <c r="BS54" s="93"/>
      <c r="BT54" s="93"/>
      <c r="BU54" s="93"/>
      <c r="BV54" s="93"/>
      <c r="BW54" s="93"/>
      <c r="BX54" s="93"/>
      <c r="BY54" s="93"/>
      <c r="BZ54" s="93"/>
      <c r="CA54" s="93"/>
      <c r="CB54" s="93"/>
      <c r="CC54" s="93"/>
      <c r="CD54" s="93"/>
    </row>
    <row r="55" spans="1:94">
      <c r="B55" s="289" t="s">
        <v>896</v>
      </c>
      <c r="M55" s="19">
        <f t="shared" ref="M55:AB55" si="45">SUM(M52:M54)</f>
        <v>3670.62158</v>
      </c>
      <c r="N55" s="19">
        <f t="shared" si="45"/>
        <v>3529.1002760000001</v>
      </c>
      <c r="O55" s="19">
        <f t="shared" si="45"/>
        <v>3579.0787460000001</v>
      </c>
      <c r="P55" s="19">
        <f t="shared" si="45"/>
        <v>3541.5073270000003</v>
      </c>
      <c r="Q55" s="8">
        <f t="shared" si="45"/>
        <v>14320.307928999999</v>
      </c>
      <c r="R55" s="19">
        <f t="shared" si="45"/>
        <v>3621.3161639999998</v>
      </c>
      <c r="S55" s="19">
        <f t="shared" si="45"/>
        <v>3524.9514159999999</v>
      </c>
      <c r="T55" s="19">
        <f t="shared" si="45"/>
        <v>3148.2676860000001</v>
      </c>
      <c r="U55" s="19">
        <f t="shared" si="45"/>
        <v>2540.2323459999998</v>
      </c>
      <c r="V55" s="8">
        <f t="shared" si="45"/>
        <v>12834.767612</v>
      </c>
      <c r="W55" s="19">
        <f t="shared" si="45"/>
        <v>2803.7876040000001</v>
      </c>
      <c r="X55" s="19">
        <f t="shared" si="45"/>
        <v>2892.3823279999997</v>
      </c>
      <c r="Y55" s="19">
        <f t="shared" si="45"/>
        <v>3494.5329120000001</v>
      </c>
      <c r="Z55" s="19">
        <f t="shared" si="45"/>
        <v>3469</v>
      </c>
      <c r="AA55" s="8">
        <f t="shared" si="45"/>
        <v>12660</v>
      </c>
      <c r="AB55" s="19">
        <f t="shared" si="45"/>
        <v>3891</v>
      </c>
      <c r="AC55" s="19">
        <f t="shared" ref="AC55:BN55" si="46">SUM(AC52:AC54)</f>
        <v>4001</v>
      </c>
      <c r="AD55" s="19">
        <f t="shared" si="46"/>
        <v>3982</v>
      </c>
      <c r="AE55" s="19">
        <f t="shared" si="46"/>
        <v>3720</v>
      </c>
      <c r="AF55" s="8">
        <f t="shared" si="46"/>
        <v>15594</v>
      </c>
      <c r="AG55" s="19">
        <f t="shared" si="46"/>
        <v>4038</v>
      </c>
      <c r="AH55" s="19">
        <f t="shared" si="46"/>
        <v>3662</v>
      </c>
      <c r="AI55" s="19">
        <f t="shared" si="46"/>
        <v>3586</v>
      </c>
      <c r="AJ55" s="19">
        <f t="shared" si="46"/>
        <v>3580</v>
      </c>
      <c r="AK55" s="8">
        <f t="shared" si="46"/>
        <v>14866</v>
      </c>
      <c r="AL55" s="19">
        <f t="shared" si="46"/>
        <v>3906</v>
      </c>
      <c r="AM55" s="19">
        <f t="shared" si="46"/>
        <v>3858</v>
      </c>
      <c r="AN55" s="19">
        <f t="shared" si="46"/>
        <v>3579</v>
      </c>
      <c r="AO55" s="19">
        <f t="shared" si="46"/>
        <v>3384</v>
      </c>
      <c r="AP55" s="8">
        <f t="shared" si="46"/>
        <v>14727</v>
      </c>
      <c r="AQ55" s="19">
        <f t="shared" si="46"/>
        <v>3507</v>
      </c>
      <c r="AR55" s="19">
        <f t="shared" si="46"/>
        <v>3414</v>
      </c>
      <c r="AS55" s="19">
        <f t="shared" si="46"/>
        <v>3651</v>
      </c>
      <c r="AT55" s="19">
        <f t="shared" si="46"/>
        <v>3371</v>
      </c>
      <c r="AU55" s="8">
        <f t="shared" si="46"/>
        <v>13943</v>
      </c>
      <c r="AV55" s="180">
        <f t="shared" si="46"/>
        <v>3465</v>
      </c>
      <c r="AW55" s="19">
        <f t="shared" si="46"/>
        <v>3365</v>
      </c>
      <c r="AX55" s="19">
        <f t="shared" si="46"/>
        <v>3656</v>
      </c>
      <c r="AY55" s="19">
        <f t="shared" si="46"/>
        <v>3528</v>
      </c>
      <c r="AZ55" s="8">
        <f t="shared" si="46"/>
        <v>14014</v>
      </c>
      <c r="BA55" s="180">
        <f t="shared" si="46"/>
        <v>3540</v>
      </c>
      <c r="BB55" s="180">
        <f t="shared" si="46"/>
        <v>3696</v>
      </c>
      <c r="BC55" s="180">
        <f t="shared" si="46"/>
        <v>3857</v>
      </c>
      <c r="BD55" s="180">
        <f t="shared" si="46"/>
        <v>3667</v>
      </c>
      <c r="BE55" s="8">
        <f t="shared" si="46"/>
        <v>14760</v>
      </c>
      <c r="BF55" s="180">
        <f t="shared" si="46"/>
        <v>3797</v>
      </c>
      <c r="BG55" s="180">
        <f t="shared" si="46"/>
        <v>3434</v>
      </c>
      <c r="BH55" s="180">
        <f t="shared" si="46"/>
        <v>3449</v>
      </c>
      <c r="BI55" s="180">
        <f t="shared" si="46"/>
        <v>3547</v>
      </c>
      <c r="BJ55" s="8">
        <f>SUM(BF55:BI55)</f>
        <v>14227</v>
      </c>
      <c r="BK55" s="180">
        <f t="shared" si="46"/>
        <v>3824</v>
      </c>
      <c r="BL55" s="180">
        <f t="shared" si="46"/>
        <v>4038</v>
      </c>
      <c r="BM55" s="180">
        <f t="shared" si="46"/>
        <v>3927</v>
      </c>
      <c r="BN55" s="180">
        <f t="shared" si="46"/>
        <v>3506</v>
      </c>
      <c r="BO55" s="8">
        <f>SUM(BK55:BN55)</f>
        <v>15295</v>
      </c>
      <c r="BP55" s="522">
        <v>3000</v>
      </c>
      <c r="BQ55" s="522">
        <v>3600</v>
      </c>
      <c r="BR55" s="522">
        <v>3600</v>
      </c>
      <c r="BS55" s="522">
        <v>3600</v>
      </c>
      <c r="BT55" s="8">
        <f t="shared" ref="BT55" si="47">SUM(BP55:BS55)</f>
        <v>13800</v>
      </c>
      <c r="BU55" s="522">
        <v>3600</v>
      </c>
      <c r="BV55" s="522">
        <v>3600</v>
      </c>
      <c r="BW55" s="522">
        <v>3600</v>
      </c>
      <c r="BX55" s="522">
        <v>3600</v>
      </c>
      <c r="BY55" s="8">
        <f t="shared" ref="BY55" si="48">SUM(BU55:BX55)</f>
        <v>14400</v>
      </c>
      <c r="BZ55" s="522">
        <v>3600</v>
      </c>
      <c r="CA55" s="522">
        <v>3600</v>
      </c>
      <c r="CB55" s="522">
        <v>3600</v>
      </c>
      <c r="CC55" s="522">
        <v>3600</v>
      </c>
      <c r="CD55" s="8">
        <f t="shared" ref="CD55" si="49">SUM(BZ55:CC55)</f>
        <v>14400</v>
      </c>
    </row>
    <row r="56" spans="1:94">
      <c r="AR56" s="381"/>
      <c r="AW56" s="381"/>
    </row>
    <row r="58" spans="1:94" ht="12.75" customHeight="1">
      <c r="A58" s="9" t="s">
        <v>3489</v>
      </c>
      <c r="B58" s="4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49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G58" s="376" t="s">
        <v>1338</v>
      </c>
    </row>
    <row r="59" spans="1:94" ht="12.75" customHeight="1">
      <c r="A59" s="10"/>
      <c r="B59" s="10"/>
      <c r="C59" s="31">
        <v>2001</v>
      </c>
      <c r="D59" s="32">
        <v>2002</v>
      </c>
      <c r="E59" s="32">
        <v>2003</v>
      </c>
      <c r="F59" s="32">
        <v>2004</v>
      </c>
      <c r="G59" s="31">
        <v>2005</v>
      </c>
      <c r="H59" s="33" t="s">
        <v>714</v>
      </c>
      <c r="I59" s="33" t="s">
        <v>715</v>
      </c>
      <c r="J59" s="33" t="s">
        <v>716</v>
      </c>
      <c r="K59" s="33" t="s">
        <v>717</v>
      </c>
      <c r="L59" s="31">
        <v>2006</v>
      </c>
      <c r="M59" s="33" t="s">
        <v>718</v>
      </c>
      <c r="N59" s="33" t="s">
        <v>719</v>
      </c>
      <c r="O59" s="33" t="s">
        <v>1970</v>
      </c>
      <c r="P59" s="33" t="s">
        <v>1971</v>
      </c>
      <c r="Q59" s="31">
        <v>2007</v>
      </c>
      <c r="R59" s="33" t="s">
        <v>1972</v>
      </c>
      <c r="S59" s="33" t="s">
        <v>1973</v>
      </c>
      <c r="T59" s="33" t="s">
        <v>1974</v>
      </c>
      <c r="U59" s="33" t="s">
        <v>1975</v>
      </c>
      <c r="V59" s="31">
        <v>2008</v>
      </c>
      <c r="W59" s="33" t="s">
        <v>1976</v>
      </c>
      <c r="X59" s="33" t="s">
        <v>1977</v>
      </c>
      <c r="Y59" s="33" t="s">
        <v>1978</v>
      </c>
      <c r="Z59" s="33" t="s">
        <v>1979</v>
      </c>
      <c r="AA59" s="31">
        <v>2009</v>
      </c>
      <c r="AB59" s="33" t="s">
        <v>1980</v>
      </c>
      <c r="AC59" s="33" t="s">
        <v>1981</v>
      </c>
      <c r="AD59" s="33" t="s">
        <v>1982</v>
      </c>
      <c r="AE59" s="33" t="s">
        <v>2392</v>
      </c>
      <c r="AF59" s="31">
        <v>2010</v>
      </c>
      <c r="AG59" s="33" t="s">
        <v>2393</v>
      </c>
      <c r="AH59" s="33" t="s">
        <v>2394</v>
      </c>
      <c r="AI59" s="33" t="s">
        <v>2395</v>
      </c>
      <c r="AJ59" s="33" t="s">
        <v>2396</v>
      </c>
      <c r="AK59" s="31">
        <v>2011</v>
      </c>
      <c r="AL59" s="33" t="s">
        <v>2397</v>
      </c>
      <c r="AM59" s="33" t="s">
        <v>2398</v>
      </c>
      <c r="AN59" s="33" t="s">
        <v>2399</v>
      </c>
      <c r="AO59" s="33" t="s">
        <v>2400</v>
      </c>
      <c r="AP59" s="31">
        <v>2012</v>
      </c>
      <c r="AQ59" s="33" t="s">
        <v>2401</v>
      </c>
      <c r="AR59" s="33" t="s">
        <v>2402</v>
      </c>
      <c r="AS59" s="33" t="s">
        <v>2403</v>
      </c>
      <c r="AT59" s="33" t="s">
        <v>2404</v>
      </c>
      <c r="AU59" s="31">
        <v>2013</v>
      </c>
      <c r="AV59" s="33" t="s">
        <v>2405</v>
      </c>
      <c r="AW59" s="33" t="s">
        <v>2406</v>
      </c>
      <c r="AX59" s="33" t="s">
        <v>2407</v>
      </c>
      <c r="AY59" s="33" t="s">
        <v>2408</v>
      </c>
      <c r="AZ59" s="31">
        <v>2014</v>
      </c>
      <c r="BA59" s="33" t="s">
        <v>2409</v>
      </c>
      <c r="BB59" s="33" t="s">
        <v>2410</v>
      </c>
      <c r="BC59" s="33" t="s">
        <v>2411</v>
      </c>
      <c r="BD59" s="33" t="s">
        <v>2412</v>
      </c>
      <c r="BE59" s="31">
        <v>2015</v>
      </c>
      <c r="BF59" s="33" t="s">
        <v>2413</v>
      </c>
      <c r="BG59" s="33" t="s">
        <v>2414</v>
      </c>
      <c r="BH59" s="33" t="s">
        <v>2415</v>
      </c>
      <c r="BI59" s="33" t="s">
        <v>2416</v>
      </c>
      <c r="BJ59" s="31">
        <v>2016</v>
      </c>
      <c r="BK59" s="33" t="s">
        <v>2417</v>
      </c>
      <c r="BL59" s="33" t="s">
        <v>2418</v>
      </c>
      <c r="BM59" s="33" t="s">
        <v>2419</v>
      </c>
      <c r="BN59" s="363" t="s">
        <v>2420</v>
      </c>
      <c r="BO59" s="31">
        <v>2017</v>
      </c>
      <c r="BP59" s="363" t="s">
        <v>2244</v>
      </c>
      <c r="BQ59" s="363" t="s">
        <v>2245</v>
      </c>
      <c r="BR59" s="363" t="s">
        <v>2508</v>
      </c>
      <c r="BS59" s="363" t="s">
        <v>2509</v>
      </c>
      <c r="BT59" s="364">
        <v>2018</v>
      </c>
      <c r="BU59" s="363" t="s">
        <v>2510</v>
      </c>
      <c r="BV59" s="363" t="s">
        <v>2511</v>
      </c>
      <c r="BW59" s="363" t="s">
        <v>3125</v>
      </c>
      <c r="BX59" s="363" t="s">
        <v>1405</v>
      </c>
      <c r="BY59" s="364">
        <v>2019</v>
      </c>
      <c r="BZ59" s="363" t="s">
        <v>1406</v>
      </c>
      <c r="CA59" s="363" t="s">
        <v>1407</v>
      </c>
      <c r="CB59" s="363" t="s">
        <v>1408</v>
      </c>
      <c r="CC59" s="363" t="s">
        <v>1409</v>
      </c>
      <c r="CD59" s="364">
        <v>2020</v>
      </c>
      <c r="CG59" s="364"/>
      <c r="CH59" s="364" t="s">
        <v>3495</v>
      </c>
      <c r="CI59" s="364" t="s">
        <v>3499</v>
      </c>
      <c r="CJ59" s="364" t="s">
        <v>3496</v>
      </c>
      <c r="CK59" s="364" t="s">
        <v>2637</v>
      </c>
      <c r="CL59" s="364" t="s">
        <v>1536</v>
      </c>
      <c r="CM59" s="364" t="s">
        <v>3497</v>
      </c>
      <c r="CO59" t="s">
        <v>2638</v>
      </c>
    </row>
    <row r="60" spans="1:94" ht="13.5" thickBot="1">
      <c r="A60" t="s">
        <v>3490</v>
      </c>
      <c r="C60" s="93"/>
      <c r="D60" s="93"/>
      <c r="E60" s="93"/>
      <c r="F60" s="93"/>
      <c r="G60" s="93"/>
      <c r="H60" s="93"/>
      <c r="I60" s="93"/>
      <c r="J60" s="93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  <c r="X60" s="93"/>
      <c r="Y60" s="93"/>
      <c r="Z60" s="93"/>
      <c r="AA60" s="93"/>
      <c r="AB60" s="112">
        <v>9.4600000000000009</v>
      </c>
      <c r="AC60" s="112">
        <v>15.6</v>
      </c>
      <c r="AD60" s="112">
        <v>16.43</v>
      </c>
      <c r="AE60" s="112">
        <v>14.05</v>
      </c>
      <c r="AF60" s="515">
        <v>13.91</v>
      </c>
      <c r="AG60" s="112">
        <v>15.747658125000001</v>
      </c>
      <c r="AH60" s="112">
        <v>16.600000000000001</v>
      </c>
      <c r="AI60" s="112">
        <v>12.93</v>
      </c>
      <c r="AJ60" s="112">
        <v>11.24</v>
      </c>
      <c r="AK60" s="515">
        <v>14.12</v>
      </c>
      <c r="AL60" s="112">
        <v>15.88</v>
      </c>
      <c r="AM60" s="112">
        <v>19.23</v>
      </c>
      <c r="AN60" s="112">
        <v>21.69</v>
      </c>
      <c r="AO60" s="112">
        <v>15.05</v>
      </c>
      <c r="AP60" s="515">
        <v>17.95</v>
      </c>
      <c r="AQ60" s="112">
        <v>15.9</v>
      </c>
      <c r="AR60" s="112">
        <v>20.48</v>
      </c>
      <c r="AS60" s="112">
        <v>13.4</v>
      </c>
      <c r="AT60" s="112">
        <v>11.2</v>
      </c>
      <c r="AU60" s="515">
        <v>15.2</v>
      </c>
      <c r="AV60" s="112">
        <f>'Key assumptions'!AV40</f>
        <v>13.7</v>
      </c>
      <c r="AW60" s="112">
        <f>'Key assumptions'!AW40</f>
        <v>19.600000000000001</v>
      </c>
      <c r="AX60" s="112">
        <f>'Key assumptions'!AX40</f>
        <v>19.8</v>
      </c>
      <c r="AY60" s="112">
        <f>'Key assumptions'!AY40</f>
        <v>13.2</v>
      </c>
      <c r="AZ60" s="515">
        <v>16.600000000000001</v>
      </c>
      <c r="BA60" s="572">
        <f>'Key assumptions'!BA40</f>
        <v>21.2</v>
      </c>
      <c r="BB60" s="572">
        <f>'Key assumptions'!BB40</f>
        <v>28.4</v>
      </c>
      <c r="BC60" s="572">
        <f>'Key assumptions'!BC40</f>
        <v>27.3</v>
      </c>
      <c r="BD60" s="572">
        <f>'Key assumptions'!BD40</f>
        <v>18.899999999999999</v>
      </c>
      <c r="BE60" s="515">
        <v>15.2</v>
      </c>
      <c r="BF60" s="572">
        <f>'Key assumptions'!BF40</f>
        <v>15.6</v>
      </c>
      <c r="BG60" s="572">
        <f>'Key assumptions'!BG40</f>
        <v>20.100000000000001</v>
      </c>
      <c r="BH60" s="572">
        <f>'Key assumptions'!BH40</f>
        <v>18.100000000000001</v>
      </c>
      <c r="BI60" s="572">
        <f>'Key assumptions'!BI40</f>
        <v>14</v>
      </c>
      <c r="BJ60" s="524">
        <f>'Key assumptions'!BJ40</f>
        <v>16.950000000000003</v>
      </c>
      <c r="BK60" s="572">
        <f>'Key assumptions'!BK40</f>
        <v>15.9</v>
      </c>
      <c r="BL60" s="572">
        <f>'Key assumptions'!BL40</f>
        <v>20.5</v>
      </c>
      <c r="BM60" s="740">
        <f>'Key assumptions'!BM40</f>
        <v>23.2</v>
      </c>
      <c r="BN60" s="740">
        <f>'Key assumptions'!BN40</f>
        <v>15.7</v>
      </c>
      <c r="BO60" s="524">
        <f>'Key assumptions'!BO40</f>
        <v>18.824999999999999</v>
      </c>
      <c r="BP60" s="93"/>
      <c r="BQ60" s="93"/>
      <c r="BR60" s="93"/>
      <c r="BS60" s="93"/>
      <c r="BT60" s="93"/>
      <c r="BU60" s="93"/>
      <c r="BV60" s="93"/>
      <c r="BW60" s="93"/>
      <c r="BX60" s="93"/>
      <c r="BY60" s="93"/>
      <c r="BZ60" s="93"/>
      <c r="CA60" s="93"/>
      <c r="CB60" s="93"/>
      <c r="CC60" s="93"/>
      <c r="CD60" s="93"/>
      <c r="CG60" t="s">
        <v>718</v>
      </c>
      <c r="CH60" s="443">
        <f t="shared" ref="CH60:CH71" si="50">INDEX($A$67:$CD$67,MATCH(CG60,$A$59:$CD$59,0))</f>
        <v>15.49</v>
      </c>
      <c r="CI60" s="381">
        <f t="shared" ref="CI60:CI88" si="51">INDEX($A$49:$CD$49,MATCH(CG60,$A$33:$CD$33,0))</f>
        <v>0.38515962036238138</v>
      </c>
      <c r="CJ60" s="521">
        <f t="shared" ref="CJ60:CJ88" si="52">INDEX($A$72:$CD$72,MATCH(CG60,$A$59:$CD$59,0))</f>
        <v>2.197296519988496</v>
      </c>
      <c r="CK60" s="443">
        <f t="shared" ref="CK60:CK88" si="53">$CP$75+CH60*$CP$76+CI60*$CP$77</f>
        <v>4.3276721291817086</v>
      </c>
      <c r="CL60" s="443">
        <f t="shared" ref="CL60:CL71" si="54">CJ60-CK60</f>
        <v>-2.1303756091932127</v>
      </c>
    </row>
    <row r="61" spans="1:94">
      <c r="A61" t="s">
        <v>3491</v>
      </c>
      <c r="C61" s="93"/>
      <c r="D61" s="93"/>
      <c r="E61" s="93"/>
      <c r="F61" s="93"/>
      <c r="G61" s="93"/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  <c r="X61" s="93"/>
      <c r="Y61" s="93"/>
      <c r="Z61" s="93"/>
      <c r="AA61" s="93"/>
      <c r="AB61" s="112">
        <v>9.8233281249999997</v>
      </c>
      <c r="AC61" s="112">
        <v>15.022012307692297</v>
      </c>
      <c r="AD61" s="112">
        <v>14.927090909090909</v>
      </c>
      <c r="AE61" s="112">
        <v>12.520648484848479</v>
      </c>
      <c r="AF61" s="515">
        <v>13.090707279693486</v>
      </c>
      <c r="AG61" s="112">
        <v>16.18</v>
      </c>
      <c r="AH61" s="112">
        <v>15.75</v>
      </c>
      <c r="AI61" s="112">
        <v>11.95</v>
      </c>
      <c r="AJ61" s="112">
        <v>10.71</v>
      </c>
      <c r="AK61" s="515">
        <v>13.63</v>
      </c>
      <c r="AL61" s="112">
        <v>16.649999999999999</v>
      </c>
      <c r="AM61" s="112">
        <v>16.5</v>
      </c>
      <c r="AN61" s="112">
        <v>20.010000000000002</v>
      </c>
      <c r="AO61" s="112">
        <v>16.59</v>
      </c>
      <c r="AP61" s="515">
        <v>17.43</v>
      </c>
      <c r="AQ61" s="112">
        <v>19.5</v>
      </c>
      <c r="AR61" s="93"/>
      <c r="AS61" s="93"/>
      <c r="AT61" s="93"/>
      <c r="AU61" s="93"/>
      <c r="AV61" s="93"/>
      <c r="AW61" s="93"/>
      <c r="AX61" s="93"/>
      <c r="AY61" s="93"/>
      <c r="AZ61" s="93"/>
      <c r="BA61" s="93"/>
      <c r="BB61" s="93"/>
      <c r="BC61" s="93"/>
      <c r="BD61" s="93"/>
      <c r="BE61" s="93"/>
      <c r="BF61" s="93"/>
      <c r="BG61" s="93"/>
      <c r="BH61" s="93"/>
      <c r="BI61" s="93"/>
      <c r="BJ61" s="688"/>
      <c r="BK61" s="93"/>
      <c r="BL61" s="93"/>
      <c r="BM61" s="181"/>
      <c r="BN61" s="181"/>
      <c r="BO61" s="688"/>
      <c r="BP61" s="93"/>
      <c r="BQ61" s="93"/>
      <c r="BR61" s="93"/>
      <c r="BS61" s="93"/>
      <c r="BT61" s="93"/>
      <c r="BU61" s="93"/>
      <c r="BV61" s="93"/>
      <c r="BW61" s="93"/>
      <c r="BX61" s="93"/>
      <c r="BY61" s="93"/>
      <c r="BZ61" s="93"/>
      <c r="CA61" s="93"/>
      <c r="CB61" s="93"/>
      <c r="CC61" s="93"/>
      <c r="CD61" s="93"/>
      <c r="CG61" t="s">
        <v>719</v>
      </c>
      <c r="CH61" s="443">
        <f t="shared" si="50"/>
        <v>24</v>
      </c>
      <c r="CI61" s="381">
        <f t="shared" si="51"/>
        <v>0.37497797356828194</v>
      </c>
      <c r="CJ61" s="521">
        <f t="shared" si="52"/>
        <v>6.4066416040100247</v>
      </c>
      <c r="CK61" s="443">
        <f t="shared" si="53"/>
        <v>9.2123694325286465</v>
      </c>
      <c r="CL61" s="443">
        <f t="shared" si="54"/>
        <v>-2.8057278285186218</v>
      </c>
      <c r="CO61" s="511" t="s">
        <v>805</v>
      </c>
      <c r="CP61" s="511"/>
    </row>
    <row r="62" spans="1:94">
      <c r="A62" t="s">
        <v>3104</v>
      </c>
      <c r="C62" s="93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  <c r="X62" s="93"/>
      <c r="Y62" s="93"/>
      <c r="Z62" s="93"/>
      <c r="AA62" s="93"/>
      <c r="AB62" s="112">
        <v>10.307615625000002</v>
      </c>
      <c r="AC62" s="112">
        <v>11.237152307692309</v>
      </c>
      <c r="AD62" s="112">
        <v>9.9542166666666674</v>
      </c>
      <c r="AE62" s="112">
        <v>9.2143954545454516</v>
      </c>
      <c r="AF62" s="515">
        <v>10.17329770114943</v>
      </c>
      <c r="AG62" s="112">
        <v>10.81</v>
      </c>
      <c r="AH62" s="112">
        <v>16.809999999999999</v>
      </c>
      <c r="AI62" s="112">
        <v>12.67</v>
      </c>
      <c r="AJ62" s="112">
        <v>7.16</v>
      </c>
      <c r="AK62" s="515">
        <v>11.87</v>
      </c>
      <c r="AL62" s="112">
        <v>12.77</v>
      </c>
      <c r="AM62" s="112">
        <v>18.28</v>
      </c>
      <c r="AN62" s="112">
        <v>21.56</v>
      </c>
      <c r="AO62" s="112">
        <v>11.7</v>
      </c>
      <c r="AP62" s="515">
        <v>16.059999999999999</v>
      </c>
      <c r="AQ62" s="93"/>
      <c r="AR62" s="93"/>
      <c r="AS62" s="93"/>
      <c r="AT62" s="93"/>
      <c r="AU62" s="93"/>
      <c r="AV62" s="93"/>
      <c r="AW62" s="93"/>
      <c r="AX62" s="93"/>
      <c r="AY62" s="93"/>
      <c r="AZ62" s="93"/>
      <c r="BA62" s="93"/>
      <c r="BB62" s="93"/>
      <c r="BC62" s="93"/>
      <c r="BD62" s="93"/>
      <c r="BE62" s="93"/>
      <c r="BF62" s="93"/>
      <c r="BG62" s="93"/>
      <c r="BH62" s="93"/>
      <c r="BI62" s="93"/>
      <c r="BJ62" s="688"/>
      <c r="BK62" s="93"/>
      <c r="BL62" s="93"/>
      <c r="BM62" s="181"/>
      <c r="BN62" s="181"/>
      <c r="BO62" s="688"/>
      <c r="BP62" s="93"/>
      <c r="BQ62" s="93"/>
      <c r="BR62" s="93"/>
      <c r="BS62" s="93"/>
      <c r="BT62" s="93"/>
      <c r="BU62" s="93"/>
      <c r="BV62" s="93"/>
      <c r="BW62" s="93"/>
      <c r="BX62" s="93"/>
      <c r="BY62" s="93"/>
      <c r="BZ62" s="93"/>
      <c r="CA62" s="93"/>
      <c r="CB62" s="93"/>
      <c r="CC62" s="93"/>
      <c r="CD62" s="93"/>
      <c r="CG62" t="s">
        <v>1970</v>
      </c>
      <c r="CH62" s="443">
        <f t="shared" si="50"/>
        <v>15.62</v>
      </c>
      <c r="CI62" s="381">
        <f t="shared" si="51"/>
        <v>0.3875857091302779</v>
      </c>
      <c r="CJ62" s="521">
        <f t="shared" si="52"/>
        <v>1.9501344920339334</v>
      </c>
      <c r="CK62" s="443">
        <f t="shared" si="53"/>
        <v>4.3522625140583848</v>
      </c>
      <c r="CL62" s="443">
        <f t="shared" si="54"/>
        <v>-2.4021280220244514</v>
      </c>
      <c r="CO62" s="183" t="s">
        <v>770</v>
      </c>
      <c r="CP62" s="186">
        <v>0.66034338228845102</v>
      </c>
    </row>
    <row r="63" spans="1:94">
      <c r="A63" t="s">
        <v>2007</v>
      </c>
      <c r="C63" s="93"/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  <c r="X63" s="93"/>
      <c r="Y63" s="93"/>
      <c r="Z63" s="93"/>
      <c r="AA63" s="93"/>
      <c r="AB63" s="112">
        <v>6.2</v>
      </c>
      <c r="AC63" s="112">
        <v>11.52</v>
      </c>
      <c r="AD63" s="112">
        <v>10.33</v>
      </c>
      <c r="AE63" s="112">
        <v>9.2200000000000006</v>
      </c>
      <c r="AF63" s="515">
        <v>9.33</v>
      </c>
      <c r="AG63" s="112">
        <v>16.71</v>
      </c>
      <c r="AH63" s="112">
        <v>29.09</v>
      </c>
      <c r="AI63" s="112">
        <v>33.57</v>
      </c>
      <c r="AJ63" s="112">
        <v>18.989999999999998</v>
      </c>
      <c r="AK63" s="515">
        <v>24.66</v>
      </c>
      <c r="AL63" s="112">
        <v>18.940000000000001</v>
      </c>
      <c r="AM63" s="112">
        <v>28.21</v>
      </c>
      <c r="AN63" s="112">
        <v>35.71</v>
      </c>
      <c r="AO63" s="112">
        <v>28.43</v>
      </c>
      <c r="AP63" s="515">
        <v>27.82</v>
      </c>
      <c r="AQ63" s="112">
        <v>27.2</v>
      </c>
      <c r="AR63" s="112">
        <v>31.3</v>
      </c>
      <c r="AS63" s="112">
        <v>16.399999999999999</v>
      </c>
      <c r="AT63" s="112">
        <v>12.4</v>
      </c>
      <c r="AU63" s="515">
        <v>21.7</v>
      </c>
      <c r="AV63" s="112">
        <f>'Key assumptions'!AV39</f>
        <v>18.399999999999999</v>
      </c>
      <c r="AW63" s="112">
        <f>'Key assumptions'!AW39</f>
        <v>19.7</v>
      </c>
      <c r="AX63" s="112">
        <f>'Key assumptions'!AX39</f>
        <v>17.600000000000001</v>
      </c>
      <c r="AY63" s="112">
        <f>'Key assumptions'!AY39</f>
        <v>14.1</v>
      </c>
      <c r="AZ63" s="515">
        <v>17.399999999999999</v>
      </c>
      <c r="BA63" s="572">
        <f>'Key assumptions'!BA39</f>
        <v>16.3</v>
      </c>
      <c r="BB63" s="572">
        <f>'Key assumptions'!BB39</f>
        <v>20.8</v>
      </c>
      <c r="BC63" s="572">
        <f>'Key assumptions'!BC39</f>
        <v>24.6</v>
      </c>
      <c r="BD63" s="572">
        <f>'Key assumptions'!BD39</f>
        <v>14.4</v>
      </c>
      <c r="BE63" s="515">
        <v>21.7</v>
      </c>
      <c r="BF63" s="572">
        <f>'Key assumptions'!BF39</f>
        <v>9.8000000000000007</v>
      </c>
      <c r="BG63" s="572">
        <f>'Key assumptions'!BG39</f>
        <v>17.2</v>
      </c>
      <c r="BH63" s="572">
        <f>'Key assumptions'!BH39</f>
        <v>14.6</v>
      </c>
      <c r="BI63" s="572">
        <f>'Key assumptions'!BI39</f>
        <v>11.1</v>
      </c>
      <c r="BJ63" s="524">
        <f>'Key assumptions'!BJ39</f>
        <v>13.175000000000001</v>
      </c>
      <c r="BK63" s="572">
        <f>'Key assumptions'!BK39</f>
        <v>11.7</v>
      </c>
      <c r="BL63" s="572">
        <f>'Key assumptions'!BL39</f>
        <v>14.8</v>
      </c>
      <c r="BM63" s="740">
        <f>'Key assumptions'!BM39</f>
        <v>19.7</v>
      </c>
      <c r="BN63" s="740">
        <f>'Key assumptions'!BN39</f>
        <v>21</v>
      </c>
      <c r="BO63" s="524">
        <f>'Key assumptions'!BO39</f>
        <v>16.8</v>
      </c>
      <c r="BP63" s="93"/>
      <c r="BQ63" s="93"/>
      <c r="BR63" s="93"/>
      <c r="BS63" s="93"/>
      <c r="BT63" s="93"/>
      <c r="BU63" s="93"/>
      <c r="BV63" s="93"/>
      <c r="BW63" s="93"/>
      <c r="BX63" s="93"/>
      <c r="BY63" s="93"/>
      <c r="BZ63" s="93"/>
      <c r="CA63" s="93"/>
      <c r="CB63" s="93"/>
      <c r="CC63" s="93"/>
      <c r="CD63" s="93"/>
      <c r="CG63" t="s">
        <v>1971</v>
      </c>
      <c r="CH63" s="443">
        <f t="shared" si="50"/>
        <v>13.9</v>
      </c>
      <c r="CI63" s="381">
        <f t="shared" si="51"/>
        <v>0.36400072873018763</v>
      </c>
      <c r="CJ63" s="521">
        <f t="shared" si="52"/>
        <v>-2.0020020020020022</v>
      </c>
      <c r="CK63" s="443">
        <f t="shared" si="53"/>
        <v>3.8619203742843364</v>
      </c>
      <c r="CL63" s="443">
        <f t="shared" si="54"/>
        <v>-5.8639223762863386</v>
      </c>
      <c r="CO63" s="183" t="s">
        <v>771</v>
      </c>
      <c r="CP63" s="186">
        <v>0.43605338253215137</v>
      </c>
    </row>
    <row r="64" spans="1:94">
      <c r="A64" t="s">
        <v>2008</v>
      </c>
      <c r="C64" s="93"/>
      <c r="D64" s="93"/>
      <c r="E64" s="93"/>
      <c r="F64" s="93"/>
      <c r="G64" s="93"/>
      <c r="H64" s="93"/>
      <c r="I64" s="93"/>
      <c r="J64" s="93"/>
      <c r="K64" s="93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3"/>
      <c r="AA64" s="93"/>
      <c r="AB64" s="112">
        <v>9.7883981259578832</v>
      </c>
      <c r="AC64" s="112">
        <v>11.214690757907114</v>
      </c>
      <c r="AD64" s="112">
        <v>9.1386630512214904</v>
      </c>
      <c r="AE64" s="112">
        <v>11.292412557714954</v>
      </c>
      <c r="AF64" s="515">
        <v>10.359629768256976</v>
      </c>
      <c r="AG64" s="112">
        <v>11.07</v>
      </c>
      <c r="AH64" s="112">
        <v>11.69</v>
      </c>
      <c r="AI64" s="112">
        <v>12.63</v>
      </c>
      <c r="AJ64" s="112">
        <v>12</v>
      </c>
      <c r="AK64" s="515">
        <v>11.85</v>
      </c>
      <c r="AL64" s="112">
        <v>12.49</v>
      </c>
      <c r="AM64" s="112">
        <v>16.809999999999999</v>
      </c>
      <c r="AN64" s="112">
        <v>19.88</v>
      </c>
      <c r="AO64" s="112">
        <v>15.18</v>
      </c>
      <c r="AP64" s="515">
        <v>16.079999999999998</v>
      </c>
      <c r="AQ64" s="112">
        <v>14</v>
      </c>
      <c r="AR64" s="112">
        <v>14.3</v>
      </c>
      <c r="AS64" s="112">
        <v>13.3</v>
      </c>
      <c r="AT64" s="112">
        <v>10</v>
      </c>
      <c r="AU64" s="515">
        <v>12.9</v>
      </c>
      <c r="AV64" s="112">
        <f>'Key assumptions'!AV43</f>
        <v>13</v>
      </c>
      <c r="AW64" s="112">
        <f>'Key assumptions'!AW43</f>
        <v>13.1</v>
      </c>
      <c r="AX64" s="112">
        <f>'Key assumptions'!AX43</f>
        <v>14.1</v>
      </c>
      <c r="AY64" s="112">
        <f>'Key assumptions'!AY43</f>
        <v>13.8</v>
      </c>
      <c r="AZ64" s="515">
        <v>12.5</v>
      </c>
      <c r="BA64" s="572">
        <f>'Key assumptions'!BA43</f>
        <v>14.5</v>
      </c>
      <c r="BB64" s="572">
        <f>'Key assumptions'!BB43</f>
        <v>17.2</v>
      </c>
      <c r="BC64" s="572">
        <f>'Key assumptions'!BC43</f>
        <v>16</v>
      </c>
      <c r="BD64" s="572">
        <f>'Key assumptions'!BD43</f>
        <v>14</v>
      </c>
      <c r="BE64" s="515">
        <v>12.9</v>
      </c>
      <c r="BF64" s="572">
        <f>'Key assumptions'!BF43</f>
        <v>11.5</v>
      </c>
      <c r="BG64" s="572">
        <f>'Key assumptions'!BG43</f>
        <v>10.7</v>
      </c>
      <c r="BH64" s="572">
        <f>'Key assumptions'!BH43</f>
        <v>8.9</v>
      </c>
      <c r="BI64" s="572">
        <f>'Key assumptions'!BI43</f>
        <v>12.5</v>
      </c>
      <c r="BJ64" s="524">
        <f>'Key assumptions'!BJ43</f>
        <v>10.9</v>
      </c>
      <c r="BK64" s="572">
        <f>'Key assumptions'!BK43</f>
        <v>12.9</v>
      </c>
      <c r="BL64" s="572">
        <f>'Key assumptions'!BL43</f>
        <v>12.9</v>
      </c>
      <c r="BM64" s="740">
        <f>'Key assumptions'!BM43</f>
        <v>13.7</v>
      </c>
      <c r="BN64" s="740">
        <f>'Key assumptions'!BN43</f>
        <v>12.2</v>
      </c>
      <c r="BO64" s="524">
        <f>'Key assumptions'!BO43</f>
        <v>12.925000000000001</v>
      </c>
      <c r="BP64" s="93"/>
      <c r="BQ64" s="93"/>
      <c r="BR64" s="93"/>
      <c r="BS64" s="93"/>
      <c r="BT64" s="93"/>
      <c r="BU64" s="93"/>
      <c r="BV64" s="93"/>
      <c r="BW64" s="93"/>
      <c r="BX64" s="93"/>
      <c r="BY64" s="93"/>
      <c r="BZ64" s="93"/>
      <c r="CA64" s="93"/>
      <c r="CB64" s="93"/>
      <c r="CC64" s="93"/>
      <c r="CD64" s="93"/>
      <c r="CG64" t="s">
        <v>1972</v>
      </c>
      <c r="CH64" s="443">
        <f t="shared" si="50"/>
        <v>13.37</v>
      </c>
      <c r="CI64" s="381">
        <f t="shared" si="51"/>
        <v>0.37610696301441221</v>
      </c>
      <c r="CJ64" s="521">
        <f t="shared" si="52"/>
        <v>6.1739113657849551E-2</v>
      </c>
      <c r="CK64" s="443">
        <f t="shared" si="53"/>
        <v>3.3353862833637846</v>
      </c>
      <c r="CL64" s="443">
        <f t="shared" si="54"/>
        <v>-3.2736471697059351</v>
      </c>
      <c r="CO64" s="183" t="s">
        <v>772</v>
      </c>
      <c r="CP64" s="186">
        <v>0.40472301489504869</v>
      </c>
    </row>
    <row r="65" spans="1:101">
      <c r="A65" t="s">
        <v>2009</v>
      </c>
      <c r="C65" s="93"/>
      <c r="D65" s="93"/>
      <c r="E65" s="93"/>
      <c r="F65" s="93"/>
      <c r="G65" s="93"/>
      <c r="H65" s="93"/>
      <c r="I65" s="93"/>
      <c r="J65" s="93"/>
      <c r="K65" s="93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  <c r="X65" s="93"/>
      <c r="Y65" s="93"/>
      <c r="Z65" s="93"/>
      <c r="AA65" s="93"/>
      <c r="AB65" s="112">
        <v>8.2671874849496731</v>
      </c>
      <c r="AC65" s="112">
        <v>9.588190206512115</v>
      </c>
      <c r="AD65" s="112">
        <v>7.6294572869858657</v>
      </c>
      <c r="AE65" s="112">
        <v>9.7959348400445023</v>
      </c>
      <c r="AF65" s="515">
        <v>8.8214875204753689</v>
      </c>
      <c r="AG65" s="112">
        <v>9.09</v>
      </c>
      <c r="AH65" s="112">
        <v>8.49</v>
      </c>
      <c r="AI65" s="112">
        <v>10.37</v>
      </c>
      <c r="AJ65" s="112">
        <v>8.14</v>
      </c>
      <c r="AK65" s="515">
        <v>9.0299999999999994</v>
      </c>
      <c r="AL65" s="112">
        <v>10.56</v>
      </c>
      <c r="AM65" s="112">
        <v>12.71</v>
      </c>
      <c r="AN65" s="112">
        <v>16.347079819921881</v>
      </c>
      <c r="AO65" s="112">
        <v>11.13</v>
      </c>
      <c r="AP65" s="515">
        <v>12.68</v>
      </c>
      <c r="AQ65" s="112">
        <v>12.7</v>
      </c>
      <c r="AR65" s="112">
        <v>11.2</v>
      </c>
      <c r="AS65" s="112">
        <v>10.199999999999999</v>
      </c>
      <c r="AT65" s="112">
        <v>8.1</v>
      </c>
      <c r="AU65" s="515">
        <v>10.5</v>
      </c>
      <c r="AV65" s="112">
        <f>'Key assumptions'!AV42</f>
        <v>9.3000000000000007</v>
      </c>
      <c r="AW65" s="112">
        <f>'Key assumptions'!AW42</f>
        <v>10.3</v>
      </c>
      <c r="AX65" s="112">
        <f>'Key assumptions'!AX42</f>
        <v>12.2</v>
      </c>
      <c r="AY65" s="112">
        <f>'Key assumptions'!AY42</f>
        <v>10.5</v>
      </c>
      <c r="AZ65" s="515">
        <v>10.5</v>
      </c>
      <c r="BA65" s="572">
        <f>'Key assumptions'!BA42</f>
        <v>11.7</v>
      </c>
      <c r="BB65" s="572">
        <f>'Key assumptions'!BB42</f>
        <v>14.8</v>
      </c>
      <c r="BC65" s="572">
        <f>'Key assumptions'!BC42</f>
        <v>14.3</v>
      </c>
      <c r="BD65" s="572">
        <f>'Key assumptions'!BD42</f>
        <v>10.1</v>
      </c>
      <c r="BE65" s="515">
        <v>10.5</v>
      </c>
      <c r="BF65" s="572">
        <f>'Key assumptions'!BF42</f>
        <v>9.3000000000000007</v>
      </c>
      <c r="BG65" s="572">
        <f>'Key assumptions'!BG42</f>
        <v>9.6</v>
      </c>
      <c r="BH65" s="572">
        <f>'Key assumptions'!BH42</f>
        <v>7.7</v>
      </c>
      <c r="BI65" s="572">
        <f>'Key assumptions'!BI42</f>
        <v>9.4</v>
      </c>
      <c r="BJ65" s="524">
        <f>'Key assumptions'!BJ42</f>
        <v>9</v>
      </c>
      <c r="BK65" s="572">
        <f>'Key assumptions'!BK42</f>
        <v>9.6999999999999993</v>
      </c>
      <c r="BL65" s="572">
        <f>'Key assumptions'!BL42</f>
        <v>10.4</v>
      </c>
      <c r="BM65" s="740">
        <f>'Key assumptions'!BM42</f>
        <v>12</v>
      </c>
      <c r="BN65" s="740">
        <f>'Key assumptions'!BN42</f>
        <v>9.6</v>
      </c>
      <c r="BO65" s="524">
        <f>'Key assumptions'!BO42</f>
        <v>10.425000000000001</v>
      </c>
      <c r="BP65" s="93"/>
      <c r="BQ65" s="93"/>
      <c r="BR65" s="93"/>
      <c r="BS65" s="93"/>
      <c r="BT65" s="93"/>
      <c r="BU65" s="93"/>
      <c r="BV65" s="93"/>
      <c r="BW65" s="93"/>
      <c r="BX65" s="93"/>
      <c r="BY65" s="93"/>
      <c r="BZ65" s="93"/>
      <c r="CA65" s="93"/>
      <c r="CB65" s="93"/>
      <c r="CC65" s="93"/>
      <c r="CD65" s="93"/>
      <c r="CG65" t="s">
        <v>1973</v>
      </c>
      <c r="CH65" s="443">
        <f t="shared" si="50"/>
        <v>19.559999999999999</v>
      </c>
      <c r="CI65" s="381">
        <f t="shared" si="51"/>
        <v>0.38723625043237636</v>
      </c>
      <c r="CJ65" s="521">
        <f t="shared" si="52"/>
        <v>1.7418490397498883</v>
      </c>
      <c r="CK65" s="443">
        <f t="shared" si="53"/>
        <v>6.5292239199171176</v>
      </c>
      <c r="CL65" s="443">
        <f t="shared" si="54"/>
        <v>-4.7873748801672296</v>
      </c>
      <c r="CO65" s="183" t="s">
        <v>773</v>
      </c>
      <c r="CP65" s="186">
        <v>2.7588588043438484</v>
      </c>
    </row>
    <row r="66" spans="1:101" ht="13.5" thickBot="1">
      <c r="A66" t="s">
        <v>2965</v>
      </c>
      <c r="C66" s="93"/>
      <c r="D66" s="93"/>
      <c r="E66" s="93"/>
      <c r="F66" s="93"/>
      <c r="G66" s="93"/>
      <c r="H66" s="93"/>
      <c r="I66" s="93"/>
      <c r="J66" s="93"/>
      <c r="K66" s="93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  <c r="X66" s="93"/>
      <c r="Y66" s="93"/>
      <c r="Z66" s="93"/>
      <c r="AA66" s="93"/>
      <c r="AB66" s="112">
        <v>11.047343750000001</v>
      </c>
      <c r="AC66" s="112">
        <v>10.84</v>
      </c>
      <c r="AD66" s="112">
        <v>8.52</v>
      </c>
      <c r="AE66" s="112">
        <v>11.03</v>
      </c>
      <c r="AF66" s="515">
        <v>10.35</v>
      </c>
      <c r="AG66" s="112">
        <v>12.35</v>
      </c>
      <c r="AH66" s="112">
        <v>11.49</v>
      </c>
      <c r="AI66" s="112">
        <v>12.51</v>
      </c>
      <c r="AJ66" s="112">
        <v>12.3</v>
      </c>
      <c r="AK66" s="515">
        <v>12.16</v>
      </c>
      <c r="AL66" s="112">
        <v>14.21</v>
      </c>
      <c r="AM66" s="112">
        <v>14.46</v>
      </c>
      <c r="AN66" s="112">
        <v>15.81</v>
      </c>
      <c r="AO66" s="112">
        <v>14.51</v>
      </c>
      <c r="AP66" s="515">
        <v>14.75</v>
      </c>
      <c r="AQ66" s="112">
        <v>15.4</v>
      </c>
      <c r="AR66" s="112">
        <v>14.5</v>
      </c>
      <c r="AS66" s="112">
        <v>11.8</v>
      </c>
      <c r="AT66" s="112">
        <v>11.9</v>
      </c>
      <c r="AU66" s="515">
        <v>13.4</v>
      </c>
      <c r="AV66" s="112">
        <f>'Key assumptions'!AV41</f>
        <v>10.5</v>
      </c>
      <c r="AW66" s="112">
        <f>'Key assumptions'!AW41</f>
        <v>13.1</v>
      </c>
      <c r="AX66" s="112">
        <f>'Key assumptions'!AX41</f>
        <v>14.5</v>
      </c>
      <c r="AY66" s="112">
        <f>'Key assumptions'!AY41</f>
        <v>12.2</v>
      </c>
      <c r="AZ66" s="515">
        <v>13.5</v>
      </c>
      <c r="BA66" s="572">
        <f>'Key assumptions'!BA41</f>
        <v>13.4</v>
      </c>
      <c r="BB66" s="572">
        <f>'Key assumptions'!BB41</f>
        <v>17</v>
      </c>
      <c r="BC66" s="572">
        <f>'Key assumptions'!BC41</f>
        <v>16.8</v>
      </c>
      <c r="BD66" s="572">
        <f>'Key assumptions'!BD41</f>
        <v>10.7</v>
      </c>
      <c r="BE66" s="515">
        <v>13.4</v>
      </c>
      <c r="BF66" s="572">
        <f>'Key assumptions'!BF41</f>
        <v>9.1999999999999993</v>
      </c>
      <c r="BG66" s="572">
        <f>'Key assumptions'!BG41</f>
        <v>11.3</v>
      </c>
      <c r="BH66" s="572">
        <f>'Key assumptions'!BH41</f>
        <v>8.9</v>
      </c>
      <c r="BI66" s="572">
        <f>'Key assumptions'!BI41</f>
        <v>10.6</v>
      </c>
      <c r="BJ66" s="524">
        <f>'Key assumptions'!BJ41</f>
        <v>10</v>
      </c>
      <c r="BK66" s="572">
        <f>'Key assumptions'!BK41</f>
        <v>10.4</v>
      </c>
      <c r="BL66" s="572">
        <f>'Key assumptions'!BL41</f>
        <v>11.9</v>
      </c>
      <c r="BM66" s="740">
        <f>'Key assumptions'!BM41</f>
        <v>13.6</v>
      </c>
      <c r="BN66" s="740">
        <f>'Key assumptions'!BN41</f>
        <v>11.1</v>
      </c>
      <c r="BO66" s="524">
        <f>'Key assumptions'!BO41</f>
        <v>11.75</v>
      </c>
      <c r="BP66" s="93"/>
      <c r="BQ66" s="93"/>
      <c r="BR66" s="93"/>
      <c r="BS66" s="93"/>
      <c r="BT66" s="93"/>
      <c r="BU66" s="93"/>
      <c r="BV66" s="93"/>
      <c r="BW66" s="93"/>
      <c r="BX66" s="93"/>
      <c r="BY66" s="93"/>
      <c r="BZ66" s="93"/>
      <c r="CA66" s="93"/>
      <c r="CB66" s="93"/>
      <c r="CC66" s="93"/>
      <c r="CD66" s="93"/>
      <c r="CG66" t="s">
        <v>1974</v>
      </c>
      <c r="CH66" s="443">
        <f t="shared" si="50"/>
        <v>16.79</v>
      </c>
      <c r="CI66" s="381">
        <f t="shared" si="51"/>
        <v>0.37633482604202551</v>
      </c>
      <c r="CJ66" s="521">
        <f t="shared" si="52"/>
        <v>4.9987287058225274</v>
      </c>
      <c r="CK66" s="443">
        <f t="shared" si="53"/>
        <v>5.2147389277747607</v>
      </c>
      <c r="CL66" s="443">
        <f t="shared" si="54"/>
        <v>-0.21601022195223329</v>
      </c>
      <c r="CO66" s="184" t="s">
        <v>774</v>
      </c>
      <c r="CP66" s="184">
        <v>39</v>
      </c>
    </row>
    <row r="67" spans="1:101">
      <c r="A67" s="289" t="s">
        <v>2010</v>
      </c>
      <c r="B67" s="289"/>
      <c r="C67" s="93"/>
      <c r="D67" s="93"/>
      <c r="E67" s="93"/>
      <c r="F67" s="93"/>
      <c r="G67" s="93"/>
      <c r="H67" s="93"/>
      <c r="I67" s="93"/>
      <c r="J67" s="93"/>
      <c r="K67" s="93"/>
      <c r="L67" s="93"/>
      <c r="M67" s="517">
        <v>15.49</v>
      </c>
      <c r="N67" s="517">
        <v>24</v>
      </c>
      <c r="O67" s="517">
        <v>15.62</v>
      </c>
      <c r="P67" s="517">
        <v>13.9</v>
      </c>
      <c r="Q67" s="516">
        <v>17.239999999999998</v>
      </c>
      <c r="R67" s="517">
        <v>13.37</v>
      </c>
      <c r="S67" s="517">
        <v>19.559999999999999</v>
      </c>
      <c r="T67" s="517">
        <v>16.79</v>
      </c>
      <c r="U67" s="517">
        <v>10.75</v>
      </c>
      <c r="V67" s="516">
        <v>15.11</v>
      </c>
      <c r="W67" s="517">
        <v>10.01</v>
      </c>
      <c r="X67" s="517">
        <v>10.8</v>
      </c>
      <c r="Y67" s="517">
        <v>9.2100000000000009</v>
      </c>
      <c r="Z67" s="517">
        <v>6.79</v>
      </c>
      <c r="AA67" s="516">
        <v>9.19</v>
      </c>
      <c r="AB67" s="517">
        <v>9.31</v>
      </c>
      <c r="AC67" s="517">
        <v>11.92</v>
      </c>
      <c r="AD67" s="517">
        <v>10.58</v>
      </c>
      <c r="AE67" s="517">
        <v>10.83</v>
      </c>
      <c r="AF67" s="516">
        <v>10.66</v>
      </c>
      <c r="AG67" s="517">
        <v>13.08</v>
      </c>
      <c r="AH67" s="517">
        <v>16.440000000000001</v>
      </c>
      <c r="AI67" s="517">
        <v>16.309999999999999</v>
      </c>
      <c r="AJ67" s="517">
        <v>12.11</v>
      </c>
      <c r="AK67" s="516">
        <v>14.5</v>
      </c>
      <c r="AL67" s="517">
        <v>14.59</v>
      </c>
      <c r="AM67" s="517">
        <v>18.86</v>
      </c>
      <c r="AN67" s="517">
        <v>22.58</v>
      </c>
      <c r="AO67" s="517">
        <v>16.87</v>
      </c>
      <c r="AP67" s="516">
        <v>18.22</v>
      </c>
      <c r="AQ67" s="517">
        <v>17.399999999999999</v>
      </c>
      <c r="AR67" s="517">
        <v>19.100000000000001</v>
      </c>
      <c r="AS67" s="517">
        <v>13.6</v>
      </c>
      <c r="AT67" s="517">
        <v>11</v>
      </c>
      <c r="AU67" s="516">
        <v>15.4</v>
      </c>
      <c r="AV67" s="517">
        <f>'Key assumptions'!AV45</f>
        <v>13.3</v>
      </c>
      <c r="AW67" s="517">
        <f>'Key assumptions'!AW45</f>
        <v>15.4</v>
      </c>
      <c r="AX67" s="517">
        <f>'Key assumptions'!AX45</f>
        <v>15.6</v>
      </c>
      <c r="AY67" s="517">
        <f>'Key assumptions'!AY45</f>
        <v>13</v>
      </c>
      <c r="AZ67" s="516">
        <v>14.4</v>
      </c>
      <c r="BA67" s="576">
        <f>'Key assumptions'!BA45</f>
        <v>15.2</v>
      </c>
      <c r="BB67" s="576">
        <f>'Key assumptions'!BB45</f>
        <v>19.399999999999999</v>
      </c>
      <c r="BC67" s="576">
        <f>'Key assumptions'!BC45</f>
        <v>20</v>
      </c>
      <c r="BD67" s="576">
        <f>'Key assumptions'!BD45</f>
        <v>13.2</v>
      </c>
      <c r="BE67" s="516">
        <v>15.4</v>
      </c>
      <c r="BF67" s="576">
        <f>'Key assumptions'!BF45</f>
        <v>10.5</v>
      </c>
      <c r="BG67" s="576">
        <f>'Key assumptions'!BG45</f>
        <v>13.8</v>
      </c>
      <c r="BH67" s="576">
        <f>'Key assumptions'!BH45</f>
        <v>11.6</v>
      </c>
      <c r="BI67" s="576">
        <f>'Key assumptions'!BI45</f>
        <v>11.4</v>
      </c>
      <c r="BJ67" s="516">
        <f>'Key assumptions'!BJ45</f>
        <v>11.824999999999999</v>
      </c>
      <c r="BK67" s="576">
        <f>'Key assumptions'!BK45</f>
        <v>11.7</v>
      </c>
      <c r="BL67" s="576">
        <f>'Key assumptions'!BL45</f>
        <v>13.8</v>
      </c>
      <c r="BM67" s="741">
        <f>'Key assumptions'!BM45</f>
        <v>16.3</v>
      </c>
      <c r="BN67" s="741">
        <f>'Key assumptions'!BN45</f>
        <v>14.4</v>
      </c>
      <c r="BO67" s="516">
        <f>'Key assumptions'!BO45</f>
        <v>14.049999999999999</v>
      </c>
      <c r="BP67" s="576">
        <f>'Key assumptions'!BP45</f>
        <v>11.7</v>
      </c>
      <c r="BQ67" s="576">
        <f>'Key assumptions'!BQ45</f>
        <v>13</v>
      </c>
      <c r="BR67" s="576">
        <f>'Key assumptions'!BR45</f>
        <v>13</v>
      </c>
      <c r="BS67" s="576">
        <f>'Key assumptions'!BS45</f>
        <v>13</v>
      </c>
      <c r="BT67" s="516">
        <f>'Key assumptions'!BT45</f>
        <v>12.675000000000001</v>
      </c>
      <c r="BU67" s="576">
        <f>'Key assumptions'!BU45</f>
        <v>15</v>
      </c>
      <c r="BV67" s="576">
        <f>'Key assumptions'!BV45</f>
        <v>15</v>
      </c>
      <c r="BW67" s="576">
        <f>'Key assumptions'!BW45</f>
        <v>15</v>
      </c>
      <c r="BX67" s="576">
        <f>'Key assumptions'!BX45</f>
        <v>15</v>
      </c>
      <c r="BY67" s="516">
        <f>'Key assumptions'!BY45</f>
        <v>15</v>
      </c>
      <c r="BZ67" s="576">
        <f>'Key assumptions'!BZ45</f>
        <v>16</v>
      </c>
      <c r="CA67" s="576">
        <f>'Key assumptions'!CA45</f>
        <v>16</v>
      </c>
      <c r="CB67" s="576">
        <f>'Key assumptions'!CB45</f>
        <v>16</v>
      </c>
      <c r="CC67" s="576">
        <f>'Key assumptions'!CC45</f>
        <v>16</v>
      </c>
      <c r="CD67" s="516">
        <f>'Key assumptions'!CD45</f>
        <v>16</v>
      </c>
      <c r="CG67" t="s">
        <v>1975</v>
      </c>
      <c r="CH67" s="443">
        <f t="shared" si="50"/>
        <v>10.75</v>
      </c>
      <c r="CI67" s="381">
        <f t="shared" si="51"/>
        <v>0.37318640955004589</v>
      </c>
      <c r="CJ67" s="521">
        <f t="shared" si="52"/>
        <v>2.8652668416447944</v>
      </c>
      <c r="CK67" s="443">
        <f t="shared" si="53"/>
        <v>1.9488624943874893</v>
      </c>
      <c r="CL67" s="443">
        <f t="shared" si="54"/>
        <v>0.91640434725730513</v>
      </c>
    </row>
    <row r="68" spans="1:101" ht="13.5" thickBot="1">
      <c r="BM68" s="406"/>
      <c r="BN68" s="406"/>
      <c r="CG68" t="s">
        <v>1976</v>
      </c>
      <c r="CH68" s="443">
        <f t="shared" si="50"/>
        <v>10.01</v>
      </c>
      <c r="CI68" s="381">
        <f t="shared" si="51"/>
        <v>0.38327645051194537</v>
      </c>
      <c r="CJ68" s="521">
        <f t="shared" si="52"/>
        <v>2.3302995828593098</v>
      </c>
      <c r="CK68" s="443">
        <f t="shared" si="53"/>
        <v>1.3457299530530733</v>
      </c>
      <c r="CL68" s="443">
        <f t="shared" si="54"/>
        <v>0.98456962980623652</v>
      </c>
      <c r="CO68" t="s">
        <v>800</v>
      </c>
    </row>
    <row r="69" spans="1:101">
      <c r="BM69" s="406"/>
      <c r="BN69" s="406"/>
      <c r="CG69" t="s">
        <v>1977</v>
      </c>
      <c r="CH69" s="443">
        <f t="shared" si="50"/>
        <v>10.8</v>
      </c>
      <c r="CI69" s="381">
        <f t="shared" si="51"/>
        <v>0.39460869565217394</v>
      </c>
      <c r="CJ69" s="521">
        <f t="shared" si="52"/>
        <v>2.0469124920425052</v>
      </c>
      <c r="CK69" s="443">
        <f t="shared" si="53"/>
        <v>1.5612633870439891</v>
      </c>
      <c r="CL69" s="443">
        <f t="shared" si="54"/>
        <v>0.4856491049985161</v>
      </c>
      <c r="CO69" s="512"/>
      <c r="CP69" s="512" t="s">
        <v>802</v>
      </c>
      <c r="CQ69" s="512" t="s">
        <v>801</v>
      </c>
      <c r="CR69" s="512" t="s">
        <v>1384</v>
      </c>
      <c r="CS69" s="512" t="s">
        <v>803</v>
      </c>
      <c r="CT69" s="512" t="s">
        <v>777</v>
      </c>
    </row>
    <row r="70" spans="1:101" ht="12.75" customHeight="1">
      <c r="A70" s="9" t="s">
        <v>3492</v>
      </c>
      <c r="B70" s="4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49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138"/>
      <c r="BN70" s="138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G70" t="s">
        <v>1978</v>
      </c>
      <c r="CH70" s="443">
        <f t="shared" si="50"/>
        <v>9.2100000000000009</v>
      </c>
      <c r="CI70" s="381">
        <f t="shared" si="51"/>
        <v>0.39077181208053691</v>
      </c>
      <c r="CJ70" s="521">
        <f t="shared" si="52"/>
        <v>2.2708840227088403</v>
      </c>
      <c r="CK70" s="443">
        <f t="shared" si="53"/>
        <v>0.75983078430285289</v>
      </c>
      <c r="CL70" s="443">
        <f t="shared" si="54"/>
        <v>1.5110532384059874</v>
      </c>
      <c r="CO70" s="183" t="s">
        <v>775</v>
      </c>
      <c r="CP70" s="183">
        <v>2</v>
      </c>
      <c r="CQ70" s="183">
        <v>211.86690040900282</v>
      </c>
      <c r="CR70" s="183">
        <v>105.93345020450141</v>
      </c>
      <c r="CS70" s="183">
        <v>13.917914643802622</v>
      </c>
      <c r="CT70" s="183">
        <v>3.3287710831832708E-5</v>
      </c>
    </row>
    <row r="71" spans="1:101" ht="12.75" customHeight="1">
      <c r="A71" s="10"/>
      <c r="B71" s="10"/>
      <c r="C71" s="31">
        <v>2001</v>
      </c>
      <c r="D71" s="32">
        <v>2002</v>
      </c>
      <c r="E71" s="32">
        <v>2003</v>
      </c>
      <c r="F71" s="32">
        <v>2004</v>
      </c>
      <c r="G71" s="31">
        <v>2005</v>
      </c>
      <c r="H71" s="33" t="s">
        <v>714</v>
      </c>
      <c r="I71" s="33" t="s">
        <v>715</v>
      </c>
      <c r="J71" s="33" t="s">
        <v>716</v>
      </c>
      <c r="K71" s="33" t="s">
        <v>717</v>
      </c>
      <c r="L71" s="31">
        <v>2006</v>
      </c>
      <c r="M71" s="33" t="s">
        <v>718</v>
      </c>
      <c r="N71" s="33" t="s">
        <v>719</v>
      </c>
      <c r="O71" s="33" t="s">
        <v>1970</v>
      </c>
      <c r="P71" s="33" t="s">
        <v>1971</v>
      </c>
      <c r="Q71" s="31">
        <v>2007</v>
      </c>
      <c r="R71" s="33" t="s">
        <v>1972</v>
      </c>
      <c r="S71" s="33" t="s">
        <v>1973</v>
      </c>
      <c r="T71" s="33" t="s">
        <v>1974</v>
      </c>
      <c r="U71" s="33" t="s">
        <v>1975</v>
      </c>
      <c r="V71" s="31">
        <v>2008</v>
      </c>
      <c r="W71" s="33" t="s">
        <v>1976</v>
      </c>
      <c r="X71" s="33" t="s">
        <v>1977</v>
      </c>
      <c r="Y71" s="33" t="s">
        <v>1978</v>
      </c>
      <c r="Z71" s="33" t="s">
        <v>1979</v>
      </c>
      <c r="AA71" s="31">
        <v>2009</v>
      </c>
      <c r="AB71" s="33" t="s">
        <v>1980</v>
      </c>
      <c r="AC71" s="33" t="s">
        <v>1981</v>
      </c>
      <c r="AD71" s="33" t="s">
        <v>1982</v>
      </c>
      <c r="AE71" s="33" t="s">
        <v>2392</v>
      </c>
      <c r="AF71" s="31">
        <v>2010</v>
      </c>
      <c r="AG71" s="33" t="s">
        <v>2393</v>
      </c>
      <c r="AH71" s="33" t="s">
        <v>2394</v>
      </c>
      <c r="AI71" s="33" t="s">
        <v>2395</v>
      </c>
      <c r="AJ71" s="33" t="s">
        <v>2396</v>
      </c>
      <c r="AK71" s="31">
        <v>2011</v>
      </c>
      <c r="AL71" s="33" t="s">
        <v>2397</v>
      </c>
      <c r="AM71" s="33" t="s">
        <v>2398</v>
      </c>
      <c r="AN71" s="33" t="s">
        <v>2399</v>
      </c>
      <c r="AO71" s="33" t="s">
        <v>2400</v>
      </c>
      <c r="AP71" s="31">
        <v>2012</v>
      </c>
      <c r="AQ71" s="33" t="s">
        <v>2401</v>
      </c>
      <c r="AR71" s="33" t="s">
        <v>2402</v>
      </c>
      <c r="AS71" s="33" t="s">
        <v>2403</v>
      </c>
      <c r="AT71" s="33" t="s">
        <v>2404</v>
      </c>
      <c r="AU71" s="31">
        <v>2013</v>
      </c>
      <c r="AV71" s="33" t="s">
        <v>2405</v>
      </c>
      <c r="AW71" s="33" t="s">
        <v>2406</v>
      </c>
      <c r="AX71" s="33" t="s">
        <v>2407</v>
      </c>
      <c r="AY71" s="33" t="s">
        <v>2408</v>
      </c>
      <c r="AZ71" s="31">
        <v>2014</v>
      </c>
      <c r="BA71" s="33" t="s">
        <v>2409</v>
      </c>
      <c r="BB71" s="33" t="s">
        <v>2410</v>
      </c>
      <c r="BC71" s="33" t="s">
        <v>2411</v>
      </c>
      <c r="BD71" s="33" t="s">
        <v>2412</v>
      </c>
      <c r="BE71" s="31">
        <v>2015</v>
      </c>
      <c r="BF71" s="33" t="s">
        <v>2413</v>
      </c>
      <c r="BG71" s="33" t="s">
        <v>2414</v>
      </c>
      <c r="BH71" s="33" t="s">
        <v>2415</v>
      </c>
      <c r="BI71" s="33" t="s">
        <v>2416</v>
      </c>
      <c r="BJ71" s="31">
        <v>2016</v>
      </c>
      <c r="BK71" s="33" t="s">
        <v>2417</v>
      </c>
      <c r="BL71" s="33" t="s">
        <v>2418</v>
      </c>
      <c r="BM71" s="33" t="s">
        <v>2419</v>
      </c>
      <c r="BN71" s="363" t="s">
        <v>2420</v>
      </c>
      <c r="BO71" s="31">
        <v>2017</v>
      </c>
      <c r="BP71" s="363" t="s">
        <v>2244</v>
      </c>
      <c r="BQ71" s="363" t="s">
        <v>2245</v>
      </c>
      <c r="BR71" s="363" t="s">
        <v>2508</v>
      </c>
      <c r="BS71" s="363" t="s">
        <v>2509</v>
      </c>
      <c r="BT71" s="364">
        <v>2018</v>
      </c>
      <c r="BU71" s="363" t="s">
        <v>2510</v>
      </c>
      <c r="BV71" s="363" t="s">
        <v>2511</v>
      </c>
      <c r="BW71" s="363" t="s">
        <v>3125</v>
      </c>
      <c r="BX71" s="363" t="s">
        <v>1405</v>
      </c>
      <c r="BY71" s="364">
        <v>2019</v>
      </c>
      <c r="BZ71" s="363" t="s">
        <v>1406</v>
      </c>
      <c r="CA71" s="363" t="s">
        <v>1407</v>
      </c>
      <c r="CB71" s="363" t="s">
        <v>1408</v>
      </c>
      <c r="CC71" s="363" t="s">
        <v>1409</v>
      </c>
      <c r="CD71" s="364">
        <v>2020</v>
      </c>
      <c r="CG71" t="s">
        <v>1979</v>
      </c>
      <c r="CH71" s="443">
        <f t="shared" si="50"/>
        <v>6.79</v>
      </c>
      <c r="CI71" s="381">
        <f t="shared" si="51"/>
        <v>0.3855038500167392</v>
      </c>
      <c r="CJ71" s="521">
        <f t="shared" si="52"/>
        <v>-1.8430067062285906</v>
      </c>
      <c r="CK71" s="443">
        <f t="shared" si="53"/>
        <v>-0.47104099834437285</v>
      </c>
      <c r="CL71" s="443">
        <f t="shared" si="54"/>
        <v>-1.3719657078842178</v>
      </c>
      <c r="CO71" s="183" t="s">
        <v>776</v>
      </c>
      <c r="CP71" s="183">
        <v>36</v>
      </c>
      <c r="CQ71" s="183">
        <v>274.00686848300046</v>
      </c>
      <c r="CR71" s="183">
        <v>7.6113019023055681</v>
      </c>
      <c r="CS71" s="183"/>
      <c r="CT71" s="183"/>
    </row>
    <row r="72" spans="1:101" ht="13.5" thickBot="1">
      <c r="A72" s="121" t="s">
        <v>3493</v>
      </c>
      <c r="M72" s="112">
        <f>1000*M9/(M47*90)</f>
        <v>2.197296519988496</v>
      </c>
      <c r="N72" s="112">
        <f>1000*N9/(N38*90)</f>
        <v>6.4066416040100247</v>
      </c>
      <c r="O72" s="112">
        <f>1000*O9/(O38*90)</f>
        <v>1.9501344920339334</v>
      </c>
      <c r="P72" s="112">
        <f>1000*P9/(P38*90)</f>
        <v>-2.0020020020020022</v>
      </c>
      <c r="Q72" s="524">
        <f>1000*Q9/(Q38*365)</f>
        <v>3.0784885780345332</v>
      </c>
      <c r="R72" s="112">
        <f>1000*R9/(R47*90)</f>
        <v>6.1739113657849551E-2</v>
      </c>
      <c r="S72" s="112">
        <f>1000*S9/(S38*90)</f>
        <v>1.7418490397498883</v>
      </c>
      <c r="T72" s="112">
        <f>1000*T9/(T38*90)</f>
        <v>4.9987287058225274</v>
      </c>
      <c r="U72" s="112">
        <f>1000*U9/(U38*90)</f>
        <v>2.8652668416447944</v>
      </c>
      <c r="V72" s="524">
        <f>1000*V9/(V38*365)</f>
        <v>2.4028223627753236</v>
      </c>
      <c r="W72" s="112">
        <f>1000*W9/(W47*90)</f>
        <v>2.3302995828593098</v>
      </c>
      <c r="X72" s="112">
        <f>1000*X9/(X38*90)</f>
        <v>2.0469124920425052</v>
      </c>
      <c r="Y72" s="112">
        <f>1000*Y9/(Y38*90)</f>
        <v>2.2708840227088403</v>
      </c>
      <c r="Z72" s="112">
        <f>1000*Z9/(Z38*90)</f>
        <v>-1.8430067062285906</v>
      </c>
      <c r="AA72" s="524">
        <f>1000*AA9/(AA38*365)</f>
        <v>2.0856418949272539</v>
      </c>
      <c r="AB72" s="112">
        <f>1000*AB9/(AB47*90)</f>
        <v>0.2150420060867822</v>
      </c>
      <c r="AC72" s="112">
        <f>1000*AC9/(AC38*90)</f>
        <v>4.4965921046612687</v>
      </c>
      <c r="AD72" s="112">
        <f>1000*AD9/(AD38*90)</f>
        <v>4.5835048716893096</v>
      </c>
      <c r="AE72" s="112">
        <f>1000*AE9/(AE38*90)</f>
        <v>0.66115702479338845</v>
      </c>
      <c r="AF72" s="524">
        <f>1000*AF9/(AF38*365)</f>
        <v>2.5375780641226893</v>
      </c>
      <c r="AG72" s="112">
        <f>1000*AG9/(AG38*90)</f>
        <v>6.4051711473483177</v>
      </c>
      <c r="AH72" s="112">
        <f>1000*AH9/(AH38*90)</f>
        <v>3.7184987917344774</v>
      </c>
      <c r="AI72" s="112">
        <f>1000*AI9/(AI38*90)</f>
        <v>5.4092363968907176</v>
      </c>
      <c r="AJ72" s="112">
        <f>1000*AJ9/(AJ38*90)</f>
        <v>1.7839355247668207</v>
      </c>
      <c r="AK72" s="524">
        <f>1000*AK9/(AK38*365)</f>
        <v>4.2388873357562202</v>
      </c>
      <c r="AL72" s="112">
        <f>1000*AL9/(AL38*90)</f>
        <v>2.3984336759667158</v>
      </c>
      <c r="AM72" s="112">
        <f>1000*AM9/(AM38*90)</f>
        <v>3.8221832700360308</v>
      </c>
      <c r="AN72" s="112">
        <f>1000*AN9/(AN38*90)</f>
        <v>12.022292993630574</v>
      </c>
      <c r="AO72" s="112">
        <f>1000*AO9/(AO38*90)</f>
        <v>4.8179669030732857</v>
      </c>
      <c r="AP72" s="524">
        <f>1000*AP9/(AP38*365)</f>
        <v>5.8332654415102247</v>
      </c>
      <c r="AQ72" s="112">
        <f>1000*AQ9/(AQ38*90)</f>
        <v>6.6559052999730968</v>
      </c>
      <c r="AR72" s="112">
        <f>1000*AR9/(AR38*90)</f>
        <v>5.5490502211813686</v>
      </c>
      <c r="AS72" s="112">
        <f>1000*AS9/(AS38*90)</f>
        <v>2.2457239848544197</v>
      </c>
      <c r="AT72" s="112">
        <f>1000*AT9/(AT38*90)</f>
        <v>-1.3372664700098329</v>
      </c>
      <c r="AU72" s="524">
        <f>1000*AU9/(AU38*365)</f>
        <v>3.4112724964242829</v>
      </c>
      <c r="AV72" s="112">
        <f>1000*AV9/(AV38*90)</f>
        <v>4.521963824289406</v>
      </c>
      <c r="AW72" s="112">
        <f>1000*AW9/(AW38*90)</f>
        <v>3.4705407586763517</v>
      </c>
      <c r="AX72" s="112">
        <f>1000*AX9/(AX38*90)</f>
        <v>6.9275753486279799</v>
      </c>
      <c r="AY72" s="112">
        <f>1000*AY9/(AY38*90)</f>
        <v>5.7675520638483597</v>
      </c>
      <c r="AZ72" s="524">
        <f>AVERAGE(AV72:AY72)</f>
        <v>5.1719079988605241</v>
      </c>
      <c r="BA72" s="572">
        <f>1000*(BA9-350)/(BA38*90)</f>
        <v>9.1704718417047193</v>
      </c>
      <c r="BB72" s="572">
        <f>1000*BB9/(BB38*90)</f>
        <v>9.3531937734836283</v>
      </c>
      <c r="BC72" s="572">
        <f>1000*BC9/(BC38*90)</f>
        <v>12.558962264150944</v>
      </c>
      <c r="BD72" s="572">
        <f>1000*BD9/(BD38*90)</f>
        <v>5.7565149747180087</v>
      </c>
      <c r="BE72" s="524">
        <f>AVERAGE(BA72:BD72)</f>
        <v>9.2097857135143251</v>
      </c>
      <c r="BF72" s="572">
        <f>1000*BF9/(BF38*90)</f>
        <v>8.3843017329255858</v>
      </c>
      <c r="BG72" s="572">
        <f>1000*BG9/(BG38*90)</f>
        <v>6.5923317683881066</v>
      </c>
      <c r="BH72" s="572">
        <f>1000*BH9/(BH38*90)</f>
        <v>6.6195286195286194</v>
      </c>
      <c r="BI72" s="572">
        <f>1000*BI9/(BI38*90)</f>
        <v>2.8183292781832927</v>
      </c>
      <c r="BJ72" s="524">
        <f>AVERAGE(BF72:BI72)</f>
        <v>6.1036228497564009</v>
      </c>
      <c r="BK72" s="572">
        <f>1000*BK9/(BK38*90)</f>
        <v>7.9554494828957836</v>
      </c>
      <c r="BL72" s="572">
        <f>1000*BL9/(BL38*90)</f>
        <v>5.9768299104792</v>
      </c>
      <c r="BM72" s="572">
        <f>1000*BM9/(BM38*90)</f>
        <v>11.384909264565424</v>
      </c>
      <c r="BN72" s="572">
        <f>1000*BN9/(BN38*90)</f>
        <v>6.3865986127470222</v>
      </c>
      <c r="BO72" s="524">
        <f>AVERAGE(BK72:BN72)</f>
        <v>7.925946817671857</v>
      </c>
      <c r="BP72" s="112">
        <f>SUM(BP75:BP76)</f>
        <v>6.8904010035422791</v>
      </c>
      <c r="BQ72" s="112">
        <f>SUM(BQ75:BQ76)</f>
        <v>9.6064533083683408</v>
      </c>
      <c r="BR72" s="112">
        <f>SUM(BR75:BR76)</f>
        <v>11.106453308368341</v>
      </c>
      <c r="BS72" s="112">
        <f>SUM(BS75:BS76)</f>
        <v>8.1064533083683408</v>
      </c>
      <c r="BT72" s="524">
        <f>AVERAGE(BP72:BS72)</f>
        <v>8.9274402321618247</v>
      </c>
      <c r="BU72" s="112">
        <f>SUM(BU75:BU76)</f>
        <v>11.708072238869971</v>
      </c>
      <c r="BV72" s="112">
        <f>SUM(BV75:BV76)</f>
        <v>10.708072238869971</v>
      </c>
      <c r="BW72" s="112">
        <f>SUM(BW75:BW76)</f>
        <v>12.208072238869971</v>
      </c>
      <c r="BX72" s="112">
        <f>SUM(BX75:BX76)</f>
        <v>10.208072238869971</v>
      </c>
      <c r="BY72" s="524">
        <f>AVERAGE(BU72:BX72)</f>
        <v>11.208072238869971</v>
      </c>
      <c r="BZ72" s="112">
        <f>SUM(BZ75:BZ76)</f>
        <v>12.258881704120785</v>
      </c>
      <c r="CA72" s="112">
        <f>SUM(CA75:CA76)</f>
        <v>11.258881704120785</v>
      </c>
      <c r="CB72" s="112">
        <f>SUM(CB75:CB76)</f>
        <v>12.758881704120785</v>
      </c>
      <c r="CC72" s="112">
        <f>SUM(CC75:CC76)</f>
        <v>10.758881704120785</v>
      </c>
      <c r="CD72" s="524">
        <f>AVERAGE(BZ72:CC72)</f>
        <v>11.758881704120785</v>
      </c>
      <c r="CG72" t="s">
        <v>1980</v>
      </c>
      <c r="CH72" s="443">
        <f>INDEX($A$67:$CD$67,MATCH(CG72,$A$59:$CD$59,0))</f>
        <v>9.31</v>
      </c>
      <c r="CI72" s="381">
        <f t="shared" si="51"/>
        <v>0.3982286370346072</v>
      </c>
      <c r="CJ72" s="521">
        <f t="shared" si="52"/>
        <v>0.2150420060867822</v>
      </c>
      <c r="CK72" s="443">
        <f t="shared" si="53"/>
        <v>0.67040693011117458</v>
      </c>
      <c r="CL72" s="443">
        <f>CJ72-CK72</f>
        <v>-0.45536492402439238</v>
      </c>
      <c r="CM72" s="443"/>
      <c r="CO72" s="184" t="s">
        <v>896</v>
      </c>
      <c r="CP72" s="184">
        <v>38</v>
      </c>
      <c r="CQ72" s="184">
        <v>485.87376889200328</v>
      </c>
      <c r="CR72" s="184"/>
      <c r="CS72" s="184"/>
      <c r="CT72" s="184"/>
    </row>
    <row r="73" spans="1:101" ht="13.5" thickBot="1">
      <c r="A73" s="121" t="s">
        <v>3494</v>
      </c>
      <c r="M73" s="514">
        <f t="shared" ref="M73:AJ73" si="55">1000*M11/M55</f>
        <v>67.291055374877402</v>
      </c>
      <c r="N73" s="514">
        <f t="shared" si="55"/>
        <v>50.721143067910944</v>
      </c>
      <c r="O73" s="514">
        <f t="shared" si="55"/>
        <v>66.497558978267861</v>
      </c>
      <c r="P73" s="514">
        <f t="shared" si="55"/>
        <v>46.307965749409838</v>
      </c>
      <c r="Q73" s="525">
        <f t="shared" si="55"/>
        <v>57.819985722738579</v>
      </c>
      <c r="R73" s="514">
        <f t="shared" si="55"/>
        <v>62.132106065953543</v>
      </c>
      <c r="S73" s="514">
        <f t="shared" si="55"/>
        <v>53.050376567232668</v>
      </c>
      <c r="T73" s="514">
        <f t="shared" si="55"/>
        <v>34.939849774896174</v>
      </c>
      <c r="U73" s="514">
        <f t="shared" si="55"/>
        <v>-45.271449354263126</v>
      </c>
      <c r="V73" s="525">
        <f t="shared" si="55"/>
        <v>31.710741659200057</v>
      </c>
      <c r="W73" s="514">
        <f t="shared" si="55"/>
        <v>26.749529776435946</v>
      </c>
      <c r="X73" s="514">
        <f t="shared" si="55"/>
        <v>60.158022096724693</v>
      </c>
      <c r="Y73" s="514">
        <f t="shared" si="55"/>
        <v>67.247900053545123</v>
      </c>
      <c r="Z73" s="514">
        <f t="shared" si="55"/>
        <v>43.816661862208129</v>
      </c>
      <c r="AA73" s="525">
        <f t="shared" si="55"/>
        <v>50.236966824644547</v>
      </c>
      <c r="AB73" s="514">
        <f t="shared" si="55"/>
        <v>79.928039064507843</v>
      </c>
      <c r="AC73" s="514">
        <f t="shared" si="55"/>
        <v>89.977505623594098</v>
      </c>
      <c r="AD73" s="514">
        <f t="shared" si="55"/>
        <v>75.33902561526871</v>
      </c>
      <c r="AE73" s="514">
        <f t="shared" si="55"/>
        <v>70.161290322580641</v>
      </c>
      <c r="AF73" s="525">
        <f t="shared" si="55"/>
        <v>79.004745414903169</v>
      </c>
      <c r="AG73" s="514">
        <f t="shared" si="55"/>
        <v>128.52897473997029</v>
      </c>
      <c r="AH73" s="514">
        <f t="shared" si="55"/>
        <v>73.730202075368652</v>
      </c>
      <c r="AI73" s="514">
        <f t="shared" si="55"/>
        <v>65.53262688232013</v>
      </c>
      <c r="AJ73" s="514">
        <f t="shared" si="55"/>
        <v>26.815642458100559</v>
      </c>
      <c r="AK73" s="525">
        <f t="shared" ref="AK73:AX73" si="56">1000*AK11/AK55</f>
        <v>75.339701331898297</v>
      </c>
      <c r="AL73" s="514">
        <f t="shared" si="56"/>
        <v>28.673835125448029</v>
      </c>
      <c r="AM73" s="514">
        <f t="shared" si="56"/>
        <v>7.2576464489372734</v>
      </c>
      <c r="AN73" s="514">
        <f t="shared" si="56"/>
        <v>-5.5881531153953619</v>
      </c>
      <c r="AO73" s="514">
        <f t="shared" si="56"/>
        <v>13.59338061465721</v>
      </c>
      <c r="AP73" s="525">
        <f t="shared" si="56"/>
        <v>11.271813675561893</v>
      </c>
      <c r="AQ73" s="514">
        <f t="shared" si="56"/>
        <v>16.823495865412035</v>
      </c>
      <c r="AR73" s="514">
        <f t="shared" si="56"/>
        <v>-7.0298769771528997</v>
      </c>
      <c r="AS73" s="514">
        <f t="shared" si="56"/>
        <v>13.968775677896467</v>
      </c>
      <c r="AT73" s="514">
        <f t="shared" si="56"/>
        <v>13.052506674577277</v>
      </c>
      <c r="AU73" s="525">
        <f t="shared" si="56"/>
        <v>9.323674962346697</v>
      </c>
      <c r="AV73" s="514">
        <f t="shared" si="56"/>
        <v>1.1544011544011543</v>
      </c>
      <c r="AW73" s="514">
        <f t="shared" si="56"/>
        <v>-29.123328380386329</v>
      </c>
      <c r="AX73" s="514">
        <f t="shared" si="56"/>
        <v>19.146608315098469</v>
      </c>
      <c r="AY73" s="514">
        <f>1000*AY11/AY55</f>
        <v>-7.0861678004535147</v>
      </c>
      <c r="AZ73" s="525">
        <f>AVERAGE(AV73:AY73)</f>
        <v>-3.9771216778350555</v>
      </c>
      <c r="BA73" s="514">
        <f>1000*BA11/BA55</f>
        <v>4.8022598870056497</v>
      </c>
      <c r="BB73" s="514">
        <f>1000*BB11/BB55</f>
        <v>20.562770562770563</v>
      </c>
      <c r="BC73" s="514">
        <f>1000*BC11/BC55</f>
        <v>9.5929478869587754</v>
      </c>
      <c r="BD73" s="514">
        <f>1000*BD11/BD55</f>
        <v>9.8172893373329693</v>
      </c>
      <c r="BE73" s="525">
        <f>AVERAGE(BA73:BD73)</f>
        <v>11.19381691851699</v>
      </c>
      <c r="BF73" s="514">
        <f>1000*BF11/BF55</f>
        <v>29.760337108243348</v>
      </c>
      <c r="BG73" s="514">
        <f>1000*BG11/BG55</f>
        <v>26.208503203261504</v>
      </c>
      <c r="BH73" s="514">
        <f>1000*BH11/BH55</f>
        <v>22.61525079733256</v>
      </c>
      <c r="BI73" s="514">
        <f>1000*BI11/BI55</f>
        <v>29.038624189455877</v>
      </c>
      <c r="BJ73" s="525">
        <f>AVERAGE(BF73:BI73)</f>
        <v>26.905678824573322</v>
      </c>
      <c r="BK73" s="514">
        <f>1000*BK11/BK55</f>
        <v>38.964435146443513</v>
      </c>
      <c r="BL73" s="514">
        <f>1000*BL11/BL55</f>
        <v>37.147102526002975</v>
      </c>
      <c r="BM73" s="514">
        <f>1000*BM11/BM55</f>
        <v>49.401578813343519</v>
      </c>
      <c r="BN73" s="514">
        <f>1000*BN11/BN55</f>
        <v>35.082715345122644</v>
      </c>
      <c r="BO73" s="525">
        <f>AVERAGE(BK73:BN73)</f>
        <v>40.148957957728165</v>
      </c>
      <c r="BP73" s="514">
        <f>1000*BP11/BP55</f>
        <v>26.666666666666668</v>
      </c>
      <c r="BQ73" s="514">
        <f t="shared" ref="BQ73:CC73" si="57">1000*BQ11/BQ55</f>
        <v>34.722222222222221</v>
      </c>
      <c r="BR73" s="514">
        <f t="shared" si="57"/>
        <v>34.722222222222221</v>
      </c>
      <c r="BS73" s="514">
        <f t="shared" si="57"/>
        <v>34.722222222222221</v>
      </c>
      <c r="BT73" s="524">
        <f t="shared" ref="BT73" si="58">AVERAGE(BP73:BS73)</f>
        <v>32.708333333333336</v>
      </c>
      <c r="BU73" s="514">
        <f t="shared" si="57"/>
        <v>34.722222222222221</v>
      </c>
      <c r="BV73" s="514">
        <f t="shared" si="57"/>
        <v>34.722222222222221</v>
      </c>
      <c r="BW73" s="514">
        <f t="shared" si="57"/>
        <v>34.722222222222221</v>
      </c>
      <c r="BX73" s="514">
        <f t="shared" si="57"/>
        <v>34.722222222222221</v>
      </c>
      <c r="BY73" s="524">
        <f t="shared" ref="BY73" si="59">AVERAGE(BU73:BX73)</f>
        <v>34.722222222222221</v>
      </c>
      <c r="BZ73" s="514">
        <f t="shared" si="57"/>
        <v>34.722222222222221</v>
      </c>
      <c r="CA73" s="514">
        <f t="shared" si="57"/>
        <v>34.722222222222221</v>
      </c>
      <c r="CB73" s="514">
        <f t="shared" si="57"/>
        <v>34.722222222222221</v>
      </c>
      <c r="CC73" s="514">
        <f t="shared" si="57"/>
        <v>34.722222222222221</v>
      </c>
      <c r="CD73" s="524">
        <f t="shared" ref="CD73" si="60">AVERAGE(BZ73:CC73)</f>
        <v>34.722222222222221</v>
      </c>
      <c r="CG73" t="s">
        <v>1981</v>
      </c>
      <c r="CH73" s="443">
        <f t="shared" ref="CH73:CH88" si="61">INDEX($A$67:$CD$67,MATCH(CG73,$A$59:$CD$59,0))</f>
        <v>11.92</v>
      </c>
      <c r="CI73" s="381">
        <f t="shared" si="51"/>
        <v>0.40864737550471064</v>
      </c>
      <c r="CJ73" s="521">
        <f t="shared" si="52"/>
        <v>4.4965921046612687</v>
      </c>
      <c r="CK73" s="443">
        <f t="shared" si="53"/>
        <v>1.9061163128793979</v>
      </c>
      <c r="CL73" s="443">
        <f t="shared" ref="CL73:CL88" si="62">CJ73-CK73</f>
        <v>2.5904757917818708</v>
      </c>
      <c r="CM73" s="443"/>
    </row>
    <row r="74" spans="1:101">
      <c r="CG74" t="s">
        <v>1982</v>
      </c>
      <c r="CH74" s="443">
        <f t="shared" si="61"/>
        <v>10.58</v>
      </c>
      <c r="CI74" s="381">
        <f t="shared" si="51"/>
        <v>0.41929915415156221</v>
      </c>
      <c r="CJ74" s="521">
        <f t="shared" si="52"/>
        <v>4.5835048716893096</v>
      </c>
      <c r="CK74" s="443">
        <f t="shared" si="53"/>
        <v>0.96161225388828164</v>
      </c>
      <c r="CL74" s="443">
        <f t="shared" si="62"/>
        <v>3.621892617801028</v>
      </c>
      <c r="CM74" s="443"/>
      <c r="CO74" s="512"/>
      <c r="CP74" s="512" t="s">
        <v>979</v>
      </c>
      <c r="CQ74" s="512" t="s">
        <v>773</v>
      </c>
      <c r="CR74" s="512" t="s">
        <v>980</v>
      </c>
      <c r="CS74" s="512" t="s">
        <v>804</v>
      </c>
      <c r="CT74" s="512" t="s">
        <v>1147</v>
      </c>
      <c r="CU74" s="512" t="s">
        <v>1148</v>
      </c>
      <c r="CV74" s="512" t="s">
        <v>1149</v>
      </c>
      <c r="CW74" s="512" t="s">
        <v>1150</v>
      </c>
    </row>
    <row r="75" spans="1:101">
      <c r="A75" t="s">
        <v>3498</v>
      </c>
      <c r="M75" s="112">
        <f>$CP$75+M67*$CP$76+M49*$CP$77</f>
        <v>4.3276721291817086</v>
      </c>
      <c r="N75" s="112">
        <f>$CP$75+N67*$CP$76+N49*$CP$77</f>
        <v>9.2123694325286465</v>
      </c>
      <c r="O75" s="112">
        <f>$CP$75+O67*$CP$76+O49*$CP$77</f>
        <v>4.3522625140583848</v>
      </c>
      <c r="P75" s="112">
        <f>$CP$75+P67*$CP$76+P49*$CP$77</f>
        <v>3.8619203742843364</v>
      </c>
      <c r="Q75" s="524">
        <f>AVERAGE(M75:P75)</f>
        <v>5.43855611251327</v>
      </c>
      <c r="R75" s="112">
        <f>$CP$75+R67*$CP$76+R49*$CP$77</f>
        <v>3.3353862833637846</v>
      </c>
      <c r="S75" s="112">
        <f>$CP$75+S67*$CP$76+S49*$CP$77</f>
        <v>6.5292239199171176</v>
      </c>
      <c r="T75" s="112">
        <f>$CP$75+T67*$CP$76+T49*$CP$77</f>
        <v>5.2147389277747607</v>
      </c>
      <c r="U75" s="112">
        <f>$CP$75+U67*$CP$76+U49*$CP$77</f>
        <v>1.9488624943874893</v>
      </c>
      <c r="V75" s="524">
        <f>AVERAGE(R75:U75)</f>
        <v>4.257052906360788</v>
      </c>
      <c r="W75" s="112">
        <f>$CP$75+W67*$CP$76+W49*$CP$77</f>
        <v>1.3457299530530733</v>
      </c>
      <c r="X75" s="112">
        <f>$CP$75+X67*$CP$76+X49*$CP$77</f>
        <v>1.5612633870439891</v>
      </c>
      <c r="Y75" s="112">
        <f>$CP$75+Y67*$CP$76+Y49*$CP$77</f>
        <v>0.75983078430285289</v>
      </c>
      <c r="Z75" s="112">
        <f>$CP$75+Z67*$CP$76+Z49*$CP$77</f>
        <v>-0.47104099834437285</v>
      </c>
      <c r="AA75" s="524">
        <f>AVERAGE(W75:Z75)</f>
        <v>0.79894578151388562</v>
      </c>
      <c r="AB75" s="112">
        <f>$CP$75+AB67*$CP$76+AB49*$CP$77</f>
        <v>0.67040693011117458</v>
      </c>
      <c r="AC75" s="112">
        <f>$CP$75+AC67*$CP$76+AC49*$CP$77</f>
        <v>1.9061163128793979</v>
      </c>
      <c r="AD75" s="112">
        <f>$CP$75+AD67*$CP$76+AD49*$CP$77</f>
        <v>0.96161225388828164</v>
      </c>
      <c r="AE75" s="112">
        <f>$CP$75+AE67*$CP$76+AE49*$CP$77</f>
        <v>1.2437716873196267</v>
      </c>
      <c r="AF75" s="524">
        <f>AVERAGE(AB75:AE75)</f>
        <v>1.1954767960496202</v>
      </c>
      <c r="AG75" s="112">
        <f>$CP$75+AG67*$CP$76+AG49*$CP$77</f>
        <v>2.4811266570697414</v>
      </c>
      <c r="AH75" s="112">
        <f>$CP$75+AH67*$CP$76+AH49*$CP$77</f>
        <v>5.0946918710523601</v>
      </c>
      <c r="AI75" s="112">
        <f>$CP$75+AI67*$CP$76+AI49*$CP$77</f>
        <v>4.0020177904429843</v>
      </c>
      <c r="AJ75" s="112">
        <f>$CP$75+AJ67*$CP$76+AJ49*$CP$77</f>
        <v>1.7770148959937249</v>
      </c>
      <c r="AK75" s="524">
        <f>AVERAGE(AG75:AJ75)</f>
        <v>3.3387128036397029</v>
      </c>
      <c r="AL75" s="112">
        <f>$CP$75+AL67*$CP$76+AL49*$CP$77</f>
        <v>3.2904361152802473</v>
      </c>
      <c r="AM75" s="112">
        <f>$CP$75+AM67*$CP$76+AM49*$CP$77</f>
        <v>6.0586045694364081</v>
      </c>
      <c r="AN75" s="112">
        <f>$CP$75+AN67*$CP$76+AN49*$CP$77</f>
        <v>7.070302093503015</v>
      </c>
      <c r="AO75" s="112">
        <f>$CP$75+AO67*$CP$76+AO49*$CP$77</f>
        <v>4.5085924093467149</v>
      </c>
      <c r="AP75" s="524">
        <f>AVERAGE(AL75:AO75)</f>
        <v>5.2319837968915968</v>
      </c>
      <c r="AQ75" s="112">
        <f>$CP$75+AQ67*$CP$76+AQ49*$CP$77</f>
        <v>5.4672032986597507</v>
      </c>
      <c r="AR75" s="112">
        <f>$CP$75+AR67*$CP$76+AR49*$CP$77</f>
        <v>8.005608567109384</v>
      </c>
      <c r="AS75" s="112">
        <f>$CP$75+AS67*$CP$76+AS49*$CP$77</f>
        <v>4.9046523291143567</v>
      </c>
      <c r="AT75" s="112">
        <f>$CP$75+AT67*$CP$76+AT49*$CP$77</f>
        <v>3.3190096493580841</v>
      </c>
      <c r="AU75" s="524">
        <f>AVERAGE(AQ75:AT75)</f>
        <v>5.4241184610603934</v>
      </c>
      <c r="AV75" s="112">
        <f>$CP$75+AV67*$CP$76+AV49*$CP$77</f>
        <v>4.1999825196201108</v>
      </c>
      <c r="AW75" s="112">
        <f>$CP$75+AW67*$CP$76+AW49*$CP$77</f>
        <v>5.724407977133759</v>
      </c>
      <c r="AX75" s="112">
        <f>$CP$75+AX67*$CP$76+AX49*$CP$77</f>
        <v>5.6450930135977053</v>
      </c>
      <c r="AY75" s="112">
        <f>$CP$75+AY67*$CP$76+AY49*$CP$77</f>
        <v>3.9568641936547433</v>
      </c>
      <c r="AZ75" s="524">
        <f>AVERAGE(AV75:AY75)</f>
        <v>4.8815869260015798</v>
      </c>
      <c r="BA75" s="572">
        <f>$CP$75+BA67*$CP$76+BA49*$CP$77</f>
        <v>5.3711944943554402</v>
      </c>
      <c r="BB75" s="572">
        <f>$CP$75+BB67*$CP$76+BB49*$CP$77</f>
        <v>8.1347917672138266</v>
      </c>
      <c r="BC75" s="572">
        <f>$CP$75+BC67*$CP$76+BC49*$CP$77</f>
        <v>8.4617767583923182</v>
      </c>
      <c r="BD75" s="572">
        <f>$CP$75+BD67*$CP$76+BD49*$CP$77</f>
        <v>4.8172759701221519</v>
      </c>
      <c r="BE75" s="524">
        <f>AVERAGE(BA75:BD75)</f>
        <v>6.6962597475209336</v>
      </c>
      <c r="BF75" s="572">
        <f>$CP$75+BF67*$CP$76+BF49*$CP$77</f>
        <v>2.9127172027495858</v>
      </c>
      <c r="BG75" s="572">
        <f>$CP$75+BG67*$CP$76+BG49*$CP$77</f>
        <v>5.0419787137290433</v>
      </c>
      <c r="BH75" s="572">
        <f>$CP$75+BH67*$CP$76+BH49*$CP$77</f>
        <v>3.8616262079825434</v>
      </c>
      <c r="BI75" s="572">
        <f>$CP$75+BI67*$CP$76+BI49*$CP$77</f>
        <v>3.9377533024295852</v>
      </c>
      <c r="BJ75" s="524">
        <f>AVERAGE(BF75:BI75)</f>
        <v>3.9385188567226894</v>
      </c>
      <c r="BK75" s="572">
        <f>$CP$75+BK67*$CP$76+BK49*$CP$77</f>
        <v>3.9616669834795131</v>
      </c>
      <c r="BL75" s="572">
        <f>$CP$75+BL67*$CP$76+BL49*$CP$77</f>
        <v>5.2431192768714716</v>
      </c>
      <c r="BM75" s="572">
        <f>$CP$75+BM67*$CP$76+BM49*$CP$77</f>
        <v>6.5620338852008233</v>
      </c>
      <c r="BN75" s="112">
        <f>$CP$75+BN67*$CP$76+BN49*$CP$77</f>
        <v>6.0093070259723138</v>
      </c>
      <c r="BO75" s="524">
        <f>AVERAGE(BK75:BN75)</f>
        <v>5.4440317928810309</v>
      </c>
      <c r="BP75" s="112">
        <f>$CP$75+BP67*$CP$76+BP49*$CP$77</f>
        <v>3.8904010035422791</v>
      </c>
      <c r="BQ75" s="112">
        <f>$CP$75+BQ67*$CP$76+BQ49*$CP$77</f>
        <v>4.6064533083683399</v>
      </c>
      <c r="BR75" s="112">
        <f>$CP$75+BR67*$CP$76+BR49*$CP$77</f>
        <v>4.6064533083683399</v>
      </c>
      <c r="BS75" s="112">
        <f>$CP$75+BS67*$CP$76+BS49*$CP$77</f>
        <v>4.6064533083683399</v>
      </c>
      <c r="BT75" s="524">
        <f>AVERAGE(BP75:BS75)</f>
        <v>4.4274402321618247</v>
      </c>
      <c r="BU75" s="112">
        <f>$CP$75+BU67*$CP$76+BU49*$CP$77</f>
        <v>5.7080722388699696</v>
      </c>
      <c r="BV75" s="112">
        <f>$CP$75+BV67*$CP$76+BV49*$CP$77</f>
        <v>5.7080722388699696</v>
      </c>
      <c r="BW75" s="112">
        <f>$CP$75+BW67*$CP$76+BW49*$CP$77</f>
        <v>5.7080722388699696</v>
      </c>
      <c r="BX75" s="112">
        <f>$CP$75+BX67*$CP$76+BX49*$CP$77</f>
        <v>5.7080722388699696</v>
      </c>
      <c r="BY75" s="524">
        <f>AVERAGE(BU75:BX75)</f>
        <v>5.7080722388699696</v>
      </c>
      <c r="BZ75" s="112">
        <f>$CP$75+BZ67*$CP$76+BZ49*$CP$77</f>
        <v>6.2588817041207845</v>
      </c>
      <c r="CA75" s="112">
        <f>$CP$75+CA67*$CP$76+CA49*$CP$77</f>
        <v>6.2588817041207845</v>
      </c>
      <c r="CB75" s="112">
        <f>$CP$75+CB67*$CP$76+CB49*$CP$77</f>
        <v>6.2588817041207845</v>
      </c>
      <c r="CC75" s="112">
        <f>$CP$75+CC67*$CP$76+CC49*$CP$77</f>
        <v>6.2588817041207845</v>
      </c>
      <c r="CD75" s="524">
        <f>AVERAGE(BZ75:CC75)</f>
        <v>6.2588817041207845</v>
      </c>
      <c r="CG75" t="s">
        <v>2392</v>
      </c>
      <c r="CH75" s="443">
        <f t="shared" si="61"/>
        <v>10.83</v>
      </c>
      <c r="CI75" s="381">
        <f t="shared" si="51"/>
        <v>0.41184479237576582</v>
      </c>
      <c r="CJ75" s="521">
        <f t="shared" si="52"/>
        <v>0.66115702479338845</v>
      </c>
      <c r="CK75" s="443">
        <f t="shared" si="53"/>
        <v>1.2437716873196267</v>
      </c>
      <c r="CL75" s="443">
        <f t="shared" si="62"/>
        <v>-0.58261466252623828</v>
      </c>
      <c r="CM75" s="443"/>
      <c r="CO75" s="183" t="s">
        <v>947</v>
      </c>
      <c r="CP75" s="697">
        <v>3.2595896234490311</v>
      </c>
      <c r="CQ75" s="697">
        <v>3.8224850753607096</v>
      </c>
      <c r="CR75" s="697">
        <v>0.85274096803149435</v>
      </c>
      <c r="CS75" s="697">
        <v>0.3994409347124469</v>
      </c>
      <c r="CT75" s="697">
        <v>-4.4927694267273353</v>
      </c>
      <c r="CU75" s="697">
        <v>11.011948673625398</v>
      </c>
      <c r="CV75" s="697">
        <v>-4.4927694267273353</v>
      </c>
      <c r="CW75" s="697">
        <v>11.011948673625398</v>
      </c>
    </row>
    <row r="76" spans="1:101">
      <c r="B76" t="s">
        <v>1536</v>
      </c>
      <c r="M76" s="112">
        <f>M72-M75</f>
        <v>-2.1303756091932127</v>
      </c>
      <c r="N76" s="112">
        <f>N72-N75</f>
        <v>-2.8057278285186218</v>
      </c>
      <c r="O76" s="112">
        <f>O72-O75</f>
        <v>-2.4021280220244514</v>
      </c>
      <c r="P76" s="112">
        <f>P72-P75</f>
        <v>-5.8639223762863386</v>
      </c>
      <c r="Q76" s="524">
        <f>AVERAGE(M76:P76)</f>
        <v>-3.3005384590056561</v>
      </c>
      <c r="R76" s="112">
        <f>R72-R75</f>
        <v>-3.2736471697059351</v>
      </c>
      <c r="S76" s="112">
        <f>S72-S75</f>
        <v>-4.7873748801672296</v>
      </c>
      <c r="T76" s="112">
        <f>T72-T75</f>
        <v>-0.21601022195223329</v>
      </c>
      <c r="U76" s="112">
        <f>U72-U75</f>
        <v>0.91640434725730513</v>
      </c>
      <c r="V76" s="524">
        <f>AVERAGE(R76:U76)</f>
        <v>-1.8401569811420231</v>
      </c>
      <c r="W76" s="112">
        <f>W72-W75</f>
        <v>0.98456962980623652</v>
      </c>
      <c r="X76" s="112">
        <f>X72-X75</f>
        <v>0.4856491049985161</v>
      </c>
      <c r="Y76" s="112">
        <f>Y72-Y75</f>
        <v>1.5110532384059874</v>
      </c>
      <c r="Z76" s="112">
        <f>Z72-Z75</f>
        <v>-1.3719657078842178</v>
      </c>
      <c r="AA76" s="524">
        <f>AVERAGE(W76:Z76)</f>
        <v>0.40232656633163055</v>
      </c>
      <c r="AB76" s="112">
        <f>AB72-AB75</f>
        <v>-0.45536492402439238</v>
      </c>
      <c r="AC76" s="112">
        <f>AC72-AC75</f>
        <v>2.5904757917818708</v>
      </c>
      <c r="AD76" s="112">
        <f>AD72-AD75</f>
        <v>3.621892617801028</v>
      </c>
      <c r="AE76" s="112">
        <f>AE72-AE75</f>
        <v>-0.58261466252623828</v>
      </c>
      <c r="AF76" s="524">
        <f>AVERAGE(AB76:AE76)</f>
        <v>1.2935972057580671</v>
      </c>
      <c r="AG76" s="112">
        <f>AG72-AG75</f>
        <v>3.9240444902785763</v>
      </c>
      <c r="AH76" s="112">
        <f>AH72-AH75</f>
        <v>-1.3761930793178827</v>
      </c>
      <c r="AI76" s="112">
        <f>AI72-AI75</f>
        <v>1.4072186064477332</v>
      </c>
      <c r="AJ76" s="112">
        <f>AJ72-AJ75</f>
        <v>6.9206287730958493E-3</v>
      </c>
      <c r="AK76" s="524">
        <f>AVERAGE(AG76:AJ76)</f>
        <v>0.99049766154538066</v>
      </c>
      <c r="AL76" s="112">
        <f>AL72-AL75</f>
        <v>-0.89200243931353151</v>
      </c>
      <c r="AM76" s="112">
        <f>AM72-AM75</f>
        <v>-2.2364212994003774</v>
      </c>
      <c r="AN76" s="112">
        <f>AN72-AN75</f>
        <v>4.9519909001275586</v>
      </c>
      <c r="AO76" s="112">
        <f>AO72-AO75</f>
        <v>0.30937449372657078</v>
      </c>
      <c r="AP76" s="524">
        <f>AVERAGE(AL76:AO76)</f>
        <v>0.53323541378505512</v>
      </c>
      <c r="AQ76" s="112">
        <f>AQ72-AQ75</f>
        <v>1.188702001313346</v>
      </c>
      <c r="AR76" s="112">
        <f>AR72-AR75</f>
        <v>-2.4565583459280154</v>
      </c>
      <c r="AS76" s="112">
        <f>AS72-AS75</f>
        <v>-2.658928344259937</v>
      </c>
      <c r="AT76" s="112">
        <f>AT72-AT75</f>
        <v>-4.6562761193679165</v>
      </c>
      <c r="AU76" s="524">
        <f>AVERAGE(AQ76:AT76)</f>
        <v>-2.1457652020606308</v>
      </c>
      <c r="AV76" s="112">
        <f>AV72-AV75</f>
        <v>0.3219813046692952</v>
      </c>
      <c r="AW76" s="112">
        <f>AW72-AW75</f>
        <v>-2.2538672184574073</v>
      </c>
      <c r="AX76" s="112">
        <f>AX72-AX75</f>
        <v>1.2824823350302745</v>
      </c>
      <c r="AY76" s="112">
        <f>AY72-AY75</f>
        <v>1.8106878701936164</v>
      </c>
      <c r="AZ76" s="524">
        <f>AVERAGE(AV76:AY76)</f>
        <v>0.29032107285894471</v>
      </c>
      <c r="BA76" s="572">
        <f>BA72-BA75</f>
        <v>3.7992773473492791</v>
      </c>
      <c r="BB76" s="572">
        <f>BB72-BB75</f>
        <v>1.2184020062698018</v>
      </c>
      <c r="BC76" s="572">
        <f>BC72-BC75</f>
        <v>4.0971855057586257</v>
      </c>
      <c r="BD76" s="572">
        <f>BD72-BD75</f>
        <v>0.93923900459585674</v>
      </c>
      <c r="BE76" s="524">
        <f>AVERAGE(BA76:BD76)</f>
        <v>2.5135259659933911</v>
      </c>
      <c r="BF76" s="572">
        <f>BF72-BF75</f>
        <v>5.471584530176</v>
      </c>
      <c r="BG76" s="572">
        <f>BG72-BG75</f>
        <v>1.5503530546590634</v>
      </c>
      <c r="BH76" s="572">
        <f>BH72-BH75</f>
        <v>2.757902411546076</v>
      </c>
      <c r="BI76" s="572">
        <f>BI72-BI75</f>
        <v>-1.1194240242462925</v>
      </c>
      <c r="BJ76" s="524">
        <f>AVERAGE(BF76:BI76)</f>
        <v>2.1651039930337115</v>
      </c>
      <c r="BK76" s="572">
        <f>BK72-BK75</f>
        <v>3.9937824994162705</v>
      </c>
      <c r="BL76" s="572">
        <f>BL72-BL75</f>
        <v>0.73371063360772837</v>
      </c>
      <c r="BM76" s="572">
        <f>BM72-BM75</f>
        <v>4.8228753793646009</v>
      </c>
      <c r="BN76" s="572">
        <f>BN72-BN75</f>
        <v>0.37729158677470842</v>
      </c>
      <c r="BO76" s="524">
        <f>AVERAGE(BK76:BN76)</f>
        <v>2.481915024790827</v>
      </c>
      <c r="BP76" s="523">
        <v>3</v>
      </c>
      <c r="BQ76" s="523">
        <v>5</v>
      </c>
      <c r="BR76" s="523">
        <v>6.5</v>
      </c>
      <c r="BS76" s="523">
        <v>3.5</v>
      </c>
      <c r="BT76" s="524">
        <f>AVERAGE(BP76:BS76)</f>
        <v>4.5</v>
      </c>
      <c r="BU76" s="523">
        <v>6</v>
      </c>
      <c r="BV76" s="523">
        <f t="shared" ref="BV76:BW76" si="63">BQ76+$BU$77</f>
        <v>5</v>
      </c>
      <c r="BW76" s="523">
        <f t="shared" si="63"/>
        <v>6.5</v>
      </c>
      <c r="BX76" s="523">
        <v>4.5</v>
      </c>
      <c r="BY76" s="524">
        <f t="shared" ref="BY76" si="64">AVERAGE(BU76:BX76)</f>
        <v>5.5</v>
      </c>
      <c r="BZ76" s="523">
        <f>BU76+$BZ$77</f>
        <v>6</v>
      </c>
      <c r="CA76" s="523">
        <f t="shared" ref="CA76:CC76" si="65">BV76+$BZ$77</f>
        <v>5</v>
      </c>
      <c r="CB76" s="523">
        <f t="shared" si="65"/>
        <v>6.5</v>
      </c>
      <c r="CC76" s="523">
        <f t="shared" si="65"/>
        <v>4.5</v>
      </c>
      <c r="CD76" s="524">
        <f t="shared" ref="CD76" si="66">AVERAGE(BZ76:CC76)</f>
        <v>5.5</v>
      </c>
      <c r="CG76" t="s">
        <v>2393</v>
      </c>
      <c r="CH76" s="443">
        <f t="shared" si="61"/>
        <v>13.08</v>
      </c>
      <c r="CI76" s="381">
        <f t="shared" si="51"/>
        <v>0.41194625998547568</v>
      </c>
      <c r="CJ76" s="521">
        <f t="shared" si="52"/>
        <v>6.4051711473483177</v>
      </c>
      <c r="CK76" s="443">
        <f t="shared" si="53"/>
        <v>2.4811266570697414</v>
      </c>
      <c r="CL76" s="443">
        <f t="shared" si="62"/>
        <v>3.9240444902785763</v>
      </c>
      <c r="CM76" s="443"/>
      <c r="CO76" s="183" t="s">
        <v>3495</v>
      </c>
      <c r="CP76" s="697">
        <v>0.55080946525081509</v>
      </c>
      <c r="CQ76" s="697">
        <v>0.11871155339291717</v>
      </c>
      <c r="CR76" s="697">
        <v>4.6398977143169846</v>
      </c>
      <c r="CS76" s="697">
        <v>4.49051521948103E-5</v>
      </c>
      <c r="CT76" s="697">
        <v>0.31005127596756915</v>
      </c>
      <c r="CU76" s="697">
        <v>0.79156765453406108</v>
      </c>
      <c r="CV76" s="697">
        <v>0.31005127596756915</v>
      </c>
      <c r="CW76" s="697">
        <v>0.79156765453406108</v>
      </c>
    </row>
    <row r="77" spans="1:101" ht="13.5" thickBot="1">
      <c r="BU77" s="440">
        <f>BP77</f>
        <v>0</v>
      </c>
      <c r="BV77" s="440"/>
      <c r="BW77" s="440"/>
      <c r="BX77" s="440"/>
      <c r="BY77" s="440"/>
      <c r="BZ77" s="440">
        <f>BU77</f>
        <v>0</v>
      </c>
      <c r="CG77" t="s">
        <v>2394</v>
      </c>
      <c r="CH77" s="443">
        <f t="shared" si="61"/>
        <v>16.440000000000001</v>
      </c>
      <c r="CI77" s="381">
        <f t="shared" si="51"/>
        <v>0.37258144534479909</v>
      </c>
      <c r="CJ77" s="521">
        <f t="shared" si="52"/>
        <v>3.7184987917344774</v>
      </c>
      <c r="CK77" s="443">
        <f t="shared" si="53"/>
        <v>5.0946918710523601</v>
      </c>
      <c r="CL77" s="443">
        <f t="shared" si="62"/>
        <v>-1.3761930793178827</v>
      </c>
      <c r="CM77" s="443"/>
      <c r="CO77" s="184" t="s">
        <v>3499</v>
      </c>
      <c r="CP77" s="698">
        <v>-19.378864544470961</v>
      </c>
      <c r="CQ77" s="698">
        <v>9.0000478110577706</v>
      </c>
      <c r="CR77" s="698">
        <v>-2.1531957331005973</v>
      </c>
      <c r="CS77" s="698">
        <v>3.8077309430849172E-2</v>
      </c>
      <c r="CT77" s="698">
        <v>-37.631807518614472</v>
      </c>
      <c r="CU77" s="698">
        <v>-1.1259215703274492</v>
      </c>
      <c r="CV77" s="698">
        <v>-37.631807518614472</v>
      </c>
      <c r="CW77" s="698">
        <v>-1.1259215703274492</v>
      </c>
    </row>
    <row r="78" spans="1:101">
      <c r="CG78" t="s">
        <v>2395</v>
      </c>
      <c r="CH78" s="443">
        <f t="shared" si="61"/>
        <v>16.309999999999999</v>
      </c>
      <c r="CI78" s="381">
        <f t="shared" si="51"/>
        <v>0.42527126356317818</v>
      </c>
      <c r="CJ78" s="521">
        <f t="shared" si="52"/>
        <v>5.4092363968907176</v>
      </c>
      <c r="CK78" s="443">
        <f t="shared" si="53"/>
        <v>4.0020177904429843</v>
      </c>
      <c r="CL78" s="443">
        <f t="shared" si="62"/>
        <v>1.4072186064477332</v>
      </c>
      <c r="CM78" s="443"/>
    </row>
    <row r="79" spans="1:101">
      <c r="BE79" s="440"/>
      <c r="BJ79" s="440"/>
      <c r="BN79" s="440"/>
      <c r="BO79" s="440"/>
      <c r="BP79" s="440"/>
      <c r="BQ79" s="440"/>
      <c r="BR79" s="440"/>
      <c r="BS79" s="440"/>
      <c r="BT79" s="440"/>
      <c r="BU79" s="440"/>
      <c r="BV79" s="440"/>
      <c r="BW79" s="440"/>
      <c r="BX79" s="440"/>
      <c r="BY79" s="440"/>
      <c r="BZ79" s="440"/>
      <c r="CA79" s="440"/>
      <c r="CB79" s="440"/>
      <c r="CC79" s="440"/>
      <c r="CD79" s="440"/>
      <c r="CG79" t="s">
        <v>2396</v>
      </c>
      <c r="CH79" s="443">
        <f t="shared" si="61"/>
        <v>12.11</v>
      </c>
      <c r="CI79" s="381">
        <f t="shared" si="51"/>
        <v>0.42070975484313389</v>
      </c>
      <c r="CJ79" s="521">
        <f t="shared" si="52"/>
        <v>1.7839355247668207</v>
      </c>
      <c r="CK79" s="443">
        <f t="shared" si="53"/>
        <v>1.7770148959937249</v>
      </c>
      <c r="CL79" s="443">
        <f t="shared" si="62"/>
        <v>6.9206287730958493E-3</v>
      </c>
      <c r="CM79" s="443"/>
    </row>
    <row r="80" spans="1:101">
      <c r="CG80" t="s">
        <v>2397</v>
      </c>
      <c r="CH80" s="443">
        <f t="shared" si="61"/>
        <v>14.59</v>
      </c>
      <c r="CI80" s="381">
        <f t="shared" si="51"/>
        <v>0.41310282074613286</v>
      </c>
      <c r="CJ80" s="521">
        <f t="shared" si="52"/>
        <v>2.3984336759667158</v>
      </c>
      <c r="CK80" s="443">
        <f t="shared" si="53"/>
        <v>3.2904361152802473</v>
      </c>
      <c r="CL80" s="443">
        <f t="shared" si="62"/>
        <v>-0.89200243931353151</v>
      </c>
      <c r="CM80" s="443"/>
    </row>
    <row r="81" spans="85:91">
      <c r="CG81" t="s">
        <v>2398</v>
      </c>
      <c r="CH81" s="443">
        <f t="shared" si="61"/>
        <v>18.86</v>
      </c>
      <c r="CI81" s="381">
        <f t="shared" si="51"/>
        <v>0.39162519306675819</v>
      </c>
      <c r="CJ81" s="521">
        <f t="shared" si="52"/>
        <v>3.8221832700360308</v>
      </c>
      <c r="CK81" s="443">
        <f t="shared" si="53"/>
        <v>6.0586045694364081</v>
      </c>
      <c r="CL81" s="443">
        <f t="shared" si="62"/>
        <v>-2.2364212994003774</v>
      </c>
      <c r="CM81" s="443"/>
    </row>
    <row r="82" spans="85:91">
      <c r="CG82" t="s">
        <v>2399</v>
      </c>
      <c r="CH82" s="443">
        <f t="shared" si="61"/>
        <v>22.58</v>
      </c>
      <c r="CI82" s="381">
        <f t="shared" si="51"/>
        <v>0.44515328725855041</v>
      </c>
      <c r="CJ82" s="521">
        <f t="shared" si="52"/>
        <v>12.022292993630574</v>
      </c>
      <c r="CK82" s="443">
        <f t="shared" si="53"/>
        <v>7.070302093503015</v>
      </c>
      <c r="CL82" s="443">
        <f t="shared" si="62"/>
        <v>4.9519909001275586</v>
      </c>
      <c r="CM82" s="443"/>
    </row>
    <row r="83" spans="85:91">
      <c r="CG83" t="s">
        <v>2400</v>
      </c>
      <c r="CH83" s="443">
        <f t="shared" si="61"/>
        <v>16.87</v>
      </c>
      <c r="CI83" s="381">
        <f t="shared" si="51"/>
        <v>0.41504768632991873</v>
      </c>
      <c r="CJ83" s="521">
        <f t="shared" si="52"/>
        <v>4.8179669030732857</v>
      </c>
      <c r="CK83" s="443">
        <f t="shared" si="53"/>
        <v>4.5085924093467149</v>
      </c>
      <c r="CL83" s="443">
        <f t="shared" si="62"/>
        <v>0.30937449372657078</v>
      </c>
      <c r="CM83" s="443"/>
    </row>
    <row r="84" spans="85:91">
      <c r="CG84" t="s">
        <v>2401</v>
      </c>
      <c r="CH84" s="443">
        <f t="shared" si="61"/>
        <v>17.399999999999999</v>
      </c>
      <c r="CI84" s="381">
        <f t="shared" si="51"/>
        <v>0.38064516129032255</v>
      </c>
      <c r="CJ84" s="521">
        <f t="shared" si="52"/>
        <v>6.6559052999730968</v>
      </c>
      <c r="CK84" s="443">
        <f t="shared" si="53"/>
        <v>5.4672032986597507</v>
      </c>
      <c r="CL84" s="443">
        <f t="shared" si="62"/>
        <v>1.188702001313346</v>
      </c>
      <c r="CM84" s="443" t="s">
        <v>3502</v>
      </c>
    </row>
    <row r="85" spans="85:91">
      <c r="CG85" t="s">
        <v>2402</v>
      </c>
      <c r="CH85" s="443">
        <f t="shared" si="61"/>
        <v>19.100000000000001</v>
      </c>
      <c r="CI85" s="381">
        <f t="shared" si="51"/>
        <v>0.29797627355198886</v>
      </c>
      <c r="CJ85" s="521">
        <f t="shared" si="52"/>
        <v>5.5490502211813686</v>
      </c>
      <c r="CK85" s="443">
        <f t="shared" si="53"/>
        <v>8.005608567109384</v>
      </c>
      <c r="CL85" s="443">
        <f t="shared" si="62"/>
        <v>-2.4565583459280154</v>
      </c>
      <c r="CM85" s="443"/>
    </row>
    <row r="86" spans="85:91">
      <c r="CG86" t="s">
        <v>2403</v>
      </c>
      <c r="CH86" s="443">
        <f t="shared" si="61"/>
        <v>13.6</v>
      </c>
      <c r="CI86" s="381">
        <f t="shared" si="51"/>
        <v>0.30166607585962424</v>
      </c>
      <c r="CJ86" s="521">
        <f t="shared" si="52"/>
        <v>2.2457239848544197</v>
      </c>
      <c r="CK86" s="443">
        <f t="shared" si="53"/>
        <v>4.9046523291143567</v>
      </c>
      <c r="CL86" s="443">
        <f t="shared" si="62"/>
        <v>-2.658928344259937</v>
      </c>
      <c r="CM86" s="443"/>
    </row>
    <row r="87" spans="85:91">
      <c r="CG87" t="s">
        <v>2404</v>
      </c>
      <c r="CH87" s="443">
        <f t="shared" si="61"/>
        <v>11</v>
      </c>
      <c r="CI87" s="381">
        <f t="shared" si="51"/>
        <v>0.30958904109589042</v>
      </c>
      <c r="CJ87" s="521">
        <f t="shared" si="52"/>
        <v>-1.3372664700098329</v>
      </c>
      <c r="CK87" s="443">
        <f t="shared" si="53"/>
        <v>3.3190096493580841</v>
      </c>
      <c r="CL87" s="443">
        <f t="shared" si="62"/>
        <v>-4.6562761193679165</v>
      </c>
      <c r="CM87" s="443"/>
    </row>
    <row r="88" spans="85:91">
      <c r="CG88" t="s">
        <v>2405</v>
      </c>
      <c r="CH88" s="443">
        <f t="shared" si="61"/>
        <v>13.3</v>
      </c>
      <c r="CI88" s="381">
        <f t="shared" si="51"/>
        <v>0.32950191570881227</v>
      </c>
      <c r="CJ88" s="521">
        <f t="shared" si="52"/>
        <v>4.521963824289406</v>
      </c>
      <c r="CK88" s="443">
        <f t="shared" si="53"/>
        <v>4.1999825196201108</v>
      </c>
      <c r="CL88" s="443">
        <f t="shared" si="62"/>
        <v>0.3219813046692952</v>
      </c>
      <c r="CM88" s="443" t="s">
        <v>3501</v>
      </c>
    </row>
    <row r="89" spans="85:91">
      <c r="CG89" t="s">
        <v>2406</v>
      </c>
      <c r="CH89" s="443">
        <f t="shared" ref="CH89:CH94" si="67">INDEX($A$67:$CD$67,MATCH(CG89,$A$59:$CD$59,0))</f>
        <v>15.4</v>
      </c>
      <c r="CI89" s="381">
        <f t="shared" ref="CI89:CI94" si="68">INDEX($A$49:$CD$49,MATCH(CG89,$A$33:$CD$33,0))</f>
        <v>0.31052631578947371</v>
      </c>
      <c r="CJ89" s="521">
        <f t="shared" ref="CJ89:CJ94" si="69">INDEX($A$72:$CD$72,MATCH(CG89,$A$59:$CD$59,0))</f>
        <v>3.4705407586763517</v>
      </c>
      <c r="CK89" s="443">
        <f t="shared" ref="CK89:CK94" si="70">$CP$75+CH89*$CP$76+CI89*$CP$77</f>
        <v>5.724407977133759</v>
      </c>
      <c r="CL89" s="443">
        <f t="shared" ref="CL89:CL94" si="71">CJ89-CK89</f>
        <v>-2.2538672184574073</v>
      </c>
      <c r="CM89" s="443"/>
    </row>
    <row r="90" spans="85:91">
      <c r="CG90" t="s">
        <v>2407</v>
      </c>
      <c r="CH90" s="443">
        <f t="shared" si="67"/>
        <v>15.6</v>
      </c>
      <c r="CI90" s="381">
        <f t="shared" si="68"/>
        <v>0.32030381622823267</v>
      </c>
      <c r="CJ90" s="521">
        <f t="shared" si="69"/>
        <v>6.9275753486279799</v>
      </c>
      <c r="CK90" s="443">
        <f t="shared" si="70"/>
        <v>5.6450930135977053</v>
      </c>
      <c r="CL90" s="443">
        <f t="shared" si="71"/>
        <v>1.2824823350302745</v>
      </c>
    </row>
    <row r="91" spans="85:91">
      <c r="CG91" s="391" t="s">
        <v>2410</v>
      </c>
      <c r="CH91" s="443">
        <f t="shared" si="67"/>
        <v>19.399999999999999</v>
      </c>
      <c r="CI91" s="381">
        <f t="shared" si="68"/>
        <v>0.2998370450841934</v>
      </c>
      <c r="CJ91" s="610">
        <f t="shared" si="69"/>
        <v>9.3531937734836283</v>
      </c>
      <c r="CK91" s="443">
        <f t="shared" si="70"/>
        <v>8.1347917672138266</v>
      </c>
      <c r="CL91" s="443">
        <f t="shared" si="71"/>
        <v>1.2184020062698018</v>
      </c>
    </row>
    <row r="92" spans="85:91">
      <c r="CG92" s="391" t="s">
        <v>2411</v>
      </c>
      <c r="CH92" s="443">
        <f t="shared" si="67"/>
        <v>20</v>
      </c>
      <c r="CI92" s="381">
        <f t="shared" si="68"/>
        <v>0.30001768972227139</v>
      </c>
      <c r="CJ92" s="610">
        <f t="shared" si="69"/>
        <v>12.558962264150944</v>
      </c>
      <c r="CK92" s="443">
        <f t="shared" si="70"/>
        <v>8.4617767583923182</v>
      </c>
      <c r="CL92" s="443">
        <f t="shared" si="71"/>
        <v>4.0971855057586257</v>
      </c>
      <c r="CM92" s="443" t="s">
        <v>3501</v>
      </c>
    </row>
    <row r="93" spans="85:91">
      <c r="CG93" s="391" t="s">
        <v>2412</v>
      </c>
      <c r="CH93" s="443">
        <f t="shared" si="67"/>
        <v>13.2</v>
      </c>
      <c r="CI93" s="381">
        <f t="shared" si="68"/>
        <v>0.29480564155486755</v>
      </c>
      <c r="CJ93" s="610">
        <f t="shared" si="69"/>
        <v>5.7565149747180087</v>
      </c>
      <c r="CK93" s="443">
        <f t="shared" si="70"/>
        <v>4.8172759701221519</v>
      </c>
      <c r="CL93" s="443">
        <f t="shared" si="71"/>
        <v>0.93923900459585674</v>
      </c>
    </row>
    <row r="94" spans="85:91">
      <c r="CG94" s="391" t="s">
        <v>2414</v>
      </c>
      <c r="CH94" s="443">
        <f t="shared" si="67"/>
        <v>13.8</v>
      </c>
      <c r="CI94" s="381">
        <f t="shared" si="68"/>
        <v>0.30026431718061675</v>
      </c>
      <c r="CJ94" s="610">
        <f t="shared" si="69"/>
        <v>6.5923317683881066</v>
      </c>
      <c r="CK94" s="443">
        <f t="shared" si="70"/>
        <v>5.0419787137290433</v>
      </c>
      <c r="CL94" s="443">
        <f t="shared" si="71"/>
        <v>1.5503530546590634</v>
      </c>
    </row>
    <row r="95" spans="85:91">
      <c r="CG95" s="391" t="s">
        <v>2416</v>
      </c>
      <c r="CH95" s="443">
        <f t="shared" ref="CH95" si="72">INDEX($A$67:$CD$67,MATCH(CG95,$A$59:$CD$59,0))</f>
        <v>11.4</v>
      </c>
      <c r="CI95" s="381">
        <f t="shared" ref="CI95" si="73">INDEX($A$49:$CD$49,MATCH(CG95,$A$33:$CD$33,0))</f>
        <v>0.28902953586497893</v>
      </c>
      <c r="CJ95" s="610">
        <f t="shared" ref="CJ95" si="74">INDEX($A$72:$CD$72,MATCH(CG95,$A$59:$CD$59,0))</f>
        <v>2.8183292781832927</v>
      </c>
      <c r="CK95" s="443">
        <f t="shared" ref="CK95" si="75">$CP$75+CH95*$CP$76+CI95*$CP$77</f>
        <v>3.9377533024295852</v>
      </c>
      <c r="CL95" s="443">
        <f t="shared" ref="CL95" si="76">CJ95-CK95</f>
        <v>-1.1194240242462925</v>
      </c>
    </row>
    <row r="96" spans="85:91">
      <c r="CG96" s="391" t="s">
        <v>2418</v>
      </c>
      <c r="CH96" s="443">
        <f t="shared" ref="CH96" si="77">INDEX($A$67:$CD$67,MATCH(CG96,$A$59:$CD$59,0))</f>
        <v>13.8</v>
      </c>
      <c r="CI96" s="381">
        <f t="shared" ref="CI96" si="78">INDEX($A$49:$CD$49,MATCH(CG96,$A$33:$CD$33,0))</f>
        <v>0.28988493903486173</v>
      </c>
      <c r="CJ96" s="610">
        <f t="shared" ref="CJ96" si="79">INDEX($A$72:$CD$72,MATCH(CG96,$A$59:$CD$59,0))</f>
        <v>5.9768299104792</v>
      </c>
      <c r="CK96" s="443">
        <f t="shared" ref="CK96" si="80">$CP$75+CH96*$CP$76+CI96*$CP$77</f>
        <v>5.2431192768714716</v>
      </c>
      <c r="CL96" s="443">
        <f t="shared" ref="CL96" si="81">CJ96-CK96</f>
        <v>0.73371063360772837</v>
      </c>
    </row>
    <row r="97" spans="85:90">
      <c r="CG97" s="391" t="s">
        <v>2419</v>
      </c>
      <c r="CH97" s="443">
        <f t="shared" ref="CH97" si="82">INDEX($A$67:$CD$67,MATCH(CG97,$A$59:$CD$59,0))</f>
        <v>16.3</v>
      </c>
      <c r="CI97" s="381">
        <f t="shared" ref="CI97" si="83">INDEX($A$49:$CD$49,MATCH(CG97,$A$33:$CD$33,0))</f>
        <v>0.29288351795904666</v>
      </c>
      <c r="CJ97" s="610">
        <f t="shared" ref="CJ97" si="84">INDEX($A$72:$CD$72,MATCH(CG97,$A$59:$CD$59,0))</f>
        <v>11.384909264565424</v>
      </c>
      <c r="CK97" s="443">
        <f t="shared" ref="CK97" si="85">$CP$75+CH97*$CP$76+CI97*$CP$77</f>
        <v>6.5620338852008233</v>
      </c>
      <c r="CL97" s="443">
        <f t="shared" ref="CL97" si="86">CJ97-CK97</f>
        <v>4.8228753793646009</v>
      </c>
    </row>
    <row r="98" spans="85:90">
      <c r="CG98" s="391" t="s">
        <v>2420</v>
      </c>
      <c r="CH98" s="443">
        <f t="shared" ref="CH98" si="87">INDEX($A$67:$CD$67,MATCH(CG98,$A$59:$CD$59,0))</f>
        <v>14.4</v>
      </c>
      <c r="CI98" s="381">
        <f t="shared" ref="CI98" si="88">INDEX($A$49:$CD$49,MATCH(CG98,$A$33:$CD$33,0))</f>
        <v>0.26740157480314963</v>
      </c>
      <c r="CJ98" s="610">
        <f t="shared" ref="CJ98" si="89">INDEX($A$72:$CD$72,MATCH(CG98,$A$59:$CD$59,0))</f>
        <v>6.3865986127470222</v>
      </c>
      <c r="CK98" s="443">
        <f t="shared" ref="CK98" si="90">$CP$75+CH98*$CP$76+CI98*$CP$77</f>
        <v>6.0093070259723138</v>
      </c>
      <c r="CL98" s="443">
        <f t="shared" ref="CL98" si="91">CJ98-CK98</f>
        <v>0.37729158677470842</v>
      </c>
    </row>
    <row r="100" spans="85:90">
      <c r="CG100" s="391" t="s">
        <v>3527</v>
      </c>
    </row>
    <row r="101" spans="85:90">
      <c r="CG101" s="505" t="s">
        <v>2408</v>
      </c>
      <c r="CH101" s="558">
        <f>INDEX($A$67:$CD$67,MATCH(CG101,$A$59:$CD$59,0))</f>
        <v>13</v>
      </c>
      <c r="CI101" s="559">
        <f>INDEX($A$49:$CD$49,MATCH(CG101,$A$33:$CD$33,0))</f>
        <v>0.33352049410443568</v>
      </c>
      <c r="CJ101" s="560">
        <f>INDEX($A$72:$CD$72,MATCH(CG101,$A$59:$CD$59,0))</f>
        <v>5.7675520638483597</v>
      </c>
      <c r="CK101" s="558">
        <f>$CP$75+CH101*$CP$76+CI101*$CP$77</f>
        <v>3.9568641936547433</v>
      </c>
      <c r="CL101" s="558">
        <f>CJ101-CK101</f>
        <v>1.8106878701936164</v>
      </c>
    </row>
    <row r="102" spans="85:90">
      <c r="CG102" s="505" t="s">
        <v>2409</v>
      </c>
      <c r="CH102" s="558">
        <f>INDEX($A$67:$CD$67,MATCH(CG102,$A$59:$CD$59,0))</f>
        <v>15.2</v>
      </c>
      <c r="CI102" s="559">
        <f>INDEX($A$49:$CD$49,MATCH(CG102,$A$33:$CD$33,0))</f>
        <v>0.32306841231790523</v>
      </c>
      <c r="CJ102" s="560">
        <f>INDEX($A$72:$CD$72,MATCH(CG102,$A$59:$CD$59,0))</f>
        <v>9.1704718417047193</v>
      </c>
      <c r="CK102" s="558">
        <f>$CP$75+CH102*$CP$76+CI102*$CP$77</f>
        <v>5.3711944943554402</v>
      </c>
      <c r="CL102" s="558">
        <f>CJ102-CK102</f>
        <v>3.7992773473492791</v>
      </c>
    </row>
    <row r="103" spans="85:90">
      <c r="CG103" s="505" t="s">
        <v>2413</v>
      </c>
      <c r="CH103" s="558">
        <f>INDEX($A$67:$CD$67,MATCH(CG103,$A$59:$CD$59,0))</f>
        <v>10.5</v>
      </c>
      <c r="CI103" s="559">
        <f>INDEX($A$49:$CD$49,MATCH(CG103,$A$33:$CD$33,0))</f>
        <v>0.31634318882641033</v>
      </c>
      <c r="CJ103" s="560">
        <f>INDEX($A$72:$CD$72,MATCH(CG103,$A$59:$CD$59,0))</f>
        <v>8.3843017329255858</v>
      </c>
      <c r="CK103" s="558">
        <f>$CP$75+CH103*$CP$76+CI103*$CP$77</f>
        <v>2.9127172027495858</v>
      </c>
      <c r="CL103" s="558">
        <f>CJ103-CK103</f>
        <v>5.471584530176</v>
      </c>
    </row>
    <row r="104" spans="85:90">
      <c r="CG104" s="505" t="s">
        <v>2415</v>
      </c>
      <c r="CH104" s="558">
        <f>INDEX($A$67:$CD$67,MATCH(CG104,$A$59:$CD$59,0))</f>
        <v>11.6</v>
      </c>
      <c r="CI104" s="559">
        <f>INDEX($A$49:$CD$49,MATCH(CG104,$A$33:$CD$33,0))</f>
        <v>0.29864253393665158</v>
      </c>
      <c r="CJ104" s="560">
        <f>INDEX($A$72:$CD$72,MATCH(CG104,$A$59:$CD$59,0))</f>
        <v>6.6195286195286194</v>
      </c>
      <c r="CK104" s="558">
        <f>$CP$75+CH104*$CP$76+CI104*$CP$77</f>
        <v>3.8616262079825434</v>
      </c>
      <c r="CL104" s="558">
        <f>CJ104-CK104</f>
        <v>2.757902411546076</v>
      </c>
    </row>
    <row r="105" spans="85:90">
      <c r="CG105" s="505" t="s">
        <v>2417</v>
      </c>
      <c r="CH105" s="558">
        <f>INDEX($A$67:$CD$67,MATCH(CG105,$A$59:$CD$59,0))</f>
        <v>11.7</v>
      </c>
      <c r="CI105" s="559">
        <f>INDEX($A$49:$CD$49,MATCH(CG105,$A$33:$CD$33,0))</f>
        <v>0.29632248939179634</v>
      </c>
      <c r="CJ105" s="560">
        <f>INDEX($A$72:$CD$72,MATCH(CG105,$A$59:$CD$59,0))</f>
        <v>7.9554494828957836</v>
      </c>
      <c r="CK105" s="558">
        <f>$CP$75+CH105*$CP$76+CI105*$CP$77</f>
        <v>3.9616669834795131</v>
      </c>
      <c r="CL105" s="558">
        <f>CJ105-CK105</f>
        <v>3.9937824994162705</v>
      </c>
    </row>
  </sheetData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indexed="24"/>
    <pageSetUpPr fitToPage="1"/>
  </sheetPr>
  <dimension ref="A1:CG226"/>
  <sheetViews>
    <sheetView zoomScale="85" zoomScaleNormal="85" workbookViewId="0">
      <pane xSplit="2" ySplit="4" topLeftCell="AF5" activePane="bottomRight" state="frozen"/>
      <selection sqref="A1:IV65536"/>
      <selection pane="topRight" sqref="A1:IV65536"/>
      <selection pane="bottomLeft" sqref="A1:IV65536"/>
      <selection pane="bottomRight" sqref="A1:XFD1048576"/>
    </sheetView>
  </sheetViews>
  <sheetFormatPr defaultColWidth="9.7109375" defaultRowHeight="12.75" outlineLevelRow="1" outlineLevelCol="1"/>
  <cols>
    <col min="1" max="1" width="3.7109375" customWidth="1"/>
    <col min="2" max="2" width="35.7109375" customWidth="1"/>
    <col min="3" max="7" width="9.7109375" customWidth="1"/>
    <col min="8" max="11" width="9.7109375" hidden="1" customWidth="1" outlineLevel="1"/>
    <col min="12" max="12" width="9.7109375" customWidth="1" collapsed="1"/>
    <col min="13" max="16" width="9.7109375" hidden="1" customWidth="1" outlineLevel="1"/>
    <col min="17" max="17" width="9.7109375" customWidth="1" collapsed="1"/>
    <col min="18" max="21" width="9.7109375" hidden="1" customWidth="1" outlineLevel="1"/>
    <col min="22" max="22" width="9.7109375" customWidth="1" collapsed="1"/>
    <col min="23" max="26" width="9.7109375" hidden="1" customWidth="1" outlineLevel="1"/>
    <col min="27" max="27" width="9.7109375" customWidth="1" collapsed="1"/>
    <col min="28" max="31" width="9.7109375" hidden="1" customWidth="1" outlineLevel="1"/>
    <col min="32" max="32" width="9.7109375" customWidth="1" collapsed="1"/>
    <col min="33" max="36" width="9.7109375" hidden="1" customWidth="1" outlineLevel="1"/>
    <col min="37" max="37" width="9.7109375" customWidth="1" collapsed="1"/>
    <col min="38" max="41" width="9.7109375" hidden="1" customWidth="1" outlineLevel="1"/>
    <col min="42" max="42" width="9.7109375" customWidth="1" collapsed="1"/>
    <col min="43" max="46" width="9.7109375" hidden="1" customWidth="1" outlineLevel="1"/>
    <col min="47" max="47" width="9.7109375" customWidth="1" collapsed="1"/>
    <col min="48" max="51" width="9.7109375" hidden="1" customWidth="1" outlineLevel="1"/>
    <col min="52" max="52" width="9.7109375" customWidth="1" collapsed="1"/>
    <col min="53" max="56" width="9.7109375" hidden="1" customWidth="1" outlineLevel="1"/>
    <col min="57" max="57" width="9.7109375" customWidth="1" collapsed="1"/>
    <col min="58" max="61" width="9.7109375" hidden="1" customWidth="1" outlineLevel="1"/>
    <col min="62" max="62" width="9.7109375" customWidth="1" collapsed="1"/>
    <col min="63" max="66" width="9.7109375" hidden="1" customWidth="1" outlineLevel="1"/>
    <col min="67" max="67" width="9.7109375" customWidth="1" collapsed="1"/>
    <col min="68" max="71" width="9.7109375" hidden="1" customWidth="1" outlineLevel="1"/>
    <col min="72" max="72" width="9.7109375" customWidth="1" collapsed="1"/>
    <col min="73" max="76" width="9.7109375" hidden="1" customWidth="1" outlineLevel="1"/>
    <col min="77" max="77" width="9.7109375" customWidth="1" collapsed="1"/>
    <col min="78" max="81" width="9.7109375" hidden="1" customWidth="1" outlineLevel="1"/>
    <col min="82" max="82" width="9.7109375" customWidth="1" collapsed="1"/>
  </cols>
  <sheetData>
    <row r="1" spans="1:84" ht="12.75" customHeight="1">
      <c r="A1" s="1"/>
      <c r="B1" s="1"/>
      <c r="C1" s="1"/>
      <c r="D1" s="2"/>
      <c r="E1" s="2"/>
      <c r="F1" s="2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3"/>
      <c r="T1" s="3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 t="s">
        <v>3421</v>
      </c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</row>
    <row r="2" spans="1:84" ht="18" customHeight="1">
      <c r="A2" s="1"/>
      <c r="B2" s="20" t="s">
        <v>3369</v>
      </c>
      <c r="C2" s="1"/>
      <c r="D2" s="2"/>
      <c r="E2" s="2"/>
      <c r="F2" s="2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3"/>
      <c r="T2" s="3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 t="s">
        <v>3421</v>
      </c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</row>
    <row r="3" spans="1:84" ht="12.75" customHeight="1">
      <c r="A3" s="1"/>
      <c r="B3" s="21" t="s">
        <v>194</v>
      </c>
      <c r="C3" s="1"/>
      <c r="D3" s="2"/>
      <c r="E3" s="2"/>
      <c r="F3" s="2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3"/>
      <c r="T3" s="3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 t="s">
        <v>3421</v>
      </c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</row>
    <row r="4" spans="1:84" ht="12.75" customHeight="1">
      <c r="A4" s="1"/>
      <c r="B4" s="1"/>
      <c r="C4" s="1"/>
      <c r="D4" s="2"/>
      <c r="E4" s="2"/>
      <c r="F4" s="2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3"/>
      <c r="T4" s="3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 t="s">
        <v>3421</v>
      </c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</row>
    <row r="5" spans="1:84" ht="12.75" customHeight="1">
      <c r="A5" s="4"/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</row>
    <row r="6" spans="1:84" ht="12.75" customHeight="1">
      <c r="A6" s="42" t="s">
        <v>2686</v>
      </c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</row>
    <row r="7" spans="1:84" ht="12.75" customHeight="1">
      <c r="A7" s="4"/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8"/>
      <c r="AQ7" s="5"/>
      <c r="AR7" s="5"/>
      <c r="AS7" s="5"/>
      <c r="AT7" s="5"/>
      <c r="AU7" s="8"/>
      <c r="AV7" s="5"/>
      <c r="AW7" s="5"/>
      <c r="AX7" s="5"/>
      <c r="AY7" s="5"/>
      <c r="AZ7" s="8"/>
      <c r="BA7" s="5"/>
      <c r="BB7" s="5"/>
      <c r="BC7" s="5"/>
      <c r="BD7" s="5"/>
      <c r="BE7" s="8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</row>
    <row r="8" spans="1:84" ht="12.75" customHeight="1">
      <c r="A8" s="9" t="s">
        <v>356</v>
      </c>
      <c r="B8" s="4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116"/>
      <c r="AL8" s="5"/>
      <c r="AM8" s="5"/>
      <c r="AN8" s="5"/>
      <c r="AO8" s="5"/>
      <c r="AP8" s="116"/>
      <c r="AQ8" s="5"/>
      <c r="AR8" s="5"/>
      <c r="AS8" s="5"/>
      <c r="AT8" s="5"/>
      <c r="AU8" s="116"/>
      <c r="AV8" s="5"/>
      <c r="AW8" s="5"/>
      <c r="AX8" s="5"/>
      <c r="AY8" s="5"/>
      <c r="AZ8" s="116"/>
      <c r="BA8" s="5"/>
      <c r="BB8" s="5"/>
      <c r="BC8" s="5"/>
      <c r="BD8" s="5"/>
      <c r="BE8" s="116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</row>
    <row r="9" spans="1:84" ht="12.75" customHeight="1">
      <c r="A9" s="10"/>
      <c r="B9" s="10"/>
      <c r="C9" s="31">
        <v>2001</v>
      </c>
      <c r="D9" s="32">
        <v>2002</v>
      </c>
      <c r="E9" s="32">
        <v>2003</v>
      </c>
      <c r="F9" s="32">
        <v>2004</v>
      </c>
      <c r="G9" s="31">
        <v>2005</v>
      </c>
      <c r="H9" s="33" t="s">
        <v>714</v>
      </c>
      <c r="I9" s="33" t="s">
        <v>715</v>
      </c>
      <c r="J9" s="33" t="s">
        <v>716</v>
      </c>
      <c r="K9" s="33" t="s">
        <v>717</v>
      </c>
      <c r="L9" s="31">
        <v>2006</v>
      </c>
      <c r="M9" s="33" t="s">
        <v>718</v>
      </c>
      <c r="N9" s="33" t="s">
        <v>719</v>
      </c>
      <c r="O9" s="33" t="s">
        <v>1970</v>
      </c>
      <c r="P9" s="33" t="s">
        <v>1971</v>
      </c>
      <c r="Q9" s="31">
        <v>2007</v>
      </c>
      <c r="R9" s="33" t="s">
        <v>1972</v>
      </c>
      <c r="S9" s="33" t="s">
        <v>1973</v>
      </c>
      <c r="T9" s="33" t="s">
        <v>1974</v>
      </c>
      <c r="U9" s="33" t="s">
        <v>1975</v>
      </c>
      <c r="V9" s="31">
        <v>2008</v>
      </c>
      <c r="W9" s="33" t="s">
        <v>1976</v>
      </c>
      <c r="X9" s="33" t="s">
        <v>1977</v>
      </c>
      <c r="Y9" s="33" t="s">
        <v>1978</v>
      </c>
      <c r="Z9" s="33" t="s">
        <v>1979</v>
      </c>
      <c r="AA9" s="31">
        <v>2009</v>
      </c>
      <c r="AB9" s="33" t="s">
        <v>1980</v>
      </c>
      <c r="AC9" s="33" t="s">
        <v>1981</v>
      </c>
      <c r="AD9" s="33" t="s">
        <v>1982</v>
      </c>
      <c r="AE9" s="33" t="s">
        <v>2392</v>
      </c>
      <c r="AF9" s="31">
        <v>2010</v>
      </c>
      <c r="AG9" s="33" t="s">
        <v>2393</v>
      </c>
      <c r="AH9" s="33" t="s">
        <v>2394</v>
      </c>
      <c r="AI9" s="33" t="s">
        <v>2395</v>
      </c>
      <c r="AJ9" s="33" t="s">
        <v>2396</v>
      </c>
      <c r="AK9" s="31">
        <v>2011</v>
      </c>
      <c r="AL9" s="33" t="s">
        <v>2397</v>
      </c>
      <c r="AM9" s="33" t="s">
        <v>2398</v>
      </c>
      <c r="AN9" s="33" t="s">
        <v>2399</v>
      </c>
      <c r="AO9" s="33" t="s">
        <v>2400</v>
      </c>
      <c r="AP9" s="31">
        <v>2012</v>
      </c>
      <c r="AQ9" s="33" t="s">
        <v>2401</v>
      </c>
      <c r="AR9" s="33" t="s">
        <v>2402</v>
      </c>
      <c r="AS9" s="33" t="s">
        <v>2403</v>
      </c>
      <c r="AT9" s="33" t="s">
        <v>2404</v>
      </c>
      <c r="AU9" s="31">
        <v>2013</v>
      </c>
      <c r="AV9" s="33" t="s">
        <v>2405</v>
      </c>
      <c r="AW9" s="33" t="s">
        <v>2406</v>
      </c>
      <c r="AX9" s="33" t="s">
        <v>2407</v>
      </c>
      <c r="AY9" s="33" t="s">
        <v>2408</v>
      </c>
      <c r="AZ9" s="31">
        <v>2014</v>
      </c>
      <c r="BA9" s="33" t="s">
        <v>2409</v>
      </c>
      <c r="BB9" s="33" t="s">
        <v>2410</v>
      </c>
      <c r="BC9" s="33" t="s">
        <v>2411</v>
      </c>
      <c r="BD9" s="33" t="s">
        <v>2412</v>
      </c>
      <c r="BE9" s="31">
        <v>2015</v>
      </c>
      <c r="BF9" s="33" t="s">
        <v>2413</v>
      </c>
      <c r="BG9" s="33" t="s">
        <v>2414</v>
      </c>
      <c r="BH9" s="33" t="s">
        <v>2415</v>
      </c>
      <c r="BI9" s="33" t="s">
        <v>2416</v>
      </c>
      <c r="BJ9" s="31">
        <v>2016</v>
      </c>
      <c r="BK9" s="33" t="s">
        <v>2417</v>
      </c>
      <c r="BL9" s="33" t="s">
        <v>2418</v>
      </c>
      <c r="BM9" s="33" t="s">
        <v>2419</v>
      </c>
      <c r="BN9" s="33" t="s">
        <v>2420</v>
      </c>
      <c r="BO9" s="31">
        <v>2017</v>
      </c>
      <c r="BP9" s="363" t="s">
        <v>2244</v>
      </c>
      <c r="BQ9" s="363" t="s">
        <v>2245</v>
      </c>
      <c r="BR9" s="363" t="s">
        <v>2508</v>
      </c>
      <c r="BS9" s="363" t="s">
        <v>2509</v>
      </c>
      <c r="BT9" s="364">
        <v>2018</v>
      </c>
      <c r="BU9" s="363" t="s">
        <v>2510</v>
      </c>
      <c r="BV9" s="363" t="s">
        <v>2511</v>
      </c>
      <c r="BW9" s="363" t="s">
        <v>3125</v>
      </c>
      <c r="BX9" s="363" t="s">
        <v>1405</v>
      </c>
      <c r="BY9" s="364">
        <v>2019</v>
      </c>
      <c r="BZ9" s="363" t="s">
        <v>1406</v>
      </c>
      <c r="CA9" s="363" t="s">
        <v>1407</v>
      </c>
      <c r="CB9" s="363" t="s">
        <v>1408</v>
      </c>
      <c r="CC9" s="363" t="s">
        <v>1409</v>
      </c>
      <c r="CD9" s="364">
        <v>2020</v>
      </c>
    </row>
    <row r="10" spans="1:84" ht="12.75" hidden="1" customHeight="1" outlineLevel="1">
      <c r="A10" s="7" t="s">
        <v>2946</v>
      </c>
      <c r="B10" s="4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F10" s="406"/>
    </row>
    <row r="11" spans="1:84" ht="12.75" hidden="1" customHeight="1" outlineLevel="1">
      <c r="A11" s="4"/>
      <c r="B11" s="11" t="s">
        <v>2947</v>
      </c>
      <c r="C11" s="5">
        <v>6508</v>
      </c>
      <c r="D11" s="5">
        <f>C18</f>
        <v>7217</v>
      </c>
      <c r="E11" s="5">
        <f>D18</f>
        <v>7762</v>
      </c>
      <c r="F11" s="5">
        <f>E18</f>
        <v>7214</v>
      </c>
      <c r="G11" s="5">
        <f>F18</f>
        <v>6755</v>
      </c>
      <c r="H11" s="72"/>
      <c r="I11" s="72"/>
      <c r="J11" s="72"/>
      <c r="K11" s="72"/>
      <c r="L11" s="5">
        <f>G18</f>
        <v>6360</v>
      </c>
      <c r="M11" s="72"/>
      <c r="N11" s="72"/>
      <c r="O11" s="72"/>
      <c r="P11" s="72"/>
      <c r="Q11" s="5">
        <f>L18</f>
        <v>5893</v>
      </c>
      <c r="R11" s="72"/>
      <c r="S11" s="72"/>
      <c r="T11" s="72"/>
      <c r="U11" s="72"/>
      <c r="V11" s="5">
        <f>Q18</f>
        <v>5492</v>
      </c>
      <c r="W11" s="72"/>
      <c r="X11" s="72"/>
      <c r="Y11" s="72"/>
      <c r="Z11" s="72"/>
      <c r="AA11" s="5">
        <f>V18</f>
        <v>5665</v>
      </c>
      <c r="AB11" s="72"/>
      <c r="AC11" s="72"/>
      <c r="AD11" s="72"/>
      <c r="AE11" s="72"/>
      <c r="AF11" s="5">
        <f>AA18</f>
        <v>5658</v>
      </c>
      <c r="AG11" s="72"/>
      <c r="AH11" s="72"/>
      <c r="AI11" s="72"/>
      <c r="AJ11" s="72"/>
      <c r="AK11" s="5">
        <f>AF18</f>
        <v>5559</v>
      </c>
      <c r="AL11" s="72"/>
      <c r="AM11" s="72"/>
      <c r="AN11" s="72"/>
      <c r="AO11" s="72"/>
      <c r="AP11" s="5">
        <f>AK18</f>
        <v>5153</v>
      </c>
      <c r="AQ11" s="72"/>
      <c r="AR11" s="72"/>
      <c r="AS11" s="72"/>
      <c r="AT11" s="72"/>
      <c r="AU11" s="5">
        <f>AP18</f>
        <v>4477</v>
      </c>
      <c r="AV11" s="72"/>
      <c r="AW11" s="72"/>
      <c r="AX11" s="72"/>
      <c r="AY11" s="72"/>
      <c r="AZ11" s="5">
        <f>AU18</f>
        <v>4161</v>
      </c>
      <c r="BA11" s="72"/>
      <c r="BB11" s="72"/>
      <c r="BC11" s="72"/>
      <c r="BD11" s="72"/>
      <c r="BE11" s="5">
        <f>AZ18+AZ42</f>
        <v>4093</v>
      </c>
      <c r="BF11" s="72"/>
      <c r="BG11" s="72"/>
      <c r="BH11" s="72"/>
      <c r="BI11" s="72"/>
      <c r="BJ11" s="5">
        <f>BE18+BE42</f>
        <v>3983</v>
      </c>
      <c r="BK11" s="72"/>
      <c r="BL11" s="72"/>
      <c r="BM11" s="72"/>
      <c r="BN11" s="72"/>
      <c r="BO11" s="5">
        <f>3778+373</f>
        <v>4151</v>
      </c>
      <c r="BP11" s="72"/>
      <c r="BQ11" s="72"/>
      <c r="BR11" s="72"/>
      <c r="BS11" s="72"/>
      <c r="BT11" s="72"/>
      <c r="BU11" s="72"/>
      <c r="BV11" s="72"/>
      <c r="BW11" s="72"/>
      <c r="BX11" s="72"/>
      <c r="BY11" s="72"/>
      <c r="BZ11" s="72"/>
      <c r="CA11" s="72"/>
      <c r="CB11" s="72"/>
      <c r="CC11" s="72"/>
      <c r="CD11" s="72"/>
      <c r="CF11" s="538"/>
    </row>
    <row r="12" spans="1:84" ht="12.75" hidden="1" customHeight="1" outlineLevel="1">
      <c r="A12" s="4"/>
      <c r="B12" s="123" t="s">
        <v>2518</v>
      </c>
      <c r="C12" s="5">
        <v>-97</v>
      </c>
      <c r="D12" s="5">
        <v>-29</v>
      </c>
      <c r="E12" s="5">
        <v>-351</v>
      </c>
      <c r="F12" s="5">
        <v>-439</v>
      </c>
      <c r="G12" s="5">
        <v>-274</v>
      </c>
      <c r="H12" s="72"/>
      <c r="I12" s="72"/>
      <c r="J12" s="72"/>
      <c r="K12" s="72"/>
      <c r="L12" s="5">
        <v>-113</v>
      </c>
      <c r="M12" s="72"/>
      <c r="N12" s="72"/>
      <c r="O12" s="72"/>
      <c r="P12" s="72"/>
      <c r="Q12" s="5">
        <v>-204</v>
      </c>
      <c r="R12" s="72"/>
      <c r="S12" s="72"/>
      <c r="T12" s="72"/>
      <c r="U12" s="72"/>
      <c r="V12" s="5">
        <v>264</v>
      </c>
      <c r="W12" s="72"/>
      <c r="X12" s="72"/>
      <c r="Y12" s="72"/>
      <c r="Z12" s="72"/>
      <c r="AA12" s="5">
        <v>-55</v>
      </c>
      <c r="AB12" s="72"/>
      <c r="AC12" s="72"/>
      <c r="AD12" s="72"/>
      <c r="AE12" s="72"/>
      <c r="AF12" s="5">
        <v>-146</v>
      </c>
      <c r="AG12" s="72"/>
      <c r="AH12" s="72"/>
      <c r="AI12" s="72"/>
      <c r="AJ12" s="72"/>
      <c r="AK12" s="5">
        <v>-159</v>
      </c>
      <c r="AL12" s="72"/>
      <c r="AM12" s="72"/>
      <c r="AN12" s="72"/>
      <c r="AO12" s="72"/>
      <c r="AP12" s="5">
        <v>-349</v>
      </c>
      <c r="AQ12" s="72"/>
      <c r="AR12" s="72"/>
      <c r="AS12" s="72"/>
      <c r="AT12" s="72"/>
      <c r="AU12" s="5">
        <v>-129</v>
      </c>
      <c r="AV12" s="72"/>
      <c r="AW12" s="72"/>
      <c r="AX12" s="72"/>
      <c r="AY12" s="72"/>
      <c r="AZ12" s="5">
        <f>101+1</f>
        <v>102</v>
      </c>
      <c r="BA12" s="72"/>
      <c r="BB12" s="72"/>
      <c r="BC12" s="72"/>
      <c r="BD12" s="72"/>
      <c r="BE12" s="5">
        <f>(260-69)</f>
        <v>191</v>
      </c>
      <c r="BF12" s="72"/>
      <c r="BG12" s="72"/>
      <c r="BH12" s="72"/>
      <c r="BI12" s="72"/>
      <c r="BJ12" s="5">
        <v>533</v>
      </c>
      <c r="BK12" s="72"/>
      <c r="BL12" s="72"/>
      <c r="BM12" s="72"/>
      <c r="BN12" s="72"/>
      <c r="BO12" s="5">
        <f>673-36</f>
        <v>637</v>
      </c>
      <c r="BP12" s="72"/>
      <c r="BQ12" s="72"/>
      <c r="BR12" s="72"/>
      <c r="BS12" s="72"/>
      <c r="BT12" s="72"/>
      <c r="BU12" s="72"/>
      <c r="BV12" s="72"/>
      <c r="BW12" s="72"/>
      <c r="BX12" s="72"/>
      <c r="BY12" s="72"/>
      <c r="BZ12" s="72"/>
      <c r="CA12" s="72"/>
      <c r="CB12" s="72"/>
      <c r="CC12" s="72"/>
      <c r="CD12" s="72"/>
      <c r="CF12" s="538"/>
    </row>
    <row r="13" spans="1:84" ht="12.75" hidden="1" customHeight="1" outlineLevel="1">
      <c r="A13" s="4"/>
      <c r="B13" s="123" t="s">
        <v>2948</v>
      </c>
      <c r="C13" s="5">
        <v>113</v>
      </c>
      <c r="D13" s="5">
        <v>132</v>
      </c>
      <c r="E13" s="5">
        <v>172</v>
      </c>
      <c r="F13" s="5">
        <v>156</v>
      </c>
      <c r="G13" s="5">
        <v>280</v>
      </c>
      <c r="H13" s="72"/>
      <c r="I13" s="72"/>
      <c r="J13" s="72"/>
      <c r="K13" s="72"/>
      <c r="L13" s="5">
        <v>169</v>
      </c>
      <c r="M13" s="72"/>
      <c r="N13" s="72"/>
      <c r="O13" s="72"/>
      <c r="P13" s="72"/>
      <c r="Q13" s="5">
        <v>131</v>
      </c>
      <c r="R13" s="72"/>
      <c r="S13" s="72"/>
      <c r="T13" s="72"/>
      <c r="U13" s="72"/>
      <c r="V13" s="5">
        <v>321</v>
      </c>
      <c r="W13" s="72"/>
      <c r="X13" s="72"/>
      <c r="Y13" s="72"/>
      <c r="Z13" s="72"/>
      <c r="AA13" s="5">
        <v>203</v>
      </c>
      <c r="AB13" s="72"/>
      <c r="AC13" s="72"/>
      <c r="AD13" s="72"/>
      <c r="AE13" s="72"/>
      <c r="AF13" s="5">
        <v>421</v>
      </c>
      <c r="AG13" s="72"/>
      <c r="AH13" s="72"/>
      <c r="AI13" s="72"/>
      <c r="AJ13" s="72"/>
      <c r="AK13" s="5">
        <v>206</v>
      </c>
      <c r="AL13" s="72"/>
      <c r="AM13" s="72"/>
      <c r="AN13" s="72"/>
      <c r="AO13" s="72"/>
      <c r="AP13" s="5">
        <v>158</v>
      </c>
      <c r="AQ13" s="72"/>
      <c r="AR13" s="72"/>
      <c r="AS13" s="72"/>
      <c r="AT13" s="72"/>
      <c r="AU13" s="5">
        <v>132</v>
      </c>
      <c r="AV13" s="72"/>
      <c r="AW13" s="72"/>
      <c r="AX13" s="72"/>
      <c r="AY13" s="72"/>
      <c r="AZ13" s="5">
        <f>23+13</f>
        <v>36</v>
      </c>
      <c r="BA13" s="72"/>
      <c r="BB13" s="72"/>
      <c r="BC13" s="72"/>
      <c r="BD13" s="72"/>
      <c r="BE13" s="5">
        <f>18+12</f>
        <v>30</v>
      </c>
      <c r="BF13" s="72"/>
      <c r="BG13" s="72"/>
      <c r="BH13" s="72"/>
      <c r="BI13" s="72"/>
      <c r="BJ13" s="5">
        <v>78</v>
      </c>
      <c r="BK13" s="72"/>
      <c r="BL13" s="72"/>
      <c r="BM13" s="72"/>
      <c r="BN13" s="72"/>
      <c r="BO13" s="5">
        <f>14+15</f>
        <v>29</v>
      </c>
      <c r="BP13" s="72"/>
      <c r="BQ13" s="72"/>
      <c r="BR13" s="72"/>
      <c r="BS13" s="72"/>
      <c r="BT13" s="72"/>
      <c r="BU13" s="72"/>
      <c r="BV13" s="72"/>
      <c r="BW13" s="72"/>
      <c r="BX13" s="72"/>
      <c r="BY13" s="72"/>
      <c r="BZ13" s="72"/>
      <c r="CA13" s="72"/>
      <c r="CB13" s="72"/>
      <c r="CC13" s="72"/>
      <c r="CD13" s="72"/>
      <c r="CF13" s="406"/>
    </row>
    <row r="14" spans="1:84" ht="12.75" hidden="1" customHeight="1" outlineLevel="1">
      <c r="A14" s="4"/>
      <c r="B14" s="123" t="s">
        <v>352</v>
      </c>
      <c r="C14" s="5">
        <v>20</v>
      </c>
      <c r="D14" s="5">
        <v>227</v>
      </c>
      <c r="E14" s="5">
        <v>42</v>
      </c>
      <c r="F14" s="5">
        <v>0</v>
      </c>
      <c r="G14" s="5">
        <v>2</v>
      </c>
      <c r="H14" s="72"/>
      <c r="I14" s="72"/>
      <c r="J14" s="72"/>
      <c r="K14" s="72"/>
      <c r="L14" s="5">
        <v>0</v>
      </c>
      <c r="M14" s="72"/>
      <c r="N14" s="72"/>
      <c r="O14" s="72"/>
      <c r="P14" s="72"/>
      <c r="Q14" s="5">
        <v>33</v>
      </c>
      <c r="R14" s="72"/>
      <c r="S14" s="72"/>
      <c r="T14" s="72"/>
      <c r="U14" s="72"/>
      <c r="V14" s="5">
        <v>0</v>
      </c>
      <c r="W14" s="72"/>
      <c r="X14" s="72"/>
      <c r="Y14" s="72"/>
      <c r="Z14" s="72"/>
      <c r="AA14" s="5">
        <v>2</v>
      </c>
      <c r="AB14" s="72"/>
      <c r="AC14" s="72"/>
      <c r="AD14" s="72"/>
      <c r="AE14" s="72"/>
      <c r="AF14" s="5">
        <v>77</v>
      </c>
      <c r="AG14" s="72"/>
      <c r="AH14" s="72"/>
      <c r="AI14" s="72"/>
      <c r="AJ14" s="72"/>
      <c r="AK14" s="5">
        <v>21</v>
      </c>
      <c r="AL14" s="72"/>
      <c r="AM14" s="72"/>
      <c r="AN14" s="72"/>
      <c r="AO14" s="72"/>
      <c r="AP14" s="5">
        <v>25</v>
      </c>
      <c r="AQ14" s="72"/>
      <c r="AR14" s="72"/>
      <c r="AS14" s="72"/>
      <c r="AT14" s="72"/>
      <c r="AU14" s="5">
        <v>0</v>
      </c>
      <c r="AV14" s="72"/>
      <c r="AW14" s="72"/>
      <c r="AX14" s="72"/>
      <c r="AY14" s="72"/>
      <c r="AZ14" s="5">
        <f>17+1</f>
        <v>18</v>
      </c>
      <c r="BA14" s="72"/>
      <c r="BB14" s="72"/>
      <c r="BC14" s="72"/>
      <c r="BD14" s="72"/>
      <c r="BE14" s="5">
        <f>7+4</f>
        <v>11</v>
      </c>
      <c r="BF14" s="72"/>
      <c r="BG14" s="72"/>
      <c r="BH14" s="72"/>
      <c r="BI14" s="72"/>
      <c r="BJ14" s="5">
        <v>38</v>
      </c>
      <c r="BK14" s="72"/>
      <c r="BL14" s="72"/>
      <c r="BM14" s="72"/>
      <c r="BN14" s="72"/>
      <c r="BO14" s="5">
        <f>5+0</f>
        <v>5</v>
      </c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F14" s="406"/>
    </row>
    <row r="15" spans="1:84" ht="12.75" hidden="1" customHeight="1" outlineLevel="1">
      <c r="A15" s="4"/>
      <c r="B15" s="123" t="s">
        <v>474</v>
      </c>
      <c r="C15" s="5">
        <v>1287</v>
      </c>
      <c r="D15" s="5">
        <v>857</v>
      </c>
      <c r="E15" s="5">
        <v>660</v>
      </c>
      <c r="F15" s="5">
        <v>372</v>
      </c>
      <c r="G15" s="5">
        <v>148</v>
      </c>
      <c r="H15" s="72"/>
      <c r="I15" s="72"/>
      <c r="J15" s="72"/>
      <c r="K15" s="72"/>
      <c r="L15" s="5">
        <v>119</v>
      </c>
      <c r="M15" s="72"/>
      <c r="N15" s="72"/>
      <c r="O15" s="72"/>
      <c r="P15" s="72"/>
      <c r="Q15" s="5">
        <v>187</v>
      </c>
      <c r="R15" s="72"/>
      <c r="S15" s="72"/>
      <c r="T15" s="72"/>
      <c r="U15" s="72"/>
      <c r="V15" s="5">
        <v>242</v>
      </c>
      <c r="W15" s="72"/>
      <c r="X15" s="72"/>
      <c r="Y15" s="72"/>
      <c r="Z15" s="72"/>
      <c r="AA15" s="5">
        <v>378</v>
      </c>
      <c r="AB15" s="72"/>
      <c r="AC15" s="72"/>
      <c r="AD15" s="72"/>
      <c r="AE15" s="72"/>
      <c r="AF15" s="5">
        <v>131</v>
      </c>
      <c r="AG15" s="72"/>
      <c r="AH15" s="72"/>
      <c r="AI15" s="72"/>
      <c r="AJ15" s="72"/>
      <c r="AK15" s="5">
        <v>21</v>
      </c>
      <c r="AL15" s="72"/>
      <c r="AM15" s="72"/>
      <c r="AN15" s="72"/>
      <c r="AO15" s="72"/>
      <c r="AP15" s="5">
        <v>26</v>
      </c>
      <c r="AQ15" s="72"/>
      <c r="AR15" s="72"/>
      <c r="AS15" s="72"/>
      <c r="AT15" s="72"/>
      <c r="AU15" s="5">
        <v>46</v>
      </c>
      <c r="AV15" s="72"/>
      <c r="AW15" s="72"/>
      <c r="AX15" s="72"/>
      <c r="AY15" s="72"/>
      <c r="AZ15" s="5">
        <v>13</v>
      </c>
      <c r="BA15" s="72"/>
      <c r="BB15" s="72"/>
      <c r="BC15" s="72"/>
      <c r="BD15" s="72"/>
      <c r="BE15" s="5">
        <v>47</v>
      </c>
      <c r="BF15" s="72"/>
      <c r="BG15" s="72"/>
      <c r="BH15" s="72"/>
      <c r="BI15" s="72"/>
      <c r="BJ15" s="5">
        <v>6</v>
      </c>
      <c r="BK15" s="72"/>
      <c r="BL15" s="72"/>
      <c r="BM15" s="72"/>
      <c r="BN15" s="72"/>
      <c r="BO15" s="5">
        <f>53+1</f>
        <v>54</v>
      </c>
      <c r="BP15" s="72"/>
      <c r="BQ15" s="72"/>
      <c r="BR15" s="72"/>
      <c r="BS15" s="72"/>
      <c r="BT15" s="72"/>
      <c r="BU15" s="72"/>
      <c r="BV15" s="72"/>
      <c r="BW15" s="72"/>
      <c r="BX15" s="72"/>
      <c r="BY15" s="72"/>
      <c r="BZ15" s="72"/>
      <c r="CA15" s="72"/>
      <c r="CB15" s="72"/>
      <c r="CC15" s="72"/>
      <c r="CD15" s="72"/>
      <c r="CF15" s="406"/>
    </row>
    <row r="16" spans="1:84" hidden="1" outlineLevel="1">
      <c r="A16" s="5"/>
      <c r="B16" s="123" t="s">
        <v>2949</v>
      </c>
      <c r="C16" s="5">
        <v>-601</v>
      </c>
      <c r="D16" s="5">
        <v>-619</v>
      </c>
      <c r="E16" s="5">
        <v>-562</v>
      </c>
      <c r="F16" s="5">
        <v>-515</v>
      </c>
      <c r="G16" s="5">
        <v>-496</v>
      </c>
      <c r="H16" s="72"/>
      <c r="I16" s="72"/>
      <c r="J16" s="72"/>
      <c r="K16" s="72"/>
      <c r="L16" s="5">
        <v>-471</v>
      </c>
      <c r="M16" s="72"/>
      <c r="N16" s="72"/>
      <c r="O16" s="72"/>
      <c r="P16" s="72"/>
      <c r="Q16" s="5">
        <v>-454</v>
      </c>
      <c r="R16" s="72"/>
      <c r="S16" s="72"/>
      <c r="T16" s="72"/>
      <c r="U16" s="72"/>
      <c r="V16" s="5">
        <v>-455</v>
      </c>
      <c r="W16" s="72"/>
      <c r="X16" s="72"/>
      <c r="Y16" s="72"/>
      <c r="Z16" s="72"/>
      <c r="AA16" s="5">
        <v>-501</v>
      </c>
      <c r="AB16" s="72"/>
      <c r="AC16" s="72"/>
      <c r="AD16" s="72"/>
      <c r="AE16" s="72"/>
      <c r="AF16" s="5">
        <v>-439</v>
      </c>
      <c r="AG16" s="72"/>
      <c r="AH16" s="72"/>
      <c r="AI16" s="72"/>
      <c r="AJ16" s="72"/>
      <c r="AK16" s="5">
        <v>-355</v>
      </c>
      <c r="AL16" s="72"/>
      <c r="AM16" s="72"/>
      <c r="AN16" s="72"/>
      <c r="AO16" s="72"/>
      <c r="AP16" s="5">
        <v>-324</v>
      </c>
      <c r="AQ16" s="72"/>
      <c r="AR16" s="72"/>
      <c r="AS16" s="72"/>
      <c r="AT16" s="72"/>
      <c r="AU16" s="5">
        <v>-318</v>
      </c>
      <c r="AV16" s="72"/>
      <c r="AW16" s="72"/>
      <c r="AX16" s="72"/>
      <c r="AY16" s="72"/>
      <c r="AZ16" s="5">
        <f>-305-36</f>
        <v>-341</v>
      </c>
      <c r="BA16" s="72"/>
      <c r="BB16" s="72"/>
      <c r="BC16" s="72"/>
      <c r="BD16" s="72"/>
      <c r="BE16" s="5">
        <f>-353-34</f>
        <v>-387</v>
      </c>
      <c r="BF16" s="72"/>
      <c r="BG16" s="72"/>
      <c r="BH16" s="72"/>
      <c r="BI16" s="72"/>
      <c r="BJ16" s="5">
        <v>-375</v>
      </c>
      <c r="BK16" s="72"/>
      <c r="BL16" s="72"/>
      <c r="BM16" s="72"/>
      <c r="BN16" s="72"/>
      <c r="BO16" s="5">
        <f>-384-35</f>
        <v>-419</v>
      </c>
      <c r="BP16" s="72"/>
      <c r="BQ16" s="72"/>
      <c r="BR16" s="72"/>
      <c r="BS16" s="72"/>
      <c r="BT16" s="72"/>
      <c r="BU16" s="72"/>
      <c r="BV16" s="72"/>
      <c r="BW16" s="72"/>
      <c r="BX16" s="72"/>
      <c r="BY16" s="72"/>
      <c r="BZ16" s="72"/>
      <c r="CA16" s="72"/>
      <c r="CB16" s="72"/>
      <c r="CC16" s="72"/>
      <c r="CD16" s="72"/>
      <c r="CF16" s="406"/>
    </row>
    <row r="17" spans="1:84" ht="12.75" hidden="1" customHeight="1" outlineLevel="1">
      <c r="A17" s="4"/>
      <c r="B17" s="123" t="s">
        <v>353</v>
      </c>
      <c r="C17" s="5">
        <v>-13</v>
      </c>
      <c r="D17" s="5">
        <v>-23</v>
      </c>
      <c r="E17" s="5">
        <v>-509</v>
      </c>
      <c r="F17" s="5">
        <v>-33</v>
      </c>
      <c r="G17" s="5">
        <v>-55</v>
      </c>
      <c r="H17" s="72"/>
      <c r="I17" s="72"/>
      <c r="J17" s="72"/>
      <c r="K17" s="72"/>
      <c r="L17" s="5">
        <v>-171</v>
      </c>
      <c r="M17" s="72"/>
      <c r="N17" s="72"/>
      <c r="O17" s="72"/>
      <c r="P17" s="72"/>
      <c r="Q17" s="5">
        <v>-94</v>
      </c>
      <c r="R17" s="72"/>
      <c r="S17" s="72"/>
      <c r="T17" s="72"/>
      <c r="U17" s="72"/>
      <c r="V17" s="5">
        <v>-199</v>
      </c>
      <c r="W17" s="72"/>
      <c r="X17" s="72"/>
      <c r="Y17" s="72"/>
      <c r="Z17" s="72"/>
      <c r="AA17" s="5">
        <v>-34</v>
      </c>
      <c r="AB17" s="72"/>
      <c r="AC17" s="72"/>
      <c r="AD17" s="72"/>
      <c r="AE17" s="72"/>
      <c r="AF17" s="5">
        <v>-143</v>
      </c>
      <c r="AG17" s="72"/>
      <c r="AH17" s="72"/>
      <c r="AI17" s="72"/>
      <c r="AJ17" s="72"/>
      <c r="AK17" s="5">
        <v>-140</v>
      </c>
      <c r="AL17" s="72"/>
      <c r="AM17" s="72"/>
      <c r="AN17" s="72"/>
      <c r="AO17" s="72"/>
      <c r="AP17" s="5">
        <v>-212</v>
      </c>
      <c r="AQ17" s="72"/>
      <c r="AR17" s="72"/>
      <c r="AS17" s="72"/>
      <c r="AT17" s="72"/>
      <c r="AU17" s="5">
        <v>-47</v>
      </c>
      <c r="AV17" s="72"/>
      <c r="AW17" s="72"/>
      <c r="AX17" s="72"/>
      <c r="AY17" s="72"/>
      <c r="AZ17" s="5">
        <f>-18-50</f>
        <v>-68</v>
      </c>
      <c r="BA17" s="72"/>
      <c r="BB17" s="72"/>
      <c r="BC17" s="72"/>
      <c r="BD17" s="72"/>
      <c r="BE17" s="5">
        <f>-1-1</f>
        <v>-2</v>
      </c>
      <c r="BF17" s="72"/>
      <c r="BG17" s="72"/>
      <c r="BH17" s="72"/>
      <c r="BI17" s="72"/>
      <c r="BJ17" s="5">
        <v>-112</v>
      </c>
      <c r="BK17" s="72"/>
      <c r="BL17" s="72"/>
      <c r="BM17" s="72"/>
      <c r="BN17" s="72"/>
      <c r="BO17" s="5">
        <f>-9-1</f>
        <v>-10</v>
      </c>
      <c r="BP17" s="72"/>
      <c r="BQ17" s="72"/>
      <c r="BR17" s="72"/>
      <c r="BS17" s="72"/>
      <c r="BT17" s="72"/>
      <c r="BU17" s="72"/>
      <c r="BV17" s="72"/>
      <c r="BW17" s="72"/>
      <c r="BX17" s="72"/>
      <c r="BY17" s="72"/>
      <c r="BZ17" s="72"/>
      <c r="CA17" s="72"/>
      <c r="CB17" s="72"/>
      <c r="CC17" s="72"/>
      <c r="CD17" s="72"/>
      <c r="CF17" s="406"/>
    </row>
    <row r="18" spans="1:84" hidden="1" outlineLevel="1">
      <c r="A18" s="8"/>
      <c r="B18" s="124" t="s">
        <v>2950</v>
      </c>
      <c r="C18" s="8">
        <f>SUM(C11:C17)</f>
        <v>7217</v>
      </c>
      <c r="D18" s="8">
        <f>SUM(D11:D17)</f>
        <v>7762</v>
      </c>
      <c r="E18" s="8">
        <f>SUM(E11:E17)</f>
        <v>7214</v>
      </c>
      <c r="F18" s="8">
        <f>SUM(F11:F17)</f>
        <v>6755</v>
      </c>
      <c r="G18" s="8">
        <f>SUM(G11:G17)</f>
        <v>6360</v>
      </c>
      <c r="H18" s="73"/>
      <c r="I18" s="73"/>
      <c r="J18" s="73"/>
      <c r="K18" s="73"/>
      <c r="L18" s="8">
        <f>SUM(L11:L17)</f>
        <v>5893</v>
      </c>
      <c r="M18" s="73"/>
      <c r="N18" s="73"/>
      <c r="O18" s="73"/>
      <c r="P18" s="73"/>
      <c r="Q18" s="8">
        <f>SUM(Q11:Q17)</f>
        <v>5492</v>
      </c>
      <c r="R18" s="73"/>
      <c r="S18" s="73"/>
      <c r="T18" s="73"/>
      <c r="U18" s="73"/>
      <c r="V18" s="8">
        <f>SUM(V11:V17)</f>
        <v>5665</v>
      </c>
      <c r="W18" s="73"/>
      <c r="X18" s="73"/>
      <c r="Y18" s="73"/>
      <c r="Z18" s="73"/>
      <c r="AA18" s="8">
        <f>SUM(AA11:AA17)</f>
        <v>5658</v>
      </c>
      <c r="AB18" s="73"/>
      <c r="AC18" s="73"/>
      <c r="AD18" s="73"/>
      <c r="AE18" s="73"/>
      <c r="AF18" s="8">
        <f>SUM(AF11:AF17)</f>
        <v>5559</v>
      </c>
      <c r="AG18" s="73"/>
      <c r="AH18" s="73"/>
      <c r="AI18" s="73"/>
      <c r="AJ18" s="73"/>
      <c r="AK18" s="8">
        <f>SUM(AK11:AK17)</f>
        <v>5153</v>
      </c>
      <c r="AL18" s="73"/>
      <c r="AM18" s="73"/>
      <c r="AN18" s="73"/>
      <c r="AO18" s="73"/>
      <c r="AP18" s="8">
        <f>SUM(AP11:AP17)</f>
        <v>4477</v>
      </c>
      <c r="AQ18" s="73"/>
      <c r="AR18" s="73"/>
      <c r="AS18" s="73"/>
      <c r="AT18" s="73"/>
      <c r="AU18" s="8">
        <f>SUM(AU11:AU17)</f>
        <v>4161</v>
      </c>
      <c r="AV18" s="73"/>
      <c r="AW18" s="73"/>
      <c r="AX18" s="73"/>
      <c r="AY18" s="73"/>
      <c r="AZ18" s="8">
        <f>SUM(AZ11:AZ17)</f>
        <v>3921</v>
      </c>
      <c r="BA18" s="73"/>
      <c r="BB18" s="73"/>
      <c r="BC18" s="73"/>
      <c r="BD18" s="73"/>
      <c r="BE18" s="8">
        <f>SUM(BE11:BE17)</f>
        <v>3983</v>
      </c>
      <c r="BF18" s="73"/>
      <c r="BG18" s="73"/>
      <c r="BH18" s="73"/>
      <c r="BI18" s="73"/>
      <c r="BJ18" s="8">
        <f>SUM(BJ11:BJ17)</f>
        <v>4151</v>
      </c>
      <c r="BK18" s="73"/>
      <c r="BL18" s="73"/>
      <c r="BM18" s="73"/>
      <c r="BN18" s="73"/>
      <c r="BO18" s="8">
        <f>SUM(BO11:BO17)</f>
        <v>4447</v>
      </c>
      <c r="BP18" s="73"/>
      <c r="BQ18" s="73"/>
      <c r="BR18" s="73"/>
      <c r="BS18" s="73"/>
      <c r="BT18" s="73"/>
      <c r="BU18" s="73"/>
      <c r="BV18" s="73"/>
      <c r="BW18" s="73"/>
      <c r="BX18" s="73"/>
      <c r="BY18" s="73"/>
      <c r="BZ18" s="73"/>
      <c r="CA18" s="73"/>
      <c r="CB18" s="73"/>
      <c r="CC18" s="73"/>
      <c r="CD18" s="73"/>
      <c r="CF18" s="538"/>
    </row>
    <row r="19" spans="1:84" hidden="1" outlineLevel="1">
      <c r="A19" s="5"/>
      <c r="B19" s="121" t="s">
        <v>2517</v>
      </c>
      <c r="C19" s="5">
        <v>4308</v>
      </c>
      <c r="D19" s="5">
        <v>4335</v>
      </c>
      <c r="E19" s="5">
        <v>3565</v>
      </c>
      <c r="F19" s="5">
        <v>3473</v>
      </c>
      <c r="G19" s="5">
        <v>3201</v>
      </c>
      <c r="H19" s="72"/>
      <c r="I19" s="72"/>
      <c r="J19" s="72"/>
      <c r="K19" s="72"/>
      <c r="L19" s="5">
        <v>3041</v>
      </c>
      <c r="M19" s="72"/>
      <c r="N19" s="72"/>
      <c r="O19" s="72"/>
      <c r="P19" s="72"/>
      <c r="Q19" s="5">
        <v>2937</v>
      </c>
      <c r="R19" s="72"/>
      <c r="S19" s="72"/>
      <c r="T19" s="72"/>
      <c r="U19" s="72"/>
      <c r="V19" s="5">
        <v>2981</v>
      </c>
      <c r="W19" s="72"/>
      <c r="X19" s="72"/>
      <c r="Y19" s="72"/>
      <c r="Z19" s="72"/>
      <c r="AA19" s="5">
        <v>3070</v>
      </c>
      <c r="AB19" s="72"/>
      <c r="AC19" s="72"/>
      <c r="AD19" s="72"/>
      <c r="AE19" s="72"/>
      <c r="AF19" s="5">
        <v>2902</v>
      </c>
      <c r="AG19" s="72"/>
      <c r="AH19" s="72"/>
      <c r="AI19" s="72"/>
      <c r="AJ19" s="72"/>
      <c r="AK19" s="5">
        <v>2616</v>
      </c>
      <c r="AL19" s="72"/>
      <c r="AM19" s="72"/>
      <c r="AN19" s="72"/>
      <c r="AO19" s="72"/>
      <c r="AP19" s="5">
        <v>2509</v>
      </c>
      <c r="AQ19" s="72"/>
      <c r="AR19" s="72"/>
      <c r="AS19" s="72"/>
      <c r="AT19" s="72"/>
      <c r="AU19" s="5">
        <v>2355</v>
      </c>
      <c r="AV19" s="72"/>
      <c r="AW19" s="72"/>
      <c r="AX19" s="72"/>
      <c r="AY19" s="72"/>
      <c r="AZ19" s="5">
        <f>2035+364</f>
        <v>2399</v>
      </c>
      <c r="BA19" s="72"/>
      <c r="BB19" s="72"/>
      <c r="BC19" s="72"/>
      <c r="BD19" s="72"/>
      <c r="BE19" s="5">
        <f>2146+308</f>
        <v>2454</v>
      </c>
      <c r="BF19" s="72"/>
      <c r="BG19" s="72"/>
      <c r="BH19" s="72"/>
      <c r="BI19" s="72"/>
      <c r="BJ19" s="5">
        <v>2753</v>
      </c>
      <c r="BK19" s="72"/>
      <c r="BL19" s="72"/>
      <c r="BM19" s="72"/>
      <c r="BN19" s="72"/>
      <c r="BO19" s="5">
        <f>2592+216</f>
        <v>2808</v>
      </c>
      <c r="BP19" s="72"/>
      <c r="BQ19" s="72"/>
      <c r="BR19" s="72"/>
      <c r="BS19" s="72"/>
      <c r="BT19" s="72"/>
      <c r="BU19" s="72"/>
      <c r="BV19" s="72"/>
      <c r="BW19" s="72"/>
      <c r="BX19" s="72"/>
      <c r="BY19" s="72"/>
      <c r="BZ19" s="72"/>
      <c r="CA19" s="72"/>
      <c r="CB19" s="72"/>
      <c r="CC19" s="72"/>
      <c r="CD19" s="72"/>
      <c r="CF19" s="406"/>
    </row>
    <row r="20" spans="1:84" hidden="1" outlineLevel="1">
      <c r="A20" s="5"/>
      <c r="B20" s="121" t="s">
        <v>2481</v>
      </c>
      <c r="C20" s="5">
        <v>2909</v>
      </c>
      <c r="D20" s="5">
        <v>3427</v>
      </c>
      <c r="E20" s="5">
        <v>3649</v>
      </c>
      <c r="F20" s="5">
        <v>3282</v>
      </c>
      <c r="G20" s="5">
        <v>3159</v>
      </c>
      <c r="H20" s="72"/>
      <c r="I20" s="72"/>
      <c r="J20" s="72"/>
      <c r="K20" s="72"/>
      <c r="L20" s="5">
        <v>2852</v>
      </c>
      <c r="M20" s="72"/>
      <c r="N20" s="72"/>
      <c r="O20" s="72"/>
      <c r="P20" s="72"/>
      <c r="Q20" s="5">
        <v>2555</v>
      </c>
      <c r="R20" s="72"/>
      <c r="S20" s="72"/>
      <c r="T20" s="72"/>
      <c r="U20" s="72"/>
      <c r="V20" s="5">
        <v>2684</v>
      </c>
      <c r="W20" s="72"/>
      <c r="X20" s="72"/>
      <c r="Y20" s="72"/>
      <c r="Z20" s="72"/>
      <c r="AA20" s="5">
        <v>2588</v>
      </c>
      <c r="AB20" s="72"/>
      <c r="AC20" s="72"/>
      <c r="AD20" s="72"/>
      <c r="AE20" s="72"/>
      <c r="AF20" s="5">
        <v>2657</v>
      </c>
      <c r="AG20" s="72"/>
      <c r="AH20" s="72"/>
      <c r="AI20" s="72"/>
      <c r="AJ20" s="72"/>
      <c r="AK20" s="5">
        <v>2537</v>
      </c>
      <c r="AL20" s="72"/>
      <c r="AM20" s="72"/>
      <c r="AN20" s="72"/>
      <c r="AO20" s="72"/>
      <c r="AP20" s="5">
        <v>1968</v>
      </c>
      <c r="AQ20" s="72"/>
      <c r="AR20" s="72"/>
      <c r="AS20" s="72"/>
      <c r="AT20" s="72"/>
      <c r="AU20" s="5">
        <v>1806</v>
      </c>
      <c r="AV20" s="72"/>
      <c r="AW20" s="72"/>
      <c r="AX20" s="72"/>
      <c r="AY20" s="72"/>
      <c r="AZ20" s="5">
        <f>1375+146</f>
        <v>1521</v>
      </c>
      <c r="BA20" s="72"/>
      <c r="BB20" s="72"/>
      <c r="BC20" s="72"/>
      <c r="BD20" s="72"/>
      <c r="BE20" s="5">
        <f>1414+115</f>
        <v>1529</v>
      </c>
      <c r="BF20" s="72"/>
      <c r="BG20" s="72"/>
      <c r="BH20" s="72"/>
      <c r="BI20" s="72"/>
      <c r="BJ20" s="5">
        <v>1398</v>
      </c>
      <c r="BK20" s="72"/>
      <c r="BL20" s="72"/>
      <c r="BM20" s="72"/>
      <c r="BN20" s="72"/>
      <c r="BO20" s="5">
        <f>1537+102</f>
        <v>1639</v>
      </c>
      <c r="BP20" s="72"/>
      <c r="BQ20" s="72"/>
      <c r="BR20" s="72"/>
      <c r="BS20" s="72"/>
      <c r="BT20" s="72"/>
      <c r="BU20" s="72"/>
      <c r="BV20" s="72"/>
      <c r="BW20" s="72"/>
      <c r="BX20" s="72"/>
      <c r="BY20" s="72"/>
      <c r="BZ20" s="72"/>
      <c r="CA20" s="72"/>
      <c r="CB20" s="72"/>
      <c r="CC20" s="72"/>
      <c r="CD20" s="72"/>
      <c r="CF20" s="406"/>
    </row>
    <row r="21" spans="1:84" hidden="1" outlineLevel="1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F21" s="406"/>
    </row>
    <row r="22" spans="1:84" hidden="1" outlineLevel="1">
      <c r="A22" s="39" t="s">
        <v>1047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F22" s="406"/>
    </row>
    <row r="23" spans="1:84" hidden="1" outlineLevel="1">
      <c r="A23" s="5"/>
      <c r="B23" s="11" t="s">
        <v>2947</v>
      </c>
      <c r="C23" s="5">
        <v>1135</v>
      </c>
      <c r="D23" s="5">
        <f>C30</f>
        <v>1159</v>
      </c>
      <c r="E23" s="5">
        <f>D30</f>
        <v>1403</v>
      </c>
      <c r="F23" s="5">
        <f>E30</f>
        <v>2867</v>
      </c>
      <c r="G23" s="5">
        <f>F30</f>
        <v>3179</v>
      </c>
      <c r="H23" s="72"/>
      <c r="I23" s="72"/>
      <c r="J23" s="72"/>
      <c r="K23" s="72"/>
      <c r="L23" s="5">
        <f>G30</f>
        <v>3205</v>
      </c>
      <c r="M23" s="72"/>
      <c r="N23" s="72"/>
      <c r="O23" s="72"/>
      <c r="P23" s="72"/>
      <c r="Q23" s="5">
        <f>L30</f>
        <v>3888</v>
      </c>
      <c r="R23" s="72"/>
      <c r="S23" s="72"/>
      <c r="T23" s="72"/>
      <c r="U23" s="72"/>
      <c r="V23" s="5">
        <f>Q30</f>
        <v>4581</v>
      </c>
      <c r="W23" s="72"/>
      <c r="X23" s="72"/>
      <c r="Y23" s="72"/>
      <c r="Z23" s="72"/>
      <c r="AA23" s="5">
        <f>V30</f>
        <v>4688</v>
      </c>
      <c r="AB23" s="72"/>
      <c r="AC23" s="72"/>
      <c r="AD23" s="72"/>
      <c r="AE23" s="72"/>
      <c r="AF23" s="5">
        <f>AA30</f>
        <v>4853</v>
      </c>
      <c r="AG23" s="72"/>
      <c r="AH23" s="72"/>
      <c r="AI23" s="72"/>
      <c r="AJ23" s="72"/>
      <c r="AK23" s="5">
        <f>AF30</f>
        <v>4971</v>
      </c>
      <c r="AL23" s="72"/>
      <c r="AM23" s="72"/>
      <c r="AN23" s="72"/>
      <c r="AO23" s="72"/>
      <c r="AP23" s="5">
        <f>AK30</f>
        <v>5234</v>
      </c>
      <c r="AQ23" s="72"/>
      <c r="AR23" s="72"/>
      <c r="AS23" s="72"/>
      <c r="AT23" s="72"/>
      <c r="AU23" s="5">
        <f>AP30</f>
        <v>5378</v>
      </c>
      <c r="AV23" s="72"/>
      <c r="AW23" s="72"/>
      <c r="AX23" s="72"/>
      <c r="AY23" s="72"/>
      <c r="AZ23" s="5">
        <f>AU30</f>
        <v>5721</v>
      </c>
      <c r="BA23" s="72"/>
      <c r="BB23" s="72"/>
      <c r="BC23" s="72"/>
      <c r="BD23" s="72"/>
      <c r="BE23" s="5">
        <f>AZ30</f>
        <v>5725</v>
      </c>
      <c r="BF23" s="72"/>
      <c r="BG23" s="72"/>
      <c r="BH23" s="72"/>
      <c r="BI23" s="72"/>
      <c r="BJ23" s="5">
        <f>BE30</f>
        <v>5577</v>
      </c>
      <c r="BK23" s="72"/>
      <c r="BL23" s="72"/>
      <c r="BM23" s="72"/>
      <c r="BN23" s="72"/>
      <c r="BO23" s="5">
        <f>BJ30</f>
        <v>6182</v>
      </c>
      <c r="BP23" s="72"/>
      <c r="BQ23" s="72"/>
      <c r="BR23" s="72"/>
      <c r="BS23" s="72"/>
      <c r="BT23" s="72"/>
      <c r="BU23" s="72"/>
      <c r="BV23" s="72"/>
      <c r="BW23" s="72"/>
      <c r="BX23" s="72"/>
      <c r="BY23" s="72"/>
      <c r="BZ23" s="72"/>
      <c r="CA23" s="72"/>
      <c r="CB23" s="72"/>
      <c r="CC23" s="72"/>
      <c r="CD23" s="72"/>
      <c r="CF23" s="406"/>
    </row>
    <row r="24" spans="1:84" hidden="1" outlineLevel="1">
      <c r="A24" s="5"/>
      <c r="B24" s="123" t="s">
        <v>2518</v>
      </c>
      <c r="C24" s="5">
        <v>55</v>
      </c>
      <c r="D24" s="5">
        <v>76</v>
      </c>
      <c r="E24" s="5">
        <v>5</v>
      </c>
      <c r="F24" s="5">
        <v>392</v>
      </c>
      <c r="G24" s="5">
        <v>439</v>
      </c>
      <c r="H24" s="72"/>
      <c r="I24" s="72"/>
      <c r="J24" s="72"/>
      <c r="K24" s="72"/>
      <c r="L24" s="5">
        <v>1205</v>
      </c>
      <c r="M24" s="72"/>
      <c r="N24" s="72"/>
      <c r="O24" s="72"/>
      <c r="P24" s="72"/>
      <c r="Q24" s="5">
        <v>758</v>
      </c>
      <c r="R24" s="72"/>
      <c r="S24" s="72"/>
      <c r="T24" s="72"/>
      <c r="U24" s="72"/>
      <c r="V24" s="5">
        <v>224</v>
      </c>
      <c r="W24" s="72"/>
      <c r="X24" s="72"/>
      <c r="Y24" s="72"/>
      <c r="Z24" s="72"/>
      <c r="AA24" s="5">
        <v>562</v>
      </c>
      <c r="AB24" s="72"/>
      <c r="AC24" s="72"/>
      <c r="AD24" s="72"/>
      <c r="AE24" s="72"/>
      <c r="AF24" s="5">
        <v>235</v>
      </c>
      <c r="AG24" s="72"/>
      <c r="AH24" s="72"/>
      <c r="AI24" s="72"/>
      <c r="AJ24" s="72"/>
      <c r="AK24" s="5">
        <v>662</v>
      </c>
      <c r="AL24" s="72"/>
      <c r="AM24" s="72"/>
      <c r="AN24" s="72"/>
      <c r="AO24" s="72"/>
      <c r="AP24" s="5">
        <v>446</v>
      </c>
      <c r="AQ24" s="72"/>
      <c r="AR24" s="72"/>
      <c r="AS24" s="72"/>
      <c r="AT24" s="72"/>
      <c r="AU24" s="5">
        <v>362</v>
      </c>
      <c r="AV24" s="72"/>
      <c r="AW24" s="72"/>
      <c r="AX24" s="72"/>
      <c r="AY24" s="72"/>
      <c r="AZ24" s="5">
        <v>155</v>
      </c>
      <c r="BA24" s="72"/>
      <c r="BB24" s="72"/>
      <c r="BC24" s="72"/>
      <c r="BD24" s="72"/>
      <c r="BE24" s="5">
        <f>-11-2</f>
        <v>-13</v>
      </c>
      <c r="BF24" s="72"/>
      <c r="BG24" s="72"/>
      <c r="BH24" s="72"/>
      <c r="BI24" s="72"/>
      <c r="BJ24" s="5">
        <v>61</v>
      </c>
      <c r="BK24" s="72"/>
      <c r="BL24" s="72"/>
      <c r="BM24" s="72"/>
      <c r="BN24" s="72"/>
      <c r="BO24" s="5">
        <f>104+69</f>
        <v>173</v>
      </c>
      <c r="BP24" s="72"/>
      <c r="BQ24" s="72"/>
      <c r="BR24" s="72"/>
      <c r="BS24" s="72"/>
      <c r="BT24" s="72"/>
      <c r="BU24" s="72"/>
      <c r="BV24" s="72"/>
      <c r="BW24" s="72"/>
      <c r="BX24" s="72"/>
      <c r="BY24" s="72"/>
      <c r="BZ24" s="72"/>
      <c r="CA24" s="72"/>
      <c r="CB24" s="72"/>
      <c r="CC24" s="72"/>
      <c r="CD24" s="72"/>
      <c r="CF24" s="406"/>
    </row>
    <row r="25" spans="1:84" hidden="1" outlineLevel="1">
      <c r="A25" s="5"/>
      <c r="B25" s="123" t="s">
        <v>2948</v>
      </c>
      <c r="C25" s="5">
        <v>21</v>
      </c>
      <c r="D25" s="5">
        <v>55</v>
      </c>
      <c r="E25" s="5">
        <v>42</v>
      </c>
      <c r="F25" s="5">
        <v>54</v>
      </c>
      <c r="G25" s="5">
        <v>25</v>
      </c>
      <c r="H25" s="72"/>
      <c r="I25" s="72"/>
      <c r="J25" s="72"/>
      <c r="K25" s="72"/>
      <c r="L25" s="5">
        <v>34</v>
      </c>
      <c r="M25" s="72"/>
      <c r="N25" s="72"/>
      <c r="O25" s="72"/>
      <c r="P25" s="72"/>
      <c r="Q25" s="5">
        <v>60</v>
      </c>
      <c r="R25" s="72"/>
      <c r="S25" s="72"/>
      <c r="T25" s="72"/>
      <c r="U25" s="72"/>
      <c r="V25" s="5">
        <v>62</v>
      </c>
      <c r="W25" s="72"/>
      <c r="X25" s="72"/>
      <c r="Y25" s="72"/>
      <c r="Z25" s="72"/>
      <c r="AA25" s="5">
        <v>58</v>
      </c>
      <c r="AB25" s="72"/>
      <c r="AC25" s="72"/>
      <c r="AD25" s="72"/>
      <c r="AE25" s="72"/>
      <c r="AF25" s="5">
        <v>302</v>
      </c>
      <c r="AG25" s="72"/>
      <c r="AH25" s="72"/>
      <c r="AI25" s="72"/>
      <c r="AJ25" s="72"/>
      <c r="AK25" s="5">
        <v>143</v>
      </c>
      <c r="AL25" s="72"/>
      <c r="AM25" s="72"/>
      <c r="AN25" s="72"/>
      <c r="AO25" s="72"/>
      <c r="AP25" s="5">
        <v>71</v>
      </c>
      <c r="AQ25" s="72"/>
      <c r="AR25" s="72"/>
      <c r="AS25" s="72"/>
      <c r="AT25" s="72"/>
      <c r="AU25" s="5">
        <v>27</v>
      </c>
      <c r="AV25" s="72"/>
      <c r="AW25" s="72"/>
      <c r="AX25" s="72"/>
      <c r="AY25" s="72"/>
      <c r="AZ25" s="5">
        <v>12</v>
      </c>
      <c r="BA25" s="72"/>
      <c r="BB25" s="72"/>
      <c r="BC25" s="72"/>
      <c r="BD25" s="72"/>
      <c r="BE25" s="5">
        <v>3</v>
      </c>
      <c r="BF25" s="72"/>
      <c r="BG25" s="72"/>
      <c r="BH25" s="72"/>
      <c r="BI25" s="72"/>
      <c r="BJ25" s="5">
        <v>5</v>
      </c>
      <c r="BK25" s="72"/>
      <c r="BL25" s="72"/>
      <c r="BM25" s="72"/>
      <c r="BN25" s="72"/>
      <c r="BO25" s="5">
        <f>16+1</f>
        <v>17</v>
      </c>
      <c r="BP25" s="72"/>
      <c r="BQ25" s="72"/>
      <c r="BR25" s="72"/>
      <c r="BS25" s="72"/>
      <c r="BT25" s="72"/>
      <c r="BU25" s="72"/>
      <c r="BV25" s="72"/>
      <c r="BW25" s="72"/>
      <c r="BX25" s="72"/>
      <c r="BY25" s="72"/>
      <c r="BZ25" s="72"/>
      <c r="CA25" s="72"/>
      <c r="CB25" s="72"/>
      <c r="CC25" s="72"/>
      <c r="CD25" s="72"/>
      <c r="CF25" s="406"/>
    </row>
    <row r="26" spans="1:84" hidden="1" outlineLevel="1">
      <c r="A26" s="5"/>
      <c r="B26" s="123" t="s">
        <v>352</v>
      </c>
      <c r="C26" s="5">
        <v>0</v>
      </c>
      <c r="D26" s="5">
        <v>203</v>
      </c>
      <c r="E26" s="5">
        <v>1600</v>
      </c>
      <c r="F26" s="5">
        <v>252</v>
      </c>
      <c r="G26" s="5"/>
      <c r="H26" s="72"/>
      <c r="I26" s="72"/>
      <c r="J26" s="72"/>
      <c r="K26" s="72"/>
      <c r="L26" s="5">
        <v>28</v>
      </c>
      <c r="M26" s="72"/>
      <c r="N26" s="72"/>
      <c r="O26" s="72"/>
      <c r="P26" s="72"/>
      <c r="Q26" s="5">
        <v>16</v>
      </c>
      <c r="R26" s="72"/>
      <c r="S26" s="72"/>
      <c r="T26" s="72"/>
      <c r="U26" s="72"/>
      <c r="V26" s="5">
        <v>199</v>
      </c>
      <c r="W26" s="72"/>
      <c r="X26" s="72"/>
      <c r="Y26" s="72"/>
      <c r="Z26" s="72"/>
      <c r="AA26" s="5">
        <v>0</v>
      </c>
      <c r="AB26" s="72"/>
      <c r="AC26" s="72"/>
      <c r="AD26" s="72"/>
      <c r="AE26" s="72"/>
      <c r="AF26" s="5">
        <v>0</v>
      </c>
      <c r="AG26" s="72"/>
      <c r="AH26" s="72"/>
      <c r="AI26" s="72"/>
      <c r="AJ26" s="72"/>
      <c r="AK26" s="5">
        <v>99</v>
      </c>
      <c r="AL26" s="72"/>
      <c r="AM26" s="72"/>
      <c r="AN26" s="72"/>
      <c r="AO26" s="72"/>
      <c r="AP26" s="5">
        <v>0</v>
      </c>
      <c r="AQ26" s="72"/>
      <c r="AR26" s="72"/>
      <c r="AS26" s="72"/>
      <c r="AT26" s="72"/>
      <c r="AU26" s="5">
        <v>4613</v>
      </c>
      <c r="AV26" s="72"/>
      <c r="AW26" s="72"/>
      <c r="AX26" s="72"/>
      <c r="AY26" s="72"/>
      <c r="AZ26" s="5">
        <v>0</v>
      </c>
      <c r="BA26" s="72"/>
      <c r="BB26" s="72"/>
      <c r="BC26" s="72"/>
      <c r="BD26" s="72"/>
      <c r="BE26" s="5">
        <v>28</v>
      </c>
      <c r="BF26" s="72"/>
      <c r="BG26" s="72"/>
      <c r="BH26" s="72"/>
      <c r="BI26" s="72"/>
      <c r="BJ26" s="5">
        <v>614</v>
      </c>
      <c r="BK26" s="72"/>
      <c r="BL26" s="72"/>
      <c r="BM26" s="72"/>
      <c r="BN26" s="72"/>
      <c r="BO26" s="5">
        <f>71+2</f>
        <v>73</v>
      </c>
      <c r="BP26" s="72"/>
      <c r="BQ26" s="72"/>
      <c r="BR26" s="72"/>
      <c r="BS26" s="72"/>
      <c r="BT26" s="72"/>
      <c r="BU26" s="72"/>
      <c r="BV26" s="72"/>
      <c r="BW26" s="72"/>
      <c r="BX26" s="72"/>
      <c r="BY26" s="72"/>
      <c r="BZ26" s="72"/>
      <c r="CA26" s="72"/>
      <c r="CB26" s="72"/>
      <c r="CC26" s="72"/>
      <c r="CD26" s="72"/>
      <c r="CF26" s="406"/>
    </row>
    <row r="27" spans="1:84" hidden="1" outlineLevel="1">
      <c r="A27" s="5"/>
      <c r="B27" s="123" t="s">
        <v>474</v>
      </c>
      <c r="C27" s="5">
        <v>24</v>
      </c>
      <c r="D27" s="5">
        <v>7</v>
      </c>
      <c r="E27" s="5">
        <v>6</v>
      </c>
      <c r="F27" s="5">
        <v>2</v>
      </c>
      <c r="G27" s="5">
        <v>2</v>
      </c>
      <c r="H27" s="72"/>
      <c r="I27" s="72"/>
      <c r="J27" s="72"/>
      <c r="K27" s="72"/>
      <c r="L27" s="5">
        <v>1</v>
      </c>
      <c r="M27" s="72"/>
      <c r="N27" s="72"/>
      <c r="O27" s="72"/>
      <c r="P27" s="72"/>
      <c r="Q27" s="5">
        <v>285</v>
      </c>
      <c r="R27" s="72"/>
      <c r="S27" s="72"/>
      <c r="T27" s="72"/>
      <c r="U27" s="72"/>
      <c r="V27" s="5">
        <v>39</v>
      </c>
      <c r="W27" s="72"/>
      <c r="X27" s="72"/>
      <c r="Y27" s="72"/>
      <c r="Z27" s="72"/>
      <c r="AA27" s="5">
        <v>90</v>
      </c>
      <c r="AB27" s="72"/>
      <c r="AC27" s="72"/>
      <c r="AD27" s="72"/>
      <c r="AE27" s="72"/>
      <c r="AF27" s="5">
        <v>1</v>
      </c>
      <c r="AG27" s="72"/>
      <c r="AH27" s="72"/>
      <c r="AI27" s="72"/>
      <c r="AJ27" s="72"/>
      <c r="AK27" s="5">
        <v>25</v>
      </c>
      <c r="AL27" s="72"/>
      <c r="AM27" s="72"/>
      <c r="AN27" s="72"/>
      <c r="AO27" s="72"/>
      <c r="AP27" s="5">
        <v>67</v>
      </c>
      <c r="AQ27" s="72"/>
      <c r="AR27" s="72"/>
      <c r="AS27" s="72"/>
      <c r="AT27" s="72"/>
      <c r="AU27" s="5">
        <v>240</v>
      </c>
      <c r="AV27" s="72"/>
      <c r="AW27" s="72"/>
      <c r="AX27" s="72"/>
      <c r="AY27" s="72"/>
      <c r="AZ27" s="5">
        <v>197</v>
      </c>
      <c r="BA27" s="72"/>
      <c r="BB27" s="72"/>
      <c r="BC27" s="72"/>
      <c r="BD27" s="72"/>
      <c r="BE27" s="5">
        <v>194</v>
      </c>
      <c r="BF27" s="72"/>
      <c r="BG27" s="72"/>
      <c r="BH27" s="72"/>
      <c r="BI27" s="72"/>
      <c r="BJ27" s="5">
        <v>301</v>
      </c>
      <c r="BK27" s="72"/>
      <c r="BL27" s="72"/>
      <c r="BM27" s="72"/>
      <c r="BN27" s="72"/>
      <c r="BO27" s="5">
        <f>288+0</f>
        <v>288</v>
      </c>
      <c r="BP27" s="72"/>
      <c r="BQ27" s="72"/>
      <c r="BR27" s="72"/>
      <c r="BS27" s="72"/>
      <c r="BT27" s="72"/>
      <c r="BU27" s="72"/>
      <c r="BV27" s="72"/>
      <c r="BW27" s="72"/>
      <c r="BX27" s="72"/>
      <c r="BY27" s="72"/>
      <c r="BZ27" s="72"/>
      <c r="CA27" s="72"/>
      <c r="CB27" s="72"/>
      <c r="CC27" s="72"/>
      <c r="CD27" s="72"/>
      <c r="CF27" s="406"/>
    </row>
    <row r="28" spans="1:84" hidden="1" outlineLevel="1">
      <c r="A28" s="5"/>
      <c r="B28" s="123" t="s">
        <v>2949</v>
      </c>
      <c r="C28" s="5">
        <v>-76</v>
      </c>
      <c r="D28" s="5">
        <v>-92</v>
      </c>
      <c r="E28" s="5">
        <v>-184</v>
      </c>
      <c r="F28" s="5">
        <v>-384</v>
      </c>
      <c r="G28" s="5">
        <v>-416</v>
      </c>
      <c r="H28" s="72"/>
      <c r="I28" s="72"/>
      <c r="J28" s="72"/>
      <c r="K28" s="72"/>
      <c r="L28" s="5">
        <v>-411</v>
      </c>
      <c r="M28" s="72"/>
      <c r="N28" s="72"/>
      <c r="O28" s="72"/>
      <c r="P28" s="72"/>
      <c r="Q28" s="5">
        <v>-405</v>
      </c>
      <c r="R28" s="72"/>
      <c r="S28" s="72"/>
      <c r="T28" s="72"/>
      <c r="U28" s="72"/>
      <c r="V28" s="5">
        <v>-416</v>
      </c>
      <c r="W28" s="72"/>
      <c r="X28" s="72"/>
      <c r="Y28" s="72"/>
      <c r="Z28" s="72"/>
      <c r="AA28" s="5">
        <v>-415</v>
      </c>
      <c r="AB28" s="72"/>
      <c r="AC28" s="72"/>
      <c r="AD28" s="72"/>
      <c r="AE28" s="72"/>
      <c r="AF28" s="5">
        <v>-417</v>
      </c>
      <c r="AG28" s="72"/>
      <c r="AH28" s="72"/>
      <c r="AI28" s="72"/>
      <c r="AJ28" s="72"/>
      <c r="AK28" s="5">
        <v>-422</v>
      </c>
      <c r="AL28" s="72"/>
      <c r="AM28" s="72"/>
      <c r="AN28" s="72"/>
      <c r="AO28" s="72"/>
      <c r="AP28" s="5">
        <v>-425</v>
      </c>
      <c r="AQ28" s="72"/>
      <c r="AR28" s="72"/>
      <c r="AS28" s="72"/>
      <c r="AT28" s="72"/>
      <c r="AU28" s="5">
        <v>-415</v>
      </c>
      <c r="AV28" s="72"/>
      <c r="AW28" s="72"/>
      <c r="AX28" s="72"/>
      <c r="AY28" s="72"/>
      <c r="AZ28" s="5">
        <v>-359</v>
      </c>
      <c r="BA28" s="72"/>
      <c r="BB28" s="72"/>
      <c r="BC28" s="72"/>
      <c r="BD28" s="72"/>
      <c r="BE28" s="5">
        <v>-358</v>
      </c>
      <c r="BF28" s="72"/>
      <c r="BG28" s="72"/>
      <c r="BH28" s="72"/>
      <c r="BI28" s="72"/>
      <c r="BJ28" s="5">
        <v>-374</v>
      </c>
      <c r="BK28" s="72"/>
      <c r="BL28" s="72"/>
      <c r="BM28" s="72"/>
      <c r="BN28" s="72"/>
      <c r="BO28" s="5">
        <f>-401-4</f>
        <v>-405</v>
      </c>
      <c r="BP28" s="72"/>
      <c r="BQ28" s="72"/>
      <c r="BR28" s="72"/>
      <c r="BS28" s="72"/>
      <c r="BT28" s="72"/>
      <c r="BU28" s="72"/>
      <c r="BV28" s="72"/>
      <c r="BW28" s="72"/>
      <c r="BX28" s="72"/>
      <c r="BY28" s="72"/>
      <c r="BZ28" s="72"/>
      <c r="CA28" s="72"/>
      <c r="CB28" s="72"/>
      <c r="CC28" s="72"/>
      <c r="CD28" s="72"/>
      <c r="CF28" s="406"/>
    </row>
    <row r="29" spans="1:84" hidden="1" outlineLevel="1">
      <c r="A29" s="5"/>
      <c r="B29" s="123" t="s">
        <v>353</v>
      </c>
      <c r="C29" s="5">
        <v>0</v>
      </c>
      <c r="D29" s="5">
        <v>-5</v>
      </c>
      <c r="E29" s="5">
        <v>-5</v>
      </c>
      <c r="F29" s="5">
        <v>-4</v>
      </c>
      <c r="G29" s="5">
        <v>-24</v>
      </c>
      <c r="H29" s="72"/>
      <c r="I29" s="72"/>
      <c r="J29" s="72"/>
      <c r="K29" s="72"/>
      <c r="L29" s="5">
        <v>-174</v>
      </c>
      <c r="M29" s="72"/>
      <c r="N29" s="72"/>
      <c r="O29" s="72"/>
      <c r="P29" s="72"/>
      <c r="Q29" s="5">
        <v>-21</v>
      </c>
      <c r="R29" s="72"/>
      <c r="S29" s="72"/>
      <c r="T29" s="72"/>
      <c r="U29" s="72"/>
      <c r="V29" s="5">
        <v>-1</v>
      </c>
      <c r="W29" s="72"/>
      <c r="X29" s="72"/>
      <c r="Y29" s="72"/>
      <c r="Z29" s="72"/>
      <c r="AA29" s="5">
        <v>-130</v>
      </c>
      <c r="AB29" s="72"/>
      <c r="AC29" s="72"/>
      <c r="AD29" s="72"/>
      <c r="AE29" s="72"/>
      <c r="AF29" s="5">
        <v>-3</v>
      </c>
      <c r="AG29" s="72"/>
      <c r="AH29" s="72"/>
      <c r="AI29" s="72"/>
      <c r="AJ29" s="72"/>
      <c r="AK29" s="5">
        <v>-244</v>
      </c>
      <c r="AL29" s="72"/>
      <c r="AM29" s="72"/>
      <c r="AN29" s="72"/>
      <c r="AO29" s="72"/>
      <c r="AP29" s="5">
        <v>-15</v>
      </c>
      <c r="AQ29" s="72"/>
      <c r="AR29" s="72"/>
      <c r="AS29" s="72"/>
      <c r="AT29" s="72"/>
      <c r="AU29" s="5">
        <v>-4484</v>
      </c>
      <c r="AV29" s="72"/>
      <c r="AW29" s="72"/>
      <c r="AX29" s="72"/>
      <c r="AY29" s="72"/>
      <c r="AZ29" s="5">
        <v>0</v>
      </c>
      <c r="BA29" s="72"/>
      <c r="BB29" s="72"/>
      <c r="BC29" s="72"/>
      <c r="BD29" s="72"/>
      <c r="BE29" s="5">
        <v>-1</v>
      </c>
      <c r="BF29" s="72"/>
      <c r="BG29" s="72"/>
      <c r="BH29" s="72"/>
      <c r="BI29" s="72"/>
      <c r="BJ29" s="5">
        <v>-2</v>
      </c>
      <c r="BK29" s="72"/>
      <c r="BL29" s="72"/>
      <c r="BM29" s="72"/>
      <c r="BN29" s="72"/>
      <c r="BO29" s="5">
        <f>-103-0</f>
        <v>-103</v>
      </c>
      <c r="BP29" s="72"/>
      <c r="BQ29" s="72"/>
      <c r="BR29" s="72"/>
      <c r="BS29" s="72"/>
      <c r="BT29" s="72"/>
      <c r="BU29" s="72"/>
      <c r="BV29" s="72"/>
      <c r="BW29" s="72"/>
      <c r="BX29" s="72"/>
      <c r="BY29" s="72"/>
      <c r="BZ29" s="72"/>
      <c r="CA29" s="72"/>
      <c r="CB29" s="72"/>
      <c r="CC29" s="72"/>
      <c r="CD29" s="72"/>
      <c r="CF29" s="406"/>
    </row>
    <row r="30" spans="1:84" hidden="1" outlineLevel="1">
      <c r="A30" s="5"/>
      <c r="B30" s="124" t="s">
        <v>2950</v>
      </c>
      <c r="C30" s="8">
        <f>SUM(C23:C29)</f>
        <v>1159</v>
      </c>
      <c r="D30" s="8">
        <f>SUM(D23:D29)</f>
        <v>1403</v>
      </c>
      <c r="E30" s="8">
        <f>SUM(E23:E29)</f>
        <v>2867</v>
      </c>
      <c r="F30" s="8">
        <f>SUM(F23:F29)</f>
        <v>3179</v>
      </c>
      <c r="G30" s="8">
        <f>SUM(G23:G29)</f>
        <v>3205</v>
      </c>
      <c r="H30" s="73"/>
      <c r="I30" s="73"/>
      <c r="J30" s="73"/>
      <c r="K30" s="73"/>
      <c r="L30" s="8">
        <f>SUM(L23:L29)</f>
        <v>3888</v>
      </c>
      <c r="M30" s="73"/>
      <c r="N30" s="73"/>
      <c r="O30" s="73"/>
      <c r="P30" s="73"/>
      <c r="Q30" s="8">
        <f>SUM(Q23:Q29)</f>
        <v>4581</v>
      </c>
      <c r="R30" s="73"/>
      <c r="S30" s="73"/>
      <c r="T30" s="73"/>
      <c r="U30" s="73"/>
      <c r="V30" s="8">
        <f>SUM(V23:V29)</f>
        <v>4688</v>
      </c>
      <c r="W30" s="73"/>
      <c r="X30" s="73"/>
      <c r="Y30" s="73"/>
      <c r="Z30" s="73"/>
      <c r="AA30" s="8">
        <f>SUM(AA23:AA29)</f>
        <v>4853</v>
      </c>
      <c r="AB30" s="73"/>
      <c r="AC30" s="73"/>
      <c r="AD30" s="73"/>
      <c r="AE30" s="73"/>
      <c r="AF30" s="8">
        <f>SUM(AF23:AF29)</f>
        <v>4971</v>
      </c>
      <c r="AG30" s="73"/>
      <c r="AH30" s="73"/>
      <c r="AI30" s="73"/>
      <c r="AJ30" s="73"/>
      <c r="AK30" s="8">
        <f>SUM(AK23:AK29)</f>
        <v>5234</v>
      </c>
      <c r="AL30" s="73"/>
      <c r="AM30" s="73"/>
      <c r="AN30" s="73"/>
      <c r="AO30" s="73"/>
      <c r="AP30" s="8">
        <f>SUM(AP23:AP29)</f>
        <v>5378</v>
      </c>
      <c r="AQ30" s="73"/>
      <c r="AR30" s="73"/>
      <c r="AS30" s="73"/>
      <c r="AT30" s="73"/>
      <c r="AU30" s="8">
        <f>SUM(AU23:AU29)</f>
        <v>5721</v>
      </c>
      <c r="AV30" s="73"/>
      <c r="AW30" s="73"/>
      <c r="AX30" s="73"/>
      <c r="AY30" s="73"/>
      <c r="AZ30" s="8">
        <v>5725</v>
      </c>
      <c r="BA30" s="73"/>
      <c r="BB30" s="73"/>
      <c r="BC30" s="73"/>
      <c r="BD30" s="73"/>
      <c r="BE30" s="8">
        <f>5517+60</f>
        <v>5577</v>
      </c>
      <c r="BF30" s="73"/>
      <c r="BG30" s="73"/>
      <c r="BH30" s="73"/>
      <c r="BI30" s="73"/>
      <c r="BJ30" s="8">
        <f>SUM(BJ23:BJ29)</f>
        <v>6182</v>
      </c>
      <c r="BK30" s="73"/>
      <c r="BL30" s="73"/>
      <c r="BM30" s="73"/>
      <c r="BN30" s="73"/>
      <c r="BO30" s="8">
        <f>SUM(BO23:BO29)</f>
        <v>6225</v>
      </c>
      <c r="BP30" s="73"/>
      <c r="BQ30" s="73"/>
      <c r="BR30" s="73"/>
      <c r="BS30" s="73"/>
      <c r="BT30" s="73"/>
      <c r="BU30" s="73"/>
      <c r="BV30" s="73"/>
      <c r="BW30" s="73"/>
      <c r="BX30" s="73"/>
      <c r="BY30" s="73"/>
      <c r="BZ30" s="73"/>
      <c r="CA30" s="73"/>
      <c r="CB30" s="73"/>
      <c r="CC30" s="73"/>
      <c r="CD30" s="73"/>
      <c r="CF30" s="406"/>
    </row>
    <row r="31" spans="1:84" hidden="1" outlineLevel="1">
      <c r="A31" s="5"/>
      <c r="B31" s="121" t="s">
        <v>2517</v>
      </c>
      <c r="C31" s="5">
        <v>982</v>
      </c>
      <c r="D31" s="5">
        <v>1178</v>
      </c>
      <c r="E31" s="5">
        <v>2296</v>
      </c>
      <c r="F31" s="5">
        <v>2660</v>
      </c>
      <c r="G31" s="5">
        <v>2486</v>
      </c>
      <c r="H31" s="72"/>
      <c r="I31" s="72"/>
      <c r="J31" s="72"/>
      <c r="K31" s="72"/>
      <c r="L31" s="5">
        <v>2942</v>
      </c>
      <c r="M31" s="72"/>
      <c r="N31" s="72"/>
      <c r="O31" s="72"/>
      <c r="P31" s="72"/>
      <c r="Q31" s="5">
        <v>2996</v>
      </c>
      <c r="R31" s="72"/>
      <c r="S31" s="72"/>
      <c r="T31" s="72"/>
      <c r="U31" s="72"/>
      <c r="V31" s="5">
        <v>3125</v>
      </c>
      <c r="W31" s="72"/>
      <c r="X31" s="72"/>
      <c r="Y31" s="72"/>
      <c r="Z31" s="72"/>
      <c r="AA31" s="5">
        <v>3121</v>
      </c>
      <c r="AB31" s="72"/>
      <c r="AC31" s="72"/>
      <c r="AD31" s="72"/>
      <c r="AE31" s="72"/>
      <c r="AF31" s="5">
        <v>3166</v>
      </c>
      <c r="AG31" s="72"/>
      <c r="AH31" s="72"/>
      <c r="AI31" s="72"/>
      <c r="AJ31" s="72"/>
      <c r="AK31" s="5">
        <v>3201</v>
      </c>
      <c r="AL31" s="72"/>
      <c r="AM31" s="72"/>
      <c r="AN31" s="72"/>
      <c r="AO31" s="72"/>
      <c r="AP31" s="5">
        <v>3041</v>
      </c>
      <c r="AQ31" s="72"/>
      <c r="AR31" s="72"/>
      <c r="AS31" s="72"/>
      <c r="AT31" s="72"/>
      <c r="AU31" s="5">
        <v>3510</v>
      </c>
      <c r="AV31" s="72"/>
      <c r="AW31" s="72"/>
      <c r="AX31" s="72"/>
      <c r="AY31" s="72"/>
      <c r="AZ31" s="5">
        <v>3451</v>
      </c>
      <c r="BA31" s="72"/>
      <c r="BB31" s="72"/>
      <c r="BC31" s="72"/>
      <c r="BD31" s="72"/>
      <c r="BE31" s="5">
        <f>3225+45</f>
        <v>3270</v>
      </c>
      <c r="BF31" s="72"/>
      <c r="BG31" s="72"/>
      <c r="BH31" s="72"/>
      <c r="BI31" s="72"/>
      <c r="BJ31" s="5">
        <v>3637</v>
      </c>
      <c r="BK31" s="72"/>
      <c r="BL31" s="72"/>
      <c r="BM31" s="72"/>
      <c r="BN31" s="72"/>
      <c r="BO31" s="5">
        <f>97+3473</f>
        <v>3570</v>
      </c>
      <c r="BP31" s="72"/>
      <c r="BQ31" s="72"/>
      <c r="BR31" s="72"/>
      <c r="BS31" s="72"/>
      <c r="BT31" s="72"/>
      <c r="BU31" s="72"/>
      <c r="BV31" s="72"/>
      <c r="BW31" s="72"/>
      <c r="BX31" s="72"/>
      <c r="BY31" s="72"/>
      <c r="BZ31" s="72"/>
      <c r="CA31" s="72"/>
      <c r="CB31" s="72"/>
      <c r="CC31" s="72"/>
      <c r="CD31" s="72"/>
      <c r="CF31" s="406"/>
    </row>
    <row r="32" spans="1:84" hidden="1" outlineLevel="1">
      <c r="A32" s="5"/>
      <c r="B32" s="121" t="s">
        <v>2481</v>
      </c>
      <c r="C32" s="5">
        <v>177</v>
      </c>
      <c r="D32" s="5">
        <v>225</v>
      </c>
      <c r="E32" s="5">
        <v>571</v>
      </c>
      <c r="F32" s="5">
        <v>519</v>
      </c>
      <c r="G32" s="5">
        <v>719</v>
      </c>
      <c r="H32" s="72"/>
      <c r="I32" s="72"/>
      <c r="J32" s="72"/>
      <c r="K32" s="72"/>
      <c r="L32" s="5">
        <v>946</v>
      </c>
      <c r="M32" s="72"/>
      <c r="N32" s="72"/>
      <c r="O32" s="72"/>
      <c r="P32" s="72"/>
      <c r="Q32" s="5">
        <v>1585</v>
      </c>
      <c r="R32" s="72"/>
      <c r="S32" s="72"/>
      <c r="T32" s="72"/>
      <c r="U32" s="72"/>
      <c r="V32" s="5">
        <v>1563</v>
      </c>
      <c r="W32" s="72"/>
      <c r="X32" s="72"/>
      <c r="Y32" s="72"/>
      <c r="Z32" s="72"/>
      <c r="AA32" s="5">
        <v>1732</v>
      </c>
      <c r="AB32" s="72"/>
      <c r="AC32" s="72"/>
      <c r="AD32" s="72"/>
      <c r="AE32" s="72"/>
      <c r="AF32" s="5">
        <v>1805</v>
      </c>
      <c r="AG32" s="72"/>
      <c r="AH32" s="72"/>
      <c r="AI32" s="72"/>
      <c r="AJ32" s="72"/>
      <c r="AK32" s="5">
        <v>2033</v>
      </c>
      <c r="AL32" s="72"/>
      <c r="AM32" s="72"/>
      <c r="AN32" s="72"/>
      <c r="AO32" s="72"/>
      <c r="AP32" s="5">
        <v>2337</v>
      </c>
      <c r="AQ32" s="72"/>
      <c r="AR32" s="72"/>
      <c r="AS32" s="72"/>
      <c r="AT32" s="72"/>
      <c r="AU32" s="5">
        <v>2211</v>
      </c>
      <c r="AV32" s="72"/>
      <c r="AW32" s="72"/>
      <c r="AX32" s="72"/>
      <c r="AY32" s="72"/>
      <c r="AZ32" s="5">
        <v>2274</v>
      </c>
      <c r="BA32" s="72"/>
      <c r="BB32" s="72"/>
      <c r="BC32" s="72"/>
      <c r="BD32" s="72"/>
      <c r="BE32" s="5">
        <f>2292+15</f>
        <v>2307</v>
      </c>
      <c r="BF32" s="72"/>
      <c r="BG32" s="72"/>
      <c r="BH32" s="72"/>
      <c r="BI32" s="72"/>
      <c r="BJ32" s="5">
        <v>2545</v>
      </c>
      <c r="BK32" s="72"/>
      <c r="BL32" s="72"/>
      <c r="BM32" s="72"/>
      <c r="BN32" s="72"/>
      <c r="BO32" s="5">
        <f>53+2603</f>
        <v>2656</v>
      </c>
      <c r="BP32" s="72"/>
      <c r="BQ32" s="72"/>
      <c r="BR32" s="72"/>
      <c r="BS32" s="72"/>
      <c r="BT32" s="72"/>
      <c r="BU32" s="72"/>
      <c r="BV32" s="72"/>
      <c r="BW32" s="72"/>
      <c r="BX32" s="72"/>
      <c r="BY32" s="72"/>
      <c r="BZ32" s="72"/>
      <c r="CA32" s="72"/>
      <c r="CB32" s="72"/>
      <c r="CC32" s="72"/>
      <c r="CD32" s="72"/>
      <c r="CF32" s="406"/>
    </row>
    <row r="33" spans="1:84" hidden="1" outlineLevel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F33" s="406"/>
    </row>
    <row r="34" spans="1:84" hidden="1" outlineLevel="1">
      <c r="A34" s="39" t="s">
        <v>1227</v>
      </c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F34" s="406"/>
    </row>
    <row r="35" spans="1:84" hidden="1" outlineLevel="1">
      <c r="A35" s="5"/>
      <c r="B35" s="11" t="s">
        <v>2947</v>
      </c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5">
        <f>AA42</f>
        <v>0</v>
      </c>
      <c r="AG35" s="72"/>
      <c r="AH35" s="72"/>
      <c r="AI35" s="72"/>
      <c r="AJ35" s="72"/>
      <c r="AK35" s="5">
        <f>AF42</f>
        <v>179</v>
      </c>
      <c r="AL35" s="72"/>
      <c r="AM35" s="72"/>
      <c r="AN35" s="72"/>
      <c r="AO35" s="72"/>
      <c r="AP35" s="5">
        <f>AK42</f>
        <v>178</v>
      </c>
      <c r="AQ35" s="72"/>
      <c r="AR35" s="72"/>
      <c r="AS35" s="72"/>
      <c r="AT35" s="72"/>
      <c r="AU35" s="5">
        <f>AP42</f>
        <v>195</v>
      </c>
      <c r="AV35" s="72"/>
      <c r="AW35" s="72"/>
      <c r="AX35" s="72"/>
      <c r="AY35" s="72"/>
      <c r="AZ35" s="5">
        <f>AU42</f>
        <v>188</v>
      </c>
      <c r="BA35" s="72"/>
      <c r="BB35" s="72"/>
      <c r="BC35" s="72"/>
      <c r="BD35" s="72"/>
      <c r="BE35" s="5"/>
      <c r="BF35" s="72"/>
      <c r="BG35" s="72"/>
      <c r="BH35" s="72"/>
      <c r="BI35" s="72"/>
      <c r="BJ35" s="5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F35" s="406"/>
    </row>
    <row r="36" spans="1:84" hidden="1" outlineLevel="1">
      <c r="A36" s="5"/>
      <c r="B36" s="123" t="s">
        <v>2518</v>
      </c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E36" s="72"/>
      <c r="AF36" s="5">
        <v>0</v>
      </c>
      <c r="AG36" s="72"/>
      <c r="AH36" s="72"/>
      <c r="AI36" s="72"/>
      <c r="AJ36" s="72"/>
      <c r="AK36" s="5">
        <v>-1</v>
      </c>
      <c r="AL36" s="72"/>
      <c r="AM36" s="72"/>
      <c r="AN36" s="72"/>
      <c r="AO36" s="72"/>
      <c r="AP36" s="5">
        <v>17</v>
      </c>
      <c r="AQ36" s="72"/>
      <c r="AR36" s="72"/>
      <c r="AS36" s="72"/>
      <c r="AT36" s="72"/>
      <c r="AU36" s="5">
        <v>-7</v>
      </c>
      <c r="AV36" s="72"/>
      <c r="AW36" s="72"/>
      <c r="AX36" s="72"/>
      <c r="AY36" s="72"/>
      <c r="AZ36" s="5">
        <v>-16</v>
      </c>
      <c r="BA36" s="72"/>
      <c r="BB36" s="72"/>
      <c r="BC36" s="72"/>
      <c r="BD36" s="72"/>
      <c r="BE36" s="5"/>
      <c r="BF36" s="72"/>
      <c r="BG36" s="72"/>
      <c r="BH36" s="72"/>
      <c r="BI36" s="72"/>
      <c r="BJ36" s="5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F36" s="538"/>
    </row>
    <row r="37" spans="1:84" hidden="1" outlineLevel="1">
      <c r="A37" s="5"/>
      <c r="B37" s="123" t="s">
        <v>2948</v>
      </c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  <c r="AA37" s="72"/>
      <c r="AB37" s="72"/>
      <c r="AC37" s="72"/>
      <c r="AD37" s="72"/>
      <c r="AE37" s="72"/>
      <c r="AF37" s="5">
        <v>0</v>
      </c>
      <c r="AG37" s="72"/>
      <c r="AH37" s="72"/>
      <c r="AI37" s="72"/>
      <c r="AJ37" s="72"/>
      <c r="AK37" s="5">
        <v>0</v>
      </c>
      <c r="AL37" s="72"/>
      <c r="AM37" s="72"/>
      <c r="AN37" s="72"/>
      <c r="AO37" s="72"/>
      <c r="AP37" s="5">
        <v>0</v>
      </c>
      <c r="AQ37" s="72"/>
      <c r="AR37" s="72"/>
      <c r="AS37" s="72"/>
      <c r="AT37" s="72"/>
      <c r="AU37" s="5">
        <v>0</v>
      </c>
      <c r="AV37" s="72"/>
      <c r="AW37" s="72"/>
      <c r="AX37" s="72"/>
      <c r="AY37" s="72"/>
      <c r="AZ37" s="5">
        <v>0</v>
      </c>
      <c r="BA37" s="72"/>
      <c r="BB37" s="72"/>
      <c r="BC37" s="72"/>
      <c r="BD37" s="72"/>
      <c r="BE37" s="5"/>
      <c r="BF37" s="72"/>
      <c r="BG37" s="72"/>
      <c r="BH37" s="72"/>
      <c r="BI37" s="72"/>
      <c r="BJ37" s="5"/>
      <c r="BK37" s="72"/>
      <c r="BL37" s="72"/>
      <c r="BM37" s="72"/>
      <c r="BN37" s="72"/>
      <c r="BO37" s="72"/>
      <c r="BP37" s="72"/>
      <c r="BQ37" s="72"/>
      <c r="BR37" s="72"/>
      <c r="BS37" s="72"/>
      <c r="BT37" s="72"/>
      <c r="BU37" s="72"/>
      <c r="BV37" s="72"/>
      <c r="BW37" s="72"/>
      <c r="BX37" s="72"/>
      <c r="BY37" s="72"/>
      <c r="BZ37" s="72"/>
      <c r="CA37" s="72"/>
      <c r="CB37" s="72"/>
      <c r="CC37" s="72"/>
      <c r="CD37" s="72"/>
      <c r="CF37" s="406"/>
    </row>
    <row r="38" spans="1:84" hidden="1" outlineLevel="1">
      <c r="A38" s="5"/>
      <c r="B38" s="123" t="s">
        <v>352</v>
      </c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  <c r="AC38" s="72"/>
      <c r="AD38" s="72"/>
      <c r="AE38" s="72"/>
      <c r="AF38" s="5">
        <v>0</v>
      </c>
      <c r="AG38" s="72"/>
      <c r="AH38" s="72"/>
      <c r="AI38" s="72"/>
      <c r="AJ38" s="72"/>
      <c r="AK38" s="5">
        <v>0</v>
      </c>
      <c r="AL38" s="72"/>
      <c r="AM38" s="72"/>
      <c r="AN38" s="72"/>
      <c r="AO38" s="72"/>
      <c r="AP38" s="5">
        <v>0</v>
      </c>
      <c r="AQ38" s="72"/>
      <c r="AR38" s="72"/>
      <c r="AS38" s="72"/>
      <c r="AT38" s="72"/>
      <c r="AU38" s="5">
        <v>0</v>
      </c>
      <c r="AV38" s="72"/>
      <c r="AW38" s="72"/>
      <c r="AX38" s="72"/>
      <c r="AY38" s="72"/>
      <c r="AZ38" s="5">
        <v>0</v>
      </c>
      <c r="BA38" s="72"/>
      <c r="BB38" s="72"/>
      <c r="BC38" s="72"/>
      <c r="BD38" s="72"/>
      <c r="BE38" s="5"/>
      <c r="BF38" s="72"/>
      <c r="BG38" s="72"/>
      <c r="BH38" s="72"/>
      <c r="BI38" s="72"/>
      <c r="BJ38" s="5"/>
      <c r="BK38" s="72"/>
      <c r="BL38" s="72"/>
      <c r="BM38" s="72"/>
      <c r="BN38" s="72"/>
      <c r="BO38" s="72"/>
      <c r="BP38" s="72"/>
      <c r="BQ38" s="72"/>
      <c r="BR38" s="72"/>
      <c r="BS38" s="72"/>
      <c r="BT38" s="72"/>
      <c r="BU38" s="72"/>
      <c r="BV38" s="72"/>
      <c r="BW38" s="72"/>
      <c r="BX38" s="72"/>
      <c r="BY38" s="72"/>
      <c r="BZ38" s="72"/>
      <c r="CA38" s="72"/>
      <c r="CB38" s="72"/>
      <c r="CC38" s="72"/>
      <c r="CD38" s="72"/>
      <c r="CF38" s="406"/>
    </row>
    <row r="39" spans="1:84" hidden="1" outlineLevel="1">
      <c r="A39" s="5"/>
      <c r="B39" s="123" t="s">
        <v>474</v>
      </c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5">
        <v>179</v>
      </c>
      <c r="AG39" s="72"/>
      <c r="AH39" s="72"/>
      <c r="AI39" s="72"/>
      <c r="AJ39" s="72"/>
      <c r="AK39" s="5">
        <v>0</v>
      </c>
      <c r="AL39" s="72"/>
      <c r="AM39" s="72"/>
      <c r="AN39" s="72"/>
      <c r="AO39" s="72"/>
      <c r="AP39" s="5">
        <v>0</v>
      </c>
      <c r="AQ39" s="72"/>
      <c r="AR39" s="72"/>
      <c r="AS39" s="72"/>
      <c r="AT39" s="72"/>
      <c r="AU39" s="5">
        <v>0</v>
      </c>
      <c r="AV39" s="72"/>
      <c r="AW39" s="72"/>
      <c r="AX39" s="72"/>
      <c r="AY39" s="72"/>
      <c r="AZ39" s="5">
        <v>0</v>
      </c>
      <c r="BA39" s="72"/>
      <c r="BB39" s="72"/>
      <c r="BC39" s="72"/>
      <c r="BD39" s="72"/>
      <c r="BE39" s="5"/>
      <c r="BF39" s="72"/>
      <c r="BG39" s="72"/>
      <c r="BH39" s="72"/>
      <c r="BI39" s="72"/>
      <c r="BJ39" s="5"/>
      <c r="BK39" s="72"/>
      <c r="BL39" s="72"/>
      <c r="BM39" s="72"/>
      <c r="BN39" s="72"/>
      <c r="BO39" s="72"/>
      <c r="BP39" s="72"/>
      <c r="BQ39" s="72"/>
      <c r="BR39" s="72"/>
      <c r="BS39" s="72"/>
      <c r="BT39" s="72"/>
      <c r="BU39" s="72"/>
      <c r="BV39" s="72"/>
      <c r="BW39" s="72"/>
      <c r="BX39" s="72"/>
      <c r="BY39" s="72"/>
      <c r="BZ39" s="72"/>
      <c r="CA39" s="72"/>
      <c r="CB39" s="72"/>
      <c r="CC39" s="72"/>
      <c r="CD39" s="72"/>
      <c r="CF39" s="406"/>
    </row>
    <row r="40" spans="1:84" hidden="1" outlineLevel="1">
      <c r="A40" s="5"/>
      <c r="B40" s="123" t="s">
        <v>2949</v>
      </c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  <c r="AA40" s="72"/>
      <c r="AB40" s="72"/>
      <c r="AC40" s="72"/>
      <c r="AD40" s="72"/>
      <c r="AE40" s="72"/>
      <c r="AF40" s="5">
        <v>0</v>
      </c>
      <c r="AG40" s="72"/>
      <c r="AH40" s="72"/>
      <c r="AI40" s="72"/>
      <c r="AJ40" s="72"/>
      <c r="AK40" s="5">
        <v>0</v>
      </c>
      <c r="AL40" s="72"/>
      <c r="AM40" s="72"/>
      <c r="AN40" s="72"/>
      <c r="AO40" s="72"/>
      <c r="AP40" s="5">
        <v>0</v>
      </c>
      <c r="AQ40" s="72"/>
      <c r="AR40" s="72"/>
      <c r="AS40" s="72"/>
      <c r="AT40" s="72"/>
      <c r="AU40" s="5">
        <v>0</v>
      </c>
      <c r="AV40" s="72"/>
      <c r="AW40" s="72"/>
      <c r="AX40" s="72"/>
      <c r="AY40" s="72"/>
      <c r="AZ40" s="5">
        <v>0</v>
      </c>
      <c r="BA40" s="72"/>
      <c r="BB40" s="72"/>
      <c r="BC40" s="72"/>
      <c r="BD40" s="72"/>
      <c r="BE40" s="5"/>
      <c r="BF40" s="72"/>
      <c r="BG40" s="72"/>
      <c r="BH40" s="72"/>
      <c r="BI40" s="72"/>
      <c r="BJ40" s="5"/>
      <c r="BK40" s="72"/>
      <c r="BL40" s="72"/>
      <c r="BM40" s="72"/>
      <c r="BN40" s="72"/>
      <c r="BO40" s="72"/>
      <c r="BP40" s="72"/>
      <c r="BQ40" s="72"/>
      <c r="BR40" s="72"/>
      <c r="BS40" s="72"/>
      <c r="BT40" s="72"/>
      <c r="BU40" s="72"/>
      <c r="BV40" s="72"/>
      <c r="BW40" s="72"/>
      <c r="BX40" s="72"/>
      <c r="BY40" s="72"/>
      <c r="BZ40" s="72"/>
      <c r="CA40" s="72"/>
      <c r="CB40" s="72"/>
      <c r="CC40" s="72"/>
      <c r="CD40" s="72"/>
      <c r="CF40" s="406"/>
    </row>
    <row r="41" spans="1:84" hidden="1" outlineLevel="1">
      <c r="A41" s="5"/>
      <c r="B41" s="123" t="s">
        <v>353</v>
      </c>
      <c r="C41" s="72"/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  <c r="AA41" s="72"/>
      <c r="AB41" s="72"/>
      <c r="AC41" s="72"/>
      <c r="AD41" s="72"/>
      <c r="AE41" s="72"/>
      <c r="AF41" s="5">
        <v>0</v>
      </c>
      <c r="AG41" s="72"/>
      <c r="AH41" s="72"/>
      <c r="AI41" s="72"/>
      <c r="AJ41" s="72"/>
      <c r="AK41" s="5">
        <v>0</v>
      </c>
      <c r="AL41" s="72"/>
      <c r="AM41" s="72"/>
      <c r="AN41" s="72"/>
      <c r="AO41" s="72"/>
      <c r="AP41" s="5">
        <v>0</v>
      </c>
      <c r="AQ41" s="72"/>
      <c r="AR41" s="72"/>
      <c r="AS41" s="72"/>
      <c r="AT41" s="72"/>
      <c r="AU41" s="5">
        <v>0</v>
      </c>
      <c r="AV41" s="72"/>
      <c r="AW41" s="72"/>
      <c r="AX41" s="72"/>
      <c r="AY41" s="72"/>
      <c r="AZ41" s="5">
        <v>0</v>
      </c>
      <c r="BA41" s="72"/>
      <c r="BB41" s="72"/>
      <c r="BC41" s="72"/>
      <c r="BD41" s="72"/>
      <c r="BE41" s="5"/>
      <c r="BF41" s="72"/>
      <c r="BG41" s="72"/>
      <c r="BH41" s="72"/>
      <c r="BI41" s="72"/>
      <c r="BJ41" s="5"/>
      <c r="BK41" s="72"/>
      <c r="BL41" s="72"/>
      <c r="BM41" s="72"/>
      <c r="BN41" s="72"/>
      <c r="BO41" s="72"/>
      <c r="BP41" s="72"/>
      <c r="BQ41" s="72"/>
      <c r="BR41" s="72"/>
      <c r="BS41" s="72"/>
      <c r="BT41" s="72"/>
      <c r="BU41" s="72"/>
      <c r="BV41" s="72"/>
      <c r="BW41" s="72"/>
      <c r="BX41" s="72"/>
      <c r="BY41" s="72"/>
      <c r="BZ41" s="72"/>
      <c r="CA41" s="72"/>
      <c r="CB41" s="72"/>
      <c r="CC41" s="72"/>
      <c r="CD41" s="72"/>
      <c r="CF41" s="406"/>
    </row>
    <row r="42" spans="1:84" hidden="1" outlineLevel="1">
      <c r="A42" s="5"/>
      <c r="B42" s="124" t="s">
        <v>2950</v>
      </c>
      <c r="C42" s="72"/>
      <c r="D42" s="72"/>
      <c r="E42" s="72"/>
      <c r="F42" s="72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8">
        <f>SUM(AF35:AF41)</f>
        <v>179</v>
      </c>
      <c r="AG42" s="73"/>
      <c r="AH42" s="73"/>
      <c r="AI42" s="73"/>
      <c r="AJ42" s="73"/>
      <c r="AK42" s="8">
        <f>SUM(AK35:AK41)</f>
        <v>178</v>
      </c>
      <c r="AL42" s="73"/>
      <c r="AM42" s="73"/>
      <c r="AN42" s="73"/>
      <c r="AO42" s="73"/>
      <c r="AP42" s="8">
        <f>SUM(AP35:AP41)</f>
        <v>195</v>
      </c>
      <c r="AQ42" s="73"/>
      <c r="AR42" s="73"/>
      <c r="AS42" s="73"/>
      <c r="AT42" s="73"/>
      <c r="AU42" s="8">
        <f>SUM(AU35:AU41)</f>
        <v>188</v>
      </c>
      <c r="AV42" s="73"/>
      <c r="AW42" s="73"/>
      <c r="AX42" s="73"/>
      <c r="AY42" s="73"/>
      <c r="AZ42" s="8">
        <f>SUM(AZ35:AZ41)</f>
        <v>172</v>
      </c>
      <c r="BA42" s="73"/>
      <c r="BB42" s="73"/>
      <c r="BC42" s="73"/>
      <c r="BD42" s="73"/>
      <c r="BE42" s="8"/>
      <c r="BF42" s="73"/>
      <c r="BG42" s="73"/>
      <c r="BH42" s="73"/>
      <c r="BI42" s="73"/>
      <c r="BJ42" s="8"/>
      <c r="BK42" s="73"/>
      <c r="BL42" s="73"/>
      <c r="BM42" s="73"/>
      <c r="BN42" s="73"/>
      <c r="BO42" s="73"/>
      <c r="BP42" s="73"/>
      <c r="BQ42" s="73"/>
      <c r="BR42" s="73"/>
      <c r="BS42" s="73"/>
      <c r="BT42" s="73"/>
      <c r="BU42" s="73"/>
      <c r="BV42" s="73"/>
      <c r="BW42" s="73"/>
      <c r="BX42" s="73"/>
      <c r="BY42" s="73"/>
      <c r="BZ42" s="73"/>
      <c r="CA42" s="73"/>
      <c r="CB42" s="73"/>
      <c r="CC42" s="73"/>
      <c r="CD42" s="73"/>
      <c r="CF42" s="406"/>
    </row>
    <row r="43" spans="1:84" hidden="1" outlineLevel="1">
      <c r="A43" s="5"/>
      <c r="B43" s="121" t="s">
        <v>2517</v>
      </c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72"/>
      <c r="AC43" s="72"/>
      <c r="AD43" s="72"/>
      <c r="AE43" s="72"/>
      <c r="AF43" s="5">
        <v>0</v>
      </c>
      <c r="AG43" s="72"/>
      <c r="AH43" s="72"/>
      <c r="AI43" s="72"/>
      <c r="AJ43" s="72"/>
      <c r="AK43" s="5">
        <v>0</v>
      </c>
      <c r="AL43" s="72"/>
      <c r="AM43" s="72"/>
      <c r="AN43" s="72"/>
      <c r="AO43" s="72"/>
      <c r="AP43" s="5">
        <v>0</v>
      </c>
      <c r="AQ43" s="72"/>
      <c r="AR43" s="72"/>
      <c r="AS43" s="72"/>
      <c r="AT43" s="72"/>
      <c r="AU43" s="5">
        <v>0</v>
      </c>
      <c r="AV43" s="72"/>
      <c r="AW43" s="72"/>
      <c r="AX43" s="72"/>
      <c r="AY43" s="72"/>
      <c r="AZ43" s="5">
        <v>9</v>
      </c>
      <c r="BA43" s="72"/>
      <c r="BB43" s="72"/>
      <c r="BC43" s="72"/>
      <c r="BD43" s="72"/>
      <c r="BE43" s="5"/>
      <c r="BF43" s="72"/>
      <c r="BG43" s="72"/>
      <c r="BH43" s="72"/>
      <c r="BI43" s="72"/>
      <c r="BJ43" s="5"/>
      <c r="BK43" s="72"/>
      <c r="BL43" s="72"/>
      <c r="BM43" s="72"/>
      <c r="BN43" s="72"/>
      <c r="BO43" s="72"/>
      <c r="BP43" s="72"/>
      <c r="BQ43" s="72"/>
      <c r="BR43" s="72"/>
      <c r="BS43" s="72"/>
      <c r="BT43" s="72"/>
      <c r="BU43" s="72"/>
      <c r="BV43" s="72"/>
      <c r="BW43" s="72"/>
      <c r="BX43" s="72"/>
      <c r="BY43" s="72"/>
      <c r="BZ43" s="72"/>
      <c r="CA43" s="72"/>
      <c r="CB43" s="72"/>
      <c r="CC43" s="72"/>
      <c r="CD43" s="72"/>
      <c r="CF43" s="406"/>
    </row>
    <row r="44" spans="1:84" hidden="1" outlineLevel="1">
      <c r="A44" s="5"/>
      <c r="B44" s="121" t="s">
        <v>2481</v>
      </c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5">
        <v>179</v>
      </c>
      <c r="AG44" s="72"/>
      <c r="AH44" s="72"/>
      <c r="AI44" s="72"/>
      <c r="AJ44" s="72"/>
      <c r="AK44" s="5">
        <v>178</v>
      </c>
      <c r="AL44" s="72"/>
      <c r="AM44" s="72"/>
      <c r="AN44" s="72"/>
      <c r="AO44" s="72"/>
      <c r="AP44" s="5">
        <v>195</v>
      </c>
      <c r="AQ44" s="72"/>
      <c r="AR44" s="72"/>
      <c r="AS44" s="72"/>
      <c r="AT44" s="72"/>
      <c r="AU44" s="5">
        <v>188</v>
      </c>
      <c r="AV44" s="72"/>
      <c r="AW44" s="72"/>
      <c r="AX44" s="72"/>
      <c r="AY44" s="72"/>
      <c r="AZ44" s="5">
        <v>163</v>
      </c>
      <c r="BA44" s="72"/>
      <c r="BB44" s="72"/>
      <c r="BC44" s="72"/>
      <c r="BD44" s="72"/>
      <c r="BE44" s="5"/>
      <c r="BF44" s="72"/>
      <c r="BG44" s="72"/>
      <c r="BH44" s="72"/>
      <c r="BI44" s="72"/>
      <c r="BJ44" s="5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/>
      <c r="CF44" s="406"/>
    </row>
    <row r="45" spans="1:84" hidden="1" outlineLevel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F45" s="406"/>
    </row>
    <row r="46" spans="1:84" collapsed="1">
      <c r="A46" s="39" t="s">
        <v>940</v>
      </c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F46" s="406"/>
    </row>
    <row r="47" spans="1:84">
      <c r="A47" s="5"/>
      <c r="B47" s="11" t="s">
        <v>2947</v>
      </c>
      <c r="C47" s="5">
        <f t="shared" ref="C47:C53" si="0">SUM(C11,C23)</f>
        <v>7643</v>
      </c>
      <c r="D47" s="5">
        <f>C54</f>
        <v>8376</v>
      </c>
      <c r="E47" s="5">
        <f>D54</f>
        <v>9165</v>
      </c>
      <c r="F47" s="5">
        <f>E54</f>
        <v>10081</v>
      </c>
      <c r="G47" s="5">
        <f>F54</f>
        <v>9934</v>
      </c>
      <c r="H47" s="72"/>
      <c r="I47" s="72"/>
      <c r="J47" s="72"/>
      <c r="K47" s="72"/>
      <c r="L47" s="5">
        <f>G54</f>
        <v>9565</v>
      </c>
      <c r="M47" s="72"/>
      <c r="N47" s="72"/>
      <c r="O47" s="72"/>
      <c r="P47" s="72"/>
      <c r="Q47" s="5">
        <f>L54</f>
        <v>9781</v>
      </c>
      <c r="R47" s="72"/>
      <c r="S47" s="72"/>
      <c r="T47" s="72"/>
      <c r="U47" s="72"/>
      <c r="V47" s="5">
        <f>Q54</f>
        <v>10073</v>
      </c>
      <c r="W47" s="72"/>
      <c r="X47" s="72"/>
      <c r="Y47" s="72"/>
      <c r="Z47" s="72"/>
      <c r="AA47" s="5">
        <f>V54</f>
        <v>10353</v>
      </c>
      <c r="AB47" s="72"/>
      <c r="AC47" s="72"/>
      <c r="AD47" s="72"/>
      <c r="AE47" s="72"/>
      <c r="AF47" s="5">
        <f>AA54</f>
        <v>10511</v>
      </c>
      <c r="AG47" s="72"/>
      <c r="AH47" s="72"/>
      <c r="AI47" s="72"/>
      <c r="AJ47" s="72"/>
      <c r="AK47" s="5">
        <f>AF54</f>
        <v>10709</v>
      </c>
      <c r="AL47" s="72"/>
      <c r="AM47" s="72"/>
      <c r="AN47" s="72"/>
      <c r="AO47" s="72"/>
      <c r="AP47" s="5">
        <f>AK54</f>
        <v>10565</v>
      </c>
      <c r="AQ47" s="72"/>
      <c r="AR47" s="72"/>
      <c r="AS47" s="72"/>
      <c r="AT47" s="72"/>
      <c r="AU47" s="5">
        <f>AP54</f>
        <v>10050</v>
      </c>
      <c r="AV47" s="72"/>
      <c r="AW47" s="72"/>
      <c r="AX47" s="72"/>
      <c r="AY47" s="72"/>
      <c r="AZ47" s="5">
        <f>AU54</f>
        <v>10070</v>
      </c>
      <c r="BA47" s="72"/>
      <c r="BB47" s="72"/>
      <c r="BC47" s="72"/>
      <c r="BD47" s="72"/>
      <c r="BE47" s="5">
        <f>AZ54</f>
        <v>9819</v>
      </c>
      <c r="BF47" s="72"/>
      <c r="BG47" s="72"/>
      <c r="BH47" s="72"/>
      <c r="BI47" s="72"/>
      <c r="BJ47" s="5">
        <f>BE54</f>
        <v>9562</v>
      </c>
      <c r="BK47" s="72"/>
      <c r="BL47" s="72"/>
      <c r="BM47" s="72"/>
      <c r="BN47" s="72"/>
      <c r="BO47" s="5">
        <f>BJ54</f>
        <v>10335</v>
      </c>
      <c r="BP47" s="72"/>
      <c r="BQ47" s="72"/>
      <c r="BR47" s="72"/>
      <c r="BS47" s="72"/>
      <c r="BT47" s="5">
        <f>BO54</f>
        <v>10674</v>
      </c>
      <c r="BU47" s="72"/>
      <c r="BV47" s="72"/>
      <c r="BW47" s="72"/>
      <c r="BX47" s="72"/>
      <c r="BY47" s="5">
        <f>BT54</f>
        <v>10053.266561520833</v>
      </c>
      <c r="BZ47" s="72"/>
      <c r="CA47" s="72"/>
      <c r="CB47" s="72"/>
      <c r="CC47" s="72"/>
      <c r="CD47" s="5">
        <f>BY54</f>
        <v>9423.0968501291682</v>
      </c>
      <c r="CF47" s="538"/>
    </row>
    <row r="48" spans="1:84">
      <c r="A48" s="5"/>
      <c r="B48" s="292" t="s">
        <v>2518</v>
      </c>
      <c r="C48" s="5">
        <f t="shared" si="0"/>
        <v>-42</v>
      </c>
      <c r="D48" s="5">
        <f t="shared" ref="D48:E53" si="1">SUM(D12,D24)</f>
        <v>47</v>
      </c>
      <c r="E48" s="5">
        <f t="shared" si="1"/>
        <v>-346</v>
      </c>
      <c r="F48" s="5">
        <f t="shared" ref="F48:G53" si="2">SUM(F12,F24)</f>
        <v>-47</v>
      </c>
      <c r="G48" s="5">
        <f t="shared" si="2"/>
        <v>165</v>
      </c>
      <c r="H48" s="72"/>
      <c r="I48" s="72"/>
      <c r="J48" s="72"/>
      <c r="K48" s="72"/>
      <c r="L48" s="5">
        <f t="shared" ref="L48:L53" si="3">SUM(L12,L24)</f>
        <v>1092</v>
      </c>
      <c r="M48" s="72"/>
      <c r="N48" s="72"/>
      <c r="O48" s="72"/>
      <c r="P48" s="72"/>
      <c r="Q48" s="5">
        <f t="shared" ref="Q48:Q53" si="4">SUM(Q12,Q24)</f>
        <v>554</v>
      </c>
      <c r="R48" s="72"/>
      <c r="S48" s="72"/>
      <c r="T48" s="72"/>
      <c r="U48" s="72"/>
      <c r="V48" s="5">
        <f t="shared" ref="V48:V53" si="5">SUM(V12,V24)</f>
        <v>488</v>
      </c>
      <c r="W48" s="72"/>
      <c r="X48" s="72"/>
      <c r="Y48" s="72"/>
      <c r="Z48" s="72"/>
      <c r="AA48" s="5">
        <f t="shared" ref="AA48:AA53" si="6">SUM(AA12,AA24)</f>
        <v>507</v>
      </c>
      <c r="AB48" s="72"/>
      <c r="AC48" s="72"/>
      <c r="AD48" s="72"/>
      <c r="AE48" s="72"/>
      <c r="AF48" s="5">
        <f>SUM(AF12,AF24,AF36)</f>
        <v>89</v>
      </c>
      <c r="AG48" s="72"/>
      <c r="AH48" s="72"/>
      <c r="AI48" s="72"/>
      <c r="AJ48" s="72"/>
      <c r="AK48" s="5">
        <f>SUM(AK12,AK24,AK36)</f>
        <v>502</v>
      </c>
      <c r="AL48" s="72"/>
      <c r="AM48" s="72"/>
      <c r="AN48" s="72"/>
      <c r="AO48" s="72"/>
      <c r="AP48" s="5">
        <f>SUM(AP12,AP24,AP36)</f>
        <v>114</v>
      </c>
      <c r="AQ48" s="72"/>
      <c r="AR48" s="72"/>
      <c r="AS48" s="72"/>
      <c r="AT48" s="72"/>
      <c r="AU48" s="5">
        <f>SUM(AU12,AU24,AU36)</f>
        <v>226</v>
      </c>
      <c r="AV48" s="72"/>
      <c r="AW48" s="72"/>
      <c r="AX48" s="72"/>
      <c r="AY48" s="72"/>
      <c r="AZ48" s="5">
        <f>SUM(AZ12,AZ24,AZ36)</f>
        <v>241</v>
      </c>
      <c r="BA48" s="72"/>
      <c r="BB48" s="72"/>
      <c r="BC48" s="72"/>
      <c r="BD48" s="72"/>
      <c r="BE48" s="5">
        <f>SUM(BE12,BE24,BE36)</f>
        <v>178</v>
      </c>
      <c r="BF48" s="72"/>
      <c r="BG48" s="72"/>
      <c r="BH48" s="72"/>
      <c r="BI48" s="72"/>
      <c r="BJ48" s="5">
        <f>SUM(BJ12,BJ24,BJ36)</f>
        <v>594</v>
      </c>
      <c r="BK48" s="72"/>
      <c r="BL48" s="72"/>
      <c r="BM48" s="72"/>
      <c r="BN48" s="72"/>
      <c r="BO48" s="5">
        <f>SUM(BO12,BO24,BO36)</f>
        <v>810</v>
      </c>
      <c r="BP48" s="72"/>
      <c r="BQ48" s="72"/>
      <c r="BR48" s="72"/>
      <c r="BS48" s="72"/>
      <c r="BT48" s="72"/>
      <c r="BU48" s="72"/>
      <c r="BV48" s="72"/>
      <c r="BW48" s="72"/>
      <c r="BX48" s="72"/>
      <c r="BY48" s="72"/>
      <c r="BZ48" s="72"/>
      <c r="CA48" s="72"/>
      <c r="CB48" s="72"/>
      <c r="CC48" s="72"/>
      <c r="CD48" s="72"/>
    </row>
    <row r="49" spans="1:82">
      <c r="A49" s="5"/>
      <c r="B49" s="292" t="s">
        <v>2948</v>
      </c>
      <c r="C49" s="5">
        <f t="shared" si="0"/>
        <v>134</v>
      </c>
      <c r="D49" s="5">
        <f t="shared" si="1"/>
        <v>187</v>
      </c>
      <c r="E49" s="5">
        <f t="shared" si="1"/>
        <v>214</v>
      </c>
      <c r="F49" s="5">
        <f t="shared" si="2"/>
        <v>210</v>
      </c>
      <c r="G49" s="5">
        <f t="shared" si="2"/>
        <v>305</v>
      </c>
      <c r="H49" s="72"/>
      <c r="I49" s="72"/>
      <c r="J49" s="72"/>
      <c r="K49" s="72"/>
      <c r="L49" s="5">
        <f t="shared" si="3"/>
        <v>203</v>
      </c>
      <c r="M49" s="72"/>
      <c r="N49" s="72"/>
      <c r="O49" s="72"/>
      <c r="P49" s="72"/>
      <c r="Q49" s="5">
        <f t="shared" si="4"/>
        <v>191</v>
      </c>
      <c r="R49" s="72"/>
      <c r="S49" s="72"/>
      <c r="T49" s="72"/>
      <c r="U49" s="72"/>
      <c r="V49" s="5">
        <f t="shared" si="5"/>
        <v>383</v>
      </c>
      <c r="W49" s="72"/>
      <c r="X49" s="72"/>
      <c r="Y49" s="72"/>
      <c r="Z49" s="72"/>
      <c r="AA49" s="5">
        <f t="shared" si="6"/>
        <v>261</v>
      </c>
      <c r="AB49" s="72"/>
      <c r="AC49" s="72"/>
      <c r="AD49" s="72"/>
      <c r="AE49" s="72"/>
      <c r="AF49" s="5">
        <f t="shared" ref="AF49:AF56" si="7">SUM(AF13,AF25,AF37)</f>
        <v>723</v>
      </c>
      <c r="AG49" s="72"/>
      <c r="AH49" s="72"/>
      <c r="AI49" s="72"/>
      <c r="AJ49" s="72"/>
      <c r="AK49" s="5">
        <f t="shared" ref="AK49:AK56" si="8">SUM(AK13,AK25,AK37)</f>
        <v>349</v>
      </c>
      <c r="AL49" s="72"/>
      <c r="AM49" s="72"/>
      <c r="AN49" s="72"/>
      <c r="AO49" s="72"/>
      <c r="AP49" s="5">
        <f t="shared" ref="AP49:AP56" si="9">SUM(AP13,AP25,AP37)</f>
        <v>229</v>
      </c>
      <c r="AQ49" s="72"/>
      <c r="AR49" s="72"/>
      <c r="AS49" s="72"/>
      <c r="AT49" s="72"/>
      <c r="AU49" s="5">
        <f t="shared" ref="AU49:AU56" si="10">SUM(AU13,AU25,AU37)</f>
        <v>159</v>
      </c>
      <c r="AV49" s="72"/>
      <c r="AW49" s="72"/>
      <c r="AX49" s="72"/>
      <c r="AY49" s="72"/>
      <c r="AZ49" s="5">
        <f t="shared" ref="AZ49:AZ56" si="11">SUM(AZ13,AZ25,AZ37)</f>
        <v>48</v>
      </c>
      <c r="BA49" s="72"/>
      <c r="BB49" s="72"/>
      <c r="BC49" s="72"/>
      <c r="BD49" s="72"/>
      <c r="BE49" s="5">
        <f t="shared" ref="BE49:BE56" si="12">SUM(BE13,BE25,BE37)</f>
        <v>33</v>
      </c>
      <c r="BF49" s="72"/>
      <c r="BG49" s="72"/>
      <c r="BH49" s="72"/>
      <c r="BI49" s="72"/>
      <c r="BJ49" s="5">
        <f t="shared" ref="BJ49:BJ56" si="13">SUM(BJ13,BJ25,BJ37)</f>
        <v>83</v>
      </c>
      <c r="BK49" s="72"/>
      <c r="BL49" s="72"/>
      <c r="BM49" s="72"/>
      <c r="BN49" s="72"/>
      <c r="BO49" s="5">
        <f t="shared" ref="BO49:BO56" si="14">SUM(BO13,BO25,BO37)</f>
        <v>46</v>
      </c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</row>
    <row r="50" spans="1:82">
      <c r="A50" s="5"/>
      <c r="B50" s="292" t="s">
        <v>352</v>
      </c>
      <c r="C50" s="5">
        <f t="shared" si="0"/>
        <v>20</v>
      </c>
      <c r="D50" s="5">
        <f t="shared" si="1"/>
        <v>430</v>
      </c>
      <c r="E50" s="5">
        <f t="shared" si="1"/>
        <v>1642</v>
      </c>
      <c r="F50" s="5">
        <f t="shared" si="2"/>
        <v>252</v>
      </c>
      <c r="G50" s="5">
        <f t="shared" si="2"/>
        <v>2</v>
      </c>
      <c r="H50" s="72"/>
      <c r="I50" s="72"/>
      <c r="J50" s="72"/>
      <c r="K50" s="72"/>
      <c r="L50" s="5">
        <f t="shared" si="3"/>
        <v>28</v>
      </c>
      <c r="M50" s="72"/>
      <c r="N50" s="72"/>
      <c r="O50" s="72"/>
      <c r="P50" s="72"/>
      <c r="Q50" s="5">
        <f t="shared" si="4"/>
        <v>49</v>
      </c>
      <c r="R50" s="72"/>
      <c r="S50" s="72"/>
      <c r="T50" s="72"/>
      <c r="U50" s="72"/>
      <c r="V50" s="5">
        <f t="shared" si="5"/>
        <v>199</v>
      </c>
      <c r="W50" s="72"/>
      <c r="X50" s="72"/>
      <c r="Y50" s="72"/>
      <c r="Z50" s="72"/>
      <c r="AA50" s="5">
        <f t="shared" si="6"/>
        <v>2</v>
      </c>
      <c r="AB50" s="72"/>
      <c r="AC50" s="72"/>
      <c r="AD50" s="72"/>
      <c r="AE50" s="72"/>
      <c r="AF50" s="5">
        <f t="shared" si="7"/>
        <v>77</v>
      </c>
      <c r="AG50" s="72"/>
      <c r="AH50" s="72"/>
      <c r="AI50" s="72"/>
      <c r="AJ50" s="72"/>
      <c r="AK50" s="5">
        <f t="shared" si="8"/>
        <v>120</v>
      </c>
      <c r="AL50" s="72"/>
      <c r="AM50" s="72"/>
      <c r="AN50" s="72"/>
      <c r="AO50" s="72"/>
      <c r="AP50" s="5">
        <f t="shared" si="9"/>
        <v>25</v>
      </c>
      <c r="AQ50" s="72"/>
      <c r="AR50" s="72"/>
      <c r="AS50" s="72"/>
      <c r="AT50" s="72"/>
      <c r="AU50" s="5">
        <f t="shared" si="10"/>
        <v>4613</v>
      </c>
      <c r="AV50" s="72"/>
      <c r="AW50" s="72"/>
      <c r="AX50" s="72"/>
      <c r="AY50" s="72"/>
      <c r="AZ50" s="5">
        <f t="shared" si="11"/>
        <v>18</v>
      </c>
      <c r="BA50" s="72"/>
      <c r="BB50" s="72"/>
      <c r="BC50" s="72"/>
      <c r="BD50" s="72"/>
      <c r="BE50" s="5">
        <f t="shared" si="12"/>
        <v>39</v>
      </c>
      <c r="BF50" s="72"/>
      <c r="BG50" s="72"/>
      <c r="BH50" s="72"/>
      <c r="BI50" s="72"/>
      <c r="BJ50" s="5">
        <f t="shared" si="13"/>
        <v>652</v>
      </c>
      <c r="BK50" s="72"/>
      <c r="BL50" s="72"/>
      <c r="BM50" s="72"/>
      <c r="BN50" s="72"/>
      <c r="BO50" s="5">
        <f t="shared" si="14"/>
        <v>78</v>
      </c>
      <c r="BP50" s="72"/>
      <c r="BQ50" s="72"/>
      <c r="BR50" s="72"/>
      <c r="BS50" s="72"/>
      <c r="BT50" s="126">
        <v>0</v>
      </c>
      <c r="BU50" s="72"/>
      <c r="BV50" s="72"/>
      <c r="BW50" s="72"/>
      <c r="BX50" s="72"/>
      <c r="BY50" s="126">
        <v>0</v>
      </c>
      <c r="BZ50" s="72"/>
      <c r="CA50" s="72"/>
      <c r="CB50" s="72"/>
      <c r="CC50" s="72"/>
      <c r="CD50" s="126">
        <v>0</v>
      </c>
    </row>
    <row r="51" spans="1:82">
      <c r="A51" s="5"/>
      <c r="B51" s="292" t="s">
        <v>474</v>
      </c>
      <c r="C51" s="5">
        <f t="shared" si="0"/>
        <v>1311</v>
      </c>
      <c r="D51" s="5">
        <f t="shared" si="1"/>
        <v>864</v>
      </c>
      <c r="E51" s="5">
        <f t="shared" si="1"/>
        <v>666</v>
      </c>
      <c r="F51" s="5">
        <f t="shared" si="2"/>
        <v>374</v>
      </c>
      <c r="G51" s="5">
        <f t="shared" si="2"/>
        <v>150</v>
      </c>
      <c r="H51" s="72"/>
      <c r="I51" s="72"/>
      <c r="J51" s="72"/>
      <c r="K51" s="72"/>
      <c r="L51" s="5">
        <f t="shared" si="3"/>
        <v>120</v>
      </c>
      <c r="M51" s="72"/>
      <c r="N51" s="72"/>
      <c r="O51" s="72"/>
      <c r="P51" s="72"/>
      <c r="Q51" s="5">
        <f t="shared" si="4"/>
        <v>472</v>
      </c>
      <c r="R51" s="72"/>
      <c r="S51" s="72"/>
      <c r="T51" s="72"/>
      <c r="U51" s="72"/>
      <c r="V51" s="5">
        <f t="shared" si="5"/>
        <v>281</v>
      </c>
      <c r="W51" s="72"/>
      <c r="X51" s="72"/>
      <c r="Y51" s="72"/>
      <c r="Z51" s="72"/>
      <c r="AA51" s="5">
        <f t="shared" si="6"/>
        <v>468</v>
      </c>
      <c r="AB51" s="72"/>
      <c r="AC51" s="72"/>
      <c r="AD51" s="72"/>
      <c r="AE51" s="72"/>
      <c r="AF51" s="5">
        <f t="shared" si="7"/>
        <v>311</v>
      </c>
      <c r="AG51" s="72"/>
      <c r="AH51" s="72"/>
      <c r="AI51" s="72"/>
      <c r="AJ51" s="72"/>
      <c r="AK51" s="5">
        <f t="shared" si="8"/>
        <v>46</v>
      </c>
      <c r="AL51" s="72"/>
      <c r="AM51" s="72"/>
      <c r="AN51" s="72"/>
      <c r="AO51" s="72"/>
      <c r="AP51" s="5">
        <f t="shared" si="9"/>
        <v>93</v>
      </c>
      <c r="AQ51" s="72"/>
      <c r="AR51" s="72"/>
      <c r="AS51" s="72"/>
      <c r="AT51" s="72"/>
      <c r="AU51" s="5">
        <f t="shared" si="10"/>
        <v>286</v>
      </c>
      <c r="AV51" s="72"/>
      <c r="AW51" s="72"/>
      <c r="AX51" s="72"/>
      <c r="AY51" s="72"/>
      <c r="AZ51" s="5">
        <f t="shared" si="11"/>
        <v>210</v>
      </c>
      <c r="BA51" s="72"/>
      <c r="BB51" s="72"/>
      <c r="BC51" s="72"/>
      <c r="BD51" s="72"/>
      <c r="BE51" s="5">
        <f t="shared" si="12"/>
        <v>241</v>
      </c>
      <c r="BF51" s="72"/>
      <c r="BG51" s="72"/>
      <c r="BH51" s="72"/>
      <c r="BI51" s="72"/>
      <c r="BJ51" s="5">
        <f t="shared" si="13"/>
        <v>307</v>
      </c>
      <c r="BK51" s="72"/>
      <c r="BL51" s="72"/>
      <c r="BM51" s="72"/>
      <c r="BN51" s="72"/>
      <c r="BO51" s="5">
        <f t="shared" si="14"/>
        <v>342</v>
      </c>
      <c r="BP51" s="72"/>
      <c r="BQ51" s="72"/>
      <c r="BR51" s="72"/>
      <c r="BS51" s="72"/>
      <c r="BT51" s="5">
        <f>BT121*BT122</f>
        <v>183.33333333333334</v>
      </c>
      <c r="BU51" s="72"/>
      <c r="BV51" s="72"/>
      <c r="BW51" s="72"/>
      <c r="BX51" s="72"/>
      <c r="BY51" s="5">
        <f>BY121*BY122</f>
        <v>183.33333333333334</v>
      </c>
      <c r="BZ51" s="72"/>
      <c r="CA51" s="72"/>
      <c r="CB51" s="72"/>
      <c r="CC51" s="72"/>
      <c r="CD51" s="5">
        <f>CD121*CD122</f>
        <v>183.33333333333334</v>
      </c>
    </row>
    <row r="52" spans="1:82">
      <c r="A52" s="5"/>
      <c r="B52" s="292" t="s">
        <v>2949</v>
      </c>
      <c r="C52" s="5">
        <f t="shared" si="0"/>
        <v>-677</v>
      </c>
      <c r="D52" s="5">
        <f t="shared" si="1"/>
        <v>-711</v>
      </c>
      <c r="E52" s="5">
        <f t="shared" si="1"/>
        <v>-746</v>
      </c>
      <c r="F52" s="5">
        <f t="shared" si="2"/>
        <v>-899</v>
      </c>
      <c r="G52" s="5">
        <f t="shared" si="2"/>
        <v>-912</v>
      </c>
      <c r="H52" s="72"/>
      <c r="I52" s="72"/>
      <c r="J52" s="72"/>
      <c r="K52" s="72"/>
      <c r="L52" s="5">
        <f t="shared" si="3"/>
        <v>-882</v>
      </c>
      <c r="M52" s="72"/>
      <c r="N52" s="72"/>
      <c r="O52" s="72"/>
      <c r="P52" s="72"/>
      <c r="Q52" s="5">
        <f t="shared" si="4"/>
        <v>-859</v>
      </c>
      <c r="R52" s="72"/>
      <c r="S52" s="72"/>
      <c r="T52" s="72"/>
      <c r="U52" s="72"/>
      <c r="V52" s="5">
        <f t="shared" si="5"/>
        <v>-871</v>
      </c>
      <c r="W52" s="72"/>
      <c r="X52" s="72"/>
      <c r="Y52" s="72"/>
      <c r="Z52" s="72"/>
      <c r="AA52" s="5">
        <f t="shared" si="6"/>
        <v>-916</v>
      </c>
      <c r="AB52" s="72"/>
      <c r="AC52" s="72"/>
      <c r="AD52" s="72"/>
      <c r="AE52" s="72"/>
      <c r="AF52" s="5">
        <f t="shared" si="7"/>
        <v>-856</v>
      </c>
      <c r="AG52" s="72"/>
      <c r="AH52" s="72"/>
      <c r="AI52" s="72"/>
      <c r="AJ52" s="72"/>
      <c r="AK52" s="5">
        <f t="shared" si="8"/>
        <v>-777</v>
      </c>
      <c r="AL52" s="72"/>
      <c r="AM52" s="72"/>
      <c r="AN52" s="72"/>
      <c r="AO52" s="72"/>
      <c r="AP52" s="5">
        <f t="shared" si="9"/>
        <v>-749</v>
      </c>
      <c r="AQ52" s="72"/>
      <c r="AR52" s="72"/>
      <c r="AS52" s="72"/>
      <c r="AT52" s="72"/>
      <c r="AU52" s="5">
        <f t="shared" si="10"/>
        <v>-733</v>
      </c>
      <c r="AV52" s="72"/>
      <c r="AW52" s="72"/>
      <c r="AX52" s="72"/>
      <c r="AY52" s="72"/>
      <c r="AZ52" s="5">
        <f t="shared" si="11"/>
        <v>-700</v>
      </c>
      <c r="BA52" s="72"/>
      <c r="BB52" s="72"/>
      <c r="BC52" s="72"/>
      <c r="BD52" s="72"/>
      <c r="BE52" s="5">
        <f t="shared" si="12"/>
        <v>-745</v>
      </c>
      <c r="BF52" s="72"/>
      <c r="BG52" s="72"/>
      <c r="BH52" s="72"/>
      <c r="BI52" s="72"/>
      <c r="BJ52" s="5">
        <f t="shared" si="13"/>
        <v>-749</v>
      </c>
      <c r="BK52" s="72"/>
      <c r="BL52" s="72"/>
      <c r="BM52" s="72"/>
      <c r="BN52" s="72"/>
      <c r="BO52" s="5">
        <f t="shared" si="14"/>
        <v>-824</v>
      </c>
      <c r="BP52" s="72"/>
      <c r="BQ52" s="72"/>
      <c r="BR52" s="72"/>
      <c r="BS52" s="72"/>
      <c r="BT52" s="5">
        <f>-'Key assumptions'!BT48*'Production - Oil'!BT164/1000</f>
        <v>-804.06677181250006</v>
      </c>
      <c r="BU52" s="72"/>
      <c r="BV52" s="72"/>
      <c r="BW52" s="72"/>
      <c r="BX52" s="72"/>
      <c r="BY52" s="5">
        <f>-'Key assumptions'!BY48*'Production - Oil'!BY164/1000</f>
        <v>-813.503044725</v>
      </c>
      <c r="BZ52" s="72"/>
      <c r="CA52" s="72"/>
      <c r="CB52" s="72"/>
      <c r="CC52" s="72"/>
      <c r="CD52" s="5">
        <f>-'Key assumptions'!CD48*'Production - Oil'!CD164/1000</f>
        <v>-813.69019807500013</v>
      </c>
    </row>
    <row r="53" spans="1:82">
      <c r="A53" s="5"/>
      <c r="B53" s="292" t="s">
        <v>353</v>
      </c>
      <c r="C53" s="5">
        <f t="shared" si="0"/>
        <v>-13</v>
      </c>
      <c r="D53" s="5">
        <f t="shared" si="1"/>
        <v>-28</v>
      </c>
      <c r="E53" s="5">
        <f t="shared" si="1"/>
        <v>-514</v>
      </c>
      <c r="F53" s="5">
        <f t="shared" si="2"/>
        <v>-37</v>
      </c>
      <c r="G53" s="5">
        <f t="shared" si="2"/>
        <v>-79</v>
      </c>
      <c r="H53" s="72"/>
      <c r="I53" s="72"/>
      <c r="J53" s="72"/>
      <c r="K53" s="72"/>
      <c r="L53" s="5">
        <f t="shared" si="3"/>
        <v>-345</v>
      </c>
      <c r="M53" s="72"/>
      <c r="N53" s="72"/>
      <c r="O53" s="72"/>
      <c r="P53" s="72"/>
      <c r="Q53" s="5">
        <f t="shared" si="4"/>
        <v>-115</v>
      </c>
      <c r="R53" s="72"/>
      <c r="S53" s="72"/>
      <c r="T53" s="72"/>
      <c r="U53" s="72"/>
      <c r="V53" s="5">
        <f t="shared" si="5"/>
        <v>-200</v>
      </c>
      <c r="W53" s="72"/>
      <c r="X53" s="72"/>
      <c r="Y53" s="72"/>
      <c r="Z53" s="72"/>
      <c r="AA53" s="5">
        <f t="shared" si="6"/>
        <v>-164</v>
      </c>
      <c r="AB53" s="72"/>
      <c r="AC53" s="72"/>
      <c r="AD53" s="72"/>
      <c r="AE53" s="72"/>
      <c r="AF53" s="5">
        <f t="shared" si="7"/>
        <v>-146</v>
      </c>
      <c r="AG53" s="72"/>
      <c r="AH53" s="72"/>
      <c r="AI53" s="72"/>
      <c r="AJ53" s="72"/>
      <c r="AK53" s="5">
        <f t="shared" si="8"/>
        <v>-384</v>
      </c>
      <c r="AL53" s="72"/>
      <c r="AM53" s="72"/>
      <c r="AN53" s="72"/>
      <c r="AO53" s="72"/>
      <c r="AP53" s="5">
        <f t="shared" si="9"/>
        <v>-227</v>
      </c>
      <c r="AQ53" s="72"/>
      <c r="AR53" s="72"/>
      <c r="AS53" s="72"/>
      <c r="AT53" s="72"/>
      <c r="AU53" s="5">
        <f t="shared" si="10"/>
        <v>-4531</v>
      </c>
      <c r="AV53" s="72"/>
      <c r="AW53" s="72"/>
      <c r="AX53" s="72"/>
      <c r="AY53" s="72"/>
      <c r="AZ53" s="5">
        <f t="shared" si="11"/>
        <v>-68</v>
      </c>
      <c r="BA53" s="72"/>
      <c r="BB53" s="72"/>
      <c r="BC53" s="72"/>
      <c r="BD53" s="72"/>
      <c r="BE53" s="5">
        <f t="shared" si="12"/>
        <v>-3</v>
      </c>
      <c r="BF53" s="72"/>
      <c r="BG53" s="72"/>
      <c r="BH53" s="72"/>
      <c r="BI53" s="72"/>
      <c r="BJ53" s="5">
        <f t="shared" si="13"/>
        <v>-114</v>
      </c>
      <c r="BK53" s="72"/>
      <c r="BL53" s="72"/>
      <c r="BM53" s="72"/>
      <c r="BN53" s="72"/>
      <c r="BO53" s="5">
        <f t="shared" si="14"/>
        <v>-113</v>
      </c>
      <c r="BP53" s="72"/>
      <c r="BQ53" s="72"/>
      <c r="BR53" s="72"/>
      <c r="BS53" s="72"/>
      <c r="BT53" s="126">
        <v>0</v>
      </c>
      <c r="BU53" s="72"/>
      <c r="BV53" s="72"/>
      <c r="BW53" s="72"/>
      <c r="BX53" s="72"/>
      <c r="BY53" s="126">
        <v>0</v>
      </c>
      <c r="BZ53" s="72"/>
      <c r="CA53" s="72"/>
      <c r="CB53" s="72"/>
      <c r="CC53" s="72"/>
      <c r="CD53" s="126">
        <v>0</v>
      </c>
    </row>
    <row r="54" spans="1:82">
      <c r="A54" s="124" t="s">
        <v>2950</v>
      </c>
      <c r="B54" s="5"/>
      <c r="C54" s="8">
        <f>SUM(C47:C53)</f>
        <v>8376</v>
      </c>
      <c r="D54" s="8">
        <f>SUM(D47:D53)</f>
        <v>9165</v>
      </c>
      <c r="E54" s="8">
        <f>SUM(E47:E53)</f>
        <v>10081</v>
      </c>
      <c r="F54" s="8">
        <f>SUM(F47:F53)</f>
        <v>9934</v>
      </c>
      <c r="G54" s="8">
        <f>SUM(G47:G53)</f>
        <v>9565</v>
      </c>
      <c r="H54" s="73"/>
      <c r="I54" s="73"/>
      <c r="J54" s="73"/>
      <c r="K54" s="73"/>
      <c r="L54" s="8">
        <f>SUM(L47:L53)</f>
        <v>9781</v>
      </c>
      <c r="M54" s="73"/>
      <c r="N54" s="73"/>
      <c r="O54" s="73"/>
      <c r="P54" s="73"/>
      <c r="Q54" s="8">
        <f>SUM(Q47:Q53)</f>
        <v>10073</v>
      </c>
      <c r="R54" s="73"/>
      <c r="S54" s="73"/>
      <c r="T54" s="73"/>
      <c r="U54" s="73"/>
      <c r="V54" s="8">
        <f>SUM(V47:V53)</f>
        <v>10353</v>
      </c>
      <c r="W54" s="73"/>
      <c r="X54" s="73"/>
      <c r="Y54" s="73"/>
      <c r="Z54" s="73"/>
      <c r="AA54" s="8">
        <f>SUM(AA47:AA53)</f>
        <v>10511</v>
      </c>
      <c r="AB54" s="73"/>
      <c r="AC54" s="73"/>
      <c r="AD54" s="73"/>
      <c r="AE54" s="73"/>
      <c r="AF54" s="8">
        <f>SUM(AF47:AF53)</f>
        <v>10709</v>
      </c>
      <c r="AG54" s="73"/>
      <c r="AH54" s="73"/>
      <c r="AI54" s="73"/>
      <c r="AJ54" s="73"/>
      <c r="AK54" s="8">
        <f>SUM(AK47:AK53)</f>
        <v>10565</v>
      </c>
      <c r="AL54" s="73"/>
      <c r="AM54" s="73"/>
      <c r="AN54" s="73"/>
      <c r="AO54" s="73"/>
      <c r="AP54" s="8">
        <f>SUM(AP47:AP53)</f>
        <v>10050</v>
      </c>
      <c r="AQ54" s="73"/>
      <c r="AR54" s="73"/>
      <c r="AS54" s="73"/>
      <c r="AT54" s="73"/>
      <c r="AU54" s="8">
        <f>SUM(AU47:AU53)</f>
        <v>10070</v>
      </c>
      <c r="AV54" s="73"/>
      <c r="AW54" s="73"/>
      <c r="AX54" s="73"/>
      <c r="AY54" s="73"/>
      <c r="AZ54" s="8">
        <f>SUM(AZ47:AZ53)</f>
        <v>9819</v>
      </c>
      <c r="BA54" s="73"/>
      <c r="BB54" s="73"/>
      <c r="BC54" s="73"/>
      <c r="BD54" s="73"/>
      <c r="BE54" s="8">
        <f>SUM(BE47:BE53)</f>
        <v>9562</v>
      </c>
      <c r="BF54" s="73"/>
      <c r="BG54" s="73"/>
      <c r="BH54" s="73"/>
      <c r="BI54" s="73"/>
      <c r="BJ54" s="8">
        <f>SUM(BJ47:BJ53)</f>
        <v>10335</v>
      </c>
      <c r="BK54" s="73"/>
      <c r="BL54" s="73"/>
      <c r="BM54" s="73"/>
      <c r="BN54" s="73"/>
      <c r="BO54" s="8">
        <f>SUM(BO47:BO53)</f>
        <v>10674</v>
      </c>
      <c r="BP54" s="73"/>
      <c r="BQ54" s="73"/>
      <c r="BR54" s="73"/>
      <c r="BS54" s="73"/>
      <c r="BT54" s="8">
        <f>SUM(BT47:BT53)</f>
        <v>10053.266561520833</v>
      </c>
      <c r="BU54" s="73"/>
      <c r="BV54" s="73"/>
      <c r="BW54" s="73"/>
      <c r="BX54" s="73"/>
      <c r="BY54" s="8">
        <f>SUM(BY47:BY53)</f>
        <v>9423.0968501291682</v>
      </c>
      <c r="BZ54" s="73"/>
      <c r="CA54" s="73"/>
      <c r="CB54" s="73"/>
      <c r="CC54" s="73"/>
      <c r="CD54" s="8">
        <f>SUM(CD47:CD53)</f>
        <v>8792.7399853875013</v>
      </c>
    </row>
    <row r="55" spans="1:82">
      <c r="A55" s="5"/>
      <c r="B55" s="121" t="s">
        <v>2517</v>
      </c>
      <c r="C55" s="5">
        <f t="shared" ref="C55:G56" si="15">SUM(C19,C31)</f>
        <v>5290</v>
      </c>
      <c r="D55" s="5">
        <f t="shared" si="15"/>
        <v>5513</v>
      </c>
      <c r="E55" s="5">
        <f t="shared" si="15"/>
        <v>5861</v>
      </c>
      <c r="F55" s="5">
        <f t="shared" si="15"/>
        <v>6133</v>
      </c>
      <c r="G55" s="5">
        <f t="shared" si="15"/>
        <v>5687</v>
      </c>
      <c r="H55" s="72"/>
      <c r="I55" s="72"/>
      <c r="J55" s="72"/>
      <c r="K55" s="72"/>
      <c r="L55" s="5">
        <f>SUM(L19,L31)</f>
        <v>5983</v>
      </c>
      <c r="M55" s="72"/>
      <c r="N55" s="72"/>
      <c r="O55" s="72"/>
      <c r="P55" s="72"/>
      <c r="Q55" s="5">
        <f>SUM(Q19,Q31)</f>
        <v>5933</v>
      </c>
      <c r="R55" s="72"/>
      <c r="S55" s="72"/>
      <c r="T55" s="72"/>
      <c r="U55" s="72"/>
      <c r="V55" s="5">
        <f>SUM(V19,V31)</f>
        <v>6106</v>
      </c>
      <c r="W55" s="72"/>
      <c r="X55" s="72"/>
      <c r="Y55" s="72"/>
      <c r="Z55" s="72"/>
      <c r="AA55" s="5">
        <f>SUM(AA19,AA31)</f>
        <v>6191</v>
      </c>
      <c r="AB55" s="72"/>
      <c r="AC55" s="72"/>
      <c r="AD55" s="72"/>
      <c r="AE55" s="72"/>
      <c r="AF55" s="5">
        <f t="shared" si="7"/>
        <v>6068</v>
      </c>
      <c r="AG55" s="72"/>
      <c r="AH55" s="72"/>
      <c r="AI55" s="72"/>
      <c r="AJ55" s="72"/>
      <c r="AK55" s="5">
        <f t="shared" si="8"/>
        <v>5817</v>
      </c>
      <c r="AL55" s="72"/>
      <c r="AM55" s="72"/>
      <c r="AN55" s="72"/>
      <c r="AO55" s="72"/>
      <c r="AP55" s="5">
        <f t="shared" si="9"/>
        <v>5550</v>
      </c>
      <c r="AQ55" s="72"/>
      <c r="AR55" s="72"/>
      <c r="AS55" s="72"/>
      <c r="AT55" s="72"/>
      <c r="AU55" s="5">
        <f t="shared" si="10"/>
        <v>5865</v>
      </c>
      <c r="AV55" s="72"/>
      <c r="AW55" s="72"/>
      <c r="AX55" s="72"/>
      <c r="AY55" s="72"/>
      <c r="AZ55" s="5">
        <f t="shared" si="11"/>
        <v>5859</v>
      </c>
      <c r="BA55" s="72"/>
      <c r="BB55" s="72"/>
      <c r="BC55" s="72"/>
      <c r="BD55" s="72"/>
      <c r="BE55" s="5">
        <f t="shared" si="12"/>
        <v>5724</v>
      </c>
      <c r="BF55" s="72"/>
      <c r="BG55" s="72"/>
      <c r="BH55" s="72"/>
      <c r="BI55" s="72"/>
      <c r="BJ55" s="5">
        <f t="shared" si="13"/>
        <v>6390</v>
      </c>
      <c r="BK55" s="72"/>
      <c r="BL55" s="72"/>
      <c r="BM55" s="72"/>
      <c r="BN55" s="72"/>
      <c r="BO55" s="5">
        <f t="shared" si="14"/>
        <v>6378</v>
      </c>
      <c r="BP55" s="72"/>
      <c r="BQ55" s="72"/>
      <c r="BR55" s="72"/>
      <c r="BS55" s="72"/>
      <c r="BT55" s="5">
        <f>BO55+BT52+BT125*BT128</f>
        <v>6017.5255743398993</v>
      </c>
      <c r="BU55" s="72"/>
      <c r="BV55" s="72"/>
      <c r="BW55" s="72"/>
      <c r="BX55" s="72"/>
      <c r="BY55" s="5">
        <f>BT55+BY52+BY125*BY128</f>
        <v>5683.7683596387278</v>
      </c>
      <c r="BZ55" s="72"/>
      <c r="CA55" s="72"/>
      <c r="CB55" s="72"/>
      <c r="CC55" s="72"/>
      <c r="CD55" s="5">
        <f>BY55+CD52+CD125*CD128</f>
        <v>5345.5941123792591</v>
      </c>
    </row>
    <row r="56" spans="1:82">
      <c r="A56" s="5"/>
      <c r="B56" s="121" t="s">
        <v>2481</v>
      </c>
      <c r="C56" s="5">
        <f t="shared" si="15"/>
        <v>3086</v>
      </c>
      <c r="D56" s="5">
        <f t="shared" si="15"/>
        <v>3652</v>
      </c>
      <c r="E56" s="5">
        <f t="shared" si="15"/>
        <v>4220</v>
      </c>
      <c r="F56" s="5">
        <f t="shared" si="15"/>
        <v>3801</v>
      </c>
      <c r="G56" s="5">
        <f t="shared" si="15"/>
        <v>3878</v>
      </c>
      <c r="H56" s="72"/>
      <c r="I56" s="72"/>
      <c r="J56" s="72"/>
      <c r="K56" s="72"/>
      <c r="L56" s="5">
        <f>SUM(L20,L32)</f>
        <v>3798</v>
      </c>
      <c r="M56" s="72"/>
      <c r="N56" s="72"/>
      <c r="O56" s="72"/>
      <c r="P56" s="72"/>
      <c r="Q56" s="5">
        <f>SUM(Q20,Q32)</f>
        <v>4140</v>
      </c>
      <c r="R56" s="72"/>
      <c r="S56" s="72"/>
      <c r="T56" s="72"/>
      <c r="U56" s="72"/>
      <c r="V56" s="5">
        <f>SUM(V20,V32)</f>
        <v>4247</v>
      </c>
      <c r="W56" s="72"/>
      <c r="X56" s="72"/>
      <c r="Y56" s="72"/>
      <c r="Z56" s="72"/>
      <c r="AA56" s="5">
        <f>SUM(AA20,AA32)</f>
        <v>4320</v>
      </c>
      <c r="AB56" s="72"/>
      <c r="AC56" s="72"/>
      <c r="AD56" s="72"/>
      <c r="AE56" s="72"/>
      <c r="AF56" s="5">
        <f t="shared" si="7"/>
        <v>4641</v>
      </c>
      <c r="AG56" s="72"/>
      <c r="AH56" s="72"/>
      <c r="AI56" s="72"/>
      <c r="AJ56" s="72"/>
      <c r="AK56" s="5">
        <f t="shared" si="8"/>
        <v>4748</v>
      </c>
      <c r="AL56" s="72"/>
      <c r="AM56" s="72"/>
      <c r="AN56" s="72"/>
      <c r="AO56" s="72"/>
      <c r="AP56" s="5">
        <f t="shared" si="9"/>
        <v>4500</v>
      </c>
      <c r="AQ56" s="72"/>
      <c r="AR56" s="72"/>
      <c r="AS56" s="72"/>
      <c r="AT56" s="72"/>
      <c r="AU56" s="5">
        <f t="shared" si="10"/>
        <v>4205</v>
      </c>
      <c r="AV56" s="72"/>
      <c r="AW56" s="72"/>
      <c r="AX56" s="72"/>
      <c r="AY56" s="72"/>
      <c r="AZ56" s="5">
        <f t="shared" si="11"/>
        <v>3958</v>
      </c>
      <c r="BA56" s="72"/>
      <c r="BB56" s="72"/>
      <c r="BC56" s="72"/>
      <c r="BD56" s="72"/>
      <c r="BE56" s="5">
        <f t="shared" si="12"/>
        <v>3836</v>
      </c>
      <c r="BF56" s="72"/>
      <c r="BG56" s="72"/>
      <c r="BH56" s="72"/>
      <c r="BI56" s="72"/>
      <c r="BJ56" s="5">
        <f t="shared" si="13"/>
        <v>3943</v>
      </c>
      <c r="BK56" s="72"/>
      <c r="BL56" s="72"/>
      <c r="BM56" s="72"/>
      <c r="BN56" s="72"/>
      <c r="BO56" s="5">
        <f t="shared" si="14"/>
        <v>4295</v>
      </c>
      <c r="BP56" s="72"/>
      <c r="BQ56" s="72"/>
      <c r="BR56" s="72"/>
      <c r="BS56" s="72"/>
      <c r="BT56" s="5">
        <f>BT54-BT55</f>
        <v>4035.7409871809341</v>
      </c>
      <c r="BU56" s="72"/>
      <c r="BV56" s="72"/>
      <c r="BW56" s="72"/>
      <c r="BX56" s="72"/>
      <c r="BY56" s="5">
        <f>BY54-BY55</f>
        <v>3739.3284904904403</v>
      </c>
      <c r="BZ56" s="72"/>
      <c r="CA56" s="72"/>
      <c r="CB56" s="72"/>
      <c r="CC56" s="72"/>
      <c r="CD56" s="5">
        <f>CD54-CD55</f>
        <v>3447.1458730082422</v>
      </c>
    </row>
    <row r="57" spans="1:82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</row>
    <row r="58" spans="1:82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</row>
    <row r="59" spans="1:82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</row>
    <row r="60" spans="1:82" ht="12.75" customHeight="1">
      <c r="A60" s="42" t="s">
        <v>2516</v>
      </c>
      <c r="B60" s="7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</row>
    <row r="61" spans="1:82" ht="12.75" customHeight="1">
      <c r="A61" s="4"/>
      <c r="B61" s="4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</row>
    <row r="62" spans="1:82" ht="12.75" customHeight="1">
      <c r="A62" s="9" t="s">
        <v>3241</v>
      </c>
      <c r="B62" s="4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</row>
    <row r="63" spans="1:82" ht="12.75" customHeight="1">
      <c r="A63" s="10"/>
      <c r="B63" s="10"/>
      <c r="C63" s="31">
        <v>2001</v>
      </c>
      <c r="D63" s="32">
        <v>2002</v>
      </c>
      <c r="E63" s="32">
        <v>2003</v>
      </c>
      <c r="F63" s="32">
        <v>2004</v>
      </c>
      <c r="G63" s="31">
        <v>2005</v>
      </c>
      <c r="H63" s="33" t="s">
        <v>714</v>
      </c>
      <c r="I63" s="33" t="s">
        <v>715</v>
      </c>
      <c r="J63" s="33" t="s">
        <v>716</v>
      </c>
      <c r="K63" s="33" t="s">
        <v>717</v>
      </c>
      <c r="L63" s="31">
        <v>2006</v>
      </c>
      <c r="M63" s="33" t="s">
        <v>718</v>
      </c>
      <c r="N63" s="33" t="s">
        <v>719</v>
      </c>
      <c r="O63" s="33" t="s">
        <v>1970</v>
      </c>
      <c r="P63" s="33" t="s">
        <v>1971</v>
      </c>
      <c r="Q63" s="31">
        <v>2007</v>
      </c>
      <c r="R63" s="33" t="s">
        <v>1972</v>
      </c>
      <c r="S63" s="33" t="s">
        <v>1973</v>
      </c>
      <c r="T63" s="33" t="s">
        <v>1974</v>
      </c>
      <c r="U63" s="33" t="s">
        <v>1975</v>
      </c>
      <c r="V63" s="31">
        <v>2008</v>
      </c>
      <c r="W63" s="33" t="s">
        <v>1976</v>
      </c>
      <c r="X63" s="33" t="s">
        <v>1977</v>
      </c>
      <c r="Y63" s="33" t="s">
        <v>1978</v>
      </c>
      <c r="Z63" s="33" t="s">
        <v>1979</v>
      </c>
      <c r="AA63" s="31">
        <v>2009</v>
      </c>
      <c r="AB63" s="33" t="s">
        <v>1980</v>
      </c>
      <c r="AC63" s="33" t="s">
        <v>1981</v>
      </c>
      <c r="AD63" s="33" t="s">
        <v>1982</v>
      </c>
      <c r="AE63" s="33" t="s">
        <v>2392</v>
      </c>
      <c r="AF63" s="31">
        <v>2010</v>
      </c>
      <c r="AG63" s="33" t="s">
        <v>2393</v>
      </c>
      <c r="AH63" s="33" t="s">
        <v>2394</v>
      </c>
      <c r="AI63" s="33" t="s">
        <v>2395</v>
      </c>
      <c r="AJ63" s="33" t="s">
        <v>2396</v>
      </c>
      <c r="AK63" s="31">
        <v>2011</v>
      </c>
      <c r="AL63" s="33" t="s">
        <v>2397</v>
      </c>
      <c r="AM63" s="33" t="s">
        <v>2398</v>
      </c>
      <c r="AN63" s="33" t="s">
        <v>2399</v>
      </c>
      <c r="AO63" s="33" t="s">
        <v>2400</v>
      </c>
      <c r="AP63" s="31">
        <v>2012</v>
      </c>
      <c r="AQ63" s="33" t="s">
        <v>2401</v>
      </c>
      <c r="AR63" s="33" t="s">
        <v>2402</v>
      </c>
      <c r="AS63" s="33" t="s">
        <v>2403</v>
      </c>
      <c r="AT63" s="33" t="s">
        <v>2404</v>
      </c>
      <c r="AU63" s="31">
        <v>2013</v>
      </c>
      <c r="AV63" s="33" t="s">
        <v>2405</v>
      </c>
      <c r="AW63" s="33" t="s">
        <v>2406</v>
      </c>
      <c r="AX63" s="33" t="s">
        <v>2407</v>
      </c>
      <c r="AY63" s="33" t="s">
        <v>2408</v>
      </c>
      <c r="AZ63" s="31">
        <v>2014</v>
      </c>
      <c r="BA63" s="33" t="s">
        <v>2409</v>
      </c>
      <c r="BB63" s="33" t="s">
        <v>2410</v>
      </c>
      <c r="BC63" s="33" t="s">
        <v>2411</v>
      </c>
      <c r="BD63" s="33" t="s">
        <v>2412</v>
      </c>
      <c r="BE63" s="31">
        <v>2015</v>
      </c>
      <c r="BF63" s="33" t="s">
        <v>2413</v>
      </c>
      <c r="BG63" s="33" t="s">
        <v>2414</v>
      </c>
      <c r="BH63" s="33" t="s">
        <v>2415</v>
      </c>
      <c r="BI63" s="33" t="s">
        <v>2416</v>
      </c>
      <c r="BJ63" s="31">
        <v>2016</v>
      </c>
      <c r="BK63" s="33" t="s">
        <v>2417</v>
      </c>
      <c r="BL63" s="33" t="s">
        <v>2418</v>
      </c>
      <c r="BM63" s="33" t="s">
        <v>2419</v>
      </c>
      <c r="BN63" s="33" t="s">
        <v>2420</v>
      </c>
      <c r="BO63" s="31">
        <v>2017</v>
      </c>
      <c r="BP63" s="33" t="s">
        <v>2244</v>
      </c>
      <c r="BQ63" s="33" t="s">
        <v>2245</v>
      </c>
      <c r="BR63" s="33" t="s">
        <v>2508</v>
      </c>
      <c r="BS63" s="33" t="s">
        <v>2509</v>
      </c>
      <c r="BT63" s="31">
        <v>2018</v>
      </c>
      <c r="BU63" s="33" t="s">
        <v>2510</v>
      </c>
      <c r="BV63" s="33" t="s">
        <v>2511</v>
      </c>
      <c r="BW63" s="33" t="s">
        <v>3125</v>
      </c>
      <c r="BX63" s="33" t="s">
        <v>1405</v>
      </c>
      <c r="BY63" s="31">
        <v>2019</v>
      </c>
      <c r="BZ63" s="33" t="s">
        <v>1406</v>
      </c>
      <c r="CA63" s="33" t="s">
        <v>1407</v>
      </c>
      <c r="CB63" s="33" t="s">
        <v>1408</v>
      </c>
      <c r="CC63" s="33" t="s">
        <v>1409</v>
      </c>
      <c r="CD63" s="31">
        <v>2020</v>
      </c>
    </row>
    <row r="64" spans="1:82" ht="12.75" hidden="1" customHeight="1" outlineLevel="1">
      <c r="A64" s="7" t="s">
        <v>2946</v>
      </c>
      <c r="B64" s="4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</row>
    <row r="65" spans="1:82" ht="12.75" hidden="1" customHeight="1" outlineLevel="1">
      <c r="A65" s="4"/>
      <c r="B65" s="11" t="s">
        <v>2947</v>
      </c>
      <c r="C65" s="5">
        <v>41100</v>
      </c>
      <c r="D65" s="5">
        <f>C72</f>
        <v>42959</v>
      </c>
      <c r="E65" s="5">
        <f>D72</f>
        <v>45844</v>
      </c>
      <c r="F65" s="5">
        <f>E72</f>
        <v>45155</v>
      </c>
      <c r="G65" s="5">
        <f>F72</f>
        <v>45650</v>
      </c>
      <c r="H65" s="72"/>
      <c r="I65" s="72"/>
      <c r="J65" s="72"/>
      <c r="K65" s="72"/>
      <c r="L65" s="5">
        <f>G72</f>
        <v>44448</v>
      </c>
      <c r="M65" s="72"/>
      <c r="N65" s="72"/>
      <c r="O65" s="72"/>
      <c r="P65" s="72"/>
      <c r="Q65" s="5">
        <f>L72</f>
        <v>42168</v>
      </c>
      <c r="R65" s="72"/>
      <c r="S65" s="72"/>
      <c r="T65" s="72"/>
      <c r="U65" s="72"/>
      <c r="V65" s="5">
        <f>Q72</f>
        <v>41130</v>
      </c>
      <c r="W65" s="72"/>
      <c r="X65" s="72"/>
      <c r="Y65" s="72"/>
      <c r="Z65" s="72"/>
      <c r="AA65" s="5">
        <f>V72</f>
        <v>40005</v>
      </c>
      <c r="AB65" s="72"/>
      <c r="AC65" s="72"/>
      <c r="AD65" s="72"/>
      <c r="AE65" s="72"/>
      <c r="AF65" s="5">
        <f>AA72</f>
        <v>40388</v>
      </c>
      <c r="AG65" s="72"/>
      <c r="AH65" s="72"/>
      <c r="AI65" s="72"/>
      <c r="AJ65" s="72"/>
      <c r="AK65" s="5">
        <v>37809</v>
      </c>
      <c r="AL65" s="72"/>
      <c r="AM65" s="72"/>
      <c r="AN65" s="72"/>
      <c r="AO65" s="72"/>
      <c r="AP65" s="5">
        <v>36381</v>
      </c>
      <c r="AQ65" s="72"/>
      <c r="AR65" s="72"/>
      <c r="AS65" s="72"/>
      <c r="AT65" s="72"/>
      <c r="AU65" s="5">
        <f>AP72</f>
        <v>33264</v>
      </c>
      <c r="AV65" s="72"/>
      <c r="AW65" s="72"/>
      <c r="AX65" s="72"/>
      <c r="AY65" s="72"/>
      <c r="AZ65" s="5">
        <f>AU72</f>
        <v>34187</v>
      </c>
      <c r="BA65" s="72"/>
      <c r="BB65" s="72"/>
      <c r="BC65" s="72"/>
      <c r="BD65" s="72"/>
      <c r="BE65" s="5">
        <f>AZ72</f>
        <v>32497</v>
      </c>
      <c r="BF65" s="72"/>
      <c r="BG65" s="72"/>
      <c r="BH65" s="72"/>
      <c r="BI65" s="72"/>
      <c r="BJ65" s="5">
        <f>BE72</f>
        <v>30564</v>
      </c>
      <c r="BK65" s="72"/>
      <c r="BL65" s="72"/>
      <c r="BM65" s="72"/>
      <c r="BN65" s="72"/>
      <c r="BO65" s="5">
        <f>BJ72</f>
        <v>28888</v>
      </c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</row>
    <row r="66" spans="1:82" ht="12.75" hidden="1" customHeight="1" outlineLevel="1">
      <c r="A66" s="4"/>
      <c r="B66" s="123" t="s">
        <v>2518</v>
      </c>
      <c r="C66" s="5">
        <v>-726</v>
      </c>
      <c r="D66" s="5">
        <v>892</v>
      </c>
      <c r="E66" s="5">
        <v>-489</v>
      </c>
      <c r="F66" s="5">
        <v>-1021</v>
      </c>
      <c r="G66" s="5">
        <v>494</v>
      </c>
      <c r="H66" s="72"/>
      <c r="I66" s="72"/>
      <c r="J66" s="72"/>
      <c r="K66" s="72"/>
      <c r="L66" s="5">
        <v>-1673</v>
      </c>
      <c r="M66" s="72"/>
      <c r="N66" s="72"/>
      <c r="O66" s="72"/>
      <c r="P66" s="72"/>
      <c r="Q66" s="5">
        <v>497</v>
      </c>
      <c r="R66" s="72"/>
      <c r="S66" s="72"/>
      <c r="T66" s="72"/>
      <c r="U66" s="72"/>
      <c r="V66" s="5">
        <v>-1950</v>
      </c>
      <c r="W66" s="72"/>
      <c r="X66" s="72"/>
      <c r="Y66" s="72"/>
      <c r="Z66" s="72"/>
      <c r="AA66" s="5">
        <v>853</v>
      </c>
      <c r="AB66" s="72"/>
      <c r="AC66" s="72"/>
      <c r="AD66" s="72"/>
      <c r="AE66" s="72"/>
      <c r="AF66" s="5">
        <v>-2206</v>
      </c>
      <c r="AG66" s="72"/>
      <c r="AH66" s="72"/>
      <c r="AI66" s="72"/>
      <c r="AJ66" s="72"/>
      <c r="AK66" s="5">
        <v>554</v>
      </c>
      <c r="AL66" s="72"/>
      <c r="AM66" s="72"/>
      <c r="AN66" s="72"/>
      <c r="AO66" s="72"/>
      <c r="AP66" s="5">
        <v>-2036</v>
      </c>
      <c r="AQ66" s="72"/>
      <c r="AR66" s="72"/>
      <c r="AS66" s="72"/>
      <c r="AT66" s="72"/>
      <c r="AU66" s="5">
        <v>667</v>
      </c>
      <c r="AV66" s="72"/>
      <c r="AW66" s="72"/>
      <c r="AX66" s="72"/>
      <c r="AY66" s="72"/>
      <c r="AZ66" s="5">
        <v>-1050</v>
      </c>
      <c r="BA66" s="72"/>
      <c r="BB66" s="72"/>
      <c r="BC66" s="72"/>
      <c r="BD66" s="72"/>
      <c r="BE66" s="5">
        <v>-948</v>
      </c>
      <c r="BF66" s="72"/>
      <c r="BG66" s="72"/>
      <c r="BH66" s="72"/>
      <c r="BI66" s="72"/>
      <c r="BJ66" s="5">
        <v>-211</v>
      </c>
      <c r="BK66" s="72"/>
      <c r="BL66" s="72"/>
      <c r="BM66" s="72"/>
      <c r="BN66" s="72"/>
      <c r="BO66" s="5">
        <v>-983</v>
      </c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</row>
    <row r="67" spans="1:82" ht="12.75" hidden="1" customHeight="1" outlineLevel="1">
      <c r="A67" s="4"/>
      <c r="B67" s="123" t="s">
        <v>2948</v>
      </c>
      <c r="C67" s="5">
        <v>1267</v>
      </c>
      <c r="D67" s="5">
        <v>2065</v>
      </c>
      <c r="E67" s="5">
        <v>2446</v>
      </c>
      <c r="F67" s="5">
        <v>1151</v>
      </c>
      <c r="G67" s="5">
        <v>2000</v>
      </c>
      <c r="H67" s="72"/>
      <c r="I67" s="72"/>
      <c r="J67" s="72"/>
      <c r="K67" s="72"/>
      <c r="L67" s="5">
        <v>2329</v>
      </c>
      <c r="M67" s="72"/>
      <c r="N67" s="72"/>
      <c r="O67" s="72"/>
      <c r="P67" s="72"/>
      <c r="Q67" s="5">
        <v>499</v>
      </c>
      <c r="R67" s="72"/>
      <c r="S67" s="72"/>
      <c r="T67" s="72"/>
      <c r="U67" s="72"/>
      <c r="V67" s="5">
        <v>1699</v>
      </c>
      <c r="W67" s="72"/>
      <c r="X67" s="72"/>
      <c r="Y67" s="72"/>
      <c r="Z67" s="72"/>
      <c r="AA67" s="5">
        <v>1117</v>
      </c>
      <c r="AB67" s="72"/>
      <c r="AC67" s="72"/>
      <c r="AD67" s="72"/>
      <c r="AE67" s="72"/>
      <c r="AF67" s="5">
        <v>1659</v>
      </c>
      <c r="AG67" s="72"/>
      <c r="AH67" s="72"/>
      <c r="AI67" s="72"/>
      <c r="AJ67" s="72"/>
      <c r="AK67" s="5">
        <v>803</v>
      </c>
      <c r="AL67" s="72"/>
      <c r="AM67" s="72"/>
      <c r="AN67" s="72"/>
      <c r="AO67" s="72"/>
      <c r="AP67" s="5">
        <v>1961</v>
      </c>
      <c r="AQ67" s="72"/>
      <c r="AR67" s="72"/>
      <c r="AS67" s="72"/>
      <c r="AT67" s="72"/>
      <c r="AU67" s="5">
        <v>945</v>
      </c>
      <c r="AV67" s="72"/>
      <c r="AW67" s="72"/>
      <c r="AX67" s="72"/>
      <c r="AY67" s="72"/>
      <c r="AZ67" s="5">
        <v>838</v>
      </c>
      <c r="BA67" s="72"/>
      <c r="BB67" s="72"/>
      <c r="BC67" s="72"/>
      <c r="BD67" s="72"/>
      <c r="BE67" s="5">
        <v>443</v>
      </c>
      <c r="BF67" s="72"/>
      <c r="BG67" s="72"/>
      <c r="BH67" s="72"/>
      <c r="BI67" s="72"/>
      <c r="BJ67" s="5">
        <v>534</v>
      </c>
      <c r="BK67" s="72"/>
      <c r="BL67" s="72"/>
      <c r="BM67" s="72"/>
      <c r="BN67" s="72"/>
      <c r="BO67" s="5">
        <v>1009</v>
      </c>
      <c r="BP67" s="72"/>
      <c r="BQ67" s="72"/>
      <c r="BR67" s="72"/>
      <c r="BS67" s="72"/>
      <c r="BT67" s="72"/>
      <c r="BU67" s="72"/>
      <c r="BV67" s="72"/>
      <c r="BW67" s="72"/>
      <c r="BX67" s="72"/>
      <c r="BY67" s="72"/>
      <c r="BZ67" s="72"/>
      <c r="CA67" s="72"/>
      <c r="CB67" s="72"/>
      <c r="CC67" s="72"/>
      <c r="CD67" s="72"/>
    </row>
    <row r="68" spans="1:82" ht="12.75" hidden="1" customHeight="1" outlineLevel="1">
      <c r="A68" s="4"/>
      <c r="B68" s="123" t="s">
        <v>352</v>
      </c>
      <c r="C68" s="5">
        <v>118</v>
      </c>
      <c r="D68" s="5">
        <v>137</v>
      </c>
      <c r="E68" s="5">
        <v>86</v>
      </c>
      <c r="F68" s="5">
        <v>5</v>
      </c>
      <c r="G68" s="5">
        <v>68</v>
      </c>
      <c r="H68" s="72"/>
      <c r="I68" s="72"/>
      <c r="J68" s="72"/>
      <c r="K68" s="72"/>
      <c r="L68" s="5">
        <v>0</v>
      </c>
      <c r="M68" s="72"/>
      <c r="N68" s="72"/>
      <c r="O68" s="72"/>
      <c r="P68" s="72"/>
      <c r="Q68" s="5">
        <v>132</v>
      </c>
      <c r="R68" s="72"/>
      <c r="S68" s="72"/>
      <c r="T68" s="72"/>
      <c r="U68" s="72"/>
      <c r="V68" s="5">
        <v>183</v>
      </c>
      <c r="W68" s="72"/>
      <c r="X68" s="72"/>
      <c r="Y68" s="72"/>
      <c r="Z68" s="72"/>
      <c r="AA68" s="5">
        <v>190</v>
      </c>
      <c r="AB68" s="72"/>
      <c r="AC68" s="72"/>
      <c r="AD68" s="72"/>
      <c r="AE68" s="72"/>
      <c r="AF68" s="5">
        <v>146</v>
      </c>
      <c r="AG68" s="72"/>
      <c r="AH68" s="72"/>
      <c r="AI68" s="72"/>
      <c r="AJ68" s="72"/>
      <c r="AK68" s="5">
        <v>418</v>
      </c>
      <c r="AL68" s="72"/>
      <c r="AM68" s="72"/>
      <c r="AN68" s="72"/>
      <c r="AO68" s="72"/>
      <c r="AP68" s="5">
        <v>248</v>
      </c>
      <c r="AQ68" s="72"/>
      <c r="AR68" s="72"/>
      <c r="AS68" s="72"/>
      <c r="AT68" s="72"/>
      <c r="AU68" s="5">
        <v>9</v>
      </c>
      <c r="AV68" s="72"/>
      <c r="AW68" s="72"/>
      <c r="AX68" s="72"/>
      <c r="AY68" s="72"/>
      <c r="AZ68" s="5">
        <v>328</v>
      </c>
      <c r="BA68" s="72"/>
      <c r="BB68" s="72"/>
      <c r="BC68" s="72"/>
      <c r="BD68" s="72"/>
      <c r="BE68" s="5">
        <v>648</v>
      </c>
      <c r="BF68" s="72"/>
      <c r="BG68" s="72"/>
      <c r="BH68" s="72"/>
      <c r="BI68" s="72"/>
      <c r="BJ68" s="5">
        <v>438</v>
      </c>
      <c r="BK68" s="72"/>
      <c r="BL68" s="72"/>
      <c r="BM68" s="72"/>
      <c r="BN68" s="72"/>
      <c r="BO68" s="5">
        <v>552</v>
      </c>
      <c r="BP68" s="72"/>
      <c r="BQ68" s="72"/>
      <c r="BR68" s="72"/>
      <c r="BS68" s="72"/>
      <c r="BT68" s="72"/>
      <c r="BU68" s="72"/>
      <c r="BV68" s="72"/>
      <c r="BW68" s="72"/>
      <c r="BX68" s="72"/>
      <c r="BY68" s="72"/>
      <c r="BZ68" s="72"/>
      <c r="CA68" s="72"/>
      <c r="CB68" s="72"/>
      <c r="CC68" s="72"/>
      <c r="CD68" s="72"/>
    </row>
    <row r="69" spans="1:82" ht="12.75" hidden="1" customHeight="1" outlineLevel="1">
      <c r="A69" s="4"/>
      <c r="B69" s="123" t="s">
        <v>474</v>
      </c>
      <c r="C69" s="5">
        <v>4453</v>
      </c>
      <c r="D69" s="5">
        <v>3168</v>
      </c>
      <c r="E69" s="5">
        <v>2731</v>
      </c>
      <c r="F69" s="5">
        <v>3972</v>
      </c>
      <c r="G69" s="5">
        <v>560</v>
      </c>
      <c r="H69" s="72"/>
      <c r="I69" s="72"/>
      <c r="J69" s="72"/>
      <c r="K69" s="72"/>
      <c r="L69" s="5">
        <v>245</v>
      </c>
      <c r="M69" s="72"/>
      <c r="N69" s="72"/>
      <c r="O69" s="72"/>
      <c r="P69" s="72"/>
      <c r="Q69" s="5">
        <v>742</v>
      </c>
      <c r="R69" s="72"/>
      <c r="S69" s="72"/>
      <c r="T69" s="72"/>
      <c r="U69" s="72"/>
      <c r="V69" s="5">
        <v>1741</v>
      </c>
      <c r="W69" s="72"/>
      <c r="X69" s="72"/>
      <c r="Y69" s="72"/>
      <c r="Z69" s="72"/>
      <c r="AA69" s="5">
        <v>1435</v>
      </c>
      <c r="AB69" s="72"/>
      <c r="AC69" s="72"/>
      <c r="AD69" s="72"/>
      <c r="AE69" s="72"/>
      <c r="AF69" s="5">
        <v>2171</v>
      </c>
      <c r="AG69" s="72"/>
      <c r="AH69" s="72"/>
      <c r="AI69" s="72"/>
      <c r="AJ69" s="72"/>
      <c r="AK69" s="5">
        <v>266</v>
      </c>
      <c r="AL69" s="72"/>
      <c r="AM69" s="72"/>
      <c r="AN69" s="72"/>
      <c r="AO69" s="72"/>
      <c r="AP69" s="5">
        <v>831</v>
      </c>
      <c r="AQ69" s="72"/>
      <c r="AR69" s="72"/>
      <c r="AS69" s="72"/>
      <c r="AT69" s="72"/>
      <c r="AU69" s="5">
        <v>2480</v>
      </c>
      <c r="AV69" s="72"/>
      <c r="AW69" s="72"/>
      <c r="AX69" s="72"/>
      <c r="AY69" s="72"/>
      <c r="AZ69" s="5">
        <v>637</v>
      </c>
      <c r="BA69" s="72"/>
      <c r="BB69" s="72"/>
      <c r="BC69" s="72"/>
      <c r="BD69" s="72"/>
      <c r="BE69" s="5">
        <v>179</v>
      </c>
      <c r="BF69" s="72"/>
      <c r="BG69" s="72"/>
      <c r="BH69" s="72"/>
      <c r="BI69" s="72"/>
      <c r="BJ69" s="5">
        <v>399</v>
      </c>
      <c r="BK69" s="72"/>
      <c r="BL69" s="72"/>
      <c r="BM69" s="72"/>
      <c r="BN69" s="72"/>
      <c r="BO69" s="5">
        <v>2082</v>
      </c>
      <c r="BP69" s="72"/>
      <c r="BQ69" s="72"/>
      <c r="BR69" s="72"/>
      <c r="BS69" s="72"/>
      <c r="BT69" s="72"/>
      <c r="BU69" s="72"/>
      <c r="BV69" s="72"/>
      <c r="BW69" s="72"/>
      <c r="BX69" s="72"/>
      <c r="BY69" s="72"/>
      <c r="BZ69" s="72"/>
      <c r="CA69" s="72"/>
      <c r="CB69" s="72"/>
      <c r="CC69" s="72"/>
      <c r="CD69" s="72"/>
    </row>
    <row r="70" spans="1:82" ht="12.75" hidden="1" customHeight="1" outlineLevel="1">
      <c r="A70" s="5"/>
      <c r="B70" s="123" t="s">
        <v>2949</v>
      </c>
      <c r="C70" s="5">
        <v>-3087</v>
      </c>
      <c r="D70" s="5">
        <v>-3101</v>
      </c>
      <c r="E70" s="5">
        <v>-3036</v>
      </c>
      <c r="F70" s="5">
        <v>-2968</v>
      </c>
      <c r="G70" s="5">
        <v>-2898</v>
      </c>
      <c r="H70" s="72"/>
      <c r="I70" s="72"/>
      <c r="J70" s="72"/>
      <c r="K70" s="72"/>
      <c r="L70" s="5">
        <v>-2855</v>
      </c>
      <c r="M70" s="72"/>
      <c r="N70" s="72"/>
      <c r="O70" s="72"/>
      <c r="P70" s="72"/>
      <c r="Q70" s="5">
        <v>-2801</v>
      </c>
      <c r="R70" s="72"/>
      <c r="S70" s="72"/>
      <c r="T70" s="72"/>
      <c r="U70" s="72"/>
      <c r="V70" s="5">
        <v>-2795</v>
      </c>
      <c r="W70" s="72"/>
      <c r="X70" s="72"/>
      <c r="Y70" s="72"/>
      <c r="Z70" s="72"/>
      <c r="AA70" s="5">
        <v>-2867</v>
      </c>
      <c r="AB70" s="72"/>
      <c r="AC70" s="72"/>
      <c r="AD70" s="72"/>
      <c r="AE70" s="72"/>
      <c r="AF70" s="5">
        <v>-2835</v>
      </c>
      <c r="AG70" s="72"/>
      <c r="AH70" s="72"/>
      <c r="AI70" s="72"/>
      <c r="AJ70" s="72"/>
      <c r="AK70" s="5">
        <v>-2474</v>
      </c>
      <c r="AL70" s="72"/>
      <c r="AM70" s="72"/>
      <c r="AN70" s="72"/>
      <c r="AO70" s="72"/>
      <c r="AP70" s="5">
        <v>-2403</v>
      </c>
      <c r="AQ70" s="72"/>
      <c r="AR70" s="72"/>
      <c r="AS70" s="72"/>
      <c r="AT70" s="72"/>
      <c r="AU70" s="5">
        <v>-2282</v>
      </c>
      <c r="AV70" s="72"/>
      <c r="AW70" s="72"/>
      <c r="AX70" s="72"/>
      <c r="AY70" s="72"/>
      <c r="AZ70" s="5">
        <v>-2177</v>
      </c>
      <c r="BA70" s="72"/>
      <c r="BB70" s="72"/>
      <c r="BC70" s="72"/>
      <c r="BD70" s="72"/>
      <c r="BE70" s="5">
        <v>-2151</v>
      </c>
      <c r="BF70" s="72"/>
      <c r="BG70" s="72"/>
      <c r="BH70" s="72"/>
      <c r="BI70" s="72"/>
      <c r="BJ70" s="5">
        <v>-2085</v>
      </c>
      <c r="BK70" s="72"/>
      <c r="BL70" s="72"/>
      <c r="BM70" s="72"/>
      <c r="BN70" s="72"/>
      <c r="BO70" s="5">
        <v>-2281</v>
      </c>
      <c r="BP70" s="72"/>
      <c r="BQ70" s="72"/>
      <c r="BR70" s="72"/>
      <c r="BS70" s="72"/>
      <c r="BT70" s="72"/>
      <c r="BU70" s="72"/>
      <c r="BV70" s="72"/>
      <c r="BW70" s="72"/>
      <c r="BX70" s="72"/>
      <c r="BY70" s="72"/>
      <c r="BZ70" s="72"/>
      <c r="CA70" s="72"/>
      <c r="CB70" s="72"/>
      <c r="CC70" s="72"/>
      <c r="CD70" s="72"/>
    </row>
    <row r="71" spans="1:82" hidden="1" outlineLevel="1">
      <c r="A71" s="4"/>
      <c r="B71" s="123" t="s">
        <v>353</v>
      </c>
      <c r="C71" s="5">
        <v>-166</v>
      </c>
      <c r="D71" s="5">
        <v>-276</v>
      </c>
      <c r="E71" s="5">
        <v>-2427</v>
      </c>
      <c r="F71" s="5">
        <v>-644</v>
      </c>
      <c r="G71" s="5">
        <v>-1426</v>
      </c>
      <c r="H71" s="72"/>
      <c r="I71" s="72"/>
      <c r="J71" s="72"/>
      <c r="K71" s="72"/>
      <c r="L71" s="5">
        <v>-326</v>
      </c>
      <c r="M71" s="72"/>
      <c r="N71" s="72"/>
      <c r="O71" s="72"/>
      <c r="P71" s="72"/>
      <c r="Q71" s="5">
        <v>-107</v>
      </c>
      <c r="R71" s="72"/>
      <c r="S71" s="72"/>
      <c r="T71" s="72"/>
      <c r="U71" s="72"/>
      <c r="V71" s="5">
        <v>-3</v>
      </c>
      <c r="W71" s="72"/>
      <c r="X71" s="72"/>
      <c r="Y71" s="72"/>
      <c r="Z71" s="72"/>
      <c r="AA71" s="5">
        <v>-345</v>
      </c>
      <c r="AB71" s="72"/>
      <c r="AC71" s="72"/>
      <c r="AD71" s="72"/>
      <c r="AE71" s="72"/>
      <c r="AF71" s="5">
        <v>-1514</v>
      </c>
      <c r="AG71" s="72"/>
      <c r="AH71" s="72"/>
      <c r="AI71" s="72"/>
      <c r="AJ71" s="72"/>
      <c r="AK71" s="5">
        <v>-995</v>
      </c>
      <c r="AL71" s="72"/>
      <c r="AM71" s="72"/>
      <c r="AN71" s="72"/>
      <c r="AO71" s="72"/>
      <c r="AP71" s="5">
        <v>-1718</v>
      </c>
      <c r="AQ71" s="72"/>
      <c r="AR71" s="72"/>
      <c r="AS71" s="72"/>
      <c r="AT71" s="72"/>
      <c r="AU71" s="5">
        <v>-896</v>
      </c>
      <c r="AV71" s="72"/>
      <c r="AW71" s="72"/>
      <c r="AX71" s="72"/>
      <c r="AY71" s="72"/>
      <c r="AZ71" s="5">
        <v>-266</v>
      </c>
      <c r="BA71" s="72"/>
      <c r="BB71" s="72"/>
      <c r="BC71" s="72"/>
      <c r="BD71" s="72"/>
      <c r="BE71" s="5">
        <v>-104</v>
      </c>
      <c r="BF71" s="72"/>
      <c r="BG71" s="72"/>
      <c r="BH71" s="72"/>
      <c r="BI71" s="72"/>
      <c r="BJ71" s="5">
        <v>-750</v>
      </c>
      <c r="BK71" s="72"/>
      <c r="BL71" s="72"/>
      <c r="BM71" s="72"/>
      <c r="BN71" s="72"/>
      <c r="BO71" s="5">
        <v>-4</v>
      </c>
      <c r="BP71" s="72"/>
      <c r="BQ71" s="72"/>
      <c r="BR71" s="72"/>
      <c r="BS71" s="72"/>
      <c r="BT71" s="72"/>
      <c r="BU71" s="72"/>
      <c r="BV71" s="72"/>
      <c r="BW71" s="72"/>
      <c r="BX71" s="72"/>
      <c r="BY71" s="72"/>
      <c r="BZ71" s="72"/>
      <c r="CA71" s="72"/>
      <c r="CB71" s="72"/>
      <c r="CC71" s="72"/>
      <c r="CD71" s="72"/>
    </row>
    <row r="72" spans="1:82" hidden="1" outlineLevel="1">
      <c r="A72" s="124" t="s">
        <v>2950</v>
      </c>
      <c r="B72" s="8"/>
      <c r="C72" s="8">
        <f>SUM(C65:C71)</f>
        <v>42959</v>
      </c>
      <c r="D72" s="8">
        <f>SUM(D65:D71)</f>
        <v>45844</v>
      </c>
      <c r="E72" s="8">
        <f>SUM(E65:E71)</f>
        <v>45155</v>
      </c>
      <c r="F72" s="8">
        <f>SUM(F65:F71)</f>
        <v>45650</v>
      </c>
      <c r="G72" s="8">
        <f>SUM(G65:G71)</f>
        <v>44448</v>
      </c>
      <c r="H72" s="73"/>
      <c r="I72" s="73"/>
      <c r="J72" s="73"/>
      <c r="K72" s="73"/>
      <c r="L72" s="8">
        <f>SUM(L65:L71)</f>
        <v>42168</v>
      </c>
      <c r="M72" s="73"/>
      <c r="N72" s="73"/>
      <c r="O72" s="73"/>
      <c r="P72" s="73"/>
      <c r="Q72" s="8">
        <f>SUM(Q65:Q71)</f>
        <v>41130</v>
      </c>
      <c r="R72" s="73"/>
      <c r="S72" s="73"/>
      <c r="T72" s="73"/>
      <c r="U72" s="73"/>
      <c r="V72" s="8">
        <f>SUM(V65:V71)</f>
        <v>40005</v>
      </c>
      <c r="W72" s="73"/>
      <c r="X72" s="73"/>
      <c r="Y72" s="73"/>
      <c r="Z72" s="73"/>
      <c r="AA72" s="8">
        <f>SUM(AA65:AA71)</f>
        <v>40388</v>
      </c>
      <c r="AB72" s="73"/>
      <c r="AC72" s="73"/>
      <c r="AD72" s="73"/>
      <c r="AE72" s="73"/>
      <c r="AF72" s="8">
        <f>SUM(AF65:AF71)</f>
        <v>37809</v>
      </c>
      <c r="AG72" s="73"/>
      <c r="AH72" s="73"/>
      <c r="AI72" s="73"/>
      <c r="AJ72" s="73"/>
      <c r="AK72" s="8">
        <v>36381</v>
      </c>
      <c r="AL72" s="73"/>
      <c r="AM72" s="73"/>
      <c r="AN72" s="73"/>
      <c r="AO72" s="73"/>
      <c r="AP72" s="8">
        <f>+SUM(AP65:AP71)</f>
        <v>33264</v>
      </c>
      <c r="AQ72" s="73"/>
      <c r="AR72" s="73"/>
      <c r="AS72" s="73"/>
      <c r="AT72" s="73"/>
      <c r="AU72" s="8">
        <f>+SUM(AU65:AU71)</f>
        <v>34187</v>
      </c>
      <c r="AV72" s="73"/>
      <c r="AW72" s="73"/>
      <c r="AX72" s="73"/>
      <c r="AY72" s="73"/>
      <c r="AZ72" s="8">
        <f>+SUM(AZ65:AZ71)</f>
        <v>32497</v>
      </c>
      <c r="BA72" s="73"/>
      <c r="BB72" s="73"/>
      <c r="BC72" s="73"/>
      <c r="BD72" s="73"/>
      <c r="BE72" s="8">
        <f>+SUM(BE65:BE71)</f>
        <v>30564</v>
      </c>
      <c r="BF72" s="73"/>
      <c r="BG72" s="73"/>
      <c r="BH72" s="73"/>
      <c r="BI72" s="73"/>
      <c r="BJ72" s="8">
        <v>28888</v>
      </c>
      <c r="BK72" s="73"/>
      <c r="BL72" s="73"/>
      <c r="BM72" s="73"/>
      <c r="BN72" s="73"/>
      <c r="BO72" s="8">
        <v>29263</v>
      </c>
      <c r="BP72" s="73"/>
      <c r="BQ72" s="73"/>
      <c r="BR72" s="73"/>
      <c r="BS72" s="73"/>
      <c r="BT72" s="73"/>
      <c r="BU72" s="73"/>
      <c r="BV72" s="73"/>
      <c r="BW72" s="73"/>
      <c r="BX72" s="73"/>
      <c r="BY72" s="73"/>
      <c r="BZ72" s="73"/>
      <c r="CA72" s="73"/>
      <c r="CB72" s="73"/>
      <c r="CC72" s="73"/>
      <c r="CD72" s="73"/>
    </row>
    <row r="73" spans="1:82" hidden="1" outlineLevel="1">
      <c r="A73" s="5"/>
      <c r="B73" s="121" t="s">
        <v>2517</v>
      </c>
      <c r="C73" s="5">
        <v>23749</v>
      </c>
      <c r="D73" s="5">
        <v>23773</v>
      </c>
      <c r="E73" s="5">
        <v>21823</v>
      </c>
      <c r="F73" s="5">
        <v>20579</v>
      </c>
      <c r="G73" s="5">
        <v>20045</v>
      </c>
      <c r="H73" s="72"/>
      <c r="I73" s="72"/>
      <c r="J73" s="72"/>
      <c r="K73" s="72"/>
      <c r="L73" s="5">
        <v>19302</v>
      </c>
      <c r="M73" s="72"/>
      <c r="N73" s="72"/>
      <c r="O73" s="72"/>
      <c r="P73" s="72"/>
      <c r="Q73" s="5">
        <v>19860</v>
      </c>
      <c r="R73" s="72"/>
      <c r="S73" s="72"/>
      <c r="T73" s="72"/>
      <c r="U73" s="72"/>
      <c r="V73" s="5">
        <v>18956</v>
      </c>
      <c r="W73" s="72"/>
      <c r="X73" s="72"/>
      <c r="Y73" s="72"/>
      <c r="Z73" s="72"/>
      <c r="AA73" s="5">
        <v>21032</v>
      </c>
      <c r="AB73" s="72"/>
      <c r="AC73" s="72"/>
      <c r="AD73" s="72"/>
      <c r="AE73" s="72"/>
      <c r="AF73" s="5">
        <v>20766</v>
      </c>
      <c r="AG73" s="72"/>
      <c r="AH73" s="72"/>
      <c r="AI73" s="72"/>
      <c r="AJ73" s="72"/>
      <c r="AK73" s="5">
        <v>19900</v>
      </c>
      <c r="AL73" s="72"/>
      <c r="AM73" s="72"/>
      <c r="AN73" s="72"/>
      <c r="AO73" s="72"/>
      <c r="AP73" s="5">
        <v>18562</v>
      </c>
      <c r="AQ73" s="72"/>
      <c r="AR73" s="72"/>
      <c r="AS73" s="72"/>
      <c r="AT73" s="72"/>
      <c r="AU73" s="5">
        <v>17660</v>
      </c>
      <c r="AV73" s="72"/>
      <c r="AW73" s="72"/>
      <c r="AX73" s="72"/>
      <c r="AY73" s="72"/>
      <c r="AZ73" s="5">
        <v>16124</v>
      </c>
      <c r="BA73" s="72"/>
      <c r="BB73" s="72"/>
      <c r="BC73" s="72"/>
      <c r="BD73" s="72"/>
      <c r="BE73" s="5">
        <v>15009</v>
      </c>
      <c r="BF73" s="72"/>
      <c r="BG73" s="72"/>
      <c r="BH73" s="72"/>
      <c r="BI73" s="72"/>
      <c r="BJ73" s="5">
        <v>13398</v>
      </c>
      <c r="BK73" s="72"/>
      <c r="BL73" s="72"/>
      <c r="BM73" s="72"/>
      <c r="BN73" s="72"/>
      <c r="BO73" s="5">
        <v>15266</v>
      </c>
      <c r="BP73" s="72"/>
      <c r="BQ73" s="72"/>
      <c r="BR73" s="72"/>
      <c r="BS73" s="72"/>
      <c r="BT73" s="72"/>
      <c r="BU73" s="72"/>
      <c r="BV73" s="72"/>
      <c r="BW73" s="72"/>
      <c r="BX73" s="72"/>
      <c r="BY73" s="72"/>
      <c r="BZ73" s="72"/>
      <c r="CA73" s="72"/>
      <c r="CB73" s="72"/>
      <c r="CC73" s="72"/>
      <c r="CD73" s="72"/>
    </row>
    <row r="74" spans="1:82" hidden="1" outlineLevel="1">
      <c r="A74" s="5"/>
      <c r="B74" s="121" t="s">
        <v>2481</v>
      </c>
      <c r="C74" s="5">
        <v>19210</v>
      </c>
      <c r="D74" s="5">
        <v>22071</v>
      </c>
      <c r="E74" s="5">
        <v>23332</v>
      </c>
      <c r="F74" s="5">
        <v>25071</v>
      </c>
      <c r="G74" s="5">
        <v>24403</v>
      </c>
      <c r="H74" s="72"/>
      <c r="I74" s="72"/>
      <c r="J74" s="72"/>
      <c r="K74" s="72"/>
      <c r="L74" s="5">
        <v>22866</v>
      </c>
      <c r="M74" s="72"/>
      <c r="N74" s="72"/>
      <c r="O74" s="72"/>
      <c r="P74" s="72"/>
      <c r="Q74" s="5">
        <v>21270</v>
      </c>
      <c r="R74" s="72"/>
      <c r="S74" s="72"/>
      <c r="T74" s="72"/>
      <c r="U74" s="72"/>
      <c r="V74" s="5">
        <v>21049</v>
      </c>
      <c r="W74" s="72"/>
      <c r="X74" s="72"/>
      <c r="Y74" s="72"/>
      <c r="Z74" s="72"/>
      <c r="AA74" s="5">
        <v>19356</v>
      </c>
      <c r="AB74" s="72"/>
      <c r="AC74" s="72"/>
      <c r="AD74" s="72"/>
      <c r="AE74" s="72"/>
      <c r="AF74" s="5">
        <v>17043</v>
      </c>
      <c r="AG74" s="72"/>
      <c r="AH74" s="72"/>
      <c r="AI74" s="72"/>
      <c r="AJ74" s="72"/>
      <c r="AK74" s="5">
        <v>16481</v>
      </c>
      <c r="AL74" s="72"/>
      <c r="AM74" s="72"/>
      <c r="AN74" s="72"/>
      <c r="AO74" s="72"/>
      <c r="AP74" s="5">
        <v>14702</v>
      </c>
      <c r="AQ74" s="72"/>
      <c r="AR74" s="72"/>
      <c r="AS74" s="72"/>
      <c r="AT74" s="72"/>
      <c r="AU74" s="5">
        <v>16527</v>
      </c>
      <c r="AV74" s="72"/>
      <c r="AW74" s="72"/>
      <c r="AX74" s="72"/>
      <c r="AY74" s="72"/>
      <c r="AZ74" s="5">
        <v>16372</v>
      </c>
      <c r="BA74" s="72"/>
      <c r="BB74" s="72"/>
      <c r="BC74" s="72"/>
      <c r="BD74" s="72"/>
      <c r="BE74" s="5">
        <v>15553</v>
      </c>
      <c r="BF74" s="72"/>
      <c r="BG74" s="72"/>
      <c r="BH74" s="72"/>
      <c r="BI74" s="72"/>
      <c r="BJ74" s="5">
        <v>15490</v>
      </c>
      <c r="BK74" s="72"/>
      <c r="BL74" s="72"/>
      <c r="BM74" s="72"/>
      <c r="BN74" s="72"/>
      <c r="BO74" s="5">
        <v>13997</v>
      </c>
      <c r="BP74" s="72"/>
      <c r="BQ74" s="72"/>
      <c r="BR74" s="72"/>
      <c r="BS74" s="72"/>
      <c r="BT74" s="72"/>
      <c r="BU74" s="72"/>
      <c r="BV74" s="72"/>
      <c r="BW74" s="72"/>
      <c r="BX74" s="72"/>
      <c r="BY74" s="72"/>
      <c r="BZ74" s="72"/>
      <c r="CA74" s="72"/>
      <c r="CB74" s="72"/>
      <c r="CC74" s="72"/>
      <c r="CD74" s="72"/>
    </row>
    <row r="75" spans="1:82" hidden="1" outlineLevel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</row>
    <row r="76" spans="1:82" hidden="1" outlineLevel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</row>
    <row r="77" spans="1:82" hidden="1" outlineLevel="1">
      <c r="A77" s="39" t="s">
        <v>2515</v>
      </c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</row>
    <row r="78" spans="1:82" hidden="1" outlineLevel="1">
      <c r="A78" s="5"/>
      <c r="B78" s="11" t="s">
        <v>2947</v>
      </c>
      <c r="C78" s="5">
        <v>2818</v>
      </c>
      <c r="D78" s="5">
        <f>C85</f>
        <v>3216</v>
      </c>
      <c r="E78" s="5">
        <f>D85</f>
        <v>2945</v>
      </c>
      <c r="F78" s="5">
        <f>E85</f>
        <v>2869</v>
      </c>
      <c r="G78" s="5">
        <f>F85</f>
        <v>2857</v>
      </c>
      <c r="H78" s="72"/>
      <c r="I78" s="72"/>
      <c r="J78" s="72"/>
      <c r="K78" s="72"/>
      <c r="L78" s="5">
        <f>G85</f>
        <v>3856</v>
      </c>
      <c r="M78" s="72"/>
      <c r="N78" s="72"/>
      <c r="O78" s="72"/>
      <c r="P78" s="72"/>
      <c r="Q78" s="5">
        <f>L85</f>
        <v>3763</v>
      </c>
      <c r="R78" s="72"/>
      <c r="S78" s="72"/>
      <c r="T78" s="72"/>
      <c r="U78" s="72"/>
      <c r="V78" s="5">
        <f>Q85</f>
        <v>3770</v>
      </c>
      <c r="W78" s="72"/>
      <c r="X78" s="72"/>
      <c r="Y78" s="72"/>
      <c r="Z78" s="72"/>
      <c r="AA78" s="5">
        <f>V85</f>
        <v>5203</v>
      </c>
      <c r="AB78" s="72"/>
      <c r="AC78" s="72"/>
      <c r="AD78" s="72"/>
      <c r="AE78" s="72"/>
      <c r="AF78" s="5">
        <f>AA85</f>
        <v>4742</v>
      </c>
      <c r="AG78" s="72"/>
      <c r="AH78" s="72"/>
      <c r="AI78" s="72"/>
      <c r="AJ78" s="72"/>
      <c r="AK78" s="5">
        <v>4891</v>
      </c>
      <c r="AL78" s="72"/>
      <c r="AM78" s="72"/>
      <c r="AN78" s="72"/>
      <c r="AO78" s="72"/>
      <c r="AP78" s="5">
        <v>5278</v>
      </c>
      <c r="AQ78" s="72"/>
      <c r="AR78" s="72"/>
      <c r="AS78" s="72"/>
      <c r="AT78" s="72"/>
      <c r="AU78" s="5">
        <f>AP85</f>
        <v>7041</v>
      </c>
      <c r="AV78" s="72"/>
      <c r="AW78" s="72"/>
      <c r="AX78" s="72"/>
      <c r="AY78" s="72"/>
      <c r="AZ78" s="5">
        <f>AU85</f>
        <v>11788</v>
      </c>
      <c r="BA78" s="72"/>
      <c r="BB78" s="72"/>
      <c r="BC78" s="72"/>
      <c r="BD78" s="72"/>
      <c r="BE78" s="5">
        <f>AZ85</f>
        <v>12200</v>
      </c>
      <c r="BF78" s="72"/>
      <c r="BG78" s="72"/>
      <c r="BH78" s="72"/>
      <c r="BI78" s="72"/>
      <c r="BJ78" s="5">
        <f>BE85</f>
        <v>13633</v>
      </c>
      <c r="BK78" s="72"/>
      <c r="BL78" s="72"/>
      <c r="BM78" s="72"/>
      <c r="BN78" s="72"/>
      <c r="BO78" s="5">
        <f>BJ85</f>
        <v>14480</v>
      </c>
      <c r="BP78" s="72"/>
      <c r="BQ78" s="72"/>
      <c r="BR78" s="72"/>
      <c r="BS78" s="72"/>
      <c r="BT78" s="72"/>
      <c r="BU78" s="72"/>
      <c r="BV78" s="72"/>
      <c r="BW78" s="72"/>
      <c r="BX78" s="72"/>
      <c r="BY78" s="72"/>
      <c r="BZ78" s="72"/>
      <c r="CA78" s="72"/>
      <c r="CB78" s="72"/>
      <c r="CC78" s="72"/>
      <c r="CD78" s="72"/>
    </row>
    <row r="79" spans="1:82" hidden="1" outlineLevel="1">
      <c r="A79" s="5"/>
      <c r="B79" s="123" t="s">
        <v>2518</v>
      </c>
      <c r="C79" s="5">
        <v>92</v>
      </c>
      <c r="D79" s="5">
        <v>-157</v>
      </c>
      <c r="E79" s="5">
        <v>549</v>
      </c>
      <c r="F79" s="5">
        <v>312</v>
      </c>
      <c r="G79" s="5">
        <v>1384</v>
      </c>
      <c r="H79" s="72"/>
      <c r="I79" s="72"/>
      <c r="J79" s="72"/>
      <c r="K79" s="72"/>
      <c r="L79" s="5">
        <v>284</v>
      </c>
      <c r="M79" s="72"/>
      <c r="N79" s="72"/>
      <c r="O79" s="72"/>
      <c r="P79" s="72"/>
      <c r="Q79" s="5">
        <v>143</v>
      </c>
      <c r="R79" s="72"/>
      <c r="S79" s="72"/>
      <c r="T79" s="72"/>
      <c r="U79" s="72"/>
      <c r="V79" s="5">
        <v>1357</v>
      </c>
      <c r="W79" s="72"/>
      <c r="X79" s="72"/>
      <c r="Y79" s="72"/>
      <c r="Z79" s="72"/>
      <c r="AA79" s="5">
        <v>142</v>
      </c>
      <c r="AB79" s="72"/>
      <c r="AC79" s="72"/>
      <c r="AD79" s="72"/>
      <c r="AE79" s="72"/>
      <c r="AF79" s="5">
        <v>253</v>
      </c>
      <c r="AG79" s="72"/>
      <c r="AH79" s="72"/>
      <c r="AI79" s="72"/>
      <c r="AJ79" s="72"/>
      <c r="AK79" s="5">
        <v>625</v>
      </c>
      <c r="AL79" s="72"/>
      <c r="AM79" s="72"/>
      <c r="AN79" s="72"/>
      <c r="AO79" s="72"/>
      <c r="AP79" s="5">
        <v>824</v>
      </c>
      <c r="AQ79" s="72"/>
      <c r="AR79" s="72"/>
      <c r="AS79" s="72"/>
      <c r="AT79" s="72"/>
      <c r="AU79" s="5">
        <v>719</v>
      </c>
      <c r="AV79" s="72"/>
      <c r="AW79" s="72"/>
      <c r="AX79" s="72"/>
      <c r="AY79" s="72"/>
      <c r="AZ79" s="5">
        <v>720</v>
      </c>
      <c r="BA79" s="72"/>
      <c r="BB79" s="72"/>
      <c r="BC79" s="72"/>
      <c r="BD79" s="72"/>
      <c r="BE79" s="5">
        <v>1669</v>
      </c>
      <c r="BF79" s="72"/>
      <c r="BG79" s="72"/>
      <c r="BH79" s="72"/>
      <c r="BI79" s="72"/>
      <c r="BJ79" s="5">
        <v>836</v>
      </c>
      <c r="BK79" s="72"/>
      <c r="BL79" s="72"/>
      <c r="BM79" s="72"/>
      <c r="BN79" s="72"/>
      <c r="BO79" s="5">
        <v>1625</v>
      </c>
      <c r="BP79" s="72"/>
      <c r="BQ79" s="72"/>
      <c r="BR79" s="72"/>
      <c r="BS79" s="72"/>
      <c r="BT79" s="72"/>
      <c r="BU79" s="72"/>
      <c r="BV79" s="72"/>
      <c r="BW79" s="72"/>
      <c r="BX79" s="72"/>
      <c r="BY79" s="72"/>
      <c r="BZ79" s="72"/>
      <c r="CA79" s="72"/>
      <c r="CB79" s="72"/>
      <c r="CC79" s="72"/>
      <c r="CD79" s="72"/>
    </row>
    <row r="80" spans="1:82" hidden="1" outlineLevel="1">
      <c r="A80" s="5"/>
      <c r="B80" s="123" t="s">
        <v>2948</v>
      </c>
      <c r="C80" s="5">
        <v>71</v>
      </c>
      <c r="D80" s="5">
        <v>1</v>
      </c>
      <c r="E80" s="5">
        <v>35</v>
      </c>
      <c r="F80" s="5">
        <v>23</v>
      </c>
      <c r="G80" s="5">
        <v>66</v>
      </c>
      <c r="H80" s="72"/>
      <c r="I80" s="72"/>
      <c r="J80" s="72"/>
      <c r="K80" s="72"/>
      <c r="L80" s="5">
        <v>74</v>
      </c>
      <c r="M80" s="72"/>
      <c r="N80" s="72"/>
      <c r="O80" s="72"/>
      <c r="P80" s="72"/>
      <c r="Q80" s="5">
        <v>211</v>
      </c>
      <c r="R80" s="72"/>
      <c r="S80" s="72"/>
      <c r="T80" s="72"/>
      <c r="U80" s="72"/>
      <c r="V80" s="5">
        <v>312</v>
      </c>
      <c r="W80" s="72"/>
      <c r="X80" s="72"/>
      <c r="Y80" s="72"/>
      <c r="Z80" s="72"/>
      <c r="AA80" s="5">
        <v>319</v>
      </c>
      <c r="AB80" s="72"/>
      <c r="AC80" s="72"/>
      <c r="AD80" s="72"/>
      <c r="AE80" s="72"/>
      <c r="AF80" s="5">
        <v>303</v>
      </c>
      <c r="AG80" s="72"/>
      <c r="AH80" s="72"/>
      <c r="AI80" s="72"/>
      <c r="AJ80" s="72"/>
      <c r="AK80" s="5">
        <v>202</v>
      </c>
      <c r="AL80" s="72"/>
      <c r="AM80" s="72"/>
      <c r="AN80" s="72"/>
      <c r="AO80" s="72"/>
      <c r="AP80" s="5">
        <v>111</v>
      </c>
      <c r="AQ80" s="72"/>
      <c r="AR80" s="72"/>
      <c r="AS80" s="72"/>
      <c r="AT80" s="72"/>
      <c r="AU80" s="5">
        <v>67</v>
      </c>
      <c r="AV80" s="72"/>
      <c r="AW80" s="72"/>
      <c r="AX80" s="72"/>
      <c r="AY80" s="72"/>
      <c r="AZ80" s="5">
        <v>23</v>
      </c>
      <c r="BA80" s="72"/>
      <c r="BB80" s="72"/>
      <c r="BC80" s="72"/>
      <c r="BD80" s="72"/>
      <c r="BE80" s="5">
        <v>8</v>
      </c>
      <c r="BF80" s="72"/>
      <c r="BG80" s="72"/>
      <c r="BH80" s="72"/>
      <c r="BI80" s="72"/>
      <c r="BJ80" s="5">
        <v>11</v>
      </c>
      <c r="BK80" s="72"/>
      <c r="BL80" s="72"/>
      <c r="BM80" s="72"/>
      <c r="BN80" s="72"/>
      <c r="BO80" s="5">
        <v>92</v>
      </c>
      <c r="BP80" s="72"/>
      <c r="BQ80" s="72"/>
      <c r="BR80" s="72"/>
      <c r="BS80" s="72"/>
      <c r="BT80" s="72"/>
      <c r="BU80" s="72"/>
      <c r="BV80" s="72"/>
      <c r="BW80" s="72"/>
      <c r="BX80" s="72"/>
      <c r="BY80" s="72"/>
      <c r="BZ80" s="72"/>
      <c r="CA80" s="72"/>
      <c r="CB80" s="72"/>
      <c r="CC80" s="72"/>
      <c r="CD80" s="72"/>
    </row>
    <row r="81" spans="1:82" hidden="1" outlineLevel="1">
      <c r="A81" s="5"/>
      <c r="B81" s="123" t="s">
        <v>352</v>
      </c>
      <c r="C81" s="5">
        <v>0</v>
      </c>
      <c r="D81" s="5">
        <v>20</v>
      </c>
      <c r="E81" s="5">
        <v>0</v>
      </c>
      <c r="F81" s="5">
        <v>0</v>
      </c>
      <c r="G81" s="5">
        <v>0</v>
      </c>
      <c r="H81" s="72"/>
      <c r="I81" s="72"/>
      <c r="J81" s="72"/>
      <c r="K81" s="72"/>
      <c r="L81" s="5">
        <v>0</v>
      </c>
      <c r="M81" s="72"/>
      <c r="N81" s="72"/>
      <c r="O81" s="72"/>
      <c r="P81" s="72"/>
      <c r="Q81" s="5">
        <v>8</v>
      </c>
      <c r="R81" s="72"/>
      <c r="S81" s="72"/>
      <c r="T81" s="72"/>
      <c r="U81" s="72"/>
      <c r="V81" s="5">
        <v>3</v>
      </c>
      <c r="W81" s="72"/>
      <c r="X81" s="72"/>
      <c r="Y81" s="72"/>
      <c r="Z81" s="72"/>
      <c r="AA81" s="5">
        <v>0</v>
      </c>
      <c r="AB81" s="72"/>
      <c r="AC81" s="72"/>
      <c r="AD81" s="72"/>
      <c r="AE81" s="72"/>
      <c r="AF81" s="5">
        <v>0</v>
      </c>
      <c r="AG81" s="72"/>
      <c r="AH81" s="72"/>
      <c r="AI81" s="72"/>
      <c r="AJ81" s="72"/>
      <c r="AK81" s="5">
        <v>107</v>
      </c>
      <c r="AL81" s="72"/>
      <c r="AM81" s="72"/>
      <c r="AN81" s="72"/>
      <c r="AO81" s="72"/>
      <c r="AP81" s="5">
        <v>0</v>
      </c>
      <c r="AQ81" s="72"/>
      <c r="AR81" s="72"/>
      <c r="AS81" s="72"/>
      <c r="AT81" s="72"/>
      <c r="AU81" s="5">
        <v>8918</v>
      </c>
      <c r="AV81" s="72"/>
      <c r="AW81" s="72"/>
      <c r="AX81" s="72"/>
      <c r="AY81" s="72"/>
      <c r="AZ81" s="5">
        <v>0</v>
      </c>
      <c r="BA81" s="72"/>
      <c r="BB81" s="72"/>
      <c r="BC81" s="72"/>
      <c r="BD81" s="72"/>
      <c r="BE81" s="5">
        <v>5</v>
      </c>
      <c r="BF81" s="72"/>
      <c r="BG81" s="72"/>
      <c r="BH81" s="72"/>
      <c r="BI81" s="72"/>
      <c r="BJ81" s="5">
        <v>216</v>
      </c>
      <c r="BK81" s="72"/>
      <c r="BL81" s="72"/>
      <c r="BM81" s="72"/>
      <c r="BN81" s="72"/>
      <c r="BO81" s="5">
        <v>286</v>
      </c>
      <c r="BP81" s="72"/>
      <c r="BQ81" s="72"/>
      <c r="BR81" s="72"/>
      <c r="BS81" s="72"/>
      <c r="BT81" s="72"/>
      <c r="BU81" s="72"/>
      <c r="BV81" s="72"/>
      <c r="BW81" s="72"/>
      <c r="BX81" s="72"/>
      <c r="BY81" s="72"/>
      <c r="BZ81" s="72"/>
      <c r="CA81" s="72"/>
      <c r="CB81" s="72"/>
      <c r="CC81" s="72"/>
      <c r="CD81" s="72"/>
    </row>
    <row r="82" spans="1:82" hidden="1" outlineLevel="1">
      <c r="A82" s="5"/>
      <c r="B82" s="123" t="s">
        <v>474</v>
      </c>
      <c r="C82" s="5">
        <v>360</v>
      </c>
      <c r="D82" s="5">
        <v>27</v>
      </c>
      <c r="E82" s="5">
        <v>12</v>
      </c>
      <c r="F82" s="5">
        <v>0</v>
      </c>
      <c r="G82" s="5">
        <v>28</v>
      </c>
      <c r="H82" s="72"/>
      <c r="I82" s="72"/>
      <c r="J82" s="72"/>
      <c r="K82" s="72"/>
      <c r="L82" s="5">
        <v>23</v>
      </c>
      <c r="M82" s="72"/>
      <c r="N82" s="72"/>
      <c r="O82" s="72"/>
      <c r="P82" s="72"/>
      <c r="Q82" s="5">
        <v>22</v>
      </c>
      <c r="R82" s="72"/>
      <c r="S82" s="72"/>
      <c r="T82" s="72"/>
      <c r="U82" s="72"/>
      <c r="V82" s="5">
        <v>192</v>
      </c>
      <c r="W82" s="72"/>
      <c r="X82" s="72"/>
      <c r="Y82" s="72"/>
      <c r="Z82" s="72"/>
      <c r="AA82" s="5">
        <v>29</v>
      </c>
      <c r="AB82" s="72"/>
      <c r="AC82" s="72"/>
      <c r="AD82" s="72"/>
      <c r="AE82" s="72"/>
      <c r="AF82" s="5">
        <v>23</v>
      </c>
      <c r="AG82" s="72"/>
      <c r="AH82" s="72"/>
      <c r="AI82" s="72"/>
      <c r="AJ82" s="72"/>
      <c r="AK82" s="5">
        <v>0</v>
      </c>
      <c r="AL82" s="72"/>
      <c r="AM82" s="72"/>
      <c r="AN82" s="72"/>
      <c r="AO82" s="72"/>
      <c r="AP82" s="5">
        <v>1313</v>
      </c>
      <c r="AQ82" s="72"/>
      <c r="AR82" s="72"/>
      <c r="AS82" s="72"/>
      <c r="AT82" s="72"/>
      <c r="AU82" s="5">
        <v>305</v>
      </c>
      <c r="AV82" s="72"/>
      <c r="AW82" s="72"/>
      <c r="AX82" s="72"/>
      <c r="AY82" s="72"/>
      <c r="AZ82" s="5">
        <v>252</v>
      </c>
      <c r="BA82" s="72"/>
      <c r="BB82" s="72"/>
      <c r="BC82" s="72"/>
      <c r="BD82" s="72"/>
      <c r="BE82" s="5">
        <v>384</v>
      </c>
      <c r="BF82" s="72"/>
      <c r="BG82" s="72"/>
      <c r="BH82" s="72"/>
      <c r="BI82" s="72"/>
      <c r="BJ82" s="5">
        <v>471</v>
      </c>
      <c r="BK82" s="72"/>
      <c r="BL82" s="72"/>
      <c r="BM82" s="72"/>
      <c r="BN82" s="72"/>
      <c r="BO82" s="5">
        <v>392</v>
      </c>
      <c r="BP82" s="72"/>
      <c r="BQ82" s="72"/>
      <c r="BR82" s="72"/>
      <c r="BS82" s="72"/>
      <c r="BT82" s="72"/>
      <c r="BU82" s="72"/>
      <c r="BV82" s="72"/>
      <c r="BW82" s="72"/>
      <c r="BX82" s="72"/>
      <c r="BY82" s="72"/>
      <c r="BZ82" s="72"/>
      <c r="CA82" s="72"/>
      <c r="CB82" s="72"/>
      <c r="CC82" s="72"/>
      <c r="CD82" s="72"/>
    </row>
    <row r="83" spans="1:82" hidden="1" outlineLevel="1">
      <c r="A83" s="5"/>
      <c r="B83" s="123" t="s">
        <v>2949</v>
      </c>
      <c r="C83" s="5">
        <v>-125</v>
      </c>
      <c r="D83" s="5">
        <v>-140</v>
      </c>
      <c r="E83" s="5">
        <v>-190</v>
      </c>
      <c r="F83" s="5">
        <v>-347</v>
      </c>
      <c r="G83" s="5">
        <v>-360</v>
      </c>
      <c r="H83" s="72"/>
      <c r="I83" s="72"/>
      <c r="J83" s="72"/>
      <c r="K83" s="72"/>
      <c r="L83" s="5">
        <v>-397</v>
      </c>
      <c r="M83" s="72"/>
      <c r="N83" s="72"/>
      <c r="O83" s="72"/>
      <c r="P83" s="72"/>
      <c r="Q83" s="5">
        <v>-377</v>
      </c>
      <c r="R83" s="72"/>
      <c r="S83" s="72"/>
      <c r="T83" s="72"/>
      <c r="U83" s="72"/>
      <c r="V83" s="5">
        <v>-431</v>
      </c>
      <c r="W83" s="72"/>
      <c r="X83" s="72"/>
      <c r="Y83" s="72"/>
      <c r="Z83" s="72"/>
      <c r="AA83" s="5">
        <v>-409</v>
      </c>
      <c r="AB83" s="72"/>
      <c r="AC83" s="72"/>
      <c r="AD83" s="72"/>
      <c r="AE83" s="72"/>
      <c r="AF83" s="5">
        <v>-429</v>
      </c>
      <c r="AG83" s="72"/>
      <c r="AH83" s="72"/>
      <c r="AI83" s="72"/>
      <c r="AJ83" s="72"/>
      <c r="AK83" s="5">
        <v>-451</v>
      </c>
      <c r="AL83" s="72"/>
      <c r="AM83" s="72"/>
      <c r="AN83" s="72"/>
      <c r="AO83" s="72"/>
      <c r="AP83" s="5">
        <v>-484</v>
      </c>
      <c r="AQ83" s="72"/>
      <c r="AR83" s="72"/>
      <c r="AS83" s="72"/>
      <c r="AT83" s="72"/>
      <c r="AU83" s="5">
        <v>-481</v>
      </c>
      <c r="AV83" s="72"/>
      <c r="AW83" s="72"/>
      <c r="AX83" s="72"/>
      <c r="AY83" s="72"/>
      <c r="AZ83" s="5">
        <v>-583</v>
      </c>
      <c r="BA83" s="72"/>
      <c r="BB83" s="72"/>
      <c r="BC83" s="72"/>
      <c r="BD83" s="72"/>
      <c r="BE83" s="5">
        <v>-632</v>
      </c>
      <c r="BF83" s="72"/>
      <c r="BG83" s="72"/>
      <c r="BH83" s="72"/>
      <c r="BI83" s="72"/>
      <c r="BJ83" s="5">
        <v>-680</v>
      </c>
      <c r="BK83" s="72"/>
      <c r="BL83" s="72"/>
      <c r="BM83" s="72"/>
      <c r="BN83" s="72"/>
      <c r="BO83" s="5">
        <v>-726</v>
      </c>
      <c r="BP83" s="72"/>
      <c r="BQ83" s="72"/>
      <c r="BR83" s="72"/>
      <c r="BS83" s="72"/>
      <c r="BT83" s="72"/>
      <c r="BU83" s="72"/>
      <c r="BV83" s="72"/>
      <c r="BW83" s="72"/>
      <c r="BX83" s="72"/>
      <c r="BY83" s="72"/>
      <c r="BZ83" s="72"/>
      <c r="CA83" s="72"/>
      <c r="CB83" s="72"/>
      <c r="CC83" s="72"/>
      <c r="CD83" s="72"/>
    </row>
    <row r="84" spans="1:82" hidden="1" outlineLevel="1">
      <c r="A84" s="5"/>
      <c r="B84" s="123" t="s">
        <v>353</v>
      </c>
      <c r="C84" s="5">
        <v>0</v>
      </c>
      <c r="D84" s="5">
        <v>-22</v>
      </c>
      <c r="E84" s="5">
        <v>-482</v>
      </c>
      <c r="F84" s="5">
        <v>0</v>
      </c>
      <c r="G84" s="5">
        <v>-119</v>
      </c>
      <c r="H84" s="72"/>
      <c r="I84" s="72"/>
      <c r="J84" s="72"/>
      <c r="K84" s="72"/>
      <c r="L84" s="5">
        <v>-77</v>
      </c>
      <c r="M84" s="72"/>
      <c r="N84" s="72"/>
      <c r="O84" s="72"/>
      <c r="P84" s="72"/>
      <c r="Q84" s="5">
        <v>0</v>
      </c>
      <c r="R84" s="72"/>
      <c r="S84" s="72"/>
      <c r="T84" s="72"/>
      <c r="U84" s="72"/>
      <c r="V84" s="5">
        <v>0</v>
      </c>
      <c r="W84" s="72"/>
      <c r="X84" s="72"/>
      <c r="Y84" s="72"/>
      <c r="Z84" s="72"/>
      <c r="AA84" s="5">
        <v>-542</v>
      </c>
      <c r="AB84" s="72"/>
      <c r="AC84" s="72"/>
      <c r="AD84" s="72"/>
      <c r="AE84" s="72"/>
      <c r="AF84" s="5">
        <v>-1</v>
      </c>
      <c r="AG84" s="72"/>
      <c r="AH84" s="72"/>
      <c r="AI84" s="72"/>
      <c r="AJ84" s="72"/>
      <c r="AK84" s="5">
        <v>-96</v>
      </c>
      <c r="AL84" s="72"/>
      <c r="AM84" s="72"/>
      <c r="AN84" s="72"/>
      <c r="AO84" s="72"/>
      <c r="AP84" s="5">
        <v>-1</v>
      </c>
      <c r="AQ84" s="72"/>
      <c r="AR84" s="72"/>
      <c r="AS84" s="72"/>
      <c r="AT84" s="72"/>
      <c r="AU84" s="5">
        <v>-4781</v>
      </c>
      <c r="AV84" s="72"/>
      <c r="AW84" s="72"/>
      <c r="AX84" s="72"/>
      <c r="AY84" s="72"/>
      <c r="AZ84" s="5">
        <v>0</v>
      </c>
      <c r="BA84" s="72"/>
      <c r="BB84" s="72"/>
      <c r="BC84" s="72"/>
      <c r="BD84" s="72"/>
      <c r="BE84" s="5">
        <v>-1</v>
      </c>
      <c r="BF84" s="72"/>
      <c r="BG84" s="72"/>
      <c r="BH84" s="72"/>
      <c r="BI84" s="72"/>
      <c r="BJ84" s="5">
        <v>-8</v>
      </c>
      <c r="BK84" s="72"/>
      <c r="BL84" s="72"/>
      <c r="BM84" s="72"/>
      <c r="BN84" s="72"/>
      <c r="BO84" s="5">
        <v>-353</v>
      </c>
      <c r="BP84" s="72"/>
      <c r="BQ84" s="72"/>
      <c r="BR84" s="72"/>
      <c r="BS84" s="72"/>
      <c r="BT84" s="72"/>
      <c r="BU84" s="72"/>
      <c r="BV84" s="72"/>
      <c r="BW84" s="72"/>
      <c r="BX84" s="72"/>
      <c r="BY84" s="72"/>
      <c r="BZ84" s="72"/>
      <c r="CA84" s="72"/>
      <c r="CB84" s="72"/>
      <c r="CC84" s="72"/>
      <c r="CD84" s="72"/>
    </row>
    <row r="85" spans="1:82" hidden="1" outlineLevel="1">
      <c r="A85" s="124" t="s">
        <v>2950</v>
      </c>
      <c r="B85" s="8"/>
      <c r="C85" s="8">
        <f>SUM(C78:C84)</f>
        <v>3216</v>
      </c>
      <c r="D85" s="8">
        <f>SUM(D78:D84)</f>
        <v>2945</v>
      </c>
      <c r="E85" s="8">
        <f>SUM(E78:E84)</f>
        <v>2869</v>
      </c>
      <c r="F85" s="8">
        <f>SUM(F78:F84)</f>
        <v>2857</v>
      </c>
      <c r="G85" s="8">
        <f>SUM(G78:G84)</f>
        <v>3856</v>
      </c>
      <c r="H85" s="73"/>
      <c r="I85" s="73"/>
      <c r="J85" s="73"/>
      <c r="K85" s="73"/>
      <c r="L85" s="8">
        <f>SUM(L78:L84)</f>
        <v>3763</v>
      </c>
      <c r="M85" s="73"/>
      <c r="N85" s="73"/>
      <c r="O85" s="73"/>
      <c r="P85" s="73"/>
      <c r="Q85" s="8">
        <f>SUM(Q78:Q84)</f>
        <v>3770</v>
      </c>
      <c r="R85" s="73"/>
      <c r="S85" s="73"/>
      <c r="T85" s="73"/>
      <c r="U85" s="73"/>
      <c r="V85" s="8">
        <f>SUM(V78:V84)</f>
        <v>5203</v>
      </c>
      <c r="W85" s="73"/>
      <c r="X85" s="73"/>
      <c r="Y85" s="73"/>
      <c r="Z85" s="73"/>
      <c r="AA85" s="8">
        <f>SUM(AA78:AA84)</f>
        <v>4742</v>
      </c>
      <c r="AB85" s="73"/>
      <c r="AC85" s="73"/>
      <c r="AD85" s="73"/>
      <c r="AE85" s="73"/>
      <c r="AF85" s="8">
        <f>SUM(AF78:AF84)</f>
        <v>4891</v>
      </c>
      <c r="AG85" s="73"/>
      <c r="AH85" s="73"/>
      <c r="AI85" s="73"/>
      <c r="AJ85" s="73"/>
      <c r="AK85" s="8">
        <v>5278</v>
      </c>
      <c r="AL85" s="73"/>
      <c r="AM85" s="73"/>
      <c r="AN85" s="73"/>
      <c r="AO85" s="73"/>
      <c r="AP85" s="8">
        <f>+SUM(AP78:AP84)</f>
        <v>7041</v>
      </c>
      <c r="AQ85" s="73"/>
      <c r="AR85" s="73"/>
      <c r="AS85" s="73"/>
      <c r="AT85" s="73"/>
      <c r="AU85" s="8">
        <f>+SUM(AU78:AU84)</f>
        <v>11788</v>
      </c>
      <c r="AV85" s="73"/>
      <c r="AW85" s="73"/>
      <c r="AX85" s="73"/>
      <c r="AY85" s="73"/>
      <c r="AZ85" s="8">
        <f>+SUM(AZ78:AZ84)</f>
        <v>12200</v>
      </c>
      <c r="BA85" s="73"/>
      <c r="BB85" s="73"/>
      <c r="BC85" s="73"/>
      <c r="BD85" s="73"/>
      <c r="BE85" s="8">
        <f>+SUM(BE78:BE84)</f>
        <v>13633</v>
      </c>
      <c r="BF85" s="8">
        <f>+SUM(BF78:BF84)</f>
        <v>0</v>
      </c>
      <c r="BG85" s="8">
        <f>+SUM(BG78:BG84)</f>
        <v>0</v>
      </c>
      <c r="BH85" s="8">
        <f>+SUM(BH78:BH84)</f>
        <v>0</v>
      </c>
      <c r="BI85" s="8">
        <f>+SUM(BI78:BI84)</f>
        <v>0</v>
      </c>
      <c r="BJ85" s="8">
        <v>14480</v>
      </c>
      <c r="BK85" s="73"/>
      <c r="BL85" s="73"/>
      <c r="BM85" s="73"/>
      <c r="BN85" s="73"/>
      <c r="BO85" s="8">
        <v>15796</v>
      </c>
      <c r="BP85" s="73"/>
      <c r="BQ85" s="73"/>
      <c r="BR85" s="73"/>
      <c r="BS85" s="73"/>
      <c r="BT85" s="73"/>
      <c r="BU85" s="73"/>
      <c r="BV85" s="73"/>
      <c r="BW85" s="73"/>
      <c r="BX85" s="73"/>
      <c r="BY85" s="73"/>
      <c r="BZ85" s="73"/>
      <c r="CA85" s="73"/>
      <c r="CB85" s="73"/>
      <c r="CC85" s="73"/>
      <c r="CD85" s="73"/>
    </row>
    <row r="86" spans="1:82" hidden="1" outlineLevel="1">
      <c r="A86" s="5"/>
      <c r="B86" s="121" t="s">
        <v>2517</v>
      </c>
      <c r="C86" s="5">
        <v>1532</v>
      </c>
      <c r="D86" s="5">
        <v>1506</v>
      </c>
      <c r="E86" s="5">
        <v>1831</v>
      </c>
      <c r="F86" s="5">
        <v>1778</v>
      </c>
      <c r="G86" s="5">
        <v>2761</v>
      </c>
      <c r="H86" s="72"/>
      <c r="I86" s="72"/>
      <c r="J86" s="72"/>
      <c r="K86" s="72"/>
      <c r="L86" s="5">
        <v>2769</v>
      </c>
      <c r="M86" s="72"/>
      <c r="N86" s="72"/>
      <c r="O86" s="72"/>
      <c r="P86" s="72"/>
      <c r="Q86" s="5">
        <v>2473</v>
      </c>
      <c r="R86" s="72"/>
      <c r="S86" s="72"/>
      <c r="T86" s="72"/>
      <c r="U86" s="72"/>
      <c r="V86" s="5">
        <v>3234</v>
      </c>
      <c r="W86" s="72"/>
      <c r="X86" s="72"/>
      <c r="Y86" s="72"/>
      <c r="Z86" s="72"/>
      <c r="AA86" s="5">
        <v>3035</v>
      </c>
      <c r="AB86" s="72"/>
      <c r="AC86" s="72"/>
      <c r="AD86" s="72"/>
      <c r="AE86" s="72"/>
      <c r="AF86" s="5">
        <v>3046</v>
      </c>
      <c r="AG86" s="72"/>
      <c r="AH86" s="72"/>
      <c r="AI86" s="72"/>
      <c r="AJ86" s="72"/>
      <c r="AK86" s="5">
        <v>3367</v>
      </c>
      <c r="AL86" s="72"/>
      <c r="AM86" s="72"/>
      <c r="AN86" s="72"/>
      <c r="AO86" s="72"/>
      <c r="AP86" s="5">
        <v>4196</v>
      </c>
      <c r="AQ86" s="72"/>
      <c r="AR86" s="72"/>
      <c r="AS86" s="72"/>
      <c r="AT86" s="72"/>
      <c r="AU86" s="5">
        <v>5837</v>
      </c>
      <c r="AV86" s="72"/>
      <c r="AW86" s="72"/>
      <c r="AX86" s="72"/>
      <c r="AY86" s="72"/>
      <c r="AZ86" s="5">
        <v>6363</v>
      </c>
      <c r="BA86" s="72"/>
      <c r="BB86" s="72"/>
      <c r="BC86" s="72"/>
      <c r="BD86" s="72"/>
      <c r="BE86" s="5">
        <v>6856</v>
      </c>
      <c r="BF86" s="72"/>
      <c r="BG86" s="72"/>
      <c r="BH86" s="72"/>
      <c r="BI86" s="72"/>
      <c r="BJ86" s="5">
        <v>7617</v>
      </c>
      <c r="BK86" s="72"/>
      <c r="BL86" s="72"/>
      <c r="BM86" s="72"/>
      <c r="BN86" s="72"/>
      <c r="BO86" s="5">
        <v>7955</v>
      </c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</row>
    <row r="87" spans="1:82" hidden="1" outlineLevel="1">
      <c r="A87" s="5"/>
      <c r="B87" s="121" t="s">
        <v>2481</v>
      </c>
      <c r="C87" s="5">
        <v>1684</v>
      </c>
      <c r="D87" s="5">
        <v>1439</v>
      </c>
      <c r="E87" s="5">
        <v>1038</v>
      </c>
      <c r="F87" s="5">
        <v>1079</v>
      </c>
      <c r="G87" s="5">
        <v>1095</v>
      </c>
      <c r="H87" s="72"/>
      <c r="I87" s="72"/>
      <c r="J87" s="72"/>
      <c r="K87" s="72"/>
      <c r="L87" s="5">
        <v>994</v>
      </c>
      <c r="M87" s="72"/>
      <c r="N87" s="72"/>
      <c r="O87" s="72"/>
      <c r="P87" s="72"/>
      <c r="Q87" s="5">
        <v>1297</v>
      </c>
      <c r="R87" s="72"/>
      <c r="S87" s="72"/>
      <c r="T87" s="72"/>
      <c r="U87" s="72"/>
      <c r="V87" s="5">
        <v>1969</v>
      </c>
      <c r="W87" s="72"/>
      <c r="X87" s="72"/>
      <c r="Y87" s="72"/>
      <c r="Z87" s="72"/>
      <c r="AA87" s="5">
        <v>1707</v>
      </c>
      <c r="AB87" s="72"/>
      <c r="AC87" s="72"/>
      <c r="AD87" s="72"/>
      <c r="AE87" s="72"/>
      <c r="AF87" s="5">
        <v>1845</v>
      </c>
      <c r="AG87" s="72"/>
      <c r="AH87" s="72"/>
      <c r="AI87" s="72"/>
      <c r="AJ87" s="72"/>
      <c r="AK87" s="5">
        <v>1911</v>
      </c>
      <c r="AL87" s="72"/>
      <c r="AM87" s="72"/>
      <c r="AN87" s="72"/>
      <c r="AO87" s="72"/>
      <c r="AP87" s="5">
        <v>2845</v>
      </c>
      <c r="AQ87" s="72"/>
      <c r="AR87" s="72"/>
      <c r="AS87" s="72"/>
      <c r="AT87" s="72"/>
      <c r="AU87" s="5">
        <v>5951</v>
      </c>
      <c r="AV87" s="72"/>
      <c r="AW87" s="72"/>
      <c r="AX87" s="72"/>
      <c r="AY87" s="72"/>
      <c r="AZ87" s="5">
        <v>5837</v>
      </c>
      <c r="BA87" s="72"/>
      <c r="BB87" s="72"/>
      <c r="BC87" s="72"/>
      <c r="BD87" s="72"/>
      <c r="BE87" s="5">
        <v>6778</v>
      </c>
      <c r="BF87" s="72"/>
      <c r="BG87" s="72"/>
      <c r="BH87" s="72"/>
      <c r="BI87" s="72"/>
      <c r="BJ87" s="5">
        <v>6863</v>
      </c>
      <c r="BK87" s="72"/>
      <c r="BL87" s="72"/>
      <c r="BM87" s="72"/>
      <c r="BN87" s="72"/>
      <c r="BO87" s="5">
        <v>7841</v>
      </c>
      <c r="BP87" s="72"/>
      <c r="BQ87" s="72"/>
      <c r="BR87" s="72"/>
      <c r="BS87" s="72"/>
      <c r="BT87" s="72"/>
      <c r="BU87" s="72"/>
      <c r="BV87" s="72"/>
      <c r="BW87" s="72"/>
      <c r="BX87" s="72"/>
      <c r="BY87" s="72"/>
      <c r="BZ87" s="72"/>
      <c r="CA87" s="72"/>
      <c r="CB87" s="72"/>
      <c r="CC87" s="72"/>
      <c r="CD87" s="72"/>
    </row>
    <row r="88" spans="1:82" hidden="1" outlineLevel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</row>
    <row r="89" spans="1:82" collapsed="1">
      <c r="A89" s="39" t="s">
        <v>939</v>
      </c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</row>
    <row r="90" spans="1:82">
      <c r="A90" s="5"/>
      <c r="B90" s="11" t="s">
        <v>2947</v>
      </c>
      <c r="C90" s="5">
        <f t="shared" ref="C90:C96" si="16">SUM(C65,C78)</f>
        <v>43918</v>
      </c>
      <c r="D90" s="5">
        <f>C97</f>
        <v>46175</v>
      </c>
      <c r="E90" s="5">
        <f>D97</f>
        <v>48789</v>
      </c>
      <c r="F90" s="5">
        <f>E97</f>
        <v>48024</v>
      </c>
      <c r="G90" s="5">
        <f>F97</f>
        <v>48507</v>
      </c>
      <c r="H90" s="72"/>
      <c r="I90" s="72"/>
      <c r="J90" s="72"/>
      <c r="K90" s="72"/>
      <c r="L90" s="5">
        <f>G97</f>
        <v>48304</v>
      </c>
      <c r="M90" s="72"/>
      <c r="N90" s="72"/>
      <c r="O90" s="72"/>
      <c r="P90" s="72"/>
      <c r="Q90" s="5">
        <f>L97</f>
        <v>45931</v>
      </c>
      <c r="R90" s="72"/>
      <c r="S90" s="72"/>
      <c r="T90" s="72"/>
      <c r="U90" s="72"/>
      <c r="V90" s="5">
        <f>Q97</f>
        <v>44900</v>
      </c>
      <c r="W90" s="72"/>
      <c r="X90" s="72"/>
      <c r="Y90" s="72"/>
      <c r="Z90" s="72"/>
      <c r="AA90" s="5">
        <f>V97</f>
        <v>45208</v>
      </c>
      <c r="AB90" s="72"/>
      <c r="AC90" s="72"/>
      <c r="AD90" s="72"/>
      <c r="AE90" s="72"/>
      <c r="AF90" s="5">
        <f>AA97</f>
        <v>45130</v>
      </c>
      <c r="AG90" s="72"/>
      <c r="AH90" s="72"/>
      <c r="AI90" s="72"/>
      <c r="AJ90" s="72"/>
      <c r="AK90" s="5">
        <v>42700</v>
      </c>
      <c r="AL90" s="72"/>
      <c r="AM90" s="72"/>
      <c r="AN90" s="72"/>
      <c r="AO90" s="72"/>
      <c r="AP90" s="5">
        <f>+AP65+AP78</f>
        <v>41659</v>
      </c>
      <c r="AQ90" s="72"/>
      <c r="AR90" s="72"/>
      <c r="AS90" s="72"/>
      <c r="AT90" s="72"/>
      <c r="AU90" s="5">
        <f>+AU65+AU78</f>
        <v>40305</v>
      </c>
      <c r="AV90" s="72"/>
      <c r="AW90" s="72"/>
      <c r="AX90" s="72"/>
      <c r="AY90" s="72"/>
      <c r="AZ90" s="5">
        <f>+AZ65+AZ78</f>
        <v>45975</v>
      </c>
      <c r="BA90" s="72"/>
      <c r="BB90" s="72"/>
      <c r="BC90" s="72"/>
      <c r="BD90" s="72"/>
      <c r="BE90" s="5">
        <f>+BE65+BE78</f>
        <v>44697</v>
      </c>
      <c r="BF90" s="72"/>
      <c r="BG90" s="72"/>
      <c r="BH90" s="72"/>
      <c r="BI90" s="72"/>
      <c r="BJ90" s="5">
        <f>+BJ65+BJ78</f>
        <v>44197</v>
      </c>
      <c r="BK90" s="72"/>
      <c r="BL90" s="72"/>
      <c r="BM90" s="72"/>
      <c r="BN90" s="72"/>
      <c r="BO90" s="5">
        <f>+BO65+BO78</f>
        <v>43368</v>
      </c>
      <c r="BP90" s="72"/>
      <c r="BQ90" s="72"/>
      <c r="BR90" s="72"/>
      <c r="BS90" s="72"/>
      <c r="BT90" s="5">
        <f>BO97</f>
        <v>45059</v>
      </c>
      <c r="BU90" s="72"/>
      <c r="BV90" s="72"/>
      <c r="BW90" s="72"/>
      <c r="BX90" s="72"/>
      <c r="BY90" s="5">
        <f>BT97</f>
        <v>43005.046289083337</v>
      </c>
      <c r="BZ90" s="72"/>
      <c r="CA90" s="72"/>
      <c r="CB90" s="72"/>
      <c r="CC90" s="72"/>
      <c r="CD90" s="5">
        <f>BY97</f>
        <v>40649.221600291676</v>
      </c>
    </row>
    <row r="91" spans="1:82">
      <c r="A91" s="5"/>
      <c r="B91" s="123" t="s">
        <v>2518</v>
      </c>
      <c r="C91" s="5">
        <f t="shared" si="16"/>
        <v>-634</v>
      </c>
      <c r="D91" s="5">
        <f t="shared" ref="D91:E96" si="17">SUM(D66,D79)</f>
        <v>735</v>
      </c>
      <c r="E91" s="5">
        <f t="shared" si="17"/>
        <v>60</v>
      </c>
      <c r="F91" s="5">
        <f t="shared" ref="F91:G96" si="18">SUM(F66,F79)</f>
        <v>-709</v>
      </c>
      <c r="G91" s="5">
        <f t="shared" si="18"/>
        <v>1878</v>
      </c>
      <c r="H91" s="72"/>
      <c r="I91" s="72"/>
      <c r="J91" s="72"/>
      <c r="K91" s="72"/>
      <c r="L91" s="5">
        <f t="shared" ref="L91:L96" si="19">SUM(L66,L79)</f>
        <v>-1389</v>
      </c>
      <c r="M91" s="72"/>
      <c r="N91" s="72"/>
      <c r="O91" s="72"/>
      <c r="P91" s="72"/>
      <c r="Q91" s="5">
        <f t="shared" ref="Q91:Q96" si="20">SUM(Q66,Q79)</f>
        <v>640</v>
      </c>
      <c r="R91" s="72"/>
      <c r="S91" s="72"/>
      <c r="T91" s="72"/>
      <c r="U91" s="72"/>
      <c r="V91" s="5">
        <f t="shared" ref="V91:V96" si="21">SUM(V66,V79)</f>
        <v>-593</v>
      </c>
      <c r="W91" s="72"/>
      <c r="X91" s="72"/>
      <c r="Y91" s="72"/>
      <c r="Z91" s="72"/>
      <c r="AA91" s="5">
        <f t="shared" ref="AA91:AA96" si="22">SUM(AA66,AA79)</f>
        <v>995</v>
      </c>
      <c r="AB91" s="72"/>
      <c r="AC91" s="72"/>
      <c r="AD91" s="72"/>
      <c r="AE91" s="72"/>
      <c r="AF91" s="5">
        <f t="shared" ref="AF91:AF96" si="23">SUM(AF66,AF79)</f>
        <v>-1953</v>
      </c>
      <c r="AG91" s="72"/>
      <c r="AH91" s="72"/>
      <c r="AI91" s="72"/>
      <c r="AJ91" s="72"/>
      <c r="AK91" s="5">
        <v>1179</v>
      </c>
      <c r="AL91" s="72"/>
      <c r="AM91" s="72"/>
      <c r="AN91" s="72"/>
      <c r="AO91" s="72"/>
      <c r="AP91" s="5">
        <f t="shared" ref="AP91:AP99" si="24">+AP66+AP79</f>
        <v>-1212</v>
      </c>
      <c r="AQ91" s="72"/>
      <c r="AR91" s="72"/>
      <c r="AS91" s="72"/>
      <c r="AT91" s="72"/>
      <c r="AU91" s="5">
        <f t="shared" ref="AU91:AU99" si="25">+AU66+AU79</f>
        <v>1386</v>
      </c>
      <c r="AV91" s="72"/>
      <c r="AW91" s="72"/>
      <c r="AX91" s="72"/>
      <c r="AY91" s="72"/>
      <c r="AZ91" s="5">
        <f t="shared" ref="AZ91:AZ99" si="26">+AZ66+AZ79</f>
        <v>-330</v>
      </c>
      <c r="BA91" s="72"/>
      <c r="BB91" s="72"/>
      <c r="BC91" s="72"/>
      <c r="BD91" s="72"/>
      <c r="BE91" s="5">
        <f t="shared" ref="BE91:BE99" si="27">+BE66+BE79</f>
        <v>721</v>
      </c>
      <c r="BF91" s="72"/>
      <c r="BG91" s="72"/>
      <c r="BH91" s="72"/>
      <c r="BI91" s="72"/>
      <c r="BJ91" s="5">
        <f t="shared" ref="BJ91:BJ99" si="28">+BJ66+BJ79</f>
        <v>625</v>
      </c>
      <c r="BK91" s="72"/>
      <c r="BL91" s="72"/>
      <c r="BM91" s="72"/>
      <c r="BN91" s="72"/>
      <c r="BO91" s="5">
        <f t="shared" ref="BO91:BO99" si="29">+BO66+BO79</f>
        <v>642</v>
      </c>
      <c r="BP91" s="72"/>
      <c r="BQ91" s="72"/>
      <c r="BR91" s="72"/>
      <c r="BS91" s="72"/>
      <c r="BT91" s="72"/>
      <c r="BU91" s="72"/>
      <c r="BV91" s="72"/>
      <c r="BW91" s="72"/>
      <c r="BX91" s="72"/>
      <c r="BY91" s="72"/>
      <c r="BZ91" s="72"/>
      <c r="CA91" s="72"/>
      <c r="CB91" s="72"/>
      <c r="CC91" s="72"/>
      <c r="CD91" s="72"/>
    </row>
    <row r="92" spans="1:82">
      <c r="A92" s="5"/>
      <c r="B92" s="123" t="s">
        <v>2948</v>
      </c>
      <c r="C92" s="5">
        <f t="shared" si="16"/>
        <v>1338</v>
      </c>
      <c r="D92" s="5">
        <f t="shared" si="17"/>
        <v>2066</v>
      </c>
      <c r="E92" s="5">
        <f t="shared" si="17"/>
        <v>2481</v>
      </c>
      <c r="F92" s="5">
        <f t="shared" si="18"/>
        <v>1174</v>
      </c>
      <c r="G92" s="5">
        <f t="shared" si="18"/>
        <v>2066</v>
      </c>
      <c r="H92" s="72"/>
      <c r="I92" s="72"/>
      <c r="J92" s="72"/>
      <c r="K92" s="72"/>
      <c r="L92" s="5">
        <f t="shared" si="19"/>
        <v>2403</v>
      </c>
      <c r="M92" s="72"/>
      <c r="N92" s="72"/>
      <c r="O92" s="72"/>
      <c r="P92" s="72"/>
      <c r="Q92" s="5">
        <f t="shared" si="20"/>
        <v>710</v>
      </c>
      <c r="R92" s="72"/>
      <c r="S92" s="72"/>
      <c r="T92" s="72"/>
      <c r="U92" s="72"/>
      <c r="V92" s="5">
        <f t="shared" si="21"/>
        <v>2011</v>
      </c>
      <c r="W92" s="72"/>
      <c r="X92" s="72"/>
      <c r="Y92" s="72"/>
      <c r="Z92" s="72"/>
      <c r="AA92" s="5">
        <f t="shared" si="22"/>
        <v>1436</v>
      </c>
      <c r="AB92" s="72"/>
      <c r="AC92" s="72"/>
      <c r="AD92" s="72"/>
      <c r="AE92" s="72"/>
      <c r="AF92" s="5">
        <f t="shared" si="23"/>
        <v>1962</v>
      </c>
      <c r="AG92" s="72"/>
      <c r="AH92" s="72"/>
      <c r="AI92" s="72"/>
      <c r="AJ92" s="72"/>
      <c r="AK92" s="5">
        <v>1005</v>
      </c>
      <c r="AL92" s="72"/>
      <c r="AM92" s="72"/>
      <c r="AN92" s="72"/>
      <c r="AO92" s="72"/>
      <c r="AP92" s="5">
        <f t="shared" si="24"/>
        <v>2072</v>
      </c>
      <c r="AQ92" s="72"/>
      <c r="AR92" s="72"/>
      <c r="AS92" s="72"/>
      <c r="AT92" s="72"/>
      <c r="AU92" s="5">
        <f t="shared" si="25"/>
        <v>1012</v>
      </c>
      <c r="AV92" s="72"/>
      <c r="AW92" s="72"/>
      <c r="AX92" s="72"/>
      <c r="AY92" s="72"/>
      <c r="AZ92" s="5">
        <f t="shared" si="26"/>
        <v>861</v>
      </c>
      <c r="BA92" s="72"/>
      <c r="BB92" s="72"/>
      <c r="BC92" s="72"/>
      <c r="BD92" s="72"/>
      <c r="BE92" s="5">
        <f t="shared" si="27"/>
        <v>451</v>
      </c>
      <c r="BF92" s="72"/>
      <c r="BG92" s="72"/>
      <c r="BH92" s="72"/>
      <c r="BI92" s="72"/>
      <c r="BJ92" s="5">
        <f t="shared" si="28"/>
        <v>545</v>
      </c>
      <c r="BK92" s="72"/>
      <c r="BL92" s="72"/>
      <c r="BM92" s="72"/>
      <c r="BN92" s="72"/>
      <c r="BO92" s="5">
        <f t="shared" si="29"/>
        <v>1101</v>
      </c>
      <c r="BP92" s="72"/>
      <c r="BQ92" s="72"/>
      <c r="BR92" s="72"/>
      <c r="BS92" s="72"/>
      <c r="BT92" s="72"/>
      <c r="BU92" s="72"/>
      <c r="BV92" s="72"/>
      <c r="BW92" s="72"/>
      <c r="BX92" s="72"/>
      <c r="BY92" s="72"/>
      <c r="BZ92" s="72"/>
      <c r="CA92" s="72"/>
      <c r="CB92" s="72"/>
      <c r="CC92" s="72"/>
      <c r="CD92" s="72"/>
    </row>
    <row r="93" spans="1:82">
      <c r="A93" s="5"/>
      <c r="B93" s="123" t="s">
        <v>352</v>
      </c>
      <c r="C93" s="5">
        <f t="shared" si="16"/>
        <v>118</v>
      </c>
      <c r="D93" s="5">
        <f t="shared" si="17"/>
        <v>157</v>
      </c>
      <c r="E93" s="5">
        <f t="shared" si="17"/>
        <v>86</v>
      </c>
      <c r="F93" s="5">
        <f t="shared" si="18"/>
        <v>5</v>
      </c>
      <c r="G93" s="5">
        <f t="shared" si="18"/>
        <v>68</v>
      </c>
      <c r="H93" s="72"/>
      <c r="I93" s="72"/>
      <c r="J93" s="72"/>
      <c r="K93" s="72"/>
      <c r="L93" s="5">
        <f t="shared" si="19"/>
        <v>0</v>
      </c>
      <c r="M93" s="72"/>
      <c r="N93" s="72"/>
      <c r="O93" s="72"/>
      <c r="P93" s="72"/>
      <c r="Q93" s="5">
        <f t="shared" si="20"/>
        <v>140</v>
      </c>
      <c r="R93" s="72"/>
      <c r="S93" s="72"/>
      <c r="T93" s="72"/>
      <c r="U93" s="72"/>
      <c r="V93" s="5">
        <f t="shared" si="21"/>
        <v>186</v>
      </c>
      <c r="W93" s="72"/>
      <c r="X93" s="72"/>
      <c r="Y93" s="72"/>
      <c r="Z93" s="72"/>
      <c r="AA93" s="5">
        <f t="shared" si="22"/>
        <v>190</v>
      </c>
      <c r="AB93" s="72"/>
      <c r="AC93" s="72"/>
      <c r="AD93" s="72"/>
      <c r="AE93" s="72"/>
      <c r="AF93" s="5">
        <f t="shared" si="23"/>
        <v>146</v>
      </c>
      <c r="AG93" s="72"/>
      <c r="AH93" s="72"/>
      <c r="AI93" s="72"/>
      <c r="AJ93" s="72"/>
      <c r="AK93" s="5">
        <v>525</v>
      </c>
      <c r="AL93" s="72"/>
      <c r="AM93" s="72"/>
      <c r="AN93" s="72"/>
      <c r="AO93" s="72"/>
      <c r="AP93" s="5">
        <f t="shared" si="24"/>
        <v>248</v>
      </c>
      <c r="AQ93" s="72"/>
      <c r="AR93" s="72"/>
      <c r="AS93" s="72"/>
      <c r="AT93" s="72"/>
      <c r="AU93" s="5">
        <f t="shared" si="25"/>
        <v>8927</v>
      </c>
      <c r="AV93" s="72"/>
      <c r="AW93" s="72"/>
      <c r="AX93" s="72"/>
      <c r="AY93" s="72"/>
      <c r="AZ93" s="5">
        <f t="shared" si="26"/>
        <v>328</v>
      </c>
      <c r="BA93" s="72"/>
      <c r="BB93" s="72"/>
      <c r="BC93" s="72"/>
      <c r="BD93" s="72"/>
      <c r="BE93" s="5">
        <f t="shared" si="27"/>
        <v>653</v>
      </c>
      <c r="BF93" s="72"/>
      <c r="BG93" s="72"/>
      <c r="BH93" s="72"/>
      <c r="BI93" s="72"/>
      <c r="BJ93" s="5">
        <f t="shared" si="28"/>
        <v>654</v>
      </c>
      <c r="BK93" s="72"/>
      <c r="BL93" s="72"/>
      <c r="BM93" s="72"/>
      <c r="BN93" s="72"/>
      <c r="BO93" s="5">
        <f t="shared" si="29"/>
        <v>838</v>
      </c>
      <c r="BP93" s="72"/>
      <c r="BQ93" s="72"/>
      <c r="BR93" s="72"/>
      <c r="BS93" s="72"/>
      <c r="BT93" s="126">
        <v>0</v>
      </c>
      <c r="BU93" s="72"/>
      <c r="BV93" s="72"/>
      <c r="BW93" s="72"/>
      <c r="BX93" s="72"/>
      <c r="BY93" s="126">
        <v>0</v>
      </c>
      <c r="BZ93" s="72"/>
      <c r="CA93" s="72"/>
      <c r="CB93" s="72"/>
      <c r="CC93" s="72"/>
      <c r="CD93" s="126">
        <v>0</v>
      </c>
    </row>
    <row r="94" spans="1:82">
      <c r="A94" s="5"/>
      <c r="B94" s="123" t="s">
        <v>474</v>
      </c>
      <c r="C94" s="5">
        <f t="shared" si="16"/>
        <v>4813</v>
      </c>
      <c r="D94" s="5">
        <f t="shared" si="17"/>
        <v>3195</v>
      </c>
      <c r="E94" s="5">
        <f t="shared" si="17"/>
        <v>2743</v>
      </c>
      <c r="F94" s="5">
        <f t="shared" si="18"/>
        <v>3972</v>
      </c>
      <c r="G94" s="5">
        <f t="shared" si="18"/>
        <v>588</v>
      </c>
      <c r="H94" s="72"/>
      <c r="I94" s="72"/>
      <c r="J94" s="72"/>
      <c r="K94" s="72"/>
      <c r="L94" s="5">
        <f t="shared" si="19"/>
        <v>268</v>
      </c>
      <c r="M94" s="72"/>
      <c r="N94" s="72"/>
      <c r="O94" s="72"/>
      <c r="P94" s="72"/>
      <c r="Q94" s="5">
        <f t="shared" si="20"/>
        <v>764</v>
      </c>
      <c r="R94" s="72"/>
      <c r="S94" s="72"/>
      <c r="T94" s="72"/>
      <c r="U94" s="72"/>
      <c r="V94" s="5">
        <f t="shared" si="21"/>
        <v>1933</v>
      </c>
      <c r="W94" s="72"/>
      <c r="X94" s="72"/>
      <c r="Y94" s="72"/>
      <c r="Z94" s="72"/>
      <c r="AA94" s="5">
        <f t="shared" si="22"/>
        <v>1464</v>
      </c>
      <c r="AB94" s="72"/>
      <c r="AC94" s="72"/>
      <c r="AD94" s="72"/>
      <c r="AE94" s="72"/>
      <c r="AF94" s="5">
        <f t="shared" si="23"/>
        <v>2194</v>
      </c>
      <c r="AG94" s="72"/>
      <c r="AH94" s="72"/>
      <c r="AI94" s="72"/>
      <c r="AJ94" s="72"/>
      <c r="AK94" s="5">
        <v>266</v>
      </c>
      <c r="AL94" s="72"/>
      <c r="AM94" s="72"/>
      <c r="AN94" s="72"/>
      <c r="AO94" s="72"/>
      <c r="AP94" s="5">
        <f t="shared" si="24"/>
        <v>2144</v>
      </c>
      <c r="AQ94" s="72"/>
      <c r="AR94" s="72"/>
      <c r="AS94" s="72"/>
      <c r="AT94" s="72"/>
      <c r="AU94" s="5">
        <f t="shared" si="25"/>
        <v>2785</v>
      </c>
      <c r="AV94" s="72"/>
      <c r="AW94" s="72"/>
      <c r="AX94" s="72"/>
      <c r="AY94" s="72"/>
      <c r="AZ94" s="5">
        <f t="shared" si="26"/>
        <v>889</v>
      </c>
      <c r="BA94" s="72"/>
      <c r="BB94" s="72"/>
      <c r="BC94" s="72"/>
      <c r="BD94" s="72"/>
      <c r="BE94" s="5">
        <f t="shared" si="27"/>
        <v>563</v>
      </c>
      <c r="BF94" s="72"/>
      <c r="BG94" s="72"/>
      <c r="BH94" s="72"/>
      <c r="BI94" s="72"/>
      <c r="BJ94" s="5">
        <f t="shared" si="28"/>
        <v>870</v>
      </c>
      <c r="BK94" s="72"/>
      <c r="BL94" s="72"/>
      <c r="BM94" s="72"/>
      <c r="BN94" s="72"/>
      <c r="BO94" s="5">
        <f t="shared" si="29"/>
        <v>2474</v>
      </c>
      <c r="BP94" s="72"/>
      <c r="BQ94" s="72"/>
      <c r="BR94" s="72"/>
      <c r="BS94" s="72"/>
      <c r="BT94" s="5">
        <f>BT121*(1-BT122)*5.8</f>
        <v>1063.3333333333333</v>
      </c>
      <c r="BU94" s="72"/>
      <c r="BV94" s="72"/>
      <c r="BW94" s="72"/>
      <c r="BX94" s="72"/>
      <c r="BY94" s="5">
        <f>BY121*(1-BY122)*5.8</f>
        <v>1063.3333333333333</v>
      </c>
      <c r="BZ94" s="72"/>
      <c r="CA94" s="72"/>
      <c r="CB94" s="72"/>
      <c r="CC94" s="72"/>
      <c r="CD94" s="5">
        <f>CD121*(1-CD122)*5.8</f>
        <v>1063.3333333333333</v>
      </c>
    </row>
    <row r="95" spans="1:82">
      <c r="A95" s="5"/>
      <c r="B95" s="123" t="s">
        <v>2949</v>
      </c>
      <c r="C95" s="5">
        <f t="shared" si="16"/>
        <v>-3212</v>
      </c>
      <c r="D95" s="5">
        <f t="shared" si="17"/>
        <v>-3241</v>
      </c>
      <c r="E95" s="5">
        <f t="shared" si="17"/>
        <v>-3226</v>
      </c>
      <c r="F95" s="5">
        <f t="shared" si="18"/>
        <v>-3315</v>
      </c>
      <c r="G95" s="5">
        <f t="shared" si="18"/>
        <v>-3258</v>
      </c>
      <c r="H95" s="72"/>
      <c r="I95" s="72"/>
      <c r="J95" s="72"/>
      <c r="K95" s="72"/>
      <c r="L95" s="5">
        <f t="shared" si="19"/>
        <v>-3252</v>
      </c>
      <c r="M95" s="72"/>
      <c r="N95" s="72"/>
      <c r="O95" s="72"/>
      <c r="P95" s="72"/>
      <c r="Q95" s="5">
        <f t="shared" si="20"/>
        <v>-3178</v>
      </c>
      <c r="R95" s="72"/>
      <c r="S95" s="72"/>
      <c r="T95" s="72"/>
      <c r="U95" s="72"/>
      <c r="V95" s="5">
        <f t="shared" si="21"/>
        <v>-3226</v>
      </c>
      <c r="W95" s="72"/>
      <c r="X95" s="72"/>
      <c r="Y95" s="72"/>
      <c r="Z95" s="72"/>
      <c r="AA95" s="5">
        <f t="shared" si="22"/>
        <v>-3276</v>
      </c>
      <c r="AB95" s="72"/>
      <c r="AC95" s="72"/>
      <c r="AD95" s="72"/>
      <c r="AE95" s="72"/>
      <c r="AF95" s="5">
        <f t="shared" si="23"/>
        <v>-3264</v>
      </c>
      <c r="AG95" s="72"/>
      <c r="AH95" s="72"/>
      <c r="AI95" s="72"/>
      <c r="AJ95" s="72"/>
      <c r="AK95" s="5">
        <v>-2925</v>
      </c>
      <c r="AL95" s="72"/>
      <c r="AM95" s="72"/>
      <c r="AN95" s="72"/>
      <c r="AO95" s="72"/>
      <c r="AP95" s="5">
        <f t="shared" si="24"/>
        <v>-2887</v>
      </c>
      <c r="AQ95" s="72"/>
      <c r="AR95" s="72"/>
      <c r="AS95" s="72"/>
      <c r="AT95" s="72"/>
      <c r="AU95" s="5">
        <f t="shared" si="25"/>
        <v>-2763</v>
      </c>
      <c r="AV95" s="72"/>
      <c r="AW95" s="72"/>
      <c r="AX95" s="72"/>
      <c r="AY95" s="72"/>
      <c r="AZ95" s="5">
        <f t="shared" si="26"/>
        <v>-2760</v>
      </c>
      <c r="BA95" s="72"/>
      <c r="BB95" s="72"/>
      <c r="BC95" s="72"/>
      <c r="BD95" s="72"/>
      <c r="BE95" s="5">
        <f t="shared" si="27"/>
        <v>-2783</v>
      </c>
      <c r="BF95" s="72"/>
      <c r="BG95" s="72"/>
      <c r="BH95" s="72"/>
      <c r="BI95" s="72"/>
      <c r="BJ95" s="5">
        <f t="shared" si="28"/>
        <v>-2765</v>
      </c>
      <c r="BK95" s="72"/>
      <c r="BL95" s="72"/>
      <c r="BM95" s="72"/>
      <c r="BN95" s="72"/>
      <c r="BO95" s="5">
        <f t="shared" si="29"/>
        <v>-3007</v>
      </c>
      <c r="BP95" s="72"/>
      <c r="BQ95" s="72"/>
      <c r="BR95" s="72"/>
      <c r="BS95" s="72"/>
      <c r="BT95" s="5">
        <f>-'Key assumptions'!BT48*'Production - Gas'!BT164/1000</f>
        <v>-3117.2870442500002</v>
      </c>
      <c r="BU95" s="72"/>
      <c r="BV95" s="72"/>
      <c r="BW95" s="72"/>
      <c r="BX95" s="72"/>
      <c r="BY95" s="5">
        <f>-'Key assumptions'!BY48*'Production - Gas'!BY164/1000</f>
        <v>-3419.1580221250001</v>
      </c>
      <c r="BZ95" s="72"/>
      <c r="CA95" s="72"/>
      <c r="CB95" s="72"/>
      <c r="CC95" s="72"/>
      <c r="CD95" s="5">
        <f>-'Key assumptions'!CD48*'Production - Gas'!CD164/1000</f>
        <v>-3697.1506653000001</v>
      </c>
    </row>
    <row r="96" spans="1:82">
      <c r="A96" s="5"/>
      <c r="B96" s="123" t="s">
        <v>353</v>
      </c>
      <c r="C96" s="5">
        <f t="shared" si="16"/>
        <v>-166</v>
      </c>
      <c r="D96" s="5">
        <f t="shared" si="17"/>
        <v>-298</v>
      </c>
      <c r="E96" s="5">
        <f t="shared" si="17"/>
        <v>-2909</v>
      </c>
      <c r="F96" s="5">
        <f t="shared" si="18"/>
        <v>-644</v>
      </c>
      <c r="G96" s="5">
        <f t="shared" si="18"/>
        <v>-1545</v>
      </c>
      <c r="H96" s="72"/>
      <c r="I96" s="72"/>
      <c r="J96" s="72"/>
      <c r="K96" s="72"/>
      <c r="L96" s="5">
        <f t="shared" si="19"/>
        <v>-403</v>
      </c>
      <c r="M96" s="72"/>
      <c r="N96" s="72"/>
      <c r="O96" s="72"/>
      <c r="P96" s="72"/>
      <c r="Q96" s="5">
        <f t="shared" si="20"/>
        <v>-107</v>
      </c>
      <c r="R96" s="72"/>
      <c r="S96" s="72"/>
      <c r="T96" s="72"/>
      <c r="U96" s="72"/>
      <c r="V96" s="5">
        <f t="shared" si="21"/>
        <v>-3</v>
      </c>
      <c r="W96" s="72"/>
      <c r="X96" s="72"/>
      <c r="Y96" s="72"/>
      <c r="Z96" s="72"/>
      <c r="AA96" s="5">
        <f t="shared" si="22"/>
        <v>-887</v>
      </c>
      <c r="AB96" s="72"/>
      <c r="AC96" s="72"/>
      <c r="AD96" s="72"/>
      <c r="AE96" s="72"/>
      <c r="AF96" s="5">
        <f t="shared" si="23"/>
        <v>-1515</v>
      </c>
      <c r="AG96" s="72"/>
      <c r="AH96" s="72"/>
      <c r="AI96" s="72"/>
      <c r="AJ96" s="72"/>
      <c r="AK96" s="5">
        <v>-1091</v>
      </c>
      <c r="AL96" s="72"/>
      <c r="AM96" s="72"/>
      <c r="AN96" s="72"/>
      <c r="AO96" s="72"/>
      <c r="AP96" s="5">
        <f t="shared" si="24"/>
        <v>-1719</v>
      </c>
      <c r="AQ96" s="72"/>
      <c r="AR96" s="72"/>
      <c r="AS96" s="72"/>
      <c r="AT96" s="72"/>
      <c r="AU96" s="5">
        <f t="shared" si="25"/>
        <v>-5677</v>
      </c>
      <c r="AV96" s="72"/>
      <c r="AW96" s="72"/>
      <c r="AX96" s="72"/>
      <c r="AY96" s="72"/>
      <c r="AZ96" s="5">
        <f t="shared" si="26"/>
        <v>-266</v>
      </c>
      <c r="BA96" s="72"/>
      <c r="BB96" s="72"/>
      <c r="BC96" s="72"/>
      <c r="BD96" s="72"/>
      <c r="BE96" s="5">
        <f t="shared" si="27"/>
        <v>-105</v>
      </c>
      <c r="BF96" s="72"/>
      <c r="BG96" s="72"/>
      <c r="BH96" s="72"/>
      <c r="BI96" s="72"/>
      <c r="BJ96" s="5">
        <f t="shared" si="28"/>
        <v>-758</v>
      </c>
      <c r="BK96" s="72"/>
      <c r="BL96" s="72"/>
      <c r="BM96" s="72"/>
      <c r="BN96" s="72"/>
      <c r="BO96" s="5">
        <f t="shared" si="29"/>
        <v>-357</v>
      </c>
      <c r="BP96" s="72"/>
      <c r="BQ96" s="72"/>
      <c r="BR96" s="72"/>
      <c r="BS96" s="72"/>
      <c r="BT96" s="126">
        <v>0</v>
      </c>
      <c r="BU96" s="72"/>
      <c r="BV96" s="72"/>
      <c r="BW96" s="72"/>
      <c r="BX96" s="72"/>
      <c r="BY96" s="126">
        <v>0</v>
      </c>
      <c r="BZ96" s="72"/>
      <c r="CA96" s="72"/>
      <c r="CB96" s="72"/>
      <c r="CC96" s="72"/>
      <c r="CD96" s="126">
        <v>0</v>
      </c>
    </row>
    <row r="97" spans="1:82">
      <c r="A97" s="124" t="s">
        <v>2950</v>
      </c>
      <c r="B97" s="124"/>
      <c r="C97" s="8">
        <f>SUM(C90:C96)</f>
        <v>46175</v>
      </c>
      <c r="D97" s="8">
        <f>SUM(D90:D96)</f>
        <v>48789</v>
      </c>
      <c r="E97" s="8">
        <f>SUM(E90:E96)</f>
        <v>48024</v>
      </c>
      <c r="F97" s="8">
        <f>SUM(F90:F96)</f>
        <v>48507</v>
      </c>
      <c r="G97" s="8">
        <f>SUM(G90:G96)</f>
        <v>48304</v>
      </c>
      <c r="H97" s="72"/>
      <c r="I97" s="72"/>
      <c r="J97" s="72"/>
      <c r="K97" s="72"/>
      <c r="L97" s="8">
        <f>SUM(L90:L96)</f>
        <v>45931</v>
      </c>
      <c r="M97" s="72"/>
      <c r="N97" s="72"/>
      <c r="O97" s="72"/>
      <c r="P97" s="72"/>
      <c r="Q97" s="8">
        <f>SUM(Q90:Q96)</f>
        <v>44900</v>
      </c>
      <c r="R97" s="72"/>
      <c r="S97" s="72"/>
      <c r="T97" s="72"/>
      <c r="U97" s="72"/>
      <c r="V97" s="8">
        <f>SUM(V90:V96)</f>
        <v>45208</v>
      </c>
      <c r="W97" s="72"/>
      <c r="X97" s="72"/>
      <c r="Y97" s="72"/>
      <c r="Z97" s="72"/>
      <c r="AA97" s="8">
        <f>SUM(AA90:AA96)</f>
        <v>45130</v>
      </c>
      <c r="AB97" s="72"/>
      <c r="AC97" s="72"/>
      <c r="AD97" s="72"/>
      <c r="AE97" s="72"/>
      <c r="AF97" s="8">
        <f>SUM(AF90:AF96)</f>
        <v>42700</v>
      </c>
      <c r="AG97" s="72"/>
      <c r="AH97" s="72"/>
      <c r="AI97" s="72"/>
      <c r="AJ97" s="72"/>
      <c r="AK97" s="8">
        <v>41659</v>
      </c>
      <c r="AL97" s="72"/>
      <c r="AM97" s="72"/>
      <c r="AN97" s="72"/>
      <c r="AO97" s="72"/>
      <c r="AP97" s="8">
        <f t="shared" si="24"/>
        <v>40305</v>
      </c>
      <c r="AQ97" s="72"/>
      <c r="AR97" s="72"/>
      <c r="AS97" s="72"/>
      <c r="AT97" s="72"/>
      <c r="AU97" s="8">
        <f t="shared" si="25"/>
        <v>45975</v>
      </c>
      <c r="AV97" s="72"/>
      <c r="AW97" s="72"/>
      <c r="AX97" s="72"/>
      <c r="AY97" s="72"/>
      <c r="AZ97" s="8">
        <f t="shared" si="26"/>
        <v>44697</v>
      </c>
      <c r="BA97" s="72"/>
      <c r="BB97" s="72"/>
      <c r="BC97" s="72"/>
      <c r="BD97" s="72"/>
      <c r="BE97" s="8">
        <f t="shared" si="27"/>
        <v>44197</v>
      </c>
      <c r="BF97" s="72"/>
      <c r="BG97" s="72"/>
      <c r="BH97" s="72"/>
      <c r="BI97" s="72"/>
      <c r="BJ97" s="8">
        <f t="shared" si="28"/>
        <v>43368</v>
      </c>
      <c r="BK97" s="72"/>
      <c r="BL97" s="72"/>
      <c r="BM97" s="72"/>
      <c r="BN97" s="72"/>
      <c r="BO97" s="8">
        <f t="shared" si="29"/>
        <v>45059</v>
      </c>
      <c r="BP97" s="72"/>
      <c r="BQ97" s="72"/>
      <c r="BR97" s="72"/>
      <c r="BS97" s="72"/>
      <c r="BT97" s="8">
        <f>SUM(BT90:BT96)</f>
        <v>43005.046289083337</v>
      </c>
      <c r="BU97" s="72"/>
      <c r="BV97" s="72"/>
      <c r="BW97" s="72"/>
      <c r="BX97" s="72"/>
      <c r="BY97" s="8">
        <f>SUM(BY90:BY96)</f>
        <v>40649.221600291676</v>
      </c>
      <c r="BZ97" s="72"/>
      <c r="CA97" s="72"/>
      <c r="CB97" s="72"/>
      <c r="CC97" s="72"/>
      <c r="CD97" s="8">
        <f>SUM(CD90:CD96)</f>
        <v>38015.404268325008</v>
      </c>
    </row>
    <row r="98" spans="1:82">
      <c r="A98" s="5"/>
      <c r="B98" s="121" t="s">
        <v>2517</v>
      </c>
      <c r="C98" s="5">
        <f t="shared" ref="C98:G99" si="30">SUM(C73,C86)</f>
        <v>25281</v>
      </c>
      <c r="D98" s="5">
        <f t="shared" si="30"/>
        <v>25279</v>
      </c>
      <c r="E98" s="5">
        <f t="shared" si="30"/>
        <v>23654</v>
      </c>
      <c r="F98" s="5">
        <f t="shared" si="30"/>
        <v>22357</v>
      </c>
      <c r="G98" s="5">
        <f t="shared" si="30"/>
        <v>22806</v>
      </c>
      <c r="H98" s="72"/>
      <c r="I98" s="72"/>
      <c r="J98" s="72"/>
      <c r="K98" s="72"/>
      <c r="L98" s="5">
        <f>SUM(L73,L86)</f>
        <v>22071</v>
      </c>
      <c r="M98" s="72"/>
      <c r="N98" s="72"/>
      <c r="O98" s="72"/>
      <c r="P98" s="72"/>
      <c r="Q98" s="5">
        <f>SUM(Q73,Q86)</f>
        <v>22333</v>
      </c>
      <c r="R98" s="72"/>
      <c r="S98" s="72"/>
      <c r="T98" s="72"/>
      <c r="U98" s="72"/>
      <c r="V98" s="5">
        <f>SUM(V73,V86)</f>
        <v>22190</v>
      </c>
      <c r="W98" s="72"/>
      <c r="X98" s="72"/>
      <c r="Y98" s="72"/>
      <c r="Z98" s="72"/>
      <c r="AA98" s="5">
        <f>SUM(AA73,AA86)</f>
        <v>24067</v>
      </c>
      <c r="AB98" s="72"/>
      <c r="AC98" s="72"/>
      <c r="AD98" s="72"/>
      <c r="AE98" s="72"/>
      <c r="AF98" s="5">
        <f>SUM(AF73,AF86)</f>
        <v>23812</v>
      </c>
      <c r="AG98" s="72"/>
      <c r="AH98" s="72"/>
      <c r="AI98" s="72"/>
      <c r="AJ98" s="72"/>
      <c r="AK98" s="5">
        <v>23267</v>
      </c>
      <c r="AL98" s="72"/>
      <c r="AM98" s="72"/>
      <c r="AN98" s="72"/>
      <c r="AO98" s="72"/>
      <c r="AP98" s="5">
        <f t="shared" si="24"/>
        <v>22758</v>
      </c>
      <c r="AQ98" s="72"/>
      <c r="AR98" s="72"/>
      <c r="AS98" s="72"/>
      <c r="AT98" s="72"/>
      <c r="AU98" s="5">
        <f t="shared" si="25"/>
        <v>23497</v>
      </c>
      <c r="AV98" s="72"/>
      <c r="AW98" s="72"/>
      <c r="AX98" s="72"/>
      <c r="AY98" s="72"/>
      <c r="AZ98" s="5">
        <f t="shared" si="26"/>
        <v>22487</v>
      </c>
      <c r="BA98" s="72"/>
      <c r="BB98" s="72"/>
      <c r="BC98" s="72"/>
      <c r="BD98" s="72"/>
      <c r="BE98" s="5">
        <f t="shared" si="27"/>
        <v>21865</v>
      </c>
      <c r="BF98" s="72"/>
      <c r="BG98" s="72"/>
      <c r="BH98" s="72"/>
      <c r="BI98" s="72"/>
      <c r="BJ98" s="5">
        <f t="shared" si="28"/>
        <v>21015</v>
      </c>
      <c r="BK98" s="72"/>
      <c r="BL98" s="72"/>
      <c r="BM98" s="72"/>
      <c r="BN98" s="72"/>
      <c r="BO98" s="5">
        <f t="shared" si="29"/>
        <v>23221</v>
      </c>
      <c r="BP98" s="72"/>
      <c r="BQ98" s="72"/>
      <c r="BR98" s="72"/>
      <c r="BS98" s="72"/>
      <c r="BT98" s="5">
        <f>BO98+BT95+BT125*(1-BT128)*5.8</f>
        <v>22676.54856343392</v>
      </c>
      <c r="BU98" s="72"/>
      <c r="BV98" s="72"/>
      <c r="BW98" s="72"/>
      <c r="BX98" s="72"/>
      <c r="BY98" s="5">
        <f>BT98+BY95+BY125*(1-BY128)*5.8</f>
        <v>22039.916355447123</v>
      </c>
      <c r="BZ98" s="72"/>
      <c r="CA98" s="72"/>
      <c r="CB98" s="72"/>
      <c r="CC98" s="72"/>
      <c r="CD98" s="5">
        <f>BY98+CD95+CD125*(1-CD128)*5.8</f>
        <v>21100.758204877202</v>
      </c>
    </row>
    <row r="99" spans="1:82">
      <c r="A99" s="5"/>
      <c r="B99" s="121" t="s">
        <v>2481</v>
      </c>
      <c r="C99" s="5">
        <f t="shared" si="30"/>
        <v>20894</v>
      </c>
      <c r="D99" s="5">
        <f t="shared" si="30"/>
        <v>23510</v>
      </c>
      <c r="E99" s="5">
        <f t="shared" si="30"/>
        <v>24370</v>
      </c>
      <c r="F99" s="5">
        <f t="shared" si="30"/>
        <v>26150</v>
      </c>
      <c r="G99" s="5">
        <f t="shared" si="30"/>
        <v>25498</v>
      </c>
      <c r="H99" s="72"/>
      <c r="I99" s="72"/>
      <c r="J99" s="72"/>
      <c r="K99" s="72"/>
      <c r="L99" s="5">
        <f>SUM(L74,L87)</f>
        <v>23860</v>
      </c>
      <c r="M99" s="72"/>
      <c r="N99" s="72"/>
      <c r="O99" s="72"/>
      <c r="P99" s="72"/>
      <c r="Q99" s="5">
        <f>SUM(Q74,Q87)</f>
        <v>22567</v>
      </c>
      <c r="R99" s="72"/>
      <c r="S99" s="72"/>
      <c r="T99" s="72"/>
      <c r="U99" s="72"/>
      <c r="V99" s="5">
        <f>SUM(V74,V87)</f>
        <v>23018</v>
      </c>
      <c r="W99" s="72"/>
      <c r="X99" s="72"/>
      <c r="Y99" s="72"/>
      <c r="Z99" s="72"/>
      <c r="AA99" s="5">
        <f>SUM(AA74,AA87)</f>
        <v>21063</v>
      </c>
      <c r="AB99" s="72"/>
      <c r="AC99" s="72"/>
      <c r="AD99" s="72"/>
      <c r="AE99" s="72"/>
      <c r="AF99" s="5">
        <f>SUM(AF74,AF87)</f>
        <v>18888</v>
      </c>
      <c r="AG99" s="72"/>
      <c r="AH99" s="72"/>
      <c r="AI99" s="72"/>
      <c r="AJ99" s="72"/>
      <c r="AK99" s="5">
        <v>18392</v>
      </c>
      <c r="AL99" s="72"/>
      <c r="AM99" s="72"/>
      <c r="AN99" s="72"/>
      <c r="AO99" s="72"/>
      <c r="AP99" s="5">
        <f t="shared" si="24"/>
        <v>17547</v>
      </c>
      <c r="AQ99" s="72"/>
      <c r="AR99" s="72"/>
      <c r="AS99" s="72"/>
      <c r="AT99" s="72"/>
      <c r="AU99" s="5">
        <f t="shared" si="25"/>
        <v>22478</v>
      </c>
      <c r="AV99" s="72"/>
      <c r="AW99" s="72"/>
      <c r="AX99" s="72"/>
      <c r="AY99" s="72"/>
      <c r="AZ99" s="5">
        <f t="shared" si="26"/>
        <v>22209</v>
      </c>
      <c r="BA99" s="72"/>
      <c r="BB99" s="72"/>
      <c r="BC99" s="72"/>
      <c r="BD99" s="72"/>
      <c r="BE99" s="5">
        <f t="shared" si="27"/>
        <v>22331</v>
      </c>
      <c r="BF99" s="72"/>
      <c r="BG99" s="72"/>
      <c r="BH99" s="72"/>
      <c r="BI99" s="72"/>
      <c r="BJ99" s="5">
        <f t="shared" si="28"/>
        <v>22353</v>
      </c>
      <c r="BK99" s="72"/>
      <c r="BL99" s="72"/>
      <c r="BM99" s="72"/>
      <c r="BN99" s="72"/>
      <c r="BO99" s="5">
        <f t="shared" si="29"/>
        <v>21838</v>
      </c>
      <c r="BP99" s="72"/>
      <c r="BQ99" s="72"/>
      <c r="BR99" s="72"/>
      <c r="BS99" s="72"/>
      <c r="BT99" s="5">
        <f>BT97-BT98</f>
        <v>20328.497725649417</v>
      </c>
      <c r="BU99" s="72"/>
      <c r="BV99" s="72"/>
      <c r="BW99" s="72"/>
      <c r="BX99" s="72"/>
      <c r="BY99" s="5">
        <f>BY97-BY98</f>
        <v>18609.305244844552</v>
      </c>
      <c r="BZ99" s="72"/>
      <c r="CA99" s="72"/>
      <c r="CB99" s="72"/>
      <c r="CC99" s="72"/>
      <c r="CD99" s="5">
        <f>CD97-CD98</f>
        <v>16914.646063447806</v>
      </c>
    </row>
    <row r="100" spans="1:82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</row>
    <row r="101" spans="1:82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</row>
    <row r="102" spans="1:82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</row>
    <row r="103" spans="1:82" ht="15.75">
      <c r="A103" s="42" t="s">
        <v>354</v>
      </c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</row>
    <row r="104" spans="1:82" ht="15.75">
      <c r="A104" s="42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</row>
    <row r="105" spans="1:82" ht="12.75" customHeight="1">
      <c r="A105" s="9" t="s">
        <v>3242</v>
      </c>
      <c r="B105" s="4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</row>
    <row r="106" spans="1:82" ht="12.75" customHeight="1">
      <c r="A106" s="10"/>
      <c r="B106" s="10"/>
      <c r="C106" s="31">
        <v>2001</v>
      </c>
      <c r="D106" s="32">
        <v>2002</v>
      </c>
      <c r="E106" s="32">
        <v>2003</v>
      </c>
      <c r="F106" s="32">
        <v>2004</v>
      </c>
      <c r="G106" s="31">
        <v>2005</v>
      </c>
      <c r="H106" s="33" t="s">
        <v>714</v>
      </c>
      <c r="I106" s="33" t="s">
        <v>715</v>
      </c>
      <c r="J106" s="33" t="s">
        <v>716</v>
      </c>
      <c r="K106" s="33" t="s">
        <v>717</v>
      </c>
      <c r="L106" s="31">
        <v>2006</v>
      </c>
      <c r="M106" s="33" t="s">
        <v>718</v>
      </c>
      <c r="N106" s="33" t="s">
        <v>719</v>
      </c>
      <c r="O106" s="33" t="s">
        <v>1970</v>
      </c>
      <c r="P106" s="33" t="s">
        <v>1971</v>
      </c>
      <c r="Q106" s="31">
        <v>2007</v>
      </c>
      <c r="R106" s="33" t="s">
        <v>1972</v>
      </c>
      <c r="S106" s="33" t="s">
        <v>1973</v>
      </c>
      <c r="T106" s="33" t="s">
        <v>1974</v>
      </c>
      <c r="U106" s="33" t="s">
        <v>1975</v>
      </c>
      <c r="V106" s="31">
        <v>2008</v>
      </c>
      <c r="W106" s="33" t="s">
        <v>1976</v>
      </c>
      <c r="X106" s="33" t="s">
        <v>1977</v>
      </c>
      <c r="Y106" s="33" t="s">
        <v>1978</v>
      </c>
      <c r="Z106" s="33" t="s">
        <v>1979</v>
      </c>
      <c r="AA106" s="31">
        <v>2009</v>
      </c>
      <c r="AB106" s="33" t="s">
        <v>1980</v>
      </c>
      <c r="AC106" s="33" t="s">
        <v>1981</v>
      </c>
      <c r="AD106" s="33" t="s">
        <v>1982</v>
      </c>
      <c r="AE106" s="33" t="s">
        <v>2392</v>
      </c>
      <c r="AF106" s="31">
        <v>2010</v>
      </c>
      <c r="AG106" s="33" t="s">
        <v>2393</v>
      </c>
      <c r="AH106" s="33" t="s">
        <v>2394</v>
      </c>
      <c r="AI106" s="33" t="s">
        <v>2395</v>
      </c>
      <c r="AJ106" s="33" t="s">
        <v>2396</v>
      </c>
      <c r="AK106" s="31">
        <v>2011</v>
      </c>
      <c r="AL106" s="33" t="s">
        <v>2397</v>
      </c>
      <c r="AM106" s="33" t="s">
        <v>2398</v>
      </c>
      <c r="AN106" s="33" t="s">
        <v>2399</v>
      </c>
      <c r="AO106" s="33" t="s">
        <v>2400</v>
      </c>
      <c r="AP106" s="31">
        <v>2012</v>
      </c>
      <c r="AQ106" s="33" t="s">
        <v>2401</v>
      </c>
      <c r="AR106" s="33" t="s">
        <v>2402</v>
      </c>
      <c r="AS106" s="33" t="s">
        <v>2403</v>
      </c>
      <c r="AT106" s="33" t="s">
        <v>2404</v>
      </c>
      <c r="AU106" s="31">
        <v>2013</v>
      </c>
      <c r="AV106" s="33" t="s">
        <v>2405</v>
      </c>
      <c r="AW106" s="33" t="s">
        <v>2406</v>
      </c>
      <c r="AX106" s="33" t="s">
        <v>2407</v>
      </c>
      <c r="AY106" s="33" t="s">
        <v>2408</v>
      </c>
      <c r="AZ106" s="31">
        <v>2014</v>
      </c>
      <c r="BA106" s="33" t="s">
        <v>2409</v>
      </c>
      <c r="BB106" s="33" t="s">
        <v>2410</v>
      </c>
      <c r="BC106" s="33" t="s">
        <v>2411</v>
      </c>
      <c r="BD106" s="33" t="s">
        <v>2412</v>
      </c>
      <c r="BE106" s="31">
        <v>2015</v>
      </c>
      <c r="BF106" s="33" t="s">
        <v>2413</v>
      </c>
      <c r="BG106" s="33" t="s">
        <v>2414</v>
      </c>
      <c r="BH106" s="33" t="s">
        <v>2415</v>
      </c>
      <c r="BI106" s="33" t="s">
        <v>2416</v>
      </c>
      <c r="BJ106" s="31">
        <v>2016</v>
      </c>
      <c r="BK106" s="33" t="s">
        <v>2417</v>
      </c>
      <c r="BL106" s="33" t="s">
        <v>2418</v>
      </c>
      <c r="BM106" s="33" t="s">
        <v>2419</v>
      </c>
      <c r="BN106" s="33" t="s">
        <v>2420</v>
      </c>
      <c r="BO106" s="31">
        <v>2017</v>
      </c>
      <c r="BP106" s="33" t="s">
        <v>2244</v>
      </c>
      <c r="BQ106" s="33" t="s">
        <v>2245</v>
      </c>
      <c r="BR106" s="33" t="s">
        <v>2508</v>
      </c>
      <c r="BS106" s="33" t="s">
        <v>2509</v>
      </c>
      <c r="BT106" s="31">
        <v>2018</v>
      </c>
      <c r="BU106" s="33" t="s">
        <v>2510</v>
      </c>
      <c r="BV106" s="33" t="s">
        <v>2511</v>
      </c>
      <c r="BW106" s="33" t="s">
        <v>3125</v>
      </c>
      <c r="BX106" s="33" t="s">
        <v>1405</v>
      </c>
      <c r="BY106" s="31">
        <v>2019</v>
      </c>
      <c r="BZ106" s="33" t="s">
        <v>1406</v>
      </c>
      <c r="CA106" s="33" t="s">
        <v>1407</v>
      </c>
      <c r="CB106" s="33" t="s">
        <v>1408</v>
      </c>
      <c r="CC106" s="33" t="s">
        <v>1409</v>
      </c>
      <c r="CD106" s="31">
        <v>2020</v>
      </c>
    </row>
    <row r="107" spans="1:82">
      <c r="A107" s="7" t="s">
        <v>355</v>
      </c>
      <c r="B107" s="4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</row>
    <row r="108" spans="1:82">
      <c r="A108" s="4"/>
      <c r="B108" s="11" t="s">
        <v>2947</v>
      </c>
      <c r="C108" s="5">
        <f>C47+C90/5.8</f>
        <v>15215.068965517243</v>
      </c>
      <c r="D108" s="5">
        <f>D47+D90/5.8</f>
        <v>16337.206896551725</v>
      </c>
      <c r="E108" s="5">
        <f>E47+E90/5.8</f>
        <v>17576.896551724138</v>
      </c>
      <c r="F108" s="5">
        <f>F47+F90/5.8</f>
        <v>18361</v>
      </c>
      <c r="G108" s="5">
        <f>G47+G90/5.8</f>
        <v>18297.275862068964</v>
      </c>
      <c r="H108" s="72"/>
      <c r="I108" s="72"/>
      <c r="J108" s="72"/>
      <c r="K108" s="72"/>
      <c r="L108" s="5">
        <f>L47+L90/5.8</f>
        <v>17893.275862068964</v>
      </c>
      <c r="M108" s="72"/>
      <c r="N108" s="72"/>
      <c r="O108" s="72"/>
      <c r="P108" s="72"/>
      <c r="Q108" s="5">
        <f>Q47+Q90/5.8</f>
        <v>17700.137931034482</v>
      </c>
      <c r="R108" s="72"/>
      <c r="S108" s="72"/>
      <c r="T108" s="72"/>
      <c r="U108" s="72"/>
      <c r="V108" s="5">
        <f>V47+V90/5.8</f>
        <v>17814.379310344826</v>
      </c>
      <c r="W108" s="72"/>
      <c r="X108" s="72"/>
      <c r="Y108" s="72"/>
      <c r="Z108" s="72"/>
      <c r="AA108" s="5">
        <f>AA47+AA90/5.8</f>
        <v>18147.482758620688</v>
      </c>
      <c r="AB108" s="72"/>
      <c r="AC108" s="72"/>
      <c r="AD108" s="72"/>
      <c r="AE108" s="72"/>
      <c r="AF108" s="5">
        <f>AF47+AF90/5.8</f>
        <v>18292.034482758623</v>
      </c>
      <c r="AG108" s="72"/>
      <c r="AH108" s="72"/>
      <c r="AI108" s="72"/>
      <c r="AJ108" s="72"/>
      <c r="AK108" s="5">
        <f>AK47+AK90/5.8</f>
        <v>18071.068965517243</v>
      </c>
      <c r="AL108" s="72"/>
      <c r="AM108" s="72"/>
      <c r="AN108" s="72"/>
      <c r="AO108" s="72"/>
      <c r="AP108" s="5">
        <f>AP47+AP90/5.8</f>
        <v>17747.586206896551</v>
      </c>
      <c r="AQ108" s="72"/>
      <c r="AR108" s="72"/>
      <c r="AS108" s="72"/>
      <c r="AT108" s="72"/>
      <c r="AU108" s="5">
        <f>AU47+AU90/5.8</f>
        <v>16999.137931034482</v>
      </c>
      <c r="AV108" s="72"/>
      <c r="AW108" s="72"/>
      <c r="AX108" s="72"/>
      <c r="AY108" s="72"/>
      <c r="AZ108" s="5">
        <f>AZ47+AZ90/5.8</f>
        <v>17996.724137931036</v>
      </c>
      <c r="BA108" s="72"/>
      <c r="BB108" s="72"/>
      <c r="BC108" s="72"/>
      <c r="BD108" s="72"/>
      <c r="BE108" s="5">
        <f>BE47+BE90/5.8</f>
        <v>17525.379310344826</v>
      </c>
      <c r="BF108" s="72"/>
      <c r="BG108" s="72"/>
      <c r="BH108" s="72"/>
      <c r="BI108" s="72"/>
      <c r="BJ108" s="5">
        <f>BJ47+BJ90/5.8</f>
        <v>17182.172413793101</v>
      </c>
      <c r="BK108" s="72"/>
      <c r="BL108" s="72"/>
      <c r="BM108" s="72"/>
      <c r="BN108" s="72"/>
      <c r="BO108" s="5">
        <f>BO47+BO90/5.8</f>
        <v>17812.241379310344</v>
      </c>
      <c r="BP108" s="72"/>
      <c r="BQ108" s="72"/>
      <c r="BR108" s="72"/>
      <c r="BS108" s="72"/>
      <c r="BT108" s="5">
        <f>BT47+BT90/5.8</f>
        <v>18442.793103448275</v>
      </c>
      <c r="BU108" s="72"/>
      <c r="BV108" s="72"/>
      <c r="BW108" s="72"/>
      <c r="BX108" s="72"/>
      <c r="BY108" s="5">
        <f>BY47+BY90/5.8</f>
        <v>17467.929714811064</v>
      </c>
      <c r="BZ108" s="72"/>
      <c r="CA108" s="72"/>
      <c r="CB108" s="72"/>
      <c r="CC108" s="72"/>
      <c r="CD108" s="5">
        <f>CD47+CD90/5.8</f>
        <v>16431.583332938077</v>
      </c>
    </row>
    <row r="109" spans="1:82">
      <c r="A109" s="4"/>
      <c r="B109" s="123" t="s">
        <v>2518</v>
      </c>
      <c r="C109" s="5">
        <f t="shared" ref="C109:C117" si="31">C48+C91/5.8</f>
        <v>-151.31034482758622</v>
      </c>
      <c r="D109" s="5">
        <f t="shared" ref="D109:D117" si="32">D48+D91/5.8</f>
        <v>173.72413793103448</v>
      </c>
      <c r="E109" s="5">
        <f t="shared" ref="E109:E117" si="33">E48+E91/5.8</f>
        <v>-335.65517241379308</v>
      </c>
      <c r="F109" s="5">
        <f t="shared" ref="F109:F117" si="34">F48+F91/5.8</f>
        <v>-169.24137931034483</v>
      </c>
      <c r="G109" s="5">
        <f t="shared" ref="G109:G117" si="35">G48+G91/5.8</f>
        <v>488.79310344827587</v>
      </c>
      <c r="H109" s="72"/>
      <c r="I109" s="72"/>
      <c r="J109" s="72"/>
      <c r="K109" s="72"/>
      <c r="L109" s="5">
        <f t="shared" ref="L109:L117" si="36">L48+L91/5.8</f>
        <v>852.51724137931035</v>
      </c>
      <c r="M109" s="72"/>
      <c r="N109" s="72"/>
      <c r="O109" s="72"/>
      <c r="P109" s="72"/>
      <c r="Q109" s="5">
        <f t="shared" ref="Q109:Q117" si="37">Q48+Q91/5.8</f>
        <v>664.34482758620686</v>
      </c>
      <c r="R109" s="72"/>
      <c r="S109" s="72"/>
      <c r="T109" s="72"/>
      <c r="U109" s="72"/>
      <c r="V109" s="5">
        <f t="shared" ref="V109:V117" si="38">V48+V91/5.8</f>
        <v>385.75862068965517</v>
      </c>
      <c r="W109" s="72"/>
      <c r="X109" s="72"/>
      <c r="Y109" s="72"/>
      <c r="Z109" s="72"/>
      <c r="AA109" s="5">
        <f t="shared" ref="AA109:AA117" si="39">AA48+AA91/5.8</f>
        <v>678.55172413793105</v>
      </c>
      <c r="AB109" s="72"/>
      <c r="AC109" s="72"/>
      <c r="AD109" s="72"/>
      <c r="AE109" s="72"/>
      <c r="AF109" s="5">
        <f t="shared" ref="AF109:AF117" si="40">AF48+AF91/5.8</f>
        <v>-247.72413793103448</v>
      </c>
      <c r="AG109" s="72"/>
      <c r="AH109" s="72"/>
      <c r="AI109" s="72"/>
      <c r="AJ109" s="72"/>
      <c r="AK109" s="5">
        <f t="shared" ref="AK109:AK117" si="41">AK48+AK91/5.8</f>
        <v>705.27586206896558</v>
      </c>
      <c r="AL109" s="72"/>
      <c r="AM109" s="72"/>
      <c r="AN109" s="72"/>
      <c r="AO109" s="72"/>
      <c r="AP109" s="5">
        <f t="shared" ref="AP109:AP117" si="42">AP48+AP91/5.8</f>
        <v>-94.965517241379331</v>
      </c>
      <c r="AQ109" s="72"/>
      <c r="AR109" s="72"/>
      <c r="AS109" s="72"/>
      <c r="AT109" s="72"/>
      <c r="AU109" s="5">
        <f t="shared" ref="AU109:AU117" si="43">AU48+AU91/5.8</f>
        <v>464.9655172413793</v>
      </c>
      <c r="AV109" s="72"/>
      <c r="AW109" s="72"/>
      <c r="AX109" s="72"/>
      <c r="AY109" s="72"/>
      <c r="AZ109" s="5">
        <f t="shared" ref="AZ109:AZ117" si="44">AZ48+AZ91/5.8</f>
        <v>184.10344827586206</v>
      </c>
      <c r="BA109" s="72"/>
      <c r="BB109" s="72"/>
      <c r="BC109" s="72"/>
      <c r="BD109" s="72"/>
      <c r="BE109" s="5">
        <f t="shared" ref="BE109:BE117" si="45">BE48+BE91/5.8</f>
        <v>302.31034482758622</v>
      </c>
      <c r="BF109" s="72"/>
      <c r="BG109" s="72"/>
      <c r="BH109" s="72"/>
      <c r="BI109" s="72"/>
      <c r="BJ109" s="5">
        <f t="shared" ref="BJ109:BJ117" si="46">BJ48+BJ91/5.8</f>
        <v>701.75862068965512</v>
      </c>
      <c r="BK109" s="72"/>
      <c r="BL109" s="72"/>
      <c r="BM109" s="72"/>
      <c r="BN109" s="72"/>
      <c r="BO109" s="5">
        <f t="shared" ref="BO109:BO117" si="47">BO48+BO91/5.8</f>
        <v>920.68965517241384</v>
      </c>
      <c r="BP109" s="72"/>
      <c r="BQ109" s="72"/>
      <c r="BR109" s="72"/>
      <c r="BS109" s="72"/>
      <c r="BT109" s="72"/>
      <c r="BU109" s="72"/>
      <c r="BV109" s="72"/>
      <c r="BW109" s="72"/>
      <c r="BX109" s="72"/>
      <c r="BY109" s="72"/>
      <c r="BZ109" s="72"/>
      <c r="CA109" s="72"/>
      <c r="CB109" s="72"/>
      <c r="CC109" s="72"/>
      <c r="CD109" s="72"/>
    </row>
    <row r="110" spans="1:82">
      <c r="A110" s="4"/>
      <c r="B110" s="123" t="s">
        <v>2948</v>
      </c>
      <c r="C110" s="5">
        <f t="shared" si="31"/>
        <v>364.68965517241384</v>
      </c>
      <c r="D110" s="5">
        <f t="shared" si="32"/>
        <v>543.20689655172418</v>
      </c>
      <c r="E110" s="5">
        <f t="shared" si="33"/>
        <v>641.75862068965512</v>
      </c>
      <c r="F110" s="5">
        <f t="shared" si="34"/>
        <v>412.41379310344826</v>
      </c>
      <c r="G110" s="5">
        <f t="shared" si="35"/>
        <v>661.20689655172418</v>
      </c>
      <c r="H110" s="72"/>
      <c r="I110" s="72"/>
      <c r="J110" s="72"/>
      <c r="K110" s="72"/>
      <c r="L110" s="5">
        <f t="shared" si="36"/>
        <v>617.31034482758628</v>
      </c>
      <c r="M110" s="72"/>
      <c r="N110" s="72"/>
      <c r="O110" s="72"/>
      <c r="P110" s="72"/>
      <c r="Q110" s="5">
        <f t="shared" si="37"/>
        <v>313.41379310344826</v>
      </c>
      <c r="R110" s="72"/>
      <c r="S110" s="72"/>
      <c r="T110" s="72"/>
      <c r="U110" s="72"/>
      <c r="V110" s="5">
        <f t="shared" si="38"/>
        <v>729.72413793103442</v>
      </c>
      <c r="W110" s="72"/>
      <c r="X110" s="72"/>
      <c r="Y110" s="72"/>
      <c r="Z110" s="72"/>
      <c r="AA110" s="5">
        <f t="shared" si="39"/>
        <v>508.58620689655174</v>
      </c>
      <c r="AB110" s="72"/>
      <c r="AC110" s="72"/>
      <c r="AD110" s="72"/>
      <c r="AE110" s="72"/>
      <c r="AF110" s="5">
        <f t="shared" si="40"/>
        <v>1061.2758620689656</v>
      </c>
      <c r="AG110" s="72"/>
      <c r="AH110" s="72"/>
      <c r="AI110" s="72"/>
      <c r="AJ110" s="72"/>
      <c r="AK110" s="5">
        <f t="shared" si="41"/>
        <v>522.27586206896558</v>
      </c>
      <c r="AL110" s="72"/>
      <c r="AM110" s="72"/>
      <c r="AN110" s="72"/>
      <c r="AO110" s="72"/>
      <c r="AP110" s="5">
        <f t="shared" si="42"/>
        <v>586.24137931034488</v>
      </c>
      <c r="AQ110" s="72"/>
      <c r="AR110" s="72"/>
      <c r="AS110" s="72"/>
      <c r="AT110" s="72"/>
      <c r="AU110" s="5">
        <f t="shared" si="43"/>
        <v>333.48275862068965</v>
      </c>
      <c r="AV110" s="72"/>
      <c r="AW110" s="72"/>
      <c r="AX110" s="72"/>
      <c r="AY110" s="72"/>
      <c r="AZ110" s="5">
        <f t="shared" si="44"/>
        <v>196.44827586206898</v>
      </c>
      <c r="BA110" s="72"/>
      <c r="BB110" s="72"/>
      <c r="BC110" s="72"/>
      <c r="BD110" s="72"/>
      <c r="BE110" s="5">
        <f t="shared" si="45"/>
        <v>110.75862068965517</v>
      </c>
      <c r="BF110" s="72"/>
      <c r="BG110" s="72"/>
      <c r="BH110" s="72"/>
      <c r="BI110" s="72"/>
      <c r="BJ110" s="5">
        <f t="shared" si="46"/>
        <v>176.9655172413793</v>
      </c>
      <c r="BK110" s="72"/>
      <c r="BL110" s="72"/>
      <c r="BM110" s="72"/>
      <c r="BN110" s="72"/>
      <c r="BO110" s="5">
        <f t="shared" si="47"/>
        <v>235.82758620689657</v>
      </c>
      <c r="BP110" s="72"/>
      <c r="BQ110" s="72"/>
      <c r="BR110" s="72"/>
      <c r="BS110" s="72"/>
      <c r="BT110" s="72"/>
      <c r="BU110" s="72"/>
      <c r="BV110" s="72"/>
      <c r="BW110" s="72"/>
      <c r="BX110" s="72"/>
      <c r="BY110" s="72"/>
      <c r="BZ110" s="72"/>
      <c r="CA110" s="72"/>
      <c r="CB110" s="72"/>
      <c r="CC110" s="72"/>
      <c r="CD110" s="72"/>
    </row>
    <row r="111" spans="1:82">
      <c r="A111" s="4"/>
      <c r="B111" s="123" t="s">
        <v>352</v>
      </c>
      <c r="C111" s="5">
        <f t="shared" si="31"/>
        <v>40.344827586206897</v>
      </c>
      <c r="D111" s="5">
        <f t="shared" si="32"/>
        <v>457.06896551724139</v>
      </c>
      <c r="E111" s="5">
        <f t="shared" si="33"/>
        <v>1656.8275862068965</v>
      </c>
      <c r="F111" s="5">
        <f t="shared" si="34"/>
        <v>252.86206896551724</v>
      </c>
      <c r="G111" s="5">
        <f t="shared" si="35"/>
        <v>13.724137931034484</v>
      </c>
      <c r="H111" s="72"/>
      <c r="I111" s="72"/>
      <c r="J111" s="72"/>
      <c r="K111" s="72"/>
      <c r="L111" s="5">
        <f t="shared" si="36"/>
        <v>28</v>
      </c>
      <c r="M111" s="72"/>
      <c r="N111" s="72"/>
      <c r="O111" s="72"/>
      <c r="P111" s="72"/>
      <c r="Q111" s="5">
        <f t="shared" si="37"/>
        <v>73.137931034482762</v>
      </c>
      <c r="R111" s="72"/>
      <c r="S111" s="72"/>
      <c r="T111" s="72"/>
      <c r="U111" s="72"/>
      <c r="V111" s="5">
        <f t="shared" si="38"/>
        <v>231.06896551724139</v>
      </c>
      <c r="W111" s="72"/>
      <c r="X111" s="72"/>
      <c r="Y111" s="72"/>
      <c r="Z111" s="72"/>
      <c r="AA111" s="5">
        <f t="shared" si="39"/>
        <v>34.758620689655174</v>
      </c>
      <c r="AB111" s="72"/>
      <c r="AC111" s="72"/>
      <c r="AD111" s="72"/>
      <c r="AE111" s="72"/>
      <c r="AF111" s="5">
        <f t="shared" si="40"/>
        <v>102.17241379310344</v>
      </c>
      <c r="AG111" s="72"/>
      <c r="AH111" s="72"/>
      <c r="AI111" s="72"/>
      <c r="AJ111" s="72"/>
      <c r="AK111" s="5">
        <f t="shared" si="41"/>
        <v>210.51724137931035</v>
      </c>
      <c r="AL111" s="72"/>
      <c r="AM111" s="72"/>
      <c r="AN111" s="72"/>
      <c r="AO111" s="72"/>
      <c r="AP111" s="5">
        <f t="shared" si="42"/>
        <v>67.758620689655174</v>
      </c>
      <c r="AQ111" s="72"/>
      <c r="AR111" s="72"/>
      <c r="AS111" s="72"/>
      <c r="AT111" s="72"/>
      <c r="AU111" s="5">
        <f t="shared" si="43"/>
        <v>6152.1379310344828</v>
      </c>
      <c r="AV111" s="72"/>
      <c r="AW111" s="72"/>
      <c r="AX111" s="72"/>
      <c r="AY111" s="72"/>
      <c r="AZ111" s="5">
        <f t="shared" si="44"/>
        <v>74.551724137931046</v>
      </c>
      <c r="BA111" s="72"/>
      <c r="BB111" s="72"/>
      <c r="BC111" s="72"/>
      <c r="BD111" s="72"/>
      <c r="BE111" s="5">
        <f t="shared" si="45"/>
        <v>151.58620689655174</v>
      </c>
      <c r="BF111" s="72"/>
      <c r="BG111" s="72"/>
      <c r="BH111" s="72"/>
      <c r="BI111" s="72"/>
      <c r="BJ111" s="5">
        <f t="shared" si="46"/>
        <v>764.75862068965512</v>
      </c>
      <c r="BK111" s="72"/>
      <c r="BL111" s="72"/>
      <c r="BM111" s="72"/>
      <c r="BN111" s="72"/>
      <c r="BO111" s="5">
        <f t="shared" si="47"/>
        <v>222.48275862068965</v>
      </c>
      <c r="BP111" s="72"/>
      <c r="BQ111" s="72"/>
      <c r="BR111" s="72"/>
      <c r="BS111" s="72"/>
      <c r="BT111" s="5">
        <f t="shared" ref="BT111:BT117" si="48">BT50+BT93/5.8</f>
        <v>0</v>
      </c>
      <c r="BU111" s="72"/>
      <c r="BV111" s="72"/>
      <c r="BW111" s="72"/>
      <c r="BX111" s="72"/>
      <c r="BY111" s="5">
        <f t="shared" ref="BY111:BY117" si="49">BY50+BY93/5.8</f>
        <v>0</v>
      </c>
      <c r="BZ111" s="72"/>
      <c r="CA111" s="72"/>
      <c r="CB111" s="72"/>
      <c r="CC111" s="72"/>
      <c r="CD111" s="5">
        <f t="shared" ref="CD111:CD117" si="50">CD50+CD93/5.8</f>
        <v>0</v>
      </c>
    </row>
    <row r="112" spans="1:82">
      <c r="A112" s="4"/>
      <c r="B112" s="123" t="s">
        <v>474</v>
      </c>
      <c r="C112" s="5">
        <f t="shared" si="31"/>
        <v>2140.8275862068967</v>
      </c>
      <c r="D112" s="5">
        <f t="shared" si="32"/>
        <v>1414.8620689655172</v>
      </c>
      <c r="E112" s="5">
        <f t="shared" si="33"/>
        <v>1138.9310344827586</v>
      </c>
      <c r="F112" s="5">
        <f t="shared" si="34"/>
        <v>1058.8275862068967</v>
      </c>
      <c r="G112" s="5">
        <f t="shared" si="35"/>
        <v>251.37931034482759</v>
      </c>
      <c r="H112" s="72"/>
      <c r="I112" s="72"/>
      <c r="J112" s="72"/>
      <c r="K112" s="72"/>
      <c r="L112" s="5">
        <f t="shared" si="36"/>
        <v>166.20689655172413</v>
      </c>
      <c r="M112" s="72"/>
      <c r="N112" s="72"/>
      <c r="O112" s="72"/>
      <c r="P112" s="72"/>
      <c r="Q112" s="5">
        <f t="shared" si="37"/>
        <v>603.72413793103442</v>
      </c>
      <c r="R112" s="72"/>
      <c r="S112" s="72"/>
      <c r="T112" s="72"/>
      <c r="U112" s="72"/>
      <c r="V112" s="5">
        <f t="shared" si="38"/>
        <v>614.27586206896558</v>
      </c>
      <c r="W112" s="72"/>
      <c r="X112" s="72"/>
      <c r="Y112" s="72"/>
      <c r="Z112" s="72"/>
      <c r="AA112" s="5">
        <f t="shared" si="39"/>
        <v>720.41379310344826</v>
      </c>
      <c r="AB112" s="72"/>
      <c r="AC112" s="72"/>
      <c r="AD112" s="72"/>
      <c r="AE112" s="72"/>
      <c r="AF112" s="5">
        <f t="shared" si="40"/>
        <v>689.27586206896558</v>
      </c>
      <c r="AG112" s="72"/>
      <c r="AH112" s="72"/>
      <c r="AI112" s="72"/>
      <c r="AJ112" s="72"/>
      <c r="AK112" s="5">
        <f t="shared" si="41"/>
        <v>91.862068965517238</v>
      </c>
      <c r="AL112" s="72"/>
      <c r="AM112" s="72"/>
      <c r="AN112" s="72"/>
      <c r="AO112" s="72"/>
      <c r="AP112" s="5">
        <f t="shared" si="42"/>
        <v>462.65517241379314</v>
      </c>
      <c r="AQ112" s="72"/>
      <c r="AR112" s="72"/>
      <c r="AS112" s="72"/>
      <c r="AT112" s="72"/>
      <c r="AU112" s="5">
        <f t="shared" si="43"/>
        <v>766.17241379310349</v>
      </c>
      <c r="AV112" s="72"/>
      <c r="AW112" s="72"/>
      <c r="AX112" s="72"/>
      <c r="AY112" s="72"/>
      <c r="AZ112" s="5">
        <f t="shared" si="44"/>
        <v>363.27586206896552</v>
      </c>
      <c r="BA112" s="72"/>
      <c r="BB112" s="72"/>
      <c r="BC112" s="72"/>
      <c r="BD112" s="72"/>
      <c r="BE112" s="5">
        <f t="shared" si="45"/>
        <v>338.06896551724139</v>
      </c>
      <c r="BF112" s="72"/>
      <c r="BG112" s="72"/>
      <c r="BH112" s="72"/>
      <c r="BI112" s="72"/>
      <c r="BJ112" s="5">
        <f t="shared" si="46"/>
        <v>457</v>
      </c>
      <c r="BK112" s="72"/>
      <c r="BL112" s="72"/>
      <c r="BM112" s="72"/>
      <c r="BN112" s="72"/>
      <c r="BO112" s="5">
        <f t="shared" si="47"/>
        <v>768.55172413793105</v>
      </c>
      <c r="BP112" s="72"/>
      <c r="BQ112" s="72"/>
      <c r="BR112" s="72"/>
      <c r="BS112" s="72"/>
      <c r="BT112" s="5">
        <f t="shared" si="48"/>
        <v>366.66666666666663</v>
      </c>
      <c r="BU112" s="72"/>
      <c r="BV112" s="72"/>
      <c r="BW112" s="72"/>
      <c r="BX112" s="72"/>
      <c r="BY112" s="5">
        <f t="shared" si="49"/>
        <v>366.66666666666663</v>
      </c>
      <c r="BZ112" s="72"/>
      <c r="CA112" s="72"/>
      <c r="CB112" s="72"/>
      <c r="CC112" s="72"/>
      <c r="CD112" s="5">
        <f t="shared" si="50"/>
        <v>366.66666666666663</v>
      </c>
    </row>
    <row r="113" spans="1:82">
      <c r="A113" s="5"/>
      <c r="B113" s="123" t="s">
        <v>2949</v>
      </c>
      <c r="C113" s="5">
        <f t="shared" si="31"/>
        <v>-1230.7931034482758</v>
      </c>
      <c r="D113" s="5">
        <f t="shared" si="32"/>
        <v>-1269.7931034482758</v>
      </c>
      <c r="E113" s="5">
        <f t="shared" si="33"/>
        <v>-1302.2068965517242</v>
      </c>
      <c r="F113" s="5">
        <f t="shared" si="34"/>
        <v>-1470.5517241379312</v>
      </c>
      <c r="G113" s="5">
        <f t="shared" si="35"/>
        <v>-1473.7241379310344</v>
      </c>
      <c r="H113" s="72"/>
      <c r="I113" s="72"/>
      <c r="J113" s="72"/>
      <c r="K113" s="72"/>
      <c r="L113" s="5">
        <f t="shared" si="36"/>
        <v>-1442.6896551724139</v>
      </c>
      <c r="M113" s="72"/>
      <c r="N113" s="72"/>
      <c r="O113" s="72"/>
      <c r="P113" s="72"/>
      <c r="Q113" s="5">
        <f t="shared" si="37"/>
        <v>-1406.9310344827586</v>
      </c>
      <c r="R113" s="72"/>
      <c r="S113" s="72"/>
      <c r="T113" s="72"/>
      <c r="U113" s="72"/>
      <c r="V113" s="5">
        <f t="shared" si="38"/>
        <v>-1427.2068965517242</v>
      </c>
      <c r="W113" s="72"/>
      <c r="X113" s="72"/>
      <c r="Y113" s="72"/>
      <c r="Z113" s="72"/>
      <c r="AA113" s="5">
        <f t="shared" si="39"/>
        <v>-1480.8275862068965</v>
      </c>
      <c r="AB113" s="72"/>
      <c r="AC113" s="72"/>
      <c r="AD113" s="72"/>
      <c r="AE113" s="72"/>
      <c r="AF113" s="5">
        <f t="shared" si="40"/>
        <v>-1418.7586206896553</v>
      </c>
      <c r="AG113" s="72"/>
      <c r="AH113" s="72"/>
      <c r="AI113" s="72"/>
      <c r="AJ113" s="72"/>
      <c r="AK113" s="5">
        <f t="shared" si="41"/>
        <v>-1281.3103448275863</v>
      </c>
      <c r="AL113" s="72"/>
      <c r="AM113" s="72"/>
      <c r="AN113" s="72"/>
      <c r="AO113" s="72"/>
      <c r="AP113" s="5">
        <f t="shared" si="42"/>
        <v>-1246.7586206896551</v>
      </c>
      <c r="AQ113" s="72"/>
      <c r="AR113" s="72"/>
      <c r="AS113" s="72"/>
      <c r="AT113" s="72"/>
      <c r="AU113" s="5">
        <f t="shared" si="43"/>
        <v>-1209.3793103448277</v>
      </c>
      <c r="AV113" s="72"/>
      <c r="AW113" s="72"/>
      <c r="AX113" s="72"/>
      <c r="AY113" s="72"/>
      <c r="AZ113" s="5">
        <f t="shared" si="44"/>
        <v>-1175.8620689655172</v>
      </c>
      <c r="BA113" s="72"/>
      <c r="BB113" s="72"/>
      <c r="BC113" s="72"/>
      <c r="BD113" s="72"/>
      <c r="BE113" s="5">
        <f t="shared" si="45"/>
        <v>-1224.8275862068965</v>
      </c>
      <c r="BF113" s="72"/>
      <c r="BG113" s="72"/>
      <c r="BH113" s="72"/>
      <c r="BI113" s="72"/>
      <c r="BJ113" s="5">
        <f t="shared" si="46"/>
        <v>-1225.7241379310344</v>
      </c>
      <c r="BK113" s="72"/>
      <c r="BL113" s="72"/>
      <c r="BM113" s="72"/>
      <c r="BN113" s="72"/>
      <c r="BO113" s="5">
        <f t="shared" si="47"/>
        <v>-1342.4482758620688</v>
      </c>
      <c r="BP113" s="72"/>
      <c r="BQ113" s="72"/>
      <c r="BR113" s="72"/>
      <c r="BS113" s="72"/>
      <c r="BT113" s="5">
        <f t="shared" si="48"/>
        <v>-1341.5300553038794</v>
      </c>
      <c r="BU113" s="72"/>
      <c r="BV113" s="72"/>
      <c r="BW113" s="72"/>
      <c r="BX113" s="72"/>
      <c r="BY113" s="5">
        <f t="shared" si="49"/>
        <v>-1403.0130485396553</v>
      </c>
      <c r="BZ113" s="72"/>
      <c r="CA113" s="72"/>
      <c r="CB113" s="72"/>
      <c r="CC113" s="72"/>
      <c r="CD113" s="5">
        <f t="shared" si="50"/>
        <v>-1451.1299679543104</v>
      </c>
    </row>
    <row r="114" spans="1:82">
      <c r="A114" s="4"/>
      <c r="B114" s="123" t="s">
        <v>353</v>
      </c>
      <c r="C114" s="5">
        <f t="shared" si="31"/>
        <v>-41.620689655172413</v>
      </c>
      <c r="D114" s="5">
        <f t="shared" si="32"/>
        <v>-79.379310344827587</v>
      </c>
      <c r="E114" s="5">
        <f t="shared" si="33"/>
        <v>-1015.551724137931</v>
      </c>
      <c r="F114" s="5">
        <f t="shared" si="34"/>
        <v>-148.0344827586207</v>
      </c>
      <c r="G114" s="5">
        <f t="shared" si="35"/>
        <v>-345.37931034482762</v>
      </c>
      <c r="H114" s="72"/>
      <c r="I114" s="72"/>
      <c r="J114" s="72"/>
      <c r="K114" s="72"/>
      <c r="L114" s="5">
        <f t="shared" si="36"/>
        <v>-414.48275862068965</v>
      </c>
      <c r="M114" s="72"/>
      <c r="N114" s="72"/>
      <c r="O114" s="72"/>
      <c r="P114" s="72"/>
      <c r="Q114" s="5">
        <f t="shared" si="37"/>
        <v>-133.44827586206895</v>
      </c>
      <c r="R114" s="72"/>
      <c r="S114" s="72"/>
      <c r="T114" s="72"/>
      <c r="U114" s="72"/>
      <c r="V114" s="5">
        <f t="shared" si="38"/>
        <v>-200.51724137931035</v>
      </c>
      <c r="W114" s="72"/>
      <c r="X114" s="72"/>
      <c r="Y114" s="72"/>
      <c r="Z114" s="72"/>
      <c r="AA114" s="5">
        <f t="shared" si="39"/>
        <v>-316.93103448275861</v>
      </c>
      <c r="AB114" s="72"/>
      <c r="AC114" s="72"/>
      <c r="AD114" s="72"/>
      <c r="AE114" s="72"/>
      <c r="AF114" s="5">
        <f t="shared" si="40"/>
        <v>-407.20689655172413</v>
      </c>
      <c r="AG114" s="72"/>
      <c r="AH114" s="72"/>
      <c r="AI114" s="72"/>
      <c r="AJ114" s="72"/>
      <c r="AK114" s="5">
        <f t="shared" si="41"/>
        <v>-572.10344827586209</v>
      </c>
      <c r="AL114" s="72"/>
      <c r="AM114" s="72"/>
      <c r="AN114" s="72"/>
      <c r="AO114" s="72"/>
      <c r="AP114" s="5">
        <f t="shared" si="42"/>
        <v>-523.37931034482767</v>
      </c>
      <c r="AQ114" s="72"/>
      <c r="AR114" s="72"/>
      <c r="AS114" s="72"/>
      <c r="AT114" s="72"/>
      <c r="AU114" s="5">
        <f t="shared" si="43"/>
        <v>-5509.7931034482763</v>
      </c>
      <c r="AV114" s="72"/>
      <c r="AW114" s="72"/>
      <c r="AX114" s="72"/>
      <c r="AY114" s="72"/>
      <c r="AZ114" s="5">
        <f t="shared" si="44"/>
        <v>-113.86206896551724</v>
      </c>
      <c r="BA114" s="72"/>
      <c r="BB114" s="72"/>
      <c r="BC114" s="72"/>
      <c r="BD114" s="72"/>
      <c r="BE114" s="5">
        <f t="shared" si="45"/>
        <v>-21.103448275862071</v>
      </c>
      <c r="BF114" s="72"/>
      <c r="BG114" s="72"/>
      <c r="BH114" s="72"/>
      <c r="BI114" s="72"/>
      <c r="BJ114" s="5">
        <f t="shared" si="46"/>
        <v>-244.68965517241381</v>
      </c>
      <c r="BK114" s="72"/>
      <c r="BL114" s="72"/>
      <c r="BM114" s="72"/>
      <c r="BN114" s="72"/>
      <c r="BO114" s="5">
        <f t="shared" si="47"/>
        <v>-174.55172413793105</v>
      </c>
      <c r="BP114" s="72"/>
      <c r="BQ114" s="72"/>
      <c r="BR114" s="72"/>
      <c r="BS114" s="72"/>
      <c r="BT114" s="5">
        <f t="shared" si="48"/>
        <v>0</v>
      </c>
      <c r="BU114" s="72"/>
      <c r="BV114" s="72"/>
      <c r="BW114" s="72"/>
      <c r="BX114" s="72"/>
      <c r="BY114" s="5">
        <f t="shared" si="49"/>
        <v>0</v>
      </c>
      <c r="BZ114" s="72"/>
      <c r="CA114" s="72"/>
      <c r="CB114" s="72"/>
      <c r="CC114" s="72"/>
      <c r="CD114" s="5">
        <f t="shared" si="50"/>
        <v>0</v>
      </c>
    </row>
    <row r="115" spans="1:82">
      <c r="A115" s="5"/>
      <c r="B115" s="124" t="s">
        <v>2950</v>
      </c>
      <c r="C115" s="8">
        <f t="shared" si="31"/>
        <v>16337.206896551725</v>
      </c>
      <c r="D115" s="8">
        <f t="shared" si="32"/>
        <v>17576.896551724138</v>
      </c>
      <c r="E115" s="8">
        <f t="shared" si="33"/>
        <v>18361</v>
      </c>
      <c r="F115" s="8">
        <f t="shared" si="34"/>
        <v>18297.275862068964</v>
      </c>
      <c r="G115" s="8">
        <f t="shared" si="35"/>
        <v>17893.275862068964</v>
      </c>
      <c r="H115" s="73"/>
      <c r="I115" s="73"/>
      <c r="J115" s="73"/>
      <c r="K115" s="73"/>
      <c r="L115" s="8">
        <f t="shared" si="36"/>
        <v>17700.137931034482</v>
      </c>
      <c r="M115" s="73"/>
      <c r="N115" s="73"/>
      <c r="O115" s="73"/>
      <c r="P115" s="73"/>
      <c r="Q115" s="8">
        <f t="shared" si="37"/>
        <v>17814.379310344826</v>
      </c>
      <c r="R115" s="73"/>
      <c r="S115" s="73"/>
      <c r="T115" s="73"/>
      <c r="U115" s="73"/>
      <c r="V115" s="8">
        <f t="shared" si="38"/>
        <v>18147.482758620688</v>
      </c>
      <c r="W115" s="73"/>
      <c r="X115" s="73"/>
      <c r="Y115" s="73"/>
      <c r="Z115" s="73"/>
      <c r="AA115" s="8">
        <f t="shared" si="39"/>
        <v>18292.034482758623</v>
      </c>
      <c r="AB115" s="73"/>
      <c r="AC115" s="73"/>
      <c r="AD115" s="73"/>
      <c r="AE115" s="73"/>
      <c r="AF115" s="8">
        <f t="shared" si="40"/>
        <v>18071.068965517243</v>
      </c>
      <c r="AG115" s="73"/>
      <c r="AH115" s="73"/>
      <c r="AI115" s="73"/>
      <c r="AJ115" s="73"/>
      <c r="AK115" s="8">
        <f t="shared" si="41"/>
        <v>17747.586206896551</v>
      </c>
      <c r="AL115" s="73"/>
      <c r="AM115" s="73"/>
      <c r="AN115" s="73"/>
      <c r="AO115" s="73"/>
      <c r="AP115" s="8">
        <f t="shared" si="42"/>
        <v>16999.137931034482</v>
      </c>
      <c r="AQ115" s="73"/>
      <c r="AR115" s="73"/>
      <c r="AS115" s="73"/>
      <c r="AT115" s="73"/>
      <c r="AU115" s="8">
        <f t="shared" si="43"/>
        <v>17996.724137931036</v>
      </c>
      <c r="AV115" s="73"/>
      <c r="AW115" s="73"/>
      <c r="AX115" s="73"/>
      <c r="AY115" s="73"/>
      <c r="AZ115" s="8">
        <f t="shared" si="44"/>
        <v>17525.379310344826</v>
      </c>
      <c r="BA115" s="73"/>
      <c r="BB115" s="73"/>
      <c r="BC115" s="73"/>
      <c r="BD115" s="73"/>
      <c r="BE115" s="8">
        <f t="shared" si="45"/>
        <v>17182.172413793101</v>
      </c>
      <c r="BF115" s="73"/>
      <c r="BG115" s="73"/>
      <c r="BH115" s="73"/>
      <c r="BI115" s="73"/>
      <c r="BJ115" s="8">
        <f t="shared" si="46"/>
        <v>17812.241379310344</v>
      </c>
      <c r="BK115" s="73"/>
      <c r="BL115" s="73"/>
      <c r="BM115" s="73"/>
      <c r="BN115" s="73"/>
      <c r="BO115" s="8">
        <f t="shared" si="47"/>
        <v>18442.793103448275</v>
      </c>
      <c r="BP115" s="73"/>
      <c r="BQ115" s="73"/>
      <c r="BR115" s="73"/>
      <c r="BS115" s="73"/>
      <c r="BT115" s="8">
        <f t="shared" si="48"/>
        <v>17467.929714811064</v>
      </c>
      <c r="BU115" s="73"/>
      <c r="BV115" s="73"/>
      <c r="BW115" s="73"/>
      <c r="BX115" s="73"/>
      <c r="BY115" s="8">
        <f t="shared" si="49"/>
        <v>16431.583332938077</v>
      </c>
      <c r="BZ115" s="73"/>
      <c r="CA115" s="73"/>
      <c r="CB115" s="73"/>
      <c r="CC115" s="73"/>
      <c r="CD115" s="8">
        <f t="shared" si="50"/>
        <v>15347.120031650433</v>
      </c>
    </row>
    <row r="116" spans="1:82">
      <c r="A116" s="5"/>
      <c r="B116" s="121" t="s">
        <v>2517</v>
      </c>
      <c r="C116" s="5">
        <f t="shared" si="31"/>
        <v>9648.7931034482754</v>
      </c>
      <c r="D116" s="5">
        <f t="shared" si="32"/>
        <v>9871.4482758620688</v>
      </c>
      <c r="E116" s="5">
        <f t="shared" si="33"/>
        <v>9939.2758620689656</v>
      </c>
      <c r="F116" s="5">
        <f t="shared" si="34"/>
        <v>9987.6551724137935</v>
      </c>
      <c r="G116" s="5">
        <f t="shared" si="35"/>
        <v>9619.0689655172409</v>
      </c>
      <c r="H116" s="72"/>
      <c r="I116" s="72"/>
      <c r="J116" s="72"/>
      <c r="K116" s="72"/>
      <c r="L116" s="5">
        <f t="shared" si="36"/>
        <v>9788.3448275862065</v>
      </c>
      <c r="M116" s="72"/>
      <c r="N116" s="72"/>
      <c r="O116" s="72"/>
      <c r="P116" s="72"/>
      <c r="Q116" s="5">
        <f t="shared" si="37"/>
        <v>9783.5172413793116</v>
      </c>
      <c r="R116" s="72"/>
      <c r="S116" s="72"/>
      <c r="T116" s="72"/>
      <c r="U116" s="72"/>
      <c r="V116" s="5">
        <f t="shared" si="38"/>
        <v>9931.8620689655181</v>
      </c>
      <c r="W116" s="72"/>
      <c r="X116" s="72"/>
      <c r="Y116" s="72"/>
      <c r="Z116" s="72"/>
      <c r="AA116" s="5">
        <f t="shared" si="39"/>
        <v>10340.48275862069</v>
      </c>
      <c r="AB116" s="72"/>
      <c r="AC116" s="72"/>
      <c r="AD116" s="72"/>
      <c r="AE116" s="72"/>
      <c r="AF116" s="5">
        <f t="shared" si="40"/>
        <v>10173.517241379312</v>
      </c>
      <c r="AG116" s="72"/>
      <c r="AH116" s="72"/>
      <c r="AI116" s="72"/>
      <c r="AJ116" s="72"/>
      <c r="AK116" s="5">
        <f t="shared" si="41"/>
        <v>9828.5517241379312</v>
      </c>
      <c r="AL116" s="72"/>
      <c r="AM116" s="72"/>
      <c r="AN116" s="72"/>
      <c r="AO116" s="72"/>
      <c r="AP116" s="5">
        <f t="shared" si="42"/>
        <v>9473.7931034482754</v>
      </c>
      <c r="AQ116" s="72"/>
      <c r="AR116" s="72"/>
      <c r="AS116" s="72"/>
      <c r="AT116" s="72"/>
      <c r="AU116" s="5">
        <f t="shared" si="43"/>
        <v>9916.2068965517246</v>
      </c>
      <c r="AV116" s="72"/>
      <c r="AW116" s="72"/>
      <c r="AX116" s="72"/>
      <c r="AY116" s="72"/>
      <c r="AZ116" s="5">
        <f t="shared" si="44"/>
        <v>9736.0689655172409</v>
      </c>
      <c r="BA116" s="72"/>
      <c r="BB116" s="72"/>
      <c r="BC116" s="72"/>
      <c r="BD116" s="72"/>
      <c r="BE116" s="5">
        <f t="shared" si="45"/>
        <v>9493.8275862068967</v>
      </c>
      <c r="BF116" s="72"/>
      <c r="BG116" s="72"/>
      <c r="BH116" s="72"/>
      <c r="BI116" s="72"/>
      <c r="BJ116" s="5">
        <f t="shared" si="46"/>
        <v>10013.275862068966</v>
      </c>
      <c r="BK116" s="72"/>
      <c r="BL116" s="72"/>
      <c r="BM116" s="72"/>
      <c r="BN116" s="72"/>
      <c r="BO116" s="5">
        <f t="shared" si="47"/>
        <v>10381.620689655172</v>
      </c>
      <c r="BP116" s="72"/>
      <c r="BQ116" s="72"/>
      <c r="BR116" s="72"/>
      <c r="BS116" s="72"/>
      <c r="BT116" s="5">
        <f t="shared" si="48"/>
        <v>9927.2753266560921</v>
      </c>
      <c r="BU116" s="72"/>
      <c r="BV116" s="72"/>
      <c r="BW116" s="72"/>
      <c r="BX116" s="72"/>
      <c r="BY116" s="5">
        <f t="shared" si="49"/>
        <v>9483.7539381640945</v>
      </c>
      <c r="BZ116" s="72"/>
      <c r="CA116" s="72"/>
      <c r="CB116" s="72"/>
      <c r="CC116" s="72"/>
      <c r="CD116" s="5">
        <f t="shared" si="50"/>
        <v>8983.6558718408451</v>
      </c>
    </row>
    <row r="117" spans="1:82">
      <c r="A117" s="5"/>
      <c r="B117" s="121" t="s">
        <v>2481</v>
      </c>
      <c r="C117" s="5">
        <f t="shared" si="31"/>
        <v>6688.4137931034484</v>
      </c>
      <c r="D117" s="5">
        <f t="shared" si="32"/>
        <v>7705.4482758620688</v>
      </c>
      <c r="E117" s="5">
        <f t="shared" si="33"/>
        <v>8421.7241379310344</v>
      </c>
      <c r="F117" s="5">
        <f t="shared" si="34"/>
        <v>8309.6206896551721</v>
      </c>
      <c r="G117" s="5">
        <f t="shared" si="35"/>
        <v>8274.2068965517246</v>
      </c>
      <c r="H117" s="72"/>
      <c r="I117" s="72"/>
      <c r="J117" s="72"/>
      <c r="K117" s="72"/>
      <c r="L117" s="5">
        <f t="shared" si="36"/>
        <v>7911.7931034482763</v>
      </c>
      <c r="M117" s="72"/>
      <c r="N117" s="72"/>
      <c r="O117" s="72"/>
      <c r="P117" s="72"/>
      <c r="Q117" s="5">
        <f t="shared" si="37"/>
        <v>8030.8620689655172</v>
      </c>
      <c r="R117" s="72"/>
      <c r="S117" s="72"/>
      <c r="T117" s="72"/>
      <c r="U117" s="72"/>
      <c r="V117" s="5">
        <f t="shared" si="38"/>
        <v>8215.6206896551721</v>
      </c>
      <c r="W117" s="72"/>
      <c r="X117" s="72"/>
      <c r="Y117" s="72"/>
      <c r="Z117" s="72"/>
      <c r="AA117" s="5">
        <f t="shared" si="39"/>
        <v>7951.5517241379312</v>
      </c>
      <c r="AB117" s="72"/>
      <c r="AC117" s="72"/>
      <c r="AD117" s="72"/>
      <c r="AE117" s="72"/>
      <c r="AF117" s="5">
        <f t="shared" si="40"/>
        <v>7897.5517241379312</v>
      </c>
      <c r="AG117" s="72"/>
      <c r="AH117" s="72"/>
      <c r="AI117" s="72"/>
      <c r="AJ117" s="72"/>
      <c r="AK117" s="5">
        <f t="shared" si="41"/>
        <v>7919.0344827586214</v>
      </c>
      <c r="AL117" s="72"/>
      <c r="AM117" s="72"/>
      <c r="AN117" s="72"/>
      <c r="AO117" s="72"/>
      <c r="AP117" s="5">
        <f t="shared" si="42"/>
        <v>7525.3448275862065</v>
      </c>
      <c r="AQ117" s="72"/>
      <c r="AR117" s="72"/>
      <c r="AS117" s="72"/>
      <c r="AT117" s="72"/>
      <c r="AU117" s="5">
        <f t="shared" si="43"/>
        <v>8080.5172413793107</v>
      </c>
      <c r="AV117" s="72"/>
      <c r="AW117" s="72"/>
      <c r="AX117" s="72"/>
      <c r="AY117" s="72"/>
      <c r="AZ117" s="5">
        <f t="shared" si="44"/>
        <v>7787.1379310344828</v>
      </c>
      <c r="BA117" s="72"/>
      <c r="BB117" s="72"/>
      <c r="BC117" s="72"/>
      <c r="BD117" s="72"/>
      <c r="BE117" s="5">
        <f t="shared" si="45"/>
        <v>7686.1724137931033</v>
      </c>
      <c r="BF117" s="72"/>
      <c r="BG117" s="72"/>
      <c r="BH117" s="72"/>
      <c r="BI117" s="72"/>
      <c r="BJ117" s="5">
        <f t="shared" si="46"/>
        <v>7796.9655172413795</v>
      </c>
      <c r="BK117" s="72"/>
      <c r="BL117" s="72"/>
      <c r="BM117" s="72"/>
      <c r="BN117" s="72"/>
      <c r="BO117" s="5">
        <f t="shared" si="47"/>
        <v>8060.1724137931033</v>
      </c>
      <c r="BP117" s="72"/>
      <c r="BQ117" s="72"/>
      <c r="BR117" s="72"/>
      <c r="BS117" s="72"/>
      <c r="BT117" s="5">
        <f t="shared" si="48"/>
        <v>7540.6543881549715</v>
      </c>
      <c r="BU117" s="72"/>
      <c r="BV117" s="72"/>
      <c r="BW117" s="72"/>
      <c r="BX117" s="72"/>
      <c r="BY117" s="5">
        <f t="shared" si="49"/>
        <v>6947.8293947739839</v>
      </c>
      <c r="BZ117" s="72"/>
      <c r="CA117" s="72"/>
      <c r="CB117" s="72"/>
      <c r="CC117" s="72"/>
      <c r="CD117" s="5">
        <f t="shared" si="50"/>
        <v>6363.4641598095877</v>
      </c>
    </row>
    <row r="118" spans="1:82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</row>
    <row r="119" spans="1:82">
      <c r="A119" s="13" t="s">
        <v>3020</v>
      </c>
      <c r="B119" s="13"/>
      <c r="C119" s="142">
        <f>C116/C115</f>
        <v>0.59060236945917821</v>
      </c>
      <c r="D119" s="142">
        <f>D116/D115</f>
        <v>0.56161497263257021</v>
      </c>
      <c r="E119" s="142">
        <f>E116/E115</f>
        <v>0.54132541049338079</v>
      </c>
      <c r="F119" s="142">
        <f>F116/F115</f>
        <v>0.54585476262718591</v>
      </c>
      <c r="G119" s="142">
        <f>G116/G115</f>
        <v>0.53758009654946481</v>
      </c>
      <c r="H119" s="72"/>
      <c r="I119" s="72"/>
      <c r="J119" s="72"/>
      <c r="K119" s="72"/>
      <c r="L119" s="142">
        <f>L116/L115</f>
        <v>0.55300952262207193</v>
      </c>
      <c r="M119" s="72"/>
      <c r="N119" s="72"/>
      <c r="O119" s="72"/>
      <c r="P119" s="72"/>
      <c r="Q119" s="142">
        <f>Q116/Q115</f>
        <v>0.54919214814843498</v>
      </c>
      <c r="R119" s="72"/>
      <c r="S119" s="72"/>
      <c r="T119" s="72"/>
      <c r="U119" s="72"/>
      <c r="V119" s="142">
        <f>V116/V115</f>
        <v>0.54728593497340761</v>
      </c>
      <c r="W119" s="72"/>
      <c r="X119" s="72"/>
      <c r="Y119" s="72"/>
      <c r="Z119" s="72"/>
      <c r="AA119" s="142">
        <f>AA116/AA115</f>
        <v>0.56529976303987595</v>
      </c>
      <c r="AB119" s="72"/>
      <c r="AC119" s="72"/>
      <c r="AD119" s="72"/>
      <c r="AE119" s="72"/>
      <c r="AF119" s="142">
        <f>AF116/AF115</f>
        <v>0.56297263104867568</v>
      </c>
      <c r="AG119" s="72"/>
      <c r="AH119" s="72"/>
      <c r="AI119" s="72"/>
      <c r="AJ119" s="72"/>
      <c r="AK119" s="142">
        <f>AK116/AK115</f>
        <v>0.55379653376855531</v>
      </c>
      <c r="AL119" s="72"/>
      <c r="AM119" s="72"/>
      <c r="AN119" s="72"/>
      <c r="AO119" s="72"/>
      <c r="AP119" s="142">
        <f>AP116/AP115</f>
        <v>0.55731020842841927</v>
      </c>
      <c r="AQ119" s="72"/>
      <c r="AR119" s="72"/>
      <c r="AS119" s="72"/>
      <c r="AT119" s="72"/>
      <c r="AU119" s="142">
        <f>AU116/AU115</f>
        <v>0.55100066103984435</v>
      </c>
      <c r="AV119" s="72"/>
      <c r="AW119" s="72"/>
      <c r="AX119" s="72"/>
      <c r="AY119" s="72"/>
      <c r="AZ119" s="142">
        <f>AZ116/AZ115</f>
        <v>0.55554112656325016</v>
      </c>
      <c r="BA119" s="72"/>
      <c r="BB119" s="72"/>
      <c r="BC119" s="72"/>
      <c r="BD119" s="72"/>
      <c r="BE119" s="142">
        <f>BE116/BE115</f>
        <v>0.55253942036954906</v>
      </c>
      <c r="BF119" s="72"/>
      <c r="BG119" s="72"/>
      <c r="BH119" s="72"/>
      <c r="BI119" s="72"/>
      <c r="BJ119" s="142">
        <f>BJ116/BJ115</f>
        <v>0.56215698231553268</v>
      </c>
      <c r="BK119" s="72"/>
      <c r="BL119" s="72"/>
      <c r="BM119" s="72"/>
      <c r="BN119" s="72"/>
      <c r="BO119" s="142">
        <f>BO116/BO115</f>
        <v>0.56290935062943936</v>
      </c>
      <c r="BP119" s="72"/>
      <c r="BQ119" s="72"/>
      <c r="BR119" s="72"/>
      <c r="BS119" s="72"/>
      <c r="BT119" s="142">
        <f>BT116/BT115</f>
        <v>0.56831436173221783</v>
      </c>
      <c r="BU119" s="72"/>
      <c r="BV119" s="72"/>
      <c r="BW119" s="72"/>
      <c r="BX119" s="72"/>
      <c r="BY119" s="142">
        <f>BY116/BY115</f>
        <v>0.57716616506172913</v>
      </c>
      <c r="BZ119" s="72"/>
      <c r="CA119" s="72"/>
      <c r="CB119" s="72"/>
      <c r="CC119" s="72"/>
      <c r="CD119" s="142">
        <f>CD116/CD115</f>
        <v>0.58536428028931897</v>
      </c>
    </row>
    <row r="120" spans="1:82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</row>
    <row r="121" spans="1:82">
      <c r="A121" s="11" t="s">
        <v>1537</v>
      </c>
      <c r="B121" s="11"/>
      <c r="C121" s="5">
        <f>SUM(C109,C110,C112)</f>
        <v>2354.2068965517242</v>
      </c>
      <c r="D121" s="5">
        <f>SUM(D109,D110,D112)</f>
        <v>2131.7931034482758</v>
      </c>
      <c r="E121" s="5">
        <f>SUM(E109,E110,E112)</f>
        <v>1445.0344827586207</v>
      </c>
      <c r="F121" s="5">
        <f>SUM(F109,F110,F112)</f>
        <v>1302.0000000000002</v>
      </c>
      <c r="G121" s="5">
        <f>SUM(G109,G110,G112)</f>
        <v>1401.3793103448277</v>
      </c>
      <c r="H121" s="72"/>
      <c r="I121" s="72"/>
      <c r="J121" s="72"/>
      <c r="K121" s="72"/>
      <c r="L121" s="5">
        <f>SUM(L109,L110,L112)</f>
        <v>1636.0344827586209</v>
      </c>
      <c r="M121" s="72"/>
      <c r="N121" s="72"/>
      <c r="O121" s="72"/>
      <c r="P121" s="72"/>
      <c r="Q121" s="5">
        <f>SUM(Q109,Q110,Q112)</f>
        <v>1581.4827586206895</v>
      </c>
      <c r="R121" s="72"/>
      <c r="S121" s="72"/>
      <c r="T121" s="72"/>
      <c r="U121" s="72"/>
      <c r="V121" s="5">
        <f>SUM(V109,V110,V112)</f>
        <v>1729.7586206896551</v>
      </c>
      <c r="W121" s="72"/>
      <c r="X121" s="72"/>
      <c r="Y121" s="72"/>
      <c r="Z121" s="72"/>
      <c r="AA121" s="5">
        <f>SUM(AA109,AA110,AA112)</f>
        <v>1907.5517241379312</v>
      </c>
      <c r="AB121" s="72"/>
      <c r="AC121" s="72"/>
      <c r="AD121" s="72"/>
      <c r="AE121" s="72"/>
      <c r="AF121" s="5">
        <f>SUM(AF109,AF110,AF112)</f>
        <v>1502.8275862068967</v>
      </c>
      <c r="AG121" s="72"/>
      <c r="AH121" s="72"/>
      <c r="AI121" s="72"/>
      <c r="AJ121" s="72"/>
      <c r="AK121" s="5">
        <f>SUM(AK109,AK110,AK112)</f>
        <v>1319.4137931034484</v>
      </c>
      <c r="AL121" s="72"/>
      <c r="AM121" s="72"/>
      <c r="AN121" s="72"/>
      <c r="AO121" s="72"/>
      <c r="AP121" s="5">
        <f>SUM(AP109,AP110,AP112)</f>
        <v>953.93103448275872</v>
      </c>
      <c r="AQ121" s="72"/>
      <c r="AR121" s="72"/>
      <c r="AS121" s="72"/>
      <c r="AT121" s="72"/>
      <c r="AU121" s="5">
        <f>SUM(AU109,AU110,AU112)</f>
        <v>1564.6206896551726</v>
      </c>
      <c r="AV121" s="72"/>
      <c r="AW121" s="72"/>
      <c r="AX121" s="72"/>
      <c r="AY121" s="72"/>
      <c r="AZ121" s="5">
        <f>SUM(AZ109,AZ110,AZ112)</f>
        <v>743.82758620689651</v>
      </c>
      <c r="BA121" s="72"/>
      <c r="BB121" s="72"/>
      <c r="BC121" s="72"/>
      <c r="BD121" s="72"/>
      <c r="BE121" s="5">
        <f>SUM(BE109,BE110,BE112)</f>
        <v>751.13793103448279</v>
      </c>
      <c r="BF121" s="72"/>
      <c r="BG121" s="72"/>
      <c r="BH121" s="72"/>
      <c r="BI121" s="72"/>
      <c r="BJ121" s="5">
        <f>SUM(BJ109,BJ110,BJ112)</f>
        <v>1335.7241379310344</v>
      </c>
      <c r="BK121" s="72"/>
      <c r="BL121" s="72"/>
      <c r="BM121" s="72"/>
      <c r="BN121" s="72"/>
      <c r="BO121" s="5">
        <f>SUM(BO109,BO110,BO112)</f>
        <v>1925.0689655172414</v>
      </c>
      <c r="BP121" s="72"/>
      <c r="BQ121" s="72"/>
      <c r="BR121" s="72"/>
      <c r="BS121" s="72"/>
      <c r="BT121" s="5">
        <f>SUM(Capex!BT86:BT87)/BT183</f>
        <v>366.66666666666669</v>
      </c>
      <c r="BU121" s="72"/>
      <c r="BV121" s="72"/>
      <c r="BW121" s="72"/>
      <c r="BX121" s="72"/>
      <c r="BY121" s="5">
        <f>SUM(Capex!BY86:BY87)/BY183</f>
        <v>366.66666666666669</v>
      </c>
      <c r="BZ121" s="72"/>
      <c r="CA121" s="72"/>
      <c r="CB121" s="72"/>
      <c r="CC121" s="72"/>
      <c r="CD121" s="5">
        <f>SUM(Capex!CD86:CD87)/CD183</f>
        <v>366.66666666666669</v>
      </c>
    </row>
    <row r="122" spans="1:82">
      <c r="A122" s="11"/>
      <c r="B122" s="11" t="s">
        <v>1916</v>
      </c>
      <c r="C122" s="116">
        <f>SUM(C48,C49,C51)/C121</f>
        <v>0.59595441762362311</v>
      </c>
      <c r="D122" s="116">
        <f>SUM(D48,D49,D51)/D121</f>
        <v>0.51505936398046004</v>
      </c>
      <c r="E122" s="116">
        <f>SUM(E48,E49,E51)/E121</f>
        <v>0.36954135445998187</v>
      </c>
      <c r="F122" s="116">
        <f>SUM(F48,F49,F51)/F121</f>
        <v>0.41244239631336399</v>
      </c>
      <c r="G122" s="116">
        <f>SUM(G48,G49,G51)/G121</f>
        <v>0.44242125984251968</v>
      </c>
      <c r="H122" s="72"/>
      <c r="I122" s="72"/>
      <c r="J122" s="72"/>
      <c r="K122" s="72"/>
      <c r="L122" s="116">
        <f>SUM(L48,L49,L51)/L121</f>
        <v>0.86489619559489928</v>
      </c>
      <c r="M122" s="72"/>
      <c r="N122" s="72"/>
      <c r="O122" s="72"/>
      <c r="P122" s="72"/>
      <c r="Q122" s="116">
        <f>SUM(Q48,Q49,Q51)/Q121</f>
        <v>0.76953099448357065</v>
      </c>
      <c r="R122" s="72"/>
      <c r="S122" s="72"/>
      <c r="T122" s="72"/>
      <c r="U122" s="72"/>
      <c r="V122" s="116">
        <f>SUM(V48,V49,V51)/V121</f>
        <v>0.66598887626338144</v>
      </c>
      <c r="W122" s="72"/>
      <c r="X122" s="72"/>
      <c r="Y122" s="72"/>
      <c r="Z122" s="72"/>
      <c r="AA122" s="116">
        <f>SUM(AA48,AA49,AA51)/AA121</f>
        <v>0.64795097525262568</v>
      </c>
      <c r="AB122" s="72"/>
      <c r="AC122" s="72"/>
      <c r="AD122" s="72"/>
      <c r="AE122" s="72"/>
      <c r="AF122" s="116">
        <f>SUM(AF48,AF49,AF51)/AF121</f>
        <v>0.74725804231104576</v>
      </c>
      <c r="AG122" s="72"/>
      <c r="AH122" s="72"/>
      <c r="AI122" s="72"/>
      <c r="AJ122" s="72"/>
      <c r="AK122" s="116">
        <f>SUM(AK48,AK49,AK51)/AK121</f>
        <v>0.6798473721349606</v>
      </c>
      <c r="AL122" s="72"/>
      <c r="AM122" s="72"/>
      <c r="AN122" s="72"/>
      <c r="AO122" s="72"/>
      <c r="AP122" s="116">
        <f>SUM(AP48,AP49,AP51)/AP121</f>
        <v>0.45705610179294387</v>
      </c>
      <c r="AQ122" s="72"/>
      <c r="AR122" s="72"/>
      <c r="AS122" s="72"/>
      <c r="AT122" s="72"/>
      <c r="AU122" s="116">
        <f>SUM(AU48,AU49,AU51)/AU121</f>
        <v>0.42885793626305813</v>
      </c>
      <c r="AV122" s="72"/>
      <c r="AW122" s="72"/>
      <c r="AX122" s="72"/>
      <c r="AY122" s="72"/>
      <c r="AZ122" s="116">
        <f>SUM(AZ48,AZ49,AZ51)/AZ121</f>
        <v>0.67085438783551998</v>
      </c>
      <c r="BA122" s="72"/>
      <c r="BB122" s="72"/>
      <c r="BC122" s="72"/>
      <c r="BD122" s="72"/>
      <c r="BE122" s="116">
        <f>SUM(BE48,BE49,BE51)/BE121</f>
        <v>0.60175366111187623</v>
      </c>
      <c r="BF122" s="72"/>
      <c r="BG122" s="72"/>
      <c r="BH122" s="72"/>
      <c r="BI122" s="72"/>
      <c r="BJ122" s="116">
        <f>SUM(BJ48,BJ49,BJ51)/BJ121</f>
        <v>0.73667905824039659</v>
      </c>
      <c r="BK122" s="72"/>
      <c r="BL122" s="72"/>
      <c r="BM122" s="72"/>
      <c r="BN122" s="72"/>
      <c r="BO122" s="116">
        <f>SUM(BO48,BO49,BO51)/BO121</f>
        <v>0.62231536711626989</v>
      </c>
      <c r="BP122" s="72"/>
      <c r="BQ122" s="72"/>
      <c r="BR122" s="72"/>
      <c r="BS122" s="72"/>
      <c r="BT122" s="127">
        <v>0.5</v>
      </c>
      <c r="BU122" s="72"/>
      <c r="BV122" s="72"/>
      <c r="BW122" s="72"/>
      <c r="BX122" s="72"/>
      <c r="BY122" s="127">
        <v>0.5</v>
      </c>
      <c r="BZ122" s="72"/>
      <c r="CA122" s="72"/>
      <c r="CB122" s="72"/>
      <c r="CC122" s="72"/>
      <c r="CD122" s="127">
        <v>0.5</v>
      </c>
    </row>
    <row r="123" spans="1:82">
      <c r="A123" s="11"/>
      <c r="B123" s="11"/>
      <c r="C123" s="5"/>
      <c r="D123" s="5"/>
      <c r="E123" s="5"/>
      <c r="F123" s="5"/>
      <c r="G123" s="5"/>
      <c r="H123" s="49"/>
      <c r="I123" s="49"/>
      <c r="J123" s="49"/>
      <c r="K123" s="49"/>
      <c r="L123" s="5"/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49"/>
      <c r="X123" s="49"/>
      <c r="Y123" s="49"/>
      <c r="Z123" s="49"/>
      <c r="AA123" s="49"/>
      <c r="AB123" s="49"/>
      <c r="AC123" s="49"/>
      <c r="AD123" s="49"/>
      <c r="AE123" s="49"/>
      <c r="AF123" s="49"/>
      <c r="AG123" s="49"/>
      <c r="AH123" s="49"/>
      <c r="AI123" s="49"/>
      <c r="AJ123" s="49"/>
      <c r="AK123" s="49"/>
      <c r="AL123" s="49"/>
      <c r="AM123" s="49"/>
      <c r="AN123" s="49"/>
      <c r="AO123" s="49"/>
      <c r="AP123" s="49"/>
      <c r="AQ123" s="49"/>
      <c r="AR123" s="49"/>
      <c r="AS123" s="49"/>
      <c r="AT123" s="49"/>
      <c r="AU123" s="49"/>
      <c r="AV123" s="49"/>
      <c r="AW123" s="49"/>
      <c r="AX123" s="49"/>
      <c r="AY123" s="49"/>
      <c r="AZ123" s="49"/>
      <c r="BA123" s="49"/>
      <c r="BB123" s="49"/>
      <c r="BC123" s="49"/>
      <c r="BD123" s="49"/>
      <c r="BE123" s="49"/>
      <c r="BF123" s="49"/>
      <c r="BG123" s="49"/>
      <c r="BH123" s="49"/>
      <c r="BI123" s="49"/>
      <c r="BJ123" s="5"/>
      <c r="BK123" s="49"/>
      <c r="BL123" s="49"/>
      <c r="BM123" s="49"/>
      <c r="BN123" s="49"/>
      <c r="BO123" s="5"/>
      <c r="BP123" s="49"/>
      <c r="BQ123" s="49"/>
      <c r="BR123" s="49"/>
      <c r="BS123" s="49"/>
      <c r="BT123" s="5"/>
      <c r="BU123" s="49"/>
      <c r="BV123" s="49"/>
      <c r="BW123" s="49"/>
      <c r="BX123" s="49"/>
      <c r="BY123" s="5"/>
      <c r="BZ123" s="49"/>
      <c r="CA123" s="49"/>
      <c r="CB123" s="49"/>
      <c r="CC123" s="49"/>
      <c r="CD123" s="5"/>
    </row>
    <row r="124" spans="1:82">
      <c r="A124" s="11" t="s">
        <v>1917</v>
      </c>
      <c r="B124" s="11"/>
      <c r="C124" s="5"/>
      <c r="D124" s="5"/>
      <c r="E124" s="5"/>
      <c r="F124" s="5"/>
      <c r="G124" s="5"/>
      <c r="H124" s="49"/>
      <c r="I124" s="49"/>
      <c r="J124" s="49"/>
      <c r="K124" s="49"/>
      <c r="L124" s="5"/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49"/>
      <c r="X124" s="49"/>
      <c r="Y124" s="49"/>
      <c r="Z124" s="49"/>
      <c r="AA124" s="49"/>
      <c r="AB124" s="49"/>
      <c r="AC124" s="49"/>
      <c r="AD124" s="49"/>
      <c r="AE124" s="49"/>
      <c r="AF124" s="49"/>
      <c r="AG124" s="49"/>
      <c r="AH124" s="49"/>
      <c r="AI124" s="49"/>
      <c r="AJ124" s="49"/>
      <c r="AK124" s="49"/>
      <c r="AL124" s="49"/>
      <c r="AM124" s="49"/>
      <c r="AN124" s="49"/>
      <c r="AO124" s="49"/>
      <c r="AP124" s="49"/>
      <c r="AQ124" s="49"/>
      <c r="AR124" s="49"/>
      <c r="AS124" s="49"/>
      <c r="AT124" s="49"/>
      <c r="AU124" s="49"/>
      <c r="AV124" s="49"/>
      <c r="AW124" s="49"/>
      <c r="AX124" s="49"/>
      <c r="AY124" s="49"/>
      <c r="AZ124" s="49"/>
      <c r="BA124" s="49"/>
      <c r="BB124" s="49"/>
      <c r="BC124" s="49"/>
      <c r="BD124" s="49"/>
      <c r="BE124" s="49"/>
      <c r="BF124" s="49"/>
      <c r="BG124" s="49"/>
      <c r="BH124" s="49"/>
      <c r="BI124" s="49"/>
      <c r="BJ124" s="5"/>
      <c r="BK124" s="49"/>
      <c r="BL124" s="49"/>
      <c r="BM124" s="49"/>
      <c r="BN124" s="49"/>
      <c r="BO124" s="5"/>
      <c r="BP124" s="49"/>
      <c r="BQ124" s="49"/>
      <c r="BR124" s="49"/>
      <c r="BS124" s="49"/>
      <c r="BT124" s="5"/>
      <c r="BU124" s="49"/>
      <c r="BV124" s="49"/>
      <c r="BW124" s="49"/>
      <c r="BX124" s="49"/>
      <c r="BY124" s="5"/>
      <c r="BZ124" s="49"/>
      <c r="CA124" s="49"/>
      <c r="CB124" s="49"/>
      <c r="CC124" s="49"/>
      <c r="CD124" s="5"/>
    </row>
    <row r="125" spans="1:82">
      <c r="A125" s="11"/>
      <c r="B125" t="s">
        <v>2033</v>
      </c>
      <c r="C125" s="72"/>
      <c r="D125" s="5">
        <f>D116-C116-D113-SUM(D111,D114)*(D119)</f>
        <v>1280.3321105088091</v>
      </c>
      <c r="E125" s="5">
        <f>E116-D116-E113-SUM(E111,E114)*(E119)</f>
        <v>1022.8955634846416</v>
      </c>
      <c r="F125" s="5">
        <f>F116-E116-F113-SUM(F111,F114)*(F119)</f>
        <v>1461.7103972970126</v>
      </c>
      <c r="G125" s="5">
        <f>G116-F116-G113-SUM(G111,G114)*(G119)</f>
        <v>1283.4291506418181</v>
      </c>
      <c r="H125" s="72"/>
      <c r="I125" s="72"/>
      <c r="J125" s="72"/>
      <c r="K125" s="72"/>
      <c r="L125" s="5">
        <f>L116-G116-L113-SUM(L111,L114)*(L119)</f>
        <v>1825.6941630878687</v>
      </c>
      <c r="M125" s="72"/>
      <c r="N125" s="72"/>
      <c r="O125" s="72"/>
      <c r="P125" s="72"/>
      <c r="Q125" s="5">
        <f>Q116-L116-Q113-SUM(Q111,Q114)*(Q119)</f>
        <v>1435.2254161072985</v>
      </c>
      <c r="R125" s="72"/>
      <c r="S125" s="72"/>
      <c r="T125" s="72"/>
      <c r="U125" s="72"/>
      <c r="V125" s="5">
        <f>V116-Q116-V113-SUM(V111,V114)*(V119)</f>
        <v>1558.8311952280535</v>
      </c>
      <c r="W125" s="72"/>
      <c r="X125" s="72"/>
      <c r="Y125" s="72"/>
      <c r="Z125" s="72"/>
      <c r="AA125" s="5">
        <f>AA116-V116-AA113-SUM(AA111,AA114)*(AA119)</f>
        <v>2048.9602745156999</v>
      </c>
      <c r="AB125" s="72"/>
      <c r="AC125" s="72"/>
      <c r="AD125" s="72"/>
      <c r="AE125" s="72"/>
      <c r="AF125" s="5">
        <f>AF116-AA116-AF113-SUM(AF111,AF114)*(AF119)</f>
        <v>1423.5191687674694</v>
      </c>
      <c r="AG125" s="72"/>
      <c r="AH125" s="72"/>
      <c r="AI125" s="72"/>
      <c r="AJ125" s="72"/>
      <c r="AK125" s="5">
        <f>AK116-AF116-AK113-SUM(AK111,AK114)*(AK119)</f>
        <v>1136.5900156240359</v>
      </c>
      <c r="AL125" s="72"/>
      <c r="AM125" s="72"/>
      <c r="AN125" s="72"/>
      <c r="AO125" s="72"/>
      <c r="AP125" s="5">
        <f>AP116-AK116-AP113-SUM(AP111,AP114)*(AP119)</f>
        <v>1145.9220615160236</v>
      </c>
      <c r="AQ125" s="72"/>
      <c r="AR125" s="72"/>
      <c r="AS125" s="72"/>
      <c r="AT125" s="72"/>
      <c r="AU125" s="5">
        <f>AU116-AP116-AU113-SUM(AU111,AU114)*(AU119)</f>
        <v>1297.8606788327522</v>
      </c>
      <c r="AV125" s="72"/>
      <c r="AW125" s="72"/>
      <c r="AX125" s="72"/>
      <c r="AY125" s="72"/>
      <c r="AZ125" s="5">
        <f>AZ116-AU116-AZ113-SUM(AZ111,AZ114)*(AZ119)</f>
        <v>1017.5626511821406</v>
      </c>
      <c r="BA125" s="72"/>
      <c r="BB125" s="72"/>
      <c r="BC125" s="72"/>
      <c r="BD125" s="72"/>
      <c r="BE125" s="5">
        <f>BE116-AZ116-BE113-SUM(BE111,BE114)*(BE119)</f>
        <v>910.48933908005665</v>
      </c>
      <c r="BF125" s="72"/>
      <c r="BG125" s="72"/>
      <c r="BH125" s="72"/>
      <c r="BI125" s="72"/>
      <c r="BJ125" s="5">
        <f>BJ116-BE116-BJ113-SUM(BJ111,BJ114)*(BJ119)</f>
        <v>1452.8120135419701</v>
      </c>
      <c r="BK125" s="72"/>
      <c r="BL125" s="72"/>
      <c r="BM125" s="72"/>
      <c r="BN125" s="72"/>
      <c r="BO125" s="5">
        <f>BO116-BJ116-BO113-SUM(BO111,BO114)*(BO119)</f>
        <v>1683.8122759525884</v>
      </c>
      <c r="BP125" s="72"/>
      <c r="BQ125" s="72"/>
      <c r="BR125" s="72"/>
      <c r="BS125" s="72"/>
      <c r="BT125" s="5">
        <f>Capex!BT88/BT187</f>
        <v>887.18469230480036</v>
      </c>
      <c r="BU125" s="72"/>
      <c r="BV125" s="72"/>
      <c r="BW125" s="72"/>
      <c r="BX125" s="72"/>
      <c r="BY125" s="5">
        <f>Capex!BY88/BY187</f>
        <v>959.49166004765686</v>
      </c>
      <c r="BZ125" s="72"/>
      <c r="CA125" s="72"/>
      <c r="CB125" s="72"/>
      <c r="CC125" s="72"/>
      <c r="CD125" s="5">
        <f>Capex!CD88/CD187</f>
        <v>951.03190163106149</v>
      </c>
    </row>
    <row r="126" spans="1:82">
      <c r="A126" s="11"/>
      <c r="B126" t="s">
        <v>759</v>
      </c>
      <c r="C126" s="72"/>
      <c r="D126" s="5">
        <f>D116-C116-D113-D111</f>
        <v>1035.3793103448279</v>
      </c>
      <c r="E126" s="5">
        <f>E116-D116-E113-E111</f>
        <v>-286.79310344827559</v>
      </c>
      <c r="F126" s="5">
        <f>F116-E116-F113-F111</f>
        <v>1266.0689655172418</v>
      </c>
      <c r="G126" s="5">
        <f>G116-F116-G113-G111</f>
        <v>1091.4137931034475</v>
      </c>
      <c r="H126" s="72"/>
      <c r="I126" s="72"/>
      <c r="J126" s="72"/>
      <c r="K126" s="72"/>
      <c r="L126" s="5">
        <f>L116-G116-L113-L111</f>
        <v>1583.9655172413795</v>
      </c>
      <c r="M126" s="72"/>
      <c r="N126" s="72"/>
      <c r="O126" s="72"/>
      <c r="P126" s="72"/>
      <c r="Q126" s="5">
        <f>Q116-L116-Q113-Q111</f>
        <v>1328.9655172413809</v>
      </c>
      <c r="R126" s="72"/>
      <c r="S126" s="72"/>
      <c r="T126" s="72"/>
      <c r="U126" s="72"/>
      <c r="V126" s="5">
        <f>V116-Q116-V113-V111</f>
        <v>1344.4827586206893</v>
      </c>
      <c r="W126" s="72"/>
      <c r="X126" s="72"/>
      <c r="Y126" s="72"/>
      <c r="Z126" s="72"/>
      <c r="AA126" s="5">
        <f>AA116-V116-AA113-AA111</f>
        <v>1854.6896551724135</v>
      </c>
      <c r="AB126" s="72"/>
      <c r="AC126" s="72"/>
      <c r="AD126" s="72"/>
      <c r="AE126" s="72"/>
      <c r="AF126" s="5">
        <f>AF116-AA116-AF113-AF111</f>
        <v>1149.6206896551732</v>
      </c>
      <c r="AG126" s="72"/>
      <c r="AH126" s="72"/>
      <c r="AI126" s="72"/>
      <c r="AJ126" s="72"/>
      <c r="AK126" s="5">
        <f>AK116-AF116-AK113-AK111</f>
        <v>725.82758620689549</v>
      </c>
      <c r="AL126" s="72"/>
      <c r="AM126" s="72"/>
      <c r="AN126" s="72"/>
      <c r="AO126" s="72"/>
      <c r="AP126" s="5">
        <f>AP116-AK116-AP113-AP111</f>
        <v>824.2413793103442</v>
      </c>
      <c r="AQ126" s="72"/>
      <c r="AR126" s="72"/>
      <c r="AS126" s="72"/>
      <c r="AT126" s="72"/>
      <c r="AU126" s="5">
        <f>AU116-AP116-AU113-AU111</f>
        <v>-4500.3448275862056</v>
      </c>
      <c r="AV126" s="72"/>
      <c r="AW126" s="72"/>
      <c r="AX126" s="72"/>
      <c r="AY126" s="72"/>
      <c r="AZ126" s="5">
        <f>AZ116-AU116-AZ113-AZ111</f>
        <v>921.17241379310246</v>
      </c>
      <c r="BA126" s="72"/>
      <c r="BB126" s="72"/>
      <c r="BC126" s="72"/>
      <c r="BD126" s="72"/>
      <c r="BE126" s="5">
        <f>BE116-AZ116-BE113-BE111</f>
        <v>831.00000000000057</v>
      </c>
      <c r="BF126" s="72"/>
      <c r="BG126" s="72"/>
      <c r="BH126" s="72"/>
      <c r="BI126" s="72"/>
      <c r="BJ126" s="5">
        <f>BJ116-BE116-BJ113-BJ111</f>
        <v>980.41379310344814</v>
      </c>
      <c r="BK126" s="72"/>
      <c r="BL126" s="72"/>
      <c r="BM126" s="72"/>
      <c r="BN126" s="72"/>
      <c r="BO126" s="5">
        <f>BO116-BJ116-BO113-BO111</f>
        <v>1488.3103448275856</v>
      </c>
      <c r="BP126" s="72"/>
      <c r="BQ126" s="72"/>
      <c r="BR126" s="72"/>
      <c r="BS126" s="72"/>
      <c r="BT126" s="72"/>
      <c r="BU126" s="72"/>
      <c r="BV126" s="72"/>
      <c r="BW126" s="72"/>
      <c r="BX126" s="72"/>
      <c r="BY126" s="72"/>
      <c r="BZ126" s="72"/>
      <c r="CA126" s="72"/>
      <c r="CB126" s="72"/>
      <c r="CC126" s="72"/>
      <c r="CD126" s="72"/>
    </row>
    <row r="127" spans="1:82">
      <c r="A127" s="11"/>
      <c r="B127" t="s">
        <v>760</v>
      </c>
      <c r="C127" s="72"/>
      <c r="D127" s="5">
        <f>D116-C116-D113-D114</f>
        <v>1571.827586206897</v>
      </c>
      <c r="E127" s="5">
        <f>E116-D116-E113-E114</f>
        <v>2385.5862068965521</v>
      </c>
      <c r="F127" s="5">
        <f>F116-E116-F113-F114</f>
        <v>1666.9655172413798</v>
      </c>
      <c r="G127" s="5">
        <f>G116-F116-G113-G114</f>
        <v>1450.5172413793096</v>
      </c>
      <c r="H127" s="72"/>
      <c r="I127" s="72"/>
      <c r="J127" s="72"/>
      <c r="K127" s="72"/>
      <c r="L127" s="5">
        <f>L116-G116-L113-L114</f>
        <v>2026.4482758620693</v>
      </c>
      <c r="M127" s="72"/>
      <c r="N127" s="72"/>
      <c r="O127" s="72"/>
      <c r="P127" s="72"/>
      <c r="Q127" s="5">
        <f>Q116-L116-Q113-Q114</f>
        <v>1535.5517241379325</v>
      </c>
      <c r="R127" s="72"/>
      <c r="S127" s="72"/>
      <c r="T127" s="72"/>
      <c r="U127" s="72"/>
      <c r="V127" s="5">
        <f>V116-Q116-V113-V114</f>
        <v>1776.0689655172409</v>
      </c>
      <c r="W127" s="72"/>
      <c r="X127" s="72"/>
      <c r="Y127" s="72"/>
      <c r="Z127" s="72"/>
      <c r="AA127" s="5">
        <f>AA116-V116-AA113-AA114</f>
        <v>2206.379310344827</v>
      </c>
      <c r="AB127" s="72"/>
      <c r="AC127" s="72"/>
      <c r="AD127" s="72"/>
      <c r="AE127" s="72"/>
      <c r="AF127" s="5">
        <f>AF116-AA116-AF113-AF114</f>
        <v>1659.0000000000009</v>
      </c>
      <c r="AG127" s="72"/>
      <c r="AH127" s="72"/>
      <c r="AI127" s="72"/>
      <c r="AJ127" s="72"/>
      <c r="AK127" s="5">
        <f>AK116-AF116-AK113-AK114</f>
        <v>1508.4482758620679</v>
      </c>
      <c r="AL127" s="72"/>
      <c r="AM127" s="72"/>
      <c r="AN127" s="72"/>
      <c r="AO127" s="72"/>
      <c r="AP127" s="5">
        <f>AP116-AK116-AP113-AP114</f>
        <v>1415.379310344827</v>
      </c>
      <c r="AQ127" s="72"/>
      <c r="AR127" s="72"/>
      <c r="AS127" s="72"/>
      <c r="AT127" s="72"/>
      <c r="AU127" s="5">
        <f>AU116-AP116-AU113-AU114</f>
        <v>7161.5862068965534</v>
      </c>
      <c r="AV127" s="72"/>
      <c r="AW127" s="72"/>
      <c r="AX127" s="72"/>
      <c r="AY127" s="72"/>
      <c r="AZ127" s="5">
        <f>AZ116-AU116-AZ113-AZ114</f>
        <v>1109.5862068965507</v>
      </c>
      <c r="BA127" s="72"/>
      <c r="BB127" s="72"/>
      <c r="BC127" s="72"/>
      <c r="BD127" s="72"/>
      <c r="BE127" s="5">
        <f>BE116-AZ116-BE113-BE114</f>
        <v>1003.6896551724144</v>
      </c>
      <c r="BF127" s="72"/>
      <c r="BG127" s="72"/>
      <c r="BH127" s="72"/>
      <c r="BI127" s="72"/>
      <c r="BJ127" s="5">
        <f>BJ116-BE116-BJ113-BJ114</f>
        <v>1989.862068965517</v>
      </c>
      <c r="BK127" s="72"/>
      <c r="BL127" s="72"/>
      <c r="BM127" s="72"/>
      <c r="BN127" s="72"/>
      <c r="BO127" s="5">
        <f>BO116-BJ116-BO113-BO114</f>
        <v>1885.3448275862065</v>
      </c>
      <c r="BP127" s="72"/>
      <c r="BQ127" s="72"/>
      <c r="BR127" s="72"/>
      <c r="BS127" s="72"/>
      <c r="BT127" s="72"/>
      <c r="BU127" s="72"/>
      <c r="BV127" s="72"/>
      <c r="BW127" s="72"/>
      <c r="BX127" s="72"/>
      <c r="BY127" s="72"/>
      <c r="BZ127" s="72"/>
      <c r="CA127" s="72"/>
      <c r="CB127" s="72"/>
      <c r="CC127" s="72"/>
      <c r="CD127" s="72"/>
    </row>
    <row r="128" spans="1:82">
      <c r="A128" s="11"/>
      <c r="B128" s="11" t="s">
        <v>765</v>
      </c>
      <c r="C128" s="72"/>
      <c r="D128" s="116">
        <f>(D55-C55-D52-SUM(D50,D53)*(D55/D54))/D125</f>
        <v>0.54062998110584515</v>
      </c>
      <c r="E128" s="116">
        <f>(E55-D55-E52-SUM(E50,E53)*(E55/E54))/E125</f>
        <v>0.42838317665119946</v>
      </c>
      <c r="F128" s="116">
        <f>(F55-E55-F52-SUM(F50,F53)*(F55/F54))/F125</f>
        <v>0.7103079017972318</v>
      </c>
      <c r="G128" s="116">
        <f>(G55-F55-G52-SUM(G50,G53)*(G55/G54))/G125</f>
        <v>0.39876092126333224</v>
      </c>
      <c r="H128" s="72"/>
      <c r="I128" s="72"/>
      <c r="J128" s="72"/>
      <c r="K128" s="72"/>
      <c r="L128" s="116">
        <f>(L55-G55-L52-SUM(L50,L53)*(L55/L54))/L125</f>
        <v>0.75144441270007489</v>
      </c>
      <c r="M128" s="72"/>
      <c r="N128" s="72"/>
      <c r="O128" s="72"/>
      <c r="P128" s="72"/>
      <c r="Q128" s="116">
        <f>(Q55-L55-Q52-SUM(Q50,Q53)*(Q55/Q54))/Q125</f>
        <v>0.5907601761653305</v>
      </c>
      <c r="R128" s="72"/>
      <c r="S128" s="72"/>
      <c r="T128" s="72"/>
      <c r="U128" s="72"/>
      <c r="V128" s="116">
        <f>(V55-Q55-V52-SUM(V50,V53)*(V55/V54))/V125</f>
        <v>0.67011090356519387</v>
      </c>
      <c r="W128" s="72"/>
      <c r="X128" s="72"/>
      <c r="Y128" s="72"/>
      <c r="Z128" s="72"/>
      <c r="AA128" s="116">
        <f>(AA55-V55-AA52-SUM(AA50,AA53)*(AA55/AA54))/AA125</f>
        <v>0.53510960524604623</v>
      </c>
      <c r="AB128" s="72"/>
      <c r="AC128" s="72"/>
      <c r="AD128" s="72"/>
      <c r="AE128" s="72"/>
      <c r="AF128" s="116">
        <f>(AF55-AA55-AF52-SUM(AF50,AF53)*(AF55/AF54))/AF125</f>
        <v>0.54238623890427307</v>
      </c>
      <c r="AG128" s="72"/>
      <c r="AH128" s="72"/>
      <c r="AI128" s="72"/>
      <c r="AJ128" s="72"/>
      <c r="AK128" s="116">
        <f>(AK55-AF55-AK52-SUM(AK50,AK53)*(AK55/AK54))/AK125</f>
        <v>0.59067576419312673</v>
      </c>
      <c r="AL128" s="72"/>
      <c r="AM128" s="72"/>
      <c r="AN128" s="72"/>
      <c r="AO128" s="72"/>
      <c r="AP128" s="116">
        <f>(AP55-AK55-AP52-SUM(AP50,AP53)*(AP55/AP54))/AP125</f>
        <v>0.51796911739417673</v>
      </c>
      <c r="AQ128" s="72"/>
      <c r="AR128" s="72"/>
      <c r="AS128" s="72"/>
      <c r="AT128" s="72"/>
      <c r="AU128" s="116">
        <f>(AU55-AP55-AU52-SUM(AU50,AU53)*(AU55/AU54))/AU125</f>
        <v>0.77068465601701586</v>
      </c>
      <c r="AV128" s="72"/>
      <c r="AW128" s="72"/>
      <c r="AX128" s="72"/>
      <c r="AY128" s="72"/>
      <c r="AZ128" s="116">
        <f>(AZ55-AU55-AZ52-SUM(AZ50,AZ53)*(AZ55/AZ54))/AZ125</f>
        <v>0.71134196298178598</v>
      </c>
      <c r="BA128" s="72"/>
      <c r="BB128" s="72"/>
      <c r="BC128" s="72"/>
      <c r="BD128" s="72"/>
      <c r="BE128" s="116">
        <f>(BE55-AZ55-BE52-SUM(BE50,BE53)*(BE55/BE54))/BE125</f>
        <v>0.64630047981751004</v>
      </c>
      <c r="BF128" s="72"/>
      <c r="BG128" s="72"/>
      <c r="BH128" s="72"/>
      <c r="BI128" s="72"/>
      <c r="BJ128" s="116">
        <f>(BJ55-BE55-BJ52-SUM(BJ50,BJ53)*(BJ55/BJ54))/BJ125</f>
        <v>0.74501131821236088</v>
      </c>
      <c r="BK128" s="72"/>
      <c r="BL128" s="72"/>
      <c r="BM128" s="72"/>
      <c r="BN128" s="72"/>
      <c r="BO128" s="116">
        <f>(BO55-BJ55-BO52-SUM(BO50,BO53)*(BO55/BO54))/BO125</f>
        <v>0.49465931945564717</v>
      </c>
      <c r="BP128" s="72"/>
      <c r="BQ128" s="72"/>
      <c r="BR128" s="72"/>
      <c r="BS128" s="72"/>
      <c r="BT128" s="127">
        <v>0.5</v>
      </c>
      <c r="BU128" s="72"/>
      <c r="BV128" s="72"/>
      <c r="BW128" s="72"/>
      <c r="BX128" s="72"/>
      <c r="BY128" s="127">
        <v>0.5</v>
      </c>
      <c r="BZ128" s="72"/>
      <c r="CA128" s="72"/>
      <c r="CB128" s="72"/>
      <c r="CC128" s="72"/>
      <c r="CD128" s="127">
        <v>0.5</v>
      </c>
    </row>
    <row r="129" spans="1:82">
      <c r="A129" s="11"/>
      <c r="B129" s="11"/>
      <c r="C129" s="5"/>
      <c r="D129" s="5"/>
      <c r="E129" s="5"/>
      <c r="F129" s="5"/>
      <c r="G129" s="5"/>
      <c r="H129" s="49"/>
      <c r="I129" s="49"/>
      <c r="J129" s="49"/>
      <c r="K129" s="49"/>
      <c r="L129" s="5"/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  <c r="X129" s="49"/>
      <c r="Y129" s="49"/>
      <c r="Z129" s="49"/>
      <c r="AA129" s="49"/>
      <c r="AB129" s="49"/>
      <c r="AC129" s="49"/>
      <c r="AD129" s="49"/>
      <c r="AE129" s="49"/>
      <c r="AF129" s="49"/>
      <c r="AG129" s="49"/>
      <c r="AH129" s="49"/>
      <c r="AI129" s="49"/>
      <c r="AJ129" s="49"/>
      <c r="AK129" s="49"/>
      <c r="AL129" s="49"/>
      <c r="AM129" s="49"/>
      <c r="AN129" s="49"/>
      <c r="AO129" s="49"/>
      <c r="AP129" s="49"/>
      <c r="AQ129" s="49"/>
      <c r="AR129" s="49"/>
      <c r="AS129" s="49"/>
      <c r="AT129" s="49"/>
      <c r="AU129" s="49"/>
      <c r="AV129" s="49"/>
      <c r="AW129" s="49"/>
      <c r="AX129" s="49"/>
      <c r="AY129" s="49"/>
      <c r="AZ129" s="49"/>
      <c r="BA129" s="49"/>
      <c r="BB129" s="49"/>
      <c r="BC129" s="49"/>
      <c r="BD129" s="49"/>
      <c r="BE129" s="49"/>
      <c r="BF129" s="49"/>
      <c r="BG129" s="49"/>
      <c r="BH129" s="49"/>
      <c r="BI129" s="49"/>
      <c r="BJ129" s="5"/>
      <c r="BK129" s="49"/>
      <c r="BL129" s="49"/>
      <c r="BM129" s="49"/>
      <c r="BN129" s="49"/>
      <c r="BO129" s="5"/>
      <c r="BP129" s="49"/>
      <c r="BQ129" s="49"/>
      <c r="BR129" s="49"/>
      <c r="BS129" s="49"/>
      <c r="BT129" s="5"/>
      <c r="BU129" s="49"/>
      <c r="BV129" s="49"/>
      <c r="BW129" s="49"/>
      <c r="BX129" s="49"/>
      <c r="BY129" s="5"/>
      <c r="BZ129" s="49"/>
      <c r="CA129" s="49"/>
      <c r="CB129" s="49"/>
      <c r="CC129" s="49"/>
      <c r="CD129" s="5"/>
    </row>
    <row r="130" spans="1:82">
      <c r="A130" s="11" t="s">
        <v>1918</v>
      </c>
      <c r="B130" s="11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</row>
    <row r="131" spans="1:82">
      <c r="A131" s="11"/>
      <c r="B131" s="11" t="s">
        <v>1919</v>
      </c>
      <c r="C131" s="116">
        <f>C54/C115</f>
        <v>0.51269473741976745</v>
      </c>
      <c r="D131" s="116">
        <f>D54/D115</f>
        <v>0.52142310635042077</v>
      </c>
      <c r="E131" s="116">
        <f>E54/E115</f>
        <v>0.54904416970753223</v>
      </c>
      <c r="F131" s="116">
        <f>F54/F115</f>
        <v>0.54292234947354145</v>
      </c>
      <c r="G131" s="116">
        <f>G54/G115</f>
        <v>0.53455834883071085</v>
      </c>
      <c r="H131" s="72"/>
      <c r="I131" s="72"/>
      <c r="J131" s="72"/>
      <c r="K131" s="72"/>
      <c r="L131" s="116">
        <f>L54/L115</f>
        <v>0.55259456384520678</v>
      </c>
      <c r="M131" s="72"/>
      <c r="N131" s="72"/>
      <c r="O131" s="72"/>
      <c r="P131" s="72"/>
      <c r="Q131" s="116">
        <f>Q54/Q115</f>
        <v>0.56544209733709894</v>
      </c>
      <c r="R131" s="72"/>
      <c r="S131" s="72"/>
      <c r="T131" s="72"/>
      <c r="U131" s="72"/>
      <c r="V131" s="116">
        <f>V54/V115</f>
        <v>0.57049234528584758</v>
      </c>
      <c r="W131" s="72"/>
      <c r="X131" s="72"/>
      <c r="Y131" s="72"/>
      <c r="Z131" s="72"/>
      <c r="AA131" s="116">
        <f>AA54/AA115</f>
        <v>0.57462170268196622</v>
      </c>
      <c r="AB131" s="72"/>
      <c r="AC131" s="72"/>
      <c r="AD131" s="72"/>
      <c r="AE131" s="72"/>
      <c r="AF131" s="116">
        <f>AF54/AF115</f>
        <v>0.59260467769973335</v>
      </c>
      <c r="AG131" s="72"/>
      <c r="AH131" s="72"/>
      <c r="AI131" s="72"/>
      <c r="AJ131" s="72"/>
      <c r="AK131" s="116">
        <f>AK54/AK115</f>
        <v>0.5952922204087977</v>
      </c>
      <c r="AL131" s="72"/>
      <c r="AM131" s="72"/>
      <c r="AN131" s="72"/>
      <c r="AO131" s="72"/>
      <c r="AP131" s="116">
        <f>AP54/AP115</f>
        <v>0.59120645063137078</v>
      </c>
      <c r="AQ131" s="72"/>
      <c r="AR131" s="72"/>
      <c r="AS131" s="72"/>
      <c r="AT131" s="72"/>
      <c r="AU131" s="116">
        <f>AU54/AU115</f>
        <v>0.5595462775792529</v>
      </c>
      <c r="AV131" s="72"/>
      <c r="AW131" s="72"/>
      <c r="AX131" s="72"/>
      <c r="AY131" s="72"/>
      <c r="AZ131" s="116">
        <f>AZ54/AZ115</f>
        <v>0.5602731801761387</v>
      </c>
      <c r="BA131" s="72"/>
      <c r="BB131" s="72"/>
      <c r="BC131" s="72"/>
      <c r="BD131" s="72"/>
      <c r="BE131" s="116">
        <f>BE54/BE115</f>
        <v>0.55650704519319349</v>
      </c>
      <c r="BF131" s="72"/>
      <c r="BG131" s="72"/>
      <c r="BH131" s="72"/>
      <c r="BI131" s="72"/>
      <c r="BJ131" s="116">
        <f>BJ54/BJ115</f>
        <v>0.58021895054737638</v>
      </c>
      <c r="BK131" s="72"/>
      <c r="BL131" s="72"/>
      <c r="BM131" s="72"/>
      <c r="BN131" s="72"/>
      <c r="BO131" s="116">
        <f>BO54/BO115</f>
        <v>0.57876266030465129</v>
      </c>
      <c r="BP131" s="72"/>
      <c r="BQ131" s="72"/>
      <c r="BR131" s="72"/>
      <c r="BS131" s="72"/>
      <c r="BT131" s="116">
        <f>BT54/BT115</f>
        <v>0.57552707880411635</v>
      </c>
      <c r="BU131" s="72"/>
      <c r="BV131" s="72"/>
      <c r="BW131" s="72"/>
      <c r="BX131" s="72"/>
      <c r="BY131" s="116">
        <f>BY54/BY115</f>
        <v>0.57347467125946505</v>
      </c>
      <c r="BZ131" s="72"/>
      <c r="CA131" s="72"/>
      <c r="CB131" s="72"/>
      <c r="CC131" s="72"/>
      <c r="CD131" s="116">
        <f>CD54/CD115</f>
        <v>0.57292442929058973</v>
      </c>
    </row>
    <row r="132" spans="1:82">
      <c r="A132" s="11"/>
      <c r="B132" s="11" t="s">
        <v>3439</v>
      </c>
      <c r="C132" s="72"/>
      <c r="D132" s="116">
        <f>(D55-C55-D52)/(D116-C116-D113)</f>
        <v>0.62581733324091393</v>
      </c>
      <c r="E132" s="116">
        <f>(E55-D55-E52)/(E116-D116-E113)</f>
        <v>0.79852004731821491</v>
      </c>
      <c r="F132" s="116">
        <f>(F55-E55-F52)/(F116-E116-F113)</f>
        <v>0.77093691116710916</v>
      </c>
      <c r="G132" s="116">
        <f>(G55-F55-G52)/(G116-F116-G113)</f>
        <v>0.421666822677775</v>
      </c>
      <c r="H132" s="72"/>
      <c r="I132" s="72"/>
      <c r="J132" s="72"/>
      <c r="K132" s="72"/>
      <c r="L132" s="116">
        <f>(L55-G55-L52)/(L116-G116-L113)</f>
        <v>0.73078486319977742</v>
      </c>
      <c r="M132" s="72"/>
      <c r="N132" s="72"/>
      <c r="O132" s="72"/>
      <c r="P132" s="72"/>
      <c r="Q132" s="116">
        <f>(Q55-L55-Q52)/(Q116-L116-Q113)</f>
        <v>0.57699023634440794</v>
      </c>
      <c r="R132" s="72"/>
      <c r="S132" s="72"/>
      <c r="T132" s="72"/>
      <c r="U132" s="72"/>
      <c r="V132" s="116">
        <f>(V55-Q55-V52)/(V116-Q116-V113)</f>
        <v>0.66262502462191697</v>
      </c>
      <c r="W132" s="72"/>
      <c r="X132" s="72"/>
      <c r="Y132" s="72"/>
      <c r="Z132" s="72"/>
      <c r="AA132" s="116">
        <f>(AA55-V55-AA52)/(AA116-V116-AA113)</f>
        <v>0.52978428295068813</v>
      </c>
      <c r="AB132" s="72"/>
      <c r="AC132" s="72"/>
      <c r="AD132" s="72"/>
      <c r="AE132" s="72"/>
      <c r="AF132" s="116">
        <f>(AF55-AA55-AF52)/(AF116-AA116-AF113)</f>
        <v>0.58556002424108822</v>
      </c>
      <c r="AG132" s="72"/>
      <c r="AH132" s="72"/>
      <c r="AI132" s="72"/>
      <c r="AJ132" s="72"/>
      <c r="AK132" s="116">
        <f>(AK55-AF55-AK52)/(AK116-AF116-AK113)</f>
        <v>0.56175885689032989</v>
      </c>
      <c r="AL132" s="72"/>
      <c r="AM132" s="72"/>
      <c r="AN132" s="72"/>
      <c r="AO132" s="72"/>
      <c r="AP132" s="116">
        <f>(AP55-AK55-AP52)/(AP116-AK116-AP113)</f>
        <v>0.54035874439461928</v>
      </c>
      <c r="AQ132" s="72"/>
      <c r="AR132" s="72"/>
      <c r="AS132" s="72"/>
      <c r="AT132" s="72"/>
      <c r="AU132" s="116">
        <f>(AU55-AP55-AU52)/(AU116-AP116-AU113)</f>
        <v>0.63446202663771822</v>
      </c>
      <c r="AV132" s="72"/>
      <c r="AW132" s="72"/>
      <c r="AX132" s="72"/>
      <c r="AY132" s="72"/>
      <c r="AZ132" s="116">
        <f>(AZ55-AU55-AZ52)/(AZ116-AU116-AZ113)</f>
        <v>0.69698019116221155</v>
      </c>
      <c r="BA132" s="72"/>
      <c r="BB132" s="72"/>
      <c r="BC132" s="72"/>
      <c r="BD132" s="72"/>
      <c r="BE132" s="116">
        <f>(BE55-AZ55-BE52)/(BE116-AZ116-BE113)</f>
        <v>0.62081066853833966</v>
      </c>
      <c r="BF132" s="72"/>
      <c r="BG132" s="72"/>
      <c r="BH132" s="72"/>
      <c r="BI132" s="72"/>
      <c r="BJ132" s="116">
        <f>(BJ55-BE55-BJ52)/(BJ116-BE116-BJ113)</f>
        <v>0.81080814068365947</v>
      </c>
      <c r="BK132" s="72"/>
      <c r="BL132" s="72"/>
      <c r="BM132" s="72"/>
      <c r="BN132" s="72"/>
      <c r="BO132" s="116">
        <f>(BO55-BJ55-BO52)/(BO116-BJ116-BO113)</f>
        <v>0.47463366456372336</v>
      </c>
      <c r="BP132" s="72"/>
      <c r="BQ132" s="72"/>
      <c r="BR132" s="72"/>
      <c r="BS132" s="72"/>
      <c r="BT132" s="116">
        <f>(BT55-BO55-BT52)/(BT116-BO116-BT113)</f>
        <v>0.49999999999999961</v>
      </c>
      <c r="BU132" s="72"/>
      <c r="BV132" s="72"/>
      <c r="BW132" s="72"/>
      <c r="BX132" s="72"/>
      <c r="BY132" s="116">
        <f>(BY55-BT55-BY52)/(BY116-BT116-BY113)</f>
        <v>0.49999999999999967</v>
      </c>
      <c r="BZ132" s="72"/>
      <c r="CA132" s="72"/>
      <c r="CB132" s="72"/>
      <c r="CC132" s="72"/>
      <c r="CD132" s="116">
        <f>(CD55-BY55-CD52)/(CD116-BY116-CD113)</f>
        <v>0.500000000000001</v>
      </c>
    </row>
    <row r="133" spans="1:82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</row>
    <row r="134" spans="1:82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</row>
    <row r="135" spans="1:82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</row>
    <row r="136" spans="1:82" ht="12.75" customHeight="1">
      <c r="A136" s="24" t="s">
        <v>612</v>
      </c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  <c r="BL136" s="11"/>
      <c r="BM136" s="11"/>
      <c r="BN136" s="11"/>
      <c r="BO136" s="11"/>
      <c r="BP136" s="11"/>
      <c r="BQ136" s="11"/>
      <c r="BR136" s="11"/>
      <c r="BS136" s="11"/>
      <c r="BT136" s="11"/>
      <c r="BU136" s="11"/>
      <c r="BV136" s="11"/>
      <c r="BW136" s="11"/>
      <c r="BX136" s="11"/>
      <c r="BY136" s="11"/>
      <c r="BZ136" s="11"/>
      <c r="CA136" s="11"/>
      <c r="CB136" s="11"/>
      <c r="CC136" s="11"/>
      <c r="CD136" s="11"/>
    </row>
    <row r="137" spans="1:82" ht="12.75" customHeight="1">
      <c r="A137" s="10"/>
      <c r="B137" s="10"/>
      <c r="C137" s="31">
        <v>2001</v>
      </c>
      <c r="D137" s="32">
        <v>2002</v>
      </c>
      <c r="E137" s="32">
        <v>2003</v>
      </c>
      <c r="F137" s="32">
        <v>2004</v>
      </c>
      <c r="G137" s="31">
        <v>2005</v>
      </c>
      <c r="H137" s="33" t="s">
        <v>714</v>
      </c>
      <c r="I137" s="33" t="s">
        <v>715</v>
      </c>
      <c r="J137" s="33" t="s">
        <v>716</v>
      </c>
      <c r="K137" s="33" t="s">
        <v>717</v>
      </c>
      <c r="L137" s="31">
        <v>2006</v>
      </c>
      <c r="M137" s="33" t="s">
        <v>718</v>
      </c>
      <c r="N137" s="33" t="s">
        <v>719</v>
      </c>
      <c r="O137" s="33" t="s">
        <v>1970</v>
      </c>
      <c r="P137" s="33" t="s">
        <v>1971</v>
      </c>
      <c r="Q137" s="31">
        <v>2007</v>
      </c>
      <c r="R137" s="33" t="s">
        <v>1972</v>
      </c>
      <c r="S137" s="33" t="s">
        <v>1973</v>
      </c>
      <c r="T137" s="33" t="s">
        <v>1974</v>
      </c>
      <c r="U137" s="33" t="s">
        <v>1975</v>
      </c>
      <c r="V137" s="31">
        <v>2008</v>
      </c>
      <c r="W137" s="33" t="s">
        <v>1976</v>
      </c>
      <c r="X137" s="33" t="s">
        <v>1977</v>
      </c>
      <c r="Y137" s="33" t="s">
        <v>1978</v>
      </c>
      <c r="Z137" s="33" t="s">
        <v>1979</v>
      </c>
      <c r="AA137" s="31">
        <v>2009</v>
      </c>
      <c r="AB137" s="33" t="s">
        <v>1980</v>
      </c>
      <c r="AC137" s="33" t="s">
        <v>1981</v>
      </c>
      <c r="AD137" s="33" t="s">
        <v>1982</v>
      </c>
      <c r="AE137" s="33" t="s">
        <v>2392</v>
      </c>
      <c r="AF137" s="31">
        <v>2010</v>
      </c>
      <c r="AG137" s="33" t="s">
        <v>2393</v>
      </c>
      <c r="AH137" s="33" t="s">
        <v>2394</v>
      </c>
      <c r="AI137" s="33" t="s">
        <v>2395</v>
      </c>
      <c r="AJ137" s="33" t="s">
        <v>2396</v>
      </c>
      <c r="AK137" s="31">
        <v>2011</v>
      </c>
      <c r="AL137" s="33" t="s">
        <v>2397</v>
      </c>
      <c r="AM137" s="33" t="s">
        <v>2398</v>
      </c>
      <c r="AN137" s="33" t="s">
        <v>2399</v>
      </c>
      <c r="AO137" s="33" t="s">
        <v>2400</v>
      </c>
      <c r="AP137" s="31">
        <v>2012</v>
      </c>
      <c r="AQ137" s="33" t="s">
        <v>2401</v>
      </c>
      <c r="AR137" s="33" t="s">
        <v>2402</v>
      </c>
      <c r="AS137" s="33" t="s">
        <v>2403</v>
      </c>
      <c r="AT137" s="33" t="s">
        <v>2404</v>
      </c>
      <c r="AU137" s="31">
        <v>2013</v>
      </c>
      <c r="AV137" s="33" t="s">
        <v>2405</v>
      </c>
      <c r="AW137" s="33" t="s">
        <v>2406</v>
      </c>
      <c r="AX137" s="33" t="s">
        <v>2407</v>
      </c>
      <c r="AY137" s="33" t="s">
        <v>2408</v>
      </c>
      <c r="AZ137" s="31">
        <v>2014</v>
      </c>
      <c r="BA137" s="33" t="s">
        <v>2409</v>
      </c>
      <c r="BB137" s="33" t="s">
        <v>2410</v>
      </c>
      <c r="BC137" s="33" t="s">
        <v>2411</v>
      </c>
      <c r="BD137" s="33" t="s">
        <v>2412</v>
      </c>
      <c r="BE137" s="31">
        <v>2015</v>
      </c>
      <c r="BF137" s="33" t="s">
        <v>2413</v>
      </c>
      <c r="BG137" s="33" t="s">
        <v>2414</v>
      </c>
      <c r="BH137" s="33" t="s">
        <v>2415</v>
      </c>
      <c r="BI137" s="33" t="s">
        <v>2416</v>
      </c>
      <c r="BJ137" s="31">
        <v>2016</v>
      </c>
      <c r="BK137" s="33" t="s">
        <v>2417</v>
      </c>
      <c r="BL137" s="33" t="s">
        <v>2418</v>
      </c>
      <c r="BM137" s="33" t="s">
        <v>2419</v>
      </c>
      <c r="BN137" s="33" t="s">
        <v>2420</v>
      </c>
      <c r="BO137" s="31">
        <v>2017</v>
      </c>
      <c r="BP137" s="33" t="s">
        <v>2244</v>
      </c>
      <c r="BQ137" s="33" t="s">
        <v>2245</v>
      </c>
      <c r="BR137" s="33" t="s">
        <v>2508</v>
      </c>
      <c r="BS137" s="33" t="s">
        <v>2509</v>
      </c>
      <c r="BT137" s="31">
        <v>2018</v>
      </c>
      <c r="BU137" s="33" t="s">
        <v>2510</v>
      </c>
      <c r="BV137" s="33" t="s">
        <v>2511</v>
      </c>
      <c r="BW137" s="33" t="s">
        <v>3125</v>
      </c>
      <c r="BX137" s="33" t="s">
        <v>1405</v>
      </c>
      <c r="BY137" s="31">
        <v>2019</v>
      </c>
      <c r="BZ137" s="33" t="s">
        <v>1406</v>
      </c>
      <c r="CA137" s="33" t="s">
        <v>1407</v>
      </c>
      <c r="CB137" s="33" t="s">
        <v>1408</v>
      </c>
      <c r="CC137" s="33" t="s">
        <v>1409</v>
      </c>
      <c r="CD137" s="31">
        <v>2020</v>
      </c>
    </row>
    <row r="138" spans="1:82" ht="12.75" customHeight="1">
      <c r="A138" s="39" t="s">
        <v>613</v>
      </c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25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  <c r="BL138" s="11"/>
      <c r="BM138" s="11"/>
      <c r="BN138" s="11"/>
      <c r="BO138" s="11"/>
      <c r="BP138" s="11"/>
      <c r="BQ138" s="11"/>
      <c r="BR138" s="11"/>
      <c r="BS138" s="11"/>
      <c r="BT138" s="11"/>
      <c r="BU138" s="11"/>
      <c r="BV138" s="11"/>
      <c r="BW138" s="11"/>
      <c r="BX138" s="11"/>
      <c r="BY138" s="11"/>
      <c r="BZ138" s="11"/>
      <c r="CA138" s="11"/>
      <c r="CB138" s="11"/>
      <c r="CC138" s="11"/>
      <c r="CD138" s="11"/>
    </row>
    <row r="139" spans="1:82" ht="12.75" customHeight="1">
      <c r="A139" s="39"/>
      <c r="B139" s="11" t="s">
        <v>614</v>
      </c>
      <c r="C139" s="72"/>
      <c r="D139" s="125">
        <f>D52/C52-1</f>
        <v>5.0221565731166873E-2</v>
      </c>
      <c r="E139" s="125">
        <f>E52/D52-1</f>
        <v>4.9226441631504914E-2</v>
      </c>
      <c r="F139" s="125">
        <f>F52/E52-1</f>
        <v>0.20509383378016088</v>
      </c>
      <c r="G139" s="125">
        <f>G52/F52-1</f>
        <v>1.4460511679644128E-2</v>
      </c>
      <c r="H139" s="72"/>
      <c r="I139" s="72"/>
      <c r="J139" s="72"/>
      <c r="K139" s="72"/>
      <c r="L139" s="125">
        <f>L52/G52-1</f>
        <v>-3.289473684210531E-2</v>
      </c>
      <c r="M139" s="72"/>
      <c r="N139" s="72"/>
      <c r="O139" s="72"/>
      <c r="P139" s="72"/>
      <c r="Q139" s="125">
        <f>Q52/L52-1</f>
        <v>-2.6077097505668889E-2</v>
      </c>
      <c r="R139" s="72"/>
      <c r="S139" s="72"/>
      <c r="T139" s="72"/>
      <c r="U139" s="72"/>
      <c r="V139" s="125">
        <f>V52/Q52-1</f>
        <v>1.396973224679865E-2</v>
      </c>
      <c r="W139" s="72"/>
      <c r="X139" s="72"/>
      <c r="Y139" s="72"/>
      <c r="Z139" s="72"/>
      <c r="AA139" s="125">
        <f>AA52/V52-1</f>
        <v>5.1664753157290466E-2</v>
      </c>
      <c r="AB139" s="72"/>
      <c r="AC139" s="72"/>
      <c r="AD139" s="72"/>
      <c r="AE139" s="72"/>
      <c r="AF139" s="125">
        <f>AF52/AA52-1</f>
        <v>-6.5502183406113579E-2</v>
      </c>
      <c r="AG139" s="72"/>
      <c r="AH139" s="72"/>
      <c r="AI139" s="72"/>
      <c r="AJ139" s="72"/>
      <c r="AK139" s="125">
        <f>AK52/AF52-1</f>
        <v>-9.2289719626168276E-2</v>
      </c>
      <c r="AL139" s="72"/>
      <c r="AM139" s="72"/>
      <c r="AN139" s="72"/>
      <c r="AO139" s="72"/>
      <c r="AP139" s="125">
        <f>AP52/AK52-1</f>
        <v>-3.6036036036036001E-2</v>
      </c>
      <c r="AQ139" s="72"/>
      <c r="AR139" s="72"/>
      <c r="AS139" s="72"/>
      <c r="AT139" s="72"/>
      <c r="AU139" s="125">
        <f>AU52/AP52-1</f>
        <v>-2.1361815754339153E-2</v>
      </c>
      <c r="AV139" s="72"/>
      <c r="AW139" s="72"/>
      <c r="AX139" s="72"/>
      <c r="AY139" s="72"/>
      <c r="AZ139" s="125">
        <f>AZ52/AU52-1</f>
        <v>-4.5020463847203263E-2</v>
      </c>
      <c r="BA139" s="72"/>
      <c r="BB139" s="72"/>
      <c r="BC139" s="72"/>
      <c r="BD139" s="72"/>
      <c r="BE139" s="125">
        <f>BE52/AZ52-1</f>
        <v>6.4285714285714279E-2</v>
      </c>
      <c r="BF139" s="72"/>
      <c r="BG139" s="72"/>
      <c r="BH139" s="72"/>
      <c r="BI139" s="72"/>
      <c r="BJ139" s="125">
        <f>BJ52/BE52-1</f>
        <v>5.3691275167784269E-3</v>
      </c>
      <c r="BK139" s="72"/>
      <c r="BL139" s="72"/>
      <c r="BM139" s="72"/>
      <c r="BN139" s="72"/>
      <c r="BO139" s="125">
        <f>BO52/BJ52-1</f>
        <v>0.10013351134846471</v>
      </c>
      <c r="BP139" s="72"/>
      <c r="BQ139" s="72"/>
      <c r="BR139" s="72"/>
      <c r="BS139" s="72"/>
      <c r="BT139" s="125">
        <f>BT52/BO52-1</f>
        <v>-2.4190810907160132E-2</v>
      </c>
      <c r="BU139" s="72"/>
      <c r="BV139" s="72"/>
      <c r="BW139" s="72"/>
      <c r="BX139" s="72"/>
      <c r="BY139" s="125">
        <f>BY52/BT52-1</f>
        <v>1.1735683208533798E-2</v>
      </c>
      <c r="BZ139" s="72"/>
      <c r="CA139" s="72"/>
      <c r="CB139" s="72"/>
      <c r="CC139" s="72"/>
      <c r="CD139" s="125">
        <f>CD52/BY52-1</f>
        <v>2.3005857349112091E-4</v>
      </c>
    </row>
    <row r="140" spans="1:82" ht="12.75" customHeight="1">
      <c r="A140" s="39"/>
      <c r="B140" s="11" t="s">
        <v>2516</v>
      </c>
      <c r="C140" s="72"/>
      <c r="D140" s="125">
        <f>D95/C95-1</f>
        <v>9.028642590286351E-3</v>
      </c>
      <c r="E140" s="125">
        <f>E95/D95-1</f>
        <v>-4.6282011724776417E-3</v>
      </c>
      <c r="F140" s="125">
        <f>F95/E95-1</f>
        <v>2.7588344699318146E-2</v>
      </c>
      <c r="G140" s="125">
        <f>G95/F95-1</f>
        <v>-1.7194570135746656E-2</v>
      </c>
      <c r="H140" s="72"/>
      <c r="I140" s="72"/>
      <c r="J140" s="72"/>
      <c r="K140" s="72"/>
      <c r="L140" s="125">
        <f>L95/G95-1</f>
        <v>-1.8416206261510082E-3</v>
      </c>
      <c r="M140" s="72"/>
      <c r="N140" s="72"/>
      <c r="O140" s="72"/>
      <c r="P140" s="72"/>
      <c r="Q140" s="125">
        <f>Q95/L95-1</f>
        <v>-2.2755227552275548E-2</v>
      </c>
      <c r="R140" s="72"/>
      <c r="S140" s="72"/>
      <c r="T140" s="72"/>
      <c r="U140" s="72"/>
      <c r="V140" s="125">
        <f>V95/Q95-1</f>
        <v>1.5103838892385202E-2</v>
      </c>
      <c r="W140" s="72"/>
      <c r="X140" s="72"/>
      <c r="Y140" s="72"/>
      <c r="Z140" s="72"/>
      <c r="AA140" s="125">
        <f>AA95/V95-1</f>
        <v>1.5499070055796649E-2</v>
      </c>
      <c r="AB140" s="72"/>
      <c r="AC140" s="72"/>
      <c r="AD140" s="72"/>
      <c r="AE140" s="72"/>
      <c r="AF140" s="125">
        <f>AF95/AA95-1</f>
        <v>-3.66300366300365E-3</v>
      </c>
      <c r="AG140" s="72"/>
      <c r="AH140" s="72"/>
      <c r="AI140" s="72"/>
      <c r="AJ140" s="72"/>
      <c r="AK140" s="125">
        <f>AK95/AF95-1</f>
        <v>-0.10386029411764708</v>
      </c>
      <c r="AL140" s="72"/>
      <c r="AM140" s="72"/>
      <c r="AN140" s="72"/>
      <c r="AO140" s="72"/>
      <c r="AP140" s="125">
        <f>AP95/AK95-1</f>
        <v>-1.299145299145299E-2</v>
      </c>
      <c r="AQ140" s="72"/>
      <c r="AR140" s="72"/>
      <c r="AS140" s="72"/>
      <c r="AT140" s="72"/>
      <c r="AU140" s="125">
        <f>AU95/AP95-1</f>
        <v>-4.2951160374090747E-2</v>
      </c>
      <c r="AV140" s="72"/>
      <c r="AW140" s="72"/>
      <c r="AX140" s="72"/>
      <c r="AY140" s="72"/>
      <c r="AZ140" s="125">
        <f>AZ95/AU95-1</f>
        <v>-1.0857763300760048E-3</v>
      </c>
      <c r="BA140" s="72"/>
      <c r="BB140" s="72"/>
      <c r="BC140" s="72"/>
      <c r="BD140" s="72"/>
      <c r="BE140" s="125">
        <f>BE95/AZ95-1</f>
        <v>8.3333333333333037E-3</v>
      </c>
      <c r="BF140" s="72"/>
      <c r="BG140" s="72"/>
      <c r="BH140" s="72"/>
      <c r="BI140" s="72"/>
      <c r="BJ140" s="125">
        <f>BJ95/BE95-1</f>
        <v>-6.4678404599353145E-3</v>
      </c>
      <c r="BK140" s="72"/>
      <c r="BL140" s="72"/>
      <c r="BM140" s="72"/>
      <c r="BN140" s="72"/>
      <c r="BO140" s="125">
        <f>BO95/BJ95-1</f>
        <v>8.752260397830014E-2</v>
      </c>
      <c r="BP140" s="72"/>
      <c r="BQ140" s="72"/>
      <c r="BR140" s="72"/>
      <c r="BS140" s="72"/>
      <c r="BT140" s="125">
        <f>BT95/BO95-1</f>
        <v>3.6676768955769878E-2</v>
      </c>
      <c r="BU140" s="72"/>
      <c r="BV140" s="72"/>
      <c r="BW140" s="72"/>
      <c r="BX140" s="72"/>
      <c r="BY140" s="125">
        <f>BY95/BT95-1</f>
        <v>9.6837722542047144E-2</v>
      </c>
      <c r="BZ140" s="72"/>
      <c r="CA140" s="72"/>
      <c r="CB140" s="72"/>
      <c r="CC140" s="72"/>
      <c r="CD140" s="125">
        <f>CD95/BY95-1</f>
        <v>8.130441511510722E-2</v>
      </c>
    </row>
    <row r="141" spans="1:82" ht="12.75" customHeight="1">
      <c r="A141" s="39"/>
      <c r="B141" s="11" t="s">
        <v>896</v>
      </c>
      <c r="C141" s="72"/>
      <c r="D141" s="125">
        <f>D113/C113-1</f>
        <v>3.168688538368869E-2</v>
      </c>
      <c r="E141" s="125">
        <f>E113/D113-1</f>
        <v>2.5526830328046923E-2</v>
      </c>
      <c r="F141" s="125">
        <f>F113/E113-1</f>
        <v>0.129276559686474</v>
      </c>
      <c r="G141" s="125">
        <f>G113/F113-1</f>
        <v>2.1572949397363761E-3</v>
      </c>
      <c r="H141" s="72"/>
      <c r="I141" s="72"/>
      <c r="J141" s="72"/>
      <c r="K141" s="72"/>
      <c r="L141" s="125">
        <f>L113/G113-1</f>
        <v>-2.1058542748841669E-2</v>
      </c>
      <c r="M141" s="72"/>
      <c r="N141" s="72"/>
      <c r="O141" s="72"/>
      <c r="P141" s="72"/>
      <c r="Q141" s="125">
        <f>Q113/L113-1</f>
        <v>-2.4786079640518266E-2</v>
      </c>
      <c r="R141" s="72"/>
      <c r="S141" s="72"/>
      <c r="T141" s="72"/>
      <c r="U141" s="72"/>
      <c r="V141" s="125">
        <f>V113/Q113-1</f>
        <v>1.4411411485012682E-2</v>
      </c>
      <c r="W141" s="72"/>
      <c r="X141" s="72"/>
      <c r="Y141" s="72"/>
      <c r="Z141" s="72"/>
      <c r="AA141" s="125">
        <f>AA113/V113-1</f>
        <v>3.757036893860688E-2</v>
      </c>
      <c r="AB141" s="72"/>
      <c r="AC141" s="72"/>
      <c r="AD141" s="72"/>
      <c r="AE141" s="72"/>
      <c r="AF141" s="125">
        <f>AF113/AA113-1</f>
        <v>-4.1915052160953703E-2</v>
      </c>
      <c r="AG141" s="72"/>
      <c r="AH141" s="72"/>
      <c r="AI141" s="72"/>
      <c r="AJ141" s="72"/>
      <c r="AK141" s="125">
        <f>AK113/AF113-1</f>
        <v>-9.6879253354073547E-2</v>
      </c>
      <c r="AL141" s="72"/>
      <c r="AM141" s="72"/>
      <c r="AN141" s="72"/>
      <c r="AO141" s="72"/>
      <c r="AP141" s="125">
        <f>AP113/AK113-1</f>
        <v>-2.6965929274987976E-2</v>
      </c>
      <c r="AQ141" s="72"/>
      <c r="AR141" s="72"/>
      <c r="AS141" s="72"/>
      <c r="AT141" s="72"/>
      <c r="AU141" s="125">
        <f>AU113/AP113-1</f>
        <v>-2.998119260980181E-2</v>
      </c>
      <c r="AV141" s="72"/>
      <c r="AW141" s="72"/>
      <c r="AX141" s="72"/>
      <c r="AY141" s="72"/>
      <c r="AZ141" s="125">
        <f>AZ113/AU113-1</f>
        <v>-2.7714416058394309E-2</v>
      </c>
      <c r="BA141" s="72"/>
      <c r="BB141" s="72"/>
      <c r="BC141" s="72"/>
      <c r="BD141" s="72"/>
      <c r="BE141" s="125">
        <f>BE113/AZ113-1</f>
        <v>4.1642228739003029E-2</v>
      </c>
      <c r="BF141" s="72"/>
      <c r="BG141" s="72"/>
      <c r="BH141" s="72"/>
      <c r="BI141" s="72"/>
      <c r="BJ141" s="125">
        <f>BJ113/BE113-1</f>
        <v>7.3198198198198838E-4</v>
      </c>
      <c r="BK141" s="72"/>
      <c r="BL141" s="72"/>
      <c r="BM141" s="72"/>
      <c r="BN141" s="72"/>
      <c r="BO141" s="125">
        <f>BO113/BJ113-1</f>
        <v>9.5228717717886546E-2</v>
      </c>
      <c r="BP141" s="72"/>
      <c r="BQ141" s="72"/>
      <c r="BR141" s="72"/>
      <c r="BS141" s="72"/>
      <c r="BT141" s="125">
        <f>BT113/BO113-1</f>
        <v>-6.8398952473591734E-4</v>
      </c>
      <c r="BU141" s="72"/>
      <c r="BV141" s="72"/>
      <c r="BW141" s="72"/>
      <c r="BX141" s="72"/>
      <c r="BY141" s="125">
        <f>BY113/BT113-1</f>
        <v>4.5830500026962762E-2</v>
      </c>
      <c r="BZ141" s="72"/>
      <c r="CA141" s="72"/>
      <c r="CB141" s="72"/>
      <c r="CC141" s="72"/>
      <c r="CD141" s="125">
        <f>CD113/BY113-1</f>
        <v>3.4295418324682192E-2</v>
      </c>
    </row>
    <row r="142" spans="1:82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</row>
    <row r="143" spans="1:82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</row>
    <row r="144" spans="1:82">
      <c r="A144" s="39" t="s">
        <v>1756</v>
      </c>
      <c r="B144" s="11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</row>
    <row r="145" spans="1:82">
      <c r="A145" s="39"/>
      <c r="B145" s="11" t="s">
        <v>614</v>
      </c>
      <c r="C145" s="104">
        <f>C54/-C52</f>
        <v>12.372230428360414</v>
      </c>
      <c r="D145" s="104">
        <f>D54/-D52</f>
        <v>12.890295358649789</v>
      </c>
      <c r="E145" s="104">
        <f>E54/-E52</f>
        <v>13.513404825737265</v>
      </c>
      <c r="F145" s="104">
        <f>F54/-F52</f>
        <v>11.050055617352614</v>
      </c>
      <c r="G145" s="104">
        <f>G54/-G52</f>
        <v>10.487938596491228</v>
      </c>
      <c r="H145" s="72"/>
      <c r="I145" s="72"/>
      <c r="J145" s="72"/>
      <c r="K145" s="72"/>
      <c r="L145" s="104">
        <f>L54/-L52</f>
        <v>11.089569160997732</v>
      </c>
      <c r="M145" s="72"/>
      <c r="N145" s="72"/>
      <c r="O145" s="72"/>
      <c r="P145" s="72"/>
      <c r="Q145" s="104">
        <f>Q54/-Q52</f>
        <v>11.726426076833528</v>
      </c>
      <c r="R145" s="72"/>
      <c r="S145" s="72"/>
      <c r="T145" s="72"/>
      <c r="U145" s="72"/>
      <c r="V145" s="104">
        <f>V54/-V52</f>
        <v>11.88633754305396</v>
      </c>
      <c r="W145" s="72"/>
      <c r="X145" s="72"/>
      <c r="Y145" s="72"/>
      <c r="Z145" s="72"/>
      <c r="AA145" s="104">
        <f>AA54/-AA52</f>
        <v>11.474890829694322</v>
      </c>
      <c r="AB145" s="72"/>
      <c r="AC145" s="72"/>
      <c r="AD145" s="72"/>
      <c r="AE145" s="72"/>
      <c r="AF145" s="104">
        <f>AF54/-AF52</f>
        <v>12.510514018691589</v>
      </c>
      <c r="AG145" s="72"/>
      <c r="AH145" s="72"/>
      <c r="AI145" s="72"/>
      <c r="AJ145" s="72"/>
      <c r="AK145" s="104">
        <f>AK54/-AK52</f>
        <v>13.597168597168597</v>
      </c>
      <c r="AL145" s="72"/>
      <c r="AM145" s="72"/>
      <c r="AN145" s="72"/>
      <c r="AO145" s="72"/>
      <c r="AP145" s="104">
        <f>AP54/-AP52</f>
        <v>13.417890520694259</v>
      </c>
      <c r="AQ145" s="72"/>
      <c r="AR145" s="72"/>
      <c r="AS145" s="72"/>
      <c r="AT145" s="72"/>
      <c r="AU145" s="104">
        <f>AU54/-AU52</f>
        <v>13.73806275579809</v>
      </c>
      <c r="AV145" s="72"/>
      <c r="AW145" s="72"/>
      <c r="AX145" s="72"/>
      <c r="AY145" s="72"/>
      <c r="AZ145" s="104">
        <f>AZ54/-AZ52</f>
        <v>14.027142857142858</v>
      </c>
      <c r="BA145" s="72"/>
      <c r="BB145" s="72"/>
      <c r="BC145" s="72"/>
      <c r="BD145" s="72"/>
      <c r="BE145" s="104">
        <f>BE54/-BE52</f>
        <v>12.834899328859061</v>
      </c>
      <c r="BF145" s="72"/>
      <c r="BG145" s="72"/>
      <c r="BH145" s="72"/>
      <c r="BI145" s="72"/>
      <c r="BJ145" s="104">
        <f>BJ54/-BJ52</f>
        <v>13.798397863818424</v>
      </c>
      <c r="BK145" s="72"/>
      <c r="BL145" s="72"/>
      <c r="BM145" s="72"/>
      <c r="BN145" s="72"/>
      <c r="BO145" s="104">
        <f>BO54/-BO52</f>
        <v>12.953883495145631</v>
      </c>
      <c r="BP145" s="72"/>
      <c r="BQ145" s="72"/>
      <c r="BR145" s="72"/>
      <c r="BS145" s="72"/>
      <c r="BT145" s="104">
        <f>BT54/-BT52</f>
        <v>12.503024517303583</v>
      </c>
      <c r="BU145" s="72"/>
      <c r="BV145" s="72"/>
      <c r="BW145" s="72"/>
      <c r="BX145" s="72"/>
      <c r="BY145" s="104">
        <f>BY54/-BY52</f>
        <v>11.583357814370064</v>
      </c>
      <c r="BZ145" s="72"/>
      <c r="CA145" s="72"/>
      <c r="CB145" s="72"/>
      <c r="CC145" s="72"/>
      <c r="CD145" s="104">
        <f>CD54/-CD52</f>
        <v>10.806004553316555</v>
      </c>
    </row>
    <row r="146" spans="1:82">
      <c r="A146" s="39"/>
      <c r="B146" s="11" t="s">
        <v>2516</v>
      </c>
      <c r="C146" s="104">
        <f>C97/-C95</f>
        <v>14.375778331257782</v>
      </c>
      <c r="D146" s="104">
        <f>D97/-D95</f>
        <v>15.053687133600741</v>
      </c>
      <c r="E146" s="104">
        <f>E97/-E95</f>
        <v>14.886546807191568</v>
      </c>
      <c r="F146" s="104">
        <f>F97/-F95</f>
        <v>14.632579185520362</v>
      </c>
      <c r="G146" s="104">
        <f>G97/-G95</f>
        <v>14.826273787599755</v>
      </c>
      <c r="H146" s="72"/>
      <c r="I146" s="72"/>
      <c r="J146" s="72"/>
      <c r="K146" s="72"/>
      <c r="L146" s="104">
        <f>L97/-L95</f>
        <v>14.123923739237393</v>
      </c>
      <c r="M146" s="72"/>
      <c r="N146" s="72"/>
      <c r="O146" s="72"/>
      <c r="P146" s="72"/>
      <c r="Q146" s="104">
        <f>Q97/-Q95</f>
        <v>14.128382630585273</v>
      </c>
      <c r="R146" s="72"/>
      <c r="S146" s="72"/>
      <c r="T146" s="72"/>
      <c r="U146" s="72"/>
      <c r="V146" s="104">
        <f>V97/-V95</f>
        <v>14.013639181649101</v>
      </c>
      <c r="W146" s="72"/>
      <c r="X146" s="72"/>
      <c r="Y146" s="72"/>
      <c r="Z146" s="72"/>
      <c r="AA146" s="104">
        <f>AA97/-AA95</f>
        <v>13.775946275946277</v>
      </c>
      <c r="AB146" s="72"/>
      <c r="AC146" s="72"/>
      <c r="AD146" s="72"/>
      <c r="AE146" s="72"/>
      <c r="AF146" s="104">
        <f>AF97/-AF95</f>
        <v>13.082107843137255</v>
      </c>
      <c r="AG146" s="72"/>
      <c r="AH146" s="72"/>
      <c r="AI146" s="72"/>
      <c r="AJ146" s="72"/>
      <c r="AK146" s="104">
        <f>AK97/-AK95</f>
        <v>14.242393162393162</v>
      </c>
      <c r="AL146" s="72"/>
      <c r="AM146" s="72"/>
      <c r="AN146" s="72"/>
      <c r="AO146" s="72"/>
      <c r="AP146" s="104">
        <f>AP97/-AP95</f>
        <v>13.960859023207481</v>
      </c>
      <c r="AQ146" s="72"/>
      <c r="AR146" s="72"/>
      <c r="AS146" s="72"/>
      <c r="AT146" s="72"/>
      <c r="AU146" s="104">
        <f>AU97/-AU95</f>
        <v>16.639522258414768</v>
      </c>
      <c r="AV146" s="72"/>
      <c r="AW146" s="72"/>
      <c r="AX146" s="72"/>
      <c r="AY146" s="72"/>
      <c r="AZ146" s="104">
        <f>AZ97/-AZ95</f>
        <v>16.194565217391304</v>
      </c>
      <c r="BA146" s="72"/>
      <c r="BB146" s="72"/>
      <c r="BC146" s="72"/>
      <c r="BD146" s="72"/>
      <c r="BE146" s="104">
        <f>BE97/-BE95</f>
        <v>15.88106360043119</v>
      </c>
      <c r="BF146" s="72"/>
      <c r="BG146" s="72"/>
      <c r="BH146" s="72"/>
      <c r="BI146" s="72"/>
      <c r="BJ146" s="104">
        <f>BJ97/-BJ95</f>
        <v>15.684629294755878</v>
      </c>
      <c r="BK146" s="72"/>
      <c r="BL146" s="72"/>
      <c r="BM146" s="72"/>
      <c r="BN146" s="72"/>
      <c r="BO146" s="104">
        <f>BO97/-BO95</f>
        <v>14.9847023611573</v>
      </c>
      <c r="BP146" s="72"/>
      <c r="BQ146" s="72"/>
      <c r="BR146" s="72"/>
      <c r="BS146" s="72"/>
      <c r="BT146" s="104">
        <f>BT97/-BT95</f>
        <v>13.795664524512878</v>
      </c>
      <c r="BU146" s="72"/>
      <c r="BV146" s="72"/>
      <c r="BW146" s="72"/>
      <c r="BX146" s="72"/>
      <c r="BY146" s="104">
        <f>BY97/-BY95</f>
        <v>11.888664208338714</v>
      </c>
      <c r="BZ146" s="72"/>
      <c r="CA146" s="72"/>
      <c r="CB146" s="72"/>
      <c r="CC146" s="72"/>
      <c r="CD146" s="104">
        <f>CD97/-CD95</f>
        <v>10.282351927153691</v>
      </c>
    </row>
    <row r="147" spans="1:82">
      <c r="A147" s="39"/>
      <c r="B147" s="11" t="s">
        <v>896</v>
      </c>
      <c r="C147" s="104">
        <f>C115/-C113</f>
        <v>13.273723138990839</v>
      </c>
      <c r="D147" s="104">
        <f>D115/-D113</f>
        <v>13.842331088420595</v>
      </c>
      <c r="E147" s="104">
        <f>E115/-E113</f>
        <v>14.099909967164495</v>
      </c>
      <c r="F147" s="104">
        <f>F115/-F113</f>
        <v>12.442456502368332</v>
      </c>
      <c r="G147" s="104">
        <f>G115/-G113</f>
        <v>12.141536805653049</v>
      </c>
      <c r="H147" s="72"/>
      <c r="I147" s="72"/>
      <c r="J147" s="72"/>
      <c r="K147" s="72"/>
      <c r="L147" s="104">
        <f>L115/-L113</f>
        <v>12.268846503178926</v>
      </c>
      <c r="M147" s="72"/>
      <c r="N147" s="72"/>
      <c r="O147" s="72"/>
      <c r="P147" s="72"/>
      <c r="Q147" s="104">
        <f>Q115/-Q113</f>
        <v>12.66187103257273</v>
      </c>
      <c r="R147" s="72"/>
      <c r="S147" s="72"/>
      <c r="T147" s="72"/>
      <c r="U147" s="72"/>
      <c r="V147" s="104">
        <f>V115/-V113</f>
        <v>12.715383314407209</v>
      </c>
      <c r="W147" s="72"/>
      <c r="X147" s="72"/>
      <c r="Y147" s="72"/>
      <c r="Z147" s="72"/>
      <c r="AA147" s="104">
        <f>AA115/-AA113</f>
        <v>12.352575447093892</v>
      </c>
      <c r="AB147" s="72"/>
      <c r="AC147" s="72"/>
      <c r="AD147" s="72"/>
      <c r="AE147" s="72"/>
      <c r="AF147" s="104">
        <f>AF115/-AF113</f>
        <v>12.737239937779506</v>
      </c>
      <c r="AG147" s="72"/>
      <c r="AH147" s="72"/>
      <c r="AI147" s="72"/>
      <c r="AJ147" s="72"/>
      <c r="AK147" s="104">
        <f>AK115/-AK113</f>
        <v>13.851122234781203</v>
      </c>
      <c r="AL147" s="72"/>
      <c r="AM147" s="72"/>
      <c r="AN147" s="72"/>
      <c r="AO147" s="72"/>
      <c r="AP147" s="104">
        <f>AP115/-AP113</f>
        <v>13.634666445403253</v>
      </c>
      <c r="AQ147" s="72"/>
      <c r="AR147" s="72"/>
      <c r="AS147" s="72"/>
      <c r="AT147" s="72"/>
      <c r="AU147" s="104">
        <f>AU115/-AU113</f>
        <v>14.88095916970803</v>
      </c>
      <c r="AV147" s="72"/>
      <c r="AW147" s="72"/>
      <c r="AX147" s="72"/>
      <c r="AY147" s="72"/>
      <c r="AZ147" s="104">
        <f>AZ115/-AZ113</f>
        <v>14.904281524926684</v>
      </c>
      <c r="BA147" s="72"/>
      <c r="BB147" s="72"/>
      <c r="BC147" s="72"/>
      <c r="BD147" s="72"/>
      <c r="BE147" s="104">
        <f>BE115/-BE113</f>
        <v>14.028237612612612</v>
      </c>
      <c r="BF147" s="72"/>
      <c r="BG147" s="72"/>
      <c r="BH147" s="72"/>
      <c r="BI147" s="72"/>
      <c r="BJ147" s="104">
        <f>BJ115/-BJ113</f>
        <v>14.53201485399201</v>
      </c>
      <c r="BK147" s="72"/>
      <c r="BL147" s="72"/>
      <c r="BM147" s="72"/>
      <c r="BN147" s="72"/>
      <c r="BO147" s="104">
        <f>BO115/-BO113</f>
        <v>13.738177801751819</v>
      </c>
      <c r="BP147" s="72"/>
      <c r="BQ147" s="72"/>
      <c r="BR147" s="72"/>
      <c r="BS147" s="72"/>
      <c r="BT147" s="104">
        <f>BT115/-BT113</f>
        <v>13.020900758614967</v>
      </c>
      <c r="BU147" s="72"/>
      <c r="BV147" s="72"/>
      <c r="BW147" s="72"/>
      <c r="BX147" s="72"/>
      <c r="BY147" s="104">
        <f>BY115/-BY113</f>
        <v>11.711639710009189</v>
      </c>
      <c r="BZ147" s="72"/>
      <c r="CA147" s="72"/>
      <c r="CB147" s="72"/>
      <c r="CC147" s="72"/>
      <c r="CD147" s="104">
        <f>CD115/-CD113</f>
        <v>10.575978975395017</v>
      </c>
    </row>
    <row r="148" spans="1:82">
      <c r="A148" s="39"/>
      <c r="B148" s="11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</row>
    <row r="149" spans="1:82">
      <c r="A149" s="39"/>
      <c r="B149" s="24" t="s">
        <v>1757</v>
      </c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</row>
    <row r="150" spans="1:82">
      <c r="A150" s="39"/>
      <c r="B150" s="11" t="s">
        <v>614</v>
      </c>
      <c r="C150" s="104">
        <f>C55/-C52</f>
        <v>7.8138847858197931</v>
      </c>
      <c r="D150" s="104">
        <f>D55/-D52</f>
        <v>7.7538677918424757</v>
      </c>
      <c r="E150" s="104">
        <f>E55/-E52</f>
        <v>7.8565683646112596</v>
      </c>
      <c r="F150" s="104">
        <f>F55/-F52</f>
        <v>6.8220244716351504</v>
      </c>
      <c r="G150" s="104">
        <f>G55/-G52</f>
        <v>6.2357456140350873</v>
      </c>
      <c r="H150" s="72"/>
      <c r="I150" s="72"/>
      <c r="J150" s="72"/>
      <c r="K150" s="72"/>
      <c r="L150" s="104">
        <f>L55/-L52</f>
        <v>6.783446712018141</v>
      </c>
      <c r="M150" s="72"/>
      <c r="N150" s="72"/>
      <c r="O150" s="72"/>
      <c r="P150" s="72"/>
      <c r="Q150" s="104">
        <f>Q55/-Q52</f>
        <v>6.906868451688009</v>
      </c>
      <c r="R150" s="72"/>
      <c r="S150" s="72"/>
      <c r="T150" s="72"/>
      <c r="U150" s="72"/>
      <c r="V150" s="104">
        <f>V55/-V52</f>
        <v>7.010332950631458</v>
      </c>
      <c r="W150" s="72"/>
      <c r="X150" s="72"/>
      <c r="Y150" s="72"/>
      <c r="Z150" s="72"/>
      <c r="AA150" s="104">
        <f>AA55/-AA52</f>
        <v>6.7587336244541483</v>
      </c>
      <c r="AB150" s="72"/>
      <c r="AC150" s="72"/>
      <c r="AD150" s="72"/>
      <c r="AE150" s="72"/>
      <c r="AF150" s="104">
        <f>AF55/-AF52</f>
        <v>7.0887850467289724</v>
      </c>
      <c r="AG150" s="72"/>
      <c r="AH150" s="72"/>
      <c r="AI150" s="72"/>
      <c r="AJ150" s="72"/>
      <c r="AK150" s="104">
        <f>AK55/-AK52</f>
        <v>7.4864864864864868</v>
      </c>
      <c r="AL150" s="72"/>
      <c r="AM150" s="72"/>
      <c r="AN150" s="72"/>
      <c r="AO150" s="72"/>
      <c r="AP150" s="104">
        <f>AP55/-AP52</f>
        <v>7.4098798397863819</v>
      </c>
      <c r="AQ150" s="72"/>
      <c r="AR150" s="72"/>
      <c r="AS150" s="72"/>
      <c r="AT150" s="72"/>
      <c r="AU150" s="104">
        <f>AU55/-AU52</f>
        <v>8.001364256480219</v>
      </c>
      <c r="AV150" s="72"/>
      <c r="AW150" s="72"/>
      <c r="AX150" s="72"/>
      <c r="AY150" s="72"/>
      <c r="AZ150" s="104">
        <f>AZ55/-AZ52</f>
        <v>8.3699999999999992</v>
      </c>
      <c r="BA150" s="72"/>
      <c r="BB150" s="72"/>
      <c r="BC150" s="72"/>
      <c r="BD150" s="72"/>
      <c r="BE150" s="104">
        <f>BE55/-BE52</f>
        <v>7.6832214765100675</v>
      </c>
      <c r="BF150" s="72"/>
      <c r="BG150" s="72"/>
      <c r="BH150" s="72"/>
      <c r="BI150" s="72"/>
      <c r="BJ150" s="104">
        <f>BJ55/-BJ52</f>
        <v>8.5313751668891857</v>
      </c>
      <c r="BK150" s="72"/>
      <c r="BL150" s="72"/>
      <c r="BM150" s="72"/>
      <c r="BN150" s="72"/>
      <c r="BO150" s="104">
        <f>BO55/-BO52</f>
        <v>7.7402912621359219</v>
      </c>
      <c r="BP150" s="72"/>
      <c r="BQ150" s="72"/>
      <c r="BR150" s="72"/>
      <c r="BS150" s="72"/>
      <c r="BT150" s="104">
        <f>BT55/-BT52</f>
        <v>7.4838630139825293</v>
      </c>
      <c r="BU150" s="72"/>
      <c r="BV150" s="72"/>
      <c r="BW150" s="72"/>
      <c r="BX150" s="72"/>
      <c r="BY150" s="104">
        <f>BY55/-BY52</f>
        <v>6.9867819137174747</v>
      </c>
      <c r="BZ150" s="72"/>
      <c r="CA150" s="72"/>
      <c r="CB150" s="72"/>
      <c r="CC150" s="72"/>
      <c r="CD150" s="104">
        <f>CD55/-CD52</f>
        <v>6.5695692599292448</v>
      </c>
    </row>
    <row r="151" spans="1:82">
      <c r="A151" s="39"/>
      <c r="B151" s="11" t="s">
        <v>2516</v>
      </c>
      <c r="C151" s="104">
        <f>C98/-C95</f>
        <v>7.8707970112079702</v>
      </c>
      <c r="D151" s="104">
        <f>D98/-D95</f>
        <v>7.7997531626041345</v>
      </c>
      <c r="E151" s="104">
        <f>E98/-E95</f>
        <v>7.3323000619962801</v>
      </c>
      <c r="F151" s="104">
        <f>F98/-F95</f>
        <v>6.7441930618401207</v>
      </c>
      <c r="G151" s="104">
        <f>G98/-G95</f>
        <v>7</v>
      </c>
      <c r="H151" s="72"/>
      <c r="I151" s="72"/>
      <c r="J151" s="72"/>
      <c r="K151" s="72"/>
      <c r="L151" s="104">
        <f>L98/-L95</f>
        <v>6.78690036900369</v>
      </c>
      <c r="M151" s="72"/>
      <c r="N151" s="72"/>
      <c r="O151" s="72"/>
      <c r="P151" s="72"/>
      <c r="Q151" s="104">
        <f>Q98/-Q95</f>
        <v>7.0273757079924479</v>
      </c>
      <c r="R151" s="72"/>
      <c r="S151" s="72"/>
      <c r="T151" s="72"/>
      <c r="U151" s="72"/>
      <c r="V151" s="104">
        <f>V98/-V95</f>
        <v>6.8784872907625543</v>
      </c>
      <c r="W151" s="72"/>
      <c r="X151" s="72"/>
      <c r="Y151" s="72"/>
      <c r="Z151" s="72"/>
      <c r="AA151" s="104">
        <f>AA98/-AA95</f>
        <v>7.3464590964590961</v>
      </c>
      <c r="AB151" s="72"/>
      <c r="AC151" s="72"/>
      <c r="AD151" s="72"/>
      <c r="AE151" s="72"/>
      <c r="AF151" s="104">
        <f>AF98/-AF95</f>
        <v>7.2953431372549016</v>
      </c>
      <c r="AG151" s="72"/>
      <c r="AH151" s="72"/>
      <c r="AI151" s="72"/>
      <c r="AJ151" s="72"/>
      <c r="AK151" s="104">
        <f>AK98/-AK95</f>
        <v>7.9545299145299149</v>
      </c>
      <c r="AL151" s="72"/>
      <c r="AM151" s="72"/>
      <c r="AN151" s="72"/>
      <c r="AO151" s="72"/>
      <c r="AP151" s="104">
        <f>AP98/-AP95</f>
        <v>7.8829234499480432</v>
      </c>
      <c r="AQ151" s="72"/>
      <c r="AR151" s="72"/>
      <c r="AS151" s="72"/>
      <c r="AT151" s="72"/>
      <c r="AU151" s="104">
        <f>AU98/-AU95</f>
        <v>8.5041621425986254</v>
      </c>
      <c r="AV151" s="72"/>
      <c r="AW151" s="72"/>
      <c r="AX151" s="72"/>
      <c r="AY151" s="72"/>
      <c r="AZ151" s="104">
        <f>AZ98/-AZ95</f>
        <v>8.1474637681159425</v>
      </c>
      <c r="BA151" s="72"/>
      <c r="BB151" s="72"/>
      <c r="BC151" s="72"/>
      <c r="BD151" s="72"/>
      <c r="BE151" s="104">
        <f>BE98/-BE95</f>
        <v>7.8566295364714334</v>
      </c>
      <c r="BF151" s="72"/>
      <c r="BG151" s="72"/>
      <c r="BH151" s="72"/>
      <c r="BI151" s="72"/>
      <c r="BJ151" s="104">
        <f>BJ98/-BJ95</f>
        <v>7.6003616636528033</v>
      </c>
      <c r="BK151" s="72"/>
      <c r="BL151" s="72"/>
      <c r="BM151" s="72"/>
      <c r="BN151" s="72"/>
      <c r="BO151" s="104">
        <f>BO98/-BO95</f>
        <v>7.7223145992683735</v>
      </c>
      <c r="BP151" s="72"/>
      <c r="BQ151" s="72"/>
      <c r="BR151" s="72"/>
      <c r="BS151" s="72"/>
      <c r="BT151" s="104">
        <f>BT98/-BT95</f>
        <v>7.2744499436656005</v>
      </c>
      <c r="BU151" s="72"/>
      <c r="BV151" s="72"/>
      <c r="BW151" s="72"/>
      <c r="BX151" s="72"/>
      <c r="BY151" s="104">
        <f>BY98/-BY95</f>
        <v>6.4460069446422832</v>
      </c>
      <c r="BZ151" s="72"/>
      <c r="CA151" s="72"/>
      <c r="CB151" s="72"/>
      <c r="CC151" s="72"/>
      <c r="CD151" s="104">
        <f>CD98/-CD95</f>
        <v>5.7073027623463135</v>
      </c>
    </row>
    <row r="152" spans="1:82">
      <c r="A152" s="39"/>
      <c r="B152" s="11" t="s">
        <v>896</v>
      </c>
      <c r="C152" s="104">
        <f>C116/-C113</f>
        <v>7.8394923374331098</v>
      </c>
      <c r="D152" s="104">
        <f>D116/-D113</f>
        <v>7.7740603953943079</v>
      </c>
      <c r="E152" s="104">
        <f>E116/-E113</f>
        <v>7.632639550895032</v>
      </c>
      <c r="F152" s="104">
        <f>F116/-F113</f>
        <v>6.7917741405993528</v>
      </c>
      <c r="G152" s="104">
        <f>G116/-G113</f>
        <v>6.5270485282418456</v>
      </c>
      <c r="H152" s="72"/>
      <c r="I152" s="72"/>
      <c r="J152" s="72"/>
      <c r="K152" s="72"/>
      <c r="L152" s="104">
        <f>L116/-L113</f>
        <v>6.7847889478464545</v>
      </c>
      <c r="M152" s="72"/>
      <c r="N152" s="72"/>
      <c r="O152" s="72"/>
      <c r="P152" s="72"/>
      <c r="Q152" s="104">
        <f>Q116/-Q113</f>
        <v>6.9538001519570605</v>
      </c>
      <c r="R152" s="72"/>
      <c r="S152" s="72"/>
      <c r="T152" s="72"/>
      <c r="U152" s="72"/>
      <c r="V152" s="104">
        <f>V116/-V113</f>
        <v>6.9589504457706157</v>
      </c>
      <c r="W152" s="72"/>
      <c r="X152" s="72"/>
      <c r="Y152" s="72"/>
      <c r="Z152" s="72"/>
      <c r="AA152" s="104">
        <f>AA116/-AA113</f>
        <v>6.9829079731743668</v>
      </c>
      <c r="AB152" s="72"/>
      <c r="AC152" s="72"/>
      <c r="AD152" s="72"/>
      <c r="AE152" s="72"/>
      <c r="AF152" s="104">
        <f>AF116/-AF113</f>
        <v>7.1707174800699978</v>
      </c>
      <c r="AG152" s="72"/>
      <c r="AH152" s="72"/>
      <c r="AI152" s="72"/>
      <c r="AJ152" s="72"/>
      <c r="AK152" s="104">
        <f>AK116/-AK113</f>
        <v>7.6707034824263953</v>
      </c>
      <c r="AL152" s="72"/>
      <c r="AM152" s="72"/>
      <c r="AN152" s="72"/>
      <c r="AO152" s="72"/>
      <c r="AP152" s="104">
        <f>AP116/-AP113</f>
        <v>7.5987387985396611</v>
      </c>
      <c r="AQ152" s="72"/>
      <c r="AR152" s="72"/>
      <c r="AS152" s="72"/>
      <c r="AT152" s="72"/>
      <c r="AU152" s="104">
        <f>AU116/-AU113</f>
        <v>8.1994183394160576</v>
      </c>
      <c r="AV152" s="72"/>
      <c r="AW152" s="72"/>
      <c r="AX152" s="72"/>
      <c r="AY152" s="72"/>
      <c r="AZ152" s="104">
        <f>AZ116/-AZ113</f>
        <v>8.2799413489736065</v>
      </c>
      <c r="BA152" s="72"/>
      <c r="BB152" s="72"/>
      <c r="BC152" s="72"/>
      <c r="BD152" s="72"/>
      <c r="BE152" s="104">
        <f>BE116/-BE113</f>
        <v>7.7511542792792794</v>
      </c>
      <c r="BF152" s="72"/>
      <c r="BG152" s="72"/>
      <c r="BH152" s="72"/>
      <c r="BI152" s="72"/>
      <c r="BJ152" s="104">
        <f>BJ116/-BJ113</f>
        <v>8.1692736172846452</v>
      </c>
      <c r="BK152" s="72"/>
      <c r="BL152" s="72"/>
      <c r="BM152" s="72"/>
      <c r="BN152" s="72"/>
      <c r="BO152" s="104">
        <f>BO116/-BO113</f>
        <v>7.7333487452158955</v>
      </c>
      <c r="BP152" s="72"/>
      <c r="BQ152" s="72"/>
      <c r="BR152" s="72"/>
      <c r="BS152" s="72"/>
      <c r="BT152" s="104">
        <f>BT116/-BT113</f>
        <v>7.3999649038108171</v>
      </c>
      <c r="BU152" s="72"/>
      <c r="BV152" s="72"/>
      <c r="BW152" s="72"/>
      <c r="BX152" s="72"/>
      <c r="BY152" s="104">
        <f>BY116/-BY113</f>
        <v>6.7595621780106647</v>
      </c>
      <c r="BZ152" s="72"/>
      <c r="CA152" s="72"/>
      <c r="CB152" s="72"/>
      <c r="CC152" s="72"/>
      <c r="CD152" s="104">
        <f>CD116/-CD113</f>
        <v>6.1908003212870737</v>
      </c>
    </row>
    <row r="153" spans="1:82">
      <c r="A153" s="11"/>
      <c r="B153" s="11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</row>
    <row r="154" spans="1:82">
      <c r="A154" s="39" t="s">
        <v>1758</v>
      </c>
      <c r="B154" s="11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</row>
    <row r="155" spans="1:82">
      <c r="A155" s="11"/>
      <c r="B155" s="11" t="s">
        <v>614</v>
      </c>
      <c r="C155" s="116">
        <f>SUM(C48,C49,C51)/-C52</f>
        <v>2.0723781388478582</v>
      </c>
      <c r="D155" s="116">
        <f>SUM(D48,D49,D51)/-D52</f>
        <v>1.5443037974683544</v>
      </c>
      <c r="E155" s="116">
        <f>SUM(E48,E49,E51)/-E52</f>
        <v>0.71581769436997322</v>
      </c>
      <c r="F155" s="116">
        <f>SUM(F48,F49,F51)/-F52</f>
        <v>0.59733036707452725</v>
      </c>
      <c r="G155" s="116">
        <f>SUM(G48,G49,G51)/-G52</f>
        <v>0.67982456140350878</v>
      </c>
      <c r="H155" s="72"/>
      <c r="I155" s="72"/>
      <c r="J155" s="72"/>
      <c r="K155" s="72"/>
      <c r="L155" s="116">
        <f>SUM(L48,L49,L51)/-L52</f>
        <v>1.6043083900226758</v>
      </c>
      <c r="M155" s="72"/>
      <c r="N155" s="72"/>
      <c r="O155" s="72"/>
      <c r="P155" s="72"/>
      <c r="Q155" s="116">
        <f>SUM(Q48,Q49,Q51)/-Q52</f>
        <v>1.4167636786961584</v>
      </c>
      <c r="R155" s="72"/>
      <c r="S155" s="72"/>
      <c r="T155" s="72"/>
      <c r="U155" s="72"/>
      <c r="V155" s="116">
        <f>SUM(V48,V49,V51)/-V52</f>
        <v>1.3226176808266361</v>
      </c>
      <c r="W155" s="72"/>
      <c r="X155" s="72"/>
      <c r="Y155" s="72"/>
      <c r="Z155" s="72"/>
      <c r="AA155" s="116">
        <f>SUM(AA48,AA49,AA51)/-AA52</f>
        <v>1.3493449781659388</v>
      </c>
      <c r="AB155" s="72"/>
      <c r="AC155" s="72"/>
      <c r="AD155" s="72"/>
      <c r="AE155" s="72"/>
      <c r="AF155" s="116">
        <f>SUM(AF48,AF49,AF51)/-AF52</f>
        <v>1.3119158878504673</v>
      </c>
      <c r="AG155" s="72"/>
      <c r="AH155" s="72"/>
      <c r="AI155" s="72"/>
      <c r="AJ155" s="72"/>
      <c r="AK155" s="116">
        <f>SUM(AK48,AK49,AK51)/-AK52</f>
        <v>1.1544401544401544</v>
      </c>
      <c r="AL155" s="72"/>
      <c r="AM155" s="72"/>
      <c r="AN155" s="72"/>
      <c r="AO155" s="72"/>
      <c r="AP155" s="116">
        <f>SUM(AP48,AP49,AP51)/-AP52</f>
        <v>0.58210947930574097</v>
      </c>
      <c r="AQ155" s="72"/>
      <c r="AR155" s="72"/>
      <c r="AS155" s="72"/>
      <c r="AT155" s="72"/>
      <c r="AU155" s="116">
        <f>SUM(AU48,AU49,AU51)/-AU52</f>
        <v>0.91541609822646652</v>
      </c>
      <c r="AV155" s="72"/>
      <c r="AW155" s="72"/>
      <c r="AX155" s="72"/>
      <c r="AY155" s="72"/>
      <c r="AZ155" s="116">
        <f>SUM(AZ48,AZ49,AZ51)/-AZ52</f>
        <v>0.71285714285714286</v>
      </c>
      <c r="BA155" s="72"/>
      <c r="BB155" s="72"/>
      <c r="BC155" s="72"/>
      <c r="BD155" s="72"/>
      <c r="BE155" s="116">
        <f>SUM(BE48,BE49,BE51)/-BE52</f>
        <v>0.60671140939597312</v>
      </c>
      <c r="BF155" s="72"/>
      <c r="BG155" s="72"/>
      <c r="BH155" s="72"/>
      <c r="BI155" s="72"/>
      <c r="BJ155" s="116">
        <f>SUM(BJ48,BJ49,BJ51)/-BJ52</f>
        <v>1.3137516688918558</v>
      </c>
      <c r="BK155" s="72"/>
      <c r="BL155" s="72"/>
      <c r="BM155" s="72"/>
      <c r="BN155" s="72"/>
      <c r="BO155" s="116">
        <f>SUM(BO48,BO49,BO51)/-BO52</f>
        <v>1.453883495145631</v>
      </c>
      <c r="BP155" s="72"/>
      <c r="BQ155" s="72"/>
      <c r="BR155" s="72"/>
      <c r="BS155" s="72"/>
      <c r="BT155" s="116">
        <f>SUM(BT48,BT49,BT51)/-BT52</f>
        <v>0.22800759807555479</v>
      </c>
      <c r="BU155" s="72"/>
      <c r="BV155" s="72"/>
      <c r="BW155" s="72"/>
      <c r="BX155" s="72"/>
      <c r="BY155" s="116">
        <f>SUM(BY48,BY49,BY51)/-BY52</f>
        <v>0.22536281151265772</v>
      </c>
      <c r="BZ155" s="72"/>
      <c r="CA155" s="72"/>
      <c r="CB155" s="72"/>
      <c r="CC155" s="72"/>
      <c r="CD155" s="116">
        <f>SUM(CD48,CD49,CD51)/-CD52</f>
        <v>0.22531097679074535</v>
      </c>
    </row>
    <row r="156" spans="1:82">
      <c r="A156" s="11"/>
      <c r="B156" s="11" t="s">
        <v>2516</v>
      </c>
      <c r="C156" s="116">
        <f>SUM(C91,C92,C94)/-C95</f>
        <v>1.7176214196762143</v>
      </c>
      <c r="D156" s="116">
        <f>SUM(D91,D92,D94)/-D95</f>
        <v>1.8500462820117247</v>
      </c>
      <c r="E156" s="116">
        <f>SUM(E91,E92,E94)/-E95</f>
        <v>1.6379417234965903</v>
      </c>
      <c r="F156" s="116">
        <f>SUM(F91,F92,F94)/-F95</f>
        <v>1.3384615384615384</v>
      </c>
      <c r="G156" s="116">
        <f>SUM(G91,G92,G94)/-G95</f>
        <v>1.3910374462860651</v>
      </c>
      <c r="H156" s="72"/>
      <c r="I156" s="72"/>
      <c r="J156" s="72"/>
      <c r="K156" s="72"/>
      <c r="L156" s="116">
        <f>SUM(L91,L92,L94)/-L95</f>
        <v>0.39421894218942188</v>
      </c>
      <c r="M156" s="72"/>
      <c r="N156" s="72"/>
      <c r="O156" s="72"/>
      <c r="P156" s="72"/>
      <c r="Q156" s="116">
        <f>SUM(Q91,Q92,Q94)/-Q95</f>
        <v>0.66519823788546251</v>
      </c>
      <c r="R156" s="72"/>
      <c r="S156" s="72"/>
      <c r="T156" s="72"/>
      <c r="U156" s="72"/>
      <c r="V156" s="116">
        <f>SUM(V91,V92,V94)/-V95</f>
        <v>1.0387476751394917</v>
      </c>
      <c r="W156" s="72"/>
      <c r="X156" s="72"/>
      <c r="Y156" s="72"/>
      <c r="Z156" s="72"/>
      <c r="AA156" s="116">
        <f>SUM(AA91,AA92,AA94)/-AA95</f>
        <v>1.1889499389499389</v>
      </c>
      <c r="AB156" s="72"/>
      <c r="AC156" s="72"/>
      <c r="AD156" s="72"/>
      <c r="AE156" s="72"/>
      <c r="AF156" s="116">
        <f>SUM(AF91,AF92,AF94)/-AF95</f>
        <v>0.67493872549019607</v>
      </c>
      <c r="AG156" s="72"/>
      <c r="AH156" s="72"/>
      <c r="AI156" s="72"/>
      <c r="AJ156" s="72"/>
      <c r="AK156" s="116">
        <f>SUM(AK91,AK92,AK94)/-AK95</f>
        <v>0.83760683760683763</v>
      </c>
      <c r="AL156" s="72"/>
      <c r="AM156" s="72"/>
      <c r="AN156" s="72"/>
      <c r="AO156" s="72"/>
      <c r="AP156" s="116">
        <f>SUM(AP91,AP92,AP94)/-AP95</f>
        <v>1.0405264980949083</v>
      </c>
      <c r="AQ156" s="72"/>
      <c r="AR156" s="72"/>
      <c r="AS156" s="72"/>
      <c r="AT156" s="72"/>
      <c r="AU156" s="116">
        <f>SUM(AU91,AU92,AU94)/-AU95</f>
        <v>1.8758595729279768</v>
      </c>
      <c r="AV156" s="72"/>
      <c r="AW156" s="72"/>
      <c r="AX156" s="72"/>
      <c r="AY156" s="72"/>
      <c r="AZ156" s="116">
        <f>SUM(AZ91,AZ92,AZ94)/-AZ95</f>
        <v>0.51449275362318836</v>
      </c>
      <c r="BA156" s="72"/>
      <c r="BB156" s="72"/>
      <c r="BC156" s="72"/>
      <c r="BD156" s="72"/>
      <c r="BE156" s="116">
        <f>SUM(BE91,BE92,BE94)/-BE95</f>
        <v>0.62342795544376572</v>
      </c>
      <c r="BF156" s="72"/>
      <c r="BG156" s="72"/>
      <c r="BH156" s="72"/>
      <c r="BI156" s="72"/>
      <c r="BJ156" s="116">
        <f>SUM(BJ91,BJ92,BJ94)/-BJ95</f>
        <v>0.73779385171790235</v>
      </c>
      <c r="BK156" s="72"/>
      <c r="BL156" s="72"/>
      <c r="BM156" s="72"/>
      <c r="BN156" s="72"/>
      <c r="BO156" s="116">
        <f>SUM(BO91,BO92,BO94)/-BO95</f>
        <v>1.4023944130362487</v>
      </c>
      <c r="BP156" s="72"/>
      <c r="BQ156" s="72"/>
      <c r="BR156" s="72"/>
      <c r="BS156" s="72"/>
      <c r="BT156" s="116">
        <f>SUM(BT91,BT92,BT94)/-BT95</f>
        <v>0.34110857237055131</v>
      </c>
      <c r="BU156" s="72"/>
      <c r="BV156" s="72"/>
      <c r="BW156" s="72"/>
      <c r="BX156" s="72"/>
      <c r="BY156" s="116">
        <f>SUM(BY91,BY92,BY94)/-BY95</f>
        <v>0.31099274337501187</v>
      </c>
      <c r="BZ156" s="72"/>
      <c r="CA156" s="72"/>
      <c r="CB156" s="72"/>
      <c r="CC156" s="72"/>
      <c r="CD156" s="116">
        <f>SUM(CD91,CD92,CD94)/-CD95</f>
        <v>0.28760887223595216</v>
      </c>
    </row>
    <row r="157" spans="1:82">
      <c r="A157" s="11"/>
      <c r="B157" s="11" t="s">
        <v>896</v>
      </c>
      <c r="C157" s="116">
        <f>SUM(C109,C110,C112)/-C113</f>
        <v>1.9127560025775363</v>
      </c>
      <c r="D157" s="116">
        <f>SUM(D109,D110,D112)/-D113</f>
        <v>1.6788507495111884</v>
      </c>
      <c r="E157" s="116">
        <f>SUM(E109,E110,E112)/-E113</f>
        <v>1.1096811778413302</v>
      </c>
      <c r="F157" s="116">
        <f>SUM(F109,F110,F112)/-F113</f>
        <v>0.88538198189748163</v>
      </c>
      <c r="G157" s="116">
        <f>SUM(G109,G110,G112)/-G113</f>
        <v>0.95091019701436674</v>
      </c>
      <c r="H157" s="72"/>
      <c r="I157" s="72"/>
      <c r="J157" s="72"/>
      <c r="K157" s="72"/>
      <c r="L157" s="116">
        <f>SUM(L109,L110,L112)/-L113</f>
        <v>1.1340169224150294</v>
      </c>
      <c r="M157" s="72"/>
      <c r="N157" s="72"/>
      <c r="O157" s="72"/>
      <c r="P157" s="72"/>
      <c r="Q157" s="116">
        <f>SUM(Q109,Q110,Q112)/-Q113</f>
        <v>1.1240655866277787</v>
      </c>
      <c r="R157" s="72"/>
      <c r="S157" s="72"/>
      <c r="T157" s="72"/>
      <c r="U157" s="72"/>
      <c r="V157" s="116">
        <f>SUM(V109,V110,V112)/-V113</f>
        <v>1.211988692647805</v>
      </c>
      <c r="W157" s="72"/>
      <c r="X157" s="72"/>
      <c r="Y157" s="72"/>
      <c r="Z157" s="72"/>
      <c r="AA157" s="116">
        <f>SUM(AA109,AA110,AA112)/-AA113</f>
        <v>1.2881659836065575</v>
      </c>
      <c r="AB157" s="72"/>
      <c r="AC157" s="72"/>
      <c r="AD157" s="72"/>
      <c r="AE157" s="72"/>
      <c r="AF157" s="116">
        <f>SUM(AF109,AF110,AF112)/-AF113</f>
        <v>1.0592552984639316</v>
      </c>
      <c r="AG157" s="72"/>
      <c r="AH157" s="72"/>
      <c r="AI157" s="72"/>
      <c r="AJ157" s="72"/>
      <c r="AK157" s="116">
        <f>SUM(AK109,AK110,AK112)/-AK113</f>
        <v>1.0297378760966682</v>
      </c>
      <c r="AL157" s="72"/>
      <c r="AM157" s="72"/>
      <c r="AN157" s="72"/>
      <c r="AO157" s="72"/>
      <c r="AP157" s="116">
        <f>SUM(AP109,AP110,AP112)/-AP113</f>
        <v>0.7651288859387102</v>
      </c>
      <c r="AQ157" s="72"/>
      <c r="AR157" s="72"/>
      <c r="AS157" s="72"/>
      <c r="AT157" s="72"/>
      <c r="AU157" s="116">
        <f>SUM(AU109,AU110,AU112)/-AU113</f>
        <v>1.2937385948905109</v>
      </c>
      <c r="AV157" s="72"/>
      <c r="AW157" s="72"/>
      <c r="AX157" s="72"/>
      <c r="AY157" s="72"/>
      <c r="AZ157" s="116">
        <f>SUM(AZ109,AZ110,AZ112)/-AZ113</f>
        <v>0.63258064516129031</v>
      </c>
      <c r="BA157" s="72"/>
      <c r="BB157" s="72"/>
      <c r="BC157" s="72"/>
      <c r="BD157" s="72"/>
      <c r="BE157" s="116">
        <f>SUM(BE109,BE110,BE112)/-BE113</f>
        <v>0.61326013513513522</v>
      </c>
      <c r="BF157" s="72"/>
      <c r="BG157" s="72"/>
      <c r="BH157" s="72"/>
      <c r="BI157" s="72"/>
      <c r="BJ157" s="116">
        <f>SUM(BJ109,BJ110,BJ112)/-BJ113</f>
        <v>1.0897428683958814</v>
      </c>
      <c r="BK157" s="72"/>
      <c r="BL157" s="72"/>
      <c r="BM157" s="72"/>
      <c r="BN157" s="72"/>
      <c r="BO157" s="116">
        <f>SUM(BO109,BO110,BO112)/-BO113</f>
        <v>1.4339986129305695</v>
      </c>
      <c r="BP157" s="72"/>
      <c r="BQ157" s="72"/>
      <c r="BR157" s="72"/>
      <c r="BS157" s="72"/>
      <c r="BT157" s="116">
        <f>SUM(BT109,BT110,BT112)/-BT113</f>
        <v>0.27331975546653736</v>
      </c>
      <c r="BU157" s="72"/>
      <c r="BV157" s="72"/>
      <c r="BW157" s="72"/>
      <c r="BX157" s="72"/>
      <c r="BY157" s="116">
        <f>SUM(BY109,BY110,BY112)/-BY113</f>
        <v>0.26134230686472693</v>
      </c>
      <c r="BZ157" s="72"/>
      <c r="CA157" s="72"/>
      <c r="CB157" s="72"/>
      <c r="CC157" s="72"/>
      <c r="CD157" s="116">
        <f>SUM(CD109,CD110,CD112)/-CD113</f>
        <v>0.25267665527131566</v>
      </c>
    </row>
    <row r="158" spans="1:82">
      <c r="A158" s="11"/>
      <c r="B158" s="11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434"/>
      <c r="W158" s="5"/>
      <c r="X158" s="5"/>
      <c r="Y158" s="5"/>
      <c r="Z158" s="5"/>
      <c r="AA158" s="434"/>
      <c r="AB158" s="5"/>
      <c r="AC158" s="5"/>
      <c r="AD158" s="5"/>
      <c r="AE158" s="5"/>
      <c r="AF158" s="434"/>
      <c r="AG158" s="5"/>
      <c r="AH158" s="5"/>
      <c r="AI158" s="5"/>
      <c r="AJ158" s="5"/>
      <c r="AK158" s="434"/>
      <c r="AL158" s="5"/>
      <c r="AM158" s="5"/>
      <c r="AN158" s="5"/>
      <c r="AO158" s="5"/>
      <c r="AP158" s="434"/>
      <c r="AQ158" s="5"/>
      <c r="AR158" s="5"/>
      <c r="AS158" s="5"/>
      <c r="AT158" s="5"/>
      <c r="AU158" s="434"/>
      <c r="AV158" s="5"/>
      <c r="AW158" s="5"/>
      <c r="AX158" s="5"/>
      <c r="AY158" s="5"/>
      <c r="AZ158" s="434"/>
      <c r="BA158" s="5"/>
      <c r="BB158" s="5"/>
      <c r="BC158" s="5"/>
      <c r="BD158" s="5"/>
      <c r="BE158" s="434"/>
      <c r="BF158" s="5"/>
      <c r="BG158" s="5"/>
      <c r="BH158" s="5"/>
      <c r="BI158" s="5"/>
      <c r="BJ158" s="434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</row>
    <row r="159" spans="1:82">
      <c r="A159" s="11"/>
      <c r="B159" s="24" t="s">
        <v>1759</v>
      </c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</row>
    <row r="160" spans="1:82">
      <c r="A160" s="11"/>
      <c r="B160" s="11" t="s">
        <v>614</v>
      </c>
      <c r="C160" s="72"/>
      <c r="D160" s="72"/>
      <c r="E160" s="116">
        <f>SUM(C48,C49,C51,D48,D49,D51,E48,E49,E51)/-SUM(C52,D52,E52)</f>
        <v>1.4222118088097468</v>
      </c>
      <c r="F160" s="116">
        <f>SUM(D48,D49,D51,E48,E49,E51,F48,F49,F51)/-SUM(D52,E52,F52)</f>
        <v>0.92062818336162988</v>
      </c>
      <c r="G160" s="116">
        <f>SUM(E48,E49,E51,F48,F49,F51,G48,G49,G51)/-SUM(E52,F52,G52)</f>
        <v>0.66132186155651151</v>
      </c>
      <c r="H160" s="72"/>
      <c r="I160" s="72"/>
      <c r="J160" s="72"/>
      <c r="K160" s="72"/>
      <c r="L160" s="116">
        <f>SUM(F48,F49,F51,G48,G49,G51,L48,L49,L51)/-SUM(F52,G52,L52)</f>
        <v>0.95506869662086891</v>
      </c>
      <c r="M160" s="72"/>
      <c r="N160" s="72"/>
      <c r="O160" s="72"/>
      <c r="P160" s="72"/>
      <c r="Q160" s="116">
        <f>SUM(G48,G49,G51,L48,L49,L51,Q48,Q49,Q51)/-SUM(G52,L52,Q52)</f>
        <v>1.2257821334338486</v>
      </c>
      <c r="R160" s="72"/>
      <c r="S160" s="72"/>
      <c r="T160" s="72"/>
      <c r="U160" s="72"/>
      <c r="V160" s="116">
        <f>SUM(L48,L49,L51,Q48,Q49,Q51,V48,V49,V51)/-SUM(L52,Q52,V52)</f>
        <v>1.4486983154670749</v>
      </c>
      <c r="W160" s="72"/>
      <c r="X160" s="72"/>
      <c r="Y160" s="72"/>
      <c r="Z160" s="72"/>
      <c r="AA160" s="116">
        <f>SUM(Q48,Q49,Q51,V48,V49,V51,AA48,AA49,AA51)/-SUM(Q52,V52,AA52)</f>
        <v>1.3624338624338623</v>
      </c>
      <c r="AB160" s="72"/>
      <c r="AC160" s="72"/>
      <c r="AD160" s="72"/>
      <c r="AE160" s="72"/>
      <c r="AF160" s="116">
        <f>SUM(V48,V49,V51,AA48,AA49,AA51,AF48,AF49,AF51)/-SUM(V52,AA52,AF52)</f>
        <v>1.3284146802875521</v>
      </c>
      <c r="AG160" s="72"/>
      <c r="AH160" s="72"/>
      <c r="AI160" s="72"/>
      <c r="AJ160" s="72"/>
      <c r="AK160" s="116">
        <f>SUM(AA48,AA49,AA51,AF48,AF49,AF51,AK48,AK49,AK51)/-SUM(AA52,AF52,AK52)</f>
        <v>1.2773636720282464</v>
      </c>
      <c r="AL160" s="72"/>
      <c r="AM160" s="72"/>
      <c r="AN160" s="72"/>
      <c r="AO160" s="72"/>
      <c r="AP160" s="116">
        <f>SUM(AF48,AF49,AF51,AK48,AK49,AK51,AP48,AP49,AP51)/-SUM(AF52,AK52,AP52)</f>
        <v>1.0310663308144417</v>
      </c>
      <c r="AQ160" s="72"/>
      <c r="AR160" s="72"/>
      <c r="AS160" s="72"/>
      <c r="AT160" s="72"/>
      <c r="AU160" s="116">
        <f>SUM(AK48,AK49,AK51,AP48,AP49,AP51,AU48,AU49,AU51)/-SUM(AK52,AP52,AU52)</f>
        <v>0.88711819389110225</v>
      </c>
      <c r="AV160" s="72"/>
      <c r="AW160" s="72"/>
      <c r="AX160" s="72"/>
      <c r="AY160" s="72"/>
      <c r="AZ160" s="116">
        <f>SUM(AP48,AP49,AP51,AU48,AU49,AU51,AZ48,AZ49,AZ51)/-SUM(AP52,AU52,AZ52)</f>
        <v>0.73602199816681946</v>
      </c>
      <c r="BA160" s="72"/>
      <c r="BB160" s="72"/>
      <c r="BC160" s="72"/>
      <c r="BD160" s="72"/>
      <c r="BE160" s="116">
        <f>SUM(AU48,AU49,AU51,AZ48,AZ49,AZ51,BE48,BE49,BE51)/-SUM(AU52,AZ52,BE52)</f>
        <v>0.74471992653810837</v>
      </c>
      <c r="BF160" s="72"/>
      <c r="BG160" s="72"/>
      <c r="BH160" s="72"/>
      <c r="BI160" s="72"/>
      <c r="BJ160" s="116">
        <f>SUM(AZ48,AZ49,AZ51,BE48,BE49,BE51,BJ48,BJ49,BJ51)/-SUM(AZ52,BE52,BJ52)</f>
        <v>0.88195077484047402</v>
      </c>
      <c r="BK160" s="72"/>
      <c r="BL160" s="72"/>
      <c r="BM160" s="72"/>
      <c r="BN160" s="72"/>
      <c r="BO160" s="116">
        <f>SUM(BE48,BE49,BE51,BJ48,BJ49,BJ51,BO48,BO49,BO51)/-SUM(BE52,BJ52,BO52)</f>
        <v>1.1363244176013805</v>
      </c>
      <c r="BP160" s="72"/>
      <c r="BQ160" s="72"/>
      <c r="BR160" s="72"/>
      <c r="BS160" s="72"/>
      <c r="BT160" s="116">
        <f>SUM(BJ48,BJ49,BJ51,BO48,BO49,BO51,BT48,BT49,BT51)/-SUM(BJ52,BO52,BT52)</f>
        <v>0.99506390034209269</v>
      </c>
      <c r="BU160" s="72"/>
      <c r="BV160" s="72"/>
      <c r="BW160" s="72"/>
      <c r="BX160" s="72"/>
      <c r="BY160" s="116">
        <f>SUM(BO48,BO49,BO51,BT48,BT49,BT51,BY48,BY49,BY51)/-SUM(BO52,BT52,BY52)</f>
        <v>0.64084453209926662</v>
      </c>
      <c r="BZ160" s="72"/>
      <c r="CA160" s="72"/>
      <c r="CB160" s="72"/>
      <c r="CC160" s="72"/>
      <c r="CD160" s="116">
        <f>SUM(BT48,BT49,BT51,BY48,BY49,BY51,CD48,CD49,CD51)/-SUM(BT52,BY52,CD52)</f>
        <v>0.22622014786339509</v>
      </c>
    </row>
    <row r="161" spans="1:82">
      <c r="A161" s="11"/>
      <c r="B161" s="11" t="s">
        <v>2516</v>
      </c>
      <c r="C161" s="72"/>
      <c r="D161" s="72"/>
      <c r="E161" s="116">
        <f>SUM(C91,C92,C94,D91,D92,D94,E91,E92,E94)/-SUM(C95,D95,E95)</f>
        <v>1.735406550263457</v>
      </c>
      <c r="F161" s="116">
        <f>SUM(D91,D92,D94,E91,E92,E94,F91,F92,F94)/-SUM(D95,E95,F95)</f>
        <v>1.606726640768759</v>
      </c>
      <c r="G161" s="116">
        <f>SUM(E91,E92,E94,F91,F92,F94,G91,G92,G94)/-SUM(E95,F95,G95)</f>
        <v>1.4545361771609349</v>
      </c>
      <c r="H161" s="72"/>
      <c r="I161" s="72"/>
      <c r="J161" s="72"/>
      <c r="K161" s="72"/>
      <c r="L161" s="116">
        <f>SUM(F91,F92,F94,G91,G92,G94,L91,L92,L94)/-SUM(F95,G95,L95)</f>
        <v>1.0433587786259542</v>
      </c>
      <c r="M161" s="72"/>
      <c r="N161" s="72"/>
      <c r="O161" s="72"/>
      <c r="P161" s="72"/>
      <c r="Q161" s="116">
        <f>SUM(G91,G92,G94,L91,L92,L94,Q91,Q92,Q94)/-SUM(G95,L95,Q95)</f>
        <v>0.81833195706028072</v>
      </c>
      <c r="R161" s="72"/>
      <c r="S161" s="72"/>
      <c r="T161" s="72"/>
      <c r="U161" s="72"/>
      <c r="V161" s="116">
        <f>SUM(L91,L92,L94,Q91,Q92,Q94,V91,V92,V94)/-SUM(L95,Q95,V95)</f>
        <v>0.69873653686826842</v>
      </c>
      <c r="W161" s="72"/>
      <c r="X161" s="72"/>
      <c r="Y161" s="72"/>
      <c r="Z161" s="72"/>
      <c r="AA161" s="116">
        <f>SUM(Q91,Q92,Q94,V91,V92,V94,AA91,AA92,AA94)/-SUM(Q95,V95,AA95)</f>
        <v>0.96694214876033058</v>
      </c>
      <c r="AB161" s="72"/>
      <c r="AC161" s="72"/>
      <c r="AD161" s="72"/>
      <c r="AE161" s="72"/>
      <c r="AF161" s="116">
        <f>SUM(V91,V92,V94,AA91,AA92,AA94,AF91,AF92,AF94)/-SUM(V95,AA95,AF95)</f>
        <v>0.96754044644685644</v>
      </c>
      <c r="AG161" s="72"/>
      <c r="AH161" s="72"/>
      <c r="AI161" s="72"/>
      <c r="AJ161" s="72"/>
      <c r="AK161" s="116">
        <f>SUM(AA91,AA92,AA94,AF91,AF92,AF94,AK91,AK92,AK94)/-SUM(AA95,AF95,AK95)</f>
        <v>0.90311674590596935</v>
      </c>
      <c r="AL161" s="72"/>
      <c r="AM161" s="72"/>
      <c r="AN161" s="72"/>
      <c r="AO161" s="72"/>
      <c r="AP161" s="116">
        <f>SUM(AF91,AF92,AF94,AK91,AK92,AK94,AP91,AP92,AP94)/-SUM(AF95,AK95,AP95)</f>
        <v>0.84365359189070077</v>
      </c>
      <c r="AQ161" s="72"/>
      <c r="AR161" s="72"/>
      <c r="AS161" s="72"/>
      <c r="AT161" s="72"/>
      <c r="AU161" s="116">
        <f>SUM(AK91,AK92,AK94,AP91,AP92,AP94,AU91,AU92,AU94)/-SUM(AK95,AP95,AU95)</f>
        <v>1.2404664723032071</v>
      </c>
      <c r="AV161" s="72"/>
      <c r="AW161" s="72"/>
      <c r="AX161" s="72"/>
      <c r="AY161" s="72"/>
      <c r="AZ161" s="116">
        <f>SUM(AP91,AP92,AP94,AU91,AU92,AU94,AZ91,AZ92,AZ94)/-SUM(AP95,AU95,AZ95)</f>
        <v>1.1423305588585018</v>
      </c>
      <c r="BA161" s="72"/>
      <c r="BB161" s="72"/>
      <c r="BC161" s="72"/>
      <c r="BD161" s="72"/>
      <c r="BE161" s="116">
        <f>SUM(AU91,AU92,AU94,AZ91,AZ92,AZ94,BE91,BE92,BE94)/-SUM(AU95,AZ95,BE95)</f>
        <v>1.0038526366482061</v>
      </c>
      <c r="BF161" s="72"/>
      <c r="BG161" s="72"/>
      <c r="BH161" s="72"/>
      <c r="BI161" s="72"/>
      <c r="BJ161" s="116">
        <f>SUM(AZ91,AZ92,AZ94,BE91,BE92,BE94,BJ91,BJ92,BJ94)/-SUM(AZ95,BE95,BJ95)</f>
        <v>0.62530091478093408</v>
      </c>
      <c r="BK161" s="72"/>
      <c r="BL161" s="72"/>
      <c r="BM161" s="72"/>
      <c r="BN161" s="72"/>
      <c r="BO161" s="116">
        <f>SUM(BE91,BE92,BE94,BJ91,BJ92,BJ94,BO91,BO92,BO94)/-SUM(BE95,BJ95,BO95)</f>
        <v>0.93419053185271772</v>
      </c>
      <c r="BP161" s="72"/>
      <c r="BQ161" s="72"/>
      <c r="BR161" s="72"/>
      <c r="BS161" s="72"/>
      <c r="BT161" s="116">
        <f>SUM(BJ91,BJ92,BJ94,BO91,BO92,BO94,BT91,BT92,BT94)/-SUM(BJ95,BO95,BT95)</f>
        <v>0.8235006133667897</v>
      </c>
      <c r="BU161" s="72"/>
      <c r="BV161" s="72"/>
      <c r="BW161" s="72"/>
      <c r="BX161" s="72"/>
      <c r="BY161" s="116">
        <f>SUM(BO91,BO92,BO94,BT91,BT92,BT94,BY91,BY92,BY94)/-SUM(BO95,BT95,BY95)</f>
        <v>0.66471453678899373</v>
      </c>
      <c r="BZ161" s="72"/>
      <c r="CA161" s="72"/>
      <c r="CB161" s="72"/>
      <c r="CC161" s="72"/>
      <c r="CD161" s="116">
        <f>SUM(BT91,BT92,BT94,BY91,BY92,BY94,CD91,CD92,CD94)/-SUM(BT95,BY95,CD95)</f>
        <v>0.31171839142778718</v>
      </c>
    </row>
    <row r="162" spans="1:82">
      <c r="A162" s="11"/>
      <c r="B162" s="11" t="s">
        <v>896</v>
      </c>
      <c r="C162" s="72"/>
      <c r="D162" s="72"/>
      <c r="E162" s="116">
        <f>SUM(C109,C110,C112,D109,D110,D112,E109,E110,E112)/-SUM(C113,D113,E113)</f>
        <v>1.55965216129705</v>
      </c>
      <c r="F162" s="116">
        <f>SUM(D109,D110,D112,E109,E110,E112,F109,F110,F112)/-SUM(D113,E113,F113)</f>
        <v>1.2068683146527459</v>
      </c>
      <c r="G162" s="116">
        <f>SUM(E109,E110,E112,F109,F110,F112,G109,G110,G112)/-SUM(E113,F113,G113)</f>
        <v>0.97690583687920218</v>
      </c>
      <c r="H162" s="72"/>
      <c r="I162" s="72"/>
      <c r="J162" s="72"/>
      <c r="K162" s="72"/>
      <c r="L162" s="116">
        <f>SUM(F109,F110,F112,G109,G110,G112,L109,L110,L112)/-SUM(F113,G113,L113)</f>
        <v>0.98916067975664568</v>
      </c>
      <c r="M162" s="72"/>
      <c r="N162" s="72"/>
      <c r="O162" s="72"/>
      <c r="P162" s="72"/>
      <c r="Q162" s="116">
        <f>SUM(G109,G110,G112,L109,L110,L112,Q109,Q110,Q112)/-SUM(G113,L113,Q113)</f>
        <v>1.0683618207486223</v>
      </c>
      <c r="R162" s="72"/>
      <c r="S162" s="72"/>
      <c r="T162" s="72"/>
      <c r="U162" s="72"/>
      <c r="V162" s="116">
        <f>SUM(L109,L110,L112,Q109,Q110,Q112,V109,V110,V112)/-SUM(L113,Q113,V113)</f>
        <v>1.1567629890024833</v>
      </c>
      <c r="W162" s="72"/>
      <c r="X162" s="72"/>
      <c r="Y162" s="72"/>
      <c r="Z162" s="72"/>
      <c r="AA162" s="116">
        <f>SUM(Q109,Q110,Q112,V109,V110,V112,AA109,AA110,AA112)/-SUM(Q113,V113,AA113)</f>
        <v>1.2094634551760512</v>
      </c>
      <c r="AB162" s="72"/>
      <c r="AC162" s="72"/>
      <c r="AD162" s="72"/>
      <c r="AE162" s="72"/>
      <c r="AF162" s="116">
        <f>SUM(V109,V110,V112,AA109,AA110,AA112,AF109,AF110,AF112)/-SUM(V113,AA113,AF113)</f>
        <v>1.187978673382373</v>
      </c>
      <c r="AG162" s="72"/>
      <c r="AH162" s="72"/>
      <c r="AI162" s="72"/>
      <c r="AJ162" s="72"/>
      <c r="AK162" s="116">
        <f>SUM(AA109,AA110,AA112,AF109,AF110,AF112,AK109,AK110,AK112)/-SUM(AA113,AF113,AK113)</f>
        <v>1.1312868053379082</v>
      </c>
      <c r="AL162" s="72"/>
      <c r="AM162" s="72"/>
      <c r="AN162" s="72"/>
      <c r="AO162" s="72"/>
      <c r="AP162" s="116">
        <f>SUM(AF109,AF110,AF112,AK109,AK110,AK112,AP109,AP110,AP112)/-SUM(AF113,AK113,AP113)</f>
        <v>0.95676143214104736</v>
      </c>
      <c r="AQ162" s="72"/>
      <c r="AR162" s="72"/>
      <c r="AS162" s="72"/>
      <c r="AT162" s="72"/>
      <c r="AU162" s="116">
        <f>SUM(AK109,AK110,AK112,AP109,AP110,AP112,AU109,AU110,AU112)/-SUM(AK113,AP113,AU113)</f>
        <v>1.0268946173860094</v>
      </c>
      <c r="AV162" s="72"/>
      <c r="AW162" s="72"/>
      <c r="AX162" s="72"/>
      <c r="AY162" s="72"/>
      <c r="AZ162" s="116">
        <f>SUM(AP109,AP110,AP112,AU109,AU110,AU112,AZ109,AZ110,AZ112)/-SUM(AP113,AU113,AZ113)</f>
        <v>0.89823218897159351</v>
      </c>
      <c r="BA162" s="72"/>
      <c r="BB162" s="72"/>
      <c r="BC162" s="72"/>
      <c r="BD162" s="72"/>
      <c r="BE162" s="116">
        <f>SUM(AU109,AU110,AU112,AZ109,AZ110,AZ112,BE109,BE110,BE112)/-SUM(AU113,AZ113,BE113)</f>
        <v>0.84751461429717645</v>
      </c>
      <c r="BF162" s="72"/>
      <c r="BG162" s="72"/>
      <c r="BH162" s="72"/>
      <c r="BI162" s="72"/>
      <c r="BJ162" s="116">
        <f>SUM(AZ109,AZ110,AZ112,BE109,BE110,BE112,BJ109,BJ110,BJ112)/-SUM(AZ113,BE113,BJ113)</f>
        <v>0.78057547115988057</v>
      </c>
      <c r="BK162" s="72"/>
      <c r="BL162" s="72"/>
      <c r="BM162" s="72"/>
      <c r="BN162" s="72"/>
      <c r="BO162" s="116">
        <f>SUM(BE109,BE110,BE112,BJ109,BJ110,BJ112,BO109,BO110,BO112)/-SUM(BE113,BJ113,BO113)</f>
        <v>1.0577197559933453</v>
      </c>
      <c r="BP162" s="72"/>
      <c r="BQ162" s="72"/>
      <c r="BR162" s="72"/>
      <c r="BS162" s="72"/>
      <c r="BT162" s="116">
        <f>SUM(BJ109,BJ110,BJ112,BO109,BO110,BO112,BT109,BT110,BT112)/-SUM(BJ113,BO113,BT113)</f>
        <v>0.92780967318793717</v>
      </c>
      <c r="BU162" s="72"/>
      <c r="BV162" s="72"/>
      <c r="BW162" s="72"/>
      <c r="BX162" s="72"/>
      <c r="BY162" s="116">
        <f>SUM(BO109,BO110,BO112,BT109,BT110,BT112,BY109,BY110,BY112)/-SUM(BO113,BT113,BY113)</f>
        <v>0.65045458917558707</v>
      </c>
      <c r="BZ162" s="72"/>
      <c r="CA162" s="72"/>
      <c r="CB162" s="72"/>
      <c r="CC162" s="72"/>
      <c r="CD162" s="116">
        <f>SUM(BT109,BT110,BT112,BY109,BY110,BY112,CD109,CD110,CD112)/-SUM(BT113,BY113,CD113)</f>
        <v>0.26217485995129036</v>
      </c>
    </row>
    <row r="163" spans="1:82">
      <c r="A163" s="11"/>
      <c r="B163" s="11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</row>
    <row r="164" spans="1:82">
      <c r="A164" s="39" t="s">
        <v>1983</v>
      </c>
      <c r="B164" s="11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</row>
    <row r="165" spans="1:82">
      <c r="A165" s="11"/>
      <c r="B165" s="11" t="s">
        <v>614</v>
      </c>
      <c r="C165" s="116">
        <f>SUM(C48,C49,C50,C51,C53)/-C52</f>
        <v>2.0827178729689808</v>
      </c>
      <c r="D165" s="116">
        <f>SUM(D48,D49,D50,D51,D53)/-D52</f>
        <v>2.109704641350211</v>
      </c>
      <c r="E165" s="116">
        <f>SUM(E48,E49,E50,E51,E53)/-E52</f>
        <v>2.227882037533512</v>
      </c>
      <c r="F165" s="116">
        <f>SUM(F48,F49,F50,F51,F53)/-F52</f>
        <v>0.83648498331479426</v>
      </c>
      <c r="G165" s="116">
        <f>SUM(G48,G49,G50,G51,G53)/-G52</f>
        <v>0.59539473684210531</v>
      </c>
      <c r="H165" s="72"/>
      <c r="I165" s="72"/>
      <c r="J165" s="72"/>
      <c r="K165" s="72"/>
      <c r="L165" s="116">
        <f>SUM(L48,L49,L50,L51,L53)/-L52</f>
        <v>1.2448979591836735</v>
      </c>
      <c r="M165" s="72"/>
      <c r="N165" s="72"/>
      <c r="O165" s="72"/>
      <c r="P165" s="72"/>
      <c r="Q165" s="116">
        <f>SUM(Q48,Q49,Q50,Q51,Q53)/-Q52</f>
        <v>1.339930151338766</v>
      </c>
      <c r="R165" s="72"/>
      <c r="S165" s="72"/>
      <c r="T165" s="72"/>
      <c r="U165" s="72"/>
      <c r="V165" s="116">
        <f>SUM(V48,V49,V50,V51,V53)/-V52</f>
        <v>1.3214695752009185</v>
      </c>
      <c r="W165" s="72"/>
      <c r="X165" s="72"/>
      <c r="Y165" s="72"/>
      <c r="Z165" s="72"/>
      <c r="AA165" s="116">
        <f>SUM(AA48,AA49,AA50,AA51,AA53)/-AA52</f>
        <v>1.1724890829694323</v>
      </c>
      <c r="AB165" s="72"/>
      <c r="AC165" s="72"/>
      <c r="AD165" s="72"/>
      <c r="AE165" s="72"/>
      <c r="AF165" s="116">
        <f>SUM(AF48,AF49,AF50,AF51,AF53)/-AF52</f>
        <v>1.2313084112149533</v>
      </c>
      <c r="AG165" s="72"/>
      <c r="AH165" s="72"/>
      <c r="AI165" s="72"/>
      <c r="AJ165" s="72"/>
      <c r="AK165" s="116">
        <f>SUM(AK48,AK49,AK50,AK51,AK53)/-AK52</f>
        <v>0.81467181467181471</v>
      </c>
      <c r="AL165" s="72"/>
      <c r="AM165" s="72"/>
      <c r="AN165" s="72"/>
      <c r="AO165" s="72"/>
      <c r="AP165" s="116">
        <f>SUM(AP48,AP49,AP50,AP51,AP53)/-AP52</f>
        <v>0.31241655540720964</v>
      </c>
      <c r="AQ165" s="72"/>
      <c r="AR165" s="72"/>
      <c r="AS165" s="72"/>
      <c r="AT165" s="72"/>
      <c r="AU165" s="116">
        <f>SUM(AU48,AU49,AU50,AU51,AU53)/-AU52</f>
        <v>1.0272851296043657</v>
      </c>
      <c r="AV165" s="72"/>
      <c r="AW165" s="72"/>
      <c r="AX165" s="72"/>
      <c r="AY165" s="72"/>
      <c r="AZ165" s="116">
        <f>SUM(AZ48,AZ49,AZ50,AZ51,AZ53)/-AZ52</f>
        <v>0.64142857142857146</v>
      </c>
      <c r="BA165" s="72"/>
      <c r="BB165" s="72"/>
      <c r="BC165" s="72"/>
      <c r="BD165" s="72"/>
      <c r="BE165" s="116">
        <f>SUM(BE48,BE49,BE50,BE51,BE53)/-BE52</f>
        <v>0.65503355704697985</v>
      </c>
      <c r="BF165" s="72"/>
      <c r="BG165" s="72"/>
      <c r="BH165" s="72"/>
      <c r="BI165" s="72"/>
      <c r="BJ165" s="116">
        <f>SUM(BJ48,BJ49,BJ50,BJ51,BJ53)/-BJ52</f>
        <v>2.0320427236315086</v>
      </c>
      <c r="BK165" s="72"/>
      <c r="BL165" s="72"/>
      <c r="BM165" s="72"/>
      <c r="BN165" s="72"/>
      <c r="BO165" s="116">
        <f>SUM(BO48,BO49,BO50,BO51,BO53)/-BO52</f>
        <v>1.4114077669902914</v>
      </c>
      <c r="BP165" s="72"/>
      <c r="BQ165" s="72"/>
      <c r="BR165" s="72"/>
      <c r="BS165" s="72"/>
      <c r="BT165" s="116">
        <f>SUM(BT48,BT49,BT50,BT51,BT53)/-BT52</f>
        <v>0.22800759807555479</v>
      </c>
      <c r="BU165" s="72"/>
      <c r="BV165" s="72"/>
      <c r="BW165" s="72"/>
      <c r="BX165" s="72"/>
      <c r="BY165" s="116">
        <f>SUM(BY48,BY49,BY50,BY51,BY53)/-BY52</f>
        <v>0.22536281151265772</v>
      </c>
      <c r="BZ165" s="72"/>
      <c r="CA165" s="72"/>
      <c r="CB165" s="72"/>
      <c r="CC165" s="72"/>
      <c r="CD165" s="116">
        <f>SUM(CD48,CD49,CD50,CD51,CD53)/-CD52</f>
        <v>0.22531097679074535</v>
      </c>
    </row>
    <row r="166" spans="1:82">
      <c r="A166" s="11"/>
      <c r="B166" s="11" t="s">
        <v>2516</v>
      </c>
      <c r="C166" s="116">
        <f>SUM(C91,C92,C93,C94,C96)/-C95</f>
        <v>1.7026774595267746</v>
      </c>
      <c r="D166" s="116">
        <f>SUM(D91,D92,D93,D94,D96)/-D95</f>
        <v>1.806541190990435</v>
      </c>
      <c r="E166" s="116">
        <f>SUM(E91,E92,E93,E94,E96)/-E95</f>
        <v>0.76286422814631127</v>
      </c>
      <c r="F166" s="116">
        <f>SUM(F91,F92,F93,F94,F96)/-F95</f>
        <v>1.1457013574660633</v>
      </c>
      <c r="G166" s="116">
        <f>SUM(G91,G92,G93,G94,G96)/-G95</f>
        <v>0.93769183548189072</v>
      </c>
      <c r="H166" s="72"/>
      <c r="I166" s="72"/>
      <c r="J166" s="72"/>
      <c r="K166" s="72"/>
      <c r="L166" s="116">
        <f>SUM(L91,L92,L93,L94,L96)/-L95</f>
        <v>0.27029520295202952</v>
      </c>
      <c r="M166" s="72"/>
      <c r="N166" s="72"/>
      <c r="O166" s="72"/>
      <c r="P166" s="72"/>
      <c r="Q166" s="116">
        <f>SUM(Q91,Q92,Q93,Q94,Q96)/-Q95</f>
        <v>0.67558212712397736</v>
      </c>
      <c r="R166" s="72"/>
      <c r="S166" s="72"/>
      <c r="T166" s="72"/>
      <c r="U166" s="72"/>
      <c r="V166" s="116">
        <f>SUM(V91,V92,V93,V94,V96)/-V95</f>
        <v>1.0954742715437074</v>
      </c>
      <c r="W166" s="72"/>
      <c r="X166" s="72"/>
      <c r="Y166" s="72"/>
      <c r="Z166" s="72"/>
      <c r="AA166" s="116">
        <f>SUM(AA91,AA92,AA93,AA94,AA96)/-AA95</f>
        <v>0.97619047619047616</v>
      </c>
      <c r="AB166" s="72"/>
      <c r="AC166" s="72"/>
      <c r="AD166" s="72"/>
      <c r="AE166" s="72"/>
      <c r="AF166" s="116">
        <f>SUM(AF91,AF92,AF93,AF94,AF96)/-AF95</f>
        <v>0.25551470588235292</v>
      </c>
      <c r="AG166" s="72"/>
      <c r="AH166" s="72"/>
      <c r="AI166" s="72"/>
      <c r="AJ166" s="72"/>
      <c r="AK166" s="116">
        <f>SUM(AK91,AK92,AK93,AK94,AK96)/-AK95</f>
        <v>0.64410256410256406</v>
      </c>
      <c r="AL166" s="72"/>
      <c r="AM166" s="72"/>
      <c r="AN166" s="72"/>
      <c r="AO166" s="72"/>
      <c r="AP166" s="116">
        <f>SUM(AP91,AP92,AP93,AP94,AP96)/-AP95</f>
        <v>0.53100103914097674</v>
      </c>
      <c r="AQ166" s="72"/>
      <c r="AR166" s="72"/>
      <c r="AS166" s="72"/>
      <c r="AT166" s="72"/>
      <c r="AU166" s="116">
        <f>SUM(AU91,AU92,AU93,AU94,AU96)/-AU95</f>
        <v>3.0521172638436482</v>
      </c>
      <c r="AV166" s="72"/>
      <c r="AW166" s="72"/>
      <c r="AX166" s="72"/>
      <c r="AY166" s="72"/>
      <c r="AZ166" s="116">
        <f>SUM(AZ91,AZ92,AZ93,AZ94,AZ96)/-AZ95</f>
        <v>0.53695652173913044</v>
      </c>
      <c r="BA166" s="72"/>
      <c r="BB166" s="72"/>
      <c r="BC166" s="72"/>
      <c r="BD166" s="72"/>
      <c r="BE166" s="116">
        <f>SUM(BE91,BE92,BE93,BE94,BE96)/-BE95</f>
        <v>0.82033776500179667</v>
      </c>
      <c r="BF166" s="72"/>
      <c r="BG166" s="72"/>
      <c r="BH166" s="72"/>
      <c r="BI166" s="72"/>
      <c r="BJ166" s="116">
        <f>SUM(BJ91,BJ92,BJ93,BJ94,BJ96)/-BJ95</f>
        <v>0.70018083182640145</v>
      </c>
      <c r="BK166" s="72"/>
      <c r="BL166" s="72"/>
      <c r="BM166" s="72"/>
      <c r="BN166" s="72"/>
      <c r="BO166" s="116">
        <f>SUM(BO91,BO92,BO93,BO94,BO96)/-BO95</f>
        <v>1.5623545061523112</v>
      </c>
      <c r="BP166" s="72"/>
      <c r="BQ166" s="72"/>
      <c r="BR166" s="72"/>
      <c r="BS166" s="72"/>
      <c r="BT166" s="116">
        <f>SUM(BT91,BT92,BT93,BT94,BT96)/-BT95</f>
        <v>0.34110857237055131</v>
      </c>
      <c r="BU166" s="72"/>
      <c r="BV166" s="72"/>
      <c r="BW166" s="72"/>
      <c r="BX166" s="72"/>
      <c r="BY166" s="116">
        <f>SUM(BY91,BY92,BY93,BY94,BY96)/-BY95</f>
        <v>0.31099274337501187</v>
      </c>
      <c r="BZ166" s="72"/>
      <c r="CA166" s="72"/>
      <c r="CB166" s="72"/>
      <c r="CC166" s="72"/>
      <c r="CD166" s="116">
        <f>SUM(CD91,CD92,CD93,CD94,CD96)/-CD95</f>
        <v>0.28760887223595216</v>
      </c>
    </row>
    <row r="167" spans="1:82">
      <c r="A167" s="11"/>
      <c r="B167" s="11" t="s">
        <v>896</v>
      </c>
      <c r="C167" s="116">
        <f>SUM(C109,C110,C111,C112,C114)/-C113</f>
        <v>1.9117193847533129</v>
      </c>
      <c r="D167" s="116">
        <f>SUM(D109,D110,D111,D112,D114)/-D113</f>
        <v>1.9762926352378885</v>
      </c>
      <c r="E167" s="116">
        <f>SUM(E109,E110,E111,E112,E114)/-E113</f>
        <v>1.6021343078063763</v>
      </c>
      <c r="F167" s="116">
        <f>SUM(F109,F110,F111,F112,F114)/-F113</f>
        <v>0.95666651034094641</v>
      </c>
      <c r="G167" s="116">
        <f>SUM(G109,G110,G111,G112,G114)/-G113</f>
        <v>0.72586457017174411</v>
      </c>
      <c r="H167" s="72"/>
      <c r="I167" s="72"/>
      <c r="J167" s="72"/>
      <c r="K167" s="72"/>
      <c r="L167" s="116">
        <f>SUM(L109,L110,L111,L112,L114)/-L113</f>
        <v>0.86612648788182989</v>
      </c>
      <c r="M167" s="72"/>
      <c r="N167" s="72"/>
      <c r="O167" s="72"/>
      <c r="P167" s="72"/>
      <c r="Q167" s="116">
        <f>SUM(Q109,Q110,Q111,Q112,Q114)/-Q113</f>
        <v>1.0811989902208279</v>
      </c>
      <c r="R167" s="72"/>
      <c r="S167" s="72"/>
      <c r="T167" s="72"/>
      <c r="U167" s="72"/>
      <c r="V167" s="116">
        <f>SUM(V109,V110,V111,V112,V114)/-V113</f>
        <v>1.2333953465896734</v>
      </c>
      <c r="W167" s="72"/>
      <c r="X167" s="72"/>
      <c r="Y167" s="72"/>
      <c r="Z167" s="72"/>
      <c r="AA167" s="116">
        <f>SUM(AA109,AA110,AA111,AA112,AA114)/-AA113</f>
        <v>1.0976154992548435</v>
      </c>
      <c r="AB167" s="72"/>
      <c r="AC167" s="72"/>
      <c r="AD167" s="72"/>
      <c r="AE167" s="72"/>
      <c r="AF167" s="116">
        <f>SUM(AF109,AF110,AF111,AF112,AF114)/-AF113</f>
        <v>0.84425432626871477</v>
      </c>
      <c r="AG167" s="72"/>
      <c r="AH167" s="72"/>
      <c r="AI167" s="72"/>
      <c r="AJ167" s="72"/>
      <c r="AK167" s="116">
        <f>SUM(AK109,AK110,AK111,AK112,AK114)/-AK113</f>
        <v>0.74753754238656545</v>
      </c>
      <c r="AL167" s="72"/>
      <c r="AM167" s="72"/>
      <c r="AN167" s="72"/>
      <c r="AO167" s="72"/>
      <c r="AP167" s="116">
        <f>SUM(AP109,AP110,AP111,AP112,AP114)/-AP113</f>
        <v>0.39968469963491537</v>
      </c>
      <c r="AQ167" s="72"/>
      <c r="AR167" s="72"/>
      <c r="AS167" s="72"/>
      <c r="AT167" s="72"/>
      <c r="AU167" s="116">
        <f>SUM(AU109,AU110,AU111,AU112,AU114)/-AU113</f>
        <v>1.8248745437956198</v>
      </c>
      <c r="AV167" s="72"/>
      <c r="AW167" s="72"/>
      <c r="AX167" s="72"/>
      <c r="AY167" s="72"/>
      <c r="AZ167" s="116">
        <f>SUM(AZ109,AZ110,AZ111,AZ112,AZ114)/-AZ113</f>
        <v>0.59914956011730214</v>
      </c>
      <c r="BA167" s="72"/>
      <c r="BB167" s="72"/>
      <c r="BC167" s="72"/>
      <c r="BD167" s="72"/>
      <c r="BE167" s="116">
        <f>SUM(BE109,BE110,BE111,BE112,BE114)/-BE113</f>
        <v>0.71979166666666672</v>
      </c>
      <c r="BF167" s="72"/>
      <c r="BG167" s="72"/>
      <c r="BH167" s="72"/>
      <c r="BI167" s="72"/>
      <c r="BJ167" s="116">
        <f>SUM(BJ109,BJ110,BJ111,BJ112,BJ114)/-BJ113</f>
        <v>1.5140381477522082</v>
      </c>
      <c r="BK167" s="72"/>
      <c r="BL167" s="72"/>
      <c r="BM167" s="72"/>
      <c r="BN167" s="72"/>
      <c r="BO167" s="116">
        <f>SUM(BO109,BO110,BO111,BO112,BO114)/-BO113</f>
        <v>1.4697028075312735</v>
      </c>
      <c r="BP167" s="72"/>
      <c r="BQ167" s="72"/>
      <c r="BR167" s="72"/>
      <c r="BS167" s="72"/>
      <c r="BT167" s="116">
        <f>SUM(BT109,BT110,BT111,BT112,BT114)/-BT113</f>
        <v>0.27331975546653736</v>
      </c>
      <c r="BU167" s="72"/>
      <c r="BV167" s="72"/>
      <c r="BW167" s="72"/>
      <c r="BX167" s="72"/>
      <c r="BY167" s="116">
        <f>SUM(BY109,BY110,BY111,BY112,BY114)/-BY113</f>
        <v>0.26134230686472693</v>
      </c>
      <c r="BZ167" s="72"/>
      <c r="CA167" s="72"/>
      <c r="CB167" s="72"/>
      <c r="CC167" s="72"/>
      <c r="CD167" s="116">
        <f>SUM(CD109,CD110,CD111,CD112,CD114)/-CD113</f>
        <v>0.25267665527131566</v>
      </c>
    </row>
    <row r="168" spans="1:82">
      <c r="A168" s="11"/>
      <c r="B168" s="11"/>
      <c r="C168" s="5"/>
      <c r="D168" s="5"/>
      <c r="E168" s="5"/>
      <c r="F168" s="5"/>
      <c r="G168" s="5"/>
      <c r="H168" s="49"/>
      <c r="I168" s="49"/>
      <c r="J168" s="49"/>
      <c r="K168" s="49"/>
      <c r="L168" s="5"/>
      <c r="M168" s="49"/>
      <c r="N168" s="49"/>
      <c r="O168" s="49"/>
      <c r="P168" s="49"/>
      <c r="Q168" s="5"/>
      <c r="R168" s="49"/>
      <c r="S168" s="49"/>
      <c r="T168" s="49"/>
      <c r="U168" s="49"/>
      <c r="V168" s="318"/>
      <c r="W168" s="49"/>
      <c r="X168" s="49"/>
      <c r="Y168" s="49"/>
      <c r="Z168" s="49"/>
      <c r="AA168" s="318"/>
      <c r="AB168" s="49"/>
      <c r="AC168" s="49"/>
      <c r="AD168" s="49"/>
      <c r="AE168" s="49"/>
      <c r="AF168" s="318"/>
      <c r="AG168" s="49"/>
      <c r="AH168" s="49"/>
      <c r="AI168" s="49"/>
      <c r="AJ168" s="49"/>
      <c r="AK168" s="318"/>
      <c r="AL168" s="49"/>
      <c r="AM168" s="49"/>
      <c r="AN168" s="49"/>
      <c r="AO168" s="49"/>
      <c r="AP168" s="318"/>
      <c r="AQ168" s="49"/>
      <c r="AR168" s="49"/>
      <c r="AS168" s="49"/>
      <c r="AT168" s="49"/>
      <c r="AU168" s="318"/>
      <c r="AV168" s="49"/>
      <c r="AW168" s="49"/>
      <c r="AX168" s="49"/>
      <c r="AY168" s="49"/>
      <c r="AZ168" s="318"/>
      <c r="BA168" s="49"/>
      <c r="BB168" s="49"/>
      <c r="BC168" s="49"/>
      <c r="BD168" s="49"/>
      <c r="BE168" s="318"/>
      <c r="BF168" s="49"/>
      <c r="BG168" s="49"/>
      <c r="BH168" s="49"/>
      <c r="BI168" s="49"/>
      <c r="BJ168" s="318"/>
      <c r="BK168" s="49"/>
      <c r="BL168" s="49"/>
      <c r="BM168" s="49"/>
      <c r="BN168" s="49"/>
      <c r="BO168" s="5"/>
      <c r="BP168" s="49"/>
      <c r="BQ168" s="49"/>
      <c r="BR168" s="49"/>
      <c r="BS168" s="49"/>
      <c r="BT168" s="5"/>
      <c r="BU168" s="49"/>
      <c r="BV168" s="49"/>
      <c r="BW168" s="49"/>
      <c r="BX168" s="49"/>
      <c r="BY168" s="5"/>
      <c r="BZ168" s="49"/>
      <c r="CA168" s="49"/>
      <c r="CB168" s="49"/>
      <c r="CC168" s="49"/>
      <c r="CD168" s="5"/>
    </row>
    <row r="169" spans="1:82">
      <c r="A169" s="11"/>
      <c r="B169" s="24" t="s">
        <v>1759</v>
      </c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</row>
    <row r="170" spans="1:82">
      <c r="A170" s="11"/>
      <c r="B170" s="11" t="s">
        <v>614</v>
      </c>
      <c r="C170" s="72"/>
      <c r="D170" s="72"/>
      <c r="E170" s="116">
        <f>SUM(C48:C51,D48:D51,E48:E51,C53,D53,E53)/-SUM(C52,D52,E52)</f>
        <v>2.1424554826616684</v>
      </c>
      <c r="F170" s="116">
        <f>SUM(D48:D51,E48:E51,F48:F51,D53,E53,F53)/-SUM(D52,E52,F52)</f>
        <v>1.6612903225806452</v>
      </c>
      <c r="G170" s="116">
        <f>SUM(E48:E51,F48:F51,G48:G51,E53,F53,G53)/-SUM(E52,F52,G52)</f>
        <v>1.1564333202972232</v>
      </c>
      <c r="H170" s="72"/>
      <c r="I170" s="72"/>
      <c r="J170" s="72"/>
      <c r="K170" s="72"/>
      <c r="L170" s="116">
        <f>SUM(F48:F51,G48:G51,L48:L51,F53,G53,L53)/-SUM(F52,G52,L52)</f>
        <v>0.88860007426661713</v>
      </c>
      <c r="M170" s="72"/>
      <c r="N170" s="72"/>
      <c r="O170" s="72"/>
      <c r="P170" s="72"/>
      <c r="Q170" s="116">
        <f>SUM(G48:G51,L48:L51,Q48:Q51,G53,L53,Q53)/-SUM(G52,L52,Q52)</f>
        <v>1.0523935167734639</v>
      </c>
      <c r="R170" s="72"/>
      <c r="S170" s="72"/>
      <c r="T170" s="72"/>
      <c r="U170" s="72"/>
      <c r="V170" s="116">
        <f>SUM(L48:L51,Q48:Q51,V48:V51,L53,Q53,V53)/-SUM(L52,Q52,V52)</f>
        <v>1.3016845329249618</v>
      </c>
      <c r="W170" s="72"/>
      <c r="X170" s="72"/>
      <c r="Y170" s="72"/>
      <c r="Z170" s="72"/>
      <c r="AA170" s="116">
        <f>SUM(Q48:Q51,V48:V51,AA48:AA51,Q53,V53,AA53)/-SUM(Q52,V52,AA52)</f>
        <v>1.2758881330309901</v>
      </c>
      <c r="AB170" s="72"/>
      <c r="AC170" s="72"/>
      <c r="AD170" s="72"/>
      <c r="AE170" s="72"/>
      <c r="AF170" s="116">
        <f>SUM(V48:V51,AA48:AA51,AF48:AF51,V53,AA53,AF53)/-SUM(V52,AA52,AF52)</f>
        <v>1.2406356413166857</v>
      </c>
      <c r="AG170" s="72"/>
      <c r="AH170" s="72"/>
      <c r="AI170" s="72"/>
      <c r="AJ170" s="72"/>
      <c r="AK170" s="116">
        <f>SUM(AA48:AA51,AF48:AF51,AK48:AK51,AA53,AF53,AK53)/-SUM(AA52,AF52,AK52)</f>
        <v>1.0831698705374657</v>
      </c>
      <c r="AL170" s="72"/>
      <c r="AM170" s="72"/>
      <c r="AN170" s="72"/>
      <c r="AO170" s="72"/>
      <c r="AP170" s="116">
        <f>SUM(AF48:AF51,AK48:AK51,AP48:AP51,AF53,AK53,AP53)/-SUM(AF52,AK52,AP52)</f>
        <v>0.80646515533165408</v>
      </c>
      <c r="AQ170" s="72"/>
      <c r="AR170" s="72"/>
      <c r="AS170" s="72"/>
      <c r="AT170" s="72"/>
      <c r="AU170" s="116">
        <f>SUM(AK48:AK51,AP48:AP51,AU48:AU51,AK53,AP53,AU53)/-SUM(AK52,AP52,AU52)</f>
        <v>0.71713147410358569</v>
      </c>
      <c r="AV170" s="72"/>
      <c r="AW170" s="72"/>
      <c r="AX170" s="72"/>
      <c r="AY170" s="72"/>
      <c r="AZ170" s="116">
        <f>SUM(AP48:AP51,AU48:AU51,AZ48:AZ51,AP53,AU53,AZ53)/-SUM(AP52,AU52,AZ52)</f>
        <v>0.65811182401466539</v>
      </c>
      <c r="BA170" s="72"/>
      <c r="BB170" s="72"/>
      <c r="BC170" s="72"/>
      <c r="BD170" s="72"/>
      <c r="BE170" s="116">
        <f>SUM(AU48:AU51,AZ48:AZ51,BE48:BE51,AU53,AZ53,BE53)/-SUM(AU52,AZ52,BE52)</f>
        <v>0.77594123048668506</v>
      </c>
      <c r="BF170" s="72"/>
      <c r="BG170" s="72"/>
      <c r="BH170" s="72"/>
      <c r="BI170" s="72"/>
      <c r="BJ170" s="116">
        <f>SUM(AZ48:AZ51,BE48:BE51,BJ48:BJ51,AZ53,BE53,BJ53)/-SUM(AZ52,BE52,BJ52)</f>
        <v>1.1207839562443027</v>
      </c>
      <c r="BK170" s="72"/>
      <c r="BL170" s="72"/>
      <c r="BM170" s="72"/>
      <c r="BN170" s="72"/>
      <c r="BO170" s="116">
        <f>SUM(BE48:BE51,BJ48:BJ51,BO48:BO51,BE53,BJ53,BO53)/-SUM(BE52,BJ52,BO52)</f>
        <v>1.3688524590163935</v>
      </c>
      <c r="BP170" s="72"/>
      <c r="BQ170" s="72"/>
      <c r="BR170" s="72"/>
      <c r="BS170" s="72"/>
      <c r="BT170" s="116">
        <f>SUM(BJ48:BJ51,BO48:BO51,BT48:BT51,BJ53,BO53,BT53)/-SUM(BJ52,BO52,BT52)</f>
        <v>1.2066692308968021</v>
      </c>
      <c r="BU170" s="72"/>
      <c r="BV170" s="72"/>
      <c r="BW170" s="72"/>
      <c r="BX170" s="72"/>
      <c r="BY170" s="116">
        <f>SUM(BO48:BO51,BT48:BT51,BY48:BY51,BO53,BT53,BY53)/-SUM(BO52,BT52,BY52)</f>
        <v>0.6265094925018182</v>
      </c>
      <c r="BZ170" s="72"/>
      <c r="CA170" s="72"/>
      <c r="CB170" s="72"/>
      <c r="CC170" s="72"/>
      <c r="CD170" s="116">
        <f>SUM(BT48:BT51,BY48:BY51,CD48:CD51,BT53,BY53,CD53)/-SUM(BT52,BY52,CD52)</f>
        <v>0.22622014786339509</v>
      </c>
    </row>
    <row r="171" spans="1:82">
      <c r="A171" s="11"/>
      <c r="B171" s="11" t="s">
        <v>2516</v>
      </c>
      <c r="C171" s="72"/>
      <c r="D171" s="72"/>
      <c r="E171" s="116">
        <f>SUM(C91:C94,D91:D94,E91:E94,C96,D96,E96)/-SUM(C95,D95,E95)</f>
        <v>1.4242173778282881</v>
      </c>
      <c r="F171" s="116">
        <f>SUM(D91:D94,E91:E94,F91:F94,D96,E96,F96)/-SUM(D95,E95,F95)</f>
        <v>1.2383970558168065</v>
      </c>
      <c r="G171" s="116">
        <f>SUM(E91:E94,F91:F94,G91:G94,E96,F96,G96)/-SUM(E95,F95,G95)</f>
        <v>0.95050515358710075</v>
      </c>
      <c r="H171" s="72"/>
      <c r="I171" s="72"/>
      <c r="J171" s="72"/>
      <c r="K171" s="72"/>
      <c r="L171" s="116">
        <f>SUM(F91:F94,G91:G94,L91:L94,F96,G96,L96)/-SUM(F95,G95,L95)</f>
        <v>0.78697201017811702</v>
      </c>
      <c r="M171" s="72"/>
      <c r="N171" s="72"/>
      <c r="O171" s="72"/>
      <c r="P171" s="72"/>
      <c r="Q171" s="116">
        <f>SUM(G91:G94,L91:L94,Q91:Q94,G96,L96,Q96)/-SUM(G95,L95,Q95)</f>
        <v>0.62768373245251863</v>
      </c>
      <c r="R171" s="72"/>
      <c r="S171" s="72"/>
      <c r="T171" s="72"/>
      <c r="U171" s="72"/>
      <c r="V171" s="116">
        <f>SUM(L91:L94,Q91:Q94,V91:V94,L96,Q96,V96)/-SUM(L95,Q95,V95)</f>
        <v>0.6793703396851698</v>
      </c>
      <c r="W171" s="72"/>
      <c r="X171" s="72"/>
      <c r="Y171" s="72"/>
      <c r="Z171" s="72"/>
      <c r="AA171" s="116">
        <f>SUM(Q91:Q94,V91:V94,AA91:AA94,Q96,V96,AA96)/-SUM(Q95,V95,AA95)</f>
        <v>0.91725206611570242</v>
      </c>
      <c r="AB171" s="72"/>
      <c r="AC171" s="72"/>
      <c r="AD171" s="72"/>
      <c r="AE171" s="72"/>
      <c r="AF171" s="116">
        <f>SUM(V91:V94,AA91:AA94,AF91:AF94,V96,AA96,AF96)/-SUM(V95,AA95,AF95)</f>
        <v>0.77472865041982386</v>
      </c>
      <c r="AG171" s="72"/>
      <c r="AH171" s="72"/>
      <c r="AI171" s="72"/>
      <c r="AJ171" s="72"/>
      <c r="AK171" s="116">
        <f>SUM(AA91:AA94,AF91:AF94,AK91:AK94,AA96,AF96,AK96)/-SUM(AA95,AF95,AK95)</f>
        <v>0.62503961965134702</v>
      </c>
      <c r="AL171" s="72"/>
      <c r="AM171" s="72"/>
      <c r="AN171" s="72"/>
      <c r="AO171" s="72"/>
      <c r="AP171" s="116">
        <f>SUM(AF91:AF94,AK91:AK94,AP91:AP94,AF96,AK96,AP96)/-SUM(AF95,AK95,AP95)</f>
        <v>0.46837814014984575</v>
      </c>
      <c r="AQ171" s="72"/>
      <c r="AR171" s="72"/>
      <c r="AS171" s="72"/>
      <c r="AT171" s="72"/>
      <c r="AU171" s="116">
        <f>SUM(AK91:AK94,AP91:AP94,AU91:AU94,AK96,AP96,AU96)/-SUM(AK95,AP95,AU95)</f>
        <v>1.3819241982507289</v>
      </c>
      <c r="AV171" s="72"/>
      <c r="AW171" s="72"/>
      <c r="AX171" s="72"/>
      <c r="AY171" s="72"/>
      <c r="AZ171" s="116">
        <f>SUM(AP91:AP94,AU91:AU94,AZ91:AZ94,AP96,AU96,AZ96)/-SUM(AP95,AU95,AZ95)</f>
        <v>1.3612366230677764</v>
      </c>
      <c r="BA171" s="72"/>
      <c r="BB171" s="72"/>
      <c r="BC171" s="72"/>
      <c r="BD171" s="72"/>
      <c r="BE171" s="116">
        <f>SUM(AU91:AU94,AZ91:AZ94,BE91:BE94,AU96,AZ96,BE96)/-SUM(AU95,AZ95,BE95)</f>
        <v>1.4685769323380689</v>
      </c>
      <c r="BF171" s="72"/>
      <c r="BG171" s="72"/>
      <c r="BH171" s="72"/>
      <c r="BI171" s="72"/>
      <c r="BJ171" s="116">
        <f>SUM(AZ91:AZ94,BE91:BE94,BJ91:BJ94,AZ96,BE96,BJ96)/-SUM(AZ95,BE95,BJ95)</f>
        <v>0.68620606644198368</v>
      </c>
      <c r="BK171" s="72"/>
      <c r="BL171" s="72"/>
      <c r="BM171" s="72"/>
      <c r="BN171" s="72"/>
      <c r="BO171" s="116">
        <f>SUM(BE91:BE94,BJ91:BJ94,BO91:BO94,BE96,BJ96,BO96)/-SUM(BE95,BJ95,BO95)</f>
        <v>1.0423144360023378</v>
      </c>
      <c r="BP171" s="72"/>
      <c r="BQ171" s="72"/>
      <c r="BR171" s="72"/>
      <c r="BS171" s="72"/>
      <c r="BT171" s="116">
        <f>SUM(BJ91:BJ94,BO91:BO94,BT91:BT94,BJ96,BO96,BT96)/-SUM(BJ95,BO95,BT95)</f>
        <v>0.86591121369090251</v>
      </c>
      <c r="BU171" s="72"/>
      <c r="BV171" s="72"/>
      <c r="BW171" s="72"/>
      <c r="BX171" s="72"/>
      <c r="BY171" s="116">
        <f>SUM(BO91:BO94,BT91:BT94,BY91:BY94,BO96,BT96,BY96)/-SUM(BO95,BT95,BY95)</f>
        <v>0.71511562325772982</v>
      </c>
      <c r="BZ171" s="72"/>
      <c r="CA171" s="72"/>
      <c r="CB171" s="72"/>
      <c r="CC171" s="72"/>
      <c r="CD171" s="116">
        <f>SUM(BT91:BT94,BY91:BY94,CD91:CD94,BT96,BY96,CD96)/-SUM(BT95,BY95,CD95)</f>
        <v>0.31171839142778718</v>
      </c>
    </row>
    <row r="172" spans="1:82">
      <c r="A172" s="11"/>
      <c r="B172" s="11" t="s">
        <v>896</v>
      </c>
      <c r="C172" s="72"/>
      <c r="D172" s="72"/>
      <c r="E172" s="116">
        <f>SUM(C109:C112,D109:D112,E109:E112,C114,D114,E114)/-SUM(C113,D113,E113)</f>
        <v>1.8272685231363517</v>
      </c>
      <c r="F172" s="116">
        <f>SUM(D109:D112,E109:E112,F109:F112,D114,E114,F114)/-SUM(D113,E113,F113)</f>
        <v>1.4848593411467661</v>
      </c>
      <c r="G172" s="116">
        <f>SUM(E109:E112,F109:F112,G109:G112,E114,F114,G114)/-SUM(E113,F113,G113)</f>
        <v>1.0745038490271865</v>
      </c>
      <c r="H172" s="72"/>
      <c r="I172" s="72"/>
      <c r="J172" s="72"/>
      <c r="K172" s="72"/>
      <c r="L172" s="116">
        <f>SUM(F109:F112,G109:G112,L109:L112,F114,G114,L114)/-SUM(F113,G113,L113)</f>
        <v>0.84935781547216649</v>
      </c>
      <c r="M172" s="72"/>
      <c r="N172" s="72"/>
      <c r="O172" s="72"/>
      <c r="P172" s="72"/>
      <c r="Q172" s="116">
        <f>SUM(G109:G112,L109:L112,Q109:Q112,G114,L114,Q114)/-SUM(G113,L113,Q113)</f>
        <v>0.8883048725045265</v>
      </c>
      <c r="R172" s="72"/>
      <c r="S172" s="72"/>
      <c r="T172" s="72"/>
      <c r="U172" s="72"/>
      <c r="V172" s="116">
        <f>SUM(L109:L112,Q109:Q112,V109:V112,L114,Q114,V114)/-SUM(L113,Q113,V113)</f>
        <v>1.059438191376141</v>
      </c>
      <c r="W172" s="72"/>
      <c r="X172" s="72"/>
      <c r="Y172" s="72"/>
      <c r="Z172" s="72"/>
      <c r="AA172" s="116">
        <f>SUM(Q109:Q112,V109:V112,AA109:AA112,Q114,V114,AA114)/-SUM(Q113,V113,AA113)</f>
        <v>1.1371729505969599</v>
      </c>
      <c r="AB172" s="72"/>
      <c r="AC172" s="72"/>
      <c r="AD172" s="72"/>
      <c r="AE172" s="72"/>
      <c r="AF172" s="116">
        <f>SUM(V109:V112,AA109:AA112,AF109:AF112,V114,AA114,AF114)/-SUM(V113,AA113,AF113)</f>
        <v>1.0593256134590403</v>
      </c>
      <c r="AG172" s="72"/>
      <c r="AH172" s="72"/>
      <c r="AI172" s="72"/>
      <c r="AJ172" s="72"/>
      <c r="AK172" s="116">
        <f>SUM(AA109:AA112,AF109:AF112,AK109:AK112,AA114,AF114,AK114)/-SUM(AA113,AF113,AK113)</f>
        <v>0.90435148376028929</v>
      </c>
      <c r="AL172" s="72"/>
      <c r="AM172" s="72"/>
      <c r="AN172" s="72"/>
      <c r="AO172" s="72"/>
      <c r="AP172" s="116">
        <f>SUM(AF109:AF112,AK109:AK112,AP109:AP112,AF114,AK114,AP114)/-SUM(AF113,AK113,AP113)</f>
        <v>0.67242132485278427</v>
      </c>
      <c r="AQ172" s="72"/>
      <c r="AR172" s="72"/>
      <c r="AS172" s="72"/>
      <c r="AT172" s="72"/>
      <c r="AU172" s="116">
        <f>SUM(AK109:AK112,AP109:AP112,AU109:AU112,AK114,AP114,AU114)/-SUM(AK113,AP113,AU113)</f>
        <v>0.9801081320465741</v>
      </c>
      <c r="AV172" s="72"/>
      <c r="AW172" s="72"/>
      <c r="AX172" s="72"/>
      <c r="AY172" s="72"/>
      <c r="AZ172" s="116">
        <f>SUM(AP109:AP112,AU109:AU112,AZ109:AZ112,AP114,AU114,AZ114)/-SUM(AP113,AU113,AZ113)</f>
        <v>0.93881968707276309</v>
      </c>
      <c r="BA172" s="72"/>
      <c r="BB172" s="72"/>
      <c r="BC172" s="72"/>
      <c r="BD172" s="72"/>
      <c r="BE172" s="116">
        <f>SUM(AU109:AU112,AZ109:AZ112,BE109:BE112,AU114,AZ114,BE114)/-SUM(AU113,AZ113,BE113)</f>
        <v>1.0507011041913423</v>
      </c>
      <c r="BF172" s="72"/>
      <c r="BG172" s="72"/>
      <c r="BH172" s="72"/>
      <c r="BI172" s="72"/>
      <c r="BJ172" s="116">
        <f>SUM(AZ109:AZ112,BE109:BE112,BJ109:BJ112,AZ114,BE114,BJ114)/-SUM(AZ113,BE113,BJ113)</f>
        <v>0.94912804518570637</v>
      </c>
      <c r="BK172" s="72"/>
      <c r="BL172" s="72"/>
      <c r="BM172" s="72"/>
      <c r="BN172" s="72"/>
      <c r="BO172" s="116">
        <f>SUM(BE109:BE112,BJ109:BJ112,BO109:BO112,BE114,BJ114,BO114)/-SUM(BE113,BJ113,BO113)</f>
        <v>1.2418702328245315</v>
      </c>
      <c r="BP172" s="72"/>
      <c r="BQ172" s="72"/>
      <c r="BR172" s="72"/>
      <c r="BS172" s="72"/>
      <c r="BT172" s="116">
        <f>SUM(BJ109:BJ112,BO109:BO112,BT109:BT112,BJ114,BO114,BT114)/-SUM(BJ113,BO113,BT113)</f>
        <v>1.0730892704180532</v>
      </c>
      <c r="BU172" s="72"/>
      <c r="BV172" s="72"/>
      <c r="BW172" s="72"/>
      <c r="BX172" s="72"/>
      <c r="BY172" s="116">
        <f>SUM(BO109:BO112,BT109:BT112,BY109:BY112,BO114,BT114,BY114)/-SUM(BO113,BT113,BY113)</f>
        <v>0.66218229545868945</v>
      </c>
      <c r="BZ172" s="72"/>
      <c r="CA172" s="72"/>
      <c r="CB172" s="72"/>
      <c r="CC172" s="72"/>
      <c r="CD172" s="116">
        <f>SUM(BT109:BT112,BY109:BY112,CD109:CD112,BT114,BY114,CD114)/-SUM(BT113,BY113,CD113)</f>
        <v>0.26217485995129036</v>
      </c>
    </row>
    <row r="173" spans="1:82">
      <c r="A173" s="11"/>
      <c r="B173" s="11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</row>
    <row r="174" spans="1:82">
      <c r="A174" s="39" t="s">
        <v>1984</v>
      </c>
      <c r="B174" s="11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</row>
    <row r="175" spans="1:82">
      <c r="A175" s="11"/>
      <c r="B175" s="11" t="s">
        <v>1985</v>
      </c>
      <c r="C175" s="104">
        <f>Capex!C89/SUM(C109:C112)</f>
        <v>3.4307047608075805</v>
      </c>
      <c r="D175" s="104">
        <f>Capex!D89/SUM(D109:D112)</f>
        <v>3.2570294497649082</v>
      </c>
      <c r="E175" s="104">
        <f>Capex!E89/SUM(E109:E112)</f>
        <v>2.6954776885963936</v>
      </c>
      <c r="F175" s="104">
        <f>Capex!F89/SUM(F109:F112)</f>
        <v>5.3940475926459817</v>
      </c>
      <c r="G175" s="104">
        <f>Capex!G89/SUM(G109:G112)</f>
        <v>6.364905697158731</v>
      </c>
      <c r="H175" s="72"/>
      <c r="I175" s="72"/>
      <c r="J175" s="72"/>
      <c r="K175" s="72"/>
      <c r="L175" s="104">
        <f>Capex!L89/SUM(L109:L112)</f>
        <v>6.6272665105580524</v>
      </c>
      <c r="M175" s="72"/>
      <c r="N175" s="72"/>
      <c r="O175" s="72"/>
      <c r="P175" s="72"/>
      <c r="Q175" s="104">
        <f>Capex!Q89/SUM(Q109:Q112)</f>
        <v>7.8803559519839954</v>
      </c>
      <c r="R175" s="72"/>
      <c r="S175" s="72"/>
      <c r="T175" s="72"/>
      <c r="U175" s="72"/>
      <c r="V175" s="104">
        <f>Capex!V89/SUM(V109:V112)</f>
        <v>9.4633511536297128</v>
      </c>
      <c r="W175" s="72"/>
      <c r="X175" s="72"/>
      <c r="Y175" s="72"/>
      <c r="Z175" s="72"/>
      <c r="AA175" s="104">
        <f>Capex!AA89/SUM(AA109:AA112)</f>
        <v>8.3431569229676708</v>
      </c>
      <c r="AB175" s="72"/>
      <c r="AC175" s="72"/>
      <c r="AD175" s="72"/>
      <c r="AE175" s="72"/>
      <c r="AF175" s="104">
        <f>Capex!AF89/SUM(AF109:AF112)</f>
        <v>12.565109034267911</v>
      </c>
      <c r="AG175" s="72"/>
      <c r="AH175" s="72"/>
      <c r="AI175" s="72"/>
      <c r="AJ175" s="72"/>
      <c r="AK175" s="104">
        <f>Capex!AK89/SUM(AK109:AK112)</f>
        <v>16.895532816444284</v>
      </c>
      <c r="AL175" s="72"/>
      <c r="AM175" s="72"/>
      <c r="AN175" s="72"/>
      <c r="AO175" s="72"/>
      <c r="AP175" s="104">
        <f>Capex!AP89/SUM(AP109:AP112)</f>
        <v>21.437038037058286</v>
      </c>
      <c r="AQ175" s="72"/>
      <c r="AR175" s="72"/>
      <c r="AS175" s="72"/>
      <c r="AT175" s="72"/>
      <c r="AU175" s="104">
        <f>Capex!AU89/SUM(AU109:AU112)</f>
        <v>3.1863119229978643</v>
      </c>
      <c r="AV175" s="72"/>
      <c r="AW175" s="72"/>
      <c r="AX175" s="72"/>
      <c r="AY175" s="72"/>
      <c r="AZ175" s="104">
        <f>Capex!AZ89/SUM(AZ109:AZ112)</f>
        <v>27.95280832595963</v>
      </c>
      <c r="BA175" s="72"/>
      <c r="BB175" s="72"/>
      <c r="BC175" s="72"/>
      <c r="BD175" s="72"/>
      <c r="BE175" s="104">
        <f>Capex!BE89/SUM(BE109:BE112)</f>
        <v>21.105007830703997</v>
      </c>
      <c r="BF175" s="72"/>
      <c r="BG175" s="72"/>
      <c r="BH175" s="72"/>
      <c r="BI175" s="72"/>
      <c r="BJ175" s="104">
        <f>Capex!BJ89/SUM(BJ109:BJ112)</f>
        <v>10.049118429260927</v>
      </c>
      <c r="BK175" s="72"/>
      <c r="BL175" s="72"/>
      <c r="BM175" s="72"/>
      <c r="BN175" s="72"/>
      <c r="BO175" s="104">
        <f>Capex!BO89/SUM(BO109:BO112)</f>
        <v>10.017453716340981</v>
      </c>
      <c r="BP175" s="72"/>
      <c r="BQ175" s="72"/>
      <c r="BR175" s="72"/>
      <c r="BS175" s="72"/>
      <c r="BT175" s="104">
        <f>Capex!BT89/SUM(BT109:BT112)</f>
        <v>43.227272727272734</v>
      </c>
      <c r="BU175" s="72"/>
      <c r="BV175" s="72"/>
      <c r="BW175" s="72"/>
      <c r="BX175" s="72"/>
      <c r="BY175" s="104">
        <f>Capex!BY89/SUM(BY109:BY112)</f>
        <v>44.181818181818187</v>
      </c>
      <c r="BZ175" s="72"/>
      <c r="CA175" s="72"/>
      <c r="CB175" s="72"/>
      <c r="CC175" s="72"/>
      <c r="CD175" s="104">
        <f>Capex!CD89/SUM(CD109:CD112)</f>
        <v>44.45454545454546</v>
      </c>
    </row>
    <row r="176" spans="1:82">
      <c r="A176" s="11"/>
      <c r="B176" s="47" t="s">
        <v>1759</v>
      </c>
      <c r="C176" s="72"/>
      <c r="D176" s="72"/>
      <c r="E176" s="104">
        <f>SUM(Capex!E89,Capex!D89,Capex!C89)/SUM(C109:C112,D109:D112,E109:E112)</f>
        <v>3.0930299010973545</v>
      </c>
      <c r="F176" s="104">
        <f>SUM(Capex!F89,Capex!E89,Capex!D89)/SUM(D109:D112,E109:E112,F109:F112)</f>
        <v>3.4752191583936951</v>
      </c>
      <c r="G176" s="104">
        <f>SUM(Capex!G89,Capex!F89,Capex!E89)/SUM(E109:E112,F109:F112,G109:G112)</f>
        <v>4.2417212337363628</v>
      </c>
      <c r="H176" s="72"/>
      <c r="I176" s="72"/>
      <c r="J176" s="72"/>
      <c r="K176" s="72"/>
      <c r="L176" s="104">
        <f>SUM(Capex!L89,Capex!G89,Capex!F89)/SUM(F109:F112,G109:G112,L109:L112)</f>
        <v>6.1333621061717754</v>
      </c>
      <c r="M176" s="72"/>
      <c r="N176" s="72"/>
      <c r="O176" s="72"/>
      <c r="P176" s="72"/>
      <c r="Q176" s="104">
        <f>SUM(Capex!Q89,Capex!L89,Capex!G89)/SUM(G109:G112,L109:L112,Q109:Q112)</f>
        <v>6.986837025327981</v>
      </c>
      <c r="R176" s="72"/>
      <c r="S176" s="72"/>
      <c r="T176" s="72"/>
      <c r="U176" s="72"/>
      <c r="V176" s="104">
        <f>SUM(Capex!V89,Capex!Q89,Capex!L89)/SUM(L109:L112,Q109:Q112,V109:V112)</f>
        <v>8.0733287613075984</v>
      </c>
      <c r="W176" s="72"/>
      <c r="X176" s="72"/>
      <c r="Y176" s="72"/>
      <c r="Z176" s="72"/>
      <c r="AA176" s="104">
        <f>SUM(Capex!AA89,Capex!V89,Capex!Q89)/SUM(Q109:Q112,V109:V112,AA109:AA112)</f>
        <v>8.600589421436327</v>
      </c>
      <c r="AB176" s="72"/>
      <c r="AC176" s="72"/>
      <c r="AD176" s="72"/>
      <c r="AE176" s="72"/>
      <c r="AF176" s="104">
        <f>SUM(Capex!AF89,Capex!AA89,Capex!V89)/SUM(V109:V112,AA109:AA112,AF109:AF112)</f>
        <v>9.9721540541894118</v>
      </c>
      <c r="AG176" s="72"/>
      <c r="AH176" s="72"/>
      <c r="AI176" s="72"/>
      <c r="AJ176" s="72"/>
      <c r="AK176" s="104">
        <f>SUM(Capex!AK89,Capex!AF89,Capex!AA89)/SUM(AA109:AA112,AF109:AF112,AK109:AK112)</f>
        <v>12.254883183917412</v>
      </c>
      <c r="AL176" s="72"/>
      <c r="AM176" s="72"/>
      <c r="AN176" s="72"/>
      <c r="AO176" s="72"/>
      <c r="AP176" s="104">
        <f>SUM(Capex!AP89,Capex!AK89,Capex!AF89)/SUM(AF109:AF112,AK109:AK112,AP109:AP112)</f>
        <v>16.339715617792969</v>
      </c>
      <c r="AQ176" s="72"/>
      <c r="AR176" s="72"/>
      <c r="AS176" s="72"/>
      <c r="AT176" s="72"/>
      <c r="AU176" s="104">
        <f>SUM(Capex!AU89,Capex!AP89,Capex!AK89)/SUM(AK109:AK112,AP109:AP112,AU109:AU112)</f>
        <v>7.0448313033316206</v>
      </c>
      <c r="AV176" s="72"/>
      <c r="AW176" s="72"/>
      <c r="AX176" s="72"/>
      <c r="AY176" s="72"/>
      <c r="AZ176" s="104">
        <f>SUM(Capex!AZ89,Capex!AU89,Capex!AP89)/SUM(AP109:AP112,AU109:AU112,AZ109:AZ112)</f>
        <v>7.2582663414493336</v>
      </c>
      <c r="BA176" s="72"/>
      <c r="BB176" s="72"/>
      <c r="BC176" s="72"/>
      <c r="BD176" s="72"/>
      <c r="BE176" s="104">
        <f>SUM(Capex!BE89,Capex!AZ89,Capex!AU89)/SUM(AU109:AU112,AZ109:AZ112,BE109:BE112)</f>
        <v>7.0477825924924549</v>
      </c>
      <c r="BF176" s="72"/>
      <c r="BG176" s="72"/>
      <c r="BH176" s="72"/>
      <c r="BI176" s="72"/>
      <c r="BJ176" s="104">
        <f>SUM(Capex!BJ89,Capex!BE89,Capex!AZ89)/SUM(AZ109:AZ112,BE109:BE112,BJ109:BJ112)</f>
        <v>16.494721455254183</v>
      </c>
      <c r="BK176" s="72"/>
      <c r="BL176" s="72"/>
      <c r="BM176" s="72"/>
      <c r="BN176" s="72"/>
      <c r="BO176" s="104">
        <f>SUM(Capex!BO89,Capex!BJ89,Capex!BE89)/SUM(BE109:BE112,BJ109:BJ112,BO109:BO112)</f>
        <v>11.973576038347215</v>
      </c>
      <c r="BP176" s="72"/>
      <c r="BQ176" s="72"/>
      <c r="BR176" s="72"/>
      <c r="BS176" s="72"/>
      <c r="BT176" s="104">
        <f>SUM(Capex!BT89,Capex!BO89,Capex!BJ89)/SUM(BJ109:BJ112,BO109:BO112,BT109:BT112)</f>
        <v>12.670592982447401</v>
      </c>
      <c r="BU176" s="72"/>
      <c r="BV176" s="72"/>
      <c r="BW176" s="72"/>
      <c r="BX176" s="72"/>
      <c r="BY176" s="104">
        <f>SUM(Capex!BY89,Capex!BT89,Capex!BO89)/SUM(BO109:BO112,BT109:BT112,BY109:BY112)</f>
        <v>18.59255018213592</v>
      </c>
      <c r="BZ176" s="72"/>
      <c r="CA176" s="72"/>
      <c r="CB176" s="72"/>
      <c r="CC176" s="72"/>
      <c r="CD176" s="104">
        <f>SUM(Capex!CD89,Capex!BY89,Capex!BT89)/SUM(BT109:BT112,BY109:BY112,CD109:CD112)</f>
        <v>43.954545454545453</v>
      </c>
    </row>
    <row r="177" spans="1:85">
      <c r="A177" s="11"/>
      <c r="B177" s="11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</row>
    <row r="178" spans="1:85">
      <c r="A178" s="39" t="s">
        <v>1986</v>
      </c>
      <c r="B178" s="11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</row>
    <row r="179" spans="1:85">
      <c r="A179" s="11"/>
      <c r="B179" s="11" t="s">
        <v>1985</v>
      </c>
      <c r="C179" s="104">
        <f>SUM(Capex!C86:C88)/SUM(C109,C110,C112)</f>
        <v>3.4695336301851416</v>
      </c>
      <c r="D179" s="104">
        <f>SUM(Capex!D86:D88)/SUM(D109,D110,D112)</f>
        <v>3.9258031121607195</v>
      </c>
      <c r="E179" s="104">
        <f>SUM(Capex!E86:E88)/SUM(E109,E110,E112)</f>
        <v>5.7860210948312893</v>
      </c>
      <c r="F179" s="104">
        <f>SUM(Capex!F86:F88)/SUM(F109,F110,F112)</f>
        <v>6.4416282642089087</v>
      </c>
      <c r="G179" s="104">
        <f>SUM(Capex!G86:G88)/SUM(G109,G110,G112)</f>
        <v>6.4272391732283465</v>
      </c>
      <c r="H179" s="72"/>
      <c r="I179" s="72"/>
      <c r="J179" s="72"/>
      <c r="K179" s="72"/>
      <c r="L179" s="104">
        <f>SUM(Capex!L86:L88)/SUM(L109,L110,L112)</f>
        <v>6.7406892190957945</v>
      </c>
      <c r="M179" s="72"/>
      <c r="N179" s="72"/>
      <c r="O179" s="72"/>
      <c r="P179" s="72"/>
      <c r="Q179" s="104">
        <f>SUM(Capex!Q86:Q88)/SUM(Q109,Q110,Q112)</f>
        <v>7.9431785971262245</v>
      </c>
      <c r="R179" s="72"/>
      <c r="S179" s="72"/>
      <c r="T179" s="72"/>
      <c r="U179" s="72"/>
      <c r="V179" s="104">
        <f>SUM(Capex!V86:V88)/SUM(V109,V110,V112)</f>
        <v>9.8533979227717641</v>
      </c>
      <c r="W179" s="72"/>
      <c r="X179" s="72"/>
      <c r="Y179" s="72"/>
      <c r="Z179" s="72"/>
      <c r="AA179" s="104">
        <f>SUM(Capex!AA86:AA88)/SUM(AA109,AA110,AA112)</f>
        <v>8.2498418264972244</v>
      </c>
      <c r="AB179" s="72"/>
      <c r="AC179" s="72"/>
      <c r="AD179" s="72"/>
      <c r="AE179" s="72"/>
      <c r="AF179" s="104">
        <f>SUM(Capex!AF86:AF88)/SUM(AF109,AF110,AF112)</f>
        <v>12.23693267862879</v>
      </c>
      <c r="AG179" s="72"/>
      <c r="AH179" s="72"/>
      <c r="AI179" s="72"/>
      <c r="AJ179" s="72"/>
      <c r="AK179" s="104">
        <f>SUM(Capex!AK86:AK88)/SUM(AK109,AK110,AK112)</f>
        <v>17.164440843634843</v>
      </c>
      <c r="AL179" s="72"/>
      <c r="AM179" s="72"/>
      <c r="AN179" s="72"/>
      <c r="AO179" s="72"/>
      <c r="AP179" s="104">
        <f>SUM(Capex!AP86:AP88)/SUM(AP109,AP110,AP112)</f>
        <v>22.633711683053786</v>
      </c>
      <c r="AQ179" s="72"/>
      <c r="AR179" s="72"/>
      <c r="AS179" s="72"/>
      <c r="AT179" s="72"/>
      <c r="AU179" s="104">
        <f>SUM(Capex!AU86:AU88)/SUM(AU109,AU110,AU112)</f>
        <v>14.549213205800678</v>
      </c>
      <c r="AV179" s="72"/>
      <c r="AW179" s="72"/>
      <c r="AX179" s="72"/>
      <c r="AY179" s="72"/>
      <c r="AZ179" s="104">
        <f>SUM(Capex!AZ86:AZ88)/SUM(AZ109,AZ110,AZ112)</f>
        <v>30.002920587826249</v>
      </c>
      <c r="BA179" s="72"/>
      <c r="BB179" s="72"/>
      <c r="BC179" s="72"/>
      <c r="BD179" s="72"/>
      <c r="BE179" s="104">
        <f>SUM(Capex!BE86:BE88)/SUM(BE109,BE110,BE112)</f>
        <v>24.801037506312262</v>
      </c>
      <c r="BF179" s="72"/>
      <c r="BG179" s="72"/>
      <c r="BH179" s="72"/>
      <c r="BI179" s="72"/>
      <c r="BJ179" s="104">
        <f>SUM(Capex!BJ86:BJ88)/SUM(BJ109,BJ110,BJ112)</f>
        <v>13.26097170590665</v>
      </c>
      <c r="BK179" s="72"/>
      <c r="BL179" s="72"/>
      <c r="BM179" s="72"/>
      <c r="BN179" s="72"/>
      <c r="BO179" s="104">
        <f>SUM(Capex!BO86:BO88)/SUM(BO109,BO110,BO112)</f>
        <v>9.7471832625790391</v>
      </c>
      <c r="BP179" s="72"/>
      <c r="BQ179" s="72"/>
      <c r="BR179" s="72"/>
      <c r="BS179" s="72"/>
      <c r="BT179" s="104">
        <f>SUM(Capex!BT86:BT88)/SUM(BT109,BT110,BT112)</f>
        <v>43.227272727272734</v>
      </c>
      <c r="BU179" s="72"/>
      <c r="BV179" s="72"/>
      <c r="BW179" s="72"/>
      <c r="BX179" s="72"/>
      <c r="BY179" s="104">
        <f>SUM(Capex!BY86:BY88)/SUM(BY109,BY110,BY112)</f>
        <v>44.181818181818187</v>
      </c>
      <c r="BZ179" s="72"/>
      <c r="CA179" s="72"/>
      <c r="CB179" s="72"/>
      <c r="CC179" s="72"/>
      <c r="CD179" s="104">
        <f>SUM(Capex!CD86:CD88)/SUM(CD109,CD110,CD112)</f>
        <v>44.45454545454546</v>
      </c>
    </row>
    <row r="180" spans="1:85">
      <c r="A180" s="11"/>
      <c r="B180" s="47" t="s">
        <v>1759</v>
      </c>
      <c r="C180" s="72"/>
      <c r="D180" s="72"/>
      <c r="E180" s="104">
        <f>SUM(Capex!E86:E88,Capex!D86:D88,Capex!C86:C88)/SUM(C109,C110,C112,D109,D110,D112,E109,E110,E112)</f>
        <v>4.1979186046511634</v>
      </c>
      <c r="F180" s="104">
        <f>SUM(Capex!F86:F88,Capex!E86:E88,Capex!D86:D88)/SUM(D109,D110,D112,E109,E110,E112,F109,F110,F112)</f>
        <v>5.1481630691375821</v>
      </c>
      <c r="G180" s="104">
        <f>SUM(Capex!G86:G88,Capex!F86:F88,Capex!E86:E88)/SUM(E109,E110,E112,F109,F110,F112,G109,G110,G112)</f>
        <v>6.208397060779359</v>
      </c>
      <c r="H180" s="72"/>
      <c r="I180" s="72"/>
      <c r="J180" s="72"/>
      <c r="K180" s="72"/>
      <c r="L180" s="104">
        <f>SUM(Capex!L86:L88,Capex!G86:G88,Capex!F86:F88)/SUM(F109,F110,F112,G109,G110,G112,L109,L110,L112)</f>
        <v>6.5497326033231893</v>
      </c>
      <c r="M180" s="72"/>
      <c r="N180" s="72"/>
      <c r="O180" s="72"/>
      <c r="P180" s="72"/>
      <c r="Q180" s="104">
        <f>SUM(Capex!Q86:Q88,Capex!L86:L88,Capex!G86:G88)/SUM(G109,G110,G112,L109,L110,L112,Q109,Q110,Q112)</f>
        <v>7.057313285752679</v>
      </c>
      <c r="R180" s="72"/>
      <c r="S180" s="72"/>
      <c r="T180" s="72"/>
      <c r="U180" s="72"/>
      <c r="V180" s="104">
        <f>SUM(Capex!V86:V88,Capex!Q86:Q88,Capex!L86:L88)/SUM(L109,L110,L112,Q109,Q110,Q112,V109,V110,V112)</f>
        <v>8.2134089816060385</v>
      </c>
      <c r="W180" s="72"/>
      <c r="X180" s="72"/>
      <c r="Y180" s="72"/>
      <c r="Z180" s="72"/>
      <c r="AA180" s="104">
        <f>SUM(Capex!AA86:AA88,Capex!V86:V88,Capex!Q86:Q88)/SUM(Q109,Q110,Q112,V109,V110,V112,AA109,AA110,AA112)</f>
        <v>8.6884072813769855</v>
      </c>
      <c r="AB180" s="72"/>
      <c r="AC180" s="72"/>
      <c r="AD180" s="72"/>
      <c r="AE180" s="72"/>
      <c r="AF180" s="104">
        <f>SUM(Capex!AF86:AF88,Capex!AA86:AA88,Capex!V86:V88)/SUM(V109,V110,V112,AA109,AA110,AA112,AF109,AF110,AF112)</f>
        <v>9.9551803252294313</v>
      </c>
      <c r="AG180" s="72"/>
      <c r="AH180" s="72"/>
      <c r="AI180" s="72"/>
      <c r="AJ180" s="72"/>
      <c r="AK180" s="104">
        <f>SUM(Capex!AK86:AK88,Capex!AF86:AF88,Capex!AA86:AA88)/SUM(AA109,AA110,AA112,AF109,AF110,AF112,AK109,AK110,AK112)</f>
        <v>12.003484879414422</v>
      </c>
      <c r="AL180" s="72"/>
      <c r="AM180" s="72"/>
      <c r="AN180" s="72"/>
      <c r="AO180" s="72"/>
      <c r="AP180" s="104">
        <f>SUM(Capex!AP86:AP88,Capex!AK86:AK88,Capex!AF86:AF88)/SUM(AF109,AF110,AF112,AK109,AK110,AK112,AP109,AP110,AP112)</f>
        <v>16.585047804290056</v>
      </c>
      <c r="AQ180" s="72"/>
      <c r="AR180" s="72"/>
      <c r="AS180" s="72"/>
      <c r="AT180" s="72"/>
      <c r="AU180" s="104">
        <f>SUM(Capex!AU86:AU88,Capex!AP86:AP88,Capex!AK86:AK88)/SUM(AK109,AK110,AK112,AP109,AP110,AP112,AU109,AU110,AU112)</f>
        <v>17.45768681323618</v>
      </c>
      <c r="AV180" s="72"/>
      <c r="AW180" s="72"/>
      <c r="AX180" s="72"/>
      <c r="AY180" s="72"/>
      <c r="AZ180" s="104">
        <f>SUM(Capex!AZ86:AZ88,Capex!AU86:AU88,Capex!AP86:AP88)/SUM(AP109,AP110,AP112,AU109,AU110,AU112,AZ109,AZ110,AZ112)</f>
        <v>20.436618080732277</v>
      </c>
      <c r="BA180" s="72"/>
      <c r="BB180" s="72"/>
      <c r="BC180" s="72"/>
      <c r="BD180" s="72"/>
      <c r="BE180" s="104">
        <f>SUM(Capex!BE86:BE88,Capex!AZ86:AZ88,Capex!AU86:AU88)/SUM(AU109,AU110,AU112,AZ109,AZ110,AZ112,BE109,BE110,BE112)</f>
        <v>20.823077269858441</v>
      </c>
      <c r="BF180" s="72"/>
      <c r="BG180" s="72"/>
      <c r="BH180" s="72"/>
      <c r="BI180" s="72"/>
      <c r="BJ180" s="104">
        <f>SUM(Capex!BJ86:BJ88,Capex!BE86:BE88,Capex!AZ86:AZ88)/SUM(AZ109,AZ110,AZ112,BE109,BE110,BE112,BJ109,BJ110,BJ112)</f>
        <v>20.722511877207943</v>
      </c>
      <c r="BK180" s="72"/>
      <c r="BL180" s="72"/>
      <c r="BM180" s="72"/>
      <c r="BN180" s="72"/>
      <c r="BO180" s="104">
        <f>SUM(Capex!BO86:BO88,Capex!BJ86:BJ88,Capex!BE86:BE88)/SUM(BE109,BE110,BE112,BJ109,BJ110,BJ112,BO109,BO110,BO112)</f>
        <v>13.7355302288003</v>
      </c>
      <c r="BP180" s="72"/>
      <c r="BQ180" s="72"/>
      <c r="BR180" s="72"/>
      <c r="BS180" s="72"/>
      <c r="BT180" s="104">
        <f>SUM(Capex!BT86:BT88,Capex!BO86:BO88,Capex!BJ86:BJ88)/SUM(BJ109,BJ110,BJ112,BO109,BO110,BO112,BT109,BT110,BT112)</f>
        <v>14.425246127083009</v>
      </c>
      <c r="BU180" s="72"/>
      <c r="BV180" s="72"/>
      <c r="BW180" s="72"/>
      <c r="BX180" s="72"/>
      <c r="BY180" s="104">
        <f>SUM(Capex!BY86:BY88,Capex!BT86:BT88,Capex!BO86:BO88)/SUM(BO109,BO110,BO112,BT109,BT110,BT112,BY109,BY110,BY112)</f>
        <v>19.114488436144779</v>
      </c>
      <c r="BZ180" s="72"/>
      <c r="CA180" s="72"/>
      <c r="CB180" s="72"/>
      <c r="CC180" s="72"/>
      <c r="CD180" s="104">
        <f>SUM(Capex!CD86:CD88,Capex!BY86:BY88,Capex!BT86:BT88)/SUM(BT109,BT110,BT112,BY109,BY110,BY112,CD109,CD110,CD112)</f>
        <v>43.954545454545453</v>
      </c>
    </row>
    <row r="181" spans="1:85">
      <c r="A181" s="11"/>
      <c r="B181" s="11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449"/>
      <c r="AB181" s="5"/>
      <c r="AC181" s="5"/>
      <c r="AD181" s="5"/>
      <c r="AE181" s="5"/>
      <c r="AF181" s="449"/>
      <c r="AG181" s="5"/>
      <c r="AH181" s="5"/>
      <c r="AI181" s="5"/>
      <c r="AJ181" s="5"/>
      <c r="AK181" s="449"/>
      <c r="AL181" s="5"/>
      <c r="AM181" s="5"/>
      <c r="AN181" s="5"/>
      <c r="AO181" s="5"/>
      <c r="AP181" s="449"/>
      <c r="AQ181" s="5"/>
      <c r="AR181" s="5"/>
      <c r="AS181" s="5"/>
      <c r="AT181" s="5"/>
      <c r="AU181" s="449"/>
      <c r="AV181" s="5"/>
      <c r="AW181" s="5"/>
      <c r="AX181" s="5"/>
      <c r="AY181" s="5"/>
      <c r="AZ181" s="449"/>
      <c r="BA181" s="5"/>
      <c r="BB181" s="5"/>
      <c r="BC181" s="5"/>
      <c r="BD181" s="5"/>
      <c r="BE181" s="449"/>
      <c r="BF181" s="5"/>
      <c r="BG181" s="5"/>
      <c r="BH181" s="5"/>
      <c r="BI181" s="5"/>
      <c r="BJ181" s="449"/>
      <c r="BK181" s="5"/>
      <c r="BL181" s="5"/>
      <c r="BM181" s="5"/>
      <c r="BN181" s="5"/>
      <c r="BO181" s="449"/>
      <c r="BP181" s="5"/>
      <c r="BQ181" s="5"/>
      <c r="BR181" s="5"/>
      <c r="BS181" s="5"/>
      <c r="BT181" s="449"/>
      <c r="BU181" s="5"/>
      <c r="BV181" s="5"/>
      <c r="BW181" s="5"/>
      <c r="BX181" s="5"/>
      <c r="BY181" s="449"/>
      <c r="BZ181" s="5"/>
      <c r="CA181" s="5"/>
      <c r="CB181" s="5"/>
      <c r="CC181" s="5"/>
      <c r="CD181" s="449"/>
    </row>
    <row r="182" spans="1:85">
      <c r="A182" s="39" t="s">
        <v>1987</v>
      </c>
      <c r="B182" s="11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</row>
    <row r="183" spans="1:85">
      <c r="A183" s="11"/>
      <c r="B183" s="11" t="s">
        <v>1985</v>
      </c>
      <c r="C183" s="104">
        <f>SUM(Capex!C86:C87)/SUM(C109:C110,C112)</f>
        <v>0.56027361143660648</v>
      </c>
      <c r="D183" s="104">
        <f>SUM(Capex!D86:D87)/SUM(D109:D110,D112)</f>
        <v>0.53710653165539779</v>
      </c>
      <c r="E183" s="104">
        <f>SUM(Capex!E86:E87)/SUM(E109:E110,E112)</f>
        <v>0.57022860688206944</v>
      </c>
      <c r="F183" s="104">
        <f>SUM(Capex!F86:F87)/SUM(F109:F110,F112)</f>
        <v>0.85791090629800293</v>
      </c>
      <c r="G183" s="104">
        <f>SUM(Capex!G86:G87)/SUM(G109:G110,G112)</f>
        <v>0.94835137795275581</v>
      </c>
      <c r="H183" s="72"/>
      <c r="I183" s="72"/>
      <c r="J183" s="72"/>
      <c r="K183" s="72"/>
      <c r="L183" s="104">
        <f>SUM(Capex!L86:L87)/SUM(L109:L110,L112)</f>
        <v>1.172958162082411</v>
      </c>
      <c r="M183" s="72"/>
      <c r="N183" s="72"/>
      <c r="O183" s="72"/>
      <c r="P183" s="72"/>
      <c r="Q183" s="104">
        <f>SUM(Capex!Q86:Q87)/SUM(Q109:Q110,Q112)</f>
        <v>1.5232540392037155</v>
      </c>
      <c r="R183" s="72"/>
      <c r="S183" s="72"/>
      <c r="T183" s="72"/>
      <c r="U183" s="72"/>
      <c r="V183" s="104">
        <f>SUM(Capex!V86:V87)/SUM(V109:V110,V112)</f>
        <v>3.0507146701752288</v>
      </c>
      <c r="W183" s="72"/>
      <c r="X183" s="72"/>
      <c r="Y183" s="72"/>
      <c r="Z183" s="72"/>
      <c r="AA183" s="104">
        <f>SUM(Capex!AA86:AA87)/SUM(AA109:AA110,AA112)</f>
        <v>1.7535566441909649</v>
      </c>
      <c r="AB183" s="72"/>
      <c r="AC183" s="72"/>
      <c r="AD183" s="72"/>
      <c r="AE183" s="72"/>
      <c r="AF183" s="104">
        <f>SUM(Capex!AF86:AF87)/SUM(AF109:AF110,AF112)</f>
        <v>4.2227066219999081</v>
      </c>
      <c r="AG183" s="72"/>
      <c r="AH183" s="72"/>
      <c r="AI183" s="72"/>
      <c r="AJ183" s="72"/>
      <c r="AK183" s="104">
        <f>SUM(Capex!AK86:AK87)/SUM(AK109:AK110,AK112)</f>
        <v>7.0614693045500871</v>
      </c>
      <c r="AL183" s="72"/>
      <c r="AM183" s="72"/>
      <c r="AN183" s="72"/>
      <c r="AO183" s="72"/>
      <c r="AP183" s="104">
        <f>SUM(Capex!AP86:AP87)/SUM(AP109:AP110,AP112)</f>
        <v>6.6503759398496234</v>
      </c>
      <c r="AQ183" s="72"/>
      <c r="AR183" s="72"/>
      <c r="AS183" s="72"/>
      <c r="AT183" s="72"/>
      <c r="AU183" s="104">
        <f>SUM(Capex!AU86:AU87)/SUM(AU109:AU110,AU112)</f>
        <v>3.8987085114823463</v>
      </c>
      <c r="AV183" s="72"/>
      <c r="AW183" s="72"/>
      <c r="AX183" s="72"/>
      <c r="AY183" s="72"/>
      <c r="AZ183" s="104">
        <f>SUM(Capex!AZ86:AZ87)/SUM(AZ109:AZ110,AZ112)</f>
        <v>4.8573084233461596</v>
      </c>
      <c r="BA183" s="72"/>
      <c r="BB183" s="72"/>
      <c r="BC183" s="72"/>
      <c r="BD183" s="72"/>
      <c r="BE183" s="104">
        <f>SUM(Capex!BE86:BE87)/SUM(BE109:BE110,BE112)</f>
        <v>2.5268328513060641</v>
      </c>
      <c r="BF183" s="72"/>
      <c r="BG183" s="72"/>
      <c r="BH183" s="72"/>
      <c r="BI183" s="72"/>
      <c r="BJ183" s="104">
        <f>SUM(Capex!BJ86:BJ87)/SUM(BJ109:BJ110,BJ112)</f>
        <v>2.6727075588599751</v>
      </c>
      <c r="BK183" s="72"/>
      <c r="BL183" s="72"/>
      <c r="BM183" s="72"/>
      <c r="BN183" s="72"/>
      <c r="BO183" s="104">
        <f>SUM(Capex!BO86:BO87)/SUM(BO109:BO110,BO112)</f>
        <v>1.8113636770738173</v>
      </c>
      <c r="BP183" s="72"/>
      <c r="BQ183" s="72"/>
      <c r="BR183" s="72"/>
      <c r="BS183" s="72"/>
      <c r="BT183" s="126">
        <v>3</v>
      </c>
      <c r="BU183" s="72"/>
      <c r="BV183" s="72"/>
      <c r="BW183" s="72"/>
      <c r="BX183" s="72"/>
      <c r="BY183" s="126">
        <v>3</v>
      </c>
      <c r="BZ183" s="72"/>
      <c r="CA183" s="72"/>
      <c r="CB183" s="72"/>
      <c r="CC183" s="72"/>
      <c r="CD183" s="126">
        <v>3</v>
      </c>
      <c r="CG183" s="564"/>
    </row>
    <row r="184" spans="1:85">
      <c r="A184" s="11"/>
      <c r="B184" s="47" t="s">
        <v>1759</v>
      </c>
      <c r="C184" s="72"/>
      <c r="D184" s="72"/>
      <c r="E184" s="104">
        <f>SUM(Capex!E86:E87,Capex!D86:D87,Capex!C86:C87)/SUM(C109:C110,D109:D110,E109:E110,C112,D112,E112)</f>
        <v>0.55437209302325574</v>
      </c>
      <c r="F184" s="104">
        <f>SUM(Capex!F86:F87,Capex!E86:E87,Capex!D86:D87)/SUM(D109:D110,E109:E110,F109:F110,D112,E112,F112)</f>
        <v>0.63252901347129753</v>
      </c>
      <c r="G184" s="104">
        <f>SUM(Capex!G86:G87,Capex!F86:F87,Capex!E86:E87)/SUM(E109:E110,F109:F110,G109:G110,E112,F112,G112)</f>
        <v>0.78825309216651152</v>
      </c>
      <c r="H184" s="72"/>
      <c r="I184" s="72"/>
      <c r="J184" s="72"/>
      <c r="K184" s="72"/>
      <c r="L184" s="104">
        <f>SUM(Capex!L86:L87,Capex!G86:G87,Capex!F86:F87)/SUM(F109:F110,G109:G110,L109:L110,F112,G112,L112)</f>
        <v>1.0058962357858601</v>
      </c>
      <c r="M184" s="72"/>
      <c r="N184" s="72"/>
      <c r="O184" s="72"/>
      <c r="P184" s="72"/>
      <c r="Q184" s="104">
        <f>SUM(Capex!Q86:Q87,Capex!L86:L87,Capex!G86:G87)/SUM(G109:G110,L109:L110,Q109:Q110,G112,L112,Q112)</f>
        <v>1.2247513960641443</v>
      </c>
      <c r="R184" s="72"/>
      <c r="S184" s="72"/>
      <c r="T184" s="72"/>
      <c r="U184" s="72"/>
      <c r="V184" s="104">
        <f>SUM(Capex!V86:V87,Capex!Q86:Q87,Capex!L86:L87)/SUM(L109:L110,Q109:Q110,V109:V110,L112,Q112,V112)</f>
        <v>1.9414724926988729</v>
      </c>
      <c r="W184" s="72"/>
      <c r="X184" s="72"/>
      <c r="Y184" s="72"/>
      <c r="Z184" s="72"/>
      <c r="AA184" s="104">
        <f>SUM(Capex!AA86:AA87,Capex!V86:V87,Capex!Q86:Q87)/SUM(Q109:Q110,V109:V110,AA109:AA110,Q112,V112,AA112)</f>
        <v>2.1137070930655124</v>
      </c>
      <c r="AB184" s="72"/>
      <c r="AC184" s="72"/>
      <c r="AD184" s="72"/>
      <c r="AE184" s="72"/>
      <c r="AF184" s="104">
        <f>SUM(Capex!AF86:AF87,Capex!AA86:AA87,Capex!V86:V87)/SUM(V109:V110,AA109:AA110,AF109:AF110,V112,AA112,AF112)</f>
        <v>2.9119841142059788</v>
      </c>
      <c r="AG184" s="72"/>
      <c r="AH184" s="72"/>
      <c r="AI184" s="72"/>
      <c r="AJ184" s="72"/>
      <c r="AK184" s="104">
        <f>SUM(Capex!AK86:AK87,Capex!AF86:AF87,Capex!AA86:AA87)/SUM(AA109:AA110,AF109:AF110,AK109:AK110,AA112,AF112,AK112)</f>
        <v>4.0187804380158054</v>
      </c>
      <c r="AL184" s="72"/>
      <c r="AM184" s="72"/>
      <c r="AN184" s="72"/>
      <c r="AO184" s="72"/>
      <c r="AP184" s="104">
        <f>SUM(Capex!AP86:AP87,Capex!AK86:AK87,Capex!AF86:AF87)/SUM(AF109:AF110,AK109:AK110,AP109:AP110,AF112,AK112,AP112)</f>
        <v>5.8278588974422192</v>
      </c>
      <c r="AQ184" s="72"/>
      <c r="AR184" s="72"/>
      <c r="AS184" s="72"/>
      <c r="AT184" s="72"/>
      <c r="AU184" s="104">
        <f>SUM(Capex!AU86:AU87,Capex!AP86:AP87,Capex!AK86:AK87)/SUM(AK109:AK110,AP109:AP110,AU109:AU110,AK112,AP112,AU112)</f>
        <v>5.6699310877709994</v>
      </c>
      <c r="AV184" s="72"/>
      <c r="AW184" s="72"/>
      <c r="AX184" s="72"/>
      <c r="AY184" s="72"/>
      <c r="AZ184" s="104">
        <f>SUM(Capex!AZ86:AZ87,Capex!AU86:AU87,Capex!AP86:AP87)/SUM(AP109:AP110,AU109:AU110,AZ109:AZ110,AP112,AU112,AZ112)</f>
        <v>4.9218678984029003</v>
      </c>
      <c r="BA184" s="72"/>
      <c r="BB184" s="72"/>
      <c r="BC184" s="72"/>
      <c r="BD184" s="72"/>
      <c r="BE184" s="104">
        <f>SUM(Capex!BE86:BE87,Capex!AZ86:AZ87,Capex!AU86:AU87)/SUM(AU109:AU110,AZ109:AZ110,BE109:BE110,AU112,AZ112,BE112)</f>
        <v>3.7949576232981692</v>
      </c>
      <c r="BF184" s="72"/>
      <c r="BG184" s="72"/>
      <c r="BH184" s="72"/>
      <c r="BI184" s="72"/>
      <c r="BJ184" s="104">
        <f>SUM(Capex!BJ86:BJ87,Capex!BE86:BE87,Capex!AZ86:AZ87)/SUM(AZ109:AZ110,BE109:BE110,BJ109:BJ110,AZ112,BE112,BJ112)</f>
        <v>3.2080521378974294</v>
      </c>
      <c r="BK184" s="72"/>
      <c r="BL184" s="72"/>
      <c r="BM184" s="72"/>
      <c r="BN184" s="72"/>
      <c r="BO184" s="104">
        <f>SUM(Capex!BO86:BO87,Capex!BJ86:BJ87,Capex!BE86:BE87)/SUM(BE109:BE110,BJ109:BJ110,BO109:BO110,BE112,BJ112,BO112)</f>
        <v>2.2320922077252332</v>
      </c>
      <c r="BP184" s="72"/>
      <c r="BQ184" s="72"/>
      <c r="BR184" s="72"/>
      <c r="BS184" s="72"/>
      <c r="BT184" s="104">
        <f>SUM(Capex!BT86:BT87,Capex!BO86:BO87,Capex!BJ86:BJ87)/SUM(BJ109:BJ110,BO109:BO110,BT109:BT110,BJ112,BO112,BT112)</f>
        <v>2.2486810376787529</v>
      </c>
      <c r="BU184" s="72"/>
      <c r="BV184" s="72"/>
      <c r="BW184" s="72"/>
      <c r="BX184" s="72"/>
      <c r="BY184" s="104">
        <f>SUM(Capex!BY86:BY87,Capex!BT86:BT87,Capex!BO86:BO87)/SUM(BO109:BO110,BT109:BT110,BY109:BY110,BO112,BT112,BY112)</f>
        <v>2.1392548458368825</v>
      </c>
      <c r="BZ184" s="72"/>
      <c r="CA184" s="72"/>
      <c r="CB184" s="72"/>
      <c r="CC184" s="72"/>
      <c r="CD184" s="104">
        <f>SUM(Capex!CD86:CD87,Capex!BY86:BY87,Capex!BT86:BT87)/SUM(BT109:BT110,BY109:BY110,CD109:CD110,BT112,BY112,CD112)</f>
        <v>3</v>
      </c>
      <c r="CG184" s="564"/>
    </row>
    <row r="185" spans="1:85">
      <c r="A185" s="11"/>
      <c r="B185" s="11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G185" s="564"/>
    </row>
    <row r="186" spans="1:85">
      <c r="A186" s="39" t="s">
        <v>2684</v>
      </c>
      <c r="B186" s="11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G186" s="564"/>
    </row>
    <row r="187" spans="1:85">
      <c r="A187" s="11"/>
      <c r="B187" s="11" t="s">
        <v>762</v>
      </c>
      <c r="C187" s="72"/>
      <c r="D187" s="104">
        <f>Capex!D88/(D116-C116-D113-SUM(D111,D114)*(D119))</f>
        <v>5.6422860449302901</v>
      </c>
      <c r="E187" s="104">
        <f>Capex!E88/(E116-D116-E113-SUM(E111,E114)*(E119))</f>
        <v>7.3682986504742676</v>
      </c>
      <c r="F187" s="104">
        <f>Capex!F88/(F116-E116-F113-SUM(F111,F114)*(F119))</f>
        <v>4.9736254277479635</v>
      </c>
      <c r="G187" s="104">
        <f>Capex!G88/(G116-F116-G113-SUM(G111,G114)*(G119))</f>
        <v>5.9824104791140051</v>
      </c>
      <c r="H187" s="72"/>
      <c r="I187" s="72"/>
      <c r="J187" s="72"/>
      <c r="K187" s="72"/>
      <c r="L187" s="104">
        <f>Capex!L88/(L116-G116-L113-SUM(L111,L114)*(L119))</f>
        <v>4.9893351165638764</v>
      </c>
      <c r="M187" s="72"/>
      <c r="N187" s="72"/>
      <c r="O187" s="72"/>
      <c r="P187" s="72"/>
      <c r="Q187" s="104">
        <f>Capex!Q88/(Q116-L116-Q113-SUM(Q111,Q114)*(Q119))</f>
        <v>7.0741500854531649</v>
      </c>
      <c r="R187" s="72"/>
      <c r="S187" s="72"/>
      <c r="T187" s="72"/>
      <c r="U187" s="72"/>
      <c r="V187" s="104">
        <f>Capex!V88/(V116-Q116-V113-SUM(V111,V114)*(V119))</f>
        <v>7.5486043877114701</v>
      </c>
      <c r="W187" s="72"/>
      <c r="X187" s="72"/>
      <c r="Y187" s="72"/>
      <c r="Z187" s="72"/>
      <c r="AA187" s="104">
        <f>Capex!AA88/(AA116-V116-AA113-SUM(AA111,AA114)*(AA119))</f>
        <v>6.0479454648914661</v>
      </c>
      <c r="AB187" s="72"/>
      <c r="AC187" s="72"/>
      <c r="AD187" s="72"/>
      <c r="AE187" s="72"/>
      <c r="AF187" s="104">
        <f>Capex!AF88/(AF116-AA116-AF113-SUM(AF111,AF114)*(AF119))</f>
        <v>8.4607220360988169</v>
      </c>
      <c r="AG187" s="72"/>
      <c r="AH187" s="72"/>
      <c r="AI187" s="72"/>
      <c r="AJ187" s="72"/>
      <c r="AK187" s="104">
        <f>Capex!AK88/(AK116-AF116-AK113-SUM(AK111,AK114)*(AK119))</f>
        <v>11.728063608478266</v>
      </c>
      <c r="AL187" s="72"/>
      <c r="AM187" s="72"/>
      <c r="AN187" s="72"/>
      <c r="AO187" s="72"/>
      <c r="AP187" s="104">
        <f>Capex!AP88/(AP116-AK116-AP113-SUM(AP111,AP114)*(AP119))</f>
        <v>13.305442413621599</v>
      </c>
      <c r="AQ187" s="72"/>
      <c r="AR187" s="72"/>
      <c r="AS187" s="72"/>
      <c r="AT187" s="72"/>
      <c r="AU187" s="104">
        <f>Capex!AU88/(AU116-AP116-AU113-SUM(AU111,AU114)*(AU119))</f>
        <v>12.839590775634704</v>
      </c>
      <c r="AV187" s="72"/>
      <c r="AW187" s="72"/>
      <c r="AX187" s="72"/>
      <c r="AY187" s="72"/>
      <c r="AZ187" s="104">
        <f>Capex!AZ88/(AZ116-AU116-AZ113-SUM(AZ111,AZ114)*(AZ119))</f>
        <v>18.381177786223642</v>
      </c>
      <c r="BA187" s="72"/>
      <c r="BB187" s="72"/>
      <c r="BC187" s="72"/>
      <c r="BD187" s="72"/>
      <c r="BE187" s="104">
        <f>Capex!BE88/(BE116-AZ116-BE113-SUM(BE111,BE114)*(BE119))</f>
        <v>18.375832952535969</v>
      </c>
      <c r="BF187" s="72"/>
      <c r="BG187" s="72"/>
      <c r="BH187" s="72"/>
      <c r="BI187" s="72"/>
      <c r="BJ187" s="104">
        <f>Capex!BJ88/(BJ116-BE116-BJ113-SUM(BJ111,BJ114)*(BJ119))</f>
        <v>9.7349139931182318</v>
      </c>
      <c r="BK187" s="72"/>
      <c r="BL187" s="72"/>
      <c r="BM187" s="72"/>
      <c r="BN187" s="72"/>
      <c r="BO187" s="104">
        <f>Capex!BO88/(BO116-BJ116-BO113-SUM(BO111,BO114)*(BO119))</f>
        <v>9.0728641299145387</v>
      </c>
      <c r="BP187" s="72"/>
      <c r="BQ187" s="72"/>
      <c r="BR187" s="72"/>
      <c r="BS187" s="72"/>
      <c r="BT187" s="126">
        <f>Capex!BT58</f>
        <v>16.625625000000003</v>
      </c>
      <c r="BU187" s="72"/>
      <c r="BV187" s="72"/>
      <c r="BW187" s="72"/>
      <c r="BX187" s="72"/>
      <c r="BY187" s="126">
        <f>Capex!BY58</f>
        <v>15.737500000000001</v>
      </c>
      <c r="BZ187" s="72"/>
      <c r="CA187" s="72"/>
      <c r="CB187" s="72"/>
      <c r="CC187" s="72"/>
      <c r="CD187" s="126">
        <f>Capex!CD58</f>
        <v>15.982639461338081</v>
      </c>
      <c r="CG187" s="564"/>
    </row>
    <row r="188" spans="1:85">
      <c r="A188" s="11"/>
      <c r="B188" t="s">
        <v>763</v>
      </c>
      <c r="C188" s="72"/>
      <c r="D188" s="104">
        <f>Capex!D88/(D116-C116-D113-D111)</f>
        <v>6.9771531339505737</v>
      </c>
      <c r="E188" s="104">
        <f>Capex!E88/(E116-D116-E113-E111)</f>
        <v>-26.280269327882674</v>
      </c>
      <c r="F188" s="104">
        <f>Capex!F88/(F116-E116-F113-F111)</f>
        <v>5.7421832443621286</v>
      </c>
      <c r="G188" s="104">
        <f>Capex!G88/(G116-F116-G113-G111)</f>
        <v>7.0349120090992434</v>
      </c>
      <c r="H188" s="72"/>
      <c r="I188" s="72"/>
      <c r="J188" s="72"/>
      <c r="K188" s="72"/>
      <c r="L188" s="104">
        <f>Capex!L88/(L116-G116-L113-L111)</f>
        <v>5.7507565037553059</v>
      </c>
      <c r="M188" s="72"/>
      <c r="N188" s="72"/>
      <c r="O188" s="72"/>
      <c r="P188" s="72"/>
      <c r="Q188" s="104">
        <f>Capex!Q88/(Q116-L116-Q113-Q111)</f>
        <v>7.6397768552153513</v>
      </c>
      <c r="R188" s="72"/>
      <c r="S188" s="72"/>
      <c r="T188" s="72"/>
      <c r="U188" s="72"/>
      <c r="V188" s="104">
        <f>Capex!V88/(V116-Q116-V113-V111)</f>
        <v>8.7520646319569142</v>
      </c>
      <c r="W188" s="72"/>
      <c r="X188" s="72"/>
      <c r="Y188" s="72"/>
      <c r="Z188" s="72"/>
      <c r="AA188" s="104">
        <f>Capex!AA88/(AA116-V116-AA113-AA111)</f>
        <v>6.6814412672442653</v>
      </c>
      <c r="AB188" s="72"/>
      <c r="AC188" s="72"/>
      <c r="AD188" s="72"/>
      <c r="AE188" s="72"/>
      <c r="AF188" s="104">
        <f>Capex!AF88/(AF116-AA116-AF113-AF111)</f>
        <v>10.476498995170813</v>
      </c>
      <c r="AG188" s="72"/>
      <c r="AH188" s="72"/>
      <c r="AI188" s="72"/>
      <c r="AJ188" s="72"/>
      <c r="AK188" s="104">
        <f>Capex!AK88/(AK116-AF116-AK113-AK111)</f>
        <v>18.365243004418289</v>
      </c>
      <c r="AL188" s="72"/>
      <c r="AM188" s="72"/>
      <c r="AN188" s="72"/>
      <c r="AO188" s="72"/>
      <c r="AP188" s="104">
        <f>Capex!AP88/(AP116-AK116-AP113-AP111)</f>
        <v>18.498221980504553</v>
      </c>
      <c r="AQ188" s="72"/>
      <c r="AR188" s="72"/>
      <c r="AS188" s="72"/>
      <c r="AT188" s="72"/>
      <c r="AU188" s="104">
        <f>Capex!AU88/(AU116-AP116-AU113-AU111)</f>
        <v>-3.702827369550227</v>
      </c>
      <c r="AV188" s="72"/>
      <c r="AW188" s="72"/>
      <c r="AX188" s="72"/>
      <c r="AY188" s="72"/>
      <c r="AZ188" s="104">
        <f>Capex!AZ88/(AZ116-AU116-AZ113-AZ111)</f>
        <v>20.304559407052505</v>
      </c>
      <c r="BA188" s="72"/>
      <c r="BB188" s="72"/>
      <c r="BC188" s="72"/>
      <c r="BD188" s="72"/>
      <c r="BE188" s="104">
        <f>Capex!BE88/(BE116-AZ116-BE113-BE111)</f>
        <v>20.133574007220204</v>
      </c>
      <c r="BF188" s="72"/>
      <c r="BG188" s="72"/>
      <c r="BH188" s="72"/>
      <c r="BI188" s="72"/>
      <c r="BJ188" s="104">
        <f>Capex!BJ88/(BJ116-BE116-BJ113-BJ111)</f>
        <v>14.42554164321891</v>
      </c>
      <c r="BK188" s="72"/>
      <c r="BL188" s="72"/>
      <c r="BM188" s="72"/>
      <c r="BN188" s="72"/>
      <c r="BO188" s="104">
        <f>Capex!BO88/(BO116-BJ116-BO113-BO111)</f>
        <v>10.264660225666693</v>
      </c>
      <c r="BP188" s="72"/>
      <c r="BQ188" s="72"/>
      <c r="BR188" s="72"/>
      <c r="BS188" s="72"/>
      <c r="BT188" s="72"/>
      <c r="BU188" s="72"/>
      <c r="BV188" s="72"/>
      <c r="BW188" s="72"/>
      <c r="BX188" s="72"/>
      <c r="BY188" s="72"/>
      <c r="BZ188" s="72"/>
      <c r="CA188" s="72"/>
      <c r="CB188" s="72"/>
      <c r="CC188" s="72"/>
      <c r="CD188" s="72"/>
      <c r="CE188" s="104"/>
      <c r="CG188" s="564"/>
    </row>
    <row r="189" spans="1:85">
      <c r="A189" s="11"/>
      <c r="B189" t="s">
        <v>764</v>
      </c>
      <c r="C189" s="72"/>
      <c r="D189" s="104">
        <f>Capex!D88/(D116-C116-D113-D114)</f>
        <v>4.5959239190048908</v>
      </c>
      <c r="E189" s="104">
        <f>Capex!E88/(E116-D116-E113-E114)</f>
        <v>3.1593911711138731</v>
      </c>
      <c r="F189" s="104">
        <f>Capex!F88/(F116-E116-F113-F114)</f>
        <v>4.3612179884986126</v>
      </c>
      <c r="G189" s="104">
        <f>Capex!G88/(G116-F116-G113-G114)</f>
        <v>5.29328420301914</v>
      </c>
      <c r="H189" s="72"/>
      <c r="I189" s="72"/>
      <c r="J189" s="72"/>
      <c r="K189" s="72"/>
      <c r="L189" s="104">
        <f>Capex!L88/(L116-G116-L113-L114)</f>
        <v>4.4950567495363041</v>
      </c>
      <c r="M189" s="72"/>
      <c r="N189" s="72"/>
      <c r="O189" s="72"/>
      <c r="P189" s="72"/>
      <c r="Q189" s="104">
        <f>Capex!Q88/(Q116-L116-Q113-Q114)</f>
        <v>6.611955716242611</v>
      </c>
      <c r="R189" s="72"/>
      <c r="S189" s="72"/>
      <c r="T189" s="72"/>
      <c r="U189" s="72"/>
      <c r="V189" s="104">
        <f>Capex!V88/(V116-Q116-V113-V114)</f>
        <v>6.6253057896167453</v>
      </c>
      <c r="W189" s="72"/>
      <c r="X189" s="72"/>
      <c r="Y189" s="72"/>
      <c r="Z189" s="72"/>
      <c r="AA189" s="104">
        <f>Capex!AA88/(AA116-V116-AA113-AA114)</f>
        <v>5.6164413534422142</v>
      </c>
      <c r="AB189" s="72"/>
      <c r="AC189" s="72"/>
      <c r="AD189" s="72"/>
      <c r="AE189" s="72"/>
      <c r="AF189" s="104">
        <f>Capex!AF88/(AF116-AA116-AF113-AF114)</f>
        <v>7.2597950572634078</v>
      </c>
      <c r="AG189" s="72"/>
      <c r="AH189" s="72"/>
      <c r="AI189" s="72"/>
      <c r="AJ189" s="72"/>
      <c r="AK189" s="104">
        <f>Capex!AK88/(AK116-AF116-AK113-AK114)</f>
        <v>8.8368956452166021</v>
      </c>
      <c r="AL189" s="72"/>
      <c r="AM189" s="72"/>
      <c r="AN189" s="72"/>
      <c r="AO189" s="72"/>
      <c r="AP189" s="104">
        <f>Capex!AP88/(AP116-AK116-AP113-AP114)</f>
        <v>10.772377332748627</v>
      </c>
      <c r="AQ189" s="72"/>
      <c r="AR189" s="72"/>
      <c r="AS189" s="72"/>
      <c r="AT189" s="72"/>
      <c r="AU189" s="104">
        <f>Capex!AU88/(AU116-AP116-AU113-AU114)</f>
        <v>2.3268588157121801</v>
      </c>
      <c r="AV189" s="72"/>
      <c r="AW189" s="72"/>
      <c r="AX189" s="72"/>
      <c r="AY189" s="72"/>
      <c r="AZ189" s="104">
        <f>Capex!AZ88/(AZ116-AU116-AZ113-AZ114)</f>
        <v>16.856734414817591</v>
      </c>
      <c r="BA189" s="72"/>
      <c r="BB189" s="72"/>
      <c r="BC189" s="72"/>
      <c r="BD189" s="72"/>
      <c r="BE189" s="104">
        <f>Capex!BE88/(BE116-AZ116-BE113-BE114)</f>
        <v>16.669495310406422</v>
      </c>
      <c r="BF189" s="72"/>
      <c r="BG189" s="72"/>
      <c r="BH189" s="72"/>
      <c r="BI189" s="72"/>
      <c r="BJ189" s="104">
        <f>Capex!BJ88/(BJ116-BE116-BJ113-BJ114)</f>
        <v>7.1075278133989546</v>
      </c>
      <c r="BK189" s="72"/>
      <c r="BL189" s="72"/>
      <c r="BM189" s="72"/>
      <c r="BN189" s="72"/>
      <c r="BO189" s="104">
        <f>Capex!BO88/(BO116-BJ116-BO113-BO114)</f>
        <v>8.1030269775948813</v>
      </c>
      <c r="BP189" s="72"/>
      <c r="BQ189" s="72"/>
      <c r="BR189" s="72"/>
      <c r="BS189" s="72"/>
      <c r="BT189" s="72"/>
      <c r="BU189" s="72"/>
      <c r="BV189" s="72"/>
      <c r="BW189" s="72"/>
      <c r="BX189" s="72"/>
      <c r="BY189" s="72"/>
      <c r="BZ189" s="72"/>
      <c r="CA189" s="72"/>
      <c r="CB189" s="72"/>
      <c r="CC189" s="72"/>
      <c r="CD189" s="72"/>
      <c r="CE189" s="104"/>
      <c r="CG189" s="564"/>
    </row>
    <row r="190" spans="1:85">
      <c r="A190" s="11"/>
      <c r="B190" s="47" t="s">
        <v>761</v>
      </c>
      <c r="C190" s="72"/>
      <c r="D190" s="72"/>
      <c r="E190" s="5"/>
      <c r="F190" s="5"/>
      <c r="G190" s="5"/>
      <c r="H190" s="72"/>
      <c r="I190" s="72"/>
      <c r="J190" s="72"/>
      <c r="K190" s="72"/>
      <c r="L190" s="104">
        <f>SUM(Capex!L88,Capex!G88,Capex!B88)/(SUM(L125,G125,B125))</f>
        <v>5.3992712112349155</v>
      </c>
      <c r="M190" s="72"/>
      <c r="N190" s="72"/>
      <c r="O190" s="72"/>
      <c r="P190" s="72"/>
      <c r="Q190" s="104">
        <f>SUM(Capex!Q88,Capex!L88,Capex!G88)/(SUM(Q125,L125,G125))</f>
        <v>5.9282422194228017</v>
      </c>
      <c r="R190" s="72"/>
      <c r="S190" s="72"/>
      <c r="T190" s="72"/>
      <c r="U190" s="72"/>
      <c r="V190" s="104">
        <f>SUM(Capex!V88,Capex!Q88,Capex!L88)/(SUM(V125,Q125,L125))</f>
        <v>6.4378847480372547</v>
      </c>
      <c r="W190" s="72"/>
      <c r="X190" s="72"/>
      <c r="Y190" s="72"/>
      <c r="Z190" s="72"/>
      <c r="AA190" s="104">
        <f>SUM(Capex!AA88,Capex!V88,Capex!Q88)/(SUM(AA125,V125,Q125))</f>
        <v>6.8038637935691852</v>
      </c>
      <c r="AB190" s="72"/>
      <c r="AC190" s="72"/>
      <c r="AD190" s="72"/>
      <c r="AE190" s="72"/>
      <c r="AF190" s="104">
        <f>SUM(Capex!AF88,Capex!AA88,Capex!V88)/(SUM(AF125,AA125,V125))</f>
        <v>7.1955406058395459</v>
      </c>
      <c r="AG190" s="72"/>
      <c r="AH190" s="72"/>
      <c r="AI190" s="72"/>
      <c r="AJ190" s="72"/>
      <c r="AK190" s="104">
        <f>SUM(Capex!AK88,Capex!AF88,Capex!AA88)/(SUM(AK125,AF125,AA125))</f>
        <v>8.19384483933427</v>
      </c>
      <c r="AL190" s="72"/>
      <c r="AM190" s="72"/>
      <c r="AN190" s="72"/>
      <c r="AO190" s="72"/>
      <c r="AP190" s="104">
        <f>SUM(Capex!AP88,Capex!AK88,Capex!AF88)/(SUM(AP125,AK125,AF125))</f>
        <v>10.960781845770102</v>
      </c>
      <c r="AQ190" s="72"/>
      <c r="AR190" s="72"/>
      <c r="AS190" s="72"/>
      <c r="AT190" s="72"/>
      <c r="AU190" s="104">
        <f>SUM(Capex!AU88,Capex!AP88,Capex!AK88)/(SUM(AU125,AP125,AK125))</f>
        <v>12.635835172337442</v>
      </c>
      <c r="AV190" s="72"/>
      <c r="AW190" s="72"/>
      <c r="AX190" s="72"/>
      <c r="AY190" s="72"/>
      <c r="AZ190" s="104">
        <f>SUM(Capex!AZ88,Capex!AU88,Capex!AP88)/(SUM(AZ125,AU125,AP125))</f>
        <v>14.622926716253971</v>
      </c>
      <c r="BA190" s="72"/>
      <c r="BB190" s="72"/>
      <c r="BC190" s="72"/>
      <c r="BD190" s="72"/>
      <c r="BE190" s="104">
        <f>SUM(Capex!BE88,Capex!AZ88,Capex!AU88)/(SUM(BE125,AZ125,AU125))</f>
        <v>16.150158216966457</v>
      </c>
      <c r="BF190" s="72"/>
      <c r="BG190" s="72"/>
      <c r="BH190" s="72"/>
      <c r="BI190" s="72"/>
      <c r="BJ190" s="104">
        <f>SUM(Capex!BJ88,Capex!BE88,Capex!AZ88)/(SUM(BJ125,BE125,AZ125))</f>
        <v>14.66429881362118</v>
      </c>
      <c r="BK190" s="72"/>
      <c r="BL190" s="72"/>
      <c r="BM190" s="72"/>
      <c r="BN190" s="72"/>
      <c r="BO190" s="104">
        <f>SUM(Capex!BO88,Capex!BJ88,Capex!BE88)/(SUM(BO125,BJ125,BE125))</f>
        <v>11.403435691588003</v>
      </c>
      <c r="BP190" s="72"/>
      <c r="BQ190" s="72"/>
      <c r="BR190" s="72"/>
      <c r="BS190" s="72"/>
      <c r="BT190" s="104">
        <f>SUM(Capex!BT88,Capex!BO88,Capex!BJ88)/(BT116-BE116-SUM(BT113,BO113,BJ113))</f>
        <v>10.170037385056361</v>
      </c>
      <c r="BU190" s="72"/>
      <c r="BV190" s="72"/>
      <c r="BW190" s="72"/>
      <c r="BX190" s="72"/>
      <c r="BY190" s="104">
        <f>SUM(Capex!BY88,Capex!BT88,Capex!BO88)/(BY116-BJ116-SUM(BY113,BT113,BO113))</f>
        <v>12.685140536179979</v>
      </c>
      <c r="BZ190" s="72"/>
      <c r="CA190" s="72"/>
      <c r="CB190" s="72"/>
      <c r="CC190" s="72"/>
      <c r="CD190" s="104">
        <f>SUM(Capex!CD88,Capex!BY88,Capex!BT88)/(CD116-BO116-SUM(CD113,BY113,BT113))</f>
        <v>16.102465271657806</v>
      </c>
      <c r="CG190" s="564"/>
    </row>
    <row r="191" spans="1:85">
      <c r="A191" s="11"/>
      <c r="B191" s="11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G191" s="564"/>
    </row>
    <row r="192" spans="1:85">
      <c r="A192" s="39" t="s">
        <v>2685</v>
      </c>
      <c r="B192" s="11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G192" s="564"/>
    </row>
    <row r="193" spans="1:85">
      <c r="A193" s="11"/>
      <c r="B193" s="11" t="s">
        <v>1985</v>
      </c>
      <c r="C193" s="104">
        <f>Capex!C85/C111</f>
        <v>1.164957264957265</v>
      </c>
      <c r="D193" s="104">
        <f>Capex!D85/D111</f>
        <v>0.13783477932855526</v>
      </c>
      <c r="E193" s="104">
        <f>Capex!E85/E111</f>
        <v>0</v>
      </c>
      <c r="F193" s="104">
        <f>Capex!F85/F111</f>
        <v>0</v>
      </c>
      <c r="G193" s="104">
        <f>Capex!G85/G111</f>
        <v>0</v>
      </c>
      <c r="H193" s="72"/>
      <c r="I193" s="72"/>
      <c r="J193" s="72"/>
      <c r="K193" s="72"/>
      <c r="L193" s="104">
        <f>Capex!L85/L111</f>
        <v>0</v>
      </c>
      <c r="M193" s="72"/>
      <c r="N193" s="72"/>
      <c r="O193" s="72"/>
      <c r="P193" s="72"/>
      <c r="Q193" s="104">
        <f>Capex!Q85/Q111</f>
        <v>6.5219236209335216</v>
      </c>
      <c r="R193" s="72"/>
      <c r="S193" s="72"/>
      <c r="T193" s="72"/>
      <c r="U193" s="72"/>
      <c r="V193" s="104">
        <f>Capex!V85/V111</f>
        <v>6.5435009700044766</v>
      </c>
      <c r="W193" s="72"/>
      <c r="X193" s="72"/>
      <c r="Y193" s="72"/>
      <c r="Z193" s="72"/>
      <c r="AA193" s="104">
        <f>Capex!AA85/AA111</f>
        <v>13.464285714285714</v>
      </c>
      <c r="AB193" s="72"/>
      <c r="AC193" s="72"/>
      <c r="AD193" s="72"/>
      <c r="AE193" s="72"/>
      <c r="AF193" s="104">
        <f>Capex!AF85/AF111</f>
        <v>17.392170097873777</v>
      </c>
      <c r="AG193" s="72"/>
      <c r="AH193" s="72"/>
      <c r="AI193" s="72"/>
      <c r="AJ193" s="72"/>
      <c r="AK193" s="104">
        <f>Capex!AK85/AK111</f>
        <v>15.21015561015561</v>
      </c>
      <c r="AL193" s="72"/>
      <c r="AM193" s="72"/>
      <c r="AN193" s="72"/>
      <c r="AO193" s="72"/>
      <c r="AP193" s="104">
        <f>Capex!AP85/AP111</f>
        <v>4.5898218829516537</v>
      </c>
      <c r="AQ193" s="72"/>
      <c r="AR193" s="72"/>
      <c r="AS193" s="72"/>
      <c r="AT193" s="72"/>
      <c r="AU193" s="104">
        <f>Capex!AU85/AU111</f>
        <v>0.29648229939690157</v>
      </c>
      <c r="AV193" s="72"/>
      <c r="AW193" s="72"/>
      <c r="AX193" s="72"/>
      <c r="AY193" s="72"/>
      <c r="AZ193" s="104">
        <f>Capex!AZ85/AZ111</f>
        <v>7.4981498612395914</v>
      </c>
      <c r="BA193" s="72"/>
      <c r="BB193" s="72"/>
      <c r="BC193" s="72"/>
      <c r="BD193" s="72"/>
      <c r="BE193" s="104">
        <f>Capex!BE85/BE111</f>
        <v>2.7904913557779798</v>
      </c>
      <c r="BF193" s="72"/>
      <c r="BG193" s="72"/>
      <c r="BH193" s="72"/>
      <c r="BI193" s="72"/>
      <c r="BJ193" s="104">
        <f>Capex!BJ85/BJ111</f>
        <v>4.4393092253584641</v>
      </c>
      <c r="BK193" s="72"/>
      <c r="BL193" s="72"/>
      <c r="BM193" s="72"/>
      <c r="BN193" s="72"/>
      <c r="BO193" s="104">
        <f>Capex!BO85/BO111</f>
        <v>12.356013639181649</v>
      </c>
      <c r="BP193" s="72"/>
      <c r="BQ193" s="72"/>
      <c r="BR193" s="72"/>
      <c r="BS193" s="72"/>
      <c r="BT193" s="126">
        <f>BT183</f>
        <v>3</v>
      </c>
      <c r="BU193" s="72"/>
      <c r="BV193" s="72"/>
      <c r="BW193" s="72"/>
      <c r="BX193" s="72"/>
      <c r="BY193" s="126">
        <f>BY183</f>
        <v>3</v>
      </c>
      <c r="BZ193" s="72"/>
      <c r="CA193" s="72"/>
      <c r="CB193" s="72"/>
      <c r="CC193" s="72"/>
      <c r="CD193" s="126">
        <f>CD183</f>
        <v>3</v>
      </c>
      <c r="CG193" s="564"/>
    </row>
    <row r="194" spans="1:85">
      <c r="A194" s="11"/>
      <c r="B194" s="47" t="s">
        <v>1759</v>
      </c>
      <c r="C194" s="72"/>
      <c r="D194" s="72"/>
      <c r="E194" s="104">
        <f>SUM(Capex!E85,Capex!D85,Capex!C85)/SUM(C111,D111,E111)</f>
        <v>5.1062058809405668E-2</v>
      </c>
      <c r="F194" s="104">
        <f>SUM(Capex!F85,Capex!E85,Capex!D85)/SUM(D111,E111,F111)</f>
        <v>2.66186840724984E-2</v>
      </c>
      <c r="G194" s="104">
        <f>SUM(Capex!G85,Capex!F85,Capex!E85)/SUM(E111,F111,G111)</f>
        <v>0</v>
      </c>
      <c r="H194" s="72"/>
      <c r="I194" s="72"/>
      <c r="J194" s="72"/>
      <c r="K194" s="72"/>
      <c r="L194" s="104">
        <f>SUM(Capex!L85,Capex!G85,Capex!F85)/SUM(F111,G111,L111)</f>
        <v>0</v>
      </c>
      <c r="M194" s="72"/>
      <c r="N194" s="72"/>
      <c r="O194" s="72"/>
      <c r="P194" s="72"/>
      <c r="Q194" s="104">
        <f>SUM(Capex!Q85,Capex!L85,Capex!G85)/SUM(G111,L111,Q111)</f>
        <v>4.1528069648754125</v>
      </c>
      <c r="R194" s="72"/>
      <c r="S194" s="72"/>
      <c r="T194" s="72"/>
      <c r="U194" s="72"/>
      <c r="V194" s="104">
        <f>SUM(Capex!V85,Capex!Q85,Capex!L85)/SUM(L111,Q111,V111)</f>
        <v>5.9872327174589985</v>
      </c>
      <c r="W194" s="72"/>
      <c r="X194" s="72"/>
      <c r="Y194" s="72"/>
      <c r="Z194" s="72"/>
      <c r="AA194" s="104">
        <f>SUM(Capex!AA85,Capex!V85,Capex!Q85)/SUM(Q111,V111,AA111)</f>
        <v>7.2485249237029494</v>
      </c>
      <c r="AB194" s="72"/>
      <c r="AC194" s="72"/>
      <c r="AD194" s="72"/>
      <c r="AE194" s="72"/>
      <c r="AF194" s="104">
        <f>SUM(Capex!AF85,Capex!AA85,Capex!V85)/SUM(V111,AA111,AF111)</f>
        <v>10.209239130434783</v>
      </c>
      <c r="AG194" s="72"/>
      <c r="AH194" s="72"/>
      <c r="AI194" s="72"/>
      <c r="AJ194" s="72"/>
      <c r="AK194" s="104">
        <f>SUM(Capex!AK85,Capex!AF85,Capex!AA85)/SUM(AA111,AF111,AK111)</f>
        <v>15.677153632393807</v>
      </c>
      <c r="AL194" s="72"/>
      <c r="AM194" s="72"/>
      <c r="AN194" s="72"/>
      <c r="AO194" s="72"/>
      <c r="AP194" s="104">
        <f>SUM(Capex!AP85,Capex!AK85,Capex!AF85)/SUM(AF111,AK111,AP111)</f>
        <v>13.904649687301731</v>
      </c>
      <c r="AQ194" s="72"/>
      <c r="AR194" s="72"/>
      <c r="AS194" s="72"/>
      <c r="AT194" s="72"/>
      <c r="AU194" s="104"/>
      <c r="AV194" s="72"/>
      <c r="AW194" s="72"/>
      <c r="AX194" s="72"/>
      <c r="AY194" s="72"/>
      <c r="AZ194" s="104"/>
      <c r="BA194" s="72"/>
      <c r="BB194" s="72"/>
      <c r="BC194" s="72"/>
      <c r="BD194" s="72"/>
      <c r="BE194" s="104"/>
      <c r="BF194" s="72"/>
      <c r="BG194" s="72"/>
      <c r="BH194" s="72"/>
      <c r="BI194" s="72"/>
      <c r="BJ194" s="104"/>
      <c r="BK194" s="72"/>
      <c r="BL194" s="72"/>
      <c r="BM194" s="72"/>
      <c r="BN194" s="72"/>
      <c r="BO194" s="104"/>
      <c r="BP194" s="72"/>
      <c r="BQ194" s="72"/>
      <c r="BR194" s="72"/>
      <c r="BS194" s="72"/>
      <c r="BT194" s="104"/>
      <c r="BU194" s="72"/>
      <c r="BV194" s="72"/>
      <c r="BW194" s="72"/>
      <c r="BX194" s="72"/>
      <c r="BY194" s="104"/>
      <c r="BZ194" s="72"/>
      <c r="CA194" s="72"/>
      <c r="CB194" s="72"/>
      <c r="CC194" s="72"/>
      <c r="CD194" s="5"/>
    </row>
    <row r="198" spans="1:85">
      <c r="A198" s="376" t="s">
        <v>960</v>
      </c>
    </row>
    <row r="199" spans="1:85" ht="12.75" customHeight="1">
      <c r="A199" s="10"/>
      <c r="B199" s="10"/>
      <c r="C199" s="31">
        <v>2001</v>
      </c>
      <c r="D199" s="32">
        <v>2002</v>
      </c>
      <c r="E199" s="32">
        <v>2003</v>
      </c>
      <c r="F199" s="32">
        <v>2004</v>
      </c>
      <c r="G199" s="31">
        <v>2005</v>
      </c>
      <c r="H199" s="33" t="s">
        <v>714</v>
      </c>
      <c r="I199" s="33" t="s">
        <v>715</v>
      </c>
      <c r="J199" s="33" t="s">
        <v>716</v>
      </c>
      <c r="K199" s="33" t="s">
        <v>717</v>
      </c>
      <c r="L199" s="31">
        <v>2006</v>
      </c>
      <c r="M199" s="33" t="s">
        <v>718</v>
      </c>
      <c r="N199" s="33" t="s">
        <v>719</v>
      </c>
      <c r="O199" s="33" t="s">
        <v>1970</v>
      </c>
      <c r="P199" s="33" t="s">
        <v>1971</v>
      </c>
      <c r="Q199" s="31">
        <v>2007</v>
      </c>
      <c r="R199" s="33" t="s">
        <v>1972</v>
      </c>
      <c r="S199" s="33" t="s">
        <v>1973</v>
      </c>
      <c r="T199" s="33" t="s">
        <v>1974</v>
      </c>
      <c r="U199" s="33" t="s">
        <v>1975</v>
      </c>
      <c r="V199" s="31">
        <v>2008</v>
      </c>
      <c r="W199" s="33" t="s">
        <v>1976</v>
      </c>
      <c r="X199" s="33" t="s">
        <v>1977</v>
      </c>
      <c r="Y199" s="33" t="s">
        <v>1978</v>
      </c>
      <c r="Z199" s="33" t="s">
        <v>1979</v>
      </c>
      <c r="AA199" s="31">
        <v>2009</v>
      </c>
      <c r="AB199" s="33" t="s">
        <v>1980</v>
      </c>
      <c r="AC199" s="33" t="s">
        <v>1981</v>
      </c>
      <c r="AD199" s="33" t="s">
        <v>1982</v>
      </c>
      <c r="AE199" s="33" t="s">
        <v>2392</v>
      </c>
      <c r="AF199" s="31">
        <v>2010</v>
      </c>
      <c r="AG199" s="33" t="s">
        <v>2393</v>
      </c>
      <c r="AH199" s="33" t="s">
        <v>2394</v>
      </c>
      <c r="AI199" s="33" t="s">
        <v>2395</v>
      </c>
      <c r="AJ199" s="33" t="s">
        <v>2396</v>
      </c>
      <c r="AK199" s="31">
        <v>2011</v>
      </c>
      <c r="AL199" s="33" t="s">
        <v>2397</v>
      </c>
      <c r="AM199" s="33" t="s">
        <v>2398</v>
      </c>
      <c r="AN199" s="33" t="s">
        <v>2399</v>
      </c>
      <c r="AO199" s="33" t="s">
        <v>2400</v>
      </c>
      <c r="AP199" s="31">
        <v>2012</v>
      </c>
      <c r="AQ199" s="33" t="s">
        <v>2401</v>
      </c>
      <c r="AR199" s="33" t="s">
        <v>2402</v>
      </c>
      <c r="AS199" s="33" t="s">
        <v>2403</v>
      </c>
      <c r="AT199" s="33" t="s">
        <v>2404</v>
      </c>
      <c r="AU199" s="31">
        <v>2013</v>
      </c>
      <c r="AV199" s="33" t="s">
        <v>2405</v>
      </c>
      <c r="AW199" s="33" t="s">
        <v>2406</v>
      </c>
      <c r="AX199" s="33" t="s">
        <v>2407</v>
      </c>
      <c r="AY199" s="33" t="s">
        <v>2408</v>
      </c>
      <c r="AZ199" s="31">
        <v>2014</v>
      </c>
      <c r="BA199" s="33" t="s">
        <v>2409</v>
      </c>
      <c r="BB199" s="33" t="s">
        <v>2410</v>
      </c>
      <c r="BC199" s="33" t="s">
        <v>2411</v>
      </c>
      <c r="BD199" s="33" t="s">
        <v>2412</v>
      </c>
      <c r="BE199" s="31">
        <v>2015</v>
      </c>
      <c r="BF199" s="33" t="s">
        <v>2413</v>
      </c>
      <c r="BG199" s="33" t="s">
        <v>2414</v>
      </c>
      <c r="BH199" s="33" t="s">
        <v>2415</v>
      </c>
      <c r="BI199" s="33" t="s">
        <v>2416</v>
      </c>
      <c r="BJ199" s="31">
        <v>2016</v>
      </c>
      <c r="BK199" s="33" t="s">
        <v>2417</v>
      </c>
      <c r="BL199" s="33" t="s">
        <v>2418</v>
      </c>
      <c r="BM199" s="33" t="s">
        <v>2419</v>
      </c>
      <c r="BN199" s="33" t="s">
        <v>2420</v>
      </c>
      <c r="BO199" s="31">
        <v>2017</v>
      </c>
      <c r="BP199" s="33" t="s">
        <v>2244</v>
      </c>
      <c r="BQ199" s="33" t="s">
        <v>2245</v>
      </c>
      <c r="BR199" s="33" t="s">
        <v>2508</v>
      </c>
      <c r="BS199" s="33" t="s">
        <v>2509</v>
      </c>
      <c r="BT199" s="31">
        <v>2018</v>
      </c>
      <c r="BU199" s="33" t="s">
        <v>2510</v>
      </c>
      <c r="BV199" s="33" t="s">
        <v>2511</v>
      </c>
      <c r="BW199" s="33" t="s">
        <v>3125</v>
      </c>
      <c r="BX199" s="33" t="s">
        <v>1405</v>
      </c>
      <c r="BY199" s="31">
        <v>2019</v>
      </c>
      <c r="BZ199" s="33" t="s">
        <v>1406</v>
      </c>
      <c r="CA199" s="33" t="s">
        <v>1407</v>
      </c>
      <c r="CB199" s="33" t="s">
        <v>1408</v>
      </c>
      <c r="CC199" s="33" t="s">
        <v>1409</v>
      </c>
      <c r="CD199" s="31">
        <v>2020</v>
      </c>
    </row>
    <row r="200" spans="1:85">
      <c r="A200" s="39" t="s">
        <v>1986</v>
      </c>
      <c r="B200" s="11"/>
    </row>
    <row r="201" spans="1:85">
      <c r="A201" s="11"/>
      <c r="B201" s="11" t="s">
        <v>1985</v>
      </c>
      <c r="C201" s="443">
        <f>SUM(Capex!C38:C40)/(SUM(C12,C13,C15)+SUM(C66,C67,C69)/5.8)</f>
        <v>3.7744315375177275</v>
      </c>
      <c r="D201" s="443">
        <f>SUM(Capex!D38:D40)/(SUM(D12,D13,D15)+SUM(D66,D67,D69)/5.8)</f>
        <v>4.1512186778414435</v>
      </c>
      <c r="E201" s="443">
        <f>SUM(Capex!E38:E40)/(SUM(E12,E13,E15)+SUM(E66,E67,E69)/5.8)</f>
        <v>6.4850357056888388</v>
      </c>
      <c r="F201" s="443">
        <f>SUM(Capex!F38:F40)/(SUM(F12,F13,F15)+SUM(F66,F67,F69)/5.8)</f>
        <v>10.533238058117881</v>
      </c>
      <c r="G201" s="443">
        <f>SUM(Capex!G38:G40)/(SUM(G12,G13,G15)+SUM(G66,G67,G69)/5.8)</f>
        <v>13.234850020267531</v>
      </c>
      <c r="H201" s="72"/>
      <c r="I201" s="72"/>
      <c r="J201" s="72"/>
      <c r="K201" s="72"/>
      <c r="L201" s="443">
        <f>SUM(Capex!L38:L40)/(SUM(L12,L13,L15)+SUM(L66,L67,L69)/5.8)</f>
        <v>33.383298538622135</v>
      </c>
      <c r="M201" s="72"/>
      <c r="N201" s="72"/>
      <c r="O201" s="72"/>
      <c r="P201" s="72"/>
      <c r="Q201" s="443">
        <f>SUM(Capex!Q38:Q40)/(SUM(Q12,Q13,Q15)+SUM(Q66,Q67,Q69)/5.8)</f>
        <v>30.368289429809934</v>
      </c>
      <c r="R201" s="72"/>
      <c r="S201" s="72"/>
      <c r="T201" s="72"/>
      <c r="U201" s="72"/>
      <c r="V201" s="443">
        <f>SUM(Capex!V38:V40)/(SUM(V12,V13,V15)+SUM(V66,V67,V69)/5.8)</f>
        <v>15.724747876435593</v>
      </c>
      <c r="W201" s="72"/>
      <c r="X201" s="72"/>
      <c r="Y201" s="72"/>
      <c r="Z201" s="72"/>
      <c r="AA201" s="443">
        <f>SUM(Capex!AA38:AA40)/(SUM(AA12,AA13,AA15)+SUM(AA66,AA67,AA69)/5.8)</f>
        <v>12.217571795904458</v>
      </c>
      <c r="AB201" s="72"/>
      <c r="AC201" s="72"/>
      <c r="AD201" s="72"/>
      <c r="AE201" s="72"/>
      <c r="AF201" s="443">
        <f>SUM(Capex!AF38:AF40)/(SUM(AF12,AF13,AF15)+SUM(AF66,AF67,AF69)/5.8)</f>
        <v>23.104956268221574</v>
      </c>
      <c r="AG201" s="72"/>
      <c r="AH201" s="72"/>
      <c r="AI201" s="72"/>
      <c r="AJ201" s="72"/>
      <c r="AK201" s="443">
        <f>SUM(Capex!AK38:AK40)/(SUM(AK12,AK13,AK15)+SUM(AK66,AK67,AK69)/5.8)</f>
        <v>55.461385942301973</v>
      </c>
      <c r="AL201" s="72"/>
      <c r="AM201" s="72"/>
      <c r="AN201" s="72"/>
      <c r="AO201" s="72"/>
      <c r="AP201" s="443">
        <f>SUM(Capex!AP38:AP40)/(SUM(AP12,AP13,AP15)+SUM(AP66,AP67,AP69)/5.8)</f>
        <v>-507.57213930348246</v>
      </c>
      <c r="AQ201" s="72"/>
      <c r="AR201" s="72"/>
      <c r="AS201" s="72"/>
      <c r="AT201" s="72"/>
      <c r="AU201" s="443">
        <f>SUM(Capex!AU38:AU40)/(SUM(AU12,AU13,AU15)+SUM(AU66,AU67,AU69)/5.8)</f>
        <v>24.972259037521138</v>
      </c>
      <c r="AV201" s="72"/>
      <c r="AW201" s="72"/>
      <c r="AX201" s="72"/>
      <c r="AY201" s="72"/>
      <c r="AZ201" s="443">
        <f>SUM(Capex!AZ38:AZ40)/(SUM(AZ12,AZ13,AZ15)+SUM(AZ66,AZ67,AZ69)/5.8)</f>
        <v>82.420817958179583</v>
      </c>
      <c r="BA201" s="72"/>
      <c r="BB201" s="72"/>
      <c r="BC201" s="72"/>
      <c r="BD201" s="72"/>
      <c r="BE201" s="443">
        <f>SUM(Capex!BE38:BE40)/(SUM(BE12,BE13,BE15)+SUM(BE66,BE67,BE69)/5.8)</f>
        <v>71.758710517746664</v>
      </c>
      <c r="BF201" s="72"/>
      <c r="BG201" s="72"/>
      <c r="BH201" s="72"/>
      <c r="BI201" s="72"/>
      <c r="BJ201" s="443">
        <f>SUM(Capex!BJ38:BJ40)/(SUM(BJ12,BJ13,BJ15)+SUM(BJ66,BJ67,BJ69)/5.8)</f>
        <v>19.574291959261497</v>
      </c>
      <c r="BK201" s="72"/>
      <c r="BL201" s="72"/>
      <c r="BM201" s="72"/>
      <c r="BN201" s="72"/>
      <c r="BO201" s="443">
        <f>SUM(Capex!BO38:BO40)/(SUM(BO12,BO13,BO15)+SUM(BO66,BO67,BO69)/5.8)</f>
        <v>12.283004455760663</v>
      </c>
      <c r="BP201" s="72"/>
      <c r="BQ201" s="72"/>
      <c r="BR201" s="72"/>
      <c r="BS201" s="72"/>
      <c r="BT201" s="72"/>
      <c r="BU201" s="72"/>
      <c r="BV201" s="72"/>
      <c r="BW201" s="72"/>
      <c r="BX201" s="72"/>
      <c r="BY201" s="72"/>
      <c r="BZ201" s="72"/>
      <c r="CA201" s="72"/>
      <c r="CB201" s="72"/>
      <c r="CC201" s="72"/>
      <c r="CD201" s="72"/>
    </row>
    <row r="202" spans="1:85">
      <c r="A202" s="11"/>
      <c r="B202" s="47" t="s">
        <v>1759</v>
      </c>
      <c r="C202" s="443"/>
      <c r="D202" s="443"/>
      <c r="E202" s="443">
        <f>SUM(Capex!E38:E40,Capex!D38:D40,Capex!C38:C40)/((SUM(E12,E13,E15)+SUM(E66,E67,E69)/5.8)+(SUM(D12,D13,D15)+SUM(D66,D67,D69)/5.8)+(SUM(C12,C13,C15)+SUM(C66,C67,C69)/5.8))</f>
        <v>4.552281998095971</v>
      </c>
      <c r="F202" s="443">
        <f>SUM(Capex!F38:F40,Capex!E38:E40,Capex!D38:D40)/((SUM(F12,F13,F15)+SUM(F66,F67,F69)/5.8)+(SUM(E12,E13,E15)+SUM(E66,E67,E69)/5.8)+(SUM(D12,D13,D15)+SUM(D66,D67,D69)/5.8))</f>
        <v>6.1237798982723106</v>
      </c>
      <c r="G202" s="443">
        <f>SUM(Capex!G38:G40,Capex!F38:F40,Capex!E38:E40)/((SUM(G12,G13,G15)+SUM(G66,G67,G69)/5.8)+(SUM(F12,F13,F15)+SUM(F66,F67,F69)/5.8)+(SUM(E12,E13,E15)+SUM(E66,E67,E69)/5.8))</f>
        <v>9.3110476712875236</v>
      </c>
      <c r="H202" s="72"/>
      <c r="I202" s="72"/>
      <c r="J202" s="72"/>
      <c r="K202" s="72"/>
      <c r="L202" s="443">
        <f>SUM(Capex!L38:L40,Capex!G38:G40,Capex!F38:F40)/((SUM(L12,L13,L15)+SUM(L66,L67,L69)/5.8)+(SUM(G12,G13,G15)+SUM(G66,G67,G69)/5.8)+(SUM(F12,F13,F15)+SUM(F66,F67,F69)/5.8))</f>
        <v>15.727631804911557</v>
      </c>
      <c r="M202" s="72"/>
      <c r="N202" s="72"/>
      <c r="O202" s="72"/>
      <c r="P202" s="72"/>
      <c r="Q202" s="443">
        <f>SUM(Capex!Q38:Q40,Capex!L38:L40,Capex!G38:G40)/((SUM(Q12,Q13,Q15)+SUM(Q66,Q67,Q69)/5.8)+(SUM(L12,L13,L15)+SUM(L66,L67,L69)/5.8)+(SUM(G12,G13,G15)+SUM(G66,G67,G69)/5.8))</f>
        <v>22.882286018590239</v>
      </c>
      <c r="R202" s="72"/>
      <c r="S202" s="72"/>
      <c r="T202" s="72"/>
      <c r="U202" s="72"/>
      <c r="V202" s="443">
        <f>SUM(Capex!V38:V40,Capex!Q38:Q40,Capex!L38:L40)/((SUM(V12,V13,V15)+SUM(V66,V67,V69)/5.8)+(SUM(Q12,Q13,Q15)+SUM(Q66,Q67,Q69)/5.8)+(SUM(L12,L13,L15)+SUM(L66,L67,L69)/5.8))</f>
        <v>22.229923220585182</v>
      </c>
      <c r="W202" s="72"/>
      <c r="X202" s="72"/>
      <c r="Y202" s="72"/>
      <c r="Z202" s="72"/>
      <c r="AA202" s="443">
        <f>SUM(Capex!AA38:AA40,Capex!V38:V40,Capex!Q38:Q40)/((SUM(AA12,AA13,AA15)+SUM(AA66,AA67,AA69)/5.8)+(SUM(V12,V13,V15)+SUM(V66,V67,V69)/5.8)+(SUM(Q12,Q13,Q15)+SUM(Q66,Q67,Q69)/5.8))</f>
        <v>16.549704126380302</v>
      </c>
      <c r="AB202" s="72"/>
      <c r="AC202" s="72"/>
      <c r="AD202" s="72"/>
      <c r="AE202" s="72"/>
      <c r="AF202" s="443">
        <f>SUM(Capex!AF38:AF40,Capex!AA38:AA40,Capex!V38:V40)/((SUM(AF12,AF13,AF15)+SUM(AF66,AF67,AF69)/5.8)+(SUM(AA12,AA13,AA15)+SUM(AA66,AA67,AA69)/5.8)+(SUM(V12,V13,V15)+SUM(V66,V67,V69)/5.8))</f>
        <v>16.126797119823934</v>
      </c>
      <c r="AG202" s="72"/>
      <c r="AH202" s="72"/>
      <c r="AI202" s="72"/>
      <c r="AJ202" s="72"/>
      <c r="AK202" s="443">
        <f>SUM(Capex!AK38:AK40,Capex!AF38:AF40,Capex!AA38:AA40)/((SUM(AK12,AK13,AK15)+SUM(AK66,AK67,AK69)/5.8)+(SUM(AF12,AF13,AF15)+SUM(AF66,AF67,AF69)/5.8)+(SUM(AA12,AA13,AA15)+SUM(AA66,AA67,AA69)/5.8))</f>
        <v>22.702537744940575</v>
      </c>
      <c r="AL202" s="72"/>
      <c r="AM202" s="72"/>
      <c r="AN202" s="72"/>
      <c r="AO202" s="72"/>
      <c r="AP202" s="443">
        <f>SUM(Capex!AP38:AP40,Capex!AK38:AK40,Capex!AF38:AF40)/((SUM(AP12,AP13,AP15)+SUM(AP66,AP67,AP69)/5.8)+(SUM(AK12,AK13,AK15)+SUM(AK66,AK67,AK69)/5.8)+(SUM(AF12,AF13,AF15)+SUM(AF66,AF67,AF69)/5.8))</f>
        <v>52.774675593594694</v>
      </c>
      <c r="AQ202" s="72"/>
      <c r="AR202" s="72"/>
      <c r="AS202" s="72"/>
      <c r="AT202" s="72"/>
      <c r="AU202" s="443">
        <f>SUM(Capex!AU38:AU40,Capex!AP38:AP40,Capex!AK38:AK40)/((SUM(AU12,AU13,AU15)+SUM(AU66,AU67,AU69)/5.8)+(SUM(AP12,AP13,AP15)+SUM(AP66,AP67,AP69)/5.8)+(SUM(AK12,AK13,AK15)+SUM(AK66,AK67,AK69)/5.8))</f>
        <v>52.190259341795048</v>
      </c>
      <c r="AV202" s="72"/>
      <c r="AW202" s="72"/>
      <c r="AX202" s="72"/>
      <c r="AY202" s="72"/>
      <c r="AZ202" s="443">
        <f>SUM(Capex!AZ38:AZ40,Capex!AU38:AU40,Capex!AP38:AP40)/((SUM(AZ12,AZ13,AZ15)+SUM(AZ66,AZ67,AZ69)/5.8)+(SUM(AU12,AU13,AU15)+SUM(AU66,AU67,AU69)/5.8)+(SUM(AP12,AP13,AP15)+SUM(AP66,AP67,AP69)/5.8))</f>
        <v>58.16628926223521</v>
      </c>
      <c r="BA202" s="72"/>
      <c r="BB202" s="72"/>
      <c r="BC202" s="72"/>
      <c r="BD202" s="72"/>
      <c r="BE202" s="443">
        <f>SUM(Capex!BE38:BE40,Capex!AZ38:AZ40,Capex!AU38:AU40)/((SUM(BE12,BE13,BE15)+SUM(BE66,BE67,BE69)/5.8)+(SUM(AZ12,AZ13,AZ15)+SUM(AZ66,AZ67,AZ69)/5.8)+(SUM(AU12,AU13,AU15)+SUM(AU66,AU67,AU69)/5.8))</f>
        <v>44.116922987806646</v>
      </c>
      <c r="BF202" s="72"/>
      <c r="BG202" s="72"/>
      <c r="BH202" s="72"/>
      <c r="BI202" s="72"/>
      <c r="BJ202" s="443">
        <f>SUM(Capex!BJ38:BJ40,Capex!BE38:BE40,Capex!AZ38:AZ40)/((SUM(BJ12,BJ13,BJ15)+SUM(BJ66,BJ67,BJ69)/5.8)+(SUM(BE12,BE13,BE15)+SUM(BE66,BE67,BE69)/5.8)+(SUM(AZ12,AZ13,AZ15)+SUM(AZ66,AZ67,AZ69)/5.8))</f>
        <v>40.929836891270604</v>
      </c>
      <c r="BK202" s="72"/>
      <c r="BL202" s="72"/>
      <c r="BM202" s="72"/>
      <c r="BN202" s="72"/>
      <c r="BO202" s="443">
        <f>SUM(Capex!BO38:BO40,Capex!BJ38:BJ40,Capex!BE38:BE40)/((SUM(BO12,BO13,BO15)+SUM(BO66,BO67,BO69)/5.8)+(SUM(BJ12,BJ13,BJ15)+SUM(BJ66,BJ67,BJ69)/5.8)+(SUM(BE12,BE13,BE15)+SUM(BE66,BE67,BE69)/5.8))</f>
        <v>21.122153559637688</v>
      </c>
      <c r="BP202" s="72"/>
      <c r="BQ202" s="72"/>
      <c r="BR202" s="72"/>
      <c r="BS202" s="72"/>
      <c r="BT202" s="72"/>
      <c r="BU202" s="72"/>
      <c r="BV202" s="72"/>
      <c r="BW202" s="72"/>
      <c r="BX202" s="72"/>
      <c r="BY202" s="72"/>
      <c r="BZ202" s="72"/>
      <c r="CA202" s="72"/>
      <c r="CB202" s="72"/>
      <c r="CC202" s="72"/>
      <c r="CD202" s="72"/>
    </row>
    <row r="203" spans="1:85">
      <c r="A203" s="11"/>
      <c r="B203" s="11"/>
      <c r="C203" s="443"/>
      <c r="D203" s="443"/>
      <c r="E203" s="443"/>
      <c r="F203" s="443"/>
      <c r="G203" s="443"/>
      <c r="L203" s="443"/>
      <c r="Q203" s="443"/>
      <c r="V203" s="443"/>
      <c r="AA203" s="443"/>
      <c r="AF203" s="443"/>
      <c r="AK203" s="443"/>
      <c r="AP203" s="443"/>
      <c r="AU203" s="443"/>
      <c r="AZ203" s="443"/>
      <c r="BE203" s="443"/>
      <c r="BJ203" s="443"/>
      <c r="BO203" s="443"/>
    </row>
    <row r="204" spans="1:85">
      <c r="A204" s="39" t="s">
        <v>1987</v>
      </c>
      <c r="B204" s="11"/>
      <c r="C204" s="443"/>
      <c r="D204" s="443"/>
      <c r="E204" s="443"/>
      <c r="F204" s="443"/>
      <c r="G204" s="443"/>
      <c r="L204" s="443"/>
      <c r="Q204" s="443"/>
      <c r="V204" s="443"/>
      <c r="AA204" s="443"/>
      <c r="AF204" s="443"/>
      <c r="AK204" s="443"/>
      <c r="AP204" s="443"/>
      <c r="AU204" s="443"/>
      <c r="AZ204" s="443"/>
      <c r="BE204" s="443"/>
      <c r="BJ204" s="443"/>
      <c r="BO204" s="443"/>
    </row>
    <row r="205" spans="1:85">
      <c r="A205" s="11"/>
      <c r="B205" s="11" t="s">
        <v>1985</v>
      </c>
      <c r="C205" s="443">
        <f>SUM(Capex!C38:C39)/(SUM(C12,C13,C15)+SUM(C66,C67,C69)/5.8)</f>
        <v>0.60950969612951544</v>
      </c>
      <c r="D205" s="443">
        <f>SUM(Capex!D38:D39)/(SUM(D12,D13,D15)+SUM(D66,D67,D69)/5.8)</f>
        <v>0.56794663473873253</v>
      </c>
      <c r="E205" s="443">
        <f>SUM(Capex!E38:E39)/(SUM(E12,E13,E15)+SUM(E66,E67,E69)/5.8)</f>
        <v>0.6391184573002755</v>
      </c>
      <c r="F205" s="443">
        <f>SUM(Capex!F38:F39)/(SUM(F12,F13,F15)+SUM(F66,F67,F69)/5.8)</f>
        <v>1.4028409336971113</v>
      </c>
      <c r="G205" s="443">
        <f>SUM(Capex!G38:G39)/(SUM(G12,G13,G15)+SUM(G66,G67,G69)/5.8)</f>
        <v>1.952827320632347</v>
      </c>
      <c r="H205" s="72"/>
      <c r="I205" s="72"/>
      <c r="J205" s="72"/>
      <c r="K205" s="72"/>
      <c r="L205" s="443">
        <f>SUM(Capex!L38:L39)/(SUM(L12,L13,L15)+SUM(L66,L67,L69)/5.8)</f>
        <v>5.809081419624218</v>
      </c>
      <c r="M205" s="72"/>
      <c r="N205" s="72"/>
      <c r="O205" s="72"/>
      <c r="P205" s="72"/>
      <c r="Q205" s="443">
        <f>SUM(Capex!Q38:Q39)/(SUM(Q12,Q13,Q15)+SUM(Q66,Q67,Q69)/5.8)</f>
        <v>5.8236912304101365</v>
      </c>
      <c r="R205" s="72"/>
      <c r="S205" s="72"/>
      <c r="T205" s="72"/>
      <c r="U205" s="72"/>
      <c r="V205" s="443">
        <f>SUM(Capex!V38:V39)/(SUM(V12,V13,V15)+SUM(V66,V67,V69)/5.8)</f>
        <v>4.8685457958196805</v>
      </c>
      <c r="W205" s="72"/>
      <c r="X205" s="72"/>
      <c r="Y205" s="72"/>
      <c r="Z205" s="72"/>
      <c r="AA205" s="443">
        <f>SUM(Capex!AA38:AA39)/(SUM(AA12,AA13,AA15)+SUM(AA66,AA67,AA69)/5.8)</f>
        <v>2.8776294185073885</v>
      </c>
      <c r="AB205" s="72"/>
      <c r="AC205" s="72"/>
      <c r="AD205" s="72"/>
      <c r="AE205" s="72"/>
      <c r="AF205" s="443">
        <f>SUM(Capex!AF38:AF39)/(SUM(AF12,AF13,AF15)+SUM(AF66,AF67,AF69)/5.8)</f>
        <v>9.001457725947521</v>
      </c>
      <c r="AG205" s="72"/>
      <c r="AH205" s="72"/>
      <c r="AI205" s="72"/>
      <c r="AJ205" s="72"/>
      <c r="AK205" s="443">
        <f>SUM(Capex!AK38:AK39)/(SUM(AK12,AK13,AK15)+SUM(AK66,AK67,AK69)/5.8)</f>
        <v>26.150887280658271</v>
      </c>
      <c r="AL205" s="72"/>
      <c r="AM205" s="72"/>
      <c r="AN205" s="72"/>
      <c r="AO205" s="72"/>
      <c r="AP205" s="443">
        <f>SUM(Capex!AP38:AP39)/(SUM(AP12,AP13,AP15)+SUM(AP66,AP67,AP69)/5.8)</f>
        <v>-162.34228855721389</v>
      </c>
      <c r="AQ205" s="72"/>
      <c r="AR205" s="72"/>
      <c r="AS205" s="72"/>
      <c r="AT205" s="72"/>
      <c r="AU205" s="443">
        <f>SUM(Capex!AU38:AU39)/(SUM(AU12,AU13,AU15)+SUM(AU66,AU67,AU69)/5.8)</f>
        <v>7.0111055253416206</v>
      </c>
      <c r="AV205" s="72"/>
      <c r="AW205" s="72"/>
      <c r="AX205" s="72"/>
      <c r="AY205" s="72"/>
      <c r="AZ205" s="443">
        <f>SUM(Capex!AZ38:AZ39)/(SUM(AZ12,AZ13,AZ15)+SUM(AZ66,AZ67,AZ69)/5.8)</f>
        <v>15.110854858548585</v>
      </c>
      <c r="BA205" s="72"/>
      <c r="BB205" s="72"/>
      <c r="BC205" s="72"/>
      <c r="BD205" s="72"/>
      <c r="BE205" s="443">
        <f>SUM(Capex!BE38:BE39)/(SUM(BE12,BE13,BE15)+SUM(BE66,BE67,BE69)/5.8)</f>
        <v>8.2155649625529144</v>
      </c>
      <c r="BF205" s="72"/>
      <c r="BG205" s="72"/>
      <c r="BH205" s="72"/>
      <c r="BI205" s="72"/>
      <c r="BJ205" s="443">
        <f>SUM(Capex!BJ38:BJ39)/(SUM(BJ12,BJ13,BJ15)+SUM(BJ66,BJ67,BJ69)/5.8)</f>
        <v>4.5435985676417241</v>
      </c>
      <c r="BK205" s="72"/>
      <c r="BL205" s="72"/>
      <c r="BM205" s="72"/>
      <c r="BN205" s="72"/>
      <c r="BO205" s="443">
        <f>SUM(Capex!BO38:BO39)/(SUM(BO12,BO13,BO15)+SUM(BO66,BO67,BO69)/5.8)</f>
        <v>2.4117441120305543</v>
      </c>
      <c r="BP205" s="72"/>
      <c r="BQ205" s="72"/>
      <c r="BR205" s="72"/>
      <c r="BS205" s="72"/>
      <c r="BT205" s="443">
        <f>BT183</f>
        <v>3</v>
      </c>
      <c r="BU205" s="72"/>
      <c r="BV205" s="72"/>
      <c r="BW205" s="72"/>
      <c r="BX205" s="72"/>
      <c r="BY205" s="443">
        <f>BY183</f>
        <v>3</v>
      </c>
      <c r="BZ205" s="72"/>
      <c r="CA205" s="72"/>
      <c r="CB205" s="72"/>
      <c r="CC205" s="72"/>
      <c r="CD205" s="443">
        <f>CD183</f>
        <v>3</v>
      </c>
    </row>
    <row r="206" spans="1:85">
      <c r="A206" s="11"/>
      <c r="B206" s="47" t="s">
        <v>1759</v>
      </c>
      <c r="C206" s="443"/>
      <c r="D206" s="443"/>
      <c r="E206" s="443">
        <f>SUM(Capex!E38:E39,Capex!D38:D39,Capex!C38:C39)/((SUM(E12,E13,E15)+SUM(E66,E67,E69)/5.8)+(SUM(D12,D13,D15)+SUM(D66,D67,D69)/5.8)+(SUM(C12,C13,C15)+SUM(C66,C67,C69)/5.8))</f>
        <v>0.60116889749134683</v>
      </c>
      <c r="F206" s="443">
        <f>SUM(Capex!F38:F39,Capex!E38:E39,Capex!D38:D39)/((SUM(F12,F13,F15)+SUM(F66,F67,F69)/5.8)+(SUM(E12,E13,E15)+SUM(E66,E67,E69)/5.8)+(SUM(D12,D13,D15)+SUM(D66,D67,D69)/5.8))</f>
        <v>0.75239816722014374</v>
      </c>
      <c r="G206" s="443">
        <f>SUM(Capex!G38:G39,Capex!F38:F39,Capex!E38:E39)/((SUM(G12,G13,G15)+SUM(G66,G67,G69)/5.8)+(SUM(F12,F13,F15)+SUM(F66,F67,F69)/5.8)+(SUM(E12,E13,E15)+SUM(E66,E67,E69)/5.8))</f>
        <v>1.18218310561484</v>
      </c>
      <c r="H206" s="72"/>
      <c r="I206" s="72"/>
      <c r="J206" s="72"/>
      <c r="K206" s="72"/>
      <c r="L206" s="443">
        <f>SUM(Capex!L38:L39,Capex!G38:G39,Capex!F38:F39)/((SUM(L12,L13,L15)+SUM(L66,L67,L69)/5.8)+(SUM(G12,G13,G15)+SUM(G66,G67,G69)/5.8)+(SUM(F12,F13,F15)+SUM(F66,F67,F69)/5.8))</f>
        <v>2.4154216039842007</v>
      </c>
      <c r="M206" s="72"/>
      <c r="N206" s="72"/>
      <c r="O206" s="72"/>
      <c r="P206" s="72"/>
      <c r="Q206" s="443">
        <f>SUM(Capex!Q38:Q39,Capex!L38:L39,Capex!G38:G39)/((SUM(Q12,Q13,Q15)+SUM(Q66,Q67,Q69)/5.8)+(SUM(L12,L13,L15)+SUM(L66,L67,L69)/5.8)+(SUM(G12,G13,G15)+SUM(G66,G67,G69)/5.8))</f>
        <v>3.9710737800154914</v>
      </c>
      <c r="R206" s="72"/>
      <c r="S206" s="72"/>
      <c r="T206" s="72"/>
      <c r="U206" s="72"/>
      <c r="V206" s="443">
        <f>SUM(Capex!V38:V39,Capex!Q38:Q39,Capex!L38:L39)/((SUM(V12,V13,V15)+SUM(V66,V67,V69)/5.8)+(SUM(Q12,Q13,Q15)+SUM(Q66,Q67,Q69)/5.8)+(SUM(L12,L13,L15)+SUM(L66,L67,L69)/5.8))</f>
        <v>5.2546737346488328</v>
      </c>
      <c r="W206" s="72"/>
      <c r="X206" s="72"/>
      <c r="Y206" s="72"/>
      <c r="Z206" s="72"/>
      <c r="AA206" s="443">
        <f>SUM(Capex!AA38:AA39,Capex!V38:V39,Capex!Q38:Q39)/((SUM(AA12,AA13,AA15)+SUM(AA66,AA67,AA69)/5.8)+(SUM(V12,V13,V15)+SUM(V66,V67,V69)/5.8)+(SUM(Q12,Q13,Q15)+SUM(Q66,Q67,Q69)/5.8))</f>
        <v>4.1710387277434346</v>
      </c>
      <c r="AB206" s="72"/>
      <c r="AC206" s="72"/>
      <c r="AD206" s="72"/>
      <c r="AE206" s="72"/>
      <c r="AF206" s="443">
        <f>SUM(Capex!AF38:AF39,Capex!AA38:AA39,Capex!V38:V39)/((SUM(AF12,AF13,AF15)+SUM(AF66,AF67,AF69)/5.8)+(SUM(AA12,AA13,AA15)+SUM(AA66,AA67,AA69)/5.8)+(SUM(V12,V13,V15)+SUM(V66,V67,V69)/5.8))</f>
        <v>5.0833074181278848</v>
      </c>
      <c r="AG206" s="72"/>
      <c r="AH206" s="72"/>
      <c r="AI206" s="72"/>
      <c r="AJ206" s="72"/>
      <c r="AK206" s="443">
        <f>SUM(Capex!AK38:AK39,Capex!AF38:AF39,Capex!AA38:AA39)/((SUM(AK12,AK13,AK15)+SUM(AK66,AK67,AK69)/5.8)+(SUM(AF12,AF13,AF15)+SUM(AF66,AF67,AF69)/5.8)+(SUM(AA12,AA13,AA15)+SUM(AA66,AA67,AA69)/5.8))</f>
        <v>8.6049791198201095</v>
      </c>
      <c r="AL206" s="72"/>
      <c r="AM206" s="72"/>
      <c r="AN206" s="72"/>
      <c r="AO206" s="72"/>
      <c r="AP206" s="443">
        <f>SUM(Capex!AP38:AP39,Capex!AK38:AK39,Capex!AF38:AF39)/((SUM(AP12,AP13,AP15)+SUM(AP66,AP67,AP69)/5.8)+(SUM(AK12,AK13,AK15)+SUM(AK66,AK67,AK69)/5.8)+(SUM(AF12,AF13,AF15)+SUM(AF66,AF67,AF69)/5.8))</f>
        <v>20.914308393152954</v>
      </c>
      <c r="AQ206" s="72"/>
      <c r="AR206" s="72"/>
      <c r="AS206" s="72"/>
      <c r="AT206" s="72"/>
      <c r="AU206" s="443">
        <f>SUM(Capex!AU38:AU39,Capex!AP38:AP39,Capex!AK38:AK39)/((SUM(AU12,AU13,AU15)+SUM(AU66,AU67,AU69)/5.8)+(SUM(AP12,AP13,AP15)+SUM(AP66,AP67,AP69)/5.8)+(SUM(AK12,AK13,AK15)+SUM(AK66,AK67,AK69)/5.8))</f>
        <v>18.743274230533217</v>
      </c>
      <c r="AV206" s="72"/>
      <c r="AW206" s="72"/>
      <c r="AX206" s="72"/>
      <c r="AY206" s="72"/>
      <c r="AZ206" s="443">
        <f>SUM(Capex!AZ38:AZ39,Capex!AU38:AU39,Capex!AP38:AP39)/((SUM(AZ12,AZ13,AZ15)+SUM(AZ66,AZ67,AZ69)/5.8)+(SUM(AU12,AU13,AU15)+SUM(AU66,AU67,AU69)/5.8)+(SUM(AP12,AP13,AP15)+SUM(AP66,AP67,AP69)/5.8))</f>
        <v>15.151387874360848</v>
      </c>
      <c r="BA206" s="72"/>
      <c r="BB206" s="72"/>
      <c r="BC206" s="72"/>
      <c r="BD206" s="72"/>
      <c r="BE206" s="443">
        <f>SUM(Capex!BE38:BE39,Capex!AZ38:AZ39,Capex!AU38:AU39)/((SUM(BE12,BE13,BE15)+SUM(BE66,BE67,BE69)/5.8)+(SUM(AZ12,AZ13,AZ15)+SUM(AZ66,AZ67,AZ69)/5.8)+(SUM(AU12,AU13,AU15)+SUM(AU66,AU67,AU69)/5.8))</f>
        <v>8.7511512729168484</v>
      </c>
      <c r="BF206" s="72"/>
      <c r="BG206" s="72"/>
      <c r="BH206" s="72"/>
      <c r="BI206" s="72"/>
      <c r="BJ206" s="443">
        <f>SUM(Capex!BJ38:BJ39,Capex!BE38:BE39,Capex!AZ38:AZ39)/((SUM(BJ12,BJ13,BJ15)+SUM(BJ66,BJ67,BJ69)/5.8)+(SUM(BE12,BE13,BE15)+SUM(BE66,BE67,BE69)/5.8)+(SUM(AZ12,AZ13,AZ15)+SUM(AZ66,AZ67,AZ69)/5.8))</f>
        <v>7.216668130838384</v>
      </c>
      <c r="BK206" s="72"/>
      <c r="BL206" s="72"/>
      <c r="BM206" s="72"/>
      <c r="BN206" s="72"/>
      <c r="BO206" s="443">
        <f>SUM(Capex!BO38:BO39,Capex!BJ38:BJ39,Capex!BE38:BE39)/((SUM(BO12,BO13,BO15)+SUM(BO66,BO67,BO69)/5.8)+(SUM(BJ12,BJ13,BJ15)+SUM(BJ66,BJ67,BJ69)/5.8)+(SUM(BE12,BE13,BE15)+SUM(BE66,BE67,BE69)/5.8))</f>
        <v>3.7913823753491918</v>
      </c>
      <c r="BP206" s="72"/>
      <c r="BQ206" s="72"/>
      <c r="BR206" s="72"/>
      <c r="BS206" s="72"/>
      <c r="BT206" s="443">
        <f>BT183</f>
        <v>3</v>
      </c>
      <c r="BU206" s="72"/>
      <c r="BV206" s="72"/>
      <c r="BW206" s="72"/>
      <c r="BX206" s="72"/>
      <c r="BY206" s="443">
        <f>BY183</f>
        <v>3</v>
      </c>
      <c r="BZ206" s="72"/>
      <c r="CA206" s="72"/>
      <c r="CB206" s="72"/>
      <c r="CC206" s="72"/>
      <c r="CD206" s="443">
        <f>CD183</f>
        <v>3</v>
      </c>
    </row>
    <row r="207" spans="1:85">
      <c r="C207" s="443"/>
      <c r="D207" s="443"/>
      <c r="E207" s="443"/>
      <c r="F207" s="443"/>
      <c r="G207" s="443"/>
      <c r="L207" s="443"/>
      <c r="Q207" s="443"/>
      <c r="V207" s="443"/>
      <c r="AA207" s="443"/>
      <c r="AF207" s="443"/>
      <c r="AK207" s="443"/>
      <c r="AP207" s="443"/>
      <c r="AU207" s="443"/>
      <c r="AZ207" s="443"/>
      <c r="BE207" s="443"/>
      <c r="BJ207" s="443"/>
      <c r="BO207" s="443"/>
    </row>
    <row r="208" spans="1:85">
      <c r="A208" s="39" t="s">
        <v>2684</v>
      </c>
      <c r="B208" s="11"/>
      <c r="C208" s="443"/>
      <c r="D208" s="443"/>
      <c r="E208" s="443"/>
      <c r="F208" s="443"/>
      <c r="G208" s="443"/>
      <c r="L208" s="443"/>
      <c r="Q208" s="443"/>
      <c r="V208" s="443"/>
      <c r="AA208" s="443"/>
      <c r="AF208" s="443"/>
      <c r="AK208" s="443"/>
      <c r="AP208" s="443"/>
      <c r="AU208" s="443"/>
      <c r="AZ208" s="443"/>
      <c r="BE208" s="443"/>
      <c r="BJ208" s="443"/>
      <c r="BO208" s="443"/>
    </row>
    <row r="209" spans="1:82">
      <c r="A209" s="11"/>
      <c r="B209" s="11" t="s">
        <v>762</v>
      </c>
      <c r="C209" s="443"/>
      <c r="D209" s="443">
        <f>Capex!D40/D215</f>
        <v>6.6685820898802479</v>
      </c>
      <c r="E209" s="443">
        <f>Capex!E40/E215</f>
        <v>18.605801622395482</v>
      </c>
      <c r="F209" s="443">
        <f>Capex!F40/F215</f>
        <v>9.2390950897731212</v>
      </c>
      <c r="G209" s="443">
        <f>Capex!G40/G215</f>
        <v>10.051686809609201</v>
      </c>
      <c r="H209" s="72"/>
      <c r="I209" s="72"/>
      <c r="J209" s="72"/>
      <c r="K209" s="72"/>
      <c r="L209" s="443">
        <f>Capex!L40/L215</f>
        <v>11.543409863147186</v>
      </c>
      <c r="M209" s="72"/>
      <c r="N209" s="72"/>
      <c r="O209" s="72"/>
      <c r="P209" s="72"/>
      <c r="Q209" s="443">
        <f>Capex!Q40/Q215</f>
        <v>10.579589238284189</v>
      </c>
      <c r="R209" s="72"/>
      <c r="S209" s="72"/>
      <c r="T209" s="72"/>
      <c r="U209" s="72"/>
      <c r="V209" s="443">
        <f>Capex!V40/V215</f>
        <v>12.859468643410722</v>
      </c>
      <c r="W209" s="72"/>
      <c r="X209" s="72"/>
      <c r="Y209" s="72"/>
      <c r="Z209" s="72"/>
      <c r="AA209" s="443">
        <f>Capex!AA40/AA215</f>
        <v>7.0552100977815586</v>
      </c>
      <c r="AB209" s="72"/>
      <c r="AC209" s="72"/>
      <c r="AD209" s="72"/>
      <c r="AE209" s="72"/>
      <c r="AF209" s="443">
        <f>Capex!AF40/AF215</f>
        <v>11.020253681479057</v>
      </c>
      <c r="AG209" s="72"/>
      <c r="AH209" s="72"/>
      <c r="AI209" s="72"/>
      <c r="AJ209" s="72"/>
      <c r="AK209" s="443">
        <f>Capex!AK40/AK215</f>
        <v>22.111632854077243</v>
      </c>
      <c r="AL209" s="72"/>
      <c r="AM209" s="72"/>
      <c r="AN209" s="72"/>
      <c r="AO209" s="72"/>
      <c r="AP209" s="443">
        <f>Capex!AP40/AP215</f>
        <v>18.495827437763282</v>
      </c>
      <c r="AQ209" s="72"/>
      <c r="AR209" s="72"/>
      <c r="AS209" s="72"/>
      <c r="AT209" s="72"/>
      <c r="AU209" s="443">
        <f>Capex!AU40/AU215</f>
        <v>26.701801891438663</v>
      </c>
      <c r="AV209" s="72"/>
      <c r="AW209" s="72"/>
      <c r="AX209" s="72"/>
      <c r="AY209" s="72"/>
      <c r="AZ209" s="443">
        <f>Capex!AZ40/AZ215</f>
        <v>28.985893884693585</v>
      </c>
      <c r="BA209" s="72"/>
      <c r="BB209" s="72"/>
      <c r="BC209" s="72"/>
      <c r="BD209" s="72"/>
      <c r="BE209" s="443">
        <f>Capex!BE40/BE215</f>
        <v>23.651321167813666</v>
      </c>
      <c r="BF209" s="72"/>
      <c r="BG209" s="72"/>
      <c r="BH209" s="72"/>
      <c r="BI209" s="72"/>
      <c r="BJ209" s="443">
        <f>Capex!BJ40/BJ215</f>
        <v>13.431744927807857</v>
      </c>
      <c r="BK209" s="72"/>
      <c r="BL209" s="72"/>
      <c r="BM209" s="72"/>
      <c r="BN209" s="72"/>
      <c r="BO209" s="443">
        <f>Capex!BO40/BO215</f>
        <v>9.3552202505330211</v>
      </c>
      <c r="BP209" s="72"/>
      <c r="BQ209" s="72"/>
      <c r="BR209" s="72"/>
      <c r="BS209" s="72"/>
      <c r="BT209" s="443">
        <f>BT187</f>
        <v>16.625625000000003</v>
      </c>
      <c r="BU209" s="72"/>
      <c r="BV209" s="72"/>
      <c r="BW209" s="72"/>
      <c r="BX209" s="72"/>
      <c r="BY209" s="443">
        <f>BY187</f>
        <v>15.737500000000001</v>
      </c>
      <c r="BZ209" s="72"/>
      <c r="CA209" s="72"/>
      <c r="CB209" s="72"/>
      <c r="CC209" s="72"/>
      <c r="CD209" s="443">
        <f>CD187</f>
        <v>15.982639461338081</v>
      </c>
    </row>
    <row r="210" spans="1:82">
      <c r="A210" s="11"/>
      <c r="B210" t="s">
        <v>763</v>
      </c>
      <c r="C210" s="443"/>
      <c r="D210" s="443">
        <f>Capex!D40/D216</f>
        <v>7.7330478756782695</v>
      </c>
      <c r="E210" s="443">
        <f>Capex!E40/E216</f>
        <v>-97.143555555555565</v>
      </c>
      <c r="F210" s="443">
        <f>Capex!F40/F216</f>
        <v>10.105934234493336</v>
      </c>
      <c r="G210" s="443">
        <f>Capex!G40/G216</f>
        <v>12.426721732336199</v>
      </c>
      <c r="H210" s="72"/>
      <c r="I210" s="72"/>
      <c r="J210" s="72"/>
      <c r="K210" s="72"/>
      <c r="L210" s="443">
        <f>Capex!L40/L216</f>
        <v>13.492057817048877</v>
      </c>
      <c r="M210" s="72"/>
      <c r="N210" s="72"/>
      <c r="O210" s="72"/>
      <c r="P210" s="72"/>
      <c r="Q210" s="443">
        <f>Capex!Q40/Q216</f>
        <v>11.624960518003791</v>
      </c>
      <c r="R210" s="72"/>
      <c r="S210" s="72"/>
      <c r="T210" s="72"/>
      <c r="U210" s="72"/>
      <c r="V210" s="443">
        <f>Capex!V40/V216</f>
        <v>14.829559775759419</v>
      </c>
      <c r="W210" s="72"/>
      <c r="X210" s="72"/>
      <c r="Y210" s="72"/>
      <c r="Z210" s="72"/>
      <c r="AA210" s="443">
        <f>Capex!AA40/AA216</f>
        <v>7.3862361271039019</v>
      </c>
      <c r="AB210" s="72"/>
      <c r="AC210" s="72"/>
      <c r="AD210" s="72"/>
      <c r="AE210" s="72"/>
      <c r="AF210" s="443">
        <f>Capex!AF40/AF216</f>
        <v>15.815061157770138</v>
      </c>
      <c r="AG210" s="72"/>
      <c r="AH210" s="72"/>
      <c r="AI210" s="72"/>
      <c r="AJ210" s="72"/>
      <c r="AK210" s="443">
        <f>Capex!AK40/AK216</f>
        <v>40.269000272405336</v>
      </c>
      <c r="AL210" s="72"/>
      <c r="AM210" s="72"/>
      <c r="AN210" s="72"/>
      <c r="AO210" s="72"/>
      <c r="AP210" s="443">
        <f>Capex!AP40/AP216</f>
        <v>35.942815704962193</v>
      </c>
      <c r="AQ210" s="72"/>
      <c r="AR210" s="72"/>
      <c r="AS210" s="72"/>
      <c r="AT210" s="72"/>
      <c r="AU210" s="443">
        <f>Capex!AU40/AU216</f>
        <v>33.847902850744987</v>
      </c>
      <c r="AV210" s="72"/>
      <c r="AW210" s="72"/>
      <c r="AX210" s="72"/>
      <c r="AY210" s="72"/>
      <c r="AZ210" s="443">
        <f>Capex!AZ40/AZ216</f>
        <v>35.860419397116644</v>
      </c>
      <c r="BA210" s="72"/>
      <c r="BB210" s="72"/>
      <c r="BC210" s="72"/>
      <c r="BD210" s="72"/>
      <c r="BE210" s="443">
        <f>Capex!BE40/BE216</f>
        <v>27.029711198836488</v>
      </c>
      <c r="BF210" s="72"/>
      <c r="BG210" s="72"/>
      <c r="BH210" s="72"/>
      <c r="BI210" s="72"/>
      <c r="BJ210" s="443">
        <f>Capex!BJ40/BJ216</f>
        <v>17.354220360824741</v>
      </c>
      <c r="BK210" s="72"/>
      <c r="BL210" s="72"/>
      <c r="BM210" s="72"/>
      <c r="BN210" s="72"/>
      <c r="BO210" s="443">
        <f>Capex!BO40/BO216</f>
        <v>9.8193820046856199</v>
      </c>
      <c r="BP210" s="72"/>
      <c r="BQ210" s="72"/>
      <c r="BR210" s="72"/>
      <c r="BS210" s="72"/>
      <c r="BT210" s="72"/>
      <c r="BU210" s="72"/>
      <c r="BV210" s="72"/>
      <c r="BW210" s="72"/>
      <c r="BX210" s="72"/>
      <c r="BY210" s="72"/>
      <c r="BZ210" s="72"/>
      <c r="CA210" s="72"/>
      <c r="CB210" s="72"/>
      <c r="CC210" s="72"/>
      <c r="CD210" s="72"/>
    </row>
    <row r="211" spans="1:82">
      <c r="A211" s="11"/>
      <c r="B211" t="s">
        <v>764</v>
      </c>
      <c r="C211" s="443"/>
      <c r="D211" s="443">
        <f>Capex!D40/D217</f>
        <v>5.7544360819645117</v>
      </c>
      <c r="E211" s="443">
        <f>Capex!E40/E217</f>
        <v>8.3126568798965543</v>
      </c>
      <c r="F211" s="443">
        <f>Capex!F40/F217</f>
        <v>8.4116661346951798</v>
      </c>
      <c r="G211" s="443">
        <f>Capex!G40/G217</f>
        <v>8.234236899522946</v>
      </c>
      <c r="H211" s="72"/>
      <c r="I211" s="72"/>
      <c r="J211" s="72"/>
      <c r="K211" s="72"/>
      <c r="L211" s="443">
        <f>Capex!L40/L217</f>
        <v>10.094810455518189</v>
      </c>
      <c r="M211" s="72"/>
      <c r="N211" s="72"/>
      <c r="O211" s="72"/>
      <c r="P211" s="72"/>
      <c r="Q211" s="443">
        <f>Capex!Q40/Q217</f>
        <v>9.7476329206117995</v>
      </c>
      <c r="R211" s="72"/>
      <c r="S211" s="72"/>
      <c r="T211" s="72"/>
      <c r="U211" s="72"/>
      <c r="V211" s="443">
        <f>Capex!V40/V217</f>
        <v>11.485022886375873</v>
      </c>
      <c r="W211" s="72"/>
      <c r="X211" s="72"/>
      <c r="Y211" s="72"/>
      <c r="Z211" s="72"/>
      <c r="AA211" s="443">
        <f>Capex!AA40/AA217</f>
        <v>6.7694449434165618</v>
      </c>
      <c r="AB211" s="72"/>
      <c r="AC211" s="72"/>
      <c r="AD211" s="72"/>
      <c r="AE211" s="72"/>
      <c r="AF211" s="443">
        <f>Capex!AF40/AF217</f>
        <v>8.6541130748588877</v>
      </c>
      <c r="AG211" s="72"/>
      <c r="AH211" s="72"/>
      <c r="AI211" s="72"/>
      <c r="AJ211" s="72"/>
      <c r="AK211" s="443">
        <f>Capex!AK40/AK217</f>
        <v>15.498794296498218</v>
      </c>
      <c r="AL211" s="72"/>
      <c r="AM211" s="72"/>
      <c r="AN211" s="72"/>
      <c r="AO211" s="72"/>
      <c r="AP211" s="443">
        <f>Capex!AP40/AP217</f>
        <v>13.164213082410077</v>
      </c>
      <c r="AQ211" s="72"/>
      <c r="AR211" s="72"/>
      <c r="AS211" s="72"/>
      <c r="AT211" s="72"/>
      <c r="AU211" s="443">
        <f>Capex!AU40/AU217</f>
        <v>22.458883364763697</v>
      </c>
      <c r="AV211" s="72"/>
      <c r="AW211" s="72"/>
      <c r="AX211" s="72"/>
      <c r="AY211" s="72"/>
      <c r="AZ211" s="443">
        <f>Capex!AZ40/AZ217</f>
        <v>24.772747849705752</v>
      </c>
      <c r="BA211" s="72"/>
      <c r="BB211" s="72"/>
      <c r="BC211" s="72"/>
      <c r="BD211" s="72"/>
      <c r="BE211" s="443">
        <f>Capex!BE40/BE217</f>
        <v>21.010012919896642</v>
      </c>
      <c r="BF211" s="72"/>
      <c r="BG211" s="72"/>
      <c r="BH211" s="72"/>
      <c r="BI211" s="72"/>
      <c r="BJ211" s="443">
        <f>Capex!BJ40/BJ217</f>
        <v>11.178148993567129</v>
      </c>
      <c r="BK211" s="72"/>
      <c r="BL211" s="72"/>
      <c r="BM211" s="72"/>
      <c r="BN211" s="72"/>
      <c r="BO211" s="443">
        <f>Capex!BO40/BO217</f>
        <v>8.9122439010373267</v>
      </c>
      <c r="BP211" s="72"/>
      <c r="BQ211" s="72"/>
      <c r="BR211" s="72"/>
      <c r="BS211" s="72"/>
      <c r="BT211" s="72"/>
      <c r="BU211" s="72"/>
      <c r="BV211" s="72"/>
      <c r="BW211" s="72"/>
      <c r="BX211" s="72"/>
      <c r="BY211" s="72"/>
      <c r="BZ211" s="72"/>
      <c r="CA211" s="72"/>
      <c r="CB211" s="72"/>
      <c r="CC211" s="72"/>
      <c r="CD211" s="72"/>
    </row>
    <row r="212" spans="1:82">
      <c r="A212" s="11"/>
      <c r="B212" s="47" t="s">
        <v>761</v>
      </c>
      <c r="C212" s="443"/>
      <c r="D212" s="443"/>
      <c r="E212" s="443"/>
      <c r="F212" s="443">
        <f>SUM(Capex!F40,Capex!E40,Capex!D40)/(F215+E215+D215)</f>
        <v>9.6828874981037636</v>
      </c>
      <c r="G212" s="443">
        <f>SUM(Capex!G40,Capex!F40,Capex!E40)/(G215+F215+E215)</f>
        <v>11.496490867985075</v>
      </c>
      <c r="H212" s="72"/>
      <c r="I212" s="72"/>
      <c r="J212" s="72"/>
      <c r="K212" s="72"/>
      <c r="L212" s="443">
        <f>SUM(Capex!L40,Capex!G40,Capex!F40)/(L215+G215+F215)</f>
        <v>10.281499720150652</v>
      </c>
      <c r="M212" s="72"/>
      <c r="N212" s="72"/>
      <c r="O212" s="72"/>
      <c r="P212" s="72"/>
      <c r="Q212" s="443">
        <f>SUM(Capex!Q40,Capex!L40,Capex!G40)/(Q215+L215+G215)</f>
        <v>10.721798146553686</v>
      </c>
      <c r="R212" s="72"/>
      <c r="S212" s="72"/>
      <c r="T212" s="72"/>
      <c r="U212" s="72"/>
      <c r="V212" s="443">
        <f>SUM(Capex!V40,Capex!Q40,Capex!L40)/(V215+Q215+L215)</f>
        <v>11.648257408401612</v>
      </c>
      <c r="W212" s="72"/>
      <c r="X212" s="72"/>
      <c r="Y212" s="72"/>
      <c r="Z212" s="72"/>
      <c r="AA212" s="443">
        <f>SUM(Capex!AA40,Capex!V40,Capex!Q40)/(AA215+V215+Q215)</f>
        <v>9.6516244965713316</v>
      </c>
      <c r="AB212" s="72"/>
      <c r="AC212" s="72"/>
      <c r="AD212" s="72"/>
      <c r="AE212" s="72"/>
      <c r="AF212" s="443">
        <f>SUM(Capex!AF40,Capex!AA40,Capex!V40)/(AF215+AA215+V215)</f>
        <v>9.7468371736853658</v>
      </c>
      <c r="AG212" s="72"/>
      <c r="AH212" s="72"/>
      <c r="AI212" s="72"/>
      <c r="AJ212" s="72"/>
      <c r="AK212" s="443">
        <f>SUM(Capex!AK40,Capex!AF40,Capex!AA40)/(AK215+AF215+AA215)</f>
        <v>10.76116997940443</v>
      </c>
      <c r="AL212" s="72"/>
      <c r="AM212" s="72"/>
      <c r="AN212" s="72"/>
      <c r="AO212" s="72"/>
      <c r="AP212" s="443">
        <f>SUM(Capex!AP40,Capex!AK40,Capex!AF40)/(AP215+AK215+AF215)</f>
        <v>16.030438668451119</v>
      </c>
      <c r="AQ212" s="72"/>
      <c r="AR212" s="72"/>
      <c r="AS212" s="72"/>
      <c r="AT212" s="72"/>
      <c r="AU212" s="443">
        <f>SUM(Capex!AU40,Capex!AP40,Capex!AK40)/(AU215+AP215+AK215)</f>
        <v>22.105922842300302</v>
      </c>
      <c r="AV212" s="72"/>
      <c r="AW212" s="72"/>
      <c r="AX212" s="72"/>
      <c r="AY212" s="72"/>
      <c r="AZ212" s="443">
        <f>SUM(Capex!AZ40,Capex!AU40,Capex!AP40)/(AZ215+AU215+AP215)</f>
        <v>24.243293400835686</v>
      </c>
      <c r="BA212" s="72"/>
      <c r="BB212" s="72"/>
      <c r="BC212" s="72"/>
      <c r="BD212" s="72"/>
      <c r="BE212" s="443">
        <f>SUM(Capex!BE40,Capex!AZ40,Capex!AU40)/(BE215+AZ215+AU215)</f>
        <v>26.359856070153924</v>
      </c>
      <c r="BF212" s="72"/>
      <c r="BG212" s="72"/>
      <c r="BH212" s="72"/>
      <c r="BI212" s="72"/>
      <c r="BJ212" s="443">
        <f>SUM(Capex!BJ40,Capex!BE40,Capex!AZ40)/(BJ215+BE215+AZ215)</f>
        <v>20.68116610876196</v>
      </c>
      <c r="BK212" s="72"/>
      <c r="BL212" s="72"/>
      <c r="BM212" s="72"/>
      <c r="BN212" s="72"/>
      <c r="BO212" s="443">
        <f>SUM(Capex!BO40,Capex!BJ40,Capex!BE40)/(BO215+BJ215+BE215)</f>
        <v>13.886028306028306</v>
      </c>
      <c r="BP212" s="72"/>
      <c r="BQ212" s="72"/>
      <c r="BR212" s="72"/>
      <c r="BS212" s="72"/>
      <c r="BT212" s="443">
        <f>BT187</f>
        <v>16.625625000000003</v>
      </c>
      <c r="BU212" s="72"/>
      <c r="BV212" s="72"/>
      <c r="BW212" s="72"/>
      <c r="BX212" s="72"/>
      <c r="BY212" s="443">
        <f>BY187</f>
        <v>15.737500000000001</v>
      </c>
      <c r="BZ212" s="72"/>
      <c r="CA212" s="72"/>
      <c r="CB212" s="72"/>
      <c r="CC212" s="72"/>
      <c r="CD212" s="443">
        <f>CD187</f>
        <v>15.982639461338081</v>
      </c>
    </row>
    <row r="213" spans="1:82">
      <c r="C213" s="443"/>
      <c r="D213" s="443"/>
      <c r="E213" s="443"/>
      <c r="F213" s="443"/>
      <c r="G213" s="443"/>
      <c r="L213" s="443"/>
      <c r="Q213" s="443"/>
      <c r="V213" s="443"/>
      <c r="AA213" s="443"/>
      <c r="AF213" s="443"/>
      <c r="AK213" s="443"/>
      <c r="AP213" s="443"/>
      <c r="AU213" s="443"/>
      <c r="AZ213" s="443"/>
      <c r="BE213" s="443"/>
      <c r="BJ213" s="443"/>
      <c r="BO213" s="443"/>
    </row>
    <row r="214" spans="1:82">
      <c r="A214" s="289" t="s">
        <v>1904</v>
      </c>
      <c r="C214" s="443"/>
      <c r="D214" s="443"/>
      <c r="E214" s="443"/>
      <c r="F214" s="443"/>
      <c r="G214" s="443"/>
      <c r="L214" s="443"/>
      <c r="Q214" s="443"/>
      <c r="V214" s="443"/>
      <c r="AA214" s="443"/>
      <c r="AF214" s="443"/>
      <c r="AK214" s="443"/>
      <c r="AP214" s="443"/>
      <c r="AU214" s="443"/>
      <c r="AZ214" s="443"/>
      <c r="BE214" s="443"/>
      <c r="BJ214" s="443"/>
      <c r="BO214" s="443"/>
    </row>
    <row r="215" spans="1:82">
      <c r="B215" t="s">
        <v>2033</v>
      </c>
      <c r="C215" s="443"/>
      <c r="D215" s="348">
        <f>(D19-C19-D16-SUM(D14,D17)*(D19/D18))+(D73-C73-D70-SUM(D68,D71)*(D73/D72))/5.8</f>
        <v>1083.288756535308</v>
      </c>
      <c r="E215" s="348">
        <f>(E19-D19-E16-SUM(E14,E17)*(E19/E18))+(E73-D73-E70-SUM(E68,E71)*(E73/E72))/5.8</f>
        <v>405.08870044749074</v>
      </c>
      <c r="F215" s="348">
        <f>(F19-E19-F16-SUM(F14,F17)*(F19/F18))+(F73-E73-F70-SUM(F68,F71)*(F73/F72))/5.8</f>
        <v>786.87359848122583</v>
      </c>
      <c r="G215" s="348">
        <f>(G19-F19-G16-SUM(G14,G17)*(G19/G18))+(G73-F73-G70-SUM(G68,G71)*(G73/G72))/5.8</f>
        <v>763.85189326233217</v>
      </c>
      <c r="H215" s="72"/>
      <c r="I215" s="72"/>
      <c r="J215" s="72"/>
      <c r="K215" s="72"/>
      <c r="L215" s="348">
        <f>(L19-G19-L16-SUM(L14,L17)*(L19/L18))+(L73-G73-L70-SUM(L68,L71)*(L73/L72))/5.8</f>
        <v>789.10825379949983</v>
      </c>
      <c r="M215" s="72"/>
      <c r="N215" s="72"/>
      <c r="O215" s="72"/>
      <c r="P215" s="72"/>
      <c r="Q215" s="348">
        <f>(Q19-L19-Q16-SUM(Q14,Q17)*(Q19/Q18))+(Q73-L73-Q70-SUM(Q68,Q71)*(Q73/Q72))/5.8</f>
        <v>959.67809064453104</v>
      </c>
      <c r="R215" s="72"/>
      <c r="S215" s="72"/>
      <c r="T215" s="72"/>
      <c r="U215" s="72"/>
      <c r="V215" s="348">
        <f>(V19-Q19-V16-SUM(V14,V17)*(V19/V18))+(V73-Q73-V70-SUM(V68,V71)*(V73/V72))/5.8</f>
        <v>915.04558440907977</v>
      </c>
      <c r="W215" s="72"/>
      <c r="X215" s="72"/>
      <c r="Y215" s="72"/>
      <c r="Z215" s="72"/>
      <c r="AA215" s="348">
        <f>(AA19-V19-AA16-SUM(AA14,AA17)*(AA19/AA18))+(AA73-V73-AA70-SUM(AA68,AA71)*(AA73/AA72))/5.8</f>
        <v>1473.5209661961619</v>
      </c>
      <c r="AB215" s="72"/>
      <c r="AC215" s="72"/>
      <c r="AD215" s="72"/>
      <c r="AE215" s="72"/>
      <c r="AF215" s="348">
        <f>(AF19-AA19-AF16-SUM(AF14,AF17)*(AF19/AF18))+(AF73-AA73-AF70-SUM(AF68,AF71)*(AF73/AF72))/5.8</f>
        <v>877.92897329215498</v>
      </c>
      <c r="AG215" s="72"/>
      <c r="AH215" s="72"/>
      <c r="AI215" s="72"/>
      <c r="AJ215" s="72"/>
      <c r="AK215" s="348">
        <f>(AK19-AF19-AK16-SUM(AK14,AK17)*(AK19/AK18))+(AK73-AF73-AK70-SUM(AK68,AK71)*(AK73/AK72))/5.8</f>
        <v>461.06952242200003</v>
      </c>
      <c r="AL215" s="72"/>
      <c r="AM215" s="72"/>
      <c r="AN215" s="72"/>
      <c r="AO215" s="72"/>
      <c r="AP215" s="348">
        <f>(AP19-AK19-AP16-SUM(AP14,AP17)*(AP19/AP18))+(AP73-AK73-AP70-SUM(AP68,AP71)*(AP73/AP72))/5.8</f>
        <v>646.84859546066446</v>
      </c>
      <c r="AQ215" s="72"/>
      <c r="AR215" s="72"/>
      <c r="AS215" s="72"/>
      <c r="AT215" s="72"/>
      <c r="AU215" s="348">
        <f>(AU19-AP19-AU16-SUM(AU14,AU17)*(AU19/AU18))+(AU73-AP73-AU70-SUM(AU68,AU71)*(AU73/AU72))/5.8</f>
        <v>507.53129152475464</v>
      </c>
      <c r="AV215" s="72"/>
      <c r="AW215" s="72"/>
      <c r="AX215" s="72"/>
      <c r="AY215" s="72"/>
      <c r="AZ215" s="348">
        <f>(AZ19-AU19-AZ16-SUM(AZ14,AZ17)*(AZ19/AZ18))+(AZ73-AU73-AZ70-SUM(AZ68,AZ71)*(AZ73/AZ72))/5.8</f>
        <v>520.80505296997785</v>
      </c>
      <c r="BA215" s="72"/>
      <c r="BB215" s="72"/>
      <c r="BC215" s="72"/>
      <c r="BD215" s="72"/>
      <c r="BE215" s="348">
        <f>(BE19-AZ19-BE16-SUM(BE14,BE17)*(BE19/BE18))+(BE73-AZ73-BE70-SUM(BE68,BE71)*(BE73/BE72))/5.8</f>
        <v>569.01683861595711</v>
      </c>
      <c r="BF215" s="72"/>
      <c r="BG215" s="72"/>
      <c r="BH215" s="72"/>
      <c r="BI215" s="72"/>
      <c r="BJ215" s="348">
        <f>(BJ19-BE19-BJ16-SUM(BJ14,BJ17)*(BJ19/BJ18))+(BJ73-BE73-BJ70-SUM(BJ68,BJ71)*(BJ73/BJ72))/5.8</f>
        <v>829.75071816070681</v>
      </c>
      <c r="BK215" s="72"/>
      <c r="BL215" s="72"/>
      <c r="BM215" s="72"/>
      <c r="BN215" s="72"/>
      <c r="BO215" s="348">
        <f>(BO19-BJ19-BO16-SUM(BO14,BO17)*(BO19/BO18))+(BO73-BJ73-BO70-SUM(BO68,BO71)*(BO73/BO72))/5.8</f>
        <v>1143.2119943291173</v>
      </c>
      <c r="BP215" s="72"/>
      <c r="BQ215" s="72"/>
      <c r="BR215" s="72"/>
      <c r="BS215" s="72"/>
      <c r="BT215" s="72"/>
      <c r="BU215" s="72"/>
      <c r="BV215" s="72"/>
      <c r="BW215" s="72"/>
      <c r="BX215" s="72"/>
      <c r="BY215" s="72"/>
      <c r="BZ215" s="72"/>
      <c r="CA215" s="72"/>
      <c r="CB215" s="72"/>
      <c r="CC215" s="72"/>
      <c r="CD215" s="72"/>
    </row>
    <row r="216" spans="1:82">
      <c r="B216" t="s">
        <v>759</v>
      </c>
      <c r="C216" s="443"/>
      <c r="D216">
        <f>(D19-C19-D16-D14)+(D73-C73-D70-D68)/5.8</f>
        <v>934.17241379310349</v>
      </c>
      <c r="E216">
        <f>(E19-D19-E16-E14)+(E73-D73-E70-E68)/5.8</f>
        <v>-77.586206896551715</v>
      </c>
      <c r="F216">
        <f>(F19-E19-F16-F14)+(F73-E73-F70-F68)/5.8</f>
        <v>719.37931034482767</v>
      </c>
      <c r="G216">
        <f>(G19-F19-G16-G14)+(G73-F73-G70-G68)/5.8</f>
        <v>617.86206896551721</v>
      </c>
      <c r="H216" s="72"/>
      <c r="I216" s="72"/>
      <c r="J216" s="72"/>
      <c r="K216" s="72"/>
      <c r="L216">
        <f>(L19-G19-L16-L14)+(L73-G73-L70-L68)/5.8</f>
        <v>675.13793103448279</v>
      </c>
      <c r="M216" s="72"/>
      <c r="N216" s="72"/>
      <c r="O216" s="72"/>
      <c r="P216" s="72"/>
      <c r="Q216">
        <f>(Q19-L19-Q16-Q14)+(Q73-L73-Q70-Q68)/5.8</f>
        <v>873.37931034482756</v>
      </c>
      <c r="R216" s="72"/>
      <c r="S216" s="72"/>
      <c r="T216" s="72"/>
      <c r="U216" s="72"/>
      <c r="V216">
        <f>(V19-Q19-V16-V14)+(V73-Q73-V70-V68)/5.8</f>
        <v>793.48275862068965</v>
      </c>
      <c r="W216" s="72"/>
      <c r="X216" s="72"/>
      <c r="Y216" s="72"/>
      <c r="Z216" s="72"/>
      <c r="AA216">
        <f>(AA19-V19-AA16-AA14)+(AA73-V73-AA70-AA68)/5.8</f>
        <v>1407.4827586206898</v>
      </c>
      <c r="AB216" s="72"/>
      <c r="AC216" s="72"/>
      <c r="AD216" s="72"/>
      <c r="AE216" s="72"/>
      <c r="AF216">
        <f>(AF19-AA19-AF16-AF14)+(AF73-AA73-AF70-AF68)/5.8</f>
        <v>611.75862068965512</v>
      </c>
      <c r="AG216" s="72"/>
      <c r="AH216" s="72"/>
      <c r="AI216" s="72"/>
      <c r="AJ216" s="72"/>
      <c r="AK216">
        <f>(AK19-AF19-AK16-AK14)+(AK73-AF73-AK70-AK68)/5.8</f>
        <v>253.17241379310346</v>
      </c>
      <c r="AL216" s="72"/>
      <c r="AM216" s="72"/>
      <c r="AN216" s="72"/>
      <c r="AO216" s="72"/>
      <c r="AP216">
        <f>(AP19-AK19-AP16-AP14)+(AP73-AK73-AP70-AP68)/5.8</f>
        <v>332.86206896551721</v>
      </c>
      <c r="AQ216" s="72"/>
      <c r="AR216" s="72"/>
      <c r="AS216" s="72"/>
      <c r="AT216" s="72"/>
      <c r="AU216">
        <f>(AU19-AP19-AU16-AU14)+(AU73-AP73-AU70-AU68)/5.8</f>
        <v>400.37931034482756</v>
      </c>
      <c r="AV216" s="72"/>
      <c r="AW216" s="72"/>
      <c r="AX216" s="72"/>
      <c r="AY216" s="72"/>
      <c r="AZ216">
        <f>(AZ19-AU19-AZ16-AZ14)+(AZ73-AU73-AZ70-AZ68)/5.8</f>
        <v>420.9655172413793</v>
      </c>
      <c r="BA216" s="72"/>
      <c r="BB216" s="72"/>
      <c r="BC216" s="72"/>
      <c r="BD216" s="72"/>
      <c r="BE216">
        <f>(BE19-AZ19-BE16-BE14)+(BE73-AZ73-BE70-BE68)/5.8</f>
        <v>497.89655172413791</v>
      </c>
      <c r="BF216" s="72"/>
      <c r="BG216" s="72"/>
      <c r="BH216" s="72"/>
      <c r="BI216" s="72"/>
      <c r="BJ216">
        <f>(BJ19-BE19-BJ16-BJ14)+(BJ73-BE73-BJ70-BJ68)/5.8</f>
        <v>642.20689655172418</v>
      </c>
      <c r="BK216" s="72"/>
      <c r="BL216" s="72"/>
      <c r="BM216" s="72"/>
      <c r="BN216" s="72"/>
      <c r="BO216">
        <f>(BO19-BJ19-BO16-BO14)+(BO73-BJ73-BO70-BO68)/5.8</f>
        <v>1089.1724137931035</v>
      </c>
      <c r="BP216" s="72"/>
      <c r="BQ216" s="72"/>
      <c r="BR216" s="72"/>
      <c r="BS216" s="72"/>
      <c r="BT216" s="72"/>
      <c r="BU216" s="72"/>
      <c r="BV216" s="72"/>
      <c r="BW216" s="72"/>
      <c r="BX216" s="72"/>
      <c r="BY216" s="72"/>
      <c r="BZ216" s="72"/>
      <c r="CA216" s="72"/>
      <c r="CB216" s="72"/>
      <c r="CC216" s="72"/>
      <c r="CD216" s="72"/>
    </row>
    <row r="217" spans="1:82">
      <c r="B217" t="s">
        <v>760</v>
      </c>
      <c r="C217" s="443"/>
      <c r="D217">
        <f>(D19-C19-D16-D17)+(D73-C73-D70-D71)/5.8</f>
        <v>1255.3793103448274</v>
      </c>
      <c r="E217">
        <f>(E19-D19-E16-E17)+(E73-D73-E70-E71)/5.8</f>
        <v>906.68965517241384</v>
      </c>
      <c r="F217">
        <f>(F19-E19-F16-F17)+(F73-E73-F70-F71)/5.8</f>
        <v>864.27586206896558</v>
      </c>
      <c r="G217">
        <f>(G19-F19-G16-G17)+(G73-F73-G70-G71)/5.8</f>
        <v>932.44827586206895</v>
      </c>
      <c r="H217" s="72"/>
      <c r="I217" s="72"/>
      <c r="J217" s="72"/>
      <c r="K217" s="72"/>
      <c r="L217">
        <f>(L19-G19-L16-L17)+(L73-G73-L70-L71)/5.8</f>
        <v>902.34482758620697</v>
      </c>
      <c r="M217" s="72"/>
      <c r="N217" s="72"/>
      <c r="O217" s="72"/>
      <c r="P217" s="72"/>
      <c r="Q217">
        <f>(Q19-L19-Q16-Q17)+(Q73-L73-Q70-Q71)/5.8</f>
        <v>1041.5862068965516</v>
      </c>
      <c r="R217" s="72"/>
      <c r="S217" s="72"/>
      <c r="T217" s="72"/>
      <c r="U217" s="72"/>
      <c r="V217">
        <f>(V19-Q19-V16-V17)+(V73-Q73-V70-V71)/5.8</f>
        <v>1024.5517241379312</v>
      </c>
      <c r="W217" s="72"/>
      <c r="X217" s="72"/>
      <c r="Y217" s="72"/>
      <c r="Z217" s="72"/>
      <c r="AA217">
        <f>(AA19-V19-AA16-AA17)+(AA73-V73-AA70-AA71)/5.8</f>
        <v>1535.7241379310344</v>
      </c>
      <c r="AB217" s="72"/>
      <c r="AC217" s="72"/>
      <c r="AD217" s="72"/>
      <c r="AE217" s="72"/>
      <c r="AF217">
        <f>(AF19-AA19-AF16-AF17)+(AF73-AA73-AF70-AF71)/5.8</f>
        <v>1117.9655172413793</v>
      </c>
      <c r="AG217" s="72"/>
      <c r="AH217" s="72"/>
      <c r="AI217" s="72"/>
      <c r="AJ217" s="72"/>
      <c r="AK217">
        <f>(AK19-AF19-AK16-AK17)+(AK73-AF73-AK70-AK71)/5.8</f>
        <v>657.79310344827582</v>
      </c>
      <c r="AL217" s="72"/>
      <c r="AM217" s="72"/>
      <c r="AN217" s="72"/>
      <c r="AO217" s="72"/>
      <c r="AP217">
        <f>(AP19-AK19-AP16-AP17)+(AP73-AK73-AP70-AP71)/5.8</f>
        <v>908.82758620689651</v>
      </c>
      <c r="AQ217" s="72"/>
      <c r="AR217" s="72"/>
      <c r="AS217" s="72"/>
      <c r="AT217" s="72"/>
      <c r="AU217">
        <f>(AU19-AP19-AU16-AU17)+(AU73-AP73-AU70-AU71)/5.8</f>
        <v>603.41379310344837</v>
      </c>
      <c r="AV217" s="72"/>
      <c r="AW217" s="72"/>
      <c r="AX217" s="72"/>
      <c r="AY217" s="72"/>
      <c r="AZ217">
        <f>(AZ19-AU19-AZ16-AZ17)+(AZ73-AU73-AZ70-AZ71)/5.8</f>
        <v>609.37931034482756</v>
      </c>
      <c r="BA217" s="72"/>
      <c r="BB217" s="72"/>
      <c r="BC217" s="72"/>
      <c r="BD217" s="72"/>
      <c r="BE217">
        <f>(BE19-AZ19-BE16-BE17)+(BE73-AZ73-BE70-BE71)/5.8</f>
        <v>640.55172413793105</v>
      </c>
      <c r="BF217" s="72"/>
      <c r="BG217" s="72"/>
      <c r="BH217" s="72"/>
      <c r="BI217" s="72"/>
      <c r="BJ217">
        <f>(BJ19-BE19-BJ16-BJ17)+(BJ73-BE73-BJ70-BJ71)/5.8</f>
        <v>997.0344827586207</v>
      </c>
      <c r="BK217" s="72"/>
      <c r="BL217" s="72"/>
      <c r="BM217" s="72"/>
      <c r="BN217" s="72"/>
      <c r="BO217">
        <f>(BO19-BJ19-BO16-BO17)+(BO73-BJ73-BO70-BO71)/5.8</f>
        <v>1200.0344827586207</v>
      </c>
      <c r="BP217" s="72"/>
      <c r="BQ217" s="72"/>
      <c r="BR217" s="72"/>
      <c r="BS217" s="72"/>
      <c r="BT217" s="72"/>
      <c r="BU217" s="72"/>
      <c r="BV217" s="72"/>
      <c r="BW217" s="72"/>
      <c r="BX217" s="72"/>
      <c r="BY217" s="72"/>
      <c r="BZ217" s="72"/>
      <c r="CA217" s="72"/>
      <c r="CB217" s="72"/>
      <c r="CC217" s="72"/>
      <c r="CD217" s="72"/>
    </row>
    <row r="218" spans="1:82">
      <c r="C218" s="443"/>
      <c r="D218" s="348"/>
      <c r="E218" s="348"/>
      <c r="F218" s="348"/>
      <c r="G218" s="348"/>
      <c r="H218" s="72"/>
      <c r="I218" s="72"/>
      <c r="J218" s="72"/>
      <c r="K218" s="72"/>
      <c r="L218" s="348"/>
      <c r="M218" s="72"/>
      <c r="N218" s="72"/>
      <c r="O218" s="72"/>
      <c r="P218" s="72"/>
      <c r="Q218" s="348"/>
      <c r="R218" s="72"/>
      <c r="S218" s="72"/>
      <c r="T218" s="72"/>
      <c r="U218" s="72"/>
      <c r="V218" s="348"/>
      <c r="W218" s="72"/>
      <c r="X218" s="72"/>
      <c r="Y218" s="72"/>
      <c r="Z218" s="72"/>
      <c r="AA218" s="348"/>
      <c r="AB218" s="72"/>
      <c r="AC218" s="72"/>
      <c r="AD218" s="72"/>
      <c r="AE218" s="72"/>
      <c r="AF218" s="348"/>
      <c r="AG218" s="72"/>
      <c r="AH218" s="72"/>
      <c r="AI218" s="72"/>
      <c r="AJ218" s="72"/>
      <c r="AK218" s="348"/>
      <c r="AL218" s="72"/>
      <c r="AM218" s="72"/>
      <c r="AN218" s="72"/>
      <c r="AO218" s="72"/>
      <c r="AP218" s="348"/>
      <c r="AQ218" s="72"/>
      <c r="AR218" s="72"/>
      <c r="AS218" s="72"/>
      <c r="AT218" s="72"/>
      <c r="AU218" s="348"/>
      <c r="AV218" s="72"/>
      <c r="AW218" s="72"/>
      <c r="AX218" s="72"/>
      <c r="AY218" s="72"/>
      <c r="AZ218" s="348"/>
      <c r="BA218" s="72"/>
      <c r="BB218" s="72"/>
      <c r="BC218" s="72"/>
      <c r="BD218" s="72"/>
      <c r="BE218" s="348"/>
      <c r="BF218" s="72"/>
      <c r="BG218" s="72"/>
      <c r="BH218" s="72"/>
      <c r="BI218" s="72"/>
      <c r="BJ218" s="348"/>
      <c r="BK218" s="72"/>
      <c r="BL218" s="72"/>
      <c r="BM218" s="72"/>
      <c r="BN218" s="72"/>
      <c r="BO218" s="348"/>
      <c r="BP218" s="72"/>
      <c r="BQ218" s="72"/>
      <c r="BR218" s="72"/>
      <c r="BS218" s="72"/>
      <c r="BT218" s="72"/>
      <c r="BU218" s="72"/>
      <c r="BV218" s="72"/>
      <c r="BW218" s="72"/>
      <c r="BX218" s="72"/>
      <c r="BY218" s="72"/>
      <c r="BZ218" s="72"/>
      <c r="CA218" s="72"/>
      <c r="CB218" s="72"/>
      <c r="CC218" s="72"/>
      <c r="CD218" s="72"/>
    </row>
    <row r="219" spans="1:82">
      <c r="A219" t="s">
        <v>1756</v>
      </c>
      <c r="D219" s="443">
        <f>-(D18+D72/5.8)/(D16+D70/5.8)</f>
        <v>13.579567192730751</v>
      </c>
      <c r="E219" s="443">
        <f>-(E18+E72/5.8)/(E16+E70/5.8)</f>
        <v>13.81857170087045</v>
      </c>
      <c r="F219" s="443">
        <f>-(F18+F72/5.8)/(F16+F70/5.8)</f>
        <v>14.245004198152813</v>
      </c>
      <c r="G219" s="443">
        <f>-(G18+G72/5.8)/(G16+G70/5.8)</f>
        <v>14.084643624021611</v>
      </c>
      <c r="H219" s="72"/>
      <c r="I219" s="72"/>
      <c r="J219" s="72"/>
      <c r="K219" s="72"/>
      <c r="L219" s="443">
        <f>-(L18+L72/5.8)/(L16+L70/5.8)</f>
        <v>13.665676236843987</v>
      </c>
      <c r="M219" s="72"/>
      <c r="N219" s="72"/>
      <c r="O219" s="72"/>
      <c r="P219" s="72"/>
      <c r="Q219" s="443">
        <f>-(Q18+Q72/5.8)/(Q16+Q70/5.8)</f>
        <v>13.430422141253542</v>
      </c>
      <c r="R219" s="72"/>
      <c r="S219" s="72"/>
      <c r="T219" s="72"/>
      <c r="U219" s="72"/>
      <c r="V219" s="443">
        <f>-(V18+V72/5.8)/(V16+V70/5.8)</f>
        <v>13.408538829591462</v>
      </c>
      <c r="W219" s="72"/>
      <c r="X219" s="72"/>
      <c r="Y219" s="72"/>
      <c r="Z219" s="72"/>
      <c r="AA219" s="443">
        <f>-(AA18+AA72/5.8)/(AA16+AA70/5.8)</f>
        <v>12.680917405764966</v>
      </c>
      <c r="AB219" s="72"/>
      <c r="AC219" s="72"/>
      <c r="AD219" s="72"/>
      <c r="AE219" s="72"/>
      <c r="AF219" s="443">
        <f>-(AF18+AF72/5.8)/(AF16+AF70/5.8)</f>
        <v>13.01776555415149</v>
      </c>
      <c r="AG219" s="72"/>
      <c r="AH219" s="72"/>
      <c r="AI219" s="72"/>
      <c r="AJ219" s="72"/>
      <c r="AK219" s="443">
        <f>-(AK18+AK72/5.8)/(AK16+AK70/5.8)</f>
        <v>14.619104345907786</v>
      </c>
      <c r="AL219" s="72"/>
      <c r="AM219" s="72"/>
      <c r="AN219" s="72"/>
      <c r="AO219" s="72"/>
      <c r="AP219" s="443">
        <f>-(AP18+AP72/5.8)/(AP16+AP70/5.8)</f>
        <v>13.831815421979355</v>
      </c>
      <c r="AQ219" s="72"/>
      <c r="AR219" s="72"/>
      <c r="AS219" s="72"/>
      <c r="AT219" s="72"/>
      <c r="AU219" s="443">
        <f>-(AU18+AU72/5.8)/(AU16+AU70/5.8)</f>
        <v>14.133578906552929</v>
      </c>
      <c r="AV219" s="72"/>
      <c r="AW219" s="72"/>
      <c r="AX219" s="72"/>
      <c r="AY219" s="72"/>
      <c r="AZ219" s="443">
        <f>-(AZ18+AZ72/5.8)/(AZ16+AZ70/5.8)</f>
        <v>13.295176663136612</v>
      </c>
      <c r="BA219" s="72"/>
      <c r="BB219" s="72"/>
      <c r="BC219" s="72"/>
      <c r="BD219" s="72"/>
      <c r="BE219" s="443">
        <f>-(BE18+BE72/5.8)/(BE16+BE70/5.8)</f>
        <v>12.20889070889071</v>
      </c>
      <c r="BF219" s="72"/>
      <c r="BG219" s="72"/>
      <c r="BH219" s="72"/>
      <c r="BI219" s="72"/>
      <c r="BJ219" s="443">
        <f>-(BJ18+BJ72/5.8)/(BJ16+BJ70/5.8)</f>
        <v>12.432816901408449</v>
      </c>
      <c r="BK219" s="72"/>
      <c r="BL219" s="72"/>
      <c r="BM219" s="72"/>
      <c r="BN219" s="72"/>
      <c r="BO219" s="443">
        <f>-(BO18+BO72/5.8)/(BO16+BO70/5.8)</f>
        <v>11.68610969604347</v>
      </c>
      <c r="BP219" s="72"/>
      <c r="BQ219" s="72"/>
      <c r="BR219" s="72"/>
      <c r="BS219" s="72"/>
      <c r="BT219" s="72"/>
      <c r="BU219" s="72"/>
      <c r="BV219" s="72"/>
      <c r="BW219" s="72"/>
      <c r="BX219" s="72"/>
      <c r="BY219" s="72"/>
      <c r="BZ219" s="72"/>
      <c r="CA219" s="72"/>
      <c r="CB219" s="72"/>
      <c r="CC219" s="72"/>
      <c r="CD219" s="72"/>
    </row>
    <row r="220" spans="1:82">
      <c r="A220" t="s">
        <v>1146</v>
      </c>
      <c r="D220" s="443">
        <f>-(D19+D73/5.8)/(D16+D70/5.8)</f>
        <v>7.3104973696795792</v>
      </c>
      <c r="E220" s="443">
        <f>-(E19+E73/5.8)/(E16+E70/5.8)</f>
        <v>6.7507465531482316</v>
      </c>
      <c r="F220" s="443">
        <f>-(F19+F73/5.8)/(F16+F70/5.8)</f>
        <v>6.8383543240973976</v>
      </c>
      <c r="G220" s="443">
        <f>-(G19+G73/5.8)/(G16+G70/5.8)</f>
        <v>6.6860843665581493</v>
      </c>
      <c r="H220" s="72"/>
      <c r="I220" s="72"/>
      <c r="J220" s="72"/>
      <c r="K220" s="72"/>
      <c r="L220" s="443">
        <f>-(L19+L73/5.8)/(L16+L70/5.8)</f>
        <v>6.6119782344096798</v>
      </c>
      <c r="M220" s="72"/>
      <c r="N220" s="72"/>
      <c r="O220" s="72"/>
      <c r="P220" s="72"/>
      <c r="Q220" s="443">
        <f>-(Q19+Q73/5.8)/(Q16+Q70/5.8)</f>
        <v>6.7893342166280224</v>
      </c>
      <c r="R220" s="72"/>
      <c r="S220" s="72"/>
      <c r="T220" s="72"/>
      <c r="U220" s="72"/>
      <c r="V220" s="443">
        <f>-(V19+V73/5.8)/(V16+V70/5.8)</f>
        <v>6.6701877070298128</v>
      </c>
      <c r="W220" s="72"/>
      <c r="X220" s="72"/>
      <c r="Y220" s="72"/>
      <c r="Z220" s="72"/>
      <c r="AA220" s="443">
        <f>-(AA19+AA73/5.8)/(AA16+AA70/5.8)</f>
        <v>6.7277577605321506</v>
      </c>
      <c r="AB220" s="72"/>
      <c r="AC220" s="72"/>
      <c r="AD220" s="72"/>
      <c r="AE220" s="72"/>
      <c r="AF220" s="443">
        <f>-(AF19+AF73/5.8)/(AF16+AF70/5.8)</f>
        <v>6.9868430833271384</v>
      </c>
      <c r="AG220" s="72"/>
      <c r="AH220" s="72"/>
      <c r="AI220" s="72"/>
      <c r="AJ220" s="72"/>
      <c r="AK220" s="443">
        <f>-(AK19+AK73/5.8)/(AK16+AK70/5.8)</f>
        <v>7.7372159717626303</v>
      </c>
      <c r="AL220" s="72"/>
      <c r="AM220" s="72"/>
      <c r="AN220" s="72"/>
      <c r="AO220" s="72"/>
      <c r="AP220" s="443">
        <f>-(AP19+AP73/5.8)/(AP16+AP70/5.8)</f>
        <v>7.7329877165942724</v>
      </c>
      <c r="AQ220" s="72"/>
      <c r="AR220" s="72"/>
      <c r="AS220" s="72"/>
      <c r="AT220" s="72"/>
      <c r="AU220" s="443">
        <f>-(AU19+AU73/5.8)/(AU16+AU70/5.8)</f>
        <v>7.5899088794106246</v>
      </c>
      <c r="AV220" s="72"/>
      <c r="AW220" s="72"/>
      <c r="AX220" s="72"/>
      <c r="AY220" s="72"/>
      <c r="AZ220" s="443">
        <f>-(AZ19+AZ73/5.8)/(AZ16+AZ70/5.8)</f>
        <v>7.2297583517858852</v>
      </c>
      <c r="BA220" s="72"/>
      <c r="BB220" s="72"/>
      <c r="BC220" s="72"/>
      <c r="BD220" s="72"/>
      <c r="BE220" s="443">
        <f>-(BE19+BE73/5.8)/(BE16+BE70/5.8)</f>
        <v>6.6526071526071533</v>
      </c>
      <c r="BF220" s="72"/>
      <c r="BG220" s="72"/>
      <c r="BH220" s="72"/>
      <c r="BI220" s="72"/>
      <c r="BJ220" s="443">
        <f>-(BJ19+BJ73/5.8)/(BJ16+BJ70/5.8)</f>
        <v>6.893286384976526</v>
      </c>
      <c r="BK220" s="72"/>
      <c r="BL220" s="72"/>
      <c r="BM220" s="72"/>
      <c r="BN220" s="72"/>
      <c r="BO220" s="443">
        <f>-(BO19+BO73/5.8)/(BO16+BO70/5.8)</f>
        <v>6.6973170317541166</v>
      </c>
      <c r="BP220" s="72"/>
      <c r="BQ220" s="72"/>
      <c r="BR220" s="72"/>
      <c r="BS220" s="72"/>
      <c r="BT220" s="72"/>
      <c r="BU220" s="72"/>
      <c r="BV220" s="72"/>
      <c r="BW220" s="72"/>
      <c r="BX220" s="72"/>
      <c r="BY220" s="72"/>
      <c r="BZ220" s="72"/>
      <c r="CA220" s="72"/>
      <c r="CB220" s="72"/>
      <c r="CC220" s="72"/>
      <c r="CD220" s="72"/>
    </row>
    <row r="223" spans="1:82">
      <c r="A223" s="121" t="s">
        <v>1537</v>
      </c>
      <c r="D223">
        <f>SUM(D109:D110,D112)-SUM(D79:D80,D82)/5.8-SUM(D24:D25,D27)</f>
        <v>2016.0344827586205</v>
      </c>
      <c r="E223">
        <f>SUM(E109:E110,E112)-SUM(E79:E80,E82)/5.8-SUM(E24:E25,E27)</f>
        <v>1289.2758620689656</v>
      </c>
      <c r="F223">
        <f>SUM(F109:F110,F112)-SUM(F79:F80,F82)/5.8-SUM(F24:F25,F27)</f>
        <v>796.24137931034511</v>
      </c>
      <c r="G223">
        <f>SUM(G109:G110,G112)-SUM(G79:G80,G82)/5.8-SUM(G24:G25,G27)</f>
        <v>680.55172413793116</v>
      </c>
      <c r="L223">
        <f>SUM(L109:L110,L112)-SUM(L79:L80,L82)/5.8-SUM(L24:L25,L27)</f>
        <v>330.3448275862072</v>
      </c>
      <c r="Q223">
        <f>SUM(Q109:Q110,Q112)-SUM(Q79:Q80,Q82)/5.8-SUM(Q24:Q25,Q27)</f>
        <v>413.65517241379303</v>
      </c>
      <c r="V223">
        <f>SUM(V109:V110,V112)-SUM(V79:V80,V82)/5.8-SUM(V24:V25,V27)</f>
        <v>1083.8965517241379</v>
      </c>
      <c r="AA223">
        <f>SUM(AA109:AA110,AA112)-SUM(AA79:AA80,AA82)/5.8-SUM(AA24:AA25,AA27)</f>
        <v>1113.0689655172414</v>
      </c>
      <c r="AF223">
        <f>SUM(AF109:AF110,AF112)-SUM(AF79:AF80,AF82)/5.8-SUM(AF24:AF25,AF27)</f>
        <v>865.00000000000023</v>
      </c>
      <c r="AK223">
        <f>SUM(AK109:AK110,AK112)-SUM(AK79:AK80,AK82)/5.8-SUM(AK24:AK25,AK27)</f>
        <v>346.82758620689674</v>
      </c>
      <c r="AP223">
        <f>SUM(AP109:AP110,AP112)-SUM(AP79:AP80,AP82)/5.8-SUM(AP24:AP25,AP27)</f>
        <v>-17.655172413793025</v>
      </c>
      <c r="AU223">
        <f>SUM(AU109:AU110,AU112)-SUM(AU79:AU80,AU82)/5.8-SUM(AU24:AU25,AU27)</f>
        <v>747.51724137931046</v>
      </c>
      <c r="AZ223">
        <f>SUM(AZ109:AZ110,AZ112)-SUM(AZ79:AZ80,AZ82)/5.8-SUM(AZ24:AZ25,AZ27)</f>
        <v>208.27586206896547</v>
      </c>
      <c r="BA223" s="72"/>
      <c r="BB223" s="72"/>
      <c r="BC223" s="72"/>
      <c r="BD223" s="72"/>
      <c r="BE223">
        <f>SUM(BE109:BE110,BE112)-SUM(BE79:BE80,BE82)/5.8-SUM(BE24:BE25,BE27)</f>
        <v>211.79310344827587</v>
      </c>
      <c r="BF223" s="72"/>
      <c r="BG223" s="72"/>
      <c r="BH223" s="72"/>
      <c r="BI223" s="72"/>
      <c r="BJ223">
        <f>SUM(BJ109:BJ110,BJ112)-SUM(BJ79:BJ80,BJ82)/5.8-SUM(BJ24:BJ25,BJ27)</f>
        <v>741.48275862068954</v>
      </c>
      <c r="BK223" s="72"/>
      <c r="BL223" s="72"/>
      <c r="BM223" s="72"/>
      <c r="BN223" s="72"/>
      <c r="BO223">
        <f>SUM(BO109:BO110,BO112)-SUM(BO79:BO80,BO82)/5.8-SUM(BO24:BO25,BO27)</f>
        <v>1083.4482758620688</v>
      </c>
      <c r="BP223" s="72"/>
      <c r="BQ223" s="72"/>
      <c r="BR223" s="72"/>
      <c r="BS223" s="72"/>
      <c r="BT223" s="72"/>
      <c r="BU223" s="72"/>
      <c r="BV223" s="72"/>
      <c r="BW223" s="72"/>
      <c r="BX223" s="72"/>
      <c r="BY223" s="72"/>
      <c r="BZ223" s="72"/>
      <c r="CA223" s="72"/>
      <c r="CB223" s="72"/>
      <c r="CC223" s="72"/>
      <c r="CD223" s="72"/>
    </row>
    <row r="224" spans="1:82">
      <c r="A224" s="121" t="s">
        <v>758</v>
      </c>
      <c r="D224">
        <f>SUM(D109:D112,D114)-SUM(D79:D82,D84)/5.8-SUM(D24:D27,D29)</f>
        <v>2196.0689655172414</v>
      </c>
      <c r="E224">
        <f>SUM(E109:E112,E114)-SUM(E79:E82,E84)/5.8-SUM(E24:E27,E29)</f>
        <v>418.65517241379303</v>
      </c>
      <c r="F224">
        <f>SUM(F109:F112,F114)-SUM(F79:F82,F84)/5.8-SUM(F24:F27,F29)</f>
        <v>653.06896551724162</v>
      </c>
      <c r="G224">
        <f>SUM(G109:G112,G114)-SUM(G79:G82,G84)/5.8-SUM(G24:G27,G29)</f>
        <v>393.41379310344814</v>
      </c>
      <c r="L224">
        <f>SUM(L109:L112,L114)-SUM(L79:L82,L84)/5.8-SUM(L24:L27,L29)</f>
        <v>103.13793103448279</v>
      </c>
      <c r="Q224">
        <f>SUM(Q109:Q112,Q114)-SUM(Q79:Q82,Q84)/5.8-SUM(Q24:Q27,Q29)</f>
        <v>356.96551724137908</v>
      </c>
      <c r="V224">
        <f>SUM(V109:V112,V114)-SUM(V79:V82,V84)/5.8-SUM(V24:V27,V29)</f>
        <v>915.93103448275838</v>
      </c>
      <c r="AA224">
        <f>SUM(AA109:AA112,AA114)-SUM(AA79:AA82,AA84)/5.8-SUM(AA24:AA27,AA29)</f>
        <v>1054.3448275862067</v>
      </c>
      <c r="AF224">
        <f>SUM(AF109:AF112,AF114)-SUM(AF79:AF82,AF84)/5.8-SUM(AF24:AF27,AF29)</f>
        <v>563.13793103448302</v>
      </c>
      <c r="AK224">
        <f>SUM(AK109:AK112,AK114)-SUM(AK79:AK82,AK84)/5.8-SUM(AK24:AK27,AK29)</f>
        <v>128.34482758620686</v>
      </c>
      <c r="AP224">
        <f>SUM(AP109:AP112,AP114)-SUM(AP79:AP82,AP84)/5.8-SUM(AP24:AP27,AP29)</f>
        <v>-458.10344827586215</v>
      </c>
      <c r="AU224">
        <f>SUM(AU109:AU112,AU114)-SUM(AU79:AU82,AU84)/5.8-SUM(AU24:AU27,AU29)</f>
        <v>547.58620689655118</v>
      </c>
      <c r="AZ224">
        <f>SUM(AZ109:AZ112,AZ114)-SUM(AZ79:AZ82,AZ84)/5.8-SUM(AZ24:AZ27,AZ29)</f>
        <v>168.96551724137942</v>
      </c>
      <c r="BA224" s="72"/>
      <c r="BB224" s="72"/>
      <c r="BC224" s="72"/>
      <c r="BD224" s="72"/>
      <c r="BE224">
        <f>SUM(BE109:BE112,BE114)-SUM(BE79:BE82,BE84)/5.8-SUM(BE24:BE27,BE29)</f>
        <v>314.58620689655174</v>
      </c>
      <c r="BF224" s="72"/>
      <c r="BG224" s="72"/>
      <c r="BH224" s="72"/>
      <c r="BI224" s="72"/>
      <c r="BJ224">
        <f>SUM(BJ109:BJ112,BJ114)-SUM(BJ79:BJ82,BJ84)/5.8-SUM(BJ24:BJ27,BJ29)</f>
        <v>613.6896551724135</v>
      </c>
      <c r="BK224" s="72"/>
      <c r="BL224" s="72"/>
      <c r="BM224" s="72"/>
      <c r="BN224" s="72"/>
      <c r="BO224">
        <f>SUM(BO109:BO112,BO114)-SUM(BO79:BO82,BO84)/5.8-SUM(BO24:BO27,BO29)</f>
        <v>1172.9310344827586</v>
      </c>
      <c r="BP224" s="72"/>
      <c r="BQ224" s="72"/>
      <c r="BR224" s="72"/>
      <c r="BS224" s="72"/>
      <c r="BT224" s="72"/>
      <c r="BU224" s="72"/>
      <c r="BV224" s="72"/>
      <c r="BW224" s="72"/>
      <c r="BX224" s="72"/>
      <c r="BY224" s="72"/>
      <c r="BZ224" s="72"/>
      <c r="CA224" s="72"/>
      <c r="CB224" s="72"/>
      <c r="CC224" s="72"/>
      <c r="CD224" s="72"/>
    </row>
    <row r="225" spans="1:82">
      <c r="A225" s="121" t="s">
        <v>1758</v>
      </c>
      <c r="D225" s="381">
        <f>D223/(-(D113-(D83/5.8)-D28))</f>
        <v>1.7475191296030608</v>
      </c>
      <c r="E225" s="381">
        <f>E223/(-(E113-(E83/5.8)-E28))</f>
        <v>1.1877819429442784</v>
      </c>
      <c r="F225" s="381">
        <f>F223/(-(F113-(F83/5.8)-F28))</f>
        <v>0.77551637279596997</v>
      </c>
      <c r="G225" s="381">
        <f>G223/(-(G113-(G83/5.8)-G28))</f>
        <v>0.68352150723834615</v>
      </c>
      <c r="L225" s="381">
        <f>L223/(-(L113-(L83/5.8)-L28))</f>
        <v>0.34295124221378992</v>
      </c>
      <c r="Q225" s="381">
        <f>Q223/(-(Q113-(Q83/5.8)-Q28))</f>
        <v>0.44150012881380879</v>
      </c>
      <c r="V225" s="381">
        <f>V223/(-(V113-(V83/5.8)-V28))</f>
        <v>1.156900993743099</v>
      </c>
      <c r="AA225" s="381">
        <f>AA223/(-(AA113-(AA83/5.8)-AA28))</f>
        <v>1.1183134700665189</v>
      </c>
      <c r="AF225" s="381">
        <f>AF223/(-(AF113-(AF83/5.8)-AF28))</f>
        <v>0.93231992864045199</v>
      </c>
      <c r="AK225" s="381">
        <f>AK223/(-(AK113-(AK83/5.8)-AK28))</f>
        <v>0.44376792411206722</v>
      </c>
      <c r="AP225" s="381">
        <f>AP223/(-(AP113-(AP83/5.8)-AP28))</f>
        <v>-2.3912941945728731E-2</v>
      </c>
      <c r="AU225" s="381">
        <f>AU223/(-(AU113-(AU83/5.8)-AU28))</f>
        <v>1.0506979449398992</v>
      </c>
      <c r="AZ225" s="381">
        <f>AZ223/(-(AZ113-(AZ83/5.8)-AZ28))</f>
        <v>0.29074805044767488</v>
      </c>
      <c r="BA225" s="72"/>
      <c r="BB225" s="72"/>
      <c r="BC225" s="72"/>
      <c r="BD225" s="72"/>
      <c r="BE225" s="381">
        <f>BE223/(-(BE113-(BE83/5.8)-BE28))</f>
        <v>0.27946127946127947</v>
      </c>
      <c r="BF225" s="72"/>
      <c r="BG225" s="72"/>
      <c r="BH225" s="72"/>
      <c r="BI225" s="72"/>
      <c r="BJ225" s="381">
        <f>BJ223/(-(BJ113-(BJ83/5.8)-BJ28))</f>
        <v>1.0095305164319248</v>
      </c>
      <c r="BK225" s="72"/>
      <c r="BL225" s="72"/>
      <c r="BM225" s="72"/>
      <c r="BN225" s="72"/>
      <c r="BO225" s="381">
        <f>BO223/(-(BO113-(BO83/5.8)-BO28))</f>
        <v>1.3338427576838174</v>
      </c>
      <c r="BP225" s="72"/>
      <c r="BQ225" s="72"/>
      <c r="BR225" s="72"/>
      <c r="BS225" s="72"/>
      <c r="BT225" s="72"/>
      <c r="BU225" s="72"/>
      <c r="BV225" s="72"/>
      <c r="BW225" s="72"/>
      <c r="BX225" s="72"/>
      <c r="BY225" s="72"/>
      <c r="BZ225" s="72"/>
      <c r="CA225" s="72"/>
      <c r="CB225" s="72"/>
      <c r="CC225" s="72"/>
      <c r="CD225" s="72"/>
    </row>
    <row r="226" spans="1:82">
      <c r="A226" s="121" t="s">
        <v>1983</v>
      </c>
      <c r="D226" s="381">
        <f>D224/(-(D113-(D83/5.8)-D28))</f>
        <v>1.9035748445719753</v>
      </c>
      <c r="E226" s="381">
        <f>E224/(-(E113-(E83/5.8)-E28))</f>
        <v>0.38569794777304772</v>
      </c>
      <c r="F226" s="381">
        <f>F224/(-(F113-(F83/5.8)-F28))</f>
        <v>0.63607052896725458</v>
      </c>
      <c r="G226" s="381">
        <f>G224/(-(G113-(G83/5.8)-G28))</f>
        <v>0.39513056729237367</v>
      </c>
      <c r="L226" s="381">
        <f>L224/(-(L113-(L83/5.8)-L28))</f>
        <v>0.10707381685401306</v>
      </c>
      <c r="Q226" s="381">
        <f>Q224/(-(Q113-(Q83/5.8)-Q28))</f>
        <v>0.38099444260424692</v>
      </c>
      <c r="V226" s="381">
        <f>V224/(-(V113-(V83/5.8)-V28))</f>
        <v>0.97762237762237736</v>
      </c>
      <c r="AA226" s="381">
        <f>AA224/(-(AA113-(AA83/5.8)-AA28))</f>
        <v>1.0593126385809313</v>
      </c>
      <c r="AF226" s="381">
        <f>AF224/(-(AF113-(AF83/5.8)-AF28))</f>
        <v>0.60696498922173514</v>
      </c>
      <c r="AK226" s="381">
        <f>AK224/(-(AK113-(AK83/5.8)-AK28))</f>
        <v>0.16421795720273544</v>
      </c>
      <c r="AP226" s="381">
        <f>AP224/(-(AP113-(AP83/5.8)-AP28))</f>
        <v>-0.62047545654103053</v>
      </c>
      <c r="AU226" s="381">
        <f>AU224/(-(AU113-(AU83/5.8)-AU28))</f>
        <v>0.76967816983326787</v>
      </c>
      <c r="AZ226" s="381">
        <f>AZ224/(-(AZ113-(AZ83/5.8)-AZ28))</f>
        <v>0.2358717627803987</v>
      </c>
      <c r="BA226" s="72"/>
      <c r="BB226" s="72"/>
      <c r="BC226" s="72"/>
      <c r="BD226" s="72"/>
      <c r="BE226" s="381">
        <f>BE224/(-(BE113-(BE83/5.8)-BE28))</f>
        <v>0.41509691509691515</v>
      </c>
      <c r="BF226" s="72"/>
      <c r="BG226" s="72"/>
      <c r="BH226" s="72"/>
      <c r="BI226" s="72"/>
      <c r="BJ226" s="381">
        <f>BJ224/(-(BJ113-(BJ83/5.8)-BJ28))</f>
        <v>0.8355399061032861</v>
      </c>
      <c r="BK226" s="72"/>
      <c r="BL226" s="72"/>
      <c r="BM226" s="72"/>
      <c r="BN226" s="72"/>
      <c r="BO226" s="381">
        <f>BO224/(-(BO113-(BO83/5.8)-BO28))</f>
        <v>1.4440057734759724</v>
      </c>
      <c r="BP226" s="72"/>
      <c r="BQ226" s="72"/>
      <c r="BR226" s="72"/>
      <c r="BS226" s="72"/>
      <c r="BT226" s="72"/>
      <c r="BU226" s="72"/>
      <c r="BV226" s="72"/>
      <c r="BW226" s="72"/>
      <c r="BX226" s="72"/>
      <c r="BY226" s="72"/>
      <c r="BZ226" s="72"/>
      <c r="CA226" s="72"/>
      <c r="CB226" s="72"/>
      <c r="CC226" s="72"/>
      <c r="CD226" s="72"/>
    </row>
  </sheetData>
  <phoneticPr fontId="14" type="noConversion"/>
  <pageMargins left="0.75" right="0.75" top="1" bottom="1" header="0.5" footer="0.5"/>
  <pageSetup paperSize="9" scale="56" fitToHeight="0" orientation="landscape" r:id="rId1"/>
  <headerFooter alignWithMargins="0"/>
  <rowBreaks count="1" manualBreakCount="1">
    <brk id="132" max="16383" man="1"/>
  </rowBreaks>
  <ignoredErrors>
    <ignoredError sqref="AK212 AA212:AA213 C202:D204 V212:V213 Q212:Q213 L212:L213 E203:G204 C212:G213 L203:L204 AK203:AK204 AF203:AF204 AA203:AA204 V203:V204 Q203:Q204 AF212:AF213 AF207:AF209 L207:L209 Q207:Q209 V207:V209 AA207:AA209 AK207:AK209 C206:D209 E207:G209 C215" formulaRange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24"/>
    <pageSetUpPr fitToPage="1"/>
  </sheetPr>
  <dimension ref="A1:CS187"/>
  <sheetViews>
    <sheetView zoomScale="85" zoomScaleNormal="85" workbookViewId="0">
      <pane xSplit="2" ySplit="9" topLeftCell="AF10" activePane="bottomRight" state="frozen"/>
      <selection sqref="A1:IV65536"/>
      <selection pane="topRight" sqref="A1:IV65536"/>
      <selection pane="bottomLeft" sqref="A1:IV65536"/>
      <selection pane="bottomRight" sqref="A1:XFD1048576"/>
    </sheetView>
  </sheetViews>
  <sheetFormatPr defaultColWidth="9.7109375" defaultRowHeight="12.75" outlineLevelCol="1"/>
  <cols>
    <col min="1" max="1" width="3.7109375" customWidth="1"/>
    <col min="2" max="2" width="35.7109375" customWidth="1"/>
    <col min="3" max="7" width="9.7109375" customWidth="1"/>
    <col min="8" max="11" width="9.7109375" hidden="1" customWidth="1" outlineLevel="1"/>
    <col min="12" max="12" width="9.7109375" customWidth="1" collapsed="1"/>
    <col min="13" max="16" width="9.7109375" hidden="1" customWidth="1" outlineLevel="1"/>
    <col min="17" max="17" width="9.7109375" customWidth="1" collapsed="1"/>
    <col min="18" max="21" width="9.7109375" hidden="1" customWidth="1" outlineLevel="1"/>
    <col min="22" max="22" width="9.7109375" customWidth="1" collapsed="1"/>
    <col min="23" max="26" width="9.7109375" hidden="1" customWidth="1" outlineLevel="1"/>
    <col min="27" max="27" width="9.7109375" customWidth="1" collapsed="1"/>
    <col min="28" max="31" width="9.7109375" hidden="1" customWidth="1" outlineLevel="1"/>
    <col min="32" max="32" width="9.7109375" customWidth="1" collapsed="1"/>
    <col min="33" max="36" width="9.7109375" hidden="1" customWidth="1" outlineLevel="1"/>
    <col min="37" max="37" width="9.7109375" customWidth="1" collapsed="1"/>
    <col min="38" max="41" width="9.7109375" hidden="1" customWidth="1" outlineLevel="1"/>
    <col min="42" max="42" width="9.7109375" customWidth="1" collapsed="1"/>
    <col min="43" max="46" width="9.7109375" hidden="1" customWidth="1" outlineLevel="1"/>
    <col min="47" max="47" width="9.7109375" customWidth="1" collapsed="1"/>
    <col min="48" max="51" width="9.7109375" hidden="1" customWidth="1" outlineLevel="1"/>
    <col min="52" max="52" width="9.7109375" customWidth="1" collapsed="1"/>
    <col min="53" max="56" width="9.7109375" hidden="1" customWidth="1" outlineLevel="1"/>
    <col min="57" max="57" width="9.7109375" customWidth="1" collapsed="1"/>
    <col min="58" max="61" width="9.7109375" hidden="1" customWidth="1" outlineLevel="1"/>
    <col min="62" max="62" width="9.7109375" customWidth="1" collapsed="1"/>
    <col min="63" max="66" width="9.7109375" hidden="1" customWidth="1" outlineLevel="1"/>
    <col min="67" max="67" width="9.7109375" customWidth="1" collapsed="1"/>
    <col min="68" max="71" width="9.7109375" customWidth="1" outlineLevel="1"/>
    <col min="72" max="72" width="9.7109375" customWidth="1"/>
    <col min="73" max="76" width="9.7109375" hidden="1" customWidth="1" outlineLevel="1"/>
    <col min="77" max="77" width="9.7109375" customWidth="1" collapsed="1"/>
    <col min="78" max="81" width="9.7109375" hidden="1" customWidth="1" outlineLevel="1"/>
    <col min="82" max="82" width="9.7109375" customWidth="1" collapsed="1"/>
    <col min="84" max="84" width="14.5703125" bestFit="1" customWidth="1"/>
  </cols>
  <sheetData>
    <row r="1" spans="1:82" ht="12.75" customHeight="1">
      <c r="A1" s="1"/>
      <c r="B1" s="1"/>
      <c r="C1" s="1"/>
      <c r="D1" s="2"/>
      <c r="E1" s="2"/>
      <c r="F1" s="2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3"/>
      <c r="T1" s="3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 t="s">
        <v>3421</v>
      </c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</row>
    <row r="2" spans="1:82" ht="18" customHeight="1">
      <c r="A2" s="1"/>
      <c r="B2" s="20" t="s">
        <v>3369</v>
      </c>
      <c r="C2" s="1"/>
      <c r="D2" s="2"/>
      <c r="E2" s="2"/>
      <c r="F2" s="2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3"/>
      <c r="T2" s="3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 t="s">
        <v>3421</v>
      </c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</row>
    <row r="3" spans="1:82" ht="12.75" customHeight="1">
      <c r="A3" s="1"/>
      <c r="B3" s="21" t="s">
        <v>2848</v>
      </c>
      <c r="C3" s="1"/>
      <c r="D3" s="2"/>
      <c r="E3" s="2"/>
      <c r="F3" s="2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3"/>
      <c r="T3" s="3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 t="s">
        <v>3421</v>
      </c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</row>
    <row r="4" spans="1:82" ht="12.75" customHeight="1">
      <c r="A4" s="1"/>
      <c r="B4" s="1"/>
      <c r="C4" s="1"/>
      <c r="D4" s="2"/>
      <c r="E4" s="2"/>
      <c r="F4" s="2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3"/>
      <c r="T4" s="3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 t="s">
        <v>3421</v>
      </c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</row>
    <row r="5" spans="1:82" ht="12.75" customHeight="1">
      <c r="A5" s="4"/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</row>
    <row r="6" spans="1:82" ht="12.75" customHeight="1">
      <c r="A6" s="42" t="s">
        <v>303</v>
      </c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</row>
    <row r="7" spans="1:82" ht="12.75" customHeight="1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39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</row>
    <row r="8" spans="1:82" ht="12.75" customHeight="1">
      <c r="A8" s="24" t="s">
        <v>1647</v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</row>
    <row r="9" spans="1:82" ht="12.75" customHeight="1">
      <c r="A9" s="10"/>
      <c r="B9" s="10"/>
      <c r="C9" s="31">
        <v>2001</v>
      </c>
      <c r="D9" s="32">
        <v>2002</v>
      </c>
      <c r="E9" s="32">
        <v>2003</v>
      </c>
      <c r="F9" s="32">
        <v>2004</v>
      </c>
      <c r="G9" s="31">
        <v>2005</v>
      </c>
      <c r="H9" s="33" t="s">
        <v>714</v>
      </c>
      <c r="I9" s="33" t="s">
        <v>715</v>
      </c>
      <c r="J9" s="33" t="s">
        <v>716</v>
      </c>
      <c r="K9" s="33" t="s">
        <v>717</v>
      </c>
      <c r="L9" s="31">
        <v>2006</v>
      </c>
      <c r="M9" s="33" t="s">
        <v>718</v>
      </c>
      <c r="N9" s="33" t="s">
        <v>719</v>
      </c>
      <c r="O9" s="33" t="s">
        <v>1970</v>
      </c>
      <c r="P9" s="33" t="s">
        <v>1971</v>
      </c>
      <c r="Q9" s="31">
        <v>2007</v>
      </c>
      <c r="R9" s="33" t="s">
        <v>1972</v>
      </c>
      <c r="S9" s="33" t="s">
        <v>1973</v>
      </c>
      <c r="T9" s="33" t="s">
        <v>1974</v>
      </c>
      <c r="U9" s="33" t="s">
        <v>1975</v>
      </c>
      <c r="V9" s="31">
        <v>2008</v>
      </c>
      <c r="W9" s="33" t="s">
        <v>1976</v>
      </c>
      <c r="X9" s="33" t="s">
        <v>1977</v>
      </c>
      <c r="Y9" s="33" t="s">
        <v>1978</v>
      </c>
      <c r="Z9" s="33" t="s">
        <v>1979</v>
      </c>
      <c r="AA9" s="31">
        <v>2009</v>
      </c>
      <c r="AB9" s="33" t="s">
        <v>1980</v>
      </c>
      <c r="AC9" s="33" t="s">
        <v>1981</v>
      </c>
      <c r="AD9" s="33" t="s">
        <v>1982</v>
      </c>
      <c r="AE9" s="33" t="s">
        <v>2392</v>
      </c>
      <c r="AF9" s="31">
        <v>2010</v>
      </c>
      <c r="AG9" s="33" t="s">
        <v>2393</v>
      </c>
      <c r="AH9" s="33" t="s">
        <v>2394</v>
      </c>
      <c r="AI9" s="33" t="s">
        <v>2395</v>
      </c>
      <c r="AJ9" s="368" t="s">
        <v>2396</v>
      </c>
      <c r="AK9" s="369">
        <v>2011</v>
      </c>
      <c r="AL9" s="368" t="s">
        <v>2397</v>
      </c>
      <c r="AM9" s="368" t="s">
        <v>2398</v>
      </c>
      <c r="AN9" s="368" t="s">
        <v>2399</v>
      </c>
      <c r="AO9" s="368" t="s">
        <v>2400</v>
      </c>
      <c r="AP9" s="369">
        <v>2012</v>
      </c>
      <c r="AQ9" s="368" t="s">
        <v>2401</v>
      </c>
      <c r="AR9" s="368" t="s">
        <v>2402</v>
      </c>
      <c r="AS9" s="368" t="s">
        <v>2403</v>
      </c>
      <c r="AT9" s="368" t="s">
        <v>2404</v>
      </c>
      <c r="AU9" s="369">
        <v>2013</v>
      </c>
      <c r="AV9" s="368" t="s">
        <v>2405</v>
      </c>
      <c r="AW9" s="368" t="s">
        <v>2406</v>
      </c>
      <c r="AX9" s="368" t="s">
        <v>2407</v>
      </c>
      <c r="AY9" s="368" t="s">
        <v>2408</v>
      </c>
      <c r="AZ9" s="369">
        <v>2014</v>
      </c>
      <c r="BA9" s="368" t="s">
        <v>2409</v>
      </c>
      <c r="BB9" s="368" t="s">
        <v>2410</v>
      </c>
      <c r="BC9" s="368" t="s">
        <v>2411</v>
      </c>
      <c r="BD9" s="368" t="s">
        <v>2412</v>
      </c>
      <c r="BE9" s="31">
        <v>2015</v>
      </c>
      <c r="BF9" s="368" t="s">
        <v>2413</v>
      </c>
      <c r="BG9" s="368" t="s">
        <v>2414</v>
      </c>
      <c r="BH9" s="368" t="s">
        <v>2415</v>
      </c>
      <c r="BI9" s="368" t="s">
        <v>2416</v>
      </c>
      <c r="BJ9" s="31">
        <v>2016</v>
      </c>
      <c r="BK9" s="368" t="s">
        <v>2417</v>
      </c>
      <c r="BL9" s="368" t="s">
        <v>2418</v>
      </c>
      <c r="BM9" s="368" t="s">
        <v>2419</v>
      </c>
      <c r="BN9" s="368" t="s">
        <v>2420</v>
      </c>
      <c r="BO9" s="31">
        <v>2017</v>
      </c>
      <c r="BP9" s="363" t="s">
        <v>2244</v>
      </c>
      <c r="BQ9" s="363" t="s">
        <v>2245</v>
      </c>
      <c r="BR9" s="363" t="s">
        <v>2508</v>
      </c>
      <c r="BS9" s="363" t="s">
        <v>2509</v>
      </c>
      <c r="BT9" s="364">
        <v>2018</v>
      </c>
      <c r="BU9" s="363" t="s">
        <v>2510</v>
      </c>
      <c r="BV9" s="363" t="s">
        <v>2511</v>
      </c>
      <c r="BW9" s="363" t="s">
        <v>3125</v>
      </c>
      <c r="BX9" s="363" t="s">
        <v>1405</v>
      </c>
      <c r="BY9" s="364">
        <v>2019</v>
      </c>
      <c r="BZ9" s="363" t="s">
        <v>1406</v>
      </c>
      <c r="CA9" s="363" t="s">
        <v>1407</v>
      </c>
      <c r="CB9" s="363" t="s">
        <v>1408</v>
      </c>
      <c r="CC9" s="363" t="s">
        <v>1409</v>
      </c>
      <c r="CD9" s="364">
        <v>2020</v>
      </c>
    </row>
    <row r="10" spans="1:82" ht="12.75" customHeight="1">
      <c r="A10" s="39" t="s">
        <v>305</v>
      </c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</row>
    <row r="11" spans="1:82" ht="12.75" customHeight="1">
      <c r="A11" s="11"/>
      <c r="B11" s="11" t="s">
        <v>1281</v>
      </c>
      <c r="C11" s="11">
        <f>IF(ISERROR(MATCH($B11,'Production - Oil'!$B$11:$B$54,0)),0,VLOOKUP($B11,'Production - Oil'!$B$11:$CD$54,MATCH('Production - Total'!C$9,'Production - Oil'!$B$9:$CD$9),FALSE))+IF(ISERROR(MATCH($B11,'Production - Gas'!$B$11:$B$54,0)),0,VLOOKUP($B11,'Production - Gas'!$B$11:$CD$54,MATCH('Production - Total'!C$9,'Production - Gas'!$B$9:$CD$9),FALSE)/5.8)</f>
        <v>780.34482758620697</v>
      </c>
      <c r="D11" s="11">
        <f>IF(ISERROR(MATCH($B11,'Production - Oil'!$B$11:$B$54,0)),0,VLOOKUP($B11,'Production - Oil'!$B$11:$CD$54,MATCH('Production - Total'!D$9,'Production - Oil'!$B$9:$CD$9),FALSE))+IF(ISERROR(MATCH($B11,'Production - Gas'!$B$11:$B$54,0)),0,VLOOKUP($B11,'Production - Gas'!$B$11:$CD$54,MATCH('Production - Total'!D$9,'Production - Gas'!$B$9:$CD$9),FALSE)/5.8)</f>
        <v>728.24137931034488</v>
      </c>
      <c r="E11" s="11">
        <f>IF(ISERROR(MATCH($B11,'Production - Oil'!$B$11:$B$54,0)),0,VLOOKUP($B11,'Production - Oil'!$B$11:$CD$54,MATCH('Production - Total'!E$9,'Production - Oil'!$B$9:$CD$9),FALSE))+IF(ISERROR(MATCH($B11,'Production - Gas'!$B$11:$B$54,0)),0,VLOOKUP($B11,'Production - Gas'!$B$11:$CD$54,MATCH('Production - Total'!E$9,'Production - Gas'!$B$9:$CD$9),FALSE)/5.8)</f>
        <v>626.31034482758628</v>
      </c>
      <c r="F11" s="11">
        <f>IF(ISERROR(MATCH($B11,'Production - Oil'!$B$11:$B$54,0)),0,VLOOKUP($B11,'Production - Oil'!$B$11:$CD$54,MATCH('Production - Total'!F$9,'Production - Oil'!$B$9:$CD$9),FALSE))+IF(ISERROR(MATCH($B11,'Production - Gas'!$B$11:$B$54,0)),0,VLOOKUP($B11,'Production - Gas'!$B$11:$CD$54,MATCH('Production - Total'!F$9,'Production - Gas'!$B$9:$CD$9),FALSE)/5.8)</f>
        <v>532.41379310344826</v>
      </c>
      <c r="G11" s="11">
        <f>IF(ISERROR(MATCH($B11,'Production - Oil'!$B$11:$B$54,0)),0,VLOOKUP($B11,'Production - Oil'!$B$11:$CD$54,MATCH('Production - Total'!G$9,'Production - Oil'!$B$9:$CD$9),FALSE))+IF(ISERROR(MATCH($B11,'Production - Gas'!$B$11:$B$54,0)),0,VLOOKUP($B11,'Production - Gas'!$B$11:$CD$54,MATCH('Production - Total'!G$9,'Production - Gas'!$B$9:$CD$9),FALSE)/5.8)</f>
        <v>464.93103448275861</v>
      </c>
      <c r="H11" s="11"/>
      <c r="I11" s="11"/>
      <c r="J11" s="11"/>
      <c r="K11" s="11"/>
      <c r="L11" s="11">
        <f>IF(ISERROR(MATCH($B11,'Production - Oil'!$B$11:$B$54,0)),0,VLOOKUP($B11,'Production - Oil'!$B$11:$CD$54,MATCH('Production - Total'!L$9,'Production - Oil'!$B$9:$CD$9),FALSE))+IF(ISERROR(MATCH($B11,'Production - Gas'!$B$11:$B$54,0)),0,VLOOKUP($B11,'Production - Gas'!$B$11:$CD$54,MATCH('Production - Total'!L$9,'Production - Gas'!$B$9:$CD$9),FALSE)/5.8)</f>
        <v>414.37931034482756</v>
      </c>
      <c r="M11" s="11"/>
      <c r="N11" s="11"/>
      <c r="O11" s="11"/>
      <c r="P11" s="11"/>
      <c r="Q11" s="11">
        <f>IF(ISERROR(MATCH($B11,'Production - Oil'!$B$11:$B$54,0)),0,VLOOKUP($B11,'Production - Oil'!$B$11:$CD$54,MATCH('Production - Total'!Q$9,'Production - Oil'!$B$9:$CD$9),FALSE))+IF(ISERROR(MATCH($B11,'Production - Gas'!$B$11:$B$54,0)),0,VLOOKUP($B11,'Production - Gas'!$B$11:$CD$54,MATCH('Production - Total'!Q$9,'Production - Gas'!$B$9:$CD$9),FALSE)/5.8)</f>
        <v>333.41379310344826</v>
      </c>
      <c r="R11" s="11"/>
      <c r="S11" s="11"/>
      <c r="T11" s="11"/>
      <c r="U11" s="11"/>
      <c r="V11" s="11">
        <f>IF(ISERROR(MATCH($B11,'Production - Oil'!$B$11:$B$54,0)),0,VLOOKUP($B11,'Production - Oil'!$B$11:$CD$54,MATCH('Production - Total'!V$9,'Production - Oil'!$B$9:$CD$9),FALSE))+IF(ISERROR(MATCH($B11,'Production - Gas'!$B$11:$B$54,0)),0,VLOOKUP($B11,'Production - Gas'!$B$11:$CD$54,MATCH('Production - Total'!V$9,'Production - Gas'!$B$9:$CD$9),FALSE)/5.8)</f>
        <v>303.86206896551721</v>
      </c>
      <c r="W11" s="11"/>
      <c r="X11" s="11"/>
      <c r="Y11" s="11"/>
      <c r="Z11" s="11"/>
      <c r="AA11" s="11">
        <f>IF(ISERROR(MATCH($B11,'Production - Oil'!$B$11:$B$54,0)),0,VLOOKUP($B11,'Production - Oil'!$B$11:$CD$54,MATCH('Production - Total'!AA$9,'Production - Oil'!$B$9:$CD$9),FALSE))+IF(ISERROR(MATCH($B11,'Production - Gas'!$B$11:$B$54,0)),0,VLOOKUP($B11,'Production - Gas'!$B$11:$CD$54,MATCH('Production - Total'!AA$9,'Production - Gas'!$B$9:$CD$9),FALSE)/5.8)</f>
        <v>274.55172413793105</v>
      </c>
      <c r="AB11" s="11"/>
      <c r="AC11" s="11"/>
      <c r="AD11" s="11"/>
      <c r="AE11" s="11"/>
      <c r="AF11" s="11">
        <f>IF(ISERROR(MATCH($B11,'Production - Oil'!$B$11:$B$54,0)),0,VLOOKUP($B11,'Production - Oil'!$B$11:$CD$54,MATCH('Production - Total'!AF$9,'Production - Oil'!$B$9:$CD$9),FALSE))+IF(ISERROR(MATCH($B11,'Production - Gas'!$B$11:$B$54,0)),0,VLOOKUP($B11,'Production - Gas'!$B$11:$CD$54,MATCH('Production - Total'!AF$9,'Production - Gas'!$B$9:$CD$9),FALSE)/5.8)</f>
        <v>218.37931034482759</v>
      </c>
      <c r="AG11" s="82"/>
      <c r="AH11" s="82"/>
      <c r="AI11" s="82"/>
      <c r="AJ11" s="82"/>
      <c r="AK11" s="11">
        <f>IF(ISERROR(MATCH($B11,'Production - Oil'!$B$11:$B$54,0)),0,VLOOKUP($B11,'Production - Oil'!$B$11:$CD$54,MATCH('Production - Total'!AK$9,'Production - Oil'!$B$9:$CD$9),FALSE))+IF(ISERROR(MATCH($B11,'Production - Gas'!$B$11:$B$54,0)),0,VLOOKUP($B11,'Production - Gas'!$B$11:$CD$54,MATCH('Production - Total'!AK$9,'Production - Gas'!$B$9:$CD$9),FALSE)/5.8)</f>
        <v>174.20689655172413</v>
      </c>
      <c r="AL11" s="82"/>
      <c r="AM11" s="82"/>
      <c r="AN11" s="82"/>
      <c r="AO11" s="82"/>
      <c r="AP11" s="11">
        <f>IF(ISERROR(MATCH($B11,'Production - Oil'!$B$11:$B$54,0)),0,VLOOKUP($B11,'Production - Oil'!$B$11:$CD$54,MATCH('Production - Total'!AP$9,'Production - Oil'!$B$9:$CD$9),FALSE))+IF(ISERROR(MATCH($B11,'Production - Gas'!$B$11:$B$54,0)),0,VLOOKUP($B11,'Production - Gas'!$B$11:$CD$54,MATCH('Production - Total'!AP$9,'Production - Gas'!$B$9:$CD$9),FALSE)/5.8)</f>
        <v>157.37931034482759</v>
      </c>
      <c r="AQ11" s="82"/>
      <c r="AR11" s="82"/>
      <c r="AS11" s="82"/>
      <c r="AT11" s="82"/>
      <c r="AU11" s="11">
        <f>IF(ISERROR(MATCH($B11,'Production - Oil'!$B$11:$B$54,0)),0,VLOOKUP($B11,'Production - Oil'!$B$11:$CD$54,MATCH('Production - Total'!AU$9,'Production - Oil'!$B$9:$CD$9),FALSE))+IF(ISERROR(MATCH($B11,'Production - Gas'!$B$11:$B$54,0)),0,VLOOKUP($B11,'Production - Gas'!$B$11:$CD$54,MATCH('Production - Total'!AU$9,'Production - Gas'!$B$9:$CD$9),FALSE)/5.8)</f>
        <v>88.068965517241381</v>
      </c>
      <c r="AV11" s="82"/>
      <c r="AW11" s="82"/>
      <c r="AX11" s="82"/>
      <c r="AY11" s="82"/>
      <c r="AZ11" s="11">
        <f>IF(ISERROR(MATCH($B11,'Production - Oil'!$B$11:$B$54,0)),0,VLOOKUP($B11,'Production - Oil'!$B$11:$CD$54,MATCH('Production - Total'!AZ$9,'Production - Oil'!$B$9:$CD$9),FALSE))+IF(ISERROR(MATCH($B11,'Production - Gas'!$B$11:$B$54,0)),0,VLOOKUP($B11,'Production - Gas'!$B$11:$CD$54,MATCH('Production - Total'!AZ$9,'Production - Gas'!$B$9:$CD$9),FALSE)/5.8)</f>
        <v>60.241379310344826</v>
      </c>
      <c r="BA11" s="82"/>
      <c r="BB11" s="82"/>
      <c r="BC11" s="82"/>
      <c r="BD11" s="82"/>
      <c r="BE11" s="11">
        <f>IF(ISERROR(MATCH($B11,'Production - Oil'!$B$11:$B$54,0)),0,VLOOKUP($B11,'Production - Oil'!$B$11:$CD$54,MATCH('Production - Total'!BE$9,'Production - Oil'!$B$9:$CD$9),FALSE))+IF(ISERROR(MATCH($B11,'Production - Gas'!$B$11:$B$54,0)),0,VLOOKUP($B11,'Production - Gas'!$B$11:$CD$54,MATCH('Production - Total'!BE$9,'Production - Gas'!$B$9:$CD$9),FALSE)/5.8)</f>
        <v>105.72413793103448</v>
      </c>
      <c r="BF11" s="82"/>
      <c r="BG11" s="82"/>
      <c r="BH11" s="82"/>
      <c r="BI11" s="82"/>
      <c r="BJ11" s="11">
        <f>IF(ISERROR(MATCH($B11,'Production - Oil'!$B$11:$B$54,0)),0,VLOOKUP($B11,'Production - Oil'!$B$11:$CD$54,MATCH('Production - Total'!BJ$9,'Production - Oil'!$B$9:$CD$9),FALSE))+IF(ISERROR(MATCH($B11,'Production - Gas'!$B$11:$B$54,0)),0,VLOOKUP($B11,'Production - Gas'!$B$11:$CD$54,MATCH('Production - Total'!BJ$9,'Production - Gas'!$B$9:$CD$9),FALSE)/5.8)</f>
        <v>114.31034482758621</v>
      </c>
      <c r="BK11" s="82"/>
      <c r="BL11" s="82"/>
      <c r="BM11" s="82"/>
      <c r="BN11" s="82"/>
      <c r="BO11" s="11">
        <f>'Production - Oil'!BO11+'Production - Gas'!BO11/5.8</f>
        <v>117.37931034482759</v>
      </c>
      <c r="BP11" s="82"/>
      <c r="BQ11" s="82"/>
      <c r="BR11" s="82"/>
      <c r="BS11" s="82"/>
      <c r="BT11" s="51"/>
      <c r="BU11" s="82"/>
      <c r="BV11" s="82"/>
      <c r="BW11" s="82"/>
      <c r="BX11" s="82"/>
      <c r="BY11" s="51"/>
      <c r="BZ11" s="82"/>
      <c r="CA11" s="82"/>
      <c r="CB11" s="82"/>
      <c r="CC11" s="82"/>
      <c r="CD11" s="51"/>
    </row>
    <row r="12" spans="1:82" ht="12.75" customHeight="1">
      <c r="A12" s="11"/>
      <c r="B12" s="11" t="s">
        <v>306</v>
      </c>
      <c r="C12" s="11">
        <f>IF(ISERROR(MATCH($B12,'Production - Oil'!$B$11:$B$54,0)),0,VLOOKUP($B12,'Production - Oil'!$B$11:$CD$54,MATCH('Production - Total'!C$9,'Production - Oil'!$B$9:$CD$9),FALSE))+IF(ISERROR(MATCH($B12,'Production - Gas'!$B$11:$B$54,0)),0,VLOOKUP($B12,'Production - Gas'!$B$11:$CD$54,MATCH('Production - Total'!C$9,'Production - Gas'!$B$9:$CD$9),FALSE)/5.8)</f>
        <v>107.27586206896552</v>
      </c>
      <c r="D12" s="11">
        <f>IF(ISERROR(MATCH($B12,'Production - Oil'!$B$11:$B$54,0)),0,VLOOKUP($B12,'Production - Oil'!$B$11:$CD$54,MATCH('Production - Total'!D$9,'Production - Oil'!$B$9:$CD$9),FALSE))+IF(ISERROR(MATCH($B12,'Production - Gas'!$B$11:$B$54,0)),0,VLOOKUP($B12,'Production - Gas'!$B$11:$CD$54,MATCH('Production - Total'!D$9,'Production - Gas'!$B$9:$CD$9),FALSE)/5.8)</f>
        <v>113.34482758620689</v>
      </c>
      <c r="E12" s="11">
        <f>IF(ISERROR(MATCH($B12,'Production - Oil'!$B$11:$B$54,0)),0,VLOOKUP($B12,'Production - Oil'!$B$11:$CD$54,MATCH('Production - Total'!E$9,'Production - Oil'!$B$9:$CD$9),FALSE))+IF(ISERROR(MATCH($B12,'Production - Gas'!$B$11:$B$54,0)),0,VLOOKUP($B12,'Production - Gas'!$B$11:$CD$54,MATCH('Production - Total'!E$9,'Production - Gas'!$B$9:$CD$9),FALSE)/5.8)</f>
        <v>91.965517241379317</v>
      </c>
      <c r="F12" s="11">
        <f>IF(ISERROR(MATCH($B12,'Production - Oil'!$B$11:$B$54,0)),0,VLOOKUP($B12,'Production - Oil'!$B$11:$CD$54,MATCH('Production - Total'!F$9,'Production - Oil'!$B$9:$CD$9),FALSE))+IF(ISERROR(MATCH($B12,'Production - Gas'!$B$11:$B$54,0)),0,VLOOKUP($B12,'Production - Gas'!$B$11:$CD$54,MATCH('Production - Total'!F$9,'Production - Gas'!$B$9:$CD$9),FALSE)/5.8)</f>
        <v>83.758620689655174</v>
      </c>
      <c r="G12" s="11">
        <f>IF(ISERROR(MATCH($B12,'Production - Oil'!$B$11:$B$54,0)),0,VLOOKUP($B12,'Production - Oil'!$B$11:$CD$54,MATCH('Production - Total'!G$9,'Production - Oil'!$B$9:$CD$9),FALSE))+IF(ISERROR(MATCH($B12,'Production - Gas'!$B$11:$B$54,0)),0,VLOOKUP($B12,'Production - Gas'!$B$11:$CD$54,MATCH('Production - Total'!G$9,'Production - Gas'!$B$9:$CD$9),FALSE)/5.8)</f>
        <v>81.931034482758619</v>
      </c>
      <c r="H12" s="11"/>
      <c r="I12" s="11"/>
      <c r="J12" s="11"/>
      <c r="K12" s="11"/>
      <c r="L12" s="11">
        <f>IF(ISERROR(MATCH($B12,'Production - Oil'!$B$11:$B$54,0)),0,VLOOKUP($B12,'Production - Oil'!$B$11:$CD$54,MATCH('Production - Total'!L$9,'Production - Oil'!$B$9:$CD$9),FALSE))+IF(ISERROR(MATCH($B12,'Production - Gas'!$B$11:$B$54,0)),0,VLOOKUP($B12,'Production - Gas'!$B$11:$CD$54,MATCH('Production - Total'!L$9,'Production - Gas'!$B$9:$CD$9),FALSE)/5.8)</f>
        <v>66.034482758620683</v>
      </c>
      <c r="M12" s="11"/>
      <c r="N12" s="11"/>
      <c r="O12" s="11"/>
      <c r="P12" s="11"/>
      <c r="Q12" s="11">
        <f>IF(ISERROR(MATCH($B12,'Production - Oil'!$B$11:$B$54,0)),0,VLOOKUP($B12,'Production - Oil'!$B$11:$CD$54,MATCH('Production - Total'!Q$9,'Production - Oil'!$B$9:$CD$9),FALSE))+IF(ISERROR(MATCH($B12,'Production - Gas'!$B$11:$B$54,0)),0,VLOOKUP($B12,'Production - Gas'!$B$11:$CD$54,MATCH('Production - Total'!Q$9,'Production - Gas'!$B$9:$CD$9),FALSE)/5.8)</f>
        <v>55.482758620689658</v>
      </c>
      <c r="R12" s="11"/>
      <c r="S12" s="11"/>
      <c r="T12" s="11"/>
      <c r="U12" s="11"/>
      <c r="V12" s="11">
        <f>IF(ISERROR(MATCH($B12,'Production - Oil'!$B$11:$B$54,0)),0,VLOOKUP($B12,'Production - Oil'!$B$11:$CD$54,MATCH('Production - Total'!V$9,'Production - Oil'!$B$9:$CD$9),FALSE))+IF(ISERROR(MATCH($B12,'Production - Gas'!$B$11:$B$54,0)),0,VLOOKUP($B12,'Production - Gas'!$B$11:$CD$54,MATCH('Production - Total'!V$9,'Production - Gas'!$B$9:$CD$9),FALSE)/5.8)</f>
        <v>46.96551724137931</v>
      </c>
      <c r="W12" s="11"/>
      <c r="X12" s="11"/>
      <c r="Y12" s="11"/>
      <c r="Z12" s="11"/>
      <c r="AA12" s="11">
        <f>IF(ISERROR(MATCH($B12,'Production - Oil'!$B$11:$B$54,0)),0,VLOOKUP($B12,'Production - Oil'!$B$11:$CD$54,MATCH('Production - Total'!AA$9,'Production - Oil'!$B$9:$CD$9),FALSE))+IF(ISERROR(MATCH($B12,'Production - Gas'!$B$11:$B$54,0)),0,VLOOKUP($B12,'Production - Gas'!$B$11:$CD$54,MATCH('Production - Total'!AA$9,'Production - Gas'!$B$9:$CD$9),FALSE)/5.8)</f>
        <v>42.758620689655174</v>
      </c>
      <c r="AB12" s="11"/>
      <c r="AC12" s="11"/>
      <c r="AD12" s="11"/>
      <c r="AE12" s="11"/>
      <c r="AF12" s="11">
        <f>IF(ISERROR(MATCH($B12,'Production - Oil'!$B$11:$B$54,0)),0,VLOOKUP($B12,'Production - Oil'!$B$11:$CD$54,MATCH('Production - Total'!AF$9,'Production - Oil'!$B$9:$CD$9),FALSE))+IF(ISERROR(MATCH($B12,'Production - Gas'!$B$11:$B$54,0)),0,VLOOKUP($B12,'Production - Gas'!$B$11:$CD$54,MATCH('Production - Total'!AF$9,'Production - Gas'!$B$9:$CD$9),FALSE)/5.8)</f>
        <v>42.586206896551722</v>
      </c>
      <c r="AG12" s="82"/>
      <c r="AH12" s="82"/>
      <c r="AI12" s="82"/>
      <c r="AJ12" s="82"/>
      <c r="AK12" s="11">
        <f>IF(ISERROR(MATCH($B12,'Production - Oil'!$B$11:$B$54,0)),0,VLOOKUP($B12,'Production - Oil'!$B$11:$CD$54,MATCH('Production - Total'!AK$9,'Production - Oil'!$B$9:$CD$9),FALSE))+IF(ISERROR(MATCH($B12,'Production - Gas'!$B$11:$B$54,0)),0,VLOOKUP($B12,'Production - Gas'!$B$11:$CD$54,MATCH('Production - Total'!AK$9,'Production - Gas'!$B$9:$CD$9),FALSE)/5.8)</f>
        <v>34.241379310344826</v>
      </c>
      <c r="AL12" s="82"/>
      <c r="AM12" s="82"/>
      <c r="AN12" s="82"/>
      <c r="AO12" s="82"/>
      <c r="AP12" s="11">
        <f>IF(ISERROR(MATCH($B12,'Production - Oil'!$B$11:$B$54,0)),0,VLOOKUP($B12,'Production - Oil'!$B$11:$CD$54,MATCH('Production - Total'!AP$9,'Production - Oil'!$B$9:$CD$9),FALSE))+IF(ISERROR(MATCH($B12,'Production - Gas'!$B$11:$B$54,0)),0,VLOOKUP($B12,'Production - Gas'!$B$11:$CD$54,MATCH('Production - Total'!AP$9,'Production - Gas'!$B$9:$CD$9),FALSE)/5.8)</f>
        <v>24.379310344827587</v>
      </c>
      <c r="AQ12" s="82"/>
      <c r="AR12" s="82"/>
      <c r="AS12" s="82"/>
      <c r="AT12" s="82"/>
      <c r="AU12" s="11">
        <f>IF(ISERROR(MATCH($B12,'Production - Oil'!$B$11:$B$54,0)),0,VLOOKUP($B12,'Production - Oil'!$B$11:$CD$54,MATCH('Production - Total'!AU$9,'Production - Oil'!$B$9:$CD$9),FALSE))+IF(ISERROR(MATCH($B12,'Production - Gas'!$B$11:$B$54,0)),0,VLOOKUP($B12,'Production - Gas'!$B$11:$CD$54,MATCH('Production - Total'!AU$9,'Production - Gas'!$B$9:$CD$9),FALSE)/5.8)</f>
        <v>47.793103448275865</v>
      </c>
      <c r="AV12" s="82"/>
      <c r="AW12" s="82"/>
      <c r="AX12" s="82"/>
      <c r="AY12" s="82"/>
      <c r="AZ12" s="11">
        <f>IF(ISERROR(MATCH($B12,'Production - Oil'!$B$11:$B$54,0)),0,VLOOKUP($B12,'Production - Oil'!$B$11:$CD$54,MATCH('Production - Total'!AZ$9,'Production - Oil'!$B$9:$CD$9),FALSE))+IF(ISERROR(MATCH($B12,'Production - Gas'!$B$11:$B$54,0)),0,VLOOKUP($B12,'Production - Gas'!$B$11:$CD$54,MATCH('Production - Total'!AZ$9,'Production - Gas'!$B$9:$CD$9),FALSE)/5.8)</f>
        <v>63.58620689655173</v>
      </c>
      <c r="BA12" s="82"/>
      <c r="BB12" s="82"/>
      <c r="BC12" s="82"/>
      <c r="BD12" s="82"/>
      <c r="BE12" s="11">
        <f>IF(ISERROR(MATCH($B12,'Production - Oil'!$B$11:$B$54,0)),0,VLOOKUP($B12,'Production - Oil'!$B$11:$CD$54,MATCH('Production - Total'!BE$9,'Production - Oil'!$B$9:$CD$9),FALSE))+IF(ISERROR(MATCH($B12,'Production - Gas'!$B$11:$B$54,0)),0,VLOOKUP($B12,'Production - Gas'!$B$11:$CD$54,MATCH('Production - Total'!BE$9,'Production - Gas'!$B$9:$CD$9),FALSE)/5.8)</f>
        <v>62.137931034482762</v>
      </c>
      <c r="BF12" s="82"/>
      <c r="BG12" s="82"/>
      <c r="BH12" s="82"/>
      <c r="BI12" s="82"/>
      <c r="BJ12" s="11">
        <f>IF(ISERROR(MATCH($B12,'Production - Oil'!$B$11:$B$54,0)),0,VLOOKUP($B12,'Production - Oil'!$B$11:$CD$54,MATCH('Production - Total'!BJ$9,'Production - Oil'!$B$9:$CD$9),FALSE))+IF(ISERROR(MATCH($B12,'Production - Gas'!$B$11:$B$54,0)),0,VLOOKUP($B12,'Production - Gas'!$B$11:$CD$54,MATCH('Production - Total'!BJ$9,'Production - Gas'!$B$9:$CD$9),FALSE)/5.8)</f>
        <v>42.137931034482762</v>
      </c>
      <c r="BK12" s="82"/>
      <c r="BL12" s="82"/>
      <c r="BM12" s="82"/>
      <c r="BN12" s="82"/>
      <c r="BO12" s="11">
        <f>'Production - Oil'!BO12+'Production - Gas'!BO12/5.8</f>
        <v>0</v>
      </c>
      <c r="BP12" s="82"/>
      <c r="BQ12" s="82"/>
      <c r="BR12" s="82"/>
      <c r="BS12" s="82"/>
      <c r="BT12" s="51"/>
      <c r="BU12" s="82"/>
      <c r="BV12" s="82"/>
      <c r="BW12" s="82"/>
      <c r="BX12" s="82"/>
      <c r="BY12" s="51"/>
      <c r="BZ12" s="82"/>
      <c r="CA12" s="82"/>
      <c r="CB12" s="82"/>
      <c r="CC12" s="82"/>
      <c r="CD12" s="51"/>
    </row>
    <row r="13" spans="1:82" ht="12.75" customHeight="1">
      <c r="A13" s="11"/>
      <c r="B13" s="11" t="s">
        <v>139</v>
      </c>
      <c r="C13" s="11">
        <f>IF(ISERROR(MATCH($B13,'Production - Oil'!$B$11:$B$54,0)),0,VLOOKUP($B13,'Production - Oil'!$B$11:$CD$54,MATCH('Production - Total'!C$9,'Production - Oil'!$B$9:$CD$9),FALSE))+IF(ISERROR(MATCH($B13,'Production - Gas'!$B$11:$B$54,0)),0,VLOOKUP($B13,'Production - Gas'!$B$11:$CD$54,MATCH('Production - Total'!C$9,'Production - Gas'!$B$9:$CD$9),FALSE)/5.8)</f>
        <v>18.068965517241381</v>
      </c>
      <c r="D13" s="11">
        <f>IF(ISERROR(MATCH($B13,'Production - Oil'!$B$11:$B$54,0)),0,VLOOKUP($B13,'Production - Oil'!$B$11:$CD$54,MATCH('Production - Total'!D$9,'Production - Oil'!$B$9:$CD$9),FALSE))+IF(ISERROR(MATCH($B13,'Production - Gas'!$B$11:$B$54,0)),0,VLOOKUP($B13,'Production - Gas'!$B$11:$CD$54,MATCH('Production - Total'!D$9,'Production - Gas'!$B$9:$CD$9),FALSE)/5.8)</f>
        <v>16</v>
      </c>
      <c r="E13" s="11">
        <f>IF(ISERROR(MATCH($B13,'Production - Oil'!$B$11:$B$54,0)),0,VLOOKUP($B13,'Production - Oil'!$B$11:$CD$54,MATCH('Production - Total'!E$9,'Production - Oil'!$B$9:$CD$9),FALSE))+IF(ISERROR(MATCH($B13,'Production - Gas'!$B$11:$B$54,0)),0,VLOOKUP($B13,'Production - Gas'!$B$11:$CD$54,MATCH('Production - Total'!E$9,'Production - Gas'!$B$9:$CD$9),FALSE)/5.8)</f>
        <v>12.551724137931036</v>
      </c>
      <c r="F13" s="11">
        <f>IF(ISERROR(MATCH($B13,'Production - Oil'!$B$11:$B$54,0)),0,VLOOKUP($B13,'Production - Oil'!$B$11:$CD$54,MATCH('Production - Total'!F$9,'Production - Oil'!$B$9:$CD$9),FALSE))+IF(ISERROR(MATCH($B13,'Production - Gas'!$B$11:$B$54,0)),0,VLOOKUP($B13,'Production - Gas'!$B$11:$CD$54,MATCH('Production - Total'!F$9,'Production - Gas'!$B$9:$CD$9),FALSE)/5.8)</f>
        <v>14.793103448275863</v>
      </c>
      <c r="G13" s="11">
        <f>IF(ISERROR(MATCH($B13,'Production - Oil'!$B$11:$B$54,0)),0,VLOOKUP($B13,'Production - Oil'!$B$11:$CD$54,MATCH('Production - Total'!G$9,'Production - Oil'!$B$9:$CD$9),FALSE))+IF(ISERROR(MATCH($B13,'Production - Gas'!$B$11:$B$54,0)),0,VLOOKUP($B13,'Production - Gas'!$B$11:$CD$54,MATCH('Production - Total'!G$9,'Production - Gas'!$B$9:$CD$9),FALSE)/5.8)</f>
        <v>11.689655172413794</v>
      </c>
      <c r="H13" s="11"/>
      <c r="I13" s="11"/>
      <c r="J13" s="11"/>
      <c r="K13" s="11"/>
      <c r="L13" s="11">
        <f>IF(ISERROR(MATCH($B13,'Production - Oil'!$B$11:$B$54,0)),0,VLOOKUP($B13,'Production - Oil'!$B$11:$CD$54,MATCH('Production - Total'!L$9,'Production - Oil'!$B$9:$CD$9),FALSE))+IF(ISERROR(MATCH($B13,'Production - Gas'!$B$11:$B$54,0)),0,VLOOKUP($B13,'Production - Gas'!$B$11:$CD$54,MATCH('Production - Total'!L$9,'Production - Gas'!$B$9:$CD$9),FALSE)/5.8)</f>
        <v>10.655172413793103</v>
      </c>
      <c r="M13" s="11"/>
      <c r="N13" s="11"/>
      <c r="O13" s="11"/>
      <c r="P13" s="11"/>
      <c r="Q13" s="11">
        <f>IF(ISERROR(MATCH($B13,'Production - Oil'!$B$11:$B$54,0)),0,VLOOKUP($B13,'Production - Oil'!$B$11:$CD$54,MATCH('Production - Total'!Q$9,'Production - Oil'!$B$9:$CD$9),FALSE))+IF(ISERROR(MATCH($B13,'Production - Gas'!$B$11:$B$54,0)),0,VLOOKUP($B13,'Production - Gas'!$B$11:$CD$54,MATCH('Production - Total'!Q$9,'Production - Gas'!$B$9:$CD$9),FALSE)/5.8)</f>
        <v>0.51724137931034486</v>
      </c>
      <c r="R13" s="11"/>
      <c r="S13" s="11"/>
      <c r="T13" s="11"/>
      <c r="U13" s="11"/>
      <c r="V13" s="11">
        <f>IF(ISERROR(MATCH($B13,'Production - Oil'!$B$11:$B$54,0)),0,VLOOKUP($B13,'Production - Oil'!$B$11:$CD$54,MATCH('Production - Total'!V$9,'Production - Oil'!$B$9:$CD$9),FALSE))+IF(ISERROR(MATCH($B13,'Production - Gas'!$B$11:$B$54,0)),0,VLOOKUP($B13,'Production - Gas'!$B$11:$CD$54,MATCH('Production - Total'!V$9,'Production - Gas'!$B$9:$CD$9),FALSE)/5.8)</f>
        <v>0</v>
      </c>
      <c r="W13" s="11"/>
      <c r="X13" s="11"/>
      <c r="Y13" s="11"/>
      <c r="Z13" s="11"/>
      <c r="AA13" s="11">
        <f>IF(ISERROR(MATCH($B13,'Production - Oil'!$B$11:$B$54,0)),0,VLOOKUP($B13,'Production - Oil'!$B$11:$CD$54,MATCH('Production - Total'!AA$9,'Production - Oil'!$B$9:$CD$9),FALSE))+IF(ISERROR(MATCH($B13,'Production - Gas'!$B$11:$B$54,0)),0,VLOOKUP($B13,'Production - Gas'!$B$11:$CD$54,MATCH('Production - Total'!AA$9,'Production - Gas'!$B$9:$CD$9),FALSE)/5.8)</f>
        <v>0</v>
      </c>
      <c r="AB13" s="11"/>
      <c r="AC13" s="11"/>
      <c r="AD13" s="11"/>
      <c r="AE13" s="11"/>
      <c r="AF13" s="11">
        <f>IF(ISERROR(MATCH($B13,'Production - Oil'!$B$11:$B$54,0)),0,VLOOKUP($B13,'Production - Oil'!$B$11:$CD$54,MATCH('Production - Total'!AF$9,'Production - Oil'!$B$9:$CD$9),FALSE))+IF(ISERROR(MATCH($B13,'Production - Gas'!$B$11:$B$54,0)),0,VLOOKUP($B13,'Production - Gas'!$B$11:$CD$54,MATCH('Production - Total'!AF$9,'Production - Gas'!$B$9:$CD$9),FALSE)/5.8)</f>
        <v>0</v>
      </c>
      <c r="AG13" s="82"/>
      <c r="AH13" s="82"/>
      <c r="AI13" s="82"/>
      <c r="AJ13" s="82"/>
      <c r="AK13" s="11">
        <f>IF(ISERROR(MATCH($B13,'Production - Oil'!$B$11:$B$54,0)),0,VLOOKUP($B13,'Production - Oil'!$B$11:$CD$54,MATCH('Production - Total'!AK$9,'Production - Oil'!$B$9:$CD$9),FALSE))+IF(ISERROR(MATCH($B13,'Production - Gas'!$B$11:$B$54,0)),0,VLOOKUP($B13,'Production - Gas'!$B$11:$CD$54,MATCH('Production - Total'!AK$9,'Production - Gas'!$B$9:$CD$9),FALSE)/5.8)</f>
        <v>0</v>
      </c>
      <c r="AL13" s="82"/>
      <c r="AM13" s="82"/>
      <c r="AN13" s="82"/>
      <c r="AO13" s="82"/>
      <c r="AP13" s="11">
        <f>IF(ISERROR(MATCH($B13,'Production - Oil'!$B$11:$B$54,0)),0,VLOOKUP($B13,'Production - Oil'!$B$11:$CD$54,MATCH('Production - Total'!AP$9,'Production - Oil'!$B$9:$CD$9),FALSE))+IF(ISERROR(MATCH($B13,'Production - Gas'!$B$11:$B$54,0)),0,VLOOKUP($B13,'Production - Gas'!$B$11:$CD$54,MATCH('Production - Total'!AP$9,'Production - Gas'!$B$9:$CD$9),FALSE)/5.8)</f>
        <v>0</v>
      </c>
      <c r="AQ13" s="82"/>
      <c r="AR13" s="82"/>
      <c r="AS13" s="82"/>
      <c r="AT13" s="82"/>
      <c r="AU13" s="11">
        <f>IF(ISERROR(MATCH($B13,'Production - Oil'!$B$11:$B$54,0)),0,VLOOKUP($B13,'Production - Oil'!$B$11:$CD$54,MATCH('Production - Total'!AU$9,'Production - Oil'!$B$9:$CD$9),FALSE))+IF(ISERROR(MATCH($B13,'Production - Gas'!$B$11:$B$54,0)),0,VLOOKUP($B13,'Production - Gas'!$B$11:$CD$54,MATCH('Production - Total'!AU$9,'Production - Gas'!$B$9:$CD$9),FALSE)/5.8)</f>
        <v>0</v>
      </c>
      <c r="AV13" s="82"/>
      <c r="AW13" s="82"/>
      <c r="AX13" s="82"/>
      <c r="AY13" s="82"/>
      <c r="AZ13" s="11">
        <f>IF(ISERROR(MATCH($B13,'Production - Oil'!$B$11:$B$54,0)),0,VLOOKUP($B13,'Production - Oil'!$B$11:$CD$54,MATCH('Production - Total'!AZ$9,'Production - Oil'!$B$9:$CD$9),FALSE))+IF(ISERROR(MATCH($B13,'Production - Gas'!$B$11:$B$54,0)),0,VLOOKUP($B13,'Production - Gas'!$B$11:$CD$54,MATCH('Production - Total'!AZ$9,'Production - Gas'!$B$9:$CD$9),FALSE)/5.8)</f>
        <v>0</v>
      </c>
      <c r="BA13" s="82"/>
      <c r="BB13" s="82"/>
      <c r="BC13" s="82"/>
      <c r="BD13" s="82"/>
      <c r="BE13" s="11">
        <f>IF(ISERROR(MATCH($B13,'Production - Oil'!$B$11:$B$54,0)),0,VLOOKUP($B13,'Production - Oil'!$B$11:$CD$54,MATCH('Production - Total'!BE$9,'Production - Oil'!$B$9:$CD$9),FALSE))+IF(ISERROR(MATCH($B13,'Production - Gas'!$B$11:$B$54,0)),0,VLOOKUP($B13,'Production - Gas'!$B$11:$CD$54,MATCH('Production - Total'!BE$9,'Production - Gas'!$B$9:$CD$9),FALSE)/5.8)</f>
        <v>0</v>
      </c>
      <c r="BF13" s="82"/>
      <c r="BG13" s="82"/>
      <c r="BH13" s="82"/>
      <c r="BI13" s="82"/>
      <c r="BJ13" s="11">
        <f>IF(ISERROR(MATCH($B13,'Production - Oil'!$B$11:$B$54,0)),0,VLOOKUP($B13,'Production - Oil'!$B$11:$CD$54,MATCH('Production - Total'!BJ$9,'Production - Oil'!$B$9:$CD$9),FALSE))+IF(ISERROR(MATCH($B13,'Production - Gas'!$B$11:$B$54,0)),0,VLOOKUP($B13,'Production - Gas'!$B$11:$CD$54,MATCH('Production - Total'!BJ$9,'Production - Gas'!$B$9:$CD$9),FALSE)/5.8)</f>
        <v>0</v>
      </c>
      <c r="BK13" s="82"/>
      <c r="BL13" s="82"/>
      <c r="BM13" s="82"/>
      <c r="BN13" s="82"/>
      <c r="BO13" s="11">
        <f>'Production - Oil'!BO13+'Production - Gas'!BO13/5.8</f>
        <v>0</v>
      </c>
      <c r="BP13" s="82"/>
      <c r="BQ13" s="82"/>
      <c r="BR13" s="82"/>
      <c r="BS13" s="82"/>
      <c r="BT13" s="51"/>
      <c r="BU13" s="82"/>
      <c r="BV13" s="82"/>
      <c r="BW13" s="82"/>
      <c r="BX13" s="82"/>
      <c r="BY13" s="51"/>
      <c r="BZ13" s="82"/>
      <c r="CA13" s="82"/>
      <c r="CB13" s="82"/>
      <c r="CC13" s="82"/>
      <c r="CD13" s="51"/>
    </row>
    <row r="14" spans="1:82" ht="12.75" customHeight="1">
      <c r="A14" s="39" t="s">
        <v>309</v>
      </c>
      <c r="B14" s="39"/>
      <c r="C14" s="39">
        <f t="shared" ref="C14:AA14" si="0">SUM(C11:C13)</f>
        <v>905.68965517241395</v>
      </c>
      <c r="D14" s="39">
        <f t="shared" si="0"/>
        <v>857.58620689655174</v>
      </c>
      <c r="E14" s="39">
        <f t="shared" si="0"/>
        <v>730.82758620689663</v>
      </c>
      <c r="F14" s="39">
        <f t="shared" si="0"/>
        <v>630.9655172413793</v>
      </c>
      <c r="G14" s="39">
        <f t="shared" si="0"/>
        <v>558.55172413793105</v>
      </c>
      <c r="H14" s="39">
        <f t="shared" si="0"/>
        <v>0</v>
      </c>
      <c r="I14" s="39">
        <f t="shared" si="0"/>
        <v>0</v>
      </c>
      <c r="J14" s="39">
        <f t="shared" si="0"/>
        <v>0</v>
      </c>
      <c r="K14" s="39">
        <f t="shared" si="0"/>
        <v>0</v>
      </c>
      <c r="L14" s="39">
        <f t="shared" si="0"/>
        <v>491.06896551724134</v>
      </c>
      <c r="M14" s="39">
        <f t="shared" si="0"/>
        <v>0</v>
      </c>
      <c r="N14" s="39">
        <f t="shared" si="0"/>
        <v>0</v>
      </c>
      <c r="O14" s="39">
        <f t="shared" si="0"/>
        <v>0</v>
      </c>
      <c r="P14" s="39">
        <f t="shared" si="0"/>
        <v>0</v>
      </c>
      <c r="Q14" s="39">
        <f t="shared" si="0"/>
        <v>389.41379310344826</v>
      </c>
      <c r="R14" s="39">
        <f t="shared" si="0"/>
        <v>0</v>
      </c>
      <c r="S14" s="39">
        <f t="shared" si="0"/>
        <v>0</v>
      </c>
      <c r="T14" s="39">
        <f t="shared" si="0"/>
        <v>0</v>
      </c>
      <c r="U14" s="39">
        <f t="shared" si="0"/>
        <v>0</v>
      </c>
      <c r="V14" s="39">
        <f t="shared" si="0"/>
        <v>350.82758620689651</v>
      </c>
      <c r="W14" s="39">
        <f t="shared" si="0"/>
        <v>0</v>
      </c>
      <c r="X14" s="39">
        <f t="shared" si="0"/>
        <v>0</v>
      </c>
      <c r="Y14" s="39">
        <f t="shared" si="0"/>
        <v>0</v>
      </c>
      <c r="Z14" s="39">
        <f t="shared" si="0"/>
        <v>0</v>
      </c>
      <c r="AA14" s="39">
        <f t="shared" si="0"/>
        <v>317.31034482758622</v>
      </c>
      <c r="AB14" s="39"/>
      <c r="AC14" s="39"/>
      <c r="AD14" s="39"/>
      <c r="AE14" s="39"/>
      <c r="AF14" s="39">
        <f>SUM(AF11:AF13)</f>
        <v>260.9655172413793</v>
      </c>
      <c r="AG14" s="80">
        <f>VLOOKUP($A14,'Production - Oil'!$A$9:$CD$56,MATCH('Production - Total'!AG$9,'Production - Oil'!$A$9:$CD$9,0),FALSE)+VLOOKUP($A14,'Production - Gas'!$A$9:$CD$56,MATCH('Production - Total'!AG$9,'Production - Gas'!$A$9:$CD$9,0),FALSE)/5.8</f>
        <v>0</v>
      </c>
      <c r="AH14" s="80">
        <f>VLOOKUP($A14,'Production - Oil'!$A$9:$CD$56,MATCH('Production - Total'!AH$9,'Production - Oil'!$A$9:$CD$9,0),FALSE)+VLOOKUP($A14,'Production - Gas'!$A$9:$CD$56,MATCH('Production - Total'!AH$9,'Production - Gas'!$A$9:$CD$9,0),FALSE)/5.8</f>
        <v>0</v>
      </c>
      <c r="AI14" s="80">
        <f>VLOOKUP($A14,'Production - Oil'!$A$9:$CD$56,MATCH('Production - Total'!AI$9,'Production - Oil'!$A$9:$CD$9,0),FALSE)+VLOOKUP($A14,'Production - Gas'!$A$9:$CD$56,MATCH('Production - Total'!AI$9,'Production - Gas'!$A$9:$CD$9,0),FALSE)/5.8</f>
        <v>0</v>
      </c>
      <c r="AJ14" s="80">
        <f>VLOOKUP($A14,'Production - Oil'!$A$9:$CD$56,MATCH('Production - Total'!AJ$9,'Production - Oil'!$A$9:$CD$9,0),FALSE)+VLOOKUP($A14,'Production - Gas'!$A$9:$CD$56,MATCH('Production - Total'!AJ$9,'Production - Gas'!$A$9:$CD$9,0),FALSE)/5.8</f>
        <v>0</v>
      </c>
      <c r="AK14" s="39">
        <f>SUM(AK11:AK13)</f>
        <v>208.44827586206895</v>
      </c>
      <c r="AL14" s="80">
        <f>VLOOKUP($A14,'Production - Oil'!$A$9:$CD$56,MATCH('Production - Total'!AL$9,'Production - Oil'!$A$9:$CD$9,0),FALSE)+VLOOKUP($A14,'Production - Gas'!$A$9:$CD$56,MATCH('Production - Total'!AL$9,'Production - Gas'!$A$9:$CD$9,0),FALSE)/5.8</f>
        <v>0</v>
      </c>
      <c r="AM14" s="80">
        <f>VLOOKUP($A14,'Production - Oil'!$A$9:$CD$56,MATCH('Production - Total'!AM$9,'Production - Oil'!$A$9:$CD$9,0),FALSE)+VLOOKUP($A14,'Production - Gas'!$A$9:$CD$56,MATCH('Production - Total'!AM$9,'Production - Gas'!$A$9:$CD$9,0),FALSE)/5.8</f>
        <v>0</v>
      </c>
      <c r="AN14" s="80">
        <f>VLOOKUP($A14,'Production - Oil'!$A$9:$CD$56,MATCH('Production - Total'!AN$9,'Production - Oil'!$A$9:$CD$9,0),FALSE)+VLOOKUP($A14,'Production - Gas'!$A$9:$CD$56,MATCH('Production - Total'!AN$9,'Production - Gas'!$A$9:$CD$9,0),FALSE)/5.8</f>
        <v>0</v>
      </c>
      <c r="AO14" s="80">
        <f>VLOOKUP($A14,'Production - Oil'!$A$9:$CD$56,MATCH('Production - Total'!AO$9,'Production - Oil'!$A$9:$CD$9,0),FALSE)+VLOOKUP($A14,'Production - Gas'!$A$9:$CD$56,MATCH('Production - Total'!AO$9,'Production - Gas'!$A$9:$CD$9,0),FALSE)/5.8</f>
        <v>0</v>
      </c>
      <c r="AP14" s="39">
        <f>SUM(AP11:AP13)</f>
        <v>181.75862068965517</v>
      </c>
      <c r="AQ14" s="82"/>
      <c r="AR14" s="82"/>
      <c r="AS14" s="82"/>
      <c r="AT14" s="82"/>
      <c r="AU14" s="39">
        <f>SUM(AU11:AU13)</f>
        <v>135.86206896551724</v>
      </c>
      <c r="AV14" s="82"/>
      <c r="AW14" s="82"/>
      <c r="AX14" s="82"/>
      <c r="AY14" s="82"/>
      <c r="AZ14" s="39">
        <f>SUM(AZ11:AZ13)</f>
        <v>123.82758620689656</v>
      </c>
      <c r="BA14" s="82"/>
      <c r="BB14" s="82"/>
      <c r="BC14" s="82"/>
      <c r="BD14" s="82"/>
      <c r="BE14" s="39">
        <f>SUM(BE11:BE13)</f>
        <v>167.86206896551724</v>
      </c>
      <c r="BF14" s="82"/>
      <c r="BG14" s="82"/>
      <c r="BH14" s="82"/>
      <c r="BI14" s="82"/>
      <c r="BJ14" s="39">
        <f>SUM(BJ11:BJ13)</f>
        <v>156.44827586206895</v>
      </c>
      <c r="BK14" s="82"/>
      <c r="BL14" s="82"/>
      <c r="BM14" s="82"/>
      <c r="BN14" s="82"/>
      <c r="BO14" s="39">
        <f>SUM(BO11:BO13)</f>
        <v>117.37931034482759</v>
      </c>
      <c r="BP14" s="80">
        <f>VLOOKUP($A14,'Production - Oil'!$A$9:$CD$56,MATCH('Production - Total'!BP$9,'Production - Oil'!$A$9:$CD$9,0),FALSE)+VLOOKUP($A14,'Production - Gas'!$A$9:$CD$56,MATCH('Production - Total'!BP$9,'Production - Gas'!$A$9:$CD$9,0),FALSE)/5.8</f>
        <v>135.62139427780602</v>
      </c>
      <c r="BQ14" s="80">
        <f>VLOOKUP($A14,'Production - Oil'!$A$9:$CD$56,MATCH('Production - Total'!BQ$9,'Production - Oil'!$A$9:$CD$9,0),FALSE)+VLOOKUP($A14,'Production - Gas'!$A$9:$CD$56,MATCH('Production - Total'!BQ$9,'Production - Gas'!$A$9:$CD$9,0),FALSE)/5.8</f>
        <v>126.22441288316529</v>
      </c>
      <c r="BR14" s="80">
        <f>VLOOKUP($A14,'Production - Oil'!$A$9:$CD$56,MATCH('Production - Total'!BR$9,'Production - Oil'!$A$9:$CD$9,0),FALSE)+VLOOKUP($A14,'Production - Gas'!$A$9:$CD$56,MATCH('Production - Total'!BR$9,'Production - Gas'!$A$9:$CD$9,0),FALSE)/5.8</f>
        <v>117.0411107710932</v>
      </c>
      <c r="BS14" s="80">
        <f>VLOOKUP($A14,'Production - Oil'!$A$9:$CD$56,MATCH('Production - Total'!BS$9,'Production - Oil'!$A$9:$CD$9,0),FALSE)+VLOOKUP($A14,'Production - Gas'!$A$9:$CD$56,MATCH('Production - Total'!BS$9,'Production - Gas'!$A$9:$CD$9,0),FALSE)/5.8</f>
        <v>124.17377172310799</v>
      </c>
      <c r="BT14" s="39">
        <f>VLOOKUP($A14,'Production - Oil'!$A$9:$CD$56,MATCH('Production - Total'!BT$9,'Production - Oil'!$A$9:$CD$9,0),FALSE)+VLOOKUP($A14,'Production - Gas'!$A$9:$CD$56,MATCH('Production - Total'!BT$9,'Production - Gas'!$A$9:$CD$9,0),FALSE)/5.8</f>
        <v>125.76517241379312</v>
      </c>
      <c r="BU14" s="80">
        <f>VLOOKUP($A14,'Production - Oil'!$A$9:$CD$56,MATCH('Production - Total'!BU$9,'Production - Oil'!$A$9:$CD$9,0),FALSE)+VLOOKUP($A14,'Production - Gas'!$A$9:$CD$56,MATCH('Production - Total'!BU$9,'Production - Gas'!$A$9:$CD$9,0),FALSE)/5.8</f>
        <v>148.86282232851653</v>
      </c>
      <c r="BV14" s="80">
        <f>VLOOKUP($A14,'Production - Oil'!$A$9:$CD$56,MATCH('Production - Total'!BV$9,'Production - Oil'!$A$9:$CD$9,0),FALSE)+VLOOKUP($A14,'Production - Gas'!$A$9:$CD$56,MATCH('Production - Total'!BV$9,'Production - Gas'!$A$9:$CD$9,0),FALSE)/5.8</f>
        <v>142.60194510388277</v>
      </c>
      <c r="BW14" s="80">
        <f>VLOOKUP($A14,'Production - Oil'!$A$9:$CD$56,MATCH('Production - Total'!BW$9,'Production - Oil'!$A$9:$CD$9,0),FALSE)+VLOOKUP($A14,'Production - Gas'!$A$9:$CD$56,MATCH('Production - Total'!BW$9,'Production - Gas'!$A$9:$CD$9,0),FALSE)/5.8</f>
        <v>131.2986946588255</v>
      </c>
      <c r="BX14" s="80">
        <f>VLOOKUP($A14,'Production - Oil'!$A$9:$CD$56,MATCH('Production - Total'!BX$9,'Production - Oil'!$A$9:$CD$9,0),FALSE)+VLOOKUP($A14,'Production - Gas'!$A$9:$CD$56,MATCH('Production - Total'!BX$9,'Production - Gas'!$A$9:$CD$9,0),FALSE)/5.8</f>
        <v>140.07791721912002</v>
      </c>
      <c r="BY14" s="39">
        <f>VLOOKUP($A14,'Production - Oil'!$A$9:$CD$56,MATCH('Production - Total'!BY$9,'Production - Oil'!$A$9:$CD$9,0),FALSE)+VLOOKUP($A14,'Production - Gas'!$A$9:$CD$56,MATCH('Production - Total'!BY$9,'Production - Gas'!$A$9:$CD$9,0),FALSE)/5.8</f>
        <v>140.7103448275862</v>
      </c>
      <c r="BZ14" s="80">
        <f>VLOOKUP($A14,'Production - Oil'!$A$9:$CD$56,MATCH('Production - Total'!BZ$9,'Production - Oil'!$A$9:$CD$9,0),FALSE)+VLOOKUP($A14,'Production - Gas'!$A$9:$CD$56,MATCH('Production - Total'!BZ$9,'Production - Gas'!$A$9:$CD$9,0),FALSE)/5.8</f>
        <v>164.83010462660826</v>
      </c>
      <c r="CA14" s="80">
        <f>VLOOKUP($A14,'Production - Oil'!$A$9:$CD$56,MATCH('Production - Total'!CA$9,'Production - Oil'!$A$9:$CD$9,0),FALSE)+VLOOKUP($A14,'Production - Gas'!$A$9:$CD$56,MATCH('Production - Total'!CA$9,'Production - Gas'!$A$9:$CD$9,0),FALSE)/5.8</f>
        <v>155.8850002395377</v>
      </c>
      <c r="CB14" s="80">
        <f>VLOOKUP($A14,'Production - Oil'!$A$9:$CD$56,MATCH('Production - Total'!CB$9,'Production - Oil'!$A$9:$CD$9,0),FALSE)+VLOOKUP($A14,'Production - Gas'!$A$9:$CD$56,MATCH('Production - Total'!CB$9,'Production - Gas'!$A$9:$CD$9,0),FALSE)/5.8</f>
        <v>139.73570493848618</v>
      </c>
      <c r="CC14" s="80">
        <f>VLOOKUP($A14,'Production - Oil'!$A$9:$CD$56,MATCH('Production - Total'!CC$9,'Production - Oil'!$A$9:$CD$9,0),FALSE)+VLOOKUP($A14,'Production - Gas'!$A$9:$CD$56,MATCH('Production - Total'!CC$9,'Production - Gas'!$A$9:$CD$9,0),FALSE)/5.8</f>
        <v>152.27884536778166</v>
      </c>
      <c r="CD14" s="39">
        <f>VLOOKUP($A14,'Production - Oil'!$A$9:$CD$56,MATCH('Production - Total'!CD$9,'Production - Oil'!$A$9:$CD$9,0),FALSE)+VLOOKUP($A14,'Production - Gas'!$A$9:$CD$56,MATCH('Production - Total'!CD$9,'Production - Gas'!$A$9:$CD$9,0),FALSE)/5.8</f>
        <v>153.18241379310345</v>
      </c>
    </row>
    <row r="15" spans="1:82" ht="12.75" customHeight="1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68"/>
      <c r="AH15" s="68"/>
      <c r="AI15" s="68"/>
      <c r="AJ15" s="68"/>
      <c r="AK15" s="11"/>
      <c r="AL15" s="68"/>
      <c r="AM15" s="68"/>
      <c r="AN15" s="68"/>
      <c r="AO15" s="68"/>
      <c r="AP15" s="11"/>
      <c r="AQ15" s="68"/>
      <c r="AR15" s="68"/>
      <c r="AS15" s="68"/>
      <c r="AT15" s="68"/>
      <c r="AU15" s="11"/>
      <c r="AV15" s="68"/>
      <c r="AW15" s="68"/>
      <c r="AX15" s="68"/>
      <c r="AY15" s="68"/>
      <c r="AZ15" s="11"/>
      <c r="BA15" s="68"/>
      <c r="BB15" s="68"/>
      <c r="BC15" s="68"/>
      <c r="BD15" s="68"/>
      <c r="BE15" s="11"/>
      <c r="BF15" s="68"/>
      <c r="BG15" s="68"/>
      <c r="BH15" s="68"/>
      <c r="BI15" s="68"/>
      <c r="BJ15" s="11"/>
      <c r="BK15" s="68"/>
      <c r="BL15" s="68"/>
      <c r="BM15" s="68"/>
      <c r="BN15" s="68"/>
      <c r="BO15" s="11"/>
      <c r="BP15" s="68"/>
      <c r="BQ15" s="68"/>
      <c r="BR15" s="68"/>
      <c r="BS15" s="68"/>
      <c r="BT15" s="11"/>
      <c r="BU15" s="68"/>
      <c r="BV15" s="68"/>
      <c r="BW15" s="68"/>
      <c r="BX15" s="68"/>
      <c r="BY15" s="11"/>
      <c r="BZ15" s="68"/>
      <c r="CA15" s="68"/>
      <c r="CB15" s="68"/>
      <c r="CC15" s="68"/>
      <c r="CD15" s="11"/>
    </row>
    <row r="16" spans="1:82" ht="12.75" customHeight="1">
      <c r="A16" s="39" t="s">
        <v>310</v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68"/>
      <c r="AH16" s="68"/>
      <c r="AI16" s="68"/>
      <c r="AJ16" s="68"/>
      <c r="AK16" s="11"/>
      <c r="AL16" s="68"/>
      <c r="AM16" s="68"/>
      <c r="AN16" s="68"/>
      <c r="AO16" s="68"/>
      <c r="AP16" s="11"/>
      <c r="AQ16" s="68"/>
      <c r="AR16" s="68"/>
      <c r="AS16" s="68"/>
      <c r="AT16" s="68"/>
      <c r="AU16" s="11"/>
      <c r="AV16" s="68"/>
      <c r="AW16" s="68"/>
      <c r="AX16" s="68"/>
      <c r="AY16" s="68"/>
      <c r="AZ16" s="11"/>
      <c r="BA16" s="68"/>
      <c r="BB16" s="68"/>
      <c r="BC16" s="68"/>
      <c r="BD16" s="68"/>
      <c r="BE16" s="11"/>
      <c r="BF16" s="68"/>
      <c r="BG16" s="68"/>
      <c r="BH16" s="68"/>
      <c r="BI16" s="68"/>
      <c r="BJ16" s="11"/>
      <c r="BK16" s="68"/>
      <c r="BL16" s="68"/>
      <c r="BM16" s="68"/>
      <c r="BN16" s="68"/>
      <c r="BO16" s="11"/>
      <c r="BP16" s="68"/>
      <c r="BQ16" s="68"/>
      <c r="BR16" s="68"/>
      <c r="BS16" s="68"/>
      <c r="BT16" s="11"/>
      <c r="BU16" s="68"/>
      <c r="BV16" s="68"/>
      <c r="BW16" s="68"/>
      <c r="BX16" s="68"/>
      <c r="BY16" s="11"/>
      <c r="BZ16" s="68"/>
      <c r="CA16" s="68"/>
      <c r="CB16" s="68"/>
      <c r="CC16" s="68"/>
      <c r="CD16" s="11"/>
    </row>
    <row r="17" spans="1:82">
      <c r="A17" s="11"/>
      <c r="B17" s="11" t="s">
        <v>728</v>
      </c>
      <c r="C17" s="11">
        <f>IF(ISERROR(MATCH($B17,'Production - Oil'!$B$11:$B$54,0)),0,VLOOKUP($B17,'Production - Oil'!$B$11:$CD$54,MATCH('Production - Total'!C$9,'Production - Oil'!$B$9:$CD$9),FALSE))+IF(ISERROR(MATCH($B17,'Production - Gas'!$B$11:$B$54,0)),0,VLOOKUP($B17,'Production - Gas'!$B$11:$CD$54,MATCH('Production - Total'!C$9,'Production - Gas'!$B$9:$CD$9),FALSE)/5.8)</f>
        <v>1356.7586206896553</v>
      </c>
      <c r="D17" s="11">
        <f>IF(ISERROR(MATCH($B17,'Production - Oil'!$B$11:$B$54,0)),0,VLOOKUP($B17,'Production - Oil'!$B$11:$CD$54,MATCH('Production - Total'!D$9,'Production - Oil'!$B$9:$CD$9),FALSE))+IF(ISERROR(MATCH($B17,'Production - Gas'!$B$11:$B$54,0)),0,VLOOKUP($B17,'Production - Gas'!$B$11:$CD$54,MATCH('Production - Total'!D$9,'Production - Gas'!$B$9:$CD$9),FALSE)/5.8)</f>
        <v>1365.5172413793102</v>
      </c>
      <c r="E17" s="11">
        <f>IF(ISERROR(MATCH($B17,'Production - Oil'!$B$11:$B$54,0)),0,VLOOKUP($B17,'Production - Oil'!$B$11:$CD$54,MATCH('Production - Total'!E$9,'Production - Oil'!$B$9:$CD$9),FALSE))+IF(ISERROR(MATCH($B17,'Production - Gas'!$B$11:$B$54,0)),0,VLOOKUP($B17,'Production - Gas'!$B$11:$CD$54,MATCH('Production - Total'!E$9,'Production - Gas'!$B$9:$CD$9),FALSE)/5.8)</f>
        <v>1265.3103448275863</v>
      </c>
      <c r="F17" s="11">
        <f>IF(ISERROR(MATCH($B17,'Production - Oil'!$B$11:$B$54,0)),0,VLOOKUP($B17,'Production - Oil'!$B$11:$CD$54,MATCH('Production - Total'!F$9,'Production - Oil'!$B$9:$CD$9),FALSE))+IF(ISERROR(MATCH($B17,'Production - Gas'!$B$11:$B$54,0)),0,VLOOKUP($B17,'Production - Gas'!$B$11:$CD$54,MATCH('Production - Total'!F$9,'Production - Gas'!$B$9:$CD$9),FALSE)/5.8)</f>
        <v>1139.9655172413793</v>
      </c>
      <c r="G17" s="11">
        <f>IF(ISERROR(MATCH($B17,'Production - Oil'!$B$11:$B$54,0)),0,VLOOKUP($B17,'Production - Oil'!$B$11:$CD$54,MATCH('Production - Total'!G$9,'Production - Oil'!$B$9:$CD$9),FALSE))+IF(ISERROR(MATCH($B17,'Production - Gas'!$B$11:$B$54,0)),0,VLOOKUP($B17,'Production - Gas'!$B$11:$CD$54,MATCH('Production - Total'!G$9,'Production - Gas'!$B$9:$CD$9),FALSE)/5.8)</f>
        <v>1050.9655172413793</v>
      </c>
      <c r="H17" s="11"/>
      <c r="I17" s="11"/>
      <c r="J17" s="11"/>
      <c r="K17" s="11"/>
      <c r="L17" s="11">
        <f>IF(ISERROR(MATCH($B17,'Production - Oil'!$B$11:$B$54,0)),0,VLOOKUP($B17,'Production - Oil'!$B$11:$CD$54,MATCH('Production - Total'!L$9,'Production - Oil'!$B$9:$CD$9),FALSE))+IF(ISERROR(MATCH($B17,'Production - Gas'!$B$11:$B$54,0)),0,VLOOKUP($B17,'Production - Gas'!$B$11:$CD$54,MATCH('Production - Total'!L$9,'Production - Gas'!$B$9:$CD$9),FALSE)/5.8)</f>
        <v>956.65517241379314</v>
      </c>
      <c r="M17" s="11"/>
      <c r="N17" s="11"/>
      <c r="O17" s="11"/>
      <c r="P17" s="11"/>
      <c r="Q17" s="11">
        <f>IF(ISERROR(MATCH($B17,'Production - Oil'!$B$11:$B$54,0)),0,VLOOKUP($B17,'Production - Oil'!$B$11:$CD$54,MATCH('Production - Total'!Q$9,'Production - Oil'!$B$9:$CD$9),FALSE))+IF(ISERROR(MATCH($B17,'Production - Gas'!$B$11:$B$54,0)),0,VLOOKUP($B17,'Production - Gas'!$B$11:$CD$54,MATCH('Production - Total'!Q$9,'Production - Gas'!$B$9:$CD$9),FALSE)/5.8)</f>
        <v>887.82758620689651</v>
      </c>
      <c r="R17" s="11"/>
      <c r="S17" s="11"/>
      <c r="T17" s="11"/>
      <c r="U17" s="11"/>
      <c r="V17" s="11">
        <f>IF(ISERROR(MATCH($B17,'Production - Oil'!$B$11:$B$54,0)),0,VLOOKUP($B17,'Production - Oil'!$B$11:$CD$54,MATCH('Production - Total'!V$9,'Production - Oil'!$B$9:$CD$9),FALSE))+IF(ISERROR(MATCH($B17,'Production - Gas'!$B$11:$B$54,0)),0,VLOOKUP($B17,'Production - Gas'!$B$11:$CD$54,MATCH('Production - Total'!V$9,'Production - Gas'!$B$9:$CD$9),FALSE)/5.8)</f>
        <v>909.89655172413791</v>
      </c>
      <c r="W17" s="11"/>
      <c r="X17" s="11"/>
      <c r="Y17" s="11"/>
      <c r="Z17" s="11"/>
      <c r="AA17" s="11">
        <f>IF(ISERROR(MATCH($B17,'Production - Oil'!$B$11:$B$54,0)),0,VLOOKUP($B17,'Production - Oil'!$B$11:$CD$54,MATCH('Production - Total'!AA$9,'Production - Oil'!$B$9:$CD$9),FALSE))+IF(ISERROR(MATCH($B17,'Production - Gas'!$B$11:$B$54,0)),0,VLOOKUP($B17,'Production - Gas'!$B$11:$CD$54,MATCH('Production - Total'!AA$9,'Production - Gas'!$B$9:$CD$9),FALSE)/5.8)</f>
        <v>1064.3103448275863</v>
      </c>
      <c r="AB17" s="11"/>
      <c r="AC17" s="11"/>
      <c r="AD17" s="11"/>
      <c r="AE17" s="11"/>
      <c r="AF17" s="11">
        <f>IF(ISERROR(MATCH($B17,'Production - Oil'!$B$11:$B$54,0)),0,VLOOKUP($B17,'Production - Oil'!$B$11:$CD$54,MATCH('Production - Total'!AF$9,'Production - Oil'!$B$9:$CD$9),FALSE))+IF(ISERROR(MATCH($B17,'Production - Gas'!$B$11:$B$54,0)),0,VLOOKUP($B17,'Production - Gas'!$B$11:$CD$54,MATCH('Production - Total'!AF$9,'Production - Gas'!$B$9:$CD$9),FALSE)/5.8)</f>
        <v>970.55172413793105</v>
      </c>
      <c r="AG17" s="68">
        <f>VLOOKUP($B17,'Production - Oil'!$B$9:$CD$56,MATCH('Production - Total'!AG$9,'Production - Oil'!$B$9:$CD$9,0),FALSE)+VLOOKUP($B17,'Production - Gas'!$B9:$CD$56,MATCH('Production - Total'!AG$9,'Production - Gas'!$B$9:$CD$9,0),FALSE)/5.8</f>
        <v>0</v>
      </c>
      <c r="AH17" s="68">
        <f>VLOOKUP($B17,'Production - Oil'!$B$9:$CD$56,MATCH('Production - Total'!AH$9,'Production - Oil'!$B$9:$CD$9,0),FALSE)+VLOOKUP($B17,'Production - Gas'!$B9:$CD$56,MATCH('Production - Total'!AH$9,'Production - Gas'!$B$9:$CD$9,0),FALSE)/5.8</f>
        <v>0</v>
      </c>
      <c r="AI17" s="68">
        <f>VLOOKUP($B17,'Production - Oil'!$B$9:$CD$56,MATCH('Production - Total'!AI$9,'Production - Oil'!$B$9:$CD$9,0),FALSE)+VLOOKUP($B17,'Production - Gas'!$B9:$CD$56,MATCH('Production - Total'!AI$9,'Production - Gas'!$B$9:$CD$9,0),FALSE)/5.8</f>
        <v>0</v>
      </c>
      <c r="AJ17" s="68">
        <f>VLOOKUP($B17,'Production - Oil'!$B$9:$CD$56,MATCH('Production - Total'!AJ$9,'Production - Oil'!$B$9:$CD$9,0),FALSE)+VLOOKUP($B17,'Production - Gas'!$B9:$CD$56,MATCH('Production - Total'!AJ$9,'Production - Gas'!$B$9:$CD$9,0),FALSE)/5.8</f>
        <v>0</v>
      </c>
      <c r="AK17" s="11">
        <f>IF(ISERROR(MATCH($B17,'Production - Oil'!$B$11:$B$54,0)),0,VLOOKUP($B17,'Production - Oil'!$B$11:$CD$54,MATCH('Production - Total'!AK$9,'Production - Oil'!$B$9:$CD$9),FALSE))+IF(ISERROR(MATCH($B17,'Production - Gas'!$B$11:$B$54,0)),0,VLOOKUP($B17,'Production - Gas'!$B$11:$CD$54,MATCH('Production - Total'!AK$9,'Production - Gas'!$B$9:$CD$9),FALSE)/5.8)</f>
        <v>770.75862068965512</v>
      </c>
      <c r="AL17" s="68">
        <f>VLOOKUP($B17,'Production - Oil'!$B$9:$CD$56,MATCH('Production - Total'!AL$9,'Production - Oil'!$B$9:$CD$9,0),FALSE)+VLOOKUP($B17,'Production - Gas'!$B9:$CD$56,MATCH('Production - Total'!AL$9,'Production - Gas'!$B$9:$CD$9,0),FALSE)/5.8</f>
        <v>0</v>
      </c>
      <c r="AM17" s="68">
        <f>VLOOKUP($B17,'Production - Oil'!$B$9:$CD$56,MATCH('Production - Total'!AM$9,'Production - Oil'!$B$9:$CD$9,0),FALSE)+VLOOKUP($B17,'Production - Gas'!$B9:$CD$56,MATCH('Production - Total'!AM$9,'Production - Gas'!$B$9:$CD$9,0),FALSE)/5.8</f>
        <v>0</v>
      </c>
      <c r="AN17" s="68">
        <f>VLOOKUP($B17,'Production - Oil'!$B$9:$CD$56,MATCH('Production - Total'!AN$9,'Production - Oil'!$B$9:$CD$9,0),FALSE)+VLOOKUP($B17,'Production - Gas'!$B9:$CD$56,MATCH('Production - Total'!AN$9,'Production - Gas'!$B$9:$CD$9,0),FALSE)/5.8</f>
        <v>0</v>
      </c>
      <c r="AO17" s="68">
        <f>VLOOKUP($B17,'Production - Oil'!$B$9:$CD$56,MATCH('Production - Total'!AO$9,'Production - Oil'!$B$9:$CD$9,0),FALSE)+VLOOKUP($B17,'Production - Gas'!$B9:$CD$56,MATCH('Production - Total'!AO$9,'Production - Gas'!$B$9:$CD$9,0),FALSE)/5.8</f>
        <v>0</v>
      </c>
      <c r="AP17" s="11">
        <f>IF(ISERROR(MATCH($B17,'Production - Oil'!$B$11:$B$54,0)),0,VLOOKUP($B17,'Production - Oil'!$B$11:$CD$54,MATCH('Production - Total'!AP$9,'Production - Oil'!$B$9:$CD$9),FALSE))+IF(ISERROR(MATCH($B17,'Production - Gas'!$B$11:$B$54,0)),0,VLOOKUP($B17,'Production - Gas'!$B$11:$CD$54,MATCH('Production - Total'!AP$9,'Production - Gas'!$B$9:$CD$9),FALSE)/5.8)</f>
        <v>674.65517241379314</v>
      </c>
      <c r="AQ17" s="82"/>
      <c r="AR17" s="82"/>
      <c r="AS17" s="82"/>
      <c r="AT17" s="82"/>
      <c r="AU17" s="11">
        <f>IF(ISERROR(MATCH($B17,'Production - Oil'!$B$11:$B$54,0)),0,VLOOKUP($B17,'Production - Oil'!$B$11:$CD$54,MATCH('Production - Total'!AU$9,'Production - Oil'!$B$9:$CD$9),FALSE))+IF(ISERROR(MATCH($B17,'Production - Gas'!$B$11:$B$54,0)),0,VLOOKUP($B17,'Production - Gas'!$B$11:$CD$54,MATCH('Production - Total'!AU$9,'Production - Gas'!$B$9:$CD$9),FALSE)/5.8)</f>
        <v>628.34482758620697</v>
      </c>
      <c r="AV17" s="82"/>
      <c r="AW17" s="82"/>
      <c r="AX17" s="82"/>
      <c r="AY17" s="82"/>
      <c r="AZ17" s="11">
        <f>IF(ISERROR(MATCH($B17,'Production - Oil'!$B$11:$B$54,0)),0,VLOOKUP($B17,'Production - Oil'!$B$11:$CD$54,MATCH('Production - Total'!AZ$9,'Production - Oil'!$B$9:$CD$9),FALSE))+IF(ISERROR(MATCH($B17,'Production - Gas'!$B$11:$B$54,0)),0,VLOOKUP($B17,'Production - Gas'!$B$11:$CD$54,MATCH('Production - Total'!AZ$9,'Production - Gas'!$B$9:$CD$9),FALSE)/5.8)</f>
        <v>671.89655172413791</v>
      </c>
      <c r="BA17" s="82"/>
      <c r="BB17" s="82"/>
      <c r="BC17" s="82"/>
      <c r="BD17" s="82"/>
      <c r="BE17" s="11">
        <f>IF(ISERROR(MATCH($B17,'Production - Oil'!$B$11:$B$54,0)),0,VLOOKUP($B17,'Production - Oil'!$B$11:$CD$54,MATCH('Production - Total'!BE$9,'Production - Oil'!$B$9:$CD$9),FALSE))+IF(ISERROR(MATCH($B17,'Production - Gas'!$B$11:$B$54,0)),0,VLOOKUP($B17,'Production - Gas'!$B$11:$CD$54,MATCH('Production - Total'!BE$9,'Production - Gas'!$B$9:$CD$9),FALSE)/5.8)</f>
        <v>642.44827586206895</v>
      </c>
      <c r="BF17" s="82"/>
      <c r="BG17" s="82"/>
      <c r="BH17" s="82"/>
      <c r="BI17" s="82"/>
      <c r="BJ17" s="11">
        <f>IF(ISERROR(MATCH($B17,'Production - Oil'!$B$11:$B$54,0)),0,VLOOKUP($B17,'Production - Oil'!$B$11:$CD$54,MATCH('Production - Total'!BJ$9,'Production - Oil'!$B$9:$CD$9),FALSE))+IF(ISERROR(MATCH($B17,'Production - Gas'!$B$11:$B$54,0)),0,VLOOKUP($B17,'Production - Gas'!$B$11:$CD$54,MATCH('Production - Total'!BJ$9,'Production - Gas'!$B$9:$CD$9),FALSE)/5.8)</f>
        <v>676.51724137931035</v>
      </c>
      <c r="BK17" s="82"/>
      <c r="BL17" s="82"/>
      <c r="BM17" s="82"/>
      <c r="BN17" s="82"/>
      <c r="BO17" s="11">
        <f>'Production - Oil'!BO17+'Production - Gas'!BO17/5.8</f>
        <v>712.0344827586207</v>
      </c>
      <c r="BP17" s="68">
        <f>VLOOKUP($B17,'Production - Oil'!$B$9:$CD$56,MATCH('Production - Total'!BP$9,'Production - Oil'!$B$9:$CD$9,0),FALSE)+VLOOKUP($B17,'Production - Gas'!$B9:$CD$56,MATCH('Production - Total'!BP$9,'Production - Gas'!$B$9:$CD$9,0),FALSE)/5.8</f>
        <v>735.09344393279343</v>
      </c>
      <c r="BQ17" s="68">
        <f>VLOOKUP($B17,'Production - Oil'!$B$9:$CD$56,MATCH('Production - Total'!BQ$9,'Production - Oil'!$B$9:$CD$9,0),FALSE)+VLOOKUP($B17,'Production - Gas'!$B9:$CD$56,MATCH('Production - Total'!BQ$9,'Production - Gas'!$B$9:$CD$9,0),FALSE)/5.8</f>
        <v>732.34210968472485</v>
      </c>
      <c r="BR17" s="68">
        <f>VLOOKUP($B17,'Production - Oil'!$B$9:$CD$56,MATCH('Production - Total'!BR$9,'Production - Oil'!$B$9:$CD$9,0),FALSE)+VLOOKUP($B17,'Production - Gas'!$B9:$CD$56,MATCH('Production - Total'!BR$9,'Production - Gas'!$B$9:$CD$9,0),FALSE)/5.8</f>
        <v>727.62390477600638</v>
      </c>
      <c r="BS17" s="68">
        <f>VLOOKUP($B17,'Production - Oil'!$B$9:$CD$56,MATCH('Production - Total'!BS$9,'Production - Oil'!$B$9:$CD$9,0),FALSE)+VLOOKUP($B17,'Production - Gas'!$B9:$CD$56,MATCH('Production - Total'!BS$9,'Production - Gas'!$B$9:$CD$9,0),FALSE)/5.8</f>
        <v>728.3709250547513</v>
      </c>
      <c r="BT17" s="47">
        <f>VLOOKUP($B17,'Production - Oil'!$B$9:$CD$56,MATCH('Production - Total'!BT$9,'Production - Oil'!$B$9:$CD$9,0),FALSE)+VLOOKUP($B17,'Production - Gas'!$B9:$CD$56,MATCH('Production - Total'!BT$9,'Production - Gas'!$B$9:$CD$9,0),FALSE)/5.8</f>
        <v>730.85759586206905</v>
      </c>
      <c r="BU17" s="68">
        <f>VLOOKUP($B17,'Production - Oil'!$B$9:$CD$56,MATCH('Production - Total'!BU$9,'Production - Oil'!$B$9:$CD$9,0),FALSE)+VLOOKUP($B17,'Production - Gas'!$B9:$CD$56,MATCH('Production - Total'!BU$9,'Production - Gas'!$B$9:$CD$9,0),FALSE)/5.8</f>
        <v>760.00737272639776</v>
      </c>
      <c r="BV17" s="68">
        <f>VLOOKUP($B17,'Production - Oil'!$B$9:$CD$56,MATCH('Production - Total'!BV$9,'Production - Oil'!$B$9:$CD$9,0),FALSE)+VLOOKUP($B17,'Production - Gas'!$B9:$CD$56,MATCH('Production - Total'!BV$9,'Production - Gas'!$B$9:$CD$9,0),FALSE)/5.8</f>
        <v>757.00377194175053</v>
      </c>
      <c r="BW17" s="68">
        <f>VLOOKUP($B17,'Production - Oil'!$B$9:$CD$56,MATCH('Production - Total'!BW$9,'Production - Oil'!$B$9:$CD$9,0),FALSE)+VLOOKUP($B17,'Production - Gas'!$B9:$CD$56,MATCH('Production - Total'!BW$9,'Production - Gas'!$B$9:$CD$9,0),FALSE)/5.8</f>
        <v>751.85296048512669</v>
      </c>
      <c r="BX17" s="68">
        <f>VLOOKUP($B17,'Production - Oil'!$B$9:$CD$56,MATCH('Production - Total'!BX$9,'Production - Oil'!$B$9:$CD$9,0),FALSE)+VLOOKUP($B17,'Production - Gas'!$B9:$CD$56,MATCH('Production - Total'!BX$9,'Production - Gas'!$B$9:$CD$9,0),FALSE)/5.8</f>
        <v>752.66847415707002</v>
      </c>
      <c r="BY17" s="47">
        <f>VLOOKUP($B17,'Production - Oil'!$B$9:$CD$56,MATCH('Production - Total'!BY$9,'Production - Oil'!$B$9:$CD$9,0),FALSE)+VLOOKUP($B17,'Production - Gas'!$B9:$CD$56,MATCH('Production - Total'!BY$9,'Production - Gas'!$B$9:$CD$9,0),FALSE)/5.8</f>
        <v>755.38314482758619</v>
      </c>
      <c r="BZ17" s="68">
        <f>VLOOKUP($B17,'Production - Oil'!$B$9:$CD$56,MATCH('Production - Total'!BZ$9,'Production - Oil'!$B$9:$CD$9,0),FALSE)+VLOOKUP($B17,'Production - Gas'!$B9:$CD$56,MATCH('Production - Total'!BZ$9,'Production - Gas'!$B$9:$CD$9,0),FALSE)/5.8</f>
        <v>747.72775087070431</v>
      </c>
      <c r="CA17" s="68">
        <f>VLOOKUP($B17,'Production - Oil'!$B$9:$CD$56,MATCH('Production - Total'!CA$9,'Production - Oil'!$B$9:$CD$9,0),FALSE)+VLOOKUP($B17,'Production - Gas'!$B9:$CD$56,MATCH('Production - Total'!CA$9,'Production - Gas'!$B$9:$CD$9,0),FALSE)/5.8</f>
        <v>744.63645815783184</v>
      </c>
      <c r="CB17" s="68">
        <f>VLOOKUP($B17,'Production - Oil'!$B$9:$CD$56,MATCH('Production - Total'!CB$9,'Production - Oil'!$B$9:$CD$9,0),FALSE)+VLOOKUP($B17,'Production - Gas'!$B9:$CD$56,MATCH('Production - Total'!CB$9,'Production - Gas'!$B$9:$CD$9,0),FALSE)/5.8</f>
        <v>739.33526566826072</v>
      </c>
      <c r="CC17" s="68">
        <f>VLOOKUP($B17,'Production - Oil'!$B$9:$CD$56,MATCH('Production - Total'!CC$9,'Production - Oil'!$B$9:$CD$9,0),FALSE)+VLOOKUP($B17,'Production - Gas'!$B9:$CD$56,MATCH('Production - Total'!CC$9,'Production - Gas'!$B$9:$CD$9,0),FALSE)/5.8</f>
        <v>740.17458875147884</v>
      </c>
      <c r="CD17" s="47">
        <f>VLOOKUP($B17,'Production - Oil'!$B$9:$CD$56,MATCH('Production - Total'!CD$9,'Production - Oil'!$B$9:$CD$9,0),FALSE)+VLOOKUP($B17,'Production - Gas'!$B9:$CD$56,MATCH('Production - Total'!CD$9,'Production - Gas'!$B$9:$CD$9,0),FALSE)/5.8</f>
        <v>742.9685158620689</v>
      </c>
    </row>
    <row r="18" spans="1:82">
      <c r="A18" s="11"/>
      <c r="B18" s="11" t="s">
        <v>727</v>
      </c>
      <c r="C18" s="11">
        <f>IF(ISERROR(MATCH($B18,'Production - Oil'!$B$11:$B$54,0)),0,VLOOKUP($B18,'Production - Oil'!$B$11:$CD$54,MATCH('Production - Total'!C$9,'Production - Oil'!$B$9:$CD$9),FALSE))+IF(ISERROR(MATCH($B18,'Production - Gas'!$B$11:$B$54,0)),0,VLOOKUP($B18,'Production - Gas'!$B$11:$CD$54,MATCH('Production - Total'!C$9,'Production - Gas'!$B$9:$CD$9),FALSE)/5.8)</f>
        <v>118.68965517241379</v>
      </c>
      <c r="D18" s="11">
        <f>IF(ISERROR(MATCH($B18,'Production - Oil'!$B$11:$B$54,0)),0,VLOOKUP($B18,'Production - Oil'!$B$11:$CD$54,MATCH('Production - Total'!D$9,'Production - Oil'!$B$9:$CD$9),FALSE))+IF(ISERROR(MATCH($B18,'Production - Gas'!$B$11:$B$54,0)),0,VLOOKUP($B18,'Production - Gas'!$B$11:$CD$54,MATCH('Production - Total'!D$9,'Production - Gas'!$B$9:$CD$9),FALSE)/5.8)</f>
        <v>104.62068965517241</v>
      </c>
      <c r="E18" s="11">
        <f>IF(ISERROR(MATCH($B18,'Production - Oil'!$B$11:$B$54,0)),0,VLOOKUP($B18,'Production - Oil'!$B$11:$CD$54,MATCH('Production - Total'!E$9,'Production - Oil'!$B$9:$CD$9),FALSE))+IF(ISERROR(MATCH($B18,'Production - Gas'!$B$11:$B$54,0)),0,VLOOKUP($B18,'Production - Gas'!$B$11:$CD$54,MATCH('Production - Total'!E$9,'Production - Gas'!$B$9:$CD$9),FALSE)/5.8)</f>
        <v>85.758620689655174</v>
      </c>
      <c r="F18" s="11">
        <f>IF(ISERROR(MATCH($B18,'Production - Oil'!$B$11:$B$54,0)),0,VLOOKUP($B18,'Production - Oil'!$B$11:$CD$54,MATCH('Production - Total'!F$9,'Production - Oil'!$B$9:$CD$9),FALSE))+IF(ISERROR(MATCH($B18,'Production - Gas'!$B$11:$B$54,0)),0,VLOOKUP($B18,'Production - Gas'!$B$11:$CD$54,MATCH('Production - Total'!F$9,'Production - Gas'!$B$9:$CD$9),FALSE)/5.8)</f>
        <v>71.172413793103459</v>
      </c>
      <c r="G18" s="11">
        <f>IF(ISERROR(MATCH($B18,'Production - Oil'!$B$11:$B$54,0)),0,VLOOKUP($B18,'Production - Oil'!$B$11:$CD$54,MATCH('Production - Total'!G$9,'Production - Oil'!$B$9:$CD$9),FALSE))+IF(ISERROR(MATCH($B18,'Production - Gas'!$B$11:$B$54,0)),0,VLOOKUP($B18,'Production - Gas'!$B$11:$CD$54,MATCH('Production - Total'!G$9,'Production - Gas'!$B$9:$CD$9),FALSE)/5.8)</f>
        <v>62.931034482758619</v>
      </c>
      <c r="H18" s="11"/>
      <c r="I18" s="11"/>
      <c r="J18" s="11"/>
      <c r="K18" s="11"/>
      <c r="L18" s="11">
        <f>IF(ISERROR(MATCH($B18,'Production - Oil'!$B$11:$B$54,0)),0,VLOOKUP($B18,'Production - Oil'!$B$11:$CD$54,MATCH('Production - Total'!L$9,'Production - Oil'!$B$9:$CD$9),FALSE))+IF(ISERROR(MATCH($B18,'Production - Gas'!$B$11:$B$54,0)),0,VLOOKUP($B18,'Production - Gas'!$B$11:$CD$54,MATCH('Production - Total'!L$9,'Production - Gas'!$B$9:$CD$9),FALSE)/5.8)</f>
        <v>56.620689655172413</v>
      </c>
      <c r="M18" s="11"/>
      <c r="N18" s="11"/>
      <c r="O18" s="11"/>
      <c r="P18" s="11"/>
      <c r="Q18" s="11">
        <f>IF(ISERROR(MATCH($B18,'Production - Oil'!$B$11:$B$54,0)),0,VLOOKUP($B18,'Production - Oil'!$B$11:$CD$54,MATCH('Production - Total'!Q$9,'Production - Oil'!$B$9:$CD$9),FALSE))+IF(ISERROR(MATCH($B18,'Production - Gas'!$B$11:$B$54,0)),0,VLOOKUP($B18,'Production - Gas'!$B$11:$CD$54,MATCH('Production - Total'!Q$9,'Production - Gas'!$B$9:$CD$9),FALSE)/5.8)</f>
        <v>51.96551724137931</v>
      </c>
      <c r="R18" s="11"/>
      <c r="S18" s="11"/>
      <c r="T18" s="11"/>
      <c r="U18" s="11"/>
      <c r="V18" s="11">
        <f>IF(ISERROR(MATCH($B18,'Production - Oil'!$B$11:$B$54,0)),0,VLOOKUP($B18,'Production - Oil'!$B$11:$CD$54,MATCH('Production - Total'!V$9,'Production - Oil'!$B$9:$CD$9),FALSE))+IF(ISERROR(MATCH($B18,'Production - Gas'!$B$11:$B$54,0)),0,VLOOKUP($B18,'Production - Gas'!$B$11:$CD$54,MATCH('Production - Total'!V$9,'Production - Gas'!$B$9:$CD$9),FALSE)/5.8)</f>
        <v>51.241379310344826</v>
      </c>
      <c r="W18" s="11"/>
      <c r="X18" s="11"/>
      <c r="Y18" s="11"/>
      <c r="Z18" s="11"/>
      <c r="AA18" s="11">
        <f>IF(ISERROR(MATCH($B18,'Production - Oil'!$B$11:$B$54,0)),0,VLOOKUP($B18,'Production - Oil'!$B$11:$CD$54,MATCH('Production - Total'!AA$9,'Production - Oil'!$B$9:$CD$9),FALSE))+IF(ISERROR(MATCH($B18,'Production - Gas'!$B$11:$B$54,0)),0,VLOOKUP($B18,'Production - Gas'!$B$11:$CD$54,MATCH('Production - Total'!AA$9,'Production - Gas'!$B$9:$CD$9),FALSE)/5.8)</f>
        <v>53.344827586206897</v>
      </c>
      <c r="AB18" s="11"/>
      <c r="AC18" s="11"/>
      <c r="AD18" s="11"/>
      <c r="AE18" s="11"/>
      <c r="AF18" s="11">
        <f>IF(ISERROR(MATCH($B18,'Production - Oil'!$B$11:$B$54,0)),0,VLOOKUP($B18,'Production - Oil'!$B$11:$CD$54,MATCH('Production - Total'!AF$9,'Production - Oil'!$B$9:$CD$9),FALSE))+IF(ISERROR(MATCH($B18,'Production - Gas'!$B$11:$B$54,0)),0,VLOOKUP($B18,'Production - Gas'!$B$11:$CD$54,MATCH('Production - Total'!AF$9,'Production - Gas'!$B$9:$CD$9),FALSE)/5.8)</f>
        <v>41.827586206896555</v>
      </c>
      <c r="AG18" s="68">
        <f>VLOOKUP($B18,'Production - Oil'!$B$9:$CD$56,MATCH('Production - Total'!AG$9,'Production - Oil'!$B$9:$CD$9,0),FALSE)+VLOOKUP($B18,'Production - Gas'!$B10:$CD$56,MATCH('Production - Total'!AG$9,'Production - Gas'!$B$9:$CD$9,0),FALSE)/5.8</f>
        <v>0</v>
      </c>
      <c r="AH18" s="68">
        <f>VLOOKUP($B18,'Production - Oil'!$B$9:$CD$56,MATCH('Production - Total'!AH$9,'Production - Oil'!$B$9:$CD$9,0),FALSE)+VLOOKUP($B18,'Production - Gas'!$B10:$CD$56,MATCH('Production - Total'!AH$9,'Production - Gas'!$B$9:$CD$9,0),FALSE)/5.8</f>
        <v>0</v>
      </c>
      <c r="AI18" s="68">
        <f>VLOOKUP($B18,'Production - Oil'!$B$9:$CD$56,MATCH('Production - Total'!AI$9,'Production - Oil'!$B$9:$CD$9,0),FALSE)+VLOOKUP($B18,'Production - Gas'!$B10:$CD$56,MATCH('Production - Total'!AI$9,'Production - Gas'!$B$9:$CD$9,0),FALSE)/5.8</f>
        <v>0</v>
      </c>
      <c r="AJ18" s="68">
        <f>VLOOKUP($B18,'Production - Oil'!$B$9:$CD$56,MATCH('Production - Total'!AJ$9,'Production - Oil'!$B$9:$CD$9,0),FALSE)+VLOOKUP($B18,'Production - Gas'!$B10:$CD$56,MATCH('Production - Total'!AJ$9,'Production - Gas'!$B$9:$CD$9,0),FALSE)/5.8</f>
        <v>0</v>
      </c>
      <c r="AK18" s="11">
        <f>IF(ISERROR(MATCH($B18,'Production - Oil'!$B$11:$B$54,0)),0,VLOOKUP($B18,'Production - Oil'!$B$11:$CD$54,MATCH('Production - Total'!AK$9,'Production - Oil'!$B$9:$CD$9),FALSE))+IF(ISERROR(MATCH($B18,'Production - Gas'!$B$11:$B$54,0)),0,VLOOKUP($B18,'Production - Gas'!$B$11:$CD$54,MATCH('Production - Total'!AK$9,'Production - Gas'!$B$9:$CD$9),FALSE)/5.8)</f>
        <v>4.4137931034482758</v>
      </c>
      <c r="AL18" s="68">
        <f>VLOOKUP($B18,'Production - Oil'!$B$9:$CD$56,MATCH('Production - Total'!AL$9,'Production - Oil'!$B$9:$CD$9,0),FALSE)+VLOOKUP($B18,'Production - Gas'!$B10:$CD$56,MATCH('Production - Total'!AL$9,'Production - Gas'!$B$9:$CD$9,0),FALSE)/5.8</f>
        <v>0</v>
      </c>
      <c r="AM18" s="68">
        <f>VLOOKUP($B18,'Production - Oil'!$B$9:$CD$56,MATCH('Production - Total'!AM$9,'Production - Oil'!$B$9:$CD$9,0),FALSE)+VLOOKUP($B18,'Production - Gas'!$B10:$CD$56,MATCH('Production - Total'!AM$9,'Production - Gas'!$B$9:$CD$9,0),FALSE)/5.8</f>
        <v>0</v>
      </c>
      <c r="AN18" s="68">
        <f>VLOOKUP($B18,'Production - Oil'!$B$9:$CD$56,MATCH('Production - Total'!AN$9,'Production - Oil'!$B$9:$CD$9,0),FALSE)+VLOOKUP($B18,'Production - Gas'!$B10:$CD$56,MATCH('Production - Total'!AN$9,'Production - Gas'!$B$9:$CD$9,0),FALSE)/5.8</f>
        <v>0</v>
      </c>
      <c r="AO18" s="68">
        <f>VLOOKUP($B18,'Production - Oil'!$B$9:$CD$56,MATCH('Production - Total'!AO$9,'Production - Oil'!$B$9:$CD$9,0),FALSE)+VLOOKUP($B18,'Production - Gas'!$B10:$CD$56,MATCH('Production - Total'!AO$9,'Production - Gas'!$B$9:$CD$9,0),FALSE)/5.8</f>
        <v>0</v>
      </c>
      <c r="AP18" s="11">
        <f>IF(ISERROR(MATCH($B18,'Production - Oil'!$B$11:$B$54,0)),0,VLOOKUP($B18,'Production - Oil'!$B$11:$CD$54,MATCH('Production - Total'!AP$9,'Production - Oil'!$B$9:$CD$9),FALSE))+IF(ISERROR(MATCH($B18,'Production - Gas'!$B$11:$B$54,0)),0,VLOOKUP($B18,'Production - Gas'!$B$11:$CD$54,MATCH('Production - Total'!AP$9,'Production - Gas'!$B$9:$CD$9),FALSE)/5.8)</f>
        <v>3.2413793103448278</v>
      </c>
      <c r="AQ18" s="82"/>
      <c r="AR18" s="82"/>
      <c r="AS18" s="82"/>
      <c r="AT18" s="82"/>
      <c r="AU18" s="11">
        <f>IF(ISERROR(MATCH($B18,'Production - Oil'!$B$11:$B$54,0)),0,VLOOKUP($B18,'Production - Oil'!$B$11:$CD$54,MATCH('Production - Total'!AU$9,'Production - Oil'!$B$9:$CD$9),FALSE))+IF(ISERROR(MATCH($B18,'Production - Gas'!$B$11:$B$54,0)),0,VLOOKUP($B18,'Production - Gas'!$B$11:$CD$54,MATCH('Production - Total'!AU$9,'Production - Gas'!$B$9:$CD$9),FALSE)/5.8)</f>
        <v>1.896551724137931</v>
      </c>
      <c r="AV18" s="82"/>
      <c r="AW18" s="82"/>
      <c r="AX18" s="82"/>
      <c r="AY18" s="82"/>
      <c r="AZ18" s="11">
        <f>IF(ISERROR(MATCH($B18,'Production - Oil'!$B$11:$B$54,0)),0,VLOOKUP($B18,'Production - Oil'!$B$11:$CD$54,MATCH('Production - Total'!AZ$9,'Production - Oil'!$B$9:$CD$9),FALSE))+IF(ISERROR(MATCH($B18,'Production - Gas'!$B$11:$B$54,0)),0,VLOOKUP($B18,'Production - Gas'!$B$11:$CD$54,MATCH('Production - Total'!AZ$9,'Production - Gas'!$B$9:$CD$9),FALSE)/5.8)</f>
        <v>1.7241379310344829</v>
      </c>
      <c r="BA18" s="82"/>
      <c r="BB18" s="82"/>
      <c r="BC18" s="82"/>
      <c r="BD18" s="82"/>
      <c r="BE18" s="11">
        <f>IF(ISERROR(MATCH($B18,'Production - Oil'!$B$11:$B$54,0)),0,VLOOKUP($B18,'Production - Oil'!$B$11:$CD$54,MATCH('Production - Total'!BE$9,'Production - Oil'!$B$9:$CD$9),FALSE))+IF(ISERROR(MATCH($B18,'Production - Gas'!$B$11:$B$54,0)),0,VLOOKUP($B18,'Production - Gas'!$B$11:$CD$54,MATCH('Production - Total'!BE$9,'Production - Gas'!$B$9:$CD$9),FALSE)/5.8)</f>
        <v>4.7241379310344831</v>
      </c>
      <c r="BF18" s="82"/>
      <c r="BG18" s="82"/>
      <c r="BH18" s="82"/>
      <c r="BI18" s="82"/>
      <c r="BJ18" s="11">
        <f>IF(ISERROR(MATCH($B18,'Production - Oil'!$B$11:$B$54,0)),0,VLOOKUP($B18,'Production - Oil'!$B$11:$CD$54,MATCH('Production - Total'!BJ$9,'Production - Oil'!$B$9:$CD$9),FALSE))+IF(ISERROR(MATCH($B18,'Production - Gas'!$B$11:$B$54,0)),0,VLOOKUP($B18,'Production - Gas'!$B$11:$CD$54,MATCH('Production - Total'!BJ$9,'Production - Gas'!$B$9:$CD$9),FALSE)/5.8)</f>
        <v>14.724137931034482</v>
      </c>
      <c r="BK18" s="82"/>
      <c r="BL18" s="82"/>
      <c r="BM18" s="82"/>
      <c r="BN18" s="82"/>
      <c r="BO18" s="11">
        <f>'Production - Oil'!BO18+'Production - Gas'!BO18/5.8</f>
        <v>21.551724137931036</v>
      </c>
      <c r="BP18" s="68">
        <f>VLOOKUP($B18,'Production - Oil'!$B$9:$CD$56,MATCH('Production - Total'!BP$9,'Production - Oil'!$B$9:$CD$9,0),FALSE)+VLOOKUP($B18,'Production - Gas'!$B10:$CD$56,MATCH('Production - Total'!BP$9,'Production - Gas'!$B$9:$CD$9,0),FALSE)/5.8</f>
        <v>30.661157210986993</v>
      </c>
      <c r="BQ18" s="68">
        <f>VLOOKUP($B18,'Production - Oil'!$B$9:$CD$56,MATCH('Production - Total'!BQ$9,'Production - Oil'!$B$9:$CD$9,0),FALSE)+VLOOKUP($B18,'Production - Gas'!$B10:$CD$56,MATCH('Production - Total'!BQ$9,'Production - Gas'!$B$9:$CD$9,0),FALSE)/5.8</f>
        <v>30.626281664389989</v>
      </c>
      <c r="BR18" s="68">
        <f>VLOOKUP($B18,'Production - Oil'!$B$9:$CD$56,MATCH('Production - Total'!BR$9,'Production - Oil'!$B$9:$CD$9,0),FALSE)+VLOOKUP($B18,'Production - Gas'!$B10:$CD$56,MATCH('Production - Total'!BR$9,'Production - Gas'!$B$9:$CD$9,0),FALSE)/5.8</f>
        <v>30.635369816171981</v>
      </c>
      <c r="BS18" s="68">
        <f>VLOOKUP($B18,'Production - Oil'!$B$9:$CD$56,MATCH('Production - Total'!BS$9,'Production - Oil'!$B$9:$CD$9,0),FALSE)+VLOOKUP($B18,'Production - Gas'!$B10:$CD$56,MATCH('Production - Total'!BS$9,'Production - Gas'!$B$9:$CD$9,0),FALSE)/5.8</f>
        <v>30.650984411899312</v>
      </c>
      <c r="BT18" s="47">
        <f>VLOOKUP($B18,'Production - Oil'!$B$9:$CD$56,MATCH('Production - Total'!BT$9,'Production - Oil'!$B$9:$CD$9,0),FALSE)+VLOOKUP($B18,'Production - Gas'!$B10:$CD$56,MATCH('Production - Total'!BT$9,'Production - Gas'!$B$9:$CD$9,0),FALSE)/5.8</f>
        <v>30.64344827586207</v>
      </c>
      <c r="BU18" s="68">
        <f>VLOOKUP($B18,'Production - Oil'!$B$9:$CD$56,MATCH('Production - Total'!BU$9,'Production - Oil'!$B$9:$CD$9,0),FALSE)+VLOOKUP($B18,'Production - Gas'!$B10:$CD$56,MATCH('Production - Total'!BU$9,'Production - Gas'!$B$9:$CD$9,0),FALSE)/5.8</f>
        <v>28.198051026531658</v>
      </c>
      <c r="BV18" s="68">
        <f>VLOOKUP($B18,'Production - Oil'!$B$9:$CD$56,MATCH('Production - Total'!BV$9,'Production - Oil'!$B$9:$CD$9,0),FALSE)+VLOOKUP($B18,'Production - Gas'!$B10:$CD$56,MATCH('Production - Total'!BV$9,'Production - Gas'!$B$9:$CD$9,0),FALSE)/5.8</f>
        <v>28.165897248782834</v>
      </c>
      <c r="BW18" s="68">
        <f>VLOOKUP($B18,'Production - Oil'!$B$9:$CD$56,MATCH('Production - Total'!BW$9,'Production - Oil'!$B$9:$CD$9,0),FALSE)+VLOOKUP($B18,'Production - Gas'!$B10:$CD$56,MATCH('Production - Total'!BW$9,'Production - Gas'!$B$9:$CD$9,0),FALSE)/5.8</f>
        <v>28.174276140042156</v>
      </c>
      <c r="BX18" s="68">
        <f>VLOOKUP($B18,'Production - Oil'!$B$9:$CD$56,MATCH('Production - Total'!BX$9,'Production - Oil'!$B$9:$CD$9,0),FALSE)+VLOOKUP($B18,'Production - Gas'!$B10:$CD$56,MATCH('Production - Total'!BX$9,'Production - Gas'!$B$9:$CD$9,0),FALSE)/5.8</f>
        <v>28.188672136367487</v>
      </c>
      <c r="BY18" s="47">
        <f>VLOOKUP($B18,'Production - Oil'!$B$9:$CD$56,MATCH('Production - Total'!BY$9,'Production - Oil'!$B$9:$CD$9,0),FALSE)+VLOOKUP($B18,'Production - Gas'!$B10:$CD$56,MATCH('Production - Total'!BY$9,'Production - Gas'!$B$9:$CD$9,0),FALSE)/5.8</f>
        <v>28.181724137931035</v>
      </c>
      <c r="BZ18" s="68">
        <f>VLOOKUP($B18,'Production - Oil'!$B$9:$CD$56,MATCH('Production - Total'!BZ$9,'Production - Oil'!$B$9:$CD$9,0),FALSE)+VLOOKUP($B18,'Production - Gas'!$B10:$CD$56,MATCH('Production - Total'!BZ$9,'Production - Gas'!$B$9:$CD$9,0),FALSE)/5.8</f>
        <v>30.690672904111885</v>
      </c>
      <c r="CA18" s="68">
        <f>VLOOKUP($B18,'Production - Oil'!$B$9:$CD$56,MATCH('Production - Total'!CA$9,'Production - Oil'!$B$9:$CD$9,0),FALSE)+VLOOKUP($B18,'Production - Gas'!$B10:$CD$56,MATCH('Production - Total'!CA$9,'Production - Gas'!$B$9:$CD$9,0),FALSE)/5.8</f>
        <v>30.660825710132702</v>
      </c>
      <c r="CB18" s="68">
        <f>VLOOKUP($B18,'Production - Oil'!$B$9:$CD$56,MATCH('Production - Total'!CB$9,'Production - Oil'!$B$9:$CD$9,0),FALSE)+VLOOKUP($B18,'Production - Gas'!$B10:$CD$56,MATCH('Production - Total'!CB$9,'Production - Gas'!$B$9:$CD$9,0),FALSE)/5.8</f>
        <v>30.668603533152474</v>
      </c>
      <c r="CC18" s="68">
        <f>VLOOKUP($B18,'Production - Oil'!$B$9:$CD$56,MATCH('Production - Total'!CC$9,'Production - Oil'!$B$9:$CD$9,0),FALSE)+VLOOKUP($B18,'Production - Gas'!$B10:$CD$56,MATCH('Production - Total'!CC$9,'Production - Gas'!$B$9:$CD$9,0),FALSE)/5.8</f>
        <v>30.681966818120177</v>
      </c>
      <c r="CD18" s="47">
        <f>VLOOKUP($B18,'Production - Oil'!$B$9:$CD$56,MATCH('Production - Total'!CD$9,'Production - Oil'!$B$9:$CD$9,0),FALSE)+VLOOKUP($B18,'Production - Gas'!$B10:$CD$56,MATCH('Production - Total'!CD$9,'Production - Gas'!$B$9:$CD$9,0),FALSE)/5.8</f>
        <v>30.67551724137931</v>
      </c>
    </row>
    <row r="19" spans="1:82">
      <c r="A19" s="39" t="s">
        <v>1993</v>
      </c>
      <c r="B19" s="39"/>
      <c r="C19" s="39">
        <f t="shared" ref="C19:AA19" si="1">SUM(C17:C18)</f>
        <v>1475.4482758620691</v>
      </c>
      <c r="D19" s="39">
        <f t="shared" si="1"/>
        <v>1470.1379310344826</v>
      </c>
      <c r="E19" s="39">
        <f t="shared" si="1"/>
        <v>1351.0689655172414</v>
      </c>
      <c r="F19" s="39">
        <f t="shared" si="1"/>
        <v>1211.1379310344828</v>
      </c>
      <c r="G19" s="39">
        <f t="shared" si="1"/>
        <v>1113.8965517241379</v>
      </c>
      <c r="H19" s="39">
        <f t="shared" si="1"/>
        <v>0</v>
      </c>
      <c r="I19" s="39">
        <f t="shared" si="1"/>
        <v>0</v>
      </c>
      <c r="J19" s="39">
        <f t="shared" si="1"/>
        <v>0</v>
      </c>
      <c r="K19" s="39">
        <f t="shared" si="1"/>
        <v>0</v>
      </c>
      <c r="L19" s="39">
        <f t="shared" si="1"/>
        <v>1013.2758620689656</v>
      </c>
      <c r="M19" s="39">
        <f t="shared" si="1"/>
        <v>0</v>
      </c>
      <c r="N19" s="39">
        <f t="shared" si="1"/>
        <v>0</v>
      </c>
      <c r="O19" s="39">
        <f t="shared" si="1"/>
        <v>0</v>
      </c>
      <c r="P19" s="39">
        <f t="shared" si="1"/>
        <v>0</v>
      </c>
      <c r="Q19" s="39">
        <f t="shared" si="1"/>
        <v>939.79310344827582</v>
      </c>
      <c r="R19" s="39">
        <f t="shared" si="1"/>
        <v>0</v>
      </c>
      <c r="S19" s="39">
        <f t="shared" si="1"/>
        <v>0</v>
      </c>
      <c r="T19" s="39">
        <f t="shared" si="1"/>
        <v>0</v>
      </c>
      <c r="U19" s="39">
        <f t="shared" si="1"/>
        <v>0</v>
      </c>
      <c r="V19" s="39">
        <f t="shared" si="1"/>
        <v>961.13793103448279</v>
      </c>
      <c r="W19" s="39">
        <f t="shared" si="1"/>
        <v>0</v>
      </c>
      <c r="X19" s="39">
        <f t="shared" si="1"/>
        <v>0</v>
      </c>
      <c r="Y19" s="39">
        <f t="shared" si="1"/>
        <v>0</v>
      </c>
      <c r="Z19" s="39">
        <f t="shared" si="1"/>
        <v>0</v>
      </c>
      <c r="AA19" s="39">
        <f t="shared" si="1"/>
        <v>1117.6551724137933</v>
      </c>
      <c r="AB19" s="39"/>
      <c r="AC19" s="39"/>
      <c r="AD19" s="39"/>
      <c r="AE19" s="39"/>
      <c r="AF19" s="39">
        <f>SUM(AF17:AF18)</f>
        <v>1012.3793103448276</v>
      </c>
      <c r="AG19" s="80">
        <f>VLOOKUP($A19,'Production - Oil'!$A$9:$CD$56,MATCH('Production - Total'!AG$9,'Production - Oil'!$A$9:$CD$9,0),FALSE)+VLOOKUP($A19,'Production - Gas'!$A$9:$CD$56,MATCH('Production - Total'!AG$9,'Production - Gas'!$A$9:$CD$9,0),FALSE)/5.8</f>
        <v>0</v>
      </c>
      <c r="AH19" s="80">
        <f>VLOOKUP($A19,'Production - Oil'!$A$9:$CD$56,MATCH('Production - Total'!AH$9,'Production - Oil'!$A$9:$CD$9,0),FALSE)+VLOOKUP($A19,'Production - Gas'!$A$9:$CD$56,MATCH('Production - Total'!AH$9,'Production - Gas'!$A$9:$CD$9,0),FALSE)/5.8</f>
        <v>0</v>
      </c>
      <c r="AI19" s="80">
        <f>VLOOKUP($A19,'Production - Oil'!$A$9:$CD$56,MATCH('Production - Total'!AI$9,'Production - Oil'!$A$9:$CD$9,0),FALSE)+VLOOKUP($A19,'Production - Gas'!$A$9:$CD$56,MATCH('Production - Total'!AI$9,'Production - Gas'!$A$9:$CD$9,0),FALSE)/5.8</f>
        <v>0</v>
      </c>
      <c r="AJ19" s="80">
        <f>VLOOKUP($A19,'Production - Oil'!$A$9:$CD$56,MATCH('Production - Total'!AJ$9,'Production - Oil'!$A$9:$CD$9,0),FALSE)+VLOOKUP($A19,'Production - Gas'!$A$9:$CD$56,MATCH('Production - Total'!AJ$9,'Production - Gas'!$A$9:$CD$9,0),FALSE)/5.8</f>
        <v>0</v>
      </c>
      <c r="AK19" s="39">
        <f>VLOOKUP($A19,'Production - Oil'!$A$9:$CD$56,MATCH('Production - Total'!AK$9,'Production - Oil'!$A$9:$CD$9,0),FALSE)+VLOOKUP($A19,'Production - Gas'!$A$9:$CD$56,MATCH('Production - Total'!AK$9,'Production - Gas'!$A$9:$CD$9,0),FALSE)/5.8</f>
        <v>775.17241379310349</v>
      </c>
      <c r="AL19" s="80">
        <f>VLOOKUP($A19,'Production - Oil'!$A$9:$CD$56,MATCH('Production - Total'!AL$9,'Production - Oil'!$A$9:$CD$9,0),FALSE)+VLOOKUP($A19,'Production - Gas'!$A$9:$CD$56,MATCH('Production - Total'!AL$9,'Production - Gas'!$A$9:$CD$9,0),FALSE)/5.8</f>
        <v>0</v>
      </c>
      <c r="AM19" s="80">
        <f>VLOOKUP($A19,'Production - Oil'!$A$9:$CD$56,MATCH('Production - Total'!AM$9,'Production - Oil'!$A$9:$CD$9,0),FALSE)+VLOOKUP($A19,'Production - Gas'!$A$9:$CD$56,MATCH('Production - Total'!AM$9,'Production - Gas'!$A$9:$CD$9,0),FALSE)/5.8</f>
        <v>0</v>
      </c>
      <c r="AN19" s="80">
        <f>VLOOKUP($A19,'Production - Oil'!$A$9:$CD$56,MATCH('Production - Total'!AN$9,'Production - Oil'!$A$9:$CD$9,0),FALSE)+VLOOKUP($A19,'Production - Gas'!$A$9:$CD$56,MATCH('Production - Total'!AN$9,'Production - Gas'!$A$9:$CD$9,0),FALSE)/5.8</f>
        <v>0</v>
      </c>
      <c r="AO19" s="80">
        <f>VLOOKUP($A19,'Production - Oil'!$A$9:$CD$56,MATCH('Production - Total'!AO$9,'Production - Oil'!$A$9:$CD$9,0),FALSE)+VLOOKUP($A19,'Production - Gas'!$A$9:$CD$56,MATCH('Production - Total'!AO$9,'Production - Gas'!$A$9:$CD$9,0),FALSE)/5.8</f>
        <v>0</v>
      </c>
      <c r="AP19" s="39">
        <f>VLOOKUP($A19,'Production - Oil'!$A$9:$CD$56,MATCH('Production - Total'!AP$9,'Production - Oil'!$A$9:$CD$9,0),FALSE)+VLOOKUP($A19,'Production - Gas'!$A$9:$CD$56,MATCH('Production - Total'!AP$9,'Production - Gas'!$A$9:$CD$9,0),FALSE)/5.8</f>
        <v>677.89655172413791</v>
      </c>
      <c r="AQ19" s="82"/>
      <c r="AR19" s="82"/>
      <c r="AS19" s="82"/>
      <c r="AT19" s="82"/>
      <c r="AU19" s="39">
        <f>VLOOKUP($A19,'Production - Oil'!$A$9:$CD$56,MATCH('Production - Total'!AU$9,'Production - Oil'!$A$9:$CD$9,0),FALSE)+VLOOKUP($A19,'Production - Gas'!$A$9:$CD$56,MATCH('Production - Total'!AU$9,'Production - Gas'!$A$9:$CD$9,0),FALSE)/5.8</f>
        <v>630.41379310344826</v>
      </c>
      <c r="AV19" s="82"/>
      <c r="AW19" s="82"/>
      <c r="AX19" s="82"/>
      <c r="AY19" s="82"/>
      <c r="AZ19" s="39">
        <f>VLOOKUP($A19,'Production - Oil'!$A$9:$CD$56,MATCH('Production - Total'!AZ$9,'Production - Oil'!$A$9:$CD$9,0),FALSE)+VLOOKUP($A19,'Production - Gas'!$A$9:$CD$56,MATCH('Production - Total'!AZ$9,'Production - Gas'!$A$9:$CD$9,0),FALSE)/5.8</f>
        <v>673.62068965517244</v>
      </c>
      <c r="BA19" s="82"/>
      <c r="BB19" s="82"/>
      <c r="BC19" s="82"/>
      <c r="BD19" s="82"/>
      <c r="BE19" s="39">
        <f>VLOOKUP($A19,'Production - Oil'!$A$9:$CD$56,MATCH('Production - Total'!BE$9,'Production - Oil'!$A$9:$CD$9,0),FALSE)+VLOOKUP($A19,'Production - Gas'!$A$9:$CD$56,MATCH('Production - Total'!BE$9,'Production - Gas'!$A$9:$CD$9,0),FALSE)/5.8</f>
        <v>648.17241379310349</v>
      </c>
      <c r="BF19" s="82"/>
      <c r="BG19" s="82"/>
      <c r="BH19" s="82"/>
      <c r="BI19" s="82"/>
      <c r="BJ19" s="39">
        <f>VLOOKUP($A19,'Production - Oil'!$A$9:$CD$56,MATCH('Production - Total'!BJ$9,'Production - Oil'!$A$9:$CD$9,0),FALSE)+VLOOKUP($A19,'Production - Gas'!$A$9:$CD$56,MATCH('Production - Total'!BJ$9,'Production - Gas'!$A$9:$CD$9,0),FALSE)/5.8</f>
        <v>690.24137931034488</v>
      </c>
      <c r="BK19" s="82"/>
      <c r="BL19" s="82"/>
      <c r="BM19" s="82"/>
      <c r="BN19" s="82"/>
      <c r="BO19" s="39">
        <f>VLOOKUP($A19,'Production - Oil'!$A$9:$CD$56,MATCH('Production - Total'!BO$9,'Production - Oil'!$A$9:$CD$9,0),FALSE)+VLOOKUP($A19,'Production - Gas'!$A$9:$CD$56,MATCH('Production - Total'!BO$9,'Production - Gas'!$A$9:$CD$9,0),FALSE)/5.8</f>
        <v>733.41379310344826</v>
      </c>
      <c r="BP19" s="80">
        <f>VLOOKUP($A19,'Production - Oil'!$A$9:$CD$56,MATCH('Production - Total'!BP$9,'Production - Oil'!$A$9:$CD$9,0),FALSE)+VLOOKUP($A19,'Production - Gas'!$A$9:$CD$56,MATCH('Production - Total'!BP$9,'Production - Gas'!$A$9:$CD$9,0),FALSE)/5.8</f>
        <v>765.75460114378041</v>
      </c>
      <c r="BQ19" s="80">
        <f>VLOOKUP($A19,'Production - Oil'!$A$9:$CD$56,MATCH('Production - Total'!BQ$9,'Production - Oil'!$A$9:$CD$9,0),FALSE)+VLOOKUP($A19,'Production - Gas'!$A$9:$CD$56,MATCH('Production - Total'!BQ$9,'Production - Gas'!$A$9:$CD$9,0),FALSE)/5.8</f>
        <v>762.96839134911488</v>
      </c>
      <c r="BR19" s="80">
        <f>VLOOKUP($A19,'Production - Oil'!$A$9:$CD$56,MATCH('Production - Total'!BR$9,'Production - Oil'!$A$9:$CD$9,0),FALSE)+VLOOKUP($A19,'Production - Gas'!$A$9:$CD$56,MATCH('Production - Total'!BR$9,'Production - Gas'!$A$9:$CD$9,0),FALSE)/5.8</f>
        <v>758.25927459217837</v>
      </c>
      <c r="BS19" s="80">
        <f>VLOOKUP($A19,'Production - Oil'!$A$9:$CD$56,MATCH('Production - Total'!BS$9,'Production - Oil'!$A$9:$CD$9,0),FALSE)+VLOOKUP($A19,'Production - Gas'!$A$9:$CD$56,MATCH('Production - Total'!BS$9,'Production - Gas'!$A$9:$CD$9,0),FALSE)/5.8</f>
        <v>759.02190946665053</v>
      </c>
      <c r="BT19" s="39">
        <f>VLOOKUP($A19,'Production - Oil'!$A$9:$CD$56,MATCH('Production - Total'!BT$9,'Production - Oil'!$A$9:$CD$9,0),FALSE)+VLOOKUP($A19,'Production - Gas'!$A$9:$CD$56,MATCH('Production - Total'!BT$9,'Production - Gas'!$A$9:$CD$9,0),FALSE)/5.8</f>
        <v>761.5010441379311</v>
      </c>
      <c r="BU19" s="80">
        <f>VLOOKUP($A19,'Production - Oil'!$A$9:$CD$56,MATCH('Production - Total'!BU$9,'Production - Oil'!$A$9:$CD$9,0),FALSE)+VLOOKUP($A19,'Production - Gas'!$A$9:$CD$56,MATCH('Production - Total'!BU$9,'Production - Gas'!$A$9:$CD$9,0),FALSE)/5.8</f>
        <v>788.20542375292939</v>
      </c>
      <c r="BV19" s="80">
        <f>VLOOKUP($A19,'Production - Oil'!$A$9:$CD$56,MATCH('Production - Total'!BV$9,'Production - Oil'!$A$9:$CD$9,0),FALSE)+VLOOKUP($A19,'Production - Gas'!$A$9:$CD$56,MATCH('Production - Total'!BV$9,'Production - Gas'!$A$9:$CD$9,0),FALSE)/5.8</f>
        <v>785.16966919053334</v>
      </c>
      <c r="BW19" s="80">
        <f>VLOOKUP($A19,'Production - Oil'!$A$9:$CD$56,MATCH('Production - Total'!BW$9,'Production - Oil'!$A$9:$CD$9,0),FALSE)+VLOOKUP($A19,'Production - Gas'!$A$9:$CD$56,MATCH('Production - Total'!BW$9,'Production - Gas'!$A$9:$CD$9,0),FALSE)/5.8</f>
        <v>780.02723662516883</v>
      </c>
      <c r="BX19" s="80">
        <f>VLOOKUP($A19,'Production - Oil'!$A$9:$CD$56,MATCH('Production - Total'!BX$9,'Production - Oil'!$A$9:$CD$9,0),FALSE)+VLOOKUP($A19,'Production - Gas'!$A$9:$CD$56,MATCH('Production - Total'!BX$9,'Production - Gas'!$A$9:$CD$9,0),FALSE)/5.8</f>
        <v>780.85714629343749</v>
      </c>
      <c r="BY19" s="39">
        <f>VLOOKUP($A19,'Production - Oil'!$A$9:$CD$56,MATCH('Production - Total'!BY$9,'Production - Oil'!$A$9:$CD$9,0),FALSE)+VLOOKUP($A19,'Production - Gas'!$A$9:$CD$56,MATCH('Production - Total'!BY$9,'Production - Gas'!$A$9:$CD$9,0),FALSE)/5.8</f>
        <v>783.56486896551723</v>
      </c>
      <c r="BZ19" s="80">
        <f>VLOOKUP($A19,'Production - Oil'!$A$9:$CD$56,MATCH('Production - Total'!BZ$9,'Production - Oil'!$A$9:$CD$9,0),FALSE)+VLOOKUP($A19,'Production - Gas'!$A$9:$CD$56,MATCH('Production - Total'!BZ$9,'Production - Gas'!$A$9:$CD$9,0),FALSE)/5.8</f>
        <v>778.41842377481635</v>
      </c>
      <c r="CA19" s="80">
        <f>VLOOKUP($A19,'Production - Oil'!$A$9:$CD$56,MATCH('Production - Total'!CA$9,'Production - Oil'!$A$9:$CD$9,0),FALSE)+VLOOKUP($A19,'Production - Gas'!$A$9:$CD$56,MATCH('Production - Total'!CA$9,'Production - Gas'!$A$9:$CD$9,0),FALSE)/5.8</f>
        <v>775.29728386796455</v>
      </c>
      <c r="CB19" s="80">
        <f>VLOOKUP($A19,'Production - Oil'!$A$9:$CD$56,MATCH('Production - Total'!CB$9,'Production - Oil'!$A$9:$CD$9,0),FALSE)+VLOOKUP($A19,'Production - Gas'!$A$9:$CD$56,MATCH('Production - Total'!CB$9,'Production - Gas'!$A$9:$CD$9,0),FALSE)/5.8</f>
        <v>770.00386920141318</v>
      </c>
      <c r="CC19" s="80">
        <f>VLOOKUP($A19,'Production - Oil'!$A$9:$CD$56,MATCH('Production - Total'!CC$9,'Production - Oil'!$A$9:$CD$9,0),FALSE)+VLOOKUP($A19,'Production - Gas'!$A$9:$CD$56,MATCH('Production - Total'!CC$9,'Production - Gas'!$A$9:$CD$9,0),FALSE)/5.8</f>
        <v>770.8565555695991</v>
      </c>
      <c r="CD19" s="39">
        <f>VLOOKUP($A19,'Production - Oil'!$A$9:$CD$56,MATCH('Production - Total'!CD$9,'Production - Oil'!$A$9:$CD$9,0),FALSE)+VLOOKUP($A19,'Production - Gas'!$A$9:$CD$56,MATCH('Production - Total'!CD$9,'Production - Gas'!$A$9:$CD$9,0),FALSE)/5.8</f>
        <v>773.64403310344824</v>
      </c>
    </row>
    <row r="20" spans="1:82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68"/>
      <c r="AH20" s="68"/>
      <c r="AI20" s="68"/>
      <c r="AJ20" s="68"/>
      <c r="AK20" s="11"/>
      <c r="AL20" s="68"/>
      <c r="AM20" s="68"/>
      <c r="AN20" s="68"/>
      <c r="AO20" s="68"/>
      <c r="AP20" s="11"/>
      <c r="AQ20" s="68"/>
      <c r="AR20" s="68"/>
      <c r="AS20" s="68"/>
      <c r="AT20" s="68"/>
      <c r="AU20" s="11"/>
      <c r="AV20" s="68"/>
      <c r="AW20" s="68"/>
      <c r="AX20" s="68"/>
      <c r="AY20" s="68"/>
      <c r="AZ20" s="11"/>
      <c r="BA20" s="68"/>
      <c r="BB20" s="68"/>
      <c r="BC20" s="68"/>
      <c r="BD20" s="68"/>
      <c r="BE20" s="11"/>
      <c r="BF20" s="68"/>
      <c r="BG20" s="68"/>
      <c r="BH20" s="68"/>
      <c r="BI20" s="68"/>
      <c r="BJ20" s="11"/>
      <c r="BK20" s="68"/>
      <c r="BL20" s="68"/>
      <c r="BM20" s="68"/>
      <c r="BN20" s="68"/>
      <c r="BO20" s="11"/>
      <c r="BP20" s="68"/>
      <c r="BQ20" s="68"/>
      <c r="BR20" s="68"/>
      <c r="BS20" s="68"/>
      <c r="BT20" s="11"/>
      <c r="BU20" s="68"/>
      <c r="BV20" s="68"/>
      <c r="BW20" s="68"/>
      <c r="BX20" s="68"/>
      <c r="BY20" s="11"/>
      <c r="BZ20" s="68"/>
      <c r="CA20" s="68"/>
      <c r="CB20" s="68"/>
      <c r="CC20" s="68"/>
      <c r="CD20" s="11"/>
    </row>
    <row r="21" spans="1:82">
      <c r="A21" s="39" t="s">
        <v>1994</v>
      </c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68"/>
      <c r="AH21" s="68"/>
      <c r="AI21" s="68"/>
      <c r="AJ21" s="68"/>
      <c r="AK21" s="11"/>
      <c r="AL21" s="68"/>
      <c r="AM21" s="68"/>
      <c r="AN21" s="68"/>
      <c r="AO21" s="68"/>
      <c r="AP21" s="11"/>
      <c r="AQ21" s="68"/>
      <c r="AR21" s="68"/>
      <c r="AS21" s="68"/>
      <c r="AT21" s="68"/>
      <c r="AU21" s="11"/>
      <c r="AV21" s="68"/>
      <c r="AW21" s="68"/>
      <c r="AX21" s="68"/>
      <c r="AY21" s="68"/>
      <c r="AZ21" s="11"/>
      <c r="BA21" s="68"/>
      <c r="BB21" s="68"/>
      <c r="BC21" s="68"/>
      <c r="BD21" s="68"/>
      <c r="BE21" s="11"/>
      <c r="BF21" s="68"/>
      <c r="BG21" s="68"/>
      <c r="BH21" s="68"/>
      <c r="BI21" s="68"/>
      <c r="BJ21" s="11"/>
      <c r="BK21" s="68"/>
      <c r="BL21" s="68"/>
      <c r="BM21" s="68"/>
      <c r="BN21" s="68"/>
      <c r="BO21" s="11"/>
      <c r="BP21" s="68"/>
      <c r="BQ21" s="68"/>
      <c r="BR21" s="68"/>
      <c r="BS21" s="68"/>
      <c r="BT21" s="11"/>
      <c r="BU21" s="68"/>
      <c r="BV21" s="68"/>
      <c r="BW21" s="68"/>
      <c r="BX21" s="68"/>
      <c r="BY21" s="11"/>
      <c r="BZ21" s="68"/>
      <c r="CA21" s="68"/>
      <c r="CB21" s="68"/>
      <c r="CC21" s="68"/>
      <c r="CD21" s="11"/>
    </row>
    <row r="22" spans="1:82">
      <c r="A22" s="39"/>
      <c r="B22" s="11" t="s">
        <v>2921</v>
      </c>
      <c r="C22" s="11">
        <f>IF(ISERROR(MATCH($B22,'Production - Oil'!$B$11:$B$54,0)),0,VLOOKUP($B22,'Production - Oil'!$B$11:$CD$54,MATCH('Production - Total'!C$9,'Production - Oil'!$B$9:$CD$9),FALSE))+IF(ISERROR(MATCH($B22,'Production - Gas'!$B$11:$B$54,0)),0,VLOOKUP($B22,'Production - Gas'!$B$11:$CD$54,MATCH('Production - Total'!C$9,'Production - Gas'!$B$9:$CD$9),FALSE)/5.8)</f>
        <v>0</v>
      </c>
      <c r="D22" s="11">
        <f>IF(ISERROR(MATCH($B22,'Production - Oil'!$B$11:$B$54,0)),0,VLOOKUP($B22,'Production - Oil'!$B$11:$CD$54,MATCH('Production - Total'!D$9,'Production - Oil'!$B$9:$CD$9),FALSE))+IF(ISERROR(MATCH($B22,'Production - Gas'!$B$11:$B$54,0)),0,VLOOKUP($B22,'Production - Gas'!$B$11:$CD$54,MATCH('Production - Total'!D$9,'Production - Gas'!$B$9:$CD$9),FALSE)/5.8)</f>
        <v>0</v>
      </c>
      <c r="E22" s="11">
        <f>IF(ISERROR(MATCH($B22,'Production - Oil'!$B$11:$B$54,0)),0,VLOOKUP($B22,'Production - Oil'!$B$11:$CD$54,MATCH('Production - Total'!E$9,'Production - Oil'!$B$9:$CD$9),FALSE))+IF(ISERROR(MATCH($B22,'Production - Gas'!$B$11:$B$54,0)),0,VLOOKUP($B22,'Production - Gas'!$B$11:$CD$54,MATCH('Production - Total'!E$9,'Production - Gas'!$B$9:$CD$9),FALSE)/5.8)</f>
        <v>0</v>
      </c>
      <c r="F22" s="11">
        <f>IF(ISERROR(MATCH($B22,'Production - Oil'!$B$11:$B$54,0)),0,VLOOKUP($B22,'Production - Oil'!$B$11:$CD$54,MATCH('Production - Total'!F$9,'Production - Oil'!$B$9:$CD$9),FALSE))+IF(ISERROR(MATCH($B22,'Production - Gas'!$B$11:$B$54,0)),0,VLOOKUP($B22,'Production - Gas'!$B$11:$CD$54,MATCH('Production - Total'!F$9,'Production - Gas'!$B$9:$CD$9),FALSE)/5.8)</f>
        <v>0</v>
      </c>
      <c r="G22" s="11">
        <f>IF(ISERROR(MATCH($B22,'Production - Oil'!$B$11:$B$54,0)),0,VLOOKUP($B22,'Production - Oil'!$B$11:$CD$54,MATCH('Production - Total'!G$9,'Production - Oil'!$B$9:$CD$9),FALSE))+IF(ISERROR(MATCH($B22,'Production - Gas'!$B$11:$B$54,0)),0,VLOOKUP($B22,'Production - Gas'!$B$11:$CD$54,MATCH('Production - Total'!G$9,'Production - Gas'!$B$9:$CD$9),FALSE)/5.8)</f>
        <v>0</v>
      </c>
      <c r="H22" s="11"/>
      <c r="I22" s="11"/>
      <c r="J22" s="11"/>
      <c r="K22" s="11"/>
      <c r="L22" s="11">
        <f>IF(ISERROR(MATCH($B22,'Production - Oil'!$B$11:$B$54,0)),0,VLOOKUP($B22,'Production - Oil'!$B$11:$CD$54,MATCH('Production - Total'!L$9,'Production - Oil'!$B$9:$CD$9),FALSE))+IF(ISERROR(MATCH($B22,'Production - Gas'!$B$11:$B$54,0)),0,VLOOKUP($B22,'Production - Gas'!$B$11:$CD$54,MATCH('Production - Total'!L$9,'Production - Gas'!$B$9:$CD$9),FALSE)/5.8)</f>
        <v>0</v>
      </c>
      <c r="M22" s="11"/>
      <c r="N22" s="11"/>
      <c r="O22" s="11"/>
      <c r="P22" s="11"/>
      <c r="Q22" s="11">
        <f>IF(ISERROR(MATCH($B22,'Production - Oil'!$B$11:$B$54,0)),0,VLOOKUP($B22,'Production - Oil'!$B$11:$CD$54,MATCH('Production - Total'!Q$9,'Production - Oil'!$B$9:$CD$9),FALSE))+IF(ISERROR(MATCH($B22,'Production - Gas'!$B$11:$B$54,0)),0,VLOOKUP($B22,'Production - Gas'!$B$11:$CD$54,MATCH('Production - Total'!Q$9,'Production - Gas'!$B$9:$CD$9),FALSE)/5.8)</f>
        <v>0</v>
      </c>
      <c r="R22" s="11"/>
      <c r="S22" s="11"/>
      <c r="T22" s="11"/>
      <c r="U22" s="11"/>
      <c r="V22" s="11">
        <f>IF(ISERROR(MATCH($B22,'Production - Oil'!$B$11:$B$54,0)),0,VLOOKUP($B22,'Production - Oil'!$B$11:$CD$54,MATCH('Production - Total'!V$9,'Production - Oil'!$B$9:$CD$9),FALSE))+IF(ISERROR(MATCH($B22,'Production - Gas'!$B$11:$B$54,0)),0,VLOOKUP($B22,'Production - Gas'!$B$11:$CD$54,MATCH('Production - Total'!V$9,'Production - Gas'!$B$9:$CD$9),FALSE)/5.8)</f>
        <v>0</v>
      </c>
      <c r="W22" s="11"/>
      <c r="X22" s="11"/>
      <c r="Y22" s="11"/>
      <c r="Z22" s="11"/>
      <c r="AA22" s="11">
        <f>IF(ISERROR(MATCH($B22,'Production - Oil'!$B$11:$B$54,0)),0,VLOOKUP($B22,'Production - Oil'!$B$11:$CD$54,MATCH('Production - Total'!AA$9,'Production - Oil'!$B$9:$CD$9),FALSE))+IF(ISERROR(MATCH($B22,'Production - Gas'!$B$11:$B$54,0)),0,VLOOKUP($B22,'Production - Gas'!$B$11:$CD$54,MATCH('Production - Total'!AA$9,'Production - Gas'!$B$9:$CD$9),FALSE)/5.8)</f>
        <v>0</v>
      </c>
      <c r="AB22" s="11"/>
      <c r="AC22" s="11"/>
      <c r="AD22" s="11"/>
      <c r="AE22" s="11"/>
      <c r="AF22" s="11">
        <f>IF(ISERROR(MATCH($B22,'Production - Oil'!$B$11:$B$54,0)),0,VLOOKUP($B22,'Production - Oil'!$B$11:$CD$54,MATCH('Production - Total'!AF$9,'Production - Oil'!$B$9:$CD$9),FALSE))+IF(ISERROR(MATCH($B22,'Production - Gas'!$B$11:$B$54,0)),0,VLOOKUP($B22,'Production - Gas'!$B$11:$CD$54,MATCH('Production - Total'!AF$9,'Production - Gas'!$B$9:$CD$9),FALSE)/5.8)</f>
        <v>0</v>
      </c>
      <c r="AG22" s="82"/>
      <c r="AH22" s="82"/>
      <c r="AI22" s="82"/>
      <c r="AJ22" s="82"/>
      <c r="AK22" s="11">
        <f>IF(ISERROR(MATCH($B22,'Production - Oil'!$B$11:$B$54,0)),0,VLOOKUP($B22,'Production - Oil'!$B$11:$CD$54,MATCH('Production - Total'!AK$9,'Production - Oil'!$B$9:$CD$9),FALSE))+IF(ISERROR(MATCH($B22,'Production - Gas'!$B$11:$B$54,0)),0,VLOOKUP($B22,'Production - Gas'!$B$11:$CD$54,MATCH('Production - Total'!AK$9,'Production - Gas'!$B$9:$CD$9),FALSE)/5.8)</f>
        <v>0</v>
      </c>
      <c r="AL22" s="82"/>
      <c r="AM22" s="82"/>
      <c r="AN22" s="82"/>
      <c r="AO22" s="82"/>
      <c r="AP22" s="11">
        <f>IF(ISERROR(MATCH($B22,'Production - Oil'!$B$11:$B$54,0)),0,VLOOKUP($B22,'Production - Oil'!$B$11:$CD$54,MATCH('Production - Total'!AP$9,'Production - Oil'!$B$9:$CD$9),FALSE))+IF(ISERROR(MATCH($B22,'Production - Gas'!$B$11:$B$54,0)),0,VLOOKUP($B22,'Production - Gas'!$B$11:$CD$54,MATCH('Production - Total'!AP$9,'Production - Gas'!$B$9:$CD$9),FALSE)/5.8)</f>
        <v>0</v>
      </c>
      <c r="AQ22" s="82"/>
      <c r="AR22" s="82"/>
      <c r="AS22" s="82"/>
      <c r="AT22" s="82"/>
      <c r="AU22" s="11">
        <f>IF(ISERROR(MATCH($B22,'Production - Oil'!$B$11:$B$54,0)),0,VLOOKUP($B22,'Production - Oil'!$B$11:$CD$54,MATCH('Production - Total'!AU$9,'Production - Oil'!$B$9:$CD$9),FALSE))+IF(ISERROR(MATCH($B22,'Production - Gas'!$B$11:$B$54,0)),0,VLOOKUP($B22,'Production - Gas'!$B$11:$CD$54,MATCH('Production - Total'!AU$9,'Production - Gas'!$B$9:$CD$9),FALSE)/5.8)</f>
        <v>0</v>
      </c>
      <c r="AV22" s="82"/>
      <c r="AW22" s="82"/>
      <c r="AX22" s="82"/>
      <c r="AY22" s="82"/>
      <c r="AZ22" s="11">
        <f>IF(ISERROR(MATCH($B22,'Production - Oil'!$B$11:$B$54,0)),0,VLOOKUP($B22,'Production - Oil'!$B$11:$CD$54,MATCH('Production - Total'!AZ$9,'Production - Oil'!$B$9:$CD$9),FALSE))+IF(ISERROR(MATCH($B22,'Production - Gas'!$B$11:$B$54,0)),0,VLOOKUP($B22,'Production - Gas'!$B$11:$CD$54,MATCH('Production - Total'!AZ$9,'Production - Gas'!$B$9:$CD$9),FALSE)/5.8)</f>
        <v>0</v>
      </c>
      <c r="BA22" s="82"/>
      <c r="BB22" s="82"/>
      <c r="BC22" s="82"/>
      <c r="BD22" s="82"/>
      <c r="BE22" s="11">
        <f>IF(ISERROR(MATCH($B22,'Production - Oil'!$B$11:$B$54,0)),0,VLOOKUP($B22,'Production - Oil'!$B$11:$CD$54,MATCH('Production - Total'!BE$9,'Production - Oil'!$B$9:$CD$9),FALSE))+IF(ISERROR(MATCH($B22,'Production - Gas'!$B$11:$B$54,0)),0,VLOOKUP($B22,'Production - Gas'!$B$11:$CD$54,MATCH('Production - Total'!BE$9,'Production - Gas'!$B$9:$CD$9),FALSE)/5.8)</f>
        <v>0</v>
      </c>
      <c r="BF22" s="82"/>
      <c r="BG22" s="82"/>
      <c r="BH22" s="82"/>
      <c r="BI22" s="82"/>
      <c r="BJ22" s="11">
        <f>IF(ISERROR(MATCH($B22,'Production - Oil'!$B$11:$B$54,0)),0,VLOOKUP($B22,'Production - Oil'!$B$11:$CD$54,MATCH('Production - Total'!BJ$9,'Production - Oil'!$B$9:$CD$9),FALSE))+IF(ISERROR(MATCH($B22,'Production - Gas'!$B$11:$B$54,0)),0,VLOOKUP($B22,'Production - Gas'!$B$11:$CD$54,MATCH('Production - Total'!BJ$9,'Production - Gas'!$B$9:$CD$9),FALSE)/5.8)</f>
        <v>0</v>
      </c>
      <c r="BK22" s="82"/>
      <c r="BL22" s="82"/>
      <c r="BM22" s="82"/>
      <c r="BN22" s="82"/>
      <c r="BO22" s="11">
        <f>'Production - Oil'!BO22+'Production - Gas'!BO22/5.8</f>
        <v>0</v>
      </c>
      <c r="BP22" s="82"/>
      <c r="BQ22" s="82"/>
      <c r="BR22" s="82"/>
      <c r="BS22" s="82"/>
      <c r="BT22" s="51"/>
      <c r="BU22" s="82"/>
      <c r="BV22" s="82"/>
      <c r="BW22" s="82"/>
      <c r="BX22" s="82"/>
      <c r="BY22" s="51"/>
      <c r="BZ22" s="82"/>
      <c r="CA22" s="82"/>
      <c r="CB22" s="82"/>
      <c r="CC22" s="82"/>
      <c r="CD22" s="51"/>
    </row>
    <row r="23" spans="1:82">
      <c r="A23" s="39"/>
      <c r="B23" s="11" t="s">
        <v>785</v>
      </c>
      <c r="C23" s="11">
        <f>IF(ISERROR(MATCH($B23,'Production - Oil'!$B$11:$B$54,0)),0,VLOOKUP($B23,'Production - Oil'!$B$11:$CD$54,MATCH('Production - Total'!C$9,'Production - Oil'!$B$9:$CD$9),FALSE))+IF(ISERROR(MATCH($B23,'Production - Gas'!$B$11:$B$54,0)),0,VLOOKUP($B23,'Production - Gas'!$B$11:$CD$54,MATCH('Production - Total'!C$9,'Production - Gas'!$B$9:$CD$9),FALSE)/5.8)</f>
        <v>0</v>
      </c>
      <c r="D23" s="11">
        <f>IF(ISERROR(MATCH($B23,'Production - Oil'!$B$11:$B$54,0)),0,VLOOKUP($B23,'Production - Oil'!$B$11:$CD$54,MATCH('Production - Total'!D$9,'Production - Oil'!$B$9:$CD$9),FALSE))+IF(ISERROR(MATCH($B23,'Production - Gas'!$B$11:$B$54,0)),0,VLOOKUP($B23,'Production - Gas'!$B$11:$CD$54,MATCH('Production - Total'!D$9,'Production - Gas'!$B$9:$CD$9),FALSE)/5.8)</f>
        <v>0</v>
      </c>
      <c r="E23" s="11">
        <f>IF(ISERROR(MATCH($B23,'Production - Oil'!$B$11:$B$54,0)),0,VLOOKUP($B23,'Production - Oil'!$B$11:$CD$54,MATCH('Production - Total'!E$9,'Production - Oil'!$B$9:$CD$9),FALSE))+IF(ISERROR(MATCH($B23,'Production - Gas'!$B$11:$B$54,0)),0,VLOOKUP($B23,'Production - Gas'!$B$11:$CD$54,MATCH('Production - Total'!E$9,'Production - Gas'!$B$9:$CD$9),FALSE)/5.8)</f>
        <v>0</v>
      </c>
      <c r="F23" s="11">
        <f>IF(ISERROR(MATCH($B23,'Production - Oil'!$B$11:$B$54,0)),0,VLOOKUP($B23,'Production - Oil'!$B$11:$CD$54,MATCH('Production - Total'!F$9,'Production - Oil'!$B$9:$CD$9),FALSE))+IF(ISERROR(MATCH($B23,'Production - Gas'!$B$11:$B$54,0)),0,VLOOKUP($B23,'Production - Gas'!$B$11:$CD$54,MATCH('Production - Total'!F$9,'Production - Gas'!$B$9:$CD$9),FALSE)/5.8)</f>
        <v>0</v>
      </c>
      <c r="G23" s="11">
        <f>IF(ISERROR(MATCH($B23,'Production - Oil'!$B$11:$B$54,0)),0,VLOOKUP($B23,'Production - Oil'!$B$11:$CD$54,MATCH('Production - Total'!G$9,'Production - Oil'!$B$9:$CD$9),FALSE))+IF(ISERROR(MATCH($B23,'Production - Gas'!$B$11:$B$54,0)),0,VLOOKUP($B23,'Production - Gas'!$B$11:$CD$54,MATCH('Production - Total'!G$9,'Production - Gas'!$B$9:$CD$9),FALSE)/5.8)</f>
        <v>0</v>
      </c>
      <c r="H23" s="11"/>
      <c r="I23" s="11"/>
      <c r="J23" s="11"/>
      <c r="K23" s="11"/>
      <c r="L23" s="11">
        <f>IF(ISERROR(MATCH($B23,'Production - Oil'!$B$11:$B$54,0)),0,VLOOKUP($B23,'Production - Oil'!$B$11:$CD$54,MATCH('Production - Total'!L$9,'Production - Oil'!$B$9:$CD$9),FALSE))+IF(ISERROR(MATCH($B23,'Production - Gas'!$B$11:$B$54,0)),0,VLOOKUP($B23,'Production - Gas'!$B$11:$CD$54,MATCH('Production - Total'!L$9,'Production - Gas'!$B$9:$CD$9),FALSE)/5.8)</f>
        <v>0</v>
      </c>
      <c r="M23" s="11"/>
      <c r="N23" s="11"/>
      <c r="O23" s="11"/>
      <c r="P23" s="11"/>
      <c r="Q23" s="11">
        <f>IF(ISERROR(MATCH($B23,'Production - Oil'!$B$11:$B$54,0)),0,VLOOKUP($B23,'Production - Oil'!$B$11:$CD$54,MATCH('Production - Total'!Q$9,'Production - Oil'!$B$9:$CD$9),FALSE))+IF(ISERROR(MATCH($B23,'Production - Gas'!$B$11:$B$54,0)),0,VLOOKUP($B23,'Production - Gas'!$B$11:$CD$54,MATCH('Production - Total'!Q$9,'Production - Gas'!$B$9:$CD$9),FALSE)/5.8)</f>
        <v>0</v>
      </c>
      <c r="R23" s="11"/>
      <c r="S23" s="11"/>
      <c r="T23" s="11"/>
      <c r="U23" s="11"/>
      <c r="V23" s="11">
        <f>IF(ISERROR(MATCH($B23,'Production - Oil'!$B$11:$B$54,0)),0,VLOOKUP($B23,'Production - Oil'!$B$11:$CD$54,MATCH('Production - Total'!V$9,'Production - Oil'!$B$9:$CD$9),FALSE))+IF(ISERROR(MATCH($B23,'Production - Gas'!$B$11:$B$54,0)),0,VLOOKUP($B23,'Production - Gas'!$B$11:$CD$54,MATCH('Production - Total'!V$9,'Production - Gas'!$B$9:$CD$9),FALSE)/5.8)</f>
        <v>0</v>
      </c>
      <c r="W23" s="11"/>
      <c r="X23" s="11"/>
      <c r="Y23" s="11"/>
      <c r="Z23" s="11"/>
      <c r="AA23" s="11">
        <f>IF(ISERROR(MATCH($B23,'Production - Oil'!$B$11:$B$54,0)),0,VLOOKUP($B23,'Production - Oil'!$B$11:$CD$54,MATCH('Production - Total'!AA$9,'Production - Oil'!$B$9:$CD$9),FALSE))+IF(ISERROR(MATCH($B23,'Production - Gas'!$B$11:$B$54,0)),0,VLOOKUP($B23,'Production - Gas'!$B$11:$CD$54,MATCH('Production - Total'!AA$9,'Production - Gas'!$B$9:$CD$9),FALSE)/5.8)</f>
        <v>0</v>
      </c>
      <c r="AB23" s="11"/>
      <c r="AC23" s="11"/>
      <c r="AD23" s="11"/>
      <c r="AE23" s="11"/>
      <c r="AF23" s="11">
        <f>IF(ISERROR(MATCH($B23,'Production - Oil'!$B$11:$B$54,0)),0,VLOOKUP($B23,'Production - Oil'!$B$11:$CD$54,MATCH('Production - Total'!AF$9,'Production - Oil'!$B$9:$CD$9),FALSE))+IF(ISERROR(MATCH($B23,'Production - Gas'!$B$11:$B$54,0)),0,VLOOKUP($B23,'Production - Gas'!$B$11:$CD$54,MATCH('Production - Total'!AF$9,'Production - Gas'!$B$9:$CD$9),FALSE)/5.8)</f>
        <v>0</v>
      </c>
      <c r="AG23" s="82"/>
      <c r="AH23" s="82"/>
      <c r="AI23" s="82"/>
      <c r="AJ23" s="82"/>
      <c r="AK23" s="11">
        <f>IF(ISERROR(MATCH($B23,'Production - Oil'!$B$11:$B$54,0)),0,VLOOKUP($B23,'Production - Oil'!$B$11:$CD$54,MATCH('Production - Total'!AK$9,'Production - Oil'!$B$9:$CD$9),FALSE))+IF(ISERROR(MATCH($B23,'Production - Gas'!$B$11:$B$54,0)),0,VLOOKUP($B23,'Production - Gas'!$B$11:$CD$54,MATCH('Production - Total'!AK$9,'Production - Gas'!$B$9:$CD$9),FALSE)/5.8)</f>
        <v>0</v>
      </c>
      <c r="AL23" s="82"/>
      <c r="AM23" s="82"/>
      <c r="AN23" s="82"/>
      <c r="AO23" s="82"/>
      <c r="AP23" s="11">
        <f>IF(ISERROR(MATCH($B23,'Production - Oil'!$B$11:$B$54,0)),0,VLOOKUP($B23,'Production - Oil'!$B$11:$CD$54,MATCH('Production - Total'!AP$9,'Production - Oil'!$B$9:$CD$9),FALSE))+IF(ISERROR(MATCH($B23,'Production - Gas'!$B$11:$B$54,0)),0,VLOOKUP($B23,'Production - Gas'!$B$11:$CD$54,MATCH('Production - Total'!AP$9,'Production - Gas'!$B$9:$CD$9),FALSE)/5.8)</f>
        <v>0</v>
      </c>
      <c r="AQ23" s="82"/>
      <c r="AR23" s="82"/>
      <c r="AS23" s="82"/>
      <c r="AT23" s="82"/>
      <c r="AU23" s="11">
        <f>IF(ISERROR(MATCH($B23,'Production - Oil'!$B$11:$B$54,0)),0,VLOOKUP($B23,'Production - Oil'!$B$11:$CD$54,MATCH('Production - Total'!AU$9,'Production - Oil'!$B$9:$CD$9),FALSE))+IF(ISERROR(MATCH($B23,'Production - Gas'!$B$11:$B$54,0)),0,VLOOKUP($B23,'Production - Gas'!$B$11:$CD$54,MATCH('Production - Total'!AU$9,'Production - Gas'!$B$9:$CD$9),FALSE)/5.8)</f>
        <v>0</v>
      </c>
      <c r="AV23" s="82"/>
      <c r="AW23" s="82"/>
      <c r="AX23" s="82"/>
      <c r="AY23" s="82"/>
      <c r="AZ23" s="11">
        <f>IF(ISERROR(MATCH($B23,'Production - Oil'!$B$11:$B$54,0)),0,VLOOKUP($B23,'Production - Oil'!$B$11:$CD$54,MATCH('Production - Total'!AZ$9,'Production - Oil'!$B$9:$CD$9),FALSE))+IF(ISERROR(MATCH($B23,'Production - Gas'!$B$11:$B$54,0)),0,VLOOKUP($B23,'Production - Gas'!$B$11:$CD$54,MATCH('Production - Total'!AZ$9,'Production - Gas'!$B$9:$CD$9),FALSE)/5.8)</f>
        <v>0</v>
      </c>
      <c r="BA23" s="82"/>
      <c r="BB23" s="82"/>
      <c r="BC23" s="82"/>
      <c r="BD23" s="82"/>
      <c r="BE23" s="11">
        <f>IF(ISERROR(MATCH($B23,'Production - Oil'!$B$11:$B$54,0)),0,VLOOKUP($B23,'Production - Oil'!$B$11:$CD$54,MATCH('Production - Total'!BE$9,'Production - Oil'!$B$9:$CD$9),FALSE))+IF(ISERROR(MATCH($B23,'Production - Gas'!$B$11:$B$54,0)),0,VLOOKUP($B23,'Production - Gas'!$B$11:$CD$54,MATCH('Production - Total'!BE$9,'Production - Gas'!$B$9:$CD$9),FALSE)/5.8)</f>
        <v>0</v>
      </c>
      <c r="BF23" s="82"/>
      <c r="BG23" s="82"/>
      <c r="BH23" s="82"/>
      <c r="BI23" s="82"/>
      <c r="BJ23" s="11">
        <f>IF(ISERROR(MATCH($B23,'Production - Oil'!$B$11:$B$54,0)),0,VLOOKUP($B23,'Production - Oil'!$B$11:$CD$54,MATCH('Production - Total'!BJ$9,'Production - Oil'!$B$9:$CD$9),FALSE))+IF(ISERROR(MATCH($B23,'Production - Gas'!$B$11:$B$54,0)),0,VLOOKUP($B23,'Production - Gas'!$B$11:$CD$54,MATCH('Production - Total'!BJ$9,'Production - Gas'!$B$9:$CD$9),FALSE)/5.8)</f>
        <v>0</v>
      </c>
      <c r="BK23" s="82"/>
      <c r="BL23" s="82"/>
      <c r="BM23" s="82"/>
      <c r="BN23" s="82"/>
      <c r="BO23" s="11">
        <f>'Production - Oil'!BO23+'Production - Gas'!BO23/5.8</f>
        <v>0</v>
      </c>
      <c r="BP23" s="82"/>
      <c r="BQ23" s="82"/>
      <c r="BR23" s="82"/>
      <c r="BS23" s="82"/>
      <c r="BT23" s="51"/>
      <c r="BU23" s="82"/>
      <c r="BV23" s="82"/>
      <c r="BW23" s="82"/>
      <c r="BX23" s="82"/>
      <c r="BY23" s="51"/>
      <c r="BZ23" s="82"/>
      <c r="CA23" s="82"/>
      <c r="CB23" s="82"/>
      <c r="CC23" s="82"/>
      <c r="CD23" s="51"/>
    </row>
    <row r="24" spans="1:82">
      <c r="A24" s="39"/>
      <c r="B24" s="11" t="s">
        <v>2428</v>
      </c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82"/>
      <c r="AH24" s="82"/>
      <c r="AI24" s="82"/>
      <c r="AJ24" s="82"/>
      <c r="AK24" s="11">
        <f>IF(ISERROR(MATCH($B24,'Production - Oil'!$B$11:$B$54,0)),0,VLOOKUP($B24,'Production - Oil'!$B$11:$CD$54,MATCH('Production - Total'!AK$9,'Production - Oil'!$B$9:$CD$9),FALSE))+IF(ISERROR(MATCH($B24,'Production - Gas'!$B$11:$B$54,0)),0,VLOOKUP($B24,'Production - Gas'!$B$11:$CD$54,MATCH('Production - Total'!AK$9,'Production - Gas'!$B$9:$CD$9),FALSE)/5.8)</f>
        <v>7</v>
      </c>
      <c r="AL24" s="82"/>
      <c r="AM24" s="82"/>
      <c r="AN24" s="82"/>
      <c r="AO24" s="82"/>
      <c r="AP24" s="11">
        <f>IF(ISERROR(MATCH($B24,'Production - Oil'!$B$11:$B$54,0)),0,VLOOKUP($B24,'Production - Oil'!$B$11:$CD$54,MATCH('Production - Total'!AP$9,'Production - Oil'!$B$9:$CD$9),FALSE))+IF(ISERROR(MATCH($B24,'Production - Gas'!$B$11:$B$54,0)),0,VLOOKUP($B24,'Production - Gas'!$B$11:$CD$54,MATCH('Production - Total'!AP$9,'Production - Gas'!$B$9:$CD$9),FALSE)/5.8)</f>
        <v>7</v>
      </c>
      <c r="AQ24" s="82"/>
      <c r="AR24" s="82"/>
      <c r="AS24" s="82"/>
      <c r="AT24" s="82"/>
      <c r="AU24" s="11">
        <f>IF(ISERROR(MATCH($B24,'Production - Oil'!$B$11:$B$54,0)),0,VLOOKUP($B24,'Production - Oil'!$B$11:$CD$54,MATCH('Production - Total'!AU$9,'Production - Oil'!$B$9:$CD$9),FALSE))+IF(ISERROR(MATCH($B24,'Production - Gas'!$B$11:$B$54,0)),0,VLOOKUP($B24,'Production - Gas'!$B$11:$CD$54,MATCH('Production - Total'!AU$9,'Production - Gas'!$B$9:$CD$9),FALSE)/5.8)</f>
        <v>7</v>
      </c>
      <c r="AV24" s="82"/>
      <c r="AW24" s="82"/>
      <c r="AX24" s="82"/>
      <c r="AY24" s="82"/>
      <c r="AZ24" s="11">
        <f>IF(ISERROR(MATCH($B24,'Production - Oil'!$B$11:$B$54,0)),0,VLOOKUP($B24,'Production - Oil'!$B$11:$CD$54,MATCH('Production - Total'!AZ$9,'Production - Oil'!$B$9:$CD$9),FALSE))+IF(ISERROR(MATCH($B24,'Production - Gas'!$B$11:$B$54,0)),0,VLOOKUP($B24,'Production - Gas'!$B$11:$CD$54,MATCH('Production - Total'!AZ$9,'Production - Gas'!$B$9:$CD$9),FALSE)/5.8)</f>
        <v>0</v>
      </c>
      <c r="BA24" s="82"/>
      <c r="BB24" s="82"/>
      <c r="BC24" s="82"/>
      <c r="BD24" s="82"/>
      <c r="BE24" s="11">
        <f>IF(ISERROR(MATCH($B24,'Production - Oil'!$B$11:$B$54,0)),0,VLOOKUP($B24,'Production - Oil'!$B$11:$CD$54,MATCH('Production - Total'!BE$9,'Production - Oil'!$B$9:$CD$9),FALSE))+IF(ISERROR(MATCH($B24,'Production - Gas'!$B$11:$B$54,0)),0,VLOOKUP($B24,'Production - Gas'!$B$11:$CD$54,MATCH('Production - Total'!BE$9,'Production - Gas'!$B$9:$CD$9),FALSE)/5.8)</f>
        <v>0</v>
      </c>
      <c r="BF24" s="82"/>
      <c r="BG24" s="82"/>
      <c r="BH24" s="82"/>
      <c r="BI24" s="82"/>
      <c r="BJ24" s="11">
        <f>IF(ISERROR(MATCH($B24,'Production - Oil'!$B$11:$B$54,0)),0,VLOOKUP($B24,'Production - Oil'!$B$11:$CD$54,MATCH('Production - Total'!BJ$9,'Production - Oil'!$B$9:$CD$9),FALSE))+IF(ISERROR(MATCH($B24,'Production - Gas'!$B$11:$B$54,0)),0,VLOOKUP($B24,'Production - Gas'!$B$11:$CD$54,MATCH('Production - Total'!BJ$9,'Production - Gas'!$B$9:$CD$9),FALSE)/5.8)</f>
        <v>0</v>
      </c>
      <c r="BK24" s="82"/>
      <c r="BL24" s="82"/>
      <c r="BM24" s="82"/>
      <c r="BN24" s="82"/>
      <c r="BO24" s="11">
        <f>'Production - Oil'!BO24+'Production - Gas'!BO24/5.8</f>
        <v>0</v>
      </c>
      <c r="BP24" s="82"/>
      <c r="BQ24" s="82"/>
      <c r="BR24" s="82"/>
      <c r="BS24" s="82"/>
      <c r="BT24" s="51"/>
      <c r="BU24" s="82"/>
      <c r="BV24" s="82"/>
      <c r="BW24" s="82"/>
      <c r="BX24" s="82"/>
      <c r="BY24" s="51"/>
      <c r="BZ24" s="82"/>
      <c r="CA24" s="82"/>
      <c r="CB24" s="82"/>
      <c r="CC24" s="82"/>
      <c r="CD24" s="51"/>
    </row>
    <row r="25" spans="1:82">
      <c r="A25" s="11"/>
      <c r="B25" s="11" t="s">
        <v>2247</v>
      </c>
      <c r="C25" s="11">
        <f>IF(ISERROR(MATCH($B25,'Production - Oil'!$B$11:$B$54,0)),0,VLOOKUP($B25,'Production - Oil'!$B$11:$CD$54,MATCH('Production - Total'!C$9,'Production - Oil'!$B$9:$CD$9),FALSE))+IF(ISERROR(MATCH($B25,'Production - Gas'!$B$11:$B$54,0)),0,VLOOKUP($B25,'Production - Gas'!$B$11:$CD$54,MATCH('Production - Total'!C$9,'Production - Gas'!$B$9:$CD$9),FALSE)/5.8)</f>
        <v>48</v>
      </c>
      <c r="D25" s="11">
        <f>IF(ISERROR(MATCH($B25,'Production - Oil'!$B$11:$B$54,0)),0,VLOOKUP($B25,'Production - Oil'!$B$11:$CD$54,MATCH('Production - Total'!D$9,'Production - Oil'!$B$9:$CD$9),FALSE))+IF(ISERROR(MATCH($B25,'Production - Gas'!$B$11:$B$54,0)),0,VLOOKUP($B25,'Production - Gas'!$B$11:$CD$54,MATCH('Production - Total'!D$9,'Production - Gas'!$B$9:$CD$9),FALSE)/5.8)</f>
        <v>46</v>
      </c>
      <c r="E25" s="11">
        <f>IF(ISERROR(MATCH($B25,'Production - Oil'!$B$11:$B$54,0)),0,VLOOKUP($B25,'Production - Oil'!$B$11:$CD$54,MATCH('Production - Total'!E$9,'Production - Oil'!$B$9:$CD$9),FALSE))+IF(ISERROR(MATCH($B25,'Production - Gas'!$B$11:$B$54,0)),0,VLOOKUP($B25,'Production - Gas'!$B$11:$CD$54,MATCH('Production - Total'!E$9,'Production - Gas'!$B$9:$CD$9),FALSE)/5.8)</f>
        <v>53</v>
      </c>
      <c r="F25" s="11">
        <f>IF(ISERROR(MATCH($B25,'Production - Oil'!$B$11:$B$54,0)),0,VLOOKUP($B25,'Production - Oil'!$B$11:$CD$54,MATCH('Production - Total'!F$9,'Production - Oil'!$B$9:$CD$9),FALSE))+IF(ISERROR(MATCH($B25,'Production - Gas'!$B$11:$B$54,0)),0,VLOOKUP($B25,'Production - Gas'!$B$11:$CD$54,MATCH('Production - Total'!F$9,'Production - Gas'!$B$9:$CD$9),FALSE)/5.8)</f>
        <v>48.689655172413794</v>
      </c>
      <c r="G25" s="11">
        <f>IF(ISERROR(MATCH($B25,'Production - Oil'!$B$11:$B$54,0)),0,VLOOKUP($B25,'Production - Oil'!$B$11:$CD$54,MATCH('Production - Total'!G$9,'Production - Oil'!$B$9:$CD$9),FALSE))+IF(ISERROR(MATCH($B25,'Production - Gas'!$B$11:$B$54,0)),0,VLOOKUP($B25,'Production - Gas'!$B$11:$CD$54,MATCH('Production - Total'!G$9,'Production - Gas'!$B$9:$CD$9),FALSE)/5.8)</f>
        <v>41.431034482758619</v>
      </c>
      <c r="H25" s="11"/>
      <c r="I25" s="11"/>
      <c r="J25" s="11"/>
      <c r="K25" s="11"/>
      <c r="L25" s="11">
        <f>IF(ISERROR(MATCH($B25,'Production - Oil'!$B$11:$B$54,0)),0,VLOOKUP($B25,'Production - Oil'!$B$11:$CD$54,MATCH('Production - Total'!L$9,'Production - Oil'!$B$9:$CD$9),FALSE))+IF(ISERROR(MATCH($B25,'Production - Gas'!$B$11:$B$54,0)),0,VLOOKUP($B25,'Production - Gas'!$B$11:$CD$54,MATCH('Production - Total'!L$9,'Production - Gas'!$B$9:$CD$9),FALSE)/5.8)</f>
        <v>49.862068965517238</v>
      </c>
      <c r="M25" s="11"/>
      <c r="N25" s="11"/>
      <c r="O25" s="11"/>
      <c r="P25" s="11"/>
      <c r="Q25" s="11">
        <f>IF(ISERROR(MATCH($B25,'Production - Oil'!$B$11:$B$54,0)),0,VLOOKUP($B25,'Production - Oil'!$B$11:$CD$54,MATCH('Production - Total'!Q$9,'Production - Oil'!$B$9:$CD$9),FALSE))+IF(ISERROR(MATCH($B25,'Production - Gas'!$B$11:$B$54,0)),0,VLOOKUP($B25,'Production - Gas'!$B$11:$CD$54,MATCH('Production - Total'!Q$9,'Production - Gas'!$B$9:$CD$9),FALSE)/5.8)</f>
        <v>45.931034482758619</v>
      </c>
      <c r="R25" s="11"/>
      <c r="S25" s="11"/>
      <c r="T25" s="11"/>
      <c r="U25" s="11"/>
      <c r="V25" s="11">
        <f>IF(ISERROR(MATCH($B25,'Production - Oil'!$B$11:$B$54,0)),0,VLOOKUP($B25,'Production - Oil'!$B$11:$CD$54,MATCH('Production - Total'!V$9,'Production - Oil'!$B$9:$CD$9),FALSE))+IF(ISERROR(MATCH($B25,'Production - Gas'!$B$11:$B$54,0)),0,VLOOKUP($B25,'Production - Gas'!$B$11:$CD$54,MATCH('Production - Total'!V$9,'Production - Gas'!$B$9:$CD$9),FALSE)/5.8)</f>
        <v>38.482758620689651</v>
      </c>
      <c r="W25" s="11"/>
      <c r="X25" s="11"/>
      <c r="Y25" s="11"/>
      <c r="Z25" s="11"/>
      <c r="AA25" s="11">
        <f>IF(ISERROR(MATCH($B25,'Production - Oil'!$B$11:$B$54,0)),0,VLOOKUP($B25,'Production - Oil'!$B$11:$CD$54,MATCH('Production - Total'!AA$9,'Production - Oil'!$B$9:$CD$9),FALSE))+IF(ISERROR(MATCH($B25,'Production - Gas'!$B$11:$B$54,0)),0,VLOOKUP($B25,'Production - Gas'!$B$11:$CD$54,MATCH('Production - Total'!AA$9,'Production - Gas'!$B$9:$CD$9),FALSE)/5.8)</f>
        <v>33.689655172413794</v>
      </c>
      <c r="AB25" s="11"/>
      <c r="AC25" s="11"/>
      <c r="AD25" s="11"/>
      <c r="AE25" s="11"/>
      <c r="AF25" s="11">
        <f>IF(ISERROR(MATCH($B25,'Production - Oil'!$B$11:$B$54,0)),0,VLOOKUP($B25,'Production - Oil'!$B$11:$CD$54,MATCH('Production - Total'!AF$9,'Production - Oil'!$B$9:$CD$9),FALSE))+IF(ISERROR(MATCH($B25,'Production - Gas'!$B$11:$B$54,0)),0,VLOOKUP($B25,'Production - Gas'!$B$11:$CD$54,MATCH('Production - Total'!AF$9,'Production - Gas'!$B$9:$CD$9),FALSE)/5.8)</f>
        <v>30.241379310344826</v>
      </c>
      <c r="AG25" s="82"/>
      <c r="AH25" s="82"/>
      <c r="AI25" s="82"/>
      <c r="AJ25" s="82"/>
      <c r="AK25" s="11">
        <f>IF(ISERROR(MATCH($B25,'Production - Oil'!$B$11:$B$54,0)),0,VLOOKUP($B25,'Production - Oil'!$B$11:$CD$54,MATCH('Production - Total'!AK$9,'Production - Oil'!$B$9:$CD$9),FALSE))+IF(ISERROR(MATCH($B25,'Production - Gas'!$B$11:$B$54,0)),0,VLOOKUP($B25,'Production - Gas'!$B$11:$CD$54,MATCH('Production - Total'!AK$9,'Production - Gas'!$B$9:$CD$9),FALSE)/5.8)</f>
        <v>1.6896551724137931</v>
      </c>
      <c r="AL25" s="82"/>
      <c r="AM25" s="82"/>
      <c r="AN25" s="82"/>
      <c r="AO25" s="82"/>
      <c r="AP25" s="11">
        <f>IF(ISERROR(MATCH($B25,'Production - Oil'!$B$11:$B$54,0)),0,VLOOKUP($B25,'Production - Oil'!$B$11:$CD$54,MATCH('Production - Total'!AP$9,'Production - Oil'!$B$9:$CD$9),FALSE))+IF(ISERROR(MATCH($B25,'Production - Gas'!$B$11:$B$54,0)),0,VLOOKUP($B25,'Production - Gas'!$B$11:$CD$54,MATCH('Production - Total'!AP$9,'Production - Gas'!$B$9:$CD$9),FALSE)/5.8)</f>
        <v>0</v>
      </c>
      <c r="AQ25" s="82"/>
      <c r="AR25" s="82"/>
      <c r="AS25" s="82"/>
      <c r="AT25" s="82"/>
      <c r="AU25" s="11">
        <f>IF(ISERROR(MATCH($B25,'Production - Oil'!$B$11:$B$54,0)),0,VLOOKUP($B25,'Production - Oil'!$B$11:$CD$54,MATCH('Production - Total'!AU$9,'Production - Oil'!$B$9:$CD$9),FALSE))+IF(ISERROR(MATCH($B25,'Production - Gas'!$B$11:$B$54,0)),0,VLOOKUP($B25,'Production - Gas'!$B$11:$CD$54,MATCH('Production - Total'!AU$9,'Production - Gas'!$B$9:$CD$9),FALSE)/5.8)</f>
        <v>0</v>
      </c>
      <c r="AV25" s="82"/>
      <c r="AW25" s="82"/>
      <c r="AX25" s="82"/>
      <c r="AY25" s="82"/>
      <c r="AZ25" s="11">
        <f>IF(ISERROR(MATCH($B25,'Production - Oil'!$B$11:$B$54,0)),0,VLOOKUP($B25,'Production - Oil'!$B$11:$CD$54,MATCH('Production - Total'!AZ$9,'Production - Oil'!$B$9:$CD$9),FALSE))+IF(ISERROR(MATCH($B25,'Production - Gas'!$B$11:$B$54,0)),0,VLOOKUP($B25,'Production - Gas'!$B$11:$CD$54,MATCH('Production - Total'!AZ$9,'Production - Gas'!$B$9:$CD$9),FALSE)/5.8)</f>
        <v>0</v>
      </c>
      <c r="BA25" s="82"/>
      <c r="BB25" s="82"/>
      <c r="BC25" s="82"/>
      <c r="BD25" s="82"/>
      <c r="BE25" s="11">
        <f>IF(ISERROR(MATCH($B25,'Production - Oil'!$B$11:$B$54,0)),0,VLOOKUP($B25,'Production - Oil'!$B$11:$CD$54,MATCH('Production - Total'!BE$9,'Production - Oil'!$B$9:$CD$9),FALSE))+IF(ISERROR(MATCH($B25,'Production - Gas'!$B$11:$B$54,0)),0,VLOOKUP($B25,'Production - Gas'!$B$11:$CD$54,MATCH('Production - Total'!BE$9,'Production - Gas'!$B$9:$CD$9),FALSE)/5.8)</f>
        <v>0</v>
      </c>
      <c r="BF25" s="82"/>
      <c r="BG25" s="82"/>
      <c r="BH25" s="82"/>
      <c r="BI25" s="82"/>
      <c r="BJ25" s="11">
        <f>IF(ISERROR(MATCH($B25,'Production - Oil'!$B$11:$B$54,0)),0,VLOOKUP($B25,'Production - Oil'!$B$11:$CD$54,MATCH('Production - Total'!BJ$9,'Production - Oil'!$B$9:$CD$9),FALSE))+IF(ISERROR(MATCH($B25,'Production - Gas'!$B$11:$B$54,0)),0,VLOOKUP($B25,'Production - Gas'!$B$11:$CD$54,MATCH('Production - Total'!BJ$9,'Production - Gas'!$B$9:$CD$9),FALSE)/5.8)</f>
        <v>0</v>
      </c>
      <c r="BK25" s="82"/>
      <c r="BL25" s="82"/>
      <c r="BM25" s="82"/>
      <c r="BN25" s="82"/>
      <c r="BO25" s="11">
        <f>'Production - Oil'!BO25+'Production - Gas'!BO25/5.8</f>
        <v>0</v>
      </c>
      <c r="BP25" s="82"/>
      <c r="BQ25" s="82"/>
      <c r="BR25" s="82"/>
      <c r="BS25" s="82"/>
      <c r="BT25" s="51"/>
      <c r="BU25" s="82"/>
      <c r="BV25" s="82"/>
      <c r="BW25" s="82"/>
      <c r="BX25" s="82"/>
      <c r="BY25" s="51"/>
      <c r="BZ25" s="82"/>
      <c r="CA25" s="82"/>
      <c r="CB25" s="82"/>
      <c r="CC25" s="82"/>
      <c r="CD25" s="51"/>
    </row>
    <row r="26" spans="1:82">
      <c r="A26" s="11"/>
      <c r="B26" s="11" t="s">
        <v>1280</v>
      </c>
      <c r="C26" s="11">
        <f>IF(ISERROR(MATCH($B26,'Production - Oil'!$B$11:$B$54,0)),0,VLOOKUP($B26,'Production - Oil'!$B$11:$CD$54,MATCH('Production - Total'!C$9,'Production - Oil'!$B$9:$CD$9),FALSE))+IF(ISERROR(MATCH($B26,'Production - Gas'!$B$11:$B$54,0)),0,VLOOKUP($B26,'Production - Gas'!$B$11:$CD$54,MATCH('Production - Total'!C$9,'Production - Gas'!$B$9:$CD$9),FALSE)/5.8)</f>
        <v>222.31034482758622</v>
      </c>
      <c r="D26" s="11">
        <f>IF(ISERROR(MATCH($B26,'Production - Oil'!$B$11:$B$54,0)),0,VLOOKUP($B26,'Production - Oil'!$B$11:$CD$54,MATCH('Production - Total'!D$9,'Production - Oil'!$B$9:$CD$9),FALSE))+IF(ISERROR(MATCH($B26,'Production - Gas'!$B$11:$B$54,0)),0,VLOOKUP($B26,'Production - Gas'!$B$11:$CD$54,MATCH('Production - Total'!D$9,'Production - Gas'!$B$9:$CD$9),FALSE)/5.8)</f>
        <v>280.44827586206895</v>
      </c>
      <c r="E26" s="11">
        <f>IF(ISERROR(MATCH($B26,'Production - Oil'!$B$11:$B$54,0)),0,VLOOKUP($B26,'Production - Oil'!$B$11:$CD$54,MATCH('Production - Total'!E$9,'Production - Oil'!$B$9:$CD$9),FALSE))+IF(ISERROR(MATCH($B26,'Production - Gas'!$B$11:$B$54,0)),0,VLOOKUP($B26,'Production - Gas'!$B$11:$CD$54,MATCH('Production - Total'!E$9,'Production - Gas'!$B$9:$CD$9),FALSE)/5.8)</f>
        <v>366.06896551724139</v>
      </c>
      <c r="F26" s="11">
        <f>IF(ISERROR(MATCH($B26,'Production - Oil'!$B$11:$B$54,0)),0,VLOOKUP($B26,'Production - Oil'!$B$11:$CD$54,MATCH('Production - Total'!F$9,'Production - Oil'!$B$9:$CD$9),FALSE))+IF(ISERROR(MATCH($B26,'Production - Gas'!$B$11:$B$54,0)),0,VLOOKUP($B26,'Production - Gas'!$B$11:$CD$54,MATCH('Production - Total'!F$9,'Production - Gas'!$B$9:$CD$9),FALSE)/5.8)</f>
        <v>389.86206896551727</v>
      </c>
      <c r="G26" s="11">
        <f>IF(ISERROR(MATCH($B26,'Production - Oil'!$B$11:$B$54,0)),0,VLOOKUP($B26,'Production - Oil'!$B$11:$CD$54,MATCH('Production - Total'!G$9,'Production - Oil'!$B$9:$CD$9),FALSE))+IF(ISERROR(MATCH($B26,'Production - Gas'!$B$11:$B$54,0)),0,VLOOKUP($B26,'Production - Gas'!$B$11:$CD$54,MATCH('Production - Total'!G$9,'Production - Gas'!$B$9:$CD$9),FALSE)/5.8)</f>
        <v>382.58620689655174</v>
      </c>
      <c r="H26" s="11"/>
      <c r="I26" s="11"/>
      <c r="J26" s="11"/>
      <c r="K26" s="11"/>
      <c r="L26" s="11">
        <f>IF(ISERROR(MATCH($B26,'Production - Oil'!$B$11:$B$54,0)),0,VLOOKUP($B26,'Production - Oil'!$B$11:$CD$54,MATCH('Production - Total'!L$9,'Production - Oil'!$B$9:$CD$9),FALSE))+IF(ISERROR(MATCH($B26,'Production - Gas'!$B$11:$B$54,0)),0,VLOOKUP($B26,'Production - Gas'!$B$11:$CD$54,MATCH('Production - Total'!L$9,'Production - Gas'!$B$9:$CD$9),FALSE)/5.8)</f>
        <v>430.51724137931035</v>
      </c>
      <c r="M26" s="11"/>
      <c r="N26" s="11"/>
      <c r="O26" s="11"/>
      <c r="P26" s="11"/>
      <c r="Q26" s="11">
        <f>IF(ISERROR(MATCH($B26,'Production - Oil'!$B$11:$B$54,0)),0,VLOOKUP($B26,'Production - Oil'!$B$11:$CD$54,MATCH('Production - Total'!Q$9,'Production - Oil'!$B$9:$CD$9),FALSE))+IF(ISERROR(MATCH($B26,'Production - Gas'!$B$11:$B$54,0)),0,VLOOKUP($B26,'Production - Gas'!$B$11:$CD$54,MATCH('Production - Total'!Q$9,'Production - Gas'!$B$9:$CD$9),FALSE)/5.8)</f>
        <v>449.48275862068965</v>
      </c>
      <c r="R26" s="11"/>
      <c r="S26" s="11"/>
      <c r="T26" s="11"/>
      <c r="U26" s="11"/>
      <c r="V26" s="11">
        <f>IF(ISERROR(MATCH($B26,'Production - Oil'!$B$11:$B$54,0)),0,VLOOKUP($B26,'Production - Oil'!$B$11:$CD$54,MATCH('Production - Total'!V$9,'Production - Oil'!$B$9:$CD$9),FALSE))+IF(ISERROR(MATCH($B26,'Production - Gas'!$B$11:$B$54,0)),0,VLOOKUP($B26,'Production - Gas'!$B$11:$CD$54,MATCH('Production - Total'!V$9,'Production - Gas'!$B$9:$CD$9),FALSE)/5.8)</f>
        <v>459.72413793103448</v>
      </c>
      <c r="W26" s="11"/>
      <c r="X26" s="11"/>
      <c r="Y26" s="11"/>
      <c r="Z26" s="11"/>
      <c r="AA26" s="11">
        <f>IF(ISERROR(MATCH($B26,'Production - Oil'!$B$11:$B$54,0)),0,VLOOKUP($B26,'Production - Oil'!$B$11:$CD$54,MATCH('Production - Total'!AA$9,'Production - Oil'!$B$9:$CD$9),FALSE))+IF(ISERROR(MATCH($B26,'Production - Gas'!$B$11:$B$54,0)),0,VLOOKUP($B26,'Production - Gas'!$B$11:$CD$54,MATCH('Production - Total'!AA$9,'Production - Gas'!$B$9:$CD$9),FALSE)/5.8)</f>
        <v>456.9655172413793</v>
      </c>
      <c r="AB26" s="11"/>
      <c r="AC26" s="11"/>
      <c r="AD26" s="11"/>
      <c r="AE26" s="11"/>
      <c r="AF26" s="11">
        <f>IF(ISERROR(MATCH($B26,'Production - Oil'!$B$11:$B$54,0)),0,VLOOKUP($B26,'Production - Oil'!$B$11:$CD$54,MATCH('Production - Total'!AF$9,'Production - Oil'!$B$9:$CD$9),FALSE))+IF(ISERROR(MATCH($B26,'Production - Gas'!$B$11:$B$54,0)),0,VLOOKUP($B26,'Production - Gas'!$B$11:$CD$54,MATCH('Production - Total'!AF$9,'Production - Gas'!$B$9:$CD$9),FALSE)/5.8)</f>
        <v>462.37931034482762</v>
      </c>
      <c r="AG26" s="82"/>
      <c r="AH26" s="82"/>
      <c r="AI26" s="82"/>
      <c r="AJ26" s="82"/>
      <c r="AK26" s="11">
        <f>IF(ISERROR(MATCH($B26,'Production - Oil'!$B$11:$B$54,0)),0,VLOOKUP($B26,'Production - Oil'!$B$11:$CD$54,MATCH('Production - Total'!AK$9,'Production - Oil'!$B$9:$CD$9),FALSE))+IF(ISERROR(MATCH($B26,'Production - Gas'!$B$11:$B$54,0)),0,VLOOKUP($B26,'Production - Gas'!$B$11:$CD$54,MATCH('Production - Total'!AK$9,'Production - Gas'!$B$9:$CD$9),FALSE)/5.8)</f>
        <v>409.10344827586209</v>
      </c>
      <c r="AL26" s="82"/>
      <c r="AM26" s="82"/>
      <c r="AN26" s="82"/>
      <c r="AO26" s="82"/>
      <c r="AP26" s="11">
        <f>IF(ISERROR(MATCH($B26,'Production - Oil'!$B$11:$B$54,0)),0,VLOOKUP($B26,'Production - Oil'!$B$11:$CD$54,MATCH('Production - Total'!AP$9,'Production - Oil'!$B$9:$CD$9),FALSE))+IF(ISERROR(MATCH($B26,'Production - Gas'!$B$11:$B$54,0)),0,VLOOKUP($B26,'Production - Gas'!$B$11:$CD$54,MATCH('Production - Total'!AP$9,'Production - Gas'!$B$9:$CD$9),FALSE)/5.8)</f>
        <v>382.55172413793105</v>
      </c>
      <c r="AQ26" s="82"/>
      <c r="AR26" s="82"/>
      <c r="AS26" s="82"/>
      <c r="AT26" s="82"/>
      <c r="AU26" s="11">
        <f>IF(ISERROR(MATCH($B26,'Production - Oil'!$B$11:$B$54,0)),0,VLOOKUP($B26,'Production - Oil'!$B$11:$CD$54,MATCH('Production - Total'!AU$9,'Production - Oil'!$B$9:$CD$9),FALSE))+IF(ISERROR(MATCH($B26,'Production - Gas'!$B$11:$B$54,0)),0,VLOOKUP($B26,'Production - Gas'!$B$11:$CD$54,MATCH('Production - Total'!AU$9,'Production - Gas'!$B$9:$CD$9),FALSE)/5.8)</f>
        <v>405.93103448275861</v>
      </c>
      <c r="AV26" s="82"/>
      <c r="AW26" s="82"/>
      <c r="AX26" s="82"/>
      <c r="AY26" s="82"/>
      <c r="AZ26" s="11">
        <f>IF(ISERROR(MATCH($B26,'Production - Oil'!$B$11:$B$54,0)),0,VLOOKUP($B26,'Production - Oil'!$B$11:$CD$54,MATCH('Production - Total'!AZ$9,'Production - Oil'!$B$9:$CD$9),FALSE))+IF(ISERROR(MATCH($B26,'Production - Gas'!$B$11:$B$54,0)),0,VLOOKUP($B26,'Production - Gas'!$B$11:$CD$54,MATCH('Production - Total'!AZ$9,'Production - Gas'!$B$9:$CD$9),FALSE)/5.8)</f>
        <v>395.17241379310349</v>
      </c>
      <c r="BA26" s="82"/>
      <c r="BB26" s="82"/>
      <c r="BC26" s="82"/>
      <c r="BD26" s="82"/>
      <c r="BE26" s="11">
        <f>IF(ISERROR(MATCH($B26,'Production - Oil'!$B$11:$B$54,0)),0,VLOOKUP($B26,'Production - Oil'!$B$11:$CD$54,MATCH('Production - Total'!BE$9,'Production - Oil'!$B$9:$CD$9),FALSE))+IF(ISERROR(MATCH($B26,'Production - Gas'!$B$11:$B$54,0)),0,VLOOKUP($B26,'Production - Gas'!$B$11:$CD$54,MATCH('Production - Total'!BE$9,'Production - Gas'!$B$9:$CD$9),FALSE)/5.8)</f>
        <v>354.37931034482762</v>
      </c>
      <c r="BF26" s="82"/>
      <c r="BG26" s="82"/>
      <c r="BH26" s="82"/>
      <c r="BI26" s="82"/>
      <c r="BJ26" s="11">
        <f>IF(ISERROR(MATCH($B26,'Production - Oil'!$B$11:$B$54,0)),0,VLOOKUP($B26,'Production - Oil'!$B$11:$CD$54,MATCH('Production - Total'!BJ$9,'Production - Oil'!$B$9:$CD$9),FALSE))+IF(ISERROR(MATCH($B26,'Production - Gas'!$B$11:$B$54,0)),0,VLOOKUP($B26,'Production - Gas'!$B$11:$CD$54,MATCH('Production - Total'!BJ$9,'Production - Gas'!$B$9:$CD$9),FALSE)/5.8)</f>
        <v>309.20689655172413</v>
      </c>
      <c r="BK26" s="82"/>
      <c r="BL26" s="82"/>
      <c r="BM26" s="82"/>
      <c r="BN26" s="82"/>
      <c r="BO26" s="11">
        <f>'Production - Oil'!BO26+'Production - Gas'!BO26/5.8</f>
        <v>355.79310344827587</v>
      </c>
      <c r="BP26" s="82"/>
      <c r="BQ26" s="82"/>
      <c r="BR26" s="82"/>
      <c r="BS26" s="82"/>
      <c r="BT26" s="51"/>
      <c r="BU26" s="82"/>
      <c r="BV26" s="82"/>
      <c r="BW26" s="82"/>
      <c r="BX26" s="82"/>
      <c r="BY26" s="51"/>
      <c r="BZ26" s="82"/>
      <c r="CA26" s="82"/>
      <c r="CB26" s="82"/>
      <c r="CC26" s="82"/>
      <c r="CD26" s="51"/>
    </row>
    <row r="27" spans="1:82">
      <c r="A27" s="11"/>
      <c r="B27" s="11" t="s">
        <v>1036</v>
      </c>
      <c r="C27" s="11">
        <f>IF(ISERROR(MATCH($B27,'Production - Oil'!$B$11:$B$54,0)),0,VLOOKUP($B27,'Production - Oil'!$B$11:$CD$54,MATCH('Production - Total'!C$9,'Production - Oil'!$B$9:$CD$9),FALSE))+IF(ISERROR(MATCH($B27,'Production - Gas'!$B$11:$B$54,0)),0,VLOOKUP($B27,'Production - Gas'!$B$11:$CD$54,MATCH('Production - Total'!C$9,'Production - Gas'!$B$9:$CD$9),FALSE)/5.8)</f>
        <v>54</v>
      </c>
      <c r="D27" s="11">
        <f>IF(ISERROR(MATCH($B27,'Production - Oil'!$B$11:$B$54,0)),0,VLOOKUP($B27,'Production - Oil'!$B$11:$CD$54,MATCH('Production - Total'!D$9,'Production - Oil'!$B$9:$CD$9),FALSE))+IF(ISERROR(MATCH($B27,'Production - Gas'!$B$11:$B$54,0)),0,VLOOKUP($B27,'Production - Gas'!$B$11:$CD$54,MATCH('Production - Total'!D$9,'Production - Gas'!$B$9:$CD$9),FALSE)/5.8)</f>
        <v>51</v>
      </c>
      <c r="E27" s="11">
        <f>IF(ISERROR(MATCH($B27,'Production - Oil'!$B$11:$B$54,0)),0,VLOOKUP($B27,'Production - Oil'!$B$11:$CD$54,MATCH('Production - Total'!E$9,'Production - Oil'!$B$9:$CD$9),FALSE))+IF(ISERROR(MATCH($B27,'Production - Gas'!$B$11:$B$54,0)),0,VLOOKUP($B27,'Production - Gas'!$B$11:$CD$54,MATCH('Production - Total'!E$9,'Production - Gas'!$B$9:$CD$9),FALSE)/5.8)</f>
        <v>53</v>
      </c>
      <c r="F27" s="11">
        <f>IF(ISERROR(MATCH($B27,'Production - Oil'!$B$11:$B$54,0)),0,VLOOKUP($B27,'Production - Oil'!$B$11:$CD$54,MATCH('Production - Total'!F$9,'Production - Oil'!$B$9:$CD$9),FALSE))+IF(ISERROR(MATCH($B27,'Production - Gas'!$B$11:$B$54,0)),0,VLOOKUP($B27,'Production - Gas'!$B$11:$CD$54,MATCH('Production - Total'!F$9,'Production - Gas'!$B$9:$CD$9),FALSE)/5.8)</f>
        <v>55</v>
      </c>
      <c r="G27" s="11">
        <f>IF(ISERROR(MATCH($B27,'Production - Oil'!$B$11:$B$54,0)),0,VLOOKUP($B27,'Production - Oil'!$B$11:$CD$54,MATCH('Production - Total'!G$9,'Production - Oil'!$B$9:$CD$9),FALSE))+IF(ISERROR(MATCH($B27,'Production - Gas'!$B$11:$B$54,0)),0,VLOOKUP($B27,'Production - Gas'!$B$11:$CD$54,MATCH('Production - Total'!G$9,'Production - Gas'!$B$9:$CD$9),FALSE)/5.8)</f>
        <v>55</v>
      </c>
      <c r="H27" s="11"/>
      <c r="I27" s="11"/>
      <c r="J27" s="11"/>
      <c r="K27" s="11"/>
      <c r="L27" s="11">
        <f>IF(ISERROR(MATCH($B27,'Production - Oil'!$B$11:$B$54,0)),0,VLOOKUP($B27,'Production - Oil'!$B$11:$CD$54,MATCH('Production - Total'!L$9,'Production - Oil'!$B$9:$CD$9),FALSE))+IF(ISERROR(MATCH($B27,'Production - Gas'!$B$11:$B$54,0)),0,VLOOKUP($B27,'Production - Gas'!$B$11:$CD$54,MATCH('Production - Total'!L$9,'Production - Gas'!$B$9:$CD$9),FALSE)/5.8)</f>
        <v>26.862068965517242</v>
      </c>
      <c r="M27" s="11"/>
      <c r="N27" s="11"/>
      <c r="O27" s="11"/>
      <c r="P27" s="11"/>
      <c r="Q27" s="11">
        <f>IF(ISERROR(MATCH($B27,'Production - Oil'!$B$11:$B$54,0)),0,VLOOKUP($B27,'Production - Oil'!$B$11:$CD$54,MATCH('Production - Total'!Q$9,'Production - Oil'!$B$9:$CD$9),FALSE))+IF(ISERROR(MATCH($B27,'Production - Gas'!$B$11:$B$54,0)),0,VLOOKUP($B27,'Production - Gas'!$B$11:$CD$54,MATCH('Production - Total'!Q$9,'Production - Gas'!$B$9:$CD$9),FALSE)/5.8)</f>
        <v>17.03448275862069</v>
      </c>
      <c r="R27" s="11"/>
      <c r="S27" s="11"/>
      <c r="T27" s="11"/>
      <c r="U27" s="11"/>
      <c r="V27" s="11">
        <f>IF(ISERROR(MATCH($B27,'Production - Oil'!$B$11:$B$54,0)),0,VLOOKUP($B27,'Production - Oil'!$B$11:$CD$54,MATCH('Production - Total'!V$9,'Production - Oil'!$B$9:$CD$9),FALSE))+IF(ISERROR(MATCH($B27,'Production - Gas'!$B$11:$B$54,0)),0,VLOOKUP($B27,'Production - Gas'!$B$11:$CD$54,MATCH('Production - Total'!V$9,'Production - Gas'!$B$9:$CD$9),FALSE)/5.8)</f>
        <v>4.3448275862068968</v>
      </c>
      <c r="W27" s="11"/>
      <c r="X27" s="11"/>
      <c r="Y27" s="11"/>
      <c r="Z27" s="11"/>
      <c r="AA27" s="11">
        <f>IF(ISERROR(MATCH($B27,'Production - Oil'!$B$11:$B$54,0)),0,VLOOKUP($B27,'Production - Oil'!$B$11:$CD$54,MATCH('Production - Total'!AA$9,'Production - Oil'!$B$9:$CD$9),FALSE))+IF(ISERROR(MATCH($B27,'Production - Gas'!$B$11:$B$54,0)),0,VLOOKUP($B27,'Production - Gas'!$B$11:$CD$54,MATCH('Production - Total'!AA$9,'Production - Gas'!$B$9:$CD$9),FALSE)/5.8)</f>
        <v>0</v>
      </c>
      <c r="AB27" s="11"/>
      <c r="AC27" s="11"/>
      <c r="AD27" s="11"/>
      <c r="AE27" s="11"/>
      <c r="AF27" s="11">
        <f>IF(ISERROR(MATCH($B27,'Production - Oil'!$B$11:$B$54,0)),0,VLOOKUP($B27,'Production - Oil'!$B$11:$CD$54,MATCH('Production - Total'!AF$9,'Production - Oil'!$B$9:$CD$9),FALSE))+IF(ISERROR(MATCH($B27,'Production - Gas'!$B$11:$B$54,0)),0,VLOOKUP($B27,'Production - Gas'!$B$11:$CD$54,MATCH('Production - Total'!AF$9,'Production - Gas'!$B$9:$CD$9),FALSE)/5.8)</f>
        <v>0</v>
      </c>
      <c r="AG27" s="82"/>
      <c r="AH27" s="82"/>
      <c r="AI27" s="82"/>
      <c r="AJ27" s="82"/>
      <c r="AK27" s="11">
        <f>IF(ISERROR(MATCH($B27,'Production - Oil'!$B$11:$B$54,0)),0,VLOOKUP($B27,'Production - Oil'!$B$11:$CD$54,MATCH('Production - Total'!AK$9,'Production - Oil'!$B$9:$CD$9),FALSE))+IF(ISERROR(MATCH($B27,'Production - Gas'!$B$11:$B$54,0)),0,VLOOKUP($B27,'Production - Gas'!$B$11:$CD$54,MATCH('Production - Total'!AK$9,'Production - Gas'!$B$9:$CD$9),FALSE)/5.8)</f>
        <v>0</v>
      </c>
      <c r="AL27" s="82"/>
      <c r="AM27" s="82"/>
      <c r="AN27" s="82"/>
      <c r="AO27" s="82"/>
      <c r="AP27" s="11">
        <f>IF(ISERROR(MATCH($B27,'Production - Oil'!$B$11:$B$54,0)),0,VLOOKUP($B27,'Production - Oil'!$B$11:$CD$54,MATCH('Production - Total'!AP$9,'Production - Oil'!$B$9:$CD$9),FALSE))+IF(ISERROR(MATCH($B27,'Production - Gas'!$B$11:$B$54,0)),0,VLOOKUP($B27,'Production - Gas'!$B$11:$CD$54,MATCH('Production - Total'!AP$9,'Production - Gas'!$B$9:$CD$9),FALSE)/5.8)</f>
        <v>0</v>
      </c>
      <c r="AQ27" s="82"/>
      <c r="AR27" s="82"/>
      <c r="AS27" s="82"/>
      <c r="AT27" s="82"/>
      <c r="AU27" s="11">
        <f>IF(ISERROR(MATCH($B27,'Production - Oil'!$B$11:$B$54,0)),0,VLOOKUP($B27,'Production - Oil'!$B$11:$CD$54,MATCH('Production - Total'!AU$9,'Production - Oil'!$B$9:$CD$9),FALSE))+IF(ISERROR(MATCH($B27,'Production - Gas'!$B$11:$B$54,0)),0,VLOOKUP($B27,'Production - Gas'!$B$11:$CD$54,MATCH('Production - Total'!AU$9,'Production - Gas'!$B$9:$CD$9),FALSE)/5.8)</f>
        <v>0</v>
      </c>
      <c r="AV27" s="82"/>
      <c r="AW27" s="82"/>
      <c r="AX27" s="82"/>
      <c r="AY27" s="82"/>
      <c r="AZ27" s="11">
        <f>IF(ISERROR(MATCH($B27,'Production - Oil'!$B$11:$B$54,0)),0,VLOOKUP($B27,'Production - Oil'!$B$11:$CD$54,MATCH('Production - Total'!AZ$9,'Production - Oil'!$B$9:$CD$9),FALSE))+IF(ISERROR(MATCH($B27,'Production - Gas'!$B$11:$B$54,0)),0,VLOOKUP($B27,'Production - Gas'!$B$11:$CD$54,MATCH('Production - Total'!AZ$9,'Production - Gas'!$B$9:$CD$9),FALSE)/5.8)</f>
        <v>0</v>
      </c>
      <c r="BA27" s="82"/>
      <c r="BB27" s="82"/>
      <c r="BC27" s="82"/>
      <c r="BD27" s="82"/>
      <c r="BE27" s="11">
        <f>IF(ISERROR(MATCH($B27,'Production - Oil'!$B$11:$B$54,0)),0,VLOOKUP($B27,'Production - Oil'!$B$11:$CD$54,MATCH('Production - Total'!BE$9,'Production - Oil'!$B$9:$CD$9),FALSE))+IF(ISERROR(MATCH($B27,'Production - Gas'!$B$11:$B$54,0)),0,VLOOKUP($B27,'Production - Gas'!$B$11:$CD$54,MATCH('Production - Total'!BE$9,'Production - Gas'!$B$9:$CD$9),FALSE)/5.8)</f>
        <v>0</v>
      </c>
      <c r="BF27" s="82"/>
      <c r="BG27" s="82"/>
      <c r="BH27" s="82"/>
      <c r="BI27" s="82"/>
      <c r="BJ27" s="11">
        <f>IF(ISERROR(MATCH($B27,'Production - Oil'!$B$11:$B$54,0)),0,VLOOKUP($B27,'Production - Oil'!$B$11:$CD$54,MATCH('Production - Total'!BJ$9,'Production - Oil'!$B$9:$CD$9),FALSE))+IF(ISERROR(MATCH($B27,'Production - Gas'!$B$11:$B$54,0)),0,VLOOKUP($B27,'Production - Gas'!$B$11:$CD$54,MATCH('Production - Total'!BJ$9,'Production - Gas'!$B$9:$CD$9),FALSE)/5.8)</f>
        <v>0</v>
      </c>
      <c r="BK27" s="82"/>
      <c r="BL27" s="82"/>
      <c r="BM27" s="82"/>
      <c r="BN27" s="82"/>
      <c r="BO27" s="11">
        <f>'Production - Oil'!BO27+'Production - Gas'!BO27/5.8</f>
        <v>0</v>
      </c>
      <c r="BP27" s="82"/>
      <c r="BQ27" s="82"/>
      <c r="BR27" s="82"/>
      <c r="BS27" s="82"/>
      <c r="BT27" s="51"/>
      <c r="BU27" s="82"/>
      <c r="BV27" s="82"/>
      <c r="BW27" s="82"/>
      <c r="BX27" s="82"/>
      <c r="BY27" s="51"/>
      <c r="BZ27" s="82"/>
      <c r="CA27" s="82"/>
      <c r="CB27" s="82"/>
      <c r="CC27" s="82"/>
      <c r="CD27" s="51"/>
    </row>
    <row r="28" spans="1:82">
      <c r="A28" s="39" t="s">
        <v>119</v>
      </c>
      <c r="B28" s="39"/>
      <c r="C28" s="39">
        <f t="shared" ref="C28:AA28" si="2">SUM(C22:C27)</f>
        <v>324.31034482758622</v>
      </c>
      <c r="D28" s="39">
        <f t="shared" si="2"/>
        <v>377.44827586206895</v>
      </c>
      <c r="E28" s="39">
        <f t="shared" si="2"/>
        <v>472.06896551724139</v>
      </c>
      <c r="F28" s="39">
        <f t="shared" si="2"/>
        <v>493.55172413793105</v>
      </c>
      <c r="G28" s="39">
        <f t="shared" si="2"/>
        <v>479.01724137931035</v>
      </c>
      <c r="H28" s="39">
        <f t="shared" si="2"/>
        <v>0</v>
      </c>
      <c r="I28" s="39">
        <f t="shared" si="2"/>
        <v>0</v>
      </c>
      <c r="J28" s="39">
        <f t="shared" si="2"/>
        <v>0</v>
      </c>
      <c r="K28" s="39">
        <f t="shared" si="2"/>
        <v>0</v>
      </c>
      <c r="L28" s="39">
        <f t="shared" si="2"/>
        <v>507.24137931034483</v>
      </c>
      <c r="M28" s="39">
        <f t="shared" si="2"/>
        <v>0</v>
      </c>
      <c r="N28" s="39">
        <f t="shared" si="2"/>
        <v>0</v>
      </c>
      <c r="O28" s="39">
        <f t="shared" si="2"/>
        <v>0</v>
      </c>
      <c r="P28" s="39">
        <f t="shared" si="2"/>
        <v>0</v>
      </c>
      <c r="Q28" s="39">
        <f t="shared" si="2"/>
        <v>512.44827586206895</v>
      </c>
      <c r="R28" s="39">
        <f t="shared" si="2"/>
        <v>0</v>
      </c>
      <c r="S28" s="39">
        <f t="shared" si="2"/>
        <v>0</v>
      </c>
      <c r="T28" s="39">
        <f t="shared" si="2"/>
        <v>0</v>
      </c>
      <c r="U28" s="39">
        <f t="shared" si="2"/>
        <v>0</v>
      </c>
      <c r="V28" s="39">
        <f t="shared" si="2"/>
        <v>502.55172413793105</v>
      </c>
      <c r="W28" s="39">
        <f t="shared" si="2"/>
        <v>0</v>
      </c>
      <c r="X28" s="39">
        <f t="shared" si="2"/>
        <v>0</v>
      </c>
      <c r="Y28" s="39">
        <f t="shared" si="2"/>
        <v>0</v>
      </c>
      <c r="Z28" s="39">
        <f t="shared" si="2"/>
        <v>0</v>
      </c>
      <c r="AA28" s="39">
        <f t="shared" si="2"/>
        <v>490.65517241379308</v>
      </c>
      <c r="AB28" s="39"/>
      <c r="AC28" s="39"/>
      <c r="AD28" s="39"/>
      <c r="AE28" s="39"/>
      <c r="AF28" s="39">
        <f>SUM(AF22:AF27)</f>
        <v>492.62068965517244</v>
      </c>
      <c r="AG28" s="80">
        <f>VLOOKUP($A28,'Production - Oil'!$A$9:$CD$56,MATCH('Production - Total'!AG$9,'Production - Oil'!$A$9:$CD$9,0),FALSE)+VLOOKUP($A28,'Production - Gas'!$A$9:$CD$56,MATCH('Production - Total'!AG$9,'Production - Gas'!$A$9:$CD$9,0),FALSE)/5.8</f>
        <v>0</v>
      </c>
      <c r="AH28" s="80">
        <f>VLOOKUP($A28,'Production - Oil'!$A$9:$CD$56,MATCH('Production - Total'!AH$9,'Production - Oil'!$A$9:$CD$9,0),FALSE)+VLOOKUP($A28,'Production - Gas'!$A$9:$CD$56,MATCH('Production - Total'!AH$9,'Production - Gas'!$A$9:$CD$9,0),FALSE)/5.8</f>
        <v>0</v>
      </c>
      <c r="AI28" s="80">
        <f>VLOOKUP($A28,'Production - Oil'!$A$9:$CD$56,MATCH('Production - Total'!AI$9,'Production - Oil'!$A$9:$CD$9,0),FALSE)+VLOOKUP($A28,'Production - Gas'!$A$9:$CD$56,MATCH('Production - Total'!AI$9,'Production - Gas'!$A$9:$CD$9,0),FALSE)/5.8</f>
        <v>0</v>
      </c>
      <c r="AJ28" s="80">
        <f>VLOOKUP($A28,'Production - Oil'!$A$9:$CD$56,MATCH('Production - Total'!AJ$9,'Production - Oil'!$A$9:$CD$9,0),FALSE)+VLOOKUP($A28,'Production - Gas'!$A$9:$CD$56,MATCH('Production - Total'!AJ$9,'Production - Gas'!$A$9:$CD$9,0),FALSE)/5.8</f>
        <v>0</v>
      </c>
      <c r="AK28" s="39">
        <f>SUM(AK22:AK27)</f>
        <v>417.79310344827587</v>
      </c>
      <c r="AL28" s="80">
        <f>VLOOKUP($A28,'Production - Oil'!$A$9:$CD$56,MATCH('Production - Total'!AL$9,'Production - Oil'!$A$9:$CD$9,0),FALSE)+VLOOKUP($A28,'Production - Gas'!$A$9:$CD$56,MATCH('Production - Total'!AL$9,'Production - Gas'!$A$9:$CD$9,0),FALSE)/5.8</f>
        <v>0</v>
      </c>
      <c r="AM28" s="80">
        <f>VLOOKUP($A28,'Production - Oil'!$A$9:$CD$56,MATCH('Production - Total'!AM$9,'Production - Oil'!$A$9:$CD$9,0),FALSE)+VLOOKUP($A28,'Production - Gas'!$A$9:$CD$56,MATCH('Production - Total'!AM$9,'Production - Gas'!$A$9:$CD$9,0),FALSE)/5.8</f>
        <v>0</v>
      </c>
      <c r="AN28" s="80">
        <f>VLOOKUP($A28,'Production - Oil'!$A$9:$CD$56,MATCH('Production - Total'!AN$9,'Production - Oil'!$A$9:$CD$9,0),FALSE)+VLOOKUP($A28,'Production - Gas'!$A$9:$CD$56,MATCH('Production - Total'!AN$9,'Production - Gas'!$A$9:$CD$9,0),FALSE)/5.8</f>
        <v>0</v>
      </c>
      <c r="AO28" s="80">
        <f>VLOOKUP($A28,'Production - Oil'!$A$9:$CD$56,MATCH('Production - Total'!AO$9,'Production - Oil'!$A$9:$CD$9,0),FALSE)+VLOOKUP($A28,'Production - Gas'!$A$9:$CD$56,MATCH('Production - Total'!AO$9,'Production - Gas'!$A$9:$CD$9,0),FALSE)/5.8</f>
        <v>0</v>
      </c>
      <c r="AP28" s="39">
        <f>SUM(AP22:AP27)</f>
        <v>389.55172413793105</v>
      </c>
      <c r="AQ28" s="82"/>
      <c r="AR28" s="82"/>
      <c r="AS28" s="82"/>
      <c r="AT28" s="82"/>
      <c r="AU28" s="39">
        <f>SUM(AU22:AU27)</f>
        <v>412.93103448275861</v>
      </c>
      <c r="AV28" s="82"/>
      <c r="AW28" s="82"/>
      <c r="AX28" s="82"/>
      <c r="AY28" s="82"/>
      <c r="AZ28" s="39">
        <f>SUM(AZ22:AZ27)</f>
        <v>395.17241379310349</v>
      </c>
      <c r="BA28" s="82"/>
      <c r="BB28" s="82"/>
      <c r="BC28" s="82"/>
      <c r="BD28" s="82"/>
      <c r="BE28" s="39">
        <f>SUM(BE22:BE27)</f>
        <v>354.37931034482762</v>
      </c>
      <c r="BF28" s="82"/>
      <c r="BG28" s="82"/>
      <c r="BH28" s="82"/>
      <c r="BI28" s="82"/>
      <c r="BJ28" s="39">
        <f>SUM(BJ22:BJ27)</f>
        <v>309.20689655172413</v>
      </c>
      <c r="BK28" s="82"/>
      <c r="BL28" s="82"/>
      <c r="BM28" s="82"/>
      <c r="BN28" s="82"/>
      <c r="BO28" s="39">
        <f>SUM(BO22:BO27)</f>
        <v>355.79310344827587</v>
      </c>
      <c r="BP28" s="80">
        <f>VLOOKUP($A28,'Production - Oil'!$A$9:$CD$56,MATCH('Production - Total'!BP$9,'Production - Oil'!$A$9:$CD$9,0),FALSE)+VLOOKUP($A28,'Production - Gas'!$A$9:$CD$56,MATCH('Production - Total'!BP$9,'Production - Gas'!$A$9:$CD$9,0),FALSE)/5.8</f>
        <v>372.66429818997847</v>
      </c>
      <c r="BQ28" s="80">
        <f>VLOOKUP($A28,'Production - Oil'!$A$9:$CD$56,MATCH('Production - Total'!BQ$9,'Production - Oil'!$A$9:$CD$9,0),FALSE)+VLOOKUP($A28,'Production - Gas'!$A$9:$CD$56,MATCH('Production - Total'!BQ$9,'Production - Gas'!$A$9:$CD$9,0),FALSE)/5.8</f>
        <v>361.19696022162714</v>
      </c>
      <c r="BR28" s="80">
        <f>VLOOKUP($A28,'Production - Oil'!$A$9:$CD$56,MATCH('Production - Total'!BR$9,'Production - Oil'!$A$9:$CD$9,0),FALSE)+VLOOKUP($A28,'Production - Gas'!$A$9:$CD$56,MATCH('Production - Total'!BR$9,'Production - Gas'!$A$9:$CD$9,0),FALSE)/5.8</f>
        <v>362.88227141577056</v>
      </c>
      <c r="BS28" s="80">
        <f>VLOOKUP($A28,'Production - Oil'!$A$9:$CD$56,MATCH('Production - Total'!BS$9,'Production - Oil'!$A$9:$CD$9,0),FALSE)+VLOOKUP($A28,'Production - Gas'!$A$9:$CD$56,MATCH('Production - Total'!BS$9,'Production - Gas'!$A$9:$CD$9,0),FALSE)/5.8</f>
        <v>365.7778494829688</v>
      </c>
      <c r="BT28" s="39">
        <f>VLOOKUP($A28,'Production - Oil'!$A$9:$CD$56,MATCH('Production - Total'!BT$9,'Production - Oil'!$A$9:$CD$9,0),FALSE)+VLOOKUP($A28,'Production - Gas'!$A$9:$CD$56,MATCH('Production - Total'!BT$9,'Production - Gas'!$A$9:$CD$9,0),FALSE)/5.8</f>
        <v>365.63034482758621</v>
      </c>
      <c r="BU28" s="80">
        <f>VLOOKUP($A28,'Production - Oil'!$A$9:$CD$56,MATCH('Production - Total'!BU$9,'Production - Oil'!$A$9:$CD$9,0),FALSE)+VLOOKUP($A28,'Production - Gas'!$A$9:$CD$56,MATCH('Production - Total'!BU$9,'Production - Gas'!$A$9:$CD$9,0),FALSE)/5.8</f>
        <v>386.66474218177598</v>
      </c>
      <c r="BV28" s="80">
        <f>VLOOKUP($A28,'Production - Oil'!$A$9:$CD$56,MATCH('Production - Total'!BV$9,'Production - Oil'!$A$9:$CD$9,0),FALSE)+VLOOKUP($A28,'Production - Gas'!$A$9:$CD$56,MATCH('Production - Total'!BV$9,'Production - Gas'!$A$9:$CD$9,0),FALSE)/5.8</f>
        <v>379.23832668200703</v>
      </c>
      <c r="BW28" s="80">
        <f>VLOOKUP($A28,'Production - Oil'!$A$9:$CD$56,MATCH('Production - Total'!BW$9,'Production - Oil'!$A$9:$CD$9,0),FALSE)+VLOOKUP($A28,'Production - Gas'!$A$9:$CD$56,MATCH('Production - Total'!BW$9,'Production - Gas'!$A$9:$CD$9,0),FALSE)/5.8</f>
        <v>381.17356205015511</v>
      </c>
      <c r="BX28" s="80">
        <f>VLOOKUP($A28,'Production - Oil'!$A$9:$CD$56,MATCH('Production - Total'!BX$9,'Production - Oil'!$A$9:$CD$9,0),FALSE)+VLOOKUP($A28,'Production - Gas'!$A$9:$CD$56,MATCH('Production - Total'!BX$9,'Production - Gas'!$A$9:$CD$9,0),FALSE)/5.8</f>
        <v>384.49854149985504</v>
      </c>
      <c r="BY28" s="39">
        <f>VLOOKUP($A28,'Production - Oil'!$A$9:$CD$56,MATCH('Production - Total'!BY$9,'Production - Oil'!$A$9:$CD$9,0),FALSE)+VLOOKUP($A28,'Production - Gas'!$A$9:$CD$56,MATCH('Production - Total'!BY$9,'Production - Gas'!$A$9:$CD$9,0),FALSE)/5.8</f>
        <v>382.89379310344827</v>
      </c>
      <c r="BZ28" s="80">
        <f>VLOOKUP($A28,'Production - Oil'!$A$9:$CD$56,MATCH('Production - Total'!BZ$9,'Production - Oil'!$A$9:$CD$9,0),FALSE)+VLOOKUP($A28,'Production - Gas'!$A$9:$CD$56,MATCH('Production - Total'!BZ$9,'Production - Gas'!$A$9:$CD$9,0),FALSE)/5.8</f>
        <v>379.01934399946725</v>
      </c>
      <c r="CA28" s="80">
        <f>VLOOKUP($A28,'Production - Oil'!$A$9:$CD$56,MATCH('Production - Total'!CA$9,'Production - Oil'!$A$9:$CD$9,0),FALSE)+VLOOKUP($A28,'Production - Gas'!$A$9:$CD$56,MATCH('Production - Total'!CA$9,'Production - Gas'!$A$9:$CD$9,0),FALSE)/5.8</f>
        <v>371.7651841756151</v>
      </c>
      <c r="CB28" s="80">
        <f>VLOOKUP($A28,'Production - Oil'!$A$9:$CD$56,MATCH('Production - Total'!CB$9,'Production - Oil'!$A$9:$CD$9,0),FALSE)+VLOOKUP($A28,'Production - Gas'!$A$9:$CD$56,MATCH('Production - Total'!CB$9,'Production - Gas'!$A$9:$CD$9,0),FALSE)/5.8</f>
        <v>373.6555317676337</v>
      </c>
      <c r="CC28" s="80">
        <f>VLOOKUP($A28,'Production - Oil'!$A$9:$CD$56,MATCH('Production - Total'!CC$9,'Production - Oil'!$A$9:$CD$9,0),FALSE)+VLOOKUP($A28,'Production - Gas'!$A$9:$CD$56,MATCH('Production - Total'!CC$9,'Production - Gas'!$A$9:$CD$9,0),FALSE)/5.8</f>
        <v>376.90338833314604</v>
      </c>
      <c r="CD28" s="39">
        <f>VLOOKUP($A28,'Production - Oil'!$A$9:$CD$56,MATCH('Production - Total'!CD$9,'Production - Oil'!$A$9:$CD$9,0),FALSE)+VLOOKUP($A28,'Production - Gas'!$A$9:$CD$56,MATCH('Production - Total'!CD$9,'Production - Gas'!$A$9:$CD$9,0),FALSE)/5.8</f>
        <v>375.33586206896547</v>
      </c>
    </row>
    <row r="29" spans="1:82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68"/>
      <c r="AH29" s="68"/>
      <c r="AI29" s="68"/>
      <c r="AJ29" s="68"/>
      <c r="AK29" s="11"/>
      <c r="AL29" s="68"/>
      <c r="AM29" s="68"/>
      <c r="AN29" s="68"/>
      <c r="AO29" s="68"/>
      <c r="AP29" s="11"/>
      <c r="AQ29" s="68"/>
      <c r="AR29" s="68"/>
      <c r="AS29" s="68"/>
      <c r="AT29" s="68"/>
      <c r="AU29" s="11"/>
      <c r="AV29" s="68"/>
      <c r="AW29" s="68"/>
      <c r="AX29" s="68"/>
      <c r="AY29" s="68"/>
      <c r="AZ29" s="11"/>
      <c r="BA29" s="68"/>
      <c r="BB29" s="68"/>
      <c r="BC29" s="68"/>
      <c r="BD29" s="68"/>
      <c r="BE29" s="11"/>
      <c r="BF29" s="68"/>
      <c r="BG29" s="68"/>
      <c r="BH29" s="68"/>
      <c r="BI29" s="68"/>
      <c r="BJ29" s="11"/>
      <c r="BK29" s="68"/>
      <c r="BL29" s="68"/>
      <c r="BM29" s="68"/>
      <c r="BN29" s="68"/>
      <c r="BO29" s="11"/>
      <c r="BP29" s="68"/>
      <c r="BQ29" s="68"/>
      <c r="BR29" s="68"/>
      <c r="BS29" s="68"/>
      <c r="BT29" s="11"/>
      <c r="BU29" s="68"/>
      <c r="BV29" s="68"/>
      <c r="BW29" s="68"/>
      <c r="BX29" s="68"/>
      <c r="BY29" s="11"/>
      <c r="BZ29" s="68"/>
      <c r="CA29" s="68"/>
      <c r="CB29" s="68"/>
      <c r="CC29" s="68"/>
      <c r="CD29" s="11"/>
    </row>
    <row r="30" spans="1:82">
      <c r="A30" s="39" t="s">
        <v>120</v>
      </c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68"/>
      <c r="AH30" s="68"/>
      <c r="AI30" s="68"/>
      <c r="AJ30" s="68"/>
      <c r="AK30" s="11"/>
      <c r="AL30" s="68"/>
      <c r="AM30" s="68"/>
      <c r="AN30" s="68"/>
      <c r="AO30" s="68"/>
      <c r="AP30" s="11"/>
      <c r="AQ30" s="68"/>
      <c r="AR30" s="68"/>
      <c r="AS30" s="68"/>
      <c r="AT30" s="68"/>
      <c r="AU30" s="11"/>
      <c r="AV30" s="68"/>
      <c r="AW30" s="68"/>
      <c r="AX30" s="68"/>
      <c r="AY30" s="68"/>
      <c r="AZ30" s="11"/>
      <c r="BA30" s="68"/>
      <c r="BB30" s="68"/>
      <c r="BC30" s="68"/>
      <c r="BD30" s="68"/>
      <c r="BE30" s="11"/>
      <c r="BF30" s="68"/>
      <c r="BG30" s="68"/>
      <c r="BH30" s="68"/>
      <c r="BI30" s="68"/>
      <c r="BJ30" s="11"/>
      <c r="BK30" s="68"/>
      <c r="BL30" s="68"/>
      <c r="BM30" s="68"/>
      <c r="BN30" s="68"/>
      <c r="BO30" s="11"/>
      <c r="BP30" s="68"/>
      <c r="BQ30" s="68"/>
      <c r="BR30" s="68"/>
      <c r="BS30" s="68"/>
      <c r="BT30" s="11"/>
      <c r="BU30" s="68"/>
      <c r="BV30" s="68"/>
      <c r="BW30" s="68"/>
      <c r="BX30" s="68"/>
      <c r="BY30" s="11"/>
      <c r="BZ30" s="68"/>
      <c r="CA30" s="68"/>
      <c r="CB30" s="68"/>
      <c r="CC30" s="68"/>
      <c r="CD30" s="11"/>
    </row>
    <row r="31" spans="1:82">
      <c r="A31" s="11"/>
      <c r="B31" s="11" t="s">
        <v>1473</v>
      </c>
      <c r="C31" s="11">
        <f>IF(ISERROR(MATCH($B31,'Production - Oil'!$B$11:$B$54,0)),0,VLOOKUP($B31,'Production - Oil'!$B$11:$CD$54,MATCH('Production - Total'!C$9,'Production - Oil'!$B$9:$CD$9),FALSE))+IF(ISERROR(MATCH($B31,'Production - Gas'!$B$11:$B$54,0)),0,VLOOKUP($B31,'Production - Gas'!$B$11:$CD$54,MATCH('Production - Total'!C$9,'Production - Gas'!$B$9:$CD$9),FALSE)/5.8)</f>
        <v>0</v>
      </c>
      <c r="D31" s="11">
        <f>IF(ISERROR(MATCH($B31,'Production - Oil'!$B$11:$B$54,0)),0,VLOOKUP($B31,'Production - Oil'!$B$11:$CD$54,MATCH('Production - Total'!D$9,'Production - Oil'!$B$9:$CD$9),FALSE))+IF(ISERROR(MATCH($B31,'Production - Gas'!$B$11:$B$54,0)),0,VLOOKUP($B31,'Production - Gas'!$B$11:$CD$54,MATCH('Production - Total'!D$9,'Production - Gas'!$B$9:$CD$9),FALSE)/5.8)</f>
        <v>0</v>
      </c>
      <c r="E31" s="11">
        <f>IF(ISERROR(MATCH($B31,'Production - Oil'!$B$11:$B$54,0)),0,VLOOKUP($B31,'Production - Oil'!$B$11:$CD$54,MATCH('Production - Total'!E$9,'Production - Oil'!$B$9:$CD$9),FALSE))+IF(ISERROR(MATCH($B31,'Production - Gas'!$B$11:$B$54,0)),0,VLOOKUP($B31,'Production - Gas'!$B$11:$CD$54,MATCH('Production - Total'!E$9,'Production - Gas'!$B$9:$CD$9),FALSE)/5.8)</f>
        <v>0</v>
      </c>
      <c r="F31" s="11">
        <f>IF(ISERROR(MATCH($B31,'Production - Oil'!$B$11:$B$54,0)),0,VLOOKUP($B31,'Production - Oil'!$B$11:$CD$54,MATCH('Production - Total'!F$9,'Production - Oil'!$B$9:$CD$9),FALSE))+IF(ISERROR(MATCH($B31,'Production - Gas'!$B$11:$B$54,0)),0,VLOOKUP($B31,'Production - Gas'!$B$11:$CD$54,MATCH('Production - Total'!F$9,'Production - Gas'!$B$9:$CD$9),FALSE)/5.8)</f>
        <v>13.593103448275864</v>
      </c>
      <c r="G31" s="11">
        <f>IF(ISERROR(MATCH($B31,'Production - Oil'!$B$11:$B$54,0)),0,VLOOKUP($B31,'Production - Oil'!$B$11:$CD$54,MATCH('Production - Total'!G$9,'Production - Oil'!$B$9:$CD$9),FALSE))+IF(ISERROR(MATCH($B31,'Production - Gas'!$B$11:$B$54,0)),0,VLOOKUP($B31,'Production - Gas'!$B$11:$CD$54,MATCH('Production - Total'!G$9,'Production - Gas'!$B$9:$CD$9),FALSE)/5.8)</f>
        <v>30.087931034482757</v>
      </c>
      <c r="H31" s="11"/>
      <c r="I31" s="11"/>
      <c r="J31" s="11"/>
      <c r="K31" s="11"/>
      <c r="L31" s="11">
        <f>IF(ISERROR(MATCH($B31,'Production - Oil'!$B$11:$B$54,0)),0,VLOOKUP($B31,'Production - Oil'!$B$11:$CD$54,MATCH('Production - Total'!L$9,'Production - Oil'!$B$9:$CD$9),FALSE))+IF(ISERROR(MATCH($B31,'Production - Gas'!$B$11:$B$54,0)),0,VLOOKUP($B31,'Production - Gas'!$B$11:$CD$54,MATCH('Production - Total'!L$9,'Production - Gas'!$B$9:$CD$9),FALSE)/5.8)</f>
        <v>30.413793103448278</v>
      </c>
      <c r="M31" s="11"/>
      <c r="N31" s="11"/>
      <c r="O31" s="11"/>
      <c r="P31" s="11"/>
      <c r="Q31" s="11">
        <f>IF(ISERROR(MATCH($B31,'Production - Oil'!$B$11:$B$54,0)),0,VLOOKUP($B31,'Production - Oil'!$B$11:$CD$54,MATCH('Production - Total'!Q$9,'Production - Oil'!$B$9:$CD$9),FALSE))+IF(ISERROR(MATCH($B31,'Production - Gas'!$B$11:$B$54,0)),0,VLOOKUP($B31,'Production - Gas'!$B$11:$CD$54,MATCH('Production - Total'!Q$9,'Production - Gas'!$B$9:$CD$9),FALSE)/5.8)</f>
        <v>38.379310344827587</v>
      </c>
      <c r="R31" s="11"/>
      <c r="S31" s="11"/>
      <c r="T31" s="11"/>
      <c r="U31" s="11"/>
      <c r="V31" s="11">
        <f>IF(ISERROR(MATCH($B31,'Production - Oil'!$B$11:$B$54,0)),0,VLOOKUP($B31,'Production - Oil'!$B$11:$CD$54,MATCH('Production - Total'!V$9,'Production - Oil'!$B$9:$CD$9),FALSE))+IF(ISERROR(MATCH($B31,'Production - Gas'!$B$11:$B$54,0)),0,VLOOKUP($B31,'Production - Gas'!$B$11:$CD$54,MATCH('Production - Total'!V$9,'Production - Gas'!$B$9:$CD$9),FALSE)/5.8)</f>
        <v>38.310344827586206</v>
      </c>
      <c r="W31" s="11"/>
      <c r="X31" s="11"/>
      <c r="Y31" s="11"/>
      <c r="Z31" s="11"/>
      <c r="AA31" s="11">
        <f>IF(ISERROR(MATCH($B31,'Production - Oil'!$B$11:$B$54,0)),0,VLOOKUP($B31,'Production - Oil'!$B$11:$CD$54,MATCH('Production - Total'!AA$9,'Production - Oil'!$B$9:$CD$9),FALSE))+IF(ISERROR(MATCH($B31,'Production - Gas'!$B$11:$B$54,0)),0,VLOOKUP($B31,'Production - Gas'!$B$11:$CD$54,MATCH('Production - Total'!AA$9,'Production - Gas'!$B$9:$CD$9),FALSE)/5.8)</f>
        <v>49.413793103448278</v>
      </c>
      <c r="AB31" s="11"/>
      <c r="AC31" s="11"/>
      <c r="AD31" s="11"/>
      <c r="AE31" s="11"/>
      <c r="AF31" s="11">
        <f>IF(ISERROR(MATCH($B31,'Production - Oil'!$B$11:$B$54,0)),0,VLOOKUP($B31,'Production - Oil'!$B$11:$CD$54,MATCH('Production - Total'!AF$9,'Production - Oil'!$B$9:$CD$9),FALSE))+IF(ISERROR(MATCH($B31,'Production - Gas'!$B$11:$B$54,0)),0,VLOOKUP($B31,'Production - Gas'!$B$11:$CD$54,MATCH('Production - Total'!AF$9,'Production - Gas'!$B$9:$CD$9),FALSE)/5.8)</f>
        <v>38.724137931034484</v>
      </c>
      <c r="AG31" s="82"/>
      <c r="AH31" s="82"/>
      <c r="AI31" s="82"/>
      <c r="AJ31" s="82"/>
      <c r="AK31" s="11">
        <f>IF(ISERROR(MATCH($B31,'Production - Oil'!$B$11:$B$54,0)),0,VLOOKUP($B31,'Production - Oil'!$B$11:$CD$54,MATCH('Production - Total'!AK$9,'Production - Oil'!$B$9:$CD$9),FALSE))+IF(ISERROR(MATCH($B31,'Production - Gas'!$B$11:$B$54,0)),0,VLOOKUP($B31,'Production - Gas'!$B$11:$CD$54,MATCH('Production - Total'!AK$9,'Production - Gas'!$B$9:$CD$9),FALSE)/5.8)</f>
        <v>41.655172413793103</v>
      </c>
      <c r="AL31" s="82"/>
      <c r="AM31" s="82"/>
      <c r="AN31" s="82"/>
      <c r="AO31" s="82"/>
      <c r="AP31" s="11">
        <f>IF(ISERROR(MATCH($B31,'Production - Oil'!$B$11:$B$54,0)),0,VLOOKUP($B31,'Production - Oil'!$B$11:$CD$54,MATCH('Production - Total'!AP$9,'Production - Oil'!$B$9:$CD$9),FALSE))+IF(ISERROR(MATCH($B31,'Production - Gas'!$B$11:$B$54,0)),0,VLOOKUP($B31,'Production - Gas'!$B$11:$CD$54,MATCH('Production - Total'!AP$9,'Production - Gas'!$B$9:$CD$9),FALSE)/5.8)</f>
        <v>32.689655172413794</v>
      </c>
      <c r="AQ31" s="82"/>
      <c r="AR31" s="82"/>
      <c r="AS31" s="82"/>
      <c r="AT31" s="82"/>
      <c r="AU31" s="11">
        <f>IF(ISERROR(MATCH($B31,'Production - Oil'!$B$11:$B$54,0)),0,VLOOKUP($B31,'Production - Oil'!$B$11:$CD$54,MATCH('Production - Total'!AU$9,'Production - Oil'!$B$9:$CD$9),FALSE))+IF(ISERROR(MATCH($B31,'Production - Gas'!$B$11:$B$54,0)),0,VLOOKUP($B31,'Production - Gas'!$B$11:$CD$54,MATCH('Production - Total'!AU$9,'Production - Gas'!$B$9:$CD$9),FALSE)/5.8)</f>
        <v>27.172413793103448</v>
      </c>
      <c r="AV31" s="82"/>
      <c r="AW31" s="82"/>
      <c r="AX31" s="82"/>
      <c r="AY31" s="82"/>
      <c r="AZ31" s="11">
        <f>IF(ISERROR(MATCH($B31,'Production - Oil'!$B$11:$B$54,0)),0,VLOOKUP($B31,'Production - Oil'!$B$11:$CD$54,MATCH('Production - Total'!AZ$9,'Production - Oil'!$B$9:$CD$9),FALSE))+IF(ISERROR(MATCH($B31,'Production - Gas'!$B$11:$B$54,0)),0,VLOOKUP($B31,'Production - Gas'!$B$11:$CD$54,MATCH('Production - Total'!AZ$9,'Production - Gas'!$B$9:$CD$9),FALSE)/5.8)</f>
        <v>28.448275862068964</v>
      </c>
      <c r="BA31" s="82"/>
      <c r="BB31" s="82"/>
      <c r="BC31" s="82"/>
      <c r="BD31" s="82"/>
      <c r="BE31" s="11">
        <f>IF(ISERROR(MATCH($B31,'Production - Oil'!$B$11:$B$54,0)),0,VLOOKUP($B31,'Production - Oil'!$B$11:$CD$54,MATCH('Production - Total'!BE$9,'Production - Oil'!$B$9:$CD$9),FALSE))+IF(ISERROR(MATCH($B31,'Production - Gas'!$B$11:$B$54,0)),0,VLOOKUP($B31,'Production - Gas'!$B$11:$CD$54,MATCH('Production - Total'!BE$9,'Production - Gas'!$B$9:$CD$9),FALSE)/5.8)</f>
        <v>45.241379310344826</v>
      </c>
      <c r="BF31" s="82"/>
      <c r="BG31" s="82"/>
      <c r="BH31" s="82"/>
      <c r="BI31" s="82"/>
      <c r="BJ31" s="11">
        <f>IF(ISERROR(MATCH($B31,'Production - Oil'!$B$11:$B$54,0)),0,VLOOKUP($B31,'Production - Oil'!$B$11:$CD$54,MATCH('Production - Total'!BJ$9,'Production - Oil'!$B$9:$CD$9),FALSE))+IF(ISERROR(MATCH($B31,'Production - Gas'!$B$11:$B$54,0)),0,VLOOKUP($B31,'Production - Gas'!$B$11:$CD$54,MATCH('Production - Total'!BJ$9,'Production - Gas'!$B$9:$CD$9),FALSE)/5.8)</f>
        <v>45.862068965517246</v>
      </c>
      <c r="BK31" s="82"/>
      <c r="BL31" s="82"/>
      <c r="BM31" s="82"/>
      <c r="BN31" s="82"/>
      <c r="BO31" s="11">
        <f>'Production - Oil'!BO31+'Production - Gas'!BO31/5.8</f>
        <v>54.344827586206897</v>
      </c>
      <c r="BP31" s="82"/>
      <c r="BQ31" s="82"/>
      <c r="BR31" s="82"/>
      <c r="BS31" s="82"/>
      <c r="BT31" s="51"/>
      <c r="BU31" s="82"/>
      <c r="BV31" s="82"/>
      <c r="BW31" s="82"/>
      <c r="BX31" s="82"/>
      <c r="BY31" s="51"/>
      <c r="BZ31" s="82"/>
      <c r="CA31" s="82"/>
      <c r="CB31" s="82"/>
      <c r="CC31" s="82"/>
      <c r="CD31" s="51"/>
    </row>
    <row r="32" spans="1:82">
      <c r="A32" s="11"/>
      <c r="B32" s="11" t="s">
        <v>1934</v>
      </c>
      <c r="C32" s="11">
        <f>IF(ISERROR(MATCH($B32,'Production - Oil'!$B$11:$B$54,0)),0,VLOOKUP($B32,'Production - Oil'!$B$11:$CD$54,MATCH('Production - Total'!C$9,'Production - Oil'!$B$9:$CD$9),FALSE))+IF(ISERROR(MATCH($B32,'Production - Gas'!$B$11:$B$54,0)),0,VLOOKUP($B32,'Production - Gas'!$B$11:$CD$54,MATCH('Production - Total'!C$9,'Production - Gas'!$B$9:$CD$9),FALSE)/5.8)</f>
        <v>1</v>
      </c>
      <c r="D32" s="11">
        <f>IF(ISERROR(MATCH($B32,'Production - Oil'!$B$11:$B$54,0)),0,VLOOKUP($B32,'Production - Oil'!$B$11:$CD$54,MATCH('Production - Total'!D$9,'Production - Oil'!$B$9:$CD$9),FALSE))+IF(ISERROR(MATCH($B32,'Production - Gas'!$B$11:$B$54,0)),0,VLOOKUP($B32,'Production - Gas'!$B$11:$CD$54,MATCH('Production - Total'!D$9,'Production - Gas'!$B$9:$CD$9),FALSE)/5.8)</f>
        <v>29</v>
      </c>
      <c r="E32" s="11">
        <f>IF(ISERROR(MATCH($B32,'Production - Oil'!$B$11:$B$54,0)),0,VLOOKUP($B32,'Production - Oil'!$B$11:$CD$54,MATCH('Production - Total'!E$9,'Production - Oil'!$B$9:$CD$9),FALSE))+IF(ISERROR(MATCH($B32,'Production - Gas'!$B$11:$B$54,0)),0,VLOOKUP($B32,'Production - Gas'!$B$11:$CD$54,MATCH('Production - Total'!E$9,'Production - Gas'!$B$9:$CD$9),FALSE)/5.8)</f>
        <v>35</v>
      </c>
      <c r="F32" s="11">
        <f>IF(ISERROR(MATCH($B32,'Production - Oil'!$B$11:$B$54,0)),0,VLOOKUP($B32,'Production - Oil'!$B$11:$CD$54,MATCH('Production - Total'!F$9,'Production - Oil'!$B$9:$CD$9),FALSE))+IF(ISERROR(MATCH($B32,'Production - Gas'!$B$11:$B$54,0)),0,VLOOKUP($B32,'Production - Gas'!$B$11:$CD$54,MATCH('Production - Total'!F$9,'Production - Gas'!$B$9:$CD$9),FALSE)/5.8)</f>
        <v>71</v>
      </c>
      <c r="G32" s="11">
        <f>IF(ISERROR(MATCH($B32,'Production - Oil'!$B$11:$B$54,0)),0,VLOOKUP($B32,'Production - Oil'!$B$11:$CD$54,MATCH('Production - Total'!G$9,'Production - Oil'!$B$9:$CD$9),FALSE))+IF(ISERROR(MATCH($B32,'Production - Gas'!$B$11:$B$54,0)),0,VLOOKUP($B32,'Production - Gas'!$B$11:$CD$54,MATCH('Production - Total'!G$9,'Production - Gas'!$B$9:$CD$9),FALSE)/5.8)</f>
        <v>128</v>
      </c>
      <c r="H32" s="11"/>
      <c r="I32" s="11"/>
      <c r="J32" s="11"/>
      <c r="K32" s="11"/>
      <c r="L32" s="11">
        <f>IF(ISERROR(MATCH($B32,'Production - Oil'!$B$11:$B$54,0)),0,VLOOKUP($B32,'Production - Oil'!$B$11:$CD$54,MATCH('Production - Total'!L$9,'Production - Oil'!$B$9:$CD$9),FALSE))+IF(ISERROR(MATCH($B32,'Production - Gas'!$B$11:$B$54,0)),0,VLOOKUP($B32,'Production - Gas'!$B$11:$CD$54,MATCH('Production - Total'!L$9,'Production - Gas'!$B$9:$CD$9),FALSE)/5.8)</f>
        <v>133</v>
      </c>
      <c r="M32" s="11"/>
      <c r="N32" s="11"/>
      <c r="O32" s="11"/>
      <c r="P32" s="11"/>
      <c r="Q32" s="11">
        <f>IF(ISERROR(MATCH($B32,'Production - Oil'!$B$11:$B$54,0)),0,VLOOKUP($B32,'Production - Oil'!$B$11:$CD$54,MATCH('Production - Total'!Q$9,'Production - Oil'!$B$9:$CD$9),FALSE))+IF(ISERROR(MATCH($B32,'Production - Gas'!$B$11:$B$54,0)),0,VLOOKUP($B32,'Production - Gas'!$B$11:$CD$54,MATCH('Production - Total'!Q$9,'Production - Gas'!$B$9:$CD$9),FALSE)/5.8)</f>
        <v>140</v>
      </c>
      <c r="R32" s="11"/>
      <c r="S32" s="11"/>
      <c r="T32" s="11"/>
      <c r="U32" s="11"/>
      <c r="V32" s="11">
        <f>IF(ISERROR(MATCH($B32,'Production - Oil'!$B$11:$B$54,0)),0,VLOOKUP($B32,'Production - Oil'!$B$11:$CD$54,MATCH('Production - Total'!V$9,'Production - Oil'!$B$9:$CD$9),FALSE))+IF(ISERROR(MATCH($B32,'Production - Gas'!$B$11:$B$54,0)),0,VLOOKUP($B32,'Production - Gas'!$B$11:$CD$54,MATCH('Production - Total'!V$9,'Production - Gas'!$B$9:$CD$9),FALSE)/5.8)</f>
        <v>201</v>
      </c>
      <c r="W32" s="11"/>
      <c r="X32" s="11"/>
      <c r="Y32" s="11"/>
      <c r="Z32" s="11"/>
      <c r="AA32" s="11">
        <f>IF(ISERROR(MATCH($B32,'Production - Oil'!$B$11:$B$54,0)),0,VLOOKUP($B32,'Production - Oil'!$B$11:$CD$54,MATCH('Production - Total'!AA$9,'Production - Oil'!$B$9:$CD$9),FALSE))+IF(ISERROR(MATCH($B32,'Production - Gas'!$B$11:$B$54,0)),0,VLOOKUP($B32,'Production - Gas'!$B$11:$CD$54,MATCH('Production - Total'!AA$9,'Production - Gas'!$B$9:$CD$9),FALSE)/5.8)</f>
        <v>211</v>
      </c>
      <c r="AB32" s="11"/>
      <c r="AC32" s="11"/>
      <c r="AD32" s="11"/>
      <c r="AE32" s="11"/>
      <c r="AF32" s="11">
        <f>IF(ISERROR(MATCH($B32,'Production - Oil'!$B$11:$B$54,0)),0,VLOOKUP($B32,'Production - Oil'!$B$11:$CD$54,MATCH('Production - Total'!AF$9,'Production - Oil'!$B$9:$CD$9),FALSE))+IF(ISERROR(MATCH($B32,'Production - Gas'!$B$11:$B$54,0)),0,VLOOKUP($B32,'Production - Gas'!$B$11:$CD$54,MATCH('Production - Total'!AF$9,'Production - Gas'!$B$9:$CD$9),FALSE)/5.8)</f>
        <v>170</v>
      </c>
      <c r="AG32" s="82"/>
      <c r="AH32" s="82"/>
      <c r="AI32" s="82"/>
      <c r="AJ32" s="82"/>
      <c r="AK32" s="11">
        <f>IF(ISERROR(MATCH($B32,'Production - Oil'!$B$11:$B$54,0)),0,VLOOKUP($B32,'Production - Oil'!$B$11:$CD$54,MATCH('Production - Total'!AK$9,'Production - Oil'!$B$9:$CD$9),FALSE))+IF(ISERROR(MATCH($B32,'Production - Gas'!$B$11:$B$54,0)),0,VLOOKUP($B32,'Production - Gas'!$B$11:$CD$54,MATCH('Production - Total'!AK$9,'Production - Gas'!$B$9:$CD$9),FALSE)/5.8)</f>
        <v>123</v>
      </c>
      <c r="AL32" s="82"/>
      <c r="AM32" s="82"/>
      <c r="AN32" s="82"/>
      <c r="AO32" s="82"/>
      <c r="AP32" s="11">
        <f>IF(ISERROR(MATCH($B32,'Production - Oil'!$B$11:$B$54,0)),0,VLOOKUP($B32,'Production - Oil'!$B$11:$CD$54,MATCH('Production - Total'!AP$9,'Production - Oil'!$B$9:$CD$9),FALSE))+IF(ISERROR(MATCH($B32,'Production - Gas'!$B$11:$B$54,0)),0,VLOOKUP($B32,'Production - Gas'!$B$11:$CD$54,MATCH('Production - Total'!AP$9,'Production - Gas'!$B$9:$CD$9),FALSE)/5.8)</f>
        <v>149</v>
      </c>
      <c r="AQ32" s="82"/>
      <c r="AR32" s="82"/>
      <c r="AS32" s="82"/>
      <c r="AT32" s="82"/>
      <c r="AU32" s="11">
        <f>IF(ISERROR(MATCH($B32,'Production - Oil'!$B$11:$B$54,0)),0,VLOOKUP($B32,'Production - Oil'!$B$11:$CD$54,MATCH('Production - Total'!AU$9,'Production - Oil'!$B$9:$CD$9),FALSE))+IF(ISERROR(MATCH($B32,'Production - Gas'!$B$11:$B$54,0)),0,VLOOKUP($B32,'Production - Gas'!$B$11:$CD$54,MATCH('Production - Total'!AU$9,'Production - Gas'!$B$9:$CD$9),FALSE)/5.8)</f>
        <v>180</v>
      </c>
      <c r="AV32" s="82"/>
      <c r="AW32" s="82"/>
      <c r="AX32" s="82"/>
      <c r="AY32" s="82"/>
      <c r="AZ32" s="11">
        <f>IF(ISERROR(MATCH($B32,'Production - Oil'!$B$11:$B$54,0)),0,VLOOKUP($B32,'Production - Oil'!$B$11:$CD$54,MATCH('Production - Total'!AZ$9,'Production - Oil'!$B$9:$CD$9),FALSE))+IF(ISERROR(MATCH($B32,'Production - Gas'!$B$11:$B$54,0)),0,VLOOKUP($B32,'Production - Gas'!$B$11:$CD$54,MATCH('Production - Total'!AZ$9,'Production - Gas'!$B$9:$CD$9),FALSE)/5.8)</f>
        <v>181</v>
      </c>
      <c r="BA32" s="82"/>
      <c r="BB32" s="82"/>
      <c r="BC32" s="82"/>
      <c r="BD32" s="82"/>
      <c r="BE32" s="11">
        <f>IF(ISERROR(MATCH($B32,'Production - Oil'!$B$11:$B$54,0)),0,VLOOKUP($B32,'Production - Oil'!$B$11:$CD$54,MATCH('Production - Total'!BE$9,'Production - Oil'!$B$9:$CD$9),FALSE))+IF(ISERROR(MATCH($B32,'Production - Gas'!$B$11:$B$54,0)),0,VLOOKUP($B32,'Production - Gas'!$B$11:$CD$54,MATCH('Production - Total'!BE$9,'Production - Gas'!$B$9:$CD$9),FALSE)/5.8)</f>
        <v>221</v>
      </c>
      <c r="BF32" s="82"/>
      <c r="BG32" s="82"/>
      <c r="BH32" s="82"/>
      <c r="BI32" s="82"/>
      <c r="BJ32" s="11">
        <f>IF(ISERROR(MATCH($B32,'Production - Oil'!$B$11:$B$54,0)),0,VLOOKUP($B32,'Production - Oil'!$B$11:$CD$54,MATCH('Production - Total'!BJ$9,'Production - Oil'!$B$9:$CD$9),FALSE))+IF(ISERROR(MATCH($B32,'Production - Gas'!$B$11:$B$54,0)),0,VLOOKUP($B32,'Production - Gas'!$B$11:$CD$54,MATCH('Production - Total'!BJ$9,'Production - Gas'!$B$9:$CD$9),FALSE)/5.8)</f>
        <v>219</v>
      </c>
      <c r="BK32" s="82"/>
      <c r="BL32" s="82"/>
      <c r="BM32" s="82"/>
      <c r="BN32" s="82"/>
      <c r="BO32" s="11">
        <f>'Production - Oil'!BO32+'Production - Gas'!BO32/5.8</f>
        <v>192</v>
      </c>
      <c r="BP32" s="82"/>
      <c r="BQ32" s="82"/>
      <c r="BR32" s="82"/>
      <c r="BS32" s="82"/>
      <c r="BT32" s="51"/>
      <c r="BU32" s="82"/>
      <c r="BV32" s="82"/>
      <c r="BW32" s="82"/>
      <c r="BX32" s="82"/>
      <c r="BY32" s="51"/>
      <c r="BZ32" s="82"/>
      <c r="CA32" s="82"/>
      <c r="CB32" s="82"/>
      <c r="CC32" s="82"/>
      <c r="CD32" s="51"/>
    </row>
    <row r="33" spans="1:82">
      <c r="A33" s="11"/>
      <c r="B33" s="11" t="s">
        <v>2251</v>
      </c>
      <c r="C33" s="11">
        <f>IF(ISERROR(MATCH($B33,'Production - Oil'!$B$11:$B$54,0)),0,VLOOKUP($B33,'Production - Oil'!$B$11:$CD$54,MATCH('Production - Total'!C$9,'Production - Oil'!$B$9:$CD$9),FALSE))+IF(ISERROR(MATCH($B33,'Production - Gas'!$B$11:$B$54,0)),0,VLOOKUP($B33,'Production - Gas'!$B$11:$CD$54,MATCH('Production - Total'!C$9,'Production - Gas'!$B$9:$CD$9),FALSE)/5.8)</f>
        <v>123.75862068965517</v>
      </c>
      <c r="D33" s="11">
        <f>IF(ISERROR(MATCH($B33,'Production - Oil'!$B$11:$B$54,0)),0,VLOOKUP($B33,'Production - Oil'!$B$11:$CD$54,MATCH('Production - Total'!D$9,'Production - Oil'!$B$9:$CD$9),FALSE))+IF(ISERROR(MATCH($B33,'Production - Gas'!$B$11:$B$54,0)),0,VLOOKUP($B33,'Production - Gas'!$B$11:$CD$54,MATCH('Production - Total'!D$9,'Production - Gas'!$B$9:$CD$9),FALSE)/5.8)</f>
        <v>129.13793103448276</v>
      </c>
      <c r="E33" s="11">
        <f>IF(ISERROR(MATCH($B33,'Production - Oil'!$B$11:$B$54,0)),0,VLOOKUP($B33,'Production - Oil'!$B$11:$CD$54,MATCH('Production - Total'!E$9,'Production - Oil'!$B$9:$CD$9),FALSE))+IF(ISERROR(MATCH($B33,'Production - Gas'!$B$11:$B$54,0)),0,VLOOKUP($B33,'Production - Gas'!$B$11:$CD$54,MATCH('Production - Total'!E$9,'Production - Gas'!$B$9:$CD$9),FALSE)/5.8)</f>
        <v>116.62068965517241</v>
      </c>
      <c r="F33" s="11">
        <f>IF(ISERROR(MATCH($B33,'Production - Oil'!$B$11:$B$54,0)),0,VLOOKUP($B33,'Production - Oil'!$B$11:$CD$54,MATCH('Production - Total'!F$9,'Production - Oil'!$B$9:$CD$9),FALSE))+IF(ISERROR(MATCH($B33,'Production - Gas'!$B$11:$B$54,0)),0,VLOOKUP($B33,'Production - Gas'!$B$11:$CD$54,MATCH('Production - Total'!F$9,'Production - Gas'!$B$9:$CD$9),FALSE)/5.8)</f>
        <v>90.620689655172413</v>
      </c>
      <c r="G33" s="11">
        <f>IF(ISERROR(MATCH($B33,'Production - Oil'!$B$11:$B$54,0)),0,VLOOKUP($B33,'Production - Oil'!$B$11:$CD$54,MATCH('Production - Total'!G$9,'Production - Oil'!$B$9:$CD$9),FALSE))+IF(ISERROR(MATCH($B33,'Production - Gas'!$B$11:$B$54,0)),0,VLOOKUP($B33,'Production - Gas'!$B$11:$CD$54,MATCH('Production - Total'!G$9,'Production - Gas'!$B$9:$CD$9),FALSE)/5.8)</f>
        <v>79.586206896551715</v>
      </c>
      <c r="H33" s="11"/>
      <c r="I33" s="11"/>
      <c r="J33" s="11"/>
      <c r="K33" s="11"/>
      <c r="L33" s="11">
        <f>IF(ISERROR(MATCH($B33,'Production - Oil'!$B$11:$B$54,0)),0,VLOOKUP($B33,'Production - Oil'!$B$11:$CD$54,MATCH('Production - Total'!L$9,'Production - Oil'!$B$9:$CD$9),FALSE))+IF(ISERROR(MATCH($B33,'Production - Gas'!$B$11:$B$54,0)),0,VLOOKUP($B33,'Production - Gas'!$B$11:$CD$54,MATCH('Production - Total'!L$9,'Production - Gas'!$B$9:$CD$9),FALSE)/5.8)</f>
        <v>88.724137931034477</v>
      </c>
      <c r="M33" s="11"/>
      <c r="N33" s="11"/>
      <c r="O33" s="11"/>
      <c r="P33" s="11"/>
      <c r="Q33" s="11">
        <f>IF(ISERROR(MATCH($B33,'Production - Oil'!$B$11:$B$54,0)),0,VLOOKUP($B33,'Production - Oil'!$B$11:$CD$54,MATCH('Production - Total'!Q$9,'Production - Oil'!$B$9:$CD$9),FALSE))+IF(ISERROR(MATCH($B33,'Production - Gas'!$B$11:$B$54,0)),0,VLOOKUP($B33,'Production - Gas'!$B$11:$CD$54,MATCH('Production - Total'!Q$9,'Production - Gas'!$B$9:$CD$9),FALSE)/5.8)</f>
        <v>97.310344827586206</v>
      </c>
      <c r="R33" s="11"/>
      <c r="S33" s="11"/>
      <c r="T33" s="11"/>
      <c r="U33" s="11"/>
      <c r="V33" s="11">
        <f>IF(ISERROR(MATCH($B33,'Production - Oil'!$B$11:$B$54,0)),0,VLOOKUP($B33,'Production - Oil'!$B$11:$CD$54,MATCH('Production - Total'!V$9,'Production - Oil'!$B$9:$CD$9),FALSE))+IF(ISERROR(MATCH($B33,'Production - Gas'!$B$11:$B$54,0)),0,VLOOKUP($B33,'Production - Gas'!$B$11:$CD$54,MATCH('Production - Total'!V$9,'Production - Gas'!$B$9:$CD$9),FALSE)/5.8)</f>
        <v>121.13793103448276</v>
      </c>
      <c r="W33" s="11"/>
      <c r="X33" s="11"/>
      <c r="Y33" s="11"/>
      <c r="Z33" s="11"/>
      <c r="AA33" s="11">
        <f>IF(ISERROR(MATCH($B33,'Production - Oil'!$B$11:$B$54,0)),0,VLOOKUP($B33,'Production - Oil'!$B$11:$CD$54,MATCH('Production - Total'!AA$9,'Production - Oil'!$B$9:$CD$9),FALSE))+IF(ISERROR(MATCH($B33,'Production - Gas'!$B$11:$B$54,0)),0,VLOOKUP($B33,'Production - Gas'!$B$11:$CD$54,MATCH('Production - Total'!AA$9,'Production - Gas'!$B$9:$CD$9),FALSE)/5.8)</f>
        <v>150.65517241379311</v>
      </c>
      <c r="AB33" s="11"/>
      <c r="AC33" s="11"/>
      <c r="AD33" s="11"/>
      <c r="AE33" s="11"/>
      <c r="AF33" s="11">
        <f>IF(ISERROR(MATCH($B33,'Production - Oil'!$B$11:$B$54,0)),0,VLOOKUP($B33,'Production - Oil'!$B$11:$CD$54,MATCH('Production - Total'!AF$9,'Production - Oil'!$B$9:$CD$9),FALSE))+IF(ISERROR(MATCH($B33,'Production - Gas'!$B$11:$B$54,0)),0,VLOOKUP($B33,'Production - Gas'!$B$11:$CD$54,MATCH('Production - Total'!AF$9,'Production - Gas'!$B$9:$CD$9),FALSE)/5.8)</f>
        <v>133.13793103448276</v>
      </c>
      <c r="AG33" s="82"/>
      <c r="AH33" s="82"/>
      <c r="AI33" s="82"/>
      <c r="AJ33" s="82"/>
      <c r="AK33" s="11">
        <f>IF(ISERROR(MATCH($B33,'Production - Oil'!$B$11:$B$54,0)),0,VLOOKUP($B33,'Production - Oil'!$B$11:$CD$54,MATCH('Production - Total'!AK$9,'Production - Oil'!$B$9:$CD$9),FALSE))+IF(ISERROR(MATCH($B33,'Production - Gas'!$B$11:$B$54,0)),0,VLOOKUP($B33,'Production - Gas'!$B$11:$CD$54,MATCH('Production - Total'!AK$9,'Production - Gas'!$B$9:$CD$9),FALSE)/5.8)</f>
        <v>121.55172413793103</v>
      </c>
      <c r="AL33" s="82"/>
      <c r="AM33" s="82"/>
      <c r="AN33" s="82"/>
      <c r="AO33" s="82"/>
      <c r="AP33" s="11">
        <f>IF(ISERROR(MATCH($B33,'Production - Oil'!$B$11:$B$54,0)),0,VLOOKUP($B33,'Production - Oil'!$B$11:$CD$54,MATCH('Production - Total'!AP$9,'Production - Oil'!$B$9:$CD$9),FALSE))+IF(ISERROR(MATCH($B33,'Production - Gas'!$B$11:$B$54,0)),0,VLOOKUP($B33,'Production - Gas'!$B$11:$CD$54,MATCH('Production - Total'!AP$9,'Production - Gas'!$B$9:$CD$9),FALSE)/5.8)</f>
        <v>122.0344827586207</v>
      </c>
      <c r="AQ33" s="82"/>
      <c r="AR33" s="82"/>
      <c r="AS33" s="82"/>
      <c r="AT33" s="82"/>
      <c r="AU33" s="11">
        <f>IF(ISERROR(MATCH($B33,'Production - Oil'!$B$11:$B$54,0)),0,VLOOKUP($B33,'Production - Oil'!$B$11:$CD$54,MATCH('Production - Total'!AU$9,'Production - Oil'!$B$9:$CD$9),FALSE))+IF(ISERROR(MATCH($B33,'Production - Gas'!$B$11:$B$54,0)),0,VLOOKUP($B33,'Production - Gas'!$B$11:$CD$54,MATCH('Production - Total'!AU$9,'Production - Gas'!$B$9:$CD$9),FALSE)/5.8)</f>
        <v>114.55172413793103</v>
      </c>
      <c r="AV33" s="82"/>
      <c r="AW33" s="82"/>
      <c r="AX33" s="82"/>
      <c r="AY33" s="82"/>
      <c r="AZ33" s="11">
        <f>IF(ISERROR(MATCH($B33,'Production - Oil'!$B$11:$B$54,0)),0,VLOOKUP($B33,'Production - Oil'!$B$11:$CD$54,MATCH('Production - Total'!AZ$9,'Production - Oil'!$B$9:$CD$9),FALSE))+IF(ISERROR(MATCH($B33,'Production - Gas'!$B$11:$B$54,0)),0,VLOOKUP($B33,'Production - Gas'!$B$11:$CD$54,MATCH('Production - Total'!AZ$9,'Production - Gas'!$B$9:$CD$9),FALSE)/5.8)</f>
        <v>107</v>
      </c>
      <c r="BA33" s="82"/>
      <c r="BB33" s="82"/>
      <c r="BC33" s="82"/>
      <c r="BD33" s="82"/>
      <c r="BE33" s="11">
        <f>IF(ISERROR(MATCH($B33,'Production - Oil'!$B$11:$B$54,0)),0,VLOOKUP($B33,'Production - Oil'!$B$11:$CD$54,MATCH('Production - Total'!BE$9,'Production - Oil'!$B$9:$CD$9),FALSE))+IF(ISERROR(MATCH($B33,'Production - Gas'!$B$11:$B$54,0)),0,VLOOKUP($B33,'Production - Gas'!$B$11:$CD$54,MATCH('Production - Total'!BE$9,'Production - Gas'!$B$9:$CD$9),FALSE)/5.8)</f>
        <v>111.31034482758621</v>
      </c>
      <c r="BF33" s="82"/>
      <c r="BG33" s="82"/>
      <c r="BH33" s="82"/>
      <c r="BI33" s="82"/>
      <c r="BJ33" s="11">
        <f>IF(ISERROR(MATCH($B33,'Production - Oil'!$B$11:$B$54,0)),0,VLOOKUP($B33,'Production - Oil'!$B$11:$CD$54,MATCH('Production - Total'!BJ$9,'Production - Oil'!$B$9:$CD$9),FALSE))+IF(ISERROR(MATCH($B33,'Production - Gas'!$B$11:$B$54,0)),0,VLOOKUP($B33,'Production - Gas'!$B$11:$CD$54,MATCH('Production - Total'!BJ$9,'Production - Gas'!$B$9:$CD$9),FALSE)/5.8)</f>
        <v>91.586206896551715</v>
      </c>
      <c r="BK33" s="82"/>
      <c r="BL33" s="82"/>
      <c r="BM33" s="82"/>
      <c r="BN33" s="82"/>
      <c r="BO33" s="11">
        <f>'Production - Oil'!BO33+'Production - Gas'!BO33/5.8</f>
        <v>168.44827586206898</v>
      </c>
      <c r="BP33" s="82"/>
      <c r="BQ33" s="82"/>
      <c r="BR33" s="82"/>
      <c r="BS33" s="82"/>
      <c r="BT33" s="51"/>
      <c r="BU33" s="82"/>
      <c r="BV33" s="82"/>
      <c r="BW33" s="82"/>
      <c r="BX33" s="82"/>
      <c r="BY33" s="51"/>
      <c r="BZ33" s="82"/>
      <c r="CA33" s="82"/>
      <c r="CB33" s="82"/>
      <c r="CC33" s="82"/>
      <c r="CD33" s="51"/>
    </row>
    <row r="34" spans="1:82">
      <c r="A34" s="39" t="s">
        <v>2461</v>
      </c>
      <c r="B34" s="39"/>
      <c r="C34" s="39">
        <f t="shared" ref="C34:AA34" si="3">SUM(C31:C33)</f>
        <v>124.75862068965517</v>
      </c>
      <c r="D34" s="39">
        <f t="shared" si="3"/>
        <v>158.13793103448276</v>
      </c>
      <c r="E34" s="39">
        <f t="shared" si="3"/>
        <v>151.62068965517241</v>
      </c>
      <c r="F34" s="39">
        <f t="shared" si="3"/>
        <v>175.21379310344827</v>
      </c>
      <c r="G34" s="39">
        <f t="shared" si="3"/>
        <v>237.67413793103447</v>
      </c>
      <c r="H34" s="39">
        <f t="shared" si="3"/>
        <v>0</v>
      </c>
      <c r="I34" s="39">
        <f t="shared" si="3"/>
        <v>0</v>
      </c>
      <c r="J34" s="39">
        <f t="shared" si="3"/>
        <v>0</v>
      </c>
      <c r="K34" s="39">
        <f t="shared" si="3"/>
        <v>0</v>
      </c>
      <c r="L34" s="39">
        <f t="shared" si="3"/>
        <v>252.13793103448276</v>
      </c>
      <c r="M34" s="39">
        <f t="shared" si="3"/>
        <v>0</v>
      </c>
      <c r="N34" s="39">
        <f t="shared" si="3"/>
        <v>0</v>
      </c>
      <c r="O34" s="39">
        <f t="shared" si="3"/>
        <v>0</v>
      </c>
      <c r="P34" s="39">
        <f t="shared" si="3"/>
        <v>0</v>
      </c>
      <c r="Q34" s="39">
        <f t="shared" si="3"/>
        <v>275.68965517241378</v>
      </c>
      <c r="R34" s="39">
        <f t="shared" si="3"/>
        <v>0</v>
      </c>
      <c r="S34" s="39">
        <f t="shared" si="3"/>
        <v>0</v>
      </c>
      <c r="T34" s="39">
        <f t="shared" si="3"/>
        <v>0</v>
      </c>
      <c r="U34" s="39">
        <f t="shared" si="3"/>
        <v>0</v>
      </c>
      <c r="V34" s="39">
        <f t="shared" si="3"/>
        <v>360.44827586206895</v>
      </c>
      <c r="W34" s="39">
        <f t="shared" si="3"/>
        <v>0</v>
      </c>
      <c r="X34" s="39">
        <f t="shared" si="3"/>
        <v>0</v>
      </c>
      <c r="Y34" s="39">
        <f t="shared" si="3"/>
        <v>0</v>
      </c>
      <c r="Z34" s="39">
        <f t="shared" si="3"/>
        <v>0</v>
      </c>
      <c r="AA34" s="39">
        <f t="shared" si="3"/>
        <v>411.06896551724139</v>
      </c>
      <c r="AB34" s="39"/>
      <c r="AC34" s="39"/>
      <c r="AD34" s="39"/>
      <c r="AE34" s="39"/>
      <c r="AF34" s="39">
        <f>SUM(AF31:AF33)</f>
        <v>341.86206896551721</v>
      </c>
      <c r="AG34" s="80">
        <f>VLOOKUP($A34,'Production - Oil'!$A$9:$CD$56,MATCH('Production - Total'!AG$9,'Production - Oil'!$A$9:$CD$9,0),FALSE)+VLOOKUP($A34,'Production - Gas'!$A$9:$CD$56,MATCH('Production - Total'!AG$9,'Production - Gas'!$A$9:$CD$9,0),FALSE)/5.8</f>
        <v>0</v>
      </c>
      <c r="AH34" s="80">
        <f>VLOOKUP($A34,'Production - Oil'!$A$9:$CD$56,MATCH('Production - Total'!AH$9,'Production - Oil'!$A$9:$CD$9,0),FALSE)+VLOOKUP($A34,'Production - Gas'!$A$9:$CD$56,MATCH('Production - Total'!AH$9,'Production - Gas'!$A$9:$CD$9,0),FALSE)/5.8</f>
        <v>0</v>
      </c>
      <c r="AI34" s="80">
        <f>VLOOKUP($A34,'Production - Oil'!$A$9:$CD$56,MATCH('Production - Total'!AI$9,'Production - Oil'!$A$9:$CD$9,0),FALSE)+VLOOKUP($A34,'Production - Gas'!$A$9:$CD$56,MATCH('Production - Total'!AI$9,'Production - Gas'!$A$9:$CD$9,0),FALSE)/5.8</f>
        <v>0</v>
      </c>
      <c r="AJ34" s="80">
        <f>VLOOKUP($A34,'Production - Oil'!$A$9:$CD$56,MATCH('Production - Total'!AJ$9,'Production - Oil'!$A$9:$CD$9,0),FALSE)+VLOOKUP($A34,'Production - Gas'!$A$9:$CD$56,MATCH('Production - Total'!AJ$9,'Production - Gas'!$A$9:$CD$9,0),FALSE)/5.8</f>
        <v>0</v>
      </c>
      <c r="AK34" s="39">
        <f>VLOOKUP($A34,'Production - Oil'!$A$9:$CD$56,MATCH('Production - Total'!AK$9,'Production - Oil'!$A$9:$CD$9,0),FALSE)+VLOOKUP($A34,'Production - Gas'!$A$9:$CD$56,MATCH('Production - Total'!AK$9,'Production - Gas'!$A$9:$CD$9,0),FALSE)/5.8</f>
        <v>286.20689655172413</v>
      </c>
      <c r="AL34" s="80">
        <f>VLOOKUP($A34,'Production - Oil'!$A$9:$CD$56,MATCH('Production - Total'!AL$9,'Production - Oil'!$A$9:$CD$9,0),FALSE)+VLOOKUP($A34,'Production - Gas'!$A$9:$CD$56,MATCH('Production - Total'!AL$9,'Production - Gas'!$A$9:$CD$9,0),FALSE)/5.8</f>
        <v>0</v>
      </c>
      <c r="AM34" s="80">
        <f>VLOOKUP($A34,'Production - Oil'!$A$9:$CD$56,MATCH('Production - Total'!AM$9,'Production - Oil'!$A$9:$CD$9,0),FALSE)+VLOOKUP($A34,'Production - Gas'!$A$9:$CD$56,MATCH('Production - Total'!AM$9,'Production - Gas'!$A$9:$CD$9,0),FALSE)/5.8</f>
        <v>0</v>
      </c>
      <c r="AN34" s="80">
        <f>VLOOKUP($A34,'Production - Oil'!$A$9:$CD$56,MATCH('Production - Total'!AN$9,'Production - Oil'!$A$9:$CD$9,0),FALSE)+VLOOKUP($A34,'Production - Gas'!$A$9:$CD$56,MATCH('Production - Total'!AN$9,'Production - Gas'!$A$9:$CD$9,0),FALSE)/5.8</f>
        <v>0</v>
      </c>
      <c r="AO34" s="80">
        <f>VLOOKUP($A34,'Production - Oil'!$A$9:$CD$56,MATCH('Production - Total'!AO$9,'Production - Oil'!$A$9:$CD$9,0),FALSE)+VLOOKUP($A34,'Production - Gas'!$A$9:$CD$56,MATCH('Production - Total'!AO$9,'Production - Gas'!$A$9:$CD$9,0),FALSE)/5.8</f>
        <v>0</v>
      </c>
      <c r="AP34" s="39">
        <f>VLOOKUP($A34,'Production - Oil'!$A$9:$CD$56,MATCH('Production - Total'!AP$9,'Production - Oil'!$A$9:$CD$9,0),FALSE)+VLOOKUP($A34,'Production - Gas'!$A$9:$CD$56,MATCH('Production - Total'!AP$9,'Production - Gas'!$A$9:$CD$9,0),FALSE)/5.8</f>
        <v>303.72413793103448</v>
      </c>
      <c r="AQ34" s="82"/>
      <c r="AR34" s="82"/>
      <c r="AS34" s="82"/>
      <c r="AT34" s="82"/>
      <c r="AU34" s="39">
        <f>VLOOKUP($A34,'Production - Oil'!$A$9:$CD$56,MATCH('Production - Total'!AU$9,'Production - Oil'!$A$9:$CD$9,0),FALSE)+VLOOKUP($A34,'Production - Gas'!$A$9:$CD$56,MATCH('Production - Total'!AU$9,'Production - Gas'!$A$9:$CD$9,0),FALSE)/5.8</f>
        <v>321.72413793103448</v>
      </c>
      <c r="AV34" s="82"/>
      <c r="AW34" s="82"/>
      <c r="AX34" s="82"/>
      <c r="AY34" s="82"/>
      <c r="AZ34" s="39">
        <f>VLOOKUP($A34,'Production - Oil'!$A$9:$CD$56,MATCH('Production - Total'!AZ$9,'Production - Oil'!$A$9:$CD$9,0),FALSE)+VLOOKUP($A34,'Production - Gas'!$A$9:$CD$56,MATCH('Production - Total'!AZ$9,'Production - Gas'!$A$9:$CD$9,0),FALSE)/5.8</f>
        <v>315.44827586206895</v>
      </c>
      <c r="BA34" s="82"/>
      <c r="BB34" s="82"/>
      <c r="BC34" s="82"/>
      <c r="BD34" s="82"/>
      <c r="BE34" s="39">
        <f>VLOOKUP($A34,'Production - Oil'!$A$9:$CD$56,MATCH('Production - Total'!BE$9,'Production - Oil'!$A$9:$CD$9,0),FALSE)+VLOOKUP($A34,'Production - Gas'!$A$9:$CD$56,MATCH('Production - Total'!BE$9,'Production - Gas'!$A$9:$CD$9,0),FALSE)/5.8</f>
        <v>378.55172413793105</v>
      </c>
      <c r="BF34" s="82"/>
      <c r="BG34" s="82"/>
      <c r="BH34" s="82"/>
      <c r="BI34" s="82"/>
      <c r="BJ34" s="39">
        <f>VLOOKUP($A34,'Production - Oil'!$A$9:$CD$56,MATCH('Production - Total'!BJ$9,'Production - Oil'!$A$9:$CD$9,0),FALSE)+VLOOKUP($A34,'Production - Gas'!$A$9:$CD$56,MATCH('Production - Total'!BJ$9,'Production - Gas'!$A$9:$CD$9,0),FALSE)/5.8</f>
        <v>356.44827586206895</v>
      </c>
      <c r="BK34" s="82"/>
      <c r="BL34" s="82"/>
      <c r="BM34" s="82"/>
      <c r="BN34" s="82"/>
      <c r="BO34" s="39">
        <f>VLOOKUP($A34,'Production - Oil'!$A$9:$CD$56,MATCH('Production - Total'!BO$9,'Production - Oil'!$A$9:$CD$9,0),FALSE)+VLOOKUP($A34,'Production - Gas'!$A$9:$CD$56,MATCH('Production - Total'!BO$9,'Production - Gas'!$A$9:$CD$9,0),FALSE)/5.8</f>
        <v>414.79310344827587</v>
      </c>
      <c r="BP34" s="80">
        <f>VLOOKUP($A34,'Production - Oil'!$A$9:$CD$56,MATCH('Production - Total'!BP$9,'Production - Oil'!$A$9:$CD$9,0),FALSE)+VLOOKUP($A34,'Production - Gas'!$A$9:$CD$56,MATCH('Production - Total'!BP$9,'Production - Gas'!$A$9:$CD$9,0),FALSE)/5.8</f>
        <v>472.33193865630665</v>
      </c>
      <c r="BQ34" s="80">
        <f>VLOOKUP($A34,'Production - Oil'!$A$9:$CD$56,MATCH('Production - Total'!BQ$9,'Production - Oil'!$A$9:$CD$9,0),FALSE)+VLOOKUP($A34,'Production - Gas'!$A$9:$CD$56,MATCH('Production - Total'!BQ$9,'Production - Gas'!$A$9:$CD$9,0),FALSE)/5.8</f>
        <v>466.26991358795698</v>
      </c>
      <c r="BR34" s="80">
        <f>VLOOKUP($A34,'Production - Oil'!$A$9:$CD$56,MATCH('Production - Total'!BR$9,'Production - Oil'!$A$9:$CD$9,0),FALSE)+VLOOKUP($A34,'Production - Gas'!$A$9:$CD$56,MATCH('Production - Total'!BR$9,'Production - Gas'!$A$9:$CD$9,0),FALSE)/5.8</f>
        <v>467.84960507104677</v>
      </c>
      <c r="BS34" s="80">
        <f>VLOOKUP($A34,'Production - Oil'!$A$9:$CD$56,MATCH('Production - Total'!BS$9,'Production - Oil'!$A$9:$CD$9,0),FALSE)+VLOOKUP($A34,'Production - Gas'!$A$9:$CD$56,MATCH('Production - Total'!BS$9,'Production - Gas'!$A$9:$CD$9,0),FALSE)/5.8</f>
        <v>470.56371509848276</v>
      </c>
      <c r="BT34" s="39">
        <f>VLOOKUP($A34,'Production - Oil'!$A$9:$CD$56,MATCH('Production - Total'!BT$9,'Production - Oil'!$A$9:$CD$9,0),FALSE)+VLOOKUP($A34,'Production - Gas'!$A$9:$CD$56,MATCH('Production - Total'!BT$9,'Production - Gas'!$A$9:$CD$9,0),FALSE)/5.8</f>
        <v>469.25379310344829</v>
      </c>
      <c r="BU34" s="80">
        <f>VLOOKUP($A34,'Production - Oil'!$A$9:$CD$56,MATCH('Production - Total'!BU$9,'Production - Oil'!$A$9:$CD$9,0),FALSE)+VLOOKUP($A34,'Production - Gas'!$A$9:$CD$56,MATCH('Production - Total'!BU$9,'Production - Gas'!$A$9:$CD$9,0),FALSE)/5.8</f>
        <v>504.20270364821675</v>
      </c>
      <c r="BV34" s="80">
        <f>VLOOKUP($A34,'Production - Oil'!$A$9:$CD$56,MATCH('Production - Total'!BV$9,'Production - Oil'!$A$9:$CD$9,0),FALSE)+VLOOKUP($A34,'Production - Gas'!$A$9:$CD$56,MATCH('Production - Total'!BV$9,'Production - Gas'!$A$9:$CD$9,0),FALSE)/5.8</f>
        <v>496.79252649818602</v>
      </c>
      <c r="BW34" s="80">
        <f>VLOOKUP($A34,'Production - Oil'!$A$9:$CD$56,MATCH('Production - Total'!BW$9,'Production - Oil'!$A$9:$CD$9,0),FALSE)+VLOOKUP($A34,'Production - Gas'!$A$9:$CD$56,MATCH('Production - Total'!BW$9,'Production - Gas'!$A$9:$CD$9,0),FALSE)/5.8</f>
        <v>498.72353034592777</v>
      </c>
      <c r="BX34" s="80">
        <f>VLOOKUP($A34,'Production - Oil'!$A$9:$CD$56,MATCH('Production - Total'!BX$9,'Production - Oil'!$A$9:$CD$9,0),FALSE)+VLOOKUP($A34,'Production - Gas'!$A$9:$CD$56,MATCH('Production - Total'!BX$9,'Production - Gas'!$A$9:$CD$9,0),FALSE)/5.8</f>
        <v>502.04123950767007</v>
      </c>
      <c r="BY34" s="39">
        <f>VLOOKUP($A34,'Production - Oil'!$A$9:$CD$56,MATCH('Production - Total'!BY$9,'Production - Oil'!$A$9:$CD$9,0),FALSE)+VLOOKUP($A34,'Production - Gas'!$A$9:$CD$56,MATCH('Production - Total'!BY$9,'Production - Gas'!$A$9:$CD$9,0),FALSE)/5.8</f>
        <v>500.44000000000017</v>
      </c>
      <c r="BZ34" s="80">
        <f>VLOOKUP($A34,'Production - Oil'!$A$9:$CD$56,MATCH('Production - Total'!BZ$9,'Production - Oil'!$A$9:$CD$9,0),FALSE)+VLOOKUP($A34,'Production - Gas'!$A$9:$CD$56,MATCH('Production - Total'!BZ$9,'Production - Gas'!$A$9:$CD$9,0),FALSE)/5.8</f>
        <v>543.27006888166341</v>
      </c>
      <c r="CA34" s="80">
        <f>VLOOKUP($A34,'Production - Oil'!$A$9:$CD$56,MATCH('Production - Total'!CA$9,'Production - Oil'!$A$9:$CD$9,0),FALSE)+VLOOKUP($A34,'Production - Gas'!$A$9:$CD$56,MATCH('Production - Total'!CA$9,'Production - Gas'!$A$9:$CD$9,0),FALSE)/5.8</f>
        <v>534.50417405518738</v>
      </c>
      <c r="CB34" s="80">
        <f>VLOOKUP($A34,'Production - Oil'!$A$9:$CD$56,MATCH('Production - Total'!CB$9,'Production - Oil'!$A$9:$CD$9,0),FALSE)+VLOOKUP($A34,'Production - Gas'!$A$9:$CD$56,MATCH('Production - Total'!CB$9,'Production - Gas'!$A$9:$CD$9,0),FALSE)/5.8</f>
        <v>536.78846177140667</v>
      </c>
      <c r="CC34" s="80">
        <f>VLOOKUP($A34,'Production - Oil'!$A$9:$CD$56,MATCH('Production - Total'!CC$9,'Production - Oil'!$A$9:$CD$9,0),FALSE)+VLOOKUP($A34,'Production - Gas'!$A$9:$CD$56,MATCH('Production - Total'!CC$9,'Production - Gas'!$A$9:$CD$9,0),FALSE)/5.8</f>
        <v>540.71315736070835</v>
      </c>
      <c r="CD34" s="39">
        <f>VLOOKUP($A34,'Production - Oil'!$A$9:$CD$56,MATCH('Production - Total'!CD$9,'Production - Oil'!$A$9:$CD$9,0),FALSE)+VLOOKUP($A34,'Production - Gas'!$A$9:$CD$56,MATCH('Production - Total'!CD$9,'Production - Gas'!$A$9:$CD$9,0),FALSE)/5.8</f>
        <v>538.81896551724139</v>
      </c>
    </row>
    <row r="35" spans="1:82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68"/>
      <c r="AH35" s="68"/>
      <c r="AI35" s="68"/>
      <c r="AJ35" s="68"/>
      <c r="AK35" s="11"/>
      <c r="AL35" s="68"/>
      <c r="AM35" s="68"/>
      <c r="AN35" s="68"/>
      <c r="AO35" s="68"/>
      <c r="AP35" s="11"/>
      <c r="AQ35" s="68"/>
      <c r="AR35" s="68"/>
      <c r="AS35" s="68"/>
      <c r="AT35" s="68"/>
      <c r="AU35" s="11"/>
      <c r="AV35" s="68"/>
      <c r="AW35" s="68"/>
      <c r="AX35" s="68"/>
      <c r="AY35" s="68"/>
      <c r="AZ35" s="11"/>
      <c r="BA35" s="68"/>
      <c r="BB35" s="68"/>
      <c r="BC35" s="68"/>
      <c r="BD35" s="68"/>
      <c r="BE35" s="11"/>
      <c r="BF35" s="68"/>
      <c r="BG35" s="68"/>
      <c r="BH35" s="68"/>
      <c r="BI35" s="68"/>
      <c r="BJ35" s="11"/>
      <c r="BK35" s="68"/>
      <c r="BL35" s="68"/>
      <c r="BM35" s="68"/>
      <c r="BN35" s="68"/>
      <c r="BO35" s="11"/>
      <c r="BP35" s="68"/>
      <c r="BQ35" s="68"/>
      <c r="BR35" s="68"/>
      <c r="BS35" s="68"/>
      <c r="BT35" s="11"/>
      <c r="BU35" s="68"/>
      <c r="BV35" s="68"/>
      <c r="BW35" s="68"/>
      <c r="BX35" s="68"/>
      <c r="BY35" s="11"/>
      <c r="BZ35" s="68"/>
      <c r="CA35" s="68"/>
      <c r="CB35" s="68"/>
      <c r="CC35" s="68"/>
      <c r="CD35" s="11"/>
    </row>
    <row r="36" spans="1:82">
      <c r="A36" s="39" t="s">
        <v>2462</v>
      </c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68"/>
      <c r="AH36" s="68"/>
      <c r="AI36" s="68"/>
      <c r="AJ36" s="68"/>
      <c r="AK36" s="11"/>
      <c r="AL36" s="68"/>
      <c r="AM36" s="68"/>
      <c r="AN36" s="68"/>
      <c r="AO36" s="68"/>
      <c r="AP36" s="11"/>
      <c r="AQ36" s="68"/>
      <c r="AR36" s="68"/>
      <c r="AS36" s="68"/>
      <c r="AT36" s="68"/>
      <c r="AU36" s="11"/>
      <c r="AV36" s="68"/>
      <c r="AW36" s="68"/>
      <c r="AX36" s="68"/>
      <c r="AY36" s="68"/>
      <c r="AZ36" s="11"/>
      <c r="BA36" s="68"/>
      <c r="BB36" s="68"/>
      <c r="BC36" s="68"/>
      <c r="BD36" s="68"/>
      <c r="BE36" s="11"/>
      <c r="BF36" s="68"/>
      <c r="BG36" s="68"/>
      <c r="BH36" s="68"/>
      <c r="BI36" s="68"/>
      <c r="BJ36" s="11"/>
      <c r="BK36" s="68"/>
      <c r="BL36" s="68"/>
      <c r="BM36" s="68"/>
      <c r="BN36" s="68"/>
      <c r="BO36" s="11"/>
      <c r="BP36" s="68"/>
      <c r="BQ36" s="68"/>
      <c r="BR36" s="68"/>
      <c r="BS36" s="68"/>
      <c r="BT36" s="11"/>
      <c r="BU36" s="68"/>
      <c r="BV36" s="68"/>
      <c r="BW36" s="68"/>
      <c r="BX36" s="68"/>
      <c r="BY36" s="11"/>
      <c r="BZ36" s="68"/>
      <c r="CA36" s="68"/>
      <c r="CB36" s="68"/>
      <c r="CC36" s="68"/>
      <c r="CD36" s="11"/>
    </row>
    <row r="37" spans="1:82">
      <c r="A37" s="39"/>
      <c r="B37" s="11" t="s">
        <v>2502</v>
      </c>
      <c r="C37" s="11">
        <f>IF(ISERROR(MATCH($B37,'Production - Oil'!$B$11:$B$54,0)),0,VLOOKUP($B37,'Production - Oil'!$B$11:$CD$54,MATCH('Production - Total'!C$9,'Production - Oil'!$B$9:$CD$9),FALSE))+IF(ISERROR(MATCH($B37,'Production - Gas'!$B$11:$B$54,0)),0,VLOOKUP($B37,'Production - Gas'!$B$11:$CD$54,MATCH('Production - Total'!C$9,'Production - Gas'!$B$9:$CD$9),FALSE)/5.8)</f>
        <v>0</v>
      </c>
      <c r="D37" s="11">
        <f>IF(ISERROR(MATCH($B37,'Production - Oil'!$B$11:$B$54,0)),0,VLOOKUP($B37,'Production - Oil'!$B$11:$CD$54,MATCH('Production - Total'!D$9,'Production - Oil'!$B$9:$CD$9),FALSE))+IF(ISERROR(MATCH($B37,'Production - Gas'!$B$11:$B$54,0)),0,VLOOKUP($B37,'Production - Gas'!$B$11:$CD$54,MATCH('Production - Total'!D$9,'Production - Gas'!$B$9:$CD$9),FALSE)/5.8)</f>
        <v>0</v>
      </c>
      <c r="E37" s="11">
        <f>IF(ISERROR(MATCH($B37,'Production - Oil'!$B$11:$B$54,0)),0,VLOOKUP($B37,'Production - Oil'!$B$11:$CD$54,MATCH('Production - Total'!E$9,'Production - Oil'!$B$9:$CD$9),FALSE))+IF(ISERROR(MATCH($B37,'Production - Gas'!$B$11:$B$54,0)),0,VLOOKUP($B37,'Production - Gas'!$B$11:$CD$54,MATCH('Production - Total'!E$9,'Production - Gas'!$B$9:$CD$9),FALSE)/5.8)</f>
        <v>0</v>
      </c>
      <c r="F37" s="11">
        <f>IF(ISERROR(MATCH($B37,'Production - Oil'!$B$11:$B$54,0)),0,VLOOKUP($B37,'Production - Oil'!$B$11:$CD$54,MATCH('Production - Total'!F$9,'Production - Oil'!$B$9:$CD$9),FALSE))+IF(ISERROR(MATCH($B37,'Production - Gas'!$B$11:$B$54,0)),0,VLOOKUP($B37,'Production - Gas'!$B$11:$CD$54,MATCH('Production - Total'!F$9,'Production - Gas'!$B$9:$CD$9),FALSE)/5.8)</f>
        <v>0</v>
      </c>
      <c r="G37" s="11">
        <f>IF(ISERROR(MATCH($B37,'Production - Oil'!$B$11:$B$54,0)),0,VLOOKUP($B37,'Production - Oil'!$B$11:$CD$54,MATCH('Production - Total'!G$9,'Production - Oil'!$B$9:$CD$9),FALSE))+IF(ISERROR(MATCH($B37,'Production - Gas'!$B$11:$B$54,0)),0,VLOOKUP($B37,'Production - Gas'!$B$11:$CD$54,MATCH('Production - Total'!G$9,'Production - Gas'!$B$9:$CD$9),FALSE)/5.8)</f>
        <v>0</v>
      </c>
      <c r="H37" s="11"/>
      <c r="I37" s="11"/>
      <c r="J37" s="11"/>
      <c r="K37" s="11"/>
      <c r="L37" s="11">
        <f>IF(ISERROR(MATCH($B37,'Production - Oil'!$B$11:$B$54,0)),0,VLOOKUP($B37,'Production - Oil'!$B$11:$CD$54,MATCH('Production - Total'!L$9,'Production - Oil'!$B$9:$CD$9),FALSE))+IF(ISERROR(MATCH($B37,'Production - Gas'!$B$11:$B$54,0)),0,VLOOKUP($B37,'Production - Gas'!$B$11:$CD$54,MATCH('Production - Total'!L$9,'Production - Gas'!$B$9:$CD$9),FALSE)/5.8)</f>
        <v>0</v>
      </c>
      <c r="M37" s="11"/>
      <c r="N37" s="11"/>
      <c r="O37" s="11"/>
      <c r="P37" s="11"/>
      <c r="Q37" s="11">
        <f>IF(ISERROR(MATCH($B37,'Production - Oil'!$B$11:$B$54,0)),0,VLOOKUP($B37,'Production - Oil'!$B$11:$CD$54,MATCH('Production - Total'!Q$9,'Production - Oil'!$B$9:$CD$9),FALSE))+IF(ISERROR(MATCH($B37,'Production - Gas'!$B$11:$B$54,0)),0,VLOOKUP($B37,'Production - Gas'!$B$11:$CD$54,MATCH('Production - Total'!Q$9,'Production - Gas'!$B$9:$CD$9),FALSE)/5.8)</f>
        <v>0</v>
      </c>
      <c r="R37" s="11"/>
      <c r="S37" s="11"/>
      <c r="T37" s="11"/>
      <c r="U37" s="11"/>
      <c r="V37" s="11">
        <f>IF(ISERROR(MATCH($B37,'Production - Oil'!$B$11:$B$54,0)),0,VLOOKUP($B37,'Production - Oil'!$B$11:$CD$54,MATCH('Production - Total'!V$9,'Production - Oil'!$B$9:$CD$9),FALSE))+IF(ISERROR(MATCH($B37,'Production - Gas'!$B$11:$B$54,0)),0,VLOOKUP($B37,'Production - Gas'!$B$11:$CD$54,MATCH('Production - Total'!V$9,'Production - Gas'!$B$9:$CD$9),FALSE)/5.8)</f>
        <v>0</v>
      </c>
      <c r="W37" s="11"/>
      <c r="X37" s="11"/>
      <c r="Y37" s="11"/>
      <c r="Z37" s="11"/>
      <c r="AA37" s="11">
        <f>IF(ISERROR(MATCH($B37,'Production - Oil'!$B$11:$B$54,0)),0,VLOOKUP($B37,'Production - Oil'!$B$11:$CD$54,MATCH('Production - Total'!AA$9,'Production - Oil'!$B$9:$CD$9),FALSE))+IF(ISERROR(MATCH($B37,'Production - Gas'!$B$11:$B$54,0)),0,VLOOKUP($B37,'Production - Gas'!$B$11:$CD$54,MATCH('Production - Total'!AA$9,'Production - Gas'!$B$9:$CD$9),FALSE)/5.8)</f>
        <v>0</v>
      </c>
      <c r="AB37" s="11"/>
      <c r="AC37" s="11"/>
      <c r="AD37" s="11"/>
      <c r="AE37" s="11"/>
      <c r="AF37" s="11">
        <f>IF(ISERROR(MATCH($B37,'Production - Oil'!$B$11:$B$54,0)),0,VLOOKUP($B37,'Production - Oil'!$B$11:$CD$54,MATCH('Production - Total'!AF$9,'Production - Oil'!$B$9:$CD$9),FALSE))+IF(ISERROR(MATCH($B37,'Production - Gas'!$B$11:$B$54,0)),0,VLOOKUP($B37,'Production - Gas'!$B$11:$CD$54,MATCH('Production - Total'!AF$9,'Production - Gas'!$B$9:$CD$9),FALSE)/5.8)</f>
        <v>0</v>
      </c>
      <c r="AG37" s="82"/>
      <c r="AH37" s="82"/>
      <c r="AI37" s="82"/>
      <c r="AJ37" s="82"/>
      <c r="AK37" s="11">
        <f>IF(ISERROR(MATCH($B37,'Production - Oil'!$B$11:$B$54,0)),0,VLOOKUP($B37,'Production - Oil'!$B$11:$CD$54,MATCH('Production - Total'!AK$9,'Production - Oil'!$B$9:$CD$9),FALSE))+IF(ISERROR(MATCH($B37,'Production - Gas'!$B$11:$B$54,0)),0,VLOOKUP($B37,'Production - Gas'!$B$11:$CD$54,MATCH('Production - Total'!AK$9,'Production - Gas'!$B$9:$CD$9),FALSE)/5.8)</f>
        <v>0</v>
      </c>
      <c r="AL37" s="82"/>
      <c r="AM37" s="82"/>
      <c r="AN37" s="82"/>
      <c r="AO37" s="82"/>
      <c r="AP37" s="11">
        <f>IF(ISERROR(MATCH($B37,'Production - Oil'!$B$11:$B$54,0)),0,VLOOKUP($B37,'Production - Oil'!$B$11:$CD$54,MATCH('Production - Total'!AP$9,'Production - Oil'!$B$9:$CD$9),FALSE))+IF(ISERROR(MATCH($B37,'Production - Gas'!$B$11:$B$54,0)),0,VLOOKUP($B37,'Production - Gas'!$B$11:$CD$54,MATCH('Production - Total'!AP$9,'Production - Gas'!$B$9:$CD$9),FALSE)/5.8)</f>
        <v>0</v>
      </c>
      <c r="AQ37" s="82"/>
      <c r="AR37" s="82"/>
      <c r="AS37" s="82"/>
      <c r="AT37" s="82"/>
      <c r="AU37" s="11">
        <f>IF(ISERROR(MATCH($B37,'Production - Oil'!$B$11:$B$54,0)),0,VLOOKUP($B37,'Production - Oil'!$B$11:$CD$54,MATCH('Production - Total'!AU$9,'Production - Oil'!$B$9:$CD$9),FALSE))+IF(ISERROR(MATCH($B37,'Production - Gas'!$B$11:$B$54,0)),0,VLOOKUP($B37,'Production - Gas'!$B$11:$CD$54,MATCH('Production - Total'!AU$9,'Production - Gas'!$B$9:$CD$9),FALSE)/5.8)</f>
        <v>0</v>
      </c>
      <c r="AV37" s="82"/>
      <c r="AW37" s="82"/>
      <c r="AX37" s="82"/>
      <c r="AY37" s="82"/>
      <c r="AZ37" s="11">
        <f>IF(ISERROR(MATCH($B37,'Production - Oil'!$B$11:$B$54,0)),0,VLOOKUP($B37,'Production - Oil'!$B$11:$CD$54,MATCH('Production - Total'!AZ$9,'Production - Oil'!$B$9:$CD$9),FALSE))+IF(ISERROR(MATCH($B37,'Production - Gas'!$B$11:$B$54,0)),0,VLOOKUP($B37,'Production - Gas'!$B$11:$CD$54,MATCH('Production - Total'!AZ$9,'Production - Gas'!$B$9:$CD$9),FALSE)/5.8)</f>
        <v>0</v>
      </c>
      <c r="BA37" s="82"/>
      <c r="BB37" s="82"/>
      <c r="BC37" s="82"/>
      <c r="BD37" s="82"/>
      <c r="BE37" s="11">
        <f>IF(ISERROR(MATCH($B37,'Production - Oil'!$B$11:$B$54,0)),0,VLOOKUP($B37,'Production - Oil'!$B$11:$CD$54,MATCH('Production - Total'!BE$9,'Production - Oil'!$B$9:$CD$9),FALSE))+IF(ISERROR(MATCH($B37,'Production - Gas'!$B$11:$B$54,0)),0,VLOOKUP($B37,'Production - Gas'!$B$11:$CD$54,MATCH('Production - Total'!BE$9,'Production - Gas'!$B$9:$CD$9),FALSE)/5.8)</f>
        <v>0</v>
      </c>
      <c r="BF37" s="82"/>
      <c r="BG37" s="82"/>
      <c r="BH37" s="82"/>
      <c r="BI37" s="82"/>
      <c r="BJ37" s="11">
        <f>IF(ISERROR(MATCH($B37,'Production - Oil'!$B$11:$B$54,0)),0,VLOOKUP($B37,'Production - Oil'!$B$11:$CD$54,MATCH('Production - Total'!BJ$9,'Production - Oil'!$B$9:$CD$9),FALSE))+IF(ISERROR(MATCH($B37,'Production - Gas'!$B$11:$B$54,0)),0,VLOOKUP($B37,'Production - Gas'!$B$11:$CD$54,MATCH('Production - Total'!BJ$9,'Production - Gas'!$B$9:$CD$9),FALSE)/5.8)</f>
        <v>0</v>
      </c>
      <c r="BK37" s="82"/>
      <c r="BL37" s="82"/>
      <c r="BM37" s="82"/>
      <c r="BN37" s="82"/>
      <c r="BO37" s="11">
        <f>'Production - Oil'!BO37+'Production - Gas'!BO37/5.8</f>
        <v>158</v>
      </c>
      <c r="BP37" s="82"/>
      <c r="BQ37" s="82"/>
      <c r="BR37" s="82"/>
      <c r="BS37" s="82"/>
      <c r="BT37" s="51"/>
      <c r="BU37" s="82"/>
      <c r="BV37" s="82"/>
      <c r="BW37" s="82"/>
      <c r="BX37" s="82"/>
      <c r="BY37" s="51"/>
      <c r="BZ37" s="82"/>
      <c r="CA37" s="82"/>
      <c r="CB37" s="82"/>
      <c r="CC37" s="82"/>
      <c r="CD37" s="51"/>
    </row>
    <row r="38" spans="1:82">
      <c r="A38" s="11"/>
      <c r="B38" s="11" t="s">
        <v>726</v>
      </c>
      <c r="C38" s="11">
        <f>IF(ISERROR(MATCH($B38,'Production - Oil'!$B$11:$B$54,0)),0,VLOOKUP($B38,'Production - Oil'!$B$11:$CD$54,MATCH('Production - Total'!C$9,'Production - Oil'!$B$9:$CD$9),FALSE))+IF(ISERROR(MATCH($B38,'Production - Gas'!$B$11:$B$54,0)),0,VLOOKUP($B38,'Production - Gas'!$B$11:$CD$54,MATCH('Production - Total'!C$9,'Production - Gas'!$B$9:$CD$9),FALSE)/5.8)</f>
        <v>35</v>
      </c>
      <c r="D38" s="11">
        <f>IF(ISERROR(MATCH($B38,'Production - Oil'!$B$11:$B$54,0)),0,VLOOKUP($B38,'Production - Oil'!$B$11:$CD$54,MATCH('Production - Total'!D$9,'Production - Oil'!$B$9:$CD$9),FALSE))+IF(ISERROR(MATCH($B38,'Production - Gas'!$B$11:$B$54,0)),0,VLOOKUP($B38,'Production - Gas'!$B$11:$CD$54,MATCH('Production - Total'!D$9,'Production - Gas'!$B$9:$CD$9),FALSE)/5.8)</f>
        <v>38</v>
      </c>
      <c r="E38" s="11">
        <f>IF(ISERROR(MATCH($B38,'Production - Oil'!$B$11:$B$54,0)),0,VLOOKUP($B38,'Production - Oil'!$B$11:$CD$54,MATCH('Production - Total'!E$9,'Production - Oil'!$B$9:$CD$9),FALSE))+IF(ISERROR(MATCH($B38,'Production - Gas'!$B$11:$B$54,0)),0,VLOOKUP($B38,'Production - Gas'!$B$11:$CD$54,MATCH('Production - Total'!E$9,'Production - Gas'!$B$9:$CD$9),FALSE)/5.8)</f>
        <v>38</v>
      </c>
      <c r="F38" s="11">
        <f>IF(ISERROR(MATCH($B38,'Production - Oil'!$B$11:$B$54,0)),0,VLOOKUP($B38,'Production - Oil'!$B$11:$CD$54,MATCH('Production - Total'!F$9,'Production - Oil'!$B$9:$CD$9),FALSE))+IF(ISERROR(MATCH($B38,'Production - Gas'!$B$11:$B$54,0)),0,VLOOKUP($B38,'Production - Gas'!$B$11:$CD$54,MATCH('Production - Total'!F$9,'Production - Gas'!$B$9:$CD$9),FALSE)/5.8)</f>
        <v>39</v>
      </c>
      <c r="G38" s="11">
        <f>IF(ISERROR(MATCH($B38,'Production - Oil'!$B$11:$B$54,0)),0,VLOOKUP($B38,'Production - Oil'!$B$11:$CD$54,MATCH('Production - Total'!G$9,'Production - Oil'!$B$9:$CD$9),FALSE))+IF(ISERROR(MATCH($B38,'Production - Gas'!$B$11:$B$54,0)),0,VLOOKUP($B38,'Production - Gas'!$B$11:$CD$54,MATCH('Production - Total'!G$9,'Production - Gas'!$B$9:$CD$9),FALSE)/5.8)</f>
        <v>76</v>
      </c>
      <c r="H38" s="11"/>
      <c r="I38" s="11"/>
      <c r="J38" s="11"/>
      <c r="K38" s="11"/>
      <c r="L38" s="11">
        <f>IF(ISERROR(MATCH($B38,'Production - Oil'!$B$11:$B$54,0)),0,VLOOKUP($B38,'Production - Oil'!$B$11:$CD$54,MATCH('Production - Total'!L$9,'Production - Oil'!$B$9:$CD$9),FALSE))+IF(ISERROR(MATCH($B38,'Production - Gas'!$B$11:$B$54,0)),0,VLOOKUP($B38,'Production - Gas'!$B$11:$CD$54,MATCH('Production - Total'!L$9,'Production - Gas'!$B$9:$CD$9),FALSE)/5.8)</f>
        <v>145</v>
      </c>
      <c r="M38" s="11"/>
      <c r="N38" s="11"/>
      <c r="O38" s="11"/>
      <c r="P38" s="11"/>
      <c r="Q38" s="11">
        <f>IF(ISERROR(MATCH($B38,'Production - Oil'!$B$11:$B$54,0)),0,VLOOKUP($B38,'Production - Oil'!$B$11:$CD$54,MATCH('Production - Total'!Q$9,'Production - Oil'!$B$9:$CD$9),FALSE))+IF(ISERROR(MATCH($B38,'Production - Gas'!$B$11:$B$54,0)),0,VLOOKUP($B38,'Production - Gas'!$B$11:$CD$54,MATCH('Production - Total'!Q$9,'Production - Gas'!$B$9:$CD$9),FALSE)/5.8)</f>
        <v>217.58620689655172</v>
      </c>
      <c r="R38" s="11"/>
      <c r="S38" s="11"/>
      <c r="T38" s="11"/>
      <c r="U38" s="11"/>
      <c r="V38" s="11">
        <f>IF(ISERROR(MATCH($B38,'Production - Oil'!$B$11:$B$54,0)),0,VLOOKUP($B38,'Production - Oil'!$B$11:$CD$54,MATCH('Production - Total'!V$9,'Production - Oil'!$B$9:$CD$9),FALSE))+IF(ISERROR(MATCH($B38,'Production - Gas'!$B$11:$B$54,0)),0,VLOOKUP($B38,'Production - Gas'!$B$11:$CD$54,MATCH('Production - Total'!V$9,'Production - Gas'!$B$9:$CD$9),FALSE)/5.8)</f>
        <v>129.65517241379311</v>
      </c>
      <c r="W38" s="11"/>
      <c r="X38" s="11"/>
      <c r="Y38" s="11"/>
      <c r="Z38" s="11"/>
      <c r="AA38" s="11">
        <f>IF(ISERROR(MATCH($B38,'Production - Oil'!$B$11:$B$54,0)),0,VLOOKUP($B38,'Production - Oil'!$B$11:$CD$54,MATCH('Production - Total'!AA$9,'Production - Oil'!$B$9:$CD$9),FALSE))+IF(ISERROR(MATCH($B38,'Production - Gas'!$B$11:$B$54,0)),0,VLOOKUP($B38,'Production - Gas'!$B$11:$CD$54,MATCH('Production - Total'!AA$9,'Production - Gas'!$B$9:$CD$9),FALSE)/5.8)</f>
        <v>122.72413793103448</v>
      </c>
      <c r="AB38" s="11"/>
      <c r="AC38" s="11"/>
      <c r="AD38" s="11"/>
      <c r="AE38" s="11"/>
      <c r="AF38" s="11">
        <f>IF(ISERROR(MATCH($B38,'Production - Oil'!$B$11:$B$54,0)),0,VLOOKUP($B38,'Production - Oil'!$B$11:$CD$54,MATCH('Production - Total'!AF$9,'Production - Oil'!$B$9:$CD$9),FALSE))+IF(ISERROR(MATCH($B38,'Production - Gas'!$B$11:$B$54,0)),0,VLOOKUP($B38,'Production - Gas'!$B$11:$CD$54,MATCH('Production - Total'!AF$9,'Production - Gas'!$B$9:$CD$9),FALSE)/5.8)</f>
        <v>125.75862068965517</v>
      </c>
      <c r="AG38" s="82"/>
      <c r="AH38" s="82"/>
      <c r="AI38" s="82"/>
      <c r="AJ38" s="82"/>
      <c r="AK38" s="11">
        <f>IF(ISERROR(MATCH($B38,'Production - Oil'!$B$11:$B$54,0)),0,VLOOKUP($B38,'Production - Oil'!$B$11:$CD$54,MATCH('Production - Total'!AK$9,'Production - Oil'!$B$9:$CD$9),FALSE))+IF(ISERROR(MATCH($B38,'Production - Gas'!$B$11:$B$54,0)),0,VLOOKUP($B38,'Production - Gas'!$B$11:$CD$54,MATCH('Production - Total'!AK$9,'Production - Gas'!$B$9:$CD$9),FALSE)/5.8)</f>
        <v>118.13793103448276</v>
      </c>
      <c r="AL38" s="82"/>
      <c r="AM38" s="82"/>
      <c r="AN38" s="82"/>
      <c r="AO38" s="82"/>
      <c r="AP38" s="11">
        <f>IF(ISERROR(MATCH($B38,'Production - Oil'!$B$11:$B$54,0)),0,VLOOKUP($B38,'Production - Oil'!$B$11:$CD$54,MATCH('Production - Total'!AP$9,'Production - Oil'!$B$9:$CD$9),FALSE))+IF(ISERROR(MATCH($B38,'Production - Gas'!$B$11:$B$54,0)),0,VLOOKUP($B38,'Production - Gas'!$B$11:$CD$54,MATCH('Production - Total'!AP$9,'Production - Gas'!$B$9:$CD$9),FALSE)/5.8)</f>
        <v>119.24137931034483</v>
      </c>
      <c r="AQ38" s="82"/>
      <c r="AR38" s="82"/>
      <c r="AS38" s="82"/>
      <c r="AT38" s="82"/>
      <c r="AU38" s="11">
        <f>IF(ISERROR(MATCH($B38,'Production - Oil'!$B$11:$B$54,0)),0,VLOOKUP($B38,'Production - Oil'!$B$11:$CD$54,MATCH('Production - Total'!AU$9,'Production - Oil'!$B$9:$CD$9),FALSE))+IF(ISERROR(MATCH($B38,'Production - Gas'!$B$11:$B$54,0)),0,VLOOKUP($B38,'Production - Gas'!$B$11:$CD$54,MATCH('Production - Total'!AU$9,'Production - Gas'!$B$9:$CD$9),FALSE)/5.8)</f>
        <v>131</v>
      </c>
      <c r="AV38" s="82"/>
      <c r="AW38" s="82"/>
      <c r="AX38" s="82"/>
      <c r="AY38" s="82"/>
      <c r="AZ38" s="11">
        <f>IF(ISERROR(MATCH($B38,'Production - Oil'!$B$11:$B$54,0)),0,VLOOKUP($B38,'Production - Oil'!$B$11:$CD$54,MATCH('Production - Total'!AZ$9,'Production - Oil'!$B$9:$CD$9),FALSE))+IF(ISERROR(MATCH($B38,'Production - Gas'!$B$11:$B$54,0)),0,VLOOKUP($B38,'Production - Gas'!$B$11:$CD$54,MATCH('Production - Total'!AZ$9,'Production - Gas'!$B$9:$CD$9),FALSE)/5.8)</f>
        <v>137.65517241379311</v>
      </c>
      <c r="BA38" s="82"/>
      <c r="BB38" s="82"/>
      <c r="BC38" s="82"/>
      <c r="BD38" s="82"/>
      <c r="BE38" s="11">
        <f>IF(ISERROR(MATCH($B38,'Production - Oil'!$B$11:$B$54,0)),0,VLOOKUP($B38,'Production - Oil'!$B$11:$CD$54,MATCH('Production - Total'!BE$9,'Production - Oil'!$B$9:$CD$9),FALSE))+IF(ISERROR(MATCH($B38,'Production - Gas'!$B$11:$B$54,0)),0,VLOOKUP($B38,'Production - Gas'!$B$11:$CD$54,MATCH('Production - Total'!BE$9,'Production - Gas'!$B$9:$CD$9),FALSE)/5.8)</f>
        <v>148.75862068965517</v>
      </c>
      <c r="BF38" s="82"/>
      <c r="BG38" s="82"/>
      <c r="BH38" s="82"/>
      <c r="BI38" s="82"/>
      <c r="BJ38" s="11">
        <f>IF(ISERROR(MATCH($B38,'Production - Oil'!$B$11:$B$54,0)),0,VLOOKUP($B38,'Production - Oil'!$B$11:$CD$54,MATCH('Production - Total'!BJ$9,'Production - Oil'!$B$9:$CD$9),FALSE))+IF(ISERROR(MATCH($B38,'Production - Gas'!$B$11:$B$54,0)),0,VLOOKUP($B38,'Production - Gas'!$B$11:$CD$54,MATCH('Production - Total'!BJ$9,'Production - Gas'!$B$9:$CD$9),FALSE)/5.8)</f>
        <v>147.24137931034483</v>
      </c>
      <c r="BK38" s="82"/>
      <c r="BL38" s="82"/>
      <c r="BM38" s="82"/>
      <c r="BN38" s="82"/>
      <c r="BO38" s="11">
        <f>'Production - Oil'!BO38+'Production - Gas'!BO38/5.8</f>
        <v>130</v>
      </c>
      <c r="BP38" s="82"/>
      <c r="BQ38" s="82"/>
      <c r="BR38" s="82"/>
      <c r="BS38" s="82"/>
      <c r="BT38" s="51"/>
      <c r="BU38" s="82"/>
      <c r="BV38" s="82"/>
      <c r="BW38" s="82"/>
      <c r="BX38" s="82"/>
      <c r="BY38" s="51"/>
      <c r="BZ38" s="82"/>
      <c r="CA38" s="82"/>
      <c r="CB38" s="82"/>
      <c r="CC38" s="82"/>
      <c r="CD38" s="51"/>
    </row>
    <row r="39" spans="1:82">
      <c r="A39" s="11"/>
      <c r="B39" s="11" t="s">
        <v>216</v>
      </c>
      <c r="C39" s="11">
        <f>IF(ISERROR(MATCH($B39,'Production - Oil'!$B$11:$B$54,0)),0,VLOOKUP($B39,'Production - Oil'!$B$11:$CD$54,MATCH('Production - Total'!C$9,'Production - Oil'!$B$9:$CD$9),FALSE))+IF(ISERROR(MATCH($B39,'Production - Gas'!$B$11:$B$54,0)),0,VLOOKUP($B39,'Production - Gas'!$B$11:$CD$54,MATCH('Production - Total'!C$9,'Production - Gas'!$B$9:$CD$9),FALSE)/5.8)</f>
        <v>18.620689655172413</v>
      </c>
      <c r="D39" s="11">
        <f>IF(ISERROR(MATCH($B39,'Production - Oil'!$B$11:$B$54,0)),0,VLOOKUP($B39,'Production - Oil'!$B$11:$CD$54,MATCH('Production - Total'!D$9,'Production - Oil'!$B$9:$CD$9),FALSE))+IF(ISERROR(MATCH($B39,'Production - Gas'!$B$11:$B$54,0)),0,VLOOKUP($B39,'Production - Gas'!$B$11:$CD$54,MATCH('Production - Total'!D$9,'Production - Gas'!$B$9:$CD$9),FALSE)/5.8)</f>
        <v>17.586206896551726</v>
      </c>
      <c r="E39" s="11">
        <f>IF(ISERROR(MATCH($B39,'Production - Oil'!$B$11:$B$54,0)),0,VLOOKUP($B39,'Production - Oil'!$B$11:$CD$54,MATCH('Production - Total'!E$9,'Production - Oil'!$B$9:$CD$9),FALSE))+IF(ISERROR(MATCH($B39,'Production - Gas'!$B$11:$B$54,0)),0,VLOOKUP($B39,'Production - Gas'!$B$11:$CD$54,MATCH('Production - Total'!E$9,'Production - Gas'!$B$9:$CD$9),FALSE)/5.8)</f>
        <v>12.758620689655173</v>
      </c>
      <c r="F39" s="11">
        <f>IF(ISERROR(MATCH($B39,'Production - Oil'!$B$11:$B$54,0)),0,VLOOKUP($B39,'Production - Oil'!$B$11:$CD$54,MATCH('Production - Total'!F$9,'Production - Oil'!$B$9:$CD$9),FALSE))+IF(ISERROR(MATCH($B39,'Production - Gas'!$B$11:$B$54,0)),0,VLOOKUP($B39,'Production - Gas'!$B$11:$CD$54,MATCH('Production - Total'!F$9,'Production - Gas'!$B$9:$CD$9),FALSE)/5.8)</f>
        <v>17.068965517241381</v>
      </c>
      <c r="G39" s="11">
        <f>IF(ISERROR(MATCH($B39,'Production - Oil'!$B$11:$B$54,0)),0,VLOOKUP($B39,'Production - Oil'!$B$11:$CD$54,MATCH('Production - Total'!G$9,'Production - Oil'!$B$9:$CD$9),FALSE))+IF(ISERROR(MATCH($B39,'Production - Gas'!$B$11:$B$54,0)),0,VLOOKUP($B39,'Production - Gas'!$B$11:$CD$54,MATCH('Production - Total'!G$9,'Production - Gas'!$B$9:$CD$9),FALSE)/5.8)</f>
        <v>16.896551724137932</v>
      </c>
      <c r="H39" s="11"/>
      <c r="I39" s="11"/>
      <c r="J39" s="11"/>
      <c r="K39" s="11"/>
      <c r="L39" s="11">
        <f>IF(ISERROR(MATCH($B39,'Production - Oil'!$B$11:$B$54,0)),0,VLOOKUP($B39,'Production - Oil'!$B$11:$CD$54,MATCH('Production - Total'!L$9,'Production - Oil'!$B$9:$CD$9),FALSE))+IF(ISERROR(MATCH($B39,'Production - Gas'!$B$11:$B$54,0)),0,VLOOKUP($B39,'Production - Gas'!$B$11:$CD$54,MATCH('Production - Total'!L$9,'Production - Gas'!$B$9:$CD$9),FALSE)/5.8)</f>
        <v>17.586206896551726</v>
      </c>
      <c r="M39" s="11"/>
      <c r="N39" s="11"/>
      <c r="O39" s="11"/>
      <c r="P39" s="11"/>
      <c r="Q39" s="11">
        <f>IF(ISERROR(MATCH($B39,'Production - Oil'!$B$11:$B$54,0)),0,VLOOKUP($B39,'Production - Oil'!$B$11:$CD$54,MATCH('Production - Total'!Q$9,'Production - Oil'!$B$9:$CD$9),FALSE))+IF(ISERROR(MATCH($B39,'Production - Gas'!$B$11:$B$54,0)),0,VLOOKUP($B39,'Production - Gas'!$B$11:$CD$54,MATCH('Production - Total'!Q$9,'Production - Gas'!$B$9:$CD$9),FALSE)/5.8)</f>
        <v>14.655172413793103</v>
      </c>
      <c r="R39" s="11"/>
      <c r="S39" s="11"/>
      <c r="T39" s="11"/>
      <c r="U39" s="11"/>
      <c r="V39" s="11">
        <f>IF(ISERROR(MATCH($B39,'Production - Oil'!$B$11:$B$54,0)),0,VLOOKUP($B39,'Production - Oil'!$B$11:$CD$54,MATCH('Production - Total'!V$9,'Production - Oil'!$B$9:$CD$9),FALSE))+IF(ISERROR(MATCH($B39,'Production - Gas'!$B$11:$B$54,0)),0,VLOOKUP($B39,'Production - Gas'!$B$11:$CD$54,MATCH('Production - Total'!V$9,'Production - Gas'!$B$9:$CD$9),FALSE)/5.8)</f>
        <v>15.689655172413794</v>
      </c>
      <c r="W39" s="11"/>
      <c r="X39" s="11"/>
      <c r="Y39" s="11"/>
      <c r="Z39" s="11"/>
      <c r="AA39" s="11">
        <f>IF(ISERROR(MATCH($B39,'Production - Oil'!$B$11:$B$54,0)),0,VLOOKUP($B39,'Production - Oil'!$B$11:$CD$54,MATCH('Production - Total'!AA$9,'Production - Oil'!$B$9:$CD$9),FALSE))+IF(ISERROR(MATCH($B39,'Production - Gas'!$B$11:$B$54,0)),0,VLOOKUP($B39,'Production - Gas'!$B$11:$CD$54,MATCH('Production - Total'!AA$9,'Production - Gas'!$B$9:$CD$9),FALSE)/5.8)</f>
        <v>14.310344827586208</v>
      </c>
      <c r="AB39" s="11"/>
      <c r="AC39" s="11"/>
      <c r="AD39" s="11"/>
      <c r="AE39" s="11"/>
      <c r="AF39" s="11">
        <f>IF(ISERROR(MATCH($B39,'Production - Oil'!$B$11:$B$54,0)),0,VLOOKUP($B39,'Production - Oil'!$B$11:$CD$54,MATCH('Production - Total'!AF$9,'Production - Oil'!$B$9:$CD$9),FALSE))+IF(ISERROR(MATCH($B39,'Production - Gas'!$B$11:$B$54,0)),0,VLOOKUP($B39,'Production - Gas'!$B$11:$CD$54,MATCH('Production - Total'!AF$9,'Production - Gas'!$B$9:$CD$9),FALSE)/5.8)</f>
        <v>16.379310344827587</v>
      </c>
      <c r="AG39" s="82"/>
      <c r="AH39" s="82"/>
      <c r="AI39" s="82"/>
      <c r="AJ39" s="82"/>
      <c r="AK39" s="11">
        <f>IF(ISERROR(MATCH($B39,'Production - Oil'!$B$11:$B$54,0)),0,VLOOKUP($B39,'Production - Oil'!$B$11:$CD$54,MATCH('Production - Total'!AK$9,'Production - Oil'!$B$9:$CD$9),FALSE))+IF(ISERROR(MATCH($B39,'Production - Gas'!$B$11:$B$54,0)),0,VLOOKUP($B39,'Production - Gas'!$B$11:$CD$54,MATCH('Production - Total'!AK$9,'Production - Gas'!$B$9:$CD$9),FALSE)/5.8)</f>
        <v>12.068965517241379</v>
      </c>
      <c r="AL39" s="82"/>
      <c r="AM39" s="82"/>
      <c r="AN39" s="82"/>
      <c r="AO39" s="82"/>
      <c r="AP39" s="11">
        <f>IF(ISERROR(MATCH($B39,'Production - Oil'!$B$11:$B$54,0)),0,VLOOKUP($B39,'Production - Oil'!$B$11:$CD$54,MATCH('Production - Total'!AP$9,'Production - Oil'!$B$9:$CD$9),FALSE))+IF(ISERROR(MATCH($B39,'Production - Gas'!$B$11:$B$54,0)),0,VLOOKUP($B39,'Production - Gas'!$B$11:$CD$54,MATCH('Production - Total'!AP$9,'Production - Gas'!$B$9:$CD$9),FALSE)/5.8)</f>
        <v>9.3103448275862064</v>
      </c>
      <c r="AQ39" s="82"/>
      <c r="AR39" s="82"/>
      <c r="AS39" s="82"/>
      <c r="AT39" s="82"/>
      <c r="AU39" s="11">
        <f>IF(ISERROR(MATCH($B39,'Production - Oil'!$B$11:$B$54,0)),0,VLOOKUP($B39,'Production - Oil'!$B$11:$CD$54,MATCH('Production - Total'!AU$9,'Production - Oil'!$B$9:$CD$9),FALSE))+IF(ISERROR(MATCH($B39,'Production - Gas'!$B$11:$B$54,0)),0,VLOOKUP($B39,'Production - Gas'!$B$11:$CD$54,MATCH('Production - Total'!AU$9,'Production - Gas'!$B$9:$CD$9),FALSE)/5.8)</f>
        <v>5.862068965517242</v>
      </c>
      <c r="AV39" s="82"/>
      <c r="AW39" s="82"/>
      <c r="AX39" s="82"/>
      <c r="AY39" s="82"/>
      <c r="AZ39" s="11">
        <f>IF(ISERROR(MATCH($B39,'Production - Oil'!$B$11:$B$54,0)),0,VLOOKUP($B39,'Production - Oil'!$B$11:$CD$54,MATCH('Production - Total'!AZ$9,'Production - Oil'!$B$9:$CD$9),FALSE))+IF(ISERROR(MATCH($B39,'Production - Gas'!$B$11:$B$54,0)),0,VLOOKUP($B39,'Production - Gas'!$B$11:$CD$54,MATCH('Production - Total'!AZ$9,'Production - Gas'!$B$9:$CD$9),FALSE)/5.8)</f>
        <v>0</v>
      </c>
      <c r="BA39" s="82"/>
      <c r="BB39" s="82"/>
      <c r="BC39" s="82"/>
      <c r="BD39" s="82"/>
      <c r="BE39" s="11">
        <f>IF(ISERROR(MATCH($B39,'Production - Oil'!$B$11:$B$54,0)),0,VLOOKUP($B39,'Production - Oil'!$B$11:$CD$54,MATCH('Production - Total'!BE$9,'Production - Oil'!$B$9:$CD$9),FALSE))+IF(ISERROR(MATCH($B39,'Production - Gas'!$B$11:$B$54,0)),0,VLOOKUP($B39,'Production - Gas'!$B$11:$CD$54,MATCH('Production - Total'!BE$9,'Production - Gas'!$B$9:$CD$9),FALSE)/5.8)</f>
        <v>0</v>
      </c>
      <c r="BF39" s="82"/>
      <c r="BG39" s="82"/>
      <c r="BH39" s="82"/>
      <c r="BI39" s="82"/>
      <c r="BJ39" s="11">
        <f>IF(ISERROR(MATCH($B39,'Production - Oil'!$B$11:$B$54,0)),0,VLOOKUP($B39,'Production - Oil'!$B$11:$CD$54,MATCH('Production - Total'!BJ$9,'Production - Oil'!$B$9:$CD$9),FALSE))+IF(ISERROR(MATCH($B39,'Production - Gas'!$B$11:$B$54,0)),0,VLOOKUP($B39,'Production - Gas'!$B$11:$CD$54,MATCH('Production - Total'!BJ$9,'Production - Gas'!$B$9:$CD$9),FALSE)/5.8)</f>
        <v>0</v>
      </c>
      <c r="BK39" s="82"/>
      <c r="BL39" s="82"/>
      <c r="BM39" s="82"/>
      <c r="BN39" s="82"/>
      <c r="BO39" s="11">
        <f>'Production - Oil'!BO39+'Production - Gas'!BO39/5.8</f>
        <v>0</v>
      </c>
      <c r="BP39" s="82"/>
      <c r="BQ39" s="82"/>
      <c r="BR39" s="82"/>
      <c r="BS39" s="82"/>
      <c r="BT39" s="51"/>
      <c r="BU39" s="82"/>
      <c r="BV39" s="82"/>
      <c r="BW39" s="82"/>
      <c r="BX39" s="82"/>
      <c r="BY39" s="51"/>
      <c r="BZ39" s="82"/>
      <c r="CA39" s="82"/>
      <c r="CB39" s="82"/>
      <c r="CC39" s="82"/>
      <c r="CD39" s="51"/>
    </row>
    <row r="40" spans="1:82">
      <c r="A40" s="11"/>
      <c r="B40" s="11" t="s">
        <v>138</v>
      </c>
      <c r="C40" s="11">
        <f>IF(ISERROR(MATCH($B40,'Production - Oil'!$B$11:$B$54,0)),0,VLOOKUP($B40,'Production - Oil'!$B$11:$CD$54,MATCH('Production - Total'!C$9,'Production - Oil'!$B$9:$CD$9),FALSE))+IF(ISERROR(MATCH($B40,'Production - Gas'!$B$11:$B$54,0)),0,VLOOKUP($B40,'Production - Gas'!$B$11:$CD$54,MATCH('Production - Total'!C$9,'Production - Gas'!$B$9:$CD$9),FALSE)/5.8)</f>
        <v>0</v>
      </c>
      <c r="D40" s="11">
        <f>IF(ISERROR(MATCH($B40,'Production - Oil'!$B$11:$B$54,0)),0,VLOOKUP($B40,'Production - Oil'!$B$11:$CD$54,MATCH('Production - Total'!D$9,'Production - Oil'!$B$9:$CD$9),FALSE))+IF(ISERROR(MATCH($B40,'Production - Gas'!$B$11:$B$54,0)),0,VLOOKUP($B40,'Production - Gas'!$B$11:$CD$54,MATCH('Production - Total'!D$9,'Production - Gas'!$B$9:$CD$9),FALSE)/5.8)</f>
        <v>0</v>
      </c>
      <c r="E40" s="11">
        <f>IF(ISERROR(MATCH($B40,'Production - Oil'!$B$11:$B$54,0)),0,VLOOKUP($B40,'Production - Oil'!$B$11:$CD$54,MATCH('Production - Total'!E$9,'Production - Oil'!$B$9:$CD$9),FALSE))+IF(ISERROR(MATCH($B40,'Production - Gas'!$B$11:$B$54,0)),0,VLOOKUP($B40,'Production - Gas'!$B$11:$CD$54,MATCH('Production - Total'!E$9,'Production - Gas'!$B$9:$CD$9),FALSE)/5.8)</f>
        <v>0</v>
      </c>
      <c r="F40" s="11">
        <f>IF(ISERROR(MATCH($B40,'Production - Oil'!$B$11:$B$54,0)),0,VLOOKUP($B40,'Production - Oil'!$B$11:$CD$54,MATCH('Production - Total'!F$9,'Production - Oil'!$B$9:$CD$9),FALSE))+IF(ISERROR(MATCH($B40,'Production - Gas'!$B$11:$B$54,0)),0,VLOOKUP($B40,'Production - Gas'!$B$11:$CD$54,MATCH('Production - Total'!F$9,'Production - Gas'!$B$9:$CD$9),FALSE)/5.8)</f>
        <v>0</v>
      </c>
      <c r="G40" s="11">
        <f>IF(ISERROR(MATCH($B40,'Production - Oil'!$B$11:$B$54,0)),0,VLOOKUP($B40,'Production - Oil'!$B$11:$CD$54,MATCH('Production - Total'!G$9,'Production - Oil'!$B$9:$CD$9),FALSE))+IF(ISERROR(MATCH($B40,'Production - Gas'!$B$11:$B$54,0)),0,VLOOKUP($B40,'Production - Gas'!$B$11:$CD$54,MATCH('Production - Total'!G$9,'Production - Gas'!$B$9:$CD$9),FALSE)/5.8)</f>
        <v>0</v>
      </c>
      <c r="H40" s="11"/>
      <c r="I40" s="11"/>
      <c r="J40" s="11"/>
      <c r="K40" s="11"/>
      <c r="L40" s="11">
        <f>IF(ISERROR(MATCH($B40,'Production - Oil'!$B$11:$B$54,0)),0,VLOOKUP($B40,'Production - Oil'!$B$11:$CD$54,MATCH('Production - Total'!L$9,'Production - Oil'!$B$9:$CD$9),FALSE))+IF(ISERROR(MATCH($B40,'Production - Gas'!$B$11:$B$54,0)),0,VLOOKUP($B40,'Production - Gas'!$B$11:$CD$54,MATCH('Production - Total'!L$9,'Production - Gas'!$B$9:$CD$9),FALSE)/5.8)</f>
        <v>0</v>
      </c>
      <c r="M40" s="11"/>
      <c r="N40" s="11"/>
      <c r="O40" s="11"/>
      <c r="P40" s="11"/>
      <c r="Q40" s="11">
        <f>IF(ISERROR(MATCH($B40,'Production - Oil'!$B$11:$B$54,0)),0,VLOOKUP($B40,'Production - Oil'!$B$11:$CD$54,MATCH('Production - Total'!Q$9,'Production - Oil'!$B$9:$CD$9),FALSE))+IF(ISERROR(MATCH($B40,'Production - Gas'!$B$11:$B$54,0)),0,VLOOKUP($B40,'Production - Gas'!$B$11:$CD$54,MATCH('Production - Total'!Q$9,'Production - Gas'!$B$9:$CD$9),FALSE)/5.8)</f>
        <v>0</v>
      </c>
      <c r="R40" s="11"/>
      <c r="S40" s="11"/>
      <c r="T40" s="11"/>
      <c r="U40" s="11"/>
      <c r="V40" s="11">
        <f>IF(ISERROR(MATCH($B40,'Production - Oil'!$B$11:$B$54,0)),0,VLOOKUP($B40,'Production - Oil'!$B$11:$CD$54,MATCH('Production - Total'!V$9,'Production - Oil'!$B$9:$CD$9),FALSE))+IF(ISERROR(MATCH($B40,'Production - Gas'!$B$11:$B$54,0)),0,VLOOKUP($B40,'Production - Gas'!$B$11:$CD$54,MATCH('Production - Total'!V$9,'Production - Gas'!$B$9:$CD$9),FALSE)/5.8)</f>
        <v>0</v>
      </c>
      <c r="W40" s="11"/>
      <c r="X40" s="11"/>
      <c r="Y40" s="11"/>
      <c r="Z40" s="11"/>
      <c r="AA40" s="11">
        <f>IF(ISERROR(MATCH($B40,'Production - Oil'!$B$11:$B$54,0)),0,VLOOKUP($B40,'Production - Oil'!$B$11:$CD$54,MATCH('Production - Total'!AA$9,'Production - Oil'!$B$9:$CD$9),FALSE))+IF(ISERROR(MATCH($B40,'Production - Gas'!$B$11:$B$54,0)),0,VLOOKUP($B40,'Production - Gas'!$B$11:$CD$54,MATCH('Production - Total'!AA$9,'Production - Gas'!$B$9:$CD$9),FALSE)/5.8)</f>
        <v>0</v>
      </c>
      <c r="AB40" s="11"/>
      <c r="AC40" s="11"/>
      <c r="AD40" s="11"/>
      <c r="AE40" s="11"/>
      <c r="AF40" s="11">
        <f>IF(ISERROR(MATCH($B40,'Production - Oil'!$B$11:$B$54,0)),0,VLOOKUP($B40,'Production - Oil'!$B$11:$CD$54,MATCH('Production - Total'!AF$9,'Production - Oil'!$B$9:$CD$9),FALSE))+IF(ISERROR(MATCH($B40,'Production - Gas'!$B$11:$B$54,0)),0,VLOOKUP($B40,'Production - Gas'!$B$11:$CD$54,MATCH('Production - Total'!AF$9,'Production - Gas'!$B$9:$CD$9),FALSE)/5.8)</f>
        <v>0</v>
      </c>
      <c r="AG40" s="82"/>
      <c r="AH40" s="82"/>
      <c r="AI40" s="82"/>
      <c r="AJ40" s="82"/>
      <c r="AK40" s="11">
        <f>IF(ISERROR(MATCH($B40,'Production - Oil'!$B$11:$B$54,0)),0,VLOOKUP($B40,'Production - Oil'!$B$11:$CD$54,MATCH('Production - Total'!AK$9,'Production - Oil'!$B$9:$CD$9),FALSE))+IF(ISERROR(MATCH($B40,'Production - Gas'!$B$11:$B$54,0)),0,VLOOKUP($B40,'Production - Gas'!$B$11:$CD$54,MATCH('Production - Total'!AK$9,'Production - Gas'!$B$9:$CD$9),FALSE)/5.8)</f>
        <v>31</v>
      </c>
      <c r="AL40" s="82"/>
      <c r="AM40" s="82"/>
      <c r="AN40" s="82"/>
      <c r="AO40" s="82"/>
      <c r="AP40" s="11">
        <f>IF(ISERROR(MATCH($B40,'Production - Oil'!$B$11:$B$54,0)),0,VLOOKUP($B40,'Production - Oil'!$B$11:$CD$54,MATCH('Production - Total'!AP$9,'Production - Oil'!$B$9:$CD$9),FALSE))+IF(ISERROR(MATCH($B40,'Production - Gas'!$B$11:$B$54,0)),0,VLOOKUP($B40,'Production - Gas'!$B$11:$CD$54,MATCH('Production - Total'!AP$9,'Production - Gas'!$B$9:$CD$9),FALSE)/5.8)</f>
        <v>39</v>
      </c>
      <c r="AQ40" s="82"/>
      <c r="AR40" s="82"/>
      <c r="AS40" s="82"/>
      <c r="AT40" s="82"/>
      <c r="AU40" s="11">
        <f>IF(ISERROR(MATCH($B40,'Production - Oil'!$B$11:$B$54,0)),0,VLOOKUP($B40,'Production - Oil'!$B$11:$CD$54,MATCH('Production - Total'!AU$9,'Production - Oil'!$B$9:$CD$9),FALSE))+IF(ISERROR(MATCH($B40,'Production - Gas'!$B$11:$B$54,0)),0,VLOOKUP($B40,'Production - Gas'!$B$11:$CD$54,MATCH('Production - Total'!AU$9,'Production - Gas'!$B$9:$CD$9),FALSE)/5.8)</f>
        <v>39</v>
      </c>
      <c r="AV40" s="82"/>
      <c r="AW40" s="82"/>
      <c r="AX40" s="82"/>
      <c r="AY40" s="82"/>
      <c r="AZ40" s="11">
        <f>IF(ISERROR(MATCH($B40,'Production - Oil'!$B$11:$B$54,0)),0,VLOOKUP($B40,'Production - Oil'!$B$11:$CD$54,MATCH('Production - Total'!AZ$9,'Production - Oil'!$B$9:$CD$9),FALSE))+IF(ISERROR(MATCH($B40,'Production - Gas'!$B$11:$B$54,0)),0,VLOOKUP($B40,'Production - Gas'!$B$11:$CD$54,MATCH('Production - Total'!AZ$9,'Production - Gas'!$B$9:$CD$9),FALSE)/5.8)</f>
        <v>46</v>
      </c>
      <c r="BA40" s="82"/>
      <c r="BB40" s="82"/>
      <c r="BC40" s="82"/>
      <c r="BD40" s="82"/>
      <c r="BE40" s="11">
        <f>IF(ISERROR(MATCH($B40,'Production - Oil'!$B$11:$B$54,0)),0,VLOOKUP($B40,'Production - Oil'!$B$11:$CD$54,MATCH('Production - Total'!BE$9,'Production - Oil'!$B$9:$CD$9),FALSE))+IF(ISERROR(MATCH($B40,'Production - Gas'!$B$11:$B$54,0)),0,VLOOKUP($B40,'Production - Gas'!$B$11:$CD$54,MATCH('Production - Total'!BE$9,'Production - Gas'!$B$9:$CD$9),FALSE)/5.8)</f>
        <v>85</v>
      </c>
      <c r="BF40" s="82"/>
      <c r="BG40" s="82"/>
      <c r="BH40" s="82"/>
      <c r="BI40" s="82"/>
      <c r="BJ40" s="11">
        <f>IF(ISERROR(MATCH($B40,'Production - Oil'!$B$11:$B$54,0)),0,VLOOKUP($B40,'Production - Oil'!$B$11:$CD$54,MATCH('Production - Total'!BJ$9,'Production - Oil'!$B$9:$CD$9),FALSE))+IF(ISERROR(MATCH($B40,'Production - Gas'!$B$11:$B$54,0)),0,VLOOKUP($B40,'Production - Gas'!$B$11:$CD$54,MATCH('Production - Total'!BJ$9,'Production - Gas'!$B$9:$CD$9),FALSE)/5.8)</f>
        <v>96</v>
      </c>
      <c r="BK40" s="82"/>
      <c r="BL40" s="82"/>
      <c r="BM40" s="82"/>
      <c r="BN40" s="82"/>
      <c r="BO40" s="11">
        <f>'Production - Oil'!BO40+'Production - Gas'!BO40/5.8</f>
        <v>73</v>
      </c>
      <c r="BP40" s="82"/>
      <c r="BQ40" s="82"/>
      <c r="BR40" s="82"/>
      <c r="BS40" s="82"/>
      <c r="BT40" s="51"/>
      <c r="BU40" s="82"/>
      <c r="BV40" s="82"/>
      <c r="BW40" s="82"/>
      <c r="BX40" s="82"/>
      <c r="BY40" s="51"/>
      <c r="BZ40" s="82"/>
      <c r="CA40" s="82"/>
      <c r="CB40" s="82"/>
      <c r="CC40" s="82"/>
      <c r="CD40" s="51"/>
    </row>
    <row r="41" spans="1:82">
      <c r="A41" s="11"/>
      <c r="B41" s="11" t="s">
        <v>816</v>
      </c>
      <c r="C41" s="11">
        <f>IF(ISERROR(MATCH($B41,'Production - Oil'!$B$11:$B$54,0)),0,VLOOKUP($B41,'Production - Oil'!$B$11:$CD$54,MATCH('Production - Total'!C$9,'Production - Oil'!$B$9:$CD$9),FALSE))+IF(ISERROR(MATCH($B41,'Production - Gas'!$B$11:$B$54,0)),0,VLOOKUP($B41,'Production - Gas'!$B$11:$CD$54,MATCH('Production - Total'!C$9,'Production - Gas'!$B$9:$CD$9),FALSE)/5.8)</f>
        <v>0</v>
      </c>
      <c r="D41" s="11">
        <f>IF(ISERROR(MATCH($B41,'Production - Oil'!$B$11:$B$54,0)),0,VLOOKUP($B41,'Production - Oil'!$B$11:$CD$54,MATCH('Production - Total'!D$9,'Production - Oil'!$B$9:$CD$9),FALSE))+IF(ISERROR(MATCH($B41,'Production - Gas'!$B$11:$B$54,0)),0,VLOOKUP($B41,'Production - Gas'!$B$11:$CD$54,MATCH('Production - Total'!D$9,'Production - Gas'!$B$9:$CD$9),FALSE)/5.8)</f>
        <v>0</v>
      </c>
      <c r="E41" s="11">
        <f>IF(ISERROR(MATCH($B41,'Production - Oil'!$B$11:$B$54,0)),0,VLOOKUP($B41,'Production - Oil'!$B$11:$CD$54,MATCH('Production - Total'!E$9,'Production - Oil'!$B$9:$CD$9),FALSE))+IF(ISERROR(MATCH($B41,'Production - Gas'!$B$11:$B$54,0)),0,VLOOKUP($B41,'Production - Gas'!$B$11:$CD$54,MATCH('Production - Total'!E$9,'Production - Gas'!$B$9:$CD$9),FALSE)/5.8)</f>
        <v>0</v>
      </c>
      <c r="F41" s="11">
        <f>IF(ISERROR(MATCH($B41,'Production - Oil'!$B$11:$B$54,0)),0,VLOOKUP($B41,'Production - Oil'!$B$11:$CD$54,MATCH('Production - Total'!F$9,'Production - Oil'!$B$9:$CD$9),FALSE))+IF(ISERROR(MATCH($B41,'Production - Gas'!$B$11:$B$54,0)),0,VLOOKUP($B41,'Production - Gas'!$B$11:$CD$54,MATCH('Production - Total'!F$9,'Production - Gas'!$B$9:$CD$9),FALSE)/5.8)</f>
        <v>0</v>
      </c>
      <c r="G41" s="11">
        <f>IF(ISERROR(MATCH($B41,'Production - Oil'!$B$11:$B$54,0)),0,VLOOKUP($B41,'Production - Oil'!$B$11:$CD$54,MATCH('Production - Total'!G$9,'Production - Oil'!$B$9:$CD$9),FALSE))+IF(ISERROR(MATCH($B41,'Production - Gas'!$B$11:$B$54,0)),0,VLOOKUP($B41,'Production - Gas'!$B$11:$CD$54,MATCH('Production - Total'!G$9,'Production - Gas'!$B$9:$CD$9),FALSE)/5.8)</f>
        <v>0</v>
      </c>
      <c r="H41" s="11"/>
      <c r="I41" s="11"/>
      <c r="J41" s="11"/>
      <c r="K41" s="11"/>
      <c r="L41" s="11">
        <f>IF(ISERROR(MATCH($B41,'Production - Oil'!$B$11:$B$54,0)),0,VLOOKUP($B41,'Production - Oil'!$B$11:$CD$54,MATCH('Production - Total'!L$9,'Production - Oil'!$B$9:$CD$9),FALSE))+IF(ISERROR(MATCH($B41,'Production - Gas'!$B$11:$B$54,0)),0,VLOOKUP($B41,'Production - Gas'!$B$11:$CD$54,MATCH('Production - Total'!L$9,'Production - Gas'!$B$9:$CD$9),FALSE)/5.8)</f>
        <v>0</v>
      </c>
      <c r="M41" s="11"/>
      <c r="N41" s="11"/>
      <c r="O41" s="11"/>
      <c r="P41" s="11"/>
      <c r="Q41" s="11">
        <f>IF(ISERROR(MATCH($B41,'Production - Oil'!$B$11:$B$54,0)),0,VLOOKUP($B41,'Production - Oil'!$B$11:$CD$54,MATCH('Production - Total'!Q$9,'Production - Oil'!$B$9:$CD$9),FALSE))+IF(ISERROR(MATCH($B41,'Production - Gas'!$B$11:$B$54,0)),0,VLOOKUP($B41,'Production - Gas'!$B$11:$CD$54,MATCH('Production - Total'!Q$9,'Production - Gas'!$B$9:$CD$9),FALSE)/5.8)</f>
        <v>0</v>
      </c>
      <c r="R41" s="11"/>
      <c r="S41" s="11"/>
      <c r="T41" s="11"/>
      <c r="U41" s="11"/>
      <c r="V41" s="11">
        <f>IF(ISERROR(MATCH($B41,'Production - Oil'!$B$11:$B$54,0)),0,VLOOKUP($B41,'Production - Oil'!$B$11:$CD$54,MATCH('Production - Total'!V$9,'Production - Oil'!$B$9:$CD$9),FALSE))+IF(ISERROR(MATCH($B41,'Production - Gas'!$B$11:$B$54,0)),0,VLOOKUP($B41,'Production - Gas'!$B$11:$CD$54,MATCH('Production - Total'!V$9,'Production - Gas'!$B$9:$CD$9),FALSE)/5.8)</f>
        <v>0</v>
      </c>
      <c r="W41" s="11"/>
      <c r="X41" s="11"/>
      <c r="Y41" s="11"/>
      <c r="Z41" s="11"/>
      <c r="AA41" s="11">
        <f>IF(ISERROR(MATCH($B41,'Production - Oil'!$B$11:$B$54,0)),0,VLOOKUP($B41,'Production - Oil'!$B$11:$CD$54,MATCH('Production - Total'!AA$9,'Production - Oil'!$B$9:$CD$9),FALSE))+IF(ISERROR(MATCH($B41,'Production - Gas'!$B$11:$B$54,0)),0,VLOOKUP($B41,'Production - Gas'!$B$11:$CD$54,MATCH('Production - Total'!AA$9,'Production - Gas'!$B$9:$CD$9),FALSE)/5.8)</f>
        <v>0</v>
      </c>
      <c r="AB41" s="11"/>
      <c r="AC41" s="11"/>
      <c r="AD41" s="11"/>
      <c r="AE41" s="11"/>
      <c r="AF41" s="11">
        <f>IF(ISERROR(MATCH($B41,'Production - Oil'!$B$11:$B$54,0)),0,VLOOKUP($B41,'Production - Oil'!$B$11:$CD$54,MATCH('Production - Total'!AF$9,'Production - Oil'!$B$9:$CD$9),FALSE))+IF(ISERROR(MATCH($B41,'Production - Gas'!$B$11:$B$54,0)),0,VLOOKUP($B41,'Production - Gas'!$B$11:$CD$54,MATCH('Production - Total'!AF$9,'Production - Gas'!$B$9:$CD$9),FALSE)/5.8)</f>
        <v>0</v>
      </c>
      <c r="AG41" s="82"/>
      <c r="AH41" s="82"/>
      <c r="AI41" s="82"/>
      <c r="AJ41" s="82"/>
      <c r="AK41" s="11">
        <f>IF(ISERROR(MATCH($B41,'Production - Oil'!$B$11:$B$54,0)),0,VLOOKUP($B41,'Production - Oil'!$B$11:$CD$54,MATCH('Production - Total'!AK$9,'Production - Oil'!$B$9:$CD$9),FALSE))+IF(ISERROR(MATCH($B41,'Production - Gas'!$B$11:$B$54,0)),0,VLOOKUP($B41,'Production - Gas'!$B$11:$CD$54,MATCH('Production - Total'!AK$9,'Production - Gas'!$B$9:$CD$9),FALSE)/5.8)</f>
        <v>0</v>
      </c>
      <c r="AL41" s="82"/>
      <c r="AM41" s="82"/>
      <c r="AN41" s="82"/>
      <c r="AO41" s="82"/>
      <c r="AP41" s="11">
        <f>IF(ISERROR(MATCH($B41,'Production - Oil'!$B$11:$B$54,0)),0,VLOOKUP($B41,'Production - Oil'!$B$11:$CD$54,MATCH('Production - Total'!AP$9,'Production - Oil'!$B$9:$CD$9),FALSE))+IF(ISERROR(MATCH($B41,'Production - Gas'!$B$11:$B$54,0)),0,VLOOKUP($B41,'Production - Gas'!$B$11:$CD$54,MATCH('Production - Total'!AP$9,'Production - Gas'!$B$9:$CD$9),FALSE)/5.8)</f>
        <v>0</v>
      </c>
      <c r="AQ41" s="82"/>
      <c r="AR41" s="82"/>
      <c r="AS41" s="82"/>
      <c r="AT41" s="82"/>
      <c r="AU41" s="11">
        <f>IF(ISERROR(MATCH($B41,'Production - Oil'!$B$11:$B$54,0)),0,VLOOKUP($B41,'Production - Oil'!$B$11:$CD$54,MATCH('Production - Total'!AU$9,'Production - Oil'!$B$9:$CD$9),FALSE))+IF(ISERROR(MATCH($B41,'Production - Gas'!$B$11:$B$54,0)),0,VLOOKUP($B41,'Production - Gas'!$B$11:$CD$54,MATCH('Production - Total'!AU$9,'Production - Gas'!$B$9:$CD$9),FALSE)/5.8)</f>
        <v>0</v>
      </c>
      <c r="AV41" s="82"/>
      <c r="AW41" s="82"/>
      <c r="AX41" s="82"/>
      <c r="AY41" s="82"/>
      <c r="AZ41" s="11">
        <f>IF(ISERROR(MATCH($B41,'Production - Oil'!$B$11:$B$54,0)),0,VLOOKUP($B41,'Production - Oil'!$B$11:$CD$54,MATCH('Production - Total'!AZ$9,'Production - Oil'!$B$9:$CD$9),FALSE))+IF(ISERROR(MATCH($B41,'Production - Gas'!$B$11:$B$54,0)),0,VLOOKUP($B41,'Production - Gas'!$B$11:$CD$54,MATCH('Production - Total'!AZ$9,'Production - Gas'!$B$9:$CD$9),FALSE)/5.8)</f>
        <v>0</v>
      </c>
      <c r="BA41" s="82"/>
      <c r="BB41" s="82"/>
      <c r="BC41" s="82"/>
      <c r="BD41" s="82"/>
      <c r="BE41" s="11">
        <f>IF(ISERROR(MATCH($B41,'Production - Oil'!$B$11:$B$54,0)),0,VLOOKUP($B41,'Production - Oil'!$B$11:$CD$54,MATCH('Production - Total'!BE$9,'Production - Oil'!$B$9:$CD$9),FALSE))+IF(ISERROR(MATCH($B41,'Production - Gas'!$B$11:$B$54,0)),0,VLOOKUP($B41,'Production - Gas'!$B$11:$CD$54,MATCH('Production - Total'!BE$9,'Production - Gas'!$B$9:$CD$9),FALSE)/5.8)</f>
        <v>0</v>
      </c>
      <c r="BF41" s="82"/>
      <c r="BG41" s="82"/>
      <c r="BH41" s="82"/>
      <c r="BI41" s="82"/>
      <c r="BJ41" s="11">
        <f>IF(ISERROR(MATCH($B41,'Production - Oil'!$B$11:$B$54,0)),0,VLOOKUP($B41,'Production - Oil'!$B$11:$CD$54,MATCH('Production - Total'!BJ$9,'Production - Oil'!$B$9:$CD$9),FALSE))+IF(ISERROR(MATCH($B41,'Production - Gas'!$B$11:$B$54,0)),0,VLOOKUP($B41,'Production - Gas'!$B$11:$CD$54,MATCH('Production - Total'!BJ$9,'Production - Gas'!$B$9:$CD$9),FALSE)/5.8)</f>
        <v>0</v>
      </c>
      <c r="BK41" s="82"/>
      <c r="BL41" s="82"/>
      <c r="BM41" s="82"/>
      <c r="BN41" s="82"/>
      <c r="BO41" s="11">
        <f>'Production - Oil'!BO41+'Production - Gas'!BO41/5.8</f>
        <v>0</v>
      </c>
      <c r="BP41" s="82"/>
      <c r="BQ41" s="82"/>
      <c r="BR41" s="82"/>
      <c r="BS41" s="82"/>
      <c r="BT41" s="51"/>
      <c r="BU41" s="82"/>
      <c r="BV41" s="82"/>
      <c r="BW41" s="82"/>
      <c r="BX41" s="82"/>
      <c r="BY41" s="51"/>
      <c r="BZ41" s="82"/>
      <c r="CA41" s="82"/>
      <c r="CB41" s="82"/>
      <c r="CC41" s="82"/>
      <c r="CD41" s="51"/>
    </row>
    <row r="42" spans="1:82">
      <c r="A42" s="11"/>
      <c r="B42" s="11" t="s">
        <v>1962</v>
      </c>
      <c r="C42" s="11">
        <f>IF(ISERROR(MATCH($B42,'Production - Oil'!$B$11:$B$54,0)),0,VLOOKUP($B42,'Production - Oil'!$B$11:$CD$54,MATCH('Production - Total'!C$9,'Production - Oil'!$B$9:$CD$9),FALSE))+IF(ISERROR(MATCH($B42,'Production - Gas'!$B$11:$B$54,0)),0,VLOOKUP($B42,'Production - Gas'!$B$11:$CD$54,MATCH('Production - Total'!C$9,'Production - Gas'!$B$9:$CD$9),FALSE)/5.8)</f>
        <v>0</v>
      </c>
      <c r="D42" s="11">
        <f>IF(ISERROR(MATCH($B42,'Production - Oil'!$B$11:$B$54,0)),0,VLOOKUP($B42,'Production - Oil'!$B$11:$CD$54,MATCH('Production - Total'!D$9,'Production - Oil'!$B$9:$CD$9),FALSE))+IF(ISERROR(MATCH($B42,'Production - Gas'!$B$11:$B$54,0)),0,VLOOKUP($B42,'Production - Gas'!$B$11:$CD$54,MATCH('Production - Total'!D$9,'Production - Gas'!$B$9:$CD$9),FALSE)/5.8)</f>
        <v>0</v>
      </c>
      <c r="E42" s="11">
        <f>IF(ISERROR(MATCH($B42,'Production - Oil'!$B$11:$B$54,0)),0,VLOOKUP($B42,'Production - Oil'!$B$11:$CD$54,MATCH('Production - Total'!E$9,'Production - Oil'!$B$9:$CD$9),FALSE))+IF(ISERROR(MATCH($B42,'Production - Gas'!$B$11:$B$54,0)),0,VLOOKUP($B42,'Production - Gas'!$B$11:$CD$54,MATCH('Production - Total'!E$9,'Production - Gas'!$B$9:$CD$9),FALSE)/5.8)</f>
        <v>0</v>
      </c>
      <c r="F42" s="11">
        <f>IF(ISERROR(MATCH($B42,'Production - Oil'!$B$11:$B$54,0)),0,VLOOKUP($B42,'Production - Oil'!$B$11:$CD$54,MATCH('Production - Total'!F$9,'Production - Oil'!$B$9:$CD$9),FALSE))+IF(ISERROR(MATCH($B42,'Production - Gas'!$B$11:$B$54,0)),0,VLOOKUP($B42,'Production - Gas'!$B$11:$CD$54,MATCH('Production - Total'!F$9,'Production - Gas'!$B$9:$CD$9),FALSE)/5.8)</f>
        <v>0</v>
      </c>
      <c r="G42" s="11">
        <f>IF(ISERROR(MATCH($B42,'Production - Oil'!$B$11:$B$54,0)),0,VLOOKUP($B42,'Production - Oil'!$B$11:$CD$54,MATCH('Production - Total'!G$9,'Production - Oil'!$B$9:$CD$9),FALSE))+IF(ISERROR(MATCH($B42,'Production - Gas'!$B$11:$B$54,0)),0,VLOOKUP($B42,'Production - Gas'!$B$11:$CD$54,MATCH('Production - Total'!G$9,'Production - Gas'!$B$9:$CD$9),FALSE)/5.8)</f>
        <v>0</v>
      </c>
      <c r="H42" s="11"/>
      <c r="I42" s="11"/>
      <c r="J42" s="11"/>
      <c r="K42" s="11"/>
      <c r="L42" s="11">
        <f>IF(ISERROR(MATCH($B42,'Production - Oil'!$B$11:$B$54,0)),0,VLOOKUP($B42,'Production - Oil'!$B$11:$CD$54,MATCH('Production - Total'!L$9,'Production - Oil'!$B$9:$CD$9),FALSE))+IF(ISERROR(MATCH($B42,'Production - Gas'!$B$11:$B$54,0)),0,VLOOKUP($B42,'Production - Gas'!$B$11:$CD$54,MATCH('Production - Total'!L$9,'Production - Gas'!$B$9:$CD$9),FALSE)/5.8)</f>
        <v>0</v>
      </c>
      <c r="M42" s="11"/>
      <c r="N42" s="11"/>
      <c r="O42" s="11"/>
      <c r="P42" s="11"/>
      <c r="Q42" s="11">
        <f>IF(ISERROR(MATCH($B42,'Production - Oil'!$B$11:$B$54,0)),0,VLOOKUP($B42,'Production - Oil'!$B$11:$CD$54,MATCH('Production - Total'!Q$9,'Production - Oil'!$B$9:$CD$9),FALSE))+IF(ISERROR(MATCH($B42,'Production - Gas'!$B$11:$B$54,0)),0,VLOOKUP($B42,'Production - Gas'!$B$11:$CD$54,MATCH('Production - Total'!Q$9,'Production - Gas'!$B$9:$CD$9),FALSE)/5.8)</f>
        <v>0</v>
      </c>
      <c r="R42" s="11"/>
      <c r="S42" s="11"/>
      <c r="T42" s="11"/>
      <c r="U42" s="11"/>
      <c r="V42" s="11">
        <f>IF(ISERROR(MATCH($B42,'Production - Oil'!$B$11:$B$54,0)),0,VLOOKUP($B42,'Production - Oil'!$B$11:$CD$54,MATCH('Production - Total'!V$9,'Production - Oil'!$B$9:$CD$9),FALSE))+IF(ISERROR(MATCH($B42,'Production - Gas'!$B$11:$B$54,0)),0,VLOOKUP($B42,'Production - Gas'!$B$11:$CD$54,MATCH('Production - Total'!V$9,'Production - Gas'!$B$9:$CD$9),FALSE)/5.8)</f>
        <v>0</v>
      </c>
      <c r="W42" s="11"/>
      <c r="X42" s="11"/>
      <c r="Y42" s="11"/>
      <c r="Z42" s="11"/>
      <c r="AA42" s="11">
        <f>IF(ISERROR(MATCH($B42,'Production - Oil'!$B$11:$B$54,0)),0,VLOOKUP($B42,'Production - Oil'!$B$11:$CD$54,MATCH('Production - Total'!AA$9,'Production - Oil'!$B$9:$CD$9),FALSE))+IF(ISERROR(MATCH($B42,'Production - Gas'!$B$11:$B$54,0)),0,VLOOKUP($B42,'Production - Gas'!$B$11:$CD$54,MATCH('Production - Total'!AA$9,'Production - Gas'!$B$9:$CD$9),FALSE)/5.8)</f>
        <v>0</v>
      </c>
      <c r="AB42" s="11"/>
      <c r="AC42" s="11"/>
      <c r="AD42" s="11"/>
      <c r="AE42" s="11"/>
      <c r="AF42" s="11">
        <f>IF(ISERROR(MATCH($B42,'Production - Oil'!$B$11:$B$54,0)),0,VLOOKUP($B42,'Production - Oil'!$B$11:$CD$54,MATCH('Production - Total'!AF$9,'Production - Oil'!$B$9:$CD$9),FALSE))+IF(ISERROR(MATCH($B42,'Production - Gas'!$B$11:$B$54,0)),0,VLOOKUP($B42,'Production - Gas'!$B$11:$CD$54,MATCH('Production - Total'!AF$9,'Production - Gas'!$B$9:$CD$9),FALSE)/5.8)</f>
        <v>0</v>
      </c>
      <c r="AG42" s="82"/>
      <c r="AH42" s="82"/>
      <c r="AI42" s="82"/>
      <c r="AJ42" s="82"/>
      <c r="AK42" s="11">
        <f>IF(ISERROR(MATCH($B42,'Production - Oil'!$B$11:$B$54,0)),0,VLOOKUP($B42,'Production - Oil'!$B$11:$CD$54,MATCH('Production - Total'!AK$9,'Production - Oil'!$B$9:$CD$9),FALSE))+IF(ISERROR(MATCH($B42,'Production - Gas'!$B$11:$B$54,0)),0,VLOOKUP($B42,'Production - Gas'!$B$11:$CD$54,MATCH('Production - Total'!AK$9,'Production - Gas'!$B$9:$CD$9),FALSE)/5.8)</f>
        <v>0</v>
      </c>
      <c r="AL42" s="82"/>
      <c r="AM42" s="82"/>
      <c r="AN42" s="82"/>
      <c r="AO42" s="82"/>
      <c r="AP42" s="11">
        <f>IF(ISERROR(MATCH($B42,'Production - Oil'!$B$11:$B$54,0)),0,VLOOKUP($B42,'Production - Oil'!$B$11:$CD$54,MATCH('Production - Total'!AP$9,'Production - Oil'!$B$9:$CD$9),FALSE))+IF(ISERROR(MATCH($B42,'Production - Gas'!$B$11:$B$54,0)),0,VLOOKUP($B42,'Production - Gas'!$B$11:$CD$54,MATCH('Production - Total'!AP$9,'Production - Gas'!$B$9:$CD$9),FALSE)/5.8)</f>
        <v>0</v>
      </c>
      <c r="AQ42" s="82"/>
      <c r="AR42" s="82"/>
      <c r="AS42" s="82"/>
      <c r="AT42" s="82"/>
      <c r="AU42" s="11">
        <f>IF(ISERROR(MATCH($B42,'Production - Oil'!$B$11:$B$54,0)),0,VLOOKUP($B42,'Production - Oil'!$B$11:$CD$54,MATCH('Production - Total'!AU$9,'Production - Oil'!$B$9:$CD$9),FALSE))+IF(ISERROR(MATCH($B42,'Production - Gas'!$B$11:$B$54,0)),0,VLOOKUP($B42,'Production - Gas'!$B$11:$CD$54,MATCH('Production - Total'!AU$9,'Production - Gas'!$B$9:$CD$9),FALSE)/5.8)</f>
        <v>0</v>
      </c>
      <c r="AV42" s="82"/>
      <c r="AW42" s="82"/>
      <c r="AX42" s="82"/>
      <c r="AY42" s="82"/>
      <c r="AZ42" s="11">
        <f>IF(ISERROR(MATCH($B42,'Production - Oil'!$B$11:$B$54,0)),0,VLOOKUP($B42,'Production - Oil'!$B$11:$CD$54,MATCH('Production - Total'!AZ$9,'Production - Oil'!$B$9:$CD$9),FALSE))+IF(ISERROR(MATCH($B42,'Production - Gas'!$B$11:$B$54,0)),0,VLOOKUP($B42,'Production - Gas'!$B$11:$CD$54,MATCH('Production - Total'!AZ$9,'Production - Gas'!$B$9:$CD$9),FALSE)/5.8)</f>
        <v>0</v>
      </c>
      <c r="BA42" s="82"/>
      <c r="BB42" s="82"/>
      <c r="BC42" s="82"/>
      <c r="BD42" s="82"/>
      <c r="BE42" s="11">
        <f>IF(ISERROR(MATCH($B42,'Production - Oil'!$B$11:$B$54,0)),0,VLOOKUP($B42,'Production - Oil'!$B$11:$CD$54,MATCH('Production - Total'!BE$9,'Production - Oil'!$B$9:$CD$9),FALSE))+IF(ISERROR(MATCH($B42,'Production - Gas'!$B$11:$B$54,0)),0,VLOOKUP($B42,'Production - Gas'!$B$11:$CD$54,MATCH('Production - Total'!BE$9,'Production - Gas'!$B$9:$CD$9),FALSE)/5.8)</f>
        <v>0</v>
      </c>
      <c r="BF42" s="82"/>
      <c r="BG42" s="82"/>
      <c r="BH42" s="82"/>
      <c r="BI42" s="82"/>
      <c r="BJ42" s="11">
        <f>IF(ISERROR(MATCH($B42,'Production - Oil'!$B$11:$B$54,0)),0,VLOOKUP($B42,'Production - Oil'!$B$11:$CD$54,MATCH('Production - Total'!BJ$9,'Production - Oil'!$B$9:$CD$9),FALSE))+IF(ISERROR(MATCH($B42,'Production - Gas'!$B$11:$B$54,0)),0,VLOOKUP($B42,'Production - Gas'!$B$11:$CD$54,MATCH('Production - Total'!BJ$9,'Production - Gas'!$B$9:$CD$9),FALSE)/5.8)</f>
        <v>0</v>
      </c>
      <c r="BK42" s="82"/>
      <c r="BL42" s="82"/>
      <c r="BM42" s="82"/>
      <c r="BN42" s="82"/>
      <c r="BO42" s="11">
        <f>'Production - Oil'!BO42+'Production - Gas'!BO42/5.8</f>
        <v>0</v>
      </c>
      <c r="BP42" s="82"/>
      <c r="BQ42" s="82"/>
      <c r="BR42" s="82"/>
      <c r="BS42" s="82"/>
      <c r="BT42" s="51"/>
      <c r="BU42" s="82"/>
      <c r="BV42" s="82"/>
      <c r="BW42" s="82"/>
      <c r="BX42" s="82"/>
      <c r="BY42" s="51"/>
      <c r="BZ42" s="82"/>
      <c r="CA42" s="82"/>
      <c r="CB42" s="82"/>
      <c r="CC42" s="82"/>
      <c r="CD42" s="51"/>
    </row>
    <row r="43" spans="1:82">
      <c r="A43" s="11"/>
      <c r="B43" s="11" t="s">
        <v>3277</v>
      </c>
      <c r="C43" s="11">
        <f>IF(ISERROR(MATCH($B43,'Production - Oil'!$B$11:$B$54,0)),0,VLOOKUP($B43,'Production - Oil'!$B$11:$CD$54,MATCH('Production - Total'!C$9,'Production - Oil'!$B$9:$CD$9),FALSE))+IF(ISERROR(MATCH($B43,'Production - Gas'!$B$11:$B$54,0)),0,VLOOKUP($B43,'Production - Gas'!$B$11:$CD$54,MATCH('Production - Total'!C$9,'Production - Gas'!$B$9:$CD$9),FALSE)/5.8)</f>
        <v>0</v>
      </c>
      <c r="D43" s="11">
        <f>IF(ISERROR(MATCH($B43,'Production - Oil'!$B$11:$B$54,0)),0,VLOOKUP($B43,'Production - Oil'!$B$11:$CD$54,MATCH('Production - Total'!D$9,'Production - Oil'!$B$9:$CD$9),FALSE))+IF(ISERROR(MATCH($B43,'Production - Gas'!$B$11:$B$54,0)),0,VLOOKUP($B43,'Production - Gas'!$B$11:$CD$54,MATCH('Production - Total'!D$9,'Production - Gas'!$B$9:$CD$9),FALSE)/5.8)</f>
        <v>0</v>
      </c>
      <c r="E43" s="11">
        <f>IF(ISERROR(MATCH($B43,'Production - Oil'!$B$11:$B$54,0)),0,VLOOKUP($B43,'Production - Oil'!$B$11:$CD$54,MATCH('Production - Total'!E$9,'Production - Oil'!$B$9:$CD$9),FALSE))+IF(ISERROR(MATCH($B43,'Production - Gas'!$B$11:$B$54,0)),0,VLOOKUP($B43,'Production - Gas'!$B$11:$CD$54,MATCH('Production - Total'!E$9,'Production - Gas'!$B$9:$CD$9),FALSE)/5.8)</f>
        <v>0</v>
      </c>
      <c r="F43" s="11">
        <f>IF(ISERROR(MATCH($B43,'Production - Oil'!$B$11:$B$54,0)),0,VLOOKUP($B43,'Production - Oil'!$B$11:$CD$54,MATCH('Production - Total'!F$9,'Production - Oil'!$B$9:$CD$9),FALSE))+IF(ISERROR(MATCH($B43,'Production - Gas'!$B$11:$B$54,0)),0,VLOOKUP($B43,'Production - Gas'!$B$11:$CD$54,MATCH('Production - Total'!F$9,'Production - Gas'!$B$9:$CD$9),FALSE)/5.8)</f>
        <v>0</v>
      </c>
      <c r="G43" s="11">
        <f>IF(ISERROR(MATCH($B43,'Production - Oil'!$B$11:$B$54,0)),0,VLOOKUP($B43,'Production - Oil'!$B$11:$CD$54,MATCH('Production - Total'!G$9,'Production - Oil'!$B$9:$CD$9),FALSE))+IF(ISERROR(MATCH($B43,'Production - Gas'!$B$11:$B$54,0)),0,VLOOKUP($B43,'Production - Gas'!$B$11:$CD$54,MATCH('Production - Total'!G$9,'Production - Gas'!$B$9:$CD$9),FALSE)/5.8)</f>
        <v>0</v>
      </c>
      <c r="H43" s="11"/>
      <c r="I43" s="11"/>
      <c r="J43" s="11"/>
      <c r="K43" s="11"/>
      <c r="L43" s="11">
        <f>IF(ISERROR(MATCH($B43,'Production - Oil'!$B$11:$B$54,0)),0,VLOOKUP($B43,'Production - Oil'!$B$11:$CD$54,MATCH('Production - Total'!L$9,'Production - Oil'!$B$9:$CD$9),FALSE))+IF(ISERROR(MATCH($B43,'Production - Gas'!$B$11:$B$54,0)),0,VLOOKUP($B43,'Production - Gas'!$B$11:$CD$54,MATCH('Production - Total'!L$9,'Production - Gas'!$B$9:$CD$9),FALSE)/5.8)</f>
        <v>0</v>
      </c>
      <c r="M43" s="11"/>
      <c r="N43" s="11"/>
      <c r="O43" s="11"/>
      <c r="P43" s="11"/>
      <c r="Q43" s="11">
        <f>IF(ISERROR(MATCH($B43,'Production - Oil'!$B$11:$B$54,0)),0,VLOOKUP($B43,'Production - Oil'!$B$11:$CD$54,MATCH('Production - Total'!Q$9,'Production - Oil'!$B$9:$CD$9),FALSE))+IF(ISERROR(MATCH($B43,'Production - Gas'!$B$11:$B$54,0)),0,VLOOKUP($B43,'Production - Gas'!$B$11:$CD$54,MATCH('Production - Total'!Q$9,'Production - Gas'!$B$9:$CD$9),FALSE)/5.8)</f>
        <v>0</v>
      </c>
      <c r="R43" s="11"/>
      <c r="S43" s="11"/>
      <c r="T43" s="11"/>
      <c r="U43" s="11"/>
      <c r="V43" s="11">
        <f>IF(ISERROR(MATCH($B43,'Production - Oil'!$B$11:$B$54,0)),0,VLOOKUP($B43,'Production - Oil'!$B$11:$CD$54,MATCH('Production - Total'!V$9,'Production - Oil'!$B$9:$CD$9),FALSE))+IF(ISERROR(MATCH($B43,'Production - Gas'!$B$11:$B$54,0)),0,VLOOKUP($B43,'Production - Gas'!$B$11:$CD$54,MATCH('Production - Total'!V$9,'Production - Gas'!$B$9:$CD$9),FALSE)/5.8)</f>
        <v>0</v>
      </c>
      <c r="W43" s="11"/>
      <c r="X43" s="11"/>
      <c r="Y43" s="11"/>
      <c r="Z43" s="11"/>
      <c r="AA43" s="11">
        <f>IF(ISERROR(MATCH($B43,'Production - Oil'!$B$11:$B$54,0)),0,VLOOKUP($B43,'Production - Oil'!$B$11:$CD$54,MATCH('Production - Total'!AA$9,'Production - Oil'!$B$9:$CD$9),FALSE))+IF(ISERROR(MATCH($B43,'Production - Gas'!$B$11:$B$54,0)),0,VLOOKUP($B43,'Production - Gas'!$B$11:$CD$54,MATCH('Production - Total'!AA$9,'Production - Gas'!$B$9:$CD$9),FALSE)/5.8)</f>
        <v>0</v>
      </c>
      <c r="AB43" s="11"/>
      <c r="AC43" s="11"/>
      <c r="AD43" s="11"/>
      <c r="AE43" s="11"/>
      <c r="AF43" s="11">
        <f>IF(ISERROR(MATCH($B43,'Production - Oil'!$B$11:$B$54,0)),0,VLOOKUP($B43,'Production - Oil'!$B$11:$CD$54,MATCH('Production - Total'!AF$9,'Production - Oil'!$B$9:$CD$9),FALSE))+IF(ISERROR(MATCH($B43,'Production - Gas'!$B$11:$B$54,0)),0,VLOOKUP($B43,'Production - Gas'!$B$11:$CD$54,MATCH('Production - Total'!AF$9,'Production - Gas'!$B$9:$CD$9),FALSE)/5.8)</f>
        <v>0</v>
      </c>
      <c r="AG43" s="82"/>
      <c r="AH43" s="82"/>
      <c r="AI43" s="82"/>
      <c r="AJ43" s="82"/>
      <c r="AK43" s="11">
        <f>IF(ISERROR(MATCH($B43,'Production - Oil'!$B$11:$B$54,0)),0,VLOOKUP($B43,'Production - Oil'!$B$11:$CD$54,MATCH('Production - Total'!AK$9,'Production - Oil'!$B$9:$CD$9),FALSE))+IF(ISERROR(MATCH($B43,'Production - Gas'!$B$11:$B$54,0)),0,VLOOKUP($B43,'Production - Gas'!$B$11:$CD$54,MATCH('Production - Total'!AK$9,'Production - Gas'!$B$9:$CD$9),FALSE)/5.8)</f>
        <v>3.4482758620689657</v>
      </c>
      <c r="AL43" s="82"/>
      <c r="AM43" s="82"/>
      <c r="AN43" s="82"/>
      <c r="AO43" s="82"/>
      <c r="AP43" s="11">
        <f>IF(ISERROR(MATCH($B43,'Production - Oil'!$B$11:$B$54,0)),0,VLOOKUP($B43,'Production - Oil'!$B$11:$CD$54,MATCH('Production - Total'!AP$9,'Production - Oil'!$B$9:$CD$9),FALSE))+IF(ISERROR(MATCH($B43,'Production - Gas'!$B$11:$B$54,0)),0,VLOOKUP($B43,'Production - Gas'!$B$11:$CD$54,MATCH('Production - Total'!AP$9,'Production - Gas'!$B$9:$CD$9),FALSE)/5.8)</f>
        <v>2.4137931034482758</v>
      </c>
      <c r="AQ43" s="82"/>
      <c r="AR43" s="82"/>
      <c r="AS43" s="82"/>
      <c r="AT43" s="82"/>
      <c r="AU43" s="11">
        <f>IF(ISERROR(MATCH($B43,'Production - Oil'!$B$11:$B$54,0)),0,VLOOKUP($B43,'Production - Oil'!$B$11:$CD$54,MATCH('Production - Total'!AU$9,'Production - Oil'!$B$9:$CD$9),FALSE))+IF(ISERROR(MATCH($B43,'Production - Gas'!$B$11:$B$54,0)),0,VLOOKUP($B43,'Production - Gas'!$B$11:$CD$54,MATCH('Production - Total'!AU$9,'Production - Gas'!$B$9:$CD$9),FALSE)/5.8)</f>
        <v>3.7931034482758621</v>
      </c>
      <c r="AV43" s="82"/>
      <c r="AW43" s="82"/>
      <c r="AX43" s="82"/>
      <c r="AY43" s="82"/>
      <c r="AZ43" s="11">
        <f>IF(ISERROR(MATCH($B43,'Production - Oil'!$B$11:$B$54,0)),0,VLOOKUP($B43,'Production - Oil'!$B$11:$CD$54,MATCH('Production - Total'!AZ$9,'Production - Oil'!$B$9:$CD$9),FALSE))+IF(ISERROR(MATCH($B43,'Production - Gas'!$B$11:$B$54,0)),0,VLOOKUP($B43,'Production - Gas'!$B$11:$CD$54,MATCH('Production - Total'!AZ$9,'Production - Gas'!$B$9:$CD$9),FALSE)/5.8)</f>
        <v>0</v>
      </c>
      <c r="BA43" s="82"/>
      <c r="BB43" s="82"/>
      <c r="BC43" s="82"/>
      <c r="BD43" s="82"/>
      <c r="BE43" s="11">
        <f>IF(ISERROR(MATCH($B43,'Production - Oil'!$B$11:$B$54,0)),0,VLOOKUP($B43,'Production - Oil'!$B$11:$CD$54,MATCH('Production - Total'!BE$9,'Production - Oil'!$B$9:$CD$9),FALSE))+IF(ISERROR(MATCH($B43,'Production - Gas'!$B$11:$B$54,0)),0,VLOOKUP($B43,'Production - Gas'!$B$11:$CD$54,MATCH('Production - Total'!BE$9,'Production - Gas'!$B$9:$CD$9),FALSE)/5.8)</f>
        <v>0</v>
      </c>
      <c r="BF43" s="82"/>
      <c r="BG43" s="82"/>
      <c r="BH43" s="82"/>
      <c r="BI43" s="82"/>
      <c r="BJ43" s="11">
        <f>IF(ISERROR(MATCH($B43,'Production - Oil'!$B$11:$B$54,0)),0,VLOOKUP($B43,'Production - Oil'!$B$11:$CD$54,MATCH('Production - Total'!BJ$9,'Production - Oil'!$B$9:$CD$9),FALSE))+IF(ISERROR(MATCH($B43,'Production - Gas'!$B$11:$B$54,0)),0,VLOOKUP($B43,'Production - Gas'!$B$11:$CD$54,MATCH('Production - Total'!BJ$9,'Production - Gas'!$B$9:$CD$9),FALSE)/5.8)</f>
        <v>0</v>
      </c>
      <c r="BK43" s="82"/>
      <c r="BL43" s="82"/>
      <c r="BM43" s="82"/>
      <c r="BN43" s="82"/>
      <c r="BO43" s="11">
        <f>'Production - Oil'!BO43+'Production - Gas'!BO43/5.8</f>
        <v>15.620689655172415</v>
      </c>
      <c r="BP43" s="82"/>
      <c r="BQ43" s="82"/>
      <c r="BR43" s="82"/>
      <c r="BS43" s="82"/>
      <c r="BT43" s="51"/>
      <c r="BU43" s="82"/>
      <c r="BV43" s="82"/>
      <c r="BW43" s="82"/>
      <c r="BX43" s="82"/>
      <c r="BY43" s="51"/>
      <c r="BZ43" s="82"/>
      <c r="CA43" s="82"/>
      <c r="CB43" s="82"/>
      <c r="CC43" s="82"/>
      <c r="CD43" s="51"/>
    </row>
    <row r="44" spans="1:82">
      <c r="A44" s="11"/>
      <c r="B44" s="11" t="s">
        <v>3278</v>
      </c>
      <c r="C44" s="11">
        <f>IF(ISERROR(MATCH($B44,'Production - Oil'!$B$11:$B$54,0)),0,VLOOKUP($B44,'Production - Oil'!$B$11:$CD$54,MATCH('Production - Total'!C$9,'Production - Oil'!$B$9:$CD$9),FALSE))+IF(ISERROR(MATCH($B44,'Production - Gas'!$B$11:$B$54,0)),0,VLOOKUP($B44,'Production - Gas'!$B$11:$CD$54,MATCH('Production - Total'!C$9,'Production - Gas'!$B$9:$CD$9),FALSE)/5.8)</f>
        <v>0</v>
      </c>
      <c r="D44" s="11">
        <f>IF(ISERROR(MATCH($B44,'Production - Oil'!$B$11:$B$54,0)),0,VLOOKUP($B44,'Production - Oil'!$B$11:$CD$54,MATCH('Production - Total'!D$9,'Production - Oil'!$B$9:$CD$9),FALSE))+IF(ISERROR(MATCH($B44,'Production - Gas'!$B$11:$B$54,0)),0,VLOOKUP($B44,'Production - Gas'!$B$11:$CD$54,MATCH('Production - Total'!D$9,'Production - Gas'!$B$9:$CD$9),FALSE)/5.8)</f>
        <v>0</v>
      </c>
      <c r="E44" s="11">
        <f>IF(ISERROR(MATCH($B44,'Production - Oil'!$B$11:$B$54,0)),0,VLOOKUP($B44,'Production - Oil'!$B$11:$CD$54,MATCH('Production - Total'!E$9,'Production - Oil'!$B$9:$CD$9),FALSE))+IF(ISERROR(MATCH($B44,'Production - Gas'!$B$11:$B$54,0)),0,VLOOKUP($B44,'Production - Gas'!$B$11:$CD$54,MATCH('Production - Total'!E$9,'Production - Gas'!$B$9:$CD$9),FALSE)/5.8)</f>
        <v>15.755172413793103</v>
      </c>
      <c r="F44" s="11">
        <f>IF(ISERROR(MATCH($B44,'Production - Oil'!$B$11:$B$54,0)),0,VLOOKUP($B44,'Production - Oil'!$B$11:$CD$54,MATCH('Production - Total'!F$9,'Production - Oil'!$B$9:$CD$9),FALSE))+IF(ISERROR(MATCH($B44,'Production - Gas'!$B$11:$B$54,0)),0,VLOOKUP($B44,'Production - Gas'!$B$11:$CD$54,MATCH('Production - Total'!F$9,'Production - Gas'!$B$9:$CD$9),FALSE)/5.8)</f>
        <v>16.044827586206896</v>
      </c>
      <c r="G44" s="11">
        <f>IF(ISERROR(MATCH($B44,'Production - Oil'!$B$11:$B$54,0)),0,VLOOKUP($B44,'Production - Oil'!$B$11:$CD$54,MATCH('Production - Total'!G$9,'Production - Oil'!$B$9:$CD$9),FALSE))+IF(ISERROR(MATCH($B44,'Production - Gas'!$B$11:$B$54,0)),0,VLOOKUP($B44,'Production - Gas'!$B$11:$CD$54,MATCH('Production - Total'!G$9,'Production - Gas'!$B$9:$CD$9),FALSE)/5.8)</f>
        <v>17.182758620689654</v>
      </c>
      <c r="H44" s="11"/>
      <c r="I44" s="11"/>
      <c r="J44" s="11"/>
      <c r="K44" s="11"/>
      <c r="L44" s="11">
        <f>IF(ISERROR(MATCH($B44,'Production - Oil'!$B$11:$B$54,0)),0,VLOOKUP($B44,'Production - Oil'!$B$11:$CD$54,MATCH('Production - Total'!L$9,'Production - Oil'!$B$9:$CD$9),FALSE))+IF(ISERROR(MATCH($B44,'Production - Gas'!$B$11:$B$54,0)),0,VLOOKUP($B44,'Production - Gas'!$B$11:$CD$54,MATCH('Production - Total'!L$9,'Production - Gas'!$B$9:$CD$9),FALSE)/5.8)</f>
        <v>15.172413793103448</v>
      </c>
      <c r="M44" s="11"/>
      <c r="N44" s="11"/>
      <c r="O44" s="11"/>
      <c r="P44" s="11"/>
      <c r="Q44" s="11">
        <f>IF(ISERROR(MATCH($B44,'Production - Oil'!$B$11:$B$54,0)),0,VLOOKUP($B44,'Production - Oil'!$B$11:$CD$54,MATCH('Production - Total'!Q$9,'Production - Oil'!$B$9:$CD$9),FALSE))+IF(ISERROR(MATCH($B44,'Production - Gas'!$B$11:$B$54,0)),0,VLOOKUP($B44,'Production - Gas'!$B$11:$CD$54,MATCH('Production - Total'!Q$9,'Production - Gas'!$B$9:$CD$9),FALSE)/5.8)</f>
        <v>20.862068965517242</v>
      </c>
      <c r="R44" s="11"/>
      <c r="S44" s="11"/>
      <c r="T44" s="11"/>
      <c r="U44" s="11"/>
      <c r="V44" s="11">
        <f>IF(ISERROR(MATCH($B44,'Production - Oil'!$B$11:$B$54,0)),0,VLOOKUP($B44,'Production - Oil'!$B$11:$CD$54,MATCH('Production - Total'!V$9,'Production - Oil'!$B$9:$CD$9),FALSE))+IF(ISERROR(MATCH($B44,'Production - Gas'!$B$11:$B$54,0)),0,VLOOKUP($B44,'Production - Gas'!$B$11:$CD$54,MATCH('Production - Total'!V$9,'Production - Gas'!$B$9:$CD$9),FALSE)/5.8)</f>
        <v>27.931034482758623</v>
      </c>
      <c r="W44" s="11"/>
      <c r="X44" s="11"/>
      <c r="Y44" s="11"/>
      <c r="Z44" s="11"/>
      <c r="AA44" s="11">
        <f>IF(ISERROR(MATCH($B44,'Production - Oil'!$B$11:$B$54,0)),0,VLOOKUP($B44,'Production - Oil'!$B$11:$CD$54,MATCH('Production - Total'!AA$9,'Production - Oil'!$B$9:$CD$9),FALSE))+IF(ISERROR(MATCH($B44,'Production - Gas'!$B$11:$B$54,0)),0,VLOOKUP($B44,'Production - Gas'!$B$11:$CD$54,MATCH('Production - Total'!AA$9,'Production - Gas'!$B$9:$CD$9),FALSE)/5.8)</f>
        <v>29.827586206896552</v>
      </c>
      <c r="AB44" s="11"/>
      <c r="AC44" s="11"/>
      <c r="AD44" s="11"/>
      <c r="AE44" s="11"/>
      <c r="AF44" s="11">
        <f>IF(ISERROR(MATCH($B44,'Production - Oil'!$B$11:$B$54,0)),0,VLOOKUP($B44,'Production - Oil'!$B$11:$CD$54,MATCH('Production - Total'!AF$9,'Production - Oil'!$B$9:$CD$9),FALSE))+IF(ISERROR(MATCH($B44,'Production - Gas'!$B$11:$B$54,0)),0,VLOOKUP($B44,'Production - Gas'!$B$11:$CD$54,MATCH('Production - Total'!AF$9,'Production - Gas'!$B$9:$CD$9),FALSE)/5.8)</f>
        <v>25.862068965517242</v>
      </c>
      <c r="AG44" s="82"/>
      <c r="AH44" s="82"/>
      <c r="AI44" s="82"/>
      <c r="AJ44" s="82"/>
      <c r="AK44" s="11">
        <f>IF(ISERROR(MATCH($B44,'Production - Oil'!$B$11:$B$54,0)),0,VLOOKUP($B44,'Production - Oil'!$B$11:$CD$54,MATCH('Production - Total'!AK$9,'Production - Oil'!$B$9:$CD$9),FALSE))+IF(ISERROR(MATCH($B44,'Production - Gas'!$B$11:$B$54,0)),0,VLOOKUP($B44,'Production - Gas'!$B$11:$CD$54,MATCH('Production - Total'!AK$9,'Production - Gas'!$B$9:$CD$9),FALSE)/5.8)</f>
        <v>12.586206896551724</v>
      </c>
      <c r="AL44" s="82"/>
      <c r="AM44" s="82"/>
      <c r="AN44" s="82"/>
      <c r="AO44" s="82"/>
      <c r="AP44" s="11">
        <f>IF(ISERROR(MATCH($B44,'Production - Oil'!$B$11:$B$54,0)),0,VLOOKUP($B44,'Production - Oil'!$B$11:$CD$54,MATCH('Production - Total'!AP$9,'Production - Oil'!$B$9:$CD$9),FALSE))+IF(ISERROR(MATCH($B44,'Production - Gas'!$B$11:$B$54,0)),0,VLOOKUP($B44,'Production - Gas'!$B$11:$CD$54,MATCH('Production - Total'!AP$9,'Production - Gas'!$B$9:$CD$9),FALSE)/5.8)</f>
        <v>0</v>
      </c>
      <c r="AQ44" s="82"/>
      <c r="AR44" s="82"/>
      <c r="AS44" s="82"/>
      <c r="AT44" s="82"/>
      <c r="AU44" s="11">
        <f>IF(ISERROR(MATCH($B44,'Production - Oil'!$B$11:$B$54,0)),0,VLOOKUP($B44,'Production - Oil'!$B$11:$CD$54,MATCH('Production - Total'!AU$9,'Production - Oil'!$B$9:$CD$9),FALSE))+IF(ISERROR(MATCH($B44,'Production - Gas'!$B$11:$B$54,0)),0,VLOOKUP($B44,'Production - Gas'!$B$11:$CD$54,MATCH('Production - Total'!AU$9,'Production - Gas'!$B$9:$CD$9),FALSE)/5.8)</f>
        <v>0</v>
      </c>
      <c r="AV44" s="82"/>
      <c r="AW44" s="82"/>
      <c r="AX44" s="82"/>
      <c r="AY44" s="82"/>
      <c r="AZ44" s="11">
        <f>IF(ISERROR(MATCH($B44,'Production - Oil'!$B$11:$B$54,0)),0,VLOOKUP($B44,'Production - Oil'!$B$11:$CD$54,MATCH('Production - Total'!AZ$9,'Production - Oil'!$B$9:$CD$9),FALSE))+IF(ISERROR(MATCH($B44,'Production - Gas'!$B$11:$B$54,0)),0,VLOOKUP($B44,'Production - Gas'!$B$11:$CD$54,MATCH('Production - Total'!AZ$9,'Production - Gas'!$B$9:$CD$9),FALSE)/5.8)</f>
        <v>0</v>
      </c>
      <c r="BA44" s="82"/>
      <c r="BB44" s="82"/>
      <c r="BC44" s="82"/>
      <c r="BD44" s="82"/>
      <c r="BE44" s="11">
        <f>IF(ISERROR(MATCH($B44,'Production - Oil'!$B$11:$B$54,0)),0,VLOOKUP($B44,'Production - Oil'!$B$11:$CD$54,MATCH('Production - Total'!BE$9,'Production - Oil'!$B$9:$CD$9),FALSE))+IF(ISERROR(MATCH($B44,'Production - Gas'!$B$11:$B$54,0)),0,VLOOKUP($B44,'Production - Gas'!$B$11:$CD$54,MATCH('Production - Total'!BE$9,'Production - Gas'!$B$9:$CD$9),FALSE)/5.8)</f>
        <v>0</v>
      </c>
      <c r="BF44" s="82"/>
      <c r="BG44" s="82"/>
      <c r="BH44" s="82"/>
      <c r="BI44" s="82"/>
      <c r="BJ44" s="11">
        <f>IF(ISERROR(MATCH($B44,'Production - Oil'!$B$11:$B$54,0)),0,VLOOKUP($B44,'Production - Oil'!$B$11:$CD$54,MATCH('Production - Total'!BJ$9,'Production - Oil'!$B$9:$CD$9),FALSE))+IF(ISERROR(MATCH($B44,'Production - Gas'!$B$11:$B$54,0)),0,VLOOKUP($B44,'Production - Gas'!$B$11:$CD$54,MATCH('Production - Total'!BJ$9,'Production - Gas'!$B$9:$CD$9),FALSE)/5.8)</f>
        <v>0</v>
      </c>
      <c r="BK44" s="82"/>
      <c r="BL44" s="82"/>
      <c r="BM44" s="82"/>
      <c r="BN44" s="82"/>
      <c r="BO44" s="11">
        <f>'Production - Oil'!BO44+'Production - Gas'!BO44/5.8</f>
        <v>0</v>
      </c>
      <c r="BP44" s="82"/>
      <c r="BQ44" s="82"/>
      <c r="BR44" s="82"/>
      <c r="BS44" s="82"/>
      <c r="BT44" s="51"/>
      <c r="BU44" s="82"/>
      <c r="BV44" s="82"/>
      <c r="BW44" s="82"/>
      <c r="BX44" s="82"/>
      <c r="BY44" s="51"/>
      <c r="BZ44" s="82"/>
      <c r="CA44" s="82"/>
      <c r="CB44" s="82"/>
      <c r="CC44" s="82"/>
      <c r="CD44" s="51"/>
    </row>
    <row r="45" spans="1:82">
      <c r="A45" s="47"/>
      <c r="B45" s="47" t="s">
        <v>1703</v>
      </c>
      <c r="C45" s="11">
        <f>IF(ISERROR(MATCH($B45,'Production - Oil'!$B$11:$B$54,0)),0,VLOOKUP($B45,'Production - Oil'!$B$11:$CD$54,MATCH('Production - Total'!C$9,'Production - Oil'!$B$9:$CD$9),FALSE))+IF(ISERROR(MATCH($B45,'Production - Gas'!$B$11:$B$54,0)),0,VLOOKUP($B45,'Production - Gas'!$B$11:$CD$54,MATCH('Production - Total'!C$9,'Production - Gas'!$B$9:$CD$9),FALSE)/5.8)</f>
        <v>0</v>
      </c>
      <c r="D45" s="11">
        <f>IF(ISERROR(MATCH($B45,'Production - Oil'!$B$11:$B$54,0)),0,VLOOKUP($B45,'Production - Oil'!$B$11:$CD$54,MATCH('Production - Total'!D$9,'Production - Oil'!$B$9:$CD$9),FALSE))+IF(ISERROR(MATCH($B45,'Production - Gas'!$B$11:$B$54,0)),0,VLOOKUP($B45,'Production - Gas'!$B$11:$CD$54,MATCH('Production - Total'!D$9,'Production - Gas'!$B$9:$CD$9),FALSE)/5.8)</f>
        <v>0</v>
      </c>
      <c r="E45" s="11">
        <f>IF(ISERROR(MATCH($B45,'Production - Oil'!$B$11:$B$54,0)),0,VLOOKUP($B45,'Production - Oil'!$B$11:$CD$54,MATCH('Production - Total'!E$9,'Production - Oil'!$B$9:$CD$9),FALSE))+IF(ISERROR(MATCH($B45,'Production - Gas'!$B$11:$B$54,0)),0,VLOOKUP($B45,'Production - Gas'!$B$11:$CD$54,MATCH('Production - Total'!E$9,'Production - Gas'!$B$9:$CD$9),FALSE)/5.8)</f>
        <v>0</v>
      </c>
      <c r="F45" s="11">
        <f>IF(ISERROR(MATCH($B45,'Production - Oil'!$B$11:$B$54,0)),0,VLOOKUP($B45,'Production - Oil'!$B$11:$CD$54,MATCH('Production - Total'!F$9,'Production - Oil'!$B$9:$CD$9),FALSE))+IF(ISERROR(MATCH($B45,'Production - Gas'!$B$11:$B$54,0)),0,VLOOKUP($B45,'Production - Gas'!$B$11:$CD$54,MATCH('Production - Total'!F$9,'Production - Gas'!$B$9:$CD$9),FALSE)/5.8)</f>
        <v>0</v>
      </c>
      <c r="G45" s="11">
        <f>IF(ISERROR(MATCH($B45,'Production - Oil'!$B$11:$B$54,0)),0,VLOOKUP($B45,'Production - Oil'!$B$11:$CD$54,MATCH('Production - Total'!G$9,'Production - Oil'!$B$9:$CD$9),FALSE))+IF(ISERROR(MATCH($B45,'Production - Gas'!$B$11:$B$54,0)),0,VLOOKUP($B45,'Production - Gas'!$B$11:$CD$54,MATCH('Production - Total'!G$9,'Production - Gas'!$B$9:$CD$9),FALSE)/5.8)</f>
        <v>0</v>
      </c>
      <c r="H45" s="47"/>
      <c r="I45" s="47"/>
      <c r="J45" s="47"/>
      <c r="K45" s="47"/>
      <c r="L45" s="11">
        <f>IF(ISERROR(MATCH($B45,'Production - Oil'!$B$11:$B$54,0)),0,VLOOKUP($B45,'Production - Oil'!$B$11:$CD$54,MATCH('Production - Total'!L$9,'Production - Oil'!$B$9:$CD$9),FALSE))+IF(ISERROR(MATCH($B45,'Production - Gas'!$B$11:$B$54,0)),0,VLOOKUP($B45,'Production - Gas'!$B$11:$CD$54,MATCH('Production - Total'!L$9,'Production - Gas'!$B$9:$CD$9),FALSE)/5.8)</f>
        <v>0</v>
      </c>
      <c r="M45" s="11"/>
      <c r="N45" s="11"/>
      <c r="O45" s="11"/>
      <c r="P45" s="11"/>
      <c r="Q45" s="11">
        <f>IF(ISERROR(MATCH($B45,'Production - Oil'!$B$11:$B$54,0)),0,VLOOKUP($B45,'Production - Oil'!$B$11:$CD$54,MATCH('Production - Total'!Q$9,'Production - Oil'!$B$9:$CD$9),FALSE))+IF(ISERROR(MATCH($B45,'Production - Gas'!$B$11:$B$54,0)),0,VLOOKUP($B45,'Production - Gas'!$B$11:$CD$54,MATCH('Production - Total'!Q$9,'Production - Gas'!$B$9:$CD$9),FALSE)/5.8)</f>
        <v>0</v>
      </c>
      <c r="R45" s="11"/>
      <c r="S45" s="11"/>
      <c r="T45" s="11"/>
      <c r="U45" s="11"/>
      <c r="V45" s="11">
        <f>IF(ISERROR(MATCH($B45,'Production - Oil'!$B$11:$B$54,0)),0,VLOOKUP($B45,'Production - Oil'!$B$11:$CD$54,MATCH('Production - Total'!V$9,'Production - Oil'!$B$9:$CD$9),FALSE))+IF(ISERROR(MATCH($B45,'Production - Gas'!$B$11:$B$54,0)),0,VLOOKUP($B45,'Production - Gas'!$B$11:$CD$54,MATCH('Production - Total'!V$9,'Production - Gas'!$B$9:$CD$9),FALSE)/5.8)</f>
        <v>0</v>
      </c>
      <c r="W45" s="11"/>
      <c r="X45" s="11"/>
      <c r="Y45" s="11"/>
      <c r="Z45" s="11"/>
      <c r="AA45" s="11">
        <f>IF(ISERROR(MATCH($B45,'Production - Oil'!$B$11:$B$54,0)),0,VLOOKUP($B45,'Production - Oil'!$B$11:$CD$54,MATCH('Production - Total'!AA$9,'Production - Oil'!$B$9:$CD$9),FALSE))+IF(ISERROR(MATCH($B45,'Production - Gas'!$B$11:$B$54,0)),0,VLOOKUP($B45,'Production - Gas'!$B$11:$CD$54,MATCH('Production - Total'!AA$9,'Production - Gas'!$B$9:$CD$9),FALSE)/5.8)</f>
        <v>0</v>
      </c>
      <c r="AB45" s="11"/>
      <c r="AC45" s="11"/>
      <c r="AD45" s="11"/>
      <c r="AE45" s="11"/>
      <c r="AF45" s="11">
        <f>IF(ISERROR(MATCH($B45,'Production - Oil'!$B$11:$B$54,0)),0,VLOOKUP($B45,'Production - Oil'!$B$11:$CD$54,MATCH('Production - Total'!AF$9,'Production - Oil'!$B$9:$CD$9),FALSE))+IF(ISERROR(MATCH($B45,'Production - Gas'!$B$11:$B$54,0)),0,VLOOKUP($B45,'Production - Gas'!$B$11:$CD$54,MATCH('Production - Total'!AF$9,'Production - Gas'!$B$9:$CD$9),FALSE)/5.8)</f>
        <v>0</v>
      </c>
      <c r="AG45" s="82"/>
      <c r="AH45" s="82"/>
      <c r="AI45" s="82"/>
      <c r="AJ45" s="82"/>
      <c r="AK45" s="11">
        <f>IF(ISERROR(MATCH($B45,'Production - Oil'!$B$11:$B$54,0)),0,VLOOKUP($B45,'Production - Oil'!$B$11:$CD$54,MATCH('Production - Total'!AK$9,'Production - Oil'!$B$9:$CD$9),FALSE))+IF(ISERROR(MATCH($B45,'Production - Gas'!$B$11:$B$54,0)),0,VLOOKUP($B45,'Production - Gas'!$B$11:$CD$54,MATCH('Production - Total'!AK$9,'Production - Gas'!$B$9:$CD$9),FALSE)/5.8)</f>
        <v>0</v>
      </c>
      <c r="AL45" s="82"/>
      <c r="AM45" s="82"/>
      <c r="AN45" s="82"/>
      <c r="AO45" s="82"/>
      <c r="AP45" s="11">
        <f>IF(ISERROR(MATCH($B45,'Production - Oil'!$B$11:$B$54,0)),0,VLOOKUP($B45,'Production - Oil'!$B$11:$CD$54,MATCH('Production - Total'!AP$9,'Production - Oil'!$B$9:$CD$9),FALSE))+IF(ISERROR(MATCH($B45,'Production - Gas'!$B$11:$B$54,0)),0,VLOOKUP($B45,'Production - Gas'!$B$11:$CD$54,MATCH('Production - Total'!AP$9,'Production - Gas'!$B$9:$CD$9),FALSE)/5.8)</f>
        <v>0</v>
      </c>
      <c r="AQ45" s="82"/>
      <c r="AR45" s="82"/>
      <c r="AS45" s="82"/>
      <c r="AT45" s="82"/>
      <c r="AU45" s="11">
        <f>IF(ISERROR(MATCH($B45,'Production - Oil'!$B$11:$B$54,0)),0,VLOOKUP($B45,'Production - Oil'!$B$11:$CD$54,MATCH('Production - Total'!AU$9,'Production - Oil'!$B$9:$CD$9),FALSE))+IF(ISERROR(MATCH($B45,'Production - Gas'!$B$11:$B$54,0)),0,VLOOKUP($B45,'Production - Gas'!$B$11:$CD$54,MATCH('Production - Total'!AU$9,'Production - Gas'!$B$9:$CD$9),FALSE)/5.8)</f>
        <v>0</v>
      </c>
      <c r="AV45" s="82"/>
      <c r="AW45" s="82"/>
      <c r="AX45" s="82"/>
      <c r="AY45" s="82"/>
      <c r="AZ45" s="11">
        <f>IF(ISERROR(MATCH($B45,'Production - Oil'!$B$11:$B$54,0)),0,VLOOKUP($B45,'Production - Oil'!$B$11:$CD$54,MATCH('Production - Total'!AZ$9,'Production - Oil'!$B$9:$CD$9),FALSE))+IF(ISERROR(MATCH($B45,'Production - Gas'!$B$11:$B$54,0)),0,VLOOKUP($B45,'Production - Gas'!$B$11:$CD$54,MATCH('Production - Total'!AZ$9,'Production - Gas'!$B$9:$CD$9),FALSE)/5.8)</f>
        <v>0</v>
      </c>
      <c r="BA45" s="82"/>
      <c r="BB45" s="82"/>
      <c r="BC45" s="82"/>
      <c r="BD45" s="82"/>
      <c r="BE45" s="11">
        <f>IF(ISERROR(MATCH($B45,'Production - Oil'!$B$11:$B$54,0)),0,VLOOKUP($B45,'Production - Oil'!$B$11:$CD$54,MATCH('Production - Total'!BE$9,'Production - Oil'!$B$9:$CD$9),FALSE))+IF(ISERROR(MATCH($B45,'Production - Gas'!$B$11:$B$54,0)),0,VLOOKUP($B45,'Production - Gas'!$B$11:$CD$54,MATCH('Production - Total'!BE$9,'Production - Gas'!$B$9:$CD$9),FALSE)/5.8)</f>
        <v>0</v>
      </c>
      <c r="BF45" s="82"/>
      <c r="BG45" s="82"/>
      <c r="BH45" s="82"/>
      <c r="BI45" s="82"/>
      <c r="BJ45" s="11">
        <f>IF(ISERROR(MATCH($B45,'Production - Oil'!$B$11:$B$54,0)),0,VLOOKUP($B45,'Production - Oil'!$B$11:$CD$54,MATCH('Production - Total'!BJ$9,'Production - Oil'!$B$9:$CD$9),FALSE))+IF(ISERROR(MATCH($B45,'Production - Gas'!$B$11:$B$54,0)),0,VLOOKUP($B45,'Production - Gas'!$B$11:$CD$54,MATCH('Production - Total'!BJ$9,'Production - Gas'!$B$9:$CD$9),FALSE)/5.8)</f>
        <v>0</v>
      </c>
      <c r="BK45" s="82"/>
      <c r="BL45" s="82"/>
      <c r="BM45" s="82"/>
      <c r="BN45" s="82"/>
      <c r="BO45" s="11">
        <f>'Production - Oil'!BO45+'Production - Gas'!BO45/5.8</f>
        <v>0</v>
      </c>
      <c r="BP45" s="82"/>
      <c r="BQ45" s="82"/>
      <c r="BR45" s="82"/>
      <c r="BS45" s="82"/>
      <c r="BT45" s="51"/>
      <c r="BU45" s="82"/>
      <c r="BV45" s="82"/>
      <c r="BW45" s="82"/>
      <c r="BX45" s="82"/>
      <c r="BY45" s="51"/>
      <c r="BZ45" s="82"/>
      <c r="CA45" s="82"/>
      <c r="CB45" s="82"/>
      <c r="CC45" s="82"/>
      <c r="CD45" s="51"/>
    </row>
    <row r="46" spans="1:82">
      <c r="A46" s="47"/>
      <c r="B46" s="47" t="s">
        <v>1961</v>
      </c>
      <c r="C46" s="11">
        <f>IF(ISERROR(MATCH($B46,'Production - Oil'!$B$11:$B$54,0)),0,VLOOKUP($B46,'Production - Oil'!$B$11:$CD$54,MATCH('Production - Total'!C$9,'Production - Oil'!$B$9:$CD$9),FALSE))+IF(ISERROR(MATCH($B46,'Production - Gas'!$B$11:$B$54,0)),0,VLOOKUP($B46,'Production - Gas'!$B$11:$CD$54,MATCH('Production - Total'!C$9,'Production - Gas'!$B$9:$CD$9),FALSE)/5.8)</f>
        <v>27.586206896551726</v>
      </c>
      <c r="D46" s="11">
        <f>IF(ISERROR(MATCH($B46,'Production - Oil'!$B$11:$B$54,0)),0,VLOOKUP($B46,'Production - Oil'!$B$11:$CD$54,MATCH('Production - Total'!D$9,'Production - Oil'!$B$9:$CD$9),FALSE))+IF(ISERROR(MATCH($B46,'Production - Gas'!$B$11:$B$54,0)),0,VLOOKUP($B46,'Production - Gas'!$B$11:$CD$54,MATCH('Production - Total'!D$9,'Production - Gas'!$B$9:$CD$9),FALSE)/5.8)</f>
        <v>23.103448275862071</v>
      </c>
      <c r="E46" s="11">
        <f>IF(ISERROR(MATCH($B46,'Production - Oil'!$B$11:$B$54,0)),0,VLOOKUP($B46,'Production - Oil'!$B$11:$CD$54,MATCH('Production - Total'!E$9,'Production - Oil'!$B$9:$CD$9),FALSE))+IF(ISERROR(MATCH($B46,'Production - Gas'!$B$11:$B$54,0)),0,VLOOKUP($B46,'Production - Gas'!$B$11:$CD$54,MATCH('Production - Total'!E$9,'Production - Gas'!$B$9:$CD$9),FALSE)/5.8)</f>
        <v>20.689655172413794</v>
      </c>
      <c r="F46" s="11">
        <f>IF(ISERROR(MATCH($B46,'Production - Oil'!$B$11:$B$54,0)),0,VLOOKUP($B46,'Production - Oil'!$B$11:$CD$54,MATCH('Production - Total'!F$9,'Production - Oil'!$B$9:$CD$9),FALSE))+IF(ISERROR(MATCH($B46,'Production - Gas'!$B$11:$B$54,0)),0,VLOOKUP($B46,'Production - Gas'!$B$11:$CD$54,MATCH('Production - Total'!F$9,'Production - Gas'!$B$9:$CD$9),FALSE)/5.8)</f>
        <v>20.172413793103448</v>
      </c>
      <c r="G46" s="11">
        <f>IF(ISERROR(MATCH($B46,'Production - Oil'!$B$11:$B$54,0)),0,VLOOKUP($B46,'Production - Oil'!$B$11:$CD$54,MATCH('Production - Total'!G$9,'Production - Oil'!$B$9:$CD$9),FALSE))+IF(ISERROR(MATCH($B46,'Production - Gas'!$B$11:$B$54,0)),0,VLOOKUP($B46,'Production - Gas'!$B$11:$CD$54,MATCH('Production - Total'!G$9,'Production - Gas'!$B$9:$CD$9),FALSE)/5.8)</f>
        <v>21.206896551724139</v>
      </c>
      <c r="H46" s="47"/>
      <c r="I46" s="47"/>
      <c r="J46" s="47"/>
      <c r="K46" s="47"/>
      <c r="L46" s="11">
        <f>IF(ISERROR(MATCH($B46,'Production - Oil'!$B$11:$B$54,0)),0,VLOOKUP($B46,'Production - Oil'!$B$11:$CD$54,MATCH('Production - Total'!L$9,'Production - Oil'!$B$9:$CD$9),FALSE))+IF(ISERROR(MATCH($B46,'Production - Gas'!$B$11:$B$54,0)),0,VLOOKUP($B46,'Production - Gas'!$B$11:$CD$54,MATCH('Production - Total'!L$9,'Production - Gas'!$B$9:$CD$9),FALSE)/5.8)</f>
        <v>20.689655172413794</v>
      </c>
      <c r="M46" s="11"/>
      <c r="N46" s="11"/>
      <c r="O46" s="11"/>
      <c r="P46" s="11"/>
      <c r="Q46" s="11">
        <f>IF(ISERROR(MATCH($B46,'Production - Oil'!$B$11:$B$54,0)),0,VLOOKUP($B46,'Production - Oil'!$B$11:$CD$54,MATCH('Production - Total'!Q$9,'Production - Oil'!$B$9:$CD$9),FALSE))+IF(ISERROR(MATCH($B46,'Production - Gas'!$B$11:$B$54,0)),0,VLOOKUP($B46,'Production - Gas'!$B$11:$CD$54,MATCH('Production - Total'!Q$9,'Production - Gas'!$B$9:$CD$9),FALSE)/5.8)</f>
        <v>15.862068965517242</v>
      </c>
      <c r="R46" s="11"/>
      <c r="S46" s="11"/>
      <c r="T46" s="11"/>
      <c r="U46" s="11"/>
      <c r="V46" s="11">
        <f>IF(ISERROR(MATCH($B46,'Production - Oil'!$B$11:$B$54,0)),0,VLOOKUP($B46,'Production - Oil'!$B$11:$CD$54,MATCH('Production - Total'!V$9,'Production - Oil'!$B$9:$CD$9),FALSE))+IF(ISERROR(MATCH($B46,'Production - Gas'!$B$11:$B$54,0)),0,VLOOKUP($B46,'Production - Gas'!$B$11:$CD$54,MATCH('Production - Total'!V$9,'Production - Gas'!$B$9:$CD$9),FALSE)/5.8)</f>
        <v>12.586206896551724</v>
      </c>
      <c r="W46" s="11"/>
      <c r="X46" s="11"/>
      <c r="Y46" s="11"/>
      <c r="Z46" s="11"/>
      <c r="AA46" s="11">
        <f>IF(ISERROR(MATCH($B46,'Production - Oil'!$B$11:$B$54,0)),0,VLOOKUP($B46,'Production - Oil'!$B$11:$CD$54,MATCH('Production - Total'!AA$9,'Production - Oil'!$B$9:$CD$9),FALSE))+IF(ISERROR(MATCH($B46,'Production - Gas'!$B$11:$B$54,0)),0,VLOOKUP($B46,'Production - Gas'!$B$11:$CD$54,MATCH('Production - Total'!AA$9,'Production - Gas'!$B$9:$CD$9),FALSE)/5.8)</f>
        <v>10.172413793103448</v>
      </c>
      <c r="AB46" s="11"/>
      <c r="AC46" s="11"/>
      <c r="AD46" s="11"/>
      <c r="AE46" s="11"/>
      <c r="AF46" s="11">
        <f>IF(ISERROR(MATCH($B46,'Production - Oil'!$B$11:$B$54,0)),0,VLOOKUP($B46,'Production - Oil'!$B$11:$CD$54,MATCH('Production - Total'!AF$9,'Production - Oil'!$B$9:$CD$9),FALSE))+IF(ISERROR(MATCH($B46,'Production - Gas'!$B$11:$B$54,0)),0,VLOOKUP($B46,'Production - Gas'!$B$11:$CD$54,MATCH('Production - Total'!AF$9,'Production - Gas'!$B$9:$CD$9),FALSE)/5.8)</f>
        <v>8.6206896551724146</v>
      </c>
      <c r="AG46" s="82"/>
      <c r="AH46" s="82"/>
      <c r="AI46" s="82"/>
      <c r="AJ46" s="82"/>
      <c r="AK46" s="11">
        <f>IF(ISERROR(MATCH($B46,'Production - Oil'!$B$11:$B$54,0)),0,VLOOKUP($B46,'Production - Oil'!$B$11:$CD$54,MATCH('Production - Total'!AK$9,'Production - Oil'!$B$9:$CD$9),FALSE))+IF(ISERROR(MATCH($B46,'Production - Gas'!$B$11:$B$54,0)),0,VLOOKUP($B46,'Production - Gas'!$B$11:$CD$54,MATCH('Production - Total'!AK$9,'Production - Gas'!$B$9:$CD$9),FALSE)/5.8)</f>
        <v>7.0689655172413799</v>
      </c>
      <c r="AL46" s="82"/>
      <c r="AM46" s="82"/>
      <c r="AN46" s="82"/>
      <c r="AO46" s="82"/>
      <c r="AP46" s="11">
        <f>IF(ISERROR(MATCH($B46,'Production - Oil'!$B$11:$B$54,0)),0,VLOOKUP($B46,'Production - Oil'!$B$11:$CD$54,MATCH('Production - Total'!AP$9,'Production - Oil'!$B$9:$CD$9),FALSE))+IF(ISERROR(MATCH($B46,'Production - Gas'!$B$11:$B$54,0)),0,VLOOKUP($B46,'Production - Gas'!$B$11:$CD$54,MATCH('Production - Total'!AP$9,'Production - Gas'!$B$9:$CD$9),FALSE)/5.8)</f>
        <v>6.0344827586206895</v>
      </c>
      <c r="AQ46" s="82"/>
      <c r="AR46" s="82"/>
      <c r="AS46" s="82"/>
      <c r="AT46" s="82"/>
      <c r="AU46" s="11">
        <f>IF(ISERROR(MATCH($B46,'Production - Oil'!$B$11:$B$54,0)),0,VLOOKUP($B46,'Production - Oil'!$B$11:$CD$54,MATCH('Production - Total'!AU$9,'Production - Oil'!$B$9:$CD$9),FALSE))+IF(ISERROR(MATCH($B46,'Production - Gas'!$B$11:$B$54,0)),0,VLOOKUP($B46,'Production - Gas'!$B$11:$CD$54,MATCH('Production - Total'!AU$9,'Production - Gas'!$B$9:$CD$9),FALSE)/5.8)</f>
        <v>4.3103448275862073</v>
      </c>
      <c r="AV46" s="82"/>
      <c r="AW46" s="82"/>
      <c r="AX46" s="82"/>
      <c r="AY46" s="82"/>
      <c r="AZ46" s="11">
        <f>IF(ISERROR(MATCH($B46,'Production - Oil'!$B$11:$B$54,0)),0,VLOOKUP($B46,'Production - Oil'!$B$11:$CD$54,MATCH('Production - Total'!AZ$9,'Production - Oil'!$B$9:$CD$9),FALSE))+IF(ISERROR(MATCH($B46,'Production - Gas'!$B$11:$B$54,0)),0,VLOOKUP($B46,'Production - Gas'!$B$11:$CD$54,MATCH('Production - Total'!AZ$9,'Production - Gas'!$B$9:$CD$9),FALSE)/5.8)</f>
        <v>0</v>
      </c>
      <c r="BA46" s="82"/>
      <c r="BB46" s="82"/>
      <c r="BC46" s="82"/>
      <c r="BD46" s="82"/>
      <c r="BE46" s="11">
        <f>IF(ISERROR(MATCH($B46,'Production - Oil'!$B$11:$B$54,0)),0,VLOOKUP($B46,'Production - Oil'!$B$11:$CD$54,MATCH('Production - Total'!BE$9,'Production - Oil'!$B$9:$CD$9),FALSE))+IF(ISERROR(MATCH($B46,'Production - Gas'!$B$11:$B$54,0)),0,VLOOKUP($B46,'Production - Gas'!$B$11:$CD$54,MATCH('Production - Total'!BE$9,'Production - Gas'!$B$9:$CD$9),FALSE)/5.8)</f>
        <v>0</v>
      </c>
      <c r="BF46" s="82"/>
      <c r="BG46" s="82"/>
      <c r="BH46" s="82"/>
      <c r="BI46" s="82"/>
      <c r="BJ46" s="11">
        <f>IF(ISERROR(MATCH($B46,'Production - Oil'!$B$11:$B$54,0)),0,VLOOKUP($B46,'Production - Oil'!$B$11:$CD$54,MATCH('Production - Total'!BJ$9,'Production - Oil'!$B$9:$CD$9),FALSE))+IF(ISERROR(MATCH($B46,'Production - Gas'!$B$11:$B$54,0)),0,VLOOKUP($B46,'Production - Gas'!$B$11:$CD$54,MATCH('Production - Total'!BJ$9,'Production - Gas'!$B$9:$CD$9),FALSE)/5.8)</f>
        <v>0</v>
      </c>
      <c r="BK46" s="82"/>
      <c r="BL46" s="82"/>
      <c r="BM46" s="82"/>
      <c r="BN46" s="82"/>
      <c r="BO46" s="11">
        <f>'Production - Oil'!BO46+'Production - Gas'!BO46/5.8</f>
        <v>0</v>
      </c>
      <c r="BP46" s="82"/>
      <c r="BQ46" s="82"/>
      <c r="BR46" s="82"/>
      <c r="BS46" s="82"/>
      <c r="BT46" s="51"/>
      <c r="BU46" s="82"/>
      <c r="BV46" s="82"/>
      <c r="BW46" s="82"/>
      <c r="BX46" s="82"/>
      <c r="BY46" s="51"/>
      <c r="BZ46" s="82"/>
      <c r="CA46" s="82"/>
      <c r="CB46" s="82"/>
      <c r="CC46" s="82"/>
      <c r="CD46" s="51"/>
    </row>
    <row r="47" spans="1:82">
      <c r="A47" s="11"/>
      <c r="B47" s="11" t="s">
        <v>3399</v>
      </c>
      <c r="C47" s="11">
        <f>IF(ISERROR(MATCH($B47,'Production - Oil'!$B$11:$B$54,0)),0,VLOOKUP($B47,'Production - Oil'!$B$11:$CD$54,MATCH('Production - Total'!C$9,'Production - Oil'!$B$9:$CD$9),FALSE))+IF(ISERROR(MATCH($B47,'Production - Gas'!$B$11:$B$54,0)),0,VLOOKUP($B47,'Production - Gas'!$B$11:$CD$54,MATCH('Production - Total'!C$9,'Production - Gas'!$B$9:$CD$9),FALSE)/5.8)</f>
        <v>86.379310344827587</v>
      </c>
      <c r="D47" s="11">
        <f>IF(ISERROR(MATCH($B47,'Production - Oil'!$B$11:$B$54,0)),0,VLOOKUP($B47,'Production - Oil'!$B$11:$CD$54,MATCH('Production - Total'!D$9,'Production - Oil'!$B$9:$CD$9),FALSE))+IF(ISERROR(MATCH($B47,'Production - Gas'!$B$11:$B$54,0)),0,VLOOKUP($B47,'Production - Gas'!$B$11:$CD$54,MATCH('Production - Total'!D$9,'Production - Gas'!$B$9:$CD$9),FALSE)/5.8)</f>
        <v>78.793103448275858</v>
      </c>
      <c r="E47" s="11">
        <f>IF(ISERROR(MATCH($B47,'Production - Oil'!$B$11:$B$54,0)),0,VLOOKUP($B47,'Production - Oil'!$B$11:$CD$54,MATCH('Production - Total'!E$9,'Production - Oil'!$B$9:$CD$9),FALSE))+IF(ISERROR(MATCH($B47,'Production - Gas'!$B$11:$B$54,0)),0,VLOOKUP($B47,'Production - Gas'!$B$11:$CD$54,MATCH('Production - Total'!E$9,'Production - Gas'!$B$9:$CD$9),FALSE)/5.8)</f>
        <v>66.034482758620697</v>
      </c>
      <c r="F47" s="11">
        <f>IF(ISERROR(MATCH($B47,'Production - Oil'!$B$11:$B$54,0)),0,VLOOKUP($B47,'Production - Oil'!$B$11:$CD$54,MATCH('Production - Total'!F$9,'Production - Oil'!$B$9:$CD$9),FALSE))+IF(ISERROR(MATCH($B47,'Production - Gas'!$B$11:$B$54,0)),0,VLOOKUP($B47,'Production - Gas'!$B$11:$CD$54,MATCH('Production - Total'!F$9,'Production - Gas'!$B$9:$CD$9),FALSE)/5.8)</f>
        <v>48.448275862068968</v>
      </c>
      <c r="G47" s="11">
        <f>IF(ISERROR(MATCH($B47,'Production - Oil'!$B$11:$B$54,0)),0,VLOOKUP($B47,'Production - Oil'!$B$11:$CD$54,MATCH('Production - Total'!G$9,'Production - Oil'!$B$9:$CD$9),FALSE))+IF(ISERROR(MATCH($B47,'Production - Gas'!$B$11:$B$54,0)),0,VLOOKUP($B47,'Production - Gas'!$B$11:$CD$54,MATCH('Production - Total'!G$9,'Production - Gas'!$B$9:$CD$9),FALSE)/5.8)</f>
        <v>41.03448275862069</v>
      </c>
      <c r="H47" s="11"/>
      <c r="I47" s="11"/>
      <c r="J47" s="11"/>
      <c r="K47" s="11"/>
      <c r="L47" s="11">
        <f>IF(ISERROR(MATCH($B47,'Production - Oil'!$B$11:$B$54,0)),0,VLOOKUP($B47,'Production - Oil'!$B$11:$CD$54,MATCH('Production - Total'!L$9,'Production - Oil'!$B$9:$CD$9),FALSE))+IF(ISERROR(MATCH($B47,'Production - Gas'!$B$11:$B$54,0)),0,VLOOKUP($B47,'Production - Gas'!$B$11:$CD$54,MATCH('Production - Total'!L$9,'Production - Gas'!$B$9:$CD$9),FALSE)/5.8)</f>
        <v>36.275862068965523</v>
      </c>
      <c r="M47" s="11"/>
      <c r="N47" s="11"/>
      <c r="O47" s="11"/>
      <c r="P47" s="11"/>
      <c r="Q47" s="11">
        <f>IF(ISERROR(MATCH($B47,'Production - Oil'!$B$11:$B$54,0)),0,VLOOKUP($B47,'Production - Oil'!$B$11:$CD$54,MATCH('Production - Total'!Q$9,'Production - Oil'!$B$9:$CD$9),FALSE))+IF(ISERROR(MATCH($B47,'Production - Gas'!$B$11:$B$54,0)),0,VLOOKUP($B47,'Production - Gas'!$B$11:$CD$54,MATCH('Production - Total'!Q$9,'Production - Gas'!$B$9:$CD$9),FALSE)/5.8)</f>
        <v>33.896551724137936</v>
      </c>
      <c r="R47" s="11"/>
      <c r="S47" s="11"/>
      <c r="T47" s="11"/>
      <c r="U47" s="11"/>
      <c r="V47" s="11">
        <f>IF(ISERROR(MATCH($B47,'Production - Oil'!$B$11:$B$54,0)),0,VLOOKUP($B47,'Production - Oil'!$B$11:$CD$54,MATCH('Production - Total'!V$9,'Production - Oil'!$B$9:$CD$9),FALSE))+IF(ISERROR(MATCH($B47,'Production - Gas'!$B$11:$B$54,0)),0,VLOOKUP($B47,'Production - Gas'!$B$11:$CD$54,MATCH('Production - Total'!V$9,'Production - Gas'!$B$9:$CD$9),FALSE)/5.8)</f>
        <v>35.620689655172413</v>
      </c>
      <c r="W47" s="11"/>
      <c r="X47" s="11"/>
      <c r="Y47" s="11"/>
      <c r="Z47" s="11"/>
      <c r="AA47" s="11">
        <f>IF(ISERROR(MATCH($B47,'Production - Oil'!$B$11:$B$54,0)),0,VLOOKUP($B47,'Production - Oil'!$B$11:$CD$54,MATCH('Production - Total'!AA$9,'Production - Oil'!$B$9:$CD$9),FALSE))+IF(ISERROR(MATCH($B47,'Production - Gas'!$B$11:$B$54,0)),0,VLOOKUP($B47,'Production - Gas'!$B$11:$CD$54,MATCH('Production - Total'!AA$9,'Production - Gas'!$B$9:$CD$9),FALSE)/5.8)</f>
        <v>23.27586206896552</v>
      </c>
      <c r="AB47" s="11"/>
      <c r="AC47" s="11"/>
      <c r="AD47" s="11"/>
      <c r="AE47" s="11"/>
      <c r="AF47" s="11">
        <f>IF(ISERROR(MATCH($B47,'Production - Oil'!$B$11:$B$54,0)),0,VLOOKUP($B47,'Production - Oil'!$B$11:$CD$54,MATCH('Production - Total'!AF$9,'Production - Oil'!$B$9:$CD$9),FALSE))+IF(ISERROR(MATCH($B47,'Production - Gas'!$B$11:$B$54,0)),0,VLOOKUP($B47,'Production - Gas'!$B$11:$CD$54,MATCH('Production - Total'!AF$9,'Production - Gas'!$B$9:$CD$9),FALSE)/5.8)</f>
        <v>14.068965517241379</v>
      </c>
      <c r="AG47" s="82"/>
      <c r="AH47" s="82"/>
      <c r="AI47" s="82"/>
      <c r="AJ47" s="82"/>
      <c r="AK47" s="11">
        <f>IF(ISERROR(MATCH($B47,'Production - Oil'!$B$11:$B$54,0)),0,VLOOKUP($B47,'Production - Oil'!$B$11:$CD$54,MATCH('Production - Total'!AK$9,'Production - Oil'!$B$9:$CD$9),FALSE))+IF(ISERROR(MATCH($B47,'Production - Gas'!$B$11:$B$54,0)),0,VLOOKUP($B47,'Production - Gas'!$B$11:$CD$54,MATCH('Production - Total'!AK$9,'Production - Gas'!$B$9:$CD$9),FALSE)/5.8)</f>
        <v>12.172413793103448</v>
      </c>
      <c r="AL47" s="82"/>
      <c r="AM47" s="82"/>
      <c r="AN47" s="82"/>
      <c r="AO47" s="82"/>
      <c r="AP47" s="11">
        <f>IF(ISERROR(MATCH($B47,'Production - Oil'!$B$11:$B$54,0)),0,VLOOKUP($B47,'Production - Oil'!$B$11:$CD$54,MATCH('Production - Total'!AP$9,'Production - Oil'!$B$9:$CD$9),FALSE))+IF(ISERROR(MATCH($B47,'Production - Gas'!$B$11:$B$54,0)),0,VLOOKUP($B47,'Production - Gas'!$B$11:$CD$54,MATCH('Production - Total'!AP$9,'Production - Gas'!$B$9:$CD$9),FALSE)/5.8)</f>
        <v>11.172413793103448</v>
      </c>
      <c r="AQ47" s="82"/>
      <c r="AR47" s="82"/>
      <c r="AS47" s="82"/>
      <c r="AT47" s="82"/>
      <c r="AU47" s="11">
        <f>IF(ISERROR(MATCH($B47,'Production - Oil'!$B$11:$B$54,0)),0,VLOOKUP($B47,'Production - Oil'!$B$11:$CD$54,MATCH('Production - Total'!AU$9,'Production - Oil'!$B$9:$CD$9),FALSE))+IF(ISERROR(MATCH($B47,'Production - Gas'!$B$11:$B$54,0)),0,VLOOKUP($B47,'Production - Gas'!$B$11:$CD$54,MATCH('Production - Total'!AU$9,'Production - Gas'!$B$9:$CD$9),FALSE)/5.8)</f>
        <v>10.482758620689655</v>
      </c>
      <c r="AV47" s="82"/>
      <c r="AW47" s="82"/>
      <c r="AX47" s="82"/>
      <c r="AY47" s="82"/>
      <c r="AZ47" s="11">
        <f>IF(ISERROR(MATCH($B47,'Production - Oil'!$B$11:$B$54,0)),0,VLOOKUP($B47,'Production - Oil'!$B$11:$CD$54,MATCH('Production - Total'!AZ$9,'Production - Oil'!$B$9:$CD$9),FALSE))+IF(ISERROR(MATCH($B47,'Production - Gas'!$B$11:$B$54,0)),0,VLOOKUP($B47,'Production - Gas'!$B$11:$CD$54,MATCH('Production - Total'!AZ$9,'Production - Gas'!$B$9:$CD$9),FALSE)/5.8)</f>
        <v>10.103448275862069</v>
      </c>
      <c r="BA47" s="82"/>
      <c r="BB47" s="82"/>
      <c r="BC47" s="82"/>
      <c r="BD47" s="82"/>
      <c r="BE47" s="11">
        <f>IF(ISERROR(MATCH($B47,'Production - Oil'!$B$11:$B$54,0)),0,VLOOKUP($B47,'Production - Oil'!$B$11:$CD$54,MATCH('Production - Total'!BE$9,'Production - Oil'!$B$9:$CD$9),FALSE))+IF(ISERROR(MATCH($B47,'Production - Gas'!$B$11:$B$54,0)),0,VLOOKUP($B47,'Production - Gas'!$B$11:$CD$54,MATCH('Production - Total'!BE$9,'Production - Gas'!$B$9:$CD$9),FALSE)/5.8)</f>
        <v>10.275862068965518</v>
      </c>
      <c r="BF47" s="82"/>
      <c r="BG47" s="82"/>
      <c r="BH47" s="82"/>
      <c r="BI47" s="82"/>
      <c r="BJ47" s="11">
        <f>IF(ISERROR(MATCH($B47,'Production - Oil'!$B$11:$B$54,0)),0,VLOOKUP($B47,'Production - Oil'!$B$11:$CD$54,MATCH('Production - Total'!BJ$9,'Production - Oil'!$B$9:$CD$9),FALSE))+IF(ISERROR(MATCH($B47,'Production - Gas'!$B$11:$B$54,0)),0,VLOOKUP($B47,'Production - Gas'!$B$11:$CD$54,MATCH('Production - Total'!BJ$9,'Production - Gas'!$B$9:$CD$9),FALSE)/5.8)</f>
        <v>8.0344827586206904</v>
      </c>
      <c r="BK47" s="82"/>
      <c r="BL47" s="82"/>
      <c r="BM47" s="82"/>
      <c r="BN47" s="82"/>
      <c r="BO47" s="11">
        <f>'Production - Oil'!BO47+'Production - Gas'!BO47/5.8</f>
        <v>0</v>
      </c>
      <c r="BP47" s="82"/>
      <c r="BQ47" s="82"/>
      <c r="BR47" s="82"/>
      <c r="BS47" s="82"/>
      <c r="BT47" s="51"/>
      <c r="BU47" s="82"/>
      <c r="BV47" s="82"/>
      <c r="BW47" s="82"/>
      <c r="BX47" s="82"/>
      <c r="BY47" s="51"/>
      <c r="BZ47" s="82"/>
      <c r="CA47" s="82"/>
      <c r="CB47" s="82"/>
      <c r="CC47" s="82"/>
      <c r="CD47" s="51"/>
    </row>
    <row r="48" spans="1:82">
      <c r="A48" s="11"/>
      <c r="B48" s="11" t="s">
        <v>3400</v>
      </c>
      <c r="C48" s="11">
        <f>IF(ISERROR(MATCH($B48,'Production - Oil'!$B$11:$B$54,0)),0,VLOOKUP($B48,'Production - Oil'!$B$11:$CD$54,MATCH('Production - Total'!C$9,'Production - Oil'!$B$9:$CD$9),FALSE))+IF(ISERROR(MATCH($B48,'Production - Gas'!$B$11:$B$54,0)),0,VLOOKUP($B48,'Production - Gas'!$B$11:$CD$54,MATCH('Production - Total'!C$9,'Production - Gas'!$B$9:$CD$9),FALSE)/5.8)</f>
        <v>73.137931034482762</v>
      </c>
      <c r="D48" s="11">
        <f>IF(ISERROR(MATCH($B48,'Production - Oil'!$B$11:$B$54,0)),0,VLOOKUP($B48,'Production - Oil'!$B$11:$CD$54,MATCH('Production - Total'!D$9,'Production - Oil'!$B$9:$CD$9),FALSE))+IF(ISERROR(MATCH($B48,'Production - Gas'!$B$11:$B$54,0)),0,VLOOKUP($B48,'Production - Gas'!$B$11:$CD$54,MATCH('Production - Total'!D$9,'Production - Gas'!$B$9:$CD$9),FALSE)/5.8)</f>
        <v>86.517241379310349</v>
      </c>
      <c r="E48" s="11">
        <f>IF(ISERROR(MATCH($B48,'Production - Oil'!$B$11:$B$54,0)),0,VLOOKUP($B48,'Production - Oil'!$B$11:$CD$54,MATCH('Production - Total'!E$9,'Production - Oil'!$B$9:$CD$9),FALSE))+IF(ISERROR(MATCH($B48,'Production - Gas'!$B$11:$B$54,0)),0,VLOOKUP($B48,'Production - Gas'!$B$11:$CD$54,MATCH('Production - Total'!E$9,'Production - Gas'!$B$9:$CD$9),FALSE)/5.8)</f>
        <v>62.210344827586212</v>
      </c>
      <c r="F48" s="11">
        <f>IF(ISERROR(MATCH($B48,'Production - Oil'!$B$11:$B$54,0)),0,VLOOKUP($B48,'Production - Oil'!$B$11:$CD$54,MATCH('Production - Total'!F$9,'Production - Oil'!$B$9:$CD$9),FALSE))+IF(ISERROR(MATCH($B48,'Production - Gas'!$B$11:$B$54,0)),0,VLOOKUP($B48,'Production - Gas'!$B$11:$CD$54,MATCH('Production - Total'!F$9,'Production - Gas'!$B$9:$CD$9),FALSE)/5.8)</f>
        <v>53.775862068965516</v>
      </c>
      <c r="G48" s="11">
        <f>IF(ISERROR(MATCH($B48,'Production - Oil'!$B$11:$B$54,0)),0,VLOOKUP($B48,'Production - Oil'!$B$11:$CD$54,MATCH('Production - Total'!G$9,'Production - Oil'!$B$9:$CD$9),FALSE))+IF(ISERROR(MATCH($B48,'Production - Gas'!$B$11:$B$54,0)),0,VLOOKUP($B48,'Production - Gas'!$B$11:$CD$54,MATCH('Production - Total'!G$9,'Production - Gas'!$B$9:$CD$9),FALSE)/5.8)</f>
        <v>57.436206896551724</v>
      </c>
      <c r="H48" s="11"/>
      <c r="I48" s="11"/>
      <c r="J48" s="11"/>
      <c r="K48" s="11"/>
      <c r="L48" s="11">
        <f>IF(ISERROR(MATCH($B48,'Production - Oil'!$B$11:$B$54,0)),0,VLOOKUP($B48,'Production - Oil'!$B$11:$CD$54,MATCH('Production - Total'!L$9,'Production - Oil'!$B$9:$CD$9),FALSE))+IF(ISERROR(MATCH($B48,'Production - Gas'!$B$11:$B$54,0)),0,VLOOKUP($B48,'Production - Gas'!$B$11:$CD$54,MATCH('Production - Total'!L$9,'Production - Gas'!$B$9:$CD$9),FALSE)/5.8)</f>
        <v>33.724137931034484</v>
      </c>
      <c r="M48" s="11"/>
      <c r="N48" s="11"/>
      <c r="O48" s="11"/>
      <c r="P48" s="11"/>
      <c r="Q48" s="11">
        <f>IF(ISERROR(MATCH($B48,'Production - Oil'!$B$11:$B$54,0)),0,VLOOKUP($B48,'Production - Oil'!$B$11:$CD$54,MATCH('Production - Total'!Q$9,'Production - Oil'!$B$9:$CD$9),FALSE))+IF(ISERROR(MATCH($B48,'Production - Gas'!$B$11:$B$54,0)),0,VLOOKUP($B48,'Production - Gas'!$B$11:$CD$54,MATCH('Production - Total'!Q$9,'Production - Gas'!$B$9:$CD$9),FALSE)/5.8)</f>
        <v>30.137931034482762</v>
      </c>
      <c r="R48" s="11"/>
      <c r="S48" s="11"/>
      <c r="T48" s="11"/>
      <c r="U48" s="11"/>
      <c r="V48" s="11">
        <f>IF(ISERROR(MATCH($B48,'Production - Oil'!$B$11:$B$54,0)),0,VLOOKUP($B48,'Production - Oil'!$B$11:$CD$54,MATCH('Production - Total'!V$9,'Production - Oil'!$B$9:$CD$9),FALSE))+IF(ISERROR(MATCH($B48,'Production - Gas'!$B$11:$B$54,0)),0,VLOOKUP($B48,'Production - Gas'!$B$11:$CD$54,MATCH('Production - Total'!V$9,'Production - Gas'!$B$9:$CD$9),FALSE)/5.8)</f>
        <v>26.517241379310345</v>
      </c>
      <c r="W48" s="11"/>
      <c r="X48" s="11"/>
      <c r="Y48" s="11"/>
      <c r="Z48" s="11"/>
      <c r="AA48" s="11">
        <f>IF(ISERROR(MATCH($B48,'Production - Oil'!$B$11:$B$54,0)),0,VLOOKUP($B48,'Production - Oil'!$B$11:$CD$54,MATCH('Production - Total'!AA$9,'Production - Oil'!$B$9:$CD$9),FALSE))+IF(ISERROR(MATCH($B48,'Production - Gas'!$B$11:$B$54,0)),0,VLOOKUP($B48,'Production - Gas'!$B$11:$CD$54,MATCH('Production - Total'!AA$9,'Production - Gas'!$B$9:$CD$9),FALSE)/5.8)</f>
        <v>27.862068965517242</v>
      </c>
      <c r="AB48" s="11"/>
      <c r="AC48" s="11"/>
      <c r="AD48" s="11"/>
      <c r="AE48" s="11"/>
      <c r="AF48" s="11">
        <f>IF(ISERROR(MATCH($B48,'Production - Oil'!$B$11:$B$54,0)),0,VLOOKUP($B48,'Production - Oil'!$B$11:$CD$54,MATCH('Production - Total'!AF$9,'Production - Oil'!$B$9:$CD$9),FALSE))+IF(ISERROR(MATCH($B48,'Production - Gas'!$B$11:$B$54,0)),0,VLOOKUP($B48,'Production - Gas'!$B$11:$CD$54,MATCH('Production - Total'!AF$9,'Production - Gas'!$B$9:$CD$9),FALSE)/5.8)</f>
        <v>27.275862068965516</v>
      </c>
      <c r="AG48" s="82"/>
      <c r="AH48" s="82"/>
      <c r="AI48" s="82"/>
      <c r="AJ48" s="82"/>
      <c r="AK48" s="11">
        <f>IF(ISERROR(MATCH($B48,'Production - Oil'!$B$11:$B$54,0)),0,VLOOKUP($B48,'Production - Oil'!$B$11:$CD$54,MATCH('Production - Total'!AK$9,'Production - Oil'!$B$9:$CD$9),FALSE))+IF(ISERROR(MATCH($B48,'Production - Gas'!$B$11:$B$54,0)),0,VLOOKUP($B48,'Production - Gas'!$B$11:$CD$54,MATCH('Production - Total'!AK$9,'Production - Gas'!$B$9:$CD$9),FALSE)/5.8)</f>
        <v>48.068965517241381</v>
      </c>
      <c r="AL48" s="82"/>
      <c r="AM48" s="82"/>
      <c r="AN48" s="82"/>
      <c r="AO48" s="82"/>
      <c r="AP48" s="11">
        <f>IF(ISERROR(MATCH($B48,'Production - Oil'!$B$11:$B$54,0)),0,VLOOKUP($B48,'Production - Oil'!$B$11:$CD$54,MATCH('Production - Total'!AP$9,'Production - Oil'!$B$9:$CD$9),FALSE))+IF(ISERROR(MATCH($B48,'Production - Gas'!$B$11:$B$54,0)),0,VLOOKUP($B48,'Production - Gas'!$B$11:$CD$54,MATCH('Production - Total'!AP$9,'Production - Gas'!$B$9:$CD$9),FALSE)/5.8)</f>
        <v>60.96551724137931</v>
      </c>
      <c r="AQ48" s="82"/>
      <c r="AR48" s="82"/>
      <c r="AS48" s="82"/>
      <c r="AT48" s="82"/>
      <c r="AU48" s="11">
        <f>IF(ISERROR(MATCH($B48,'Production - Oil'!$B$11:$B$54,0)),0,VLOOKUP($B48,'Production - Oil'!$B$11:$CD$54,MATCH('Production - Total'!AU$9,'Production - Oil'!$B$9:$CD$9),FALSE))+IF(ISERROR(MATCH($B48,'Production - Gas'!$B$11:$B$54,0)),0,VLOOKUP($B48,'Production - Gas'!$B$11:$CD$54,MATCH('Production - Total'!AU$9,'Production - Gas'!$B$9:$CD$9),FALSE)/5.8)</f>
        <v>31.896551724137932</v>
      </c>
      <c r="AV48" s="82"/>
      <c r="AW48" s="82"/>
      <c r="AX48" s="82"/>
      <c r="AY48" s="82"/>
      <c r="AZ48" s="11">
        <f>IF(ISERROR(MATCH($B48,'Production - Oil'!$B$11:$B$54,0)),0,VLOOKUP($B48,'Production - Oil'!$B$11:$CD$54,MATCH('Production - Total'!AZ$9,'Production - Oil'!$B$9:$CD$9),FALSE))+IF(ISERROR(MATCH($B48,'Production - Gas'!$B$11:$B$54,0)),0,VLOOKUP($B48,'Production - Gas'!$B$11:$CD$54,MATCH('Production - Total'!AZ$9,'Production - Gas'!$B$9:$CD$9),FALSE)/5.8)</f>
        <v>24.586206896551726</v>
      </c>
      <c r="BA48" s="82"/>
      <c r="BB48" s="82"/>
      <c r="BC48" s="82"/>
      <c r="BD48" s="82"/>
      <c r="BE48" s="11">
        <f>IF(ISERROR(MATCH($B48,'Production - Oil'!$B$11:$B$54,0)),0,VLOOKUP($B48,'Production - Oil'!$B$11:$CD$54,MATCH('Production - Total'!BE$9,'Production - Oil'!$B$9:$CD$9),FALSE))+IF(ISERROR(MATCH($B48,'Production - Gas'!$B$11:$B$54,0)),0,VLOOKUP($B48,'Production - Gas'!$B$11:$CD$54,MATCH('Production - Total'!BE$9,'Production - Gas'!$B$9:$CD$9),FALSE)/5.8)</f>
        <v>20.482758620689655</v>
      </c>
      <c r="BF48" s="82"/>
      <c r="BG48" s="82"/>
      <c r="BH48" s="82"/>
      <c r="BI48" s="82"/>
      <c r="BJ48" s="11">
        <f>IF(ISERROR(MATCH($B48,'Production - Oil'!$B$11:$B$54,0)),0,VLOOKUP($B48,'Production - Oil'!$B$11:$CD$54,MATCH('Production - Total'!BJ$9,'Production - Oil'!$B$9:$CD$9),FALSE))+IF(ISERROR(MATCH($B48,'Production - Gas'!$B$11:$B$54,0)),0,VLOOKUP($B48,'Production - Gas'!$B$11:$CD$54,MATCH('Production - Total'!BJ$9,'Production - Gas'!$B$9:$CD$9),FALSE)/5.8)</f>
        <v>15.482758620689655</v>
      </c>
      <c r="BK48" s="82"/>
      <c r="BL48" s="82"/>
      <c r="BM48" s="82"/>
      <c r="BN48" s="82"/>
      <c r="BO48" s="11">
        <f>'Production - Oil'!BO48+'Production - Gas'!BO48/5.8</f>
        <v>11.344827586206897</v>
      </c>
      <c r="BP48" s="82"/>
      <c r="BQ48" s="82"/>
      <c r="BR48" s="82"/>
      <c r="BS48" s="82"/>
      <c r="BT48" s="51"/>
      <c r="BU48" s="82"/>
      <c r="BV48" s="82"/>
      <c r="BW48" s="82"/>
      <c r="BX48" s="82"/>
      <c r="BY48" s="51"/>
      <c r="BZ48" s="82"/>
      <c r="CA48" s="82"/>
      <c r="CB48" s="82"/>
      <c r="CC48" s="82"/>
      <c r="CD48" s="51"/>
    </row>
    <row r="49" spans="1:82">
      <c r="A49" s="39" t="s">
        <v>3401</v>
      </c>
      <c r="B49" s="39"/>
      <c r="C49" s="39">
        <f t="shared" ref="C49:AF49" si="4">SUM(C37:C48)</f>
        <v>240.72413793103451</v>
      </c>
      <c r="D49" s="39">
        <f t="shared" si="4"/>
        <v>244</v>
      </c>
      <c r="E49" s="39">
        <f t="shared" si="4"/>
        <v>215.44827586206895</v>
      </c>
      <c r="F49" s="39">
        <f t="shared" si="4"/>
        <v>194.51034482758621</v>
      </c>
      <c r="G49" s="39">
        <f t="shared" si="4"/>
        <v>229.75689655172414</v>
      </c>
      <c r="H49" s="39">
        <f t="shared" si="4"/>
        <v>0</v>
      </c>
      <c r="I49" s="39">
        <f t="shared" si="4"/>
        <v>0</v>
      </c>
      <c r="J49" s="39">
        <f t="shared" si="4"/>
        <v>0</v>
      </c>
      <c r="K49" s="39">
        <f t="shared" si="4"/>
        <v>0</v>
      </c>
      <c r="L49" s="39">
        <f t="shared" si="4"/>
        <v>268.44827586206895</v>
      </c>
      <c r="M49" s="39">
        <f t="shared" si="4"/>
        <v>0</v>
      </c>
      <c r="N49" s="39">
        <f t="shared" si="4"/>
        <v>0</v>
      </c>
      <c r="O49" s="39">
        <f t="shared" si="4"/>
        <v>0</v>
      </c>
      <c r="P49" s="39">
        <f t="shared" si="4"/>
        <v>0</v>
      </c>
      <c r="Q49" s="39">
        <f t="shared" si="4"/>
        <v>333</v>
      </c>
      <c r="R49" s="39">
        <f t="shared" si="4"/>
        <v>0</v>
      </c>
      <c r="S49" s="39">
        <f t="shared" si="4"/>
        <v>0</v>
      </c>
      <c r="T49" s="39">
        <f t="shared" si="4"/>
        <v>0</v>
      </c>
      <c r="U49" s="39">
        <f t="shared" si="4"/>
        <v>0</v>
      </c>
      <c r="V49" s="39">
        <f t="shared" si="4"/>
        <v>248.00000000000003</v>
      </c>
      <c r="W49" s="39">
        <f t="shared" si="4"/>
        <v>0</v>
      </c>
      <c r="X49" s="39">
        <f t="shared" si="4"/>
        <v>0</v>
      </c>
      <c r="Y49" s="39">
        <f t="shared" si="4"/>
        <v>0</v>
      </c>
      <c r="Z49" s="39">
        <f t="shared" si="4"/>
        <v>0</v>
      </c>
      <c r="AA49" s="39">
        <f t="shared" si="4"/>
        <v>228.17241379310346</v>
      </c>
      <c r="AB49" s="39">
        <f t="shared" si="4"/>
        <v>0</v>
      </c>
      <c r="AC49" s="39">
        <f t="shared" si="4"/>
        <v>0</v>
      </c>
      <c r="AD49" s="39">
        <f t="shared" si="4"/>
        <v>0</v>
      </c>
      <c r="AE49" s="39">
        <f t="shared" si="4"/>
        <v>0</v>
      </c>
      <c r="AF49" s="39">
        <f t="shared" si="4"/>
        <v>217.9655172413793</v>
      </c>
      <c r="AG49" s="80">
        <f>VLOOKUP($A49,'Production - Oil'!$A$9:$CD$56,MATCH('Production - Total'!AG$9,'Production - Oil'!$A$9:$CD$9,0),FALSE)+VLOOKUP($A49,'Production - Gas'!$A$9:$CD$56,MATCH('Production - Total'!AG$9,'Production - Gas'!$A$9:$CD$9,0),FALSE)/5.8</f>
        <v>0</v>
      </c>
      <c r="AH49" s="80">
        <f>VLOOKUP($A49,'Production - Oil'!$A$9:$CD$56,MATCH('Production - Total'!AH$9,'Production - Oil'!$A$9:$CD$9,0),FALSE)+VLOOKUP($A49,'Production - Gas'!$A$9:$CD$56,MATCH('Production - Total'!AH$9,'Production - Gas'!$A$9:$CD$9,0),FALSE)/5.8</f>
        <v>0</v>
      </c>
      <c r="AI49" s="80">
        <f>VLOOKUP($A49,'Production - Oil'!$A$9:$CD$56,MATCH('Production - Total'!AI$9,'Production - Oil'!$A$9:$CD$9,0),FALSE)+VLOOKUP($A49,'Production - Gas'!$A$9:$CD$56,MATCH('Production - Total'!AI$9,'Production - Gas'!$A$9:$CD$9,0),FALSE)/5.8</f>
        <v>0</v>
      </c>
      <c r="AJ49" s="80">
        <f>VLOOKUP($A49,'Production - Oil'!$A$9:$CD$56,MATCH('Production - Total'!AJ$9,'Production - Oil'!$A$9:$CD$9,0),FALSE)+VLOOKUP($A49,'Production - Gas'!$A$9:$CD$56,MATCH('Production - Total'!AJ$9,'Production - Gas'!$A$9:$CD$9,0),FALSE)/5.8</f>
        <v>0</v>
      </c>
      <c r="AK49" s="39">
        <f>VLOOKUP($A49,'Production - Oil'!$A$9:$CD$56,MATCH('Production - Total'!AK$9,'Production - Oil'!$A$9:$CD$9,0),FALSE)+VLOOKUP($A49,'Production - Gas'!$A$9:$CD$56,MATCH('Production - Total'!AK$9,'Production - Gas'!$A$9:$CD$9,0),FALSE)/5.8</f>
        <v>244.55172413793105</v>
      </c>
      <c r="AL49" s="80">
        <f>VLOOKUP($A49,'Production - Oil'!$A$9:$CD$56,MATCH('Production - Total'!AL$9,'Production - Oil'!$A$9:$CD$9,0),FALSE)+VLOOKUP($A49,'Production - Gas'!$A$9:$CD$56,MATCH('Production - Total'!AL$9,'Production - Gas'!$A$9:$CD$9,0),FALSE)/5.8</f>
        <v>0</v>
      </c>
      <c r="AM49" s="80">
        <f>VLOOKUP($A49,'Production - Oil'!$A$9:$CD$56,MATCH('Production - Total'!AM$9,'Production - Oil'!$A$9:$CD$9,0),FALSE)+VLOOKUP($A49,'Production - Gas'!$A$9:$CD$56,MATCH('Production - Total'!AM$9,'Production - Gas'!$A$9:$CD$9,0),FALSE)/5.8</f>
        <v>0</v>
      </c>
      <c r="AN49" s="80">
        <f>VLOOKUP($A49,'Production - Oil'!$A$9:$CD$56,MATCH('Production - Total'!AN$9,'Production - Oil'!$A$9:$CD$9,0),FALSE)+VLOOKUP($A49,'Production - Gas'!$A$9:$CD$56,MATCH('Production - Total'!AN$9,'Production - Gas'!$A$9:$CD$9,0),FALSE)/5.8</f>
        <v>0</v>
      </c>
      <c r="AO49" s="80">
        <f>VLOOKUP($A49,'Production - Oil'!$A$9:$CD$56,MATCH('Production - Total'!AO$9,'Production - Oil'!$A$9:$CD$9,0),FALSE)+VLOOKUP($A49,'Production - Gas'!$A$9:$CD$56,MATCH('Production - Total'!AO$9,'Production - Gas'!$A$9:$CD$9,0),FALSE)/5.8</f>
        <v>0</v>
      </c>
      <c r="AP49" s="39">
        <f>VLOOKUP($A49,'Production - Oil'!$A$9:$CD$56,MATCH('Production - Total'!AP$9,'Production - Oil'!$A$9:$CD$9,0),FALSE)+VLOOKUP($A49,'Production - Gas'!$A$9:$CD$56,MATCH('Production - Total'!AP$9,'Production - Gas'!$A$9:$CD$9,0),FALSE)/5.8</f>
        <v>248.13793103448276</v>
      </c>
      <c r="AQ49" s="82"/>
      <c r="AR49" s="82"/>
      <c r="AS49" s="82"/>
      <c r="AT49" s="82"/>
      <c r="AU49" s="39">
        <f>VLOOKUP($A49,'Production - Oil'!$A$9:$CD$56,MATCH('Production - Total'!AU$9,'Production - Oil'!$A$9:$CD$9,0),FALSE)+VLOOKUP($A49,'Production - Gas'!$A$9:$CD$56,MATCH('Production - Total'!AU$9,'Production - Gas'!$A$9:$CD$9,0),FALSE)/5.8</f>
        <v>226.17241379310343</v>
      </c>
      <c r="AV49" s="82"/>
      <c r="AW49" s="82"/>
      <c r="AX49" s="82"/>
      <c r="AY49" s="82"/>
      <c r="AZ49" s="39">
        <f>VLOOKUP($A49,'Production - Oil'!$A$9:$CD$56,MATCH('Production - Total'!AZ$9,'Production - Oil'!$A$9:$CD$9,0),FALSE)+VLOOKUP($A49,'Production - Gas'!$A$9:$CD$56,MATCH('Production - Total'!AZ$9,'Production - Gas'!$A$9:$CD$9,0),FALSE)/5.8</f>
        <v>217.34482758620692</v>
      </c>
      <c r="BA49" s="82"/>
      <c r="BB49" s="82"/>
      <c r="BC49" s="82"/>
      <c r="BD49" s="82"/>
      <c r="BE49" s="39">
        <f>VLOOKUP($A49,'Production - Oil'!$A$9:$CD$56,MATCH('Production - Total'!BE$9,'Production - Oil'!$A$9:$CD$9,0),FALSE)+VLOOKUP($A49,'Production - Gas'!$A$9:$CD$56,MATCH('Production - Total'!BE$9,'Production - Gas'!$A$9:$CD$9,0),FALSE)/5.8</f>
        <v>265.51724137931035</v>
      </c>
      <c r="BF49" s="82"/>
      <c r="BG49" s="82"/>
      <c r="BH49" s="82"/>
      <c r="BI49" s="82"/>
      <c r="BJ49" s="39">
        <f>VLOOKUP($A49,'Production - Oil'!$A$9:$CD$56,MATCH('Production - Total'!BJ$9,'Production - Oil'!$A$9:$CD$9,0),FALSE)+VLOOKUP($A49,'Production - Gas'!$A$9:$CD$56,MATCH('Production - Total'!BJ$9,'Production - Gas'!$A$9:$CD$9,0),FALSE)/5.8</f>
        <v>266.58620689655174</v>
      </c>
      <c r="BK49" s="82"/>
      <c r="BL49" s="82"/>
      <c r="BM49" s="82"/>
      <c r="BN49" s="82"/>
      <c r="BO49" s="39">
        <f>'Production - Oil'!BO49+'Production - Gas'!BO49/5.8</f>
        <v>388.9655172413793</v>
      </c>
      <c r="BP49" s="80">
        <f>VLOOKUP($A49,'Production - Oil'!$A$9:$CD$56,MATCH('Production - Total'!BP$9,'Production - Oil'!$A$9:$CD$9,0),FALSE)+VLOOKUP($A49,'Production - Gas'!$A$9:$CD$56,MATCH('Production - Total'!BP$9,'Production - Gas'!$A$9:$CD$9,0),FALSE)/5.8</f>
        <v>496.3019797145414</v>
      </c>
      <c r="BQ49" s="80">
        <f>VLOOKUP($A49,'Production - Oil'!$A$9:$CD$56,MATCH('Production - Total'!BQ$9,'Production - Oil'!$A$9:$CD$9,0),FALSE)+VLOOKUP($A49,'Production - Gas'!$A$9:$CD$56,MATCH('Production - Total'!BQ$9,'Production - Gas'!$A$9:$CD$9,0),FALSE)/5.8</f>
        <v>492.58275178101815</v>
      </c>
      <c r="BR49" s="80">
        <f>VLOOKUP($A49,'Production - Oil'!$A$9:$CD$56,MATCH('Production - Total'!BR$9,'Production - Oil'!$A$9:$CD$9,0),FALSE)+VLOOKUP($A49,'Production - Gas'!$A$9:$CD$56,MATCH('Production - Total'!BR$9,'Production - Gas'!$A$9:$CD$9,0),FALSE)/5.8</f>
        <v>493.55193825319736</v>
      </c>
      <c r="BS49" s="80">
        <f>VLOOKUP($A49,'Production - Oil'!$A$9:$CD$56,MATCH('Production - Total'!BS$9,'Production - Oil'!$A$9:$CD$9,0),FALSE)+VLOOKUP($A49,'Production - Gas'!$A$9:$CD$56,MATCH('Production - Total'!BS$9,'Production - Gas'!$A$9:$CD$9,0),FALSE)/5.8</f>
        <v>495.21712335469078</v>
      </c>
      <c r="BT49" s="39">
        <f>VLOOKUP($A49,'Production - Oil'!$A$9:$CD$56,MATCH('Production - Total'!BT$9,'Production - Oil'!$A$9:$CD$9,0),FALSE)+VLOOKUP($A49,'Production - Gas'!$A$9:$CD$56,MATCH('Production - Total'!BT$9,'Production - Gas'!$A$9:$CD$9,0),FALSE)/5.8</f>
        <v>494.41344827586192</v>
      </c>
      <c r="BU49" s="80">
        <f>VLOOKUP($A49,'Production - Oil'!$A$9:$CD$56,MATCH('Production - Total'!BU$9,'Production - Oil'!$A$9:$CD$9,0),FALSE)+VLOOKUP($A49,'Production - Gas'!$A$9:$CD$56,MATCH('Production - Total'!BU$9,'Production - Gas'!$A$9:$CD$9,0),FALSE)/5.8</f>
        <v>542.34101143166663</v>
      </c>
      <c r="BV49" s="80">
        <f>VLOOKUP($A49,'Production - Oil'!$A$9:$CD$56,MATCH('Production - Total'!BV$9,'Production - Oil'!$A$9:$CD$9,0),FALSE)+VLOOKUP($A49,'Production - Gas'!$A$9:$CD$56,MATCH('Production - Total'!BV$9,'Production - Gas'!$A$9:$CD$9,0),FALSE)/5.8</f>
        <v>538.20129327693735</v>
      </c>
      <c r="BW49" s="80">
        <f>VLOOKUP($A49,'Production - Oil'!$A$9:$CD$56,MATCH('Production - Total'!BW$9,'Production - Oil'!$A$9:$CD$9,0),FALSE)+VLOOKUP($A49,'Production - Gas'!$A$9:$CD$56,MATCH('Production - Total'!BW$9,'Production - Gas'!$A$9:$CD$9,0),FALSE)/5.8</f>
        <v>539.28005448918657</v>
      </c>
      <c r="BX49" s="80">
        <f>VLOOKUP($A49,'Production - Oil'!$A$9:$CD$56,MATCH('Production - Total'!BX$9,'Production - Oil'!$A$9:$CD$9,0),FALSE)+VLOOKUP($A49,'Production - Gas'!$A$9:$CD$56,MATCH('Production - Total'!BX$9,'Production - Gas'!$A$9:$CD$9,0),FALSE)/5.8</f>
        <v>541.13350287117555</v>
      </c>
      <c r="BY49" s="39">
        <f>VLOOKUP($A49,'Production - Oil'!$A$9:$CD$56,MATCH('Production - Total'!BY$9,'Production - Oil'!$A$9:$CD$9,0),FALSE)+VLOOKUP($A49,'Production - Gas'!$A$9:$CD$56,MATCH('Production - Total'!BY$9,'Production - Gas'!$A$9:$CD$9,0),FALSE)/5.8</f>
        <v>540.23896551724147</v>
      </c>
      <c r="BZ49" s="80">
        <f>VLOOKUP($A49,'Production - Oil'!$A$9:$CD$56,MATCH('Production - Total'!BZ$9,'Production - Oil'!$A$9:$CD$9,0),FALSE)+VLOOKUP($A49,'Production - Gas'!$A$9:$CD$56,MATCH('Production - Total'!BZ$9,'Production - Gas'!$A$9:$CD$9,0),FALSE)/5.8</f>
        <v>588.49028259509589</v>
      </c>
      <c r="CA49" s="80">
        <f>VLOOKUP($A49,'Production - Oil'!$A$9:$CD$56,MATCH('Production - Total'!CA$9,'Production - Oil'!$A$9:$CD$9,0),FALSE)+VLOOKUP($A49,'Production - Gas'!$A$9:$CD$56,MATCH('Production - Total'!CA$9,'Production - Gas'!$A$9:$CD$9,0),FALSE)/5.8</f>
        <v>583.26748496549305</v>
      </c>
      <c r="CB49" s="80">
        <f>VLOOKUP($A49,'Production - Oil'!$A$9:$CD$56,MATCH('Production - Total'!CB$9,'Production - Oil'!$A$9:$CD$9,0),FALSE)+VLOOKUP($A49,'Production - Gas'!$A$9:$CD$56,MATCH('Production - Total'!CB$9,'Production - Gas'!$A$9:$CD$9,0),FALSE)/5.8</f>
        <v>584.62848378030526</v>
      </c>
      <c r="CC49" s="80">
        <f>VLOOKUP($A49,'Production - Oil'!$A$9:$CD$56,MATCH('Production - Total'!CC$9,'Production - Oil'!$A$9:$CD$9,0),FALSE)+VLOOKUP($A49,'Production - Gas'!$A$9:$CD$56,MATCH('Production - Total'!CC$9,'Production - Gas'!$A$9:$CD$9,0),FALSE)/5.8</f>
        <v>586.96685210738178</v>
      </c>
      <c r="CD49" s="39">
        <f>VLOOKUP($A49,'Production - Oil'!$A$9:$CD$56,MATCH('Production - Total'!CD$9,'Production - Oil'!$A$9:$CD$9,0),FALSE)+VLOOKUP($A49,'Production - Gas'!$A$9:$CD$56,MATCH('Production - Total'!CD$9,'Production - Gas'!$A$9:$CD$9,0),FALSE)/5.8</f>
        <v>585.83827586206894</v>
      </c>
    </row>
    <row r="50" spans="1:82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68"/>
      <c r="AH50" s="68"/>
      <c r="AI50" s="68"/>
      <c r="AJ50" s="68"/>
      <c r="AK50" s="11"/>
      <c r="AL50" s="68"/>
      <c r="AM50" s="68"/>
      <c r="AN50" s="68"/>
      <c r="AO50" s="68"/>
      <c r="AP50" s="11"/>
      <c r="AQ50" s="68"/>
      <c r="AR50" s="68"/>
      <c r="AS50" s="68"/>
      <c r="AT50" s="68"/>
      <c r="AU50" s="11"/>
      <c r="AV50" s="68"/>
      <c r="AW50" s="68"/>
      <c r="AX50" s="68"/>
      <c r="AY50" s="68"/>
      <c r="AZ50" s="11"/>
      <c r="BA50" s="68"/>
      <c r="BB50" s="68"/>
      <c r="BC50" s="68"/>
      <c r="BD50" s="68"/>
      <c r="BE50" s="11"/>
      <c r="BF50" s="68"/>
      <c r="BG50" s="68"/>
      <c r="BH50" s="68"/>
      <c r="BI50" s="68"/>
      <c r="BJ50" s="11"/>
      <c r="BK50" s="68"/>
      <c r="BL50" s="68"/>
      <c r="BM50" s="68"/>
      <c r="BN50" s="68"/>
      <c r="BO50" s="11"/>
      <c r="BP50" s="68"/>
      <c r="BQ50" s="68"/>
      <c r="BR50" s="68"/>
      <c r="BS50" s="68"/>
      <c r="BT50" s="11"/>
      <c r="BU50" s="68"/>
      <c r="BV50" s="68"/>
      <c r="BW50" s="68"/>
      <c r="BX50" s="68"/>
      <c r="BY50" s="11"/>
      <c r="BZ50" s="68"/>
      <c r="CA50" s="68"/>
      <c r="CB50" s="68"/>
      <c r="CC50" s="68"/>
      <c r="CD50" s="11"/>
    </row>
    <row r="51" spans="1:82">
      <c r="A51" s="39" t="s">
        <v>3402</v>
      </c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68"/>
      <c r="AH51" s="68"/>
      <c r="AI51" s="68"/>
      <c r="AJ51" s="68"/>
      <c r="AK51" s="11"/>
      <c r="AL51" s="68"/>
      <c r="AM51" s="68"/>
      <c r="AN51" s="68"/>
      <c r="AO51" s="68"/>
      <c r="AP51" s="11"/>
      <c r="AQ51" s="68"/>
      <c r="AR51" s="68"/>
      <c r="AS51" s="68"/>
      <c r="AT51" s="68"/>
      <c r="AU51" s="11"/>
      <c r="AV51" s="68"/>
      <c r="AW51" s="68"/>
      <c r="AX51" s="68"/>
      <c r="AY51" s="68"/>
      <c r="AZ51" s="11"/>
      <c r="BA51" s="68"/>
      <c r="BB51" s="68"/>
      <c r="BC51" s="68"/>
      <c r="BD51" s="68"/>
      <c r="BE51" s="11"/>
      <c r="BF51" s="68"/>
      <c r="BG51" s="68"/>
      <c r="BH51" s="68"/>
      <c r="BI51" s="68"/>
      <c r="BJ51" s="11"/>
      <c r="BK51" s="68"/>
      <c r="BL51" s="68"/>
      <c r="BM51" s="68"/>
      <c r="BN51" s="68"/>
      <c r="BO51" s="11"/>
      <c r="BP51" s="68"/>
      <c r="BQ51" s="68"/>
      <c r="BR51" s="68"/>
      <c r="BS51" s="68"/>
      <c r="BT51" s="11"/>
      <c r="BU51" s="68"/>
      <c r="BV51" s="68"/>
      <c r="BW51" s="68"/>
      <c r="BX51" s="68"/>
      <c r="BY51" s="11"/>
      <c r="BZ51" s="68"/>
      <c r="CA51" s="68"/>
      <c r="CB51" s="68"/>
      <c r="CC51" s="68"/>
      <c r="CD51" s="11"/>
    </row>
    <row r="52" spans="1:82">
      <c r="A52" s="11"/>
      <c r="B52" s="11" t="s">
        <v>2965</v>
      </c>
      <c r="C52" s="11">
        <f>IF(ISERROR(MATCH($B52,'Production - Oil'!$B$11:$B$54,0)),0,VLOOKUP($B52,'Production - Oil'!$B$11:$CD$54,MATCH('Production - Total'!C$9,'Production - Oil'!$B$9:$CD$9),FALSE))+IF(ISERROR(MATCH($B52,'Production - Gas'!$B$11:$B$54,0)),0,VLOOKUP($B52,'Production - Gas'!$B$11:$CD$54,MATCH('Production - Total'!C$9,'Production - Gas'!$B$9:$CD$9),FALSE)/5.8)</f>
        <v>80.862068965517238</v>
      </c>
      <c r="D52" s="11">
        <f>IF(ISERROR(MATCH($B52,'Production - Oil'!$B$11:$B$54,0)),0,VLOOKUP($B52,'Production - Oil'!$B$11:$CD$54,MATCH('Production - Total'!D$9,'Production - Oil'!$B$9:$CD$9),FALSE))+IF(ISERROR(MATCH($B52,'Production - Gas'!$B$11:$B$54,0)),0,VLOOKUP($B52,'Production - Gas'!$B$11:$CD$54,MATCH('Production - Total'!D$9,'Production - Gas'!$B$9:$CD$9),FALSE)/5.8)</f>
        <v>93.862068965517238</v>
      </c>
      <c r="E52" s="11">
        <f>IF(ISERROR(MATCH($B52,'Production - Oil'!$B$11:$B$54,0)),0,VLOOKUP($B52,'Production - Oil'!$B$11:$CD$54,MATCH('Production - Total'!E$9,'Production - Oil'!$B$9:$CD$9),FALSE))+IF(ISERROR(MATCH($B52,'Production - Gas'!$B$11:$B$54,0)),0,VLOOKUP($B52,'Production - Gas'!$B$11:$CD$54,MATCH('Production - Total'!E$9,'Production - Gas'!$B$9:$CD$9),FALSE)/5.8)</f>
        <v>89.137931034482762</v>
      </c>
      <c r="F52" s="11">
        <f>IF(ISERROR(MATCH($B52,'Production - Oil'!$B$11:$B$54,0)),0,VLOOKUP($B52,'Production - Oil'!$B$11:$CD$54,MATCH('Production - Total'!F$9,'Production - Oil'!$B$9:$CD$9),FALSE))+IF(ISERROR(MATCH($B52,'Production - Gas'!$B$11:$B$54,0)),0,VLOOKUP($B52,'Production - Gas'!$B$11:$CD$54,MATCH('Production - Total'!F$9,'Production - Gas'!$B$9:$CD$9),FALSE)/5.8)</f>
        <v>89.103448275862064</v>
      </c>
      <c r="G52" s="11">
        <f>IF(ISERROR(MATCH($B52,'Production - Oil'!$B$11:$B$54,0)),0,VLOOKUP($B52,'Production - Oil'!$B$11:$CD$54,MATCH('Production - Total'!G$9,'Production - Oil'!$B$9:$CD$9),FALSE))+IF(ISERROR(MATCH($B52,'Production - Gas'!$B$11:$B$54,0)),0,VLOOKUP($B52,'Production - Gas'!$B$11:$CD$54,MATCH('Production - Total'!G$9,'Production - Gas'!$B$9:$CD$9),FALSE)/5.8)</f>
        <v>99.275862068965523</v>
      </c>
      <c r="H52" s="11"/>
      <c r="I52" s="11"/>
      <c r="J52" s="11"/>
      <c r="K52" s="11"/>
      <c r="L52" s="11">
        <f>IF(ISERROR(MATCH($B52,'Production - Oil'!$B$11:$B$54,0)),0,VLOOKUP($B52,'Production - Oil'!$B$11:$CD$54,MATCH('Production - Total'!L$9,'Production - Oil'!$B$9:$CD$9),FALSE))+IF(ISERROR(MATCH($B52,'Production - Gas'!$B$11:$B$54,0)),0,VLOOKUP($B52,'Production - Gas'!$B$11:$CD$54,MATCH('Production - Total'!L$9,'Production - Gas'!$B$9:$CD$9),FALSE)/5.8)</f>
        <v>96.758620689655174</v>
      </c>
      <c r="M52" s="11"/>
      <c r="N52" s="11"/>
      <c r="O52" s="11"/>
      <c r="P52" s="11"/>
      <c r="Q52" s="11">
        <f>IF(ISERROR(MATCH($B52,'Production - Oil'!$B$11:$B$54,0)),0,VLOOKUP($B52,'Production - Oil'!$B$11:$CD$54,MATCH('Production - Total'!Q$9,'Production - Oil'!$B$9:$CD$9),FALSE))+IF(ISERROR(MATCH($B52,'Production - Gas'!$B$11:$B$54,0)),0,VLOOKUP($B52,'Production - Gas'!$B$11:$CD$54,MATCH('Production - Total'!Q$9,'Production - Gas'!$B$9:$CD$9),FALSE)/5.8)</f>
        <v>98.827586206896555</v>
      </c>
      <c r="R52" s="11"/>
      <c r="S52" s="11"/>
      <c r="T52" s="11"/>
      <c r="U52" s="11"/>
      <c r="V52" s="11">
        <f>IF(ISERROR(MATCH($B52,'Production - Oil'!$B$11:$B$54,0)),0,VLOOKUP($B52,'Production - Oil'!$B$11:$CD$54,MATCH('Production - Total'!V$9,'Production - Oil'!$B$9:$CD$9),FALSE))+IF(ISERROR(MATCH($B52,'Production - Gas'!$B$11:$B$54,0)),0,VLOOKUP($B52,'Production - Gas'!$B$11:$CD$54,MATCH('Production - Total'!V$9,'Production - Gas'!$B$9:$CD$9),FALSE)/5.8)</f>
        <v>94.517241379310349</v>
      </c>
      <c r="W52" s="11"/>
      <c r="X52" s="11"/>
      <c r="Y52" s="11"/>
      <c r="Z52" s="11"/>
      <c r="AA52" s="11">
        <f>IF(ISERROR(MATCH($B52,'Production - Oil'!$B$11:$B$54,0)),0,VLOOKUP($B52,'Production - Oil'!$B$11:$CD$54,MATCH('Production - Total'!AA$9,'Production - Oil'!$B$9:$CD$9),FALSE))+IF(ISERROR(MATCH($B52,'Production - Gas'!$B$11:$B$54,0)),0,VLOOKUP($B52,'Production - Gas'!$B$11:$CD$54,MATCH('Production - Total'!AA$9,'Production - Gas'!$B$9:$CD$9),FALSE)/5.8)</f>
        <v>106.86206896551724</v>
      </c>
      <c r="AB52" s="11"/>
      <c r="AC52" s="11"/>
      <c r="AD52" s="11"/>
      <c r="AE52" s="11"/>
      <c r="AF52" s="11">
        <f>IF(ISERROR(MATCH($B52,'Production - Oil'!$B$11:$B$54,0)),0,VLOOKUP($B52,'Production - Oil'!$B$11:$CD$54,MATCH('Production - Total'!AF$9,'Production - Oil'!$B$9:$CD$9),FALSE))+IF(ISERROR(MATCH($B52,'Production - Gas'!$B$11:$B$54,0)),0,VLOOKUP($B52,'Production - Gas'!$B$11:$CD$54,MATCH('Production - Total'!AF$9,'Production - Gas'!$B$9:$CD$9),FALSE)/5.8)</f>
        <v>109.65517241379311</v>
      </c>
      <c r="AG52" s="82"/>
      <c r="AH52" s="82"/>
      <c r="AI52" s="82"/>
      <c r="AJ52" s="82"/>
      <c r="AK52" s="11">
        <f>IF(ISERROR(MATCH($B52,'Production - Oil'!$B$11:$B$54,0)),0,VLOOKUP($B52,'Production - Oil'!$B$11:$CD$54,MATCH('Production - Total'!AK$9,'Production - Oil'!$B$9:$CD$9),FALSE))+IF(ISERROR(MATCH($B52,'Production - Gas'!$B$11:$B$54,0)),0,VLOOKUP($B52,'Production - Gas'!$B$11:$CD$54,MATCH('Production - Total'!AK$9,'Production - Gas'!$B$9:$CD$9),FALSE)/5.8)</f>
        <v>101.44827586206897</v>
      </c>
      <c r="AL52" s="82"/>
      <c r="AM52" s="82"/>
      <c r="AN52" s="82"/>
      <c r="AO52" s="82"/>
      <c r="AP52" s="11">
        <f>IF(ISERROR(MATCH($B52,'Production - Oil'!$B$11:$B$54,0)),0,VLOOKUP($B52,'Production - Oil'!$B$11:$CD$54,MATCH('Production - Total'!AP$9,'Production - Oil'!$B$9:$CD$9),FALSE))+IF(ISERROR(MATCH($B52,'Production - Gas'!$B$11:$B$54,0)),0,VLOOKUP($B52,'Production - Gas'!$B$11:$CD$54,MATCH('Production - Total'!AP$9,'Production - Gas'!$B$9:$CD$9),FALSE)/5.8)</f>
        <v>99</v>
      </c>
      <c r="AQ52" s="82"/>
      <c r="AR52" s="82"/>
      <c r="AS52" s="82"/>
      <c r="AT52" s="82"/>
      <c r="AU52" s="11">
        <f>IF(ISERROR(MATCH($B52,'Production - Oil'!$B$11:$B$54,0)),0,VLOOKUP($B52,'Production - Oil'!$B$11:$CD$54,MATCH('Production - Total'!AU$9,'Production - Oil'!$B$9:$CD$9),FALSE))+IF(ISERROR(MATCH($B52,'Production - Gas'!$B$11:$B$54,0)),0,VLOOKUP($B52,'Production - Gas'!$B$11:$CD$54,MATCH('Production - Total'!AU$9,'Production - Gas'!$B$9:$CD$9),FALSE)/5.8)</f>
        <v>97.310344827586206</v>
      </c>
      <c r="AV52" s="82"/>
      <c r="AW52" s="82"/>
      <c r="AX52" s="82"/>
      <c r="AY52" s="82"/>
      <c r="AZ52" s="11">
        <f>IF(ISERROR(MATCH($B52,'Production - Oil'!$B$11:$B$54,0)),0,VLOOKUP($B52,'Production - Oil'!$B$11:$CD$54,MATCH('Production - Total'!AZ$9,'Production - Oil'!$B$9:$CD$9),FALSE))+IF(ISERROR(MATCH($B52,'Production - Gas'!$B$11:$B$54,0)),0,VLOOKUP($B52,'Production - Gas'!$B$11:$CD$54,MATCH('Production - Total'!AZ$9,'Production - Gas'!$B$9:$CD$9),FALSE)/5.8)</f>
        <v>97.58620689655173</v>
      </c>
      <c r="BA52" s="82"/>
      <c r="BB52" s="82"/>
      <c r="BC52" s="82"/>
      <c r="BD52" s="82"/>
      <c r="BE52" s="11">
        <f>IF(ISERROR(MATCH($B52,'Production - Oil'!$B$11:$B$54,0)),0,VLOOKUP($B52,'Production - Oil'!$B$11:$CD$54,MATCH('Production - Total'!BE$9,'Production - Oil'!$B$9:$CD$9),FALSE))+IF(ISERROR(MATCH($B52,'Production - Gas'!$B$11:$B$54,0)),0,VLOOKUP($B52,'Production - Gas'!$B$11:$CD$54,MATCH('Production - Total'!BE$9,'Production - Gas'!$B$9:$CD$9),FALSE)/5.8)</f>
        <v>95.068965517241381</v>
      </c>
      <c r="BF52" s="82"/>
      <c r="BG52" s="82"/>
      <c r="BH52" s="82"/>
      <c r="BI52" s="82"/>
      <c r="BJ52" s="11">
        <f>IF(ISERROR(MATCH($B52,'Production - Oil'!$B$11:$B$54,0)),0,VLOOKUP($B52,'Production - Oil'!$B$11:$CD$54,MATCH('Production - Total'!BJ$9,'Production - Oil'!$B$9:$CD$9),FALSE))+IF(ISERROR(MATCH($B52,'Production - Gas'!$B$11:$B$54,0)),0,VLOOKUP($B52,'Production - Gas'!$B$11:$CD$54,MATCH('Production - Total'!BJ$9,'Production - Gas'!$B$9:$CD$9),FALSE)/5.8)</f>
        <v>95.758620689655174</v>
      </c>
      <c r="BK52" s="82"/>
      <c r="BL52" s="82"/>
      <c r="BM52" s="82"/>
      <c r="BN52" s="82"/>
      <c r="BO52" s="11">
        <f>'Production - Oil'!BO52+'Production - Gas'!BO52/5.8</f>
        <v>90.448275862068968</v>
      </c>
      <c r="BP52" s="82"/>
      <c r="BQ52" s="82"/>
      <c r="BR52" s="82"/>
      <c r="BS52" s="82"/>
      <c r="BT52" s="51"/>
      <c r="BU52" s="82"/>
      <c r="BV52" s="82"/>
      <c r="BW52" s="82"/>
      <c r="BX52" s="82"/>
      <c r="BY52" s="51"/>
      <c r="BZ52" s="82"/>
      <c r="CA52" s="82"/>
      <c r="CB52" s="82"/>
      <c r="CC52" s="82"/>
      <c r="CD52" s="51"/>
    </row>
    <row r="53" spans="1:82">
      <c r="A53" s="11"/>
      <c r="B53" s="11" t="s">
        <v>3403</v>
      </c>
      <c r="C53" s="11">
        <f>IF(ISERROR(MATCH($B53,'Production - Oil'!$B$11:$B$54,0)),0,VLOOKUP($B53,'Production - Oil'!$B$11:$CD$54,MATCH('Production - Total'!C$9,'Production - Oil'!$B$9:$CD$9),FALSE))+IF(ISERROR(MATCH($B53,'Production - Gas'!$B$11:$B$54,0)),0,VLOOKUP($B53,'Production - Gas'!$B$11:$CD$54,MATCH('Production - Total'!C$9,'Production - Gas'!$B$9:$CD$9),FALSE)/5.8)</f>
        <v>0</v>
      </c>
      <c r="D53" s="11">
        <f>IF(ISERROR(MATCH($B53,'Production - Oil'!$B$11:$B$54,0)),0,VLOOKUP($B53,'Production - Oil'!$B$11:$CD$54,MATCH('Production - Total'!D$9,'Production - Oil'!$B$9:$CD$9),FALSE))+IF(ISERROR(MATCH($B53,'Production - Gas'!$B$11:$B$54,0)),0,VLOOKUP($B53,'Production - Gas'!$B$11:$CD$54,MATCH('Production - Total'!D$9,'Production - Gas'!$B$9:$CD$9),FALSE)/5.8)</f>
        <v>0</v>
      </c>
      <c r="E53" s="11">
        <f>IF(ISERROR(MATCH($B53,'Production - Oil'!$B$11:$B$54,0)),0,VLOOKUP($B53,'Production - Oil'!$B$11:$CD$54,MATCH('Production - Total'!E$9,'Production - Oil'!$B$9:$CD$9),FALSE))+IF(ISERROR(MATCH($B53,'Production - Gas'!$B$11:$B$54,0)),0,VLOOKUP($B53,'Production - Gas'!$B$11:$CD$54,MATCH('Production - Total'!E$9,'Production - Gas'!$B$9:$CD$9),FALSE)/5.8)</f>
        <v>0</v>
      </c>
      <c r="F53" s="11">
        <f>IF(ISERROR(MATCH($B53,'Production - Oil'!$B$11:$B$54,0)),0,VLOOKUP($B53,'Production - Oil'!$B$11:$CD$54,MATCH('Production - Total'!F$9,'Production - Oil'!$B$9:$CD$9),FALSE))+IF(ISERROR(MATCH($B53,'Production - Gas'!$B$11:$B$54,0)),0,VLOOKUP($B53,'Production - Gas'!$B$11:$CD$54,MATCH('Production - Total'!F$9,'Production - Gas'!$B$9:$CD$9),FALSE)/5.8)</f>
        <v>0</v>
      </c>
      <c r="G53" s="11">
        <f>IF(ISERROR(MATCH($B53,'Production - Oil'!$B$11:$B$54,0)),0,VLOOKUP($B53,'Production - Oil'!$B$11:$CD$54,MATCH('Production - Total'!G$9,'Production - Oil'!$B$9:$CD$9),FALSE))+IF(ISERROR(MATCH($B53,'Production - Gas'!$B$11:$B$54,0)),0,VLOOKUP($B53,'Production - Gas'!$B$11:$CD$54,MATCH('Production - Total'!G$9,'Production - Gas'!$B$9:$CD$9),FALSE)/5.8)</f>
        <v>0</v>
      </c>
      <c r="H53" s="11"/>
      <c r="I53" s="11"/>
      <c r="J53" s="11"/>
      <c r="K53" s="11"/>
      <c r="L53" s="11">
        <f>IF(ISERROR(MATCH($B53,'Production - Oil'!$B$11:$B$54,0)),0,VLOOKUP($B53,'Production - Oil'!$B$11:$CD$54,MATCH('Production - Total'!L$9,'Production - Oil'!$B$9:$CD$9),FALSE))+IF(ISERROR(MATCH($B53,'Production - Gas'!$B$11:$B$54,0)),0,VLOOKUP($B53,'Production - Gas'!$B$11:$CD$54,MATCH('Production - Total'!L$9,'Production - Gas'!$B$9:$CD$9),FALSE)/5.8)</f>
        <v>0</v>
      </c>
      <c r="M53" s="11"/>
      <c r="N53" s="11"/>
      <c r="O53" s="11"/>
      <c r="P53" s="11"/>
      <c r="Q53" s="11">
        <f>IF(ISERROR(MATCH($B53,'Production - Oil'!$B$11:$B$54,0)),0,VLOOKUP($B53,'Production - Oil'!$B$11:$CD$54,MATCH('Production - Total'!Q$9,'Production - Oil'!$B$9:$CD$9),FALSE))+IF(ISERROR(MATCH($B53,'Production - Gas'!$B$11:$B$54,0)),0,VLOOKUP($B53,'Production - Gas'!$B$11:$CD$54,MATCH('Production - Total'!Q$9,'Production - Gas'!$B$9:$CD$9),FALSE)/5.8)</f>
        <v>0</v>
      </c>
      <c r="R53" s="11"/>
      <c r="S53" s="11"/>
      <c r="T53" s="11"/>
      <c r="U53" s="11"/>
      <c r="V53" s="11">
        <f>IF(ISERROR(MATCH($B53,'Production - Oil'!$B$11:$B$54,0)),0,VLOOKUP($B53,'Production - Oil'!$B$11:$CD$54,MATCH('Production - Total'!V$9,'Production - Oil'!$B$9:$CD$9),FALSE))+IF(ISERROR(MATCH($B53,'Production - Gas'!$B$11:$B$54,0)),0,VLOOKUP($B53,'Production - Gas'!$B$11:$CD$54,MATCH('Production - Total'!V$9,'Production - Gas'!$B$9:$CD$9),FALSE)/5.8)</f>
        <v>0.17241379310344829</v>
      </c>
      <c r="W53" s="11"/>
      <c r="X53" s="11"/>
      <c r="Y53" s="11"/>
      <c r="Z53" s="11"/>
      <c r="AA53" s="11">
        <f>IF(ISERROR(MATCH($B53,'Production - Oil'!$B$11:$B$54,0)),0,VLOOKUP($B53,'Production - Oil'!$B$11:$CD$54,MATCH('Production - Total'!AA$9,'Production - Oil'!$B$9:$CD$9),FALSE))+IF(ISERROR(MATCH($B53,'Production - Gas'!$B$11:$B$54,0)),0,VLOOKUP($B53,'Production - Gas'!$B$11:$CD$54,MATCH('Production - Total'!AA$9,'Production - Gas'!$B$9:$CD$9),FALSE)/5.8)</f>
        <v>12.758620689655173</v>
      </c>
      <c r="AB53" s="11"/>
      <c r="AC53" s="11"/>
      <c r="AD53" s="11"/>
      <c r="AE53" s="11"/>
      <c r="AF53" s="11">
        <f>IF(ISERROR(MATCH($B53,'Production - Oil'!$B$11:$B$54,0)),0,VLOOKUP($B53,'Production - Oil'!$B$11:$CD$54,MATCH('Production - Total'!AF$9,'Production - Oil'!$B$9:$CD$9),FALSE))+IF(ISERROR(MATCH($B53,'Production - Gas'!$B$11:$B$54,0)),0,VLOOKUP($B53,'Production - Gas'!$B$11:$CD$54,MATCH('Production - Total'!AF$9,'Production - Gas'!$B$9:$CD$9),FALSE)/5.8)</f>
        <v>57.689655172413794</v>
      </c>
      <c r="AG53" s="82"/>
      <c r="AH53" s="82"/>
      <c r="AI53" s="82"/>
      <c r="AJ53" s="82"/>
      <c r="AK53" s="11">
        <f>IF(ISERROR(MATCH($B53,'Production - Oil'!$B$11:$B$54,0)),0,VLOOKUP($B53,'Production - Oil'!$B$11:$CD$54,MATCH('Production - Total'!AK$9,'Production - Oil'!$B$9:$CD$9),FALSE))+IF(ISERROR(MATCH($B53,'Production - Gas'!$B$11:$B$54,0)),0,VLOOKUP($B53,'Production - Gas'!$B$11:$CD$54,MATCH('Production - Total'!AK$9,'Production - Gas'!$B$9:$CD$9),FALSE)/5.8)</f>
        <v>60.620689655172413</v>
      </c>
      <c r="AL53" s="82"/>
      <c r="AM53" s="82"/>
      <c r="AN53" s="82"/>
      <c r="AO53" s="82"/>
      <c r="AP53" s="11">
        <f>IF(ISERROR(MATCH($B53,'Production - Oil'!$B$11:$B$54,0)),0,VLOOKUP($B53,'Production - Oil'!$B$11:$CD$54,MATCH('Production - Total'!AP$9,'Production - Oil'!$B$9:$CD$9),FALSE))+IF(ISERROR(MATCH($B53,'Production - Gas'!$B$11:$B$54,0)),0,VLOOKUP($B53,'Production - Gas'!$B$11:$CD$54,MATCH('Production - Total'!AP$9,'Production - Gas'!$B$9:$CD$9),FALSE)/5.8)</f>
        <v>63.689655172413794</v>
      </c>
      <c r="AQ53" s="82"/>
      <c r="AR53" s="82"/>
      <c r="AS53" s="82"/>
      <c r="AT53" s="82"/>
      <c r="AU53" s="11">
        <f>IF(ISERROR(MATCH($B53,'Production - Oil'!$B$11:$B$54,0)),0,VLOOKUP($B53,'Production - Oil'!$B$11:$CD$54,MATCH('Production - Total'!AU$9,'Production - Oil'!$B$9:$CD$9),FALSE))+IF(ISERROR(MATCH($B53,'Production - Gas'!$B$11:$B$54,0)),0,VLOOKUP($B53,'Production - Gas'!$B$11:$CD$54,MATCH('Production - Total'!AU$9,'Production - Gas'!$B$9:$CD$9),FALSE)/5.8)</f>
        <v>62.172413793103452</v>
      </c>
      <c r="AV53" s="82"/>
      <c r="AW53" s="82"/>
      <c r="AX53" s="82"/>
      <c r="AY53" s="82"/>
      <c r="AZ53" s="11">
        <f>IF(ISERROR(MATCH($B53,'Production - Oil'!$B$11:$B$54,0)),0,VLOOKUP($B53,'Production - Oil'!$B$11:$CD$54,MATCH('Production - Total'!AZ$9,'Production - Oil'!$B$9:$CD$9),FALSE))+IF(ISERROR(MATCH($B53,'Production - Gas'!$B$11:$B$54,0)),0,VLOOKUP($B53,'Production - Gas'!$B$11:$CD$54,MATCH('Production - Total'!AZ$9,'Production - Gas'!$B$9:$CD$9),FALSE)/5.8)</f>
        <v>64.758620689655174</v>
      </c>
      <c r="BA53" s="82"/>
      <c r="BB53" s="82"/>
      <c r="BC53" s="82"/>
      <c r="BD53" s="82"/>
      <c r="BE53" s="11">
        <f>IF(ISERROR(MATCH($B53,'Production - Oil'!$B$11:$B$54,0)),0,VLOOKUP($B53,'Production - Oil'!$B$11:$CD$54,MATCH('Production - Total'!BE$9,'Production - Oil'!$B$9:$CD$9),FALSE))+IF(ISERROR(MATCH($B53,'Production - Gas'!$B$11:$B$54,0)),0,VLOOKUP($B53,'Production - Gas'!$B$11:$CD$54,MATCH('Production - Total'!BE$9,'Production - Gas'!$B$9:$CD$9),FALSE)/5.8)</f>
        <v>63.03448275862069</v>
      </c>
      <c r="BF53" s="82"/>
      <c r="BG53" s="82"/>
      <c r="BH53" s="82"/>
      <c r="BI53" s="82"/>
      <c r="BJ53" s="11">
        <f>IF(ISERROR(MATCH($B53,'Production - Oil'!$B$11:$B$54,0)),0,VLOOKUP($B53,'Production - Oil'!$B$11:$CD$54,MATCH('Production - Total'!BJ$9,'Production - Oil'!$B$9:$CD$9),FALSE))+IF(ISERROR(MATCH($B53,'Production - Gas'!$B$11:$B$54,0)),0,VLOOKUP($B53,'Production - Gas'!$B$11:$CD$54,MATCH('Production - Total'!BJ$9,'Production - Gas'!$B$9:$CD$9),FALSE)/5.8)</f>
        <v>65.620689655172413</v>
      </c>
      <c r="BK53" s="82"/>
      <c r="BL53" s="82"/>
      <c r="BM53" s="82"/>
      <c r="BN53" s="82"/>
      <c r="BO53" s="11">
        <f>'Production - Oil'!BO53+'Production - Gas'!BO53/5.8</f>
        <v>62.551724137931039</v>
      </c>
      <c r="BP53" s="82"/>
      <c r="BQ53" s="82"/>
      <c r="BR53" s="82"/>
      <c r="BS53" s="82"/>
      <c r="BT53" s="51"/>
      <c r="BU53" s="82"/>
      <c r="BV53" s="82"/>
      <c r="BW53" s="82"/>
      <c r="BX53" s="82"/>
      <c r="BY53" s="51"/>
      <c r="BZ53" s="82"/>
      <c r="CA53" s="82"/>
      <c r="CB53" s="82"/>
      <c r="CC53" s="82"/>
      <c r="CD53" s="51"/>
    </row>
    <row r="54" spans="1:82">
      <c r="A54" s="39" t="s">
        <v>1935</v>
      </c>
      <c r="B54" s="39"/>
      <c r="C54" s="39">
        <f t="shared" ref="C54:AA54" si="5">SUM(C52:C53)</f>
        <v>80.862068965517238</v>
      </c>
      <c r="D54" s="39">
        <f t="shared" si="5"/>
        <v>93.862068965517238</v>
      </c>
      <c r="E54" s="39">
        <f t="shared" si="5"/>
        <v>89.137931034482762</v>
      </c>
      <c r="F54" s="39">
        <f t="shared" si="5"/>
        <v>89.103448275862064</v>
      </c>
      <c r="G54" s="39">
        <f t="shared" si="5"/>
        <v>99.275862068965523</v>
      </c>
      <c r="H54" s="39">
        <f t="shared" si="5"/>
        <v>0</v>
      </c>
      <c r="I54" s="39">
        <f t="shared" si="5"/>
        <v>0</v>
      </c>
      <c r="J54" s="39">
        <f t="shared" si="5"/>
        <v>0</v>
      </c>
      <c r="K54" s="39">
        <f t="shared" si="5"/>
        <v>0</v>
      </c>
      <c r="L54" s="39">
        <f t="shared" si="5"/>
        <v>96.758620689655174</v>
      </c>
      <c r="M54" s="39">
        <f t="shared" si="5"/>
        <v>0</v>
      </c>
      <c r="N54" s="39">
        <f t="shared" si="5"/>
        <v>0</v>
      </c>
      <c r="O54" s="39">
        <f t="shared" si="5"/>
        <v>0</v>
      </c>
      <c r="P54" s="39">
        <f t="shared" si="5"/>
        <v>0</v>
      </c>
      <c r="Q54" s="39">
        <f t="shared" si="5"/>
        <v>98.827586206896555</v>
      </c>
      <c r="R54" s="39">
        <f t="shared" si="5"/>
        <v>0</v>
      </c>
      <c r="S54" s="39">
        <f t="shared" si="5"/>
        <v>0</v>
      </c>
      <c r="T54" s="39">
        <f t="shared" si="5"/>
        <v>0</v>
      </c>
      <c r="U54" s="39">
        <f t="shared" si="5"/>
        <v>0</v>
      </c>
      <c r="V54" s="39">
        <f t="shared" si="5"/>
        <v>94.689655172413794</v>
      </c>
      <c r="W54" s="39">
        <f t="shared" si="5"/>
        <v>0</v>
      </c>
      <c r="X54" s="39">
        <f t="shared" si="5"/>
        <v>0</v>
      </c>
      <c r="Y54" s="39">
        <f t="shared" si="5"/>
        <v>0</v>
      </c>
      <c r="Z54" s="39">
        <f t="shared" si="5"/>
        <v>0</v>
      </c>
      <c r="AA54" s="39">
        <f t="shared" si="5"/>
        <v>119.62068965517241</v>
      </c>
      <c r="AB54" s="39"/>
      <c r="AC54" s="39"/>
      <c r="AD54" s="39"/>
      <c r="AE54" s="39"/>
      <c r="AF54" s="39">
        <f>SUM(AF52:AF53)</f>
        <v>167.34482758620692</v>
      </c>
      <c r="AG54" s="80">
        <f>VLOOKUP($A54,'Production - Oil'!$A$9:$CD$56,MATCH('Production - Total'!AG$9,'Production - Oil'!$A$9:$CD$9,0),FALSE)+VLOOKUP($A54,'Production - Gas'!$A$9:$CD$56,MATCH('Production - Total'!AG$9,'Production - Gas'!$A$9:$CD$9,0),FALSE)/5.8</f>
        <v>0</v>
      </c>
      <c r="AH54" s="80">
        <f>VLOOKUP($A54,'Production - Oil'!$A$9:$CD$56,MATCH('Production - Total'!AH$9,'Production - Oil'!$A$9:$CD$9,0),FALSE)+VLOOKUP($A54,'Production - Gas'!$A$9:$CD$56,MATCH('Production - Total'!AH$9,'Production - Gas'!$A$9:$CD$9,0),FALSE)/5.8</f>
        <v>0</v>
      </c>
      <c r="AI54" s="80">
        <f>VLOOKUP($A54,'Production - Oil'!$A$9:$CD$56,MATCH('Production - Total'!AI$9,'Production - Oil'!$A$9:$CD$9,0),FALSE)+VLOOKUP($A54,'Production - Gas'!$A$9:$CD$56,MATCH('Production - Total'!AI$9,'Production - Gas'!$A$9:$CD$9,0),FALSE)/5.8</f>
        <v>0</v>
      </c>
      <c r="AJ54" s="80">
        <f>VLOOKUP($A54,'Production - Oil'!$A$9:$CD$56,MATCH('Production - Total'!AJ$9,'Production - Oil'!$A$9:$CD$9,0),FALSE)+VLOOKUP($A54,'Production - Gas'!$A$9:$CD$56,MATCH('Production - Total'!AJ$9,'Production - Gas'!$A$9:$CD$9,0),FALSE)/5.8</f>
        <v>0</v>
      </c>
      <c r="AK54" s="39">
        <f>VLOOKUP($A54,'Production - Oil'!$A$9:$CD$56,MATCH('Production - Total'!AK$9,'Production - Oil'!$A$9:$CD$9,0),FALSE)+VLOOKUP($A54,'Production - Gas'!$A$9:$CD$56,MATCH('Production - Total'!AK$9,'Production - Gas'!$A$9:$CD$9,0),FALSE)/5.8</f>
        <v>162.06896551724139</v>
      </c>
      <c r="AL54" s="80">
        <f>VLOOKUP($A54,'Production - Oil'!$A$9:$CD$56,MATCH('Production - Total'!AL$9,'Production - Oil'!$A$9:$CD$9,0),FALSE)+VLOOKUP($A54,'Production - Gas'!$A$9:$CD$56,MATCH('Production - Total'!AL$9,'Production - Gas'!$A$9:$CD$9,0),FALSE)/5.8</f>
        <v>0</v>
      </c>
      <c r="AM54" s="80">
        <f>VLOOKUP($A54,'Production - Oil'!$A$9:$CD$56,MATCH('Production - Total'!AM$9,'Production - Oil'!$A$9:$CD$9,0),FALSE)+VLOOKUP($A54,'Production - Gas'!$A$9:$CD$56,MATCH('Production - Total'!AM$9,'Production - Gas'!$A$9:$CD$9,0),FALSE)/5.8</f>
        <v>0</v>
      </c>
      <c r="AN54" s="80">
        <f>VLOOKUP($A54,'Production - Oil'!$A$9:$CD$56,MATCH('Production - Total'!AN$9,'Production - Oil'!$A$9:$CD$9,0),FALSE)+VLOOKUP($A54,'Production - Gas'!$A$9:$CD$56,MATCH('Production - Total'!AN$9,'Production - Gas'!$A$9:$CD$9,0),FALSE)/5.8</f>
        <v>0</v>
      </c>
      <c r="AO54" s="80">
        <f>VLOOKUP($A54,'Production - Oil'!$A$9:$CD$56,MATCH('Production - Total'!AO$9,'Production - Oil'!$A$9:$CD$9,0),FALSE)+VLOOKUP($A54,'Production - Gas'!$A$9:$CD$56,MATCH('Production - Total'!AO$9,'Production - Gas'!$A$9:$CD$9,0),FALSE)/5.8</f>
        <v>0</v>
      </c>
      <c r="AP54" s="39">
        <f>VLOOKUP($A54,'Production - Oil'!$A$9:$CD$56,MATCH('Production - Total'!AP$9,'Production - Oil'!$A$9:$CD$9,0),FALSE)+VLOOKUP($A54,'Production - Gas'!$A$9:$CD$56,MATCH('Production - Total'!AP$9,'Production - Gas'!$A$9:$CD$9,0),FALSE)/5.8</f>
        <v>162.68965517241381</v>
      </c>
      <c r="AQ54" s="82"/>
      <c r="AR54" s="82"/>
      <c r="AS54" s="82"/>
      <c r="AT54" s="82"/>
      <c r="AU54" s="39">
        <f>VLOOKUP($A54,'Production - Oil'!$A$9:$CD$56,MATCH('Production - Total'!AU$9,'Production - Oil'!$A$9:$CD$9,0),FALSE)+VLOOKUP($A54,'Production - Gas'!$A$9:$CD$56,MATCH('Production - Total'!AU$9,'Production - Gas'!$A$9:$CD$9,0),FALSE)/5.8</f>
        <v>159.48275862068965</v>
      </c>
      <c r="AV54" s="82"/>
      <c r="AW54" s="82"/>
      <c r="AX54" s="82"/>
      <c r="AY54" s="82"/>
      <c r="AZ54" s="39">
        <f>VLOOKUP($A54,'Production - Oil'!$A$9:$CD$56,MATCH('Production - Total'!AZ$9,'Production - Oil'!$A$9:$CD$9,0),FALSE)+VLOOKUP($A54,'Production - Gas'!$A$9:$CD$56,MATCH('Production - Total'!AZ$9,'Production - Gas'!$A$9:$CD$9,0),FALSE)/5.8</f>
        <v>162.34482758620689</v>
      </c>
      <c r="BA54" s="82"/>
      <c r="BB54" s="82"/>
      <c r="BC54" s="82"/>
      <c r="BD54" s="82"/>
      <c r="BE54" s="39">
        <f>VLOOKUP($A54,'Production - Oil'!$A$9:$CD$56,MATCH('Production - Total'!BE$9,'Production - Oil'!$A$9:$CD$9,0),FALSE)+VLOOKUP($A54,'Production - Gas'!$A$9:$CD$56,MATCH('Production - Total'!BE$9,'Production - Gas'!$A$9:$CD$9,0),FALSE)/5.8</f>
        <v>158.10344827586206</v>
      </c>
      <c r="BF54" s="82"/>
      <c r="BG54" s="82"/>
      <c r="BH54" s="82"/>
      <c r="BI54" s="82"/>
      <c r="BJ54" s="39">
        <f>VLOOKUP($A54,'Production - Oil'!$A$9:$CD$56,MATCH('Production - Total'!BJ$9,'Production - Oil'!$A$9:$CD$9,0),FALSE)+VLOOKUP($A54,'Production - Gas'!$A$9:$CD$56,MATCH('Production - Total'!BJ$9,'Production - Gas'!$A$9:$CD$9,0),FALSE)/5.8</f>
        <v>160.37931034482759</v>
      </c>
      <c r="BK54" s="82"/>
      <c r="BL54" s="82"/>
      <c r="BM54" s="82"/>
      <c r="BN54" s="82"/>
      <c r="BO54" s="39">
        <f>'Production - Oil'!BO54+'Production - Gas'!BO54/5.8</f>
        <v>154</v>
      </c>
      <c r="BP54" s="80">
        <f>VLOOKUP($A54,'Production - Oil'!$A$9:$CD$56,MATCH('Production - Total'!BP$9,'Production - Oil'!$A$9:$CD$9,0),FALSE)+VLOOKUP($A54,'Production - Gas'!$A$9:$CD$56,MATCH('Production - Total'!BP$9,'Production - Gas'!$A$9:$CD$9,0),FALSE)/5.8</f>
        <v>159.61735120302299</v>
      </c>
      <c r="BQ54" s="80">
        <f>VLOOKUP($A54,'Production - Oil'!$A$9:$CD$56,MATCH('Production - Total'!BQ$9,'Production - Oil'!$A$9:$CD$9,0),FALSE)+VLOOKUP($A54,'Production - Gas'!$A$9:$CD$56,MATCH('Production - Total'!BQ$9,'Production - Gas'!$A$9:$CD$9,0),FALSE)/5.8</f>
        <v>155.84544089620107</v>
      </c>
      <c r="BR54" s="80">
        <f>VLOOKUP($A54,'Production - Oil'!$A$9:$CD$56,MATCH('Production - Total'!BR$9,'Production - Oil'!$A$9:$CD$9,0),FALSE)+VLOOKUP($A54,'Production - Gas'!$A$9:$CD$56,MATCH('Production - Total'!BR$9,'Production - Gas'!$A$9:$CD$9,0),FALSE)/5.8</f>
        <v>156.82835576697167</v>
      </c>
      <c r="BS54" s="80">
        <f>VLOOKUP($A54,'Production - Oil'!$A$9:$CD$56,MATCH('Production - Total'!BS$9,'Production - Oil'!$A$9:$CD$9,0),FALSE)+VLOOKUP($A54,'Production - Gas'!$A$9:$CD$56,MATCH('Production - Total'!BS$9,'Production - Gas'!$A$9:$CD$9,0),FALSE)/5.8</f>
        <v>158.5171279958733</v>
      </c>
      <c r="BT54" s="39">
        <f>VLOOKUP($A54,'Production - Oil'!$A$9:$CD$56,MATCH('Production - Total'!BT$9,'Production - Oil'!$A$9:$CD$9,0),FALSE)+VLOOKUP($A54,'Production - Gas'!$A$9:$CD$56,MATCH('Production - Total'!BT$9,'Production - Gas'!$A$9:$CD$9,0),FALSE)/5.8</f>
        <v>157.70206896551724</v>
      </c>
      <c r="BU54" s="80">
        <f>VLOOKUP($A54,'Production - Oil'!$A$9:$CD$56,MATCH('Production - Total'!BU$9,'Production - Oil'!$A$9:$CD$9,0),FALSE)+VLOOKUP($A54,'Production - Gas'!$A$9:$CD$56,MATCH('Production - Total'!BU$9,'Production - Gas'!$A$9:$CD$9,0),FALSE)/5.8</f>
        <v>158.09492432957111</v>
      </c>
      <c r="BV54" s="80">
        <f>VLOOKUP($A54,'Production - Oil'!$A$9:$CD$56,MATCH('Production - Total'!BV$9,'Production - Oil'!$A$9:$CD$9,0),FALSE)+VLOOKUP($A54,'Production - Gas'!$A$9:$CD$56,MATCH('Production - Total'!BV$9,'Production - Gas'!$A$9:$CD$9,0),FALSE)/5.8</f>
        <v>154.32439797301097</v>
      </c>
      <c r="BW54" s="80">
        <f>VLOOKUP($A54,'Production - Oil'!$A$9:$CD$56,MATCH('Production - Total'!BW$9,'Production - Oil'!$A$9:$CD$9,0),FALSE)+VLOOKUP($A54,'Production - Gas'!$A$9:$CD$56,MATCH('Production - Total'!BW$9,'Production - Gas'!$A$9:$CD$9,0),FALSE)/5.8</f>
        <v>155.30695220283786</v>
      </c>
      <c r="BX54" s="80">
        <f>VLOOKUP($A54,'Production - Oil'!$A$9:$CD$56,MATCH('Production - Total'!BX$9,'Production - Oil'!$A$9:$CD$9,0),FALSE)+VLOOKUP($A54,'Production - Gas'!$A$9:$CD$56,MATCH('Production - Total'!BX$9,'Production - Gas'!$A$9:$CD$9,0),FALSE)/5.8</f>
        <v>156.99510480492492</v>
      </c>
      <c r="BY54" s="39">
        <f>VLOOKUP($A54,'Production - Oil'!$A$9:$CD$56,MATCH('Production - Total'!BY$9,'Production - Oil'!$A$9:$CD$9,0),FALSE)+VLOOKUP($A54,'Production - Gas'!$A$9:$CD$56,MATCH('Production - Total'!BY$9,'Production - Gas'!$A$9:$CD$9,0),FALSE)/5.8</f>
        <v>156.18034482758623</v>
      </c>
      <c r="BZ54" s="80">
        <f>VLOOKUP($A54,'Production - Oil'!$A$9:$CD$56,MATCH('Production - Total'!BZ$9,'Production - Oil'!$A$9:$CD$9,0),FALSE)+VLOOKUP($A54,'Production - Gas'!$A$9:$CD$56,MATCH('Production - Total'!BZ$9,'Production - Gas'!$A$9:$CD$9,0),FALSE)/5.8</f>
        <v>152.90029121436208</v>
      </c>
      <c r="CA54" s="80">
        <f>VLOOKUP($A54,'Production - Oil'!$A$9:$CD$56,MATCH('Production - Total'!CA$9,'Production - Oil'!$A$9:$CD$9,0),FALSE)+VLOOKUP($A54,'Production - Gas'!$A$9:$CD$56,MATCH('Production - Total'!CA$9,'Production - Gas'!$A$9:$CD$9,0),FALSE)/5.8</f>
        <v>149.25026079392811</v>
      </c>
      <c r="CB54" s="80">
        <f>VLOOKUP($A54,'Production - Oil'!$A$9:$CD$56,MATCH('Production - Total'!CB$9,'Production - Oil'!$A$9:$CD$9,0),FALSE)+VLOOKUP($A54,'Production - Gas'!$A$9:$CD$56,MATCH('Production - Total'!CB$9,'Production - Gas'!$A$9:$CD$9,0),FALSE)/5.8</f>
        <v>150.20141521892091</v>
      </c>
      <c r="CC54" s="80">
        <f>VLOOKUP($A54,'Production - Oil'!$A$9:$CD$56,MATCH('Production - Total'!CC$9,'Production - Oil'!$A$9:$CD$9,0),FALSE)+VLOOKUP($A54,'Production - Gas'!$A$9:$CD$56,MATCH('Production - Total'!CC$9,'Production - Gas'!$A$9:$CD$9,0),FALSE)/5.8</f>
        <v>151.83561897968548</v>
      </c>
      <c r="CD54" s="39">
        <f>VLOOKUP($A54,'Production - Oil'!$A$9:$CD$56,MATCH('Production - Total'!CD$9,'Production - Oil'!$A$9:$CD$9,0),FALSE)+VLOOKUP($A54,'Production - Gas'!$A$9:$CD$56,MATCH('Production - Total'!CD$9,'Production - Gas'!$A$9:$CD$9,0),FALSE)/5.8</f>
        <v>151.04689655172413</v>
      </c>
    </row>
    <row r="55" spans="1:82">
      <c r="A55" s="39"/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80"/>
      <c r="AH55" s="80"/>
      <c r="AI55" s="80"/>
      <c r="AJ55" s="80"/>
      <c r="AK55" s="39"/>
      <c r="AL55" s="80"/>
      <c r="AM55" s="80"/>
      <c r="AN55" s="80"/>
      <c r="AO55" s="80"/>
      <c r="AP55" s="39"/>
      <c r="AQ55" s="80"/>
      <c r="AR55" s="80"/>
      <c r="AS55" s="80"/>
      <c r="AT55" s="80"/>
      <c r="AU55" s="39"/>
      <c r="AV55" s="80"/>
      <c r="AW55" s="80"/>
      <c r="AX55" s="80"/>
      <c r="AY55" s="80"/>
      <c r="AZ55" s="39"/>
      <c r="BA55" s="80"/>
      <c r="BB55" s="80"/>
      <c r="BC55" s="80"/>
      <c r="BD55" s="80"/>
      <c r="BE55" s="39"/>
      <c r="BF55" s="80"/>
      <c r="BG55" s="80"/>
      <c r="BH55" s="80"/>
      <c r="BI55" s="80"/>
      <c r="BJ55" s="39"/>
      <c r="BK55" s="80"/>
      <c r="BL55" s="80"/>
      <c r="BM55" s="80"/>
      <c r="BN55" s="80"/>
      <c r="BO55" s="39"/>
      <c r="BP55" s="80"/>
      <c r="BQ55" s="80"/>
      <c r="BR55" s="80"/>
      <c r="BS55" s="80"/>
      <c r="BT55" s="39"/>
      <c r="BU55" s="80"/>
      <c r="BV55" s="80"/>
      <c r="BW55" s="80"/>
      <c r="BX55" s="80"/>
      <c r="BY55" s="39"/>
      <c r="BZ55" s="80"/>
      <c r="CA55" s="80"/>
      <c r="CB55" s="80"/>
      <c r="CC55" s="80"/>
      <c r="CD55" s="39"/>
    </row>
    <row r="56" spans="1:82">
      <c r="A56" s="46" t="s">
        <v>2513</v>
      </c>
      <c r="B56" s="46"/>
      <c r="C56" s="46">
        <f t="shared" ref="C56:AH56" si="6">C14+C19+C28+C34+C49+C54</f>
        <v>3151.7931034482758</v>
      </c>
      <c r="D56" s="46">
        <f t="shared" si="6"/>
        <v>3201.1724137931033</v>
      </c>
      <c r="E56" s="46">
        <f t="shared" si="6"/>
        <v>3010.1724137931037</v>
      </c>
      <c r="F56" s="46">
        <f t="shared" si="6"/>
        <v>2794.4827586206893</v>
      </c>
      <c r="G56" s="46">
        <f t="shared" si="6"/>
        <v>2718.1724137931033</v>
      </c>
      <c r="H56" s="46">
        <f t="shared" si="6"/>
        <v>0</v>
      </c>
      <c r="I56" s="46">
        <f t="shared" si="6"/>
        <v>0</v>
      </c>
      <c r="J56" s="46">
        <f t="shared" si="6"/>
        <v>0</v>
      </c>
      <c r="K56" s="46">
        <f t="shared" si="6"/>
        <v>0</v>
      </c>
      <c r="L56" s="46">
        <f t="shared" si="6"/>
        <v>2628.9310344827586</v>
      </c>
      <c r="M56" s="46">
        <f t="shared" si="6"/>
        <v>0</v>
      </c>
      <c r="N56" s="46">
        <f t="shared" si="6"/>
        <v>0</v>
      </c>
      <c r="O56" s="46">
        <f t="shared" si="6"/>
        <v>0</v>
      </c>
      <c r="P56" s="46">
        <f t="shared" si="6"/>
        <v>0</v>
      </c>
      <c r="Q56" s="46">
        <f t="shared" si="6"/>
        <v>2549.1724137931037</v>
      </c>
      <c r="R56" s="46">
        <f t="shared" si="6"/>
        <v>0</v>
      </c>
      <c r="S56" s="46">
        <f t="shared" si="6"/>
        <v>0</v>
      </c>
      <c r="T56" s="46">
        <f t="shared" si="6"/>
        <v>0</v>
      </c>
      <c r="U56" s="46">
        <f t="shared" si="6"/>
        <v>0</v>
      </c>
      <c r="V56" s="46">
        <f t="shared" si="6"/>
        <v>2517.655172413793</v>
      </c>
      <c r="W56" s="46">
        <f t="shared" si="6"/>
        <v>0</v>
      </c>
      <c r="X56" s="46">
        <f t="shared" si="6"/>
        <v>0</v>
      </c>
      <c r="Y56" s="46">
        <f t="shared" si="6"/>
        <v>0</v>
      </c>
      <c r="Z56" s="46">
        <f t="shared" si="6"/>
        <v>0</v>
      </c>
      <c r="AA56" s="46">
        <f t="shared" si="6"/>
        <v>2684.4827586206898</v>
      </c>
      <c r="AB56" s="46">
        <f t="shared" si="6"/>
        <v>0</v>
      </c>
      <c r="AC56" s="46">
        <f t="shared" si="6"/>
        <v>0</v>
      </c>
      <c r="AD56" s="46">
        <f t="shared" si="6"/>
        <v>0</v>
      </c>
      <c r="AE56" s="46">
        <f t="shared" si="6"/>
        <v>0</v>
      </c>
      <c r="AF56" s="46">
        <f t="shared" si="6"/>
        <v>2493.1379310344832</v>
      </c>
      <c r="AG56" s="81">
        <f t="shared" si="6"/>
        <v>0</v>
      </c>
      <c r="AH56" s="81">
        <f t="shared" si="6"/>
        <v>0</v>
      </c>
      <c r="AI56" s="81">
        <f t="shared" ref="AI56:AZ56" si="7">AI14+AI19+AI28+AI34+AI49+AI54</f>
        <v>0</v>
      </c>
      <c r="AJ56" s="81">
        <f t="shared" si="7"/>
        <v>0</v>
      </c>
      <c r="AK56" s="46">
        <f t="shared" si="7"/>
        <v>2094.2413793103451</v>
      </c>
      <c r="AL56" s="81">
        <f t="shared" si="7"/>
        <v>0</v>
      </c>
      <c r="AM56" s="81">
        <f t="shared" si="7"/>
        <v>0</v>
      </c>
      <c r="AN56" s="81">
        <f t="shared" si="7"/>
        <v>0</v>
      </c>
      <c r="AO56" s="81">
        <f t="shared" si="7"/>
        <v>0</v>
      </c>
      <c r="AP56" s="46">
        <f>AP14+AP19+AP28+AP34+AP49+AP54</f>
        <v>1963.7586206896551</v>
      </c>
      <c r="AQ56" s="566"/>
      <c r="AR56" s="566"/>
      <c r="AS56" s="566"/>
      <c r="AT56" s="566"/>
      <c r="AU56" s="46">
        <f t="shared" si="7"/>
        <v>1886.5862068965516</v>
      </c>
      <c r="AV56" s="566"/>
      <c r="AW56" s="566"/>
      <c r="AX56" s="566"/>
      <c r="AY56" s="566"/>
      <c r="AZ56" s="46">
        <f t="shared" si="7"/>
        <v>1887.7586206896553</v>
      </c>
      <c r="BA56" s="566"/>
      <c r="BB56" s="566"/>
      <c r="BC56" s="566"/>
      <c r="BD56" s="566"/>
      <c r="BE56" s="46">
        <f>BE14+BE19+BE28+BE34+BE49+BE54</f>
        <v>1972.5862068965519</v>
      </c>
      <c r="BF56" s="566"/>
      <c r="BG56" s="566"/>
      <c r="BH56" s="566"/>
      <c r="BI56" s="566"/>
      <c r="BJ56" s="46">
        <f>BJ14+BJ19+BJ28+BJ34+BJ49+BJ54</f>
        <v>1939.3103448275863</v>
      </c>
      <c r="BK56" s="566"/>
      <c r="BL56" s="566"/>
      <c r="BM56" s="566"/>
      <c r="BN56" s="566"/>
      <c r="BO56" s="46">
        <f>BO14+BO19+BO28+BO34+BO49+BO54</f>
        <v>2164.3448275862065</v>
      </c>
      <c r="BP56" s="81">
        <f t="shared" ref="BP56:CD56" si="8">BP14+BP19+BP28+BP34+BP49+BP54</f>
        <v>2402.2915631854362</v>
      </c>
      <c r="BQ56" s="81">
        <f t="shared" si="8"/>
        <v>2365.0878707190836</v>
      </c>
      <c r="BR56" s="81">
        <f t="shared" si="8"/>
        <v>2356.4125558702581</v>
      </c>
      <c r="BS56" s="81">
        <f t="shared" si="8"/>
        <v>2373.2714971217738</v>
      </c>
      <c r="BT56" s="46">
        <f t="shared" si="8"/>
        <v>2374.2658717241379</v>
      </c>
      <c r="BU56" s="81">
        <f t="shared" si="8"/>
        <v>2528.3716276726768</v>
      </c>
      <c r="BV56" s="81">
        <f t="shared" si="8"/>
        <v>2496.3281587245579</v>
      </c>
      <c r="BW56" s="81">
        <f t="shared" si="8"/>
        <v>2485.8100303721017</v>
      </c>
      <c r="BX56" s="81">
        <f t="shared" si="8"/>
        <v>2505.6034521961828</v>
      </c>
      <c r="BY56" s="46">
        <f t="shared" si="8"/>
        <v>2504.0283172413797</v>
      </c>
      <c r="BZ56" s="81">
        <f t="shared" si="8"/>
        <v>2606.9285150920132</v>
      </c>
      <c r="CA56" s="81">
        <f t="shared" si="8"/>
        <v>2569.9693880977261</v>
      </c>
      <c r="CB56" s="81">
        <f t="shared" si="8"/>
        <v>2555.0134666781655</v>
      </c>
      <c r="CC56" s="81">
        <f t="shared" si="8"/>
        <v>2579.5544177183024</v>
      </c>
      <c r="CD56" s="46">
        <f t="shared" si="8"/>
        <v>2577.8664468965521</v>
      </c>
    </row>
    <row r="57" spans="1:82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  <c r="AR57" s="24"/>
      <c r="AS57" s="24"/>
      <c r="AT57" s="24"/>
      <c r="AU57" s="24"/>
      <c r="AV57" s="24"/>
      <c r="AW57" s="24"/>
      <c r="AX57" s="24"/>
      <c r="AY57" s="24"/>
      <c r="AZ57" s="24"/>
      <c r="BA57" s="24"/>
      <c r="BB57" s="24"/>
      <c r="BC57" s="24"/>
      <c r="BD57" s="24"/>
      <c r="BE57" s="24"/>
      <c r="BF57" s="24"/>
      <c r="BG57" s="24"/>
      <c r="BH57" s="24"/>
      <c r="BI57" s="24"/>
      <c r="BJ57" s="24"/>
      <c r="BK57" s="24"/>
      <c r="BL57" s="24"/>
      <c r="BM57" s="24"/>
      <c r="BN57" s="24"/>
      <c r="BO57" s="24"/>
      <c r="BP57" s="24"/>
      <c r="BQ57" s="24"/>
      <c r="BR57" s="24"/>
      <c r="BS57" s="24"/>
      <c r="BT57" s="24"/>
      <c r="BU57" s="24"/>
      <c r="BV57" s="24"/>
      <c r="BW57" s="24"/>
      <c r="BX57" s="24"/>
      <c r="BY57" s="24"/>
      <c r="BZ57" s="24"/>
      <c r="CA57" s="24"/>
      <c r="CB57" s="24"/>
      <c r="CC57" s="24"/>
      <c r="CD57" s="24"/>
    </row>
    <row r="58" spans="1:82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</row>
    <row r="59" spans="1:82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/>
      <c r="CB59" s="11"/>
      <c r="CC59" s="11"/>
      <c r="CD59" s="11"/>
    </row>
    <row r="60" spans="1:82" ht="15.75">
      <c r="A60" s="42" t="s">
        <v>1792</v>
      </c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  <c r="BD60" s="39"/>
      <c r="BE60" s="39"/>
      <c r="BF60" s="39"/>
      <c r="BG60" s="39"/>
      <c r="BH60" s="39"/>
      <c r="BI60" s="39"/>
      <c r="BJ60" s="39"/>
      <c r="BK60" s="39"/>
      <c r="BL60" s="39"/>
      <c r="BM60" s="39"/>
      <c r="BN60" s="39"/>
      <c r="BO60" s="39"/>
      <c r="BP60" s="39"/>
      <c r="BQ60" s="39"/>
      <c r="BR60" s="39"/>
      <c r="BS60" s="39"/>
      <c r="BT60" s="39"/>
      <c r="BU60" s="39"/>
      <c r="BV60" s="39"/>
      <c r="BW60" s="39"/>
      <c r="BX60" s="39"/>
      <c r="BY60" s="39"/>
      <c r="BZ60" s="39"/>
      <c r="CA60" s="39"/>
      <c r="CB60" s="39"/>
      <c r="CC60" s="39"/>
      <c r="CD60" s="39"/>
    </row>
    <row r="61" spans="1:82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  <c r="BU61" s="11"/>
      <c r="BV61" s="11"/>
      <c r="BW61" s="11"/>
      <c r="BX61" s="11"/>
      <c r="BY61" s="11"/>
      <c r="BZ61" s="11"/>
      <c r="CA61" s="11"/>
      <c r="CB61" s="11"/>
      <c r="CC61" s="11"/>
      <c r="CD61" s="11"/>
    </row>
    <row r="62" spans="1:82">
      <c r="A62" s="24" t="str">
        <f>+A8</f>
        <v>BOE (thousand boe/d)</v>
      </c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  <c r="CC62" s="11"/>
      <c r="CD62" s="11"/>
    </row>
    <row r="63" spans="1:82">
      <c r="A63" s="10"/>
      <c r="B63" s="10"/>
      <c r="C63" s="31">
        <v>2001</v>
      </c>
      <c r="D63" s="32">
        <v>2002</v>
      </c>
      <c r="E63" s="32">
        <v>2003</v>
      </c>
      <c r="F63" s="32">
        <v>2004</v>
      </c>
      <c r="G63" s="31">
        <v>2005</v>
      </c>
      <c r="H63" s="33" t="s">
        <v>714</v>
      </c>
      <c r="I63" s="33" t="s">
        <v>715</v>
      </c>
      <c r="J63" s="33" t="s">
        <v>716</v>
      </c>
      <c r="K63" s="33" t="s">
        <v>717</v>
      </c>
      <c r="L63" s="31">
        <v>2006</v>
      </c>
      <c r="M63" s="33" t="s">
        <v>718</v>
      </c>
      <c r="N63" s="33" t="s">
        <v>719</v>
      </c>
      <c r="O63" s="33" t="s">
        <v>1970</v>
      </c>
      <c r="P63" s="33" t="s">
        <v>1971</v>
      </c>
      <c r="Q63" s="31">
        <v>2007</v>
      </c>
      <c r="R63" s="33" t="s">
        <v>1972</v>
      </c>
      <c r="S63" s="33" t="s">
        <v>1973</v>
      </c>
      <c r="T63" s="33" t="s">
        <v>1974</v>
      </c>
      <c r="U63" s="33" t="s">
        <v>1975</v>
      </c>
      <c r="V63" s="31">
        <v>2008</v>
      </c>
      <c r="W63" s="33" t="s">
        <v>1976</v>
      </c>
      <c r="X63" s="33" t="s">
        <v>1977</v>
      </c>
      <c r="Y63" s="33" t="s">
        <v>1978</v>
      </c>
      <c r="Z63" s="33" t="s">
        <v>1979</v>
      </c>
      <c r="AA63" s="31">
        <v>2009</v>
      </c>
      <c r="AB63" s="33" t="s">
        <v>1980</v>
      </c>
      <c r="AC63" s="33" t="s">
        <v>1981</v>
      </c>
      <c r="AD63" s="33" t="s">
        <v>1982</v>
      </c>
      <c r="AE63" s="33" t="s">
        <v>2392</v>
      </c>
      <c r="AF63" s="31">
        <v>2010</v>
      </c>
      <c r="AG63" s="33" t="s">
        <v>2393</v>
      </c>
      <c r="AH63" s="33" t="s">
        <v>2394</v>
      </c>
      <c r="AI63" s="33" t="s">
        <v>2395</v>
      </c>
      <c r="AJ63" s="33" t="s">
        <v>2396</v>
      </c>
      <c r="AK63" s="31">
        <v>2011</v>
      </c>
      <c r="AL63" s="368" t="s">
        <v>2397</v>
      </c>
      <c r="AM63" s="368" t="s">
        <v>2398</v>
      </c>
      <c r="AN63" s="368" t="s">
        <v>2399</v>
      </c>
      <c r="AO63" s="368" t="s">
        <v>2400</v>
      </c>
      <c r="AP63" s="31">
        <v>2012</v>
      </c>
      <c r="AQ63" s="368" t="s">
        <v>2401</v>
      </c>
      <c r="AR63" s="368" t="s">
        <v>2402</v>
      </c>
      <c r="AS63" s="368" t="s">
        <v>2403</v>
      </c>
      <c r="AT63" s="368" t="s">
        <v>2404</v>
      </c>
      <c r="AU63" s="31">
        <v>2013</v>
      </c>
      <c r="AV63" s="368" t="s">
        <v>2405</v>
      </c>
      <c r="AW63" s="368" t="s">
        <v>2406</v>
      </c>
      <c r="AX63" s="368" t="s">
        <v>2407</v>
      </c>
      <c r="AY63" s="368" t="s">
        <v>2408</v>
      </c>
      <c r="AZ63" s="31">
        <v>2014</v>
      </c>
      <c r="BA63" s="368" t="s">
        <v>2409</v>
      </c>
      <c r="BB63" s="368" t="s">
        <v>2410</v>
      </c>
      <c r="BC63" s="368" t="s">
        <v>2411</v>
      </c>
      <c r="BD63" s="368" t="s">
        <v>2412</v>
      </c>
      <c r="BE63" s="31">
        <v>2015</v>
      </c>
      <c r="BF63" s="368" t="s">
        <v>2413</v>
      </c>
      <c r="BG63" s="368" t="s">
        <v>2414</v>
      </c>
      <c r="BH63" s="368" t="s">
        <v>2415</v>
      </c>
      <c r="BI63" s="368" t="s">
        <v>2416</v>
      </c>
      <c r="BJ63" s="31">
        <v>2016</v>
      </c>
      <c r="BK63" s="368" t="s">
        <v>2417</v>
      </c>
      <c r="BL63" s="368" t="s">
        <v>2418</v>
      </c>
      <c r="BM63" s="368" t="s">
        <v>2419</v>
      </c>
      <c r="BN63" s="368" t="s">
        <v>2420</v>
      </c>
      <c r="BO63" s="31">
        <v>2017</v>
      </c>
      <c r="BP63" s="363" t="s">
        <v>2244</v>
      </c>
      <c r="BQ63" s="363" t="s">
        <v>2245</v>
      </c>
      <c r="BR63" s="363" t="s">
        <v>2508</v>
      </c>
      <c r="BS63" s="363" t="s">
        <v>2509</v>
      </c>
      <c r="BT63" s="364">
        <v>2018</v>
      </c>
      <c r="BU63" s="363" t="s">
        <v>2510</v>
      </c>
      <c r="BV63" s="363" t="s">
        <v>2511</v>
      </c>
      <c r="BW63" s="363" t="s">
        <v>3125</v>
      </c>
      <c r="BX63" s="363" t="s">
        <v>1405</v>
      </c>
      <c r="BY63" s="364">
        <v>2019</v>
      </c>
      <c r="BZ63" s="363" t="s">
        <v>1406</v>
      </c>
      <c r="CA63" s="363" t="s">
        <v>1407</v>
      </c>
      <c r="CB63" s="363" t="s">
        <v>1408</v>
      </c>
      <c r="CC63" s="363" t="s">
        <v>1409</v>
      </c>
      <c r="CD63" s="364">
        <v>2020</v>
      </c>
    </row>
    <row r="64" spans="1:82">
      <c r="A64" s="39" t="s">
        <v>305</v>
      </c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</row>
    <row r="65" spans="1:82">
      <c r="A65" s="11"/>
      <c r="B65" s="11" t="s">
        <v>1281</v>
      </c>
      <c r="C65" s="11">
        <f>IF(ISERROR(MATCH($B65,'Production - Oil'!$B$65:$B$108,0)),0,VLOOKUP($B65,'Production - Oil'!$B$65:$CD$108,MATCH('Production - Total'!C$63,'Production - Oil'!$B$9:$CD$9),FALSE))+IF(ISERROR(MATCH($B65,'Production - Gas'!$B$65:$B$108,0)),0,VLOOKUP($B65,'Production - Gas'!$B$65:$CD$108,MATCH('Production - Total'!C$63,'Production - Gas'!$B$9:$CD$9),FALSE)/5.8)</f>
        <v>0</v>
      </c>
      <c r="D65" s="11">
        <f>IF(ISERROR(MATCH($B65,'Production - Oil'!$B$65:$B$108,0)),0,VLOOKUP($B65,'Production - Oil'!$B$65:$CD$108,MATCH('Production - Total'!D$63,'Production - Oil'!$B$9:$CD$9),FALSE))+IF(ISERROR(MATCH($B65,'Production - Gas'!$B$65:$B$108,0)),0,VLOOKUP($B65,'Production - Gas'!$B$65:$CD$108,MATCH('Production - Total'!D$63,'Production - Gas'!$B$9:$CD$9),FALSE)/5.8)</f>
        <v>0</v>
      </c>
      <c r="E65" s="11">
        <f>IF(ISERROR(MATCH($B65,'Production - Oil'!$B$65:$B$108,0)),0,VLOOKUP($B65,'Production - Oil'!$B$65:$CD$108,MATCH('Production - Total'!E$63,'Production - Oil'!$B$9:$CD$9),FALSE))+IF(ISERROR(MATCH($B65,'Production - Gas'!$B$65:$B$108,0)),0,VLOOKUP($B65,'Production - Gas'!$B$65:$CD$108,MATCH('Production - Total'!E$63,'Production - Gas'!$B$9:$CD$9),FALSE)/5.8)</f>
        <v>0</v>
      </c>
      <c r="F65" s="11">
        <f>IF(ISERROR(MATCH($B65,'Production - Oil'!$B$65:$B$108,0)),0,VLOOKUP($B65,'Production - Oil'!$B$65:$CD$108,MATCH('Production - Total'!F$63,'Production - Oil'!$B$9:$CD$9),FALSE))+IF(ISERROR(MATCH($B65,'Production - Gas'!$B$65:$B$108,0)),0,VLOOKUP($B65,'Production - Gas'!$B$65:$CD$108,MATCH('Production - Total'!F$63,'Production - Gas'!$B$9:$CD$9),FALSE)/5.8)</f>
        <v>0</v>
      </c>
      <c r="G65" s="11">
        <f>IF(ISERROR(MATCH($B65,'Production - Oil'!$B$65:$B$108,0)),0,VLOOKUP($B65,'Production - Oil'!$B$65:$CD$108,MATCH('Production - Total'!G$63,'Production - Oil'!$B$9:$CD$9),FALSE))+IF(ISERROR(MATCH($B65,'Production - Gas'!$B$65:$B$108,0)),0,VLOOKUP($B65,'Production - Gas'!$B$65:$CD$108,MATCH('Production - Total'!G$63,'Production - Gas'!$B$9:$CD$9),FALSE)/5.8)</f>
        <v>0</v>
      </c>
      <c r="H65" s="11"/>
      <c r="I65" s="11"/>
      <c r="J65" s="11"/>
      <c r="K65" s="11"/>
      <c r="L65" s="11">
        <f>IF(ISERROR(MATCH($B65,'Production - Oil'!$B$65:$B$108,0)),0,VLOOKUP($B65,'Production - Oil'!$B$65:$CD$108,MATCH('Production - Total'!L$63,'Production - Oil'!$B$9:$CD$9),FALSE))+IF(ISERROR(MATCH($B65,'Production - Gas'!$B$65:$B$108,0)),0,VLOOKUP($B65,'Production - Gas'!$B$65:$CD$108,MATCH('Production - Total'!L$63,'Production - Gas'!$B$9:$CD$9),FALSE)/5.8)</f>
        <v>0</v>
      </c>
      <c r="M65" s="11"/>
      <c r="N65" s="11"/>
      <c r="O65" s="11"/>
      <c r="P65" s="11"/>
      <c r="Q65" s="11">
        <f>IF(ISERROR(MATCH($B65,'Production - Oil'!$B$65:$B$108,0)),0,VLOOKUP($B65,'Production - Oil'!$B$65:$CD$108,MATCH('Production - Total'!Q$63,'Production - Oil'!$B$9:$CD$9),FALSE))+IF(ISERROR(MATCH($B65,'Production - Gas'!$B$65:$B$108,0)),0,VLOOKUP($B65,'Production - Gas'!$B$65:$CD$108,MATCH('Production - Total'!Q$63,'Production - Gas'!$B$9:$CD$9),FALSE)/5.8)</f>
        <v>0</v>
      </c>
      <c r="R65" s="11"/>
      <c r="S65" s="11"/>
      <c r="T65" s="11"/>
      <c r="U65" s="11"/>
      <c r="V65" s="11">
        <f>IF(ISERROR(MATCH($B65,'Production - Oil'!$B$65:$B$108,0)),0,VLOOKUP($B65,'Production - Oil'!$B$65:$CD$108,MATCH('Production - Total'!V$63,'Production - Oil'!$B$9:$CD$9),FALSE))+IF(ISERROR(MATCH($B65,'Production - Gas'!$B$65:$B$108,0)),0,VLOOKUP($B65,'Production - Gas'!$B$65:$CD$108,MATCH('Production - Total'!V$63,'Production - Gas'!$B$9:$CD$9),FALSE)/5.8)</f>
        <v>0</v>
      </c>
      <c r="W65" s="11"/>
      <c r="X65" s="11"/>
      <c r="Y65" s="11"/>
      <c r="Z65" s="11"/>
      <c r="AA65" s="11">
        <f>IF(ISERROR(MATCH($B65,'Production - Oil'!$B$65:$B$108,0)),0,VLOOKUP($B65,'Production - Oil'!$B$65:$CD$108,MATCH('Production - Total'!AA$63,'Production - Oil'!$B$9:$CD$9),FALSE))+IF(ISERROR(MATCH($B65,'Production - Gas'!$B$65:$B$108,0)),0,VLOOKUP($B65,'Production - Gas'!$B$65:$CD$108,MATCH('Production - Total'!AA$63,'Production - Gas'!$B$9:$CD$9),FALSE)/5.8)</f>
        <v>0</v>
      </c>
      <c r="AB65" s="11"/>
      <c r="AC65" s="11"/>
      <c r="AD65" s="11"/>
      <c r="AE65" s="11"/>
      <c r="AF65" s="11">
        <f>IF(ISERROR(MATCH($B65,'Production - Oil'!$B$65:$B$108,0)),0,VLOOKUP($B65,'Production - Oil'!$B$65:$CD$108,MATCH('Production - Total'!AF$63,'Production - Oil'!$B$9:$CD$9),FALSE))+IF(ISERROR(MATCH($B65,'Production - Gas'!$B$65:$B$108,0)),0,VLOOKUP($B65,'Production - Gas'!$B$65:$CD$108,MATCH('Production - Total'!AF$63,'Production - Gas'!$B$9:$CD$9),FALSE)/5.8)</f>
        <v>0</v>
      </c>
      <c r="AG65" s="82"/>
      <c r="AH65" s="82"/>
      <c r="AI65" s="82"/>
      <c r="AJ65" s="82"/>
      <c r="AK65" s="11">
        <f>IF(ISERROR(MATCH($B65,'Production - Oil'!$B$65:$B$108,0)),0,VLOOKUP($B65,'Production - Oil'!$B$65:$CD$108,MATCH('Production - Total'!AK$63,'Production - Oil'!$B$9:$CD$9),FALSE))+IF(ISERROR(MATCH($B65,'Production - Gas'!$B$65:$B$108,0)),0,VLOOKUP($B65,'Production - Gas'!$B$65:$CD$108,MATCH('Production - Total'!AK$63,'Production - Gas'!$B$9:$CD$9),FALSE)/5.8)</f>
        <v>0</v>
      </c>
      <c r="AL65" s="82"/>
      <c r="AM65" s="82"/>
      <c r="AN65" s="82"/>
      <c r="AO65" s="82"/>
      <c r="AP65" s="11">
        <f>IF(ISERROR(MATCH($B65,'Production - Oil'!$B$65:$B$108,0)),0,VLOOKUP($B65,'Production - Oil'!$B$65:$CD$108,MATCH('Production - Total'!AP$63,'Production - Oil'!$B$9:$CD$9),FALSE))+IF(ISERROR(MATCH($B65,'Production - Gas'!$B$65:$B$108,0)),0,VLOOKUP($B65,'Production - Gas'!$B$65:$CD$108,MATCH('Production - Total'!AP$63,'Production - Gas'!$B$9:$CD$9),FALSE)/5.8)</f>
        <v>0</v>
      </c>
      <c r="AQ65" s="82"/>
      <c r="AR65" s="82"/>
      <c r="AS65" s="82"/>
      <c r="AT65" s="82"/>
      <c r="AU65" s="11">
        <f>IF(ISERROR(MATCH($B65,'Production - Oil'!$B$65:$B$108,0)),0,VLOOKUP($B65,'Production - Oil'!$B$65:$CD$108,MATCH('Production - Total'!AU$63,'Production - Oil'!$B$9:$CD$9),FALSE))+IF(ISERROR(MATCH($B65,'Production - Gas'!$B$65:$B$108,0)),0,VLOOKUP($B65,'Production - Gas'!$B$65:$CD$108,MATCH('Production - Total'!AU$63,'Production - Gas'!$B$9:$CD$9),FALSE)/5.8)</f>
        <v>0</v>
      </c>
      <c r="AV65" s="82"/>
      <c r="AW65" s="82"/>
      <c r="AX65" s="82"/>
      <c r="AY65" s="82"/>
      <c r="AZ65" s="11">
        <f>IF(ISERROR(MATCH($B65,'Production - Oil'!$B$65:$B$108,0)),0,VLOOKUP($B65,'Production - Oil'!$B$65:$CD$108,MATCH('Production - Total'!AZ$63,'Production - Oil'!$B$9:$CD$9),FALSE))+IF(ISERROR(MATCH($B65,'Production - Gas'!$B$65:$B$108,0)),0,VLOOKUP($B65,'Production - Gas'!$B$65:$CD$108,MATCH('Production - Total'!AZ$63,'Production - Gas'!$B$9:$CD$9),FALSE)/5.8)</f>
        <v>0</v>
      </c>
      <c r="BA65" s="82"/>
      <c r="BB65" s="82"/>
      <c r="BC65" s="82"/>
      <c r="BD65" s="82"/>
      <c r="BE65" s="11">
        <f>IF(ISERROR(MATCH($B65,'Production - Oil'!$B$65:$B$108,0)),0,VLOOKUP($B65,'Production - Oil'!$B$65:$CD$108,MATCH('Production - Total'!BE$63,'Production - Oil'!$B$9:$CD$9),FALSE))+IF(ISERROR(MATCH($B65,'Production - Gas'!$B$65:$B$108,0)),0,VLOOKUP($B65,'Production - Gas'!$B$65:$CD$108,MATCH('Production - Total'!BE$63,'Production - Gas'!$B$9:$CD$9),FALSE)/5.8)</f>
        <v>0</v>
      </c>
      <c r="BF65" s="82"/>
      <c r="BG65" s="82"/>
      <c r="BH65" s="82"/>
      <c r="BI65" s="82"/>
      <c r="BJ65" s="11">
        <f>IF(ISERROR(MATCH($B65,'Production - Oil'!$B$65:$B$108,0)),0,VLOOKUP($B65,'Production - Oil'!$B$65:$CD$108,MATCH('Production - Total'!BJ$63,'Production - Oil'!$B$9:$CD$9),FALSE))+IF(ISERROR(MATCH($B65,'Production - Gas'!$B$65:$B$108,0)),0,VLOOKUP($B65,'Production - Gas'!$B$65:$CD$108,MATCH('Production - Total'!BJ$63,'Production - Gas'!$B$9:$CD$9),FALSE)/5.8)</f>
        <v>0</v>
      </c>
      <c r="BK65" s="82"/>
      <c r="BL65" s="82"/>
      <c r="BM65" s="82"/>
      <c r="BN65" s="82"/>
      <c r="BO65" s="11">
        <f>'Production - Oil'!BO65+'Production - Gas'!BO65/5.8</f>
        <v>0</v>
      </c>
      <c r="BP65" s="82"/>
      <c r="BQ65" s="82"/>
      <c r="BR65" s="82"/>
      <c r="BS65" s="82"/>
      <c r="BT65" s="51"/>
      <c r="BU65" s="82"/>
      <c r="BV65" s="82"/>
      <c r="BW65" s="82"/>
      <c r="BX65" s="82"/>
      <c r="BY65" s="51"/>
      <c r="BZ65" s="82"/>
      <c r="CA65" s="82"/>
      <c r="CB65" s="82"/>
      <c r="CC65" s="82"/>
      <c r="CD65" s="51"/>
    </row>
    <row r="66" spans="1:82">
      <c r="A66" s="11"/>
      <c r="B66" s="11" t="s">
        <v>306</v>
      </c>
      <c r="C66" s="11">
        <f>IF(ISERROR(MATCH($B66,'Production - Oil'!$B$65:$B$108,0)),0,VLOOKUP($B66,'Production - Oil'!$B$65:$CD$108,MATCH('Production - Total'!C$63,'Production - Oil'!$B$9:$CD$9),FALSE))+IF(ISERROR(MATCH($B66,'Production - Gas'!$B$65:$B$108,0)),0,VLOOKUP($B66,'Production - Gas'!$B$65:$CD$108,MATCH('Production - Total'!C$63,'Production - Gas'!$B$9:$CD$9),FALSE)/5.8)</f>
        <v>0</v>
      </c>
      <c r="D66" s="11">
        <f>IF(ISERROR(MATCH($B66,'Production - Oil'!$B$65:$B$108,0)),0,VLOOKUP($B66,'Production - Oil'!$B$65:$CD$108,MATCH('Production - Total'!D$63,'Production - Oil'!$B$9:$CD$9),FALSE))+IF(ISERROR(MATCH($B66,'Production - Gas'!$B$65:$B$108,0)),0,VLOOKUP($B66,'Production - Gas'!$B$65:$CD$108,MATCH('Production - Total'!D$63,'Production - Gas'!$B$9:$CD$9),FALSE)/5.8)</f>
        <v>0</v>
      </c>
      <c r="E66" s="11">
        <f>IF(ISERROR(MATCH($B66,'Production - Oil'!$B$65:$B$108,0)),0,VLOOKUP($B66,'Production - Oil'!$B$65:$CD$108,MATCH('Production - Total'!E$63,'Production - Oil'!$B$9:$CD$9),FALSE))+IF(ISERROR(MATCH($B66,'Production - Gas'!$B$65:$B$108,0)),0,VLOOKUP($B66,'Production - Gas'!$B$65:$CD$108,MATCH('Production - Total'!E$63,'Production - Gas'!$B$9:$CD$9),FALSE)/5.8)</f>
        <v>0</v>
      </c>
      <c r="F66" s="11">
        <f>IF(ISERROR(MATCH($B66,'Production - Oil'!$B$65:$B$108,0)),0,VLOOKUP($B66,'Production - Oil'!$B$65:$CD$108,MATCH('Production - Total'!F$63,'Production - Oil'!$B$9:$CD$9),FALSE))+IF(ISERROR(MATCH($B66,'Production - Gas'!$B$65:$B$108,0)),0,VLOOKUP($B66,'Production - Gas'!$B$65:$CD$108,MATCH('Production - Total'!F$63,'Production - Gas'!$B$9:$CD$9),FALSE)/5.8)</f>
        <v>0</v>
      </c>
      <c r="G66" s="11">
        <f>IF(ISERROR(MATCH($B66,'Production - Oil'!$B$65:$B$108,0)),0,VLOOKUP($B66,'Production - Oil'!$B$65:$CD$108,MATCH('Production - Total'!G$63,'Production - Oil'!$B$9:$CD$9),FALSE))+IF(ISERROR(MATCH($B66,'Production - Gas'!$B$65:$B$108,0)),0,VLOOKUP($B66,'Production - Gas'!$B$65:$CD$108,MATCH('Production - Total'!G$63,'Production - Gas'!$B$9:$CD$9),FALSE)/5.8)</f>
        <v>0</v>
      </c>
      <c r="H66" s="11"/>
      <c r="I66" s="11"/>
      <c r="J66" s="11"/>
      <c r="K66" s="11"/>
      <c r="L66" s="11">
        <f>IF(ISERROR(MATCH($B66,'Production - Oil'!$B$65:$B$108,0)),0,VLOOKUP($B66,'Production - Oil'!$B$65:$CD$108,MATCH('Production - Total'!L$63,'Production - Oil'!$B$9:$CD$9),FALSE))+IF(ISERROR(MATCH($B66,'Production - Gas'!$B$65:$B$108,0)),0,VLOOKUP($B66,'Production - Gas'!$B$65:$CD$108,MATCH('Production - Total'!L$63,'Production - Gas'!$B$9:$CD$9),FALSE)/5.8)</f>
        <v>0</v>
      </c>
      <c r="M66" s="11"/>
      <c r="N66" s="11"/>
      <c r="O66" s="11"/>
      <c r="P66" s="11"/>
      <c r="Q66" s="11">
        <f>IF(ISERROR(MATCH($B66,'Production - Oil'!$B$65:$B$108,0)),0,VLOOKUP($B66,'Production - Oil'!$B$65:$CD$108,MATCH('Production - Total'!Q$63,'Production - Oil'!$B$9:$CD$9),FALSE))+IF(ISERROR(MATCH($B66,'Production - Gas'!$B$65:$B$108,0)),0,VLOOKUP($B66,'Production - Gas'!$B$65:$CD$108,MATCH('Production - Total'!Q$63,'Production - Gas'!$B$9:$CD$9),FALSE)/5.8)</f>
        <v>0</v>
      </c>
      <c r="R66" s="11"/>
      <c r="S66" s="11"/>
      <c r="T66" s="11"/>
      <c r="U66" s="11"/>
      <c r="V66" s="11">
        <f>IF(ISERROR(MATCH($B66,'Production - Oil'!$B$65:$B$108,0)),0,VLOOKUP($B66,'Production - Oil'!$B$65:$CD$108,MATCH('Production - Total'!V$63,'Production - Oil'!$B$9:$CD$9),FALSE))+IF(ISERROR(MATCH($B66,'Production - Gas'!$B$65:$B$108,0)),0,VLOOKUP($B66,'Production - Gas'!$B$65:$CD$108,MATCH('Production - Total'!V$63,'Production - Gas'!$B$9:$CD$9),FALSE)/5.8)</f>
        <v>0</v>
      </c>
      <c r="W66" s="11"/>
      <c r="X66" s="11"/>
      <c r="Y66" s="11"/>
      <c r="Z66" s="11"/>
      <c r="AA66" s="11">
        <f>IF(ISERROR(MATCH($B66,'Production - Oil'!$B$65:$B$108,0)),0,VLOOKUP($B66,'Production - Oil'!$B$65:$CD$108,MATCH('Production - Total'!AA$63,'Production - Oil'!$B$9:$CD$9),FALSE))+IF(ISERROR(MATCH($B66,'Production - Gas'!$B$65:$B$108,0)),0,VLOOKUP($B66,'Production - Gas'!$B$65:$CD$108,MATCH('Production - Total'!AA$63,'Production - Gas'!$B$9:$CD$9),FALSE)/5.8)</f>
        <v>0</v>
      </c>
      <c r="AB66" s="11"/>
      <c r="AC66" s="11"/>
      <c r="AD66" s="11"/>
      <c r="AE66" s="11"/>
      <c r="AF66" s="11">
        <f>IF(ISERROR(MATCH($B66,'Production - Oil'!$B$65:$B$108,0)),0,VLOOKUP($B66,'Production - Oil'!$B$65:$CD$108,MATCH('Production - Total'!AF$63,'Production - Oil'!$B$9:$CD$9),FALSE))+IF(ISERROR(MATCH($B66,'Production - Gas'!$B$65:$B$108,0)),0,VLOOKUP($B66,'Production - Gas'!$B$65:$CD$108,MATCH('Production - Total'!AF$63,'Production - Gas'!$B$9:$CD$9),FALSE)/5.8)</f>
        <v>0</v>
      </c>
      <c r="AG66" s="82"/>
      <c r="AH66" s="82"/>
      <c r="AI66" s="82"/>
      <c r="AJ66" s="82"/>
      <c r="AK66" s="11">
        <f>IF(ISERROR(MATCH($B66,'Production - Oil'!$B$65:$B$108,0)),0,VLOOKUP($B66,'Production - Oil'!$B$65:$CD$108,MATCH('Production - Total'!AK$63,'Production - Oil'!$B$9:$CD$9),FALSE))+IF(ISERROR(MATCH($B66,'Production - Gas'!$B$65:$B$108,0)),0,VLOOKUP($B66,'Production - Gas'!$B$65:$CD$108,MATCH('Production - Total'!AK$63,'Production - Gas'!$B$9:$CD$9),FALSE)/5.8)</f>
        <v>0</v>
      </c>
      <c r="AL66" s="82"/>
      <c r="AM66" s="82"/>
      <c r="AN66" s="82"/>
      <c r="AO66" s="82"/>
      <c r="AP66" s="11">
        <f>IF(ISERROR(MATCH($B66,'Production - Oil'!$B$65:$B$108,0)),0,VLOOKUP($B66,'Production - Oil'!$B$65:$CD$108,MATCH('Production - Total'!AP$63,'Production - Oil'!$B$9:$CD$9),FALSE))+IF(ISERROR(MATCH($B66,'Production - Gas'!$B$65:$B$108,0)),0,VLOOKUP($B66,'Production - Gas'!$B$65:$CD$108,MATCH('Production - Total'!AP$63,'Production - Gas'!$B$9:$CD$9),FALSE)/5.8)</f>
        <v>0</v>
      </c>
      <c r="AQ66" s="82"/>
      <c r="AR66" s="82"/>
      <c r="AS66" s="82"/>
      <c r="AT66" s="82"/>
      <c r="AU66" s="11">
        <f>IF(ISERROR(MATCH($B66,'Production - Oil'!$B$65:$B$108,0)),0,VLOOKUP($B66,'Production - Oil'!$B$65:$CD$108,MATCH('Production - Total'!AU$63,'Production - Oil'!$B$9:$CD$9),FALSE))+IF(ISERROR(MATCH($B66,'Production - Gas'!$B$65:$B$108,0)),0,VLOOKUP($B66,'Production - Gas'!$B$65:$CD$108,MATCH('Production - Total'!AU$63,'Production - Gas'!$B$9:$CD$9),FALSE)/5.8)</f>
        <v>0</v>
      </c>
      <c r="AV66" s="82"/>
      <c r="AW66" s="82"/>
      <c r="AX66" s="82"/>
      <c r="AY66" s="82"/>
      <c r="AZ66" s="11">
        <f>IF(ISERROR(MATCH($B66,'Production - Oil'!$B$65:$B$108,0)),0,VLOOKUP($B66,'Production - Oil'!$B$65:$CD$108,MATCH('Production - Total'!AZ$63,'Production - Oil'!$B$9:$CD$9),FALSE))+IF(ISERROR(MATCH($B66,'Production - Gas'!$B$65:$B$108,0)),0,VLOOKUP($B66,'Production - Gas'!$B$65:$CD$108,MATCH('Production - Total'!AZ$63,'Production - Gas'!$B$9:$CD$9),FALSE)/5.8)</f>
        <v>0</v>
      </c>
      <c r="BA66" s="82"/>
      <c r="BB66" s="82"/>
      <c r="BC66" s="82"/>
      <c r="BD66" s="82"/>
      <c r="BE66" s="11">
        <f>IF(ISERROR(MATCH($B66,'Production - Oil'!$B$65:$B$108,0)),0,VLOOKUP($B66,'Production - Oil'!$B$65:$CD$108,MATCH('Production - Total'!BE$63,'Production - Oil'!$B$9:$CD$9),FALSE))+IF(ISERROR(MATCH($B66,'Production - Gas'!$B$65:$B$108,0)),0,VLOOKUP($B66,'Production - Gas'!$B$65:$CD$108,MATCH('Production - Total'!BE$63,'Production - Gas'!$B$9:$CD$9),FALSE)/5.8)</f>
        <v>0</v>
      </c>
      <c r="BF66" s="82"/>
      <c r="BG66" s="82"/>
      <c r="BH66" s="82"/>
      <c r="BI66" s="82"/>
      <c r="BJ66" s="11">
        <f>IF(ISERROR(MATCH($B66,'Production - Oil'!$B$65:$B$108,0)),0,VLOOKUP($B66,'Production - Oil'!$B$65:$CD$108,MATCH('Production - Total'!BJ$63,'Production - Oil'!$B$9:$CD$9),FALSE))+IF(ISERROR(MATCH($B66,'Production - Gas'!$B$65:$B$108,0)),0,VLOOKUP($B66,'Production - Gas'!$B$65:$CD$108,MATCH('Production - Total'!BJ$63,'Production - Gas'!$B$9:$CD$9),FALSE)/5.8)</f>
        <v>7</v>
      </c>
      <c r="BK66" s="82"/>
      <c r="BL66" s="82"/>
      <c r="BM66" s="82"/>
      <c r="BN66" s="82"/>
      <c r="BO66" s="11">
        <f>'Production - Oil'!BO66+'Production - Gas'!BO66/5.8</f>
        <v>42.137931034482762</v>
      </c>
      <c r="BP66" s="82"/>
      <c r="BQ66" s="82"/>
      <c r="BR66" s="82"/>
      <c r="BS66" s="82"/>
      <c r="BT66" s="51"/>
      <c r="BU66" s="82"/>
      <c r="BV66" s="82"/>
      <c r="BW66" s="82"/>
      <c r="BX66" s="82"/>
      <c r="BY66" s="51"/>
      <c r="BZ66" s="82"/>
      <c r="CA66" s="82"/>
      <c r="CB66" s="82"/>
      <c r="CC66" s="82"/>
      <c r="CD66" s="51"/>
    </row>
    <row r="67" spans="1:82">
      <c r="A67" s="11"/>
      <c r="B67" s="11" t="s">
        <v>139</v>
      </c>
      <c r="C67" s="11">
        <f>IF(ISERROR(MATCH($B67,'Production - Oil'!$B$65:$B$108,0)),0,VLOOKUP($B67,'Production - Oil'!$B$65:$CD$108,MATCH('Production - Total'!C$63,'Production - Oil'!$B$9:$CD$9),FALSE))+IF(ISERROR(MATCH($B67,'Production - Gas'!$B$65:$B$108,0)),0,VLOOKUP($B67,'Production - Gas'!$B$65:$CD$108,MATCH('Production - Total'!C$63,'Production - Gas'!$B$9:$CD$9),FALSE)/5.8)</f>
        <v>0</v>
      </c>
      <c r="D67" s="11">
        <f>IF(ISERROR(MATCH($B67,'Production - Oil'!$B$65:$B$108,0)),0,VLOOKUP($B67,'Production - Oil'!$B$65:$CD$108,MATCH('Production - Total'!D$63,'Production - Oil'!$B$9:$CD$9),FALSE))+IF(ISERROR(MATCH($B67,'Production - Gas'!$B$65:$B$108,0)),0,VLOOKUP($B67,'Production - Gas'!$B$65:$CD$108,MATCH('Production - Total'!D$63,'Production - Gas'!$B$9:$CD$9),FALSE)/5.8)</f>
        <v>0</v>
      </c>
      <c r="E67" s="11">
        <f>IF(ISERROR(MATCH($B67,'Production - Oil'!$B$65:$B$108,0)),0,VLOOKUP($B67,'Production - Oil'!$B$65:$CD$108,MATCH('Production - Total'!E$63,'Production - Oil'!$B$9:$CD$9),FALSE))+IF(ISERROR(MATCH($B67,'Production - Gas'!$B$65:$B$108,0)),0,VLOOKUP($B67,'Production - Gas'!$B$65:$CD$108,MATCH('Production - Total'!E$63,'Production - Gas'!$B$9:$CD$9),FALSE)/5.8)</f>
        <v>0</v>
      </c>
      <c r="F67" s="11">
        <f>IF(ISERROR(MATCH($B67,'Production - Oil'!$B$65:$B$108,0)),0,VLOOKUP($B67,'Production - Oil'!$B$65:$CD$108,MATCH('Production - Total'!F$63,'Production - Oil'!$B$9:$CD$9),FALSE))+IF(ISERROR(MATCH($B67,'Production - Gas'!$B$65:$B$108,0)),0,VLOOKUP($B67,'Production - Gas'!$B$65:$CD$108,MATCH('Production - Total'!F$63,'Production - Gas'!$B$9:$CD$9),FALSE)/5.8)</f>
        <v>0</v>
      </c>
      <c r="G67" s="11">
        <f>IF(ISERROR(MATCH($B67,'Production - Oil'!$B$65:$B$108,0)),0,VLOOKUP($B67,'Production - Oil'!$B$65:$CD$108,MATCH('Production - Total'!G$63,'Production - Oil'!$B$9:$CD$9),FALSE))+IF(ISERROR(MATCH($B67,'Production - Gas'!$B$65:$B$108,0)),0,VLOOKUP($B67,'Production - Gas'!$B$65:$CD$108,MATCH('Production - Total'!G$63,'Production - Gas'!$B$9:$CD$9),FALSE)/5.8)</f>
        <v>0</v>
      </c>
      <c r="H67" s="11"/>
      <c r="I67" s="11"/>
      <c r="J67" s="11"/>
      <c r="K67" s="11"/>
      <c r="L67" s="11">
        <f>IF(ISERROR(MATCH($B67,'Production - Oil'!$B$65:$B$108,0)),0,VLOOKUP($B67,'Production - Oil'!$B$65:$CD$108,MATCH('Production - Total'!L$63,'Production - Oil'!$B$9:$CD$9),FALSE))+IF(ISERROR(MATCH($B67,'Production - Gas'!$B$65:$B$108,0)),0,VLOOKUP($B67,'Production - Gas'!$B$65:$CD$108,MATCH('Production - Total'!L$63,'Production - Gas'!$B$9:$CD$9),FALSE)/5.8)</f>
        <v>0</v>
      </c>
      <c r="M67" s="11"/>
      <c r="N67" s="11"/>
      <c r="O67" s="11"/>
      <c r="P67" s="11"/>
      <c r="Q67" s="11">
        <f>IF(ISERROR(MATCH($B67,'Production - Oil'!$B$65:$B$108,0)),0,VLOOKUP($B67,'Production - Oil'!$B$65:$CD$108,MATCH('Production - Total'!Q$63,'Production - Oil'!$B$9:$CD$9),FALSE))+IF(ISERROR(MATCH($B67,'Production - Gas'!$B$65:$B$108,0)),0,VLOOKUP($B67,'Production - Gas'!$B$65:$CD$108,MATCH('Production - Total'!Q$63,'Production - Gas'!$B$9:$CD$9),FALSE)/5.8)</f>
        <v>0</v>
      </c>
      <c r="R67" s="11"/>
      <c r="S67" s="11"/>
      <c r="T67" s="11"/>
      <c r="U67" s="11"/>
      <c r="V67" s="11">
        <f>IF(ISERROR(MATCH($B67,'Production - Oil'!$B$65:$B$108,0)),0,VLOOKUP($B67,'Production - Oil'!$B$65:$CD$108,MATCH('Production - Total'!V$63,'Production - Oil'!$B$9:$CD$9),FALSE))+IF(ISERROR(MATCH($B67,'Production - Gas'!$B$65:$B$108,0)),0,VLOOKUP($B67,'Production - Gas'!$B$65:$CD$108,MATCH('Production - Total'!V$63,'Production - Gas'!$B$9:$CD$9),FALSE)/5.8)</f>
        <v>0</v>
      </c>
      <c r="W67" s="11"/>
      <c r="X67" s="11"/>
      <c r="Y67" s="11"/>
      <c r="Z67" s="11"/>
      <c r="AA67" s="11">
        <f>IF(ISERROR(MATCH($B67,'Production - Oil'!$B$65:$B$108,0)),0,VLOOKUP($B67,'Production - Oil'!$B$65:$CD$108,MATCH('Production - Total'!AA$63,'Production - Oil'!$B$9:$CD$9),FALSE))+IF(ISERROR(MATCH($B67,'Production - Gas'!$B$65:$B$108,0)),0,VLOOKUP($B67,'Production - Gas'!$B$65:$CD$108,MATCH('Production - Total'!AA$63,'Production - Gas'!$B$9:$CD$9),FALSE)/5.8)</f>
        <v>0</v>
      </c>
      <c r="AB67" s="11"/>
      <c r="AC67" s="11"/>
      <c r="AD67" s="11"/>
      <c r="AE67" s="11"/>
      <c r="AF67" s="11">
        <f>IF(ISERROR(MATCH($B67,'Production - Oil'!$B$65:$B$108,0)),0,VLOOKUP($B67,'Production - Oil'!$B$65:$CD$108,MATCH('Production - Total'!AF$63,'Production - Oil'!$B$9:$CD$9),FALSE))+IF(ISERROR(MATCH($B67,'Production - Gas'!$B$65:$B$108,0)),0,VLOOKUP($B67,'Production - Gas'!$B$65:$CD$108,MATCH('Production - Total'!AF$63,'Production - Gas'!$B$9:$CD$9),FALSE)/5.8)</f>
        <v>0</v>
      </c>
      <c r="AG67" s="82"/>
      <c r="AH67" s="82"/>
      <c r="AI67" s="82"/>
      <c r="AJ67" s="82"/>
      <c r="AK67" s="11">
        <f>IF(ISERROR(MATCH($B67,'Production - Oil'!$B$65:$B$108,0)),0,VLOOKUP($B67,'Production - Oil'!$B$65:$CD$108,MATCH('Production - Total'!AK$63,'Production - Oil'!$B$9:$CD$9),FALSE))+IF(ISERROR(MATCH($B67,'Production - Gas'!$B$65:$B$108,0)),0,VLOOKUP($B67,'Production - Gas'!$B$65:$CD$108,MATCH('Production - Total'!AK$63,'Production - Gas'!$B$9:$CD$9),FALSE)/5.8)</f>
        <v>0</v>
      </c>
      <c r="AL67" s="82"/>
      <c r="AM67" s="82"/>
      <c r="AN67" s="82"/>
      <c r="AO67" s="82"/>
      <c r="AP67" s="11">
        <f>IF(ISERROR(MATCH($B67,'Production - Oil'!$B$65:$B$108,0)),0,VLOOKUP($B67,'Production - Oil'!$B$65:$CD$108,MATCH('Production - Total'!AP$63,'Production - Oil'!$B$9:$CD$9),FALSE))+IF(ISERROR(MATCH($B67,'Production - Gas'!$B$65:$B$108,0)),0,VLOOKUP($B67,'Production - Gas'!$B$65:$CD$108,MATCH('Production - Total'!AP$63,'Production - Gas'!$B$9:$CD$9),FALSE)/5.8)</f>
        <v>0</v>
      </c>
      <c r="AQ67" s="82"/>
      <c r="AR67" s="82"/>
      <c r="AS67" s="82"/>
      <c r="AT67" s="82"/>
      <c r="AU67" s="11">
        <f>IF(ISERROR(MATCH($B67,'Production - Oil'!$B$65:$B$108,0)),0,VLOOKUP($B67,'Production - Oil'!$B$65:$CD$108,MATCH('Production - Total'!AU$63,'Production - Oil'!$B$9:$CD$9),FALSE))+IF(ISERROR(MATCH($B67,'Production - Gas'!$B$65:$B$108,0)),0,VLOOKUP($B67,'Production - Gas'!$B$65:$CD$108,MATCH('Production - Total'!AU$63,'Production - Gas'!$B$9:$CD$9),FALSE)/5.8)</f>
        <v>0</v>
      </c>
      <c r="AV67" s="82"/>
      <c r="AW67" s="82"/>
      <c r="AX67" s="82"/>
      <c r="AY67" s="82"/>
      <c r="AZ67" s="11">
        <f>IF(ISERROR(MATCH($B67,'Production - Oil'!$B$65:$B$108,0)),0,VLOOKUP($B67,'Production - Oil'!$B$65:$CD$108,MATCH('Production - Total'!AZ$63,'Production - Oil'!$B$9:$CD$9),FALSE))+IF(ISERROR(MATCH($B67,'Production - Gas'!$B$65:$B$108,0)),0,VLOOKUP($B67,'Production - Gas'!$B$65:$CD$108,MATCH('Production - Total'!AZ$63,'Production - Gas'!$B$9:$CD$9),FALSE)/5.8)</f>
        <v>0</v>
      </c>
      <c r="BA67" s="82"/>
      <c r="BB67" s="82"/>
      <c r="BC67" s="82"/>
      <c r="BD67" s="82"/>
      <c r="BE67" s="11">
        <f>IF(ISERROR(MATCH($B67,'Production - Oil'!$B$65:$B$108,0)),0,VLOOKUP($B67,'Production - Oil'!$B$65:$CD$108,MATCH('Production - Total'!BE$63,'Production - Oil'!$B$9:$CD$9),FALSE))+IF(ISERROR(MATCH($B67,'Production - Gas'!$B$65:$B$108,0)),0,VLOOKUP($B67,'Production - Gas'!$B$65:$CD$108,MATCH('Production - Total'!BE$63,'Production - Gas'!$B$9:$CD$9),FALSE)/5.8)</f>
        <v>0</v>
      </c>
      <c r="BF67" s="82"/>
      <c r="BG67" s="82"/>
      <c r="BH67" s="82"/>
      <c r="BI67" s="82"/>
      <c r="BJ67" s="11">
        <f>IF(ISERROR(MATCH($B67,'Production - Oil'!$B$65:$B$108,0)),0,VLOOKUP($B67,'Production - Oil'!$B$65:$CD$108,MATCH('Production - Total'!BJ$63,'Production - Oil'!$B$9:$CD$9),FALSE))+IF(ISERROR(MATCH($B67,'Production - Gas'!$B$65:$B$108,0)),0,VLOOKUP($B67,'Production - Gas'!$B$65:$CD$108,MATCH('Production - Total'!BJ$63,'Production - Gas'!$B$9:$CD$9),FALSE)/5.8)</f>
        <v>0</v>
      </c>
      <c r="BK67" s="82"/>
      <c r="BL67" s="82"/>
      <c r="BM67" s="82"/>
      <c r="BN67" s="82"/>
      <c r="BO67" s="11">
        <f>'Production - Oil'!BO67+'Production - Gas'!BO67/5.8</f>
        <v>0</v>
      </c>
      <c r="BP67" s="82"/>
      <c r="BQ67" s="82"/>
      <c r="BR67" s="82"/>
      <c r="BS67" s="82"/>
      <c r="BT67" s="51"/>
      <c r="BU67" s="82"/>
      <c r="BV67" s="82"/>
      <c r="BW67" s="82"/>
      <c r="BX67" s="82"/>
      <c r="BY67" s="51"/>
      <c r="BZ67" s="82"/>
      <c r="CA67" s="82"/>
      <c r="CB67" s="82"/>
      <c r="CC67" s="82"/>
      <c r="CD67" s="51"/>
    </row>
    <row r="68" spans="1:82">
      <c r="A68" s="39" t="s">
        <v>309</v>
      </c>
      <c r="B68" s="39"/>
      <c r="C68" s="39">
        <f>SUM(C65:C67)</f>
        <v>0</v>
      </c>
      <c r="D68" s="39">
        <f>SUM(D65:D67)</f>
        <v>0</v>
      </c>
      <c r="E68" s="39">
        <f>SUM(E65:E67)</f>
        <v>0</v>
      </c>
      <c r="F68" s="39">
        <f>SUM(F65:F67)</f>
        <v>0</v>
      </c>
      <c r="G68" s="39">
        <f>SUM(G65:G67)</f>
        <v>0</v>
      </c>
      <c r="H68" s="39">
        <f t="shared" ref="H68:AF68" si="9">SUM(H65:H67)</f>
        <v>0</v>
      </c>
      <c r="I68" s="39">
        <f t="shared" si="9"/>
        <v>0</v>
      </c>
      <c r="J68" s="39">
        <f t="shared" si="9"/>
        <v>0</v>
      </c>
      <c r="K68" s="39">
        <f t="shared" si="9"/>
        <v>0</v>
      </c>
      <c r="L68" s="39">
        <f t="shared" si="9"/>
        <v>0</v>
      </c>
      <c r="M68" s="39">
        <f t="shared" si="9"/>
        <v>0</v>
      </c>
      <c r="N68" s="39">
        <f t="shared" si="9"/>
        <v>0</v>
      </c>
      <c r="O68" s="39">
        <f t="shared" si="9"/>
        <v>0</v>
      </c>
      <c r="P68" s="39">
        <f t="shared" si="9"/>
        <v>0</v>
      </c>
      <c r="Q68" s="39">
        <f t="shared" si="9"/>
        <v>0</v>
      </c>
      <c r="R68" s="39">
        <f t="shared" si="9"/>
        <v>0</v>
      </c>
      <c r="S68" s="39">
        <f t="shared" si="9"/>
        <v>0</v>
      </c>
      <c r="T68" s="39">
        <f t="shared" si="9"/>
        <v>0</v>
      </c>
      <c r="U68" s="39">
        <f t="shared" si="9"/>
        <v>0</v>
      </c>
      <c r="V68" s="39">
        <f t="shared" si="9"/>
        <v>0</v>
      </c>
      <c r="W68" s="39">
        <f t="shared" si="9"/>
        <v>0</v>
      </c>
      <c r="X68" s="39">
        <f t="shared" si="9"/>
        <v>0</v>
      </c>
      <c r="Y68" s="39">
        <f t="shared" si="9"/>
        <v>0</v>
      </c>
      <c r="Z68" s="39">
        <f t="shared" si="9"/>
        <v>0</v>
      </c>
      <c r="AA68" s="39">
        <f t="shared" si="9"/>
        <v>0</v>
      </c>
      <c r="AB68" s="39">
        <f t="shared" si="9"/>
        <v>0</v>
      </c>
      <c r="AC68" s="39">
        <f t="shared" si="9"/>
        <v>0</v>
      </c>
      <c r="AD68" s="39">
        <f t="shared" si="9"/>
        <v>0</v>
      </c>
      <c r="AE68" s="39">
        <f t="shared" si="9"/>
        <v>0</v>
      </c>
      <c r="AF68" s="39">
        <f t="shared" si="9"/>
        <v>0</v>
      </c>
      <c r="AG68" s="80">
        <f>VLOOKUP($A68,'Production - Oil'!$A$63:$CD$110,MATCH('Production - Total'!AG$63,'Production - Oil'!$A$63:$CD$63,0),FALSE)+VLOOKUP($A68,'Production - Gas'!$A$63:$CD$110,MATCH('Production - Total'!AG$63,'Production - Gas'!$A$63:$CD$63,0),FALSE)/5.8</f>
        <v>0</v>
      </c>
      <c r="AH68" s="80">
        <f>VLOOKUP($A68,'Production - Oil'!$A$63:$CD$110,MATCH('Production - Total'!AH$63,'Production - Oil'!$A$63:$CD$63,0),FALSE)+VLOOKUP($A68,'Production - Gas'!$A$63:$CD$110,MATCH('Production - Total'!AH$63,'Production - Gas'!$A$63:$CD$63,0),FALSE)/5.8</f>
        <v>0</v>
      </c>
      <c r="AI68" s="80">
        <f>VLOOKUP($A68,'Production - Oil'!$A$63:$CD$110,MATCH('Production - Total'!AI$63,'Production - Oil'!$A$63:$CD$63,0),FALSE)+VLOOKUP($A68,'Production - Gas'!$A$63:$CD$110,MATCH('Production - Total'!AI$63,'Production - Gas'!$A$63:$CD$63,0),FALSE)/5.8</f>
        <v>0</v>
      </c>
      <c r="AJ68" s="80">
        <f>VLOOKUP($A68,'Production - Oil'!$A$63:$CD$110,MATCH('Production - Total'!AJ$63,'Production - Oil'!$A$63:$CD$63,0),FALSE)+VLOOKUP($A68,'Production - Gas'!$A$63:$CD$110,MATCH('Production - Total'!AJ$63,'Production - Gas'!$A$63:$CD$63,0),FALSE)/5.8</f>
        <v>0</v>
      </c>
      <c r="AK68" s="39">
        <f>VLOOKUP($A68,'Production - Oil'!$A$63:$CD$110,MATCH('Production - Total'!AK$63,'Production - Oil'!$A$63:$CD$63,0),FALSE)+VLOOKUP($A68,'Production - Gas'!$A$63:$CD$110,MATCH('Production - Total'!AK$63,'Production - Gas'!$A$63:$CD$63,0),FALSE)/5.8</f>
        <v>0</v>
      </c>
      <c r="AL68" s="80">
        <f>VLOOKUP($A68,'Production - Oil'!$A$63:$CD$110,MATCH('Production - Total'!AL$63,'Production - Oil'!$A$63:$CD$63,0),FALSE)+VLOOKUP($A68,'Production - Gas'!$A$63:$CD$110,MATCH('Production - Total'!AL$63,'Production - Gas'!$A$63:$CD$63,0),FALSE)/5.8</f>
        <v>0</v>
      </c>
      <c r="AM68" s="80">
        <f>VLOOKUP($A68,'Production - Oil'!$A$63:$CD$110,MATCH('Production - Total'!AM$63,'Production - Oil'!$A$63:$CD$63,0),FALSE)+VLOOKUP($A68,'Production - Gas'!$A$63:$CD$110,MATCH('Production - Total'!AM$63,'Production - Gas'!$A$63:$CD$63,0),FALSE)/5.8</f>
        <v>0</v>
      </c>
      <c r="AN68" s="80">
        <f>VLOOKUP($A68,'Production - Oil'!$A$63:$CD$110,MATCH('Production - Total'!AN$63,'Production - Oil'!$A$63:$CD$63,0),FALSE)+VLOOKUP($A68,'Production - Gas'!$A$63:$CD$110,MATCH('Production - Total'!AN$63,'Production - Gas'!$A$63:$CD$63,0),FALSE)/5.8</f>
        <v>0</v>
      </c>
      <c r="AO68" s="80">
        <f>VLOOKUP($A68,'Production - Oil'!$A$63:$CD$110,MATCH('Production - Total'!AO$63,'Production - Oil'!$A$63:$CD$63,0),FALSE)+VLOOKUP($A68,'Production - Gas'!$A$63:$CD$110,MATCH('Production - Total'!AO$63,'Production - Gas'!$A$63:$CD$63,0),FALSE)/5.8</f>
        <v>0</v>
      </c>
      <c r="AP68" s="39">
        <f>VLOOKUP($A68,'Production - Oil'!$A$63:$CD$110,MATCH('Production - Total'!AP$63,'Production - Oil'!$A$63:$CD$63,0),FALSE)+VLOOKUP($A68,'Production - Gas'!$A$63:$CD$110,MATCH('Production - Total'!AP$63,'Production - Gas'!$A$63:$CD$63,0),FALSE)/5.8</f>
        <v>0</v>
      </c>
      <c r="AQ68" s="82"/>
      <c r="AR68" s="82"/>
      <c r="AS68" s="82"/>
      <c r="AT68" s="82"/>
      <c r="AU68" s="39">
        <f>VLOOKUP($A68,'Production - Oil'!$A$63:$CD$110,MATCH('Production - Total'!AU$63,'Production - Oil'!$A$63:$CD$63,0),FALSE)+VLOOKUP($A68,'Production - Gas'!$A$63:$CD$110,MATCH('Production - Total'!AU$63,'Production - Gas'!$A$63:$CD$63,0),FALSE)/5.8</f>
        <v>0</v>
      </c>
      <c r="AV68" s="82"/>
      <c r="AW68" s="82"/>
      <c r="AX68" s="82"/>
      <c r="AY68" s="82"/>
      <c r="AZ68" s="39">
        <f>VLOOKUP($A68,'Production - Oil'!$A$63:$CD$110,MATCH('Production - Total'!AZ$63,'Production - Oil'!$A$63:$CD$63,0),FALSE)+VLOOKUP($A68,'Production - Gas'!$A$63:$CD$110,MATCH('Production - Total'!AZ$63,'Production - Gas'!$A$63:$CD$63,0),FALSE)/5.8</f>
        <v>0</v>
      </c>
      <c r="BA68" s="82"/>
      <c r="BB68" s="82"/>
      <c r="BC68" s="82"/>
      <c r="BD68" s="82"/>
      <c r="BE68" s="39">
        <f>VLOOKUP($A68,'Production - Oil'!$A$63:$CD$110,MATCH('Production - Total'!BE$63,'Production - Oil'!$A$63:$CD$63,0),FALSE)+VLOOKUP($A68,'Production - Gas'!$A$63:$CD$110,MATCH('Production - Total'!BE$63,'Production - Gas'!$A$63:$CD$63,0),FALSE)/5.8</f>
        <v>0</v>
      </c>
      <c r="BF68" s="82"/>
      <c r="BG68" s="82"/>
      <c r="BH68" s="82"/>
      <c r="BI68" s="82"/>
      <c r="BJ68" s="39">
        <f>VLOOKUP($A68,'Production - Oil'!$A$63:$CD$110,MATCH('Production - Total'!BJ$63,'Production - Oil'!$A$63:$CD$63,0),FALSE)+VLOOKUP($A68,'Production - Gas'!$A$63:$CD$110,MATCH('Production - Total'!BJ$63,'Production - Gas'!$A$63:$CD$63,0),FALSE)/5.8</f>
        <v>9.068965517241379</v>
      </c>
      <c r="BK68" s="82"/>
      <c r="BL68" s="82"/>
      <c r="BM68" s="82"/>
      <c r="BN68" s="82"/>
      <c r="BO68" s="39">
        <f>'Production - Oil'!BO68+'Production - Gas'!BO68/5.8</f>
        <v>42.137931034482762</v>
      </c>
      <c r="BP68" s="80">
        <f>VLOOKUP($A68,'Production - Oil'!$A$63:$CD$110,MATCH('Production - Total'!BP$63,'Production - Oil'!$A$63:$CD$63,0),FALSE)+VLOOKUP($A68,'Production - Gas'!$A$63:$CD$110,MATCH('Production - Total'!BP$63,'Production - Gas'!$A$63:$CD$63,0),FALSE)/5.8</f>
        <v>50.597254728027735</v>
      </c>
      <c r="BQ68" s="80">
        <f>VLOOKUP($A68,'Production - Oil'!$A$63:$CD$110,MATCH('Production - Total'!BQ$63,'Production - Oil'!$A$63:$CD$63,0),FALSE)+VLOOKUP($A68,'Production - Gas'!$A$63:$CD$110,MATCH('Production - Total'!BQ$63,'Production - Gas'!$A$63:$CD$63,0),FALSE)/5.8</f>
        <v>48.994459720826754</v>
      </c>
      <c r="BR68" s="80">
        <f>VLOOKUP($A68,'Production - Oil'!$A$63:$CD$110,MATCH('Production - Total'!BR$63,'Production - Oil'!$A$63:$CD$63,0),FALSE)+VLOOKUP($A68,'Production - Gas'!$A$63:$CD$110,MATCH('Production - Total'!BR$63,'Production - Gas'!$A$63:$CD$63,0),FALSE)/5.8</f>
        <v>46.100808762906915</v>
      </c>
      <c r="BS68" s="80">
        <f>VLOOKUP($A68,'Production - Oil'!$A$63:$CD$110,MATCH('Production - Total'!BS$63,'Production - Oil'!$A$63:$CD$63,0),FALSE)+VLOOKUP($A68,'Production - Gas'!$A$63:$CD$110,MATCH('Production - Total'!BS$63,'Production - Gas'!$A$63:$CD$63,0),FALSE)/5.8</f>
        <v>48.34830437444549</v>
      </c>
      <c r="BT68" s="39">
        <f>VLOOKUP($A68,'Production - Oil'!$A$63:$CD$110,MATCH('Production - Total'!BT$63,'Production - Oil'!$A$63:$CD$63,0),FALSE)+VLOOKUP($A68,'Production - Gas'!$A$63:$CD$110,MATCH('Production - Total'!BT$63,'Production - Gas'!$A$63:$CD$63,0),FALSE)/5.8</f>
        <v>48.510206896551722</v>
      </c>
      <c r="BU68" s="80">
        <f>VLOOKUP($A68,'Production - Oil'!$A$63:$CD$110,MATCH('Production - Total'!BU$63,'Production - Oil'!$A$63:$CD$63,0),FALSE)+VLOOKUP($A68,'Production - Gas'!$A$63:$CD$110,MATCH('Production - Total'!BU$63,'Production - Gas'!$A$63:$CD$63,0),FALSE)/5.8</f>
        <v>46.186147766046226</v>
      </c>
      <c r="BV68" s="80">
        <f>VLOOKUP($A68,'Production - Oil'!$A$63:$CD$110,MATCH('Production - Total'!BV$63,'Production - Oil'!$A$63:$CD$63,0),FALSE)+VLOOKUP($A68,'Production - Gas'!$A$63:$CD$110,MATCH('Production - Total'!BV$63,'Production - Gas'!$A$63:$CD$63,0),FALSE)/5.8</f>
        <v>44.863691843243615</v>
      </c>
      <c r="BW68" s="80">
        <f>VLOOKUP($A68,'Production - Oil'!$A$63:$CD$110,MATCH('Production - Total'!BW$63,'Production - Oil'!$A$63:$CD$63,0),FALSE)+VLOOKUP($A68,'Production - Gas'!$A$63:$CD$110,MATCH('Production - Total'!BW$63,'Production - Gas'!$A$63:$CD$63,0),FALSE)/5.8</f>
        <v>42.476158920672752</v>
      </c>
      <c r="BX68" s="80">
        <f>VLOOKUP($A68,'Production - Oil'!$A$63:$CD$110,MATCH('Production - Total'!BX$63,'Production - Oil'!$A$63:$CD$63,0),FALSE)+VLOOKUP($A68,'Production - Gas'!$A$63:$CD$110,MATCH('Production - Total'!BX$63,'Production - Gas'!$A$63:$CD$63,0),FALSE)/5.8</f>
        <v>44.330553194175359</v>
      </c>
      <c r="BY68" s="39">
        <f>VLOOKUP($A68,'Production - Oil'!$A$63:$CD$110,MATCH('Production - Total'!BY$63,'Production - Oil'!$A$63:$CD$63,0),FALSE)+VLOOKUP($A68,'Production - Gas'!$A$63:$CD$110,MATCH('Production - Total'!BY$63,'Production - Gas'!$A$63:$CD$63,0),FALSE)/5.8</f>
        <v>44.464137931034486</v>
      </c>
      <c r="BZ68" s="80">
        <f>VLOOKUP($A68,'Production - Oil'!$A$63:$CD$110,MATCH('Production - Total'!BZ$63,'Production - Oil'!$A$63:$CD$63,0),FALSE)+VLOOKUP($A68,'Production - Gas'!$A$63:$CD$110,MATCH('Production - Total'!BZ$63,'Production - Gas'!$A$63:$CD$63,0),FALSE)/5.8</f>
        <v>59.880455860948793</v>
      </c>
      <c r="CA68" s="80">
        <f>VLOOKUP($A68,'Production - Oil'!$A$63:$CD$110,MATCH('Production - Total'!CA$63,'Production - Oil'!$A$63:$CD$63,0),FALSE)+VLOOKUP($A68,'Production - Gas'!$A$63:$CD$110,MATCH('Production - Total'!CA$63,'Production - Gas'!$A$63:$CD$63,0),FALSE)/5.8</f>
        <v>58.553129013936967</v>
      </c>
      <c r="CB68" s="80">
        <f>VLOOKUP($A68,'Production - Oil'!$A$63:$CD$110,MATCH('Production - Total'!CB$63,'Production - Oil'!$A$63:$CD$63,0),FALSE)+VLOOKUP($A68,'Production - Gas'!$A$63:$CD$110,MATCH('Production - Total'!CB$63,'Production - Gas'!$A$63:$CD$63,0),FALSE)/5.8</f>
        <v>56.156802231614463</v>
      </c>
      <c r="CC68" s="80">
        <f>VLOOKUP($A68,'Production - Oil'!$A$63:$CD$110,MATCH('Production - Total'!CC$63,'Production - Oil'!$A$63:$CD$63,0),FALSE)+VLOOKUP($A68,'Production - Gas'!$A$63:$CD$110,MATCH('Production - Total'!CC$63,'Production - Gas'!$A$63:$CD$63,0),FALSE)/5.8</f>
        <v>58.018026686603264</v>
      </c>
      <c r="CD68" s="39">
        <f>VLOOKUP($A68,'Production - Oil'!$A$63:$CD$110,MATCH('Production - Total'!CD$63,'Production - Oil'!$A$63:$CD$63,0),FALSE)+VLOOKUP($A68,'Production - Gas'!$A$63:$CD$110,MATCH('Production - Total'!CD$63,'Production - Gas'!$A$63:$CD$63,0),FALSE)/5.8</f>
        <v>58.152103448275867</v>
      </c>
    </row>
    <row r="69" spans="1:82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68"/>
      <c r="AH69" s="68"/>
      <c r="AI69" s="68"/>
      <c r="AJ69" s="68"/>
      <c r="AK69" s="11"/>
      <c r="AL69" s="68"/>
      <c r="AM69" s="68"/>
      <c r="AN69" s="68"/>
      <c r="AO69" s="68"/>
      <c r="AP69" s="11"/>
      <c r="AQ69" s="68"/>
      <c r="AR69" s="68"/>
      <c r="AS69" s="68"/>
      <c r="AT69" s="68"/>
      <c r="AU69" s="11"/>
      <c r="AV69" s="68"/>
      <c r="AW69" s="68"/>
      <c r="AX69" s="68"/>
      <c r="AY69" s="68"/>
      <c r="AZ69" s="11"/>
      <c r="BA69" s="68"/>
      <c r="BB69" s="68"/>
      <c r="BC69" s="68"/>
      <c r="BD69" s="68"/>
      <c r="BE69" s="11"/>
      <c r="BF69" s="68"/>
      <c r="BG69" s="68"/>
      <c r="BH69" s="68"/>
      <c r="BI69" s="68"/>
      <c r="BJ69" s="11"/>
      <c r="BK69" s="68"/>
      <c r="BL69" s="68"/>
      <c r="BM69" s="68"/>
      <c r="BN69" s="68"/>
      <c r="BO69" s="11"/>
      <c r="BP69" s="68"/>
      <c r="BQ69" s="68"/>
      <c r="BR69" s="68"/>
      <c r="BS69" s="68"/>
      <c r="BT69" s="11"/>
      <c r="BU69" s="68"/>
      <c r="BV69" s="68"/>
      <c r="BW69" s="68"/>
      <c r="BX69" s="68"/>
      <c r="BY69" s="11"/>
      <c r="BZ69" s="68"/>
      <c r="CA69" s="68"/>
      <c r="CB69" s="68"/>
      <c r="CC69" s="68"/>
      <c r="CD69" s="11"/>
    </row>
    <row r="70" spans="1:82">
      <c r="A70" s="39" t="s">
        <v>310</v>
      </c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68"/>
      <c r="AH70" s="68"/>
      <c r="AI70" s="68"/>
      <c r="AJ70" s="68"/>
      <c r="AK70" s="11"/>
      <c r="AL70" s="68"/>
      <c r="AM70" s="68"/>
      <c r="AN70" s="68"/>
      <c r="AO70" s="68"/>
      <c r="AP70" s="11"/>
      <c r="AQ70" s="68"/>
      <c r="AR70" s="68"/>
      <c r="AS70" s="68"/>
      <c r="AT70" s="68"/>
      <c r="AU70" s="11"/>
      <c r="AV70" s="68"/>
      <c r="AW70" s="68"/>
      <c r="AX70" s="68"/>
      <c r="AY70" s="68"/>
      <c r="AZ70" s="11"/>
      <c r="BA70" s="68"/>
      <c r="BB70" s="68"/>
      <c r="BC70" s="68"/>
      <c r="BD70" s="68"/>
      <c r="BE70" s="11"/>
      <c r="BF70" s="68"/>
      <c r="BG70" s="68"/>
      <c r="BH70" s="68"/>
      <c r="BI70" s="68"/>
      <c r="BJ70" s="11"/>
      <c r="BK70" s="68"/>
      <c r="BL70" s="68"/>
      <c r="BM70" s="68"/>
      <c r="BN70" s="68"/>
      <c r="BO70" s="11"/>
      <c r="BP70" s="68"/>
      <c r="BQ70" s="68"/>
      <c r="BR70" s="68"/>
      <c r="BS70" s="68"/>
      <c r="BT70" s="11"/>
      <c r="BU70" s="68"/>
      <c r="BV70" s="68"/>
      <c r="BW70" s="68"/>
      <c r="BX70" s="68"/>
      <c r="BY70" s="11"/>
      <c r="BZ70" s="68"/>
      <c r="CA70" s="68"/>
      <c r="CB70" s="68"/>
      <c r="CC70" s="68"/>
      <c r="CD70" s="11"/>
    </row>
    <row r="71" spans="1:82">
      <c r="A71" s="11"/>
      <c r="B71" s="11" t="s">
        <v>728</v>
      </c>
      <c r="C71" s="11">
        <f>IF(ISERROR(MATCH($B71,'Production - Oil'!$B$65:$B$108,0)),0,VLOOKUP($B71,'Production - Oil'!$B$65:$CD$108,MATCH('Production - Total'!C$63,'Production - Oil'!$B$9:$CD$9),FALSE))+IF(ISERROR(MATCH($B71,'Production - Gas'!$B$65:$B$108,0)),0,VLOOKUP($B71,'Production - Gas'!$B$65:$CD$108,MATCH('Production - Total'!C$63,'Production - Gas'!$B$9:$CD$9),FALSE)/5.8)</f>
        <v>0</v>
      </c>
      <c r="D71" s="11">
        <f>IF(ISERROR(MATCH($B71,'Production - Oil'!$B$65:$B$108,0)),0,VLOOKUP($B71,'Production - Oil'!$B$65:$CD$108,MATCH('Production - Total'!D$63,'Production - Oil'!$B$9:$CD$9),FALSE))+IF(ISERROR(MATCH($B71,'Production - Gas'!$B$65:$B$108,0)),0,VLOOKUP($B71,'Production - Gas'!$B$65:$CD$108,MATCH('Production - Total'!D$63,'Production - Gas'!$B$9:$CD$9),FALSE)/5.8)</f>
        <v>0</v>
      </c>
      <c r="E71" s="11">
        <f>IF(ISERROR(MATCH($B71,'Production - Oil'!$B$65:$B$108,0)),0,VLOOKUP($B71,'Production - Oil'!$B$65:$CD$108,MATCH('Production - Total'!E$63,'Production - Oil'!$B$9:$CD$9),FALSE))+IF(ISERROR(MATCH($B71,'Production - Gas'!$B$65:$B$108,0)),0,VLOOKUP($B71,'Production - Gas'!$B$65:$CD$108,MATCH('Production - Total'!E$63,'Production - Gas'!$B$9:$CD$9),FALSE)/5.8)</f>
        <v>0</v>
      </c>
      <c r="F71" s="11">
        <f>IF(ISERROR(MATCH($B71,'Production - Oil'!$B$65:$B$108,0)),0,VLOOKUP($B71,'Production - Oil'!$B$65:$CD$108,MATCH('Production - Total'!F$63,'Production - Oil'!$B$9:$CD$9),FALSE))+IF(ISERROR(MATCH($B71,'Production - Gas'!$B$65:$B$108,0)),0,VLOOKUP($B71,'Production - Gas'!$B$65:$CD$108,MATCH('Production - Total'!F$63,'Production - Gas'!$B$9:$CD$9),FALSE)/5.8)</f>
        <v>0</v>
      </c>
      <c r="G71" s="11">
        <f>IF(ISERROR(MATCH($B71,'Production - Oil'!$B$65:$B$108,0)),0,VLOOKUP($B71,'Production - Oil'!$B$65:$CD$108,MATCH('Production - Total'!G$63,'Production - Oil'!$B$9:$CD$9),FALSE))+IF(ISERROR(MATCH($B71,'Production - Gas'!$B$65:$B$108,0)),0,VLOOKUP($B71,'Production - Gas'!$B$65:$CD$108,MATCH('Production - Total'!G$63,'Production - Gas'!$B$9:$CD$9),FALSE)/5.8)</f>
        <v>0</v>
      </c>
      <c r="H71" s="11"/>
      <c r="I71" s="11"/>
      <c r="J71" s="11"/>
      <c r="K71" s="11"/>
      <c r="L71" s="11">
        <f>IF(ISERROR(MATCH($B71,'Production - Oil'!$B$65:$B$108,0)),0,VLOOKUP($B71,'Production - Oil'!$B$65:$CD$108,MATCH('Production - Total'!L$63,'Production - Oil'!$B$9:$CD$9),FALSE))+IF(ISERROR(MATCH($B71,'Production - Gas'!$B$65:$B$108,0)),0,VLOOKUP($B71,'Production - Gas'!$B$65:$CD$108,MATCH('Production - Total'!L$63,'Production - Gas'!$B$9:$CD$9),FALSE)/5.8)</f>
        <v>0</v>
      </c>
      <c r="M71" s="11"/>
      <c r="N71" s="11"/>
      <c r="O71" s="11"/>
      <c r="P71" s="11"/>
      <c r="Q71" s="11">
        <f>IF(ISERROR(MATCH($B71,'Production - Oil'!$B$65:$B$108,0)),0,VLOOKUP($B71,'Production - Oil'!$B$65:$CD$108,MATCH('Production - Total'!Q$63,'Production - Oil'!$B$9:$CD$9),FALSE))+IF(ISERROR(MATCH($B71,'Production - Gas'!$B$65:$B$108,0)),0,VLOOKUP($B71,'Production - Gas'!$B$65:$CD$108,MATCH('Production - Total'!Q$63,'Production - Gas'!$B$9:$CD$9),FALSE)/5.8)</f>
        <v>0</v>
      </c>
      <c r="R71" s="11"/>
      <c r="S71" s="11"/>
      <c r="T71" s="11"/>
      <c r="U71" s="11"/>
      <c r="V71" s="11">
        <f>IF(ISERROR(MATCH($B71,'Production - Oil'!$B$65:$B$108,0)),0,VLOOKUP($B71,'Production - Oil'!$B$65:$CD$108,MATCH('Production - Total'!V$63,'Production - Oil'!$B$9:$CD$9),FALSE))+IF(ISERROR(MATCH($B71,'Production - Gas'!$B$65:$B$108,0)),0,VLOOKUP($B71,'Production - Gas'!$B$65:$CD$108,MATCH('Production - Total'!V$63,'Production - Gas'!$B$9:$CD$9),FALSE)/5.8)</f>
        <v>0</v>
      </c>
      <c r="W71" s="11"/>
      <c r="X71" s="11"/>
      <c r="Y71" s="11"/>
      <c r="Z71" s="11"/>
      <c r="AA71" s="11">
        <f>IF(ISERROR(MATCH($B71,'Production - Oil'!$B$65:$B$108,0)),0,VLOOKUP($B71,'Production - Oil'!$B$65:$CD$108,MATCH('Production - Total'!AA$63,'Production - Oil'!$B$9:$CD$9),FALSE))+IF(ISERROR(MATCH($B71,'Production - Gas'!$B$65:$B$108,0)),0,VLOOKUP($B71,'Production - Gas'!$B$65:$CD$108,MATCH('Production - Total'!AA$63,'Production - Gas'!$B$9:$CD$9),FALSE)/5.8)</f>
        <v>0</v>
      </c>
      <c r="AB71" s="11"/>
      <c r="AC71" s="11"/>
      <c r="AD71" s="11"/>
      <c r="AE71" s="11"/>
      <c r="AF71" s="11">
        <f>IF(ISERROR(MATCH($B71,'Production - Oil'!$B$65:$B$108,0)),0,VLOOKUP($B71,'Production - Oil'!$B$65:$CD$108,MATCH('Production - Total'!AF$63,'Production - Oil'!$B$9:$CD$9),FALSE))+IF(ISERROR(MATCH($B71,'Production - Gas'!$B$65:$B$108,0)),0,VLOOKUP($B71,'Production - Gas'!$B$65:$CD$108,MATCH('Production - Total'!AF$63,'Production - Gas'!$B$9:$CD$9),FALSE)/5.8)</f>
        <v>0</v>
      </c>
      <c r="AG71" s="82"/>
      <c r="AH71" s="82"/>
      <c r="AI71" s="82"/>
      <c r="AJ71" s="82"/>
      <c r="AK71" s="11">
        <f>IF(ISERROR(MATCH($B71,'Production - Oil'!$B$65:$B$108,0)),0,VLOOKUP($B71,'Production - Oil'!$B$65:$CD$108,MATCH('Production - Total'!AK$63,'Production - Oil'!$B$9:$CD$9),FALSE))+IF(ISERROR(MATCH($B71,'Production - Gas'!$B$65:$B$108,0)),0,VLOOKUP($B71,'Production - Gas'!$B$65:$CD$108,MATCH('Production - Total'!AK$63,'Production - Gas'!$B$9:$CD$9),FALSE)/5.8)</f>
        <v>0</v>
      </c>
      <c r="AL71" s="82"/>
      <c r="AM71" s="82"/>
      <c r="AN71" s="82"/>
      <c r="AO71" s="82"/>
      <c r="AP71" s="11">
        <f>IF(ISERROR(MATCH($B71,'Production - Oil'!$B$65:$B$108,0)),0,VLOOKUP($B71,'Production - Oil'!$B$65:$CD$108,MATCH('Production - Total'!AP$63,'Production - Oil'!$B$9:$CD$9),FALSE))+IF(ISERROR(MATCH($B71,'Production - Gas'!$B$65:$B$108,0)),0,VLOOKUP($B71,'Production - Gas'!$B$65:$CD$108,MATCH('Production - Total'!AP$63,'Production - Gas'!$B$9:$CD$9),FALSE)/5.8)</f>
        <v>0</v>
      </c>
      <c r="AQ71" s="82"/>
      <c r="AR71" s="82"/>
      <c r="AS71" s="82"/>
      <c r="AT71" s="82"/>
      <c r="AU71" s="11">
        <f>IF(ISERROR(MATCH($B71,'Production - Oil'!$B$65:$B$108,0)),0,VLOOKUP($B71,'Production - Oil'!$B$65:$CD$108,MATCH('Production - Total'!AU$63,'Production - Oil'!$B$9:$CD$9),FALSE))+IF(ISERROR(MATCH($B71,'Production - Gas'!$B$65:$B$108,0)),0,VLOOKUP($B71,'Production - Gas'!$B$65:$CD$108,MATCH('Production - Total'!AU$63,'Production - Gas'!$B$9:$CD$9),FALSE)/5.8)</f>
        <v>0</v>
      </c>
      <c r="AV71" s="82"/>
      <c r="AW71" s="82"/>
      <c r="AX71" s="82"/>
      <c r="AY71" s="82"/>
      <c r="AZ71" s="11">
        <f>IF(ISERROR(MATCH($B71,'Production - Oil'!$B$65:$B$108,0)),0,VLOOKUP($B71,'Production - Oil'!$B$65:$CD$108,MATCH('Production - Total'!AZ$63,'Production - Oil'!$B$9:$CD$9),FALSE))+IF(ISERROR(MATCH($B71,'Production - Gas'!$B$65:$B$108,0)),0,VLOOKUP($B71,'Production - Gas'!$B$65:$CD$108,MATCH('Production - Total'!AZ$63,'Production - Gas'!$B$9:$CD$9),FALSE)/5.8)</f>
        <v>0</v>
      </c>
      <c r="BA71" s="82"/>
      <c r="BB71" s="82"/>
      <c r="BC71" s="82"/>
      <c r="BD71" s="82"/>
      <c r="BE71" s="11">
        <f>IF(ISERROR(MATCH($B71,'Production - Oil'!$B$65:$B$108,0)),0,VLOOKUP($B71,'Production - Oil'!$B$65:$CD$108,MATCH('Production - Total'!BE$63,'Production - Oil'!$B$9:$CD$9),FALSE))+IF(ISERROR(MATCH($B71,'Production - Gas'!$B$65:$B$108,0)),0,VLOOKUP($B71,'Production - Gas'!$B$65:$CD$108,MATCH('Production - Total'!BE$63,'Production - Gas'!$B$9:$CD$9),FALSE)/5.8)</f>
        <v>0</v>
      </c>
      <c r="BF71" s="82"/>
      <c r="BG71" s="82"/>
      <c r="BH71" s="82"/>
      <c r="BI71" s="82"/>
      <c r="BJ71" s="11">
        <f>IF(ISERROR(MATCH($B71,'Production - Oil'!$B$65:$B$108,0)),0,VLOOKUP($B71,'Production - Oil'!$B$65:$CD$108,MATCH('Production - Total'!BJ$63,'Production - Oil'!$B$9:$CD$9),FALSE))+IF(ISERROR(MATCH($B71,'Production - Gas'!$B$65:$B$108,0)),0,VLOOKUP($B71,'Production - Gas'!$B$65:$CD$108,MATCH('Production - Total'!BJ$63,'Production - Gas'!$B$9:$CD$9),FALSE)/5.8)</f>
        <v>0</v>
      </c>
      <c r="BK71" s="82"/>
      <c r="BL71" s="82"/>
      <c r="BM71" s="82"/>
      <c r="BN71" s="82"/>
      <c r="BO71" s="11">
        <f>'Production - Oil'!BO71+'Production - Gas'!BO71/5.8</f>
        <v>0</v>
      </c>
      <c r="BP71" s="82"/>
      <c r="BQ71" s="82"/>
      <c r="BR71" s="82"/>
      <c r="BS71" s="82"/>
      <c r="BT71" s="51"/>
      <c r="BU71" s="82"/>
      <c r="BV71" s="82"/>
      <c r="BW71" s="82"/>
      <c r="BX71" s="82"/>
      <c r="BY71" s="51"/>
      <c r="BZ71" s="82"/>
      <c r="CA71" s="82"/>
      <c r="CB71" s="82"/>
      <c r="CC71" s="82"/>
      <c r="CD71" s="51"/>
    </row>
    <row r="72" spans="1:82">
      <c r="A72" s="11"/>
      <c r="B72" s="11" t="s">
        <v>727</v>
      </c>
      <c r="C72" s="11">
        <f>IF(ISERROR(MATCH($B72,'Production - Oil'!$B$65:$B$108,0)),0,VLOOKUP($B72,'Production - Oil'!$B$65:$CD$108,MATCH('Production - Total'!C$63,'Production - Oil'!$B$9:$CD$9),FALSE))+IF(ISERROR(MATCH($B72,'Production - Gas'!$B$65:$B$108,0)),0,VLOOKUP($B72,'Production - Gas'!$B$65:$CD$108,MATCH('Production - Total'!C$63,'Production - Gas'!$B$9:$CD$9),FALSE)/5.8)</f>
        <v>0</v>
      </c>
      <c r="D72" s="11">
        <f>IF(ISERROR(MATCH($B72,'Production - Oil'!$B$65:$B$108,0)),0,VLOOKUP($B72,'Production - Oil'!$B$65:$CD$108,MATCH('Production - Total'!D$63,'Production - Oil'!$B$9:$CD$9),FALSE))+IF(ISERROR(MATCH($B72,'Production - Gas'!$B$65:$B$108,0)),0,VLOOKUP($B72,'Production - Gas'!$B$65:$CD$108,MATCH('Production - Total'!D$63,'Production - Gas'!$B$9:$CD$9),FALSE)/5.8)</f>
        <v>0</v>
      </c>
      <c r="E72" s="11">
        <f>IF(ISERROR(MATCH($B72,'Production - Oil'!$B$65:$B$108,0)),0,VLOOKUP($B72,'Production - Oil'!$B$65:$CD$108,MATCH('Production - Total'!E$63,'Production - Oil'!$B$9:$CD$9),FALSE))+IF(ISERROR(MATCH($B72,'Production - Gas'!$B$65:$B$108,0)),0,VLOOKUP($B72,'Production - Gas'!$B$65:$CD$108,MATCH('Production - Total'!E$63,'Production - Gas'!$B$9:$CD$9),FALSE)/5.8)</f>
        <v>0</v>
      </c>
      <c r="F72" s="11">
        <f>IF(ISERROR(MATCH($B72,'Production - Oil'!$B$65:$B$108,0)),0,VLOOKUP($B72,'Production - Oil'!$B$65:$CD$108,MATCH('Production - Total'!F$63,'Production - Oil'!$B$9:$CD$9),FALSE))+IF(ISERROR(MATCH($B72,'Production - Gas'!$B$65:$B$108,0)),0,VLOOKUP($B72,'Production - Gas'!$B$65:$CD$108,MATCH('Production - Total'!F$63,'Production - Gas'!$B$9:$CD$9),FALSE)/5.8)</f>
        <v>0</v>
      </c>
      <c r="G72" s="11">
        <f>IF(ISERROR(MATCH($B72,'Production - Oil'!$B$65:$B$108,0)),0,VLOOKUP($B72,'Production - Oil'!$B$65:$CD$108,MATCH('Production - Total'!G$63,'Production - Oil'!$B$9:$CD$9),FALSE))+IF(ISERROR(MATCH($B72,'Production - Gas'!$B$65:$B$108,0)),0,VLOOKUP($B72,'Production - Gas'!$B$65:$CD$108,MATCH('Production - Total'!G$63,'Production - Gas'!$B$9:$CD$9),FALSE)/5.8)</f>
        <v>0</v>
      </c>
      <c r="H72" s="11"/>
      <c r="I72" s="11"/>
      <c r="J72" s="11"/>
      <c r="K72" s="11"/>
      <c r="L72" s="11">
        <f>IF(ISERROR(MATCH($B72,'Production - Oil'!$B$65:$B$108,0)),0,VLOOKUP($B72,'Production - Oil'!$B$65:$CD$108,MATCH('Production - Total'!L$63,'Production - Oil'!$B$9:$CD$9),FALSE))+IF(ISERROR(MATCH($B72,'Production - Gas'!$B$65:$B$108,0)),0,VLOOKUP($B72,'Production - Gas'!$B$65:$CD$108,MATCH('Production - Total'!L$63,'Production - Gas'!$B$9:$CD$9),FALSE)/5.8)</f>
        <v>0</v>
      </c>
      <c r="M72" s="11"/>
      <c r="N72" s="11"/>
      <c r="O72" s="11"/>
      <c r="P72" s="11"/>
      <c r="Q72" s="11">
        <f>IF(ISERROR(MATCH($B72,'Production - Oil'!$B$65:$B$108,0)),0,VLOOKUP($B72,'Production - Oil'!$B$65:$CD$108,MATCH('Production - Total'!Q$63,'Production - Oil'!$B$9:$CD$9),FALSE))+IF(ISERROR(MATCH($B72,'Production - Gas'!$B$65:$B$108,0)),0,VLOOKUP($B72,'Production - Gas'!$B$65:$CD$108,MATCH('Production - Total'!Q$63,'Production - Gas'!$B$9:$CD$9),FALSE)/5.8)</f>
        <v>0</v>
      </c>
      <c r="R72" s="11"/>
      <c r="S72" s="11"/>
      <c r="T72" s="11"/>
      <c r="U72" s="11"/>
      <c r="V72" s="11">
        <f>IF(ISERROR(MATCH($B72,'Production - Oil'!$B$65:$B$108,0)),0,VLOOKUP($B72,'Production - Oil'!$B$65:$CD$108,MATCH('Production - Total'!V$63,'Production - Oil'!$B$9:$CD$9),FALSE))+IF(ISERROR(MATCH($B72,'Production - Gas'!$B$65:$B$108,0)),0,VLOOKUP($B72,'Production - Gas'!$B$65:$CD$108,MATCH('Production - Total'!V$63,'Production - Gas'!$B$9:$CD$9),FALSE)/5.8)</f>
        <v>0</v>
      </c>
      <c r="W72" s="11"/>
      <c r="X72" s="11"/>
      <c r="Y72" s="11"/>
      <c r="Z72" s="11"/>
      <c r="AA72" s="11">
        <f>IF(ISERROR(MATCH($B72,'Production - Oil'!$B$65:$B$108,0)),0,VLOOKUP($B72,'Production - Oil'!$B$65:$CD$108,MATCH('Production - Total'!AA$63,'Production - Oil'!$B$9:$CD$9),FALSE))+IF(ISERROR(MATCH($B72,'Production - Gas'!$B$65:$B$108,0)),0,VLOOKUP($B72,'Production - Gas'!$B$65:$CD$108,MATCH('Production - Total'!AA$63,'Production - Gas'!$B$9:$CD$9),FALSE)/5.8)</f>
        <v>0</v>
      </c>
      <c r="AB72" s="11"/>
      <c r="AC72" s="11"/>
      <c r="AD72" s="11"/>
      <c r="AE72" s="11"/>
      <c r="AF72" s="11">
        <f>IF(ISERROR(MATCH($B72,'Production - Oil'!$B$65:$B$108,0)),0,VLOOKUP($B72,'Production - Oil'!$B$65:$CD$108,MATCH('Production - Total'!AF$63,'Production - Oil'!$B$9:$CD$9),FALSE))+IF(ISERROR(MATCH($B72,'Production - Gas'!$B$65:$B$108,0)),0,VLOOKUP($B72,'Production - Gas'!$B$65:$CD$108,MATCH('Production - Total'!AF$63,'Production - Gas'!$B$9:$CD$9),FALSE)/5.8)</f>
        <v>0</v>
      </c>
      <c r="AG72" s="82"/>
      <c r="AH72" s="82"/>
      <c r="AI72" s="82"/>
      <c r="AJ72" s="82"/>
      <c r="AK72" s="11">
        <f>IF(ISERROR(MATCH($B72,'Production - Oil'!$B$65:$B$108,0)),0,VLOOKUP($B72,'Production - Oil'!$B$65:$CD$108,MATCH('Production - Total'!AK$63,'Production - Oil'!$B$9:$CD$9),FALSE))+IF(ISERROR(MATCH($B72,'Production - Gas'!$B$65:$B$108,0)),0,VLOOKUP($B72,'Production - Gas'!$B$65:$CD$108,MATCH('Production - Total'!AK$63,'Production - Gas'!$B$9:$CD$9),FALSE)/5.8)</f>
        <v>0</v>
      </c>
      <c r="AL72" s="82"/>
      <c r="AM72" s="82"/>
      <c r="AN72" s="82"/>
      <c r="AO72" s="82"/>
      <c r="AP72" s="11">
        <f>IF(ISERROR(MATCH($B72,'Production - Oil'!$B$65:$B$108,0)),0,VLOOKUP($B72,'Production - Oil'!$B$65:$CD$108,MATCH('Production - Total'!AP$63,'Production - Oil'!$B$9:$CD$9),FALSE))+IF(ISERROR(MATCH($B72,'Production - Gas'!$B$65:$B$108,0)),0,VLOOKUP($B72,'Production - Gas'!$B$65:$CD$108,MATCH('Production - Total'!AP$63,'Production - Gas'!$B$9:$CD$9),FALSE)/5.8)</f>
        <v>0</v>
      </c>
      <c r="AQ72" s="82"/>
      <c r="AR72" s="82"/>
      <c r="AS72" s="82"/>
      <c r="AT72" s="82"/>
      <c r="AU72" s="11">
        <f>IF(ISERROR(MATCH($B72,'Production - Oil'!$B$65:$B$108,0)),0,VLOOKUP($B72,'Production - Oil'!$B$65:$CD$108,MATCH('Production - Total'!AU$63,'Production - Oil'!$B$9:$CD$9),FALSE))+IF(ISERROR(MATCH($B72,'Production - Gas'!$B$65:$B$108,0)),0,VLOOKUP($B72,'Production - Gas'!$B$65:$CD$108,MATCH('Production - Total'!AU$63,'Production - Gas'!$B$9:$CD$9),FALSE)/5.8)</f>
        <v>0</v>
      </c>
      <c r="AV72" s="82"/>
      <c r="AW72" s="82"/>
      <c r="AX72" s="82"/>
      <c r="AY72" s="82"/>
      <c r="AZ72" s="11">
        <f>IF(ISERROR(MATCH($B72,'Production - Oil'!$B$65:$B$108,0)),0,VLOOKUP($B72,'Production - Oil'!$B$65:$CD$108,MATCH('Production - Total'!AZ$63,'Production - Oil'!$B$9:$CD$9),FALSE))+IF(ISERROR(MATCH($B72,'Production - Gas'!$B$65:$B$108,0)),0,VLOOKUP($B72,'Production - Gas'!$B$65:$CD$108,MATCH('Production - Total'!AZ$63,'Production - Gas'!$B$9:$CD$9),FALSE)/5.8)</f>
        <v>0</v>
      </c>
      <c r="BA72" s="82"/>
      <c r="BB72" s="82"/>
      <c r="BC72" s="82"/>
      <c r="BD72" s="82"/>
      <c r="BE72" s="11">
        <f>IF(ISERROR(MATCH($B72,'Production - Oil'!$B$65:$B$108,0)),0,VLOOKUP($B72,'Production - Oil'!$B$65:$CD$108,MATCH('Production - Total'!BE$63,'Production - Oil'!$B$9:$CD$9),FALSE))+IF(ISERROR(MATCH($B72,'Production - Gas'!$B$65:$B$108,0)),0,VLOOKUP($B72,'Production - Gas'!$B$65:$CD$108,MATCH('Production - Total'!BE$63,'Production - Gas'!$B$9:$CD$9),FALSE)/5.8)</f>
        <v>0</v>
      </c>
      <c r="BF72" s="82"/>
      <c r="BG72" s="82"/>
      <c r="BH72" s="82"/>
      <c r="BI72" s="82"/>
      <c r="BJ72" s="11">
        <f>IF(ISERROR(MATCH($B72,'Production - Oil'!$B$65:$B$108,0)),0,VLOOKUP($B72,'Production - Oil'!$B$65:$CD$108,MATCH('Production - Total'!BJ$63,'Production - Oil'!$B$9:$CD$9),FALSE))+IF(ISERROR(MATCH($B72,'Production - Gas'!$B$65:$B$108,0)),0,VLOOKUP($B72,'Production - Gas'!$B$65:$CD$108,MATCH('Production - Total'!BJ$63,'Production - Gas'!$B$9:$CD$9),FALSE)/5.8)</f>
        <v>0</v>
      </c>
      <c r="BK72" s="82"/>
      <c r="BL72" s="82"/>
      <c r="BM72" s="82"/>
      <c r="BN72" s="82"/>
      <c r="BO72" s="11">
        <f>'Production - Oil'!BO72+'Production - Gas'!BO72/5.8</f>
        <v>0</v>
      </c>
      <c r="BP72" s="82"/>
      <c r="BQ72" s="82"/>
      <c r="BR72" s="82"/>
      <c r="BS72" s="82"/>
      <c r="BT72" s="51"/>
      <c r="BU72" s="82"/>
      <c r="BV72" s="82"/>
      <c r="BW72" s="82"/>
      <c r="BX72" s="82"/>
      <c r="BY72" s="51"/>
      <c r="BZ72" s="82"/>
      <c r="CA72" s="82"/>
      <c r="CB72" s="82"/>
      <c r="CC72" s="82"/>
      <c r="CD72" s="51"/>
    </row>
    <row r="73" spans="1:82">
      <c r="A73" s="39" t="s">
        <v>1993</v>
      </c>
      <c r="B73" s="39"/>
      <c r="C73" s="39">
        <f t="shared" ref="C73:AA73" si="10">SUM(C71:C72)</f>
        <v>0</v>
      </c>
      <c r="D73" s="39">
        <f t="shared" si="10"/>
        <v>0</v>
      </c>
      <c r="E73" s="39">
        <f t="shared" si="10"/>
        <v>0</v>
      </c>
      <c r="F73" s="39">
        <f t="shared" si="10"/>
        <v>0</v>
      </c>
      <c r="G73" s="39">
        <f t="shared" si="10"/>
        <v>0</v>
      </c>
      <c r="H73" s="39">
        <f t="shared" si="10"/>
        <v>0</v>
      </c>
      <c r="I73" s="39">
        <f t="shared" si="10"/>
        <v>0</v>
      </c>
      <c r="J73" s="39">
        <f t="shared" si="10"/>
        <v>0</v>
      </c>
      <c r="K73" s="39">
        <f t="shared" si="10"/>
        <v>0</v>
      </c>
      <c r="L73" s="39">
        <f t="shared" si="10"/>
        <v>0</v>
      </c>
      <c r="M73" s="39">
        <f t="shared" si="10"/>
        <v>0</v>
      </c>
      <c r="N73" s="39">
        <f t="shared" si="10"/>
        <v>0</v>
      </c>
      <c r="O73" s="39">
        <f t="shared" si="10"/>
        <v>0</v>
      </c>
      <c r="P73" s="39">
        <f t="shared" si="10"/>
        <v>0</v>
      </c>
      <c r="Q73" s="39">
        <f t="shared" si="10"/>
        <v>0</v>
      </c>
      <c r="R73" s="39">
        <f t="shared" si="10"/>
        <v>0</v>
      </c>
      <c r="S73" s="39">
        <f t="shared" si="10"/>
        <v>0</v>
      </c>
      <c r="T73" s="39">
        <f t="shared" si="10"/>
        <v>0</v>
      </c>
      <c r="U73" s="39">
        <f t="shared" si="10"/>
        <v>0</v>
      </c>
      <c r="V73" s="39">
        <f t="shared" si="10"/>
        <v>0</v>
      </c>
      <c r="W73" s="39">
        <f t="shared" si="10"/>
        <v>0</v>
      </c>
      <c r="X73" s="39">
        <f t="shared" si="10"/>
        <v>0</v>
      </c>
      <c r="Y73" s="39">
        <f t="shared" si="10"/>
        <v>0</v>
      </c>
      <c r="Z73" s="39">
        <f t="shared" si="10"/>
        <v>0</v>
      </c>
      <c r="AA73" s="39">
        <f t="shared" si="10"/>
        <v>0</v>
      </c>
      <c r="AB73" s="39"/>
      <c r="AC73" s="39"/>
      <c r="AD73" s="39"/>
      <c r="AE73" s="39"/>
      <c r="AF73" s="39">
        <f>SUM(AF71:AF72)</f>
        <v>0</v>
      </c>
      <c r="AG73" s="80">
        <f>VLOOKUP($A73,'Production - Oil'!$A$63:$CD$110,MATCH('Production - Total'!AG$63,'Production - Oil'!$A$63:$CD$63,0),FALSE)+VLOOKUP($A73,'Production - Gas'!$A$63:$CD$110,MATCH('Production - Total'!AG$63,'Production - Gas'!$A$63:$CD$63,0),FALSE)/5.8</f>
        <v>0</v>
      </c>
      <c r="AH73" s="80">
        <f>VLOOKUP($A73,'Production - Oil'!$A$63:$CD$110,MATCH('Production - Total'!AH$63,'Production - Oil'!$A$63:$CD$63,0),FALSE)+VLOOKUP($A73,'Production - Gas'!$A$63:$CD$110,MATCH('Production - Total'!AH$63,'Production - Gas'!$A$63:$CD$63,0),FALSE)/5.8</f>
        <v>0</v>
      </c>
      <c r="AI73" s="80">
        <f>VLOOKUP($A73,'Production - Oil'!$A$63:$CD$110,MATCH('Production - Total'!AI$63,'Production - Oil'!$A$63:$CD$63,0),FALSE)+VLOOKUP($A73,'Production - Gas'!$A$63:$CD$110,MATCH('Production - Total'!AI$63,'Production - Gas'!$A$63:$CD$63,0),FALSE)/5.8</f>
        <v>0</v>
      </c>
      <c r="AJ73" s="80">
        <f>VLOOKUP($A73,'Production - Oil'!$A$63:$CD$110,MATCH('Production - Total'!AJ$63,'Production - Oil'!$A$63:$CD$63,0),FALSE)+VLOOKUP($A73,'Production - Gas'!$A$63:$CD$110,MATCH('Production - Total'!AJ$63,'Production - Gas'!$A$63:$CD$63,0),FALSE)/5.8</f>
        <v>0</v>
      </c>
      <c r="AK73" s="39">
        <f>VLOOKUP($A73,'Production - Oil'!$A$63:$CD$110,MATCH('Production - Total'!AK$63,'Production - Oil'!$A$63:$CD$63,0),FALSE)+VLOOKUP($A73,'Production - Gas'!$A$63:$CD$110,MATCH('Production - Total'!AK$63,'Production - Gas'!$A$63:$CD$63,0),FALSE)/5.8</f>
        <v>0</v>
      </c>
      <c r="AL73" s="80">
        <f>VLOOKUP($A73,'Production - Oil'!$A$63:$CD$110,MATCH('Production - Total'!AL$63,'Production - Oil'!$A$63:$CD$63,0),FALSE)+VLOOKUP($A73,'Production - Gas'!$A$63:$CD$110,MATCH('Production - Total'!AL$63,'Production - Gas'!$A$63:$CD$63,0),FALSE)/5.8</f>
        <v>0</v>
      </c>
      <c r="AM73" s="80">
        <f>VLOOKUP($A73,'Production - Oil'!$A$63:$CD$110,MATCH('Production - Total'!AM$63,'Production - Oil'!$A$63:$CD$63,0),FALSE)+VLOOKUP($A73,'Production - Gas'!$A$63:$CD$110,MATCH('Production - Total'!AM$63,'Production - Gas'!$A$63:$CD$63,0),FALSE)/5.8</f>
        <v>0</v>
      </c>
      <c r="AN73" s="80">
        <f>VLOOKUP($A73,'Production - Oil'!$A$63:$CD$110,MATCH('Production - Total'!AN$63,'Production - Oil'!$A$63:$CD$63,0),FALSE)+VLOOKUP($A73,'Production - Gas'!$A$63:$CD$110,MATCH('Production - Total'!AN$63,'Production - Gas'!$A$63:$CD$63,0),FALSE)/5.8</f>
        <v>0</v>
      </c>
      <c r="AO73" s="80">
        <f>VLOOKUP($A73,'Production - Oil'!$A$63:$CD$110,MATCH('Production - Total'!AO$63,'Production - Oil'!$A$63:$CD$63,0),FALSE)+VLOOKUP($A73,'Production - Gas'!$A$63:$CD$110,MATCH('Production - Total'!AO$63,'Production - Gas'!$A$63:$CD$63,0),FALSE)/5.8</f>
        <v>0</v>
      </c>
      <c r="AP73" s="39">
        <f>VLOOKUP($A73,'Production - Oil'!$A$63:$CD$110,MATCH('Production - Total'!AP$63,'Production - Oil'!$A$63:$CD$63,0),FALSE)+VLOOKUP($A73,'Production - Gas'!$A$63:$CD$110,MATCH('Production - Total'!AP$63,'Production - Gas'!$A$63:$CD$63,0),FALSE)/5.8</f>
        <v>0</v>
      </c>
      <c r="AQ73" s="82"/>
      <c r="AR73" s="82"/>
      <c r="AS73" s="82"/>
      <c r="AT73" s="82"/>
      <c r="AU73" s="39">
        <f>VLOOKUP($A73,'Production - Oil'!$A$63:$CD$110,MATCH('Production - Total'!AU$63,'Production - Oil'!$A$63:$CD$63,0),FALSE)+VLOOKUP($A73,'Production - Gas'!$A$63:$CD$110,MATCH('Production - Total'!AU$63,'Production - Gas'!$A$63:$CD$63,0),FALSE)/5.8</f>
        <v>0</v>
      </c>
      <c r="AV73" s="82"/>
      <c r="AW73" s="82"/>
      <c r="AX73" s="82"/>
      <c r="AY73" s="82"/>
      <c r="AZ73" s="39">
        <f>VLOOKUP($A73,'Production - Oil'!$A$63:$CD$110,MATCH('Production - Total'!AZ$63,'Production - Oil'!$A$63:$CD$63,0),FALSE)+VLOOKUP($A73,'Production - Gas'!$A$63:$CD$110,MATCH('Production - Total'!AZ$63,'Production - Gas'!$A$63:$CD$63,0),FALSE)/5.8</f>
        <v>0</v>
      </c>
      <c r="BA73" s="82"/>
      <c r="BB73" s="82"/>
      <c r="BC73" s="82"/>
      <c r="BD73" s="82"/>
      <c r="BE73" s="39">
        <f>VLOOKUP($A73,'Production - Oil'!$A$63:$CD$110,MATCH('Production - Total'!BE$63,'Production - Oil'!$A$63:$CD$63,0),FALSE)+VLOOKUP($A73,'Production - Gas'!$A$63:$CD$110,MATCH('Production - Total'!BE$63,'Production - Gas'!$A$63:$CD$63,0),FALSE)/5.8</f>
        <v>0</v>
      </c>
      <c r="BF73" s="82"/>
      <c r="BG73" s="82"/>
      <c r="BH73" s="82"/>
      <c r="BI73" s="82"/>
      <c r="BJ73" s="39">
        <f>VLOOKUP($A73,'Production - Oil'!$A$63:$CD$110,MATCH('Production - Total'!BJ$63,'Production - Oil'!$A$63:$CD$63,0),FALSE)+VLOOKUP($A73,'Production - Gas'!$A$63:$CD$110,MATCH('Production - Total'!BJ$63,'Production - Gas'!$A$63:$CD$63,0),FALSE)/5.8</f>
        <v>0</v>
      </c>
      <c r="BK73" s="82"/>
      <c r="BL73" s="82"/>
      <c r="BM73" s="82"/>
      <c r="BN73" s="82"/>
      <c r="BO73" s="39">
        <f>'Production - Oil'!BO73+'Production - Gas'!BO73/5.8</f>
        <v>0</v>
      </c>
      <c r="BP73" s="80">
        <f>VLOOKUP($A73,'Production - Oil'!$A$63:$CD$110,MATCH('Production - Total'!BP$63,'Production - Oil'!$A$63:$CD$63,0),FALSE)+VLOOKUP($A73,'Production - Gas'!$A$63:$CD$110,MATCH('Production - Total'!BP$63,'Production - Gas'!$A$63:$CD$63,0),FALSE)/5.8</f>
        <v>0</v>
      </c>
      <c r="BQ73" s="80">
        <f>VLOOKUP($A73,'Production - Oil'!$A$63:$CD$110,MATCH('Production - Total'!BQ$63,'Production - Oil'!$A$63:$CD$63,0),FALSE)+VLOOKUP($A73,'Production - Gas'!$A$63:$CD$110,MATCH('Production - Total'!BQ$63,'Production - Gas'!$A$63:$CD$63,0),FALSE)/5.8</f>
        <v>0</v>
      </c>
      <c r="BR73" s="80">
        <f>VLOOKUP($A73,'Production - Oil'!$A$63:$CD$110,MATCH('Production - Total'!BR$63,'Production - Oil'!$A$63:$CD$63,0),FALSE)+VLOOKUP($A73,'Production - Gas'!$A$63:$CD$110,MATCH('Production - Total'!BR$63,'Production - Gas'!$A$63:$CD$63,0),FALSE)/5.8</f>
        <v>0</v>
      </c>
      <c r="BS73" s="80">
        <f>VLOOKUP($A73,'Production - Oil'!$A$63:$CD$110,MATCH('Production - Total'!BS$63,'Production - Oil'!$A$63:$CD$63,0),FALSE)+VLOOKUP($A73,'Production - Gas'!$A$63:$CD$110,MATCH('Production - Total'!BS$63,'Production - Gas'!$A$63:$CD$63,0),FALSE)/5.8</f>
        <v>0</v>
      </c>
      <c r="BT73" s="39">
        <f>VLOOKUP($A73,'Production - Oil'!$A$63:$CD$110,MATCH('Production - Total'!BT$63,'Production - Oil'!$A$63:$CD$63,0),FALSE)+VLOOKUP($A73,'Production - Gas'!$A$63:$CD$110,MATCH('Production - Total'!BT$63,'Production - Gas'!$A$63:$CD$63,0),FALSE)/5.8</f>
        <v>0</v>
      </c>
      <c r="BU73" s="80">
        <f>VLOOKUP($A73,'Production - Oil'!$A$63:$CD$110,MATCH('Production - Total'!BU$63,'Production - Oil'!$A$63:$CD$63,0),FALSE)+VLOOKUP($A73,'Production - Gas'!$A$63:$CD$110,MATCH('Production - Total'!BU$63,'Production - Gas'!$A$63:$CD$63,0),FALSE)/5.8</f>
        <v>0</v>
      </c>
      <c r="BV73" s="80">
        <f>VLOOKUP($A73,'Production - Oil'!$A$63:$CD$110,MATCH('Production - Total'!BV$63,'Production - Oil'!$A$63:$CD$63,0),FALSE)+VLOOKUP($A73,'Production - Gas'!$A$63:$CD$110,MATCH('Production - Total'!BV$63,'Production - Gas'!$A$63:$CD$63,0),FALSE)/5.8</f>
        <v>0</v>
      </c>
      <c r="BW73" s="80">
        <f>VLOOKUP($A73,'Production - Oil'!$A$63:$CD$110,MATCH('Production - Total'!BW$63,'Production - Oil'!$A$63:$CD$63,0),FALSE)+VLOOKUP($A73,'Production - Gas'!$A$63:$CD$110,MATCH('Production - Total'!BW$63,'Production - Gas'!$A$63:$CD$63,0),FALSE)/5.8</f>
        <v>0</v>
      </c>
      <c r="BX73" s="80">
        <f>VLOOKUP($A73,'Production - Oil'!$A$63:$CD$110,MATCH('Production - Total'!BX$63,'Production - Oil'!$A$63:$CD$63,0),FALSE)+VLOOKUP($A73,'Production - Gas'!$A$63:$CD$110,MATCH('Production - Total'!BX$63,'Production - Gas'!$A$63:$CD$63,0),FALSE)/5.8</f>
        <v>0</v>
      </c>
      <c r="BY73" s="39">
        <f>VLOOKUP($A73,'Production - Oil'!$A$63:$CD$110,MATCH('Production - Total'!BY$63,'Production - Oil'!$A$63:$CD$63,0),FALSE)+VLOOKUP($A73,'Production - Gas'!$A$63:$CD$110,MATCH('Production - Total'!BY$63,'Production - Gas'!$A$63:$CD$63,0),FALSE)/5.8</f>
        <v>0</v>
      </c>
      <c r="BZ73" s="80">
        <f>VLOOKUP($A73,'Production - Oil'!$A$63:$CD$110,MATCH('Production - Total'!BZ$63,'Production - Oil'!$A$63:$CD$63,0),FALSE)+VLOOKUP($A73,'Production - Gas'!$A$63:$CD$110,MATCH('Production - Total'!BZ$63,'Production - Gas'!$A$63:$CD$63,0),FALSE)/5.8</f>
        <v>0</v>
      </c>
      <c r="CA73" s="80">
        <f>VLOOKUP($A73,'Production - Oil'!$A$63:$CD$110,MATCH('Production - Total'!CA$63,'Production - Oil'!$A$63:$CD$63,0),FALSE)+VLOOKUP($A73,'Production - Gas'!$A$63:$CD$110,MATCH('Production - Total'!CA$63,'Production - Gas'!$A$63:$CD$63,0),FALSE)/5.8</f>
        <v>0</v>
      </c>
      <c r="CB73" s="80">
        <f>VLOOKUP($A73,'Production - Oil'!$A$63:$CD$110,MATCH('Production - Total'!CB$63,'Production - Oil'!$A$63:$CD$63,0),FALSE)+VLOOKUP($A73,'Production - Gas'!$A$63:$CD$110,MATCH('Production - Total'!CB$63,'Production - Gas'!$A$63:$CD$63,0),FALSE)/5.8</f>
        <v>0</v>
      </c>
      <c r="CC73" s="80">
        <f>VLOOKUP($A73,'Production - Oil'!$A$63:$CD$110,MATCH('Production - Total'!CC$63,'Production - Oil'!$A$63:$CD$63,0),FALSE)+VLOOKUP($A73,'Production - Gas'!$A$63:$CD$110,MATCH('Production - Total'!CC$63,'Production - Gas'!$A$63:$CD$63,0),FALSE)/5.8</f>
        <v>0</v>
      </c>
      <c r="CD73" s="39">
        <f>VLOOKUP($A73,'Production - Oil'!$A$63:$CD$110,MATCH('Production - Total'!CD$63,'Production - Oil'!$A$63:$CD$63,0),FALSE)+VLOOKUP($A73,'Production - Gas'!$A$63:$CD$110,MATCH('Production - Total'!CD$63,'Production - Gas'!$A$63:$CD$63,0),FALSE)/5.8</f>
        <v>0</v>
      </c>
    </row>
    <row r="74" spans="1:82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68"/>
      <c r="AH74" s="68"/>
      <c r="AI74" s="68"/>
      <c r="AJ74" s="68"/>
      <c r="AK74" s="11"/>
      <c r="AL74" s="68"/>
      <c r="AM74" s="68"/>
      <c r="AN74" s="68"/>
      <c r="AO74" s="68"/>
      <c r="AP74" s="11"/>
      <c r="AQ74" s="68"/>
      <c r="AR74" s="68"/>
      <c r="AS74" s="68"/>
      <c r="AT74" s="68"/>
      <c r="AU74" s="11"/>
      <c r="AV74" s="68"/>
      <c r="AW74" s="68"/>
      <c r="AX74" s="68"/>
      <c r="AY74" s="68"/>
      <c r="AZ74" s="11"/>
      <c r="BA74" s="68"/>
      <c r="BB74" s="68"/>
      <c r="BC74" s="68"/>
      <c r="BD74" s="68"/>
      <c r="BE74" s="11"/>
      <c r="BF74" s="68"/>
      <c r="BG74" s="68"/>
      <c r="BH74" s="68"/>
      <c r="BI74" s="68"/>
      <c r="BJ74" s="11"/>
      <c r="BK74" s="68"/>
      <c r="BL74" s="68"/>
      <c r="BM74" s="68"/>
      <c r="BN74" s="68"/>
      <c r="BO74" s="11"/>
      <c r="BP74" s="68"/>
      <c r="BQ74" s="68"/>
      <c r="BR74" s="68"/>
      <c r="BS74" s="68"/>
      <c r="BT74" s="11"/>
      <c r="BU74" s="68"/>
      <c r="BV74" s="68"/>
      <c r="BW74" s="68"/>
      <c r="BX74" s="68"/>
      <c r="BY74" s="11"/>
      <c r="BZ74" s="68"/>
      <c r="CA74" s="68"/>
      <c r="CB74" s="68"/>
      <c r="CC74" s="68"/>
      <c r="CD74" s="11"/>
    </row>
    <row r="75" spans="1:82">
      <c r="A75" s="39" t="s">
        <v>1994</v>
      </c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68"/>
      <c r="AH75" s="68"/>
      <c r="AI75" s="68"/>
      <c r="AJ75" s="68"/>
      <c r="AK75" s="11"/>
      <c r="AL75" s="68"/>
      <c r="AM75" s="68"/>
      <c r="AN75" s="68"/>
      <c r="AO75" s="68"/>
      <c r="AP75" s="11"/>
      <c r="AQ75" s="68"/>
      <c r="AR75" s="68"/>
      <c r="AS75" s="68"/>
      <c r="AT75" s="68"/>
      <c r="AU75" s="11"/>
      <c r="AV75" s="68"/>
      <c r="AW75" s="68"/>
      <c r="AX75" s="68"/>
      <c r="AY75" s="68"/>
      <c r="AZ75" s="11"/>
      <c r="BA75" s="68"/>
      <c r="BB75" s="68"/>
      <c r="BC75" s="68"/>
      <c r="BD75" s="68"/>
      <c r="BE75" s="11"/>
      <c r="BF75" s="68"/>
      <c r="BG75" s="68"/>
      <c r="BH75" s="68"/>
      <c r="BI75" s="68"/>
      <c r="BJ75" s="11"/>
      <c r="BK75" s="68"/>
      <c r="BL75" s="68"/>
      <c r="BM75" s="68"/>
      <c r="BN75" s="68"/>
      <c r="BO75" s="11"/>
      <c r="BP75" s="68"/>
      <c r="BQ75" s="68"/>
      <c r="BR75" s="68"/>
      <c r="BS75" s="68"/>
      <c r="BT75" s="11"/>
      <c r="BU75" s="68"/>
      <c r="BV75" s="68"/>
      <c r="BW75" s="68"/>
      <c r="BX75" s="68"/>
      <c r="BY75" s="11"/>
      <c r="BZ75" s="68"/>
      <c r="CA75" s="68"/>
      <c r="CB75" s="68"/>
      <c r="CC75" s="68"/>
      <c r="CD75" s="11"/>
    </row>
    <row r="76" spans="1:82">
      <c r="A76" s="39"/>
      <c r="B76" s="11" t="s">
        <v>2921</v>
      </c>
      <c r="C76" s="11">
        <f>IF(ISERROR(MATCH($B76,'Production - Oil'!$B$65:$B$108,0)),0,VLOOKUP($B76,'Production - Oil'!$B$65:$CD$108,MATCH('Production - Total'!C$63,'Production - Oil'!$B$9:$CD$9),FALSE))+IF(ISERROR(MATCH($B76,'Production - Gas'!$B$65:$B$108,0)),0,VLOOKUP($B76,'Production - Gas'!$B$65:$CD$108,MATCH('Production - Total'!C$63,'Production - Gas'!$B$9:$CD$9),FALSE)/5.8)</f>
        <v>90.689655172413794</v>
      </c>
      <c r="D76" s="11">
        <f>IF(ISERROR(MATCH($B76,'Production - Oil'!$B$65:$B$108,0)),0,VLOOKUP($B76,'Production - Oil'!$B$65:$CD$108,MATCH('Production - Total'!D$63,'Production - Oil'!$B$9:$CD$9),FALSE))+IF(ISERROR(MATCH($B76,'Production - Gas'!$B$65:$B$108,0)),0,VLOOKUP($B76,'Production - Gas'!$B$65:$CD$108,MATCH('Production - Total'!D$63,'Production - Gas'!$B$9:$CD$9),FALSE)/5.8)</f>
        <v>96.275862068965523</v>
      </c>
      <c r="E76" s="11">
        <f>IF(ISERROR(MATCH($B76,'Production - Oil'!$B$65:$B$108,0)),0,VLOOKUP($B76,'Production - Oil'!$B$65:$CD$108,MATCH('Production - Total'!E$63,'Production - Oil'!$B$9:$CD$9),FALSE))+IF(ISERROR(MATCH($B76,'Production - Gas'!$B$65:$B$108,0)),0,VLOOKUP($B76,'Production - Gas'!$B$65:$CD$108,MATCH('Production - Total'!E$63,'Production - Gas'!$B$9:$CD$9),FALSE)/5.8)</f>
        <v>108.44827586206897</v>
      </c>
      <c r="F76" s="11">
        <f>IF(ISERROR(MATCH($B76,'Production - Oil'!$B$65:$B$108,0)),0,VLOOKUP($B76,'Production - Oil'!$B$65:$CD$108,MATCH('Production - Total'!F$63,'Production - Oil'!$B$9:$CD$9),FALSE))+IF(ISERROR(MATCH($B76,'Production - Gas'!$B$65:$B$108,0)),0,VLOOKUP($B76,'Production - Gas'!$B$65:$CD$108,MATCH('Production - Total'!F$63,'Production - Gas'!$B$9:$CD$9),FALSE)/5.8)</f>
        <v>118.65517241379311</v>
      </c>
      <c r="G76" s="11">
        <f>IF(ISERROR(MATCH($B76,'Production - Oil'!$B$65:$B$108,0)),0,VLOOKUP($B76,'Production - Oil'!$B$65:$CD$108,MATCH('Production - Total'!G$63,'Production - Oil'!$B$9:$CD$9),FALSE))+IF(ISERROR(MATCH($B76,'Production - Gas'!$B$65:$B$108,0)),0,VLOOKUP($B76,'Production - Gas'!$B$65:$CD$108,MATCH('Production - Total'!G$63,'Production - Gas'!$B$9:$CD$9),FALSE)/5.8)</f>
        <v>126.13793103448276</v>
      </c>
      <c r="H76" s="11"/>
      <c r="I76" s="11"/>
      <c r="J76" s="11"/>
      <c r="K76" s="11"/>
      <c r="L76" s="11">
        <f>IF(ISERROR(MATCH($B76,'Production - Oil'!$B$65:$B$108,0)),0,VLOOKUP($B76,'Production - Oil'!$B$65:$CD$108,MATCH('Production - Total'!L$63,'Production - Oil'!$B$9:$CD$9),FALSE))+IF(ISERROR(MATCH($B76,'Production - Gas'!$B$65:$B$108,0)),0,VLOOKUP($B76,'Production - Gas'!$B$65:$CD$108,MATCH('Production - Total'!L$63,'Production - Gas'!$B$9:$CD$9),FALSE)/5.8)</f>
        <v>132.79310344827587</v>
      </c>
      <c r="M76" s="11"/>
      <c r="N76" s="11"/>
      <c r="O76" s="11"/>
      <c r="P76" s="11"/>
      <c r="Q76" s="11">
        <f>IF(ISERROR(MATCH($B76,'Production - Oil'!$B$65:$B$108,0)),0,VLOOKUP($B76,'Production - Oil'!$B$65:$CD$108,MATCH('Production - Total'!Q$63,'Production - Oil'!$B$9:$CD$9),FALSE))+IF(ISERROR(MATCH($B76,'Production - Gas'!$B$65:$B$108,0)),0,VLOOKUP($B76,'Production - Gas'!$B$65:$CD$108,MATCH('Production - Total'!Q$63,'Production - Gas'!$B$9:$CD$9),FALSE)/5.8)</f>
        <v>132.62068965517241</v>
      </c>
      <c r="R76" s="11"/>
      <c r="S76" s="11"/>
      <c r="T76" s="11"/>
      <c r="U76" s="11"/>
      <c r="V76" s="11">
        <f>IF(ISERROR(MATCH($B76,'Production - Oil'!$B$65:$B$108,0)),0,VLOOKUP($B76,'Production - Oil'!$B$65:$CD$108,MATCH('Production - Total'!V$63,'Production - Oil'!$B$9:$CD$9),FALSE))+IF(ISERROR(MATCH($B76,'Production - Gas'!$B$65:$B$108,0)),0,VLOOKUP($B76,'Production - Gas'!$B$65:$CD$108,MATCH('Production - Total'!V$63,'Production - Gas'!$B$9:$CD$9),FALSE)/5.8)</f>
        <v>136.37931034482759</v>
      </c>
      <c r="W76" s="11"/>
      <c r="X76" s="11"/>
      <c r="Y76" s="11"/>
      <c r="Z76" s="11"/>
      <c r="AA76" s="11">
        <f>IF(ISERROR(MATCH($B76,'Production - Oil'!$B$65:$B$108,0)),0,VLOOKUP($B76,'Production - Oil'!$B$65:$CD$108,MATCH('Production - Total'!AA$63,'Production - Oil'!$B$9:$CD$9),FALSE))+IF(ISERROR(MATCH($B76,'Production - Gas'!$B$65:$B$108,0)),0,VLOOKUP($B76,'Production - Gas'!$B$65:$CD$108,MATCH('Production - Total'!AA$63,'Production - Gas'!$B$9:$CD$9),FALSE)/5.8)</f>
        <v>140.17241379310343</v>
      </c>
      <c r="AB76" s="11"/>
      <c r="AC76" s="11"/>
      <c r="AD76" s="11"/>
      <c r="AE76" s="11"/>
      <c r="AF76" s="11">
        <f>IF(ISERROR(MATCH($B76,'Production - Oil'!$B$65:$B$108,0)),0,VLOOKUP($B76,'Production - Oil'!$B$65:$CD$108,MATCH('Production - Total'!AF$63,'Production - Oil'!$B$9:$CD$9),FALSE))+IF(ISERROR(MATCH($B76,'Production - Gas'!$B$65:$B$108,0)),0,VLOOKUP($B76,'Production - Gas'!$B$65:$CD$108,MATCH('Production - Total'!AF$63,'Production - Gas'!$B$9:$CD$9),FALSE)/5.8)</f>
        <v>140.34482758620692</v>
      </c>
      <c r="AG76" s="82"/>
      <c r="AH76" s="82"/>
      <c r="AI76" s="82"/>
      <c r="AJ76" s="82"/>
      <c r="AK76" s="11">
        <f>IF(ISERROR(MATCH($B76,'Production - Oil'!$B$65:$B$108,0)),0,VLOOKUP($B76,'Production - Oil'!$B$65:$CD$108,MATCH('Production - Total'!AK$63,'Production - Oil'!$B$9:$CD$9),FALSE))+IF(ISERROR(MATCH($B76,'Production - Gas'!$B$65:$B$108,0)),0,VLOOKUP($B76,'Production - Gas'!$B$65:$CD$108,MATCH('Production - Total'!AK$63,'Production - Gas'!$B$9:$CD$9),FALSE)/5.8)</f>
        <v>137.9655172413793</v>
      </c>
      <c r="AL76" s="82"/>
      <c r="AM76" s="82"/>
      <c r="AN76" s="82"/>
      <c r="AO76" s="82"/>
      <c r="AP76" s="11">
        <f>IF(ISERROR(MATCH($B76,'Production - Oil'!$B$65:$B$108,0)),0,VLOOKUP($B76,'Production - Oil'!$B$65:$CD$108,MATCH('Production - Total'!AP$63,'Production - Oil'!$B$9:$CD$9),FALSE))+IF(ISERROR(MATCH($B76,'Production - Gas'!$B$65:$B$108,0)),0,VLOOKUP($B76,'Production - Gas'!$B$65:$CD$108,MATCH('Production - Total'!AP$63,'Production - Gas'!$B$9:$CD$9),FALSE)/5.8)</f>
        <v>126.20689655172414</v>
      </c>
      <c r="AQ76" s="82"/>
      <c r="AR76" s="82"/>
      <c r="AS76" s="82"/>
      <c r="AT76" s="82"/>
      <c r="AU76" s="11">
        <f>IF(ISERROR(MATCH($B76,'Production - Oil'!$B$65:$B$108,0)),0,VLOOKUP($B76,'Production - Oil'!$B$65:$CD$108,MATCH('Production - Total'!AU$63,'Production - Oil'!$B$9:$CD$9),FALSE))+IF(ISERROR(MATCH($B76,'Production - Gas'!$B$65:$B$108,0)),0,VLOOKUP($B76,'Production - Gas'!$B$65:$CD$108,MATCH('Production - Total'!AU$63,'Production - Gas'!$B$9:$CD$9),FALSE)/5.8)</f>
        <v>119.72413793103448</v>
      </c>
      <c r="AV76" s="82"/>
      <c r="AW76" s="82"/>
      <c r="AX76" s="82"/>
      <c r="AY76" s="82"/>
      <c r="AZ76" s="11">
        <f>IF(ISERROR(MATCH($B76,'Production - Oil'!$B$65:$B$108,0)),0,VLOOKUP($B76,'Production - Oil'!$B$65:$CD$108,MATCH('Production - Total'!AZ$63,'Production - Oil'!$B$9:$CD$9),FALSE))+IF(ISERROR(MATCH($B76,'Production - Gas'!$B$65:$B$108,0)),0,VLOOKUP($B76,'Production - Gas'!$B$65:$CD$108,MATCH('Production - Total'!AZ$63,'Production - Gas'!$B$9:$CD$9),FALSE)/5.8)</f>
        <v>120.68965517241379</v>
      </c>
      <c r="BA76" s="82"/>
      <c r="BB76" s="82"/>
      <c r="BC76" s="82"/>
      <c r="BD76" s="82"/>
      <c r="BE76" s="11">
        <f>IF(ISERROR(MATCH($B76,'Production - Oil'!$B$65:$B$108,0)),0,VLOOKUP($B76,'Production - Oil'!$B$65:$CD$108,MATCH('Production - Total'!BE$63,'Production - Oil'!$B$9:$CD$9),FALSE))+IF(ISERROR(MATCH($B76,'Production - Gas'!$B$65:$B$108,0)),0,VLOOKUP($B76,'Production - Gas'!$B$65:$CD$108,MATCH('Production - Total'!BE$63,'Production - Gas'!$B$9:$CD$9),FALSE)/5.8)</f>
        <v>126.79310344827587</v>
      </c>
      <c r="BF76" s="82"/>
      <c r="BG76" s="82"/>
      <c r="BH76" s="82"/>
      <c r="BI76" s="82"/>
      <c r="BJ76" s="11">
        <f>IF(ISERROR(MATCH($B76,'Production - Oil'!$B$65:$B$108,0)),0,VLOOKUP($B76,'Production - Oil'!$B$65:$CD$108,MATCH('Production - Total'!BJ$63,'Production - Oil'!$B$9:$CD$9),FALSE))+IF(ISERROR(MATCH($B76,'Production - Gas'!$B$65:$B$108,0)),0,VLOOKUP($B76,'Production - Gas'!$B$65:$CD$108,MATCH('Production - Total'!BJ$63,'Production - Gas'!$B$9:$CD$9),FALSE)/5.8)</f>
        <v>124.0344827586207</v>
      </c>
      <c r="BK76" s="82"/>
      <c r="BL76" s="82"/>
      <c r="BM76" s="82"/>
      <c r="BN76" s="82"/>
      <c r="BO76" s="11">
        <f>'Production - Oil'!BO76+'Production - Gas'!BO76/5.8</f>
        <v>116.72413793103448</v>
      </c>
      <c r="BP76" s="82"/>
      <c r="BQ76" s="82"/>
      <c r="BR76" s="82"/>
      <c r="BS76" s="82"/>
      <c r="BT76" s="51"/>
      <c r="BU76" s="82"/>
      <c r="BV76" s="82"/>
      <c r="BW76" s="82"/>
      <c r="BX76" s="82"/>
      <c r="BY76" s="51"/>
      <c r="BZ76" s="82"/>
      <c r="CA76" s="82"/>
      <c r="CB76" s="82"/>
      <c r="CC76" s="82"/>
      <c r="CD76" s="51"/>
    </row>
    <row r="77" spans="1:82">
      <c r="A77" s="39"/>
      <c r="B77" s="11" t="s">
        <v>785</v>
      </c>
      <c r="C77" s="11">
        <f>IF(ISERROR(MATCH($B77,'Production - Oil'!$B$65:$B$108,0)),0,VLOOKUP($B77,'Production - Oil'!$B$65:$CD$108,MATCH('Production - Total'!C$63,'Production - Oil'!$B$9:$CD$9),FALSE))+IF(ISERROR(MATCH($B77,'Production - Gas'!$B$65:$B$108,0)),0,VLOOKUP($B77,'Production - Gas'!$B$65:$CD$108,MATCH('Production - Total'!C$63,'Production - Gas'!$B$9:$CD$9),FALSE)/5.8)</f>
        <v>0</v>
      </c>
      <c r="D77" s="11">
        <f>IF(ISERROR(MATCH($B77,'Production - Oil'!$B$65:$B$108,0)),0,VLOOKUP($B77,'Production - Oil'!$B$65:$CD$108,MATCH('Production - Total'!D$63,'Production - Oil'!$B$9:$CD$9),FALSE))+IF(ISERROR(MATCH($B77,'Production - Gas'!$B$65:$B$108,0)),0,VLOOKUP($B77,'Production - Gas'!$B$65:$CD$108,MATCH('Production - Total'!D$63,'Production - Gas'!$B$9:$CD$9),FALSE)/5.8)</f>
        <v>0</v>
      </c>
      <c r="E77" s="11">
        <f>IF(ISERROR(MATCH($B77,'Production - Oil'!$B$65:$B$108,0)),0,VLOOKUP($B77,'Production - Oil'!$B$65:$CD$108,MATCH('Production - Total'!E$63,'Production - Oil'!$B$9:$CD$9),FALSE))+IF(ISERROR(MATCH($B77,'Production - Gas'!$B$65:$B$108,0)),0,VLOOKUP($B77,'Production - Gas'!$B$65:$CD$108,MATCH('Production - Total'!E$63,'Production - Gas'!$B$9:$CD$9),FALSE)/5.8)</f>
        <v>0</v>
      </c>
      <c r="F77" s="11">
        <f>IF(ISERROR(MATCH($B77,'Production - Oil'!$B$65:$B$108,0)),0,VLOOKUP($B77,'Production - Oil'!$B$65:$CD$108,MATCH('Production - Total'!F$63,'Production - Oil'!$B$9:$CD$9),FALSE))+IF(ISERROR(MATCH($B77,'Production - Gas'!$B$65:$B$108,0)),0,VLOOKUP($B77,'Production - Gas'!$B$65:$CD$108,MATCH('Production - Total'!F$63,'Production - Gas'!$B$9:$CD$9),FALSE)/5.8)</f>
        <v>0</v>
      </c>
      <c r="G77" s="11">
        <f>IF(ISERROR(MATCH($B77,'Production - Oil'!$B$65:$B$108,0)),0,VLOOKUP($B77,'Production - Oil'!$B$65:$CD$108,MATCH('Production - Total'!G$63,'Production - Oil'!$B$9:$CD$9),FALSE))+IF(ISERROR(MATCH($B77,'Production - Gas'!$B$65:$B$108,0)),0,VLOOKUP($B77,'Production - Gas'!$B$65:$CD$108,MATCH('Production - Total'!G$63,'Production - Gas'!$B$9:$CD$9),FALSE)/5.8)</f>
        <v>2.7482758620689656</v>
      </c>
      <c r="H77" s="11"/>
      <c r="I77" s="11"/>
      <c r="J77" s="11"/>
      <c r="K77" s="11"/>
      <c r="L77" s="11">
        <f>IF(ISERROR(MATCH($B77,'Production - Oil'!$B$65:$B$108,0)),0,VLOOKUP($B77,'Production - Oil'!$B$65:$CD$108,MATCH('Production - Total'!L$63,'Production - Oil'!$B$9:$CD$9),FALSE))+IF(ISERROR(MATCH($B77,'Production - Gas'!$B$65:$B$108,0)),0,VLOOKUP($B77,'Production - Gas'!$B$65:$CD$108,MATCH('Production - Total'!L$63,'Production - Gas'!$B$9:$CD$9),FALSE)/5.8)</f>
        <v>11.931034482758621</v>
      </c>
      <c r="M77" s="11"/>
      <c r="N77" s="11"/>
      <c r="O77" s="11"/>
      <c r="P77" s="11"/>
      <c r="Q77" s="11">
        <f>IF(ISERROR(MATCH($B77,'Production - Oil'!$B$65:$B$108,0)),0,VLOOKUP($B77,'Production - Oil'!$B$65:$CD$108,MATCH('Production - Total'!Q$63,'Production - Oil'!$B$9:$CD$9),FALSE))+IF(ISERROR(MATCH($B77,'Production - Gas'!$B$65:$B$108,0)),0,VLOOKUP($B77,'Production - Gas'!$B$65:$CD$108,MATCH('Production - Total'!Q$63,'Production - Gas'!$B$9:$CD$9),FALSE)/5.8)</f>
        <v>12.344827586206897</v>
      </c>
      <c r="R77" s="11"/>
      <c r="S77" s="11"/>
      <c r="T77" s="11"/>
      <c r="U77" s="11"/>
      <c r="V77" s="11">
        <f>IF(ISERROR(MATCH($B77,'Production - Oil'!$B$65:$B$108,0)),0,VLOOKUP($B77,'Production - Oil'!$B$65:$CD$108,MATCH('Production - Total'!V$63,'Production - Oil'!$B$9:$CD$9),FALSE))+IF(ISERROR(MATCH($B77,'Production - Gas'!$B$65:$B$108,0)),0,VLOOKUP($B77,'Production - Gas'!$B$65:$CD$108,MATCH('Production - Total'!V$63,'Production - Gas'!$B$9:$CD$9),FALSE)/5.8)</f>
        <v>13.862068965517242</v>
      </c>
      <c r="W77" s="11"/>
      <c r="X77" s="11"/>
      <c r="Y77" s="11"/>
      <c r="Z77" s="11"/>
      <c r="AA77" s="11">
        <f>IF(ISERROR(MATCH($B77,'Production - Oil'!$B$65:$B$108,0)),0,VLOOKUP($B77,'Production - Oil'!$B$65:$CD$108,MATCH('Production - Total'!AA$63,'Production - Oil'!$B$9:$CD$9),FALSE))+IF(ISERROR(MATCH($B77,'Production - Gas'!$B$65:$B$108,0)),0,VLOOKUP($B77,'Production - Gas'!$B$65:$CD$108,MATCH('Production - Total'!AA$63,'Production - Gas'!$B$9:$CD$9),FALSE)/5.8)</f>
        <v>2.896551724137931</v>
      </c>
      <c r="AB77" s="11"/>
      <c r="AC77" s="11"/>
      <c r="AD77" s="11"/>
      <c r="AE77" s="11"/>
      <c r="AF77" s="11">
        <f>IF(ISERROR(MATCH($B77,'Production - Oil'!$B$65:$B$108,0)),0,VLOOKUP($B77,'Production - Oil'!$B$65:$CD$108,MATCH('Production - Total'!AF$63,'Production - Oil'!$B$9:$CD$9),FALSE))+IF(ISERROR(MATCH($B77,'Production - Gas'!$B$65:$B$108,0)),0,VLOOKUP($B77,'Production - Gas'!$B$65:$CD$108,MATCH('Production - Total'!AF$63,'Production - Gas'!$B$9:$CD$9),FALSE)/5.8)</f>
        <v>1.896551724137931</v>
      </c>
      <c r="AG77" s="82"/>
      <c r="AH77" s="82"/>
      <c r="AI77" s="82"/>
      <c r="AJ77" s="82"/>
      <c r="AK77" s="11">
        <f>IF(ISERROR(MATCH($B77,'Production - Oil'!$B$65:$B$108,0)),0,VLOOKUP($B77,'Production - Oil'!$B$65:$CD$108,MATCH('Production - Total'!AK$63,'Production - Oil'!$B$9:$CD$9),FALSE))+IF(ISERROR(MATCH($B77,'Production - Gas'!$B$65:$B$108,0)),0,VLOOKUP($B77,'Production - Gas'!$B$65:$CD$108,MATCH('Production - Total'!AK$63,'Production - Gas'!$B$9:$CD$9),FALSE)/5.8)</f>
        <v>2.4137931034482758</v>
      </c>
      <c r="AL77" s="82"/>
      <c r="AM77" s="82"/>
      <c r="AN77" s="82"/>
      <c r="AO77" s="82"/>
      <c r="AP77" s="11">
        <f>IF(ISERROR(MATCH($B77,'Production - Oil'!$B$65:$B$108,0)),0,VLOOKUP($B77,'Production - Oil'!$B$65:$CD$108,MATCH('Production - Total'!AP$63,'Production - Oil'!$B$9:$CD$9),FALSE))+IF(ISERROR(MATCH($B77,'Production - Gas'!$B$65:$B$108,0)),0,VLOOKUP($B77,'Production - Gas'!$B$65:$CD$108,MATCH('Production - Total'!AP$63,'Production - Gas'!$B$9:$CD$9),FALSE)/5.8)</f>
        <v>6.862068965517242</v>
      </c>
      <c r="AQ77" s="82"/>
      <c r="AR77" s="82"/>
      <c r="AS77" s="82"/>
      <c r="AT77" s="82"/>
      <c r="AU77" s="11">
        <f>IF(ISERROR(MATCH($B77,'Production - Oil'!$B$65:$B$108,0)),0,VLOOKUP($B77,'Production - Oil'!$B$65:$CD$108,MATCH('Production - Total'!AU$63,'Production - Oil'!$B$9:$CD$9),FALSE))+IF(ISERROR(MATCH($B77,'Production - Gas'!$B$65:$B$108,0)),0,VLOOKUP($B77,'Production - Gas'!$B$65:$CD$108,MATCH('Production - Total'!AU$63,'Production - Gas'!$B$9:$CD$9),FALSE)/5.8)</f>
        <v>11.482758620689655</v>
      </c>
      <c r="AV77" s="82"/>
      <c r="AW77" s="82"/>
      <c r="AX77" s="82"/>
      <c r="AY77" s="82"/>
      <c r="AZ77" s="11">
        <f>IF(ISERROR(MATCH($B77,'Production - Oil'!$B$65:$B$108,0)),0,VLOOKUP($B77,'Production - Oil'!$B$65:$CD$108,MATCH('Production - Total'!AZ$63,'Production - Oil'!$B$9:$CD$9),FALSE))+IF(ISERROR(MATCH($B77,'Production - Gas'!$B$65:$B$108,0)),0,VLOOKUP($B77,'Production - Gas'!$B$65:$CD$108,MATCH('Production - Total'!AZ$63,'Production - Gas'!$B$9:$CD$9),FALSE)/5.8)</f>
        <v>16.793103448275865</v>
      </c>
      <c r="BA77" s="82"/>
      <c r="BB77" s="82"/>
      <c r="BC77" s="82"/>
      <c r="BD77" s="82"/>
      <c r="BE77" s="11">
        <f>IF(ISERROR(MATCH($B77,'Production - Oil'!$B$65:$B$108,0)),0,VLOOKUP($B77,'Production - Oil'!$B$65:$CD$108,MATCH('Production - Total'!BE$63,'Production - Oil'!$B$9:$CD$9),FALSE))+IF(ISERROR(MATCH($B77,'Production - Gas'!$B$65:$B$108,0)),0,VLOOKUP($B77,'Production - Gas'!$B$65:$CD$108,MATCH('Production - Total'!BE$63,'Production - Gas'!$B$9:$CD$9),FALSE)/5.8)</f>
        <v>20.03448275862069</v>
      </c>
      <c r="BF77" s="82"/>
      <c r="BG77" s="82"/>
      <c r="BH77" s="82"/>
      <c r="BI77" s="82"/>
      <c r="BJ77" s="11">
        <f>IF(ISERROR(MATCH($B77,'Production - Oil'!$B$65:$B$108,0)),0,VLOOKUP($B77,'Production - Oil'!$B$65:$CD$108,MATCH('Production - Total'!BJ$63,'Production - Oil'!$B$9:$CD$9),FALSE))+IF(ISERROR(MATCH($B77,'Production - Gas'!$B$65:$B$108,0)),0,VLOOKUP($B77,'Production - Gas'!$B$65:$CD$108,MATCH('Production - Total'!BJ$63,'Production - Gas'!$B$9:$CD$9),FALSE)/5.8)</f>
        <v>20.379310344827587</v>
      </c>
      <c r="BK77" s="82"/>
      <c r="BL77" s="82"/>
      <c r="BM77" s="82"/>
      <c r="BN77" s="82"/>
      <c r="BO77" s="11">
        <f>'Production - Oil'!BO77+'Production - Gas'!BO77/5.8</f>
        <v>18.344827586206897</v>
      </c>
      <c r="BP77" s="82"/>
      <c r="BQ77" s="82"/>
      <c r="BR77" s="82"/>
      <c r="BS77" s="82"/>
      <c r="BT77" s="51"/>
      <c r="BU77" s="82"/>
      <c r="BV77" s="82"/>
      <c r="BW77" s="82"/>
      <c r="BX77" s="82"/>
      <c r="BY77" s="51"/>
      <c r="BZ77" s="82"/>
      <c r="CA77" s="82"/>
      <c r="CB77" s="82"/>
      <c r="CC77" s="82"/>
      <c r="CD77" s="51"/>
    </row>
    <row r="78" spans="1:82">
      <c r="A78" s="39"/>
      <c r="B78" s="11" t="s">
        <v>2428</v>
      </c>
      <c r="C78" s="11">
        <f>IF(ISERROR(MATCH($B78,'Production - Oil'!$B$65:$B$108,0)),0,VLOOKUP($B78,'Production - Oil'!$B$65:$CD$108,MATCH('Production - Total'!C$63,'Production - Oil'!$B$9:$CD$9),FALSE))+IF(ISERROR(MATCH($B78,'Production - Gas'!$B$65:$B$108,0)),0,VLOOKUP($B78,'Production - Gas'!$B$65:$CD$108,MATCH('Production - Total'!C$63,'Production - Gas'!$B$9:$CD$9),FALSE)/5.8)</f>
        <v>0</v>
      </c>
      <c r="D78" s="11">
        <f>IF(ISERROR(MATCH($B78,'Production - Oil'!$B$65:$B$108,0)),0,VLOOKUP($B78,'Production - Oil'!$B$65:$CD$108,MATCH('Production - Total'!D$63,'Production - Oil'!$B$9:$CD$9),FALSE))+IF(ISERROR(MATCH($B78,'Production - Gas'!$B$65:$B$108,0)),0,VLOOKUP($B78,'Production - Gas'!$B$65:$CD$108,MATCH('Production - Total'!D$63,'Production - Gas'!$B$9:$CD$9),FALSE)/5.8)</f>
        <v>0</v>
      </c>
      <c r="E78" s="11">
        <f>IF(ISERROR(MATCH($B78,'Production - Oil'!$B$65:$B$108,0)),0,VLOOKUP($B78,'Production - Oil'!$B$65:$CD$108,MATCH('Production - Total'!E$63,'Production - Oil'!$B$9:$CD$9),FALSE))+IF(ISERROR(MATCH($B78,'Production - Gas'!$B$65:$B$108,0)),0,VLOOKUP($B78,'Production - Gas'!$B$65:$CD$108,MATCH('Production - Total'!E$63,'Production - Gas'!$B$9:$CD$9),FALSE)/5.8)</f>
        <v>0</v>
      </c>
      <c r="F78" s="11">
        <f>IF(ISERROR(MATCH($B78,'Production - Oil'!$B$65:$B$108,0)),0,VLOOKUP($B78,'Production - Oil'!$B$65:$CD$108,MATCH('Production - Total'!F$63,'Production - Oil'!$B$9:$CD$9),FALSE))+IF(ISERROR(MATCH($B78,'Production - Gas'!$B$65:$B$108,0)),0,VLOOKUP($B78,'Production - Gas'!$B$65:$CD$108,MATCH('Production - Total'!F$63,'Production - Gas'!$B$9:$CD$9),FALSE)/5.8)</f>
        <v>0</v>
      </c>
      <c r="G78" s="11">
        <f>IF(ISERROR(MATCH($B78,'Production - Oil'!$B$65:$B$108,0)),0,VLOOKUP($B78,'Production - Oil'!$B$65:$CD$108,MATCH('Production - Total'!G$63,'Production - Oil'!$B$9:$CD$9),FALSE))+IF(ISERROR(MATCH($B78,'Production - Gas'!$B$65:$B$108,0)),0,VLOOKUP($B78,'Production - Gas'!$B$65:$CD$108,MATCH('Production - Total'!G$63,'Production - Gas'!$B$9:$CD$9),FALSE)/5.8)</f>
        <v>0</v>
      </c>
      <c r="H78" s="11"/>
      <c r="I78" s="11"/>
      <c r="J78" s="11"/>
      <c r="K78" s="11"/>
      <c r="L78" s="11">
        <f>IF(ISERROR(MATCH($B78,'Production - Oil'!$B$65:$B$108,0)),0,VLOOKUP($B78,'Production - Oil'!$B$65:$CD$108,MATCH('Production - Total'!L$63,'Production - Oil'!$B$9:$CD$9),FALSE))+IF(ISERROR(MATCH($B78,'Production - Gas'!$B$65:$B$108,0)),0,VLOOKUP($B78,'Production - Gas'!$B$65:$CD$108,MATCH('Production - Total'!L$63,'Production - Gas'!$B$9:$CD$9),FALSE)/5.8)</f>
        <v>0</v>
      </c>
      <c r="M78" s="11"/>
      <c r="N78" s="11"/>
      <c r="O78" s="11"/>
      <c r="P78" s="11"/>
      <c r="Q78" s="11">
        <f>IF(ISERROR(MATCH($B78,'Production - Oil'!$B$65:$B$108,0)),0,VLOOKUP($B78,'Production - Oil'!$B$65:$CD$108,MATCH('Production - Total'!Q$63,'Production - Oil'!$B$9:$CD$9),FALSE))+IF(ISERROR(MATCH($B78,'Production - Gas'!$B$65:$B$108,0)),0,VLOOKUP($B78,'Production - Gas'!$B$65:$CD$108,MATCH('Production - Total'!Q$63,'Production - Gas'!$B$9:$CD$9),FALSE)/5.8)</f>
        <v>0</v>
      </c>
      <c r="R78" s="11"/>
      <c r="S78" s="11"/>
      <c r="T78" s="11"/>
      <c r="U78" s="11"/>
      <c r="V78" s="11">
        <f>IF(ISERROR(MATCH($B78,'Production - Oil'!$B$65:$B$108,0)),0,VLOOKUP($B78,'Production - Oil'!$B$65:$CD$108,MATCH('Production - Total'!V$63,'Production - Oil'!$B$9:$CD$9),FALSE))+IF(ISERROR(MATCH($B78,'Production - Gas'!$B$65:$B$108,0)),0,VLOOKUP($B78,'Production - Gas'!$B$65:$CD$108,MATCH('Production - Total'!V$63,'Production - Gas'!$B$9:$CD$9),FALSE)/5.8)</f>
        <v>0</v>
      </c>
      <c r="W78" s="11"/>
      <c r="X78" s="11"/>
      <c r="Y78" s="11"/>
      <c r="Z78" s="11"/>
      <c r="AA78" s="11">
        <f>IF(ISERROR(MATCH($B78,'Production - Oil'!$B$65:$B$108,0)),0,VLOOKUP($B78,'Production - Oil'!$B$65:$CD$108,MATCH('Production - Total'!AA$63,'Production - Oil'!$B$9:$CD$9),FALSE))+IF(ISERROR(MATCH($B78,'Production - Gas'!$B$65:$B$108,0)),0,VLOOKUP($B78,'Production - Gas'!$B$65:$CD$108,MATCH('Production - Total'!AA$63,'Production - Gas'!$B$9:$CD$9),FALSE)/5.8)</f>
        <v>0</v>
      </c>
      <c r="AB78" s="11"/>
      <c r="AC78" s="11"/>
      <c r="AD78" s="11"/>
      <c r="AE78" s="11"/>
      <c r="AF78" s="11">
        <f>IF(ISERROR(MATCH($B78,'Production - Oil'!$B$65:$B$108,0)),0,VLOOKUP($B78,'Production - Oil'!$B$65:$CD$108,MATCH('Production - Total'!AF$63,'Production - Oil'!$B$9:$CD$9),FALSE))+IF(ISERROR(MATCH($B78,'Production - Gas'!$B$65:$B$108,0)),0,VLOOKUP($B78,'Production - Gas'!$B$65:$CD$108,MATCH('Production - Total'!AF$63,'Production - Gas'!$B$9:$CD$9),FALSE)/5.8)</f>
        <v>0</v>
      </c>
      <c r="AG78" s="82"/>
      <c r="AH78" s="82"/>
      <c r="AI78" s="82"/>
      <c r="AJ78" s="82"/>
      <c r="AK78" s="11">
        <f>IF(ISERROR(MATCH($B78,'Production - Oil'!$B$65:$B$108,0)),0,VLOOKUP($B78,'Production - Oil'!$B$65:$CD$108,MATCH('Production - Total'!AK$63,'Production - Oil'!$B$9:$CD$9),FALSE))+IF(ISERROR(MATCH($B78,'Production - Gas'!$B$65:$B$108,0)),0,VLOOKUP($B78,'Production - Gas'!$B$65:$CD$108,MATCH('Production - Total'!AK$63,'Production - Gas'!$B$9:$CD$9),FALSE)/5.8)</f>
        <v>0</v>
      </c>
      <c r="AL78" s="82"/>
      <c r="AM78" s="82"/>
      <c r="AN78" s="82"/>
      <c r="AO78" s="82"/>
      <c r="AP78" s="11">
        <f>IF(ISERROR(MATCH($B78,'Production - Oil'!$B$65:$B$108,0)),0,VLOOKUP($B78,'Production - Oil'!$B$65:$CD$108,MATCH('Production - Total'!AP$63,'Production - Oil'!$B$9:$CD$9),FALSE))+IF(ISERROR(MATCH($B78,'Production - Gas'!$B$65:$B$108,0)),0,VLOOKUP($B78,'Production - Gas'!$B$65:$CD$108,MATCH('Production - Total'!AP$63,'Production - Gas'!$B$9:$CD$9),FALSE)/5.8)</f>
        <v>0</v>
      </c>
      <c r="AQ78" s="82"/>
      <c r="AR78" s="82"/>
      <c r="AS78" s="82"/>
      <c r="AT78" s="82"/>
      <c r="AU78" s="11">
        <f>IF(ISERROR(MATCH($B78,'Production - Oil'!$B$65:$B$108,0)),0,VLOOKUP($B78,'Production - Oil'!$B$65:$CD$108,MATCH('Production - Total'!AU$63,'Production - Oil'!$B$9:$CD$9),FALSE))+IF(ISERROR(MATCH($B78,'Production - Gas'!$B$65:$B$108,0)),0,VLOOKUP($B78,'Production - Gas'!$B$65:$CD$108,MATCH('Production - Total'!AU$63,'Production - Gas'!$B$9:$CD$9),FALSE)/5.8)</f>
        <v>0</v>
      </c>
      <c r="AV78" s="82"/>
      <c r="AW78" s="82"/>
      <c r="AX78" s="82"/>
      <c r="AY78" s="82"/>
      <c r="AZ78" s="11">
        <f>IF(ISERROR(MATCH($B78,'Production - Oil'!$B$65:$B$108,0)),0,VLOOKUP($B78,'Production - Oil'!$B$65:$CD$108,MATCH('Production - Total'!AZ$63,'Production - Oil'!$B$9:$CD$9),FALSE))+IF(ISERROR(MATCH($B78,'Production - Gas'!$B$65:$B$108,0)),0,VLOOKUP($B78,'Production - Gas'!$B$65:$CD$108,MATCH('Production - Total'!AZ$63,'Production - Gas'!$B$9:$CD$9),FALSE)/5.8)</f>
        <v>0</v>
      </c>
      <c r="BA78" s="82"/>
      <c r="BB78" s="82"/>
      <c r="BC78" s="82"/>
      <c r="BD78" s="82"/>
      <c r="BE78" s="11">
        <f>IF(ISERROR(MATCH($B78,'Production - Oil'!$B$65:$B$108,0)),0,VLOOKUP($B78,'Production - Oil'!$B$65:$CD$108,MATCH('Production - Total'!BE$63,'Production - Oil'!$B$9:$CD$9),FALSE))+IF(ISERROR(MATCH($B78,'Production - Gas'!$B$65:$B$108,0)),0,VLOOKUP($B78,'Production - Gas'!$B$65:$CD$108,MATCH('Production - Total'!BE$63,'Production - Gas'!$B$9:$CD$9),FALSE)/5.8)</f>
        <v>0</v>
      </c>
      <c r="BF78" s="82"/>
      <c r="BG78" s="82"/>
      <c r="BH78" s="82"/>
      <c r="BI78" s="82"/>
      <c r="BJ78" s="11">
        <f>IF(ISERROR(MATCH($B78,'Production - Oil'!$B$65:$B$108,0)),0,VLOOKUP($B78,'Production - Oil'!$B$65:$CD$108,MATCH('Production - Total'!BJ$63,'Production - Oil'!$B$9:$CD$9),FALSE))+IF(ISERROR(MATCH($B78,'Production - Gas'!$B$65:$B$108,0)),0,VLOOKUP($B78,'Production - Gas'!$B$65:$CD$108,MATCH('Production - Total'!BJ$63,'Production - Gas'!$B$9:$CD$9),FALSE)/5.8)</f>
        <v>0</v>
      </c>
      <c r="BK78" s="82"/>
      <c r="BL78" s="82"/>
      <c r="BM78" s="82"/>
      <c r="BN78" s="82"/>
      <c r="BO78" s="11">
        <f>'Production - Oil'!BO78+'Production - Gas'!BO78/5.8</f>
        <v>0</v>
      </c>
      <c r="BP78" s="82"/>
      <c r="BQ78" s="82"/>
      <c r="BR78" s="82"/>
      <c r="BS78" s="82"/>
      <c r="BT78" s="51"/>
      <c r="BU78" s="82"/>
      <c r="BV78" s="82"/>
      <c r="BW78" s="82"/>
      <c r="BX78" s="82"/>
      <c r="BY78" s="51"/>
      <c r="BZ78" s="82"/>
      <c r="CA78" s="82"/>
      <c r="CB78" s="82"/>
      <c r="CC78" s="82"/>
      <c r="CD78" s="51"/>
    </row>
    <row r="79" spans="1:82">
      <c r="A79" s="11"/>
      <c r="B79" s="11" t="s">
        <v>2247</v>
      </c>
      <c r="C79" s="11">
        <f>IF(ISERROR(MATCH($B79,'Production - Oil'!$B$65:$B$108,0)),0,VLOOKUP($B79,'Production - Oil'!$B$65:$CD$108,MATCH('Production - Total'!C$63,'Production - Oil'!$B$9:$CD$9),FALSE))+IF(ISERROR(MATCH($B79,'Production - Gas'!$B$65:$B$108,0)),0,VLOOKUP($B79,'Production - Gas'!$B$65:$CD$108,MATCH('Production - Total'!C$63,'Production - Gas'!$B$9:$CD$9),FALSE)/5.8)</f>
        <v>0</v>
      </c>
      <c r="D79" s="11">
        <f>IF(ISERROR(MATCH($B79,'Production - Oil'!$B$65:$B$108,0)),0,VLOOKUP($B79,'Production - Oil'!$B$65:$CD$108,MATCH('Production - Total'!D$63,'Production - Oil'!$B$9:$CD$9),FALSE))+IF(ISERROR(MATCH($B79,'Production - Gas'!$B$65:$B$108,0)),0,VLOOKUP($B79,'Production - Gas'!$B$65:$CD$108,MATCH('Production - Total'!D$63,'Production - Gas'!$B$9:$CD$9),FALSE)/5.8)</f>
        <v>0</v>
      </c>
      <c r="E79" s="11">
        <f>IF(ISERROR(MATCH($B79,'Production - Oil'!$B$65:$B$108,0)),0,VLOOKUP($B79,'Production - Oil'!$B$65:$CD$108,MATCH('Production - Total'!E$63,'Production - Oil'!$B$9:$CD$9),FALSE))+IF(ISERROR(MATCH($B79,'Production - Gas'!$B$65:$B$108,0)),0,VLOOKUP($B79,'Production - Gas'!$B$65:$CD$108,MATCH('Production - Total'!E$63,'Production - Gas'!$B$9:$CD$9),FALSE)/5.8)</f>
        <v>0</v>
      </c>
      <c r="F79" s="11">
        <f>IF(ISERROR(MATCH($B79,'Production - Oil'!$B$65:$B$108,0)),0,VLOOKUP($B79,'Production - Oil'!$B$65:$CD$108,MATCH('Production - Total'!F$63,'Production - Oil'!$B$9:$CD$9),FALSE))+IF(ISERROR(MATCH($B79,'Production - Gas'!$B$65:$B$108,0)),0,VLOOKUP($B79,'Production - Gas'!$B$65:$CD$108,MATCH('Production - Total'!F$63,'Production - Gas'!$B$9:$CD$9),FALSE)/5.8)</f>
        <v>0</v>
      </c>
      <c r="G79" s="11">
        <f>IF(ISERROR(MATCH($B79,'Production - Oil'!$B$65:$B$108,0)),0,VLOOKUP($B79,'Production - Oil'!$B$65:$CD$108,MATCH('Production - Total'!G$63,'Production - Oil'!$B$9:$CD$9),FALSE))+IF(ISERROR(MATCH($B79,'Production - Gas'!$B$65:$B$108,0)),0,VLOOKUP($B79,'Production - Gas'!$B$65:$CD$108,MATCH('Production - Total'!G$63,'Production - Gas'!$B$9:$CD$9),FALSE)/5.8)</f>
        <v>0</v>
      </c>
      <c r="H79" s="11"/>
      <c r="I79" s="11"/>
      <c r="J79" s="11"/>
      <c r="K79" s="11"/>
      <c r="L79" s="11">
        <f>IF(ISERROR(MATCH($B79,'Production - Oil'!$B$65:$B$108,0)),0,VLOOKUP($B79,'Production - Oil'!$B$65:$CD$108,MATCH('Production - Total'!L$63,'Production - Oil'!$B$9:$CD$9),FALSE))+IF(ISERROR(MATCH($B79,'Production - Gas'!$B$65:$B$108,0)),0,VLOOKUP($B79,'Production - Gas'!$B$65:$CD$108,MATCH('Production - Total'!L$63,'Production - Gas'!$B$9:$CD$9),FALSE)/5.8)</f>
        <v>0</v>
      </c>
      <c r="M79" s="11"/>
      <c r="N79" s="11"/>
      <c r="O79" s="11"/>
      <c r="P79" s="11"/>
      <c r="Q79" s="11">
        <f>IF(ISERROR(MATCH($B79,'Production - Oil'!$B$65:$B$108,0)),0,VLOOKUP($B79,'Production - Oil'!$B$65:$CD$108,MATCH('Production - Total'!Q$63,'Production - Oil'!$B$9:$CD$9),FALSE))+IF(ISERROR(MATCH($B79,'Production - Gas'!$B$65:$B$108,0)),0,VLOOKUP($B79,'Production - Gas'!$B$65:$CD$108,MATCH('Production - Total'!Q$63,'Production - Gas'!$B$9:$CD$9),FALSE)/5.8)</f>
        <v>0</v>
      </c>
      <c r="R79" s="11"/>
      <c r="S79" s="11"/>
      <c r="T79" s="11"/>
      <c r="U79" s="11"/>
      <c r="V79" s="11">
        <f>IF(ISERROR(MATCH($B79,'Production - Oil'!$B$65:$B$108,0)),0,VLOOKUP($B79,'Production - Oil'!$B$65:$CD$108,MATCH('Production - Total'!V$63,'Production - Oil'!$B$9:$CD$9),FALSE))+IF(ISERROR(MATCH($B79,'Production - Gas'!$B$65:$B$108,0)),0,VLOOKUP($B79,'Production - Gas'!$B$65:$CD$108,MATCH('Production - Total'!V$63,'Production - Gas'!$B$9:$CD$9),FALSE)/5.8)</f>
        <v>0</v>
      </c>
      <c r="W79" s="11"/>
      <c r="X79" s="11"/>
      <c r="Y79" s="11"/>
      <c r="Z79" s="11"/>
      <c r="AA79" s="11">
        <f>IF(ISERROR(MATCH($B79,'Production - Oil'!$B$65:$B$108,0)),0,VLOOKUP($B79,'Production - Oil'!$B$65:$CD$108,MATCH('Production - Total'!AA$63,'Production - Oil'!$B$9:$CD$9),FALSE))+IF(ISERROR(MATCH($B79,'Production - Gas'!$B$65:$B$108,0)),0,VLOOKUP($B79,'Production - Gas'!$B$65:$CD$108,MATCH('Production - Total'!AA$63,'Production - Gas'!$B$9:$CD$9),FALSE)/5.8)</f>
        <v>0</v>
      </c>
      <c r="AB79" s="11"/>
      <c r="AC79" s="11"/>
      <c r="AD79" s="11"/>
      <c r="AE79" s="11"/>
      <c r="AF79" s="11">
        <f>IF(ISERROR(MATCH($B79,'Production - Oil'!$B$65:$B$108,0)),0,VLOOKUP($B79,'Production - Oil'!$B$65:$CD$108,MATCH('Production - Total'!AF$63,'Production - Oil'!$B$9:$CD$9),FALSE))+IF(ISERROR(MATCH($B79,'Production - Gas'!$B$65:$B$108,0)),0,VLOOKUP($B79,'Production - Gas'!$B$65:$CD$108,MATCH('Production - Total'!AF$63,'Production - Gas'!$B$9:$CD$9),FALSE)/5.8)</f>
        <v>0</v>
      </c>
      <c r="AG79" s="82"/>
      <c r="AH79" s="82"/>
      <c r="AI79" s="82"/>
      <c r="AJ79" s="82"/>
      <c r="AK79" s="11">
        <f>IF(ISERROR(MATCH($B79,'Production - Oil'!$B$65:$B$108,0)),0,VLOOKUP($B79,'Production - Oil'!$B$65:$CD$108,MATCH('Production - Total'!AK$63,'Production - Oil'!$B$9:$CD$9),FALSE))+IF(ISERROR(MATCH($B79,'Production - Gas'!$B$65:$B$108,0)),0,VLOOKUP($B79,'Production - Gas'!$B$65:$CD$108,MATCH('Production - Total'!AK$63,'Production - Gas'!$B$9:$CD$9),FALSE)/5.8)</f>
        <v>0</v>
      </c>
      <c r="AL79" s="82"/>
      <c r="AM79" s="82"/>
      <c r="AN79" s="82"/>
      <c r="AO79" s="82"/>
      <c r="AP79" s="11">
        <f>IF(ISERROR(MATCH($B79,'Production - Oil'!$B$65:$B$108,0)),0,VLOOKUP($B79,'Production - Oil'!$B$65:$CD$108,MATCH('Production - Total'!AP$63,'Production - Oil'!$B$9:$CD$9),FALSE))+IF(ISERROR(MATCH($B79,'Production - Gas'!$B$65:$B$108,0)),0,VLOOKUP($B79,'Production - Gas'!$B$65:$CD$108,MATCH('Production - Total'!AP$63,'Production - Gas'!$B$9:$CD$9),FALSE)/5.8)</f>
        <v>0</v>
      </c>
      <c r="AQ79" s="82"/>
      <c r="AR79" s="82"/>
      <c r="AS79" s="82"/>
      <c r="AT79" s="82"/>
      <c r="AU79" s="11">
        <f>IF(ISERROR(MATCH($B79,'Production - Oil'!$B$65:$B$108,0)),0,VLOOKUP($B79,'Production - Oil'!$B$65:$CD$108,MATCH('Production - Total'!AU$63,'Production - Oil'!$B$9:$CD$9),FALSE))+IF(ISERROR(MATCH($B79,'Production - Gas'!$B$65:$B$108,0)),0,VLOOKUP($B79,'Production - Gas'!$B$65:$CD$108,MATCH('Production - Total'!AU$63,'Production - Gas'!$B$9:$CD$9),FALSE)/5.8)</f>
        <v>0</v>
      </c>
      <c r="AV79" s="82"/>
      <c r="AW79" s="82"/>
      <c r="AX79" s="82"/>
      <c r="AY79" s="82"/>
      <c r="AZ79" s="11">
        <f>IF(ISERROR(MATCH($B79,'Production - Oil'!$B$65:$B$108,0)),0,VLOOKUP($B79,'Production - Oil'!$B$65:$CD$108,MATCH('Production - Total'!AZ$63,'Production - Oil'!$B$9:$CD$9),FALSE))+IF(ISERROR(MATCH($B79,'Production - Gas'!$B$65:$B$108,0)),0,VLOOKUP($B79,'Production - Gas'!$B$65:$CD$108,MATCH('Production - Total'!AZ$63,'Production - Gas'!$B$9:$CD$9),FALSE)/5.8)</f>
        <v>0</v>
      </c>
      <c r="BA79" s="82"/>
      <c r="BB79" s="82"/>
      <c r="BC79" s="82"/>
      <c r="BD79" s="82"/>
      <c r="BE79" s="11">
        <f>IF(ISERROR(MATCH($B79,'Production - Oil'!$B$65:$B$108,0)),0,VLOOKUP($B79,'Production - Oil'!$B$65:$CD$108,MATCH('Production - Total'!BE$63,'Production - Oil'!$B$9:$CD$9),FALSE))+IF(ISERROR(MATCH($B79,'Production - Gas'!$B$65:$B$108,0)),0,VLOOKUP($B79,'Production - Gas'!$B$65:$CD$108,MATCH('Production - Total'!BE$63,'Production - Gas'!$B$9:$CD$9),FALSE)/5.8)</f>
        <v>0</v>
      </c>
      <c r="BF79" s="82"/>
      <c r="BG79" s="82"/>
      <c r="BH79" s="82"/>
      <c r="BI79" s="82"/>
      <c r="BJ79" s="11">
        <f>IF(ISERROR(MATCH($B79,'Production - Oil'!$B$65:$B$108,0)),0,VLOOKUP($B79,'Production - Oil'!$B$65:$CD$108,MATCH('Production - Total'!BJ$63,'Production - Oil'!$B$9:$CD$9),FALSE))+IF(ISERROR(MATCH($B79,'Production - Gas'!$B$65:$B$108,0)),0,VLOOKUP($B79,'Production - Gas'!$B$65:$CD$108,MATCH('Production - Total'!BJ$63,'Production - Gas'!$B$9:$CD$9),FALSE)/5.8)</f>
        <v>0</v>
      </c>
      <c r="BK79" s="82"/>
      <c r="BL79" s="82"/>
      <c r="BM79" s="82"/>
      <c r="BN79" s="82"/>
      <c r="BO79" s="11">
        <f>'Production - Oil'!BO79+'Production - Gas'!BO79/5.8</f>
        <v>0</v>
      </c>
      <c r="BP79" s="82"/>
      <c r="BQ79" s="82"/>
      <c r="BR79" s="82"/>
      <c r="BS79" s="82"/>
      <c r="BT79" s="51"/>
      <c r="BU79" s="82"/>
      <c r="BV79" s="82"/>
      <c r="BW79" s="82"/>
      <c r="BX79" s="82"/>
      <c r="BY79" s="51"/>
      <c r="BZ79" s="82"/>
      <c r="CA79" s="82"/>
      <c r="CB79" s="82"/>
      <c r="CC79" s="82"/>
      <c r="CD79" s="51"/>
    </row>
    <row r="80" spans="1:82">
      <c r="A80" s="11"/>
      <c r="B80" s="11" t="s">
        <v>1280</v>
      </c>
      <c r="C80" s="11">
        <f>IF(ISERROR(MATCH($B80,'Production - Oil'!$B$65:$B$108,0)),0,VLOOKUP($B80,'Production - Oil'!$B$65:$CD$108,MATCH('Production - Total'!C$63,'Production - Oil'!$B$9:$CD$9),FALSE))+IF(ISERROR(MATCH($B80,'Production - Gas'!$B$65:$B$108,0)),0,VLOOKUP($B80,'Production - Gas'!$B$65:$CD$108,MATCH('Production - Total'!C$63,'Production - Gas'!$B$9:$CD$9),FALSE)/5.8)</f>
        <v>0</v>
      </c>
      <c r="D80" s="11">
        <f>IF(ISERROR(MATCH($B80,'Production - Oil'!$B$65:$B$108,0)),0,VLOOKUP($B80,'Production - Oil'!$B$65:$CD$108,MATCH('Production - Total'!D$63,'Production - Oil'!$B$9:$CD$9),FALSE))+IF(ISERROR(MATCH($B80,'Production - Gas'!$B$65:$B$108,0)),0,VLOOKUP($B80,'Production - Gas'!$B$65:$CD$108,MATCH('Production - Total'!D$63,'Production - Gas'!$B$9:$CD$9),FALSE)/5.8)</f>
        <v>0</v>
      </c>
      <c r="E80" s="11">
        <f>IF(ISERROR(MATCH($B80,'Production - Oil'!$B$65:$B$108,0)),0,VLOOKUP($B80,'Production - Oil'!$B$65:$CD$108,MATCH('Production - Total'!E$63,'Production - Oil'!$B$9:$CD$9),FALSE))+IF(ISERROR(MATCH($B80,'Production - Gas'!$B$65:$B$108,0)),0,VLOOKUP($B80,'Production - Gas'!$B$65:$CD$108,MATCH('Production - Total'!E$63,'Production - Gas'!$B$9:$CD$9),FALSE)/5.8)</f>
        <v>0</v>
      </c>
      <c r="F80" s="11">
        <f>IF(ISERROR(MATCH($B80,'Production - Oil'!$B$65:$B$108,0)),0,VLOOKUP($B80,'Production - Oil'!$B$65:$CD$108,MATCH('Production - Total'!F$63,'Production - Oil'!$B$9:$CD$9),FALSE))+IF(ISERROR(MATCH($B80,'Production - Gas'!$B$65:$B$108,0)),0,VLOOKUP($B80,'Production - Gas'!$B$65:$CD$108,MATCH('Production - Total'!F$63,'Production - Gas'!$B$9:$CD$9),FALSE)/5.8)</f>
        <v>0</v>
      </c>
      <c r="G80" s="11">
        <f>IF(ISERROR(MATCH($B80,'Production - Oil'!$B$65:$B$108,0)),0,VLOOKUP($B80,'Production - Oil'!$B$65:$CD$108,MATCH('Production - Total'!G$63,'Production - Oil'!$B$9:$CD$9),FALSE))+IF(ISERROR(MATCH($B80,'Production - Gas'!$B$65:$B$108,0)),0,VLOOKUP($B80,'Production - Gas'!$B$65:$CD$108,MATCH('Production - Total'!G$63,'Production - Gas'!$B$9:$CD$9),FALSE)/5.8)</f>
        <v>0</v>
      </c>
      <c r="H80" s="11"/>
      <c r="I80" s="11"/>
      <c r="J80" s="11"/>
      <c r="K80" s="11"/>
      <c r="L80" s="11">
        <f>IF(ISERROR(MATCH($B80,'Production - Oil'!$B$65:$B$108,0)),0,VLOOKUP($B80,'Production - Oil'!$B$65:$CD$108,MATCH('Production - Total'!L$63,'Production - Oil'!$B$9:$CD$9),FALSE))+IF(ISERROR(MATCH($B80,'Production - Gas'!$B$65:$B$108,0)),0,VLOOKUP($B80,'Production - Gas'!$B$65:$CD$108,MATCH('Production - Total'!L$63,'Production - Gas'!$B$9:$CD$9),FALSE)/5.8)</f>
        <v>0</v>
      </c>
      <c r="M80" s="11"/>
      <c r="N80" s="11"/>
      <c r="O80" s="11"/>
      <c r="P80" s="11"/>
      <c r="Q80" s="11">
        <f>IF(ISERROR(MATCH($B80,'Production - Oil'!$B$65:$B$108,0)),0,VLOOKUP($B80,'Production - Oil'!$B$65:$CD$108,MATCH('Production - Total'!Q$63,'Production - Oil'!$B$9:$CD$9),FALSE))+IF(ISERROR(MATCH($B80,'Production - Gas'!$B$65:$B$108,0)),0,VLOOKUP($B80,'Production - Gas'!$B$65:$CD$108,MATCH('Production - Total'!Q$63,'Production - Gas'!$B$9:$CD$9),FALSE)/5.8)</f>
        <v>0</v>
      </c>
      <c r="R80" s="11"/>
      <c r="S80" s="11"/>
      <c r="T80" s="11"/>
      <c r="U80" s="11"/>
      <c r="V80" s="11">
        <f>IF(ISERROR(MATCH($B80,'Production - Oil'!$B$65:$B$108,0)),0,VLOOKUP($B80,'Production - Oil'!$B$65:$CD$108,MATCH('Production - Total'!V$63,'Production - Oil'!$B$9:$CD$9),FALSE))+IF(ISERROR(MATCH($B80,'Production - Gas'!$B$65:$B$108,0)),0,VLOOKUP($B80,'Production - Gas'!$B$65:$CD$108,MATCH('Production - Total'!V$63,'Production - Gas'!$B$9:$CD$9),FALSE)/5.8)</f>
        <v>0</v>
      </c>
      <c r="W80" s="11"/>
      <c r="X80" s="11"/>
      <c r="Y80" s="11"/>
      <c r="Z80" s="11"/>
      <c r="AA80" s="11">
        <f>IF(ISERROR(MATCH($B80,'Production - Oil'!$B$65:$B$108,0)),0,VLOOKUP($B80,'Production - Oil'!$B$65:$CD$108,MATCH('Production - Total'!AA$63,'Production - Oil'!$B$9:$CD$9),FALSE))+IF(ISERROR(MATCH($B80,'Production - Gas'!$B$65:$B$108,0)),0,VLOOKUP($B80,'Production - Gas'!$B$65:$CD$108,MATCH('Production - Total'!AA$63,'Production - Gas'!$B$9:$CD$9),FALSE)/5.8)</f>
        <v>0</v>
      </c>
      <c r="AB80" s="11"/>
      <c r="AC80" s="11"/>
      <c r="AD80" s="11"/>
      <c r="AE80" s="11"/>
      <c r="AF80" s="11">
        <f>IF(ISERROR(MATCH($B80,'Production - Oil'!$B$65:$B$108,0)),0,VLOOKUP($B80,'Production - Oil'!$B$65:$CD$108,MATCH('Production - Total'!AF$63,'Production - Oil'!$B$9:$CD$9),FALSE))+IF(ISERROR(MATCH($B80,'Production - Gas'!$B$65:$B$108,0)),0,VLOOKUP($B80,'Production - Gas'!$B$65:$CD$108,MATCH('Production - Total'!AF$63,'Production - Gas'!$B$9:$CD$9),FALSE)/5.8)</f>
        <v>0</v>
      </c>
      <c r="AG80" s="82"/>
      <c r="AH80" s="82"/>
      <c r="AI80" s="82"/>
      <c r="AJ80" s="82"/>
      <c r="AK80" s="11">
        <f>IF(ISERROR(MATCH($B80,'Production - Oil'!$B$65:$B$108,0)),0,VLOOKUP($B80,'Production - Oil'!$B$65:$CD$108,MATCH('Production - Total'!AK$63,'Production - Oil'!$B$9:$CD$9),FALSE))+IF(ISERROR(MATCH($B80,'Production - Gas'!$B$65:$B$108,0)),0,VLOOKUP($B80,'Production - Gas'!$B$65:$CD$108,MATCH('Production - Total'!AK$63,'Production - Gas'!$B$9:$CD$9),FALSE)/5.8)</f>
        <v>0</v>
      </c>
      <c r="AL80" s="82"/>
      <c r="AM80" s="82"/>
      <c r="AN80" s="82"/>
      <c r="AO80" s="82"/>
      <c r="AP80" s="11">
        <f>IF(ISERROR(MATCH($B80,'Production - Oil'!$B$65:$B$108,0)),0,VLOOKUP($B80,'Production - Oil'!$B$65:$CD$108,MATCH('Production - Total'!AP$63,'Production - Oil'!$B$9:$CD$9),FALSE))+IF(ISERROR(MATCH($B80,'Production - Gas'!$B$65:$B$108,0)),0,VLOOKUP($B80,'Production - Gas'!$B$65:$CD$108,MATCH('Production - Total'!AP$63,'Production - Gas'!$B$9:$CD$9),FALSE)/5.8)</f>
        <v>0</v>
      </c>
      <c r="AQ80" s="82"/>
      <c r="AR80" s="82"/>
      <c r="AS80" s="82"/>
      <c r="AT80" s="82"/>
      <c r="AU80" s="11">
        <f>IF(ISERROR(MATCH($B80,'Production - Oil'!$B$65:$B$108,0)),0,VLOOKUP($B80,'Production - Oil'!$B$65:$CD$108,MATCH('Production - Total'!AU$63,'Production - Oil'!$B$9:$CD$9),FALSE))+IF(ISERROR(MATCH($B80,'Production - Gas'!$B$65:$B$108,0)),0,VLOOKUP($B80,'Production - Gas'!$B$65:$CD$108,MATCH('Production - Total'!AU$63,'Production - Gas'!$B$9:$CD$9),FALSE)/5.8)</f>
        <v>0</v>
      </c>
      <c r="AV80" s="82"/>
      <c r="AW80" s="82"/>
      <c r="AX80" s="82"/>
      <c r="AY80" s="82"/>
      <c r="AZ80" s="11">
        <f>IF(ISERROR(MATCH($B80,'Production - Oil'!$B$65:$B$108,0)),0,VLOOKUP($B80,'Production - Oil'!$B$65:$CD$108,MATCH('Production - Total'!AZ$63,'Production - Oil'!$B$9:$CD$9),FALSE))+IF(ISERROR(MATCH($B80,'Production - Gas'!$B$65:$B$108,0)),0,VLOOKUP($B80,'Production - Gas'!$B$65:$CD$108,MATCH('Production - Total'!AZ$63,'Production - Gas'!$B$9:$CD$9),FALSE)/5.8)</f>
        <v>0</v>
      </c>
      <c r="BA80" s="82"/>
      <c r="BB80" s="82"/>
      <c r="BC80" s="82"/>
      <c r="BD80" s="82"/>
      <c r="BE80" s="11">
        <f>IF(ISERROR(MATCH($B80,'Production - Oil'!$B$65:$B$108,0)),0,VLOOKUP($B80,'Production - Oil'!$B$65:$CD$108,MATCH('Production - Total'!BE$63,'Production - Oil'!$B$9:$CD$9),FALSE))+IF(ISERROR(MATCH($B80,'Production - Gas'!$B$65:$B$108,0)),0,VLOOKUP($B80,'Production - Gas'!$B$65:$CD$108,MATCH('Production - Total'!BE$63,'Production - Gas'!$B$9:$CD$9),FALSE)/5.8)</f>
        <v>0</v>
      </c>
      <c r="BF80" s="82"/>
      <c r="BG80" s="82"/>
      <c r="BH80" s="82"/>
      <c r="BI80" s="82"/>
      <c r="BJ80" s="11">
        <f>IF(ISERROR(MATCH($B80,'Production - Oil'!$B$65:$B$108,0)),0,VLOOKUP($B80,'Production - Oil'!$B$65:$CD$108,MATCH('Production - Total'!BJ$63,'Production - Oil'!$B$9:$CD$9),FALSE))+IF(ISERROR(MATCH($B80,'Production - Gas'!$B$65:$B$108,0)),0,VLOOKUP($B80,'Production - Gas'!$B$65:$CD$108,MATCH('Production - Total'!BJ$63,'Production - Gas'!$B$9:$CD$9),FALSE)/5.8)</f>
        <v>0</v>
      </c>
      <c r="BK80" s="82"/>
      <c r="BL80" s="82"/>
      <c r="BM80" s="82"/>
      <c r="BN80" s="82"/>
      <c r="BO80" s="11">
        <f>'Production - Oil'!BO80+'Production - Gas'!BO80/5.8</f>
        <v>0</v>
      </c>
      <c r="BP80" s="82"/>
      <c r="BQ80" s="82"/>
      <c r="BR80" s="82"/>
      <c r="BS80" s="82"/>
      <c r="BT80" s="51"/>
      <c r="BU80" s="82"/>
      <c r="BV80" s="82"/>
      <c r="BW80" s="82"/>
      <c r="BX80" s="82"/>
      <c r="BY80" s="51"/>
      <c r="BZ80" s="82"/>
      <c r="CA80" s="82"/>
      <c r="CB80" s="82"/>
      <c r="CC80" s="82"/>
      <c r="CD80" s="51"/>
    </row>
    <row r="81" spans="1:82">
      <c r="A81" s="11"/>
      <c r="B81" s="11" t="s">
        <v>1036</v>
      </c>
      <c r="C81" s="11">
        <f>IF(ISERROR(MATCH($B81,'Production - Oil'!$B$65:$B$108,0)),0,VLOOKUP($B81,'Production - Oil'!$B$65:$CD$108,MATCH('Production - Total'!C$63,'Production - Oil'!$B$9:$CD$9),FALSE))+IF(ISERROR(MATCH($B81,'Production - Gas'!$B$65:$B$108,0)),0,VLOOKUP($B81,'Production - Gas'!$B$65:$CD$108,MATCH('Production - Total'!C$63,'Production - Gas'!$B$9:$CD$9),FALSE)/5.8)</f>
        <v>0</v>
      </c>
      <c r="D81" s="11">
        <f>IF(ISERROR(MATCH($B81,'Production - Oil'!$B$65:$B$108,0)),0,VLOOKUP($B81,'Production - Oil'!$B$65:$CD$108,MATCH('Production - Total'!D$63,'Production - Oil'!$B$9:$CD$9),FALSE))+IF(ISERROR(MATCH($B81,'Production - Gas'!$B$65:$B$108,0)),0,VLOOKUP($B81,'Production - Gas'!$B$65:$CD$108,MATCH('Production - Total'!D$63,'Production - Gas'!$B$9:$CD$9),FALSE)/5.8)</f>
        <v>0</v>
      </c>
      <c r="E81" s="11">
        <f>IF(ISERROR(MATCH($B81,'Production - Oil'!$B$65:$B$108,0)),0,VLOOKUP($B81,'Production - Oil'!$B$65:$CD$108,MATCH('Production - Total'!E$63,'Production - Oil'!$B$9:$CD$9),FALSE))+IF(ISERROR(MATCH($B81,'Production - Gas'!$B$65:$B$108,0)),0,VLOOKUP($B81,'Production - Gas'!$B$65:$CD$108,MATCH('Production - Total'!E$63,'Production - Gas'!$B$9:$CD$9),FALSE)/5.8)</f>
        <v>0</v>
      </c>
      <c r="F81" s="11">
        <f>IF(ISERROR(MATCH($B81,'Production - Oil'!$B$65:$B$108,0)),0,VLOOKUP($B81,'Production - Oil'!$B$65:$CD$108,MATCH('Production - Total'!F$63,'Production - Oil'!$B$9:$CD$9),FALSE))+IF(ISERROR(MATCH($B81,'Production - Gas'!$B$65:$B$108,0)),0,VLOOKUP($B81,'Production - Gas'!$B$65:$CD$108,MATCH('Production - Total'!F$63,'Production - Gas'!$B$9:$CD$9),FALSE)/5.8)</f>
        <v>0</v>
      </c>
      <c r="G81" s="11">
        <f>IF(ISERROR(MATCH($B81,'Production - Oil'!$B$65:$B$108,0)),0,VLOOKUP($B81,'Production - Oil'!$B$65:$CD$108,MATCH('Production - Total'!G$63,'Production - Oil'!$B$9:$CD$9),FALSE))+IF(ISERROR(MATCH($B81,'Production - Gas'!$B$65:$B$108,0)),0,VLOOKUP($B81,'Production - Gas'!$B$65:$CD$108,MATCH('Production - Total'!G$63,'Production - Gas'!$B$9:$CD$9),FALSE)/5.8)</f>
        <v>0</v>
      </c>
      <c r="H81" s="11"/>
      <c r="I81" s="11"/>
      <c r="J81" s="11"/>
      <c r="K81" s="11"/>
      <c r="L81" s="11">
        <f>IF(ISERROR(MATCH($B81,'Production - Oil'!$B$65:$B$108,0)),0,VLOOKUP($B81,'Production - Oil'!$B$65:$CD$108,MATCH('Production - Total'!L$63,'Production - Oil'!$B$9:$CD$9),FALSE))+IF(ISERROR(MATCH($B81,'Production - Gas'!$B$65:$B$108,0)),0,VLOOKUP($B81,'Production - Gas'!$B$65:$CD$108,MATCH('Production - Total'!L$63,'Production - Gas'!$B$9:$CD$9),FALSE)/5.8)</f>
        <v>4</v>
      </c>
      <c r="M81" s="11"/>
      <c r="N81" s="11"/>
      <c r="O81" s="11"/>
      <c r="P81" s="11"/>
      <c r="Q81" s="11">
        <f>IF(ISERROR(MATCH($B81,'Production - Oil'!$B$65:$B$108,0)),0,VLOOKUP($B81,'Production - Oil'!$B$65:$CD$108,MATCH('Production - Total'!Q$63,'Production - Oil'!$B$9:$CD$9),FALSE))+IF(ISERROR(MATCH($B81,'Production - Gas'!$B$65:$B$108,0)),0,VLOOKUP($B81,'Production - Gas'!$B$65:$CD$108,MATCH('Production - Total'!Q$63,'Production - Gas'!$B$9:$CD$9),FALSE)/5.8)</f>
        <v>6</v>
      </c>
      <c r="R81" s="11"/>
      <c r="S81" s="11"/>
      <c r="T81" s="11"/>
      <c r="U81" s="11"/>
      <c r="V81" s="11">
        <f>IF(ISERROR(MATCH($B81,'Production - Oil'!$B$65:$B$108,0)),0,VLOOKUP($B81,'Production - Oil'!$B$65:$CD$108,MATCH('Production - Total'!V$63,'Production - Oil'!$B$9:$CD$9),FALSE))+IF(ISERROR(MATCH($B81,'Production - Gas'!$B$65:$B$108,0)),0,VLOOKUP($B81,'Production - Gas'!$B$65:$CD$108,MATCH('Production - Total'!V$63,'Production - Gas'!$B$9:$CD$9),FALSE)/5.8)</f>
        <v>20.03448275862069</v>
      </c>
      <c r="W81" s="11"/>
      <c r="X81" s="11"/>
      <c r="Y81" s="11"/>
      <c r="Z81" s="11"/>
      <c r="AA81" s="11">
        <f>IF(ISERROR(MATCH($B81,'Production - Oil'!$B$65:$B$108,0)),0,VLOOKUP($B81,'Production - Oil'!$B$65:$CD$108,MATCH('Production - Total'!AA$63,'Production - Oil'!$B$9:$CD$9),FALSE))+IF(ISERROR(MATCH($B81,'Production - Gas'!$B$65:$B$108,0)),0,VLOOKUP($B81,'Production - Gas'!$B$65:$CD$108,MATCH('Production - Total'!AA$63,'Production - Gas'!$B$9:$CD$9),FALSE)/5.8)</f>
        <v>25.517241379310345</v>
      </c>
      <c r="AB81" s="11"/>
      <c r="AC81" s="11"/>
      <c r="AD81" s="11"/>
      <c r="AE81" s="11"/>
      <c r="AF81" s="11">
        <f>IF(ISERROR(MATCH($B81,'Production - Oil'!$B$65:$B$108,0)),0,VLOOKUP($B81,'Production - Oil'!$B$65:$CD$108,MATCH('Production - Total'!AF$63,'Production - Oil'!$B$9:$CD$9),FALSE))+IF(ISERROR(MATCH($B81,'Production - Gas'!$B$65:$B$108,0)),0,VLOOKUP($B81,'Production - Gas'!$B$65:$CD$108,MATCH('Production - Total'!AF$63,'Production - Gas'!$B$9:$CD$9),FALSE)/5.8)</f>
        <v>24.551724137931036</v>
      </c>
      <c r="AG81" s="82"/>
      <c r="AH81" s="82"/>
      <c r="AI81" s="82"/>
      <c r="AJ81" s="82"/>
      <c r="AK81" s="11">
        <f>IF(ISERROR(MATCH($B81,'Production - Oil'!$B$65:$B$108,0)),0,VLOOKUP($B81,'Production - Oil'!$B$65:$CD$108,MATCH('Production - Total'!AK$63,'Production - Oil'!$B$9:$CD$9),FALSE))+IF(ISERROR(MATCH($B81,'Production - Gas'!$B$65:$B$108,0)),0,VLOOKUP($B81,'Production - Gas'!$B$65:$CD$108,MATCH('Production - Total'!AK$63,'Production - Gas'!$B$9:$CD$9),FALSE)/5.8)</f>
        <v>17.206896551724139</v>
      </c>
      <c r="AL81" s="82"/>
      <c r="AM81" s="82"/>
      <c r="AN81" s="82"/>
      <c r="AO81" s="82"/>
      <c r="AP81" s="11">
        <f>IF(ISERROR(MATCH($B81,'Production - Oil'!$B$65:$B$108,0)),0,VLOOKUP($B81,'Production - Oil'!$B$65:$CD$108,MATCH('Production - Total'!AP$63,'Production - Oil'!$B$9:$CD$9),FALSE))+IF(ISERROR(MATCH($B81,'Production - Gas'!$B$65:$B$108,0)),0,VLOOKUP($B81,'Production - Gas'!$B$65:$CD$108,MATCH('Production - Total'!AP$63,'Production - Gas'!$B$9:$CD$9),FALSE)/5.8)</f>
        <v>14.862068965517242</v>
      </c>
      <c r="AQ81" s="82"/>
      <c r="AR81" s="82"/>
      <c r="AS81" s="82"/>
      <c r="AT81" s="82"/>
      <c r="AU81" s="11">
        <f>IF(ISERROR(MATCH($B81,'Production - Oil'!$B$65:$B$108,0)),0,VLOOKUP($B81,'Production - Oil'!$B$65:$CD$108,MATCH('Production - Total'!AU$63,'Production - Oil'!$B$9:$CD$9),FALSE))+IF(ISERROR(MATCH($B81,'Production - Gas'!$B$65:$B$108,0)),0,VLOOKUP($B81,'Production - Gas'!$B$65:$CD$108,MATCH('Production - Total'!AU$63,'Production - Gas'!$B$9:$CD$9),FALSE)/5.8)</f>
        <v>0</v>
      </c>
      <c r="AV81" s="82"/>
      <c r="AW81" s="82"/>
      <c r="AX81" s="82"/>
      <c r="AY81" s="82"/>
      <c r="AZ81" s="11">
        <f>IF(ISERROR(MATCH($B81,'Production - Oil'!$B$65:$B$108,0)),0,VLOOKUP($B81,'Production - Oil'!$B$65:$CD$108,MATCH('Production - Total'!AZ$63,'Production - Oil'!$B$9:$CD$9),FALSE))+IF(ISERROR(MATCH($B81,'Production - Gas'!$B$65:$B$108,0)),0,VLOOKUP($B81,'Production - Gas'!$B$65:$CD$108,MATCH('Production - Total'!AZ$63,'Production - Gas'!$B$9:$CD$9),FALSE)/5.8)</f>
        <v>0</v>
      </c>
      <c r="BA81" s="82"/>
      <c r="BB81" s="82"/>
      <c r="BC81" s="82"/>
      <c r="BD81" s="82"/>
      <c r="BE81" s="11">
        <f>IF(ISERROR(MATCH($B81,'Production - Oil'!$B$65:$B$108,0)),0,VLOOKUP($B81,'Production - Oil'!$B$65:$CD$108,MATCH('Production - Total'!BE$63,'Production - Oil'!$B$9:$CD$9),FALSE))+IF(ISERROR(MATCH($B81,'Production - Gas'!$B$65:$B$108,0)),0,VLOOKUP($B81,'Production - Gas'!$B$65:$CD$108,MATCH('Production - Total'!BE$63,'Production - Gas'!$B$9:$CD$9),FALSE)/5.8)</f>
        <v>0</v>
      </c>
      <c r="BF81" s="82"/>
      <c r="BG81" s="82"/>
      <c r="BH81" s="82"/>
      <c r="BI81" s="82"/>
      <c r="BJ81" s="11">
        <f>IF(ISERROR(MATCH($B81,'Production - Oil'!$B$65:$B$108,0)),0,VLOOKUP($B81,'Production - Oil'!$B$65:$CD$108,MATCH('Production - Total'!BJ$63,'Production - Oil'!$B$9:$CD$9),FALSE))+IF(ISERROR(MATCH($B81,'Production - Gas'!$B$65:$B$108,0)),0,VLOOKUP($B81,'Production - Gas'!$B$65:$CD$108,MATCH('Production - Total'!BJ$63,'Production - Gas'!$B$9:$CD$9),FALSE)/5.8)</f>
        <v>0</v>
      </c>
      <c r="BK81" s="82"/>
      <c r="BL81" s="82"/>
      <c r="BM81" s="82"/>
      <c r="BN81" s="82"/>
      <c r="BO81" s="11">
        <f>'Production - Oil'!BO81+'Production - Gas'!BO81/5.8</f>
        <v>0</v>
      </c>
      <c r="BP81" s="82"/>
      <c r="BQ81" s="82"/>
      <c r="BR81" s="82"/>
      <c r="BS81" s="82"/>
      <c r="BT81" s="51"/>
      <c r="BU81" s="82"/>
      <c r="BV81" s="82"/>
      <c r="BW81" s="82"/>
      <c r="BX81" s="82"/>
      <c r="BY81" s="51"/>
      <c r="BZ81" s="82"/>
      <c r="CA81" s="82"/>
      <c r="CB81" s="82"/>
      <c r="CC81" s="82"/>
      <c r="CD81" s="51"/>
    </row>
    <row r="82" spans="1:82">
      <c r="A82" s="39" t="s">
        <v>119</v>
      </c>
      <c r="B82" s="39"/>
      <c r="C82" s="39">
        <f t="shared" ref="C82:AA82" si="11">SUM(C76:C81)</f>
        <v>90.689655172413794</v>
      </c>
      <c r="D82" s="39">
        <f t="shared" si="11"/>
        <v>96.275862068965523</v>
      </c>
      <c r="E82" s="39">
        <f t="shared" si="11"/>
        <v>108.44827586206897</v>
      </c>
      <c r="F82" s="39">
        <f t="shared" si="11"/>
        <v>118.65517241379311</v>
      </c>
      <c r="G82" s="39">
        <f t="shared" si="11"/>
        <v>128.88620689655173</v>
      </c>
      <c r="H82" s="39">
        <f t="shared" si="11"/>
        <v>0</v>
      </c>
      <c r="I82" s="39">
        <f t="shared" si="11"/>
        <v>0</v>
      </c>
      <c r="J82" s="39">
        <f t="shared" si="11"/>
        <v>0</v>
      </c>
      <c r="K82" s="39">
        <f t="shared" si="11"/>
        <v>0</v>
      </c>
      <c r="L82" s="39">
        <f t="shared" si="11"/>
        <v>148.72413793103451</v>
      </c>
      <c r="M82" s="39">
        <f t="shared" si="11"/>
        <v>0</v>
      </c>
      <c r="N82" s="39">
        <f t="shared" si="11"/>
        <v>0</v>
      </c>
      <c r="O82" s="39">
        <f t="shared" si="11"/>
        <v>0</v>
      </c>
      <c r="P82" s="39">
        <f t="shared" si="11"/>
        <v>0</v>
      </c>
      <c r="Q82" s="39">
        <f t="shared" si="11"/>
        <v>150.9655172413793</v>
      </c>
      <c r="R82" s="39">
        <f t="shared" si="11"/>
        <v>0</v>
      </c>
      <c r="S82" s="39">
        <f t="shared" si="11"/>
        <v>0</v>
      </c>
      <c r="T82" s="39">
        <f t="shared" si="11"/>
        <v>0</v>
      </c>
      <c r="U82" s="39">
        <f t="shared" si="11"/>
        <v>0</v>
      </c>
      <c r="V82" s="39">
        <f t="shared" si="11"/>
        <v>170.27586206896552</v>
      </c>
      <c r="W82" s="39">
        <f t="shared" si="11"/>
        <v>0</v>
      </c>
      <c r="X82" s="39">
        <f t="shared" si="11"/>
        <v>0</v>
      </c>
      <c r="Y82" s="39">
        <f t="shared" si="11"/>
        <v>0</v>
      </c>
      <c r="Z82" s="39">
        <f t="shared" si="11"/>
        <v>0</v>
      </c>
      <c r="AA82" s="39">
        <f t="shared" si="11"/>
        <v>168.58620689655172</v>
      </c>
      <c r="AB82" s="39"/>
      <c r="AC82" s="39"/>
      <c r="AD82" s="39"/>
      <c r="AE82" s="39"/>
      <c r="AF82" s="39">
        <f>SUM(AF76:AF81)</f>
        <v>166.7931034482759</v>
      </c>
      <c r="AG82" s="80">
        <f>VLOOKUP($A82,'Production - Oil'!$A$63:$CD$110,MATCH('Production - Total'!AG$63,'Production - Oil'!$A$63:$CD$63,0),FALSE)+VLOOKUP($A82,'Production - Gas'!$A$63:$CD$110,MATCH('Production - Total'!AG$63,'Production - Gas'!$A$63:$CD$63,0),FALSE)/5.8</f>
        <v>0</v>
      </c>
      <c r="AH82" s="80">
        <f>VLOOKUP($A82,'Production - Oil'!$A$63:$CD$110,MATCH('Production - Total'!AH$63,'Production - Oil'!$A$63:$CD$63,0),FALSE)+VLOOKUP($A82,'Production - Gas'!$A$63:$CD$110,MATCH('Production - Total'!AH$63,'Production - Gas'!$A$63:$CD$63,0),FALSE)/5.8</f>
        <v>0</v>
      </c>
      <c r="AI82" s="80">
        <f>VLOOKUP($A82,'Production - Oil'!$A$63:$CD$110,MATCH('Production - Total'!AI$63,'Production - Oil'!$A$63:$CD$63,0),FALSE)+VLOOKUP($A82,'Production - Gas'!$A$63:$CD$110,MATCH('Production - Total'!AI$63,'Production - Gas'!$A$63:$CD$63,0),FALSE)/5.8</f>
        <v>0</v>
      </c>
      <c r="AJ82" s="80">
        <f>VLOOKUP($A82,'Production - Oil'!$A$63:$CD$110,MATCH('Production - Total'!AJ$63,'Production - Oil'!$A$63:$CD$63,0),FALSE)+VLOOKUP($A82,'Production - Gas'!$A$63:$CD$110,MATCH('Production - Total'!AJ$63,'Production - Gas'!$A$63:$CD$63,0),FALSE)/5.8</f>
        <v>0</v>
      </c>
      <c r="AK82" s="39">
        <f>VLOOKUP($A82,'Production - Oil'!$A$63:$CD$110,MATCH('Production - Total'!AK$63,'Production - Oil'!$A$63:$CD$63,0),FALSE)+VLOOKUP($A82,'Production - Gas'!$A$63:$CD$110,MATCH('Production - Total'!AK$63,'Production - Gas'!$A$63:$CD$63,0),FALSE)/5.8</f>
        <v>157.58620689655174</v>
      </c>
      <c r="AL82" s="80">
        <f>VLOOKUP($A82,'Production - Oil'!$A$63:$CD$110,MATCH('Production - Total'!AL$63,'Production - Oil'!$A$63:$CD$63,0),FALSE)+VLOOKUP($A82,'Production - Gas'!$A$63:$CD$110,MATCH('Production - Total'!AL$63,'Production - Gas'!$A$63:$CD$63,0),FALSE)/5.8</f>
        <v>0</v>
      </c>
      <c r="AM82" s="80">
        <f>VLOOKUP($A82,'Production - Oil'!$A$63:$CD$110,MATCH('Production - Total'!AM$63,'Production - Oil'!$A$63:$CD$63,0),FALSE)+VLOOKUP($A82,'Production - Gas'!$A$63:$CD$110,MATCH('Production - Total'!AM$63,'Production - Gas'!$A$63:$CD$63,0),FALSE)/5.8</f>
        <v>0</v>
      </c>
      <c r="AN82" s="80">
        <f>VLOOKUP($A82,'Production - Oil'!$A$63:$CD$110,MATCH('Production - Total'!AN$63,'Production - Oil'!$A$63:$CD$63,0),FALSE)+VLOOKUP($A82,'Production - Gas'!$A$63:$CD$110,MATCH('Production - Total'!AN$63,'Production - Gas'!$A$63:$CD$63,0),FALSE)/5.8</f>
        <v>0</v>
      </c>
      <c r="AO82" s="80">
        <f>VLOOKUP($A82,'Production - Oil'!$A$63:$CD$110,MATCH('Production - Total'!AO$63,'Production - Oil'!$A$63:$CD$63,0),FALSE)+VLOOKUP($A82,'Production - Gas'!$A$63:$CD$110,MATCH('Production - Total'!AO$63,'Production - Gas'!$A$63:$CD$63,0),FALSE)/5.8</f>
        <v>0</v>
      </c>
      <c r="AP82" s="39">
        <f>VLOOKUP($A82,'Production - Oil'!$A$63:$CD$110,MATCH('Production - Total'!AP$63,'Production - Oil'!$A$63:$CD$63,0),FALSE)+VLOOKUP($A82,'Production - Gas'!$A$63:$CD$110,MATCH('Production - Total'!AP$63,'Production - Gas'!$A$63:$CD$63,0),FALSE)/5.8</f>
        <v>147.93103448275861</v>
      </c>
      <c r="AQ82" s="82"/>
      <c r="AR82" s="82"/>
      <c r="AS82" s="82"/>
      <c r="AT82" s="82"/>
      <c r="AU82" s="39">
        <f>VLOOKUP($A82,'Production - Oil'!$A$63:$CD$110,MATCH('Production - Total'!AU$63,'Production - Oil'!$A$63:$CD$63,0),FALSE)+VLOOKUP($A82,'Production - Gas'!$A$63:$CD$110,MATCH('Production - Total'!AU$63,'Production - Gas'!$A$63:$CD$63,0),FALSE)/5.8</f>
        <v>131.20689655172413</v>
      </c>
      <c r="AV82" s="82"/>
      <c r="AW82" s="82"/>
      <c r="AX82" s="82"/>
      <c r="AY82" s="82"/>
      <c r="AZ82" s="39">
        <f>VLOOKUP($A82,'Production - Oil'!$A$63:$CD$110,MATCH('Production - Total'!AZ$63,'Production - Oil'!$A$63:$CD$63,0),FALSE)+VLOOKUP($A82,'Production - Gas'!$A$63:$CD$110,MATCH('Production - Total'!AZ$63,'Production - Gas'!$A$63:$CD$63,0),FALSE)/5.8</f>
        <v>137.48275862068965</v>
      </c>
      <c r="BA82" s="82"/>
      <c r="BB82" s="82"/>
      <c r="BC82" s="82"/>
      <c r="BD82" s="82"/>
      <c r="BE82" s="39">
        <f>VLOOKUP($A82,'Production - Oil'!$A$63:$CD$110,MATCH('Production - Total'!BE$63,'Production - Oil'!$A$63:$CD$63,0),FALSE)+VLOOKUP($A82,'Production - Gas'!$A$63:$CD$110,MATCH('Production - Total'!BE$63,'Production - Gas'!$A$63:$CD$63,0),FALSE)/5.8</f>
        <v>146.82758620689657</v>
      </c>
      <c r="BF82" s="82"/>
      <c r="BG82" s="82"/>
      <c r="BH82" s="82"/>
      <c r="BI82" s="82"/>
      <c r="BJ82" s="39">
        <f>VLOOKUP($A82,'Production - Oil'!$A$63:$CD$110,MATCH('Production - Total'!BJ$63,'Production - Oil'!$A$63:$CD$63,0),FALSE)+VLOOKUP($A82,'Production - Gas'!$A$63:$CD$110,MATCH('Production - Total'!BJ$63,'Production - Gas'!$A$63:$CD$63,0),FALSE)/5.8</f>
        <v>144.41379310344828</v>
      </c>
      <c r="BK82" s="82"/>
      <c r="BL82" s="82"/>
      <c r="BM82" s="82"/>
      <c r="BN82" s="82"/>
      <c r="BO82" s="39">
        <f>'Production - Oil'!BO82+'Production - Gas'!BO82/5.8</f>
        <v>135.06896551724139</v>
      </c>
      <c r="BP82" s="80">
        <f>VLOOKUP($A82,'Production - Oil'!$A$63:$CD$110,MATCH('Production - Total'!BP$63,'Production - Oil'!$A$63:$CD$63,0),FALSE)+VLOOKUP($A82,'Production - Gas'!$A$63:$CD$110,MATCH('Production - Total'!BP$63,'Production - Gas'!$A$63:$CD$63,0),FALSE)/5.8</f>
        <v>109.81147436717836</v>
      </c>
      <c r="BQ82" s="80">
        <f>VLOOKUP($A82,'Production - Oil'!$A$63:$CD$110,MATCH('Production - Total'!BQ$63,'Production - Oil'!$A$63:$CD$63,0),FALSE)+VLOOKUP($A82,'Production - Gas'!$A$63:$CD$110,MATCH('Production - Total'!BQ$63,'Production - Gas'!$A$63:$CD$63,0),FALSE)/5.8</f>
        <v>108.37975475552321</v>
      </c>
      <c r="BR82" s="80">
        <f>VLOOKUP($A82,'Production - Oil'!$A$63:$CD$110,MATCH('Production - Total'!BR$63,'Production - Oil'!$A$63:$CD$63,0),FALSE)+VLOOKUP($A82,'Production - Gas'!$A$63:$CD$110,MATCH('Production - Total'!BR$63,'Production - Gas'!$A$63:$CD$63,0),FALSE)/5.8</f>
        <v>108.75284382249403</v>
      </c>
      <c r="BS82" s="80">
        <f>VLOOKUP($A82,'Production - Oil'!$A$63:$CD$110,MATCH('Production - Total'!BS$63,'Production - Oil'!$A$63:$CD$63,0),FALSE)+VLOOKUP($A82,'Production - Gas'!$A$63:$CD$110,MATCH('Production - Total'!BS$63,'Production - Gas'!$A$63:$CD$63,0),FALSE)/5.8</f>
        <v>109.39385808928716</v>
      </c>
      <c r="BT82" s="39">
        <f>VLOOKUP($A82,'Production - Oil'!$A$63:$CD$110,MATCH('Production - Total'!BT$63,'Production - Oil'!$A$63:$CD$63,0),FALSE)+VLOOKUP($A82,'Production - Gas'!$A$63:$CD$110,MATCH('Production - Total'!BT$63,'Production - Gas'!$A$63:$CD$63,0),FALSE)/5.8</f>
        <v>109.08448275862069</v>
      </c>
      <c r="BU82" s="80">
        <f>VLOOKUP($A82,'Production - Oil'!$A$63:$CD$110,MATCH('Production - Total'!BU$63,'Production - Oil'!$A$63:$CD$63,0),FALSE)+VLOOKUP($A82,'Production - Gas'!$A$63:$CD$110,MATCH('Production - Total'!BU$63,'Production - Gas'!$A$63:$CD$63,0),FALSE)/5.8</f>
        <v>113.05014794506693</v>
      </c>
      <c r="BV82" s="80">
        <f>VLOOKUP($A82,'Production - Oil'!$A$63:$CD$110,MATCH('Production - Total'!BV$63,'Production - Oil'!$A$63:$CD$63,0),FALSE)+VLOOKUP($A82,'Production - Gas'!$A$63:$CD$110,MATCH('Production - Total'!BV$63,'Production - Gas'!$A$63:$CD$63,0),FALSE)/5.8</f>
        <v>111.54837738432771</v>
      </c>
      <c r="BW82" s="80">
        <f>VLOOKUP($A82,'Production - Oil'!$A$63:$CD$110,MATCH('Production - Total'!BW$63,'Production - Oil'!$A$63:$CD$63,0),FALSE)+VLOOKUP($A82,'Production - Gas'!$A$63:$CD$110,MATCH('Production - Total'!BW$63,'Production - Gas'!$A$63:$CD$63,0),FALSE)/5.8</f>
        <v>111.93972089373364</v>
      </c>
      <c r="BX82" s="80">
        <f>VLOOKUP($A82,'Production - Oil'!$A$63:$CD$110,MATCH('Production - Total'!BX$63,'Production - Oil'!$A$63:$CD$63,0),FALSE)+VLOOKUP($A82,'Production - Gas'!$A$63:$CD$110,MATCH('Production - Total'!BX$63,'Production - Gas'!$A$63:$CD$63,0),FALSE)/5.8</f>
        <v>112.61209860445794</v>
      </c>
      <c r="BY82" s="39">
        <f>VLOOKUP($A82,'Production - Oil'!$A$63:$CD$110,MATCH('Production - Total'!BY$63,'Production - Oil'!$A$63:$CD$63,0),FALSE)+VLOOKUP($A82,'Production - Gas'!$A$63:$CD$110,MATCH('Production - Total'!BY$63,'Production - Gas'!$A$63:$CD$63,0),FALSE)/5.8</f>
        <v>112.28758620689655</v>
      </c>
      <c r="BZ82" s="80">
        <f>VLOOKUP($A82,'Production - Oil'!$A$63:$CD$110,MATCH('Production - Total'!BZ$63,'Production - Oil'!$A$63:$CD$63,0),FALSE)+VLOOKUP($A82,'Production - Gas'!$A$63:$CD$110,MATCH('Production - Total'!BZ$63,'Production - Gas'!$A$63:$CD$63,0),FALSE)/5.8</f>
        <v>116.74877117020048</v>
      </c>
      <c r="CA82" s="80">
        <f>VLOOKUP($A82,'Production - Oil'!$A$63:$CD$110,MATCH('Production - Total'!CA$63,'Production - Oil'!$A$63:$CD$63,0),FALSE)+VLOOKUP($A82,'Production - Gas'!$A$63:$CD$110,MATCH('Production - Total'!CA$63,'Production - Gas'!$A$63:$CD$63,0),FALSE)/5.8</f>
        <v>115.16889968302118</v>
      </c>
      <c r="CB82" s="80">
        <f>VLOOKUP($A82,'Production - Oil'!$A$63:$CD$110,MATCH('Production - Total'!CB$63,'Production - Oil'!$A$63:$CD$63,0),FALSE)+VLOOKUP($A82,'Production - Gas'!$A$63:$CD$110,MATCH('Production - Total'!CB$63,'Production - Gas'!$A$63:$CD$63,0),FALSE)/5.8</f>
        <v>115.58059536301825</v>
      </c>
      <c r="CC82" s="80">
        <f>VLOOKUP($A82,'Production - Oil'!$A$63:$CD$110,MATCH('Production - Total'!CC$63,'Production - Oil'!$A$63:$CD$63,0),FALSE)+VLOOKUP($A82,'Production - Gas'!$A$63:$CD$110,MATCH('Production - Total'!CC$63,'Production - Gas'!$A$63:$CD$63,0),FALSE)/5.8</f>
        <v>116.28794068031183</v>
      </c>
      <c r="CD82" s="39">
        <f>VLOOKUP($A82,'Production - Oil'!$A$63:$CD$110,MATCH('Production - Total'!CD$63,'Production - Oil'!$A$63:$CD$63,0),FALSE)+VLOOKUP($A82,'Production - Gas'!$A$63:$CD$110,MATCH('Production - Total'!CD$63,'Production - Gas'!$A$63:$CD$63,0),FALSE)/5.8</f>
        <v>115.94655172413793</v>
      </c>
    </row>
    <row r="83" spans="1:8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68"/>
      <c r="AH83" s="68"/>
      <c r="AI83" s="68"/>
      <c r="AJ83" s="68"/>
      <c r="AK83" s="11"/>
      <c r="AL83" s="68"/>
      <c r="AM83" s="68"/>
      <c r="AN83" s="68"/>
      <c r="AO83" s="68"/>
      <c r="AP83" s="11"/>
      <c r="AQ83" s="68"/>
      <c r="AR83" s="68"/>
      <c r="AS83" s="68"/>
      <c r="AT83" s="68"/>
      <c r="AU83" s="11"/>
      <c r="AV83" s="68"/>
      <c r="AW83" s="68"/>
      <c r="AX83" s="68"/>
      <c r="AY83" s="68"/>
      <c r="AZ83" s="11"/>
      <c r="BA83" s="68"/>
      <c r="BB83" s="68"/>
      <c r="BC83" s="68"/>
      <c r="BD83" s="68"/>
      <c r="BE83" s="11"/>
      <c r="BF83" s="68"/>
      <c r="BG83" s="68"/>
      <c r="BH83" s="68"/>
      <c r="BI83" s="68"/>
      <c r="BJ83" s="11"/>
      <c r="BK83" s="68"/>
      <c r="BL83" s="68"/>
      <c r="BM83" s="68"/>
      <c r="BN83" s="68"/>
      <c r="BO83" s="11"/>
      <c r="BP83" s="68"/>
      <c r="BQ83" s="68"/>
      <c r="BR83" s="68"/>
      <c r="BS83" s="68"/>
      <c r="BT83" s="11"/>
      <c r="BU83" s="68"/>
      <c r="BV83" s="68"/>
      <c r="BW83" s="68"/>
      <c r="BX83" s="68"/>
      <c r="BY83" s="11"/>
      <c r="BZ83" s="68"/>
      <c r="CA83" s="68"/>
      <c r="CB83" s="68"/>
      <c r="CC83" s="68"/>
      <c r="CD83" s="11"/>
    </row>
    <row r="84" spans="1:82">
      <c r="A84" s="39" t="s">
        <v>120</v>
      </c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68"/>
      <c r="AH84" s="68"/>
      <c r="AI84" s="68"/>
      <c r="AJ84" s="68"/>
      <c r="AK84" s="11"/>
      <c r="AL84" s="68"/>
      <c r="AM84" s="68"/>
      <c r="AN84" s="68"/>
      <c r="AO84" s="68"/>
      <c r="AP84" s="11"/>
      <c r="AQ84" s="68"/>
      <c r="AR84" s="68"/>
      <c r="AS84" s="68"/>
      <c r="AT84" s="68"/>
      <c r="AU84" s="11"/>
      <c r="AV84" s="68"/>
      <c r="AW84" s="68"/>
      <c r="AX84" s="68"/>
      <c r="AY84" s="68"/>
      <c r="AZ84" s="11"/>
      <c r="BA84" s="68"/>
      <c r="BB84" s="68"/>
      <c r="BC84" s="68"/>
      <c r="BD84" s="68"/>
      <c r="BE84" s="11"/>
      <c r="BF84" s="68"/>
      <c r="BG84" s="68"/>
      <c r="BH84" s="68"/>
      <c r="BI84" s="68"/>
      <c r="BJ84" s="11"/>
      <c r="BK84" s="68"/>
      <c r="BL84" s="68"/>
      <c r="BM84" s="68"/>
      <c r="BN84" s="68"/>
      <c r="BO84" s="11"/>
      <c r="BP84" s="68"/>
      <c r="BQ84" s="68"/>
      <c r="BR84" s="68"/>
      <c r="BS84" s="68"/>
      <c r="BT84" s="11"/>
      <c r="BU84" s="68"/>
      <c r="BV84" s="68"/>
      <c r="BW84" s="68"/>
      <c r="BX84" s="68"/>
      <c r="BY84" s="11"/>
      <c r="BZ84" s="68"/>
      <c r="CA84" s="68"/>
      <c r="CB84" s="68"/>
      <c r="CC84" s="68"/>
      <c r="CD84" s="11"/>
    </row>
    <row r="85" spans="1:82">
      <c r="A85" s="11"/>
      <c r="B85" s="11" t="s">
        <v>1473</v>
      </c>
      <c r="C85" s="11">
        <f>IF(ISERROR(MATCH($B85,'Production - Oil'!$B$65:$B$108,0)),0,VLOOKUP($B85,'Production - Oil'!$B$65:$CD$108,MATCH('Production - Total'!C$63,'Production - Oil'!$B$9:$CD$9),FALSE))+IF(ISERROR(MATCH($B85,'Production - Gas'!$B$65:$B$108,0)),0,VLOOKUP($B85,'Production - Gas'!$B$65:$CD$108,MATCH('Production - Total'!C$63,'Production - Gas'!$B$9:$CD$9),FALSE)/5.8)</f>
        <v>0</v>
      </c>
      <c r="D85" s="11">
        <f>IF(ISERROR(MATCH($B85,'Production - Oil'!$B$65:$B$108,0)),0,VLOOKUP($B85,'Production - Oil'!$B$65:$CD$108,MATCH('Production - Total'!D$63,'Production - Oil'!$B$9:$CD$9),FALSE))+IF(ISERROR(MATCH($B85,'Production - Gas'!$B$65:$B$108,0)),0,VLOOKUP($B85,'Production - Gas'!$B$65:$CD$108,MATCH('Production - Total'!D$63,'Production - Gas'!$B$9:$CD$9),FALSE)/5.8)</f>
        <v>0</v>
      </c>
      <c r="E85" s="11">
        <f>IF(ISERROR(MATCH($B85,'Production - Oil'!$B$65:$B$108,0)),0,VLOOKUP($B85,'Production - Oil'!$B$65:$CD$108,MATCH('Production - Total'!E$63,'Production - Oil'!$B$9:$CD$9),FALSE))+IF(ISERROR(MATCH($B85,'Production - Gas'!$B$65:$B$108,0)),0,VLOOKUP($B85,'Production - Gas'!$B$65:$CD$108,MATCH('Production - Total'!E$63,'Production - Gas'!$B$9:$CD$9),FALSE)/5.8)</f>
        <v>0</v>
      </c>
      <c r="F85" s="11">
        <f>IF(ISERROR(MATCH($B85,'Production - Oil'!$B$65:$B$108,0)),0,VLOOKUP($B85,'Production - Oil'!$B$65:$CD$108,MATCH('Production - Total'!F$63,'Production - Oil'!$B$9:$CD$9),FALSE))+IF(ISERROR(MATCH($B85,'Production - Gas'!$B$65:$B$108,0)),0,VLOOKUP($B85,'Production - Gas'!$B$65:$CD$108,MATCH('Production - Total'!F$63,'Production - Gas'!$B$9:$CD$9),FALSE)/5.8)</f>
        <v>0</v>
      </c>
      <c r="G85" s="11">
        <f>IF(ISERROR(MATCH($B85,'Production - Oil'!$B$65:$B$108,0)),0,VLOOKUP($B85,'Production - Oil'!$B$65:$CD$108,MATCH('Production - Total'!G$63,'Production - Oil'!$B$9:$CD$9),FALSE))+IF(ISERROR(MATCH($B85,'Production - Gas'!$B$65:$B$108,0)),0,VLOOKUP($B85,'Production - Gas'!$B$65:$CD$108,MATCH('Production - Total'!G$63,'Production - Gas'!$B$9:$CD$9),FALSE)/5.8)</f>
        <v>0</v>
      </c>
      <c r="H85" s="11"/>
      <c r="I85" s="11"/>
      <c r="J85" s="11"/>
      <c r="K85" s="11"/>
      <c r="L85" s="11">
        <f>IF(ISERROR(MATCH($B85,'Production - Oil'!$B$65:$B$108,0)),0,VLOOKUP($B85,'Production - Oil'!$B$65:$CD$108,MATCH('Production - Total'!L$63,'Production - Oil'!$B$9:$CD$9),FALSE))+IF(ISERROR(MATCH($B85,'Production - Gas'!$B$65:$B$108,0)),0,VLOOKUP($B85,'Production - Gas'!$B$65:$CD$108,MATCH('Production - Total'!L$63,'Production - Gas'!$B$9:$CD$9),FALSE)/5.8)</f>
        <v>0</v>
      </c>
      <c r="M85" s="11"/>
      <c r="N85" s="11"/>
      <c r="O85" s="11"/>
      <c r="P85" s="11"/>
      <c r="Q85" s="11">
        <f>IF(ISERROR(MATCH($B85,'Production - Oil'!$B$65:$B$108,0)),0,VLOOKUP($B85,'Production - Oil'!$B$65:$CD$108,MATCH('Production - Total'!Q$63,'Production - Oil'!$B$9:$CD$9),FALSE))+IF(ISERROR(MATCH($B85,'Production - Gas'!$B$65:$B$108,0)),0,VLOOKUP($B85,'Production - Gas'!$B$65:$CD$108,MATCH('Production - Total'!Q$63,'Production - Gas'!$B$9:$CD$9),FALSE)/5.8)</f>
        <v>0</v>
      </c>
      <c r="R85" s="11"/>
      <c r="S85" s="11"/>
      <c r="T85" s="11"/>
      <c r="U85" s="11"/>
      <c r="V85" s="11">
        <f>IF(ISERROR(MATCH($B85,'Production - Oil'!$B$65:$B$108,0)),0,VLOOKUP($B85,'Production - Oil'!$B$65:$CD$108,MATCH('Production - Total'!V$63,'Production - Oil'!$B$9:$CD$9),FALSE))+IF(ISERROR(MATCH($B85,'Production - Gas'!$B$65:$B$108,0)),0,VLOOKUP($B85,'Production - Gas'!$B$65:$CD$108,MATCH('Production - Total'!V$63,'Production - Gas'!$B$9:$CD$9),FALSE)/5.8)</f>
        <v>0</v>
      </c>
      <c r="W85" s="11"/>
      <c r="X85" s="11"/>
      <c r="Y85" s="11"/>
      <c r="Z85" s="11"/>
      <c r="AA85" s="11">
        <f>IF(ISERROR(MATCH($B85,'Production - Oil'!$B$65:$B$108,0)),0,VLOOKUP($B85,'Production - Oil'!$B$65:$CD$108,MATCH('Production - Total'!AA$63,'Production - Oil'!$B$9:$CD$9),FALSE))+IF(ISERROR(MATCH($B85,'Production - Gas'!$B$65:$B$108,0)),0,VLOOKUP($B85,'Production - Gas'!$B$65:$CD$108,MATCH('Production - Total'!AA$63,'Production - Gas'!$B$9:$CD$9),FALSE)/5.8)</f>
        <v>0</v>
      </c>
      <c r="AB85" s="11"/>
      <c r="AC85" s="11"/>
      <c r="AD85" s="11"/>
      <c r="AE85" s="11"/>
      <c r="AF85" s="11">
        <f>IF(ISERROR(MATCH($B85,'Production - Oil'!$B$65:$B$108,0)),0,VLOOKUP($B85,'Production - Oil'!$B$65:$CD$108,MATCH('Production - Total'!AF$63,'Production - Oil'!$B$9:$CD$9),FALSE))+IF(ISERROR(MATCH($B85,'Production - Gas'!$B$65:$B$108,0)),0,VLOOKUP($B85,'Production - Gas'!$B$65:$CD$108,MATCH('Production - Total'!AF$63,'Production - Gas'!$B$9:$CD$9),FALSE)/5.8)</f>
        <v>0</v>
      </c>
      <c r="AG85" s="82"/>
      <c r="AH85" s="82"/>
      <c r="AI85" s="82"/>
      <c r="AJ85" s="82"/>
      <c r="AK85" s="11">
        <f>IF(ISERROR(MATCH($B85,'Production - Oil'!$B$65:$B$108,0)),0,VLOOKUP($B85,'Production - Oil'!$B$65:$CD$108,MATCH('Production - Total'!AK$63,'Production - Oil'!$B$9:$CD$9),FALSE))+IF(ISERROR(MATCH($B85,'Production - Gas'!$B$65:$B$108,0)),0,VLOOKUP($B85,'Production - Gas'!$B$65:$CD$108,MATCH('Production - Total'!AK$63,'Production - Gas'!$B$9:$CD$9),FALSE)/5.8)</f>
        <v>0</v>
      </c>
      <c r="AL85" s="82"/>
      <c r="AM85" s="82"/>
      <c r="AN85" s="82"/>
      <c r="AO85" s="82"/>
      <c r="AP85" s="11">
        <f>IF(ISERROR(MATCH($B85,'Production - Oil'!$B$65:$B$108,0)),0,VLOOKUP($B85,'Production - Oil'!$B$65:$CD$108,MATCH('Production - Total'!AP$63,'Production - Oil'!$B$9:$CD$9),FALSE))+IF(ISERROR(MATCH($B85,'Production - Gas'!$B$65:$B$108,0)),0,VLOOKUP($B85,'Production - Gas'!$B$65:$CD$108,MATCH('Production - Total'!AP$63,'Production - Gas'!$B$9:$CD$9),FALSE)/5.8)</f>
        <v>0</v>
      </c>
      <c r="AQ85" s="82"/>
      <c r="AR85" s="82"/>
      <c r="AS85" s="82"/>
      <c r="AT85" s="82"/>
      <c r="AU85" s="11">
        <f>IF(ISERROR(MATCH($B85,'Production - Oil'!$B$65:$B$108,0)),0,VLOOKUP($B85,'Production - Oil'!$B$65:$CD$108,MATCH('Production - Total'!AU$63,'Production - Oil'!$B$9:$CD$9),FALSE))+IF(ISERROR(MATCH($B85,'Production - Gas'!$B$65:$B$108,0)),0,VLOOKUP($B85,'Production - Gas'!$B$65:$CD$108,MATCH('Production - Total'!AU$63,'Production - Gas'!$B$9:$CD$9),FALSE)/5.8)</f>
        <v>0</v>
      </c>
      <c r="AV85" s="82"/>
      <c r="AW85" s="82"/>
      <c r="AX85" s="82"/>
      <c r="AY85" s="82"/>
      <c r="AZ85" s="11">
        <f>IF(ISERROR(MATCH($B85,'Production - Oil'!$B$65:$B$108,0)),0,VLOOKUP($B85,'Production - Oil'!$B$65:$CD$108,MATCH('Production - Total'!AZ$63,'Production - Oil'!$B$9:$CD$9),FALSE))+IF(ISERROR(MATCH($B85,'Production - Gas'!$B$65:$B$108,0)),0,VLOOKUP($B85,'Production - Gas'!$B$65:$CD$108,MATCH('Production - Total'!AZ$63,'Production - Gas'!$B$9:$CD$9),FALSE)/5.8)</f>
        <v>0</v>
      </c>
      <c r="BA85" s="82"/>
      <c r="BB85" s="82"/>
      <c r="BC85" s="82"/>
      <c r="BD85" s="82"/>
      <c r="BE85" s="11">
        <f>IF(ISERROR(MATCH($B85,'Production - Oil'!$B$65:$B$108,0)),0,VLOOKUP($B85,'Production - Oil'!$B$65:$CD$108,MATCH('Production - Total'!BE$63,'Production - Oil'!$B$9:$CD$9),FALSE))+IF(ISERROR(MATCH($B85,'Production - Gas'!$B$65:$B$108,0)),0,VLOOKUP($B85,'Production - Gas'!$B$65:$CD$108,MATCH('Production - Total'!BE$63,'Production - Gas'!$B$9:$CD$9),FALSE)/5.8)</f>
        <v>0</v>
      </c>
      <c r="BF85" s="82"/>
      <c r="BG85" s="82"/>
      <c r="BH85" s="82"/>
      <c r="BI85" s="82"/>
      <c r="BJ85" s="11">
        <f>IF(ISERROR(MATCH($B85,'Production - Oil'!$B$65:$B$108,0)),0,VLOOKUP($B85,'Production - Oil'!$B$65:$CD$108,MATCH('Production - Total'!BJ$63,'Production - Oil'!$B$9:$CD$9),FALSE))+IF(ISERROR(MATCH($B85,'Production - Gas'!$B$65:$B$108,0)),0,VLOOKUP($B85,'Production - Gas'!$B$65:$CD$108,MATCH('Production - Total'!BJ$63,'Production - Gas'!$B$9:$CD$9),FALSE)/5.8)</f>
        <v>0</v>
      </c>
      <c r="BK85" s="82"/>
      <c r="BL85" s="82"/>
      <c r="BM85" s="82"/>
      <c r="BN85" s="82"/>
      <c r="BO85" s="11">
        <f>'Production - Oil'!BO85+'Production - Gas'!BO85/5.8</f>
        <v>0</v>
      </c>
      <c r="BP85" s="82"/>
      <c r="BQ85" s="82"/>
      <c r="BR85" s="82"/>
      <c r="BS85" s="82"/>
      <c r="BT85" s="51"/>
      <c r="BU85" s="82"/>
      <c r="BV85" s="82"/>
      <c r="BW85" s="82"/>
      <c r="BX85" s="82"/>
      <c r="BY85" s="51"/>
      <c r="BZ85" s="82"/>
      <c r="CA85" s="82"/>
      <c r="CB85" s="82"/>
      <c r="CC85" s="82"/>
      <c r="CD85" s="51"/>
    </row>
    <row r="86" spans="1:82">
      <c r="A86" s="11"/>
      <c r="B86" s="11" t="s">
        <v>1934</v>
      </c>
      <c r="C86" s="11">
        <f>IF(ISERROR(MATCH($B86,'Production - Oil'!$B$65:$B$108,0)),0,VLOOKUP($B86,'Production - Oil'!$B$65:$CD$108,MATCH('Production - Total'!C$63,'Production - Oil'!$B$9:$CD$9),FALSE))+IF(ISERROR(MATCH($B86,'Production - Gas'!$B$65:$B$108,0)),0,VLOOKUP($B86,'Production - Gas'!$B$65:$CD$108,MATCH('Production - Total'!C$63,'Production - Gas'!$B$9:$CD$9),FALSE)/5.8)</f>
        <v>0</v>
      </c>
      <c r="D86" s="11">
        <f>IF(ISERROR(MATCH($B86,'Production - Oil'!$B$65:$B$108,0)),0,VLOOKUP($B86,'Production - Oil'!$B$65:$CD$108,MATCH('Production - Total'!D$63,'Production - Oil'!$B$9:$CD$9),FALSE))+IF(ISERROR(MATCH($B86,'Production - Gas'!$B$65:$B$108,0)),0,VLOOKUP($B86,'Production - Gas'!$B$65:$CD$108,MATCH('Production - Total'!D$63,'Production - Gas'!$B$9:$CD$9),FALSE)/5.8)</f>
        <v>0</v>
      </c>
      <c r="E86" s="11">
        <f>IF(ISERROR(MATCH($B86,'Production - Oil'!$B$65:$B$108,0)),0,VLOOKUP($B86,'Production - Oil'!$B$65:$CD$108,MATCH('Production - Total'!E$63,'Production - Oil'!$B$9:$CD$9),FALSE))+IF(ISERROR(MATCH($B86,'Production - Gas'!$B$65:$B$108,0)),0,VLOOKUP($B86,'Production - Gas'!$B$65:$CD$108,MATCH('Production - Total'!E$63,'Production - Gas'!$B$9:$CD$9),FALSE)/5.8)</f>
        <v>0</v>
      </c>
      <c r="F86" s="11">
        <f>IF(ISERROR(MATCH($B86,'Production - Oil'!$B$65:$B$108,0)),0,VLOOKUP($B86,'Production - Oil'!$B$65:$CD$108,MATCH('Production - Total'!F$63,'Production - Oil'!$B$9:$CD$9),FALSE))+IF(ISERROR(MATCH($B86,'Production - Gas'!$B$65:$B$108,0)),0,VLOOKUP($B86,'Production - Gas'!$B$65:$CD$108,MATCH('Production - Total'!F$63,'Production - Gas'!$B$9:$CD$9),FALSE)/5.8)</f>
        <v>0</v>
      </c>
      <c r="G86" s="11">
        <f>IF(ISERROR(MATCH($B86,'Production - Oil'!$B$65:$B$108,0)),0,VLOOKUP($B86,'Production - Oil'!$B$65:$CD$108,MATCH('Production - Total'!G$63,'Production - Oil'!$B$9:$CD$9),FALSE))+IF(ISERROR(MATCH($B86,'Production - Gas'!$B$65:$B$108,0)),0,VLOOKUP($B86,'Production - Gas'!$B$65:$CD$108,MATCH('Production - Total'!G$63,'Production - Gas'!$B$9:$CD$9),FALSE)/5.8)</f>
        <v>0</v>
      </c>
      <c r="H86" s="11"/>
      <c r="I86" s="11"/>
      <c r="J86" s="11"/>
      <c r="K86" s="11"/>
      <c r="L86" s="11">
        <f>IF(ISERROR(MATCH($B86,'Production - Oil'!$B$65:$B$108,0)),0,VLOOKUP($B86,'Production - Oil'!$B$65:$CD$108,MATCH('Production - Total'!L$63,'Production - Oil'!$B$9:$CD$9),FALSE))+IF(ISERROR(MATCH($B86,'Production - Gas'!$B$65:$B$108,0)),0,VLOOKUP($B86,'Production - Gas'!$B$65:$CD$108,MATCH('Production - Total'!L$63,'Production - Gas'!$B$9:$CD$9),FALSE)/5.8)</f>
        <v>0</v>
      </c>
      <c r="M86" s="11"/>
      <c r="N86" s="11"/>
      <c r="O86" s="11"/>
      <c r="P86" s="11"/>
      <c r="Q86" s="11">
        <f>IF(ISERROR(MATCH($B86,'Production - Oil'!$B$65:$B$108,0)),0,VLOOKUP($B86,'Production - Oil'!$B$65:$CD$108,MATCH('Production - Total'!Q$63,'Production - Oil'!$B$9:$CD$9),FALSE))+IF(ISERROR(MATCH($B86,'Production - Gas'!$B$65:$B$108,0)),0,VLOOKUP($B86,'Production - Gas'!$B$65:$CD$108,MATCH('Production - Total'!Q$63,'Production - Gas'!$B$9:$CD$9),FALSE)/5.8)</f>
        <v>0</v>
      </c>
      <c r="R86" s="11"/>
      <c r="S86" s="11"/>
      <c r="T86" s="11"/>
      <c r="U86" s="11"/>
      <c r="V86" s="11">
        <f>IF(ISERROR(MATCH($B86,'Production - Oil'!$B$65:$B$108,0)),0,VLOOKUP($B86,'Production - Oil'!$B$65:$CD$108,MATCH('Production - Total'!V$63,'Production - Oil'!$B$9:$CD$9),FALSE))+IF(ISERROR(MATCH($B86,'Production - Gas'!$B$65:$B$108,0)),0,VLOOKUP($B86,'Production - Gas'!$B$65:$CD$108,MATCH('Production - Total'!V$63,'Production - Gas'!$B$9:$CD$9),FALSE)/5.8)</f>
        <v>0</v>
      </c>
      <c r="W86" s="11"/>
      <c r="X86" s="11"/>
      <c r="Y86" s="11"/>
      <c r="Z86" s="11"/>
      <c r="AA86" s="11">
        <f>IF(ISERROR(MATCH($B86,'Production - Oil'!$B$65:$B$108,0)),0,VLOOKUP($B86,'Production - Oil'!$B$65:$CD$108,MATCH('Production - Total'!AA$63,'Production - Oil'!$B$9:$CD$9),FALSE))+IF(ISERROR(MATCH($B86,'Production - Gas'!$B$65:$B$108,0)),0,VLOOKUP($B86,'Production - Gas'!$B$65:$CD$108,MATCH('Production - Total'!AA$63,'Production - Gas'!$B$9:$CD$9),FALSE)/5.8)</f>
        <v>0</v>
      </c>
      <c r="AB86" s="11"/>
      <c r="AC86" s="11"/>
      <c r="AD86" s="11"/>
      <c r="AE86" s="11"/>
      <c r="AF86" s="11">
        <f>IF(ISERROR(MATCH($B86,'Production - Oil'!$B$65:$B$108,0)),0,VLOOKUP($B86,'Production - Oil'!$B$65:$CD$108,MATCH('Production - Total'!AF$63,'Production - Oil'!$B$9:$CD$9),FALSE))+IF(ISERROR(MATCH($B86,'Production - Gas'!$B$65:$B$108,0)),0,VLOOKUP($B86,'Production - Gas'!$B$65:$CD$108,MATCH('Production - Total'!AF$63,'Production - Gas'!$B$9:$CD$9),FALSE)/5.8)</f>
        <v>0</v>
      </c>
      <c r="AG86" s="82"/>
      <c r="AH86" s="82"/>
      <c r="AI86" s="82"/>
      <c r="AJ86" s="82"/>
      <c r="AK86" s="11">
        <f>IF(ISERROR(MATCH($B86,'Production - Oil'!$B$65:$B$108,0)),0,VLOOKUP($B86,'Production - Oil'!$B$65:$CD$108,MATCH('Production - Total'!AK$63,'Production - Oil'!$B$9:$CD$9),FALSE))+IF(ISERROR(MATCH($B86,'Production - Gas'!$B$65:$B$108,0)),0,VLOOKUP($B86,'Production - Gas'!$B$65:$CD$108,MATCH('Production - Total'!AK$63,'Production - Gas'!$B$9:$CD$9),FALSE)/5.8)</f>
        <v>0</v>
      </c>
      <c r="AL86" s="82"/>
      <c r="AM86" s="82"/>
      <c r="AN86" s="82"/>
      <c r="AO86" s="82"/>
      <c r="AP86" s="11">
        <f>IF(ISERROR(MATCH($B86,'Production - Oil'!$B$65:$B$108,0)),0,VLOOKUP($B86,'Production - Oil'!$B$65:$CD$108,MATCH('Production - Total'!AP$63,'Production - Oil'!$B$9:$CD$9),FALSE))+IF(ISERROR(MATCH($B86,'Production - Gas'!$B$65:$B$108,0)),0,VLOOKUP($B86,'Production - Gas'!$B$65:$CD$108,MATCH('Production - Total'!AP$63,'Production - Gas'!$B$9:$CD$9),FALSE)/5.8)</f>
        <v>0</v>
      </c>
      <c r="AQ86" s="82"/>
      <c r="AR86" s="82"/>
      <c r="AS86" s="82"/>
      <c r="AT86" s="82"/>
      <c r="AU86" s="11">
        <f>IF(ISERROR(MATCH($B86,'Production - Oil'!$B$65:$B$108,0)),0,VLOOKUP($B86,'Production - Oil'!$B$65:$CD$108,MATCH('Production - Total'!AU$63,'Production - Oil'!$B$9:$CD$9),FALSE))+IF(ISERROR(MATCH($B86,'Production - Gas'!$B$65:$B$108,0)),0,VLOOKUP($B86,'Production - Gas'!$B$65:$CD$108,MATCH('Production - Total'!AU$63,'Production - Gas'!$B$9:$CD$9),FALSE)/5.8)</f>
        <v>1.3793103448275863</v>
      </c>
      <c r="AV86" s="82"/>
      <c r="AW86" s="82"/>
      <c r="AX86" s="82"/>
      <c r="AY86" s="82"/>
      <c r="AZ86" s="11">
        <f>IF(ISERROR(MATCH($B86,'Production - Oil'!$B$65:$B$108,0)),0,VLOOKUP($B86,'Production - Oil'!$B$65:$CD$108,MATCH('Production - Total'!AZ$63,'Production - Oil'!$B$9:$CD$9),FALSE))+IF(ISERROR(MATCH($B86,'Production - Gas'!$B$65:$B$108,0)),0,VLOOKUP($B86,'Production - Gas'!$B$65:$CD$108,MATCH('Production - Total'!AZ$63,'Production - Gas'!$B$9:$CD$9),FALSE)/5.8)</f>
        <v>0</v>
      </c>
      <c r="BA86" s="82"/>
      <c r="BB86" s="82"/>
      <c r="BC86" s="82"/>
      <c r="BD86" s="82"/>
      <c r="BE86" s="11">
        <f>IF(ISERROR(MATCH($B86,'Production - Oil'!$B$65:$B$108,0)),0,VLOOKUP($B86,'Production - Oil'!$B$65:$CD$108,MATCH('Production - Total'!BE$63,'Production - Oil'!$B$9:$CD$9),FALSE))+IF(ISERROR(MATCH($B86,'Production - Gas'!$B$65:$B$108,0)),0,VLOOKUP($B86,'Production - Gas'!$B$65:$CD$108,MATCH('Production - Total'!BE$63,'Production - Gas'!$B$9:$CD$9),FALSE)/5.8)</f>
        <v>0</v>
      </c>
      <c r="BF86" s="82"/>
      <c r="BG86" s="82"/>
      <c r="BH86" s="82"/>
      <c r="BI86" s="82"/>
      <c r="BJ86" s="11">
        <f>IF(ISERROR(MATCH($B86,'Production - Oil'!$B$65:$B$108,0)),0,VLOOKUP($B86,'Production - Oil'!$B$65:$CD$108,MATCH('Production - Total'!BJ$63,'Production - Oil'!$B$9:$CD$9),FALSE))+IF(ISERROR(MATCH($B86,'Production - Gas'!$B$65:$B$108,0)),0,VLOOKUP($B86,'Production - Gas'!$B$65:$CD$108,MATCH('Production - Total'!BJ$63,'Production - Gas'!$B$9:$CD$9),FALSE)/5.8)</f>
        <v>4.1034482758620694</v>
      </c>
      <c r="BK86" s="82"/>
      <c r="BL86" s="82"/>
      <c r="BM86" s="82"/>
      <c r="BN86" s="82"/>
      <c r="BO86" s="11">
        <f>'Production - Oil'!BO86+'Production - Gas'!BO86/5.8</f>
        <v>18.275862068965516</v>
      </c>
      <c r="BP86" s="82"/>
      <c r="BQ86" s="82"/>
      <c r="BR86" s="82"/>
      <c r="BS86" s="82"/>
      <c r="BT86" s="51"/>
      <c r="BU86" s="82"/>
      <c r="BV86" s="82"/>
      <c r="BW86" s="82"/>
      <c r="BX86" s="82"/>
      <c r="BY86" s="51"/>
      <c r="BZ86" s="82"/>
      <c r="CA86" s="82"/>
      <c r="CB86" s="82"/>
      <c r="CC86" s="82"/>
      <c r="CD86" s="51"/>
    </row>
    <row r="87" spans="1:82">
      <c r="A87" s="11"/>
      <c r="B87" s="11" t="s">
        <v>2251</v>
      </c>
      <c r="C87" s="11">
        <f>IF(ISERROR(MATCH($B87,'Production - Oil'!$B$65:$B$108,0)),0,VLOOKUP($B87,'Production - Oil'!$B$65:$CD$108,MATCH('Production - Total'!C$63,'Production - Oil'!$B$9:$CD$9),FALSE))+IF(ISERROR(MATCH($B87,'Production - Gas'!$B$65:$B$108,0)),0,VLOOKUP($B87,'Production - Gas'!$B$65:$CD$108,MATCH('Production - Total'!C$63,'Production - Gas'!$B$9:$CD$9),FALSE)/5.8)</f>
        <v>0</v>
      </c>
      <c r="D87" s="11">
        <f>IF(ISERROR(MATCH($B87,'Production - Oil'!$B$65:$B$108,0)),0,VLOOKUP($B87,'Production - Oil'!$B$65:$CD$108,MATCH('Production - Total'!D$63,'Production - Oil'!$B$9:$CD$9),FALSE))+IF(ISERROR(MATCH($B87,'Production - Gas'!$B$65:$B$108,0)),0,VLOOKUP($B87,'Production - Gas'!$B$65:$CD$108,MATCH('Production - Total'!D$63,'Production - Gas'!$B$9:$CD$9),FALSE)/5.8)</f>
        <v>0</v>
      </c>
      <c r="E87" s="11">
        <f>IF(ISERROR(MATCH($B87,'Production - Oil'!$B$65:$B$108,0)),0,VLOOKUP($B87,'Production - Oil'!$B$65:$CD$108,MATCH('Production - Total'!E$63,'Production - Oil'!$B$9:$CD$9),FALSE))+IF(ISERROR(MATCH($B87,'Production - Gas'!$B$65:$B$108,0)),0,VLOOKUP($B87,'Production - Gas'!$B$65:$CD$108,MATCH('Production - Total'!E$63,'Production - Gas'!$B$9:$CD$9),FALSE)/5.8)</f>
        <v>0</v>
      </c>
      <c r="F87" s="11">
        <f>IF(ISERROR(MATCH($B87,'Production - Oil'!$B$65:$B$108,0)),0,VLOOKUP($B87,'Production - Oil'!$B$65:$CD$108,MATCH('Production - Total'!F$63,'Production - Oil'!$B$9:$CD$9),FALSE))+IF(ISERROR(MATCH($B87,'Production - Gas'!$B$65:$B$108,0)),0,VLOOKUP($B87,'Production - Gas'!$B$65:$CD$108,MATCH('Production - Total'!F$63,'Production - Gas'!$B$9:$CD$9),FALSE)/5.8)</f>
        <v>0</v>
      </c>
      <c r="G87" s="11">
        <f>IF(ISERROR(MATCH($B87,'Production - Oil'!$B$65:$B$108,0)),0,VLOOKUP($B87,'Production - Oil'!$B$65:$CD$108,MATCH('Production - Total'!G$63,'Production - Oil'!$B$9:$CD$9),FALSE))+IF(ISERROR(MATCH($B87,'Production - Gas'!$B$65:$B$108,0)),0,VLOOKUP($B87,'Production - Gas'!$B$65:$CD$108,MATCH('Production - Total'!G$63,'Production - Gas'!$B$9:$CD$9),FALSE)/5.8)</f>
        <v>0</v>
      </c>
      <c r="H87" s="11"/>
      <c r="I87" s="11"/>
      <c r="J87" s="11"/>
      <c r="K87" s="11"/>
      <c r="L87" s="11">
        <f>IF(ISERROR(MATCH($B87,'Production - Oil'!$B$65:$B$108,0)),0,VLOOKUP($B87,'Production - Oil'!$B$65:$CD$108,MATCH('Production - Total'!L$63,'Production - Oil'!$B$9:$CD$9),FALSE))+IF(ISERROR(MATCH($B87,'Production - Gas'!$B$65:$B$108,0)),0,VLOOKUP($B87,'Production - Gas'!$B$65:$CD$108,MATCH('Production - Total'!L$63,'Production - Gas'!$B$9:$CD$9),FALSE)/5.8)</f>
        <v>0</v>
      </c>
      <c r="M87" s="11"/>
      <c r="N87" s="11"/>
      <c r="O87" s="11"/>
      <c r="P87" s="11"/>
      <c r="Q87" s="11">
        <f>IF(ISERROR(MATCH($B87,'Production - Oil'!$B$65:$B$108,0)),0,VLOOKUP($B87,'Production - Oil'!$B$65:$CD$108,MATCH('Production - Total'!Q$63,'Production - Oil'!$B$9:$CD$9),FALSE))+IF(ISERROR(MATCH($B87,'Production - Gas'!$B$65:$B$108,0)),0,VLOOKUP($B87,'Production - Gas'!$B$65:$CD$108,MATCH('Production - Total'!Q$63,'Production - Gas'!$B$9:$CD$9),FALSE)/5.8)</f>
        <v>0</v>
      </c>
      <c r="R87" s="11"/>
      <c r="S87" s="11"/>
      <c r="T87" s="11"/>
      <c r="U87" s="11"/>
      <c r="V87" s="11">
        <f>IF(ISERROR(MATCH($B87,'Production - Oil'!$B$65:$B$108,0)),0,VLOOKUP($B87,'Production - Oil'!$B$65:$CD$108,MATCH('Production - Total'!V$63,'Production - Oil'!$B$9:$CD$9),FALSE))+IF(ISERROR(MATCH($B87,'Production - Gas'!$B$65:$B$108,0)),0,VLOOKUP($B87,'Production - Gas'!$B$65:$CD$108,MATCH('Production - Total'!V$63,'Production - Gas'!$B$9:$CD$9),FALSE)/5.8)</f>
        <v>0</v>
      </c>
      <c r="W87" s="11"/>
      <c r="X87" s="11"/>
      <c r="Y87" s="11"/>
      <c r="Z87" s="11"/>
      <c r="AA87" s="11">
        <f>IF(ISERROR(MATCH($B87,'Production - Oil'!$B$65:$B$108,0)),0,VLOOKUP($B87,'Production - Oil'!$B$65:$CD$108,MATCH('Production - Total'!AA$63,'Production - Oil'!$B$9:$CD$9),FALSE))+IF(ISERROR(MATCH($B87,'Production - Gas'!$B$65:$B$108,0)),0,VLOOKUP($B87,'Production - Gas'!$B$65:$CD$108,MATCH('Production - Total'!AA$63,'Production - Gas'!$B$9:$CD$9),FALSE)/5.8)</f>
        <v>0</v>
      </c>
      <c r="AB87" s="11"/>
      <c r="AC87" s="11"/>
      <c r="AD87" s="11"/>
      <c r="AE87" s="11"/>
      <c r="AF87" s="11">
        <f>IF(ISERROR(MATCH($B87,'Production - Oil'!$B$65:$B$108,0)),0,VLOOKUP($B87,'Production - Oil'!$B$65:$CD$108,MATCH('Production - Total'!AF$63,'Production - Oil'!$B$9:$CD$9),FALSE))+IF(ISERROR(MATCH($B87,'Production - Gas'!$B$65:$B$108,0)),0,VLOOKUP($B87,'Production - Gas'!$B$65:$CD$108,MATCH('Production - Total'!AF$63,'Production - Gas'!$B$9:$CD$9),FALSE)/5.8)</f>
        <v>0</v>
      </c>
      <c r="AG87" s="82"/>
      <c r="AH87" s="82"/>
      <c r="AI87" s="82"/>
      <c r="AJ87" s="82"/>
      <c r="AK87" s="11">
        <f>IF(ISERROR(MATCH($B87,'Production - Oil'!$B$65:$B$108,0)),0,VLOOKUP($B87,'Production - Oil'!$B$65:$CD$108,MATCH('Production - Total'!AK$63,'Production - Oil'!$B$9:$CD$9),FALSE))+IF(ISERROR(MATCH($B87,'Production - Gas'!$B$65:$B$108,0)),0,VLOOKUP($B87,'Production - Gas'!$B$65:$CD$108,MATCH('Production - Total'!AK$63,'Production - Gas'!$B$9:$CD$9),FALSE)/5.8)</f>
        <v>0</v>
      </c>
      <c r="AL87" s="82"/>
      <c r="AM87" s="82"/>
      <c r="AN87" s="82"/>
      <c r="AO87" s="82"/>
      <c r="AP87" s="11">
        <f>IF(ISERROR(MATCH($B87,'Production - Oil'!$B$65:$B$108,0)),0,VLOOKUP($B87,'Production - Oil'!$B$65:$CD$108,MATCH('Production - Total'!AP$63,'Production - Oil'!$B$9:$CD$9),FALSE))+IF(ISERROR(MATCH($B87,'Production - Gas'!$B$65:$B$108,0)),0,VLOOKUP($B87,'Production - Gas'!$B$65:$CD$108,MATCH('Production - Total'!AP$63,'Production - Gas'!$B$9:$CD$9),FALSE)/5.8)</f>
        <v>0</v>
      </c>
      <c r="AQ87" s="82"/>
      <c r="AR87" s="82"/>
      <c r="AS87" s="82"/>
      <c r="AT87" s="82"/>
      <c r="AU87" s="11">
        <f>IF(ISERROR(MATCH($B87,'Production - Oil'!$B$65:$B$108,0)),0,VLOOKUP($B87,'Production - Oil'!$B$65:$CD$108,MATCH('Production - Total'!AU$63,'Production - Oil'!$B$9:$CD$9),FALSE))+IF(ISERROR(MATCH($B87,'Production - Gas'!$B$65:$B$108,0)),0,VLOOKUP($B87,'Production - Gas'!$B$65:$CD$108,MATCH('Production - Total'!AU$63,'Production - Gas'!$B$9:$CD$9),FALSE)/5.8)</f>
        <v>0</v>
      </c>
      <c r="AV87" s="82"/>
      <c r="AW87" s="82"/>
      <c r="AX87" s="82"/>
      <c r="AY87" s="82"/>
      <c r="AZ87" s="11">
        <f>IF(ISERROR(MATCH($B87,'Production - Oil'!$B$65:$B$108,0)),0,VLOOKUP($B87,'Production - Oil'!$B$65:$CD$108,MATCH('Production - Total'!AZ$63,'Production - Oil'!$B$9:$CD$9),FALSE))+IF(ISERROR(MATCH($B87,'Production - Gas'!$B$65:$B$108,0)),0,VLOOKUP($B87,'Production - Gas'!$B$65:$CD$108,MATCH('Production - Total'!AZ$63,'Production - Gas'!$B$9:$CD$9),FALSE)/5.8)</f>
        <v>4</v>
      </c>
      <c r="BA87" s="82"/>
      <c r="BB87" s="82"/>
      <c r="BC87" s="82"/>
      <c r="BD87" s="82"/>
      <c r="BE87" s="11">
        <f>IF(ISERROR(MATCH($B87,'Production - Oil'!$B$65:$B$108,0)),0,VLOOKUP($B87,'Production - Oil'!$B$65:$CD$108,MATCH('Production - Total'!BE$63,'Production - Oil'!$B$9:$CD$9),FALSE))+IF(ISERROR(MATCH($B87,'Production - Gas'!$B$65:$B$108,0)),0,VLOOKUP($B87,'Production - Gas'!$B$65:$CD$108,MATCH('Production - Total'!BE$63,'Production - Gas'!$B$9:$CD$9),FALSE)/5.8)</f>
        <v>3</v>
      </c>
      <c r="BF87" s="82"/>
      <c r="BG87" s="82"/>
      <c r="BH87" s="82"/>
      <c r="BI87" s="82"/>
      <c r="BJ87" s="11">
        <f>IF(ISERROR(MATCH($B87,'Production - Oil'!$B$65:$B$108,0)),0,VLOOKUP($B87,'Production - Oil'!$B$65:$CD$108,MATCH('Production - Total'!BJ$63,'Production - Oil'!$B$9:$CD$9),FALSE))+IF(ISERROR(MATCH($B87,'Production - Gas'!$B$65:$B$108,0)),0,VLOOKUP($B87,'Production - Gas'!$B$65:$CD$108,MATCH('Production - Total'!BJ$63,'Production - Gas'!$B$9:$CD$9),FALSE)/5.8)</f>
        <v>3</v>
      </c>
      <c r="BK87" s="82"/>
      <c r="BL87" s="82"/>
      <c r="BM87" s="82"/>
      <c r="BN87" s="82"/>
      <c r="BO87" s="11">
        <f>'Production - Oil'!BO87+'Production - Gas'!BO87/5.8</f>
        <v>2</v>
      </c>
      <c r="BP87" s="82"/>
      <c r="BQ87" s="82"/>
      <c r="BR87" s="82"/>
      <c r="BS87" s="82"/>
      <c r="BT87" s="51"/>
      <c r="BU87" s="82"/>
      <c r="BV87" s="82"/>
      <c r="BW87" s="82"/>
      <c r="BX87" s="82"/>
      <c r="BY87" s="51"/>
      <c r="BZ87" s="82"/>
      <c r="CA87" s="82"/>
      <c r="CB87" s="82"/>
      <c r="CC87" s="82"/>
      <c r="CD87" s="51"/>
    </row>
    <row r="88" spans="1:82">
      <c r="A88" s="39" t="s">
        <v>2461</v>
      </c>
      <c r="B88" s="39"/>
      <c r="C88" s="39">
        <f t="shared" ref="C88:AA88" si="12">SUM(C85:C87)</f>
        <v>0</v>
      </c>
      <c r="D88" s="39">
        <f t="shared" si="12"/>
        <v>0</v>
      </c>
      <c r="E88" s="39">
        <f t="shared" si="12"/>
        <v>0</v>
      </c>
      <c r="F88" s="39">
        <f t="shared" si="12"/>
        <v>0</v>
      </c>
      <c r="G88" s="39">
        <f t="shared" si="12"/>
        <v>0</v>
      </c>
      <c r="H88" s="39">
        <f t="shared" si="12"/>
        <v>0</v>
      </c>
      <c r="I88" s="39">
        <f t="shared" si="12"/>
        <v>0</v>
      </c>
      <c r="J88" s="39">
        <f t="shared" si="12"/>
        <v>0</v>
      </c>
      <c r="K88" s="39">
        <f t="shared" si="12"/>
        <v>0</v>
      </c>
      <c r="L88" s="39">
        <f t="shared" si="12"/>
        <v>0</v>
      </c>
      <c r="M88" s="39">
        <f t="shared" si="12"/>
        <v>0</v>
      </c>
      <c r="N88" s="39">
        <f t="shared" si="12"/>
        <v>0</v>
      </c>
      <c r="O88" s="39">
        <f t="shared" si="12"/>
        <v>0</v>
      </c>
      <c r="P88" s="39">
        <f t="shared" si="12"/>
        <v>0</v>
      </c>
      <c r="Q88" s="39">
        <f t="shared" si="12"/>
        <v>0</v>
      </c>
      <c r="R88" s="39">
        <f t="shared" si="12"/>
        <v>0</v>
      </c>
      <c r="S88" s="39">
        <f t="shared" si="12"/>
        <v>0</v>
      </c>
      <c r="T88" s="39">
        <f t="shared" si="12"/>
        <v>0</v>
      </c>
      <c r="U88" s="39">
        <f t="shared" si="12"/>
        <v>0</v>
      </c>
      <c r="V88" s="39">
        <f t="shared" si="12"/>
        <v>0</v>
      </c>
      <c r="W88" s="39">
        <f t="shared" si="12"/>
        <v>0</v>
      </c>
      <c r="X88" s="39">
        <f t="shared" si="12"/>
        <v>0</v>
      </c>
      <c r="Y88" s="39">
        <f t="shared" si="12"/>
        <v>0</v>
      </c>
      <c r="Z88" s="39">
        <f t="shared" si="12"/>
        <v>0</v>
      </c>
      <c r="AA88" s="39">
        <f t="shared" si="12"/>
        <v>0</v>
      </c>
      <c r="AB88" s="39"/>
      <c r="AC88" s="39"/>
      <c r="AD88" s="39"/>
      <c r="AE88" s="39"/>
      <c r="AF88" s="39">
        <f>SUM(AF85:AF87)</f>
        <v>0</v>
      </c>
      <c r="AG88" s="80">
        <f>VLOOKUP($A88,'Production - Oil'!$A$63:$CD$110,MATCH('Production - Total'!AG$63,'Production - Oil'!$A$63:$CD$63,0),FALSE)+VLOOKUP($A88,'Production - Gas'!$A$63:$CD$110,MATCH('Production - Total'!AG$63,'Production - Gas'!$A$63:$CD$63,0),FALSE)/5.8</f>
        <v>0</v>
      </c>
      <c r="AH88" s="80">
        <f>VLOOKUP($A88,'Production - Oil'!$A$63:$CD$110,MATCH('Production - Total'!AH$63,'Production - Oil'!$A$63:$CD$63,0),FALSE)+VLOOKUP($A88,'Production - Gas'!$A$63:$CD$110,MATCH('Production - Total'!AH$63,'Production - Gas'!$A$63:$CD$63,0),FALSE)/5.8</f>
        <v>0</v>
      </c>
      <c r="AI88" s="80">
        <f>VLOOKUP($A88,'Production - Oil'!$A$63:$CD$110,MATCH('Production - Total'!AI$63,'Production - Oil'!$A$63:$CD$63,0),FALSE)+VLOOKUP($A88,'Production - Gas'!$A$63:$CD$110,MATCH('Production - Total'!AI$63,'Production - Gas'!$A$63:$CD$63,0),FALSE)/5.8</f>
        <v>0</v>
      </c>
      <c r="AJ88" s="80">
        <f>VLOOKUP($A88,'Production - Oil'!$A$63:$CD$110,MATCH('Production - Total'!AJ$63,'Production - Oil'!$A$63:$CD$63,0),FALSE)+VLOOKUP($A88,'Production - Gas'!$A$63:$CD$110,MATCH('Production - Total'!AJ$63,'Production - Gas'!$A$63:$CD$63,0),FALSE)/5.8</f>
        <v>0</v>
      </c>
      <c r="AK88" s="39">
        <f>VLOOKUP($A88,'Production - Oil'!$A$63:$CD$110,MATCH('Production - Total'!AK$63,'Production - Oil'!$A$63:$CD$63,0),FALSE)+VLOOKUP($A88,'Production - Gas'!$A$63:$CD$110,MATCH('Production - Total'!AK$63,'Production - Gas'!$A$63:$CD$63,0),FALSE)/5.8</f>
        <v>0</v>
      </c>
      <c r="AL88" s="80">
        <f>VLOOKUP($A88,'Production - Oil'!$A$63:$CD$110,MATCH('Production - Total'!AL$63,'Production - Oil'!$A$63:$CD$63,0),FALSE)+VLOOKUP($A88,'Production - Gas'!$A$63:$CD$110,MATCH('Production - Total'!AL$63,'Production - Gas'!$A$63:$CD$63,0),FALSE)/5.8</f>
        <v>0</v>
      </c>
      <c r="AM88" s="80">
        <f>VLOOKUP($A88,'Production - Oil'!$A$63:$CD$110,MATCH('Production - Total'!AM$63,'Production - Oil'!$A$63:$CD$63,0),FALSE)+VLOOKUP($A88,'Production - Gas'!$A$63:$CD$110,MATCH('Production - Total'!AM$63,'Production - Gas'!$A$63:$CD$63,0),FALSE)/5.8</f>
        <v>0</v>
      </c>
      <c r="AN88" s="80">
        <f>VLOOKUP($A88,'Production - Oil'!$A$63:$CD$110,MATCH('Production - Total'!AN$63,'Production - Oil'!$A$63:$CD$63,0),FALSE)+VLOOKUP($A88,'Production - Gas'!$A$63:$CD$110,MATCH('Production - Total'!AN$63,'Production - Gas'!$A$63:$CD$63,0),FALSE)/5.8</f>
        <v>0</v>
      </c>
      <c r="AO88" s="80">
        <f>VLOOKUP($A88,'Production - Oil'!$A$63:$CD$110,MATCH('Production - Total'!AO$63,'Production - Oil'!$A$63:$CD$63,0),FALSE)+VLOOKUP($A88,'Production - Gas'!$A$63:$CD$110,MATCH('Production - Total'!AO$63,'Production - Gas'!$A$63:$CD$63,0),FALSE)/5.8</f>
        <v>0</v>
      </c>
      <c r="AP88" s="39">
        <f>VLOOKUP($A88,'Production - Oil'!$A$63:$CD$110,MATCH('Production - Total'!AP$63,'Production - Oil'!$A$63:$CD$63,0),FALSE)+VLOOKUP($A88,'Production - Gas'!$A$63:$CD$110,MATCH('Production - Total'!AP$63,'Production - Gas'!$A$63:$CD$63,0),FALSE)/5.8</f>
        <v>0</v>
      </c>
      <c r="AQ88" s="82"/>
      <c r="AR88" s="82"/>
      <c r="AS88" s="82"/>
      <c r="AT88" s="82"/>
      <c r="AU88" s="39">
        <f>VLOOKUP($A88,'Production - Oil'!$A$63:$CD$110,MATCH('Production - Total'!AU$63,'Production - Oil'!$A$63:$CD$63,0),FALSE)+VLOOKUP($A88,'Production - Gas'!$A$63:$CD$110,MATCH('Production - Total'!AU$63,'Production - Gas'!$A$63:$CD$63,0),FALSE)/5.8</f>
        <v>1.3793103448275863</v>
      </c>
      <c r="AV88" s="82"/>
      <c r="AW88" s="82"/>
      <c r="AX88" s="82"/>
      <c r="AY88" s="82"/>
      <c r="AZ88" s="39">
        <f>VLOOKUP($A88,'Production - Oil'!$A$63:$CD$110,MATCH('Production - Total'!AZ$63,'Production - Oil'!$A$63:$CD$63,0),FALSE)+VLOOKUP($A88,'Production - Gas'!$A$63:$CD$110,MATCH('Production - Total'!AZ$63,'Production - Gas'!$A$63:$CD$63,0),FALSE)/5.8</f>
        <v>4</v>
      </c>
      <c r="BA88" s="82"/>
      <c r="BB88" s="82"/>
      <c r="BC88" s="82"/>
      <c r="BD88" s="82"/>
      <c r="BE88" s="39">
        <f>VLOOKUP($A88,'Production - Oil'!$A$63:$CD$110,MATCH('Production - Total'!BE$63,'Production - Oil'!$A$63:$CD$63,0),FALSE)+VLOOKUP($A88,'Production - Gas'!$A$63:$CD$110,MATCH('Production - Total'!BE$63,'Production - Gas'!$A$63:$CD$63,0),FALSE)/5.8</f>
        <v>3</v>
      </c>
      <c r="BF88" s="82"/>
      <c r="BG88" s="82"/>
      <c r="BH88" s="82"/>
      <c r="BI88" s="82"/>
      <c r="BJ88" s="39">
        <f>VLOOKUP($A88,'Production - Oil'!$A$63:$CD$110,MATCH('Production - Total'!BJ$63,'Production - Oil'!$A$63:$CD$63,0),FALSE)+VLOOKUP($A88,'Production - Gas'!$A$63:$CD$110,MATCH('Production - Total'!BJ$63,'Production - Gas'!$A$63:$CD$63,0),FALSE)/5.8</f>
        <v>7.1034482758620694</v>
      </c>
      <c r="BK88" s="82"/>
      <c r="BL88" s="82"/>
      <c r="BM88" s="82"/>
      <c r="BN88" s="82"/>
      <c r="BO88" s="39">
        <f>'Production - Oil'!BO88+'Production - Gas'!BO88/5.8</f>
        <v>20.275862068965516</v>
      </c>
      <c r="BP88" s="80">
        <f>VLOOKUP($A88,'Production - Oil'!$A$63:$CD$110,MATCH('Production - Total'!BP$63,'Production - Oil'!$A$63:$CD$63,0),FALSE)+VLOOKUP($A88,'Production - Gas'!$A$63:$CD$110,MATCH('Production - Total'!BP$63,'Production - Gas'!$A$63:$CD$63,0),FALSE)/5.8</f>
        <v>0</v>
      </c>
      <c r="BQ88" s="80">
        <f>VLOOKUP($A88,'Production - Oil'!$A$63:$CD$110,MATCH('Production - Total'!BQ$63,'Production - Oil'!$A$63:$CD$63,0),FALSE)+VLOOKUP($A88,'Production - Gas'!$A$63:$CD$110,MATCH('Production - Total'!BQ$63,'Production - Gas'!$A$63:$CD$63,0),FALSE)/5.8</f>
        <v>0</v>
      </c>
      <c r="BR88" s="80">
        <f>VLOOKUP($A88,'Production - Oil'!$A$63:$CD$110,MATCH('Production - Total'!BR$63,'Production - Oil'!$A$63:$CD$63,0),FALSE)+VLOOKUP($A88,'Production - Gas'!$A$63:$CD$110,MATCH('Production - Total'!BR$63,'Production - Gas'!$A$63:$CD$63,0),FALSE)/5.8</f>
        <v>0</v>
      </c>
      <c r="BS88" s="80">
        <f>VLOOKUP($A88,'Production - Oil'!$A$63:$CD$110,MATCH('Production - Total'!BS$63,'Production - Oil'!$A$63:$CD$63,0),FALSE)+VLOOKUP($A88,'Production - Gas'!$A$63:$CD$110,MATCH('Production - Total'!BS$63,'Production - Gas'!$A$63:$CD$63,0),FALSE)/5.8</f>
        <v>0</v>
      </c>
      <c r="BT88" s="39">
        <f>VLOOKUP($A88,'Production - Oil'!$A$63:$CD$110,MATCH('Production - Total'!BT$63,'Production - Oil'!$A$63:$CD$63,0),FALSE)+VLOOKUP($A88,'Production - Gas'!$A$63:$CD$110,MATCH('Production - Total'!BT$63,'Production - Gas'!$A$63:$CD$63,0),FALSE)/5.8</f>
        <v>0</v>
      </c>
      <c r="BU88" s="80">
        <f>VLOOKUP($A88,'Production - Oil'!$A$63:$CD$110,MATCH('Production - Total'!BU$63,'Production - Oil'!$A$63:$CD$63,0),FALSE)+VLOOKUP($A88,'Production - Gas'!$A$63:$CD$110,MATCH('Production - Total'!BU$63,'Production - Gas'!$A$63:$CD$63,0),FALSE)/5.8</f>
        <v>0</v>
      </c>
      <c r="BV88" s="80">
        <f>VLOOKUP($A88,'Production - Oil'!$A$63:$CD$110,MATCH('Production - Total'!BV$63,'Production - Oil'!$A$63:$CD$63,0),FALSE)+VLOOKUP($A88,'Production - Gas'!$A$63:$CD$110,MATCH('Production - Total'!BV$63,'Production - Gas'!$A$63:$CD$63,0),FALSE)/5.8</f>
        <v>0</v>
      </c>
      <c r="BW88" s="80">
        <f>VLOOKUP($A88,'Production - Oil'!$A$63:$CD$110,MATCH('Production - Total'!BW$63,'Production - Oil'!$A$63:$CD$63,0),FALSE)+VLOOKUP($A88,'Production - Gas'!$A$63:$CD$110,MATCH('Production - Total'!BW$63,'Production - Gas'!$A$63:$CD$63,0),FALSE)/5.8</f>
        <v>0</v>
      </c>
      <c r="BX88" s="80">
        <f>VLOOKUP($A88,'Production - Oil'!$A$63:$CD$110,MATCH('Production - Total'!BX$63,'Production - Oil'!$A$63:$CD$63,0),FALSE)+VLOOKUP($A88,'Production - Gas'!$A$63:$CD$110,MATCH('Production - Total'!BX$63,'Production - Gas'!$A$63:$CD$63,0),FALSE)/5.8</f>
        <v>0</v>
      </c>
      <c r="BY88" s="39">
        <f>VLOOKUP($A88,'Production - Oil'!$A$63:$CD$110,MATCH('Production - Total'!BY$63,'Production - Oil'!$A$63:$CD$63,0),FALSE)+VLOOKUP($A88,'Production - Gas'!$A$63:$CD$110,MATCH('Production - Total'!BY$63,'Production - Gas'!$A$63:$CD$63,0),FALSE)/5.8</f>
        <v>0</v>
      </c>
      <c r="BZ88" s="80">
        <f>VLOOKUP($A88,'Production - Oil'!$A$63:$CD$110,MATCH('Production - Total'!BZ$63,'Production - Oil'!$A$63:$CD$63,0),FALSE)+VLOOKUP($A88,'Production - Gas'!$A$63:$CD$110,MATCH('Production - Total'!BZ$63,'Production - Gas'!$A$63:$CD$63,0),FALSE)/5.8</f>
        <v>0</v>
      </c>
      <c r="CA88" s="80">
        <f>VLOOKUP($A88,'Production - Oil'!$A$63:$CD$110,MATCH('Production - Total'!CA$63,'Production - Oil'!$A$63:$CD$63,0),FALSE)+VLOOKUP($A88,'Production - Gas'!$A$63:$CD$110,MATCH('Production - Total'!CA$63,'Production - Gas'!$A$63:$CD$63,0),FALSE)/5.8</f>
        <v>0</v>
      </c>
      <c r="CB88" s="80">
        <f>VLOOKUP($A88,'Production - Oil'!$A$63:$CD$110,MATCH('Production - Total'!CB$63,'Production - Oil'!$A$63:$CD$63,0),FALSE)+VLOOKUP($A88,'Production - Gas'!$A$63:$CD$110,MATCH('Production - Total'!CB$63,'Production - Gas'!$A$63:$CD$63,0),FALSE)/5.8</f>
        <v>0</v>
      </c>
      <c r="CC88" s="80">
        <f>VLOOKUP($A88,'Production - Oil'!$A$63:$CD$110,MATCH('Production - Total'!CC$63,'Production - Oil'!$A$63:$CD$63,0),FALSE)+VLOOKUP($A88,'Production - Gas'!$A$63:$CD$110,MATCH('Production - Total'!CC$63,'Production - Gas'!$A$63:$CD$63,0),FALSE)/5.8</f>
        <v>0</v>
      </c>
      <c r="CD88" s="39">
        <f>VLOOKUP($A88,'Production - Oil'!$A$63:$CD$110,MATCH('Production - Total'!CD$63,'Production - Oil'!$A$63:$CD$63,0),FALSE)+VLOOKUP($A88,'Production - Gas'!$A$63:$CD$110,MATCH('Production - Total'!CD$63,'Production - Gas'!$A$63:$CD$63,0),FALSE)/5.8</f>
        <v>0</v>
      </c>
    </row>
    <row r="89" spans="1:82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68"/>
      <c r="AH89" s="68"/>
      <c r="AI89" s="68"/>
      <c r="AJ89" s="68"/>
      <c r="AK89" s="11"/>
      <c r="AL89" s="68"/>
      <c r="AM89" s="68"/>
      <c r="AN89" s="68"/>
      <c r="AO89" s="68"/>
      <c r="AP89" s="11"/>
      <c r="AQ89" s="68"/>
      <c r="AR89" s="68"/>
      <c r="AS89" s="68"/>
      <c r="AT89" s="68"/>
      <c r="AU89" s="11"/>
      <c r="AV89" s="68"/>
      <c r="AW89" s="68"/>
      <c r="AX89" s="68"/>
      <c r="AY89" s="68"/>
      <c r="AZ89" s="11"/>
      <c r="BA89" s="68"/>
      <c r="BB89" s="68"/>
      <c r="BC89" s="68"/>
      <c r="BD89" s="68"/>
      <c r="BE89" s="11"/>
      <c r="BF89" s="68"/>
      <c r="BG89" s="68"/>
      <c r="BH89" s="68"/>
      <c r="BI89" s="68"/>
      <c r="BJ89" s="11"/>
      <c r="BK89" s="68"/>
      <c r="BL89" s="68"/>
      <c r="BM89" s="68"/>
      <c r="BN89" s="68"/>
      <c r="BO89" s="11"/>
      <c r="BP89" s="68"/>
      <c r="BQ89" s="68"/>
      <c r="BR89" s="68"/>
      <c r="BS89" s="68"/>
      <c r="BT89" s="11"/>
      <c r="BU89" s="68"/>
      <c r="BV89" s="68"/>
      <c r="BW89" s="68"/>
      <c r="BX89" s="68"/>
      <c r="BY89" s="11"/>
      <c r="BZ89" s="68"/>
      <c r="CA89" s="68"/>
      <c r="CB89" s="68"/>
      <c r="CC89" s="68"/>
      <c r="CD89" s="11"/>
    </row>
    <row r="90" spans="1:82">
      <c r="A90" s="39" t="s">
        <v>2462</v>
      </c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68"/>
      <c r="AH90" s="68"/>
      <c r="AI90" s="68"/>
      <c r="AJ90" s="68"/>
      <c r="AK90" s="11"/>
      <c r="AL90" s="68"/>
      <c r="AM90" s="68"/>
      <c r="AN90" s="68"/>
      <c r="AO90" s="68"/>
      <c r="AP90" s="11"/>
      <c r="AQ90" s="68"/>
      <c r="AR90" s="68"/>
      <c r="AS90" s="68"/>
      <c r="AT90" s="68"/>
      <c r="AU90" s="11"/>
      <c r="AV90" s="68"/>
      <c r="AW90" s="68"/>
      <c r="AX90" s="68"/>
      <c r="AY90" s="68"/>
      <c r="AZ90" s="11"/>
      <c r="BA90" s="68"/>
      <c r="BB90" s="68"/>
      <c r="BC90" s="68"/>
      <c r="BD90" s="68"/>
      <c r="BE90" s="11"/>
      <c r="BF90" s="68"/>
      <c r="BG90" s="68"/>
      <c r="BH90" s="68"/>
      <c r="BI90" s="68"/>
      <c r="BJ90" s="11"/>
      <c r="BK90" s="68"/>
      <c r="BL90" s="68"/>
      <c r="BM90" s="68"/>
      <c r="BN90" s="68"/>
      <c r="BO90" s="11"/>
      <c r="BP90" s="68"/>
      <c r="BQ90" s="68"/>
      <c r="BR90" s="68"/>
      <c r="BS90" s="68"/>
      <c r="BT90" s="11"/>
      <c r="BU90" s="68"/>
      <c r="BV90" s="68"/>
      <c r="BW90" s="68"/>
      <c r="BX90" s="68"/>
      <c r="BY90" s="11"/>
      <c r="BZ90" s="68"/>
      <c r="CA90" s="68"/>
      <c r="CB90" s="68"/>
      <c r="CC90" s="68"/>
      <c r="CD90" s="11"/>
    </row>
    <row r="91" spans="1:82">
      <c r="A91" s="39"/>
      <c r="B91" s="11" t="s">
        <v>2502</v>
      </c>
      <c r="C91" s="11">
        <f>IF(ISERROR(MATCH($B91,'Production - Oil'!$B$65:$B$108,0)),0,VLOOKUP($B91,'Production - Oil'!$B$65:$CD$108,MATCH('Production - Total'!C$63,'Production - Oil'!$B$9:$CD$9),FALSE))+IF(ISERROR(MATCH($B91,'Production - Gas'!$B$65:$B$108,0)),0,VLOOKUP($B91,'Production - Gas'!$B$65:$CD$108,MATCH('Production - Total'!C$63,'Production - Gas'!$B$9:$CD$9),FALSE)/5.8)</f>
        <v>126</v>
      </c>
      <c r="D91" s="11">
        <f>IF(ISERROR(MATCH($B91,'Production - Oil'!$B$65:$B$108,0)),0,VLOOKUP($B91,'Production - Oil'!$B$65:$CD$108,MATCH('Production - Total'!D$63,'Production - Oil'!$B$9:$CD$9),FALSE))+IF(ISERROR(MATCH($B91,'Production - Gas'!$B$65:$B$108,0)),0,VLOOKUP($B91,'Production - Gas'!$B$65:$CD$108,MATCH('Production - Total'!D$63,'Production - Gas'!$B$9:$CD$9),FALSE)/5.8)</f>
        <v>113</v>
      </c>
      <c r="E91" s="11">
        <f>IF(ISERROR(MATCH($B91,'Production - Oil'!$B$65:$B$108,0)),0,VLOOKUP($B91,'Production - Oil'!$B$65:$CD$108,MATCH('Production - Total'!E$63,'Production - Oil'!$B$9:$CD$9),FALSE))+IF(ISERROR(MATCH($B91,'Production - Gas'!$B$65:$B$108,0)),0,VLOOKUP($B91,'Production - Gas'!$B$65:$CD$108,MATCH('Production - Total'!E$63,'Production - Gas'!$B$9:$CD$9),FALSE)/5.8)</f>
        <v>138</v>
      </c>
      <c r="F91" s="11">
        <f>IF(ISERROR(MATCH($B91,'Production - Oil'!$B$65:$B$108,0)),0,VLOOKUP($B91,'Production - Oil'!$B$65:$CD$108,MATCH('Production - Total'!F$63,'Production - Oil'!$B$9:$CD$9),FALSE))+IF(ISERROR(MATCH($B91,'Production - Gas'!$B$65:$B$108,0)),0,VLOOKUP($B91,'Production - Gas'!$B$65:$CD$108,MATCH('Production - Total'!F$63,'Production - Gas'!$B$9:$CD$9),FALSE)/5.8)</f>
        <v>142</v>
      </c>
      <c r="G91" s="11">
        <f>IF(ISERROR(MATCH($B91,'Production - Oil'!$B$65:$B$108,0)),0,VLOOKUP($B91,'Production - Oil'!$B$65:$CD$108,MATCH('Production - Total'!G$63,'Production - Oil'!$B$9:$CD$9),FALSE))+IF(ISERROR(MATCH($B91,'Production - Gas'!$B$65:$B$108,0)),0,VLOOKUP($B91,'Production - Gas'!$B$65:$CD$108,MATCH('Production - Total'!G$63,'Production - Gas'!$B$9:$CD$9),FALSE)/5.8)</f>
        <v>148</v>
      </c>
      <c r="H91" s="11"/>
      <c r="I91" s="11"/>
      <c r="J91" s="11"/>
      <c r="K91" s="11"/>
      <c r="L91" s="11">
        <f>IF(ISERROR(MATCH($B91,'Production - Oil'!$B$65:$B$108,0)),0,VLOOKUP($B91,'Production - Oil'!$B$65:$CD$108,MATCH('Production - Total'!L$63,'Production - Oil'!$B$9:$CD$9),FALSE))+IF(ISERROR(MATCH($B91,'Production - Gas'!$B$65:$B$108,0)),0,VLOOKUP($B91,'Production - Gas'!$B$65:$CD$108,MATCH('Production - Total'!L$63,'Production - Gas'!$B$9:$CD$9),FALSE)/5.8)</f>
        <v>163</v>
      </c>
      <c r="M91" s="11"/>
      <c r="N91" s="11"/>
      <c r="O91" s="11"/>
      <c r="P91" s="11"/>
      <c r="Q91" s="11">
        <f>IF(ISERROR(MATCH($B91,'Production - Oil'!$B$65:$B$108,0)),0,VLOOKUP($B91,'Production - Oil'!$B$65:$CD$108,MATCH('Production - Total'!Q$63,'Production - Oil'!$B$9:$CD$9),FALSE))+IF(ISERROR(MATCH($B91,'Production - Gas'!$B$65:$B$108,0)),0,VLOOKUP($B91,'Production - Gas'!$B$65:$CD$108,MATCH('Production - Total'!Q$63,'Production - Gas'!$B$9:$CD$9),FALSE)/5.8)</f>
        <v>192</v>
      </c>
      <c r="R91" s="11"/>
      <c r="S91" s="11"/>
      <c r="T91" s="11"/>
      <c r="U91" s="11"/>
      <c r="V91" s="11">
        <f>IF(ISERROR(MATCH($B91,'Production - Oil'!$B$65:$B$108,0)),0,VLOOKUP($B91,'Production - Oil'!$B$65:$CD$108,MATCH('Production - Total'!V$63,'Production - Oil'!$B$9:$CD$9),FALSE))+IF(ISERROR(MATCH($B91,'Production - Gas'!$B$65:$B$108,0)),0,VLOOKUP($B91,'Production - Gas'!$B$65:$CD$108,MATCH('Production - Total'!V$63,'Production - Gas'!$B$9:$CD$9),FALSE)/5.8)</f>
        <v>210</v>
      </c>
      <c r="W91" s="11"/>
      <c r="X91" s="11"/>
      <c r="Y91" s="11"/>
      <c r="Z91" s="11"/>
      <c r="AA91" s="11">
        <f>IF(ISERROR(MATCH($B91,'Production - Oil'!$B$65:$B$108,0)),0,VLOOKUP($B91,'Production - Oil'!$B$65:$CD$108,MATCH('Production - Total'!AA$63,'Production - Oil'!$B$9:$CD$9),FALSE))+IF(ISERROR(MATCH($B91,'Production - Gas'!$B$65:$B$108,0)),0,VLOOKUP($B91,'Production - Gas'!$B$65:$CD$108,MATCH('Production - Total'!AA$63,'Production - Gas'!$B$9:$CD$9),FALSE)/5.8)</f>
        <v>182</v>
      </c>
      <c r="AB91" s="11"/>
      <c r="AC91" s="11"/>
      <c r="AD91" s="11"/>
      <c r="AE91" s="11"/>
      <c r="AF91" s="11">
        <f>IF(ISERROR(MATCH($B91,'Production - Oil'!$B$65:$B$108,0)),0,VLOOKUP($B91,'Production - Oil'!$B$65:$CD$108,MATCH('Production - Total'!AF$63,'Production - Oil'!$B$9:$CD$9),FALSE))+IF(ISERROR(MATCH($B91,'Production - Gas'!$B$65:$B$108,0)),0,VLOOKUP($B91,'Production - Gas'!$B$65:$CD$108,MATCH('Production - Total'!AF$63,'Production - Gas'!$B$9:$CD$9),FALSE)/5.8)</f>
        <v>190</v>
      </c>
      <c r="AG91" s="68">
        <f>VLOOKUP($B91,'Production - Oil'!$B$63:$CD$110,MATCH('Production - Total'!AG$63,'Production - Oil'!$B$63:$CD$63,0),FALSE)</f>
        <v>0</v>
      </c>
      <c r="AH91" s="68">
        <f>VLOOKUP($B91,'Production - Oil'!$B$63:$CD$110,MATCH('Production - Total'!AH$63,'Production - Oil'!$B$63:$CD$63,0),FALSE)</f>
        <v>0</v>
      </c>
      <c r="AI91" s="68">
        <f>VLOOKUP($B91,'Production - Oil'!$B$63:$CD$110,MATCH('Production - Total'!AI$63,'Production - Oil'!$B$63:$CD$63,0),FALSE)</f>
        <v>0</v>
      </c>
      <c r="AJ91" s="68">
        <f>VLOOKUP($B91,'Production - Oil'!$B$63:$CD$110,MATCH('Production - Total'!AJ$63,'Production - Oil'!$B$63:$CD$63,0),FALSE)</f>
        <v>0</v>
      </c>
      <c r="AK91" s="11">
        <f>IF(ISERROR(MATCH($B91,'Production - Oil'!$B$65:$B$108,0)),0,VLOOKUP($B91,'Production - Oil'!$B$65:$CD$108,MATCH('Production - Total'!AK$63,'Production - Oil'!$B$9:$CD$9),FALSE))+IF(ISERROR(MATCH($B91,'Production - Gas'!$B$65:$B$108,0)),0,VLOOKUP($B91,'Production - Gas'!$B$65:$CD$108,MATCH('Production - Total'!AK$63,'Production - Gas'!$B$9:$CD$9),FALSE)/5.8)</f>
        <v>209</v>
      </c>
      <c r="AL91" s="68">
        <f>VLOOKUP($B91,'Production - Oil'!$B$63:$CD$110,MATCH('Production - Total'!AL$63,'Production - Oil'!$B$63:$CD$63,0),FALSE)</f>
        <v>0</v>
      </c>
      <c r="AM91" s="68">
        <f>VLOOKUP($B91,'Production - Oil'!$B$63:$CD$110,MATCH('Production - Total'!AM$63,'Production - Oil'!$B$63:$CD$63,0),FALSE)</f>
        <v>0</v>
      </c>
      <c r="AN91" s="68">
        <f>VLOOKUP($B91,'Production - Oil'!$B$63:$CD$110,MATCH('Production - Total'!AN$63,'Production - Oil'!$B$63:$CD$63,0),FALSE)</f>
        <v>0</v>
      </c>
      <c r="AO91" s="68">
        <f>VLOOKUP($B91,'Production - Oil'!$B$63:$CD$110,MATCH('Production - Total'!AO$63,'Production - Oil'!$B$63:$CD$63,0),FALSE)</f>
        <v>0</v>
      </c>
      <c r="AP91" s="11">
        <f>IF(ISERROR(MATCH($B91,'Production - Oil'!$B$65:$B$108,0)),0,VLOOKUP($B91,'Production - Oil'!$B$65:$CD$108,MATCH('Production - Total'!AP$63,'Production - Oil'!$B$9:$CD$9),FALSE))+IF(ISERROR(MATCH($B91,'Production - Gas'!$B$65:$B$108,0)),0,VLOOKUP($B91,'Production - Gas'!$B$65:$CD$108,MATCH('Production - Total'!AP$63,'Production - Gas'!$B$9:$CD$9),FALSE)/5.8)</f>
        <v>216</v>
      </c>
      <c r="AQ91" s="82"/>
      <c r="AR91" s="82"/>
      <c r="AS91" s="82"/>
      <c r="AT91" s="82"/>
      <c r="AU91" s="11">
        <f>IF(ISERROR(MATCH($B91,'Production - Oil'!$B$65:$B$108,0)),0,VLOOKUP($B91,'Production - Oil'!$B$65:$CD$108,MATCH('Production - Total'!AU$63,'Production - Oil'!$B$9:$CD$9),FALSE))+IF(ISERROR(MATCH($B91,'Production - Gas'!$B$65:$B$108,0)),0,VLOOKUP($B91,'Production - Gas'!$B$65:$CD$108,MATCH('Production - Total'!AU$63,'Production - Gas'!$B$9:$CD$9),FALSE)/5.8)</f>
        <v>231</v>
      </c>
      <c r="AV91" s="82"/>
      <c r="AW91" s="82"/>
      <c r="AX91" s="82"/>
      <c r="AY91" s="82"/>
      <c r="AZ91" s="11">
        <f>IF(ISERROR(MATCH($B91,'Production - Oil'!$B$65:$B$108,0)),0,VLOOKUP($B91,'Production - Oil'!$B$65:$CD$108,MATCH('Production - Total'!AZ$63,'Production - Oil'!$B$9:$CD$9),FALSE))+IF(ISERROR(MATCH($B91,'Production - Gas'!$B$65:$B$108,0)),0,VLOOKUP($B91,'Production - Gas'!$B$65:$CD$108,MATCH('Production - Total'!AZ$63,'Production - Gas'!$B$9:$CD$9),FALSE)/5.8)</f>
        <v>97</v>
      </c>
      <c r="BA91" s="82"/>
      <c r="BB91" s="82"/>
      <c r="BC91" s="82"/>
      <c r="BD91" s="82"/>
      <c r="BE91" s="11">
        <f>IF(ISERROR(MATCH($B91,'Production - Oil'!$B$65:$B$108,0)),0,VLOOKUP($B91,'Production - Oil'!$B$65:$CD$108,MATCH('Production - Total'!BE$63,'Production - Oil'!$B$9:$CD$9),FALSE))+IF(ISERROR(MATCH($B91,'Production - Gas'!$B$65:$B$108,0)),0,VLOOKUP($B91,'Production - Gas'!$B$65:$CD$108,MATCH('Production - Total'!BE$63,'Production - Gas'!$B$9:$CD$9),FALSE)/5.8)</f>
        <v>96</v>
      </c>
      <c r="BF91" s="82"/>
      <c r="BG91" s="82"/>
      <c r="BH91" s="82"/>
      <c r="BI91" s="82"/>
      <c r="BJ91" s="11">
        <f>IF(ISERROR(MATCH($B91,'Production - Oil'!$B$65:$B$108,0)),0,VLOOKUP($B91,'Production - Oil'!$B$65:$CD$108,MATCH('Production - Total'!BJ$63,'Production - Oil'!$B$9:$CD$9),FALSE))+IF(ISERROR(MATCH($B91,'Production - Gas'!$B$65:$B$108,0)),0,VLOOKUP($B91,'Production - Gas'!$B$65:$CD$108,MATCH('Production - Total'!BJ$63,'Production - Gas'!$B$9:$CD$9),FALSE)/5.8)</f>
        <v>101</v>
      </c>
      <c r="BK91" s="82"/>
      <c r="BL91" s="82"/>
      <c r="BM91" s="82"/>
      <c r="BN91" s="82"/>
      <c r="BO91" s="11">
        <f>'Production - Oil'!BO91+'Production - Gas'!BO91/5.8</f>
        <v>99</v>
      </c>
      <c r="BP91" s="68">
        <f>VLOOKUP($B91,'Production - Oil'!$B$63:$CD$110,MATCH('Production - Total'!BP$63,'Production - Oil'!$B$63:$CD$63,0),FALSE)</f>
        <v>19.8</v>
      </c>
      <c r="BQ91" s="68">
        <f>VLOOKUP($B91,'Production - Oil'!$B$63:$CD$110,MATCH('Production - Total'!BQ$63,'Production - Oil'!$B$63:$CD$63,0),FALSE)</f>
        <v>19.8</v>
      </c>
      <c r="BR91" s="68">
        <f>VLOOKUP($B91,'Production - Oil'!$B$63:$CD$110,MATCH('Production - Total'!BR$63,'Production - Oil'!$B$63:$CD$63,0),FALSE)</f>
        <v>19.8</v>
      </c>
      <c r="BS91" s="68">
        <f>VLOOKUP($B91,'Production - Oil'!$B$63:$CD$110,MATCH('Production - Total'!BS$63,'Production - Oil'!$B$63:$CD$63,0),FALSE)</f>
        <v>19.8</v>
      </c>
      <c r="BT91" s="47">
        <f>VLOOKUP($B91,'Production - Oil'!$B$63:$CD$110,MATCH('Production - Total'!BT$63,'Production - Oil'!$B$63:$CD$63,0),FALSE)</f>
        <v>19.8</v>
      </c>
      <c r="BU91" s="68">
        <f>VLOOKUP($B91,'Production - Oil'!$B$63:$CD$110,MATCH('Production - Total'!BU$63,'Production - Oil'!$B$63:$CD$63,0),FALSE)</f>
        <v>0</v>
      </c>
      <c r="BV91" s="68">
        <f>VLOOKUP($B91,'Production - Oil'!$B$63:$CD$110,MATCH('Production - Total'!BV$63,'Production - Oil'!$B$63:$CD$63,0),FALSE)</f>
        <v>0</v>
      </c>
      <c r="BW91" s="68">
        <f>VLOOKUP($B91,'Production - Oil'!$B$63:$CD$110,MATCH('Production - Total'!BW$63,'Production - Oil'!$B$63:$CD$63,0),FALSE)</f>
        <v>0</v>
      </c>
      <c r="BX91" s="68">
        <f>VLOOKUP($B91,'Production - Oil'!$B$63:$CD$110,MATCH('Production - Total'!BX$63,'Production - Oil'!$B$63:$CD$63,0),FALSE)</f>
        <v>0</v>
      </c>
      <c r="BY91" s="47">
        <f>VLOOKUP($B91,'Production - Oil'!$B$63:$CD$110,MATCH('Production - Total'!BY$63,'Production - Oil'!$B$63:$CD$63,0),FALSE)</f>
        <v>0</v>
      </c>
      <c r="BZ91" s="68">
        <f>VLOOKUP($B91,'Production - Oil'!$B$63:$CD$110,MATCH('Production - Total'!BZ$63,'Production - Oil'!$B$63:$CD$63,0),FALSE)</f>
        <v>0</v>
      </c>
      <c r="CA91" s="68">
        <f>VLOOKUP($B91,'Production - Oil'!$B$63:$CD$110,MATCH('Production - Total'!CA$63,'Production - Oil'!$B$63:$CD$63,0),FALSE)</f>
        <v>0</v>
      </c>
      <c r="CB91" s="68">
        <f>VLOOKUP($B91,'Production - Oil'!$B$63:$CD$110,MATCH('Production - Total'!CB$63,'Production - Oil'!$B$63:$CD$63,0),FALSE)</f>
        <v>0</v>
      </c>
      <c r="CC91" s="68">
        <f>VLOOKUP($B91,'Production - Oil'!$B$63:$CD$110,MATCH('Production - Total'!CC$63,'Production - Oil'!$B$63:$CD$63,0),FALSE)</f>
        <v>0</v>
      </c>
      <c r="CD91" s="47">
        <f>VLOOKUP($B91,'Production - Oil'!$B$63:$CD$110,MATCH('Production - Total'!CD$63,'Production - Oil'!$B$63:$CD$63,0),FALSE)</f>
        <v>0</v>
      </c>
    </row>
    <row r="92" spans="1:82">
      <c r="A92" s="11"/>
      <c r="B92" s="11" t="s">
        <v>726</v>
      </c>
      <c r="C92" s="11">
        <f>IF(ISERROR(MATCH($B92,'Production - Oil'!$B$65:$B$108,0)),0,VLOOKUP($B92,'Production - Oil'!$B$65:$CD$108,MATCH('Production - Total'!C$63,'Production - Oil'!$B$9:$CD$9),FALSE))+IF(ISERROR(MATCH($B92,'Production - Gas'!$B$65:$B$108,0)),0,VLOOKUP($B92,'Production - Gas'!$B$65:$CD$108,MATCH('Production - Total'!C$63,'Production - Gas'!$B$9:$CD$9),FALSE)/5.8)</f>
        <v>0</v>
      </c>
      <c r="D92" s="11">
        <f>IF(ISERROR(MATCH($B92,'Production - Oil'!$B$65:$B$108,0)),0,VLOOKUP($B92,'Production - Oil'!$B$65:$CD$108,MATCH('Production - Total'!D$63,'Production - Oil'!$B$9:$CD$9),FALSE))+IF(ISERROR(MATCH($B92,'Production - Gas'!$B$65:$B$108,0)),0,VLOOKUP($B92,'Production - Gas'!$B$65:$CD$108,MATCH('Production - Total'!D$63,'Production - Gas'!$B$9:$CD$9),FALSE)/5.8)</f>
        <v>0</v>
      </c>
      <c r="E92" s="11">
        <f>IF(ISERROR(MATCH($B92,'Production - Oil'!$B$65:$B$108,0)),0,VLOOKUP($B92,'Production - Oil'!$B$65:$CD$108,MATCH('Production - Total'!E$63,'Production - Oil'!$B$9:$CD$9),FALSE))+IF(ISERROR(MATCH($B92,'Production - Gas'!$B$65:$B$108,0)),0,VLOOKUP($B92,'Production - Gas'!$B$65:$CD$108,MATCH('Production - Total'!E$63,'Production - Gas'!$B$9:$CD$9),FALSE)/5.8)</f>
        <v>0</v>
      </c>
      <c r="F92" s="11">
        <f>IF(ISERROR(MATCH($B92,'Production - Oil'!$B$65:$B$108,0)),0,VLOOKUP($B92,'Production - Oil'!$B$65:$CD$108,MATCH('Production - Total'!F$63,'Production - Oil'!$B$9:$CD$9),FALSE))+IF(ISERROR(MATCH($B92,'Production - Gas'!$B$65:$B$108,0)),0,VLOOKUP($B92,'Production - Gas'!$B$65:$CD$108,MATCH('Production - Total'!F$63,'Production - Gas'!$B$9:$CD$9),FALSE)/5.8)</f>
        <v>0</v>
      </c>
      <c r="G92" s="11">
        <f>IF(ISERROR(MATCH($B92,'Production - Oil'!$B$65:$B$108,0)),0,VLOOKUP($B92,'Production - Oil'!$B$65:$CD$108,MATCH('Production - Total'!G$63,'Production - Oil'!$B$9:$CD$9),FALSE))+IF(ISERROR(MATCH($B92,'Production - Gas'!$B$65:$B$108,0)),0,VLOOKUP($B92,'Production - Gas'!$B$65:$CD$108,MATCH('Production - Total'!G$63,'Production - Gas'!$B$9:$CD$9),FALSE)/5.8)</f>
        <v>0</v>
      </c>
      <c r="H92" s="11"/>
      <c r="I92" s="11"/>
      <c r="J92" s="11"/>
      <c r="K92" s="11"/>
      <c r="L92" s="11">
        <f>IF(ISERROR(MATCH($B92,'Production - Oil'!$B$65:$B$108,0)),0,VLOOKUP($B92,'Production - Oil'!$B$65:$CD$108,MATCH('Production - Total'!L$63,'Production - Oil'!$B$9:$CD$9),FALSE))+IF(ISERROR(MATCH($B92,'Production - Gas'!$B$65:$B$108,0)),0,VLOOKUP($B92,'Production - Gas'!$B$65:$CD$108,MATCH('Production - Total'!L$63,'Production - Gas'!$B$9:$CD$9),FALSE)/5.8)</f>
        <v>0</v>
      </c>
      <c r="M92" s="11"/>
      <c r="N92" s="11"/>
      <c r="O92" s="11"/>
      <c r="P92" s="11"/>
      <c r="Q92" s="11">
        <f>IF(ISERROR(MATCH($B92,'Production - Oil'!$B$65:$B$108,0)),0,VLOOKUP($B92,'Production - Oil'!$B$65:$CD$108,MATCH('Production - Total'!Q$63,'Production - Oil'!$B$9:$CD$9),FALSE))+IF(ISERROR(MATCH($B92,'Production - Gas'!$B$65:$B$108,0)),0,VLOOKUP($B92,'Production - Gas'!$B$65:$CD$108,MATCH('Production - Total'!Q$63,'Production - Gas'!$B$9:$CD$9),FALSE)/5.8)</f>
        <v>0</v>
      </c>
      <c r="R92" s="11"/>
      <c r="S92" s="11"/>
      <c r="T92" s="11"/>
      <c r="U92" s="11"/>
      <c r="V92" s="11">
        <f>IF(ISERROR(MATCH($B92,'Production - Oil'!$B$65:$B$108,0)),0,VLOOKUP($B92,'Production - Oil'!$B$65:$CD$108,MATCH('Production - Total'!V$63,'Production - Oil'!$B$9:$CD$9),FALSE))+IF(ISERROR(MATCH($B92,'Production - Gas'!$B$65:$B$108,0)),0,VLOOKUP($B92,'Production - Gas'!$B$65:$CD$108,MATCH('Production - Total'!V$63,'Production - Gas'!$B$9:$CD$9),FALSE)/5.8)</f>
        <v>0</v>
      </c>
      <c r="W92" s="11"/>
      <c r="X92" s="11"/>
      <c r="Y92" s="11"/>
      <c r="Z92" s="11"/>
      <c r="AA92" s="11">
        <f>IF(ISERROR(MATCH($B92,'Production - Oil'!$B$65:$B$108,0)),0,VLOOKUP($B92,'Production - Oil'!$B$65:$CD$108,MATCH('Production - Total'!AA$63,'Production - Oil'!$B$9:$CD$9),FALSE))+IF(ISERROR(MATCH($B92,'Production - Gas'!$B$65:$B$108,0)),0,VLOOKUP($B92,'Production - Gas'!$B$65:$CD$108,MATCH('Production - Total'!AA$63,'Production - Gas'!$B$9:$CD$9),FALSE)/5.8)</f>
        <v>0</v>
      </c>
      <c r="AB92" s="11"/>
      <c r="AC92" s="11"/>
      <c r="AD92" s="11"/>
      <c r="AE92" s="11"/>
      <c r="AF92" s="11">
        <f>IF(ISERROR(MATCH($B92,'Production - Oil'!$B$65:$B$108,0)),0,VLOOKUP($B92,'Production - Oil'!$B$65:$CD$108,MATCH('Production - Total'!AF$63,'Production - Oil'!$B$9:$CD$9),FALSE))+IF(ISERROR(MATCH($B92,'Production - Gas'!$B$65:$B$108,0)),0,VLOOKUP($B92,'Production - Gas'!$B$65:$CD$108,MATCH('Production - Total'!AF$63,'Production - Gas'!$B$9:$CD$9),FALSE)/5.8)</f>
        <v>0</v>
      </c>
      <c r="AG92" s="82"/>
      <c r="AH92" s="82"/>
      <c r="AI92" s="82"/>
      <c r="AJ92" s="82"/>
      <c r="AK92" s="11">
        <f>IF(ISERROR(MATCH($B92,'Production - Oil'!$B$65:$B$108,0)),0,VLOOKUP($B92,'Production - Oil'!$B$65:$CD$108,MATCH('Production - Total'!AK$63,'Production - Oil'!$B$9:$CD$9),FALSE))+IF(ISERROR(MATCH($B92,'Production - Gas'!$B$65:$B$108,0)),0,VLOOKUP($B92,'Production - Gas'!$B$65:$CD$108,MATCH('Production - Total'!AK$63,'Production - Gas'!$B$9:$CD$9),FALSE)/5.8)</f>
        <v>0</v>
      </c>
      <c r="AL92" s="82"/>
      <c r="AM92" s="82"/>
      <c r="AN92" s="82"/>
      <c r="AO92" s="82"/>
      <c r="AP92" s="11">
        <f>IF(ISERROR(MATCH($B92,'Production - Oil'!$B$65:$B$108,0)),0,VLOOKUP($B92,'Production - Oil'!$B$65:$CD$108,MATCH('Production - Total'!AP$63,'Production - Oil'!$B$9:$CD$9),FALSE))+IF(ISERROR(MATCH($B92,'Production - Gas'!$B$65:$B$108,0)),0,VLOOKUP($B92,'Production - Gas'!$B$65:$CD$108,MATCH('Production - Total'!AP$63,'Production - Gas'!$B$9:$CD$9),FALSE)/5.8)</f>
        <v>0</v>
      </c>
      <c r="AQ92" s="82"/>
      <c r="AR92" s="82"/>
      <c r="AS92" s="82"/>
      <c r="AT92" s="82"/>
      <c r="AU92" s="11">
        <f>IF(ISERROR(MATCH($B92,'Production - Oil'!$B$65:$B$108,0)),0,VLOOKUP($B92,'Production - Oil'!$B$65:$CD$108,MATCH('Production - Total'!AU$63,'Production - Oil'!$B$9:$CD$9),FALSE))+IF(ISERROR(MATCH($B92,'Production - Gas'!$B$65:$B$108,0)),0,VLOOKUP($B92,'Production - Gas'!$B$65:$CD$108,MATCH('Production - Total'!AU$63,'Production - Gas'!$B$9:$CD$9),FALSE)/5.8)</f>
        <v>0</v>
      </c>
      <c r="AV92" s="82"/>
      <c r="AW92" s="82"/>
      <c r="AX92" s="82"/>
      <c r="AY92" s="82"/>
      <c r="AZ92" s="11">
        <f>IF(ISERROR(MATCH($B92,'Production - Oil'!$B$65:$B$108,0)),0,VLOOKUP($B92,'Production - Oil'!$B$65:$CD$108,MATCH('Production - Total'!AZ$63,'Production - Oil'!$B$9:$CD$9),FALSE))+IF(ISERROR(MATCH($B92,'Production - Gas'!$B$65:$B$108,0)),0,VLOOKUP($B92,'Production - Gas'!$B$65:$CD$108,MATCH('Production - Total'!AZ$63,'Production - Gas'!$B$9:$CD$9),FALSE)/5.8)</f>
        <v>0</v>
      </c>
      <c r="BA92" s="82"/>
      <c r="BB92" s="82"/>
      <c r="BC92" s="82"/>
      <c r="BD92" s="82"/>
      <c r="BE92" s="11">
        <f>IF(ISERROR(MATCH($B92,'Production - Oil'!$B$65:$B$108,0)),0,VLOOKUP($B92,'Production - Oil'!$B$65:$CD$108,MATCH('Production - Total'!BE$63,'Production - Oil'!$B$9:$CD$9),FALSE))+IF(ISERROR(MATCH($B92,'Production - Gas'!$B$65:$B$108,0)),0,VLOOKUP($B92,'Production - Gas'!$B$65:$CD$108,MATCH('Production - Total'!BE$63,'Production - Gas'!$B$9:$CD$9),FALSE)/5.8)</f>
        <v>0</v>
      </c>
      <c r="BF92" s="82"/>
      <c r="BG92" s="82"/>
      <c r="BH92" s="82"/>
      <c r="BI92" s="82"/>
      <c r="BJ92" s="11">
        <f>IF(ISERROR(MATCH($B92,'Production - Oil'!$B$65:$B$108,0)),0,VLOOKUP($B92,'Production - Oil'!$B$65:$CD$108,MATCH('Production - Total'!BJ$63,'Production - Oil'!$B$9:$CD$9),FALSE))+IF(ISERROR(MATCH($B92,'Production - Gas'!$B$65:$B$108,0)),0,VLOOKUP($B92,'Production - Gas'!$B$65:$CD$108,MATCH('Production - Total'!BJ$63,'Production - Gas'!$B$9:$CD$9),FALSE)/5.8)</f>
        <v>0</v>
      </c>
      <c r="BK92" s="82"/>
      <c r="BL92" s="82"/>
      <c r="BM92" s="82"/>
      <c r="BN92" s="82"/>
      <c r="BO92" s="11">
        <f>'Production - Oil'!BO92+'Production - Gas'!BO92/5.8</f>
        <v>0</v>
      </c>
      <c r="BP92" s="82"/>
      <c r="BQ92" s="82"/>
      <c r="BR92" s="82"/>
      <c r="BS92" s="82"/>
      <c r="BT92" s="51"/>
      <c r="BU92" s="82"/>
      <c r="BV92" s="82"/>
      <c r="BW92" s="82"/>
      <c r="BX92" s="82"/>
      <c r="BY92" s="51"/>
      <c r="BZ92" s="82"/>
      <c r="CA92" s="82"/>
      <c r="CB92" s="82"/>
      <c r="CC92" s="82"/>
      <c r="CD92" s="51"/>
    </row>
    <row r="93" spans="1:82">
      <c r="A93" s="11"/>
      <c r="B93" s="11" t="s">
        <v>216</v>
      </c>
      <c r="C93" s="11">
        <f>IF(ISERROR(MATCH($B93,'Production - Oil'!$B$65:$B$108,0)),0,VLOOKUP($B93,'Production - Oil'!$B$65:$CD$108,MATCH('Production - Total'!C$63,'Production - Oil'!$B$9:$CD$9),FALSE))+IF(ISERROR(MATCH($B93,'Production - Gas'!$B$65:$B$108,0)),0,VLOOKUP($B93,'Production - Gas'!$B$65:$CD$108,MATCH('Production - Total'!C$63,'Production - Gas'!$B$9:$CD$9),FALSE)/5.8)</f>
        <v>0</v>
      </c>
      <c r="D93" s="11">
        <f>IF(ISERROR(MATCH($B93,'Production - Oil'!$B$65:$B$108,0)),0,VLOOKUP($B93,'Production - Oil'!$B$65:$CD$108,MATCH('Production - Total'!D$63,'Production - Oil'!$B$9:$CD$9),FALSE))+IF(ISERROR(MATCH($B93,'Production - Gas'!$B$65:$B$108,0)),0,VLOOKUP($B93,'Production - Gas'!$B$65:$CD$108,MATCH('Production - Total'!D$63,'Production - Gas'!$B$9:$CD$9),FALSE)/5.8)</f>
        <v>0</v>
      </c>
      <c r="E93" s="11">
        <f>IF(ISERROR(MATCH($B93,'Production - Oil'!$B$65:$B$108,0)),0,VLOOKUP($B93,'Production - Oil'!$B$65:$CD$108,MATCH('Production - Total'!E$63,'Production - Oil'!$B$9:$CD$9),FALSE))+IF(ISERROR(MATCH($B93,'Production - Gas'!$B$65:$B$108,0)),0,VLOOKUP($B93,'Production - Gas'!$B$65:$CD$108,MATCH('Production - Total'!E$63,'Production - Gas'!$B$9:$CD$9),FALSE)/5.8)</f>
        <v>0</v>
      </c>
      <c r="F93" s="11">
        <f>IF(ISERROR(MATCH($B93,'Production - Oil'!$B$65:$B$108,0)),0,VLOOKUP($B93,'Production - Oil'!$B$65:$CD$108,MATCH('Production - Total'!F$63,'Production - Oil'!$B$9:$CD$9),FALSE))+IF(ISERROR(MATCH($B93,'Production - Gas'!$B$65:$B$108,0)),0,VLOOKUP($B93,'Production - Gas'!$B$65:$CD$108,MATCH('Production - Total'!F$63,'Production - Gas'!$B$9:$CD$9),FALSE)/5.8)</f>
        <v>0</v>
      </c>
      <c r="G93" s="11">
        <f>IF(ISERROR(MATCH($B93,'Production - Oil'!$B$65:$B$108,0)),0,VLOOKUP($B93,'Production - Oil'!$B$65:$CD$108,MATCH('Production - Total'!G$63,'Production - Oil'!$B$9:$CD$9),FALSE))+IF(ISERROR(MATCH($B93,'Production - Gas'!$B$65:$B$108,0)),0,VLOOKUP($B93,'Production - Gas'!$B$65:$CD$108,MATCH('Production - Total'!G$63,'Production - Gas'!$B$9:$CD$9),FALSE)/5.8)</f>
        <v>0</v>
      </c>
      <c r="H93" s="11"/>
      <c r="I93" s="11"/>
      <c r="J93" s="11"/>
      <c r="K93" s="11"/>
      <c r="L93" s="11">
        <f>IF(ISERROR(MATCH($B93,'Production - Oil'!$B$65:$B$108,0)),0,VLOOKUP($B93,'Production - Oil'!$B$65:$CD$108,MATCH('Production - Total'!L$63,'Production - Oil'!$B$9:$CD$9),FALSE))+IF(ISERROR(MATCH($B93,'Production - Gas'!$B$65:$B$108,0)),0,VLOOKUP($B93,'Production - Gas'!$B$65:$CD$108,MATCH('Production - Total'!L$63,'Production - Gas'!$B$9:$CD$9),FALSE)/5.8)</f>
        <v>0</v>
      </c>
      <c r="M93" s="11"/>
      <c r="N93" s="11"/>
      <c r="O93" s="11"/>
      <c r="P93" s="11"/>
      <c r="Q93" s="11">
        <f>IF(ISERROR(MATCH($B93,'Production - Oil'!$B$65:$B$108,0)),0,VLOOKUP($B93,'Production - Oil'!$B$65:$CD$108,MATCH('Production - Total'!Q$63,'Production - Oil'!$B$9:$CD$9),FALSE))+IF(ISERROR(MATCH($B93,'Production - Gas'!$B$65:$B$108,0)),0,VLOOKUP($B93,'Production - Gas'!$B$65:$CD$108,MATCH('Production - Total'!Q$63,'Production - Gas'!$B$9:$CD$9),FALSE)/5.8)</f>
        <v>0</v>
      </c>
      <c r="R93" s="11"/>
      <c r="S93" s="11"/>
      <c r="T93" s="11"/>
      <c r="U93" s="11"/>
      <c r="V93" s="11">
        <f>IF(ISERROR(MATCH($B93,'Production - Oil'!$B$65:$B$108,0)),0,VLOOKUP($B93,'Production - Oil'!$B$65:$CD$108,MATCH('Production - Total'!V$63,'Production - Oil'!$B$9:$CD$9),FALSE))+IF(ISERROR(MATCH($B93,'Production - Gas'!$B$65:$B$108,0)),0,VLOOKUP($B93,'Production - Gas'!$B$65:$CD$108,MATCH('Production - Total'!V$63,'Production - Gas'!$B$9:$CD$9),FALSE)/5.8)</f>
        <v>0</v>
      </c>
      <c r="W93" s="11"/>
      <c r="X93" s="11"/>
      <c r="Y93" s="11"/>
      <c r="Z93" s="11"/>
      <c r="AA93" s="11">
        <f>IF(ISERROR(MATCH($B93,'Production - Oil'!$B$65:$B$108,0)),0,VLOOKUP($B93,'Production - Oil'!$B$65:$CD$108,MATCH('Production - Total'!AA$63,'Production - Oil'!$B$9:$CD$9),FALSE))+IF(ISERROR(MATCH($B93,'Production - Gas'!$B$65:$B$108,0)),0,VLOOKUP($B93,'Production - Gas'!$B$65:$CD$108,MATCH('Production - Total'!AA$63,'Production - Gas'!$B$9:$CD$9),FALSE)/5.8)</f>
        <v>0</v>
      </c>
      <c r="AB93" s="11"/>
      <c r="AC93" s="11"/>
      <c r="AD93" s="11"/>
      <c r="AE93" s="11"/>
      <c r="AF93" s="11">
        <f>IF(ISERROR(MATCH($B93,'Production - Oil'!$B$65:$B$108,0)),0,VLOOKUP($B93,'Production - Oil'!$B$65:$CD$108,MATCH('Production - Total'!AF$63,'Production - Oil'!$B$9:$CD$9),FALSE))+IF(ISERROR(MATCH($B93,'Production - Gas'!$B$65:$B$108,0)),0,VLOOKUP($B93,'Production - Gas'!$B$65:$CD$108,MATCH('Production - Total'!AF$63,'Production - Gas'!$B$9:$CD$9),FALSE)/5.8)</f>
        <v>0</v>
      </c>
      <c r="AG93" s="82"/>
      <c r="AH93" s="82"/>
      <c r="AI93" s="82"/>
      <c r="AJ93" s="82"/>
      <c r="AK93" s="11">
        <f>IF(ISERROR(MATCH($B93,'Production - Oil'!$B$65:$B$108,0)),0,VLOOKUP($B93,'Production - Oil'!$B$65:$CD$108,MATCH('Production - Total'!AK$63,'Production - Oil'!$B$9:$CD$9),FALSE))+IF(ISERROR(MATCH($B93,'Production - Gas'!$B$65:$B$108,0)),0,VLOOKUP($B93,'Production - Gas'!$B$65:$CD$108,MATCH('Production - Total'!AK$63,'Production - Gas'!$B$9:$CD$9),FALSE)/5.8)</f>
        <v>0</v>
      </c>
      <c r="AL93" s="82"/>
      <c r="AM93" s="82"/>
      <c r="AN93" s="82"/>
      <c r="AO93" s="82"/>
      <c r="AP93" s="11">
        <f>IF(ISERROR(MATCH($B93,'Production - Oil'!$B$65:$B$108,0)),0,VLOOKUP($B93,'Production - Oil'!$B$65:$CD$108,MATCH('Production - Total'!AP$63,'Production - Oil'!$B$9:$CD$9),FALSE))+IF(ISERROR(MATCH($B93,'Production - Gas'!$B$65:$B$108,0)),0,VLOOKUP($B93,'Production - Gas'!$B$65:$CD$108,MATCH('Production - Total'!AP$63,'Production - Gas'!$B$9:$CD$9),FALSE)/5.8)</f>
        <v>0</v>
      </c>
      <c r="AQ93" s="82"/>
      <c r="AR93" s="82"/>
      <c r="AS93" s="82"/>
      <c r="AT93" s="82"/>
      <c r="AU93" s="11">
        <f>IF(ISERROR(MATCH($B93,'Production - Oil'!$B$65:$B$108,0)),0,VLOOKUP($B93,'Production - Oil'!$B$65:$CD$108,MATCH('Production - Total'!AU$63,'Production - Oil'!$B$9:$CD$9),FALSE))+IF(ISERROR(MATCH($B93,'Production - Gas'!$B$65:$B$108,0)),0,VLOOKUP($B93,'Production - Gas'!$B$65:$CD$108,MATCH('Production - Total'!AU$63,'Production - Gas'!$B$9:$CD$9),FALSE)/5.8)</f>
        <v>0</v>
      </c>
      <c r="AV93" s="82"/>
      <c r="AW93" s="82"/>
      <c r="AX93" s="82"/>
      <c r="AY93" s="82"/>
      <c r="AZ93" s="11">
        <f>IF(ISERROR(MATCH($B93,'Production - Oil'!$B$65:$B$108,0)),0,VLOOKUP($B93,'Production - Oil'!$B$65:$CD$108,MATCH('Production - Total'!AZ$63,'Production - Oil'!$B$9:$CD$9),FALSE))+IF(ISERROR(MATCH($B93,'Production - Gas'!$B$65:$B$108,0)),0,VLOOKUP($B93,'Production - Gas'!$B$65:$CD$108,MATCH('Production - Total'!AZ$63,'Production - Gas'!$B$9:$CD$9),FALSE)/5.8)</f>
        <v>0</v>
      </c>
      <c r="BA93" s="82"/>
      <c r="BB93" s="82"/>
      <c r="BC93" s="82"/>
      <c r="BD93" s="82"/>
      <c r="BE93" s="11">
        <f>IF(ISERROR(MATCH($B93,'Production - Oil'!$B$65:$B$108,0)),0,VLOOKUP($B93,'Production - Oil'!$B$65:$CD$108,MATCH('Production - Total'!BE$63,'Production - Oil'!$B$9:$CD$9),FALSE))+IF(ISERROR(MATCH($B93,'Production - Gas'!$B$65:$B$108,0)),0,VLOOKUP($B93,'Production - Gas'!$B$65:$CD$108,MATCH('Production - Total'!BE$63,'Production - Gas'!$B$9:$CD$9),FALSE)/5.8)</f>
        <v>0</v>
      </c>
      <c r="BF93" s="82"/>
      <c r="BG93" s="82"/>
      <c r="BH93" s="82"/>
      <c r="BI93" s="82"/>
      <c r="BJ93" s="11">
        <f>IF(ISERROR(MATCH($B93,'Production - Oil'!$B$65:$B$108,0)),0,VLOOKUP($B93,'Production - Oil'!$B$65:$CD$108,MATCH('Production - Total'!BJ$63,'Production - Oil'!$B$9:$CD$9),FALSE))+IF(ISERROR(MATCH($B93,'Production - Gas'!$B$65:$B$108,0)),0,VLOOKUP($B93,'Production - Gas'!$B$65:$CD$108,MATCH('Production - Total'!BJ$63,'Production - Gas'!$B$9:$CD$9),FALSE)/5.8)</f>
        <v>0</v>
      </c>
      <c r="BK93" s="82"/>
      <c r="BL93" s="82"/>
      <c r="BM93" s="82"/>
      <c r="BN93" s="82"/>
      <c r="BO93" s="11">
        <f>'Production - Oil'!BO93+'Production - Gas'!BO93/5.8</f>
        <v>0</v>
      </c>
      <c r="BP93" s="82"/>
      <c r="BQ93" s="82"/>
      <c r="BR93" s="82"/>
      <c r="BS93" s="82"/>
      <c r="BT93" s="51"/>
      <c r="BU93" s="82"/>
      <c r="BV93" s="82"/>
      <c r="BW93" s="82"/>
      <c r="BX93" s="82"/>
      <c r="BY93" s="51"/>
      <c r="BZ93" s="82"/>
      <c r="CA93" s="82"/>
      <c r="CB93" s="82"/>
      <c r="CC93" s="82"/>
      <c r="CD93" s="51"/>
    </row>
    <row r="94" spans="1:82">
      <c r="A94" s="11"/>
      <c r="B94" s="11" t="s">
        <v>138</v>
      </c>
      <c r="C94" s="11">
        <f>IF(ISERROR(MATCH($B94,'Production - Oil'!$B$65:$B$108,0)),0,VLOOKUP($B94,'Production - Oil'!$B$65:$CD$108,MATCH('Production - Total'!C$63,'Production - Oil'!$B$9:$CD$9),FALSE))+IF(ISERROR(MATCH($B94,'Production - Gas'!$B$65:$B$108,0)),0,VLOOKUP($B94,'Production - Gas'!$B$65:$CD$108,MATCH('Production - Total'!C$63,'Production - Gas'!$B$9:$CD$9),FALSE)/5.8)</f>
        <v>0</v>
      </c>
      <c r="D94" s="11">
        <f>IF(ISERROR(MATCH($B94,'Production - Oil'!$B$65:$B$108,0)),0,VLOOKUP($B94,'Production - Oil'!$B$65:$CD$108,MATCH('Production - Total'!D$63,'Production - Oil'!$B$9:$CD$9),FALSE))+IF(ISERROR(MATCH($B94,'Production - Gas'!$B$65:$B$108,0)),0,VLOOKUP($B94,'Production - Gas'!$B$65:$CD$108,MATCH('Production - Total'!D$63,'Production - Gas'!$B$9:$CD$9),FALSE)/5.8)</f>
        <v>0</v>
      </c>
      <c r="E94" s="11">
        <f>IF(ISERROR(MATCH($B94,'Production - Oil'!$B$65:$B$108,0)),0,VLOOKUP($B94,'Production - Oil'!$B$65:$CD$108,MATCH('Production - Total'!E$63,'Production - Oil'!$B$9:$CD$9),FALSE))+IF(ISERROR(MATCH($B94,'Production - Gas'!$B$65:$B$108,0)),0,VLOOKUP($B94,'Production - Gas'!$B$65:$CD$108,MATCH('Production - Total'!E$63,'Production - Gas'!$B$9:$CD$9),FALSE)/5.8)</f>
        <v>0</v>
      </c>
      <c r="F94" s="11">
        <f>IF(ISERROR(MATCH($B94,'Production - Oil'!$B$65:$B$108,0)),0,VLOOKUP($B94,'Production - Oil'!$B$65:$CD$108,MATCH('Production - Total'!F$63,'Production - Oil'!$B$9:$CD$9),FALSE))+IF(ISERROR(MATCH($B94,'Production - Gas'!$B$65:$B$108,0)),0,VLOOKUP($B94,'Production - Gas'!$B$65:$CD$108,MATCH('Production - Total'!F$63,'Production - Gas'!$B$9:$CD$9),FALSE)/5.8)</f>
        <v>0</v>
      </c>
      <c r="G94" s="11">
        <f>IF(ISERROR(MATCH($B94,'Production - Oil'!$B$65:$B$108,0)),0,VLOOKUP($B94,'Production - Oil'!$B$65:$CD$108,MATCH('Production - Total'!G$63,'Production - Oil'!$B$9:$CD$9),FALSE))+IF(ISERROR(MATCH($B94,'Production - Gas'!$B$65:$B$108,0)),0,VLOOKUP($B94,'Production - Gas'!$B$65:$CD$108,MATCH('Production - Total'!G$63,'Production - Gas'!$B$9:$CD$9),FALSE)/5.8)</f>
        <v>0</v>
      </c>
      <c r="H94" s="11"/>
      <c r="I94" s="11"/>
      <c r="J94" s="11"/>
      <c r="K94" s="11"/>
      <c r="L94" s="11">
        <f>IF(ISERROR(MATCH($B94,'Production - Oil'!$B$65:$B$108,0)),0,VLOOKUP($B94,'Production - Oil'!$B$65:$CD$108,MATCH('Production - Total'!L$63,'Production - Oil'!$B$9:$CD$9),FALSE))+IF(ISERROR(MATCH($B94,'Production - Gas'!$B$65:$B$108,0)),0,VLOOKUP($B94,'Production - Gas'!$B$65:$CD$108,MATCH('Production - Total'!L$63,'Production - Gas'!$B$9:$CD$9),FALSE)/5.8)</f>
        <v>0</v>
      </c>
      <c r="M94" s="11"/>
      <c r="N94" s="11"/>
      <c r="O94" s="11"/>
      <c r="P94" s="11"/>
      <c r="Q94" s="11">
        <f>IF(ISERROR(MATCH($B94,'Production - Oil'!$B$65:$B$108,0)),0,VLOOKUP($B94,'Production - Oil'!$B$65:$CD$108,MATCH('Production - Total'!Q$63,'Production - Oil'!$B$9:$CD$9),FALSE))+IF(ISERROR(MATCH($B94,'Production - Gas'!$B$65:$B$108,0)),0,VLOOKUP($B94,'Production - Gas'!$B$65:$CD$108,MATCH('Production - Total'!Q$63,'Production - Gas'!$B$9:$CD$9),FALSE)/5.8)</f>
        <v>0</v>
      </c>
      <c r="R94" s="11"/>
      <c r="S94" s="11"/>
      <c r="T94" s="11"/>
      <c r="U94" s="11"/>
      <c r="V94" s="11">
        <f>IF(ISERROR(MATCH($B94,'Production - Oil'!$B$65:$B$108,0)),0,VLOOKUP($B94,'Production - Oil'!$B$65:$CD$108,MATCH('Production - Total'!V$63,'Production - Oil'!$B$9:$CD$9),FALSE))+IF(ISERROR(MATCH($B94,'Production - Gas'!$B$65:$B$108,0)),0,VLOOKUP($B94,'Production - Gas'!$B$65:$CD$108,MATCH('Production - Total'!V$63,'Production - Gas'!$B$9:$CD$9),FALSE)/5.8)</f>
        <v>0</v>
      </c>
      <c r="W94" s="11"/>
      <c r="X94" s="11"/>
      <c r="Y94" s="11"/>
      <c r="Z94" s="11"/>
      <c r="AA94" s="11">
        <f>IF(ISERROR(MATCH($B94,'Production - Oil'!$B$65:$B$108,0)),0,VLOOKUP($B94,'Production - Oil'!$B$65:$CD$108,MATCH('Production - Total'!AA$63,'Production - Oil'!$B$9:$CD$9),FALSE))+IF(ISERROR(MATCH($B94,'Production - Gas'!$B$65:$B$108,0)),0,VLOOKUP($B94,'Production - Gas'!$B$65:$CD$108,MATCH('Production - Total'!AA$63,'Production - Gas'!$B$9:$CD$9),FALSE)/5.8)</f>
        <v>0</v>
      </c>
      <c r="AB94" s="11"/>
      <c r="AC94" s="11"/>
      <c r="AD94" s="11"/>
      <c r="AE94" s="11"/>
      <c r="AF94" s="11">
        <f>IF(ISERROR(MATCH($B94,'Production - Oil'!$B$65:$B$108,0)),0,VLOOKUP($B94,'Production - Oil'!$B$65:$CD$108,MATCH('Production - Total'!AF$63,'Production - Oil'!$B$9:$CD$9),FALSE))+IF(ISERROR(MATCH($B94,'Production - Gas'!$B$65:$B$108,0)),0,VLOOKUP($B94,'Production - Gas'!$B$65:$CD$108,MATCH('Production - Total'!AF$63,'Production - Gas'!$B$9:$CD$9),FALSE)/5.8)</f>
        <v>0</v>
      </c>
      <c r="AG94" s="82"/>
      <c r="AH94" s="82"/>
      <c r="AI94" s="82"/>
      <c r="AJ94" s="82"/>
      <c r="AK94" s="11">
        <f>IF(ISERROR(MATCH($B94,'Production - Oil'!$B$65:$B$108,0)),0,VLOOKUP($B94,'Production - Oil'!$B$65:$CD$108,MATCH('Production - Total'!AK$63,'Production - Oil'!$B$9:$CD$9),FALSE))+IF(ISERROR(MATCH($B94,'Production - Gas'!$B$65:$B$108,0)),0,VLOOKUP($B94,'Production - Gas'!$B$65:$CD$108,MATCH('Production - Total'!AK$63,'Production - Gas'!$B$9:$CD$9),FALSE)/5.8)</f>
        <v>0</v>
      </c>
      <c r="AL94" s="82"/>
      <c r="AM94" s="82"/>
      <c r="AN94" s="82"/>
      <c r="AO94" s="82"/>
      <c r="AP94" s="11">
        <f>IF(ISERROR(MATCH($B94,'Production - Oil'!$B$65:$B$108,0)),0,VLOOKUP($B94,'Production - Oil'!$B$65:$CD$108,MATCH('Production - Total'!AP$63,'Production - Oil'!$B$9:$CD$9),FALSE))+IF(ISERROR(MATCH($B94,'Production - Gas'!$B$65:$B$108,0)),0,VLOOKUP($B94,'Production - Gas'!$B$65:$CD$108,MATCH('Production - Total'!AP$63,'Production - Gas'!$B$9:$CD$9),FALSE)/5.8)</f>
        <v>0</v>
      </c>
      <c r="AQ94" s="82"/>
      <c r="AR94" s="82"/>
      <c r="AS94" s="82"/>
      <c r="AT94" s="82"/>
      <c r="AU94" s="11">
        <f>IF(ISERROR(MATCH($B94,'Production - Oil'!$B$65:$B$108,0)),0,VLOOKUP($B94,'Production - Oil'!$B$65:$CD$108,MATCH('Production - Total'!AU$63,'Production - Oil'!$B$9:$CD$9),FALSE))+IF(ISERROR(MATCH($B94,'Production - Gas'!$B$65:$B$108,0)),0,VLOOKUP($B94,'Production - Gas'!$B$65:$CD$108,MATCH('Production - Total'!AU$63,'Production - Gas'!$B$9:$CD$9),FALSE)/5.8)</f>
        <v>0</v>
      </c>
      <c r="AV94" s="82"/>
      <c r="AW94" s="82"/>
      <c r="AX94" s="82"/>
      <c r="AY94" s="82"/>
      <c r="AZ94" s="11">
        <f>IF(ISERROR(MATCH($B94,'Production - Oil'!$B$65:$B$108,0)),0,VLOOKUP($B94,'Production - Oil'!$B$65:$CD$108,MATCH('Production - Total'!AZ$63,'Production - Oil'!$B$9:$CD$9),FALSE))+IF(ISERROR(MATCH($B94,'Production - Gas'!$B$65:$B$108,0)),0,VLOOKUP($B94,'Production - Gas'!$B$65:$CD$108,MATCH('Production - Total'!AZ$63,'Production - Gas'!$B$9:$CD$9),FALSE)/5.8)</f>
        <v>0</v>
      </c>
      <c r="BA94" s="82"/>
      <c r="BB94" s="82"/>
      <c r="BC94" s="82"/>
      <c r="BD94" s="82"/>
      <c r="BE94" s="11">
        <f>IF(ISERROR(MATCH($B94,'Production - Oil'!$B$65:$B$108,0)),0,VLOOKUP($B94,'Production - Oil'!$B$65:$CD$108,MATCH('Production - Total'!BE$63,'Production - Oil'!$B$9:$CD$9),FALSE))+IF(ISERROR(MATCH($B94,'Production - Gas'!$B$65:$B$108,0)),0,VLOOKUP($B94,'Production - Gas'!$B$65:$CD$108,MATCH('Production - Total'!BE$63,'Production - Gas'!$B$9:$CD$9),FALSE)/5.8)</f>
        <v>0</v>
      </c>
      <c r="BF94" s="82"/>
      <c r="BG94" s="82"/>
      <c r="BH94" s="82"/>
      <c r="BI94" s="82"/>
      <c r="BJ94" s="11">
        <f>IF(ISERROR(MATCH($B94,'Production - Oil'!$B$65:$B$108,0)),0,VLOOKUP($B94,'Production - Oil'!$B$65:$CD$108,MATCH('Production - Total'!BJ$63,'Production - Oil'!$B$9:$CD$9),FALSE))+IF(ISERROR(MATCH($B94,'Production - Gas'!$B$65:$B$108,0)),0,VLOOKUP($B94,'Production - Gas'!$B$65:$CD$108,MATCH('Production - Total'!BJ$63,'Production - Gas'!$B$9:$CD$9),FALSE)/5.8)</f>
        <v>0</v>
      </c>
      <c r="BK94" s="82"/>
      <c r="BL94" s="82"/>
      <c r="BM94" s="82"/>
      <c r="BN94" s="82"/>
      <c r="BO94" s="11">
        <f>'Production - Oil'!BO94+'Production - Gas'!BO94/5.8</f>
        <v>0</v>
      </c>
      <c r="BP94" s="82"/>
      <c r="BQ94" s="82"/>
      <c r="BR94" s="82"/>
      <c r="BS94" s="82"/>
      <c r="BT94" s="51"/>
      <c r="BU94" s="82"/>
      <c r="BV94" s="82"/>
      <c r="BW94" s="82"/>
      <c r="BX94" s="82"/>
      <c r="BY94" s="51"/>
      <c r="BZ94" s="82"/>
      <c r="CA94" s="82"/>
      <c r="CB94" s="82"/>
      <c r="CC94" s="82"/>
      <c r="CD94" s="51"/>
    </row>
    <row r="95" spans="1:82">
      <c r="A95" s="11"/>
      <c r="B95" s="11" t="s">
        <v>816</v>
      </c>
      <c r="C95" s="11">
        <f>IF(ISERROR(MATCH($B95,'Production - Oil'!$B$65:$B$108,0)),0,VLOOKUP($B95,'Production - Oil'!$B$65:$CD$108,MATCH('Production - Total'!C$63,'Production - Oil'!$B$9:$CD$9),FALSE))+IF(ISERROR(MATCH($B95,'Production - Gas'!$B$65:$B$108,0)),0,VLOOKUP($B95,'Production - Gas'!$B$65:$CD$108,MATCH('Production - Total'!C$63,'Production - Gas'!$B$9:$CD$9),FALSE)/5.8)</f>
        <v>0</v>
      </c>
      <c r="D95" s="11">
        <f>IF(ISERROR(MATCH($B95,'Production - Oil'!$B$65:$B$108,0)),0,VLOOKUP($B95,'Production - Oil'!$B$65:$CD$108,MATCH('Production - Total'!D$63,'Production - Oil'!$B$9:$CD$9),FALSE))+IF(ISERROR(MATCH($B95,'Production - Gas'!$B$65:$B$108,0)),0,VLOOKUP($B95,'Production - Gas'!$B$65:$CD$108,MATCH('Production - Total'!D$63,'Production - Gas'!$B$9:$CD$9),FALSE)/5.8)</f>
        <v>0</v>
      </c>
      <c r="E95" s="11">
        <f>IF(ISERROR(MATCH($B95,'Production - Oil'!$B$65:$B$108,0)),0,VLOOKUP($B95,'Production - Oil'!$B$65:$CD$108,MATCH('Production - Total'!E$63,'Production - Oil'!$B$9:$CD$9),FALSE))+IF(ISERROR(MATCH($B95,'Production - Gas'!$B$65:$B$108,0)),0,VLOOKUP($B95,'Production - Gas'!$B$65:$CD$108,MATCH('Production - Total'!E$63,'Production - Gas'!$B$9:$CD$9),FALSE)/5.8)</f>
        <v>0</v>
      </c>
      <c r="F95" s="11">
        <f>IF(ISERROR(MATCH($B95,'Production - Oil'!$B$65:$B$108,0)),0,VLOOKUP($B95,'Production - Oil'!$B$65:$CD$108,MATCH('Production - Total'!F$63,'Production - Oil'!$B$9:$CD$9),FALSE))+IF(ISERROR(MATCH($B95,'Production - Gas'!$B$65:$B$108,0)),0,VLOOKUP($B95,'Production - Gas'!$B$65:$CD$108,MATCH('Production - Total'!F$63,'Production - Gas'!$B$9:$CD$9),FALSE)/5.8)</f>
        <v>0</v>
      </c>
      <c r="G95" s="11">
        <f>IF(ISERROR(MATCH($B95,'Production - Oil'!$B$65:$B$108,0)),0,VLOOKUP($B95,'Production - Oil'!$B$65:$CD$108,MATCH('Production - Total'!G$63,'Production - Oil'!$B$9:$CD$9),FALSE))+IF(ISERROR(MATCH($B95,'Production - Gas'!$B$65:$B$108,0)),0,VLOOKUP($B95,'Production - Gas'!$B$65:$CD$108,MATCH('Production - Total'!G$63,'Production - Gas'!$B$9:$CD$9),FALSE)/5.8)</f>
        <v>0</v>
      </c>
      <c r="H95" s="11"/>
      <c r="I95" s="11"/>
      <c r="J95" s="11"/>
      <c r="K95" s="11"/>
      <c r="L95" s="11">
        <f>IF(ISERROR(MATCH($B95,'Production - Oil'!$B$65:$B$108,0)),0,VLOOKUP($B95,'Production - Oil'!$B$65:$CD$108,MATCH('Production - Total'!L$63,'Production - Oil'!$B$9:$CD$9),FALSE))+IF(ISERROR(MATCH($B95,'Production - Gas'!$B$65:$B$108,0)),0,VLOOKUP($B95,'Production - Gas'!$B$65:$CD$108,MATCH('Production - Total'!L$63,'Production - Gas'!$B$9:$CD$9),FALSE)/5.8)</f>
        <v>0</v>
      </c>
      <c r="M95" s="11"/>
      <c r="N95" s="11"/>
      <c r="O95" s="11"/>
      <c r="P95" s="11"/>
      <c r="Q95" s="11">
        <f>IF(ISERROR(MATCH($B95,'Production - Oil'!$B$65:$B$108,0)),0,VLOOKUP($B95,'Production - Oil'!$B$65:$CD$108,MATCH('Production - Total'!Q$63,'Production - Oil'!$B$9:$CD$9),FALSE))+IF(ISERROR(MATCH($B95,'Production - Gas'!$B$65:$B$108,0)),0,VLOOKUP($B95,'Production - Gas'!$B$65:$CD$108,MATCH('Production - Total'!Q$63,'Production - Gas'!$B$9:$CD$9),FALSE)/5.8)</f>
        <v>0</v>
      </c>
      <c r="R95" s="11"/>
      <c r="S95" s="11"/>
      <c r="T95" s="11"/>
      <c r="U95" s="11"/>
      <c r="V95" s="11">
        <f>IF(ISERROR(MATCH($B95,'Production - Oil'!$B$65:$B$108,0)),0,VLOOKUP($B95,'Production - Oil'!$B$65:$CD$108,MATCH('Production - Total'!V$63,'Production - Oil'!$B$9:$CD$9),FALSE))+IF(ISERROR(MATCH($B95,'Production - Gas'!$B$65:$B$108,0)),0,VLOOKUP($B95,'Production - Gas'!$B$65:$CD$108,MATCH('Production - Total'!V$63,'Production - Gas'!$B$9:$CD$9),FALSE)/5.8)</f>
        <v>0</v>
      </c>
      <c r="W95" s="11"/>
      <c r="X95" s="11"/>
      <c r="Y95" s="11"/>
      <c r="Z95" s="11"/>
      <c r="AA95" s="11">
        <f>IF(ISERROR(MATCH($B95,'Production - Oil'!$B$65:$B$108,0)),0,VLOOKUP($B95,'Production - Oil'!$B$65:$CD$108,MATCH('Production - Total'!AA$63,'Production - Oil'!$B$9:$CD$9),FALSE))+IF(ISERROR(MATCH($B95,'Production - Gas'!$B$65:$B$108,0)),0,VLOOKUP($B95,'Production - Gas'!$B$65:$CD$108,MATCH('Production - Total'!AA$63,'Production - Gas'!$B$9:$CD$9),FALSE)/5.8)</f>
        <v>0</v>
      </c>
      <c r="AB95" s="11"/>
      <c r="AC95" s="11"/>
      <c r="AD95" s="11"/>
      <c r="AE95" s="11"/>
      <c r="AF95" s="11">
        <f>IF(ISERROR(MATCH($B95,'Production - Oil'!$B$65:$B$108,0)),0,VLOOKUP($B95,'Production - Oil'!$B$65:$CD$108,MATCH('Production - Total'!AF$63,'Production - Oil'!$B$9:$CD$9),FALSE))+IF(ISERROR(MATCH($B95,'Production - Gas'!$B$65:$B$108,0)),0,VLOOKUP($B95,'Production - Gas'!$B$65:$CD$108,MATCH('Production - Total'!AF$63,'Production - Gas'!$B$9:$CD$9),FALSE)/5.8)</f>
        <v>0</v>
      </c>
      <c r="AG95" s="82"/>
      <c r="AH95" s="82"/>
      <c r="AI95" s="82"/>
      <c r="AJ95" s="82"/>
      <c r="AK95" s="11">
        <f>IF(ISERROR(MATCH($B95,'Production - Oil'!$B$65:$B$108,0)),0,VLOOKUP($B95,'Production - Oil'!$B$65:$CD$108,MATCH('Production - Total'!AK$63,'Production - Oil'!$B$9:$CD$9),FALSE))+IF(ISERROR(MATCH($B95,'Production - Gas'!$B$65:$B$108,0)),0,VLOOKUP($B95,'Production - Gas'!$B$65:$CD$108,MATCH('Production - Total'!AK$63,'Production - Gas'!$B$9:$CD$9),FALSE)/5.8)</f>
        <v>0</v>
      </c>
      <c r="AL95" s="82"/>
      <c r="AM95" s="82"/>
      <c r="AN95" s="82"/>
      <c r="AO95" s="82"/>
      <c r="AP95" s="11">
        <f>IF(ISERROR(MATCH($B95,'Production - Oil'!$B$65:$B$108,0)),0,VLOOKUP($B95,'Production - Oil'!$B$65:$CD$108,MATCH('Production - Total'!AP$63,'Production - Oil'!$B$9:$CD$9),FALSE))+IF(ISERROR(MATCH($B95,'Production - Gas'!$B$65:$B$108,0)),0,VLOOKUP($B95,'Production - Gas'!$B$65:$CD$108,MATCH('Production - Total'!AP$63,'Production - Gas'!$B$9:$CD$9),FALSE)/5.8)</f>
        <v>0</v>
      </c>
      <c r="AQ95" s="82"/>
      <c r="AR95" s="82"/>
      <c r="AS95" s="82"/>
      <c r="AT95" s="82"/>
      <c r="AU95" s="11">
        <f>IF(ISERROR(MATCH($B95,'Production - Oil'!$B$65:$B$108,0)),0,VLOOKUP($B95,'Production - Oil'!$B$65:$CD$108,MATCH('Production - Total'!AU$63,'Production - Oil'!$B$9:$CD$9),FALSE))+IF(ISERROR(MATCH($B95,'Production - Gas'!$B$65:$B$108,0)),0,VLOOKUP($B95,'Production - Gas'!$B$65:$CD$108,MATCH('Production - Total'!AU$63,'Production - Gas'!$B$9:$CD$9),FALSE)/5.8)</f>
        <v>0</v>
      </c>
      <c r="AV95" s="82"/>
      <c r="AW95" s="82"/>
      <c r="AX95" s="82"/>
      <c r="AY95" s="82"/>
      <c r="AZ95" s="11">
        <f>IF(ISERROR(MATCH($B95,'Production - Oil'!$B$65:$B$108,0)),0,VLOOKUP($B95,'Production - Oil'!$B$65:$CD$108,MATCH('Production - Total'!AZ$63,'Production - Oil'!$B$9:$CD$9),FALSE))+IF(ISERROR(MATCH($B95,'Production - Gas'!$B$65:$B$108,0)),0,VLOOKUP($B95,'Production - Gas'!$B$65:$CD$108,MATCH('Production - Total'!AZ$63,'Production - Gas'!$B$9:$CD$9),FALSE)/5.8)</f>
        <v>0</v>
      </c>
      <c r="BA95" s="82"/>
      <c r="BB95" s="82"/>
      <c r="BC95" s="82"/>
      <c r="BD95" s="82"/>
      <c r="BE95" s="11">
        <f>IF(ISERROR(MATCH($B95,'Production - Oil'!$B$65:$B$108,0)),0,VLOOKUP($B95,'Production - Oil'!$B$65:$CD$108,MATCH('Production - Total'!BE$63,'Production - Oil'!$B$9:$CD$9),FALSE))+IF(ISERROR(MATCH($B95,'Production - Gas'!$B$65:$B$108,0)),0,VLOOKUP($B95,'Production - Gas'!$B$65:$CD$108,MATCH('Production - Total'!BE$63,'Production - Gas'!$B$9:$CD$9),FALSE)/5.8)</f>
        <v>0</v>
      </c>
      <c r="BF95" s="82"/>
      <c r="BG95" s="82"/>
      <c r="BH95" s="82"/>
      <c r="BI95" s="82"/>
      <c r="BJ95" s="11">
        <f>IF(ISERROR(MATCH($B95,'Production - Oil'!$B$65:$B$108,0)),0,VLOOKUP($B95,'Production - Oil'!$B$65:$CD$108,MATCH('Production - Total'!BJ$63,'Production - Oil'!$B$9:$CD$9),FALSE))+IF(ISERROR(MATCH($B95,'Production - Gas'!$B$65:$B$108,0)),0,VLOOKUP($B95,'Production - Gas'!$B$65:$CD$108,MATCH('Production - Total'!BJ$63,'Production - Gas'!$B$9:$CD$9),FALSE)/5.8)</f>
        <v>0</v>
      </c>
      <c r="BK95" s="82"/>
      <c r="BL95" s="82"/>
      <c r="BM95" s="82"/>
      <c r="BN95" s="82"/>
      <c r="BO95" s="11">
        <f>'Production - Oil'!BO95+'Production - Gas'!BO95/5.8</f>
        <v>0</v>
      </c>
      <c r="BP95" s="82"/>
      <c r="BQ95" s="82"/>
      <c r="BR95" s="82"/>
      <c r="BS95" s="82"/>
      <c r="BT95" s="51"/>
      <c r="BU95" s="82"/>
      <c r="BV95" s="82"/>
      <c r="BW95" s="82"/>
      <c r="BX95" s="82"/>
      <c r="BY95" s="51"/>
      <c r="BZ95" s="82"/>
      <c r="CA95" s="82"/>
      <c r="CB95" s="82"/>
      <c r="CC95" s="82"/>
      <c r="CD95" s="51"/>
    </row>
    <row r="96" spans="1:82">
      <c r="A96" s="11"/>
      <c r="B96" s="11" t="s">
        <v>1962</v>
      </c>
      <c r="C96" s="11">
        <f>IF(ISERROR(MATCH($B96,'Production - Oil'!$B$65:$B$108,0)),0,VLOOKUP($B96,'Production - Oil'!$B$65:$CD$108,MATCH('Production - Total'!C$63,'Production - Oil'!$B$9:$CD$9),FALSE))+IF(ISERROR(MATCH($B96,'Production - Gas'!$B$65:$B$108,0)),0,VLOOKUP($B96,'Production - Gas'!$B$65:$CD$108,MATCH('Production - Total'!C$63,'Production - Gas'!$B$9:$CD$9),FALSE)/5.8)</f>
        <v>0</v>
      </c>
      <c r="D96" s="11">
        <f>IF(ISERROR(MATCH($B96,'Production - Oil'!$B$65:$B$108,0)),0,VLOOKUP($B96,'Production - Oil'!$B$65:$CD$108,MATCH('Production - Total'!D$63,'Production - Oil'!$B$9:$CD$9),FALSE))+IF(ISERROR(MATCH($B96,'Production - Gas'!$B$65:$B$108,0)),0,VLOOKUP($B96,'Production - Gas'!$B$65:$CD$108,MATCH('Production - Total'!D$63,'Production - Gas'!$B$9:$CD$9),FALSE)/5.8)</f>
        <v>0</v>
      </c>
      <c r="E96" s="11">
        <f>IF(ISERROR(MATCH($B96,'Production - Oil'!$B$65:$B$108,0)),0,VLOOKUP($B96,'Production - Oil'!$B$65:$CD$108,MATCH('Production - Total'!E$63,'Production - Oil'!$B$9:$CD$9),FALSE))+IF(ISERROR(MATCH($B96,'Production - Gas'!$B$65:$B$108,0)),0,VLOOKUP($B96,'Production - Gas'!$B$65:$CD$108,MATCH('Production - Total'!E$63,'Production - Gas'!$B$9:$CD$9),FALSE)/5.8)</f>
        <v>0</v>
      </c>
      <c r="F96" s="11">
        <f>IF(ISERROR(MATCH($B96,'Production - Oil'!$B$65:$B$108,0)),0,VLOOKUP($B96,'Production - Oil'!$B$65:$CD$108,MATCH('Production - Total'!F$63,'Production - Oil'!$B$9:$CD$9),FALSE))+IF(ISERROR(MATCH($B96,'Production - Gas'!$B$65:$B$108,0)),0,VLOOKUP($B96,'Production - Gas'!$B$65:$CD$108,MATCH('Production - Total'!F$63,'Production - Gas'!$B$9:$CD$9),FALSE)/5.8)</f>
        <v>0</v>
      </c>
      <c r="G96" s="11">
        <f>IF(ISERROR(MATCH($B96,'Production - Oil'!$B$65:$B$108,0)),0,VLOOKUP($B96,'Production - Oil'!$B$65:$CD$108,MATCH('Production - Total'!G$63,'Production - Oil'!$B$9:$CD$9),FALSE))+IF(ISERROR(MATCH($B96,'Production - Gas'!$B$65:$B$108,0)),0,VLOOKUP($B96,'Production - Gas'!$B$65:$CD$108,MATCH('Production - Total'!G$63,'Production - Gas'!$B$9:$CD$9),FALSE)/5.8)</f>
        <v>0</v>
      </c>
      <c r="H96" s="11"/>
      <c r="I96" s="11"/>
      <c r="J96" s="11"/>
      <c r="K96" s="11"/>
      <c r="L96" s="11">
        <f>IF(ISERROR(MATCH($B96,'Production - Oil'!$B$65:$B$108,0)),0,VLOOKUP($B96,'Production - Oil'!$B$65:$CD$108,MATCH('Production - Total'!L$63,'Production - Oil'!$B$9:$CD$9),FALSE))+IF(ISERROR(MATCH($B96,'Production - Gas'!$B$65:$B$108,0)),0,VLOOKUP($B96,'Production - Gas'!$B$65:$CD$108,MATCH('Production - Total'!L$63,'Production - Gas'!$B$9:$CD$9),FALSE)/5.8)</f>
        <v>1.3793103448275863</v>
      </c>
      <c r="M96" s="11"/>
      <c r="N96" s="11"/>
      <c r="O96" s="11"/>
      <c r="P96" s="11"/>
      <c r="Q96" s="11">
        <f>IF(ISERROR(MATCH($B96,'Production - Oil'!$B$65:$B$108,0)),0,VLOOKUP($B96,'Production - Oil'!$B$65:$CD$108,MATCH('Production - Total'!Q$63,'Production - Oil'!$B$9:$CD$9),FALSE))+IF(ISERROR(MATCH($B96,'Production - Gas'!$B$65:$B$108,0)),0,VLOOKUP($B96,'Production - Gas'!$B$65:$CD$108,MATCH('Production - Total'!Q$63,'Production - Gas'!$B$9:$CD$9),FALSE)/5.8)</f>
        <v>1.3793103448275863</v>
      </c>
      <c r="R96" s="11"/>
      <c r="S96" s="11"/>
      <c r="T96" s="11"/>
      <c r="U96" s="11"/>
      <c r="V96" s="11">
        <f>IF(ISERROR(MATCH($B96,'Production - Oil'!$B$65:$B$108,0)),0,VLOOKUP($B96,'Production - Oil'!$B$65:$CD$108,MATCH('Production - Total'!V$63,'Production - Oil'!$B$9:$CD$9),FALSE))+IF(ISERROR(MATCH($B96,'Production - Gas'!$B$65:$B$108,0)),0,VLOOKUP($B96,'Production - Gas'!$B$65:$CD$108,MATCH('Production - Total'!V$63,'Production - Gas'!$B$9:$CD$9),FALSE)/5.8)</f>
        <v>1.3793103448275863</v>
      </c>
      <c r="W96" s="11"/>
      <c r="X96" s="11"/>
      <c r="Y96" s="11"/>
      <c r="Z96" s="11"/>
      <c r="AA96" s="11">
        <f>IF(ISERROR(MATCH($B96,'Production - Oil'!$B$65:$B$108,0)),0,VLOOKUP($B96,'Production - Oil'!$B$65:$CD$108,MATCH('Production - Total'!AA$63,'Production - Oil'!$B$9:$CD$9),FALSE))+IF(ISERROR(MATCH($B96,'Production - Gas'!$B$65:$B$108,0)),0,VLOOKUP($B96,'Production - Gas'!$B$65:$CD$108,MATCH('Production - Total'!AA$63,'Production - Gas'!$B$9:$CD$9),FALSE)/5.8)</f>
        <v>1.896551724137931</v>
      </c>
      <c r="AB96" s="11"/>
      <c r="AC96" s="11"/>
      <c r="AD96" s="11"/>
      <c r="AE96" s="11"/>
      <c r="AF96" s="11">
        <f>IF(ISERROR(MATCH($B96,'Production - Oil'!$B$65:$B$108,0)),0,VLOOKUP($B96,'Production - Oil'!$B$65:$CD$108,MATCH('Production - Total'!AF$63,'Production - Oil'!$B$9:$CD$9),FALSE))+IF(ISERROR(MATCH($B96,'Production - Gas'!$B$65:$B$108,0)),0,VLOOKUP($B96,'Production - Gas'!$B$65:$CD$108,MATCH('Production - Total'!AF$63,'Production - Gas'!$B$9:$CD$9),FALSE)/5.8)</f>
        <v>0</v>
      </c>
      <c r="AG96" s="82"/>
      <c r="AH96" s="82"/>
      <c r="AI96" s="82"/>
      <c r="AJ96" s="82"/>
      <c r="AK96" s="11">
        <f>IF(ISERROR(MATCH($B96,'Production - Oil'!$B$65:$B$108,0)),0,VLOOKUP($B96,'Production - Oil'!$B$65:$CD$108,MATCH('Production - Total'!AK$63,'Production - Oil'!$B$9:$CD$9),FALSE))+IF(ISERROR(MATCH($B96,'Production - Gas'!$B$65:$B$108,0)),0,VLOOKUP($B96,'Production - Gas'!$B$65:$CD$108,MATCH('Production - Total'!AK$63,'Production - Gas'!$B$9:$CD$9),FALSE)/5.8)</f>
        <v>0</v>
      </c>
      <c r="AL96" s="82"/>
      <c r="AM96" s="82"/>
      <c r="AN96" s="82"/>
      <c r="AO96" s="82"/>
      <c r="AP96" s="11">
        <f>IF(ISERROR(MATCH($B96,'Production - Oil'!$B$65:$B$108,0)),0,VLOOKUP($B96,'Production - Oil'!$B$65:$CD$108,MATCH('Production - Total'!AP$63,'Production - Oil'!$B$9:$CD$9),FALSE))+IF(ISERROR(MATCH($B96,'Production - Gas'!$B$65:$B$108,0)),0,VLOOKUP($B96,'Production - Gas'!$B$65:$CD$108,MATCH('Production - Total'!AP$63,'Production - Gas'!$B$9:$CD$9),FALSE)/5.8)</f>
        <v>0</v>
      </c>
      <c r="AQ96" s="82"/>
      <c r="AR96" s="82"/>
      <c r="AS96" s="82"/>
      <c r="AT96" s="82"/>
      <c r="AU96" s="11">
        <f>IF(ISERROR(MATCH($B96,'Production - Oil'!$B$65:$B$108,0)),0,VLOOKUP($B96,'Production - Oil'!$B$65:$CD$108,MATCH('Production - Total'!AU$63,'Production - Oil'!$B$9:$CD$9),FALSE))+IF(ISERROR(MATCH($B96,'Production - Gas'!$B$65:$B$108,0)),0,VLOOKUP($B96,'Production - Gas'!$B$65:$CD$108,MATCH('Production - Total'!AU$63,'Production - Gas'!$B$9:$CD$9),FALSE)/5.8)</f>
        <v>0</v>
      </c>
      <c r="AV96" s="82"/>
      <c r="AW96" s="82"/>
      <c r="AX96" s="82"/>
      <c r="AY96" s="82"/>
      <c r="AZ96" s="11">
        <f>IF(ISERROR(MATCH($B96,'Production - Oil'!$B$65:$B$108,0)),0,VLOOKUP($B96,'Production - Oil'!$B$65:$CD$108,MATCH('Production - Total'!AZ$63,'Production - Oil'!$B$9:$CD$9),FALSE))+IF(ISERROR(MATCH($B96,'Production - Gas'!$B$65:$B$108,0)),0,VLOOKUP($B96,'Production - Gas'!$B$65:$CD$108,MATCH('Production - Total'!AZ$63,'Production - Gas'!$B$9:$CD$9),FALSE)/5.8)</f>
        <v>0</v>
      </c>
      <c r="BA96" s="82"/>
      <c r="BB96" s="82"/>
      <c r="BC96" s="82"/>
      <c r="BD96" s="82"/>
      <c r="BE96" s="11">
        <f>IF(ISERROR(MATCH($B96,'Production - Oil'!$B$65:$B$108,0)),0,VLOOKUP($B96,'Production - Oil'!$B$65:$CD$108,MATCH('Production - Total'!BE$63,'Production - Oil'!$B$9:$CD$9),FALSE))+IF(ISERROR(MATCH($B96,'Production - Gas'!$B$65:$B$108,0)),0,VLOOKUP($B96,'Production - Gas'!$B$65:$CD$108,MATCH('Production - Total'!BE$63,'Production - Gas'!$B$9:$CD$9),FALSE)/5.8)</f>
        <v>0</v>
      </c>
      <c r="BF96" s="82"/>
      <c r="BG96" s="82"/>
      <c r="BH96" s="82"/>
      <c r="BI96" s="82"/>
      <c r="BJ96" s="11">
        <f>IF(ISERROR(MATCH($B96,'Production - Oil'!$B$65:$B$108,0)),0,VLOOKUP($B96,'Production - Oil'!$B$65:$CD$108,MATCH('Production - Total'!BJ$63,'Production - Oil'!$B$9:$CD$9),FALSE))+IF(ISERROR(MATCH($B96,'Production - Gas'!$B$65:$B$108,0)),0,VLOOKUP($B96,'Production - Gas'!$B$65:$CD$108,MATCH('Production - Total'!BJ$63,'Production - Gas'!$B$9:$CD$9),FALSE)/5.8)</f>
        <v>0</v>
      </c>
      <c r="BK96" s="82"/>
      <c r="BL96" s="82"/>
      <c r="BM96" s="82"/>
      <c r="BN96" s="82"/>
      <c r="BO96" s="11">
        <f>'Production - Oil'!BO96+'Production - Gas'!BO96/5.8</f>
        <v>0</v>
      </c>
      <c r="BP96" s="82"/>
      <c r="BQ96" s="82"/>
      <c r="BR96" s="82"/>
      <c r="BS96" s="82"/>
      <c r="BT96" s="51"/>
      <c r="BU96" s="82"/>
      <c r="BV96" s="82"/>
      <c r="BW96" s="82"/>
      <c r="BX96" s="82"/>
      <c r="BY96" s="51"/>
      <c r="BZ96" s="82"/>
      <c r="CA96" s="82"/>
      <c r="CB96" s="82"/>
      <c r="CC96" s="82"/>
      <c r="CD96" s="51"/>
    </row>
    <row r="97" spans="1:82">
      <c r="A97" s="11"/>
      <c r="B97" s="11" t="s">
        <v>3277</v>
      </c>
      <c r="C97" s="11">
        <f>IF(ISERROR(MATCH($B97,'Production - Oil'!$B$65:$B$108,0)),0,VLOOKUP($B97,'Production - Oil'!$B$65:$CD$108,MATCH('Production - Total'!C$63,'Production - Oil'!$B$9:$CD$9),FALSE))+IF(ISERROR(MATCH($B97,'Production - Gas'!$B$65:$B$108,0)),0,VLOOKUP($B97,'Production - Gas'!$B$65:$CD$108,MATCH('Production - Total'!C$63,'Production - Gas'!$B$9:$CD$9),FALSE)/5.8)</f>
        <v>0</v>
      </c>
      <c r="D97" s="11">
        <f>IF(ISERROR(MATCH($B97,'Production - Oil'!$B$65:$B$108,0)),0,VLOOKUP($B97,'Production - Oil'!$B$65:$CD$108,MATCH('Production - Total'!D$63,'Production - Oil'!$B$9:$CD$9),FALSE))+IF(ISERROR(MATCH($B97,'Production - Gas'!$B$65:$B$108,0)),0,VLOOKUP($B97,'Production - Gas'!$B$65:$CD$108,MATCH('Production - Total'!D$63,'Production - Gas'!$B$9:$CD$9),FALSE)/5.8)</f>
        <v>0</v>
      </c>
      <c r="E97" s="11">
        <f>IF(ISERROR(MATCH($B97,'Production - Oil'!$B$65:$B$108,0)),0,VLOOKUP($B97,'Production - Oil'!$B$65:$CD$108,MATCH('Production - Total'!E$63,'Production - Oil'!$B$9:$CD$9),FALSE))+IF(ISERROR(MATCH($B97,'Production - Gas'!$B$65:$B$108,0)),0,VLOOKUP($B97,'Production - Gas'!$B$65:$CD$108,MATCH('Production - Total'!E$63,'Production - Gas'!$B$9:$CD$9),FALSE)/5.8)</f>
        <v>0</v>
      </c>
      <c r="F97" s="11">
        <f>IF(ISERROR(MATCH($B97,'Production - Oil'!$B$65:$B$108,0)),0,VLOOKUP($B97,'Production - Oil'!$B$65:$CD$108,MATCH('Production - Total'!F$63,'Production - Oil'!$B$9:$CD$9),FALSE))+IF(ISERROR(MATCH($B97,'Production - Gas'!$B$65:$B$108,0)),0,VLOOKUP($B97,'Production - Gas'!$B$65:$CD$108,MATCH('Production - Total'!F$63,'Production - Gas'!$B$9:$CD$9),FALSE)/5.8)</f>
        <v>0</v>
      </c>
      <c r="G97" s="11">
        <f>IF(ISERROR(MATCH($B97,'Production - Oil'!$B$65:$B$108,0)),0,VLOOKUP($B97,'Production - Oil'!$B$65:$CD$108,MATCH('Production - Total'!G$63,'Production - Oil'!$B$9:$CD$9),FALSE))+IF(ISERROR(MATCH($B97,'Production - Gas'!$B$65:$B$108,0)),0,VLOOKUP($B97,'Production - Gas'!$B$65:$CD$108,MATCH('Production - Total'!G$63,'Production - Gas'!$B$9:$CD$9),FALSE)/5.8)</f>
        <v>0</v>
      </c>
      <c r="H97" s="11"/>
      <c r="I97" s="11"/>
      <c r="J97" s="11"/>
      <c r="K97" s="11"/>
      <c r="L97" s="11">
        <f>IF(ISERROR(MATCH($B97,'Production - Oil'!$B$65:$B$108,0)),0,VLOOKUP($B97,'Production - Oil'!$B$65:$CD$108,MATCH('Production - Total'!L$63,'Production - Oil'!$B$9:$CD$9),FALSE))+IF(ISERROR(MATCH($B97,'Production - Gas'!$B$65:$B$108,0)),0,VLOOKUP($B97,'Production - Gas'!$B$65:$CD$108,MATCH('Production - Total'!L$63,'Production - Gas'!$B$9:$CD$9),FALSE)/5.8)</f>
        <v>0</v>
      </c>
      <c r="M97" s="11"/>
      <c r="N97" s="11"/>
      <c r="O97" s="11"/>
      <c r="P97" s="11"/>
      <c r="Q97" s="11">
        <f>IF(ISERROR(MATCH($B97,'Production - Oil'!$B$65:$B$108,0)),0,VLOOKUP($B97,'Production - Oil'!$B$65:$CD$108,MATCH('Production - Total'!Q$63,'Production - Oil'!$B$9:$CD$9),FALSE))+IF(ISERROR(MATCH($B97,'Production - Gas'!$B$65:$B$108,0)),0,VLOOKUP($B97,'Production - Gas'!$B$65:$CD$108,MATCH('Production - Total'!Q$63,'Production - Gas'!$B$9:$CD$9),FALSE)/5.8)</f>
        <v>0</v>
      </c>
      <c r="R97" s="11"/>
      <c r="S97" s="11"/>
      <c r="T97" s="11"/>
      <c r="U97" s="11"/>
      <c r="V97" s="11">
        <f>IF(ISERROR(MATCH($B97,'Production - Oil'!$B$65:$B$108,0)),0,VLOOKUP($B97,'Production - Oil'!$B$65:$CD$108,MATCH('Production - Total'!V$63,'Production - Oil'!$B$9:$CD$9),FALSE))+IF(ISERROR(MATCH($B97,'Production - Gas'!$B$65:$B$108,0)),0,VLOOKUP($B97,'Production - Gas'!$B$65:$CD$108,MATCH('Production - Total'!V$63,'Production - Gas'!$B$9:$CD$9),FALSE)/5.8)</f>
        <v>0</v>
      </c>
      <c r="W97" s="11"/>
      <c r="X97" s="11"/>
      <c r="Y97" s="11"/>
      <c r="Z97" s="11"/>
      <c r="AA97" s="11">
        <f>IF(ISERROR(MATCH($B97,'Production - Oil'!$B$65:$B$108,0)),0,VLOOKUP($B97,'Production - Oil'!$B$65:$CD$108,MATCH('Production - Total'!AA$63,'Production - Oil'!$B$9:$CD$9),FALSE))+IF(ISERROR(MATCH($B97,'Production - Gas'!$B$65:$B$108,0)),0,VLOOKUP($B97,'Production - Gas'!$B$65:$CD$108,MATCH('Production - Total'!AA$63,'Production - Gas'!$B$9:$CD$9),FALSE)/5.8)</f>
        <v>0</v>
      </c>
      <c r="AB97" s="11"/>
      <c r="AC97" s="11"/>
      <c r="AD97" s="11"/>
      <c r="AE97" s="11"/>
      <c r="AF97" s="11">
        <f>IF(ISERROR(MATCH($B97,'Production - Oil'!$B$65:$B$108,0)),0,VLOOKUP($B97,'Production - Oil'!$B$65:$CD$108,MATCH('Production - Total'!AF$63,'Production - Oil'!$B$9:$CD$9),FALSE))+IF(ISERROR(MATCH($B97,'Production - Gas'!$B$65:$B$108,0)),0,VLOOKUP($B97,'Production - Gas'!$B$65:$CD$108,MATCH('Production - Total'!AF$63,'Production - Gas'!$B$9:$CD$9),FALSE)/5.8)</f>
        <v>0</v>
      </c>
      <c r="AG97" s="82"/>
      <c r="AH97" s="82"/>
      <c r="AI97" s="82"/>
      <c r="AJ97" s="82"/>
      <c r="AK97" s="11">
        <f>IF(ISERROR(MATCH($B97,'Production - Oil'!$B$65:$B$108,0)),0,VLOOKUP($B97,'Production - Oil'!$B$65:$CD$108,MATCH('Production - Total'!AK$63,'Production - Oil'!$B$9:$CD$9),FALSE))+IF(ISERROR(MATCH($B97,'Production - Gas'!$B$65:$B$108,0)),0,VLOOKUP($B97,'Production - Gas'!$B$65:$CD$108,MATCH('Production - Total'!AK$63,'Production - Gas'!$B$9:$CD$9),FALSE)/5.8)</f>
        <v>0</v>
      </c>
      <c r="AL97" s="82"/>
      <c r="AM97" s="82"/>
      <c r="AN97" s="82"/>
      <c r="AO97" s="82"/>
      <c r="AP97" s="11">
        <f>IF(ISERROR(MATCH($B97,'Production - Oil'!$B$65:$B$108,0)),0,VLOOKUP($B97,'Production - Oil'!$B$65:$CD$108,MATCH('Production - Total'!AP$63,'Production - Oil'!$B$9:$CD$9),FALSE))+IF(ISERROR(MATCH($B97,'Production - Gas'!$B$65:$B$108,0)),0,VLOOKUP($B97,'Production - Gas'!$B$65:$CD$108,MATCH('Production - Total'!AP$63,'Production - Gas'!$B$9:$CD$9),FALSE)/5.8)</f>
        <v>0</v>
      </c>
      <c r="AQ97" s="82"/>
      <c r="AR97" s="82"/>
      <c r="AS97" s="82"/>
      <c r="AT97" s="82"/>
      <c r="AU97" s="11">
        <f>IF(ISERROR(MATCH($B97,'Production - Oil'!$B$65:$B$108,0)),0,VLOOKUP($B97,'Production - Oil'!$B$65:$CD$108,MATCH('Production - Total'!AU$63,'Production - Oil'!$B$9:$CD$9),FALSE))+IF(ISERROR(MATCH($B97,'Production - Gas'!$B$65:$B$108,0)),0,VLOOKUP($B97,'Production - Gas'!$B$65:$CD$108,MATCH('Production - Total'!AU$63,'Production - Gas'!$B$9:$CD$9),FALSE)/5.8)</f>
        <v>0</v>
      </c>
      <c r="AV97" s="82"/>
      <c r="AW97" s="82"/>
      <c r="AX97" s="82"/>
      <c r="AY97" s="82"/>
      <c r="AZ97" s="11">
        <f>IF(ISERROR(MATCH($B97,'Production - Oil'!$B$65:$B$108,0)),0,VLOOKUP($B97,'Production - Oil'!$B$65:$CD$108,MATCH('Production - Total'!AZ$63,'Production - Oil'!$B$9:$CD$9),FALSE))+IF(ISERROR(MATCH($B97,'Production - Gas'!$B$65:$B$108,0)),0,VLOOKUP($B97,'Production - Gas'!$B$65:$CD$108,MATCH('Production - Total'!AZ$63,'Production - Gas'!$B$9:$CD$9),FALSE)/5.8)</f>
        <v>0</v>
      </c>
      <c r="BA97" s="82"/>
      <c r="BB97" s="82"/>
      <c r="BC97" s="82"/>
      <c r="BD97" s="82"/>
      <c r="BE97" s="11">
        <f>IF(ISERROR(MATCH($B97,'Production - Oil'!$B$65:$B$108,0)),0,VLOOKUP($B97,'Production - Oil'!$B$65:$CD$108,MATCH('Production - Total'!BE$63,'Production - Oil'!$B$9:$CD$9),FALSE))+IF(ISERROR(MATCH($B97,'Production - Gas'!$B$65:$B$108,0)),0,VLOOKUP($B97,'Production - Gas'!$B$65:$CD$108,MATCH('Production - Total'!BE$63,'Production - Gas'!$B$9:$CD$9),FALSE)/5.8)</f>
        <v>0</v>
      </c>
      <c r="BF97" s="82"/>
      <c r="BG97" s="82"/>
      <c r="BH97" s="82"/>
      <c r="BI97" s="82"/>
      <c r="BJ97" s="11">
        <f>IF(ISERROR(MATCH($B97,'Production - Oil'!$B$65:$B$108,0)),0,VLOOKUP($B97,'Production - Oil'!$B$65:$CD$108,MATCH('Production - Total'!BJ$63,'Production - Oil'!$B$9:$CD$9),FALSE))+IF(ISERROR(MATCH($B97,'Production - Gas'!$B$65:$B$108,0)),0,VLOOKUP($B97,'Production - Gas'!$B$65:$CD$108,MATCH('Production - Total'!BJ$63,'Production - Gas'!$B$9:$CD$9),FALSE)/5.8)</f>
        <v>0</v>
      </c>
      <c r="BK97" s="82"/>
      <c r="BL97" s="82"/>
      <c r="BM97" s="82"/>
      <c r="BN97" s="82"/>
      <c r="BO97" s="11">
        <f>'Production - Oil'!BO97+'Production - Gas'!BO97/5.8</f>
        <v>0</v>
      </c>
      <c r="BP97" s="82"/>
      <c r="BQ97" s="82"/>
      <c r="BR97" s="82"/>
      <c r="BS97" s="82"/>
      <c r="BT97" s="51"/>
      <c r="BU97" s="82"/>
      <c r="BV97" s="82"/>
      <c r="BW97" s="82"/>
      <c r="BX97" s="82"/>
      <c r="BY97" s="51"/>
      <c r="BZ97" s="82"/>
      <c r="CA97" s="82"/>
      <c r="CB97" s="82"/>
      <c r="CC97" s="82"/>
      <c r="CD97" s="51"/>
    </row>
    <row r="98" spans="1:82">
      <c r="A98" s="11"/>
      <c r="B98" s="11" t="s">
        <v>3278</v>
      </c>
      <c r="C98" s="11">
        <f>IF(ISERROR(MATCH($B98,'Production - Oil'!$B$65:$B$108,0)),0,VLOOKUP($B98,'Production - Oil'!$B$65:$CD$108,MATCH('Production - Total'!C$63,'Production - Oil'!$B$9:$CD$9),FALSE))+IF(ISERROR(MATCH($B98,'Production - Gas'!$B$65:$B$108,0)),0,VLOOKUP($B98,'Production - Gas'!$B$65:$CD$108,MATCH('Production - Total'!C$63,'Production - Gas'!$B$9:$CD$9),FALSE)/5.8)</f>
        <v>0</v>
      </c>
      <c r="D98" s="11">
        <f>IF(ISERROR(MATCH($B98,'Production - Oil'!$B$65:$B$108,0)),0,VLOOKUP($B98,'Production - Oil'!$B$65:$CD$108,MATCH('Production - Total'!D$63,'Production - Oil'!$B$9:$CD$9),FALSE))+IF(ISERROR(MATCH($B98,'Production - Gas'!$B$65:$B$108,0)),0,VLOOKUP($B98,'Production - Gas'!$B$65:$CD$108,MATCH('Production - Total'!D$63,'Production - Gas'!$B$9:$CD$9),FALSE)/5.8)</f>
        <v>0</v>
      </c>
      <c r="E98" s="11">
        <f>IF(ISERROR(MATCH($B98,'Production - Oil'!$B$65:$B$108,0)),0,VLOOKUP($B98,'Production - Oil'!$B$65:$CD$108,MATCH('Production - Total'!E$63,'Production - Oil'!$B$9:$CD$9),FALSE))+IF(ISERROR(MATCH($B98,'Production - Gas'!$B$65:$B$108,0)),0,VLOOKUP($B98,'Production - Gas'!$B$65:$CD$108,MATCH('Production - Total'!E$63,'Production - Gas'!$B$9:$CD$9),FALSE)/5.8)</f>
        <v>0</v>
      </c>
      <c r="F98" s="11">
        <f>IF(ISERROR(MATCH($B98,'Production - Oil'!$B$65:$B$108,0)),0,VLOOKUP($B98,'Production - Oil'!$B$65:$CD$108,MATCH('Production - Total'!F$63,'Production - Oil'!$B$9:$CD$9),FALSE))+IF(ISERROR(MATCH($B98,'Production - Gas'!$B$65:$B$108,0)),0,VLOOKUP($B98,'Production - Gas'!$B$65:$CD$108,MATCH('Production - Total'!F$63,'Production - Gas'!$B$9:$CD$9),FALSE)/5.8)</f>
        <v>0</v>
      </c>
      <c r="G98" s="11">
        <f>IF(ISERROR(MATCH($B98,'Production - Oil'!$B$65:$B$108,0)),0,VLOOKUP($B98,'Production - Oil'!$B$65:$CD$108,MATCH('Production - Total'!G$63,'Production - Oil'!$B$9:$CD$9),FALSE))+IF(ISERROR(MATCH($B98,'Production - Gas'!$B$65:$B$108,0)),0,VLOOKUP($B98,'Production - Gas'!$B$65:$CD$108,MATCH('Production - Total'!G$63,'Production - Gas'!$B$9:$CD$9),FALSE)/5.8)</f>
        <v>0</v>
      </c>
      <c r="H98" s="11"/>
      <c r="I98" s="11"/>
      <c r="J98" s="11"/>
      <c r="K98" s="11"/>
      <c r="L98" s="11">
        <f>IF(ISERROR(MATCH($B98,'Production - Oil'!$B$65:$B$108,0)),0,VLOOKUP($B98,'Production - Oil'!$B$65:$CD$108,MATCH('Production - Total'!L$63,'Production - Oil'!$B$9:$CD$9),FALSE))+IF(ISERROR(MATCH($B98,'Production - Gas'!$B$65:$B$108,0)),0,VLOOKUP($B98,'Production - Gas'!$B$65:$CD$108,MATCH('Production - Total'!L$63,'Production - Gas'!$B$9:$CD$9),FALSE)/5.8)</f>
        <v>0</v>
      </c>
      <c r="M98" s="11"/>
      <c r="N98" s="11"/>
      <c r="O98" s="11"/>
      <c r="P98" s="11"/>
      <c r="Q98" s="11">
        <f>IF(ISERROR(MATCH($B98,'Production - Oil'!$B$65:$B$108,0)),0,VLOOKUP($B98,'Production - Oil'!$B$65:$CD$108,MATCH('Production - Total'!Q$63,'Production - Oil'!$B$9:$CD$9),FALSE))+IF(ISERROR(MATCH($B98,'Production - Gas'!$B$65:$B$108,0)),0,VLOOKUP($B98,'Production - Gas'!$B$65:$CD$108,MATCH('Production - Total'!Q$63,'Production - Gas'!$B$9:$CD$9),FALSE)/5.8)</f>
        <v>0</v>
      </c>
      <c r="R98" s="11"/>
      <c r="S98" s="11"/>
      <c r="T98" s="11"/>
      <c r="U98" s="11"/>
      <c r="V98" s="11">
        <f>IF(ISERROR(MATCH($B98,'Production - Oil'!$B$65:$B$108,0)),0,VLOOKUP($B98,'Production - Oil'!$B$65:$CD$108,MATCH('Production - Total'!V$63,'Production - Oil'!$B$9:$CD$9),FALSE))+IF(ISERROR(MATCH($B98,'Production - Gas'!$B$65:$B$108,0)),0,VLOOKUP($B98,'Production - Gas'!$B$65:$CD$108,MATCH('Production - Total'!V$63,'Production - Gas'!$B$9:$CD$9),FALSE)/5.8)</f>
        <v>0</v>
      </c>
      <c r="W98" s="11"/>
      <c r="X98" s="11"/>
      <c r="Y98" s="11"/>
      <c r="Z98" s="11"/>
      <c r="AA98" s="11">
        <f>IF(ISERROR(MATCH($B98,'Production - Oil'!$B$65:$B$108,0)),0,VLOOKUP($B98,'Production - Oil'!$B$65:$CD$108,MATCH('Production - Total'!AA$63,'Production - Oil'!$B$9:$CD$9),FALSE))+IF(ISERROR(MATCH($B98,'Production - Gas'!$B$65:$B$108,0)),0,VLOOKUP($B98,'Production - Gas'!$B$65:$CD$108,MATCH('Production - Total'!AA$63,'Production - Gas'!$B$9:$CD$9),FALSE)/5.8)</f>
        <v>0</v>
      </c>
      <c r="AB98" s="11"/>
      <c r="AC98" s="11"/>
      <c r="AD98" s="11"/>
      <c r="AE98" s="11"/>
      <c r="AF98" s="11">
        <f>IF(ISERROR(MATCH($B98,'Production - Oil'!$B$65:$B$108,0)),0,VLOOKUP($B98,'Production - Oil'!$B$65:$CD$108,MATCH('Production - Total'!AF$63,'Production - Oil'!$B$9:$CD$9),FALSE))+IF(ISERROR(MATCH($B98,'Production - Gas'!$B$65:$B$108,0)),0,VLOOKUP($B98,'Production - Gas'!$B$65:$CD$108,MATCH('Production - Total'!AF$63,'Production - Gas'!$B$9:$CD$9),FALSE)/5.8)</f>
        <v>0</v>
      </c>
      <c r="AG98" s="82"/>
      <c r="AH98" s="82"/>
      <c r="AI98" s="82"/>
      <c r="AJ98" s="82"/>
      <c r="AK98" s="11">
        <f>IF(ISERROR(MATCH($B98,'Production - Oil'!$B$65:$B$108,0)),0,VLOOKUP($B98,'Production - Oil'!$B$65:$CD$108,MATCH('Production - Total'!AK$63,'Production - Oil'!$B$9:$CD$9),FALSE))+IF(ISERROR(MATCH($B98,'Production - Gas'!$B$65:$B$108,0)),0,VLOOKUP($B98,'Production - Gas'!$B$65:$CD$108,MATCH('Production - Total'!AK$63,'Production - Gas'!$B$9:$CD$9),FALSE)/5.8)</f>
        <v>0</v>
      </c>
      <c r="AL98" s="82"/>
      <c r="AM98" s="82"/>
      <c r="AN98" s="82"/>
      <c r="AO98" s="82"/>
      <c r="AP98" s="11">
        <f>IF(ISERROR(MATCH($B98,'Production - Oil'!$B$65:$B$108,0)),0,VLOOKUP($B98,'Production - Oil'!$B$65:$CD$108,MATCH('Production - Total'!AP$63,'Production - Oil'!$B$9:$CD$9),FALSE))+IF(ISERROR(MATCH($B98,'Production - Gas'!$B$65:$B$108,0)),0,VLOOKUP($B98,'Production - Gas'!$B$65:$CD$108,MATCH('Production - Total'!AP$63,'Production - Gas'!$B$9:$CD$9),FALSE)/5.8)</f>
        <v>0</v>
      </c>
      <c r="AQ98" s="82"/>
      <c r="AR98" s="82"/>
      <c r="AS98" s="82"/>
      <c r="AT98" s="82"/>
      <c r="AU98" s="11">
        <f>IF(ISERROR(MATCH($B98,'Production - Oil'!$B$65:$B$108,0)),0,VLOOKUP($B98,'Production - Oil'!$B$65:$CD$108,MATCH('Production - Total'!AU$63,'Production - Oil'!$B$9:$CD$9),FALSE))+IF(ISERROR(MATCH($B98,'Production - Gas'!$B$65:$B$108,0)),0,VLOOKUP($B98,'Production - Gas'!$B$65:$CD$108,MATCH('Production - Total'!AU$63,'Production - Gas'!$B$9:$CD$9),FALSE)/5.8)</f>
        <v>0</v>
      </c>
      <c r="AV98" s="82"/>
      <c r="AW98" s="82"/>
      <c r="AX98" s="82"/>
      <c r="AY98" s="82"/>
      <c r="AZ98" s="11">
        <f>IF(ISERROR(MATCH($B98,'Production - Oil'!$B$65:$B$108,0)),0,VLOOKUP($B98,'Production - Oil'!$B$65:$CD$108,MATCH('Production - Total'!AZ$63,'Production - Oil'!$B$9:$CD$9),FALSE))+IF(ISERROR(MATCH($B98,'Production - Gas'!$B$65:$B$108,0)),0,VLOOKUP($B98,'Production - Gas'!$B$65:$CD$108,MATCH('Production - Total'!AZ$63,'Production - Gas'!$B$9:$CD$9),FALSE)/5.8)</f>
        <v>0</v>
      </c>
      <c r="BA98" s="82"/>
      <c r="BB98" s="82"/>
      <c r="BC98" s="82"/>
      <c r="BD98" s="82"/>
      <c r="BE98" s="11">
        <f>IF(ISERROR(MATCH($B98,'Production - Oil'!$B$65:$B$108,0)),0,VLOOKUP($B98,'Production - Oil'!$B$65:$CD$108,MATCH('Production - Total'!BE$63,'Production - Oil'!$B$9:$CD$9),FALSE))+IF(ISERROR(MATCH($B98,'Production - Gas'!$B$65:$B$108,0)),0,VLOOKUP($B98,'Production - Gas'!$B$65:$CD$108,MATCH('Production - Total'!BE$63,'Production - Gas'!$B$9:$CD$9),FALSE)/5.8)</f>
        <v>0</v>
      </c>
      <c r="BF98" s="82"/>
      <c r="BG98" s="82"/>
      <c r="BH98" s="82"/>
      <c r="BI98" s="82"/>
      <c r="BJ98" s="11">
        <f>IF(ISERROR(MATCH($B98,'Production - Oil'!$B$65:$B$108,0)),0,VLOOKUP($B98,'Production - Oil'!$B$65:$CD$108,MATCH('Production - Total'!BJ$63,'Production - Oil'!$B$9:$CD$9),FALSE))+IF(ISERROR(MATCH($B98,'Production - Gas'!$B$65:$B$108,0)),0,VLOOKUP($B98,'Production - Gas'!$B$65:$CD$108,MATCH('Production - Total'!BJ$63,'Production - Gas'!$B$9:$CD$9),FALSE)/5.8)</f>
        <v>0</v>
      </c>
      <c r="BK98" s="82"/>
      <c r="BL98" s="82"/>
      <c r="BM98" s="82"/>
      <c r="BN98" s="82"/>
      <c r="BO98" s="11">
        <f>'Production - Oil'!BO98+'Production - Gas'!BO98/5.8</f>
        <v>0</v>
      </c>
      <c r="BP98" s="82"/>
      <c r="BQ98" s="82"/>
      <c r="BR98" s="82"/>
      <c r="BS98" s="82"/>
      <c r="BT98" s="51"/>
      <c r="BU98" s="82"/>
      <c r="BV98" s="82"/>
      <c r="BW98" s="82"/>
      <c r="BX98" s="82"/>
      <c r="BY98" s="51"/>
      <c r="BZ98" s="82"/>
      <c r="CA98" s="82"/>
      <c r="CB98" s="82"/>
      <c r="CC98" s="82"/>
      <c r="CD98" s="51"/>
    </row>
    <row r="99" spans="1:82">
      <c r="A99" s="47"/>
      <c r="B99" s="47" t="s">
        <v>1703</v>
      </c>
      <c r="C99" s="11">
        <f>IF(ISERROR(MATCH($B99,'Production - Oil'!$B$65:$B$108,0)),0,VLOOKUP($B99,'Production - Oil'!$B$65:$CD$108,MATCH('Production - Total'!C$63,'Production - Oil'!$B$9:$CD$9),FALSE))+IF(ISERROR(MATCH($B99,'Production - Gas'!$B$65:$B$108,0)),0,VLOOKUP($B99,'Production - Gas'!$B$65:$CD$108,MATCH('Production - Total'!C$63,'Production - Gas'!$B$9:$CD$9),FALSE)/5.8)</f>
        <v>20</v>
      </c>
      <c r="D99" s="11">
        <f>IF(ISERROR(MATCH($B99,'Production - Oil'!$B$65:$B$108,0)),0,VLOOKUP($B99,'Production - Oil'!$B$65:$CD$108,MATCH('Production - Total'!D$63,'Production - Oil'!$B$9:$CD$9),FALSE))+IF(ISERROR(MATCH($B99,'Production - Gas'!$B$65:$B$108,0)),0,VLOOKUP($B99,'Production - Gas'!$B$65:$CD$108,MATCH('Production - Total'!D$63,'Production - Gas'!$B$9:$CD$9),FALSE)/5.8)</f>
        <v>74.034482758620683</v>
      </c>
      <c r="E99" s="11">
        <f>IF(ISERROR(MATCH($B99,'Production - Oil'!$B$65:$B$108,0)),0,VLOOKUP($B99,'Production - Oil'!$B$65:$CD$108,MATCH('Production - Total'!E$63,'Production - Oil'!$B$9:$CD$9),FALSE))+IF(ISERROR(MATCH($B99,'Production - Gas'!$B$65:$B$108,0)),0,VLOOKUP($B99,'Production - Gas'!$B$65:$CD$108,MATCH('Production - Total'!E$63,'Production - Gas'!$B$9:$CD$9),FALSE)/5.8)</f>
        <v>318.24137931034483</v>
      </c>
      <c r="F99" s="11">
        <f>IF(ISERROR(MATCH($B99,'Production - Oil'!$B$65:$B$108,0)),0,VLOOKUP($B99,'Production - Oil'!$B$65:$CD$108,MATCH('Production - Total'!F$63,'Production - Oil'!$B$9:$CD$9),FALSE))+IF(ISERROR(MATCH($B99,'Production - Gas'!$B$65:$B$108,0)),0,VLOOKUP($B99,'Production - Gas'!$B$65:$CD$108,MATCH('Production - Total'!F$63,'Production - Gas'!$B$9:$CD$9),FALSE)/5.8)</f>
        <v>909.9655172413793</v>
      </c>
      <c r="G99" s="11">
        <f>IF(ISERROR(MATCH($B99,'Production - Oil'!$B$65:$B$108,0)),0,VLOOKUP($B99,'Production - Oil'!$B$65:$CD$108,MATCH('Production - Total'!G$63,'Production - Oil'!$B$9:$CD$9),FALSE))+IF(ISERROR(MATCH($B99,'Production - Gas'!$B$65:$B$108,0)),0,VLOOKUP($B99,'Production - Gas'!$B$65:$CD$108,MATCH('Production - Total'!G$63,'Production - Gas'!$B$9:$CD$9),FALSE)/5.8)</f>
        <v>994.10344827586209</v>
      </c>
      <c r="H99" s="47"/>
      <c r="I99" s="47"/>
      <c r="J99" s="47"/>
      <c r="K99" s="47"/>
      <c r="L99" s="11">
        <f>IF(ISERROR(MATCH($B99,'Production - Oil'!$B$65:$B$108,0)),0,VLOOKUP($B99,'Production - Oil'!$B$65:$CD$108,MATCH('Production - Total'!L$63,'Production - Oil'!$B$9:$CD$9),FALSE))+IF(ISERROR(MATCH($B99,'Production - Gas'!$B$65:$B$108,0)),0,VLOOKUP($B99,'Production - Gas'!$B$65:$CD$108,MATCH('Production - Total'!L$63,'Production - Gas'!$B$9:$CD$9),FALSE)/5.8)</f>
        <v>969.79310344827582</v>
      </c>
      <c r="M99" s="11"/>
      <c r="N99" s="11"/>
      <c r="O99" s="11"/>
      <c r="P99" s="11"/>
      <c r="Q99" s="11">
        <f>IF(ISERROR(MATCH($B99,'Production - Oil'!$B$65:$B$108,0)),0,VLOOKUP($B99,'Production - Oil'!$B$65:$CD$108,MATCH('Production - Total'!Q$63,'Production - Oil'!$B$9:$CD$9),FALSE))+IF(ISERROR(MATCH($B99,'Production - Gas'!$B$65:$B$108,0)),0,VLOOKUP($B99,'Production - Gas'!$B$65:$CD$108,MATCH('Production - Total'!Q$63,'Production - Gas'!$B$9:$CD$9),FALSE)/5.8)</f>
        <v>909.75862068965512</v>
      </c>
      <c r="R99" s="11"/>
      <c r="S99" s="11"/>
      <c r="T99" s="11"/>
      <c r="U99" s="11"/>
      <c r="V99" s="11">
        <f>IF(ISERROR(MATCH($B99,'Production - Oil'!$B$65:$B$108,0)),0,VLOOKUP($B99,'Production - Oil'!$B$65:$CD$108,MATCH('Production - Total'!V$63,'Production - Oil'!$B$9:$CD$9),FALSE))+IF(ISERROR(MATCH($B99,'Production - Gas'!$B$65:$B$108,0)),0,VLOOKUP($B99,'Production - Gas'!$B$65:$CD$108,MATCH('Production - Total'!V$63,'Production - Gas'!$B$9:$CD$9),FALSE)/5.8)</f>
        <v>923.24137931034488</v>
      </c>
      <c r="W99" s="11"/>
      <c r="X99" s="11"/>
      <c r="Y99" s="11"/>
      <c r="Z99" s="11"/>
      <c r="AA99" s="11">
        <f>IF(ISERROR(MATCH($B99,'Production - Oil'!$B$65:$B$108,0)),0,VLOOKUP($B99,'Production - Oil'!$B$65:$CD$108,MATCH('Production - Total'!AA$63,'Production - Oil'!$B$9:$CD$9),FALSE))+IF(ISERROR(MATCH($B99,'Production - Gas'!$B$65:$B$108,0)),0,VLOOKUP($B99,'Production - Gas'!$B$65:$CD$108,MATCH('Production - Total'!AA$63,'Production - Gas'!$B$9:$CD$9),FALSE)/5.8)</f>
        <v>943.62068965517244</v>
      </c>
      <c r="AB99" s="11"/>
      <c r="AC99" s="11"/>
      <c r="AD99" s="11"/>
      <c r="AE99" s="11"/>
      <c r="AF99" s="11">
        <f>IF(ISERROR(MATCH($B99,'Production - Oil'!$B$65:$B$108,0)),0,VLOOKUP($B99,'Production - Oil'!$B$65:$CD$108,MATCH('Production - Total'!AF$63,'Production - Oil'!$B$9:$CD$9),FALSE))+IF(ISERROR(MATCH($B99,'Production - Gas'!$B$65:$B$108,0)),0,VLOOKUP($B99,'Production - Gas'!$B$65:$CD$108,MATCH('Production - Total'!AF$63,'Production - Gas'!$B$9:$CD$9),FALSE)/5.8)</f>
        <v>966.34482758620686</v>
      </c>
      <c r="AG99" s="68">
        <f>VLOOKUP($B99,'Production - Oil'!$B$63:$CD$110,MATCH('Production - Total'!AG$63,'Production - Oil'!$B$63:$CD$63,0),FALSE)+VLOOKUP($B99,'Production - Gas'!$B$63:$CD$110,MATCH('Production - Total'!AG$63,'Production - Gas'!$B$63:$CD$63,0),FALSE)/5.8</f>
        <v>0</v>
      </c>
      <c r="AH99" s="68">
        <f>VLOOKUP($B99,'Production - Oil'!$B$63:$CD$110,MATCH('Production - Total'!AH$63,'Production - Oil'!$B$63:$CD$63,0),FALSE)+VLOOKUP($B99,'Production - Gas'!$B$63:$CD$110,MATCH('Production - Total'!AH$63,'Production - Gas'!$B$63:$CD$63,0),FALSE)/5.8</f>
        <v>0</v>
      </c>
      <c r="AI99" s="68">
        <f>VLOOKUP($B99,'Production - Oil'!$B$63:$CD$110,MATCH('Production - Total'!AI$63,'Production - Oil'!$B$63:$CD$63,0),FALSE)+VLOOKUP($B99,'Production - Gas'!$B$63:$CD$110,MATCH('Production - Total'!AI$63,'Production - Gas'!$B$63:$CD$63,0),FALSE)/5.8</f>
        <v>0</v>
      </c>
      <c r="AJ99" s="68">
        <f>VLOOKUP($B99,'Production - Oil'!$B$63:$CD$110,MATCH('Production - Total'!AJ$63,'Production - Oil'!$B$63:$CD$63,0),FALSE)+VLOOKUP($B99,'Production - Gas'!$B$63:$CD$110,MATCH('Production - Total'!AJ$63,'Production - Gas'!$B$63:$CD$63,0),FALSE)/5.8</f>
        <v>0</v>
      </c>
      <c r="AK99" s="11">
        <f>IF(ISERROR(MATCH($B99,'Production - Oil'!$B$65:$B$108,0)),0,VLOOKUP($B99,'Production - Oil'!$B$65:$CD$108,MATCH('Production - Total'!AK$63,'Production - Oil'!$B$9:$CD$9),FALSE))+IF(ISERROR(MATCH($B99,'Production - Gas'!$B$65:$B$108,0)),0,VLOOKUP($B99,'Production - Gas'!$B$65:$CD$108,MATCH('Production - Total'!AK$63,'Production - Gas'!$B$9:$CD$9),FALSE)/5.8)</f>
        <v>985.51724137931035</v>
      </c>
      <c r="AL99" s="68">
        <f>VLOOKUP($B99,'Production - Oil'!$B$63:$CD$110,MATCH('Production - Total'!AL$63,'Production - Oil'!$B$63:$CD$63,0),FALSE)+VLOOKUP($B99,'Production - Gas'!$B$63:$CD$110,MATCH('Production - Total'!AL$63,'Production - Gas'!$B$63:$CD$63,0),FALSE)/5.8</f>
        <v>0</v>
      </c>
      <c r="AM99" s="68">
        <f>VLOOKUP($B99,'Production - Oil'!$B$63:$CD$110,MATCH('Production - Total'!AM$63,'Production - Oil'!$B$63:$CD$63,0),FALSE)+VLOOKUP($B99,'Production - Gas'!$B$63:$CD$110,MATCH('Production - Total'!AM$63,'Production - Gas'!$B$63:$CD$63,0),FALSE)/5.8</f>
        <v>0</v>
      </c>
      <c r="AN99" s="68">
        <f>VLOOKUP($B99,'Production - Oil'!$B$63:$CD$110,MATCH('Production - Total'!AN$63,'Production - Oil'!$B$63:$CD$63,0),FALSE)+VLOOKUP($B99,'Production - Gas'!$B$63:$CD$110,MATCH('Production - Total'!AN$63,'Production - Gas'!$B$63:$CD$63,0),FALSE)/5.8</f>
        <v>0</v>
      </c>
      <c r="AO99" s="68">
        <f>VLOOKUP($B99,'Production - Oil'!$B$63:$CD$110,MATCH('Production - Total'!AO$63,'Production - Oil'!$B$63:$CD$63,0),FALSE)+VLOOKUP($B99,'Production - Gas'!$B$63:$CD$110,MATCH('Production - Total'!AO$63,'Production - Gas'!$B$63:$CD$63,0),FALSE)/5.8</f>
        <v>0</v>
      </c>
      <c r="AP99" s="11">
        <f>IF(ISERROR(MATCH($B99,'Production - Oil'!$B$65:$B$108,0)),0,VLOOKUP($B99,'Production - Oil'!$B$65:$CD$108,MATCH('Production - Total'!AP$63,'Production - Oil'!$B$9:$CD$9),FALSE))+IF(ISERROR(MATCH($B99,'Production - Gas'!$B$65:$B$108,0)),0,VLOOKUP($B99,'Production - Gas'!$B$65:$CD$108,MATCH('Production - Total'!AP$63,'Production - Gas'!$B$9:$CD$9),FALSE)/5.8)</f>
        <v>989.55172413793105</v>
      </c>
      <c r="AQ99" s="82"/>
      <c r="AR99" s="82"/>
      <c r="AS99" s="82"/>
      <c r="AT99" s="82"/>
      <c r="AU99" s="11">
        <f>IF(ISERROR(MATCH($B99,'Production - Oil'!$B$65:$B$108,0)),0,VLOOKUP($B99,'Production - Oil'!$B$65:$CD$108,MATCH('Production - Total'!AU$63,'Production - Oil'!$B$9:$CD$9),FALSE))+IF(ISERROR(MATCH($B99,'Production - Gas'!$B$65:$B$108,0)),0,VLOOKUP($B99,'Production - Gas'!$B$65:$CD$108,MATCH('Production - Total'!AU$63,'Production - Gas'!$B$9:$CD$9),FALSE)/5.8)</f>
        <v>975.10344827586209</v>
      </c>
      <c r="AV99" s="82"/>
      <c r="AW99" s="82"/>
      <c r="AX99" s="82"/>
      <c r="AY99" s="82"/>
      <c r="AZ99" s="11">
        <f>IF(ISERROR(MATCH($B99,'Production - Oil'!$B$65:$B$108,0)),0,VLOOKUP($B99,'Production - Oil'!$B$65:$CD$108,MATCH('Production - Total'!AZ$63,'Production - Oil'!$B$9:$CD$9),FALSE))+IF(ISERROR(MATCH($B99,'Production - Gas'!$B$65:$B$108,0)),0,VLOOKUP($B99,'Production - Gas'!$B$65:$CD$108,MATCH('Production - Total'!AZ$63,'Production - Gas'!$B$9:$CD$9),FALSE)/5.8)</f>
        <v>1007.8965517241379</v>
      </c>
      <c r="BA99" s="82"/>
      <c r="BB99" s="82"/>
      <c r="BC99" s="82"/>
      <c r="BD99" s="82"/>
      <c r="BE99" s="11">
        <f>IF(ISERROR(MATCH($B99,'Production - Oil'!$B$65:$B$108,0)),0,VLOOKUP($B99,'Production - Oil'!$B$65:$CD$108,MATCH('Production - Total'!BE$63,'Production - Oil'!$B$9:$CD$9),FALSE))+IF(ISERROR(MATCH($B99,'Production - Gas'!$B$65:$B$108,0)),0,VLOOKUP($B99,'Production - Gas'!$B$65:$CD$108,MATCH('Production - Total'!BE$63,'Production - Gas'!$B$9:$CD$9),FALSE)/5.8)</f>
        <v>1019.0344827586207</v>
      </c>
      <c r="BF99" s="82"/>
      <c r="BG99" s="82"/>
      <c r="BH99" s="82"/>
      <c r="BI99" s="82"/>
      <c r="BJ99" s="11">
        <f>IF(ISERROR(MATCH($B99,'Production - Oil'!$B$65:$B$108,0)),0,VLOOKUP($B99,'Production - Oil'!$B$65:$CD$108,MATCH('Production - Total'!BJ$63,'Production - Oil'!$B$9:$CD$9),FALSE))+IF(ISERROR(MATCH($B99,'Production - Gas'!$B$65:$B$108,0)),0,VLOOKUP($B99,'Production - Gas'!$B$65:$CD$108,MATCH('Production - Total'!BJ$63,'Production - Gas'!$B$9:$CD$9),FALSE)/5.8)</f>
        <v>1060.5172413793102</v>
      </c>
      <c r="BK99" s="82"/>
      <c r="BL99" s="82"/>
      <c r="BM99" s="82"/>
      <c r="BN99" s="82"/>
      <c r="BO99" s="11">
        <f>'Production - Oil'!BO99+'Production - Gas'!BO99/5.8</f>
        <v>1129.5172413793102</v>
      </c>
      <c r="BP99" s="68">
        <f>VLOOKUP($B99,'Production - Oil'!$B$63:$CD$110,MATCH('Production - Total'!BP$63,'Production - Oil'!$B$63:$CD$63,0),FALSE)+VLOOKUP($B99,'Production - Gas'!$B$63:$CD$110,MATCH('Production - Total'!BP$63,'Production - Gas'!$B$63:$CD$63,0),FALSE)/5.8</f>
        <v>1133.301276274392</v>
      </c>
      <c r="BQ99" s="68">
        <f>VLOOKUP($B99,'Production - Oil'!$B$63:$CD$110,MATCH('Production - Total'!BQ$63,'Production - Oil'!$B$63:$CD$63,0),FALSE)+VLOOKUP($B99,'Production - Gas'!$B$63:$CD$110,MATCH('Production - Total'!BQ$63,'Production - Gas'!$B$63:$CD$63,0),FALSE)/5.8</f>
        <v>1115.78434736194</v>
      </c>
      <c r="BR99" s="68">
        <f>VLOOKUP($B99,'Production - Oil'!$B$63:$CD$110,MATCH('Production - Total'!BR$63,'Production - Oil'!$B$63:$CD$63,0),FALSE)+VLOOKUP($B99,'Production - Gas'!$B$63:$CD$110,MATCH('Production - Total'!BR$63,'Production - Gas'!$B$63:$CD$63,0),FALSE)/5.8</f>
        <v>1111.4692273522837</v>
      </c>
      <c r="BS99" s="68">
        <f>VLOOKUP($B99,'Production - Oil'!$B$63:$CD$110,MATCH('Production - Total'!BS$63,'Production - Oil'!$B$63:$CD$63,0),FALSE)+VLOOKUP($B99,'Production - Gas'!$B$63:$CD$110,MATCH('Production - Total'!BS$63,'Production - Gas'!$B$63:$CD$63,0),FALSE)/5.8</f>
        <v>1134.5021397010405</v>
      </c>
      <c r="BT99" s="47">
        <f>VLOOKUP($B99,'Production - Oil'!$B$63:$CD$110,MATCH('Production - Total'!BT$63,'Production - Oil'!$B$63:$CD$63,0),FALSE)+VLOOKUP($B99,'Production - Gas'!$B$63:$CD$110,MATCH('Production - Total'!BT$63,'Production - Gas'!$B$63:$CD$63,0),FALSE)/5.8</f>
        <v>1123.7642476724141</v>
      </c>
      <c r="BU99" s="68">
        <f>VLOOKUP($B99,'Production - Oil'!$B$63:$CD$110,MATCH('Production - Total'!BU$63,'Production - Oil'!$B$63:$CD$63,0),FALSE)+VLOOKUP($B99,'Production - Gas'!$B$63:$CD$110,MATCH('Production - Total'!BU$63,'Production - Gas'!$B$63:$CD$63,0),FALSE)/5.8</f>
        <v>1193.808199641694</v>
      </c>
      <c r="BV99" s="68">
        <f>VLOOKUP($B99,'Production - Oil'!$B$63:$CD$110,MATCH('Production - Total'!BV$63,'Production - Oil'!$B$63:$CD$63,0),FALSE)+VLOOKUP($B99,'Production - Gas'!$B$63:$CD$110,MATCH('Production - Total'!BV$63,'Production - Gas'!$B$63:$CD$63,0),FALSE)/5.8</f>
        <v>1174.1242133439325</v>
      </c>
      <c r="BW99" s="68">
        <f>VLOOKUP($B99,'Production - Oil'!$B$63:$CD$110,MATCH('Production - Total'!BW$63,'Production - Oil'!$B$63:$CD$63,0),FALSE)+VLOOKUP($B99,'Production - Gas'!$B$63:$CD$110,MATCH('Production - Total'!BW$63,'Production - Gas'!$B$63:$CD$63,0),FALSE)/5.8</f>
        <v>1169.2752604499753</v>
      </c>
      <c r="BX99" s="68">
        <f>VLOOKUP($B99,'Production - Oil'!$B$63:$CD$110,MATCH('Production - Total'!BX$63,'Production - Oil'!$B$63:$CD$63,0),FALSE)+VLOOKUP($B99,'Production - Gas'!$B$63:$CD$110,MATCH('Production - Total'!BX$63,'Production - Gas'!$B$63:$CD$63,0),FALSE)/5.8</f>
        <v>1195.1576244954326</v>
      </c>
      <c r="BY99" s="47">
        <f>VLOOKUP($B99,'Production - Oil'!$B$63:$CD$110,MATCH('Production - Total'!BY$63,'Production - Oil'!$B$63:$CD$63,0),FALSE)+VLOOKUP($B99,'Production - Gas'!$B$63:$CD$110,MATCH('Production - Total'!BY$63,'Production - Gas'!$B$63:$CD$63,0),FALSE)/5.8</f>
        <v>1183.0913244827586</v>
      </c>
      <c r="BZ99" s="68">
        <f>VLOOKUP($B99,'Production - Oil'!$B$63:$CD$110,MATCH('Production - Total'!BZ$63,'Production - Oil'!$B$63:$CD$63,0),FALSE)+VLOOKUP($B99,'Production - Gas'!$B$63:$CD$110,MATCH('Production - Total'!BZ$63,'Production - Gas'!$B$63:$CD$63,0),FALSE)/5.8</f>
        <v>1224.4480365025834</v>
      </c>
      <c r="CA99" s="68">
        <f>VLOOKUP($B99,'Production - Oil'!$B$63:$CD$110,MATCH('Production - Total'!CA$63,'Production - Oil'!$B$63:$CD$63,0),FALSE)+VLOOKUP($B99,'Production - Gas'!$B$63:$CD$110,MATCH('Production - Total'!CA$63,'Production - Gas'!$B$63:$CD$63,0),FALSE)/5.8</f>
        <v>1203.1839398010402</v>
      </c>
      <c r="CB99" s="68">
        <f>VLOOKUP($B99,'Production - Oil'!$B$63:$CD$110,MATCH('Production - Total'!CB$63,'Production - Oil'!$B$63:$CD$63,0),FALSE)+VLOOKUP($B99,'Production - Gas'!$B$63:$CD$110,MATCH('Production - Total'!CB$63,'Production - Gas'!$B$63:$CD$63,0),FALSE)/5.8</f>
        <v>1197.9457425335459</v>
      </c>
      <c r="CC99" s="68">
        <f>VLOOKUP($B99,'Production - Oil'!$B$63:$CD$110,MATCH('Production - Total'!CC$63,'Production - Oil'!$B$63:$CD$63,0),FALSE)+VLOOKUP($B99,'Production - Gas'!$B$63:$CD$110,MATCH('Production - Total'!CC$63,'Production - Gas'!$B$63:$CD$63,0),FALSE)/5.8</f>
        <v>1225.9057849559351</v>
      </c>
      <c r="CD99" s="47">
        <f>VLOOKUP($B99,'Production - Oil'!$B$63:$CD$110,MATCH('Production - Total'!CD$63,'Production - Oil'!$B$63:$CD$63,0),FALSE)+VLOOKUP($B99,'Production - Gas'!$B$63:$CD$110,MATCH('Production - Total'!CD$63,'Production - Gas'!$B$63:$CD$63,0),FALSE)/5.8</f>
        <v>1212.8708759482761</v>
      </c>
    </row>
    <row r="100" spans="1:82">
      <c r="A100" s="47"/>
      <c r="B100" s="47" t="s">
        <v>1961</v>
      </c>
      <c r="C100" s="11">
        <f>IF(ISERROR(MATCH($B100,'Production - Oil'!$B$65:$B$108,0)),0,VLOOKUP($B100,'Production - Oil'!$B$65:$CD$108,MATCH('Production - Total'!C$63,'Production - Oil'!$B$9:$CD$9),FALSE))+IF(ISERROR(MATCH($B100,'Production - Gas'!$B$65:$B$108,0)),0,VLOOKUP($B100,'Production - Gas'!$B$65:$CD$108,MATCH('Production - Total'!C$63,'Production - Gas'!$B$9:$CD$9),FALSE)/5.8)</f>
        <v>0</v>
      </c>
      <c r="D100" s="11">
        <f>IF(ISERROR(MATCH($B100,'Production - Oil'!$B$65:$B$108,0)),0,VLOOKUP($B100,'Production - Oil'!$B$65:$CD$108,MATCH('Production - Total'!D$63,'Production - Oil'!$B$9:$CD$9),FALSE))+IF(ISERROR(MATCH($B100,'Production - Gas'!$B$65:$B$108,0)),0,VLOOKUP($B100,'Production - Gas'!$B$65:$CD$108,MATCH('Production - Total'!D$63,'Production - Gas'!$B$9:$CD$9),FALSE)/5.8)</f>
        <v>0</v>
      </c>
      <c r="E100" s="11">
        <f>IF(ISERROR(MATCH($B100,'Production - Oil'!$B$65:$B$108,0)),0,VLOOKUP($B100,'Production - Oil'!$B$65:$CD$108,MATCH('Production - Total'!E$63,'Production - Oil'!$B$9:$CD$9),FALSE))+IF(ISERROR(MATCH($B100,'Production - Gas'!$B$65:$B$108,0)),0,VLOOKUP($B100,'Production - Gas'!$B$65:$CD$108,MATCH('Production - Total'!E$63,'Production - Gas'!$B$9:$CD$9),FALSE)/5.8)</f>
        <v>0</v>
      </c>
      <c r="F100" s="11">
        <f>IF(ISERROR(MATCH($B100,'Production - Oil'!$B$65:$B$108,0)),0,VLOOKUP($B100,'Production - Oil'!$B$65:$CD$108,MATCH('Production - Total'!F$63,'Production - Oil'!$B$9:$CD$9),FALSE))+IF(ISERROR(MATCH($B100,'Production - Gas'!$B$65:$B$108,0)),0,VLOOKUP($B100,'Production - Gas'!$B$65:$CD$108,MATCH('Production - Total'!F$63,'Production - Gas'!$B$9:$CD$9),FALSE)/5.8)</f>
        <v>0</v>
      </c>
      <c r="G100" s="11">
        <f>IF(ISERROR(MATCH($B100,'Production - Oil'!$B$65:$B$108,0)),0,VLOOKUP($B100,'Production - Oil'!$B$65:$CD$108,MATCH('Production - Total'!G$63,'Production - Oil'!$B$9:$CD$9),FALSE))+IF(ISERROR(MATCH($B100,'Production - Gas'!$B$65:$B$108,0)),0,VLOOKUP($B100,'Production - Gas'!$B$65:$CD$108,MATCH('Production - Total'!G$63,'Production - Gas'!$B$9:$CD$9),FALSE)/5.8)</f>
        <v>0</v>
      </c>
      <c r="H100" s="47"/>
      <c r="I100" s="47"/>
      <c r="J100" s="47"/>
      <c r="K100" s="47"/>
      <c r="L100" s="11">
        <f>IF(ISERROR(MATCH($B100,'Production - Oil'!$B$65:$B$108,0)),0,VLOOKUP($B100,'Production - Oil'!$B$65:$CD$108,MATCH('Production - Total'!L$63,'Production - Oil'!$B$9:$CD$9),FALSE))+IF(ISERROR(MATCH($B100,'Production - Gas'!$B$65:$B$108,0)),0,VLOOKUP($B100,'Production - Gas'!$B$65:$CD$108,MATCH('Production - Total'!L$63,'Production - Gas'!$B$9:$CD$9),FALSE)/5.8)</f>
        <v>0</v>
      </c>
      <c r="M100" s="11"/>
      <c r="N100" s="11"/>
      <c r="O100" s="11"/>
      <c r="P100" s="11"/>
      <c r="Q100" s="11">
        <f>IF(ISERROR(MATCH($B100,'Production - Oil'!$B$65:$B$108,0)),0,VLOOKUP($B100,'Production - Oil'!$B$65:$CD$108,MATCH('Production - Total'!Q$63,'Production - Oil'!$B$9:$CD$9),FALSE))+IF(ISERROR(MATCH($B100,'Production - Gas'!$B$65:$B$108,0)),0,VLOOKUP($B100,'Production - Gas'!$B$65:$CD$108,MATCH('Production - Total'!Q$63,'Production - Gas'!$B$9:$CD$9),FALSE)/5.8)</f>
        <v>0</v>
      </c>
      <c r="R100" s="11"/>
      <c r="S100" s="11"/>
      <c r="T100" s="11"/>
      <c r="U100" s="11"/>
      <c r="V100" s="11">
        <f>IF(ISERROR(MATCH($B100,'Production - Oil'!$B$65:$B$108,0)),0,VLOOKUP($B100,'Production - Oil'!$B$65:$CD$108,MATCH('Production - Total'!V$63,'Production - Oil'!$B$9:$CD$9),FALSE))+IF(ISERROR(MATCH($B100,'Production - Gas'!$B$65:$B$108,0)),0,VLOOKUP($B100,'Production - Gas'!$B$65:$CD$108,MATCH('Production - Total'!V$63,'Production - Gas'!$B$9:$CD$9),FALSE)/5.8)</f>
        <v>0</v>
      </c>
      <c r="W100" s="11"/>
      <c r="X100" s="11"/>
      <c r="Y100" s="11"/>
      <c r="Z100" s="11"/>
      <c r="AA100" s="11">
        <f>IF(ISERROR(MATCH($B100,'Production - Oil'!$B$65:$B$108,0)),0,VLOOKUP($B100,'Production - Oil'!$B$65:$CD$108,MATCH('Production - Total'!AA$63,'Production - Oil'!$B$9:$CD$9),FALSE))+IF(ISERROR(MATCH($B100,'Production - Gas'!$B$65:$B$108,0)),0,VLOOKUP($B100,'Production - Gas'!$B$65:$CD$108,MATCH('Production - Total'!AA$63,'Production - Gas'!$B$9:$CD$9),FALSE)/5.8)</f>
        <v>0</v>
      </c>
      <c r="AB100" s="11"/>
      <c r="AC100" s="11"/>
      <c r="AD100" s="11"/>
      <c r="AE100" s="11"/>
      <c r="AF100" s="11">
        <f>IF(ISERROR(MATCH($B100,'Production - Oil'!$B$65:$B$108,0)),0,VLOOKUP($B100,'Production - Oil'!$B$65:$CD$108,MATCH('Production - Total'!AF$63,'Production - Oil'!$B$9:$CD$9),FALSE))+IF(ISERROR(MATCH($B100,'Production - Gas'!$B$65:$B$108,0)),0,VLOOKUP($B100,'Production - Gas'!$B$65:$CD$108,MATCH('Production - Total'!AF$63,'Production - Gas'!$B$9:$CD$9),FALSE)/5.8)</f>
        <v>0</v>
      </c>
      <c r="AG100" s="82"/>
      <c r="AH100" s="82"/>
      <c r="AI100" s="82"/>
      <c r="AJ100" s="82"/>
      <c r="AK100" s="11">
        <f>IF(ISERROR(MATCH($B100,'Production - Oil'!$B$65:$B$108,0)),0,VLOOKUP($B100,'Production - Oil'!$B$65:$CD$108,MATCH('Production - Total'!AK$63,'Production - Oil'!$B$9:$CD$9),FALSE))+IF(ISERROR(MATCH($B100,'Production - Gas'!$B$65:$B$108,0)),0,VLOOKUP($B100,'Production - Gas'!$B$65:$CD$108,MATCH('Production - Total'!AK$63,'Production - Gas'!$B$9:$CD$9),FALSE)/5.8)</f>
        <v>0</v>
      </c>
      <c r="AL100" s="82"/>
      <c r="AM100" s="82"/>
      <c r="AN100" s="82"/>
      <c r="AO100" s="82"/>
      <c r="AP100" s="11">
        <f>IF(ISERROR(MATCH($B100,'Production - Oil'!$B$65:$B$108,0)),0,VLOOKUP($B100,'Production - Oil'!$B$65:$CD$108,MATCH('Production - Total'!AP$63,'Production - Oil'!$B$9:$CD$9),FALSE))+IF(ISERROR(MATCH($B100,'Production - Gas'!$B$65:$B$108,0)),0,VLOOKUP($B100,'Production - Gas'!$B$65:$CD$108,MATCH('Production - Total'!AP$63,'Production - Gas'!$B$9:$CD$9),FALSE)/5.8)</f>
        <v>0</v>
      </c>
      <c r="AQ100" s="82"/>
      <c r="AR100" s="82"/>
      <c r="AS100" s="82"/>
      <c r="AT100" s="82"/>
      <c r="AU100" s="11">
        <f>IF(ISERROR(MATCH($B100,'Production - Oil'!$B$65:$B$108,0)),0,VLOOKUP($B100,'Production - Oil'!$B$65:$CD$108,MATCH('Production - Total'!AU$63,'Production - Oil'!$B$9:$CD$9),FALSE))+IF(ISERROR(MATCH($B100,'Production - Gas'!$B$65:$B$108,0)),0,VLOOKUP($B100,'Production - Gas'!$B$65:$CD$108,MATCH('Production - Total'!AU$63,'Production - Gas'!$B$9:$CD$9),FALSE)/5.8)</f>
        <v>0</v>
      </c>
      <c r="AV100" s="82"/>
      <c r="AW100" s="82"/>
      <c r="AX100" s="82"/>
      <c r="AY100" s="82"/>
      <c r="AZ100" s="11">
        <f>IF(ISERROR(MATCH($B100,'Production - Oil'!$B$65:$B$108,0)),0,VLOOKUP($B100,'Production - Oil'!$B$65:$CD$108,MATCH('Production - Total'!AZ$63,'Production - Oil'!$B$9:$CD$9),FALSE))+IF(ISERROR(MATCH($B100,'Production - Gas'!$B$65:$B$108,0)),0,VLOOKUP($B100,'Production - Gas'!$B$65:$CD$108,MATCH('Production - Total'!AZ$63,'Production - Gas'!$B$9:$CD$9),FALSE)/5.8)</f>
        <v>0</v>
      </c>
      <c r="BA100" s="82"/>
      <c r="BB100" s="82"/>
      <c r="BC100" s="82"/>
      <c r="BD100" s="82"/>
      <c r="BE100" s="11">
        <f>IF(ISERROR(MATCH($B100,'Production - Oil'!$B$65:$B$108,0)),0,VLOOKUP($B100,'Production - Oil'!$B$65:$CD$108,MATCH('Production - Total'!BE$63,'Production - Oil'!$B$9:$CD$9),FALSE))+IF(ISERROR(MATCH($B100,'Production - Gas'!$B$65:$B$108,0)),0,VLOOKUP($B100,'Production - Gas'!$B$65:$CD$108,MATCH('Production - Total'!BE$63,'Production - Gas'!$B$9:$CD$9),FALSE)/5.8)</f>
        <v>0</v>
      </c>
      <c r="BF100" s="82"/>
      <c r="BG100" s="82"/>
      <c r="BH100" s="82"/>
      <c r="BI100" s="82"/>
      <c r="BJ100" s="11">
        <f>IF(ISERROR(MATCH($B100,'Production - Oil'!$B$65:$B$108,0)),0,VLOOKUP($B100,'Production - Oil'!$B$65:$CD$108,MATCH('Production - Total'!BJ$63,'Production - Oil'!$B$9:$CD$9),FALSE))+IF(ISERROR(MATCH($B100,'Production - Gas'!$B$65:$B$108,0)),0,VLOOKUP($B100,'Production - Gas'!$B$65:$CD$108,MATCH('Production - Total'!BJ$63,'Production - Gas'!$B$9:$CD$9),FALSE)/5.8)</f>
        <v>0</v>
      </c>
      <c r="BK100" s="82"/>
      <c r="BL100" s="82"/>
      <c r="BM100" s="82"/>
      <c r="BN100" s="82"/>
      <c r="BO100" s="11">
        <f>'Production - Oil'!BO100+'Production - Gas'!BO100/5.8</f>
        <v>0</v>
      </c>
      <c r="BP100" s="82"/>
      <c r="BQ100" s="82"/>
      <c r="BR100" s="82"/>
      <c r="BS100" s="82"/>
      <c r="BT100" s="51"/>
      <c r="BU100" s="82"/>
      <c r="BV100" s="82"/>
      <c r="BW100" s="82"/>
      <c r="BX100" s="82"/>
      <c r="BY100" s="51"/>
      <c r="BZ100" s="82"/>
      <c r="CA100" s="82"/>
      <c r="CB100" s="82"/>
      <c r="CC100" s="82"/>
      <c r="CD100" s="51"/>
    </row>
    <row r="101" spans="1:82">
      <c r="A101" s="11"/>
      <c r="B101" s="11" t="s">
        <v>3399</v>
      </c>
      <c r="C101" s="11">
        <f>IF(ISERROR(MATCH($B101,'Production - Oil'!$B$65:$B$108,0)),0,VLOOKUP($B101,'Production - Oil'!$B$65:$CD$108,MATCH('Production - Total'!C$63,'Production - Oil'!$B$9:$CD$9),FALSE))+IF(ISERROR(MATCH($B101,'Production - Gas'!$B$65:$B$108,0)),0,VLOOKUP($B101,'Production - Gas'!$B$65:$CD$108,MATCH('Production - Total'!C$63,'Production - Gas'!$B$9:$CD$9),FALSE)/5.8)</f>
        <v>18.793103448275861</v>
      </c>
      <c r="D101" s="11">
        <f>IF(ISERROR(MATCH($B101,'Production - Oil'!$B$65:$B$108,0)),0,VLOOKUP($B101,'Production - Oil'!$B$65:$CD$108,MATCH('Production - Total'!D$63,'Production - Oil'!$B$9:$CD$9),FALSE))+IF(ISERROR(MATCH($B101,'Production - Gas'!$B$65:$B$108,0)),0,VLOOKUP($B101,'Production - Gas'!$B$65:$CD$108,MATCH('Production - Total'!D$63,'Production - Gas'!$B$9:$CD$9),FALSE)/5.8)</f>
        <v>21.724137931034484</v>
      </c>
      <c r="E101" s="11">
        <f>IF(ISERROR(MATCH($B101,'Production - Oil'!$B$65:$B$108,0)),0,VLOOKUP($B101,'Production - Oil'!$B$65:$CD$108,MATCH('Production - Total'!E$63,'Production - Oil'!$B$9:$CD$9),FALSE))+IF(ISERROR(MATCH($B101,'Production - Gas'!$B$65:$B$108,0)),0,VLOOKUP($B101,'Production - Gas'!$B$65:$CD$108,MATCH('Production - Total'!E$63,'Production - Gas'!$B$9:$CD$9),FALSE)/5.8)</f>
        <v>19.137931034482758</v>
      </c>
      <c r="F101" s="11">
        <f>IF(ISERROR(MATCH($B101,'Production - Oil'!$B$65:$B$108,0)),0,VLOOKUP($B101,'Production - Oil'!$B$65:$CD$108,MATCH('Production - Total'!F$63,'Production - Oil'!$B$9:$CD$9),FALSE))+IF(ISERROR(MATCH($B101,'Production - Gas'!$B$65:$B$108,0)),0,VLOOKUP($B101,'Production - Gas'!$B$65:$CD$108,MATCH('Production - Total'!F$63,'Production - Gas'!$B$9:$CD$9),FALSE)/5.8)</f>
        <v>17.931034482758623</v>
      </c>
      <c r="G101" s="11">
        <f>IF(ISERROR(MATCH($B101,'Production - Oil'!$B$65:$B$108,0)),0,VLOOKUP($B101,'Production - Oil'!$B$65:$CD$108,MATCH('Production - Total'!G$63,'Production - Oil'!$B$9:$CD$9),FALSE))+IF(ISERROR(MATCH($B101,'Production - Gas'!$B$65:$B$108,0)),0,VLOOKUP($B101,'Production - Gas'!$B$65:$CD$108,MATCH('Production - Total'!G$63,'Production - Gas'!$B$9:$CD$9),FALSE)/5.8)</f>
        <v>12.251724137931035</v>
      </c>
      <c r="H101" s="11"/>
      <c r="I101" s="11"/>
      <c r="J101" s="11"/>
      <c r="K101" s="11"/>
      <c r="L101" s="11">
        <f>IF(ISERROR(MATCH($B101,'Production - Oil'!$B$65:$B$108,0)),0,VLOOKUP($B101,'Production - Oil'!$B$65:$CD$108,MATCH('Production - Total'!L$63,'Production - Oil'!$B$9:$CD$9),FALSE))+IF(ISERROR(MATCH($B101,'Production - Gas'!$B$65:$B$108,0)),0,VLOOKUP($B101,'Production - Gas'!$B$65:$CD$108,MATCH('Production - Total'!L$63,'Production - Gas'!$B$9:$CD$9),FALSE)/5.8)</f>
        <v>6.3793103448275863</v>
      </c>
      <c r="M101" s="11"/>
      <c r="N101" s="11"/>
      <c r="O101" s="11"/>
      <c r="P101" s="11"/>
      <c r="Q101" s="11">
        <f>IF(ISERROR(MATCH($B101,'Production - Oil'!$B$65:$B$108,0)),0,VLOOKUP($B101,'Production - Oil'!$B$65:$CD$108,MATCH('Production - Total'!Q$63,'Production - Oil'!$B$9:$CD$9),FALSE))+IF(ISERROR(MATCH($B101,'Production - Gas'!$B$65:$B$108,0)),0,VLOOKUP($B101,'Production - Gas'!$B$65:$CD$108,MATCH('Production - Total'!Q$63,'Production - Gas'!$B$9:$CD$9),FALSE)/5.8)</f>
        <v>5.6896551724137936</v>
      </c>
      <c r="R101" s="11"/>
      <c r="S101" s="11"/>
      <c r="T101" s="11"/>
      <c r="U101" s="11"/>
      <c r="V101" s="11">
        <f>IF(ISERROR(MATCH($B101,'Production - Oil'!$B$65:$B$108,0)),0,VLOOKUP($B101,'Production - Oil'!$B$65:$CD$108,MATCH('Production - Total'!V$63,'Production - Oil'!$B$9:$CD$9),FALSE))+IF(ISERROR(MATCH($B101,'Production - Gas'!$B$65:$B$108,0)),0,VLOOKUP($B101,'Production - Gas'!$B$65:$CD$108,MATCH('Production - Total'!V$63,'Production - Gas'!$B$9:$CD$9),FALSE)/5.8)</f>
        <v>5.3448275862068968</v>
      </c>
      <c r="W101" s="11"/>
      <c r="X101" s="11"/>
      <c r="Y101" s="11"/>
      <c r="Z101" s="11"/>
      <c r="AA101" s="11">
        <f>IF(ISERROR(MATCH($B101,'Production - Oil'!$B$65:$B$108,0)),0,VLOOKUP($B101,'Production - Oil'!$B$65:$CD$108,MATCH('Production - Total'!AA$63,'Production - Oil'!$B$9:$CD$9),FALSE))+IF(ISERROR(MATCH($B101,'Production - Gas'!$B$65:$B$108,0)),0,VLOOKUP($B101,'Production - Gas'!$B$65:$CD$108,MATCH('Production - Total'!AA$63,'Production - Gas'!$B$9:$CD$9),FALSE)/5.8)</f>
        <v>5.3448275862068968</v>
      </c>
      <c r="AB101" s="11"/>
      <c r="AC101" s="11"/>
      <c r="AD101" s="11"/>
      <c r="AE101" s="11"/>
      <c r="AF101" s="11">
        <f>IF(ISERROR(MATCH($B101,'Production - Oil'!$B$65:$B$108,0)),0,VLOOKUP($B101,'Production - Oil'!$B$65:$CD$108,MATCH('Production - Total'!AF$63,'Production - Oil'!$B$9:$CD$9),FALSE))+IF(ISERROR(MATCH($B101,'Production - Gas'!$B$65:$B$108,0)),0,VLOOKUP($B101,'Production - Gas'!$B$65:$CD$108,MATCH('Production - Total'!AF$63,'Production - Gas'!$B$9:$CD$9),FALSE)/5.8)</f>
        <v>5.1724137931034484</v>
      </c>
      <c r="AG101" s="82"/>
      <c r="AH101" s="82"/>
      <c r="AI101" s="82"/>
      <c r="AJ101" s="82"/>
      <c r="AK101" s="11">
        <f>IF(ISERROR(MATCH($B101,'Production - Oil'!$B$65:$B$108,0)),0,VLOOKUP($B101,'Production - Oil'!$B$65:$CD$108,MATCH('Production - Total'!AK$63,'Production - Oil'!$B$9:$CD$9),FALSE))+IF(ISERROR(MATCH($B101,'Production - Gas'!$B$65:$B$108,0)),0,VLOOKUP($B101,'Production - Gas'!$B$65:$CD$108,MATCH('Production - Total'!AK$63,'Production - Gas'!$B$9:$CD$9),FALSE)/5.8)</f>
        <v>4.4827586206896557</v>
      </c>
      <c r="AL101" s="82"/>
      <c r="AM101" s="82"/>
      <c r="AN101" s="82"/>
      <c r="AO101" s="82"/>
      <c r="AP101" s="11">
        <f>IF(ISERROR(MATCH($B101,'Production - Oil'!$B$65:$B$108,0)),0,VLOOKUP($B101,'Production - Oil'!$B$65:$CD$108,MATCH('Production - Total'!AP$63,'Production - Oil'!$B$9:$CD$9),FALSE))+IF(ISERROR(MATCH($B101,'Production - Gas'!$B$65:$B$108,0)),0,VLOOKUP($B101,'Production - Gas'!$B$65:$CD$108,MATCH('Production - Total'!AP$63,'Production - Gas'!$B$9:$CD$9),FALSE)/5.8)</f>
        <v>4.4827586206896557</v>
      </c>
      <c r="AQ101" s="82"/>
      <c r="AR101" s="82"/>
      <c r="AS101" s="82"/>
      <c r="AT101" s="82"/>
      <c r="AU101" s="11">
        <f>IF(ISERROR(MATCH($B101,'Production - Oil'!$B$65:$B$108,0)),0,VLOOKUP($B101,'Production - Oil'!$B$65:$CD$108,MATCH('Production - Total'!AU$63,'Production - Oil'!$B$9:$CD$9),FALSE))+IF(ISERROR(MATCH($B101,'Production - Gas'!$B$65:$B$108,0)),0,VLOOKUP($B101,'Production - Gas'!$B$65:$CD$108,MATCH('Production - Total'!AU$63,'Production - Gas'!$B$9:$CD$9),FALSE)/5.8)</f>
        <v>3.7931034482758621</v>
      </c>
      <c r="AV101" s="82"/>
      <c r="AW101" s="82"/>
      <c r="AX101" s="82"/>
      <c r="AY101" s="82"/>
      <c r="AZ101" s="11">
        <f>IF(ISERROR(MATCH($B101,'Production - Oil'!$B$65:$B$108,0)),0,VLOOKUP($B101,'Production - Oil'!$B$65:$CD$108,MATCH('Production - Total'!AZ$63,'Production - Oil'!$B$9:$CD$9),FALSE))+IF(ISERROR(MATCH($B101,'Production - Gas'!$B$65:$B$108,0)),0,VLOOKUP($B101,'Production - Gas'!$B$65:$CD$108,MATCH('Production - Total'!AZ$63,'Production - Gas'!$B$9:$CD$9),FALSE)/5.8)</f>
        <v>0</v>
      </c>
      <c r="BA101" s="82"/>
      <c r="BB101" s="82"/>
      <c r="BC101" s="82"/>
      <c r="BD101" s="82"/>
      <c r="BE101" s="11">
        <f>IF(ISERROR(MATCH($B101,'Production - Oil'!$B$65:$B$108,0)),0,VLOOKUP($B101,'Production - Oil'!$B$65:$CD$108,MATCH('Production - Total'!BE$63,'Production - Oil'!$B$9:$CD$9),FALSE))+IF(ISERROR(MATCH($B101,'Production - Gas'!$B$65:$B$108,0)),0,VLOOKUP($B101,'Production - Gas'!$B$65:$CD$108,MATCH('Production - Total'!BE$63,'Production - Gas'!$B$9:$CD$9),FALSE)/5.8)</f>
        <v>0</v>
      </c>
      <c r="BF101" s="82"/>
      <c r="BG101" s="82"/>
      <c r="BH101" s="82"/>
      <c r="BI101" s="82"/>
      <c r="BJ101" s="11">
        <f>IF(ISERROR(MATCH($B101,'Production - Oil'!$B$65:$B$108,0)),0,VLOOKUP($B101,'Production - Oil'!$B$65:$CD$108,MATCH('Production - Total'!BJ$63,'Production - Oil'!$B$9:$CD$9),FALSE))+IF(ISERROR(MATCH($B101,'Production - Gas'!$B$65:$B$108,0)),0,VLOOKUP($B101,'Production - Gas'!$B$65:$CD$108,MATCH('Production - Total'!BJ$63,'Production - Gas'!$B$9:$CD$9),FALSE)/5.8)</f>
        <v>0</v>
      </c>
      <c r="BK101" s="82"/>
      <c r="BL101" s="82"/>
      <c r="BM101" s="82"/>
      <c r="BN101" s="82"/>
      <c r="BO101" s="11">
        <f>'Production - Oil'!BO101+'Production - Gas'!BO101/5.8</f>
        <v>0</v>
      </c>
      <c r="BP101" s="82"/>
      <c r="BQ101" s="82"/>
      <c r="BR101" s="82"/>
      <c r="BS101" s="82"/>
      <c r="BT101" s="51"/>
      <c r="BU101" s="82"/>
      <c r="BV101" s="82"/>
      <c r="BW101" s="82"/>
      <c r="BX101" s="82"/>
      <c r="BY101" s="51"/>
      <c r="BZ101" s="82"/>
      <c r="CA101" s="82"/>
      <c r="CB101" s="82"/>
      <c r="CC101" s="82"/>
      <c r="CD101" s="51"/>
    </row>
    <row r="102" spans="1:82">
      <c r="A102" s="11"/>
      <c r="B102" s="11" t="s">
        <v>3400</v>
      </c>
      <c r="C102" s="11">
        <f>IF(ISERROR(MATCH($B102,'Production - Oil'!$B$65:$B$108,0)),0,VLOOKUP($B102,'Production - Oil'!$B$65:$CD$108,MATCH('Production - Total'!C$63,'Production - Oil'!$B$9:$CD$9),FALSE))+IF(ISERROR(MATCH($B102,'Production - Gas'!$B$65:$B$108,0)),0,VLOOKUP($B102,'Production - Gas'!$B$65:$CD$108,MATCH('Production - Total'!C$63,'Production - Gas'!$B$9:$CD$9),FALSE)/5.8)</f>
        <v>12</v>
      </c>
      <c r="D102" s="11">
        <f>IF(ISERROR(MATCH($B102,'Production - Oil'!$B$65:$B$108,0)),0,VLOOKUP($B102,'Production - Oil'!$B$65:$CD$108,MATCH('Production - Total'!D$63,'Production - Oil'!$B$9:$CD$9),FALSE))+IF(ISERROR(MATCH($B102,'Production - Gas'!$B$65:$B$108,0)),0,VLOOKUP($B102,'Production - Gas'!$B$65:$CD$108,MATCH('Production - Total'!D$63,'Production - Gas'!$B$9:$CD$9),FALSE)/5.8)</f>
        <v>13</v>
      </c>
      <c r="E102" s="11">
        <f>IF(ISERROR(MATCH($B102,'Production - Oil'!$B$65:$B$108,0)),0,VLOOKUP($B102,'Production - Oil'!$B$65:$CD$108,MATCH('Production - Total'!E$63,'Production - Oil'!$B$9:$CD$9),FALSE))+IF(ISERROR(MATCH($B102,'Production - Gas'!$B$65:$B$108,0)),0,VLOOKUP($B102,'Production - Gas'!$B$65:$CD$108,MATCH('Production - Total'!E$63,'Production - Gas'!$B$9:$CD$9),FALSE)/5.8)</f>
        <v>12</v>
      </c>
      <c r="F102" s="11">
        <f>IF(ISERROR(MATCH($B102,'Production - Oil'!$B$65:$B$108,0)),0,VLOOKUP($B102,'Production - Oil'!$B$65:$CD$108,MATCH('Production - Total'!F$63,'Production - Oil'!$B$9:$CD$9),FALSE))+IF(ISERROR(MATCH($B102,'Production - Gas'!$B$65:$B$108,0)),0,VLOOKUP($B102,'Production - Gas'!$B$65:$CD$108,MATCH('Production - Total'!F$63,'Production - Gas'!$B$9:$CD$9),FALSE)/5.8)</f>
        <v>14</v>
      </c>
      <c r="G102" s="11">
        <f>IF(ISERROR(MATCH($B102,'Production - Oil'!$B$65:$B$108,0)),0,VLOOKUP($B102,'Production - Oil'!$B$65:$CD$108,MATCH('Production - Total'!G$63,'Production - Oil'!$B$9:$CD$9),FALSE))+IF(ISERROR(MATCH($B102,'Production - Gas'!$B$65:$B$108,0)),0,VLOOKUP($B102,'Production - Gas'!$B$65:$CD$108,MATCH('Production - Total'!G$63,'Production - Gas'!$B$9:$CD$9),FALSE)/5.8)</f>
        <v>13</v>
      </c>
      <c r="H102" s="11"/>
      <c r="I102" s="11"/>
      <c r="J102" s="11"/>
      <c r="K102" s="11"/>
      <c r="L102" s="11">
        <f>IF(ISERROR(MATCH($B102,'Production - Oil'!$B$65:$B$108,0)),0,VLOOKUP($B102,'Production - Oil'!$B$65:$CD$108,MATCH('Production - Total'!L$63,'Production - Oil'!$B$9:$CD$9),FALSE))+IF(ISERROR(MATCH($B102,'Production - Gas'!$B$65:$B$108,0)),0,VLOOKUP($B102,'Production - Gas'!$B$65:$CD$108,MATCH('Production - Total'!L$63,'Production - Gas'!$B$9:$CD$9),FALSE)/5.8)</f>
        <v>8</v>
      </c>
      <c r="M102" s="11"/>
      <c r="N102" s="11"/>
      <c r="O102" s="11"/>
      <c r="P102" s="11"/>
      <c r="Q102" s="11">
        <f>IF(ISERROR(MATCH($B102,'Production - Oil'!$B$65:$B$108,0)),0,VLOOKUP($B102,'Production - Oil'!$B$65:$CD$108,MATCH('Production - Total'!Q$63,'Production - Oil'!$B$9:$CD$9),FALSE))+IF(ISERROR(MATCH($B102,'Production - Gas'!$B$65:$B$108,0)),0,VLOOKUP($B102,'Production - Gas'!$B$65:$CD$108,MATCH('Production - Total'!Q$63,'Production - Gas'!$B$9:$CD$9),FALSE)/5.8)</f>
        <v>9</v>
      </c>
      <c r="R102" s="11"/>
      <c r="S102" s="11"/>
      <c r="T102" s="11"/>
      <c r="U102" s="11"/>
      <c r="V102" s="11">
        <f>IF(ISERROR(MATCH($B102,'Production - Oil'!$B$65:$B$108,0)),0,VLOOKUP($B102,'Production - Oil'!$B$65:$CD$108,MATCH('Production - Total'!V$63,'Production - Oil'!$B$9:$CD$9),FALSE))+IF(ISERROR(MATCH($B102,'Production - Gas'!$B$65:$B$108,0)),0,VLOOKUP($B102,'Production - Gas'!$B$65:$CD$108,MATCH('Production - Total'!V$63,'Production - Gas'!$B$9:$CD$9),FALSE)/5.8)</f>
        <v>10</v>
      </c>
      <c r="W102" s="11"/>
      <c r="X102" s="11"/>
      <c r="Y102" s="11"/>
      <c r="Z102" s="11"/>
      <c r="AA102" s="11">
        <f>IF(ISERROR(MATCH($B102,'Production - Oil'!$B$65:$B$108,0)),0,VLOOKUP($B102,'Production - Oil'!$B$65:$CD$108,MATCH('Production - Total'!AA$63,'Production - Oil'!$B$9:$CD$9),FALSE))+IF(ISERROR(MATCH($B102,'Production - Gas'!$B$65:$B$108,0)),0,VLOOKUP($B102,'Production - Gas'!$B$65:$CD$108,MATCH('Production - Total'!AA$63,'Production - Gas'!$B$9:$CD$9),FALSE)/5.8)</f>
        <v>12</v>
      </c>
      <c r="AB102" s="11"/>
      <c r="AC102" s="11"/>
      <c r="AD102" s="11"/>
      <c r="AE102" s="11"/>
      <c r="AF102" s="11">
        <f>IF(ISERROR(MATCH($B102,'Production - Oil'!$B$65:$B$108,0)),0,VLOOKUP($B102,'Production - Oil'!$B$65:$CD$108,MATCH('Production - Total'!AF$63,'Production - Oil'!$B$9:$CD$9),FALSE))+IF(ISERROR(MATCH($B102,'Production - Gas'!$B$65:$B$108,0)),0,VLOOKUP($B102,'Production - Gas'!$B$65:$CD$108,MATCH('Production - Total'!AF$63,'Production - Gas'!$B$9:$CD$9),FALSE)/5.8)</f>
        <v>1</v>
      </c>
      <c r="AG102" s="82"/>
      <c r="AH102" s="82"/>
      <c r="AI102" s="82"/>
      <c r="AJ102" s="82"/>
      <c r="AK102" s="11">
        <f>IF(ISERROR(MATCH($B102,'Production - Oil'!$B$65:$B$108,0)),0,VLOOKUP($B102,'Production - Oil'!$B$65:$CD$108,MATCH('Production - Total'!AK$63,'Production - Oil'!$B$9:$CD$9),FALSE))+IF(ISERROR(MATCH($B102,'Production - Gas'!$B$65:$B$108,0)),0,VLOOKUP($B102,'Production - Gas'!$B$65:$CD$108,MATCH('Production - Total'!AK$63,'Production - Gas'!$B$9:$CD$9),FALSE)/5.8)</f>
        <v>2.3793103448275863</v>
      </c>
      <c r="AL102" s="82"/>
      <c r="AM102" s="82"/>
      <c r="AN102" s="82"/>
      <c r="AO102" s="82"/>
      <c r="AP102" s="11">
        <f>IF(ISERROR(MATCH($B102,'Production - Oil'!$B$65:$B$108,0)),0,VLOOKUP($B102,'Production - Oil'!$B$65:$CD$108,MATCH('Production - Total'!AP$63,'Production - Oil'!$B$9:$CD$9),FALSE))+IF(ISERROR(MATCH($B102,'Production - Gas'!$B$65:$B$108,0)),0,VLOOKUP($B102,'Production - Gas'!$B$65:$CD$108,MATCH('Production - Total'!AP$63,'Production - Gas'!$B$9:$CD$9),FALSE)/5.8)</f>
        <v>8.931034482758621</v>
      </c>
      <c r="AQ102" s="82"/>
      <c r="AR102" s="82"/>
      <c r="AS102" s="82"/>
      <c r="AT102" s="82"/>
      <c r="AU102" s="11">
        <f>IF(ISERROR(MATCH($B102,'Production - Oil'!$B$65:$B$108,0)),0,VLOOKUP($B102,'Production - Oil'!$B$65:$CD$108,MATCH('Production - Total'!AU$63,'Production - Oil'!$B$9:$CD$9),FALSE))+IF(ISERROR(MATCH($B102,'Production - Gas'!$B$65:$B$108,0)),0,VLOOKUP($B102,'Production - Gas'!$B$65:$CD$108,MATCH('Production - Total'!AU$63,'Production - Gas'!$B$9:$CD$9),FALSE)/5.8)</f>
        <v>1</v>
      </c>
      <c r="AV102" s="82"/>
      <c r="AW102" s="82"/>
      <c r="AX102" s="82"/>
      <c r="AY102" s="82"/>
      <c r="AZ102" s="11">
        <f>IF(ISERROR(MATCH($B102,'Production - Oil'!$B$65:$B$108,0)),0,VLOOKUP($B102,'Production - Oil'!$B$65:$CD$108,MATCH('Production - Total'!AZ$63,'Production - Oil'!$B$9:$CD$9),FALSE))+IF(ISERROR(MATCH($B102,'Production - Gas'!$B$65:$B$108,0)),0,VLOOKUP($B102,'Production - Gas'!$B$65:$CD$108,MATCH('Production - Total'!AZ$63,'Production - Gas'!$B$9:$CD$9),FALSE)/5.8)</f>
        <v>5.8275862068965516</v>
      </c>
      <c r="BA102" s="82"/>
      <c r="BB102" s="82"/>
      <c r="BC102" s="82"/>
      <c r="BD102" s="82"/>
      <c r="BE102" s="11">
        <f>IF(ISERROR(MATCH($B102,'Production - Oil'!$B$65:$B$108,0)),0,VLOOKUP($B102,'Production - Oil'!$B$65:$CD$108,MATCH('Production - Total'!BE$63,'Production - Oil'!$B$9:$CD$9),FALSE))+IF(ISERROR(MATCH($B102,'Production - Gas'!$B$65:$B$108,0)),0,VLOOKUP($B102,'Production - Gas'!$B$65:$CD$108,MATCH('Production - Total'!BE$63,'Production - Gas'!$B$9:$CD$9),FALSE)/5.8)</f>
        <v>4.6206896551724137</v>
      </c>
      <c r="BF102" s="82"/>
      <c r="BG102" s="82"/>
      <c r="BH102" s="82"/>
      <c r="BI102" s="82"/>
      <c r="BJ102" s="11">
        <f>IF(ISERROR(MATCH($B102,'Production - Oil'!$B$65:$B$108,0)),0,VLOOKUP($B102,'Production - Oil'!$B$65:$CD$108,MATCH('Production - Total'!BJ$63,'Production - Oil'!$B$9:$CD$9),FALSE))+IF(ISERROR(MATCH($B102,'Production - Gas'!$B$65:$B$108,0)),0,VLOOKUP($B102,'Production - Gas'!$B$65:$CD$108,MATCH('Production - Total'!BJ$63,'Production - Gas'!$B$9:$CD$9),FALSE)/5.8)</f>
        <v>6.5862068965517242</v>
      </c>
      <c r="BK102" s="82"/>
      <c r="BL102" s="82"/>
      <c r="BM102" s="82"/>
      <c r="BN102" s="82"/>
      <c r="BO102" s="11">
        <f>'Production - Oil'!BO102+'Production - Gas'!BO102/5.8</f>
        <v>5</v>
      </c>
      <c r="BP102" s="82"/>
      <c r="BQ102" s="82"/>
      <c r="BR102" s="82"/>
      <c r="BS102" s="82"/>
      <c r="BT102" s="51"/>
      <c r="BU102" s="82"/>
      <c r="BV102" s="82"/>
      <c r="BW102" s="82"/>
      <c r="BX102" s="82"/>
      <c r="BY102" s="51"/>
      <c r="BZ102" s="82"/>
      <c r="CA102" s="82"/>
      <c r="CB102" s="82"/>
      <c r="CC102" s="82"/>
      <c r="CD102" s="51"/>
    </row>
    <row r="103" spans="1:82">
      <c r="A103" s="39" t="s">
        <v>3401</v>
      </c>
      <c r="B103" s="39"/>
      <c r="C103" s="39">
        <f t="shared" ref="C103:AF103" si="13">SUM(C91:C102)</f>
        <v>176.79310344827587</v>
      </c>
      <c r="D103" s="39">
        <f t="shared" si="13"/>
        <v>221.75862068965517</v>
      </c>
      <c r="E103" s="39">
        <f t="shared" si="13"/>
        <v>487.37931034482756</v>
      </c>
      <c r="F103" s="39">
        <f t="shared" si="13"/>
        <v>1083.8965517241379</v>
      </c>
      <c r="G103" s="39">
        <f t="shared" si="13"/>
        <v>1167.3551724137931</v>
      </c>
      <c r="H103" s="39">
        <f t="shared" si="13"/>
        <v>0</v>
      </c>
      <c r="I103" s="39">
        <f t="shared" si="13"/>
        <v>0</v>
      </c>
      <c r="J103" s="39">
        <f t="shared" si="13"/>
        <v>0</v>
      </c>
      <c r="K103" s="39">
        <f t="shared" si="13"/>
        <v>0</v>
      </c>
      <c r="L103" s="39">
        <f t="shared" si="13"/>
        <v>1148.5517241379312</v>
      </c>
      <c r="M103" s="39">
        <f t="shared" si="13"/>
        <v>0</v>
      </c>
      <c r="N103" s="39">
        <f t="shared" si="13"/>
        <v>0</v>
      </c>
      <c r="O103" s="39">
        <f t="shared" si="13"/>
        <v>0</v>
      </c>
      <c r="P103" s="39">
        <f t="shared" si="13"/>
        <v>0</v>
      </c>
      <c r="Q103" s="39">
        <f t="shared" si="13"/>
        <v>1117.8275862068965</v>
      </c>
      <c r="R103" s="39">
        <f t="shared" si="13"/>
        <v>0</v>
      </c>
      <c r="S103" s="39">
        <f t="shared" si="13"/>
        <v>0</v>
      </c>
      <c r="T103" s="39">
        <f t="shared" si="13"/>
        <v>0</v>
      </c>
      <c r="U103" s="39">
        <f t="shared" si="13"/>
        <v>0</v>
      </c>
      <c r="V103" s="39">
        <f t="shared" si="13"/>
        <v>1149.9655172413795</v>
      </c>
      <c r="W103" s="39">
        <f t="shared" si="13"/>
        <v>0</v>
      </c>
      <c r="X103" s="39">
        <f t="shared" si="13"/>
        <v>0</v>
      </c>
      <c r="Y103" s="39">
        <f t="shared" si="13"/>
        <v>0</v>
      </c>
      <c r="Z103" s="39">
        <f t="shared" si="13"/>
        <v>0</v>
      </c>
      <c r="AA103" s="39">
        <f t="shared" si="13"/>
        <v>1144.8620689655174</v>
      </c>
      <c r="AB103" s="39">
        <f t="shared" si="13"/>
        <v>0</v>
      </c>
      <c r="AC103" s="39">
        <f t="shared" si="13"/>
        <v>0</v>
      </c>
      <c r="AD103" s="39">
        <f t="shared" si="13"/>
        <v>0</v>
      </c>
      <c r="AE103" s="39">
        <f t="shared" si="13"/>
        <v>0</v>
      </c>
      <c r="AF103" s="39">
        <f t="shared" si="13"/>
        <v>1162.5172413793105</v>
      </c>
      <c r="AG103" s="80">
        <f>VLOOKUP($A103,'Production - Oil'!$A$63:$CD$110,MATCH('Production - Total'!AG$63,'Production - Oil'!$A$63:$CD$63,0),FALSE)+VLOOKUP($A103,'Production - Gas'!$A$63:$CD$110,MATCH('Production - Total'!AG$63,'Production - Gas'!$A$63:$CD$63,0),FALSE)/5.8</f>
        <v>0</v>
      </c>
      <c r="AH103" s="80">
        <f>VLOOKUP($A103,'Production - Oil'!$A$63:$CD$110,MATCH('Production - Total'!AH$63,'Production - Oil'!$A$63:$CD$63,0),FALSE)+VLOOKUP($A103,'Production - Gas'!$A$63:$CD$110,MATCH('Production - Total'!AH$63,'Production - Gas'!$A$63:$CD$63,0),FALSE)/5.8</f>
        <v>0</v>
      </c>
      <c r="AI103" s="80">
        <f>VLOOKUP($A103,'Production - Oil'!$A$63:$CD$110,MATCH('Production - Total'!AI$63,'Production - Oil'!$A$63:$CD$63,0),FALSE)+VLOOKUP($A103,'Production - Gas'!$A$63:$CD$110,MATCH('Production - Total'!AI$63,'Production - Gas'!$A$63:$CD$63,0),FALSE)/5.8</f>
        <v>0</v>
      </c>
      <c r="AJ103" s="80">
        <f>VLOOKUP($A103,'Production - Oil'!$A$63:$CD$110,MATCH('Production - Total'!AJ$63,'Production - Oil'!$A$63:$CD$63,0),FALSE)+VLOOKUP($A103,'Production - Gas'!$A$63:$CD$110,MATCH('Production - Total'!AJ$63,'Production - Gas'!$A$63:$CD$63,0),FALSE)/5.8</f>
        <v>0</v>
      </c>
      <c r="AK103" s="39">
        <f>VLOOKUP($A103,'Production - Oil'!$A$63:$CD$110,MATCH('Production - Total'!AK$63,'Production - Oil'!$A$63:$CD$63,0),FALSE)+VLOOKUP($A103,'Production - Gas'!$A$63:$CD$110,MATCH('Production - Total'!AK$63,'Production - Gas'!$A$63:$CD$63,0),FALSE)/5.8</f>
        <v>1201.3793103448277</v>
      </c>
      <c r="AL103" s="80">
        <f>VLOOKUP($A103,'Production - Oil'!$A$63:$CD$110,MATCH('Production - Total'!AL$63,'Production - Oil'!$A$63:$CD$63,0),FALSE)+VLOOKUP($A103,'Production - Gas'!$A$63:$CD$110,MATCH('Production - Total'!AL$63,'Production - Gas'!$A$63:$CD$63,0),FALSE)/5.8</f>
        <v>0</v>
      </c>
      <c r="AM103" s="80">
        <f>VLOOKUP($A103,'Production - Oil'!$A$63:$CD$110,MATCH('Production - Total'!AM$63,'Production - Oil'!$A$63:$CD$63,0),FALSE)+VLOOKUP($A103,'Production - Gas'!$A$63:$CD$110,MATCH('Production - Total'!AM$63,'Production - Gas'!$A$63:$CD$63,0),FALSE)/5.8</f>
        <v>0</v>
      </c>
      <c r="AN103" s="80">
        <f>VLOOKUP($A103,'Production - Oil'!$A$63:$CD$110,MATCH('Production - Total'!AN$63,'Production - Oil'!$A$63:$CD$63,0),FALSE)+VLOOKUP($A103,'Production - Gas'!$A$63:$CD$110,MATCH('Production - Total'!AN$63,'Production - Gas'!$A$63:$CD$63,0),FALSE)/5.8</f>
        <v>0</v>
      </c>
      <c r="AO103" s="80">
        <f>VLOOKUP($A103,'Production - Oil'!$A$63:$CD$110,MATCH('Production - Total'!AO$63,'Production - Oil'!$A$63:$CD$63,0),FALSE)+VLOOKUP($A103,'Production - Gas'!$A$63:$CD$110,MATCH('Production - Total'!AO$63,'Production - Gas'!$A$63:$CD$63,0),FALSE)/5.8</f>
        <v>0</v>
      </c>
      <c r="AP103" s="39">
        <f>VLOOKUP($A103,'Production - Oil'!$A$63:$CD$110,MATCH('Production - Total'!AP$63,'Production - Oil'!$A$63:$CD$63,0),FALSE)+VLOOKUP($A103,'Production - Gas'!$A$63:$CD$110,MATCH('Production - Total'!AP$63,'Production - Gas'!$A$63:$CD$63,0),FALSE)/5.8</f>
        <v>1218.9655172413793</v>
      </c>
      <c r="AQ103" s="82"/>
      <c r="AR103" s="82"/>
      <c r="AS103" s="82"/>
      <c r="AT103" s="82"/>
      <c r="AU103" s="39">
        <f>VLOOKUP($A103,'Production - Oil'!$A$63:$CD$110,MATCH('Production - Total'!AU$63,'Production - Oil'!$A$63:$CD$63,0),FALSE)+VLOOKUP($A103,'Production - Gas'!$A$63:$CD$110,MATCH('Production - Total'!AU$63,'Production - Gas'!$A$63:$CD$63,0),FALSE)/5.8</f>
        <v>1210.8965517241379</v>
      </c>
      <c r="AV103" s="82"/>
      <c r="AW103" s="82"/>
      <c r="AX103" s="82"/>
      <c r="AY103" s="82"/>
      <c r="AZ103" s="39">
        <f>VLOOKUP($A103,'Production - Oil'!$A$63:$CD$110,MATCH('Production - Total'!AZ$63,'Production - Oil'!$A$63:$CD$63,0),FALSE)+VLOOKUP($A103,'Production - Gas'!$A$63:$CD$110,MATCH('Production - Total'!AZ$63,'Production - Gas'!$A$63:$CD$63,0),FALSE)/5.8</f>
        <v>1110.7241379310344</v>
      </c>
      <c r="BA103" s="82"/>
      <c r="BB103" s="82"/>
      <c r="BC103" s="82"/>
      <c r="BD103" s="82"/>
      <c r="BE103" s="39">
        <f>VLOOKUP($A103,'Production - Oil'!$A$63:$CD$110,MATCH('Production - Total'!BE$63,'Production - Oil'!$A$63:$CD$63,0),FALSE)+VLOOKUP($A103,'Production - Gas'!$A$63:$CD$110,MATCH('Production - Total'!BE$63,'Production - Gas'!$A$63:$CD$63,0),FALSE)/5.8</f>
        <v>1119.655172413793</v>
      </c>
      <c r="BF103" s="82"/>
      <c r="BG103" s="82"/>
      <c r="BH103" s="82"/>
      <c r="BI103" s="82"/>
      <c r="BJ103" s="39">
        <f>VLOOKUP($A103,'Production - Oil'!$A$63:$CD$110,MATCH('Production - Total'!BJ$63,'Production - Oil'!$A$63:$CD$63,0),FALSE)+VLOOKUP($A103,'Production - Gas'!$A$63:$CD$110,MATCH('Production - Total'!BJ$63,'Production - Gas'!$A$63:$CD$63,0),FALSE)/5.8</f>
        <v>1168.1034482758621</v>
      </c>
      <c r="BK103" s="82"/>
      <c r="BL103" s="82"/>
      <c r="BM103" s="82"/>
      <c r="BN103" s="82"/>
      <c r="BO103" s="39">
        <f>'Production - Oil'!BO103+'Production - Gas'!BO103/5.8</f>
        <v>1233.5172413793102</v>
      </c>
      <c r="BP103" s="80">
        <f>VLOOKUP($A103,'Production - Oil'!$A$63:$CD$110,MATCH('Production - Total'!BP$63,'Production - Oil'!$A$63:$CD$63,0),FALSE)+VLOOKUP($A103,'Production - Gas'!$A$63:$CD$110,MATCH('Production - Total'!BP$63,'Production - Gas'!$A$63:$CD$63,0),FALSE)/5.8</f>
        <v>1153.1012762743919</v>
      </c>
      <c r="BQ103" s="80">
        <f>VLOOKUP($A103,'Production - Oil'!$A$63:$CD$110,MATCH('Production - Total'!BQ$63,'Production - Oil'!$A$63:$CD$63,0),FALSE)+VLOOKUP($A103,'Production - Gas'!$A$63:$CD$110,MATCH('Production - Total'!BQ$63,'Production - Gas'!$A$63:$CD$63,0),FALSE)/5.8</f>
        <v>1135.58434736194</v>
      </c>
      <c r="BR103" s="80">
        <f>VLOOKUP($A103,'Production - Oil'!$A$63:$CD$110,MATCH('Production - Total'!BR$63,'Production - Oil'!$A$63:$CD$63,0),FALSE)+VLOOKUP($A103,'Production - Gas'!$A$63:$CD$110,MATCH('Production - Total'!BR$63,'Production - Gas'!$A$63:$CD$63,0),FALSE)/5.8</f>
        <v>1131.2692273522837</v>
      </c>
      <c r="BS103" s="80">
        <f>VLOOKUP($A103,'Production - Oil'!$A$63:$CD$110,MATCH('Production - Total'!BS$63,'Production - Oil'!$A$63:$CD$63,0),FALSE)+VLOOKUP($A103,'Production - Gas'!$A$63:$CD$110,MATCH('Production - Total'!BS$63,'Production - Gas'!$A$63:$CD$63,0),FALSE)/5.8</f>
        <v>1154.3021397010407</v>
      </c>
      <c r="BT103" s="39">
        <f>VLOOKUP($A103,'Production - Oil'!$A$63:$CD$110,MATCH('Production - Total'!BT$63,'Production - Oil'!$A$63:$CD$63,0),FALSE)+VLOOKUP($A103,'Production - Gas'!$A$63:$CD$110,MATCH('Production - Total'!BT$63,'Production - Gas'!$A$63:$CD$63,0),FALSE)/5.8</f>
        <v>1143.564247672414</v>
      </c>
      <c r="BU103" s="80">
        <f>VLOOKUP($A103,'Production - Oil'!$A$63:$CD$110,MATCH('Production - Total'!BU$63,'Production - Oil'!$A$63:$CD$63,0),FALSE)+VLOOKUP($A103,'Production - Gas'!$A$63:$CD$110,MATCH('Production - Total'!BU$63,'Production - Gas'!$A$63:$CD$63,0),FALSE)/5.8</f>
        <v>1193.808199641694</v>
      </c>
      <c r="BV103" s="80">
        <f>VLOOKUP($A103,'Production - Oil'!$A$63:$CD$110,MATCH('Production - Total'!BV$63,'Production - Oil'!$A$63:$CD$63,0),FALSE)+VLOOKUP($A103,'Production - Gas'!$A$63:$CD$110,MATCH('Production - Total'!BV$63,'Production - Gas'!$A$63:$CD$63,0),FALSE)/5.8</f>
        <v>1174.1242133439325</v>
      </c>
      <c r="BW103" s="80">
        <f>VLOOKUP($A103,'Production - Oil'!$A$63:$CD$110,MATCH('Production - Total'!BW$63,'Production - Oil'!$A$63:$CD$63,0),FALSE)+VLOOKUP($A103,'Production - Gas'!$A$63:$CD$110,MATCH('Production - Total'!BW$63,'Production - Gas'!$A$63:$CD$63,0),FALSE)/5.8</f>
        <v>1169.2752604499753</v>
      </c>
      <c r="BX103" s="80">
        <f>VLOOKUP($A103,'Production - Oil'!$A$63:$CD$110,MATCH('Production - Total'!BX$63,'Production - Oil'!$A$63:$CD$63,0),FALSE)+VLOOKUP($A103,'Production - Gas'!$A$63:$CD$110,MATCH('Production - Total'!BX$63,'Production - Gas'!$A$63:$CD$63,0),FALSE)/5.8</f>
        <v>1195.1576244954326</v>
      </c>
      <c r="BY103" s="39">
        <f>VLOOKUP($A103,'Production - Oil'!$A$63:$CD$110,MATCH('Production - Total'!BY$63,'Production - Oil'!$A$63:$CD$63,0),FALSE)+VLOOKUP($A103,'Production - Gas'!$A$63:$CD$110,MATCH('Production - Total'!BY$63,'Production - Gas'!$A$63:$CD$63,0),FALSE)/5.8</f>
        <v>1183.0913244827586</v>
      </c>
      <c r="BZ103" s="80">
        <f>VLOOKUP($A103,'Production - Oil'!$A$63:$CD$110,MATCH('Production - Total'!BZ$63,'Production - Oil'!$A$63:$CD$63,0),FALSE)+VLOOKUP($A103,'Production - Gas'!$A$63:$CD$110,MATCH('Production - Total'!BZ$63,'Production - Gas'!$A$63:$CD$63,0),FALSE)/5.8</f>
        <v>1224.4480365025834</v>
      </c>
      <c r="CA103" s="80">
        <f>VLOOKUP($A103,'Production - Oil'!$A$63:$CD$110,MATCH('Production - Total'!CA$63,'Production - Oil'!$A$63:$CD$63,0),FALSE)+VLOOKUP($A103,'Production - Gas'!$A$63:$CD$110,MATCH('Production - Total'!CA$63,'Production - Gas'!$A$63:$CD$63,0),FALSE)/5.8</f>
        <v>1203.1839398010402</v>
      </c>
      <c r="CB103" s="80">
        <f>VLOOKUP($A103,'Production - Oil'!$A$63:$CD$110,MATCH('Production - Total'!CB$63,'Production - Oil'!$A$63:$CD$63,0),FALSE)+VLOOKUP($A103,'Production - Gas'!$A$63:$CD$110,MATCH('Production - Total'!CB$63,'Production - Gas'!$A$63:$CD$63,0),FALSE)/5.8</f>
        <v>1197.9457425335459</v>
      </c>
      <c r="CC103" s="80">
        <f>VLOOKUP($A103,'Production - Oil'!$A$63:$CD$110,MATCH('Production - Total'!CC$63,'Production - Oil'!$A$63:$CD$63,0),FALSE)+VLOOKUP($A103,'Production - Gas'!$A$63:$CD$110,MATCH('Production - Total'!CC$63,'Production - Gas'!$A$63:$CD$63,0),FALSE)/5.8</f>
        <v>1225.9057849559351</v>
      </c>
      <c r="CD103" s="39">
        <f>VLOOKUP($A103,'Production - Oil'!$A$63:$CD$110,MATCH('Production - Total'!CD$63,'Production - Oil'!$A$63:$CD$63,0),FALSE)+VLOOKUP($A103,'Production - Gas'!$A$63:$CD$110,MATCH('Production - Total'!CD$63,'Production - Gas'!$A$63:$CD$63,0),FALSE)/5.8</f>
        <v>1212.8708759482761</v>
      </c>
    </row>
    <row r="104" spans="1:82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68"/>
      <c r="AH104" s="68"/>
      <c r="AI104" s="68"/>
      <c r="AJ104" s="68"/>
      <c r="AK104" s="11"/>
      <c r="AL104" s="68"/>
      <c r="AM104" s="68"/>
      <c r="AN104" s="68"/>
      <c r="AO104" s="68"/>
      <c r="AP104" s="11"/>
      <c r="AQ104" s="68"/>
      <c r="AR104" s="68"/>
      <c r="AS104" s="68"/>
      <c r="AT104" s="68"/>
      <c r="AU104" s="11"/>
      <c r="AV104" s="68"/>
      <c r="AW104" s="68"/>
      <c r="AX104" s="68"/>
      <c r="AY104" s="68"/>
      <c r="AZ104" s="11"/>
      <c r="BA104" s="68"/>
      <c r="BB104" s="68"/>
      <c r="BC104" s="68"/>
      <c r="BD104" s="68"/>
      <c r="BE104" s="11"/>
      <c r="BF104" s="68"/>
      <c r="BG104" s="68"/>
      <c r="BH104" s="68"/>
      <c r="BI104" s="68"/>
      <c r="BJ104" s="11"/>
      <c r="BK104" s="68"/>
      <c r="BL104" s="68"/>
      <c r="BM104" s="68"/>
      <c r="BN104" s="68"/>
      <c r="BO104" s="11"/>
      <c r="BP104" s="68"/>
      <c r="BQ104" s="68"/>
      <c r="BR104" s="68"/>
      <c r="BS104" s="68"/>
      <c r="BT104" s="11"/>
      <c r="BU104" s="68"/>
      <c r="BV104" s="68"/>
      <c r="BW104" s="68"/>
      <c r="BX104" s="68"/>
      <c r="BY104" s="11"/>
      <c r="BZ104" s="68"/>
      <c r="CA104" s="68"/>
      <c r="CB104" s="68"/>
      <c r="CC104" s="68"/>
      <c r="CD104" s="11"/>
    </row>
    <row r="105" spans="1:82">
      <c r="A105" s="39" t="s">
        <v>3402</v>
      </c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68"/>
      <c r="AH105" s="68"/>
      <c r="AI105" s="68"/>
      <c r="AJ105" s="68"/>
      <c r="AK105" s="11"/>
      <c r="AL105" s="68"/>
      <c r="AM105" s="68"/>
      <c r="AN105" s="68"/>
      <c r="AO105" s="68"/>
      <c r="AP105" s="11"/>
      <c r="AQ105" s="68"/>
      <c r="AR105" s="68"/>
      <c r="AS105" s="68"/>
      <c r="AT105" s="68"/>
      <c r="AU105" s="11"/>
      <c r="AV105" s="68"/>
      <c r="AW105" s="68"/>
      <c r="AX105" s="68"/>
      <c r="AY105" s="68"/>
      <c r="AZ105" s="11"/>
      <c r="BA105" s="68"/>
      <c r="BB105" s="68"/>
      <c r="BC105" s="68"/>
      <c r="BD105" s="68"/>
      <c r="BE105" s="11"/>
      <c r="BF105" s="68"/>
      <c r="BG105" s="68"/>
      <c r="BH105" s="68"/>
      <c r="BI105" s="68"/>
      <c r="BJ105" s="11"/>
      <c r="BK105" s="68"/>
      <c r="BL105" s="68"/>
      <c r="BM105" s="68"/>
      <c r="BN105" s="68"/>
      <c r="BO105" s="11"/>
      <c r="BP105" s="68"/>
      <c r="BQ105" s="68"/>
      <c r="BR105" s="68"/>
      <c r="BS105" s="68"/>
      <c r="BT105" s="11"/>
      <c r="BU105" s="68"/>
      <c r="BV105" s="68"/>
      <c r="BW105" s="68"/>
      <c r="BX105" s="68"/>
      <c r="BY105" s="11"/>
      <c r="BZ105" s="68"/>
      <c r="CA105" s="68"/>
      <c r="CB105" s="68"/>
      <c r="CC105" s="68"/>
      <c r="CD105" s="11"/>
    </row>
    <row r="106" spans="1:82">
      <c r="A106" s="11"/>
      <c r="B106" s="11" t="s">
        <v>2965</v>
      </c>
      <c r="C106" s="11">
        <f>IF(ISERROR(MATCH($B106,'Production - Oil'!$B$65:$B$108,0)),0,VLOOKUP($B106,'Production - Oil'!$B$65:$CD$108,MATCH('Production - Total'!C$63,'Production - Oil'!$B$9:$CD$9),FALSE))+IF(ISERROR(MATCH($B106,'Production - Gas'!$B$65:$B$108,0)),0,VLOOKUP($B106,'Production - Gas'!$B$65:$CD$108,MATCH('Production - Total'!C$63,'Production - Gas'!$B$9:$CD$9),FALSE)/5.8)</f>
        <v>0</v>
      </c>
      <c r="D106" s="11">
        <f>IF(ISERROR(MATCH($B106,'Production - Oil'!$B$65:$B$108,0)),0,VLOOKUP($B106,'Production - Oil'!$B$65:$CD$108,MATCH('Production - Total'!D$63,'Production - Oil'!$B$9:$CD$9),FALSE))+IF(ISERROR(MATCH($B106,'Production - Gas'!$B$65:$B$108,0)),0,VLOOKUP($B106,'Production - Gas'!$B$65:$CD$108,MATCH('Production - Total'!D$63,'Production - Gas'!$B$9:$CD$9),FALSE)/5.8)</f>
        <v>0</v>
      </c>
      <c r="E106" s="11">
        <f>IF(ISERROR(MATCH($B106,'Production - Oil'!$B$65:$B$108,0)),0,VLOOKUP($B106,'Production - Oil'!$B$65:$CD$108,MATCH('Production - Total'!E$63,'Production - Oil'!$B$9:$CD$9),FALSE))+IF(ISERROR(MATCH($B106,'Production - Gas'!$B$65:$B$108,0)),0,VLOOKUP($B106,'Production - Gas'!$B$65:$CD$108,MATCH('Production - Total'!E$63,'Production - Gas'!$B$9:$CD$9),FALSE)/5.8)</f>
        <v>0</v>
      </c>
      <c r="F106" s="11">
        <f>IF(ISERROR(MATCH($B106,'Production - Oil'!$B$65:$B$108,0)),0,VLOOKUP($B106,'Production - Oil'!$B$65:$CD$108,MATCH('Production - Total'!F$63,'Production - Oil'!$B$9:$CD$9),FALSE))+IF(ISERROR(MATCH($B106,'Production - Gas'!$B$65:$B$108,0)),0,VLOOKUP($B106,'Production - Gas'!$B$65:$CD$108,MATCH('Production - Total'!F$63,'Production - Gas'!$B$9:$CD$9),FALSE)/5.8)</f>
        <v>0</v>
      </c>
      <c r="G106" s="11">
        <f>IF(ISERROR(MATCH($B106,'Production - Oil'!$B$65:$B$108,0)),0,VLOOKUP($B106,'Production - Oil'!$B$65:$CD$108,MATCH('Production - Total'!G$63,'Production - Oil'!$B$9:$CD$9),FALSE))+IF(ISERROR(MATCH($B106,'Production - Gas'!$B$65:$B$108,0)),0,VLOOKUP($B106,'Production - Gas'!$B$65:$CD$108,MATCH('Production - Total'!G$63,'Production - Gas'!$B$9:$CD$9),FALSE)/5.8)</f>
        <v>0</v>
      </c>
      <c r="H106" s="11"/>
      <c r="I106" s="11"/>
      <c r="J106" s="11"/>
      <c r="K106" s="11"/>
      <c r="L106" s="11">
        <f>IF(ISERROR(MATCH($B106,'Production - Oil'!$B$65:$B$108,0)),0,VLOOKUP($B106,'Production - Oil'!$B$65:$CD$108,MATCH('Production - Total'!L$63,'Production - Oil'!$B$9:$CD$9),FALSE))+IF(ISERROR(MATCH($B106,'Production - Gas'!$B$65:$B$108,0)),0,VLOOKUP($B106,'Production - Gas'!$B$65:$CD$108,MATCH('Production - Total'!L$63,'Production - Gas'!$B$9:$CD$9),FALSE)/5.8)</f>
        <v>0</v>
      </c>
      <c r="M106" s="11"/>
      <c r="N106" s="11"/>
      <c r="O106" s="11"/>
      <c r="P106" s="11"/>
      <c r="Q106" s="11">
        <f>IF(ISERROR(MATCH($B106,'Production - Oil'!$B$65:$B$108,0)),0,VLOOKUP($B106,'Production - Oil'!$B$65:$CD$108,MATCH('Production - Total'!Q$63,'Production - Oil'!$B$9:$CD$9),FALSE))+IF(ISERROR(MATCH($B106,'Production - Gas'!$B$65:$B$108,0)),0,VLOOKUP($B106,'Production - Gas'!$B$65:$CD$108,MATCH('Production - Total'!Q$63,'Production - Gas'!$B$9:$CD$9),FALSE)/5.8)</f>
        <v>0</v>
      </c>
      <c r="R106" s="11"/>
      <c r="S106" s="11"/>
      <c r="T106" s="11"/>
      <c r="U106" s="11"/>
      <c r="V106" s="11">
        <f>IF(ISERROR(MATCH($B106,'Production - Oil'!$B$65:$B$108,0)),0,VLOOKUP($B106,'Production - Oil'!$B$65:$CD$108,MATCH('Production - Total'!V$63,'Production - Oil'!$B$9:$CD$9),FALSE))+IF(ISERROR(MATCH($B106,'Production - Gas'!$B$65:$B$108,0)),0,VLOOKUP($B106,'Production - Gas'!$B$65:$CD$108,MATCH('Production - Total'!V$63,'Production - Gas'!$B$9:$CD$9),FALSE)/5.8)</f>
        <v>0</v>
      </c>
      <c r="W106" s="11"/>
      <c r="X106" s="11"/>
      <c r="Y106" s="11"/>
      <c r="Z106" s="11"/>
      <c r="AA106" s="11">
        <f>IF(ISERROR(MATCH($B106,'Production - Oil'!$B$65:$B$108,0)),0,VLOOKUP($B106,'Production - Oil'!$B$65:$CD$108,MATCH('Production - Total'!AA$63,'Production - Oil'!$B$9:$CD$9),FALSE))+IF(ISERROR(MATCH($B106,'Production - Gas'!$B$65:$B$108,0)),0,VLOOKUP($B106,'Production - Gas'!$B$65:$CD$108,MATCH('Production - Total'!AA$63,'Production - Gas'!$B$9:$CD$9),FALSE)/5.8)</f>
        <v>0</v>
      </c>
      <c r="AB106" s="11"/>
      <c r="AC106" s="11"/>
      <c r="AD106" s="11"/>
      <c r="AE106" s="11"/>
      <c r="AF106" s="11">
        <f>IF(ISERROR(MATCH($B106,'Production - Oil'!$B$65:$B$108,0)),0,VLOOKUP($B106,'Production - Oil'!$B$65:$CD$108,MATCH('Production - Total'!AF$63,'Production - Oil'!$B$9:$CD$9),FALSE))+IF(ISERROR(MATCH($B106,'Production - Gas'!$B$65:$B$108,0)),0,VLOOKUP($B106,'Production - Gas'!$B$65:$CD$108,MATCH('Production - Total'!AF$63,'Production - Gas'!$B$9:$CD$9),FALSE)/5.8)</f>
        <v>0</v>
      </c>
      <c r="AG106" s="82"/>
      <c r="AH106" s="82"/>
      <c r="AI106" s="82"/>
      <c r="AJ106" s="82"/>
      <c r="AK106" s="11">
        <f>IF(ISERROR(MATCH($B106,'Production - Oil'!$B$65:$B$108,0)),0,VLOOKUP($B106,'Production - Oil'!$B$65:$CD$108,MATCH('Production - Total'!AK$63,'Production - Oil'!$B$9:$CD$9),FALSE))+IF(ISERROR(MATCH($B106,'Production - Gas'!$B$65:$B$108,0)),0,VLOOKUP($B106,'Production - Gas'!$B$65:$CD$108,MATCH('Production - Total'!AK$63,'Production - Gas'!$B$9:$CD$9),FALSE)/5.8)</f>
        <v>0</v>
      </c>
      <c r="AL106" s="82"/>
      <c r="AM106" s="82"/>
      <c r="AN106" s="82"/>
      <c r="AO106" s="82"/>
      <c r="AP106" s="11">
        <f>IF(ISERROR(MATCH($B106,'Production - Oil'!$B$65:$B$108,0)),0,VLOOKUP($B106,'Production - Oil'!$B$65:$CD$108,MATCH('Production - Total'!AP$63,'Production - Oil'!$B$9:$CD$9),FALSE))+IF(ISERROR(MATCH($B106,'Production - Gas'!$B$65:$B$108,0)),0,VLOOKUP($B106,'Production - Gas'!$B$65:$CD$108,MATCH('Production - Total'!AP$63,'Production - Gas'!$B$9:$CD$9),FALSE)/5.8)</f>
        <v>0</v>
      </c>
      <c r="AQ106" s="82"/>
      <c r="AR106" s="82"/>
      <c r="AS106" s="82"/>
      <c r="AT106" s="82"/>
      <c r="AU106" s="11">
        <f>IF(ISERROR(MATCH($B106,'Production - Oil'!$B$65:$B$108,0)),0,VLOOKUP($B106,'Production - Oil'!$B$65:$CD$108,MATCH('Production - Total'!AU$63,'Production - Oil'!$B$9:$CD$9),FALSE))+IF(ISERROR(MATCH($B106,'Production - Gas'!$B$65:$B$108,0)),0,VLOOKUP($B106,'Production - Gas'!$B$65:$CD$108,MATCH('Production - Total'!AU$63,'Production - Gas'!$B$9:$CD$9),FALSE)/5.8)</f>
        <v>0</v>
      </c>
      <c r="AV106" s="82"/>
      <c r="AW106" s="82"/>
      <c r="AX106" s="82"/>
      <c r="AY106" s="82"/>
      <c r="AZ106" s="11">
        <f>IF(ISERROR(MATCH($B106,'Production - Oil'!$B$65:$B$108,0)),0,VLOOKUP($B106,'Production - Oil'!$B$65:$CD$108,MATCH('Production - Total'!AZ$63,'Production - Oil'!$B$9:$CD$9),FALSE))+IF(ISERROR(MATCH($B106,'Production - Gas'!$B$65:$B$108,0)),0,VLOOKUP($B106,'Production - Gas'!$B$65:$CD$108,MATCH('Production - Total'!AZ$63,'Production - Gas'!$B$9:$CD$9),FALSE)/5.8)</f>
        <v>0</v>
      </c>
      <c r="BA106" s="82"/>
      <c r="BB106" s="82"/>
      <c r="BC106" s="82"/>
      <c r="BD106" s="82"/>
      <c r="BE106" s="11">
        <f>IF(ISERROR(MATCH($B106,'Production - Oil'!$B$65:$B$108,0)),0,VLOOKUP($B106,'Production - Oil'!$B$65:$CD$108,MATCH('Production - Total'!BE$63,'Production - Oil'!$B$9:$CD$9),FALSE))+IF(ISERROR(MATCH($B106,'Production - Gas'!$B$65:$B$108,0)),0,VLOOKUP($B106,'Production - Gas'!$B$65:$CD$108,MATCH('Production - Total'!BE$63,'Production - Gas'!$B$9:$CD$9),FALSE)/5.8)</f>
        <v>0</v>
      </c>
      <c r="BF106" s="82"/>
      <c r="BG106" s="82"/>
      <c r="BH106" s="82"/>
      <c r="BI106" s="82"/>
      <c r="BJ106" s="11">
        <f>IF(ISERROR(MATCH($B106,'Production - Oil'!$B$65:$B$108,0)),0,VLOOKUP($B106,'Production - Oil'!$B$65:$CD$108,MATCH('Production - Total'!BJ$63,'Production - Oil'!$B$9:$CD$9),FALSE))+IF(ISERROR(MATCH($B106,'Production - Gas'!$B$65:$B$108,0)),0,VLOOKUP($B106,'Production - Gas'!$B$65:$CD$108,MATCH('Production - Total'!BJ$63,'Production - Gas'!$B$9:$CD$9),FALSE)/5.8)</f>
        <v>0</v>
      </c>
      <c r="BK106" s="82"/>
      <c r="BL106" s="82"/>
      <c r="BM106" s="82"/>
      <c r="BN106" s="82"/>
      <c r="BO106" s="11">
        <f>'Production - Oil'!BO106+'Production - Gas'!BO106/5.8</f>
        <v>0</v>
      </c>
      <c r="BP106" s="82"/>
      <c r="BQ106" s="82"/>
      <c r="BR106" s="82"/>
      <c r="BS106" s="82"/>
      <c r="BT106" s="51"/>
      <c r="BU106" s="82"/>
      <c r="BV106" s="82"/>
      <c r="BW106" s="82"/>
      <c r="BX106" s="82"/>
      <c r="BY106" s="51"/>
      <c r="BZ106" s="82"/>
      <c r="CA106" s="82"/>
      <c r="CB106" s="82"/>
      <c r="CC106" s="82"/>
      <c r="CD106" s="51"/>
    </row>
    <row r="107" spans="1:82">
      <c r="A107" s="11"/>
      <c r="B107" s="11" t="s">
        <v>3403</v>
      </c>
      <c r="C107" s="11">
        <f>IF(ISERROR(MATCH($B107,'Production - Oil'!$B$65:$B$108,0)),0,VLOOKUP($B107,'Production - Oil'!$B$65:$CD$108,MATCH('Production - Total'!C$63,'Production - Oil'!$B$9:$CD$9),FALSE))+IF(ISERROR(MATCH($B107,'Production - Gas'!$B$65:$B$108,0)),0,VLOOKUP($B107,'Production - Gas'!$B$65:$CD$108,MATCH('Production - Total'!C$63,'Production - Gas'!$B$9:$CD$9),FALSE)/5.8)</f>
        <v>0</v>
      </c>
      <c r="D107" s="11">
        <f>IF(ISERROR(MATCH($B107,'Production - Oil'!$B$65:$B$108,0)),0,VLOOKUP($B107,'Production - Oil'!$B$65:$CD$108,MATCH('Production - Total'!D$63,'Production - Oil'!$B$9:$CD$9),FALSE))+IF(ISERROR(MATCH($B107,'Production - Gas'!$B$65:$B$108,0)),0,VLOOKUP($B107,'Production - Gas'!$B$65:$CD$108,MATCH('Production - Total'!D$63,'Production - Gas'!$B$9:$CD$9),FALSE)/5.8)</f>
        <v>0</v>
      </c>
      <c r="E107" s="11">
        <f>IF(ISERROR(MATCH($B107,'Production - Oil'!$B$65:$B$108,0)),0,VLOOKUP($B107,'Production - Oil'!$B$65:$CD$108,MATCH('Production - Total'!E$63,'Production - Oil'!$B$9:$CD$9),FALSE))+IF(ISERROR(MATCH($B107,'Production - Gas'!$B$65:$B$108,0)),0,VLOOKUP($B107,'Production - Gas'!$B$65:$CD$108,MATCH('Production - Total'!E$63,'Production - Gas'!$B$9:$CD$9),FALSE)/5.8)</f>
        <v>0</v>
      </c>
      <c r="F107" s="11">
        <f>IF(ISERROR(MATCH($B107,'Production - Oil'!$B$65:$B$108,0)),0,VLOOKUP($B107,'Production - Oil'!$B$65:$CD$108,MATCH('Production - Total'!F$63,'Production - Oil'!$B$9:$CD$9),FALSE))+IF(ISERROR(MATCH($B107,'Production - Gas'!$B$65:$B$108,0)),0,VLOOKUP($B107,'Production - Gas'!$B$65:$CD$108,MATCH('Production - Total'!F$63,'Production - Gas'!$B$9:$CD$9),FALSE)/5.8)</f>
        <v>0</v>
      </c>
      <c r="G107" s="11">
        <f>IF(ISERROR(MATCH($B107,'Production - Oil'!$B$65:$B$108,0)),0,VLOOKUP($B107,'Production - Oil'!$B$65:$CD$108,MATCH('Production - Total'!G$63,'Production - Oil'!$B$9:$CD$9),FALSE))+IF(ISERROR(MATCH($B107,'Production - Gas'!$B$65:$B$108,0)),0,VLOOKUP($B107,'Production - Gas'!$B$65:$CD$108,MATCH('Production - Total'!G$63,'Production - Gas'!$B$9:$CD$9),FALSE)/5.8)</f>
        <v>0</v>
      </c>
      <c r="H107" s="11"/>
      <c r="I107" s="11"/>
      <c r="J107" s="11"/>
      <c r="K107" s="11"/>
      <c r="L107" s="11">
        <f>IF(ISERROR(MATCH($B107,'Production - Oil'!$B$65:$B$108,0)),0,VLOOKUP($B107,'Production - Oil'!$B$65:$CD$108,MATCH('Production - Total'!L$63,'Production - Oil'!$B$9:$CD$9),FALSE))+IF(ISERROR(MATCH($B107,'Production - Gas'!$B$65:$B$108,0)),0,VLOOKUP($B107,'Production - Gas'!$B$65:$CD$108,MATCH('Production - Total'!L$63,'Production - Gas'!$B$9:$CD$9),FALSE)/5.8)</f>
        <v>0</v>
      </c>
      <c r="M107" s="11"/>
      <c r="N107" s="11"/>
      <c r="O107" s="11"/>
      <c r="P107" s="11"/>
      <c r="Q107" s="11">
        <f>IF(ISERROR(MATCH($B107,'Production - Oil'!$B$65:$B$108,0)),0,VLOOKUP($B107,'Production - Oil'!$B$65:$CD$108,MATCH('Production - Total'!Q$63,'Production - Oil'!$B$9:$CD$9),FALSE))+IF(ISERROR(MATCH($B107,'Production - Gas'!$B$65:$B$108,0)),0,VLOOKUP($B107,'Production - Gas'!$B$65:$CD$108,MATCH('Production - Total'!Q$63,'Production - Gas'!$B$9:$CD$9),FALSE)/5.8)</f>
        <v>0</v>
      </c>
      <c r="R107" s="11"/>
      <c r="S107" s="11"/>
      <c r="T107" s="11"/>
      <c r="U107" s="11"/>
      <c r="V107" s="11">
        <f>IF(ISERROR(MATCH($B107,'Production - Oil'!$B$65:$B$108,0)),0,VLOOKUP($B107,'Production - Oil'!$B$65:$CD$108,MATCH('Production - Total'!V$63,'Production - Oil'!$B$9:$CD$9),FALSE))+IF(ISERROR(MATCH($B107,'Production - Gas'!$B$65:$B$108,0)),0,VLOOKUP($B107,'Production - Gas'!$B$65:$CD$108,MATCH('Production - Total'!V$63,'Production - Gas'!$B$9:$CD$9),FALSE)/5.8)</f>
        <v>0</v>
      </c>
      <c r="W107" s="11"/>
      <c r="X107" s="11"/>
      <c r="Y107" s="11"/>
      <c r="Z107" s="11"/>
      <c r="AA107" s="11">
        <f>IF(ISERROR(MATCH($B107,'Production - Oil'!$B$65:$B$108,0)),0,VLOOKUP($B107,'Production - Oil'!$B$65:$CD$108,MATCH('Production - Total'!AA$63,'Production - Oil'!$B$9:$CD$9),FALSE))+IF(ISERROR(MATCH($B107,'Production - Gas'!$B$65:$B$108,0)),0,VLOOKUP($B107,'Production - Gas'!$B$65:$CD$108,MATCH('Production - Total'!AA$63,'Production - Gas'!$B$9:$CD$9),FALSE)/5.8)</f>
        <v>0</v>
      </c>
      <c r="AB107" s="11"/>
      <c r="AC107" s="11"/>
      <c r="AD107" s="11"/>
      <c r="AE107" s="11"/>
      <c r="AF107" s="11">
        <f>IF(ISERROR(MATCH($B107,'Production - Oil'!$B$65:$B$108,0)),0,VLOOKUP($B107,'Production - Oil'!$B$65:$CD$108,MATCH('Production - Total'!AF$63,'Production - Oil'!$B$9:$CD$9),FALSE))+IF(ISERROR(MATCH($B107,'Production - Gas'!$B$65:$B$108,0)),0,VLOOKUP($B107,'Production - Gas'!$B$65:$CD$108,MATCH('Production - Total'!AF$63,'Production - Gas'!$B$9:$CD$9),FALSE)/5.8)</f>
        <v>0</v>
      </c>
      <c r="AG107" s="82"/>
      <c r="AH107" s="82"/>
      <c r="AI107" s="82"/>
      <c r="AJ107" s="82"/>
      <c r="AK107" s="11">
        <f>IF(ISERROR(MATCH($B107,'Production - Oil'!$B$65:$B$108,0)),0,VLOOKUP($B107,'Production - Oil'!$B$65:$CD$108,MATCH('Production - Total'!AK$63,'Production - Oil'!$B$9:$CD$9),FALSE))+IF(ISERROR(MATCH($B107,'Production - Gas'!$B$65:$B$108,0)),0,VLOOKUP($B107,'Production - Gas'!$B$65:$CD$108,MATCH('Production - Total'!AK$63,'Production - Gas'!$B$9:$CD$9),FALSE)/5.8)</f>
        <v>0</v>
      </c>
      <c r="AL107" s="82"/>
      <c r="AM107" s="82"/>
      <c r="AN107" s="82"/>
      <c r="AO107" s="82"/>
      <c r="AP107" s="11">
        <f>IF(ISERROR(MATCH($B107,'Production - Oil'!$B$65:$B$108,0)),0,VLOOKUP($B107,'Production - Oil'!$B$65:$CD$108,MATCH('Production - Total'!AP$63,'Production - Oil'!$B$9:$CD$9),FALSE))+IF(ISERROR(MATCH($B107,'Production - Gas'!$B$65:$B$108,0)),0,VLOOKUP($B107,'Production - Gas'!$B$65:$CD$108,MATCH('Production - Total'!AP$63,'Production - Gas'!$B$9:$CD$9),FALSE)/5.8)</f>
        <v>0</v>
      </c>
      <c r="AQ107" s="82"/>
      <c r="AR107" s="82"/>
      <c r="AS107" s="82"/>
      <c r="AT107" s="82"/>
      <c r="AU107" s="11">
        <f>IF(ISERROR(MATCH($B107,'Production - Oil'!$B$65:$B$108,0)),0,VLOOKUP($B107,'Production - Oil'!$B$65:$CD$108,MATCH('Production - Total'!AU$63,'Production - Oil'!$B$9:$CD$9),FALSE))+IF(ISERROR(MATCH($B107,'Production - Gas'!$B$65:$B$108,0)),0,VLOOKUP($B107,'Production - Gas'!$B$65:$CD$108,MATCH('Production - Total'!AU$63,'Production - Gas'!$B$9:$CD$9),FALSE)/5.8)</f>
        <v>0</v>
      </c>
      <c r="AV107" s="82"/>
      <c r="AW107" s="82"/>
      <c r="AX107" s="82"/>
      <c r="AY107" s="82"/>
      <c r="AZ107" s="11">
        <f>IF(ISERROR(MATCH($B107,'Production - Oil'!$B$65:$B$108,0)),0,VLOOKUP($B107,'Production - Oil'!$B$65:$CD$108,MATCH('Production - Total'!AZ$63,'Production - Oil'!$B$9:$CD$9),FALSE))+IF(ISERROR(MATCH($B107,'Production - Gas'!$B$65:$B$108,0)),0,VLOOKUP($B107,'Production - Gas'!$B$65:$CD$108,MATCH('Production - Total'!AZ$63,'Production - Gas'!$B$9:$CD$9),FALSE)/5.8)</f>
        <v>0</v>
      </c>
      <c r="BA107" s="82"/>
      <c r="BB107" s="82"/>
      <c r="BC107" s="82"/>
      <c r="BD107" s="82"/>
      <c r="BE107" s="11">
        <f>IF(ISERROR(MATCH($B107,'Production - Oil'!$B$65:$B$108,0)),0,VLOOKUP($B107,'Production - Oil'!$B$65:$CD$108,MATCH('Production - Total'!BE$63,'Production - Oil'!$B$9:$CD$9),FALSE))+IF(ISERROR(MATCH($B107,'Production - Gas'!$B$65:$B$108,0)),0,VLOOKUP($B107,'Production - Gas'!$B$65:$CD$108,MATCH('Production - Total'!BE$63,'Production - Gas'!$B$9:$CD$9),FALSE)/5.8)</f>
        <v>0</v>
      </c>
      <c r="BF107" s="82"/>
      <c r="BG107" s="82"/>
      <c r="BH107" s="82"/>
      <c r="BI107" s="82"/>
      <c r="BJ107" s="11">
        <f>IF(ISERROR(MATCH($B107,'Production - Oil'!$B$65:$B$108,0)),0,VLOOKUP($B107,'Production - Oil'!$B$65:$CD$108,MATCH('Production - Total'!BJ$63,'Production - Oil'!$B$9:$CD$9),FALSE))+IF(ISERROR(MATCH($B107,'Production - Gas'!$B$65:$B$108,0)),0,VLOOKUP($B107,'Production - Gas'!$B$65:$CD$108,MATCH('Production - Total'!BJ$63,'Production - Gas'!$B$9:$CD$9),FALSE)/5.8)</f>
        <v>0</v>
      </c>
      <c r="BK107" s="82"/>
      <c r="BL107" s="82"/>
      <c r="BM107" s="82"/>
      <c r="BN107" s="82"/>
      <c r="BO107" s="11">
        <f>'Production - Oil'!BO107+'Production - Gas'!BO107/5.8</f>
        <v>0</v>
      </c>
      <c r="BP107" s="82"/>
      <c r="BQ107" s="82"/>
      <c r="BR107" s="82"/>
      <c r="BS107" s="82"/>
      <c r="BT107" s="51"/>
      <c r="BU107" s="82"/>
      <c r="BV107" s="82"/>
      <c r="BW107" s="82"/>
      <c r="BX107" s="82"/>
      <c r="BY107" s="51"/>
      <c r="BZ107" s="82"/>
      <c r="CA107" s="82"/>
      <c r="CB107" s="82"/>
      <c r="CC107" s="82"/>
      <c r="CD107" s="51"/>
    </row>
    <row r="108" spans="1:82">
      <c r="A108" s="39" t="s">
        <v>1935</v>
      </c>
      <c r="B108" s="39"/>
      <c r="C108" s="39">
        <f t="shared" ref="C108:AA108" si="14">SUM(C106:C107)</f>
        <v>0</v>
      </c>
      <c r="D108" s="39">
        <f t="shared" si="14"/>
        <v>0</v>
      </c>
      <c r="E108" s="39">
        <f t="shared" si="14"/>
        <v>0</v>
      </c>
      <c r="F108" s="39">
        <f t="shared" si="14"/>
        <v>0</v>
      </c>
      <c r="G108" s="39">
        <f t="shared" si="14"/>
        <v>0</v>
      </c>
      <c r="H108" s="39">
        <f t="shared" si="14"/>
        <v>0</v>
      </c>
      <c r="I108" s="39">
        <f t="shared" si="14"/>
        <v>0</v>
      </c>
      <c r="J108" s="39">
        <f t="shared" si="14"/>
        <v>0</v>
      </c>
      <c r="K108" s="39">
        <f t="shared" si="14"/>
        <v>0</v>
      </c>
      <c r="L108" s="39">
        <f t="shared" si="14"/>
        <v>0</v>
      </c>
      <c r="M108" s="39">
        <f t="shared" si="14"/>
        <v>0</v>
      </c>
      <c r="N108" s="39">
        <f t="shared" si="14"/>
        <v>0</v>
      </c>
      <c r="O108" s="39">
        <f t="shared" si="14"/>
        <v>0</v>
      </c>
      <c r="P108" s="39">
        <f t="shared" si="14"/>
        <v>0</v>
      </c>
      <c r="Q108" s="39">
        <f t="shared" si="14"/>
        <v>0</v>
      </c>
      <c r="R108" s="39">
        <f t="shared" si="14"/>
        <v>0</v>
      </c>
      <c r="S108" s="39">
        <f t="shared" si="14"/>
        <v>0</v>
      </c>
      <c r="T108" s="39">
        <f t="shared" si="14"/>
        <v>0</v>
      </c>
      <c r="U108" s="39">
        <f t="shared" si="14"/>
        <v>0</v>
      </c>
      <c r="V108" s="39">
        <f t="shared" si="14"/>
        <v>0</v>
      </c>
      <c r="W108" s="39">
        <f t="shared" si="14"/>
        <v>0</v>
      </c>
      <c r="X108" s="39">
        <f t="shared" si="14"/>
        <v>0</v>
      </c>
      <c r="Y108" s="39">
        <f t="shared" si="14"/>
        <v>0</v>
      </c>
      <c r="Z108" s="39">
        <f t="shared" si="14"/>
        <v>0</v>
      </c>
      <c r="AA108" s="39">
        <f t="shared" si="14"/>
        <v>0</v>
      </c>
      <c r="AB108" s="39"/>
      <c r="AC108" s="39"/>
      <c r="AD108" s="39"/>
      <c r="AE108" s="39"/>
      <c r="AF108" s="39">
        <f>SUM(AF106:AF107)</f>
        <v>0</v>
      </c>
      <c r="AG108" s="80">
        <f>VLOOKUP($A108,'Production - Oil'!$A$63:$CD$110,MATCH('Production - Total'!AG$63,'Production - Oil'!$A$63:$CD$63,0),FALSE)+VLOOKUP($A108,'Production - Gas'!$A$63:$CD$110,MATCH('Production - Total'!AG$63,'Production - Gas'!$A$63:$CD$63,0),FALSE)/5.8</f>
        <v>0</v>
      </c>
      <c r="AH108" s="80">
        <f>VLOOKUP($A108,'Production - Oil'!$A$63:$CD$110,MATCH('Production - Total'!AH$63,'Production - Oil'!$A$63:$CD$63,0),FALSE)+VLOOKUP($A108,'Production - Gas'!$A$63:$CD$110,MATCH('Production - Total'!AH$63,'Production - Gas'!$A$63:$CD$63,0),FALSE)/5.8</f>
        <v>0</v>
      </c>
      <c r="AI108" s="80">
        <f>VLOOKUP($A108,'Production - Oil'!$A$63:$CD$110,MATCH('Production - Total'!AI$63,'Production - Oil'!$A$63:$CD$63,0),FALSE)+VLOOKUP($A108,'Production - Gas'!$A$63:$CD$110,MATCH('Production - Total'!AI$63,'Production - Gas'!$A$63:$CD$63,0),FALSE)/5.8</f>
        <v>0</v>
      </c>
      <c r="AJ108" s="80">
        <f>VLOOKUP($A108,'Production - Oil'!$A$63:$CD$110,MATCH('Production - Total'!AJ$63,'Production - Oil'!$A$63:$CD$63,0),FALSE)+VLOOKUP($A108,'Production - Gas'!$A$63:$CD$110,MATCH('Production - Total'!AJ$63,'Production - Gas'!$A$63:$CD$63,0),FALSE)/5.8</f>
        <v>0</v>
      </c>
      <c r="AK108" s="39">
        <f>VLOOKUP($A108,'Production - Oil'!$A$63:$CD$110,MATCH('Production - Total'!AK$63,'Production - Oil'!$A$63:$CD$63,0),FALSE)+VLOOKUP($A108,'Production - Gas'!$A$63:$CD$110,MATCH('Production - Total'!AK$63,'Production - Gas'!$A$63:$CD$63,0),FALSE)/5.8</f>
        <v>0</v>
      </c>
      <c r="AL108" s="80">
        <f>VLOOKUP($A108,'Production - Oil'!$A$63:$CD$110,MATCH('Production - Total'!AL$63,'Production - Oil'!$A$63:$CD$63,0),FALSE)+VLOOKUP($A108,'Production - Gas'!$A$63:$CD$110,MATCH('Production - Total'!AL$63,'Production - Gas'!$A$63:$CD$63,0),FALSE)/5.8</f>
        <v>0</v>
      </c>
      <c r="AM108" s="80">
        <f>VLOOKUP($A108,'Production - Oil'!$A$63:$CD$110,MATCH('Production - Total'!AM$63,'Production - Oil'!$A$63:$CD$63,0),FALSE)+VLOOKUP($A108,'Production - Gas'!$A$63:$CD$110,MATCH('Production - Total'!AM$63,'Production - Gas'!$A$63:$CD$63,0),FALSE)/5.8</f>
        <v>0</v>
      </c>
      <c r="AN108" s="80">
        <f>VLOOKUP($A108,'Production - Oil'!$A$63:$CD$110,MATCH('Production - Total'!AN$63,'Production - Oil'!$A$63:$CD$63,0),FALSE)+VLOOKUP($A108,'Production - Gas'!$A$63:$CD$110,MATCH('Production - Total'!AN$63,'Production - Gas'!$A$63:$CD$63,0),FALSE)/5.8</f>
        <v>0</v>
      </c>
      <c r="AO108" s="80">
        <f>VLOOKUP($A108,'Production - Oil'!$A$63:$CD$110,MATCH('Production - Total'!AO$63,'Production - Oil'!$A$63:$CD$63,0),FALSE)+VLOOKUP($A108,'Production - Gas'!$A$63:$CD$110,MATCH('Production - Total'!AO$63,'Production - Gas'!$A$63:$CD$63,0),FALSE)/5.8</f>
        <v>0</v>
      </c>
      <c r="AP108" s="39">
        <f>VLOOKUP($A108,'Production - Oil'!$A$63:$CD$110,MATCH('Production - Total'!AP$63,'Production - Oil'!$A$63:$CD$63,0),FALSE)+VLOOKUP($A108,'Production - Gas'!$A$63:$CD$110,MATCH('Production - Total'!AP$63,'Production - Gas'!$A$63:$CD$63,0),FALSE)/5.8</f>
        <v>0</v>
      </c>
      <c r="AQ108" s="82"/>
      <c r="AR108" s="82"/>
      <c r="AS108" s="82"/>
      <c r="AT108" s="82"/>
      <c r="AU108" s="39">
        <f>VLOOKUP($A108,'Production - Oil'!$A$63:$CD$110,MATCH('Production - Total'!AU$63,'Production - Oil'!$A$63:$CD$63,0),FALSE)+VLOOKUP($A108,'Production - Gas'!$A$63:$CD$110,MATCH('Production - Total'!AU$63,'Production - Gas'!$A$63:$CD$63,0),FALSE)/5.8</f>
        <v>0</v>
      </c>
      <c r="AV108" s="82"/>
      <c r="AW108" s="82"/>
      <c r="AX108" s="82"/>
      <c r="AY108" s="82"/>
      <c r="AZ108" s="39">
        <f>VLOOKUP($A108,'Production - Oil'!$A$63:$CD$110,MATCH('Production - Total'!AZ$63,'Production - Oil'!$A$63:$CD$63,0),FALSE)+VLOOKUP($A108,'Production - Gas'!$A$63:$CD$110,MATCH('Production - Total'!AZ$63,'Production - Gas'!$A$63:$CD$63,0),FALSE)/5.8</f>
        <v>0</v>
      </c>
      <c r="BA108" s="82"/>
      <c r="BB108" s="82"/>
      <c r="BC108" s="82"/>
      <c r="BD108" s="82"/>
      <c r="BE108" s="39">
        <f>VLOOKUP($A108,'Production - Oil'!$A$63:$CD$110,MATCH('Production - Total'!BE$63,'Production - Oil'!$A$63:$CD$63,0),FALSE)+VLOOKUP($A108,'Production - Gas'!$A$63:$CD$110,MATCH('Production - Total'!BE$63,'Production - Gas'!$A$63:$CD$63,0),FALSE)/5.8</f>
        <v>0</v>
      </c>
      <c r="BF108" s="82"/>
      <c r="BG108" s="82"/>
      <c r="BH108" s="82"/>
      <c r="BI108" s="82"/>
      <c r="BJ108" s="39">
        <f>VLOOKUP($A108,'Production - Oil'!$A$63:$CD$110,MATCH('Production - Total'!BJ$63,'Production - Oil'!$A$63:$CD$63,0),FALSE)+VLOOKUP($A108,'Production - Gas'!$A$63:$CD$110,MATCH('Production - Total'!BJ$63,'Production - Gas'!$A$63:$CD$63,0),FALSE)/5.8</f>
        <v>0</v>
      </c>
      <c r="BK108" s="82"/>
      <c r="BL108" s="82"/>
      <c r="BM108" s="82"/>
      <c r="BN108" s="82"/>
      <c r="BO108" s="39">
        <f>'Production - Oil'!BO108+'Production - Gas'!BO108/5.8</f>
        <v>0</v>
      </c>
      <c r="BP108" s="80">
        <f>VLOOKUP($A108,'Production - Oil'!$A$63:$CD$110,MATCH('Production - Total'!BP$63,'Production - Oil'!$A$63:$CD$63,0),FALSE)+VLOOKUP($A108,'Production - Gas'!$A$63:$CD$110,MATCH('Production - Total'!BP$63,'Production - Gas'!$A$63:$CD$63,0),FALSE)/5.8</f>
        <v>0</v>
      </c>
      <c r="BQ108" s="80">
        <f>VLOOKUP($A108,'Production - Oil'!$A$63:$CD$110,MATCH('Production - Total'!BQ$63,'Production - Oil'!$A$63:$CD$63,0),FALSE)+VLOOKUP($A108,'Production - Gas'!$A$63:$CD$110,MATCH('Production - Total'!BQ$63,'Production - Gas'!$A$63:$CD$63,0),FALSE)/5.8</f>
        <v>0</v>
      </c>
      <c r="BR108" s="80">
        <f>VLOOKUP($A108,'Production - Oil'!$A$63:$CD$110,MATCH('Production - Total'!BR$63,'Production - Oil'!$A$63:$CD$63,0),FALSE)+VLOOKUP($A108,'Production - Gas'!$A$63:$CD$110,MATCH('Production - Total'!BR$63,'Production - Gas'!$A$63:$CD$63,0),FALSE)/5.8</f>
        <v>0</v>
      </c>
      <c r="BS108" s="80">
        <f>VLOOKUP($A108,'Production - Oil'!$A$63:$CD$110,MATCH('Production - Total'!BS$63,'Production - Oil'!$A$63:$CD$63,0),FALSE)+VLOOKUP($A108,'Production - Gas'!$A$63:$CD$110,MATCH('Production - Total'!BS$63,'Production - Gas'!$A$63:$CD$63,0),FALSE)/5.8</f>
        <v>0</v>
      </c>
      <c r="BT108" s="39">
        <f>VLOOKUP($A108,'Production - Oil'!$A$63:$CD$110,MATCH('Production - Total'!BT$63,'Production - Oil'!$A$63:$CD$63,0),FALSE)+VLOOKUP($A108,'Production - Gas'!$A$63:$CD$110,MATCH('Production - Total'!BT$63,'Production - Gas'!$A$63:$CD$63,0),FALSE)/5.8</f>
        <v>0</v>
      </c>
      <c r="BU108" s="80">
        <f>VLOOKUP($A108,'Production - Oil'!$A$63:$CD$110,MATCH('Production - Total'!BU$63,'Production - Oil'!$A$63:$CD$63,0),FALSE)+VLOOKUP($A108,'Production - Gas'!$A$63:$CD$110,MATCH('Production - Total'!BU$63,'Production - Gas'!$A$63:$CD$63,0),FALSE)/5.8</f>
        <v>0</v>
      </c>
      <c r="BV108" s="80">
        <f>VLOOKUP($A108,'Production - Oil'!$A$63:$CD$110,MATCH('Production - Total'!BV$63,'Production - Oil'!$A$63:$CD$63,0),FALSE)+VLOOKUP($A108,'Production - Gas'!$A$63:$CD$110,MATCH('Production - Total'!BV$63,'Production - Gas'!$A$63:$CD$63,0),FALSE)/5.8</f>
        <v>0</v>
      </c>
      <c r="BW108" s="80">
        <f>VLOOKUP($A108,'Production - Oil'!$A$63:$CD$110,MATCH('Production - Total'!BW$63,'Production - Oil'!$A$63:$CD$63,0),FALSE)+VLOOKUP($A108,'Production - Gas'!$A$63:$CD$110,MATCH('Production - Total'!BW$63,'Production - Gas'!$A$63:$CD$63,0),FALSE)/5.8</f>
        <v>0</v>
      </c>
      <c r="BX108" s="80">
        <f>VLOOKUP($A108,'Production - Oil'!$A$63:$CD$110,MATCH('Production - Total'!BX$63,'Production - Oil'!$A$63:$CD$63,0),FALSE)+VLOOKUP($A108,'Production - Gas'!$A$63:$CD$110,MATCH('Production - Total'!BX$63,'Production - Gas'!$A$63:$CD$63,0),FALSE)/5.8</f>
        <v>0</v>
      </c>
      <c r="BY108" s="39">
        <f>VLOOKUP($A108,'Production - Oil'!$A$63:$CD$110,MATCH('Production - Total'!BY$63,'Production - Oil'!$A$63:$CD$63,0),FALSE)+VLOOKUP($A108,'Production - Gas'!$A$63:$CD$110,MATCH('Production - Total'!BY$63,'Production - Gas'!$A$63:$CD$63,0),FALSE)/5.8</f>
        <v>0</v>
      </c>
      <c r="BZ108" s="80">
        <f>VLOOKUP($A108,'Production - Oil'!$A$63:$CD$110,MATCH('Production - Total'!BZ$63,'Production - Oil'!$A$63:$CD$63,0),FALSE)+VLOOKUP($A108,'Production - Gas'!$A$63:$CD$110,MATCH('Production - Total'!BZ$63,'Production - Gas'!$A$63:$CD$63,0),FALSE)/5.8</f>
        <v>0</v>
      </c>
      <c r="CA108" s="80">
        <f>VLOOKUP($A108,'Production - Oil'!$A$63:$CD$110,MATCH('Production - Total'!CA$63,'Production - Oil'!$A$63:$CD$63,0),FALSE)+VLOOKUP($A108,'Production - Gas'!$A$63:$CD$110,MATCH('Production - Total'!CA$63,'Production - Gas'!$A$63:$CD$63,0),FALSE)/5.8</f>
        <v>0</v>
      </c>
      <c r="CB108" s="80">
        <f>VLOOKUP($A108,'Production - Oil'!$A$63:$CD$110,MATCH('Production - Total'!CB$63,'Production - Oil'!$A$63:$CD$63,0),FALSE)+VLOOKUP($A108,'Production - Gas'!$A$63:$CD$110,MATCH('Production - Total'!CB$63,'Production - Gas'!$A$63:$CD$63,0),FALSE)/5.8</f>
        <v>0</v>
      </c>
      <c r="CC108" s="80">
        <f>VLOOKUP($A108,'Production - Oil'!$A$63:$CD$110,MATCH('Production - Total'!CC$63,'Production - Oil'!$A$63:$CD$63,0),FALSE)+VLOOKUP($A108,'Production - Gas'!$A$63:$CD$110,MATCH('Production - Total'!CC$63,'Production - Gas'!$A$63:$CD$63,0),FALSE)/5.8</f>
        <v>0</v>
      </c>
      <c r="CD108" s="39">
        <f>VLOOKUP($A108,'Production - Oil'!$A$63:$CD$110,MATCH('Production - Total'!CD$63,'Production - Oil'!$A$63:$CD$63,0),FALSE)+VLOOKUP($A108,'Production - Gas'!$A$63:$CD$110,MATCH('Production - Total'!CD$63,'Production - Gas'!$A$63:$CD$63,0),FALSE)/5.8</f>
        <v>0</v>
      </c>
    </row>
    <row r="109" spans="1:82">
      <c r="A109" s="39"/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80"/>
      <c r="AH109" s="80"/>
      <c r="AI109" s="80"/>
      <c r="AJ109" s="80"/>
      <c r="AK109" s="39"/>
      <c r="AL109" s="80"/>
      <c r="AM109" s="80"/>
      <c r="AN109" s="80"/>
      <c r="AO109" s="80"/>
      <c r="AP109" s="39"/>
      <c r="AQ109" s="80"/>
      <c r="AR109" s="80"/>
      <c r="AS109" s="80"/>
      <c r="AT109" s="80"/>
      <c r="AU109" s="39"/>
      <c r="AV109" s="80"/>
      <c r="AW109" s="80"/>
      <c r="AX109" s="80"/>
      <c r="AY109" s="80"/>
      <c r="AZ109" s="39"/>
      <c r="BA109" s="80"/>
      <c r="BB109" s="80"/>
      <c r="BC109" s="80"/>
      <c r="BD109" s="80"/>
      <c r="BE109" s="39"/>
      <c r="BF109" s="80"/>
      <c r="BG109" s="80"/>
      <c r="BH109" s="80"/>
      <c r="BI109" s="80"/>
      <c r="BJ109" s="39"/>
      <c r="BK109" s="80"/>
      <c r="BL109" s="80"/>
      <c r="BM109" s="80"/>
      <c r="BN109" s="80"/>
      <c r="BO109" s="39"/>
      <c r="BP109" s="80"/>
      <c r="BQ109" s="80"/>
      <c r="BR109" s="80"/>
      <c r="BS109" s="80"/>
      <c r="BT109" s="39"/>
      <c r="BU109" s="80"/>
      <c r="BV109" s="80"/>
      <c r="BW109" s="80"/>
      <c r="BX109" s="80"/>
      <c r="BY109" s="39"/>
      <c r="BZ109" s="80"/>
      <c r="CA109" s="80"/>
      <c r="CB109" s="80"/>
      <c r="CC109" s="80"/>
      <c r="CD109" s="39"/>
    </row>
    <row r="110" spans="1:82">
      <c r="A110" s="46" t="s">
        <v>3510</v>
      </c>
      <c r="B110" s="46"/>
      <c r="C110" s="46">
        <f t="shared" ref="C110:AH110" si="15">C68+C73+C82+C88+C103+C108</f>
        <v>267.48275862068965</v>
      </c>
      <c r="D110" s="46">
        <f t="shared" si="15"/>
        <v>318.0344827586207</v>
      </c>
      <c r="E110" s="46">
        <f t="shared" si="15"/>
        <v>595.82758620689651</v>
      </c>
      <c r="F110" s="46">
        <f t="shared" si="15"/>
        <v>1202.5517241379309</v>
      </c>
      <c r="G110" s="46">
        <f t="shared" si="15"/>
        <v>1296.2413793103449</v>
      </c>
      <c r="H110" s="46">
        <f t="shared" si="15"/>
        <v>0</v>
      </c>
      <c r="I110" s="46">
        <f t="shared" si="15"/>
        <v>0</v>
      </c>
      <c r="J110" s="46">
        <f t="shared" si="15"/>
        <v>0</v>
      </c>
      <c r="K110" s="46">
        <f t="shared" si="15"/>
        <v>0</v>
      </c>
      <c r="L110" s="46">
        <f t="shared" si="15"/>
        <v>1297.2758620689656</v>
      </c>
      <c r="M110" s="46">
        <f t="shared" si="15"/>
        <v>0</v>
      </c>
      <c r="N110" s="46">
        <f t="shared" si="15"/>
        <v>0</v>
      </c>
      <c r="O110" s="46">
        <f t="shared" si="15"/>
        <v>0</v>
      </c>
      <c r="P110" s="46">
        <f t="shared" si="15"/>
        <v>0</v>
      </c>
      <c r="Q110" s="46">
        <f t="shared" si="15"/>
        <v>1268.7931034482758</v>
      </c>
      <c r="R110" s="46">
        <f t="shared" si="15"/>
        <v>0</v>
      </c>
      <c r="S110" s="46">
        <f t="shared" si="15"/>
        <v>0</v>
      </c>
      <c r="T110" s="46">
        <f t="shared" si="15"/>
        <v>0</v>
      </c>
      <c r="U110" s="46">
        <f t="shared" si="15"/>
        <v>0</v>
      </c>
      <c r="V110" s="46">
        <f t="shared" si="15"/>
        <v>1320.2413793103451</v>
      </c>
      <c r="W110" s="46">
        <f t="shared" si="15"/>
        <v>0</v>
      </c>
      <c r="X110" s="46">
        <f t="shared" si="15"/>
        <v>0</v>
      </c>
      <c r="Y110" s="46">
        <f t="shared" si="15"/>
        <v>0</v>
      </c>
      <c r="Z110" s="46">
        <f t="shared" si="15"/>
        <v>0</v>
      </c>
      <c r="AA110" s="46">
        <f t="shared" si="15"/>
        <v>1313.4482758620691</v>
      </c>
      <c r="AB110" s="46">
        <f t="shared" si="15"/>
        <v>0</v>
      </c>
      <c r="AC110" s="46">
        <f t="shared" si="15"/>
        <v>0</v>
      </c>
      <c r="AD110" s="46">
        <f t="shared" si="15"/>
        <v>0</v>
      </c>
      <c r="AE110" s="46">
        <f t="shared" si="15"/>
        <v>0</v>
      </c>
      <c r="AF110" s="46">
        <f t="shared" si="15"/>
        <v>1329.3103448275863</v>
      </c>
      <c r="AG110" s="81">
        <f t="shared" si="15"/>
        <v>0</v>
      </c>
      <c r="AH110" s="81">
        <f t="shared" si="15"/>
        <v>0</v>
      </c>
      <c r="AI110" s="81">
        <f t="shared" ref="AI110:AZ110" si="16">AI68+AI73+AI82+AI88+AI103+AI108</f>
        <v>0</v>
      </c>
      <c r="AJ110" s="81">
        <f t="shared" si="16"/>
        <v>0</v>
      </c>
      <c r="AK110" s="46">
        <f t="shared" si="16"/>
        <v>1358.9655172413795</v>
      </c>
      <c r="AL110" s="81">
        <f t="shared" si="16"/>
        <v>0</v>
      </c>
      <c r="AM110" s="81">
        <f t="shared" si="16"/>
        <v>0</v>
      </c>
      <c r="AN110" s="81">
        <f t="shared" si="16"/>
        <v>0</v>
      </c>
      <c r="AO110" s="81">
        <f t="shared" si="16"/>
        <v>0</v>
      </c>
      <c r="AP110" s="46">
        <f>AP68+AP73+AP82+AP88+AP103+AP108</f>
        <v>1366.8965517241379</v>
      </c>
      <c r="AQ110" s="566"/>
      <c r="AR110" s="566"/>
      <c r="AS110" s="566"/>
      <c r="AT110" s="566"/>
      <c r="AU110" s="46">
        <f>AU68+AU73+AU82+AU88+AU103+AU108</f>
        <v>1343.4827586206895</v>
      </c>
      <c r="AV110" s="566"/>
      <c r="AW110" s="566"/>
      <c r="AX110" s="566"/>
      <c r="AY110" s="566"/>
      <c r="AZ110" s="46">
        <f t="shared" si="16"/>
        <v>1252.2068965517242</v>
      </c>
      <c r="BA110" s="566"/>
      <c r="BB110" s="566"/>
      <c r="BC110" s="566"/>
      <c r="BD110" s="566"/>
      <c r="BE110" s="46">
        <f>BE68+BE73+BE82+BE88+BE103+BE108</f>
        <v>1269.4827586206895</v>
      </c>
      <c r="BF110" s="566"/>
      <c r="BG110" s="566"/>
      <c r="BH110" s="566"/>
      <c r="BI110" s="566"/>
      <c r="BJ110" s="46">
        <f>BJ68+BJ73+BJ82+BJ88+BJ103+BJ108</f>
        <v>1328.6896551724137</v>
      </c>
      <c r="BK110" s="566"/>
      <c r="BL110" s="566"/>
      <c r="BM110" s="566"/>
      <c r="BN110" s="566"/>
      <c r="BO110" s="46">
        <f>'Production - Oil'!BO110+'Production - Gas'!BO110/5.8</f>
        <v>1430.8275862068965</v>
      </c>
      <c r="BP110" s="81">
        <f t="shared" ref="BP110:CD110" si="17">BP68+BP73+BP82+BP88+BP103+BP108</f>
        <v>1313.510005369598</v>
      </c>
      <c r="BQ110" s="81">
        <f t="shared" si="17"/>
        <v>1292.9585618382898</v>
      </c>
      <c r="BR110" s="81">
        <f t="shared" si="17"/>
        <v>1286.1228799376845</v>
      </c>
      <c r="BS110" s="81">
        <f t="shared" si="17"/>
        <v>1312.0443021647734</v>
      </c>
      <c r="BT110" s="46">
        <f t="shared" si="17"/>
        <v>1301.1589373275865</v>
      </c>
      <c r="BU110" s="81">
        <f t="shared" si="17"/>
        <v>1353.0444953528072</v>
      </c>
      <c r="BV110" s="81">
        <f t="shared" si="17"/>
        <v>1330.5362825715038</v>
      </c>
      <c r="BW110" s="81">
        <f t="shared" si="17"/>
        <v>1323.6911402643818</v>
      </c>
      <c r="BX110" s="81">
        <f t="shared" si="17"/>
        <v>1352.1002762940659</v>
      </c>
      <c r="BY110" s="46">
        <f t="shared" si="17"/>
        <v>1339.8430486206896</v>
      </c>
      <c r="BZ110" s="81">
        <f t="shared" si="17"/>
        <v>1401.0772635337325</v>
      </c>
      <c r="CA110" s="81">
        <f t="shared" si="17"/>
        <v>1376.9059684979984</v>
      </c>
      <c r="CB110" s="81">
        <f t="shared" si="17"/>
        <v>1369.6831401281786</v>
      </c>
      <c r="CC110" s="81">
        <f t="shared" si="17"/>
        <v>1400.2117523228503</v>
      </c>
      <c r="CD110" s="46">
        <f t="shared" si="17"/>
        <v>1386.9695311206899</v>
      </c>
    </row>
    <row r="111" spans="1:82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  <c r="BS111" s="11"/>
      <c r="BT111" s="11"/>
      <c r="BU111" s="11"/>
      <c r="BV111" s="11"/>
      <c r="BW111" s="11"/>
      <c r="BX111" s="11"/>
      <c r="BY111" s="11"/>
      <c r="BZ111" s="11"/>
      <c r="CA111" s="11"/>
      <c r="CB111" s="11"/>
      <c r="CC111" s="11"/>
      <c r="CD111" s="11"/>
    </row>
    <row r="112" spans="1:82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1"/>
      <c r="BO112" s="11"/>
      <c r="BP112" s="11"/>
      <c r="BQ112" s="11"/>
      <c r="BR112" s="11"/>
      <c r="BS112" s="11"/>
      <c r="BT112" s="11"/>
      <c r="BU112" s="11"/>
      <c r="BV112" s="11"/>
      <c r="BW112" s="11"/>
      <c r="BX112" s="11"/>
      <c r="BY112" s="11"/>
      <c r="BZ112" s="11"/>
      <c r="CA112" s="11"/>
      <c r="CB112" s="11"/>
      <c r="CC112" s="11"/>
      <c r="CD112" s="11"/>
    </row>
    <row r="113" spans="1:82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  <c r="BM113" s="11"/>
      <c r="BN113" s="11"/>
      <c r="BO113" s="11"/>
      <c r="BP113" s="11"/>
      <c r="BQ113" s="11"/>
      <c r="BR113" s="11"/>
      <c r="BS113" s="11"/>
      <c r="BT113" s="11"/>
      <c r="BU113" s="11"/>
      <c r="BV113" s="11"/>
      <c r="BW113" s="11"/>
      <c r="BX113" s="11"/>
      <c r="BY113" s="11"/>
      <c r="BZ113" s="11"/>
      <c r="CA113" s="11"/>
      <c r="CB113" s="11"/>
      <c r="CC113" s="11"/>
      <c r="CD113" s="11"/>
    </row>
    <row r="114" spans="1:82" ht="15.75">
      <c r="A114" s="42" t="s">
        <v>1821</v>
      </c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  <c r="BA114" s="39"/>
      <c r="BB114" s="39"/>
      <c r="BC114" s="39"/>
      <c r="BD114" s="39"/>
      <c r="BE114" s="39"/>
      <c r="BF114" s="39"/>
      <c r="BG114" s="39"/>
      <c r="BH114" s="39"/>
      <c r="BI114" s="39"/>
      <c r="BJ114" s="39"/>
      <c r="BK114" s="39"/>
      <c r="BL114" s="39"/>
      <c r="BM114" s="39"/>
      <c r="BN114" s="39"/>
      <c r="BO114" s="39"/>
      <c r="BP114" s="39"/>
      <c r="BQ114" s="39"/>
      <c r="BR114" s="39"/>
      <c r="BS114" s="39"/>
      <c r="BT114" s="39"/>
      <c r="BU114" s="39"/>
      <c r="BV114" s="39"/>
      <c r="BW114" s="39"/>
      <c r="BX114" s="39"/>
      <c r="BY114" s="39"/>
      <c r="BZ114" s="39"/>
      <c r="CA114" s="39"/>
      <c r="CB114" s="39"/>
      <c r="CC114" s="39"/>
      <c r="CD114" s="39"/>
    </row>
    <row r="115" spans="1:82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  <c r="BO115" s="11"/>
      <c r="BP115" s="11"/>
      <c r="BQ115" s="11"/>
      <c r="BR115" s="11"/>
      <c r="BS115" s="11"/>
      <c r="BT115" s="11"/>
      <c r="BU115" s="11"/>
      <c r="BV115" s="11"/>
      <c r="BW115" s="11"/>
      <c r="BX115" s="11"/>
      <c r="BY115" s="11"/>
      <c r="BZ115" s="11"/>
      <c r="CA115" s="11"/>
      <c r="CB115" s="11"/>
      <c r="CC115" s="11"/>
      <c r="CD115" s="11"/>
    </row>
    <row r="116" spans="1:82">
      <c r="A116" s="24" t="str">
        <f>+A62</f>
        <v>BOE (thousand boe/d)</v>
      </c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  <c r="BO116" s="11"/>
      <c r="BP116" s="11"/>
      <c r="BQ116" s="11"/>
      <c r="BR116" s="11"/>
      <c r="BS116" s="11"/>
      <c r="BT116" s="11"/>
      <c r="BU116" s="11"/>
      <c r="BV116" s="11"/>
      <c r="BW116" s="11"/>
      <c r="BX116" s="11"/>
      <c r="BY116" s="11"/>
      <c r="BZ116" s="11"/>
      <c r="CA116" s="11"/>
      <c r="CB116" s="11"/>
      <c r="CC116" s="11"/>
      <c r="CD116" s="11"/>
    </row>
    <row r="117" spans="1:82">
      <c r="A117" s="10"/>
      <c r="B117" s="10"/>
      <c r="C117" s="31">
        <v>2001</v>
      </c>
      <c r="D117" s="32">
        <v>2002</v>
      </c>
      <c r="E117" s="32">
        <v>2003</v>
      </c>
      <c r="F117" s="32">
        <v>2004</v>
      </c>
      <c r="G117" s="31">
        <v>2005</v>
      </c>
      <c r="H117" s="33" t="s">
        <v>714</v>
      </c>
      <c r="I117" s="33" t="s">
        <v>715</v>
      </c>
      <c r="J117" s="33" t="s">
        <v>716</v>
      </c>
      <c r="K117" s="33" t="s">
        <v>717</v>
      </c>
      <c r="L117" s="31">
        <v>2006</v>
      </c>
      <c r="M117" s="33" t="s">
        <v>718</v>
      </c>
      <c r="N117" s="33" t="s">
        <v>719</v>
      </c>
      <c r="O117" s="33" t="s">
        <v>1970</v>
      </c>
      <c r="P117" s="33" t="s">
        <v>1971</v>
      </c>
      <c r="Q117" s="31">
        <v>2007</v>
      </c>
      <c r="R117" s="33" t="s">
        <v>1972</v>
      </c>
      <c r="S117" s="33" t="s">
        <v>1973</v>
      </c>
      <c r="T117" s="33" t="s">
        <v>1974</v>
      </c>
      <c r="U117" s="33" t="s">
        <v>1975</v>
      </c>
      <c r="V117" s="31">
        <v>2008</v>
      </c>
      <c r="W117" s="33" t="s">
        <v>1976</v>
      </c>
      <c r="X117" s="33" t="s">
        <v>1977</v>
      </c>
      <c r="Y117" s="33" t="s">
        <v>1978</v>
      </c>
      <c r="Z117" s="33" t="s">
        <v>1979</v>
      </c>
      <c r="AA117" s="31">
        <v>2009</v>
      </c>
      <c r="AB117" s="33" t="s">
        <v>1980</v>
      </c>
      <c r="AC117" s="33" t="s">
        <v>1981</v>
      </c>
      <c r="AD117" s="33" t="s">
        <v>1982</v>
      </c>
      <c r="AE117" s="33" t="s">
        <v>2392</v>
      </c>
      <c r="AF117" s="31">
        <v>2010</v>
      </c>
      <c r="AG117" s="33" t="s">
        <v>2393</v>
      </c>
      <c r="AH117" s="33" t="s">
        <v>2394</v>
      </c>
      <c r="AI117" s="33" t="s">
        <v>2395</v>
      </c>
      <c r="AJ117" s="33" t="s">
        <v>2396</v>
      </c>
      <c r="AK117" s="31">
        <v>2011</v>
      </c>
      <c r="AL117" s="368" t="s">
        <v>2397</v>
      </c>
      <c r="AM117" s="368" t="s">
        <v>2398</v>
      </c>
      <c r="AN117" s="368" t="s">
        <v>2399</v>
      </c>
      <c r="AO117" s="368" t="s">
        <v>2400</v>
      </c>
      <c r="AP117" s="31">
        <v>2012</v>
      </c>
      <c r="AQ117" s="368" t="s">
        <v>2401</v>
      </c>
      <c r="AR117" s="368" t="s">
        <v>2402</v>
      </c>
      <c r="AS117" s="368" t="s">
        <v>2403</v>
      </c>
      <c r="AT117" s="368" t="s">
        <v>2404</v>
      </c>
      <c r="AU117" s="31">
        <v>2013</v>
      </c>
      <c r="AV117" s="368" t="s">
        <v>2405</v>
      </c>
      <c r="AW117" s="368" t="s">
        <v>2406</v>
      </c>
      <c r="AX117" s="368" t="s">
        <v>2407</v>
      </c>
      <c r="AY117" s="368" t="s">
        <v>2408</v>
      </c>
      <c r="AZ117" s="31">
        <v>2014</v>
      </c>
      <c r="BA117" s="368" t="s">
        <v>2409</v>
      </c>
      <c r="BB117" s="368" t="s">
        <v>2410</v>
      </c>
      <c r="BC117" s="368" t="s">
        <v>2411</v>
      </c>
      <c r="BD117" s="368" t="s">
        <v>2412</v>
      </c>
      <c r="BE117" s="31">
        <v>2015</v>
      </c>
      <c r="BF117" s="368" t="s">
        <v>2413</v>
      </c>
      <c r="BG117" s="368" t="s">
        <v>2414</v>
      </c>
      <c r="BH117" s="368" t="s">
        <v>2415</v>
      </c>
      <c r="BI117" s="368" t="s">
        <v>2416</v>
      </c>
      <c r="BJ117" s="31">
        <v>2016</v>
      </c>
      <c r="BK117" s="368" t="s">
        <v>2417</v>
      </c>
      <c r="BL117" s="368" t="s">
        <v>2418</v>
      </c>
      <c r="BM117" s="368" t="s">
        <v>2419</v>
      </c>
      <c r="BN117" s="368" t="s">
        <v>2420</v>
      </c>
      <c r="BO117" s="31">
        <v>2017</v>
      </c>
      <c r="BP117" s="363" t="s">
        <v>2244</v>
      </c>
      <c r="BQ117" s="363" t="s">
        <v>2245</v>
      </c>
      <c r="BR117" s="363" t="s">
        <v>2508</v>
      </c>
      <c r="BS117" s="363" t="s">
        <v>2509</v>
      </c>
      <c r="BT117" s="364">
        <v>2018</v>
      </c>
      <c r="BU117" s="363" t="s">
        <v>2510</v>
      </c>
      <c r="BV117" s="363" t="s">
        <v>2511</v>
      </c>
      <c r="BW117" s="363" t="s">
        <v>3125</v>
      </c>
      <c r="BX117" s="363" t="s">
        <v>1405</v>
      </c>
      <c r="BY117" s="364">
        <v>2019</v>
      </c>
      <c r="BZ117" s="363" t="s">
        <v>1406</v>
      </c>
      <c r="CA117" s="363" t="s">
        <v>1407</v>
      </c>
      <c r="CB117" s="363" t="s">
        <v>1408</v>
      </c>
      <c r="CC117" s="363" t="s">
        <v>1409</v>
      </c>
      <c r="CD117" s="364">
        <v>2020</v>
      </c>
    </row>
    <row r="118" spans="1:82">
      <c r="A118" s="39" t="s">
        <v>305</v>
      </c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  <c r="BM118" s="11"/>
      <c r="BN118" s="11"/>
      <c r="BO118" s="11"/>
      <c r="BP118" s="11"/>
      <c r="BQ118" s="11"/>
      <c r="BR118" s="11"/>
      <c r="BS118" s="11"/>
      <c r="BT118" s="11"/>
      <c r="BU118" s="11"/>
      <c r="BV118" s="11"/>
      <c r="BW118" s="11"/>
      <c r="BX118" s="11"/>
      <c r="BY118" s="11"/>
      <c r="BZ118" s="11"/>
      <c r="CA118" s="11"/>
      <c r="CB118" s="11"/>
      <c r="CC118" s="11"/>
      <c r="CD118" s="11"/>
    </row>
    <row r="119" spans="1:82">
      <c r="A119" s="11"/>
      <c r="B119" s="11" t="s">
        <v>1281</v>
      </c>
      <c r="C119" s="11">
        <f t="shared" ref="C119:G121" si="18">SUM(C11,C65)</f>
        <v>780.34482758620697</v>
      </c>
      <c r="D119" s="11">
        <f t="shared" si="18"/>
        <v>728.24137931034488</v>
      </c>
      <c r="E119" s="11">
        <f t="shared" si="18"/>
        <v>626.31034482758628</v>
      </c>
      <c r="F119" s="11">
        <f t="shared" si="18"/>
        <v>532.41379310344826</v>
      </c>
      <c r="G119" s="11">
        <f t="shared" si="18"/>
        <v>464.93103448275861</v>
      </c>
      <c r="H119" s="51"/>
      <c r="I119" s="51"/>
      <c r="J119" s="51"/>
      <c r="K119" s="51"/>
      <c r="L119" s="11">
        <f>SUM(L11,L65)</f>
        <v>414.37931034482756</v>
      </c>
      <c r="M119" s="51"/>
      <c r="N119" s="51"/>
      <c r="O119" s="51"/>
      <c r="P119" s="51"/>
      <c r="Q119" s="11">
        <f>SUM(Q11,Q65)</f>
        <v>333.41379310344826</v>
      </c>
      <c r="R119" s="51"/>
      <c r="S119" s="51"/>
      <c r="T119" s="51"/>
      <c r="U119" s="51"/>
      <c r="V119" s="11">
        <f>SUM(V11,V65)</f>
        <v>303.86206896551721</v>
      </c>
      <c r="W119" s="51"/>
      <c r="X119" s="51"/>
      <c r="Y119" s="51"/>
      <c r="Z119" s="51"/>
      <c r="AA119" s="11">
        <f>SUM(AA11,AA65)</f>
        <v>274.55172413793105</v>
      </c>
      <c r="AB119" s="51"/>
      <c r="AC119" s="51"/>
      <c r="AD119" s="51"/>
      <c r="AE119" s="51"/>
      <c r="AF119" s="11">
        <f>SUM(AF11,AF65)</f>
        <v>218.37931034482759</v>
      </c>
      <c r="AG119" s="51"/>
      <c r="AH119" s="51"/>
      <c r="AI119" s="51"/>
      <c r="AJ119" s="51"/>
      <c r="AK119" s="11">
        <f>SUM(AK11,AK65)</f>
        <v>174.20689655172413</v>
      </c>
      <c r="AL119" s="51"/>
      <c r="AM119" s="51"/>
      <c r="AN119" s="51"/>
      <c r="AO119" s="51"/>
      <c r="AP119" s="11">
        <f>SUM(AP11,AP65)</f>
        <v>157.37931034482759</v>
      </c>
      <c r="AQ119" s="51"/>
      <c r="AR119" s="51"/>
      <c r="AS119" s="51"/>
      <c r="AT119" s="51"/>
      <c r="AU119" s="11">
        <f>SUM(AU11,AU65)</f>
        <v>88.068965517241381</v>
      </c>
      <c r="AV119" s="51"/>
      <c r="AW119" s="51"/>
      <c r="AX119" s="51"/>
      <c r="AY119" s="51"/>
      <c r="AZ119" s="11">
        <f>SUM(AZ11,AZ65)</f>
        <v>60.241379310344826</v>
      </c>
      <c r="BA119" s="51"/>
      <c r="BB119" s="51"/>
      <c r="BC119" s="51"/>
      <c r="BD119" s="51"/>
      <c r="BE119" s="11">
        <f>SUM(BE11,BE65)</f>
        <v>105.72413793103448</v>
      </c>
      <c r="BF119" s="51"/>
      <c r="BG119" s="51"/>
      <c r="BH119" s="51"/>
      <c r="BI119" s="51"/>
      <c r="BJ119" s="11">
        <f>SUM(BJ11,BJ65)</f>
        <v>114.31034482758621</v>
      </c>
      <c r="BK119" s="51"/>
      <c r="BL119" s="51"/>
      <c r="BM119" s="51"/>
      <c r="BN119" s="51"/>
      <c r="BO119" s="11">
        <f>'Production - Oil'!BO119+'Production - Gas'!BO119/5.8</f>
        <v>117.37931034482759</v>
      </c>
      <c r="BP119" s="51"/>
      <c r="BQ119" s="51"/>
      <c r="BR119" s="51"/>
      <c r="BS119" s="51"/>
      <c r="BT119" s="96"/>
      <c r="BU119" s="51"/>
      <c r="BV119" s="51"/>
      <c r="BW119" s="51"/>
      <c r="BX119" s="51"/>
      <c r="BY119" s="96"/>
      <c r="BZ119" s="51"/>
      <c r="CA119" s="51"/>
      <c r="CB119" s="51"/>
      <c r="CC119" s="51"/>
      <c r="CD119" s="96"/>
    </row>
    <row r="120" spans="1:82">
      <c r="A120" s="11"/>
      <c r="B120" s="11" t="s">
        <v>306</v>
      </c>
      <c r="C120" s="11">
        <f t="shared" si="18"/>
        <v>107.27586206896552</v>
      </c>
      <c r="D120" s="11">
        <f t="shared" si="18"/>
        <v>113.34482758620689</v>
      </c>
      <c r="E120" s="11">
        <f t="shared" si="18"/>
        <v>91.965517241379317</v>
      </c>
      <c r="F120" s="11">
        <f t="shared" si="18"/>
        <v>83.758620689655174</v>
      </c>
      <c r="G120" s="11">
        <f t="shared" si="18"/>
        <v>81.931034482758619</v>
      </c>
      <c r="H120" s="51"/>
      <c r="I120" s="51"/>
      <c r="J120" s="51"/>
      <c r="K120" s="51"/>
      <c r="L120" s="11">
        <f>SUM(L12,L66)</f>
        <v>66.034482758620683</v>
      </c>
      <c r="M120" s="51"/>
      <c r="N120" s="51"/>
      <c r="O120" s="51"/>
      <c r="P120" s="51"/>
      <c r="Q120" s="11">
        <f>SUM(Q12,Q66)</f>
        <v>55.482758620689658</v>
      </c>
      <c r="R120" s="51"/>
      <c r="S120" s="51"/>
      <c r="T120" s="51"/>
      <c r="U120" s="51"/>
      <c r="V120" s="11">
        <f>SUM(V12,V66)</f>
        <v>46.96551724137931</v>
      </c>
      <c r="W120" s="51"/>
      <c r="X120" s="51"/>
      <c r="Y120" s="51"/>
      <c r="Z120" s="51"/>
      <c r="AA120" s="11">
        <f>SUM(AA12,AA66)</f>
        <v>42.758620689655174</v>
      </c>
      <c r="AB120" s="51"/>
      <c r="AC120" s="51"/>
      <c r="AD120" s="51"/>
      <c r="AE120" s="51"/>
      <c r="AF120" s="11">
        <f>SUM(AF12,AF66)</f>
        <v>42.586206896551722</v>
      </c>
      <c r="AG120" s="51"/>
      <c r="AH120" s="51"/>
      <c r="AI120" s="51"/>
      <c r="AJ120" s="51"/>
      <c r="AK120" s="11">
        <f>SUM(AK12,AK66)</f>
        <v>34.241379310344826</v>
      </c>
      <c r="AL120" s="51"/>
      <c r="AM120" s="51"/>
      <c r="AN120" s="51"/>
      <c r="AO120" s="51"/>
      <c r="AP120" s="11">
        <f>SUM(AP12,AP66)</f>
        <v>24.379310344827587</v>
      </c>
      <c r="AQ120" s="51"/>
      <c r="AR120" s="51"/>
      <c r="AS120" s="51"/>
      <c r="AT120" s="51"/>
      <c r="AU120" s="11">
        <f>SUM(AU12,AU66)</f>
        <v>47.793103448275865</v>
      </c>
      <c r="AV120" s="51"/>
      <c r="AW120" s="51"/>
      <c r="AX120" s="51"/>
      <c r="AY120" s="51"/>
      <c r="AZ120" s="11">
        <f>SUM(AZ12,AZ66)</f>
        <v>63.58620689655173</v>
      </c>
      <c r="BA120" s="51"/>
      <c r="BB120" s="51"/>
      <c r="BC120" s="51"/>
      <c r="BD120" s="51"/>
      <c r="BE120" s="11">
        <f>SUM(BE12,BE66)</f>
        <v>62.137931034482762</v>
      </c>
      <c r="BF120" s="51"/>
      <c r="BG120" s="51"/>
      <c r="BH120" s="51"/>
      <c r="BI120" s="51"/>
      <c r="BJ120" s="11">
        <f>SUM(BJ12,BJ66)</f>
        <v>49.137931034482762</v>
      </c>
      <c r="BK120" s="51"/>
      <c r="BL120" s="51"/>
      <c r="BM120" s="51"/>
      <c r="BN120" s="51"/>
      <c r="BO120" s="11">
        <f>'Production - Oil'!BO120+'Production - Gas'!BO120/5.8</f>
        <v>42.137931034482762</v>
      </c>
      <c r="BP120" s="51"/>
      <c r="BQ120" s="51"/>
      <c r="BR120" s="51"/>
      <c r="BS120" s="51"/>
      <c r="BT120" s="96"/>
      <c r="BU120" s="51"/>
      <c r="BV120" s="51"/>
      <c r="BW120" s="51"/>
      <c r="BX120" s="51"/>
      <c r="BY120" s="96"/>
      <c r="BZ120" s="51"/>
      <c r="CA120" s="51"/>
      <c r="CB120" s="51"/>
      <c r="CC120" s="51"/>
      <c r="CD120" s="96"/>
    </row>
    <row r="121" spans="1:82">
      <c r="A121" s="11"/>
      <c r="B121" s="11" t="s">
        <v>139</v>
      </c>
      <c r="C121" s="11">
        <f t="shared" si="18"/>
        <v>18.068965517241381</v>
      </c>
      <c r="D121" s="11">
        <f t="shared" si="18"/>
        <v>16</v>
      </c>
      <c r="E121" s="11">
        <f t="shared" si="18"/>
        <v>12.551724137931036</v>
      </c>
      <c r="F121" s="11">
        <f t="shared" si="18"/>
        <v>14.793103448275863</v>
      </c>
      <c r="G121" s="11">
        <f t="shared" si="18"/>
        <v>11.689655172413794</v>
      </c>
      <c r="H121" s="51"/>
      <c r="I121" s="51"/>
      <c r="J121" s="51"/>
      <c r="K121" s="51"/>
      <c r="L121" s="11">
        <f>SUM(L13,L67)</f>
        <v>10.655172413793103</v>
      </c>
      <c r="M121" s="51"/>
      <c r="N121" s="51"/>
      <c r="O121" s="51"/>
      <c r="P121" s="51"/>
      <c r="Q121" s="11">
        <f>SUM(Q13,Q67)</f>
        <v>0.51724137931034486</v>
      </c>
      <c r="R121" s="51"/>
      <c r="S121" s="51"/>
      <c r="T121" s="51"/>
      <c r="U121" s="51"/>
      <c r="V121" s="11">
        <f>SUM(V13,V67)</f>
        <v>0</v>
      </c>
      <c r="W121" s="51"/>
      <c r="X121" s="51"/>
      <c r="Y121" s="51"/>
      <c r="Z121" s="51"/>
      <c r="AA121" s="11">
        <f>SUM(AA13,AA67)</f>
        <v>0</v>
      </c>
      <c r="AB121" s="51"/>
      <c r="AC121" s="51"/>
      <c r="AD121" s="51"/>
      <c r="AE121" s="51"/>
      <c r="AF121" s="11">
        <f>SUM(AF13,AF67)</f>
        <v>0</v>
      </c>
      <c r="AG121" s="51"/>
      <c r="AH121" s="51"/>
      <c r="AI121" s="51"/>
      <c r="AJ121" s="51"/>
      <c r="AK121" s="11">
        <f>SUM(AK13,AK67)</f>
        <v>0</v>
      </c>
      <c r="AL121" s="51"/>
      <c r="AM121" s="51"/>
      <c r="AN121" s="51"/>
      <c r="AO121" s="51"/>
      <c r="AP121" s="11">
        <f>SUM(AP13,AP67)</f>
        <v>0</v>
      </c>
      <c r="AQ121" s="51"/>
      <c r="AR121" s="51"/>
      <c r="AS121" s="51"/>
      <c r="AT121" s="51"/>
      <c r="AU121" s="11">
        <f>SUM(AU13,AU67)</f>
        <v>0</v>
      </c>
      <c r="AV121" s="51"/>
      <c r="AW121" s="51"/>
      <c r="AX121" s="51"/>
      <c r="AY121" s="51"/>
      <c r="AZ121" s="11">
        <f>SUM(AZ13,AZ67)</f>
        <v>0</v>
      </c>
      <c r="BA121" s="51"/>
      <c r="BB121" s="51"/>
      <c r="BC121" s="51"/>
      <c r="BD121" s="51"/>
      <c r="BE121" s="11">
        <f>SUM(BE13,BE67)</f>
        <v>0</v>
      </c>
      <c r="BF121" s="51"/>
      <c r="BG121" s="51"/>
      <c r="BH121" s="51"/>
      <c r="BI121" s="51"/>
      <c r="BJ121" s="11">
        <f>SUM(BJ13,BJ67)</f>
        <v>0</v>
      </c>
      <c r="BK121" s="51"/>
      <c r="BL121" s="51"/>
      <c r="BM121" s="51"/>
      <c r="BN121" s="51"/>
      <c r="BO121" s="11">
        <f>'Production - Oil'!BO121+'Production - Gas'!BO121/5.8</f>
        <v>0</v>
      </c>
      <c r="BP121" s="51"/>
      <c r="BQ121" s="51"/>
      <c r="BR121" s="51"/>
      <c r="BS121" s="51"/>
      <c r="BT121" s="96"/>
      <c r="BU121" s="51"/>
      <c r="BV121" s="51"/>
      <c r="BW121" s="51"/>
      <c r="BX121" s="51"/>
      <c r="BY121" s="96"/>
      <c r="BZ121" s="51"/>
      <c r="CA121" s="51"/>
      <c r="CB121" s="51"/>
      <c r="CC121" s="51"/>
      <c r="CD121" s="96"/>
    </row>
    <row r="122" spans="1:82">
      <c r="A122" s="39" t="s">
        <v>309</v>
      </c>
      <c r="B122" s="39"/>
      <c r="C122" s="39">
        <f>SUM(C119:C121)</f>
        <v>905.68965517241395</v>
      </c>
      <c r="D122" s="39">
        <f>SUM(D119:D121)</f>
        <v>857.58620689655174</v>
      </c>
      <c r="E122" s="39">
        <f>SUM(E119:E121)</f>
        <v>730.82758620689663</v>
      </c>
      <c r="F122" s="39">
        <f>SUM(F119:F121)</f>
        <v>630.9655172413793</v>
      </c>
      <c r="G122" s="39">
        <f>SUM(G119:G121)</f>
        <v>558.55172413793105</v>
      </c>
      <c r="H122" s="52"/>
      <c r="I122" s="52"/>
      <c r="J122" s="52"/>
      <c r="K122" s="52"/>
      <c r="L122" s="39">
        <f>SUM(L119:L121)</f>
        <v>491.06896551724134</v>
      </c>
      <c r="M122" s="80">
        <v>459</v>
      </c>
      <c r="N122" s="80">
        <v>391</v>
      </c>
      <c r="O122" s="80">
        <v>308</v>
      </c>
      <c r="P122" s="80">
        <v>401</v>
      </c>
      <c r="Q122" s="39">
        <v>389</v>
      </c>
      <c r="R122" s="80">
        <v>406</v>
      </c>
      <c r="S122" s="80">
        <v>354</v>
      </c>
      <c r="T122" s="80">
        <v>280</v>
      </c>
      <c r="U122" s="80">
        <v>365</v>
      </c>
      <c r="V122" s="39">
        <v>351</v>
      </c>
      <c r="W122" s="80">
        <v>357</v>
      </c>
      <c r="X122" s="80">
        <v>312</v>
      </c>
      <c r="Y122" s="80">
        <v>280</v>
      </c>
      <c r="Z122" s="80">
        <v>320</v>
      </c>
      <c r="AA122" s="39">
        <v>317</v>
      </c>
      <c r="AB122" s="80">
        <v>318</v>
      </c>
      <c r="AC122" s="80">
        <v>279</v>
      </c>
      <c r="AD122" s="80">
        <v>226</v>
      </c>
      <c r="AE122" s="80">
        <v>222</v>
      </c>
      <c r="AF122" s="39">
        <v>261</v>
      </c>
      <c r="AG122" s="80">
        <v>230</v>
      </c>
      <c r="AH122" s="80">
        <f>SUM(AH14,AH68)</f>
        <v>0</v>
      </c>
      <c r="AI122" s="80">
        <f>SUM(AI14,AI68)</f>
        <v>0</v>
      </c>
      <c r="AJ122" s="80">
        <f>SUM(AJ14,AJ68)</f>
        <v>0</v>
      </c>
      <c r="AK122" s="97">
        <f>SUM(AK14,AK68)</f>
        <v>208.44827586206895</v>
      </c>
      <c r="AL122" s="80">
        <f t="shared" ref="AL122:CD122" si="19">SUM(AL14,AL68)</f>
        <v>0</v>
      </c>
      <c r="AM122" s="80">
        <f t="shared" si="19"/>
        <v>0</v>
      </c>
      <c r="AN122" s="80">
        <f t="shared" si="19"/>
        <v>0</v>
      </c>
      <c r="AO122" s="80">
        <f t="shared" si="19"/>
        <v>0</v>
      </c>
      <c r="AP122" s="97">
        <f>SUM(AP14,AP68)</f>
        <v>181.75862068965517</v>
      </c>
      <c r="AQ122" s="51"/>
      <c r="AR122" s="51"/>
      <c r="AS122" s="51"/>
      <c r="AT122" s="51"/>
      <c r="AU122" s="97">
        <f>SUM(AU14,AU68)</f>
        <v>135.86206896551724</v>
      </c>
      <c r="AV122" s="51"/>
      <c r="AW122" s="51"/>
      <c r="AX122" s="51"/>
      <c r="AY122" s="51"/>
      <c r="AZ122" s="97">
        <f>SUM(AZ14,AZ68)</f>
        <v>123.82758620689656</v>
      </c>
      <c r="BA122" s="51"/>
      <c r="BB122" s="51"/>
      <c r="BC122" s="51"/>
      <c r="BD122" s="51"/>
      <c r="BE122" s="97">
        <f>SUM(BE14,BE68)</f>
        <v>167.86206896551724</v>
      </c>
      <c r="BF122" s="51"/>
      <c r="BG122" s="51"/>
      <c r="BH122" s="51"/>
      <c r="BI122" s="51"/>
      <c r="BJ122" s="97">
        <f>SUM(BJ14,BJ68)</f>
        <v>165.51724137931032</v>
      </c>
      <c r="BK122" s="51"/>
      <c r="BL122" s="51"/>
      <c r="BM122" s="51"/>
      <c r="BN122" s="51"/>
      <c r="BO122" s="97">
        <f>SUM(BO14,BO68)</f>
        <v>159.51724137931035</v>
      </c>
      <c r="BP122" s="80">
        <f t="shared" si="19"/>
        <v>186.21864900583375</v>
      </c>
      <c r="BQ122" s="80">
        <f t="shared" si="19"/>
        <v>175.21887260399205</v>
      </c>
      <c r="BR122" s="80">
        <f t="shared" si="19"/>
        <v>163.14191953400012</v>
      </c>
      <c r="BS122" s="80">
        <f t="shared" si="19"/>
        <v>172.52207609755348</v>
      </c>
      <c r="BT122" s="97">
        <f t="shared" si="19"/>
        <v>174.27537931034485</v>
      </c>
      <c r="BU122" s="80">
        <f t="shared" si="19"/>
        <v>195.04897009456275</v>
      </c>
      <c r="BV122" s="80">
        <f t="shared" si="19"/>
        <v>187.46563694712637</v>
      </c>
      <c r="BW122" s="80">
        <f t="shared" si="19"/>
        <v>173.77485357949826</v>
      </c>
      <c r="BX122" s="80">
        <f t="shared" si="19"/>
        <v>184.40847041329539</v>
      </c>
      <c r="BY122" s="97">
        <f t="shared" si="19"/>
        <v>185.17448275862068</v>
      </c>
      <c r="BZ122" s="80">
        <f t="shared" si="19"/>
        <v>224.71056048755705</v>
      </c>
      <c r="CA122" s="80">
        <f t="shared" si="19"/>
        <v>214.43812925347467</v>
      </c>
      <c r="CB122" s="80">
        <f t="shared" si="19"/>
        <v>195.89250717010066</v>
      </c>
      <c r="CC122" s="80">
        <f t="shared" si="19"/>
        <v>210.29687205438492</v>
      </c>
      <c r="CD122" s="97">
        <f t="shared" si="19"/>
        <v>211.33451724137933</v>
      </c>
    </row>
    <row r="123" spans="1:82">
      <c r="A123" s="11"/>
      <c r="B123" s="11"/>
      <c r="C123" s="11"/>
      <c r="D123" s="11"/>
      <c r="E123" s="11"/>
      <c r="F123" s="11"/>
      <c r="G123" s="11"/>
      <c r="H123" s="80"/>
      <c r="I123" s="80"/>
      <c r="J123" s="80"/>
      <c r="K123" s="80"/>
      <c r="L123" s="11"/>
      <c r="M123" s="68"/>
      <c r="N123" s="68"/>
      <c r="O123" s="68"/>
      <c r="P123" s="68"/>
      <c r="Q123" s="11"/>
      <c r="R123" s="68"/>
      <c r="S123" s="68"/>
      <c r="T123" s="68"/>
      <c r="U123" s="68"/>
      <c r="V123" s="11"/>
      <c r="W123" s="68"/>
      <c r="X123" s="68"/>
      <c r="Y123" s="68"/>
      <c r="Z123" s="68"/>
      <c r="AA123" s="11"/>
      <c r="AB123" s="68"/>
      <c r="AC123" s="68"/>
      <c r="AD123" s="68"/>
      <c r="AE123" s="68"/>
      <c r="AF123" s="11"/>
      <c r="AG123" s="68"/>
      <c r="AH123" s="68"/>
      <c r="AI123" s="68"/>
      <c r="AJ123" s="68"/>
      <c r="AK123" s="98"/>
      <c r="AL123" s="48"/>
      <c r="AM123" s="48"/>
      <c r="AN123" s="48"/>
      <c r="AO123" s="48"/>
      <c r="AP123" s="98"/>
      <c r="AQ123" s="48"/>
      <c r="AR123" s="48"/>
      <c r="AS123" s="48"/>
      <c r="AT123" s="48"/>
      <c r="AU123" s="98"/>
      <c r="AV123" s="48"/>
      <c r="AW123" s="48"/>
      <c r="AX123" s="48"/>
      <c r="AY123" s="48"/>
      <c r="AZ123" s="98"/>
      <c r="BA123" s="48"/>
      <c r="BB123" s="48"/>
      <c r="BC123" s="48"/>
      <c r="BD123" s="48"/>
      <c r="BE123" s="98"/>
      <c r="BF123" s="48"/>
      <c r="BG123" s="48"/>
      <c r="BH123" s="48"/>
      <c r="BI123" s="48"/>
      <c r="BJ123" s="98"/>
      <c r="BK123" s="48"/>
      <c r="BL123" s="48"/>
      <c r="BM123" s="48"/>
      <c r="BN123" s="48"/>
      <c r="BO123" s="48"/>
      <c r="BP123" s="48"/>
      <c r="BQ123" s="48"/>
      <c r="BR123" s="48"/>
      <c r="BS123" s="48"/>
      <c r="BT123" s="48"/>
      <c r="BU123" s="48"/>
      <c r="BV123" s="48"/>
      <c r="BW123" s="48"/>
      <c r="BX123" s="48"/>
      <c r="BY123" s="48"/>
      <c r="BZ123" s="48"/>
      <c r="CA123" s="48"/>
      <c r="CB123" s="48"/>
      <c r="CC123" s="48"/>
      <c r="CD123" s="48"/>
    </row>
    <row r="124" spans="1:82">
      <c r="A124" s="39" t="s">
        <v>310</v>
      </c>
      <c r="B124" s="11"/>
      <c r="C124" s="11"/>
      <c r="D124" s="11"/>
      <c r="E124" s="11"/>
      <c r="F124" s="11"/>
      <c r="G124" s="11"/>
      <c r="H124" s="80"/>
      <c r="I124" s="80"/>
      <c r="J124" s="80"/>
      <c r="K124" s="80"/>
      <c r="L124" s="11"/>
      <c r="M124" s="68"/>
      <c r="N124" s="68"/>
      <c r="O124" s="68"/>
      <c r="P124" s="68"/>
      <c r="Q124" s="11"/>
      <c r="R124" s="68"/>
      <c r="S124" s="68"/>
      <c r="T124" s="68"/>
      <c r="U124" s="68"/>
      <c r="V124" s="11"/>
      <c r="W124" s="68"/>
      <c r="X124" s="68"/>
      <c r="Y124" s="68"/>
      <c r="Z124" s="68"/>
      <c r="AA124" s="11"/>
      <c r="AB124" s="68"/>
      <c r="AC124" s="68"/>
      <c r="AD124" s="68"/>
      <c r="AE124" s="68"/>
      <c r="AF124" s="11"/>
      <c r="AG124" s="68"/>
      <c r="AH124" s="68"/>
      <c r="AI124" s="117"/>
      <c r="AJ124" s="68"/>
      <c r="AK124" s="98"/>
      <c r="AL124" s="68"/>
      <c r="AM124" s="68"/>
      <c r="AN124" s="68"/>
      <c r="AO124" s="68"/>
      <c r="AP124" s="98"/>
      <c r="AQ124" s="48"/>
      <c r="AR124" s="48"/>
      <c r="AS124" s="48"/>
      <c r="AT124" s="48"/>
      <c r="AU124" s="98"/>
      <c r="AV124" s="48"/>
      <c r="AW124" s="48"/>
      <c r="AX124" s="48"/>
      <c r="AY124" s="48"/>
      <c r="AZ124" s="98"/>
      <c r="BA124" s="48"/>
      <c r="BB124" s="48"/>
      <c r="BC124" s="48"/>
      <c r="BD124" s="48"/>
      <c r="BE124" s="98"/>
      <c r="BF124" s="48"/>
      <c r="BG124" s="48"/>
      <c r="BH124" s="48"/>
      <c r="BI124" s="48"/>
      <c r="BJ124" s="98"/>
      <c r="BK124" s="48"/>
      <c r="BL124" s="48"/>
      <c r="BM124" s="48"/>
      <c r="BN124" s="48"/>
      <c r="BO124" s="48"/>
      <c r="BP124" s="48"/>
      <c r="BQ124" s="48"/>
      <c r="BR124" s="48"/>
      <c r="BS124" s="48"/>
      <c r="BT124" s="48"/>
      <c r="BU124" s="48"/>
      <c r="BV124" s="48"/>
      <c r="BW124" s="48"/>
      <c r="BX124" s="48"/>
      <c r="BY124" s="48"/>
      <c r="BZ124" s="48"/>
      <c r="CA124" s="48"/>
      <c r="CB124" s="48"/>
      <c r="CC124" s="48"/>
      <c r="CD124" s="48"/>
    </row>
    <row r="125" spans="1:82">
      <c r="A125" s="11"/>
      <c r="B125" s="11" t="s">
        <v>728</v>
      </c>
      <c r="C125" s="11">
        <f t="shared" ref="C125:G126" si="20">SUM(C17,C71)</f>
        <v>1356.7586206896553</v>
      </c>
      <c r="D125" s="11">
        <f t="shared" si="20"/>
        <v>1365.5172413793102</v>
      </c>
      <c r="E125" s="11">
        <f t="shared" si="20"/>
        <v>1265.3103448275863</v>
      </c>
      <c r="F125" s="11">
        <f t="shared" si="20"/>
        <v>1139.9655172413793</v>
      </c>
      <c r="G125" s="11">
        <f t="shared" si="20"/>
        <v>1050.9655172413793</v>
      </c>
      <c r="H125" s="51"/>
      <c r="I125" s="51"/>
      <c r="J125" s="51"/>
      <c r="K125" s="51"/>
      <c r="L125" s="11">
        <f>SUM(L17,L71)</f>
        <v>956.65517241379314</v>
      </c>
      <c r="M125" s="68">
        <v>899</v>
      </c>
      <c r="N125" s="68">
        <v>905</v>
      </c>
      <c r="O125" s="68">
        <v>851</v>
      </c>
      <c r="P125" s="68">
        <v>900</v>
      </c>
      <c r="Q125" s="11">
        <v>888</v>
      </c>
      <c r="R125" s="68">
        <v>925</v>
      </c>
      <c r="S125" s="68">
        <v>903</v>
      </c>
      <c r="T125" s="68">
        <v>834</v>
      </c>
      <c r="U125" s="68">
        <v>976</v>
      </c>
      <c r="V125" s="11">
        <v>910</v>
      </c>
      <c r="W125" s="68">
        <v>1046</v>
      </c>
      <c r="X125" s="68">
        <v>1064</v>
      </c>
      <c r="Y125" s="68">
        <v>1061</v>
      </c>
      <c r="Z125" s="68">
        <v>1086</v>
      </c>
      <c r="AA125" s="11">
        <v>1064</v>
      </c>
      <c r="AB125" s="68">
        <v>1048</v>
      </c>
      <c r="AC125" s="68">
        <v>968</v>
      </c>
      <c r="AD125" s="68">
        <v>941</v>
      </c>
      <c r="AE125" s="68">
        <v>927</v>
      </c>
      <c r="AF125" s="11">
        <v>970</v>
      </c>
      <c r="AG125" s="68">
        <v>851</v>
      </c>
      <c r="AH125" s="68">
        <f t="shared" ref="AH125:AO125" si="21">SUM(AH17,AH71)</f>
        <v>0</v>
      </c>
      <c r="AI125" s="68">
        <f t="shared" si="21"/>
        <v>0</v>
      </c>
      <c r="AJ125" s="68">
        <f t="shared" si="21"/>
        <v>0</v>
      </c>
      <c r="AK125" s="98">
        <f t="shared" si="21"/>
        <v>770.75862068965512</v>
      </c>
      <c r="AL125" s="68">
        <f t="shared" si="21"/>
        <v>0</v>
      </c>
      <c r="AM125" s="68">
        <f t="shared" si="21"/>
        <v>0</v>
      </c>
      <c r="AN125" s="68">
        <f t="shared" si="21"/>
        <v>0</v>
      </c>
      <c r="AO125" s="68">
        <f t="shared" si="21"/>
        <v>0</v>
      </c>
      <c r="AP125" s="98">
        <f>SUM(AP17,AP71)</f>
        <v>674.65517241379314</v>
      </c>
      <c r="AQ125" s="51"/>
      <c r="AR125" s="51"/>
      <c r="AS125" s="51"/>
      <c r="AT125" s="51"/>
      <c r="AU125" s="98">
        <f>SUM(AU17,AU71)</f>
        <v>628.34482758620697</v>
      </c>
      <c r="AV125" s="51"/>
      <c r="AW125" s="51"/>
      <c r="AX125" s="51"/>
      <c r="AY125" s="51"/>
      <c r="AZ125" s="98">
        <f>SUM(AZ17,AZ71)</f>
        <v>671.89655172413791</v>
      </c>
      <c r="BA125" s="51"/>
      <c r="BB125" s="51"/>
      <c r="BC125" s="51"/>
      <c r="BD125" s="51"/>
      <c r="BE125" s="98">
        <f>SUM(BE17,BE71)</f>
        <v>642.44827586206895</v>
      </c>
      <c r="BF125" s="51"/>
      <c r="BG125" s="51"/>
      <c r="BH125" s="51"/>
      <c r="BI125" s="51"/>
      <c r="BJ125" s="98">
        <f>SUM(BJ17,BJ71)</f>
        <v>676.51724137931035</v>
      </c>
      <c r="BK125" s="51"/>
      <c r="BL125" s="51"/>
      <c r="BM125" s="51"/>
      <c r="BN125" s="51"/>
      <c r="BO125" s="11">
        <f>'Production - Oil'!BO125+'Production - Gas'!BO125/5.8</f>
        <v>712.0344827586207</v>
      </c>
      <c r="BP125" s="68">
        <f t="shared" ref="BP125:CD125" si="22">SUM(BP17,BP71)</f>
        <v>735.09344393279343</v>
      </c>
      <c r="BQ125" s="68">
        <f t="shared" si="22"/>
        <v>732.34210968472485</v>
      </c>
      <c r="BR125" s="68">
        <f t="shared" si="22"/>
        <v>727.62390477600638</v>
      </c>
      <c r="BS125" s="68">
        <f t="shared" si="22"/>
        <v>728.3709250547513</v>
      </c>
      <c r="BT125" s="22">
        <f t="shared" si="22"/>
        <v>730.85759586206905</v>
      </c>
      <c r="BU125" s="22">
        <f t="shared" si="22"/>
        <v>760.00737272639776</v>
      </c>
      <c r="BV125" s="22">
        <f t="shared" si="22"/>
        <v>757.00377194175053</v>
      </c>
      <c r="BW125" s="22">
        <f t="shared" si="22"/>
        <v>751.85296048512669</v>
      </c>
      <c r="BX125" s="22">
        <f t="shared" si="22"/>
        <v>752.66847415707002</v>
      </c>
      <c r="BY125" s="22">
        <f t="shared" si="22"/>
        <v>755.38314482758619</v>
      </c>
      <c r="BZ125" s="22">
        <f t="shared" si="22"/>
        <v>747.72775087070431</v>
      </c>
      <c r="CA125" s="22">
        <f t="shared" si="22"/>
        <v>744.63645815783184</v>
      </c>
      <c r="CB125" s="22">
        <f t="shared" si="22"/>
        <v>739.33526566826072</v>
      </c>
      <c r="CC125" s="22">
        <f t="shared" si="22"/>
        <v>740.17458875147884</v>
      </c>
      <c r="CD125" s="22">
        <f t="shared" si="22"/>
        <v>742.9685158620689</v>
      </c>
    </row>
    <row r="126" spans="1:82">
      <c r="A126" s="11"/>
      <c r="B126" s="11" t="s">
        <v>727</v>
      </c>
      <c r="C126" s="11">
        <f t="shared" si="20"/>
        <v>118.68965517241379</v>
      </c>
      <c r="D126" s="11">
        <f t="shared" si="20"/>
        <v>104.62068965517241</v>
      </c>
      <c r="E126" s="11">
        <f t="shared" si="20"/>
        <v>85.758620689655174</v>
      </c>
      <c r="F126" s="11">
        <f t="shared" si="20"/>
        <v>71.172413793103459</v>
      </c>
      <c r="G126" s="11">
        <f t="shared" si="20"/>
        <v>62.931034482758619</v>
      </c>
      <c r="H126" s="51"/>
      <c r="I126" s="51"/>
      <c r="J126" s="51"/>
      <c r="K126" s="51"/>
      <c r="L126" s="11">
        <f>SUM(L18,L72)</f>
        <v>56.620689655172413</v>
      </c>
      <c r="M126" s="51"/>
      <c r="N126" s="51"/>
      <c r="O126" s="51"/>
      <c r="P126" s="51"/>
      <c r="Q126" s="11">
        <f>SUM(Q18,Q72)</f>
        <v>51.96551724137931</v>
      </c>
      <c r="R126" s="51"/>
      <c r="S126" s="51"/>
      <c r="T126" s="51"/>
      <c r="U126" s="51"/>
      <c r="V126" s="11">
        <f>SUM(V18,V72)</f>
        <v>51.241379310344826</v>
      </c>
      <c r="W126" s="51"/>
      <c r="X126" s="51"/>
      <c r="Y126" s="51"/>
      <c r="Z126" s="51"/>
      <c r="AA126" s="11">
        <f>SUM(AA18,AA72)</f>
        <v>53.344827586206897</v>
      </c>
      <c r="AB126" s="51"/>
      <c r="AC126" s="51"/>
      <c r="AD126" s="51"/>
      <c r="AE126" s="51"/>
      <c r="AF126" s="11">
        <f>SUM(AF18,AF72)</f>
        <v>41.827586206896555</v>
      </c>
      <c r="AG126" s="68">
        <f>AG18+AG72</f>
        <v>0</v>
      </c>
      <c r="AH126" s="68">
        <f t="shared" ref="AH126:AO126" si="23">SUM(AH18,AH72)</f>
        <v>0</v>
      </c>
      <c r="AI126" s="68">
        <f t="shared" si="23"/>
        <v>0</v>
      </c>
      <c r="AJ126" s="68">
        <f t="shared" si="23"/>
        <v>0</v>
      </c>
      <c r="AK126" s="98">
        <f t="shared" si="23"/>
        <v>4.4137931034482758</v>
      </c>
      <c r="AL126" s="68">
        <f t="shared" si="23"/>
        <v>0</v>
      </c>
      <c r="AM126" s="68">
        <f t="shared" si="23"/>
        <v>0</v>
      </c>
      <c r="AN126" s="68">
        <f t="shared" si="23"/>
        <v>0</v>
      </c>
      <c r="AO126" s="68">
        <f t="shared" si="23"/>
        <v>0</v>
      </c>
      <c r="AP126" s="98">
        <f>SUM(AP18,AP72)</f>
        <v>3.2413793103448278</v>
      </c>
      <c r="AQ126" s="51"/>
      <c r="AR126" s="51"/>
      <c r="AS126" s="51"/>
      <c r="AT126" s="51"/>
      <c r="AU126" s="98">
        <f>SUM(AU18,AU72)</f>
        <v>1.896551724137931</v>
      </c>
      <c r="AV126" s="51"/>
      <c r="AW126" s="51"/>
      <c r="AX126" s="51"/>
      <c r="AY126" s="51"/>
      <c r="AZ126" s="98">
        <f>SUM(AZ18,AZ72)</f>
        <v>1.7241379310344829</v>
      </c>
      <c r="BA126" s="51"/>
      <c r="BB126" s="51"/>
      <c r="BC126" s="51"/>
      <c r="BD126" s="51"/>
      <c r="BE126" s="98">
        <f>SUM(BE18,BE72)</f>
        <v>4.7241379310344831</v>
      </c>
      <c r="BF126" s="51"/>
      <c r="BG126" s="51"/>
      <c r="BH126" s="51"/>
      <c r="BI126" s="51"/>
      <c r="BJ126" s="98">
        <f>SUM(BJ18,BJ72)</f>
        <v>14.724137931034482</v>
      </c>
      <c r="BK126" s="51"/>
      <c r="BL126" s="51"/>
      <c r="BM126" s="51"/>
      <c r="BN126" s="51"/>
      <c r="BO126" s="11">
        <f>'Production - Oil'!BO126+'Production - Gas'!BO126/5.8</f>
        <v>21.551724137931036</v>
      </c>
      <c r="BP126" s="68">
        <f t="shared" ref="BP126:CD126" si="24">SUM(BP18,BP72)</f>
        <v>30.661157210986993</v>
      </c>
      <c r="BQ126" s="68">
        <f t="shared" si="24"/>
        <v>30.626281664389989</v>
      </c>
      <c r="BR126" s="68">
        <f t="shared" si="24"/>
        <v>30.635369816171981</v>
      </c>
      <c r="BS126" s="68">
        <f t="shared" si="24"/>
        <v>30.650984411899312</v>
      </c>
      <c r="BT126" s="98">
        <f t="shared" si="24"/>
        <v>30.64344827586207</v>
      </c>
      <c r="BU126" s="68">
        <f t="shared" si="24"/>
        <v>28.198051026531658</v>
      </c>
      <c r="BV126" s="68">
        <f t="shared" si="24"/>
        <v>28.165897248782834</v>
      </c>
      <c r="BW126" s="68">
        <f t="shared" si="24"/>
        <v>28.174276140042156</v>
      </c>
      <c r="BX126" s="68">
        <f t="shared" si="24"/>
        <v>28.188672136367487</v>
      </c>
      <c r="BY126" s="98">
        <f t="shared" si="24"/>
        <v>28.181724137931035</v>
      </c>
      <c r="BZ126" s="68">
        <f t="shared" si="24"/>
        <v>30.690672904111885</v>
      </c>
      <c r="CA126" s="68">
        <f t="shared" si="24"/>
        <v>30.660825710132702</v>
      </c>
      <c r="CB126" s="68">
        <f t="shared" si="24"/>
        <v>30.668603533152474</v>
      </c>
      <c r="CC126" s="68">
        <f t="shared" si="24"/>
        <v>30.681966818120177</v>
      </c>
      <c r="CD126" s="98">
        <f t="shared" si="24"/>
        <v>30.67551724137931</v>
      </c>
    </row>
    <row r="127" spans="1:82">
      <c r="A127" s="39" t="s">
        <v>1993</v>
      </c>
      <c r="B127" s="39"/>
      <c r="C127" s="39">
        <f>SUM(C125:C126)</f>
        <v>1475.4482758620691</v>
      </c>
      <c r="D127" s="39">
        <f>SUM(D125:D126)</f>
        <v>1470.1379310344826</v>
      </c>
      <c r="E127" s="39">
        <f>SUM(E125:E126)</f>
        <v>1351.0689655172414</v>
      </c>
      <c r="F127" s="39">
        <f>SUM(F125:F126)</f>
        <v>1211.1379310344828</v>
      </c>
      <c r="G127" s="39">
        <f>SUM(G125:G126)</f>
        <v>1113.8965517241379</v>
      </c>
      <c r="H127" s="52"/>
      <c r="I127" s="52"/>
      <c r="J127" s="52"/>
      <c r="K127" s="52"/>
      <c r="L127" s="39">
        <f>SUM(L125:L126)</f>
        <v>1013.2758620689656</v>
      </c>
      <c r="M127" s="52"/>
      <c r="N127" s="52"/>
      <c r="O127" s="52"/>
      <c r="P127" s="52"/>
      <c r="Q127" s="39">
        <f>SUM(Q125:Q126)</f>
        <v>939.9655172413793</v>
      </c>
      <c r="R127" s="52"/>
      <c r="S127" s="52"/>
      <c r="T127" s="52"/>
      <c r="U127" s="52"/>
      <c r="V127" s="39">
        <f>SUM(V125:V126)</f>
        <v>961.24137931034488</v>
      </c>
      <c r="W127" s="52"/>
      <c r="X127" s="52"/>
      <c r="Y127" s="52"/>
      <c r="Z127" s="52"/>
      <c r="AA127" s="39">
        <f>SUM(AA125:AA126)</f>
        <v>1117.344827586207</v>
      </c>
      <c r="AB127" s="52"/>
      <c r="AC127" s="52"/>
      <c r="AD127" s="52"/>
      <c r="AE127" s="52"/>
      <c r="AF127" s="39">
        <f>SUM(AF125:AF126)</f>
        <v>1011.8275862068965</v>
      </c>
      <c r="AG127" s="79">
        <f>SUM(AG19,AG73)</f>
        <v>0</v>
      </c>
      <c r="AH127" s="79">
        <f t="shared" ref="AH127:AO127" si="25">SUM(AH19,AH73)</f>
        <v>0</v>
      </c>
      <c r="AI127" s="79">
        <f t="shared" si="25"/>
        <v>0</v>
      </c>
      <c r="AJ127" s="79">
        <f t="shared" si="25"/>
        <v>0</v>
      </c>
      <c r="AK127" s="97">
        <f t="shared" si="25"/>
        <v>775.17241379310349</v>
      </c>
      <c r="AL127" s="79">
        <f t="shared" si="25"/>
        <v>0</v>
      </c>
      <c r="AM127" s="79">
        <f t="shared" si="25"/>
        <v>0</v>
      </c>
      <c r="AN127" s="79">
        <f t="shared" si="25"/>
        <v>0</v>
      </c>
      <c r="AO127" s="79">
        <f t="shared" si="25"/>
        <v>0</v>
      </c>
      <c r="AP127" s="97">
        <f>SUM(AP19,AP73)</f>
        <v>677.89655172413791</v>
      </c>
      <c r="AQ127" s="51"/>
      <c r="AR127" s="51"/>
      <c r="AS127" s="51"/>
      <c r="AT127" s="51"/>
      <c r="AU127" s="97">
        <f>SUM(AU19,AU73)</f>
        <v>630.41379310344826</v>
      </c>
      <c r="AV127" s="51"/>
      <c r="AW127" s="51"/>
      <c r="AX127" s="51"/>
      <c r="AY127" s="51"/>
      <c r="AZ127" s="97">
        <f>SUM(AZ19,AZ73)</f>
        <v>673.62068965517244</v>
      </c>
      <c r="BA127" s="51"/>
      <c r="BB127" s="51"/>
      <c r="BC127" s="51"/>
      <c r="BD127" s="51"/>
      <c r="BE127" s="97">
        <f>SUM(BE19,BE73)</f>
        <v>648.17241379310349</v>
      </c>
      <c r="BF127" s="51"/>
      <c r="BG127" s="51"/>
      <c r="BH127" s="51"/>
      <c r="BI127" s="51"/>
      <c r="BJ127" s="97">
        <f>SUM(BJ19,BJ73)</f>
        <v>690.24137931034488</v>
      </c>
      <c r="BK127" s="51"/>
      <c r="BL127" s="51"/>
      <c r="BM127" s="51"/>
      <c r="BN127" s="51"/>
      <c r="BO127" s="97">
        <f t="shared" ref="BO127:CD127" si="26">SUM(BO19,BO73)</f>
        <v>733.41379310344826</v>
      </c>
      <c r="BP127" s="79">
        <f t="shared" si="26"/>
        <v>765.75460114378041</v>
      </c>
      <c r="BQ127" s="79">
        <f t="shared" si="26"/>
        <v>762.96839134911488</v>
      </c>
      <c r="BR127" s="79">
        <f t="shared" si="26"/>
        <v>758.25927459217837</v>
      </c>
      <c r="BS127" s="79">
        <f t="shared" si="26"/>
        <v>759.02190946665053</v>
      </c>
      <c r="BT127" s="97">
        <f t="shared" si="26"/>
        <v>761.5010441379311</v>
      </c>
      <c r="BU127" s="79">
        <f t="shared" si="26"/>
        <v>788.20542375292939</v>
      </c>
      <c r="BV127" s="79">
        <f t="shared" si="26"/>
        <v>785.16966919053334</v>
      </c>
      <c r="BW127" s="79">
        <f t="shared" si="26"/>
        <v>780.02723662516883</v>
      </c>
      <c r="BX127" s="79">
        <f t="shared" si="26"/>
        <v>780.85714629343749</v>
      </c>
      <c r="BY127" s="97">
        <f t="shared" si="26"/>
        <v>783.56486896551723</v>
      </c>
      <c r="BZ127" s="79">
        <f t="shared" si="26"/>
        <v>778.41842377481635</v>
      </c>
      <c r="CA127" s="79">
        <f t="shared" si="26"/>
        <v>775.29728386796455</v>
      </c>
      <c r="CB127" s="79">
        <f t="shared" si="26"/>
        <v>770.00386920141318</v>
      </c>
      <c r="CC127" s="79">
        <f t="shared" si="26"/>
        <v>770.8565555695991</v>
      </c>
      <c r="CD127" s="97">
        <f t="shared" si="26"/>
        <v>773.64403310344824</v>
      </c>
    </row>
    <row r="128" spans="1:82">
      <c r="A128" s="11"/>
      <c r="B128" s="11"/>
      <c r="C128" s="11"/>
      <c r="D128" s="11"/>
      <c r="E128" s="11"/>
      <c r="F128" s="11"/>
      <c r="G128" s="80"/>
      <c r="H128" s="80"/>
      <c r="I128" s="80"/>
      <c r="J128" s="80"/>
      <c r="K128" s="80"/>
      <c r="L128" s="11"/>
      <c r="M128" s="68"/>
      <c r="N128" s="68"/>
      <c r="O128" s="68"/>
      <c r="P128" s="68"/>
      <c r="Q128" s="11"/>
      <c r="R128" s="68"/>
      <c r="S128" s="68"/>
      <c r="T128" s="68"/>
      <c r="U128" s="68"/>
      <c r="V128" s="11"/>
      <c r="W128" s="68"/>
      <c r="X128" s="68"/>
      <c r="Y128" s="68"/>
      <c r="Z128" s="68"/>
      <c r="AA128" s="11"/>
      <c r="AB128" s="68"/>
      <c r="AC128" s="68"/>
      <c r="AD128" s="68"/>
      <c r="AE128" s="68"/>
      <c r="AF128" s="11"/>
      <c r="AG128" s="11"/>
      <c r="AH128" s="11"/>
      <c r="AI128" s="11"/>
      <c r="AJ128" s="11"/>
      <c r="AK128" s="98"/>
      <c r="AL128" s="48"/>
      <c r="AM128" s="48"/>
      <c r="AN128" s="48"/>
      <c r="AO128" s="48"/>
      <c r="AP128" s="98"/>
      <c r="AQ128" s="48"/>
      <c r="AR128" s="48"/>
      <c r="AS128" s="48"/>
      <c r="AT128" s="48"/>
      <c r="AU128" s="98"/>
      <c r="AV128" s="48"/>
      <c r="AW128" s="48"/>
      <c r="AX128" s="48"/>
      <c r="AY128" s="48"/>
      <c r="AZ128" s="98"/>
      <c r="BA128" s="48"/>
      <c r="BB128" s="48"/>
      <c r="BC128" s="48"/>
      <c r="BD128" s="48"/>
      <c r="BE128" s="98"/>
      <c r="BF128" s="48"/>
      <c r="BG128" s="48"/>
      <c r="BH128" s="48"/>
      <c r="BI128" s="48"/>
      <c r="BJ128" s="98"/>
      <c r="BK128" s="48"/>
      <c r="BL128" s="48"/>
      <c r="BM128" s="48"/>
      <c r="BN128" s="48"/>
      <c r="BO128" s="48"/>
      <c r="BP128" s="48"/>
      <c r="BQ128" s="48"/>
      <c r="BR128" s="48"/>
      <c r="BS128" s="48"/>
      <c r="BT128" s="48"/>
      <c r="BU128" s="48"/>
      <c r="BV128" s="48"/>
      <c r="BW128" s="48"/>
      <c r="BX128" s="48"/>
      <c r="BY128" s="48"/>
      <c r="BZ128" s="48"/>
      <c r="CA128" s="48"/>
      <c r="CB128" s="48"/>
      <c r="CC128" s="48"/>
      <c r="CD128" s="48"/>
    </row>
    <row r="129" spans="1:97">
      <c r="A129" s="39" t="s">
        <v>1994</v>
      </c>
      <c r="B129" s="11"/>
      <c r="C129" s="11"/>
      <c r="D129" s="11"/>
      <c r="E129" s="11"/>
      <c r="F129" s="11"/>
      <c r="G129" s="80"/>
      <c r="H129" s="80"/>
      <c r="I129" s="80"/>
      <c r="J129" s="80"/>
      <c r="K129" s="80"/>
      <c r="L129" s="11"/>
      <c r="M129" s="68"/>
      <c r="N129" s="68"/>
      <c r="O129" s="68"/>
      <c r="P129" s="68"/>
      <c r="Q129" s="11"/>
      <c r="R129" s="68"/>
      <c r="S129" s="68"/>
      <c r="T129" s="68"/>
      <c r="U129" s="68"/>
      <c r="V129" s="11"/>
      <c r="W129" s="68"/>
      <c r="X129" s="68"/>
      <c r="Y129" s="68"/>
      <c r="Z129" s="68"/>
      <c r="AA129" s="11"/>
      <c r="AB129" s="68"/>
      <c r="AC129" s="68"/>
      <c r="AD129" s="68"/>
      <c r="AE129" s="68"/>
      <c r="AF129" s="11"/>
      <c r="AG129" s="68"/>
      <c r="AH129" s="68"/>
      <c r="AI129" s="68"/>
      <c r="AJ129" s="68"/>
      <c r="AK129" s="98"/>
      <c r="AL129" s="48"/>
      <c r="AM129" s="48"/>
      <c r="AN129" s="48"/>
      <c r="AO129" s="48"/>
      <c r="AP129" s="98"/>
      <c r="AQ129" s="48"/>
      <c r="AR129" s="48"/>
      <c r="AS129" s="48"/>
      <c r="AT129" s="48"/>
      <c r="AU129" s="98"/>
      <c r="AV129" s="48"/>
      <c r="AW129" s="48"/>
      <c r="AX129" s="48"/>
      <c r="AY129" s="48"/>
      <c r="AZ129" s="98"/>
      <c r="BA129" s="48"/>
      <c r="BB129" s="48"/>
      <c r="BC129" s="48"/>
      <c r="BD129" s="48"/>
      <c r="BE129" s="98"/>
      <c r="BF129" s="48"/>
      <c r="BG129" s="48"/>
      <c r="BH129" s="48"/>
      <c r="BI129" s="48"/>
      <c r="BJ129" s="98"/>
      <c r="BK129" s="48"/>
      <c r="BL129" s="48"/>
      <c r="BM129" s="48"/>
      <c r="BN129" s="48"/>
      <c r="BO129" s="48"/>
      <c r="BP129" s="48"/>
      <c r="BQ129" s="48"/>
      <c r="BR129" s="48"/>
      <c r="BS129" s="48"/>
      <c r="BT129" s="48"/>
      <c r="BU129" s="48"/>
      <c r="BV129" s="48"/>
      <c r="BW129" s="48"/>
      <c r="BX129" s="48"/>
      <c r="BY129" s="48"/>
      <c r="BZ129" s="48"/>
      <c r="CA129" s="48"/>
      <c r="CB129" s="48"/>
      <c r="CC129" s="48"/>
      <c r="CD129" s="48"/>
    </row>
    <row r="130" spans="1:97">
      <c r="A130" s="39"/>
      <c r="B130" s="11" t="s">
        <v>2921</v>
      </c>
      <c r="C130" s="11">
        <f t="shared" ref="C130:G135" si="27">SUM(C22,C76)</f>
        <v>90.689655172413794</v>
      </c>
      <c r="D130" s="11">
        <f t="shared" si="27"/>
        <v>96.275862068965523</v>
      </c>
      <c r="E130" s="11">
        <f t="shared" si="27"/>
        <v>108.44827586206897</v>
      </c>
      <c r="F130" s="11">
        <f t="shared" si="27"/>
        <v>118.65517241379311</v>
      </c>
      <c r="G130" s="11">
        <f t="shared" si="27"/>
        <v>126.13793103448276</v>
      </c>
      <c r="H130" s="51"/>
      <c r="I130" s="51"/>
      <c r="J130" s="51"/>
      <c r="K130" s="51"/>
      <c r="L130" s="11">
        <f t="shared" ref="L130:L135" si="28">SUM(L22,L76)</f>
        <v>132.79310344827587</v>
      </c>
      <c r="M130" s="51"/>
      <c r="N130" s="51"/>
      <c r="O130" s="51"/>
      <c r="P130" s="51"/>
      <c r="Q130" s="11">
        <f t="shared" ref="Q130:Q135" si="29">SUM(Q22,Q76)</f>
        <v>132.62068965517241</v>
      </c>
      <c r="R130" s="51"/>
      <c r="S130" s="51"/>
      <c r="T130" s="51"/>
      <c r="U130" s="51"/>
      <c r="V130" s="11">
        <f t="shared" ref="V130:V135" si="30">SUM(V22,V76)</f>
        <v>136.37931034482759</v>
      </c>
      <c r="W130" s="51"/>
      <c r="X130" s="51"/>
      <c r="Y130" s="51"/>
      <c r="Z130" s="51"/>
      <c r="AA130" s="11">
        <f t="shared" ref="AA130:AA135" si="31">SUM(AA22,AA76)</f>
        <v>140.17241379310343</v>
      </c>
      <c r="AB130" s="51"/>
      <c r="AC130" s="51"/>
      <c r="AD130" s="51"/>
      <c r="AE130" s="51"/>
      <c r="AF130" s="11">
        <f t="shared" ref="AF130:AF135" si="32">SUM(AF22,AF76)</f>
        <v>140.34482758620692</v>
      </c>
      <c r="AG130" s="51"/>
      <c r="AH130" s="51"/>
      <c r="AI130" s="51"/>
      <c r="AJ130" s="51"/>
      <c r="AK130" s="11">
        <f t="shared" ref="AK130:AK136" si="33">SUM(AK22,AK76)</f>
        <v>137.9655172413793</v>
      </c>
      <c r="AL130" s="51"/>
      <c r="AM130" s="51"/>
      <c r="AN130" s="51"/>
      <c r="AO130" s="51"/>
      <c r="AP130" s="11">
        <f t="shared" ref="AP130:AP136" si="34">SUM(AP22,AP76)</f>
        <v>126.20689655172414</v>
      </c>
      <c r="AQ130" s="51"/>
      <c r="AR130" s="51"/>
      <c r="AS130" s="51"/>
      <c r="AT130" s="51"/>
      <c r="AU130" s="11">
        <f t="shared" ref="AU130:AU136" si="35">SUM(AU22,AU76)</f>
        <v>119.72413793103448</v>
      </c>
      <c r="AV130" s="51"/>
      <c r="AW130" s="51"/>
      <c r="AX130" s="51"/>
      <c r="AY130" s="51"/>
      <c r="AZ130" s="11">
        <f t="shared" ref="AZ130:AZ136" si="36">SUM(AZ22,AZ76)</f>
        <v>120.68965517241379</v>
      </c>
      <c r="BA130" s="51"/>
      <c r="BB130" s="51"/>
      <c r="BC130" s="51"/>
      <c r="BD130" s="51"/>
      <c r="BE130" s="11">
        <f t="shared" ref="BE130:BE136" si="37">SUM(BE22,BE76)</f>
        <v>126.79310344827587</v>
      </c>
      <c r="BF130" s="51"/>
      <c r="BG130" s="51"/>
      <c r="BH130" s="51"/>
      <c r="BI130" s="51"/>
      <c r="BJ130" s="11">
        <f t="shared" ref="BJ130:BJ136" si="38">SUM(BJ22,BJ76)</f>
        <v>124.0344827586207</v>
      </c>
      <c r="BK130" s="51"/>
      <c r="BL130" s="51"/>
      <c r="BM130" s="51"/>
      <c r="BN130" s="51"/>
      <c r="BO130" s="11">
        <f t="shared" ref="BO130:BO136" si="39">SUM(BO22,BO76)</f>
        <v>116.72413793103448</v>
      </c>
      <c r="BP130" s="51"/>
      <c r="BQ130" s="51"/>
      <c r="BR130" s="51"/>
      <c r="BS130" s="51"/>
      <c r="BT130" s="99"/>
      <c r="BU130" s="51"/>
      <c r="BV130" s="51"/>
      <c r="BW130" s="51"/>
      <c r="BX130" s="51"/>
      <c r="BY130" s="99"/>
      <c r="BZ130" s="51"/>
      <c r="CA130" s="51"/>
      <c r="CB130" s="51"/>
      <c r="CC130" s="51"/>
      <c r="CD130" s="99"/>
    </row>
    <row r="131" spans="1:97">
      <c r="A131" s="39"/>
      <c r="B131" s="11" t="s">
        <v>785</v>
      </c>
      <c r="C131" s="11">
        <f t="shared" si="27"/>
        <v>0</v>
      </c>
      <c r="D131" s="11">
        <f t="shared" si="27"/>
        <v>0</v>
      </c>
      <c r="E131" s="11">
        <f t="shared" si="27"/>
        <v>0</v>
      </c>
      <c r="F131" s="11">
        <f t="shared" si="27"/>
        <v>0</v>
      </c>
      <c r="G131" s="11">
        <f t="shared" si="27"/>
        <v>2.7482758620689656</v>
      </c>
      <c r="H131" s="51"/>
      <c r="I131" s="51"/>
      <c r="J131" s="51"/>
      <c r="K131" s="51"/>
      <c r="L131" s="11">
        <f t="shared" si="28"/>
        <v>11.931034482758621</v>
      </c>
      <c r="M131" s="51"/>
      <c r="N131" s="51"/>
      <c r="O131" s="51"/>
      <c r="P131" s="51"/>
      <c r="Q131" s="11">
        <f t="shared" si="29"/>
        <v>12.344827586206897</v>
      </c>
      <c r="R131" s="51"/>
      <c r="S131" s="51"/>
      <c r="T131" s="51"/>
      <c r="U131" s="51"/>
      <c r="V131" s="11">
        <f t="shared" si="30"/>
        <v>13.862068965517242</v>
      </c>
      <c r="W131" s="51"/>
      <c r="X131" s="51"/>
      <c r="Y131" s="51"/>
      <c r="Z131" s="51"/>
      <c r="AA131" s="11">
        <f t="shared" si="31"/>
        <v>2.896551724137931</v>
      </c>
      <c r="AB131" s="51"/>
      <c r="AC131" s="51"/>
      <c r="AD131" s="51"/>
      <c r="AE131" s="51"/>
      <c r="AF131" s="11">
        <f t="shared" si="32"/>
        <v>1.896551724137931</v>
      </c>
      <c r="AG131" s="51"/>
      <c r="AH131" s="51"/>
      <c r="AI131" s="51"/>
      <c r="AJ131" s="51"/>
      <c r="AK131" s="11">
        <f t="shared" si="33"/>
        <v>2.4137931034482758</v>
      </c>
      <c r="AL131" s="51"/>
      <c r="AM131" s="51"/>
      <c r="AN131" s="51"/>
      <c r="AO131" s="51"/>
      <c r="AP131" s="11">
        <f t="shared" si="34"/>
        <v>6.862068965517242</v>
      </c>
      <c r="AQ131" s="51"/>
      <c r="AR131" s="51"/>
      <c r="AS131" s="51"/>
      <c r="AT131" s="51"/>
      <c r="AU131" s="11">
        <f t="shared" si="35"/>
        <v>11.482758620689655</v>
      </c>
      <c r="AV131" s="51"/>
      <c r="AW131" s="51"/>
      <c r="AX131" s="51"/>
      <c r="AY131" s="51"/>
      <c r="AZ131" s="11">
        <f t="shared" si="36"/>
        <v>16.793103448275865</v>
      </c>
      <c r="BA131" s="51"/>
      <c r="BB131" s="51"/>
      <c r="BC131" s="51"/>
      <c r="BD131" s="51"/>
      <c r="BE131" s="11">
        <f t="shared" si="37"/>
        <v>20.03448275862069</v>
      </c>
      <c r="BF131" s="51"/>
      <c r="BG131" s="51"/>
      <c r="BH131" s="51"/>
      <c r="BI131" s="51"/>
      <c r="BJ131" s="11">
        <f t="shared" si="38"/>
        <v>20.379310344827587</v>
      </c>
      <c r="BK131" s="51"/>
      <c r="BL131" s="51"/>
      <c r="BM131" s="51"/>
      <c r="BN131" s="51"/>
      <c r="BO131" s="11">
        <f t="shared" si="39"/>
        <v>18.344827586206897</v>
      </c>
      <c r="BP131" s="51"/>
      <c r="BQ131" s="51"/>
      <c r="BR131" s="51"/>
      <c r="BS131" s="51"/>
      <c r="BT131" s="99"/>
      <c r="BU131" s="51"/>
      <c r="BV131" s="51"/>
      <c r="BW131" s="51"/>
      <c r="BX131" s="51"/>
      <c r="BY131" s="99"/>
      <c r="BZ131" s="51"/>
      <c r="CA131" s="51"/>
      <c r="CB131" s="51"/>
      <c r="CC131" s="51"/>
      <c r="CD131" s="99"/>
    </row>
    <row r="132" spans="1:97">
      <c r="A132" s="39"/>
      <c r="B132" s="11" t="s">
        <v>2428</v>
      </c>
      <c r="C132" s="11">
        <f t="shared" si="27"/>
        <v>0</v>
      </c>
      <c r="D132" s="11">
        <f t="shared" si="27"/>
        <v>0</v>
      </c>
      <c r="E132" s="11">
        <f t="shared" si="27"/>
        <v>0</v>
      </c>
      <c r="F132" s="11">
        <f t="shared" si="27"/>
        <v>0</v>
      </c>
      <c r="G132" s="11">
        <f t="shared" si="27"/>
        <v>0</v>
      </c>
      <c r="H132" s="51"/>
      <c r="I132" s="51"/>
      <c r="J132" s="51"/>
      <c r="K132" s="51"/>
      <c r="L132" s="11">
        <f t="shared" si="28"/>
        <v>0</v>
      </c>
      <c r="M132" s="51"/>
      <c r="N132" s="51"/>
      <c r="O132" s="51"/>
      <c r="P132" s="51"/>
      <c r="Q132" s="11">
        <f t="shared" si="29"/>
        <v>0</v>
      </c>
      <c r="R132" s="51"/>
      <c r="S132" s="51"/>
      <c r="T132" s="51"/>
      <c r="U132" s="51"/>
      <c r="V132" s="11">
        <f t="shared" si="30"/>
        <v>0</v>
      </c>
      <c r="W132" s="51"/>
      <c r="X132" s="51"/>
      <c r="Y132" s="51"/>
      <c r="Z132" s="51"/>
      <c r="AA132" s="11">
        <f t="shared" si="31"/>
        <v>0</v>
      </c>
      <c r="AB132" s="51"/>
      <c r="AC132" s="51"/>
      <c r="AD132" s="51"/>
      <c r="AE132" s="51"/>
      <c r="AF132" s="11">
        <f t="shared" si="32"/>
        <v>0</v>
      </c>
      <c r="AG132" s="51"/>
      <c r="AH132" s="51"/>
      <c r="AI132" s="51"/>
      <c r="AJ132" s="51"/>
      <c r="AK132" s="11">
        <f t="shared" si="33"/>
        <v>7</v>
      </c>
      <c r="AL132" s="51"/>
      <c r="AM132" s="51"/>
      <c r="AN132" s="51"/>
      <c r="AO132" s="51"/>
      <c r="AP132" s="11">
        <f t="shared" si="34"/>
        <v>7</v>
      </c>
      <c r="AQ132" s="51"/>
      <c r="AR132" s="51"/>
      <c r="AS132" s="51"/>
      <c r="AT132" s="51"/>
      <c r="AU132" s="11">
        <f t="shared" si="35"/>
        <v>7</v>
      </c>
      <c r="AV132" s="51"/>
      <c r="AW132" s="51"/>
      <c r="AX132" s="51"/>
      <c r="AY132" s="51"/>
      <c r="AZ132" s="11">
        <f t="shared" si="36"/>
        <v>0</v>
      </c>
      <c r="BA132" s="51"/>
      <c r="BB132" s="51"/>
      <c r="BC132" s="51"/>
      <c r="BD132" s="51"/>
      <c r="BE132" s="11">
        <f t="shared" si="37"/>
        <v>0</v>
      </c>
      <c r="BF132" s="51"/>
      <c r="BG132" s="51"/>
      <c r="BH132" s="51"/>
      <c r="BI132" s="51"/>
      <c r="BJ132" s="11">
        <f t="shared" si="38"/>
        <v>0</v>
      </c>
      <c r="BK132" s="51"/>
      <c r="BL132" s="51"/>
      <c r="BM132" s="51"/>
      <c r="BN132" s="51"/>
      <c r="BO132" s="11">
        <f t="shared" si="39"/>
        <v>0</v>
      </c>
      <c r="BP132" s="51"/>
      <c r="BQ132" s="51"/>
      <c r="BR132" s="51"/>
      <c r="BS132" s="51"/>
      <c r="BT132" s="99"/>
      <c r="BU132" s="51"/>
      <c r="BV132" s="51"/>
      <c r="BW132" s="51"/>
      <c r="BX132" s="51"/>
      <c r="BY132" s="99"/>
      <c r="BZ132" s="51"/>
      <c r="CA132" s="51"/>
      <c r="CB132" s="51"/>
      <c r="CC132" s="51"/>
      <c r="CD132" s="99"/>
      <c r="CP132" s="364" t="s">
        <v>1043</v>
      </c>
      <c r="CQ132" s="364" t="s">
        <v>3559</v>
      </c>
      <c r="CR132" s="364" t="s">
        <v>3718</v>
      </c>
      <c r="CS132" s="364" t="s">
        <v>611</v>
      </c>
    </row>
    <row r="133" spans="1:97">
      <c r="A133" s="11"/>
      <c r="B133" s="11" t="s">
        <v>2247</v>
      </c>
      <c r="C133" s="11">
        <f t="shared" si="27"/>
        <v>48</v>
      </c>
      <c r="D133" s="11">
        <f t="shared" si="27"/>
        <v>46</v>
      </c>
      <c r="E133" s="11">
        <f t="shared" si="27"/>
        <v>53</v>
      </c>
      <c r="F133" s="11">
        <f t="shared" si="27"/>
        <v>48.689655172413794</v>
      </c>
      <c r="G133" s="11">
        <f t="shared" si="27"/>
        <v>41.431034482758619</v>
      </c>
      <c r="H133" s="51"/>
      <c r="I133" s="51"/>
      <c r="J133" s="51"/>
      <c r="K133" s="51"/>
      <c r="L133" s="11">
        <f t="shared" si="28"/>
        <v>49.862068965517238</v>
      </c>
      <c r="M133" s="51"/>
      <c r="N133" s="51"/>
      <c r="O133" s="51"/>
      <c r="P133" s="51"/>
      <c r="Q133" s="11">
        <f t="shared" si="29"/>
        <v>45.931034482758619</v>
      </c>
      <c r="R133" s="51"/>
      <c r="S133" s="51"/>
      <c r="T133" s="51"/>
      <c r="U133" s="51"/>
      <c r="V133" s="11">
        <f t="shared" si="30"/>
        <v>38.482758620689651</v>
      </c>
      <c r="W133" s="51"/>
      <c r="X133" s="51"/>
      <c r="Y133" s="51"/>
      <c r="Z133" s="51"/>
      <c r="AA133" s="11">
        <f t="shared" si="31"/>
        <v>33.689655172413794</v>
      </c>
      <c r="AB133" s="51"/>
      <c r="AC133" s="51"/>
      <c r="AD133" s="51"/>
      <c r="AE133" s="51"/>
      <c r="AF133" s="11">
        <f t="shared" si="32"/>
        <v>30.241379310344826</v>
      </c>
      <c r="AG133" s="51"/>
      <c r="AH133" s="51"/>
      <c r="AI133" s="51"/>
      <c r="AJ133" s="51"/>
      <c r="AK133" s="11">
        <f t="shared" si="33"/>
        <v>1.6896551724137931</v>
      </c>
      <c r="AL133" s="51"/>
      <c r="AM133" s="51"/>
      <c r="AN133" s="51"/>
      <c r="AO133" s="51"/>
      <c r="AP133" s="11">
        <f t="shared" si="34"/>
        <v>0</v>
      </c>
      <c r="AQ133" s="51"/>
      <c r="AR133" s="51"/>
      <c r="AS133" s="51"/>
      <c r="AT133" s="51"/>
      <c r="AU133" s="11">
        <f t="shared" si="35"/>
        <v>0</v>
      </c>
      <c r="AV133" s="51"/>
      <c r="AW133" s="51"/>
      <c r="AX133" s="51"/>
      <c r="AY133" s="51"/>
      <c r="AZ133" s="11">
        <f t="shared" si="36"/>
        <v>0</v>
      </c>
      <c r="BA133" s="51"/>
      <c r="BB133" s="51"/>
      <c r="BC133" s="51"/>
      <c r="BD133" s="51"/>
      <c r="BE133" s="11">
        <f t="shared" si="37"/>
        <v>0</v>
      </c>
      <c r="BF133" s="51"/>
      <c r="BG133" s="51"/>
      <c r="BH133" s="51"/>
      <c r="BI133" s="51"/>
      <c r="BJ133" s="11">
        <f t="shared" si="38"/>
        <v>0</v>
      </c>
      <c r="BK133" s="51"/>
      <c r="BL133" s="51"/>
      <c r="BM133" s="51"/>
      <c r="BN133" s="51"/>
      <c r="BO133" s="11">
        <f t="shared" si="39"/>
        <v>0</v>
      </c>
      <c r="BP133" s="51"/>
      <c r="BQ133" s="51"/>
      <c r="BR133" s="51"/>
      <c r="BS133" s="51"/>
      <c r="BT133" s="99"/>
      <c r="BU133" s="51"/>
      <c r="BV133" s="51"/>
      <c r="BW133" s="51"/>
      <c r="BX133" s="51"/>
      <c r="BY133" s="99"/>
      <c r="BZ133" s="51"/>
      <c r="CA133" s="51"/>
      <c r="CB133" s="51"/>
      <c r="CC133" s="51"/>
      <c r="CD133" s="99"/>
      <c r="CP133">
        <v>2016</v>
      </c>
      <c r="CQ133" s="440">
        <v>6.54</v>
      </c>
      <c r="CR133">
        <f>BJ164</f>
        <v>3268</v>
      </c>
      <c r="CS133">
        <f>BJ169</f>
        <v>2207.4827586206898</v>
      </c>
    </row>
    <row r="134" spans="1:97">
      <c r="A134" s="11"/>
      <c r="B134" s="11" t="s">
        <v>1280</v>
      </c>
      <c r="C134" s="11">
        <f t="shared" si="27"/>
        <v>222.31034482758622</v>
      </c>
      <c r="D134" s="11">
        <f t="shared" si="27"/>
        <v>280.44827586206895</v>
      </c>
      <c r="E134" s="11">
        <f t="shared" si="27"/>
        <v>366.06896551724139</v>
      </c>
      <c r="F134" s="11">
        <f t="shared" si="27"/>
        <v>389.86206896551727</v>
      </c>
      <c r="G134" s="11">
        <f t="shared" si="27"/>
        <v>382.58620689655174</v>
      </c>
      <c r="H134" s="51"/>
      <c r="I134" s="51"/>
      <c r="J134" s="51"/>
      <c r="K134" s="51"/>
      <c r="L134" s="11">
        <f t="shared" si="28"/>
        <v>430.51724137931035</v>
      </c>
      <c r="M134" s="51"/>
      <c r="N134" s="51"/>
      <c r="O134" s="51"/>
      <c r="P134" s="51"/>
      <c r="Q134" s="11">
        <f t="shared" si="29"/>
        <v>449.48275862068965</v>
      </c>
      <c r="R134" s="51"/>
      <c r="S134" s="51"/>
      <c r="T134" s="51"/>
      <c r="U134" s="51"/>
      <c r="V134" s="11">
        <f t="shared" si="30"/>
        <v>459.72413793103448</v>
      </c>
      <c r="W134" s="51"/>
      <c r="X134" s="51"/>
      <c r="Y134" s="51"/>
      <c r="Z134" s="51"/>
      <c r="AA134" s="11">
        <f t="shared" si="31"/>
        <v>456.9655172413793</v>
      </c>
      <c r="AB134" s="51"/>
      <c r="AC134" s="51"/>
      <c r="AD134" s="51"/>
      <c r="AE134" s="51"/>
      <c r="AF134" s="11">
        <f t="shared" si="32"/>
        <v>462.37931034482762</v>
      </c>
      <c r="AG134" s="51"/>
      <c r="AH134" s="51"/>
      <c r="AI134" s="51"/>
      <c r="AJ134" s="51"/>
      <c r="AK134" s="11">
        <f t="shared" si="33"/>
        <v>409.10344827586209</v>
      </c>
      <c r="AL134" s="51"/>
      <c r="AM134" s="51"/>
      <c r="AN134" s="51"/>
      <c r="AO134" s="51"/>
      <c r="AP134" s="11">
        <f t="shared" si="34"/>
        <v>382.55172413793105</v>
      </c>
      <c r="AQ134" s="51"/>
      <c r="AR134" s="51"/>
      <c r="AS134" s="51"/>
      <c r="AT134" s="51"/>
      <c r="AU134" s="11">
        <f t="shared" si="35"/>
        <v>405.93103448275861</v>
      </c>
      <c r="AV134" s="51"/>
      <c r="AW134" s="51"/>
      <c r="AX134" s="51"/>
      <c r="AY134" s="51"/>
      <c r="AZ134" s="11">
        <f t="shared" si="36"/>
        <v>395.17241379310349</v>
      </c>
      <c r="BA134" s="51"/>
      <c r="BB134" s="51"/>
      <c r="BC134" s="51"/>
      <c r="BD134" s="51"/>
      <c r="BE134" s="11">
        <f t="shared" si="37"/>
        <v>354.37931034482762</v>
      </c>
      <c r="BF134" s="51"/>
      <c r="BG134" s="51"/>
      <c r="BH134" s="51"/>
      <c r="BI134" s="51"/>
      <c r="BJ134" s="11">
        <f t="shared" si="38"/>
        <v>309.20689655172413</v>
      </c>
      <c r="BK134" s="51"/>
      <c r="BL134" s="51"/>
      <c r="BM134" s="51"/>
      <c r="BN134" s="51"/>
      <c r="BO134" s="11">
        <f t="shared" si="39"/>
        <v>355.79310344827587</v>
      </c>
      <c r="BP134" s="51"/>
      <c r="BQ134" s="51"/>
      <c r="BR134" s="51"/>
      <c r="BS134" s="51"/>
      <c r="BT134" s="99"/>
      <c r="BU134" s="51"/>
      <c r="BV134" s="51"/>
      <c r="BW134" s="51"/>
      <c r="BX134" s="51"/>
      <c r="BY134" s="99"/>
      <c r="BZ134" s="51"/>
      <c r="CA134" s="51"/>
      <c r="CB134" s="51"/>
      <c r="CC134" s="51"/>
      <c r="CD134" s="99"/>
      <c r="CP134">
        <v>2021</v>
      </c>
      <c r="CQ134" s="440">
        <v>8.2200000000000006</v>
      </c>
      <c r="CR134">
        <f>CR133*CQ134/CQ133</f>
        <v>4107.4862385321103</v>
      </c>
      <c r="CS134">
        <f>CS133*CQ134/CQ133</f>
        <v>2774.5425498260047</v>
      </c>
    </row>
    <row r="135" spans="1:97">
      <c r="A135" s="11"/>
      <c r="B135" s="11" t="s">
        <v>1036</v>
      </c>
      <c r="C135" s="11">
        <f t="shared" si="27"/>
        <v>54</v>
      </c>
      <c r="D135" s="11">
        <f t="shared" si="27"/>
        <v>51</v>
      </c>
      <c r="E135" s="11">
        <f t="shared" si="27"/>
        <v>53</v>
      </c>
      <c r="F135" s="11">
        <f t="shared" si="27"/>
        <v>55</v>
      </c>
      <c r="G135" s="11">
        <f t="shared" si="27"/>
        <v>55</v>
      </c>
      <c r="H135" s="51"/>
      <c r="I135" s="51"/>
      <c r="J135" s="51"/>
      <c r="K135" s="51"/>
      <c r="L135" s="11">
        <f t="shared" si="28"/>
        <v>30.862068965517242</v>
      </c>
      <c r="M135" s="51"/>
      <c r="N135" s="51"/>
      <c r="O135" s="51"/>
      <c r="P135" s="51"/>
      <c r="Q135" s="11">
        <f t="shared" si="29"/>
        <v>23.03448275862069</v>
      </c>
      <c r="R135" s="51"/>
      <c r="S135" s="51"/>
      <c r="T135" s="51"/>
      <c r="U135" s="51"/>
      <c r="V135" s="11">
        <f t="shared" si="30"/>
        <v>24.379310344827587</v>
      </c>
      <c r="W135" s="51"/>
      <c r="X135" s="51"/>
      <c r="Y135" s="51"/>
      <c r="Z135" s="51"/>
      <c r="AA135" s="11">
        <f t="shared" si="31"/>
        <v>25.517241379310345</v>
      </c>
      <c r="AB135" s="51"/>
      <c r="AC135" s="51"/>
      <c r="AD135" s="51"/>
      <c r="AE135" s="51"/>
      <c r="AF135" s="11">
        <f t="shared" si="32"/>
        <v>24.551724137931036</v>
      </c>
      <c r="AG135" s="51"/>
      <c r="AH135" s="51"/>
      <c r="AI135" s="51"/>
      <c r="AJ135" s="51"/>
      <c r="AK135" s="11">
        <f t="shared" si="33"/>
        <v>17.206896551724139</v>
      </c>
      <c r="AL135" s="51"/>
      <c r="AM135" s="51"/>
      <c r="AN135" s="51"/>
      <c r="AO135" s="51"/>
      <c r="AP135" s="11">
        <f t="shared" si="34"/>
        <v>14.862068965517242</v>
      </c>
      <c r="AQ135" s="51"/>
      <c r="AR135" s="51"/>
      <c r="AS135" s="51"/>
      <c r="AT135" s="51"/>
      <c r="AU135" s="11">
        <f t="shared" si="35"/>
        <v>0</v>
      </c>
      <c r="AV135" s="51"/>
      <c r="AW135" s="51"/>
      <c r="AX135" s="51"/>
      <c r="AY135" s="51"/>
      <c r="AZ135" s="11">
        <f t="shared" si="36"/>
        <v>0</v>
      </c>
      <c r="BA135" s="51"/>
      <c r="BB135" s="51"/>
      <c r="BC135" s="51"/>
      <c r="BD135" s="51"/>
      <c r="BE135" s="11">
        <f t="shared" si="37"/>
        <v>0</v>
      </c>
      <c r="BF135" s="51"/>
      <c r="BG135" s="51"/>
      <c r="BH135" s="51"/>
      <c r="BI135" s="51"/>
      <c r="BJ135" s="11">
        <f t="shared" si="38"/>
        <v>0</v>
      </c>
      <c r="BK135" s="51"/>
      <c r="BL135" s="51"/>
      <c r="BM135" s="51"/>
      <c r="BN135" s="51"/>
      <c r="BO135" s="11">
        <f t="shared" si="39"/>
        <v>0</v>
      </c>
      <c r="BP135" s="51"/>
      <c r="BQ135" s="51"/>
      <c r="BR135" s="51"/>
      <c r="BS135" s="51"/>
      <c r="BT135" s="99"/>
      <c r="BU135" s="51"/>
      <c r="BV135" s="51"/>
      <c r="BW135" s="51"/>
      <c r="BX135" s="51"/>
      <c r="BY135" s="99"/>
      <c r="BZ135" s="51"/>
      <c r="CA135" s="51"/>
      <c r="CB135" s="51"/>
      <c r="CC135" s="51"/>
      <c r="CD135" s="99"/>
    </row>
    <row r="136" spans="1:97">
      <c r="A136" s="39" t="s">
        <v>119</v>
      </c>
      <c r="B136" s="39"/>
      <c r="C136" s="39">
        <f>SUM(C130:C135)</f>
        <v>415</v>
      </c>
      <c r="D136" s="39">
        <f>SUM(D130:D135)</f>
        <v>473.72413793103448</v>
      </c>
      <c r="E136" s="39">
        <f>SUM(E130:E135)</f>
        <v>580.51724137931035</v>
      </c>
      <c r="F136" s="39">
        <f>SUM(F130:F135)</f>
        <v>612.20689655172418</v>
      </c>
      <c r="G136" s="39">
        <f>SUM(G130:G135)</f>
        <v>607.90344827586205</v>
      </c>
      <c r="H136" s="52"/>
      <c r="I136" s="52"/>
      <c r="J136" s="52"/>
      <c r="K136" s="52"/>
      <c r="L136" s="39">
        <f>SUM(L130:L135)</f>
        <v>655.9655172413793</v>
      </c>
      <c r="M136" s="52"/>
      <c r="N136" s="52"/>
      <c r="O136" s="52"/>
      <c r="P136" s="52"/>
      <c r="Q136" s="39">
        <f>SUM(Q130:Q135)</f>
        <v>663.41379310344826</v>
      </c>
      <c r="R136" s="52"/>
      <c r="S136" s="52"/>
      <c r="T136" s="52"/>
      <c r="U136" s="52"/>
      <c r="V136" s="39">
        <f>SUM(V130:V135)</f>
        <v>672.82758620689651</v>
      </c>
      <c r="W136" s="52"/>
      <c r="X136" s="52"/>
      <c r="Y136" s="52"/>
      <c r="Z136" s="52"/>
      <c r="AA136" s="39">
        <f>SUM(AA130:AA135)</f>
        <v>659.24137931034477</v>
      </c>
      <c r="AB136" s="52"/>
      <c r="AC136" s="52"/>
      <c r="AD136" s="52"/>
      <c r="AE136" s="52"/>
      <c r="AF136" s="39">
        <f>SUM(AF130:AF135)</f>
        <v>659.41379310344837</v>
      </c>
      <c r="AG136" s="79">
        <f>SUM(AG28,AG82)</f>
        <v>0</v>
      </c>
      <c r="AH136" s="79">
        <f>SUM(AH28,AH82)</f>
        <v>0</v>
      </c>
      <c r="AI136" s="79">
        <f>SUM(AI28,AI82)</f>
        <v>0</v>
      </c>
      <c r="AJ136" s="79">
        <f>SUM(AJ28,AJ82)</f>
        <v>0</v>
      </c>
      <c r="AK136" s="97">
        <f t="shared" si="33"/>
        <v>575.37931034482767</v>
      </c>
      <c r="AL136" s="79">
        <f t="shared" ref="AL136:CD136" si="40">SUM(AL28,AL82)</f>
        <v>0</v>
      </c>
      <c r="AM136" s="79">
        <f t="shared" si="40"/>
        <v>0</v>
      </c>
      <c r="AN136" s="79">
        <f t="shared" si="40"/>
        <v>0</v>
      </c>
      <c r="AO136" s="79">
        <f t="shared" si="40"/>
        <v>0</v>
      </c>
      <c r="AP136" s="97">
        <f t="shared" si="34"/>
        <v>537.48275862068965</v>
      </c>
      <c r="AQ136" s="51"/>
      <c r="AR136" s="51"/>
      <c r="AS136" s="51"/>
      <c r="AT136" s="51"/>
      <c r="AU136" s="97">
        <f t="shared" si="35"/>
        <v>544.13793103448279</v>
      </c>
      <c r="AV136" s="51"/>
      <c r="AW136" s="51"/>
      <c r="AX136" s="51"/>
      <c r="AY136" s="51"/>
      <c r="AZ136" s="97">
        <f t="shared" si="36"/>
        <v>532.65517241379314</v>
      </c>
      <c r="BA136" s="51"/>
      <c r="BB136" s="51"/>
      <c r="BC136" s="51"/>
      <c r="BD136" s="51"/>
      <c r="BE136" s="97">
        <f t="shared" si="37"/>
        <v>501.20689655172418</v>
      </c>
      <c r="BF136" s="51"/>
      <c r="BG136" s="51"/>
      <c r="BH136" s="51"/>
      <c r="BI136" s="51"/>
      <c r="BJ136" s="97">
        <f t="shared" si="38"/>
        <v>453.62068965517244</v>
      </c>
      <c r="BK136" s="51"/>
      <c r="BL136" s="51"/>
      <c r="BM136" s="51"/>
      <c r="BN136" s="51"/>
      <c r="BO136" s="97">
        <f t="shared" si="39"/>
        <v>490.86206896551727</v>
      </c>
      <c r="BP136" s="79">
        <f t="shared" si="40"/>
        <v>482.4757725571568</v>
      </c>
      <c r="BQ136" s="79">
        <f t="shared" si="40"/>
        <v>469.57671497715035</v>
      </c>
      <c r="BR136" s="79">
        <f t="shared" si="40"/>
        <v>471.63511523826458</v>
      </c>
      <c r="BS136" s="79">
        <f t="shared" si="40"/>
        <v>475.17170757225597</v>
      </c>
      <c r="BT136" s="97">
        <f t="shared" si="40"/>
        <v>474.71482758620692</v>
      </c>
      <c r="BU136" s="79">
        <f t="shared" si="40"/>
        <v>499.71489012684287</v>
      </c>
      <c r="BV136" s="79">
        <f t="shared" si="40"/>
        <v>490.78670406633472</v>
      </c>
      <c r="BW136" s="79">
        <f t="shared" si="40"/>
        <v>493.11328294388875</v>
      </c>
      <c r="BX136" s="79">
        <f t="shared" si="40"/>
        <v>497.11064010431301</v>
      </c>
      <c r="BY136" s="97">
        <f t="shared" si="40"/>
        <v>495.18137931034482</v>
      </c>
      <c r="BZ136" s="79">
        <f t="shared" si="40"/>
        <v>495.76811516966774</v>
      </c>
      <c r="CA136" s="79">
        <f t="shared" si="40"/>
        <v>486.93408385863631</v>
      </c>
      <c r="CB136" s="79">
        <f t="shared" si="40"/>
        <v>489.23612713065194</v>
      </c>
      <c r="CC136" s="79">
        <f t="shared" si="40"/>
        <v>493.1913290134579</v>
      </c>
      <c r="CD136" s="97">
        <f t="shared" si="40"/>
        <v>491.28241379310339</v>
      </c>
    </row>
    <row r="137" spans="1:97">
      <c r="A137" s="11"/>
      <c r="B137" s="11"/>
      <c r="C137" s="11"/>
      <c r="D137" s="11"/>
      <c r="E137" s="11"/>
      <c r="F137" s="11"/>
      <c r="G137" s="11"/>
      <c r="H137" s="80"/>
      <c r="I137" s="80"/>
      <c r="J137" s="80"/>
      <c r="K137" s="80"/>
      <c r="L137" s="11"/>
      <c r="M137" s="68"/>
      <c r="N137" s="68"/>
      <c r="O137" s="68"/>
      <c r="P137" s="68"/>
      <c r="Q137" s="11"/>
      <c r="R137" s="68"/>
      <c r="S137" s="68"/>
      <c r="T137" s="68"/>
      <c r="U137" s="68"/>
      <c r="V137" s="11"/>
      <c r="W137" s="68"/>
      <c r="X137" s="68"/>
      <c r="Y137" s="68"/>
      <c r="Z137" s="68"/>
      <c r="AA137" s="11"/>
      <c r="AB137" s="68"/>
      <c r="AC137" s="68"/>
      <c r="AD137" s="68"/>
      <c r="AE137" s="68"/>
      <c r="AF137" s="11"/>
      <c r="AG137" s="68"/>
      <c r="AH137" s="68"/>
      <c r="AI137" s="68"/>
      <c r="AJ137" s="68"/>
      <c r="AK137" s="98"/>
      <c r="AL137" s="48"/>
      <c r="AM137" s="48"/>
      <c r="AN137" s="48"/>
      <c r="AO137" s="48"/>
      <c r="AP137" s="98"/>
      <c r="AQ137" s="48"/>
      <c r="AR137" s="48"/>
      <c r="AS137" s="48"/>
      <c r="AT137" s="48"/>
      <c r="AU137" s="98"/>
      <c r="AV137" s="48"/>
      <c r="AW137" s="48"/>
      <c r="AX137" s="48"/>
      <c r="AY137" s="48"/>
      <c r="AZ137" s="98"/>
      <c r="BA137" s="48"/>
      <c r="BB137" s="48"/>
      <c r="BC137" s="48"/>
      <c r="BD137" s="48"/>
      <c r="BE137" s="98"/>
      <c r="BF137" s="48"/>
      <c r="BG137" s="48"/>
      <c r="BH137" s="48"/>
      <c r="BI137" s="48"/>
      <c r="BJ137" s="98"/>
      <c r="BK137" s="48"/>
      <c r="BL137" s="48"/>
      <c r="BM137" s="48"/>
      <c r="BN137" s="48"/>
      <c r="BO137" s="48"/>
      <c r="BP137" s="48"/>
      <c r="BQ137" s="48"/>
      <c r="BR137" s="48"/>
      <c r="BS137" s="48"/>
      <c r="BT137" s="48"/>
      <c r="BU137" s="48"/>
      <c r="BV137" s="48"/>
      <c r="BW137" s="48"/>
      <c r="BX137" s="48"/>
      <c r="BY137" s="48"/>
      <c r="BZ137" s="48"/>
      <c r="CA137" s="48"/>
      <c r="CB137" s="48"/>
      <c r="CC137" s="48"/>
      <c r="CD137" s="48"/>
    </row>
    <row r="138" spans="1:97">
      <c r="A138" s="39" t="s">
        <v>120</v>
      </c>
      <c r="B138" s="11"/>
      <c r="C138" s="11"/>
      <c r="D138" s="11"/>
      <c r="E138" s="11"/>
      <c r="F138" s="11"/>
      <c r="G138" s="11"/>
      <c r="H138" s="80"/>
      <c r="I138" s="80"/>
      <c r="J138" s="80"/>
      <c r="K138" s="80"/>
      <c r="L138" s="11"/>
      <c r="M138" s="68"/>
      <c r="N138" s="68"/>
      <c r="O138" s="68"/>
      <c r="P138" s="68"/>
      <c r="Q138" s="11"/>
      <c r="R138" s="68"/>
      <c r="S138" s="68"/>
      <c r="T138" s="68"/>
      <c r="U138" s="68"/>
      <c r="V138" s="11"/>
      <c r="W138" s="68"/>
      <c r="X138" s="68"/>
      <c r="Y138" s="68"/>
      <c r="Z138" s="68"/>
      <c r="AA138" s="11"/>
      <c r="AB138" s="68"/>
      <c r="AC138" s="68"/>
      <c r="AD138" s="68"/>
      <c r="AE138" s="68"/>
      <c r="AF138" s="11"/>
      <c r="AG138" s="68"/>
      <c r="AH138" s="68"/>
      <c r="AI138" s="68"/>
      <c r="AJ138" s="68"/>
      <c r="AK138" s="98"/>
      <c r="AL138" s="48"/>
      <c r="AM138" s="48"/>
      <c r="AN138" s="48"/>
      <c r="AO138" s="48"/>
      <c r="AP138" s="98"/>
      <c r="AQ138" s="48"/>
      <c r="AR138" s="48"/>
      <c r="AS138" s="48"/>
      <c r="AT138" s="48"/>
      <c r="AU138" s="98"/>
      <c r="AV138" s="48"/>
      <c r="AW138" s="48"/>
      <c r="AX138" s="48"/>
      <c r="AY138" s="48"/>
      <c r="AZ138" s="98"/>
      <c r="BA138" s="48"/>
      <c r="BB138" s="48"/>
      <c r="BC138" s="48"/>
      <c r="BD138" s="48"/>
      <c r="BE138" s="98"/>
      <c r="BF138" s="48"/>
      <c r="BG138" s="48"/>
      <c r="BH138" s="48"/>
      <c r="BI138" s="48"/>
      <c r="BJ138" s="98"/>
      <c r="BK138" s="48"/>
      <c r="BL138" s="48"/>
      <c r="BM138" s="48"/>
      <c r="BN138" s="48"/>
      <c r="BO138" s="48"/>
      <c r="BP138" s="48"/>
      <c r="BQ138" s="48"/>
      <c r="BR138" s="48"/>
      <c r="BS138" s="48"/>
      <c r="BT138" s="48"/>
      <c r="BU138" s="48"/>
      <c r="BV138" s="48"/>
      <c r="BW138" s="48"/>
      <c r="BX138" s="48"/>
      <c r="BY138" s="48"/>
      <c r="BZ138" s="48"/>
      <c r="CA138" s="48"/>
      <c r="CB138" s="48"/>
      <c r="CC138" s="48"/>
      <c r="CD138" s="48"/>
    </row>
    <row r="139" spans="1:97">
      <c r="A139" s="11"/>
      <c r="B139" s="11" t="s">
        <v>1473</v>
      </c>
      <c r="C139" s="11">
        <f t="shared" ref="C139:G141" si="41">SUM(C31,C85)</f>
        <v>0</v>
      </c>
      <c r="D139" s="11">
        <f t="shared" si="41"/>
        <v>0</v>
      </c>
      <c r="E139" s="11">
        <f t="shared" si="41"/>
        <v>0</v>
      </c>
      <c r="F139" s="11">
        <f t="shared" si="41"/>
        <v>13.593103448275864</v>
      </c>
      <c r="G139" s="11">
        <f t="shared" si="41"/>
        <v>30.087931034482757</v>
      </c>
      <c r="H139" s="51"/>
      <c r="I139" s="51"/>
      <c r="J139" s="51"/>
      <c r="K139" s="51"/>
      <c r="L139" s="11">
        <f>SUM(L31,L85)</f>
        <v>30.413793103448278</v>
      </c>
      <c r="M139" s="51"/>
      <c r="N139" s="51"/>
      <c r="O139" s="51"/>
      <c r="P139" s="51"/>
      <c r="Q139" s="11">
        <f>SUM(Q31,Q85)</f>
        <v>38.379310344827587</v>
      </c>
      <c r="R139" s="51"/>
      <c r="S139" s="51"/>
      <c r="T139" s="51"/>
      <c r="U139" s="51"/>
      <c r="V139" s="11">
        <f>SUM(V31,V85)</f>
        <v>38.310344827586206</v>
      </c>
      <c r="W139" s="51"/>
      <c r="X139" s="51"/>
      <c r="Y139" s="51"/>
      <c r="Z139" s="51"/>
      <c r="AA139" s="11">
        <f>SUM(AA31,AA85)</f>
        <v>49.413793103448278</v>
      </c>
      <c r="AB139" s="51"/>
      <c r="AC139" s="51"/>
      <c r="AD139" s="51"/>
      <c r="AE139" s="51"/>
      <c r="AF139" s="11">
        <f>SUM(AF31,AF85)</f>
        <v>38.724137931034484</v>
      </c>
      <c r="AG139" s="51"/>
      <c r="AH139" s="51"/>
      <c r="AI139" s="51"/>
      <c r="AJ139" s="51"/>
      <c r="AK139" s="11">
        <f>SUM(AK31,AK85)</f>
        <v>41.655172413793103</v>
      </c>
      <c r="AL139" s="51"/>
      <c r="AM139" s="51"/>
      <c r="AN139" s="51"/>
      <c r="AO139" s="51"/>
      <c r="AP139" s="11">
        <f>SUM(AP31,AP85)</f>
        <v>32.689655172413794</v>
      </c>
      <c r="AQ139" s="51"/>
      <c r="AR139" s="51"/>
      <c r="AS139" s="51"/>
      <c r="AT139" s="51"/>
      <c r="AU139" s="11">
        <f>SUM(AU31,AU85)</f>
        <v>27.172413793103448</v>
      </c>
      <c r="AV139" s="51"/>
      <c r="AW139" s="51"/>
      <c r="AX139" s="51"/>
      <c r="AY139" s="51"/>
      <c r="AZ139" s="11">
        <f>SUM(AZ31,AZ85)</f>
        <v>28.448275862068964</v>
      </c>
      <c r="BA139" s="51"/>
      <c r="BB139" s="51"/>
      <c r="BC139" s="51"/>
      <c r="BD139" s="51"/>
      <c r="BE139" s="11">
        <f>SUM(BE31,BE85)</f>
        <v>45.241379310344826</v>
      </c>
      <c r="BF139" s="51"/>
      <c r="BG139" s="51"/>
      <c r="BH139" s="51"/>
      <c r="BI139" s="51"/>
      <c r="BJ139" s="11">
        <f>SUM(BJ31,BJ85)</f>
        <v>45.862068965517246</v>
      </c>
      <c r="BK139" s="51"/>
      <c r="BL139" s="51"/>
      <c r="BM139" s="51"/>
      <c r="BN139" s="51"/>
      <c r="BO139" s="11">
        <f>SUM(BO31,BO85)</f>
        <v>54.344827586206897</v>
      </c>
      <c r="BP139" s="51"/>
      <c r="BQ139" s="51"/>
      <c r="BR139" s="51"/>
      <c r="BS139" s="51"/>
      <c r="BT139" s="99"/>
      <c r="BU139" s="51"/>
      <c r="BV139" s="51"/>
      <c r="BW139" s="51"/>
      <c r="BX139" s="51"/>
      <c r="BY139" s="99"/>
      <c r="BZ139" s="51"/>
      <c r="CA139" s="51"/>
      <c r="CB139" s="51"/>
      <c r="CC139" s="51"/>
      <c r="CD139" s="99"/>
    </row>
    <row r="140" spans="1:97">
      <c r="A140" s="11"/>
      <c r="B140" s="11" t="s">
        <v>1934</v>
      </c>
      <c r="C140" s="11">
        <f t="shared" si="41"/>
        <v>1</v>
      </c>
      <c r="D140" s="11">
        <f t="shared" si="41"/>
        <v>29</v>
      </c>
      <c r="E140" s="11">
        <f t="shared" si="41"/>
        <v>35</v>
      </c>
      <c r="F140" s="11">
        <f t="shared" si="41"/>
        <v>71</v>
      </c>
      <c r="G140" s="11">
        <f t="shared" si="41"/>
        <v>128</v>
      </c>
      <c r="H140" s="51"/>
      <c r="I140" s="51"/>
      <c r="J140" s="51"/>
      <c r="K140" s="51"/>
      <c r="L140" s="11">
        <f>SUM(L32,L86)</f>
        <v>133</v>
      </c>
      <c r="M140" s="51"/>
      <c r="N140" s="51"/>
      <c r="O140" s="51"/>
      <c r="P140" s="51"/>
      <c r="Q140" s="11">
        <f>SUM(Q32,Q86)</f>
        <v>140</v>
      </c>
      <c r="R140" s="51"/>
      <c r="S140" s="51"/>
      <c r="T140" s="51"/>
      <c r="U140" s="51"/>
      <c r="V140" s="11">
        <f>SUM(V32,V86)</f>
        <v>201</v>
      </c>
      <c r="W140" s="51"/>
      <c r="X140" s="51"/>
      <c r="Y140" s="51"/>
      <c r="Z140" s="51"/>
      <c r="AA140" s="11">
        <f>SUM(AA32,AA86)</f>
        <v>211</v>
      </c>
      <c r="AB140" s="51"/>
      <c r="AC140" s="51"/>
      <c r="AD140" s="51"/>
      <c r="AE140" s="51"/>
      <c r="AF140" s="11">
        <f>SUM(AF32,AF86)</f>
        <v>170</v>
      </c>
      <c r="AG140" s="51"/>
      <c r="AH140" s="51"/>
      <c r="AI140" s="51"/>
      <c r="AJ140" s="51"/>
      <c r="AK140" s="11">
        <f>SUM(AK32,AK86)</f>
        <v>123</v>
      </c>
      <c r="AL140" s="51"/>
      <c r="AM140" s="51"/>
      <c r="AN140" s="51"/>
      <c r="AO140" s="51"/>
      <c r="AP140" s="11">
        <f>SUM(AP32,AP86)</f>
        <v>149</v>
      </c>
      <c r="AQ140" s="51"/>
      <c r="AR140" s="51"/>
      <c r="AS140" s="51"/>
      <c r="AT140" s="51"/>
      <c r="AU140" s="11">
        <f>SUM(AU32,AU86)</f>
        <v>181.37931034482759</v>
      </c>
      <c r="AV140" s="51"/>
      <c r="AW140" s="51"/>
      <c r="AX140" s="51"/>
      <c r="AY140" s="51"/>
      <c r="AZ140" s="11">
        <f>SUM(AZ32,AZ86)</f>
        <v>181</v>
      </c>
      <c r="BA140" s="51"/>
      <c r="BB140" s="51"/>
      <c r="BC140" s="51"/>
      <c r="BD140" s="51"/>
      <c r="BE140" s="11">
        <f>SUM(BE32,BE86)</f>
        <v>221</v>
      </c>
      <c r="BF140" s="51"/>
      <c r="BG140" s="51"/>
      <c r="BH140" s="51"/>
      <c r="BI140" s="51"/>
      <c r="BJ140" s="11">
        <f>SUM(BJ32,BJ86)</f>
        <v>223.10344827586206</v>
      </c>
      <c r="BK140" s="51"/>
      <c r="BL140" s="51"/>
      <c r="BM140" s="51"/>
      <c r="BN140" s="51"/>
      <c r="BO140" s="11">
        <f>SUM(BO32,BO86)</f>
        <v>210.27586206896552</v>
      </c>
      <c r="BP140" s="51"/>
      <c r="BQ140" s="51"/>
      <c r="BR140" s="51"/>
      <c r="BS140" s="51"/>
      <c r="BT140" s="99"/>
      <c r="BU140" s="51"/>
      <c r="BV140" s="51"/>
      <c r="BW140" s="51"/>
      <c r="BX140" s="51"/>
      <c r="BY140" s="99"/>
      <c r="BZ140" s="51"/>
      <c r="CA140" s="51"/>
      <c r="CB140" s="51"/>
      <c r="CC140" s="51"/>
      <c r="CD140" s="99"/>
    </row>
    <row r="141" spans="1:97">
      <c r="A141" s="11"/>
      <c r="B141" s="11" t="s">
        <v>2251</v>
      </c>
      <c r="C141" s="11">
        <f t="shared" si="41"/>
        <v>123.75862068965517</v>
      </c>
      <c r="D141" s="11">
        <f t="shared" si="41"/>
        <v>129.13793103448276</v>
      </c>
      <c r="E141" s="11">
        <f t="shared" si="41"/>
        <v>116.62068965517241</v>
      </c>
      <c r="F141" s="11">
        <f t="shared" si="41"/>
        <v>90.620689655172413</v>
      </c>
      <c r="G141" s="11">
        <f t="shared" si="41"/>
        <v>79.586206896551715</v>
      </c>
      <c r="H141" s="51"/>
      <c r="I141" s="51"/>
      <c r="J141" s="51"/>
      <c r="K141" s="51"/>
      <c r="L141" s="11">
        <f>SUM(L33,L87)</f>
        <v>88.724137931034477</v>
      </c>
      <c r="M141" s="51"/>
      <c r="N141" s="51"/>
      <c r="O141" s="51"/>
      <c r="P141" s="51"/>
      <c r="Q141" s="11">
        <f>SUM(Q33,Q87)</f>
        <v>97.310344827586206</v>
      </c>
      <c r="R141" s="51"/>
      <c r="S141" s="51"/>
      <c r="T141" s="51"/>
      <c r="U141" s="51"/>
      <c r="V141" s="11">
        <f>SUM(V33,V87)</f>
        <v>121.13793103448276</v>
      </c>
      <c r="W141" s="51"/>
      <c r="X141" s="51"/>
      <c r="Y141" s="51"/>
      <c r="Z141" s="51"/>
      <c r="AA141" s="11">
        <f>SUM(AA33,AA87)</f>
        <v>150.65517241379311</v>
      </c>
      <c r="AB141" s="51"/>
      <c r="AC141" s="51"/>
      <c r="AD141" s="51"/>
      <c r="AE141" s="51"/>
      <c r="AF141" s="11">
        <f>SUM(AF33,AF87)</f>
        <v>133.13793103448276</v>
      </c>
      <c r="AG141" s="51"/>
      <c r="AH141" s="51"/>
      <c r="AI141" s="51"/>
      <c r="AJ141" s="51"/>
      <c r="AK141" s="11">
        <f>SUM(AK33,AK87)</f>
        <v>121.55172413793103</v>
      </c>
      <c r="AL141" s="51"/>
      <c r="AM141" s="51"/>
      <c r="AN141" s="51"/>
      <c r="AO141" s="51"/>
      <c r="AP141" s="11">
        <f>SUM(AP33,AP87)</f>
        <v>122.0344827586207</v>
      </c>
      <c r="AQ141" s="51"/>
      <c r="AR141" s="51"/>
      <c r="AS141" s="51"/>
      <c r="AT141" s="51"/>
      <c r="AU141" s="11">
        <f>SUM(AU33,AU87)</f>
        <v>114.55172413793103</v>
      </c>
      <c r="AV141" s="51"/>
      <c r="AW141" s="51"/>
      <c r="AX141" s="51"/>
      <c r="AY141" s="51"/>
      <c r="AZ141" s="11">
        <f>SUM(AZ33,AZ87)</f>
        <v>111</v>
      </c>
      <c r="BA141" s="51"/>
      <c r="BB141" s="51"/>
      <c r="BC141" s="51"/>
      <c r="BD141" s="51"/>
      <c r="BE141" s="11">
        <f>SUM(BE33,BE87)</f>
        <v>114.31034482758621</v>
      </c>
      <c r="BF141" s="51"/>
      <c r="BG141" s="51"/>
      <c r="BH141" s="51"/>
      <c r="BI141" s="51"/>
      <c r="BJ141" s="11">
        <f>SUM(BJ33,BJ87)</f>
        <v>94.586206896551715</v>
      </c>
      <c r="BK141" s="51"/>
      <c r="BL141" s="51"/>
      <c r="BM141" s="51"/>
      <c r="BN141" s="51"/>
      <c r="BO141" s="11">
        <f>SUM(BO33,BO87)</f>
        <v>170.44827586206898</v>
      </c>
      <c r="BP141" s="51"/>
      <c r="BQ141" s="51"/>
      <c r="BR141" s="51"/>
      <c r="BS141" s="51"/>
      <c r="BT141" s="99"/>
      <c r="BU141" s="51"/>
      <c r="BV141" s="51"/>
      <c r="BW141" s="51"/>
      <c r="BX141" s="51"/>
      <c r="BY141" s="99"/>
      <c r="BZ141" s="51"/>
      <c r="CA141" s="51"/>
      <c r="CB141" s="51"/>
      <c r="CC141" s="51"/>
      <c r="CD141" s="99"/>
    </row>
    <row r="142" spans="1:97">
      <c r="A142" s="39" t="s">
        <v>2461</v>
      </c>
      <c r="B142" s="39"/>
      <c r="C142" s="39">
        <f>SUM(C139:C141)</f>
        <v>124.75862068965517</v>
      </c>
      <c r="D142" s="39">
        <f>SUM(D139:D141)</f>
        <v>158.13793103448276</v>
      </c>
      <c r="E142" s="39">
        <f>SUM(E139:E141)</f>
        <v>151.62068965517241</v>
      </c>
      <c r="F142" s="39">
        <f>SUM(F139:F141)</f>
        <v>175.21379310344827</v>
      </c>
      <c r="G142" s="39">
        <f>SUM(G139:G141)</f>
        <v>237.67413793103447</v>
      </c>
      <c r="H142" s="52"/>
      <c r="I142" s="52"/>
      <c r="J142" s="52"/>
      <c r="K142" s="52"/>
      <c r="L142" s="39">
        <f>SUM(L139:L141)</f>
        <v>252.13793103448276</v>
      </c>
      <c r="M142" s="52"/>
      <c r="N142" s="52"/>
      <c r="O142" s="52"/>
      <c r="P142" s="52"/>
      <c r="Q142" s="39">
        <f>SUM(Q139:Q141)</f>
        <v>275.68965517241378</v>
      </c>
      <c r="R142" s="52"/>
      <c r="S142" s="52"/>
      <c r="T142" s="52"/>
      <c r="U142" s="52"/>
      <c r="V142" s="39">
        <f>SUM(V139:V141)</f>
        <v>360.44827586206895</v>
      </c>
      <c r="W142" s="52"/>
      <c r="X142" s="52"/>
      <c r="Y142" s="52"/>
      <c r="Z142" s="52"/>
      <c r="AA142" s="39">
        <f>SUM(AA139:AA141)</f>
        <v>411.06896551724139</v>
      </c>
      <c r="AB142" s="52"/>
      <c r="AC142" s="52"/>
      <c r="AD142" s="52"/>
      <c r="AE142" s="52"/>
      <c r="AF142" s="39">
        <f>SUM(AF139:AF141)</f>
        <v>341.86206896551721</v>
      </c>
      <c r="AG142" s="79">
        <f>SUM(AG34,AG88)</f>
        <v>0</v>
      </c>
      <c r="AH142" s="79">
        <f>SUM(AH34,AH88)</f>
        <v>0</v>
      </c>
      <c r="AI142" s="79">
        <f>SUM(AI34,AI88)</f>
        <v>0</v>
      </c>
      <c r="AJ142" s="79">
        <f>SUM(AJ34,AJ88)</f>
        <v>0</v>
      </c>
      <c r="AK142" s="97">
        <f>SUM(AK34,AK88)</f>
        <v>286.20689655172413</v>
      </c>
      <c r="AL142" s="79">
        <f t="shared" ref="AL142:CD142" si="42">SUM(AL34,AL88)</f>
        <v>0</v>
      </c>
      <c r="AM142" s="79">
        <f t="shared" si="42"/>
        <v>0</v>
      </c>
      <c r="AN142" s="79">
        <f t="shared" si="42"/>
        <v>0</v>
      </c>
      <c r="AO142" s="79">
        <f t="shared" si="42"/>
        <v>0</v>
      </c>
      <c r="AP142" s="97">
        <f>SUM(AP34,AP88)</f>
        <v>303.72413793103448</v>
      </c>
      <c r="AQ142" s="51"/>
      <c r="AR142" s="51"/>
      <c r="AS142" s="51"/>
      <c r="AT142" s="51"/>
      <c r="AU142" s="97">
        <f>SUM(AU34,AU88)</f>
        <v>323.10344827586204</v>
      </c>
      <c r="AV142" s="51"/>
      <c r="AW142" s="51"/>
      <c r="AX142" s="51"/>
      <c r="AY142" s="51"/>
      <c r="AZ142" s="97">
        <f>SUM(AZ34,AZ88)</f>
        <v>319.44827586206895</v>
      </c>
      <c r="BA142" s="51"/>
      <c r="BB142" s="51"/>
      <c r="BC142" s="51"/>
      <c r="BD142" s="51"/>
      <c r="BE142" s="97">
        <f>SUM(BE34,BE88)</f>
        <v>381.55172413793105</v>
      </c>
      <c r="BF142" s="51"/>
      <c r="BG142" s="51"/>
      <c r="BH142" s="51"/>
      <c r="BI142" s="51"/>
      <c r="BJ142" s="97">
        <f>SUM(BJ34,BJ88)</f>
        <v>363.55172413793105</v>
      </c>
      <c r="BK142" s="51"/>
      <c r="BL142" s="51"/>
      <c r="BM142" s="51"/>
      <c r="BN142" s="51"/>
      <c r="BO142" s="97">
        <f>SUM(BO34,BO88)</f>
        <v>435.06896551724139</v>
      </c>
      <c r="BP142" s="79">
        <f t="shared" si="42"/>
        <v>472.33193865630665</v>
      </c>
      <c r="BQ142" s="79">
        <f t="shared" si="42"/>
        <v>466.26991358795698</v>
      </c>
      <c r="BR142" s="79">
        <f t="shared" si="42"/>
        <v>467.84960507104677</v>
      </c>
      <c r="BS142" s="79">
        <f t="shared" si="42"/>
        <v>470.56371509848276</v>
      </c>
      <c r="BT142" s="97">
        <f t="shared" si="42"/>
        <v>469.25379310344829</v>
      </c>
      <c r="BU142" s="79">
        <f t="shared" si="42"/>
        <v>504.20270364821675</v>
      </c>
      <c r="BV142" s="79">
        <f t="shared" si="42"/>
        <v>496.79252649818602</v>
      </c>
      <c r="BW142" s="79">
        <f t="shared" si="42"/>
        <v>498.72353034592777</v>
      </c>
      <c r="BX142" s="79">
        <f t="shared" si="42"/>
        <v>502.04123950767007</v>
      </c>
      <c r="BY142" s="97">
        <f t="shared" si="42"/>
        <v>500.44000000000017</v>
      </c>
      <c r="BZ142" s="79">
        <f t="shared" si="42"/>
        <v>543.27006888166341</v>
      </c>
      <c r="CA142" s="79">
        <f t="shared" si="42"/>
        <v>534.50417405518738</v>
      </c>
      <c r="CB142" s="79">
        <f t="shared" si="42"/>
        <v>536.78846177140667</v>
      </c>
      <c r="CC142" s="79">
        <f t="shared" si="42"/>
        <v>540.71315736070835</v>
      </c>
      <c r="CD142" s="97">
        <f t="shared" si="42"/>
        <v>538.81896551724139</v>
      </c>
    </row>
    <row r="143" spans="1:97">
      <c r="A143" s="11"/>
      <c r="B143" s="11"/>
      <c r="C143" s="11"/>
      <c r="D143" s="11"/>
      <c r="E143" s="11"/>
      <c r="F143" s="11"/>
      <c r="G143" s="11"/>
      <c r="H143" s="80"/>
      <c r="I143" s="80"/>
      <c r="J143" s="80"/>
      <c r="K143" s="80"/>
      <c r="L143" s="80"/>
      <c r="M143" s="68"/>
      <c r="N143" s="68"/>
      <c r="O143" s="68"/>
      <c r="P143" s="68"/>
      <c r="Q143" s="11"/>
      <c r="R143" s="68"/>
      <c r="S143" s="68"/>
      <c r="T143" s="68"/>
      <c r="U143" s="68"/>
      <c r="V143" s="11"/>
      <c r="W143" s="68"/>
      <c r="X143" s="68"/>
      <c r="Y143" s="68"/>
      <c r="Z143" s="68"/>
      <c r="AA143" s="11"/>
      <c r="AB143" s="68"/>
      <c r="AC143" s="68"/>
      <c r="AD143" s="68"/>
      <c r="AE143" s="68"/>
      <c r="AF143" s="11"/>
      <c r="AG143" s="68"/>
      <c r="AH143" s="68"/>
      <c r="AI143" s="68"/>
      <c r="AJ143" s="68"/>
      <c r="AK143" s="98"/>
      <c r="AL143" s="48"/>
      <c r="AM143" s="48"/>
      <c r="AN143" s="48"/>
      <c r="AO143" s="48"/>
      <c r="AP143" s="98"/>
      <c r="AQ143" s="48"/>
      <c r="AR143" s="48"/>
      <c r="AS143" s="48"/>
      <c r="AT143" s="48"/>
      <c r="AU143" s="98"/>
      <c r="AV143" s="48"/>
      <c r="AW143" s="48"/>
      <c r="AX143" s="48"/>
      <c r="AY143" s="48"/>
      <c r="AZ143" s="98"/>
      <c r="BA143" s="48"/>
      <c r="BB143" s="48"/>
      <c r="BC143" s="48"/>
      <c r="BD143" s="48"/>
      <c r="BE143" s="98"/>
      <c r="BF143" s="48"/>
      <c r="BG143" s="48"/>
      <c r="BH143" s="48"/>
      <c r="BI143" s="48"/>
      <c r="BJ143" s="98"/>
      <c r="BK143" s="48"/>
      <c r="BL143" s="48"/>
      <c r="BM143" s="48"/>
      <c r="BN143" s="48"/>
      <c r="BO143" s="98"/>
      <c r="BP143" s="48"/>
      <c r="BQ143" s="48"/>
      <c r="BR143" s="48"/>
      <c r="BS143" s="48"/>
      <c r="BT143" s="48"/>
      <c r="BU143" s="48"/>
      <c r="BV143" s="48"/>
      <c r="BW143" s="48"/>
      <c r="BX143" s="48"/>
      <c r="BY143" s="48"/>
      <c r="BZ143" s="48"/>
      <c r="CA143" s="48"/>
      <c r="CB143" s="48"/>
      <c r="CC143" s="48"/>
      <c r="CD143" s="48"/>
    </row>
    <row r="144" spans="1:97">
      <c r="A144" s="39" t="s">
        <v>2462</v>
      </c>
      <c r="B144" s="11"/>
      <c r="C144" s="11"/>
      <c r="D144" s="11"/>
      <c r="E144" s="11"/>
      <c r="F144" s="11"/>
      <c r="G144" s="11"/>
      <c r="H144" s="80"/>
      <c r="I144" s="80"/>
      <c r="J144" s="80"/>
      <c r="K144" s="80"/>
      <c r="L144" s="80"/>
      <c r="M144" s="68"/>
      <c r="N144" s="68"/>
      <c r="O144" s="68"/>
      <c r="P144" s="68"/>
      <c r="Q144" s="11"/>
      <c r="R144" s="68"/>
      <c r="S144" s="68"/>
      <c r="T144" s="68"/>
      <c r="U144" s="68"/>
      <c r="V144" s="11"/>
      <c r="W144" s="68"/>
      <c r="X144" s="68"/>
      <c r="Y144" s="68"/>
      <c r="Z144" s="68"/>
      <c r="AA144" s="11"/>
      <c r="AB144" s="68"/>
      <c r="AC144" s="68"/>
      <c r="AD144" s="68"/>
      <c r="AE144" s="68"/>
      <c r="AF144" s="11"/>
      <c r="AG144" s="68"/>
      <c r="AH144" s="68"/>
      <c r="AI144" s="68"/>
      <c r="AJ144" s="68"/>
      <c r="AK144" s="98"/>
      <c r="AL144" s="48"/>
      <c r="AM144" s="48"/>
      <c r="AN144" s="48"/>
      <c r="AO144" s="48"/>
      <c r="AP144" s="98"/>
      <c r="AQ144" s="48"/>
      <c r="AR144" s="48"/>
      <c r="AS144" s="48"/>
      <c r="AT144" s="48"/>
      <c r="AU144" s="98"/>
      <c r="AV144" s="48"/>
      <c r="AW144" s="48"/>
      <c r="AX144" s="48"/>
      <c r="AY144" s="48"/>
      <c r="AZ144" s="98"/>
      <c r="BA144" s="48"/>
      <c r="BB144" s="48"/>
      <c r="BC144" s="48"/>
      <c r="BD144" s="48"/>
      <c r="BE144" s="98"/>
      <c r="BF144" s="48"/>
      <c r="BG144" s="48"/>
      <c r="BH144" s="48"/>
      <c r="BI144" s="48"/>
      <c r="BJ144" s="98"/>
      <c r="BK144" s="48"/>
      <c r="BL144" s="48"/>
      <c r="BM144" s="48"/>
      <c r="BN144" s="48"/>
      <c r="BO144" s="98"/>
      <c r="BP144" s="48"/>
      <c r="BQ144" s="48"/>
      <c r="BR144" s="48"/>
      <c r="BS144" s="48"/>
      <c r="BT144" s="48"/>
      <c r="BU144" s="48"/>
      <c r="BV144" s="48"/>
      <c r="BW144" s="48"/>
      <c r="BX144" s="48"/>
      <c r="BY144" s="48"/>
      <c r="BZ144" s="48"/>
      <c r="CA144" s="48"/>
      <c r="CB144" s="48"/>
      <c r="CC144" s="48"/>
      <c r="CD144" s="48"/>
    </row>
    <row r="145" spans="1:82">
      <c r="A145" s="39"/>
      <c r="B145" s="11" t="s">
        <v>2502</v>
      </c>
      <c r="C145" s="11">
        <f t="shared" ref="C145:G156" si="43">SUM(C37,C91)</f>
        <v>126</v>
      </c>
      <c r="D145" s="11">
        <f t="shared" si="43"/>
        <v>113</v>
      </c>
      <c r="E145" s="11">
        <f t="shared" si="43"/>
        <v>138</v>
      </c>
      <c r="F145" s="11">
        <f t="shared" si="43"/>
        <v>142</v>
      </c>
      <c r="G145" s="11">
        <f t="shared" si="43"/>
        <v>148</v>
      </c>
      <c r="H145" s="51"/>
      <c r="I145" s="51"/>
      <c r="J145" s="51"/>
      <c r="K145" s="51"/>
      <c r="L145" s="11">
        <f t="shared" ref="L145:L156" si="44">SUM(L37,L91)</f>
        <v>163</v>
      </c>
      <c r="M145" s="51"/>
      <c r="N145" s="51"/>
      <c r="O145" s="51"/>
      <c r="P145" s="51"/>
      <c r="Q145" s="11">
        <f t="shared" ref="Q145:Q152" si="45">SUM(Q37,Q91)</f>
        <v>192</v>
      </c>
      <c r="R145" s="51"/>
      <c r="S145" s="51"/>
      <c r="T145" s="51"/>
      <c r="U145" s="51"/>
      <c r="V145" s="11">
        <f t="shared" ref="V145:V152" si="46">SUM(V37,V91)</f>
        <v>210</v>
      </c>
      <c r="W145" s="51"/>
      <c r="X145" s="51"/>
      <c r="Y145" s="51"/>
      <c r="Z145" s="51"/>
      <c r="AA145" s="11">
        <f t="shared" ref="AA145:AA152" si="47">SUM(AA37,AA91)</f>
        <v>182</v>
      </c>
      <c r="AB145" s="51"/>
      <c r="AC145" s="51"/>
      <c r="AD145" s="51"/>
      <c r="AE145" s="51"/>
      <c r="AF145" s="11">
        <f t="shared" ref="AF145:AO145" si="48">SUM(AF37,AF91)</f>
        <v>190</v>
      </c>
      <c r="AG145" s="86">
        <f t="shared" si="48"/>
        <v>0</v>
      </c>
      <c r="AH145" s="86">
        <f t="shared" si="48"/>
        <v>0</v>
      </c>
      <c r="AI145" s="86">
        <f t="shared" si="48"/>
        <v>0</v>
      </c>
      <c r="AJ145" s="86">
        <f t="shared" si="48"/>
        <v>0</v>
      </c>
      <c r="AK145" s="11">
        <f t="shared" si="48"/>
        <v>209</v>
      </c>
      <c r="AL145" s="86">
        <f t="shared" si="48"/>
        <v>0</v>
      </c>
      <c r="AM145" s="86">
        <f t="shared" si="48"/>
        <v>0</v>
      </c>
      <c r="AN145" s="86">
        <f t="shared" si="48"/>
        <v>0</v>
      </c>
      <c r="AO145" s="86">
        <f t="shared" si="48"/>
        <v>0</v>
      </c>
      <c r="AP145" s="11">
        <f t="shared" ref="AP145:AP156" si="49">SUM(AP37,AP91)</f>
        <v>216</v>
      </c>
      <c r="AQ145" s="51"/>
      <c r="AR145" s="51"/>
      <c r="AS145" s="51"/>
      <c r="AT145" s="51"/>
      <c r="AU145" s="11">
        <f>SUM(AU37,AU91)</f>
        <v>231</v>
      </c>
      <c r="AV145" s="51"/>
      <c r="AW145" s="51"/>
      <c r="AX145" s="51"/>
      <c r="AY145" s="51"/>
      <c r="AZ145" s="11">
        <f t="shared" ref="AZ145:AZ156" si="50">SUM(AZ37,AZ91)</f>
        <v>97</v>
      </c>
      <c r="BA145" s="51"/>
      <c r="BB145" s="51"/>
      <c r="BC145" s="51"/>
      <c r="BD145" s="51"/>
      <c r="BE145" s="11">
        <f t="shared" ref="BE145" si="51">SUM(BE37,BE91)</f>
        <v>96</v>
      </c>
      <c r="BF145" s="51"/>
      <c r="BG145" s="51"/>
      <c r="BH145" s="51"/>
      <c r="BI145" s="51"/>
      <c r="BJ145" s="11">
        <f t="shared" ref="BJ145:BJ156" si="52">SUM(BJ37,BJ91)</f>
        <v>101</v>
      </c>
      <c r="BK145" s="51"/>
      <c r="BL145" s="51"/>
      <c r="BM145" s="51"/>
      <c r="BN145" s="51"/>
      <c r="BO145" s="11">
        <f t="shared" ref="BO145:BO156" si="53">SUM(BO37,BO91)</f>
        <v>257</v>
      </c>
      <c r="BP145" s="51"/>
      <c r="BQ145" s="51"/>
      <c r="BR145" s="51"/>
      <c r="BS145" s="51"/>
      <c r="BT145" s="99"/>
      <c r="BU145" s="51"/>
      <c r="BV145" s="51"/>
      <c r="BW145" s="51"/>
      <c r="BX145" s="51"/>
      <c r="BY145" s="99"/>
      <c r="BZ145" s="51"/>
      <c r="CA145" s="51"/>
      <c r="CB145" s="51"/>
      <c r="CC145" s="51"/>
      <c r="CD145" s="99"/>
    </row>
    <row r="146" spans="1:82">
      <c r="A146" s="11"/>
      <c r="B146" s="11" t="s">
        <v>726</v>
      </c>
      <c r="C146" s="11">
        <f t="shared" si="43"/>
        <v>35</v>
      </c>
      <c r="D146" s="11">
        <f t="shared" si="43"/>
        <v>38</v>
      </c>
      <c r="E146" s="11">
        <f t="shared" si="43"/>
        <v>38</v>
      </c>
      <c r="F146" s="11">
        <f t="shared" si="43"/>
        <v>39</v>
      </c>
      <c r="G146" s="11">
        <f t="shared" si="43"/>
        <v>76</v>
      </c>
      <c r="H146" s="51"/>
      <c r="I146" s="51"/>
      <c r="J146" s="51"/>
      <c r="K146" s="51"/>
      <c r="L146" s="11">
        <f t="shared" si="44"/>
        <v>145</v>
      </c>
      <c r="M146" s="51"/>
      <c r="N146" s="51"/>
      <c r="O146" s="51"/>
      <c r="P146" s="51"/>
      <c r="Q146" s="11">
        <f t="shared" si="45"/>
        <v>217.58620689655172</v>
      </c>
      <c r="R146" s="51"/>
      <c r="S146" s="51"/>
      <c r="T146" s="51"/>
      <c r="U146" s="51"/>
      <c r="V146" s="11">
        <f t="shared" si="46"/>
        <v>129.65517241379311</v>
      </c>
      <c r="W146" s="51"/>
      <c r="X146" s="51"/>
      <c r="Y146" s="51"/>
      <c r="Z146" s="51"/>
      <c r="AA146" s="11">
        <f t="shared" si="47"/>
        <v>122.72413793103448</v>
      </c>
      <c r="AB146" s="51"/>
      <c r="AC146" s="51"/>
      <c r="AD146" s="51"/>
      <c r="AE146" s="51"/>
      <c r="AF146" s="11">
        <f t="shared" ref="AF146:AF152" si="54">SUM(AF38,AF92)</f>
        <v>125.75862068965517</v>
      </c>
      <c r="AG146" s="51"/>
      <c r="AH146" s="51"/>
      <c r="AI146" s="51"/>
      <c r="AJ146" s="51"/>
      <c r="AK146" s="11">
        <f t="shared" ref="AK146:AK156" si="55">SUM(AK38,AK92)</f>
        <v>118.13793103448276</v>
      </c>
      <c r="AL146" s="51"/>
      <c r="AM146" s="51"/>
      <c r="AN146" s="51"/>
      <c r="AO146" s="51"/>
      <c r="AP146" s="11">
        <f t="shared" si="49"/>
        <v>119.24137931034483</v>
      </c>
      <c r="AQ146" s="51"/>
      <c r="AR146" s="51"/>
      <c r="AS146" s="51"/>
      <c r="AT146" s="51"/>
      <c r="AU146" s="11">
        <f t="shared" ref="AU146:AU156" si="56">SUM(AU38,AU92)</f>
        <v>131</v>
      </c>
      <c r="AV146" s="51"/>
      <c r="AW146" s="51"/>
      <c r="AX146" s="51"/>
      <c r="AY146" s="51"/>
      <c r="AZ146" s="11">
        <f t="shared" si="50"/>
        <v>137.65517241379311</v>
      </c>
      <c r="BA146" s="51"/>
      <c r="BB146" s="51"/>
      <c r="BC146" s="51"/>
      <c r="BD146" s="51"/>
      <c r="BE146" s="11">
        <f t="shared" ref="BE146:BE156" si="57">SUM(BE38,BE92)</f>
        <v>148.75862068965517</v>
      </c>
      <c r="BF146" s="51"/>
      <c r="BG146" s="51"/>
      <c r="BH146" s="51"/>
      <c r="BI146" s="51"/>
      <c r="BJ146" s="11">
        <f t="shared" si="52"/>
        <v>147.24137931034483</v>
      </c>
      <c r="BK146" s="51"/>
      <c r="BL146" s="51"/>
      <c r="BM146" s="51"/>
      <c r="BN146" s="51"/>
      <c r="BO146" s="11">
        <f t="shared" si="53"/>
        <v>130</v>
      </c>
      <c r="BP146" s="51"/>
      <c r="BQ146" s="51"/>
      <c r="BR146" s="51"/>
      <c r="BS146" s="51"/>
      <c r="BT146" s="99"/>
      <c r="BU146" s="51"/>
      <c r="BV146" s="51"/>
      <c r="BW146" s="51"/>
      <c r="BX146" s="51"/>
      <c r="BY146" s="99"/>
      <c r="BZ146" s="51"/>
      <c r="CA146" s="51"/>
      <c r="CB146" s="51"/>
      <c r="CC146" s="51"/>
      <c r="CD146" s="99"/>
    </row>
    <row r="147" spans="1:82">
      <c r="A147" s="11"/>
      <c r="B147" s="11" t="s">
        <v>216</v>
      </c>
      <c r="C147" s="11">
        <f t="shared" si="43"/>
        <v>18.620689655172413</v>
      </c>
      <c r="D147" s="11">
        <f t="shared" si="43"/>
        <v>17.586206896551726</v>
      </c>
      <c r="E147" s="11">
        <f t="shared" si="43"/>
        <v>12.758620689655173</v>
      </c>
      <c r="F147" s="11">
        <f t="shared" si="43"/>
        <v>17.068965517241381</v>
      </c>
      <c r="G147" s="11">
        <f t="shared" si="43"/>
        <v>16.896551724137932</v>
      </c>
      <c r="H147" s="51"/>
      <c r="I147" s="51"/>
      <c r="J147" s="51"/>
      <c r="K147" s="51"/>
      <c r="L147" s="11">
        <f t="shared" si="44"/>
        <v>17.586206896551726</v>
      </c>
      <c r="M147" s="51"/>
      <c r="N147" s="51"/>
      <c r="O147" s="51"/>
      <c r="P147" s="51"/>
      <c r="Q147" s="11">
        <f t="shared" si="45"/>
        <v>14.655172413793103</v>
      </c>
      <c r="R147" s="51"/>
      <c r="S147" s="51"/>
      <c r="T147" s="51"/>
      <c r="U147" s="51"/>
      <c r="V147" s="11">
        <f t="shared" si="46"/>
        <v>15.689655172413794</v>
      </c>
      <c r="W147" s="51"/>
      <c r="X147" s="51"/>
      <c r="Y147" s="51"/>
      <c r="Z147" s="51"/>
      <c r="AA147" s="11">
        <f t="shared" si="47"/>
        <v>14.310344827586208</v>
      </c>
      <c r="AB147" s="51"/>
      <c r="AC147" s="51"/>
      <c r="AD147" s="51"/>
      <c r="AE147" s="51"/>
      <c r="AF147" s="11">
        <f t="shared" si="54"/>
        <v>16.379310344827587</v>
      </c>
      <c r="AG147" s="51"/>
      <c r="AH147" s="51"/>
      <c r="AI147" s="51"/>
      <c r="AJ147" s="51"/>
      <c r="AK147" s="11">
        <f t="shared" si="55"/>
        <v>12.068965517241379</v>
      </c>
      <c r="AL147" s="51"/>
      <c r="AM147" s="51"/>
      <c r="AN147" s="51"/>
      <c r="AO147" s="51"/>
      <c r="AP147" s="11">
        <f t="shared" si="49"/>
        <v>9.3103448275862064</v>
      </c>
      <c r="AQ147" s="51"/>
      <c r="AR147" s="51"/>
      <c r="AS147" s="51"/>
      <c r="AT147" s="51"/>
      <c r="AU147" s="11">
        <f t="shared" si="56"/>
        <v>5.862068965517242</v>
      </c>
      <c r="AV147" s="51"/>
      <c r="AW147" s="51"/>
      <c r="AX147" s="51"/>
      <c r="AY147" s="51"/>
      <c r="AZ147" s="11">
        <f t="shared" si="50"/>
        <v>0</v>
      </c>
      <c r="BA147" s="51"/>
      <c r="BB147" s="51"/>
      <c r="BC147" s="51"/>
      <c r="BD147" s="51"/>
      <c r="BE147" s="11">
        <f t="shared" si="57"/>
        <v>0</v>
      </c>
      <c r="BF147" s="51"/>
      <c r="BG147" s="51"/>
      <c r="BH147" s="51"/>
      <c r="BI147" s="51"/>
      <c r="BJ147" s="11">
        <f t="shared" si="52"/>
        <v>0</v>
      </c>
      <c r="BK147" s="51"/>
      <c r="BL147" s="51"/>
      <c r="BM147" s="51"/>
      <c r="BN147" s="51"/>
      <c r="BO147" s="11">
        <f t="shared" si="53"/>
        <v>0</v>
      </c>
      <c r="BP147" s="51"/>
      <c r="BQ147" s="51"/>
      <c r="BR147" s="51"/>
      <c r="BS147" s="51"/>
      <c r="BT147" s="99"/>
      <c r="BU147" s="51"/>
      <c r="BV147" s="51"/>
      <c r="BW147" s="51"/>
      <c r="BX147" s="51"/>
      <c r="BY147" s="99"/>
      <c r="BZ147" s="51"/>
      <c r="CA147" s="51"/>
      <c r="CB147" s="51"/>
      <c r="CC147" s="51"/>
      <c r="CD147" s="99"/>
    </row>
    <row r="148" spans="1:82">
      <c r="A148" s="11"/>
      <c r="B148" s="11" t="s">
        <v>138</v>
      </c>
      <c r="C148" s="11">
        <f t="shared" si="43"/>
        <v>0</v>
      </c>
      <c r="D148" s="11">
        <f t="shared" si="43"/>
        <v>0</v>
      </c>
      <c r="E148" s="11">
        <f t="shared" si="43"/>
        <v>0</v>
      </c>
      <c r="F148" s="11">
        <f t="shared" si="43"/>
        <v>0</v>
      </c>
      <c r="G148" s="11">
        <f t="shared" si="43"/>
        <v>0</v>
      </c>
      <c r="H148" s="51"/>
      <c r="I148" s="51"/>
      <c r="J148" s="51"/>
      <c r="K148" s="51"/>
      <c r="L148" s="11">
        <f t="shared" si="44"/>
        <v>0</v>
      </c>
      <c r="M148" s="51"/>
      <c r="N148" s="51"/>
      <c r="O148" s="51"/>
      <c r="P148" s="51"/>
      <c r="Q148" s="11">
        <f t="shared" si="45"/>
        <v>0</v>
      </c>
      <c r="R148" s="51"/>
      <c r="S148" s="51"/>
      <c r="T148" s="51"/>
      <c r="U148" s="51"/>
      <c r="V148" s="11">
        <f t="shared" si="46"/>
        <v>0</v>
      </c>
      <c r="W148" s="51"/>
      <c r="X148" s="51"/>
      <c r="Y148" s="51"/>
      <c r="Z148" s="51"/>
      <c r="AA148" s="11">
        <f t="shared" si="47"/>
        <v>0</v>
      </c>
      <c r="AB148" s="51"/>
      <c r="AC148" s="51"/>
      <c r="AD148" s="51"/>
      <c r="AE148" s="51"/>
      <c r="AF148" s="11">
        <f t="shared" si="54"/>
        <v>0</v>
      </c>
      <c r="AG148" s="51"/>
      <c r="AH148" s="51"/>
      <c r="AI148" s="51"/>
      <c r="AJ148" s="51"/>
      <c r="AK148" s="11">
        <f t="shared" si="55"/>
        <v>31</v>
      </c>
      <c r="AL148" s="51"/>
      <c r="AM148" s="51"/>
      <c r="AN148" s="51"/>
      <c r="AO148" s="51"/>
      <c r="AP148" s="11">
        <f t="shared" si="49"/>
        <v>39</v>
      </c>
      <c r="AQ148" s="51"/>
      <c r="AR148" s="51"/>
      <c r="AS148" s="51"/>
      <c r="AT148" s="51"/>
      <c r="AU148" s="11">
        <f t="shared" si="56"/>
        <v>39</v>
      </c>
      <c r="AV148" s="51"/>
      <c r="AW148" s="51"/>
      <c r="AX148" s="51"/>
      <c r="AY148" s="51"/>
      <c r="AZ148" s="11">
        <f t="shared" si="50"/>
        <v>46</v>
      </c>
      <c r="BA148" s="51"/>
      <c r="BB148" s="51"/>
      <c r="BC148" s="51"/>
      <c r="BD148" s="51"/>
      <c r="BE148" s="11">
        <f t="shared" si="57"/>
        <v>85</v>
      </c>
      <c r="BF148" s="51"/>
      <c r="BG148" s="51"/>
      <c r="BH148" s="51"/>
      <c r="BI148" s="51"/>
      <c r="BJ148" s="11">
        <f t="shared" si="52"/>
        <v>96</v>
      </c>
      <c r="BK148" s="51"/>
      <c r="BL148" s="51"/>
      <c r="BM148" s="51"/>
      <c r="BN148" s="51"/>
      <c r="BO148" s="11">
        <f t="shared" si="53"/>
        <v>73</v>
      </c>
      <c r="BP148" s="51"/>
      <c r="BQ148" s="51"/>
      <c r="BR148" s="51"/>
      <c r="BS148" s="51"/>
      <c r="BT148" s="99"/>
      <c r="BU148" s="51"/>
      <c r="BV148" s="51"/>
      <c r="BW148" s="51"/>
      <c r="BX148" s="51"/>
      <c r="BY148" s="99"/>
      <c r="BZ148" s="51"/>
      <c r="CA148" s="51"/>
      <c r="CB148" s="51"/>
      <c r="CC148" s="51"/>
      <c r="CD148" s="99"/>
    </row>
    <row r="149" spans="1:82">
      <c r="A149" s="11"/>
      <c r="B149" s="11" t="s">
        <v>816</v>
      </c>
      <c r="C149" s="11">
        <f t="shared" si="43"/>
        <v>0</v>
      </c>
      <c r="D149" s="11">
        <f t="shared" si="43"/>
        <v>0</v>
      </c>
      <c r="E149" s="11">
        <f t="shared" si="43"/>
        <v>0</v>
      </c>
      <c r="F149" s="11">
        <f t="shared" si="43"/>
        <v>0</v>
      </c>
      <c r="G149" s="11">
        <f t="shared" si="43"/>
        <v>0</v>
      </c>
      <c r="H149" s="51"/>
      <c r="I149" s="51"/>
      <c r="J149" s="51"/>
      <c r="K149" s="51"/>
      <c r="L149" s="11">
        <f t="shared" si="44"/>
        <v>0</v>
      </c>
      <c r="M149" s="51"/>
      <c r="N149" s="51"/>
      <c r="O149" s="51"/>
      <c r="P149" s="51"/>
      <c r="Q149" s="11">
        <f t="shared" si="45"/>
        <v>0</v>
      </c>
      <c r="R149" s="51"/>
      <c r="S149" s="51"/>
      <c r="T149" s="51"/>
      <c r="U149" s="51"/>
      <c r="V149" s="11">
        <f t="shared" si="46"/>
        <v>0</v>
      </c>
      <c r="W149" s="51"/>
      <c r="X149" s="51"/>
      <c r="Y149" s="51"/>
      <c r="Z149" s="51"/>
      <c r="AA149" s="11">
        <f t="shared" si="47"/>
        <v>0</v>
      </c>
      <c r="AB149" s="51"/>
      <c r="AC149" s="51"/>
      <c r="AD149" s="51"/>
      <c r="AE149" s="51"/>
      <c r="AF149" s="11">
        <f t="shared" si="54"/>
        <v>0</v>
      </c>
      <c r="AG149" s="51"/>
      <c r="AH149" s="51"/>
      <c r="AI149" s="51"/>
      <c r="AJ149" s="51"/>
      <c r="AK149" s="11">
        <f t="shared" si="55"/>
        <v>0</v>
      </c>
      <c r="AL149" s="51"/>
      <c r="AM149" s="51"/>
      <c r="AN149" s="51"/>
      <c r="AO149" s="51"/>
      <c r="AP149" s="11">
        <f t="shared" si="49"/>
        <v>0</v>
      </c>
      <c r="AQ149" s="51"/>
      <c r="AR149" s="51"/>
      <c r="AS149" s="51"/>
      <c r="AT149" s="51"/>
      <c r="AU149" s="11">
        <f t="shared" si="56"/>
        <v>0</v>
      </c>
      <c r="AV149" s="51"/>
      <c r="AW149" s="51"/>
      <c r="AX149" s="51"/>
      <c r="AY149" s="51"/>
      <c r="AZ149" s="11">
        <f t="shared" si="50"/>
        <v>0</v>
      </c>
      <c r="BA149" s="51"/>
      <c r="BB149" s="51"/>
      <c r="BC149" s="51"/>
      <c r="BD149" s="51"/>
      <c r="BE149" s="11">
        <f t="shared" si="57"/>
        <v>0</v>
      </c>
      <c r="BF149" s="51"/>
      <c r="BG149" s="51"/>
      <c r="BH149" s="51"/>
      <c r="BI149" s="51"/>
      <c r="BJ149" s="11">
        <f t="shared" si="52"/>
        <v>0</v>
      </c>
      <c r="BK149" s="51"/>
      <c r="BL149" s="51"/>
      <c r="BM149" s="51"/>
      <c r="BN149" s="51"/>
      <c r="BO149" s="11">
        <f t="shared" si="53"/>
        <v>0</v>
      </c>
      <c r="BP149" s="51"/>
      <c r="BQ149" s="51"/>
      <c r="BR149" s="51"/>
      <c r="BS149" s="51"/>
      <c r="BT149" s="99"/>
      <c r="BU149" s="51"/>
      <c r="BV149" s="51"/>
      <c r="BW149" s="51"/>
      <c r="BX149" s="51"/>
      <c r="BY149" s="99"/>
      <c r="BZ149" s="51"/>
      <c r="CA149" s="51"/>
      <c r="CB149" s="51"/>
      <c r="CC149" s="51"/>
      <c r="CD149" s="99"/>
    </row>
    <row r="150" spans="1:82">
      <c r="A150" s="11"/>
      <c r="B150" s="11" t="s">
        <v>1962</v>
      </c>
      <c r="C150" s="11">
        <f t="shared" si="43"/>
        <v>0</v>
      </c>
      <c r="D150" s="11">
        <f t="shared" si="43"/>
        <v>0</v>
      </c>
      <c r="E150" s="11">
        <f t="shared" si="43"/>
        <v>0</v>
      </c>
      <c r="F150" s="11">
        <f t="shared" si="43"/>
        <v>0</v>
      </c>
      <c r="G150" s="11">
        <f t="shared" si="43"/>
        <v>0</v>
      </c>
      <c r="H150" s="51"/>
      <c r="I150" s="51"/>
      <c r="J150" s="51"/>
      <c r="K150" s="51"/>
      <c r="L150" s="11">
        <f t="shared" si="44"/>
        <v>1.3793103448275863</v>
      </c>
      <c r="M150" s="51"/>
      <c r="N150" s="51"/>
      <c r="O150" s="51"/>
      <c r="P150" s="51"/>
      <c r="Q150" s="11">
        <f t="shared" si="45"/>
        <v>1.3793103448275863</v>
      </c>
      <c r="R150" s="51"/>
      <c r="S150" s="51"/>
      <c r="T150" s="51"/>
      <c r="U150" s="51"/>
      <c r="V150" s="11">
        <f t="shared" si="46"/>
        <v>1.3793103448275863</v>
      </c>
      <c r="W150" s="51"/>
      <c r="X150" s="51"/>
      <c r="Y150" s="51"/>
      <c r="Z150" s="51"/>
      <c r="AA150" s="11">
        <f t="shared" si="47"/>
        <v>1.896551724137931</v>
      </c>
      <c r="AB150" s="51"/>
      <c r="AC150" s="51"/>
      <c r="AD150" s="51"/>
      <c r="AE150" s="51"/>
      <c r="AF150" s="11">
        <f t="shared" si="54"/>
        <v>0</v>
      </c>
      <c r="AG150" s="51"/>
      <c r="AH150" s="51"/>
      <c r="AI150" s="51"/>
      <c r="AJ150" s="51"/>
      <c r="AK150" s="11">
        <f t="shared" si="55"/>
        <v>0</v>
      </c>
      <c r="AL150" s="51"/>
      <c r="AM150" s="51"/>
      <c r="AN150" s="51"/>
      <c r="AO150" s="51"/>
      <c r="AP150" s="11">
        <f t="shared" si="49"/>
        <v>0</v>
      </c>
      <c r="AQ150" s="51"/>
      <c r="AR150" s="51"/>
      <c r="AS150" s="51"/>
      <c r="AT150" s="51"/>
      <c r="AU150" s="11">
        <f t="shared" si="56"/>
        <v>0</v>
      </c>
      <c r="AV150" s="51"/>
      <c r="AW150" s="51"/>
      <c r="AX150" s="51"/>
      <c r="AY150" s="51"/>
      <c r="AZ150" s="11">
        <f t="shared" si="50"/>
        <v>0</v>
      </c>
      <c r="BA150" s="51"/>
      <c r="BB150" s="51"/>
      <c r="BC150" s="51"/>
      <c r="BD150" s="51"/>
      <c r="BE150" s="11">
        <f t="shared" si="57"/>
        <v>0</v>
      </c>
      <c r="BF150" s="51"/>
      <c r="BG150" s="51"/>
      <c r="BH150" s="51"/>
      <c r="BI150" s="51"/>
      <c r="BJ150" s="11">
        <f t="shared" si="52"/>
        <v>0</v>
      </c>
      <c r="BK150" s="51"/>
      <c r="BL150" s="51"/>
      <c r="BM150" s="51"/>
      <c r="BN150" s="51"/>
      <c r="BO150" s="11">
        <f t="shared" si="53"/>
        <v>0</v>
      </c>
      <c r="BP150" s="51"/>
      <c r="BQ150" s="51"/>
      <c r="BR150" s="51"/>
      <c r="BS150" s="51"/>
      <c r="BT150" s="99"/>
      <c r="BU150" s="51"/>
      <c r="BV150" s="51"/>
      <c r="BW150" s="51"/>
      <c r="BX150" s="51"/>
      <c r="BY150" s="99"/>
      <c r="BZ150" s="51"/>
      <c r="CA150" s="51"/>
      <c r="CB150" s="51"/>
      <c r="CC150" s="51"/>
      <c r="CD150" s="99"/>
    </row>
    <row r="151" spans="1:82">
      <c r="A151" s="11"/>
      <c r="B151" s="11" t="s">
        <v>3277</v>
      </c>
      <c r="C151" s="11">
        <f t="shared" si="43"/>
        <v>0</v>
      </c>
      <c r="D151" s="11">
        <f t="shared" si="43"/>
        <v>0</v>
      </c>
      <c r="E151" s="11">
        <f t="shared" si="43"/>
        <v>0</v>
      </c>
      <c r="F151" s="11">
        <f t="shared" si="43"/>
        <v>0</v>
      </c>
      <c r="G151" s="11">
        <f t="shared" si="43"/>
        <v>0</v>
      </c>
      <c r="H151" s="51"/>
      <c r="I151" s="51"/>
      <c r="J151" s="51"/>
      <c r="K151" s="51"/>
      <c r="L151" s="11">
        <f t="shared" si="44"/>
        <v>0</v>
      </c>
      <c r="M151" s="51"/>
      <c r="N151" s="51"/>
      <c r="O151" s="51"/>
      <c r="P151" s="51"/>
      <c r="Q151" s="11">
        <f t="shared" si="45"/>
        <v>0</v>
      </c>
      <c r="R151" s="51"/>
      <c r="S151" s="51"/>
      <c r="T151" s="51"/>
      <c r="U151" s="51"/>
      <c r="V151" s="11">
        <f t="shared" si="46"/>
        <v>0</v>
      </c>
      <c r="W151" s="51"/>
      <c r="X151" s="51"/>
      <c r="Y151" s="51"/>
      <c r="Z151" s="51"/>
      <c r="AA151" s="11">
        <f t="shared" si="47"/>
        <v>0</v>
      </c>
      <c r="AB151" s="51"/>
      <c r="AC151" s="51"/>
      <c r="AD151" s="51"/>
      <c r="AE151" s="51"/>
      <c r="AF151" s="11">
        <f t="shared" si="54"/>
        <v>0</v>
      </c>
      <c r="AG151" s="51"/>
      <c r="AH151" s="51"/>
      <c r="AI151" s="51"/>
      <c r="AJ151" s="51"/>
      <c r="AK151" s="11">
        <f t="shared" si="55"/>
        <v>3.4482758620689657</v>
      </c>
      <c r="AL151" s="51"/>
      <c r="AM151" s="51"/>
      <c r="AN151" s="51"/>
      <c r="AO151" s="51"/>
      <c r="AP151" s="11">
        <f t="shared" si="49"/>
        <v>2.4137931034482758</v>
      </c>
      <c r="AQ151" s="51"/>
      <c r="AR151" s="51"/>
      <c r="AS151" s="51"/>
      <c r="AT151" s="51"/>
      <c r="AU151" s="11">
        <f t="shared" si="56"/>
        <v>3.7931034482758621</v>
      </c>
      <c r="AV151" s="51"/>
      <c r="AW151" s="51"/>
      <c r="AX151" s="51"/>
      <c r="AY151" s="51"/>
      <c r="AZ151" s="11">
        <f t="shared" si="50"/>
        <v>0</v>
      </c>
      <c r="BA151" s="51"/>
      <c r="BB151" s="51"/>
      <c r="BC151" s="51"/>
      <c r="BD151" s="51"/>
      <c r="BE151" s="11">
        <f t="shared" si="57"/>
        <v>0</v>
      </c>
      <c r="BF151" s="51"/>
      <c r="BG151" s="51"/>
      <c r="BH151" s="51"/>
      <c r="BI151" s="51"/>
      <c r="BJ151" s="11">
        <f t="shared" si="52"/>
        <v>0</v>
      </c>
      <c r="BK151" s="51"/>
      <c r="BL151" s="51"/>
      <c r="BM151" s="51"/>
      <c r="BN151" s="51"/>
      <c r="BO151" s="11">
        <f t="shared" si="53"/>
        <v>15.620689655172415</v>
      </c>
      <c r="BP151" s="51"/>
      <c r="BQ151" s="51"/>
      <c r="BR151" s="51"/>
      <c r="BS151" s="51"/>
      <c r="BT151" s="99"/>
      <c r="BU151" s="51"/>
      <c r="BV151" s="51"/>
      <c r="BW151" s="51"/>
      <c r="BX151" s="51"/>
      <c r="BY151" s="99"/>
      <c r="BZ151" s="51"/>
      <c r="CA151" s="51"/>
      <c r="CB151" s="51"/>
      <c r="CC151" s="51"/>
      <c r="CD151" s="99"/>
    </row>
    <row r="152" spans="1:82">
      <c r="A152" s="11"/>
      <c r="B152" s="11" t="s">
        <v>3278</v>
      </c>
      <c r="C152" s="11">
        <f t="shared" si="43"/>
        <v>0</v>
      </c>
      <c r="D152" s="11">
        <f t="shared" si="43"/>
        <v>0</v>
      </c>
      <c r="E152" s="11">
        <f t="shared" si="43"/>
        <v>15.755172413793103</v>
      </c>
      <c r="F152" s="11">
        <f t="shared" si="43"/>
        <v>16.044827586206896</v>
      </c>
      <c r="G152" s="11">
        <f t="shared" si="43"/>
        <v>17.182758620689654</v>
      </c>
      <c r="H152" s="51"/>
      <c r="I152" s="51"/>
      <c r="J152" s="51"/>
      <c r="K152" s="51"/>
      <c r="L152" s="11">
        <f t="shared" si="44"/>
        <v>15.172413793103448</v>
      </c>
      <c r="M152" s="51"/>
      <c r="N152" s="51"/>
      <c r="O152" s="51"/>
      <c r="P152" s="51"/>
      <c r="Q152" s="11">
        <f t="shared" si="45"/>
        <v>20.862068965517242</v>
      </c>
      <c r="R152" s="51"/>
      <c r="S152" s="51"/>
      <c r="T152" s="51"/>
      <c r="U152" s="51"/>
      <c r="V152" s="11">
        <f t="shared" si="46"/>
        <v>27.931034482758623</v>
      </c>
      <c r="W152" s="51"/>
      <c r="X152" s="51"/>
      <c r="Y152" s="51"/>
      <c r="Z152" s="51"/>
      <c r="AA152" s="11">
        <f t="shared" si="47"/>
        <v>29.827586206896552</v>
      </c>
      <c r="AB152" s="51"/>
      <c r="AC152" s="51"/>
      <c r="AD152" s="51"/>
      <c r="AE152" s="51"/>
      <c r="AF152" s="11">
        <f t="shared" si="54"/>
        <v>25.862068965517242</v>
      </c>
      <c r="AG152" s="51"/>
      <c r="AH152" s="51"/>
      <c r="AI152" s="51"/>
      <c r="AJ152" s="51"/>
      <c r="AK152" s="11">
        <f t="shared" si="55"/>
        <v>12.586206896551724</v>
      </c>
      <c r="AL152" s="51"/>
      <c r="AM152" s="51"/>
      <c r="AN152" s="51"/>
      <c r="AO152" s="51"/>
      <c r="AP152" s="11">
        <f t="shared" si="49"/>
        <v>0</v>
      </c>
      <c r="AQ152" s="51"/>
      <c r="AR152" s="51"/>
      <c r="AS152" s="51"/>
      <c r="AT152" s="51"/>
      <c r="AU152" s="11">
        <f t="shared" si="56"/>
        <v>0</v>
      </c>
      <c r="AV152" s="51"/>
      <c r="AW152" s="51"/>
      <c r="AX152" s="51"/>
      <c r="AY152" s="51"/>
      <c r="AZ152" s="11">
        <f t="shared" si="50"/>
        <v>0</v>
      </c>
      <c r="BA152" s="51"/>
      <c r="BB152" s="51"/>
      <c r="BC152" s="51"/>
      <c r="BD152" s="51"/>
      <c r="BE152" s="11">
        <f t="shared" si="57"/>
        <v>0</v>
      </c>
      <c r="BF152" s="51"/>
      <c r="BG152" s="51"/>
      <c r="BH152" s="51"/>
      <c r="BI152" s="51"/>
      <c r="BJ152" s="11">
        <f t="shared" si="52"/>
        <v>0</v>
      </c>
      <c r="BK152" s="51"/>
      <c r="BL152" s="51"/>
      <c r="BM152" s="51"/>
      <c r="BN152" s="51"/>
      <c r="BO152" s="11">
        <f t="shared" si="53"/>
        <v>0</v>
      </c>
      <c r="BP152" s="51"/>
      <c r="BQ152" s="51"/>
      <c r="BR152" s="51"/>
      <c r="BS152" s="51"/>
      <c r="BT152" s="99"/>
      <c r="BU152" s="51"/>
      <c r="BV152" s="51"/>
      <c r="BW152" s="51"/>
      <c r="BX152" s="51"/>
      <c r="BY152" s="99"/>
      <c r="BZ152" s="51"/>
      <c r="CA152" s="51"/>
      <c r="CB152" s="51"/>
      <c r="CC152" s="51"/>
      <c r="CD152" s="99"/>
    </row>
    <row r="153" spans="1:82">
      <c r="A153" s="47"/>
      <c r="B153" s="47" t="s">
        <v>1703</v>
      </c>
      <c r="C153" s="11">
        <f t="shared" si="43"/>
        <v>20</v>
      </c>
      <c r="D153" s="11">
        <f t="shared" si="43"/>
        <v>74.034482758620683</v>
      </c>
      <c r="E153" s="11">
        <f t="shared" si="43"/>
        <v>318.24137931034483</v>
      </c>
      <c r="F153" s="11">
        <f t="shared" si="43"/>
        <v>909.9655172413793</v>
      </c>
      <c r="G153" s="11">
        <f t="shared" si="43"/>
        <v>994.10344827586209</v>
      </c>
      <c r="H153" s="64"/>
      <c r="I153" s="64"/>
      <c r="J153" s="64"/>
      <c r="K153" s="64"/>
      <c r="L153" s="11">
        <f t="shared" si="44"/>
        <v>969.79310344827582</v>
      </c>
      <c r="M153" s="68">
        <v>930</v>
      </c>
      <c r="N153" s="68">
        <v>913</v>
      </c>
      <c r="O153" s="68">
        <v>892</v>
      </c>
      <c r="P153" s="68">
        <v>904</v>
      </c>
      <c r="Q153" s="11">
        <v>910</v>
      </c>
      <c r="R153" s="68">
        <v>906</v>
      </c>
      <c r="S153" s="68">
        <v>919</v>
      </c>
      <c r="T153" s="68">
        <v>932</v>
      </c>
      <c r="U153" s="68">
        <v>934</v>
      </c>
      <c r="V153" s="11">
        <v>923</v>
      </c>
      <c r="W153" s="68">
        <v>933</v>
      </c>
      <c r="X153" s="68">
        <v>933</v>
      </c>
      <c r="Y153" s="68">
        <v>945</v>
      </c>
      <c r="Z153" s="68">
        <v>965</v>
      </c>
      <c r="AA153" s="11">
        <v>944</v>
      </c>
      <c r="AB153" s="68">
        <v>965</v>
      </c>
      <c r="AC153" s="68">
        <v>971</v>
      </c>
      <c r="AD153" s="68">
        <v>953</v>
      </c>
      <c r="AE153" s="68">
        <v>978</v>
      </c>
      <c r="AF153" s="11">
        <v>967</v>
      </c>
      <c r="AG153" s="68">
        <f>'Production - Oil'!AG153+'Production - Gas'!AG153/5.8</f>
        <v>979.9655172413793</v>
      </c>
      <c r="AH153" s="68">
        <f>'Production - Oil'!AH153+'Production - Gas'!AH153/5.8</f>
        <v>976.37931034482756</v>
      </c>
      <c r="AI153" s="68">
        <f>'Production - Oil'!AI153+'Production - Gas'!AI153/5.8</f>
        <v>997.48275862068965</v>
      </c>
      <c r="AJ153" s="68">
        <f>'Production - Oil'!AJ153+'Production - Gas'!AJ153/5.8</f>
        <v>1002.2758620689656</v>
      </c>
      <c r="AK153" s="98">
        <f t="shared" si="55"/>
        <v>985.51724137931035</v>
      </c>
      <c r="AL153" s="68">
        <f>'Production - Oil'!AL153+'Production - Gas'!AL153/5.8</f>
        <v>1019.1724137931035</v>
      </c>
      <c r="AM153" s="68">
        <f>'Production - Oil'!AM153+'Production - Gas'!AM153/5.8</f>
        <v>1015.3103448275863</v>
      </c>
      <c r="AN153" s="68">
        <f>'Production - Oil'!AN153+'Production - Gas'!AN153/5.8</f>
        <v>1001.5172413793103</v>
      </c>
      <c r="AO153" s="68">
        <f>'Production - Oil'!AO153+'Production - Gas'!AO153/5.8</f>
        <v>1011.0344827586207</v>
      </c>
      <c r="AP153" s="98">
        <f t="shared" si="49"/>
        <v>989.55172413793105</v>
      </c>
      <c r="AQ153" s="68">
        <f>'Production - Oil'!AQ153+'Production - Gas'!AQ153/5.8</f>
        <v>1003.7931034482758</v>
      </c>
      <c r="AR153" s="68">
        <f>'Production - Oil'!AR153+'Production - Gas'!AR153/5.8</f>
        <v>944.79310344827582</v>
      </c>
      <c r="AS153" s="68">
        <f>'Production - Oil'!AS153+'Production - Gas'!AS153/5.8</f>
        <v>964.72413793103442</v>
      </c>
      <c r="AT153" s="68">
        <f>'Production - Oil'!AT153+'Production - Gas'!AT153/5.8</f>
        <v>985.41379310344826</v>
      </c>
      <c r="AU153" s="98">
        <f t="shared" si="56"/>
        <v>975.10344827586209</v>
      </c>
      <c r="AV153" s="68">
        <f>'Production - Oil'!AV153+'Production - Gas'!AV153/5.8</f>
        <v>997.17241379310349</v>
      </c>
      <c r="AW153" s="68">
        <f>'Production - Oil'!AW153+'Production - Gas'!AW153/5.8</f>
        <v>988.41379310344826</v>
      </c>
      <c r="AX153" s="68">
        <f>'Production - Oil'!AX153+'Production - Gas'!AX153/5.8</f>
        <v>1002</v>
      </c>
      <c r="AY153" s="68">
        <f>'Production - Oil'!AY153+'Production - Gas'!AY153/5.8</f>
        <v>1026.4137931034484</v>
      </c>
      <c r="AZ153" s="98">
        <f t="shared" si="50"/>
        <v>1007.8965517241379</v>
      </c>
      <c r="BA153" s="68">
        <f>'Production - Oil'!BA153+'Production - Gas'!BA153/5.8</f>
        <v>1027.2068965517242</v>
      </c>
      <c r="BB153" s="68">
        <f>'Production - Oil'!BB153+'Production - Gas'!BB153/5.8</f>
        <v>1017.0689655172414</v>
      </c>
      <c r="BC153" s="68">
        <f>'Production - Oil'!BC153+'Production - Gas'!BC153/5.8</f>
        <v>1003.9655172413793</v>
      </c>
      <c r="BD153" s="68">
        <f>'Production - Oil'!BD153+'Production - Gas'!BD153/5.8</f>
        <v>1028.4137931034484</v>
      </c>
      <c r="BE153" s="98">
        <f t="shared" si="57"/>
        <v>1019.0344827586207</v>
      </c>
      <c r="BF153" s="68">
        <f>'Production - Oil'!BF153+'Production - Gas'!BF153/5.8</f>
        <v>1029.0344827586207</v>
      </c>
      <c r="BG153" s="68">
        <f>'Production - Oil'!BG153+'Production - Gas'!BG153/5.8</f>
        <v>1030.2758620689656</v>
      </c>
      <c r="BH153" s="68">
        <f>'Production - Oil'!BH153+'Production - Gas'!BH153/5.8</f>
        <v>1030.5172413793102</v>
      </c>
      <c r="BI153" s="68">
        <f>'Production - Oil'!BI153+'Production - Gas'!BI153/5.8</f>
        <v>1151.2413793103449</v>
      </c>
      <c r="BJ153" s="98">
        <f t="shared" si="52"/>
        <v>1060.5172413793102</v>
      </c>
      <c r="BK153" s="68">
        <f>'Production - Oil'!BK153+'Production - Gas'!BK153/5.8</f>
        <v>1142</v>
      </c>
      <c r="BL153" s="68">
        <f>'Production - Oil'!BL153+'Production - Gas'!BL153/5.8</f>
        <v>1126.4827586206898</v>
      </c>
      <c r="BM153" s="68">
        <f>'Production - Oil'!BM153+'Production - Gas'!BM153/5.8</f>
        <v>1120.7586206896551</v>
      </c>
      <c r="BN153" s="68">
        <f>'Production - Oil'!BN153+'Production - Gas'!BN153/5.8</f>
        <v>1128.8275862068965</v>
      </c>
      <c r="BO153" s="98">
        <f t="shared" si="53"/>
        <v>1129.5172413793102</v>
      </c>
      <c r="BP153" s="68">
        <f t="shared" ref="BP153:CD153" si="58">SUM(BP45,BP99)</f>
        <v>1133.301276274392</v>
      </c>
      <c r="BQ153" s="68">
        <f t="shared" si="58"/>
        <v>1115.78434736194</v>
      </c>
      <c r="BR153" s="68">
        <f t="shared" si="58"/>
        <v>1111.4692273522837</v>
      </c>
      <c r="BS153" s="68">
        <f t="shared" si="58"/>
        <v>1134.5021397010405</v>
      </c>
      <c r="BT153" s="98">
        <f t="shared" si="58"/>
        <v>1123.7642476724141</v>
      </c>
      <c r="BU153" s="68">
        <f t="shared" si="58"/>
        <v>1193.808199641694</v>
      </c>
      <c r="BV153" s="68">
        <f t="shared" si="58"/>
        <v>1174.1242133439325</v>
      </c>
      <c r="BW153" s="68">
        <f t="shared" si="58"/>
        <v>1169.2752604499753</v>
      </c>
      <c r="BX153" s="68">
        <f t="shared" si="58"/>
        <v>1195.1576244954326</v>
      </c>
      <c r="BY153" s="98">
        <f t="shared" si="58"/>
        <v>1183.0913244827586</v>
      </c>
      <c r="BZ153" s="68">
        <f t="shared" si="58"/>
        <v>1224.4480365025834</v>
      </c>
      <c r="CA153" s="68">
        <f t="shared" si="58"/>
        <v>1203.1839398010402</v>
      </c>
      <c r="CB153" s="68">
        <f t="shared" si="58"/>
        <v>1197.9457425335459</v>
      </c>
      <c r="CC153" s="68">
        <f t="shared" si="58"/>
        <v>1225.9057849559351</v>
      </c>
      <c r="CD153" s="98">
        <f t="shared" si="58"/>
        <v>1212.8708759482761</v>
      </c>
    </row>
    <row r="154" spans="1:82">
      <c r="A154" s="47"/>
      <c r="B154" s="47" t="s">
        <v>1961</v>
      </c>
      <c r="C154" s="11">
        <f t="shared" si="43"/>
        <v>27.586206896551726</v>
      </c>
      <c r="D154" s="11">
        <f t="shared" si="43"/>
        <v>23.103448275862071</v>
      </c>
      <c r="E154" s="11">
        <f t="shared" si="43"/>
        <v>20.689655172413794</v>
      </c>
      <c r="F154" s="11">
        <f t="shared" si="43"/>
        <v>20.172413793103448</v>
      </c>
      <c r="G154" s="11">
        <f t="shared" si="43"/>
        <v>21.206896551724139</v>
      </c>
      <c r="H154" s="64"/>
      <c r="I154" s="64"/>
      <c r="J154" s="64"/>
      <c r="K154" s="64"/>
      <c r="L154" s="11">
        <f t="shared" si="44"/>
        <v>20.689655172413794</v>
      </c>
      <c r="M154" s="64"/>
      <c r="N154" s="64"/>
      <c r="O154" s="64"/>
      <c r="P154" s="64"/>
      <c r="Q154" s="11">
        <f>SUM(Q46,Q100)</f>
        <v>15.862068965517242</v>
      </c>
      <c r="R154" s="64"/>
      <c r="S154" s="64"/>
      <c r="T154" s="64"/>
      <c r="U154" s="64"/>
      <c r="V154" s="11">
        <f>SUM(V46,V100)</f>
        <v>12.586206896551724</v>
      </c>
      <c r="W154" s="64"/>
      <c r="X154" s="64"/>
      <c r="Y154" s="64"/>
      <c r="Z154" s="64"/>
      <c r="AA154" s="11">
        <f>SUM(AA46,AA100)</f>
        <v>10.172413793103448</v>
      </c>
      <c r="AB154" s="64"/>
      <c r="AC154" s="64"/>
      <c r="AD154" s="64"/>
      <c r="AE154" s="64"/>
      <c r="AF154" s="11">
        <f>SUM(AF46,AF100)</f>
        <v>8.6206896551724146</v>
      </c>
      <c r="AG154" s="64"/>
      <c r="AH154" s="64"/>
      <c r="AI154" s="64"/>
      <c r="AJ154" s="64"/>
      <c r="AK154" s="11">
        <f t="shared" si="55"/>
        <v>7.0689655172413799</v>
      </c>
      <c r="AL154" s="64"/>
      <c r="AM154" s="64"/>
      <c r="AN154" s="64"/>
      <c r="AO154" s="64"/>
      <c r="AP154" s="11">
        <f t="shared" si="49"/>
        <v>6.0344827586206895</v>
      </c>
      <c r="AQ154" s="64"/>
      <c r="AR154" s="64"/>
      <c r="AS154" s="64"/>
      <c r="AT154" s="64"/>
      <c r="AU154" s="11">
        <f t="shared" si="56"/>
        <v>4.3103448275862073</v>
      </c>
      <c r="AV154" s="64"/>
      <c r="AW154" s="64"/>
      <c r="AX154" s="64"/>
      <c r="AY154" s="64"/>
      <c r="AZ154" s="11">
        <f t="shared" si="50"/>
        <v>0</v>
      </c>
      <c r="BA154" s="64"/>
      <c r="BB154" s="64"/>
      <c r="BC154" s="64"/>
      <c r="BD154" s="64"/>
      <c r="BE154" s="11">
        <f t="shared" si="57"/>
        <v>0</v>
      </c>
      <c r="BF154" s="64"/>
      <c r="BG154" s="64"/>
      <c r="BH154" s="64"/>
      <c r="BI154" s="64"/>
      <c r="BJ154" s="11">
        <f t="shared" si="52"/>
        <v>0</v>
      </c>
      <c r="BK154" s="64"/>
      <c r="BL154" s="64"/>
      <c r="BM154" s="64"/>
      <c r="BN154" s="64"/>
      <c r="BO154" s="11">
        <f t="shared" si="53"/>
        <v>0</v>
      </c>
      <c r="BP154" s="64"/>
      <c r="BQ154" s="64"/>
      <c r="BR154" s="64"/>
      <c r="BS154" s="64"/>
      <c r="BT154" s="99"/>
      <c r="BU154" s="64"/>
      <c r="BV154" s="64"/>
      <c r="BW154" s="64"/>
      <c r="BX154" s="64"/>
      <c r="BY154" s="99"/>
      <c r="BZ154" s="64"/>
      <c r="CA154" s="64"/>
      <c r="CB154" s="64"/>
      <c r="CC154" s="64"/>
      <c r="CD154" s="99"/>
    </row>
    <row r="155" spans="1:82">
      <c r="A155" s="11"/>
      <c r="B155" s="11" t="s">
        <v>3399</v>
      </c>
      <c r="C155" s="11">
        <f t="shared" si="43"/>
        <v>105.17241379310344</v>
      </c>
      <c r="D155" s="11">
        <f t="shared" si="43"/>
        <v>100.51724137931035</v>
      </c>
      <c r="E155" s="11">
        <f t="shared" si="43"/>
        <v>85.172413793103459</v>
      </c>
      <c r="F155" s="11">
        <f t="shared" si="43"/>
        <v>66.379310344827587</v>
      </c>
      <c r="G155" s="11">
        <f t="shared" si="43"/>
        <v>53.286206896551725</v>
      </c>
      <c r="H155" s="51"/>
      <c r="I155" s="51"/>
      <c r="J155" s="51"/>
      <c r="K155" s="51"/>
      <c r="L155" s="11">
        <f t="shared" si="44"/>
        <v>42.65517241379311</v>
      </c>
      <c r="M155" s="51"/>
      <c r="N155" s="51"/>
      <c r="O155" s="51"/>
      <c r="P155" s="51"/>
      <c r="Q155" s="11">
        <f>SUM(Q47,Q101)</f>
        <v>39.58620689655173</v>
      </c>
      <c r="R155" s="51"/>
      <c r="S155" s="51"/>
      <c r="T155" s="51"/>
      <c r="U155" s="51"/>
      <c r="V155" s="11">
        <f>SUM(V47,V101)</f>
        <v>40.96551724137931</v>
      </c>
      <c r="W155" s="51"/>
      <c r="X155" s="51"/>
      <c r="Y155" s="51"/>
      <c r="Z155" s="51"/>
      <c r="AA155" s="11">
        <f>SUM(AA47,AA101)</f>
        <v>28.620689655172416</v>
      </c>
      <c r="AB155" s="51"/>
      <c r="AC155" s="51"/>
      <c r="AD155" s="51"/>
      <c r="AE155" s="51"/>
      <c r="AF155" s="11">
        <f>SUM(AF47,AF101)</f>
        <v>19.241379310344826</v>
      </c>
      <c r="AG155" s="51"/>
      <c r="AH155" s="51"/>
      <c r="AI155" s="51"/>
      <c r="AJ155" s="51"/>
      <c r="AK155" s="11">
        <f t="shared" si="55"/>
        <v>16.655172413793103</v>
      </c>
      <c r="AL155" s="51"/>
      <c r="AM155" s="51"/>
      <c r="AN155" s="51"/>
      <c r="AO155" s="51"/>
      <c r="AP155" s="11">
        <f t="shared" si="49"/>
        <v>15.655172413793103</v>
      </c>
      <c r="AQ155" s="51"/>
      <c r="AR155" s="51"/>
      <c r="AS155" s="51"/>
      <c r="AT155" s="51"/>
      <c r="AU155" s="11">
        <f t="shared" si="56"/>
        <v>14.275862068965516</v>
      </c>
      <c r="AV155" s="51"/>
      <c r="AW155" s="51"/>
      <c r="AX155" s="51"/>
      <c r="AY155" s="51"/>
      <c r="AZ155" s="11">
        <f t="shared" si="50"/>
        <v>10.103448275862069</v>
      </c>
      <c r="BA155" s="51"/>
      <c r="BB155" s="51"/>
      <c r="BC155" s="51"/>
      <c r="BD155" s="51"/>
      <c r="BE155" s="11">
        <f t="shared" si="57"/>
        <v>10.275862068965518</v>
      </c>
      <c r="BF155" s="51"/>
      <c r="BG155" s="51"/>
      <c r="BH155" s="51"/>
      <c r="BI155" s="51"/>
      <c r="BJ155" s="11">
        <f t="shared" si="52"/>
        <v>8.0344827586206904</v>
      </c>
      <c r="BK155" s="51"/>
      <c r="BL155" s="51"/>
      <c r="BM155" s="51"/>
      <c r="BN155" s="51"/>
      <c r="BO155" s="11">
        <f t="shared" si="53"/>
        <v>0</v>
      </c>
      <c r="BP155" s="51"/>
      <c r="BQ155" s="51"/>
      <c r="BR155" s="51"/>
      <c r="BS155" s="51"/>
      <c r="BT155" s="99"/>
      <c r="BU155" s="51"/>
      <c r="BV155" s="51"/>
      <c r="BW155" s="51"/>
      <c r="BX155" s="51"/>
      <c r="BY155" s="99"/>
      <c r="BZ155" s="51"/>
      <c r="CA155" s="51"/>
      <c r="CB155" s="51"/>
      <c r="CC155" s="51"/>
      <c r="CD155" s="99"/>
    </row>
    <row r="156" spans="1:82">
      <c r="A156" s="11"/>
      <c r="B156" s="11" t="s">
        <v>3400</v>
      </c>
      <c r="C156" s="11">
        <f t="shared" si="43"/>
        <v>85.137931034482762</v>
      </c>
      <c r="D156" s="11">
        <f t="shared" si="43"/>
        <v>99.517241379310349</v>
      </c>
      <c r="E156" s="11">
        <f t="shared" si="43"/>
        <v>74.210344827586212</v>
      </c>
      <c r="F156" s="11">
        <f t="shared" si="43"/>
        <v>67.775862068965523</v>
      </c>
      <c r="G156" s="11">
        <f t="shared" si="43"/>
        <v>70.436206896551724</v>
      </c>
      <c r="H156" s="51"/>
      <c r="I156" s="51"/>
      <c r="J156" s="51"/>
      <c r="K156" s="51"/>
      <c r="L156" s="11">
        <f t="shared" si="44"/>
        <v>41.724137931034484</v>
      </c>
      <c r="M156" s="51"/>
      <c r="N156" s="51"/>
      <c r="O156" s="51"/>
      <c r="P156" s="51"/>
      <c r="Q156" s="11">
        <f>SUM(Q48,Q102)</f>
        <v>39.137931034482762</v>
      </c>
      <c r="R156" s="51"/>
      <c r="S156" s="51"/>
      <c r="T156" s="51"/>
      <c r="U156" s="51"/>
      <c r="V156" s="11">
        <f>SUM(V48,V102)</f>
        <v>36.517241379310349</v>
      </c>
      <c r="W156" s="51"/>
      <c r="X156" s="51"/>
      <c r="Y156" s="51"/>
      <c r="Z156" s="51"/>
      <c r="AA156" s="11">
        <f>SUM(AA48,AA102)</f>
        <v>39.862068965517238</v>
      </c>
      <c r="AB156" s="51"/>
      <c r="AC156" s="51"/>
      <c r="AD156" s="51"/>
      <c r="AE156" s="51"/>
      <c r="AF156" s="11">
        <f>SUM(AF48,AF102)</f>
        <v>28.275862068965516</v>
      </c>
      <c r="AG156" s="51"/>
      <c r="AH156" s="51"/>
      <c r="AI156" s="51"/>
      <c r="AJ156" s="51"/>
      <c r="AK156" s="11">
        <f t="shared" si="55"/>
        <v>50.448275862068968</v>
      </c>
      <c r="AL156" s="51"/>
      <c r="AM156" s="51"/>
      <c r="AN156" s="51"/>
      <c r="AO156" s="51"/>
      <c r="AP156" s="11">
        <f t="shared" si="49"/>
        <v>69.896551724137936</v>
      </c>
      <c r="AQ156" s="51"/>
      <c r="AR156" s="51"/>
      <c r="AS156" s="51"/>
      <c r="AT156" s="51"/>
      <c r="AU156" s="11">
        <f t="shared" si="56"/>
        <v>32.896551724137936</v>
      </c>
      <c r="AV156" s="51"/>
      <c r="AW156" s="51"/>
      <c r="AX156" s="51"/>
      <c r="AY156" s="51"/>
      <c r="AZ156" s="11">
        <f t="shared" si="50"/>
        <v>30.413793103448278</v>
      </c>
      <c r="BA156" s="51"/>
      <c r="BB156" s="51"/>
      <c r="BC156" s="51"/>
      <c r="BD156" s="51"/>
      <c r="BE156" s="11">
        <f t="shared" si="57"/>
        <v>25.103448275862068</v>
      </c>
      <c r="BF156" s="51"/>
      <c r="BG156" s="51"/>
      <c r="BH156" s="51"/>
      <c r="BI156" s="51"/>
      <c r="BJ156" s="11">
        <f t="shared" si="52"/>
        <v>22.068965517241381</v>
      </c>
      <c r="BK156" s="51"/>
      <c r="BL156" s="51"/>
      <c r="BM156" s="51"/>
      <c r="BN156" s="51"/>
      <c r="BO156" s="11">
        <f t="shared" si="53"/>
        <v>16.344827586206897</v>
      </c>
      <c r="BP156" s="51"/>
      <c r="BQ156" s="51"/>
      <c r="BR156" s="51"/>
      <c r="BS156" s="51"/>
      <c r="BT156" s="99"/>
      <c r="BU156" s="51"/>
      <c r="BV156" s="51"/>
      <c r="BW156" s="51"/>
      <c r="BX156" s="51"/>
      <c r="BY156" s="99"/>
      <c r="BZ156" s="51"/>
      <c r="CA156" s="51"/>
      <c r="CB156" s="51"/>
      <c r="CC156" s="51"/>
      <c r="CD156" s="99"/>
    </row>
    <row r="157" spans="1:82">
      <c r="A157" s="39" t="s">
        <v>3401</v>
      </c>
      <c r="B157" s="39"/>
      <c r="C157" s="39">
        <f>SUM(C145:C156)</f>
        <v>417.51724137931035</v>
      </c>
      <c r="D157" s="39">
        <f>SUM(D145:D156)</f>
        <v>465.75862068965517</v>
      </c>
      <c r="E157" s="39">
        <f>SUM(E145:E156)</f>
        <v>702.82758620689674</v>
      </c>
      <c r="F157" s="39">
        <f>SUM(F145:F156)</f>
        <v>1278.4068965517245</v>
      </c>
      <c r="G157" s="39">
        <f>SUM(G145:G156)</f>
        <v>1397.1120689655172</v>
      </c>
      <c r="H157" s="52"/>
      <c r="I157" s="52"/>
      <c r="J157" s="52"/>
      <c r="K157" s="52"/>
      <c r="L157" s="39">
        <f>SUM(L145:L156)</f>
        <v>1416.9999999999998</v>
      </c>
      <c r="M157" s="52"/>
      <c r="N157" s="52"/>
      <c r="O157" s="52"/>
      <c r="P157" s="52"/>
      <c r="Q157" s="39">
        <f>SUM(Q145:Q156)</f>
        <v>1451.0689655172414</v>
      </c>
      <c r="R157" s="52"/>
      <c r="S157" s="52"/>
      <c r="T157" s="52"/>
      <c r="U157" s="52"/>
      <c r="V157" s="39">
        <f>SUM(V145:V156)</f>
        <v>1397.7241379310344</v>
      </c>
      <c r="W157" s="52"/>
      <c r="X157" s="52"/>
      <c r="Y157" s="52"/>
      <c r="Z157" s="52"/>
      <c r="AA157" s="39">
        <f>SUM(AA145:AA156)</f>
        <v>1373.4137931034481</v>
      </c>
      <c r="AB157" s="52"/>
      <c r="AC157" s="52"/>
      <c r="AD157" s="52"/>
      <c r="AE157" s="52"/>
      <c r="AF157" s="39">
        <f>SUM(AF145:AF156)</f>
        <v>1381.1379310344828</v>
      </c>
      <c r="AG157" s="79">
        <f>SUM(AG49,AG103)</f>
        <v>0</v>
      </c>
      <c r="AH157" s="79">
        <f>SUM(AH49,AH103)</f>
        <v>0</v>
      </c>
      <c r="AI157" s="79">
        <f>SUM(AI49,AI103)</f>
        <v>0</v>
      </c>
      <c r="AJ157" s="79">
        <f>SUM(AJ49,AJ103)</f>
        <v>0</v>
      </c>
      <c r="AK157" s="39">
        <f>SUM(AK145:AK156)</f>
        <v>1445.9310344827588</v>
      </c>
      <c r="AL157" s="79">
        <f t="shared" ref="AL157:CD157" si="59">SUM(AL49,AL103)</f>
        <v>0</v>
      </c>
      <c r="AM157" s="79">
        <f t="shared" si="59"/>
        <v>0</v>
      </c>
      <c r="AN157" s="79">
        <f t="shared" si="59"/>
        <v>0</v>
      </c>
      <c r="AO157" s="79">
        <f t="shared" si="59"/>
        <v>0</v>
      </c>
      <c r="AP157" s="39">
        <f>SUM(AP145:AP156)</f>
        <v>1467.1034482758619</v>
      </c>
      <c r="AQ157" s="82"/>
      <c r="AR157" s="82"/>
      <c r="AS157" s="82"/>
      <c r="AT157" s="82"/>
      <c r="AU157" s="39">
        <f>SUM(AU145:AU156)</f>
        <v>1437.2413793103451</v>
      </c>
      <c r="AV157" s="82"/>
      <c r="AW157" s="82"/>
      <c r="AX157" s="82"/>
      <c r="AY157" s="82"/>
      <c r="AZ157" s="39">
        <f>SUM(AZ145:AZ156)</f>
        <v>1329.0689655172416</v>
      </c>
      <c r="BA157" s="82"/>
      <c r="BB157" s="82"/>
      <c r="BC157" s="82"/>
      <c r="BD157" s="82"/>
      <c r="BE157" s="39">
        <f>SUM(BE145:BE156)</f>
        <v>1384.1724137931035</v>
      </c>
      <c r="BF157" s="82"/>
      <c r="BG157" s="82"/>
      <c r="BH157" s="82"/>
      <c r="BI157" s="82"/>
      <c r="BJ157" s="39">
        <f>SUM(BJ145:BJ156)</f>
        <v>1434.8620689655172</v>
      </c>
      <c r="BK157" s="82"/>
      <c r="BL157" s="82"/>
      <c r="BM157" s="82"/>
      <c r="BN157" s="82"/>
      <c r="BO157" s="39">
        <f>SUM(BO145:BO156)</f>
        <v>1621.4827586206898</v>
      </c>
      <c r="BP157" s="79">
        <f t="shared" si="59"/>
        <v>1649.4032559889333</v>
      </c>
      <c r="BQ157" s="79">
        <f t="shared" si="59"/>
        <v>1628.1670991429583</v>
      </c>
      <c r="BR157" s="79">
        <f t="shared" si="59"/>
        <v>1624.8211656054809</v>
      </c>
      <c r="BS157" s="79">
        <f t="shared" si="59"/>
        <v>1649.5192630557315</v>
      </c>
      <c r="BT157" s="97">
        <f t="shared" si="59"/>
        <v>1637.9776959482761</v>
      </c>
      <c r="BU157" s="79">
        <f t="shared" si="59"/>
        <v>1736.1492110733607</v>
      </c>
      <c r="BV157" s="79">
        <f t="shared" si="59"/>
        <v>1712.3255066208699</v>
      </c>
      <c r="BW157" s="79">
        <f t="shared" si="59"/>
        <v>1708.5553149391619</v>
      </c>
      <c r="BX157" s="79">
        <f t="shared" si="59"/>
        <v>1736.2911273666082</v>
      </c>
      <c r="BY157" s="97">
        <f t="shared" si="59"/>
        <v>1723.3302900000001</v>
      </c>
      <c r="BZ157" s="79">
        <f t="shared" si="59"/>
        <v>1812.9383190976791</v>
      </c>
      <c r="CA157" s="79">
        <f t="shared" si="59"/>
        <v>1786.4514247665334</v>
      </c>
      <c r="CB157" s="79">
        <f t="shared" si="59"/>
        <v>1782.5742263138511</v>
      </c>
      <c r="CC157" s="79">
        <f t="shared" si="59"/>
        <v>1812.8726370633169</v>
      </c>
      <c r="CD157" s="97">
        <f t="shared" si="59"/>
        <v>1798.709151810345</v>
      </c>
    </row>
    <row r="158" spans="1:82">
      <c r="A158" s="11"/>
      <c r="B158" s="11"/>
      <c r="C158" s="11"/>
      <c r="D158" s="11"/>
      <c r="E158" s="11"/>
      <c r="F158" s="11"/>
      <c r="G158" s="11"/>
      <c r="H158" s="80"/>
      <c r="I158" s="80"/>
      <c r="J158" s="80"/>
      <c r="K158" s="80"/>
      <c r="L158" s="80"/>
      <c r="M158" s="68"/>
      <c r="N158" s="68"/>
      <c r="O158" s="68"/>
      <c r="P158" s="68"/>
      <c r="Q158" s="11"/>
      <c r="R158" s="68"/>
      <c r="S158" s="68"/>
      <c r="T158" s="68"/>
      <c r="U158" s="68"/>
      <c r="V158" s="11"/>
      <c r="W158" s="68"/>
      <c r="X158" s="68"/>
      <c r="Y158" s="68"/>
      <c r="Z158" s="68"/>
      <c r="AA158" s="11"/>
      <c r="AB158" s="68"/>
      <c r="AC158" s="68"/>
      <c r="AD158" s="68"/>
      <c r="AE158" s="68"/>
      <c r="AF158" s="11"/>
      <c r="AG158" s="68"/>
      <c r="AH158" s="68"/>
      <c r="AI158" s="68"/>
      <c r="AJ158" s="68"/>
      <c r="AK158" s="98"/>
      <c r="AL158" s="48"/>
      <c r="AM158" s="48"/>
      <c r="AN158" s="48"/>
      <c r="AO158" s="48"/>
      <c r="AP158" s="98"/>
      <c r="AQ158" s="68"/>
      <c r="AR158" s="68"/>
      <c r="AS158" s="68"/>
      <c r="AT158" s="68"/>
      <c r="AU158" s="98"/>
      <c r="AV158" s="68"/>
      <c r="AW158" s="68"/>
      <c r="AX158" s="68"/>
      <c r="AY158" s="68"/>
      <c r="AZ158" s="98"/>
      <c r="BA158" s="48"/>
      <c r="BB158" s="48"/>
      <c r="BC158" s="48"/>
      <c r="BD158" s="48"/>
      <c r="BE158" s="98"/>
      <c r="BF158" s="48"/>
      <c r="BG158" s="48"/>
      <c r="BH158" s="48"/>
      <c r="BI158" s="48"/>
      <c r="BJ158" s="98"/>
      <c r="BK158" s="48"/>
      <c r="BL158" s="48"/>
      <c r="BM158" s="48"/>
      <c r="BN158" s="48"/>
      <c r="BO158" s="98"/>
      <c r="BP158" s="48"/>
      <c r="BQ158" s="48"/>
      <c r="BR158" s="48"/>
      <c r="BS158" s="48"/>
      <c r="BT158" s="48"/>
      <c r="BU158" s="48"/>
      <c r="BV158" s="48"/>
      <c r="BW158" s="48"/>
      <c r="BX158" s="48"/>
      <c r="BY158" s="48"/>
      <c r="BZ158" s="48"/>
      <c r="CA158" s="48"/>
      <c r="CB158" s="48"/>
      <c r="CC158" s="48"/>
      <c r="CD158" s="48"/>
    </row>
    <row r="159" spans="1:82">
      <c r="A159" s="39" t="s">
        <v>3402</v>
      </c>
      <c r="B159" s="11"/>
      <c r="C159" s="11"/>
      <c r="D159" s="11"/>
      <c r="E159" s="11"/>
      <c r="F159" s="11"/>
      <c r="G159" s="11"/>
      <c r="H159" s="80"/>
      <c r="I159" s="80"/>
      <c r="J159" s="80"/>
      <c r="K159" s="80"/>
      <c r="L159" s="80"/>
      <c r="M159" s="68"/>
      <c r="N159" s="68"/>
      <c r="O159" s="68"/>
      <c r="P159" s="68"/>
      <c r="Q159" s="11"/>
      <c r="R159" s="68"/>
      <c r="S159" s="68"/>
      <c r="T159" s="68"/>
      <c r="U159" s="68"/>
      <c r="V159" s="11"/>
      <c r="W159" s="68"/>
      <c r="X159" s="68"/>
      <c r="Y159" s="68"/>
      <c r="Z159" s="68"/>
      <c r="AA159" s="11"/>
      <c r="AB159" s="68"/>
      <c r="AC159" s="68"/>
      <c r="AD159" s="68"/>
      <c r="AE159" s="68"/>
      <c r="AF159" s="11"/>
      <c r="AG159" s="68"/>
      <c r="AH159" s="68"/>
      <c r="AI159" s="68"/>
      <c r="AJ159" s="68"/>
      <c r="AK159" s="98"/>
      <c r="AL159" s="48"/>
      <c r="AM159" s="48"/>
      <c r="AN159" s="48"/>
      <c r="AO159" s="48"/>
      <c r="AP159" s="98"/>
      <c r="AQ159" s="68"/>
      <c r="AR159" s="68"/>
      <c r="AS159" s="68"/>
      <c r="AT159" s="68"/>
      <c r="AU159" s="98"/>
      <c r="AV159" s="68"/>
      <c r="AW159" s="68"/>
      <c r="AX159" s="68"/>
      <c r="AY159" s="68"/>
      <c r="AZ159" s="98"/>
      <c r="BA159" s="48"/>
      <c r="BB159" s="48"/>
      <c r="BC159" s="48"/>
      <c r="BD159" s="48"/>
      <c r="BE159" s="98"/>
      <c r="BF159" s="48"/>
      <c r="BG159" s="48"/>
      <c r="BH159" s="48"/>
      <c r="BI159" s="48"/>
      <c r="BJ159" s="98"/>
      <c r="BK159" s="48"/>
      <c r="BL159" s="48"/>
      <c r="BM159" s="48"/>
      <c r="BN159" s="48"/>
      <c r="BO159" s="98"/>
      <c r="BP159" s="48"/>
      <c r="BQ159" s="48"/>
      <c r="BR159" s="48"/>
      <c r="BS159" s="48"/>
      <c r="BT159" s="48"/>
      <c r="BU159" s="48"/>
      <c r="BV159" s="48"/>
      <c r="BW159" s="48"/>
      <c r="BX159" s="48"/>
      <c r="BY159" s="48"/>
      <c r="BZ159" s="48"/>
      <c r="CA159" s="48"/>
      <c r="CB159" s="48"/>
      <c r="CC159" s="48"/>
      <c r="CD159" s="48"/>
    </row>
    <row r="160" spans="1:82">
      <c r="A160" s="11"/>
      <c r="B160" s="11" t="s">
        <v>2965</v>
      </c>
      <c r="C160" s="11">
        <f t="shared" ref="C160:G161" si="60">SUM(C52,C106)</f>
        <v>80.862068965517238</v>
      </c>
      <c r="D160" s="11">
        <f t="shared" si="60"/>
        <v>93.862068965517238</v>
      </c>
      <c r="E160" s="11">
        <f t="shared" si="60"/>
        <v>89.137931034482762</v>
      </c>
      <c r="F160" s="11">
        <f t="shared" si="60"/>
        <v>89.103448275862064</v>
      </c>
      <c r="G160" s="11">
        <f t="shared" si="60"/>
        <v>99.275862068965523</v>
      </c>
      <c r="H160" s="51"/>
      <c r="I160" s="51"/>
      <c r="J160" s="51"/>
      <c r="K160" s="51"/>
      <c r="L160" s="11">
        <f>SUM(L52,L106)</f>
        <v>96.758620689655174</v>
      </c>
      <c r="M160" s="51"/>
      <c r="N160" s="51"/>
      <c r="O160" s="51"/>
      <c r="P160" s="51"/>
      <c r="Q160" s="11">
        <f>SUM(Q52,Q106)</f>
        <v>98.827586206896555</v>
      </c>
      <c r="R160" s="51"/>
      <c r="S160" s="51"/>
      <c r="T160" s="51"/>
      <c r="U160" s="51"/>
      <c r="V160" s="11">
        <f>SUM(V52,V106)</f>
        <v>94.517241379310349</v>
      </c>
      <c r="W160" s="51"/>
      <c r="X160" s="51"/>
      <c r="Y160" s="51"/>
      <c r="Z160" s="51"/>
      <c r="AA160" s="11">
        <f>SUM(AA52,AA106)</f>
        <v>106.86206896551724</v>
      </c>
      <c r="AB160" s="51"/>
      <c r="AC160" s="51"/>
      <c r="AD160" s="51"/>
      <c r="AE160" s="51"/>
      <c r="AF160" s="11">
        <f>SUM(AF52,AF106)</f>
        <v>109.65517241379311</v>
      </c>
      <c r="AG160" s="51"/>
      <c r="AH160" s="51"/>
      <c r="AI160" s="51"/>
      <c r="AJ160" s="51"/>
      <c r="AK160" s="11">
        <f>SUM(AK52,AK106)</f>
        <v>101.44827586206897</v>
      </c>
      <c r="AL160" s="51"/>
      <c r="AM160" s="51"/>
      <c r="AN160" s="51"/>
      <c r="AO160" s="51"/>
      <c r="AP160" s="11">
        <f>SUM(AP52,AP106)</f>
        <v>99</v>
      </c>
      <c r="AQ160" s="82"/>
      <c r="AR160" s="82"/>
      <c r="AS160" s="82"/>
      <c r="AT160" s="82"/>
      <c r="AU160" s="11">
        <f>SUM(AU52,AU106)</f>
        <v>97.310344827586206</v>
      </c>
      <c r="AV160" s="82"/>
      <c r="AW160" s="82"/>
      <c r="AX160" s="82"/>
      <c r="AY160" s="82"/>
      <c r="AZ160" s="11">
        <f>SUM(AZ52,AZ106)</f>
        <v>97.58620689655173</v>
      </c>
      <c r="BA160" s="82"/>
      <c r="BB160" s="82"/>
      <c r="BC160" s="82"/>
      <c r="BD160" s="82"/>
      <c r="BE160" s="11">
        <f>SUM(BE52,BE106)</f>
        <v>95.068965517241381</v>
      </c>
      <c r="BF160" s="82"/>
      <c r="BG160" s="82"/>
      <c r="BH160" s="82"/>
      <c r="BI160" s="82"/>
      <c r="BJ160" s="11">
        <f>SUM(BJ52,BJ106)</f>
        <v>95.758620689655174</v>
      </c>
      <c r="BK160" s="82"/>
      <c r="BL160" s="82"/>
      <c r="BM160" s="82"/>
      <c r="BN160" s="82"/>
      <c r="BO160" s="11">
        <f>SUM(BO52,BO106)</f>
        <v>90.448275862068968</v>
      </c>
      <c r="BP160" s="51"/>
      <c r="BQ160" s="51"/>
      <c r="BR160" s="51"/>
      <c r="BS160" s="51"/>
      <c r="BT160" s="99"/>
      <c r="BU160" s="51"/>
      <c r="BV160" s="51"/>
      <c r="BW160" s="51"/>
      <c r="BX160" s="51"/>
      <c r="BY160" s="99"/>
      <c r="BZ160" s="51"/>
      <c r="CA160" s="51"/>
      <c r="CB160" s="51"/>
      <c r="CC160" s="51"/>
      <c r="CD160" s="99"/>
    </row>
    <row r="161" spans="1:88">
      <c r="A161" s="11"/>
      <c r="B161" s="11" t="s">
        <v>3403</v>
      </c>
      <c r="C161" s="11">
        <f t="shared" si="60"/>
        <v>0</v>
      </c>
      <c r="D161" s="11">
        <f t="shared" si="60"/>
        <v>0</v>
      </c>
      <c r="E161" s="11">
        <f t="shared" si="60"/>
        <v>0</v>
      </c>
      <c r="F161" s="11">
        <f t="shared" si="60"/>
        <v>0</v>
      </c>
      <c r="G161" s="11">
        <f t="shared" si="60"/>
        <v>0</v>
      </c>
      <c r="H161" s="51"/>
      <c r="I161" s="51"/>
      <c r="J161" s="51"/>
      <c r="K161" s="51"/>
      <c r="L161" s="11">
        <f>SUM(L53,L107)</f>
        <v>0</v>
      </c>
      <c r="M161" s="51"/>
      <c r="N161" s="51"/>
      <c r="O161" s="51"/>
      <c r="P161" s="51"/>
      <c r="Q161" s="11">
        <f>SUM(Q53,Q107)</f>
        <v>0</v>
      </c>
      <c r="R161" s="51"/>
      <c r="S161" s="51"/>
      <c r="T161" s="51"/>
      <c r="U161" s="51"/>
      <c r="V161" s="11">
        <f>SUM(V53,V107)</f>
        <v>0.17241379310344829</v>
      </c>
      <c r="W161" s="51"/>
      <c r="X161" s="51"/>
      <c r="Y161" s="51"/>
      <c r="Z161" s="51"/>
      <c r="AA161" s="11">
        <f>SUM(AA53,AA107)</f>
        <v>12.758620689655173</v>
      </c>
      <c r="AB161" s="51"/>
      <c r="AC161" s="51"/>
      <c r="AD161" s="51"/>
      <c r="AE161" s="51"/>
      <c r="AF161" s="11">
        <f>SUM(AF53,AF107)</f>
        <v>57.689655172413794</v>
      </c>
      <c r="AG161" s="51"/>
      <c r="AH161" s="51"/>
      <c r="AI161" s="51"/>
      <c r="AJ161" s="51"/>
      <c r="AK161" s="11">
        <f>SUM(AK53,AK107)</f>
        <v>60.620689655172413</v>
      </c>
      <c r="AL161" s="51"/>
      <c r="AM161" s="51"/>
      <c r="AN161" s="51"/>
      <c r="AO161" s="51"/>
      <c r="AP161" s="11">
        <f>SUM(AP53,AP107)</f>
        <v>63.689655172413794</v>
      </c>
      <c r="AQ161" s="82"/>
      <c r="AR161" s="82"/>
      <c r="AS161" s="82"/>
      <c r="AT161" s="82"/>
      <c r="AU161" s="11">
        <f>SUM(AU53,AU107)</f>
        <v>62.172413793103452</v>
      </c>
      <c r="AV161" s="82"/>
      <c r="AW161" s="82"/>
      <c r="AX161" s="82"/>
      <c r="AY161" s="82"/>
      <c r="AZ161" s="11">
        <f>SUM(AZ53,AZ107)</f>
        <v>64.758620689655174</v>
      </c>
      <c r="BA161" s="82"/>
      <c r="BB161" s="82"/>
      <c r="BC161" s="82"/>
      <c r="BD161" s="82"/>
      <c r="BE161" s="11">
        <f>SUM(BE53,BE107)</f>
        <v>63.03448275862069</v>
      </c>
      <c r="BF161" s="82"/>
      <c r="BG161" s="82"/>
      <c r="BH161" s="82"/>
      <c r="BI161" s="82"/>
      <c r="BJ161" s="11">
        <f>SUM(BJ53,BJ107)</f>
        <v>65.620689655172413</v>
      </c>
      <c r="BK161" s="82"/>
      <c r="BL161" s="82"/>
      <c r="BM161" s="82"/>
      <c r="BN161" s="82"/>
      <c r="BO161" s="11">
        <f>SUM(BO53,BO107)</f>
        <v>62.551724137931039</v>
      </c>
      <c r="BP161" s="51"/>
      <c r="BQ161" s="51"/>
      <c r="BR161" s="51"/>
      <c r="BS161" s="51"/>
      <c r="BT161" s="99"/>
      <c r="BU161" s="51"/>
      <c r="BV161" s="51"/>
      <c r="BW161" s="51"/>
      <c r="BX161" s="51"/>
      <c r="BY161" s="99"/>
      <c r="BZ161" s="51"/>
      <c r="CA161" s="51"/>
      <c r="CB161" s="51"/>
      <c r="CC161" s="51"/>
      <c r="CD161" s="99"/>
    </row>
    <row r="162" spans="1:88">
      <c r="A162" s="39" t="s">
        <v>1935</v>
      </c>
      <c r="B162" s="39"/>
      <c r="C162" s="39">
        <f>SUM(C160:C161)</f>
        <v>80.862068965517238</v>
      </c>
      <c r="D162" s="39">
        <f>SUM(D160:D161)</f>
        <v>93.862068965517238</v>
      </c>
      <c r="E162" s="39">
        <f>SUM(E160:E161)</f>
        <v>89.137931034482762</v>
      </c>
      <c r="F162" s="39">
        <f>SUM(F160:F161)</f>
        <v>89.103448275862064</v>
      </c>
      <c r="G162" s="39">
        <f>SUM(G160:G161)</f>
        <v>99.275862068965523</v>
      </c>
      <c r="H162" s="52"/>
      <c r="I162" s="52"/>
      <c r="J162" s="52"/>
      <c r="K162" s="52"/>
      <c r="L162" s="39">
        <f>SUM(L160:L161)</f>
        <v>96.758620689655174</v>
      </c>
      <c r="M162" s="52"/>
      <c r="N162" s="52"/>
      <c r="O162" s="52"/>
      <c r="P162" s="52"/>
      <c r="Q162" s="39">
        <f>SUM(Q160:Q161)</f>
        <v>98.827586206896555</v>
      </c>
      <c r="R162" s="52"/>
      <c r="S162" s="52"/>
      <c r="T162" s="52"/>
      <c r="U162" s="52"/>
      <c r="V162" s="39">
        <f>SUM(V160:V161)</f>
        <v>94.689655172413794</v>
      </c>
      <c r="W162" s="52"/>
      <c r="X162" s="52"/>
      <c r="Y162" s="52"/>
      <c r="Z162" s="52"/>
      <c r="AA162" s="39">
        <f>SUM(AA160:AA161)</f>
        <v>119.62068965517241</v>
      </c>
      <c r="AB162" s="52"/>
      <c r="AC162" s="52"/>
      <c r="AD162" s="52"/>
      <c r="AE162" s="52"/>
      <c r="AF162" s="39">
        <f>SUM(AF160:AF161)</f>
        <v>167.34482758620692</v>
      </c>
      <c r="AG162" s="79">
        <f>SUM(AG54,AG108)</f>
        <v>0</v>
      </c>
      <c r="AH162" s="79">
        <f>SUM(AH54,AH108)</f>
        <v>0</v>
      </c>
      <c r="AI162" s="79">
        <f>SUM(AI54,AI108)</f>
        <v>0</v>
      </c>
      <c r="AJ162" s="79">
        <f>SUM(AJ54,AJ108)</f>
        <v>0</v>
      </c>
      <c r="AK162" s="97">
        <f>SUM(AK54,AK108)</f>
        <v>162.06896551724139</v>
      </c>
      <c r="AL162" s="79">
        <f t="shared" ref="AL162:CD162" si="61">SUM(AL54,AL108)</f>
        <v>0</v>
      </c>
      <c r="AM162" s="79">
        <f t="shared" si="61"/>
        <v>0</v>
      </c>
      <c r="AN162" s="79">
        <f t="shared" si="61"/>
        <v>0</v>
      </c>
      <c r="AO162" s="79">
        <f t="shared" si="61"/>
        <v>0</v>
      </c>
      <c r="AP162" s="97">
        <f>SUM(AP54,AP108)</f>
        <v>162.68965517241381</v>
      </c>
      <c r="AQ162" s="82"/>
      <c r="AR162" s="82"/>
      <c r="AS162" s="82"/>
      <c r="AT162" s="82"/>
      <c r="AU162" s="97">
        <f>SUM(AU54,AU108)</f>
        <v>159.48275862068965</v>
      </c>
      <c r="AV162" s="82"/>
      <c r="AW162" s="82"/>
      <c r="AX162" s="82"/>
      <c r="AY162" s="82"/>
      <c r="AZ162" s="97">
        <f>SUM(AZ54,AZ108)</f>
        <v>162.34482758620689</v>
      </c>
      <c r="BA162" s="82"/>
      <c r="BB162" s="82"/>
      <c r="BC162" s="82"/>
      <c r="BD162" s="82"/>
      <c r="BE162" s="97">
        <f>SUM(BE54,BE108)</f>
        <v>158.10344827586206</v>
      </c>
      <c r="BF162" s="82"/>
      <c r="BG162" s="82"/>
      <c r="BH162" s="82"/>
      <c r="BI162" s="82"/>
      <c r="BJ162" s="97">
        <f>SUM(BJ54,BJ108)</f>
        <v>160.37931034482759</v>
      </c>
      <c r="BK162" s="82"/>
      <c r="BL162" s="82"/>
      <c r="BM162" s="82"/>
      <c r="BN162" s="82"/>
      <c r="BO162" s="97">
        <f>SUM(BO54,BO108)</f>
        <v>154</v>
      </c>
      <c r="BP162" s="79">
        <f t="shared" si="61"/>
        <v>159.61735120302299</v>
      </c>
      <c r="BQ162" s="79">
        <f t="shared" si="61"/>
        <v>155.84544089620107</v>
      </c>
      <c r="BR162" s="79">
        <f t="shared" si="61"/>
        <v>156.82835576697167</v>
      </c>
      <c r="BS162" s="79">
        <f t="shared" si="61"/>
        <v>158.5171279958733</v>
      </c>
      <c r="BT162" s="97">
        <f t="shared" si="61"/>
        <v>157.70206896551724</v>
      </c>
      <c r="BU162" s="79">
        <f t="shared" si="61"/>
        <v>158.09492432957111</v>
      </c>
      <c r="BV162" s="79">
        <f t="shared" si="61"/>
        <v>154.32439797301097</v>
      </c>
      <c r="BW162" s="79">
        <f t="shared" si="61"/>
        <v>155.30695220283786</v>
      </c>
      <c r="BX162" s="79">
        <f t="shared" si="61"/>
        <v>156.99510480492492</v>
      </c>
      <c r="BY162" s="97">
        <f t="shared" si="61"/>
        <v>156.18034482758623</v>
      </c>
      <c r="BZ162" s="79">
        <f t="shared" si="61"/>
        <v>152.90029121436208</v>
      </c>
      <c r="CA162" s="79">
        <f t="shared" si="61"/>
        <v>149.25026079392811</v>
      </c>
      <c r="CB162" s="79">
        <f t="shared" si="61"/>
        <v>150.20141521892091</v>
      </c>
      <c r="CC162" s="79">
        <f t="shared" si="61"/>
        <v>151.83561897968548</v>
      </c>
      <c r="CD162" s="97">
        <f t="shared" si="61"/>
        <v>151.04689655172413</v>
      </c>
    </row>
    <row r="163" spans="1:88">
      <c r="A163" s="39"/>
      <c r="B163" s="39"/>
      <c r="C163" s="39"/>
      <c r="D163" s="39"/>
      <c r="E163" s="39"/>
      <c r="F163" s="39"/>
      <c r="G163" s="39"/>
      <c r="H163" s="80"/>
      <c r="I163" s="80"/>
      <c r="J163" s="80"/>
      <c r="K163" s="80"/>
      <c r="L163" s="39"/>
      <c r="M163" s="80"/>
      <c r="N163" s="80"/>
      <c r="O163" s="80"/>
      <c r="P163" s="80"/>
      <c r="Q163" s="39"/>
      <c r="R163" s="80"/>
      <c r="S163" s="80"/>
      <c r="T163" s="80"/>
      <c r="U163" s="80"/>
      <c r="V163" s="39"/>
      <c r="W163" s="80"/>
      <c r="X163" s="80"/>
      <c r="Y163" s="80"/>
      <c r="Z163" s="80"/>
      <c r="AA163" s="39"/>
      <c r="AB163" s="80"/>
      <c r="AC163" s="80"/>
      <c r="AD163" s="80"/>
      <c r="AE163" s="80"/>
      <c r="AF163" s="39"/>
      <c r="AG163" s="80"/>
      <c r="AH163" s="80"/>
      <c r="AI163" s="80"/>
      <c r="AJ163" s="80"/>
      <c r="AK163" s="97"/>
      <c r="AL163" s="383"/>
      <c r="AM163" s="383"/>
      <c r="AN163" s="383"/>
      <c r="AO163" s="383"/>
      <c r="AP163" s="97"/>
      <c r="AQ163" s="80"/>
      <c r="AR163" s="80"/>
      <c r="AS163" s="80"/>
      <c r="AT163" s="80"/>
      <c r="AU163" s="97"/>
      <c r="AV163" s="80"/>
      <c r="AW163" s="80"/>
      <c r="AX163" s="80"/>
      <c r="AY163" s="80"/>
      <c r="AZ163" s="97"/>
      <c r="BA163" s="383"/>
      <c r="BB163" s="383"/>
      <c r="BC163" s="383"/>
      <c r="BD163" s="383"/>
      <c r="BE163" s="383"/>
      <c r="BF163" s="383"/>
      <c r="BG163" s="383"/>
      <c r="BH163" s="383"/>
      <c r="BI163" s="383"/>
      <c r="BJ163" s="383"/>
      <c r="BK163" s="383"/>
      <c r="BL163" s="383"/>
      <c r="BM163" s="383"/>
      <c r="BN163" s="383"/>
      <c r="BO163" s="383"/>
      <c r="BP163" s="383"/>
      <c r="BQ163" s="383"/>
      <c r="BR163" s="383"/>
      <c r="BS163" s="383"/>
      <c r="BT163" s="383"/>
      <c r="BU163" s="383"/>
      <c r="BV163" s="383"/>
      <c r="BW163" s="383"/>
      <c r="BX163" s="383"/>
      <c r="BY163" s="383"/>
      <c r="BZ163" s="383"/>
      <c r="CA163" s="383"/>
      <c r="CB163" s="383"/>
      <c r="CC163" s="383"/>
      <c r="CD163" s="383"/>
    </row>
    <row r="164" spans="1:88">
      <c r="A164" s="46" t="s">
        <v>3511</v>
      </c>
      <c r="B164" s="46"/>
      <c r="C164" s="46">
        <f>C122+C127+C136+C142+C157+C162</f>
        <v>3419.2758620689656</v>
      </c>
      <c r="D164" s="46">
        <f>D122+D127+D136+D142+D157+D162</f>
        <v>3519.2068965517242</v>
      </c>
      <c r="E164" s="46">
        <f>E122+E127+E136+E142+E157+E162</f>
        <v>3606.0000000000005</v>
      </c>
      <c r="F164" s="46">
        <f>F122+F127+F136+F142+F157+F162</f>
        <v>3997.0344827586205</v>
      </c>
      <c r="G164" s="46">
        <f>G122+G127+G136+G142+G157+G162</f>
        <v>4014.4137931034484</v>
      </c>
      <c r="H164" s="53"/>
      <c r="I164" s="53"/>
      <c r="J164" s="53"/>
      <c r="K164" s="53"/>
      <c r="L164" s="46">
        <f>L122+L127+L136+L142+L157+L162</f>
        <v>3926.2068965517242</v>
      </c>
      <c r="M164" s="81">
        <v>3912</v>
      </c>
      <c r="N164" s="81">
        <v>3804</v>
      </c>
      <c r="O164" s="81">
        <v>3651</v>
      </c>
      <c r="P164" s="81">
        <v>3907</v>
      </c>
      <c r="Q164" s="46">
        <v>3818</v>
      </c>
      <c r="R164" s="81">
        <v>3913</v>
      </c>
      <c r="S164" s="81">
        <v>3830</v>
      </c>
      <c r="T164" s="81">
        <v>3664</v>
      </c>
      <c r="U164" s="81">
        <v>3945</v>
      </c>
      <c r="V164" s="46">
        <v>3838</v>
      </c>
      <c r="W164" s="81">
        <v>4016</v>
      </c>
      <c r="X164" s="81">
        <v>4005</v>
      </c>
      <c r="Y164" s="81">
        <v>3917</v>
      </c>
      <c r="Z164" s="81">
        <v>4054</v>
      </c>
      <c r="AA164" s="46">
        <v>3998</v>
      </c>
      <c r="AB164" s="81">
        <v>4010</v>
      </c>
      <c r="AC164" s="81">
        <v>3846</v>
      </c>
      <c r="AD164" s="81">
        <v>3763</v>
      </c>
      <c r="AE164" s="81">
        <v>3673</v>
      </c>
      <c r="AF164" s="46">
        <v>3822</v>
      </c>
      <c r="AG164" s="81">
        <v>3578</v>
      </c>
      <c r="AH164" s="81">
        <v>3433</v>
      </c>
      <c r="AI164" s="81">
        <v>3319</v>
      </c>
      <c r="AJ164" s="81">
        <v>3487</v>
      </c>
      <c r="AK164" s="100">
        <f>AK122+AK127+AK136+AK142+AK157+AK162</f>
        <v>3453.2068965517242</v>
      </c>
      <c r="AL164" s="81">
        <v>3471</v>
      </c>
      <c r="AM164" s="81">
        <v>3291</v>
      </c>
      <c r="AN164" s="81">
        <v>3261</v>
      </c>
      <c r="AO164" s="81">
        <v>3301</v>
      </c>
      <c r="AP164" s="100">
        <f>AP122+AP127+AP136+AP142+AP157+AP162</f>
        <v>3330.655172413793</v>
      </c>
      <c r="AQ164" s="81">
        <v>3341.0021541238966</v>
      </c>
      <c r="AR164" s="81">
        <v>3180.2085251021472</v>
      </c>
      <c r="AS164" s="81">
        <v>3172.9120473596017</v>
      </c>
      <c r="AT164" s="81">
        <v>3228.6984527246987</v>
      </c>
      <c r="AU164" s="100">
        <f t="shared" ref="AU164:CD164" si="62">AU122+AU127+AU136+AU142+AU157+AU162</f>
        <v>3230.2413793103456</v>
      </c>
      <c r="AV164" s="567">
        <f>'Production - Oil'!AV164+'Production - Gas'!AV164/5.8</f>
        <v>3128.4008080177764</v>
      </c>
      <c r="AW164" s="567">
        <f>'Production - Oil'!AW164+'Production - Gas'!AW164/5.8</f>
        <v>3094.421306922065</v>
      </c>
      <c r="AX164" s="567">
        <f>'Production - Oil'!AX164+'Production - Gas'!AX164/5.8</f>
        <v>3149.7964290385289</v>
      </c>
      <c r="AY164" s="567">
        <f>'Production - Oil'!AY164+'Production - Gas'!AY164/5.8</f>
        <v>3213.0084215388706</v>
      </c>
      <c r="AZ164" s="100">
        <f t="shared" si="62"/>
        <v>3140.96551724138</v>
      </c>
      <c r="BA164" s="567">
        <f>2307+1027</f>
        <v>3334</v>
      </c>
      <c r="BB164" s="567">
        <f>2112+1017</f>
        <v>3129</v>
      </c>
      <c r="BC164" s="567">
        <f>2242+1003</f>
        <v>3245</v>
      </c>
      <c r="BD164" s="567">
        <f>2369+1028</f>
        <v>3397</v>
      </c>
      <c r="BE164" s="100">
        <f>BE122+BE127+BE136+BE142+BE157+BE162</f>
        <v>3241.0689655172414</v>
      </c>
      <c r="BF164" s="567">
        <f>2318+BF153</f>
        <v>3347.0344827586205</v>
      </c>
      <c r="BG164" s="567">
        <f>2212+BG153</f>
        <v>3242.2758620689656</v>
      </c>
      <c r="BH164" s="567">
        <f>2116+BH153</f>
        <v>3146.5172413793102</v>
      </c>
      <c r="BI164" s="567">
        <f>2186+BI153</f>
        <v>3337.2413793103451</v>
      </c>
      <c r="BJ164" s="100">
        <f>SUM(BJ56,BJ110)</f>
        <v>3268</v>
      </c>
      <c r="BK164" s="81">
        <f>2388+BK153</f>
        <v>3530</v>
      </c>
      <c r="BL164" s="81">
        <f>2431+BL153</f>
        <v>3557.4827586206898</v>
      </c>
      <c r="BM164" s="81">
        <f>2462+BM153</f>
        <v>3582.7586206896549</v>
      </c>
      <c r="BN164" s="81">
        <f>2581+BN153</f>
        <v>3709.8275862068967</v>
      </c>
      <c r="BO164" s="100">
        <f>SUM(BO56,BO110)</f>
        <v>3595.1724137931033</v>
      </c>
      <c r="BP164" s="81">
        <f t="shared" si="62"/>
        <v>3715.801568555034</v>
      </c>
      <c r="BQ164" s="81">
        <f t="shared" si="62"/>
        <v>3658.0464325573735</v>
      </c>
      <c r="BR164" s="81">
        <f t="shared" si="62"/>
        <v>3642.5354358079426</v>
      </c>
      <c r="BS164" s="81">
        <f t="shared" si="62"/>
        <v>3685.3157992865472</v>
      </c>
      <c r="BT164" s="100">
        <f t="shared" si="62"/>
        <v>3675.4248090517249</v>
      </c>
      <c r="BU164" s="81">
        <f t="shared" si="62"/>
        <v>3881.4161230254836</v>
      </c>
      <c r="BV164" s="81">
        <f t="shared" si="62"/>
        <v>3826.8644412960612</v>
      </c>
      <c r="BW164" s="81">
        <f t="shared" si="62"/>
        <v>3809.5011706364835</v>
      </c>
      <c r="BX164" s="81">
        <f t="shared" si="62"/>
        <v>3857.703728490249</v>
      </c>
      <c r="BY164" s="100">
        <f t="shared" si="62"/>
        <v>3843.8713658620695</v>
      </c>
      <c r="BZ164" s="81">
        <f t="shared" si="62"/>
        <v>4008.0057786257457</v>
      </c>
      <c r="CA164" s="81">
        <f t="shared" si="62"/>
        <v>3946.8753565957245</v>
      </c>
      <c r="CB164" s="81">
        <f t="shared" si="62"/>
        <v>3924.6966068063443</v>
      </c>
      <c r="CC164" s="81">
        <f t="shared" si="62"/>
        <v>3979.7661700411531</v>
      </c>
      <c r="CD164" s="100">
        <f t="shared" si="62"/>
        <v>3964.8359780172418</v>
      </c>
    </row>
    <row r="165" spans="1:88">
      <c r="A165" s="24"/>
      <c r="B165" s="690" t="s">
        <v>2708</v>
      </c>
      <c r="C165" s="690"/>
      <c r="D165" s="690"/>
      <c r="E165" s="690"/>
      <c r="F165" s="690"/>
      <c r="G165" s="690"/>
      <c r="H165" s="691"/>
      <c r="I165" s="691"/>
      <c r="J165" s="691"/>
      <c r="K165" s="691"/>
      <c r="L165" s="690"/>
      <c r="M165" s="690"/>
      <c r="N165" s="690"/>
      <c r="O165" s="690"/>
      <c r="P165" s="690"/>
      <c r="Q165" s="690"/>
      <c r="R165" s="690"/>
      <c r="S165" s="690"/>
      <c r="T165" s="690"/>
      <c r="U165" s="690"/>
      <c r="V165" s="690"/>
      <c r="W165" s="690"/>
      <c r="X165" s="690"/>
      <c r="Y165" s="690"/>
      <c r="Z165" s="690"/>
      <c r="AA165" s="690"/>
      <c r="AB165" s="690"/>
      <c r="AC165" s="690"/>
      <c r="AD165" s="690"/>
      <c r="AE165" s="690"/>
      <c r="AF165" s="690"/>
      <c r="AG165" s="690"/>
      <c r="AH165" s="690"/>
      <c r="AI165" s="690"/>
      <c r="AJ165" s="690"/>
      <c r="AK165" s="690"/>
      <c r="AL165" s="690"/>
      <c r="AM165" s="690"/>
      <c r="AN165" s="690"/>
      <c r="AO165" s="690"/>
      <c r="AP165" s="692"/>
      <c r="AQ165" s="692"/>
      <c r="AR165" s="692"/>
      <c r="AS165" s="692"/>
      <c r="AT165" s="692"/>
      <c r="AU165" s="692"/>
      <c r="AV165" s="693"/>
      <c r="AW165" s="692"/>
      <c r="AX165" s="692"/>
      <c r="AY165" s="693"/>
      <c r="AZ165" s="692"/>
      <c r="BA165" s="694"/>
      <c r="BB165" s="694"/>
      <c r="BC165" s="694"/>
      <c r="BD165" s="694"/>
      <c r="BE165" s="692"/>
      <c r="BF165" s="694"/>
      <c r="BG165" s="694"/>
      <c r="BH165" s="694"/>
      <c r="BI165" s="694"/>
      <c r="BJ165" s="692"/>
      <c r="BK165" s="693">
        <f>2388+BK153</f>
        <v>3530</v>
      </c>
      <c r="BL165" s="693">
        <f>2431+BL153</f>
        <v>3557.4827586206898</v>
      </c>
      <c r="BM165" s="693">
        <f>2462+BM153</f>
        <v>3582.7586206896549</v>
      </c>
      <c r="BN165" s="693">
        <f>2581+BN153</f>
        <v>3709.8275862068967</v>
      </c>
      <c r="BO165" s="632"/>
      <c r="BP165" s="632"/>
      <c r="BQ165" s="632"/>
      <c r="BR165" s="632"/>
      <c r="BS165" s="632"/>
      <c r="BT165" s="632"/>
      <c r="BU165" s="632"/>
      <c r="BV165" s="632"/>
      <c r="BW165" s="632"/>
      <c r="BX165" s="632"/>
      <c r="BY165" s="632"/>
      <c r="BZ165" s="632"/>
      <c r="CA165" s="632"/>
      <c r="CB165" s="632"/>
      <c r="CC165" s="632"/>
      <c r="CD165" s="632"/>
    </row>
    <row r="166" spans="1:88">
      <c r="A166" s="24"/>
      <c r="B166" s="24"/>
      <c r="C166" s="24"/>
      <c r="D166" s="24"/>
      <c r="E166" s="24"/>
      <c r="F166" s="24"/>
      <c r="G166" s="24"/>
      <c r="H166" s="358"/>
      <c r="I166" s="358"/>
      <c r="J166" s="358"/>
      <c r="K166" s="358"/>
      <c r="L166" s="24"/>
      <c r="M166" s="359"/>
      <c r="N166" s="359"/>
      <c r="O166" s="359"/>
      <c r="P166" s="359"/>
      <c r="Q166" s="24"/>
      <c r="R166" s="359"/>
      <c r="S166" s="359"/>
      <c r="T166" s="359"/>
      <c r="U166" s="359"/>
      <c r="V166" s="24"/>
      <c r="W166" s="359"/>
      <c r="X166" s="359"/>
      <c r="Y166" s="359"/>
      <c r="Z166" s="359"/>
      <c r="AA166" s="24"/>
      <c r="AB166" s="359"/>
      <c r="AC166" s="359"/>
      <c r="AD166" s="359"/>
      <c r="AE166" s="359"/>
      <c r="AF166" s="408"/>
      <c r="AG166" s="408"/>
      <c r="AH166" s="408"/>
      <c r="AI166" s="408"/>
      <c r="AJ166" s="408"/>
      <c r="AK166" s="408"/>
      <c r="AL166" s="408"/>
      <c r="AM166" s="408"/>
      <c r="AN166" s="408"/>
      <c r="AO166" s="408"/>
      <c r="AP166" s="409"/>
      <c r="AQ166" s="409"/>
      <c r="AR166" s="409"/>
      <c r="AS166" s="409"/>
      <c r="AT166" s="409"/>
      <c r="AU166" s="409"/>
      <c r="AZ166" s="409"/>
      <c r="CE166" s="490"/>
      <c r="CF166" s="653" t="s">
        <v>3591</v>
      </c>
      <c r="CG166" s="364"/>
    </row>
    <row r="167" spans="1:88">
      <c r="A167" s="29"/>
      <c r="B167" s="29" t="s">
        <v>1419</v>
      </c>
      <c r="C167" s="29"/>
      <c r="D167" s="246">
        <f>D164/C164-1</f>
        <v>2.9225788884518877E-2</v>
      </c>
      <c r="E167" s="246">
        <f>E164/D164-1</f>
        <v>2.4662688497604446E-2</v>
      </c>
      <c r="F167" s="246">
        <f>F164/E164-1</f>
        <v>0.10843995639451465</v>
      </c>
      <c r="G167" s="246">
        <f>G164/F164-1</f>
        <v>4.3480511413636069E-3</v>
      </c>
      <c r="H167" s="29"/>
      <c r="I167" s="29"/>
      <c r="J167" s="29"/>
      <c r="K167" s="29"/>
      <c r="L167" s="246">
        <f>L164/G164-1</f>
        <v>-2.1972547200604708E-2</v>
      </c>
      <c r="M167" s="29"/>
      <c r="N167" s="29"/>
      <c r="O167" s="29"/>
      <c r="P167" s="29"/>
      <c r="Q167" s="246">
        <f t="shared" ref="Q167:AE167" si="63">Q164/L164-1</f>
        <v>-2.7560161601967392E-2</v>
      </c>
      <c r="R167" s="334">
        <f t="shared" si="63"/>
        <v>2.5562372188137061E-4</v>
      </c>
      <c r="S167" s="334">
        <f t="shared" si="63"/>
        <v>6.8349106203995369E-3</v>
      </c>
      <c r="T167" s="334">
        <f t="shared" si="63"/>
        <v>3.5606683100519732E-3</v>
      </c>
      <c r="U167" s="334">
        <f t="shared" si="63"/>
        <v>9.726132582544178E-3</v>
      </c>
      <c r="V167" s="246">
        <f t="shared" si="63"/>
        <v>5.2383446830801539E-3</v>
      </c>
      <c r="W167" s="334">
        <f t="shared" si="63"/>
        <v>2.6322514694607779E-2</v>
      </c>
      <c r="X167" s="334">
        <f t="shared" si="63"/>
        <v>4.5691906005221883E-2</v>
      </c>
      <c r="Y167" s="334">
        <f t="shared" si="63"/>
        <v>6.9050218340611424E-2</v>
      </c>
      <c r="Z167" s="334">
        <f t="shared" si="63"/>
        <v>2.7629911280101505E-2</v>
      </c>
      <c r="AA167" s="246">
        <f t="shared" si="63"/>
        <v>4.1688379364252182E-2</v>
      </c>
      <c r="AB167" s="334">
        <f t="shared" si="63"/>
        <v>-1.4940239043824688E-3</v>
      </c>
      <c r="AC167" s="334">
        <f t="shared" si="63"/>
        <v>-3.970037453183517E-2</v>
      </c>
      <c r="AD167" s="334">
        <f t="shared" si="63"/>
        <v>-3.9315802910390607E-2</v>
      </c>
      <c r="AE167" s="334">
        <f t="shared" si="63"/>
        <v>-9.3981253083374461E-2</v>
      </c>
      <c r="AF167" s="246">
        <f t="shared" ref="AF167:AP167" si="64">AF164/AA164-1</f>
        <v>-4.4022011005502737E-2</v>
      </c>
      <c r="AG167" s="334">
        <f t="shared" si="64"/>
        <v>-0.10773067331670827</v>
      </c>
      <c r="AH167" s="334">
        <f t="shared" si="64"/>
        <v>-0.10738429537181482</v>
      </c>
      <c r="AI167" s="334">
        <f t="shared" si="64"/>
        <v>-0.11799096465585968</v>
      </c>
      <c r="AJ167" s="334">
        <f t="shared" si="64"/>
        <v>-5.063980397495238E-2</v>
      </c>
      <c r="AK167" s="246">
        <f t="shared" si="64"/>
        <v>-9.6492177772965926E-2</v>
      </c>
      <c r="AL167" s="334">
        <f t="shared" si="64"/>
        <v>-2.990497484628285E-2</v>
      </c>
      <c r="AM167" s="334">
        <f t="shared" si="64"/>
        <v>-4.1363239149431963E-2</v>
      </c>
      <c r="AN167" s="334">
        <f t="shared" si="64"/>
        <v>-1.7475143115396219E-2</v>
      </c>
      <c r="AO167" s="334">
        <f t="shared" si="64"/>
        <v>-5.334098078577576E-2</v>
      </c>
      <c r="AP167" s="246">
        <f t="shared" si="64"/>
        <v>-3.5489250371968151E-2</v>
      </c>
      <c r="AQ167" s="334">
        <f t="shared" ref="AQ167:CD167" si="65">AQ164/AL164-1</f>
        <v>-3.7452562914463638E-2</v>
      </c>
      <c r="AR167" s="334">
        <f t="shared" si="65"/>
        <v>-3.3664987814601255E-2</v>
      </c>
      <c r="AS167" s="334">
        <f t="shared" si="65"/>
        <v>-2.70125583073898E-2</v>
      </c>
      <c r="AT167" s="334">
        <f t="shared" si="65"/>
        <v>-2.1902922531142455E-2</v>
      </c>
      <c r="AU167" s="246">
        <f t="shared" si="65"/>
        <v>-3.0148360579361766E-2</v>
      </c>
      <c r="AV167" s="334">
        <f t="shared" si="65"/>
        <v>-6.3634004498829833E-2</v>
      </c>
      <c r="AW167" s="334">
        <f t="shared" si="65"/>
        <v>-2.6975343755902492E-2</v>
      </c>
      <c r="AX167" s="334">
        <f t="shared" si="65"/>
        <v>-7.2853006878362825E-3</v>
      </c>
      <c r="AY167" s="334">
        <f t="shared" si="65"/>
        <v>-4.8595529794945858E-3</v>
      </c>
      <c r="AZ167" s="246">
        <f t="shared" si="65"/>
        <v>-2.7637520415897177E-2</v>
      </c>
      <c r="BA167" s="334">
        <f t="shared" si="65"/>
        <v>6.5720220841042343E-2</v>
      </c>
      <c r="BB167" s="334">
        <f t="shared" si="65"/>
        <v>1.1174526558676456E-2</v>
      </c>
      <c r="BC167" s="334">
        <f t="shared" si="65"/>
        <v>3.0225309192610794E-2</v>
      </c>
      <c r="BD167" s="334">
        <f t="shared" si="65"/>
        <v>5.7264580207046833E-2</v>
      </c>
      <c r="BE167" s="246">
        <f t="shared" si="65"/>
        <v>3.1870279290356462E-2</v>
      </c>
      <c r="BF167" s="334">
        <f t="shared" si="65"/>
        <v>3.9095629150032174E-3</v>
      </c>
      <c r="BG167" s="334">
        <f t="shared" si="65"/>
        <v>3.6201937382219773E-2</v>
      </c>
      <c r="BH167" s="334">
        <f t="shared" si="65"/>
        <v>-3.0349078157377418E-2</v>
      </c>
      <c r="BI167" s="334">
        <f t="shared" si="65"/>
        <v>-1.7591586897160671E-2</v>
      </c>
      <c r="BJ167" s="246">
        <f t="shared" si="65"/>
        <v>8.3093062101691206E-3</v>
      </c>
      <c r="BK167" s="334">
        <f t="shared" si="65"/>
        <v>5.4664963323168392E-2</v>
      </c>
      <c r="BL167" s="334">
        <f t="shared" si="65"/>
        <v>9.7217790823814765E-2</v>
      </c>
      <c r="BM167" s="334">
        <f t="shared" si="65"/>
        <v>0.13864261526153698</v>
      </c>
      <c r="BN167" s="334">
        <f t="shared" si="65"/>
        <v>0.11164496796858847</v>
      </c>
      <c r="BO167" s="246">
        <f t="shared" si="65"/>
        <v>0.10011395770902798</v>
      </c>
      <c r="BP167" s="334">
        <f t="shared" si="65"/>
        <v>5.2635005256383538E-2</v>
      </c>
      <c r="BQ167" s="334">
        <f t="shared" si="65"/>
        <v>2.8268211193151149E-2</v>
      </c>
      <c r="BR167" s="334">
        <f t="shared" si="65"/>
        <v>1.6684577848222748E-2</v>
      </c>
      <c r="BS167" s="334">
        <f t="shared" si="65"/>
        <v>-6.6072577096262242E-3</v>
      </c>
      <c r="BT167" s="246">
        <f t="shared" si="65"/>
        <v>2.2322266089584097E-2</v>
      </c>
      <c r="BU167" s="334">
        <f t="shared" si="65"/>
        <v>4.4570344087252245E-2</v>
      </c>
      <c r="BV167" s="334">
        <f t="shared" si="65"/>
        <v>4.6149771975602105E-2</v>
      </c>
      <c r="BW167" s="334">
        <f t="shared" si="65"/>
        <v>4.5837779143391266E-2</v>
      </c>
      <c r="BX167" s="334">
        <f t="shared" si="65"/>
        <v>4.6776976137859139E-2</v>
      </c>
      <c r="BY167" s="246">
        <f t="shared" si="65"/>
        <v>4.5830500026962762E-2</v>
      </c>
      <c r="BZ167" s="334">
        <f t="shared" si="65"/>
        <v>3.2614296325844228E-2</v>
      </c>
      <c r="CA167" s="334">
        <f t="shared" si="65"/>
        <v>3.1360116654411296E-2</v>
      </c>
      <c r="CB167" s="334">
        <f t="shared" si="65"/>
        <v>3.023898169602468E-2</v>
      </c>
      <c r="CC167" s="334">
        <f t="shared" si="65"/>
        <v>3.1641217195980564E-2</v>
      </c>
      <c r="CD167" s="246">
        <f t="shared" si="65"/>
        <v>3.1469474558767807E-2</v>
      </c>
      <c r="CF167" s="652" t="s">
        <v>3719</v>
      </c>
      <c r="CG167">
        <f>BJ169</f>
        <v>2207.4827586206898</v>
      </c>
    </row>
    <row r="168" spans="1:88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49"/>
      <c r="AQ168" s="5"/>
      <c r="AR168" s="5"/>
      <c r="AS168" s="5"/>
      <c r="AT168" s="5"/>
      <c r="AU168" s="49"/>
      <c r="AV168" s="5"/>
      <c r="AW168" s="5"/>
      <c r="AX168" s="5"/>
      <c r="AY168" s="5"/>
      <c r="AZ168" s="49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F168" s="11" t="s">
        <v>3587</v>
      </c>
      <c r="CG168" s="11">
        <f>BE169*(1-CH168)^5-BE169</f>
        <v>-264.20946950397388</v>
      </c>
      <c r="CH168" s="125">
        <v>2.5000000000000001E-2</v>
      </c>
      <c r="CI168" s="11"/>
      <c r="CJ168" s="11"/>
    </row>
    <row r="169" spans="1:88">
      <c r="A169" s="5"/>
      <c r="B169" s="5" t="s">
        <v>981</v>
      </c>
      <c r="C169" s="5"/>
      <c r="D169" s="11">
        <f>D164-D153</f>
        <v>3445.1724137931037</v>
      </c>
      <c r="E169" s="11">
        <f>E164-E153</f>
        <v>3287.7586206896558</v>
      </c>
      <c r="F169" s="11">
        <f>F164-F153</f>
        <v>3087.0689655172409</v>
      </c>
      <c r="G169" s="11">
        <f>G164-G153</f>
        <v>3020.3103448275861</v>
      </c>
      <c r="H169" s="64"/>
      <c r="I169" s="64"/>
      <c r="J169" s="64"/>
      <c r="K169" s="64"/>
      <c r="L169" s="11">
        <f t="shared" ref="L169:AQ169" si="66">L164-L153</f>
        <v>2956.4137931034484</v>
      </c>
      <c r="M169" s="68">
        <f t="shared" si="66"/>
        <v>2982</v>
      </c>
      <c r="N169" s="68">
        <f t="shared" si="66"/>
        <v>2891</v>
      </c>
      <c r="O169" s="68">
        <f t="shared" si="66"/>
        <v>2759</v>
      </c>
      <c r="P169" s="68">
        <f t="shared" si="66"/>
        <v>3003</v>
      </c>
      <c r="Q169" s="11">
        <f t="shared" si="66"/>
        <v>2908</v>
      </c>
      <c r="R169" s="68">
        <f t="shared" si="66"/>
        <v>3007</v>
      </c>
      <c r="S169" s="68">
        <f t="shared" si="66"/>
        <v>2911</v>
      </c>
      <c r="T169" s="68">
        <f t="shared" si="66"/>
        <v>2732</v>
      </c>
      <c r="U169" s="68">
        <f t="shared" si="66"/>
        <v>3011</v>
      </c>
      <c r="V169" s="11">
        <f t="shared" si="66"/>
        <v>2915</v>
      </c>
      <c r="W169" s="68">
        <f t="shared" si="66"/>
        <v>3083</v>
      </c>
      <c r="X169" s="68">
        <f t="shared" si="66"/>
        <v>3072</v>
      </c>
      <c r="Y169" s="68">
        <f t="shared" si="66"/>
        <v>2972</v>
      </c>
      <c r="Z169" s="68">
        <f t="shared" si="66"/>
        <v>3089</v>
      </c>
      <c r="AA169" s="11">
        <f t="shared" si="66"/>
        <v>3054</v>
      </c>
      <c r="AB169" s="68">
        <f t="shared" si="66"/>
        <v>3045</v>
      </c>
      <c r="AC169" s="68">
        <f t="shared" si="66"/>
        <v>2875</v>
      </c>
      <c r="AD169" s="68">
        <f t="shared" si="66"/>
        <v>2810</v>
      </c>
      <c r="AE169" s="68">
        <f t="shared" si="66"/>
        <v>2695</v>
      </c>
      <c r="AF169" s="11">
        <f t="shared" si="66"/>
        <v>2855</v>
      </c>
      <c r="AG169" s="68">
        <f t="shared" si="66"/>
        <v>2598.0344827586205</v>
      </c>
      <c r="AH169" s="68">
        <f t="shared" si="66"/>
        <v>2456.6206896551726</v>
      </c>
      <c r="AI169" s="68">
        <f t="shared" si="66"/>
        <v>2321.5172413793102</v>
      </c>
      <c r="AJ169" s="68">
        <f t="shared" si="66"/>
        <v>2484.7241379310344</v>
      </c>
      <c r="AK169" s="98">
        <f t="shared" si="66"/>
        <v>2467.6896551724139</v>
      </c>
      <c r="AL169" s="68">
        <f t="shared" si="66"/>
        <v>2451.8275862068967</v>
      </c>
      <c r="AM169" s="68">
        <f t="shared" si="66"/>
        <v>2275.6896551724139</v>
      </c>
      <c r="AN169" s="68">
        <f t="shared" si="66"/>
        <v>2259.4827586206898</v>
      </c>
      <c r="AO169" s="68">
        <f t="shared" si="66"/>
        <v>2289.9655172413795</v>
      </c>
      <c r="AP169" s="98">
        <f t="shared" si="66"/>
        <v>2341.1034482758619</v>
      </c>
      <c r="AQ169" s="68">
        <f t="shared" si="66"/>
        <v>2337.2090506756208</v>
      </c>
      <c r="AR169" s="68">
        <f t="shared" ref="AR169:BW169" si="67">AR164-AR153</f>
        <v>2235.4154216538714</v>
      </c>
      <c r="AS169" s="68">
        <f t="shared" si="67"/>
        <v>2208.1879094285673</v>
      </c>
      <c r="AT169" s="68">
        <f t="shared" si="67"/>
        <v>2243.2846596212503</v>
      </c>
      <c r="AU169" s="98">
        <f t="shared" si="67"/>
        <v>2255.1379310344837</v>
      </c>
      <c r="AV169" s="68">
        <f t="shared" si="67"/>
        <v>2131.2283942246731</v>
      </c>
      <c r="AW169" s="68">
        <f t="shared" si="67"/>
        <v>2106.0075138186166</v>
      </c>
      <c r="AX169" s="68">
        <f>AX164-AX153</f>
        <v>2147.7964290385289</v>
      </c>
      <c r="AY169" s="68">
        <f t="shared" si="67"/>
        <v>2186.5946284354222</v>
      </c>
      <c r="AZ169" s="98">
        <f t="shared" si="67"/>
        <v>2133.0689655172418</v>
      </c>
      <c r="BA169" s="68">
        <f t="shared" si="67"/>
        <v>2306.7931034482758</v>
      </c>
      <c r="BB169" s="68">
        <f t="shared" si="67"/>
        <v>2111.9310344827586</v>
      </c>
      <c r="BC169" s="68">
        <f t="shared" si="67"/>
        <v>2241.0344827586205</v>
      </c>
      <c r="BD169" s="68">
        <f t="shared" si="67"/>
        <v>2368.5862068965516</v>
      </c>
      <c r="BE169" s="98">
        <f>BE164-BE153</f>
        <v>2222.0344827586205</v>
      </c>
      <c r="BF169" s="68">
        <f t="shared" si="67"/>
        <v>2318</v>
      </c>
      <c r="BG169" s="68">
        <f t="shared" si="67"/>
        <v>2212</v>
      </c>
      <c r="BH169" s="68">
        <f t="shared" si="67"/>
        <v>2116</v>
      </c>
      <c r="BI169" s="68">
        <f t="shared" si="67"/>
        <v>2186</v>
      </c>
      <c r="BJ169" s="98">
        <f t="shared" si="67"/>
        <v>2207.4827586206898</v>
      </c>
      <c r="BK169" s="68">
        <f t="shared" si="67"/>
        <v>2388</v>
      </c>
      <c r="BL169" s="68">
        <f t="shared" si="67"/>
        <v>2431</v>
      </c>
      <c r="BM169" s="68">
        <f t="shared" si="67"/>
        <v>2462</v>
      </c>
      <c r="BN169" s="68">
        <f t="shared" si="67"/>
        <v>2581</v>
      </c>
      <c r="BO169" s="98">
        <f t="shared" si="67"/>
        <v>2465.655172413793</v>
      </c>
      <c r="BP169" s="68">
        <f t="shared" si="67"/>
        <v>2582.500292280642</v>
      </c>
      <c r="BQ169" s="68">
        <f t="shared" si="67"/>
        <v>2542.2620851954334</v>
      </c>
      <c r="BR169" s="68">
        <f t="shared" si="67"/>
        <v>2531.0662084556589</v>
      </c>
      <c r="BS169" s="68">
        <f t="shared" si="67"/>
        <v>2550.8136595855067</v>
      </c>
      <c r="BT169" s="98">
        <f t="shared" si="67"/>
        <v>2551.6605613793108</v>
      </c>
      <c r="BU169" s="68">
        <f t="shared" si="67"/>
        <v>2687.6079233837895</v>
      </c>
      <c r="BV169" s="68">
        <f t="shared" si="67"/>
        <v>2652.7402279521284</v>
      </c>
      <c r="BW169" s="68">
        <f t="shared" si="67"/>
        <v>2640.2259101865084</v>
      </c>
      <c r="BX169" s="68">
        <f t="shared" ref="BX169:CD169" si="68">BX164-BX153</f>
        <v>2662.5461039948163</v>
      </c>
      <c r="BY169" s="98">
        <f t="shared" si="68"/>
        <v>2660.7800413793111</v>
      </c>
      <c r="BZ169" s="68">
        <f t="shared" si="68"/>
        <v>2783.5577421231624</v>
      </c>
      <c r="CA169" s="68">
        <f t="shared" si="68"/>
        <v>2743.6914167946843</v>
      </c>
      <c r="CB169" s="68">
        <f t="shared" si="68"/>
        <v>2726.7508642727985</v>
      </c>
      <c r="CC169" s="68">
        <f t="shared" si="68"/>
        <v>2753.8603850852178</v>
      </c>
      <c r="CD169" s="98">
        <f t="shared" si="68"/>
        <v>2751.9651020689657</v>
      </c>
      <c r="CF169" s="391" t="s">
        <v>3588</v>
      </c>
      <c r="CG169">
        <v>800</v>
      </c>
    </row>
    <row r="170" spans="1:88">
      <c r="AP170" s="451">
        <f>AP169/AK169-1</f>
        <v>-5.1297458183698463E-2</v>
      </c>
      <c r="AT170" s="381"/>
      <c r="AU170" s="451">
        <f t="shared" ref="AU170:CD170" si="69">AU169/AP169-1</f>
        <v>-3.6720084840628719E-2</v>
      </c>
      <c r="AV170" s="594">
        <f t="shared" si="69"/>
        <v>-8.8131036627384529E-2</v>
      </c>
      <c r="AW170" s="594">
        <f t="shared" si="69"/>
        <v>-5.7889869856723286E-2</v>
      </c>
      <c r="AX170" s="594">
        <f t="shared" si="69"/>
        <v>-2.7348886447651322E-2</v>
      </c>
      <c r="AY170" s="594">
        <f t="shared" si="69"/>
        <v>-2.527099311390979E-2</v>
      </c>
      <c r="AZ170" s="451">
        <f t="shared" si="69"/>
        <v>-5.4129268031621436E-2</v>
      </c>
      <c r="BA170" s="594">
        <f t="shared" si="69"/>
        <v>8.2377238262852703E-2</v>
      </c>
      <c r="BB170" s="594">
        <f t="shared" si="69"/>
        <v>2.8126778395967111E-3</v>
      </c>
      <c r="BC170" s="594">
        <f t="shared" si="69"/>
        <v>4.3411029304034177E-2</v>
      </c>
      <c r="BD170" s="594">
        <f t="shared" si="69"/>
        <v>8.3230597978442011E-2</v>
      </c>
      <c r="BE170" s="451">
        <f t="shared" si="69"/>
        <v>4.1707754732536628E-2</v>
      </c>
      <c r="BF170" s="594">
        <f t="shared" si="69"/>
        <v>4.8582148676323822E-3</v>
      </c>
      <c r="BG170" s="594">
        <f t="shared" si="69"/>
        <v>4.7382686216242753E-2</v>
      </c>
      <c r="BH170" s="594">
        <f t="shared" si="69"/>
        <v>-5.5793198953685064E-2</v>
      </c>
      <c r="BI170" s="594">
        <f t="shared" si="69"/>
        <v>-7.7086578637045156E-2</v>
      </c>
      <c r="BJ170" s="451">
        <f t="shared" si="69"/>
        <v>-6.5488291252190356E-3</v>
      </c>
      <c r="BK170" s="594">
        <f t="shared" si="69"/>
        <v>3.0198446937014678E-2</v>
      </c>
      <c r="BL170" s="594">
        <f t="shared" si="69"/>
        <v>9.9005424954792032E-2</v>
      </c>
      <c r="BM170" s="594">
        <f t="shared" si="69"/>
        <v>0.16351606805292995</v>
      </c>
      <c r="BN170" s="594">
        <f t="shared" si="69"/>
        <v>0.1806953339432753</v>
      </c>
      <c r="BO170" s="451">
        <f t="shared" si="69"/>
        <v>0.11695330927722325</v>
      </c>
      <c r="BP170" s="594">
        <f t="shared" si="69"/>
        <v>8.1449033618359312E-2</v>
      </c>
      <c r="BQ170" s="594">
        <f t="shared" si="69"/>
        <v>4.5768031754600313E-2</v>
      </c>
      <c r="BR170" s="594">
        <f t="shared" si="69"/>
        <v>2.8052887268748439E-2</v>
      </c>
      <c r="BS170" s="594">
        <f t="shared" si="69"/>
        <v>-1.1695598765785853E-2</v>
      </c>
      <c r="BT170" s="451">
        <f t="shared" si="69"/>
        <v>3.4881353211009491E-2</v>
      </c>
      <c r="BU170" s="594">
        <f t="shared" si="69"/>
        <v>4.0699949354245923E-2</v>
      </c>
      <c r="BV170" s="594">
        <f t="shared" si="69"/>
        <v>4.3456629983215089E-2</v>
      </c>
      <c r="BW170" s="594">
        <f t="shared" si="69"/>
        <v>4.3127951914562423E-2</v>
      </c>
      <c r="BX170" s="594">
        <f t="shared" si="69"/>
        <v>4.3802668215076723E-2</v>
      </c>
      <c r="BY170" s="451">
        <f t="shared" si="69"/>
        <v>4.2764104932912828E-2</v>
      </c>
      <c r="BZ170" s="594">
        <f t="shared" si="69"/>
        <v>3.5700824478359428E-2</v>
      </c>
      <c r="CA170" s="594">
        <f t="shared" si="69"/>
        <v>3.4285750215643507E-2</v>
      </c>
      <c r="CB170" s="594">
        <f t="shared" si="69"/>
        <v>3.2771799470817875E-2</v>
      </c>
      <c r="CC170" s="594">
        <f t="shared" si="69"/>
        <v>3.42958497332293E-2</v>
      </c>
      <c r="CD170" s="451">
        <f t="shared" si="69"/>
        <v>3.4270048358595373E-2</v>
      </c>
      <c r="CF170" s="289" t="s">
        <v>3589</v>
      </c>
      <c r="CG170" s="289">
        <f>SUM(CG167:CG169)</f>
        <v>2743.2732891167161</v>
      </c>
    </row>
    <row r="171" spans="1:88">
      <c r="CD171" s="351"/>
      <c r="CF171" s="391" t="s">
        <v>3590</v>
      </c>
      <c r="CG171">
        <f>CD169</f>
        <v>2751.9651020689657</v>
      </c>
    </row>
    <row r="172" spans="1:88">
      <c r="A172" s="11" t="s">
        <v>973</v>
      </c>
      <c r="E172" s="11">
        <f>'Production - Oil'!E326+'Production - Gas'!E333/5.8</f>
        <v>3145.1795862068966</v>
      </c>
      <c r="F172" s="11">
        <f>'Production - Oil'!F326+'Production - Gas'!F333/5.8</f>
        <v>2898.5193793103449</v>
      </c>
      <c r="G172" s="11">
        <f>'Production - Oil'!G326+'Production - Gas'!G333/5.8</f>
        <v>2825.768551724138</v>
      </c>
      <c r="H172" s="64">
        <f>'Production - Oil'!H326+'Production - Gas'!H333/5.8</f>
        <v>2797.2042586206894</v>
      </c>
      <c r="I172" s="64">
        <f>'Production - Oil'!I326+'Production - Gas'!I333/5.8</f>
        <v>2783.2116724137932</v>
      </c>
      <c r="J172" s="64">
        <f>'Production - Oil'!J326+'Production - Gas'!J333/5.8</f>
        <v>2769.2190862068965</v>
      </c>
      <c r="K172" s="64">
        <f>'Production - Oil'!K326+'Production - Gas'!K333/5.8</f>
        <v>2755.2264999999998</v>
      </c>
      <c r="L172" s="11">
        <f>'Production - Oil'!L326+'Production - Gas'!L333/5.8</f>
        <v>2776.2153793103444</v>
      </c>
      <c r="M172" s="68">
        <f>'Production - Oil'!M326+'Production - Gas'!M333/5.8</f>
        <v>2791.0666785791154</v>
      </c>
      <c r="N172" s="68">
        <f>'Production - Oil'!N326+'Production - Gas'!N333/5.8</f>
        <v>2708.6544867535258</v>
      </c>
      <c r="O172" s="68">
        <f>'Production - Oil'!O326+'Production - Gas'!O333/5.8</f>
        <v>2716.32659596341</v>
      </c>
      <c r="P172" s="68">
        <f>'Production - Oil'!P326+'Production - Gas'!P333/5.8</f>
        <v>2783.2708593936031</v>
      </c>
      <c r="Q172" s="11">
        <f>'Production - Oil'!Q326+'Production - Gas'!Q333/5.8</f>
        <v>2749.8296551724138</v>
      </c>
      <c r="R172" s="68">
        <f>'Production - Oil'!R326+'Production - Gas'!R333/5.8</f>
        <v>2718.3372524674305</v>
      </c>
      <c r="S172" s="68">
        <f>'Production - Oil'!S326+'Production - Gas'!S333/5.8</f>
        <v>2671.3654752444136</v>
      </c>
      <c r="T172" s="68">
        <f>'Production - Oil'!T326+'Production - Gas'!T333/5.8</f>
        <v>2621.9720809389046</v>
      </c>
      <c r="U172" s="68">
        <f>'Production - Oil'!U326+'Production - Gas'!U333/5.8</f>
        <v>2721.3078120389073</v>
      </c>
      <c r="V172" s="11">
        <f>'Production - Oil'!V326+'Production - Gas'!V333/5.8</f>
        <v>2683.2456551724135</v>
      </c>
      <c r="W172" s="68">
        <f>'Production - Oil'!W326+'Production - Gas'!W333/5.8</f>
        <v>2842.2870568597864</v>
      </c>
      <c r="X172" s="68">
        <f>'Production - Oil'!X326+'Production - Gas'!X333/5.8</f>
        <v>2821.8521448240826</v>
      </c>
      <c r="Y172" s="68">
        <f>'Production - Oil'!Y326+'Production - Gas'!Y333/5.8</f>
        <v>2735.8553510818342</v>
      </c>
      <c r="Z172" s="68">
        <f>'Production - Oil'!Z326+'Production - Gas'!Z333/5.8</f>
        <v>2802.3127575791241</v>
      </c>
      <c r="AA172" s="11">
        <f>'Production - Oil'!AA326+'Production - Gas'!AA333/5.8</f>
        <v>2800.5768275862069</v>
      </c>
      <c r="AB172" s="68">
        <f>'Production - Oil'!AB326+'Production - Gas'!AB333/5.8</f>
        <v>2699.4100956672319</v>
      </c>
      <c r="AC172" s="68">
        <f>'Production - Oil'!AC326+'Production - Gas'!AC333/5.8</f>
        <v>2684.3675162701484</v>
      </c>
      <c r="AD172" s="68">
        <f>'Production - Oil'!AD326+'Production - Gas'!AD333/5.8</f>
        <v>2675.2377695982013</v>
      </c>
      <c r="AE172" s="68">
        <f>'Production - Oil'!AE326+'Production - Gas'!AE333/5.8</f>
        <v>2617.4811701885546</v>
      </c>
      <c r="AF172" s="11">
        <f>'Production - Oil'!AF326+'Production - Gas'!AF333/5.8</f>
        <v>2669.1241379310341</v>
      </c>
      <c r="AG172" s="68">
        <f>'Production - Oil'!AG326+'Production - Gas'!AG333/5.8</f>
        <v>2316.4411859146994</v>
      </c>
      <c r="AH172" s="68">
        <f>'Production - Oil'!AH326+'Production - Gas'!AH333/5.8</f>
        <v>2287.1057815571939</v>
      </c>
      <c r="AI172" s="68">
        <f>'Production - Oil'!AI326+'Production - Gas'!AI333/5.8</f>
        <v>2268.9741876403918</v>
      </c>
      <c r="AJ172" s="68">
        <f>'Production - Oil'!AJ326+'Production - Gas'!AJ333/5.8</f>
        <v>2291.08022419806</v>
      </c>
      <c r="AK172" s="98">
        <f>'Production - Oil'!AK326+'Production - Gas'!AK333/5.8</f>
        <v>2290.9003448275862</v>
      </c>
      <c r="AL172" s="68">
        <f>'Production - Oil'!AL326+'Production - Gas'!AL333/5.8</f>
        <v>2151.8299120703259</v>
      </c>
      <c r="AM172" s="68">
        <f>'Production - Oil'!AM326+'Production - Gas'!AM333/5.8</f>
        <v>2127.3320257517044</v>
      </c>
      <c r="AN172" s="68">
        <f>'Production - Oil'!AN326+'Production - Gas'!AN333/5.8</f>
        <v>2120.0329166384345</v>
      </c>
      <c r="AO172" s="68">
        <f>'Production - Oil'!AO326+'Production - Gas'!AO333/5.8</f>
        <v>2133.8517662291915</v>
      </c>
      <c r="AP172" s="98">
        <f>'Production - Oil'!AP326+'Production - Gas'!AP333/5.8</f>
        <v>2133.2616551724141</v>
      </c>
      <c r="AQ172" s="68">
        <f>'Production - Oil'!AQ326+'Production - Gas'!AQ333/5.8</f>
        <v>2846.9405782338245</v>
      </c>
      <c r="AR172" s="68">
        <f>'Production - Oil'!AR326+'Production - Gas'!AR333/5.8</f>
        <v>2814.2415131270159</v>
      </c>
      <c r="AS172" s="68">
        <f>'Production - Oil'!AS326+'Production - Gas'!AS333/5.8</f>
        <v>2801.7040572898641</v>
      </c>
      <c r="AT172" s="68">
        <f>'Production - Oil'!AT326+'Production - Gas'!AT333/5.8</f>
        <v>2827.1235941079158</v>
      </c>
      <c r="AU172" s="98">
        <f>'Production - Oil'!AU326+'Production - Gas'!AU333/5.8</f>
        <v>2822.5024356896547</v>
      </c>
      <c r="AV172" s="68">
        <f>'Production - Oil'!AV326+'Production - Gas'!AV333/5.8</f>
        <v>3035.3562175249276</v>
      </c>
      <c r="AW172" s="68">
        <f>'Production - Oil'!AW326+'Production - Gas'!AW333/5.8</f>
        <v>2996.3694429406087</v>
      </c>
      <c r="AX172" s="68">
        <f>'Production - Oil'!AX326+'Production - Gas'!AX333/5.8</f>
        <v>2981.8248016507087</v>
      </c>
      <c r="AY172" s="68">
        <f>'Production - Oil'!AY326+'Production - Gas'!AY333/5.8</f>
        <v>3016.0501144354789</v>
      </c>
      <c r="AZ172" s="98">
        <f>'Production - Oil'!AZ326+'Production - Gas'!AZ333/5.8</f>
        <v>3007.4001441379305</v>
      </c>
      <c r="BA172" s="68">
        <f>'Production - Oil'!BA326+'Production - Gas'!BA333/5.8</f>
        <v>3227.71773022452</v>
      </c>
      <c r="BB172" s="68">
        <f>'Production - Oil'!BB326+'Production - Gas'!BB333/5.8</f>
        <v>3191.0657749146694</v>
      </c>
      <c r="BC172" s="68">
        <f>'Production - Oil'!BC326+'Production - Gas'!BC333/5.8</f>
        <v>3181.5172232394998</v>
      </c>
      <c r="BD172" s="68">
        <f>'Production - Oil'!BD326+'Production - Gas'!BD333/5.8</f>
        <v>3213.4073950695883</v>
      </c>
      <c r="BE172" s="98">
        <f>'Production - Oil'!BE326+'Production - Gas'!BE333/5.8</f>
        <v>3203.4270308620689</v>
      </c>
      <c r="BF172" s="68">
        <f>'Production - Oil'!BF326+'Production - Gas'!BF333/5.8</f>
        <v>3215.2932619229691</v>
      </c>
      <c r="BG172" s="68">
        <f>'Production - Oil'!BG326+'Production - Gas'!BG333/5.8</f>
        <v>3175.4227837163289</v>
      </c>
      <c r="BH172" s="68">
        <f>'Production - Oil'!BH326+'Production - Gas'!BH333/5.8</f>
        <v>3159.0710997906326</v>
      </c>
      <c r="BI172" s="68">
        <f>'Production - Oil'!BI326+'Production - Gas'!BI333/5.8</f>
        <v>3196.0481090528292</v>
      </c>
      <c r="BJ172" s="98">
        <f>'Production - Oil'!BJ326+'Production - Gas'!BJ333/5.8</f>
        <v>3186.4588136206899</v>
      </c>
      <c r="BK172" s="68">
        <f>'Production - Oil'!BK326+'Production - Gas'!BK333/5.8</f>
        <v>3286.2260369724991</v>
      </c>
      <c r="BL172" s="68">
        <f>'Production - Oil'!BL326+'Production - Gas'!BL333/5.8</f>
        <v>3243.4715689750192</v>
      </c>
      <c r="BM172" s="68">
        <f>'Production - Oil'!BM326+'Production - Gas'!BM333/5.8</f>
        <v>3225.9814944591681</v>
      </c>
      <c r="BN172" s="68">
        <f>'Production - Oil'!BN326+'Production - Gas'!BN333/5.8</f>
        <v>3264.8962699381427</v>
      </c>
      <c r="BO172" s="98">
        <f>'Production - Oil'!BO326+'Production - Gas'!BO333/5.8</f>
        <v>3255.143842586207</v>
      </c>
      <c r="BP172" s="68">
        <f>'Production - Oil'!BP326+'Production - Gas'!BP333/5.8</f>
        <v>3414.2498444171033</v>
      </c>
      <c r="BQ172" s="68">
        <f>'Production - Oil'!BQ326+'Production - Gas'!BQ333/5.8</f>
        <v>3365.8050532470288</v>
      </c>
      <c r="BR172" s="68">
        <f>'Production - Oil'!BR326+'Production - Gas'!BR333/5.8</f>
        <v>3350.2940564975979</v>
      </c>
      <c r="BS172" s="68">
        <f>'Production - Oil'!BS326+'Production - Gas'!BS333/5.8</f>
        <v>3393.0744199762025</v>
      </c>
      <c r="BT172" s="98">
        <f>'Production - Oil'!BT326+'Production - Gas'!BT333/5.8</f>
        <v>3380.855843534483</v>
      </c>
      <c r="BU172" s="68">
        <f>'Production - Oil'!BU326+'Production - Gas'!BU333/5.8</f>
        <v>3596.416123025484</v>
      </c>
      <c r="BV172" s="68">
        <f>'Production - Oil'!BV326+'Production - Gas'!BV333/5.8</f>
        <v>3541.8644412960612</v>
      </c>
      <c r="BW172" s="68">
        <f>'Production - Oil'!BW326+'Production - Gas'!BW333/5.8</f>
        <v>3524.5011706364835</v>
      </c>
      <c r="BX172" s="68">
        <f>'Production - Oil'!BX326+'Production - Gas'!BX333/5.8</f>
        <v>3572.703728490249</v>
      </c>
      <c r="BY172" s="98">
        <f>'Production - Oil'!BY326+'Production - Gas'!BY333/5.8</f>
        <v>3558.8713658620691</v>
      </c>
      <c r="BZ172" s="68">
        <f>'Production - Oil'!BZ326+'Production - Gas'!BZ333/5.8</f>
        <v>3743.0057786257457</v>
      </c>
      <c r="CA172" s="68">
        <f>'Production - Oil'!CA326+'Production - Gas'!CA333/5.8</f>
        <v>3681.875356595724</v>
      </c>
      <c r="CB172" s="68">
        <f>'Production - Oil'!CB326+'Production - Gas'!CB333/5.8</f>
        <v>3659.6966068063448</v>
      </c>
      <c r="CC172" s="68">
        <f>'Production - Oil'!CC326+'Production - Gas'!CC333/5.8</f>
        <v>3714.7661700411527</v>
      </c>
      <c r="CD172" s="98">
        <f>'Production - Oil'!CD326+'Production - Gas'!CD333/5.8</f>
        <v>3699.8359780172414</v>
      </c>
      <c r="CF172" s="391" t="s">
        <v>1536</v>
      </c>
      <c r="CG172" s="381">
        <f>CG171/CG170-1</f>
        <v>3.1684094277928398E-3</v>
      </c>
    </row>
    <row r="173" spans="1:88">
      <c r="A173" s="11" t="s">
        <v>974</v>
      </c>
      <c r="E173" s="11">
        <f t="shared" ref="E173:AJ173" si="70">E164-E172</f>
        <v>460.82041379310385</v>
      </c>
      <c r="F173" s="11">
        <f t="shared" si="70"/>
        <v>1098.5151034482756</v>
      </c>
      <c r="G173" s="11">
        <f t="shared" si="70"/>
        <v>1188.6452413793104</v>
      </c>
      <c r="H173" s="64">
        <f t="shared" si="70"/>
        <v>-2797.2042586206894</v>
      </c>
      <c r="I173" s="64">
        <f t="shared" si="70"/>
        <v>-2783.2116724137932</v>
      </c>
      <c r="J173" s="64">
        <f t="shared" si="70"/>
        <v>-2769.2190862068965</v>
      </c>
      <c r="K173" s="64">
        <f t="shared" si="70"/>
        <v>-2755.2264999999998</v>
      </c>
      <c r="L173" s="11">
        <f t="shared" si="70"/>
        <v>1149.9915172413798</v>
      </c>
      <c r="M173" s="68">
        <f t="shared" si="70"/>
        <v>1120.9333214208846</v>
      </c>
      <c r="N173" s="68">
        <f t="shared" si="70"/>
        <v>1095.3455132464742</v>
      </c>
      <c r="O173" s="68">
        <f t="shared" si="70"/>
        <v>934.67340403659</v>
      </c>
      <c r="P173" s="68">
        <f t="shared" si="70"/>
        <v>1123.7291406063969</v>
      </c>
      <c r="Q173" s="11">
        <f t="shared" si="70"/>
        <v>1068.1703448275862</v>
      </c>
      <c r="R173" s="68">
        <f t="shared" si="70"/>
        <v>1194.6627475325695</v>
      </c>
      <c r="S173" s="68">
        <f t="shared" si="70"/>
        <v>1158.6345247555864</v>
      </c>
      <c r="T173" s="68">
        <f t="shared" si="70"/>
        <v>1042.0279190610954</v>
      </c>
      <c r="U173" s="68">
        <f t="shared" si="70"/>
        <v>1223.6921879610927</v>
      </c>
      <c r="V173" s="11">
        <f t="shared" si="70"/>
        <v>1154.7543448275865</v>
      </c>
      <c r="W173" s="68">
        <f t="shared" si="70"/>
        <v>1173.7129431402136</v>
      </c>
      <c r="X173" s="68">
        <f t="shared" si="70"/>
        <v>1183.1478551759174</v>
      </c>
      <c r="Y173" s="68">
        <f t="shared" si="70"/>
        <v>1181.1446489181658</v>
      </c>
      <c r="Z173" s="68">
        <f t="shared" si="70"/>
        <v>1251.6872424208759</v>
      </c>
      <c r="AA173" s="11">
        <f t="shared" si="70"/>
        <v>1197.4231724137931</v>
      </c>
      <c r="AB173" s="68">
        <f t="shared" si="70"/>
        <v>1310.5899043327681</v>
      </c>
      <c r="AC173" s="68">
        <f t="shared" si="70"/>
        <v>1161.6324837298516</v>
      </c>
      <c r="AD173" s="68">
        <f t="shared" si="70"/>
        <v>1087.7622304017987</v>
      </c>
      <c r="AE173" s="68">
        <f t="shared" si="70"/>
        <v>1055.5188298114454</v>
      </c>
      <c r="AF173" s="11">
        <f t="shared" si="70"/>
        <v>1152.8758620689659</v>
      </c>
      <c r="AG173" s="68">
        <f t="shared" si="70"/>
        <v>1261.5588140853006</v>
      </c>
      <c r="AH173" s="68">
        <f t="shared" si="70"/>
        <v>1145.8942184428061</v>
      </c>
      <c r="AI173" s="68">
        <f t="shared" si="70"/>
        <v>1050.0258123596082</v>
      </c>
      <c r="AJ173" s="68">
        <f t="shared" si="70"/>
        <v>1195.91977580194</v>
      </c>
      <c r="AK173" s="98">
        <f>AK164-AK172</f>
        <v>1162.306551724138</v>
      </c>
      <c r="AL173" s="68">
        <f t="shared" ref="AL173:CD173" si="71">AL164-AL172</f>
        <v>1319.1700879296741</v>
      </c>
      <c r="AM173" s="68">
        <f t="shared" si="71"/>
        <v>1163.6679742482956</v>
      </c>
      <c r="AN173" s="68">
        <f t="shared" si="71"/>
        <v>1140.9670833615655</v>
      </c>
      <c r="AO173" s="68">
        <f t="shared" si="71"/>
        <v>1167.1482337708085</v>
      </c>
      <c r="AP173" s="98">
        <f t="shared" si="71"/>
        <v>1197.393517241379</v>
      </c>
      <c r="AQ173" s="68">
        <f t="shared" si="71"/>
        <v>494.06157589007216</v>
      </c>
      <c r="AR173" s="68">
        <f t="shared" si="71"/>
        <v>365.9670119751313</v>
      </c>
      <c r="AS173" s="68">
        <f t="shared" si="71"/>
        <v>371.20799006973766</v>
      </c>
      <c r="AT173" s="68">
        <f t="shared" si="71"/>
        <v>401.57485861678288</v>
      </c>
      <c r="AU173" s="98">
        <f t="shared" si="71"/>
        <v>407.73894362069086</v>
      </c>
      <c r="AV173" s="68">
        <f t="shared" si="71"/>
        <v>93.044590492848783</v>
      </c>
      <c r="AW173" s="68">
        <f t="shared" si="71"/>
        <v>98.051863981456336</v>
      </c>
      <c r="AX173" s="68">
        <f t="shared" si="71"/>
        <v>167.97162738782026</v>
      </c>
      <c r="AY173" s="68">
        <f t="shared" si="71"/>
        <v>196.95830710339169</v>
      </c>
      <c r="AZ173" s="98">
        <f t="shared" si="71"/>
        <v>133.56537310344947</v>
      </c>
      <c r="BA173" s="68">
        <f t="shared" si="71"/>
        <v>106.28226977548002</v>
      </c>
      <c r="BB173" s="68">
        <f t="shared" si="71"/>
        <v>-62.065774914669419</v>
      </c>
      <c r="BC173" s="68">
        <f t="shared" si="71"/>
        <v>63.482776760500201</v>
      </c>
      <c r="BD173" s="68">
        <f t="shared" si="71"/>
        <v>183.59260493041165</v>
      </c>
      <c r="BE173" s="98">
        <f>BE164-BE172</f>
        <v>37.641934655172463</v>
      </c>
      <c r="BF173" s="68">
        <f t="shared" si="71"/>
        <v>131.74122083565135</v>
      </c>
      <c r="BG173" s="68">
        <f t="shared" si="71"/>
        <v>66.853078352636658</v>
      </c>
      <c r="BH173" s="68">
        <f t="shared" si="71"/>
        <v>-12.553858411322381</v>
      </c>
      <c r="BI173" s="68">
        <f t="shared" si="71"/>
        <v>141.19327025751591</v>
      </c>
      <c r="BJ173" s="98">
        <f t="shared" si="71"/>
        <v>81.541186379310147</v>
      </c>
      <c r="BK173" s="68">
        <f t="shared" si="71"/>
        <v>243.77396302750094</v>
      </c>
      <c r="BL173" s="68">
        <f t="shared" si="71"/>
        <v>314.01118964567058</v>
      </c>
      <c r="BM173" s="68">
        <f t="shared" si="71"/>
        <v>356.77712623048683</v>
      </c>
      <c r="BN173" s="68">
        <f t="shared" si="71"/>
        <v>444.93131626875402</v>
      </c>
      <c r="BO173" s="98">
        <f t="shared" si="71"/>
        <v>340.02857120689623</v>
      </c>
      <c r="BP173" s="68">
        <f t="shared" si="71"/>
        <v>301.55172413793071</v>
      </c>
      <c r="BQ173" s="68">
        <f t="shared" si="71"/>
        <v>292.24137931034466</v>
      </c>
      <c r="BR173" s="68">
        <f t="shared" si="71"/>
        <v>292.24137931034466</v>
      </c>
      <c r="BS173" s="68">
        <f t="shared" si="71"/>
        <v>292.24137931034466</v>
      </c>
      <c r="BT173" s="98">
        <f t="shared" si="71"/>
        <v>294.56896551724185</v>
      </c>
      <c r="BU173" s="68">
        <f t="shared" si="71"/>
        <v>284.99999999999955</v>
      </c>
      <c r="BV173" s="68">
        <f t="shared" si="71"/>
        <v>285</v>
      </c>
      <c r="BW173" s="68">
        <f t="shared" si="71"/>
        <v>285</v>
      </c>
      <c r="BX173" s="68">
        <f t="shared" si="71"/>
        <v>285</v>
      </c>
      <c r="BY173" s="98">
        <f t="shared" si="71"/>
        <v>285.00000000000045</v>
      </c>
      <c r="BZ173" s="68">
        <f t="shared" si="71"/>
        <v>265</v>
      </c>
      <c r="CA173" s="68">
        <f t="shared" si="71"/>
        <v>265.00000000000045</v>
      </c>
      <c r="CB173" s="68">
        <f t="shared" si="71"/>
        <v>264.99999999999955</v>
      </c>
      <c r="CC173" s="68">
        <f t="shared" si="71"/>
        <v>265.00000000000045</v>
      </c>
      <c r="CD173" s="98">
        <f t="shared" si="71"/>
        <v>265.00000000000045</v>
      </c>
    </row>
    <row r="175" spans="1:88">
      <c r="AQ175" s="470"/>
      <c r="AR175" s="470"/>
      <c r="AS175" s="470"/>
      <c r="AT175" s="470"/>
      <c r="AU175" s="470"/>
      <c r="AV175" s="499"/>
      <c r="AW175" s="499"/>
      <c r="AX175" s="499"/>
      <c r="AY175" s="499"/>
      <c r="AZ175" s="470"/>
      <c r="BA175" s="499"/>
      <c r="BB175" s="499"/>
      <c r="BC175" s="499"/>
      <c r="BD175" s="499"/>
      <c r="BE175" s="499"/>
      <c r="BF175" s="499"/>
      <c r="BG175" s="499"/>
      <c r="BH175" s="499"/>
      <c r="BI175" s="499"/>
      <c r="BJ175" s="499"/>
      <c r="BK175" s="499"/>
      <c r="BL175" s="499"/>
      <c r="BM175" s="499"/>
      <c r="BN175" s="499"/>
      <c r="BO175" s="499"/>
      <c r="BP175" s="499"/>
      <c r="BQ175" s="499"/>
      <c r="BR175" s="499"/>
      <c r="BS175" s="499"/>
      <c r="BT175" s="499"/>
      <c r="BU175" s="499"/>
      <c r="BV175" s="499"/>
      <c r="BW175" s="499"/>
      <c r="BX175" s="499"/>
      <c r="BY175" s="499"/>
      <c r="BZ175" s="499"/>
      <c r="CA175" s="499"/>
      <c r="CB175" s="499"/>
      <c r="CC175" s="499"/>
      <c r="CD175" s="499"/>
      <c r="CE175" s="50"/>
      <c r="CF175" s="50"/>
    </row>
    <row r="176" spans="1:88">
      <c r="AK176" s="547"/>
      <c r="AL176" s="547"/>
      <c r="AM176" s="547"/>
      <c r="AN176" s="547"/>
      <c r="AO176" s="547"/>
      <c r="AP176" s="547"/>
      <c r="AQ176" s="548"/>
      <c r="AR176" s="548"/>
      <c r="AS176" s="548"/>
      <c r="AT176" s="548"/>
      <c r="AU176" s="548"/>
      <c r="AV176" s="549"/>
      <c r="AW176" s="549"/>
      <c r="AX176" s="549"/>
      <c r="AY176" s="549"/>
      <c r="AZ176" s="548"/>
      <c r="BA176" s="549"/>
      <c r="BB176" s="549"/>
      <c r="BC176" s="549"/>
      <c r="BD176" s="549"/>
      <c r="BE176" s="549"/>
      <c r="BF176" s="549"/>
      <c r="BG176" s="549"/>
      <c r="BH176" s="549"/>
      <c r="BI176" s="549"/>
      <c r="BJ176" s="549"/>
      <c r="BK176" s="549"/>
      <c r="BL176" s="549"/>
      <c r="BM176" s="549"/>
      <c r="BN176" s="549"/>
      <c r="BO176" s="549"/>
      <c r="BP176" s="549"/>
      <c r="BQ176" s="549"/>
      <c r="BR176" s="549"/>
      <c r="BS176" s="549"/>
      <c r="BT176" s="549"/>
      <c r="BU176" s="549"/>
      <c r="BV176" s="549"/>
      <c r="BW176" s="549"/>
      <c r="BX176" s="549"/>
      <c r="BY176" s="549"/>
      <c r="BZ176" s="549"/>
      <c r="CA176" s="549"/>
      <c r="CB176" s="549"/>
      <c r="CC176" s="549"/>
      <c r="CD176" s="549"/>
      <c r="CE176" s="499"/>
      <c r="CF176" s="50"/>
    </row>
    <row r="177" spans="37:84">
      <c r="AK177" s="349"/>
      <c r="AL177" s="349"/>
      <c r="AM177" s="349"/>
      <c r="AN177" s="349"/>
      <c r="AO177" s="349"/>
      <c r="AP177" s="349"/>
      <c r="AQ177" s="470"/>
      <c r="AR177" s="470"/>
      <c r="AS177" s="470"/>
      <c r="AT177" s="470"/>
      <c r="AU177" s="470"/>
      <c r="AV177" s="500"/>
      <c r="AW177" s="500"/>
      <c r="AX177" s="500"/>
      <c r="AY177" s="500"/>
      <c r="AZ177" s="470"/>
      <c r="BA177" s="500"/>
      <c r="BB177" s="500"/>
      <c r="BC177" s="500"/>
      <c r="BD177" s="500"/>
      <c r="BE177" s="500"/>
      <c r="BF177" s="500"/>
      <c r="BG177" s="500"/>
      <c r="BH177" s="500"/>
      <c r="BI177" s="500"/>
      <c r="BJ177" s="500"/>
      <c r="BK177" s="500"/>
      <c r="BL177" s="500"/>
      <c r="BM177" s="500"/>
      <c r="BN177" s="500"/>
      <c r="BO177" s="500"/>
      <c r="BP177" s="500"/>
      <c r="BQ177" s="500"/>
      <c r="BR177" s="500"/>
      <c r="BS177" s="500"/>
      <c r="BT177" s="500"/>
      <c r="BU177" s="500"/>
      <c r="BV177" s="500"/>
      <c r="BW177" s="500"/>
      <c r="BX177" s="500"/>
      <c r="CE177" s="499"/>
      <c r="CF177" s="50"/>
    </row>
    <row r="178" spans="37:84">
      <c r="AQ178" s="470"/>
      <c r="AR178" s="470"/>
      <c r="AS178" s="470"/>
      <c r="AT178" s="470"/>
      <c r="AU178" s="470"/>
      <c r="AV178" s="499"/>
      <c r="AW178" s="499"/>
      <c r="AX178" s="499"/>
      <c r="AY178" s="499"/>
      <c r="AZ178" s="470"/>
      <c r="BA178" s="50"/>
      <c r="BB178" s="50"/>
      <c r="BC178" s="50"/>
      <c r="BD178" s="50"/>
      <c r="BE178" s="50"/>
      <c r="BF178" s="50"/>
      <c r="BG178" s="50"/>
      <c r="BH178" s="50"/>
      <c r="BI178" s="50"/>
      <c r="BJ178" s="50"/>
      <c r="BK178" s="50"/>
      <c r="BL178" s="50"/>
      <c r="BM178" s="50"/>
      <c r="BN178" s="50"/>
      <c r="BO178" s="50"/>
      <c r="BP178" s="50"/>
      <c r="BQ178" s="50"/>
      <c r="BR178" s="50"/>
      <c r="BS178" s="50"/>
      <c r="BT178" s="50"/>
      <c r="BU178" s="50"/>
      <c r="BV178" s="50"/>
      <c r="BW178" s="50"/>
      <c r="BX178" s="50"/>
      <c r="CE178" s="499"/>
      <c r="CF178" s="50"/>
    </row>
    <row r="179" spans="37:84">
      <c r="AV179" s="50"/>
      <c r="AW179" s="50"/>
      <c r="AX179" s="50"/>
      <c r="AY179" s="50"/>
      <c r="CE179" s="50"/>
      <c r="CF179" s="50"/>
    </row>
    <row r="180" spans="37:84">
      <c r="AV180" s="50"/>
      <c r="AW180" s="50"/>
      <c r="AX180" s="50"/>
      <c r="AY180" s="50"/>
      <c r="BA180" s="50"/>
      <c r="BB180" s="50"/>
      <c r="BC180" s="50"/>
      <c r="BD180" s="50"/>
      <c r="BE180" s="50"/>
      <c r="BF180" s="50"/>
      <c r="BG180" s="50"/>
      <c r="BH180" s="50"/>
      <c r="BI180" s="50"/>
      <c r="BJ180" s="50"/>
      <c r="BK180" s="50"/>
      <c r="BL180" s="50"/>
      <c r="BM180" s="50"/>
      <c r="BN180" s="50"/>
      <c r="BO180" s="50"/>
      <c r="BP180" s="50"/>
      <c r="BQ180" s="50"/>
      <c r="BR180" s="50"/>
      <c r="BS180" s="50"/>
      <c r="BT180" s="50"/>
      <c r="BU180" s="50"/>
      <c r="BV180" s="50"/>
      <c r="BW180" s="50"/>
      <c r="BX180" s="50"/>
      <c r="BY180" s="50"/>
      <c r="BZ180" s="50"/>
      <c r="CA180" s="50"/>
      <c r="CB180" s="50"/>
      <c r="CC180" s="50"/>
      <c r="CD180" s="50"/>
      <c r="CE180" s="50"/>
      <c r="CF180" s="50"/>
    </row>
    <row r="181" spans="37:84">
      <c r="AV181" s="50"/>
      <c r="AW181" s="50"/>
      <c r="AX181" s="50"/>
      <c r="AY181" s="50"/>
      <c r="BA181" s="50"/>
      <c r="BB181" s="50"/>
      <c r="BC181" s="50"/>
      <c r="BD181" s="50"/>
      <c r="BE181" s="50"/>
      <c r="BF181" s="50"/>
      <c r="BG181" s="50"/>
      <c r="BH181" s="50"/>
      <c r="BI181" s="50"/>
      <c r="BJ181" s="50"/>
      <c r="BK181" s="50"/>
      <c r="BL181" s="50"/>
      <c r="BM181" s="50"/>
      <c r="BN181" s="50"/>
      <c r="BO181" s="50"/>
      <c r="BP181" s="50"/>
      <c r="BQ181" s="50"/>
      <c r="BR181" s="50"/>
      <c r="BS181" s="50"/>
      <c r="BT181" s="50"/>
      <c r="BU181" s="50"/>
      <c r="BV181" s="50"/>
      <c r="BW181" s="50"/>
      <c r="BX181" s="50"/>
      <c r="BY181" s="50"/>
      <c r="BZ181" s="50"/>
      <c r="CA181" s="50"/>
      <c r="CB181" s="50"/>
      <c r="CC181" s="50"/>
      <c r="CD181" s="50"/>
      <c r="CE181" s="50"/>
      <c r="CF181" s="50"/>
    </row>
    <row r="182" spans="37:84">
      <c r="AV182" s="50"/>
      <c r="AW182" s="50"/>
      <c r="AX182" s="50"/>
      <c r="AY182" s="50"/>
      <c r="BA182" s="50"/>
      <c r="BB182" s="50"/>
      <c r="BC182" s="50"/>
      <c r="BD182" s="50"/>
      <c r="BE182" s="50"/>
      <c r="BF182" s="50"/>
      <c r="BG182" s="50"/>
      <c r="BH182" s="50"/>
      <c r="BI182" s="50"/>
      <c r="BJ182" s="50"/>
      <c r="BK182" s="50"/>
      <c r="BL182" s="50"/>
      <c r="BM182" s="50"/>
      <c r="BN182" s="50"/>
      <c r="BO182" s="50"/>
      <c r="BP182" s="50"/>
      <c r="BQ182" s="50"/>
      <c r="BR182" s="50"/>
      <c r="BS182" s="50"/>
      <c r="BT182" s="50"/>
      <c r="BU182" s="50"/>
      <c r="BV182" s="50"/>
      <c r="BW182" s="50"/>
      <c r="BX182" s="50"/>
      <c r="BY182" s="50"/>
      <c r="BZ182" s="50"/>
      <c r="CA182" s="50"/>
      <c r="CB182" s="50"/>
      <c r="CC182" s="50"/>
      <c r="CD182" s="50"/>
      <c r="CE182" s="50"/>
      <c r="CF182" s="50"/>
    </row>
    <row r="183" spans="37:84">
      <c r="AV183" s="50"/>
      <c r="AW183" s="50"/>
      <c r="AX183" s="50"/>
      <c r="AY183" s="50"/>
      <c r="CE183" s="50"/>
      <c r="CF183" s="50"/>
    </row>
    <row r="184" spans="37:84">
      <c r="AS184" s="381"/>
    </row>
    <row r="187" spans="37:84">
      <c r="BA187" s="50"/>
      <c r="BB187" s="50"/>
      <c r="BC187" s="50"/>
      <c r="BD187" s="50"/>
      <c r="BE187" s="50"/>
      <c r="BF187" s="50"/>
      <c r="BG187" s="50"/>
      <c r="BH187" s="50"/>
      <c r="BI187" s="50"/>
      <c r="BJ187" s="50"/>
      <c r="BK187" s="50"/>
      <c r="BL187" s="50"/>
      <c r="BM187" s="50"/>
      <c r="BN187" s="50"/>
      <c r="BO187" s="50"/>
      <c r="BP187" s="50"/>
      <c r="BQ187" s="50"/>
      <c r="BR187" s="50"/>
      <c r="BS187" s="50"/>
      <c r="BT187" s="50"/>
      <c r="BU187" s="50"/>
      <c r="BV187" s="50"/>
      <c r="BW187" s="50"/>
      <c r="BX187" s="50"/>
      <c r="BY187" s="50"/>
      <c r="BZ187" s="50"/>
      <c r="CA187" s="50"/>
      <c r="CB187" s="50"/>
      <c r="CC187" s="50"/>
      <c r="CD187" s="50"/>
    </row>
  </sheetData>
  <phoneticPr fontId="14" type="noConversion"/>
  <pageMargins left="0.75" right="0.75" top="1" bottom="1" header="0.5" footer="0.5"/>
  <pageSetup paperSize="9" scale="26" fitToHeight="0" orientation="landscape" r:id="rId1"/>
  <headerFooter alignWithMargins="0"/>
  <rowBreaks count="2" manualBreakCount="2">
    <brk id="59" max="16383" man="1"/>
    <brk id="113" max="16383" man="1"/>
  </row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indexed="24"/>
    <pageSetUpPr fitToPage="1"/>
  </sheetPr>
  <dimension ref="A1:CM393"/>
  <sheetViews>
    <sheetView zoomScale="85" zoomScaleNormal="85" workbookViewId="0">
      <pane xSplit="2" ySplit="9" topLeftCell="AF10" activePane="bottomRight" state="frozen"/>
      <selection sqref="A1:IV65536"/>
      <selection pane="topRight" sqref="A1:IV65536"/>
      <selection pane="bottomLeft" sqref="A1:IV65536"/>
      <selection pane="bottomRight" sqref="A1:XFD1048576"/>
    </sheetView>
  </sheetViews>
  <sheetFormatPr defaultColWidth="9.7109375" defaultRowHeight="12.75" outlineLevelCol="1"/>
  <cols>
    <col min="1" max="1" width="3.7109375" customWidth="1"/>
    <col min="2" max="2" width="35.7109375" customWidth="1"/>
    <col min="3" max="7" width="9.7109375" customWidth="1"/>
    <col min="8" max="11" width="9.7109375" hidden="1" customWidth="1" outlineLevel="1"/>
    <col min="12" max="12" width="9.7109375" customWidth="1" collapsed="1"/>
    <col min="13" max="16" width="9.7109375" hidden="1" customWidth="1" outlineLevel="1"/>
    <col min="17" max="17" width="9.7109375" customWidth="1" collapsed="1"/>
    <col min="18" max="21" width="9.7109375" hidden="1" customWidth="1" outlineLevel="1"/>
    <col min="22" max="22" width="9.7109375" customWidth="1" collapsed="1"/>
    <col min="23" max="26" width="9.7109375" hidden="1" customWidth="1" outlineLevel="1"/>
    <col min="27" max="27" width="9.7109375" customWidth="1" collapsed="1"/>
    <col min="28" max="31" width="9.7109375" hidden="1" customWidth="1" outlineLevel="1"/>
    <col min="32" max="32" width="9.7109375" customWidth="1" collapsed="1"/>
    <col min="33" max="36" width="9.7109375" hidden="1" customWidth="1" outlineLevel="1"/>
    <col min="37" max="37" width="9.7109375" customWidth="1" collapsed="1"/>
    <col min="38" max="41" width="9.7109375" hidden="1" customWidth="1" outlineLevel="1"/>
    <col min="42" max="42" width="9.7109375" customWidth="1" collapsed="1"/>
    <col min="43" max="46" width="9.7109375" hidden="1" customWidth="1" outlineLevel="1"/>
    <col min="47" max="47" width="9.7109375" customWidth="1" collapsed="1"/>
    <col min="48" max="51" width="9.7109375" hidden="1" customWidth="1" outlineLevel="1"/>
    <col min="52" max="52" width="9.7109375" customWidth="1" collapsed="1"/>
    <col min="53" max="56" width="9.7109375" hidden="1" customWidth="1" outlineLevel="1"/>
    <col min="57" max="57" width="9.7109375" customWidth="1" collapsed="1"/>
    <col min="58" max="61" width="9.7109375" hidden="1" customWidth="1" outlineLevel="1"/>
    <col min="62" max="62" width="9.7109375" customWidth="1" collapsed="1"/>
    <col min="63" max="66" width="9.7109375" hidden="1" customWidth="1" outlineLevel="1"/>
    <col min="67" max="67" width="9.7109375" customWidth="1" collapsed="1"/>
    <col min="68" max="71" width="9.7109375" customWidth="1" outlineLevel="1"/>
    <col min="72" max="72" width="9.7109375" customWidth="1"/>
    <col min="73" max="76" width="9.7109375" hidden="1" customWidth="1" outlineLevel="1"/>
    <col min="77" max="77" width="9.7109375" customWidth="1" collapsed="1"/>
    <col min="78" max="81" width="9.7109375" hidden="1" customWidth="1" outlineLevel="1"/>
    <col min="82" max="82" width="9.7109375" customWidth="1" collapsed="1"/>
    <col min="85" max="88" width="0" hidden="1" customWidth="1"/>
  </cols>
  <sheetData>
    <row r="1" spans="1:82" ht="12.75" customHeight="1">
      <c r="A1" s="36"/>
      <c r="B1" s="36"/>
      <c r="C1" s="36"/>
      <c r="D1" s="37"/>
      <c r="E1" s="37"/>
      <c r="F1" s="37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45"/>
      <c r="T1" s="45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 t="s">
        <v>3421</v>
      </c>
      <c r="BC1" s="36"/>
      <c r="BD1" s="36"/>
      <c r="BE1" s="36"/>
      <c r="BF1" s="36"/>
      <c r="BG1" s="36"/>
      <c r="BH1" s="36"/>
      <c r="BI1" s="36"/>
      <c r="BJ1" s="36"/>
      <c r="BK1" s="36"/>
      <c r="BL1" s="36"/>
      <c r="BM1" s="36"/>
      <c r="BN1" s="36"/>
      <c r="BO1" s="36"/>
      <c r="BP1" s="36"/>
      <c r="BQ1" s="36"/>
      <c r="BR1" s="36"/>
      <c r="BS1" s="36"/>
      <c r="BT1" s="36"/>
      <c r="BU1" s="36"/>
      <c r="BV1" s="36"/>
      <c r="BW1" s="36"/>
      <c r="BX1" s="36"/>
      <c r="BY1" s="36"/>
      <c r="BZ1" s="36"/>
      <c r="CA1" s="36"/>
      <c r="CB1" s="36"/>
      <c r="CC1" s="36"/>
      <c r="CD1" s="36"/>
    </row>
    <row r="2" spans="1:82" ht="18" customHeight="1">
      <c r="A2" s="36"/>
      <c r="B2" s="20" t="s">
        <v>3369</v>
      </c>
      <c r="C2" s="36"/>
      <c r="D2" s="37"/>
      <c r="E2" s="37"/>
      <c r="F2" s="37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45"/>
      <c r="T2" s="45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 t="s">
        <v>3421</v>
      </c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6"/>
      <c r="BS2" s="36"/>
      <c r="BT2" s="36"/>
      <c r="BU2" s="36"/>
      <c r="BV2" s="36"/>
      <c r="BW2" s="36"/>
      <c r="BX2" s="36"/>
      <c r="BY2" s="36"/>
      <c r="BZ2" s="36"/>
      <c r="CA2" s="36"/>
      <c r="CB2" s="36"/>
      <c r="CC2" s="36"/>
      <c r="CD2" s="36"/>
    </row>
    <row r="3" spans="1:82" ht="12.75" customHeight="1">
      <c r="A3" s="36"/>
      <c r="B3" s="21" t="s">
        <v>443</v>
      </c>
      <c r="C3" s="36"/>
      <c r="D3" s="37"/>
      <c r="E3" s="37"/>
      <c r="F3" s="37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45"/>
      <c r="T3" s="45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 t="s">
        <v>3421</v>
      </c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36"/>
      <c r="BZ3" s="36"/>
      <c r="CA3" s="36"/>
      <c r="CB3" s="36"/>
      <c r="CC3" s="36"/>
      <c r="CD3" s="36"/>
    </row>
    <row r="4" spans="1:82" ht="12.75" customHeight="1">
      <c r="A4" s="36"/>
      <c r="B4" s="36"/>
      <c r="C4" s="36"/>
      <c r="D4" s="37"/>
      <c r="E4" s="37"/>
      <c r="F4" s="37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45"/>
      <c r="T4" s="45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 t="s">
        <v>3421</v>
      </c>
      <c r="BC4" s="36"/>
      <c r="BD4" s="36"/>
      <c r="BE4" s="36"/>
      <c r="BF4" s="36"/>
      <c r="BG4" s="36"/>
      <c r="BH4" s="36"/>
      <c r="BI4" s="36"/>
      <c r="BJ4" s="36"/>
      <c r="BK4" s="36"/>
      <c r="BL4" s="36"/>
      <c r="BM4" s="36"/>
      <c r="BN4" s="36"/>
      <c r="BO4" s="36"/>
      <c r="BP4" s="36"/>
      <c r="BQ4" s="36"/>
      <c r="BR4" s="36"/>
      <c r="BS4" s="36"/>
      <c r="BT4" s="36"/>
      <c r="BU4" s="36"/>
      <c r="BV4" s="36"/>
      <c r="BW4" s="36"/>
      <c r="BX4" s="36"/>
      <c r="BY4" s="36"/>
      <c r="BZ4" s="36"/>
      <c r="CA4" s="36"/>
      <c r="CB4" s="36"/>
      <c r="CC4" s="36"/>
      <c r="CD4" s="36"/>
    </row>
    <row r="5" spans="1:82" ht="12.75" customHeight="1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</row>
    <row r="6" spans="1:82" ht="12.75" customHeight="1">
      <c r="A6" s="400" t="s">
        <v>303</v>
      </c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</row>
    <row r="7" spans="1:82" ht="12.75" customHeight="1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</row>
    <row r="8" spans="1:82" ht="12.75" customHeight="1">
      <c r="A8" s="24" t="s">
        <v>304</v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</row>
    <row r="9" spans="1:82" ht="12.75" customHeight="1">
      <c r="A9" s="10"/>
      <c r="B9" s="10"/>
      <c r="C9" s="31">
        <v>2001</v>
      </c>
      <c r="D9" s="32">
        <v>2002</v>
      </c>
      <c r="E9" s="32">
        <v>2003</v>
      </c>
      <c r="F9" s="32">
        <v>2004</v>
      </c>
      <c r="G9" s="31">
        <v>2005</v>
      </c>
      <c r="H9" s="33" t="s">
        <v>714</v>
      </c>
      <c r="I9" s="33" t="s">
        <v>715</v>
      </c>
      <c r="J9" s="33" t="s">
        <v>716</v>
      </c>
      <c r="K9" s="33" t="s">
        <v>717</v>
      </c>
      <c r="L9" s="31">
        <v>2006</v>
      </c>
      <c r="M9" s="33" t="s">
        <v>718</v>
      </c>
      <c r="N9" s="33" t="s">
        <v>719</v>
      </c>
      <c r="O9" s="33" t="s">
        <v>1970</v>
      </c>
      <c r="P9" s="33" t="s">
        <v>1971</v>
      </c>
      <c r="Q9" s="31">
        <v>2007</v>
      </c>
      <c r="R9" s="33" t="s">
        <v>1972</v>
      </c>
      <c r="S9" s="33" t="s">
        <v>1973</v>
      </c>
      <c r="T9" s="33" t="s">
        <v>1974</v>
      </c>
      <c r="U9" s="33" t="s">
        <v>1975</v>
      </c>
      <c r="V9" s="31">
        <v>2008</v>
      </c>
      <c r="W9" s="33" t="s">
        <v>1976</v>
      </c>
      <c r="X9" s="33" t="s">
        <v>1977</v>
      </c>
      <c r="Y9" s="33" t="s">
        <v>1978</v>
      </c>
      <c r="Z9" s="33" t="s">
        <v>1979</v>
      </c>
      <c r="AA9" s="31">
        <v>2009</v>
      </c>
      <c r="AB9" s="33" t="s">
        <v>1980</v>
      </c>
      <c r="AC9" s="33" t="s">
        <v>1981</v>
      </c>
      <c r="AD9" s="33" t="s">
        <v>1982</v>
      </c>
      <c r="AE9" s="33" t="s">
        <v>2392</v>
      </c>
      <c r="AF9" s="31">
        <v>2010</v>
      </c>
      <c r="AG9" s="33" t="s">
        <v>2393</v>
      </c>
      <c r="AH9" s="33" t="s">
        <v>2394</v>
      </c>
      <c r="AI9" s="33" t="s">
        <v>2395</v>
      </c>
      <c r="AJ9" s="368" t="s">
        <v>2396</v>
      </c>
      <c r="AK9" s="369">
        <v>2011</v>
      </c>
      <c r="AL9" s="33" t="s">
        <v>2397</v>
      </c>
      <c r="AM9" s="33" t="s">
        <v>2398</v>
      </c>
      <c r="AN9" s="33" t="s">
        <v>2399</v>
      </c>
      <c r="AO9" s="368" t="s">
        <v>2400</v>
      </c>
      <c r="AP9" s="369">
        <v>2012</v>
      </c>
      <c r="AQ9" s="368" t="s">
        <v>2401</v>
      </c>
      <c r="AR9" s="368" t="s">
        <v>2402</v>
      </c>
      <c r="AS9" s="368" t="s">
        <v>2403</v>
      </c>
      <c r="AT9" s="368" t="s">
        <v>2404</v>
      </c>
      <c r="AU9" s="369">
        <v>2013</v>
      </c>
      <c r="AV9" s="368" t="s">
        <v>2405</v>
      </c>
      <c r="AW9" s="368" t="s">
        <v>2406</v>
      </c>
      <c r="AX9" s="368" t="s">
        <v>2407</v>
      </c>
      <c r="AY9" s="368" t="s">
        <v>2408</v>
      </c>
      <c r="AZ9" s="369">
        <v>2014</v>
      </c>
      <c r="BA9" s="368" t="s">
        <v>2409</v>
      </c>
      <c r="BB9" s="368" t="s">
        <v>2410</v>
      </c>
      <c r="BC9" s="368" t="s">
        <v>2411</v>
      </c>
      <c r="BD9" s="368" t="s">
        <v>2412</v>
      </c>
      <c r="BE9" s="31">
        <v>2015</v>
      </c>
      <c r="BF9" s="368" t="s">
        <v>2413</v>
      </c>
      <c r="BG9" s="368" t="s">
        <v>2414</v>
      </c>
      <c r="BH9" s="368" t="s">
        <v>2415</v>
      </c>
      <c r="BI9" s="368" t="s">
        <v>2416</v>
      </c>
      <c r="BJ9" s="31">
        <v>2016</v>
      </c>
      <c r="BK9" s="368" t="s">
        <v>2417</v>
      </c>
      <c r="BL9" s="368" t="s">
        <v>2418</v>
      </c>
      <c r="BM9" s="368" t="s">
        <v>2419</v>
      </c>
      <c r="BN9" s="368" t="s">
        <v>2420</v>
      </c>
      <c r="BO9" s="31">
        <v>2017</v>
      </c>
      <c r="BP9" s="363" t="s">
        <v>2244</v>
      </c>
      <c r="BQ9" s="363" t="s">
        <v>2245</v>
      </c>
      <c r="BR9" s="363" t="s">
        <v>2508</v>
      </c>
      <c r="BS9" s="363" t="s">
        <v>2509</v>
      </c>
      <c r="BT9" s="364">
        <v>2018</v>
      </c>
      <c r="BU9" s="363" t="s">
        <v>2510</v>
      </c>
      <c r="BV9" s="363" t="s">
        <v>2511</v>
      </c>
      <c r="BW9" s="363" t="s">
        <v>3125</v>
      </c>
      <c r="BX9" s="363" t="s">
        <v>1405</v>
      </c>
      <c r="BY9" s="364">
        <v>2019</v>
      </c>
      <c r="BZ9" s="363" t="s">
        <v>1406</v>
      </c>
      <c r="CA9" s="363" t="s">
        <v>1407</v>
      </c>
      <c r="CB9" s="363" t="s">
        <v>1408</v>
      </c>
      <c r="CC9" s="363" t="s">
        <v>1409</v>
      </c>
      <c r="CD9" s="364">
        <v>2020</v>
      </c>
    </row>
    <row r="10" spans="1:82" ht="12.75" customHeight="1">
      <c r="A10" s="39" t="s">
        <v>305</v>
      </c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</row>
    <row r="11" spans="1:82" ht="12.75" customHeight="1">
      <c r="A11" s="11"/>
      <c r="B11" s="11" t="s">
        <v>1281</v>
      </c>
      <c r="C11" s="11">
        <v>485</v>
      </c>
      <c r="D11" s="11">
        <v>461</v>
      </c>
      <c r="E11" s="11">
        <v>377</v>
      </c>
      <c r="F11" s="11">
        <f>55+48+34+39+27+12+89+26</f>
        <v>330</v>
      </c>
      <c r="G11" s="11">
        <f>49+39+30+28+4+22+12+71+22</f>
        <v>277</v>
      </c>
      <c r="H11" s="51"/>
      <c r="I11" s="51"/>
      <c r="J11" s="51"/>
      <c r="K11" s="51"/>
      <c r="L11" s="11">
        <v>253</v>
      </c>
      <c r="M11" s="51"/>
      <c r="N11" s="51"/>
      <c r="O11" s="51"/>
      <c r="P11" s="51"/>
      <c r="Q11" s="11">
        <v>201</v>
      </c>
      <c r="R11" s="51"/>
      <c r="S11" s="51"/>
      <c r="T11" s="51"/>
      <c r="U11" s="51"/>
      <c r="V11" s="11">
        <v>173</v>
      </c>
      <c r="W11" s="51"/>
      <c r="X11" s="51"/>
      <c r="Y11" s="51"/>
      <c r="Z11" s="51"/>
      <c r="AA11" s="11">
        <v>168</v>
      </c>
      <c r="AB11" s="51"/>
      <c r="AC11" s="51"/>
      <c r="AD11" s="51"/>
      <c r="AE11" s="51"/>
      <c r="AF11" s="11">
        <v>137</v>
      </c>
      <c r="AG11" s="51"/>
      <c r="AH11" s="51"/>
      <c r="AI11" s="51"/>
      <c r="AJ11" s="51"/>
      <c r="AK11" s="11">
        <v>113</v>
      </c>
      <c r="AL11" s="51"/>
      <c r="AM11" s="51"/>
      <c r="AN11" s="51"/>
      <c r="AO11" s="51"/>
      <c r="AP11" s="11">
        <v>86</v>
      </c>
      <c r="AQ11" s="51"/>
      <c r="AR11" s="51"/>
      <c r="AS11" s="51"/>
      <c r="AT11" s="51"/>
      <c r="AU11" s="11">
        <v>61</v>
      </c>
      <c r="AV11" s="51"/>
      <c r="AW11" s="51"/>
      <c r="AX11" s="51"/>
      <c r="AY11" s="51"/>
      <c r="AZ11" s="11">
        <f>46+2</f>
        <v>48</v>
      </c>
      <c r="BA11" s="51"/>
      <c r="BB11" s="51"/>
      <c r="BC11" s="51"/>
      <c r="BD11" s="51"/>
      <c r="BE11" s="11">
        <f>72+7</f>
        <v>79</v>
      </c>
      <c r="BF11" s="51"/>
      <c r="BG11" s="51"/>
      <c r="BH11" s="51"/>
      <c r="BI11" s="51"/>
      <c r="BJ11" s="11">
        <f>79+6</f>
        <v>85</v>
      </c>
      <c r="BK11" s="51"/>
      <c r="BL11" s="51"/>
      <c r="BM11" s="51"/>
      <c r="BN11" s="51"/>
      <c r="BO11" s="11">
        <f>80+6</f>
        <v>86</v>
      </c>
      <c r="BP11" s="51"/>
      <c r="BQ11" s="51"/>
      <c r="BR11" s="51"/>
      <c r="BS11" s="51"/>
      <c r="BT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</row>
    <row r="12" spans="1:82" ht="12.75" customHeight="1">
      <c r="A12" s="11"/>
      <c r="B12" s="11" t="s">
        <v>306</v>
      </c>
      <c r="C12" s="11">
        <f>40+22+18+19</f>
        <v>99</v>
      </c>
      <c r="D12" s="11">
        <f>37+21+18+27</f>
        <v>103</v>
      </c>
      <c r="E12" s="11">
        <f>25+21+16+21</f>
        <v>83</v>
      </c>
      <c r="F12" s="11">
        <f>25+27+16+8</f>
        <v>76</v>
      </c>
      <c r="G12" s="11">
        <f>25+20+17+12</f>
        <v>74</v>
      </c>
      <c r="H12" s="51"/>
      <c r="I12" s="51"/>
      <c r="J12" s="51"/>
      <c r="K12" s="51"/>
      <c r="L12" s="11">
        <v>60</v>
      </c>
      <c r="M12" s="51"/>
      <c r="N12" s="51"/>
      <c r="O12" s="51"/>
      <c r="P12" s="51"/>
      <c r="Q12" s="11">
        <v>51</v>
      </c>
      <c r="R12" s="51"/>
      <c r="S12" s="51"/>
      <c r="T12" s="51"/>
      <c r="U12" s="51"/>
      <c r="V12" s="11">
        <v>43</v>
      </c>
      <c r="W12" s="51"/>
      <c r="X12" s="51"/>
      <c r="Y12" s="51"/>
      <c r="Z12" s="51"/>
      <c r="AA12" s="11">
        <v>40</v>
      </c>
      <c r="AB12" s="51"/>
      <c r="AC12" s="51"/>
      <c r="AD12" s="51"/>
      <c r="AE12" s="51"/>
      <c r="AF12" s="11">
        <v>40</v>
      </c>
      <c r="AG12" s="51"/>
      <c r="AH12" s="51"/>
      <c r="AI12" s="51"/>
      <c r="AJ12" s="51"/>
      <c r="AK12" s="11">
        <v>32</v>
      </c>
      <c r="AL12" s="51"/>
      <c r="AM12" s="51"/>
      <c r="AN12" s="51"/>
      <c r="AO12" s="51"/>
      <c r="AP12" s="11">
        <v>23</v>
      </c>
      <c r="AQ12" s="51"/>
      <c r="AR12" s="51"/>
      <c r="AS12" s="51"/>
      <c r="AT12" s="51"/>
      <c r="AU12" s="11">
        <v>34</v>
      </c>
      <c r="AV12" s="51"/>
      <c r="AW12" s="51"/>
      <c r="AX12" s="51"/>
      <c r="AY12" s="51"/>
      <c r="AZ12" s="11">
        <f>41+5</f>
        <v>46</v>
      </c>
      <c r="BA12" s="51"/>
      <c r="BB12" s="51"/>
      <c r="BC12" s="51"/>
      <c r="BD12" s="51"/>
      <c r="BE12" s="11">
        <f>38+5</f>
        <v>43</v>
      </c>
      <c r="BF12" s="51"/>
      <c r="BG12" s="51"/>
      <c r="BH12" s="51"/>
      <c r="BI12" s="51"/>
      <c r="BJ12" s="11">
        <f>24+4</f>
        <v>28</v>
      </c>
      <c r="BK12" s="51"/>
      <c r="BL12" s="51"/>
      <c r="BM12" s="51"/>
      <c r="BN12" s="51"/>
      <c r="BO12" s="11">
        <v>0</v>
      </c>
      <c r="BP12" s="51"/>
      <c r="BQ12" s="51"/>
      <c r="BR12" s="51"/>
      <c r="BS12" s="51"/>
      <c r="BT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</row>
    <row r="13" spans="1:82" ht="12.75" customHeight="1">
      <c r="A13" s="11"/>
      <c r="B13" s="11" t="s">
        <v>139</v>
      </c>
      <c r="C13" s="11">
        <v>1</v>
      </c>
      <c r="D13" s="11">
        <v>1</v>
      </c>
      <c r="E13" s="11">
        <v>1</v>
      </c>
      <c r="F13" s="11">
        <v>1</v>
      </c>
      <c r="G13" s="11">
        <v>1</v>
      </c>
      <c r="H13" s="51"/>
      <c r="I13" s="51"/>
      <c r="J13" s="51"/>
      <c r="K13" s="51"/>
      <c r="L13" s="11">
        <v>1</v>
      </c>
      <c r="M13" s="51"/>
      <c r="N13" s="51"/>
      <c r="O13" s="51"/>
      <c r="P13" s="51"/>
      <c r="Q13" s="11">
        <v>0</v>
      </c>
      <c r="R13" s="51"/>
      <c r="S13" s="51"/>
      <c r="T13" s="51"/>
      <c r="U13" s="51"/>
      <c r="V13" s="11">
        <v>0</v>
      </c>
      <c r="W13" s="51"/>
      <c r="X13" s="51"/>
      <c r="Y13" s="51"/>
      <c r="Z13" s="51"/>
      <c r="AA13" s="11">
        <v>0</v>
      </c>
      <c r="AB13" s="51"/>
      <c r="AC13" s="51"/>
      <c r="AD13" s="51"/>
      <c r="AE13" s="51"/>
      <c r="AF13" s="11">
        <v>0</v>
      </c>
      <c r="AG13" s="51"/>
      <c r="AH13" s="51"/>
      <c r="AI13" s="51"/>
      <c r="AJ13" s="51"/>
      <c r="AK13" s="11">
        <v>0</v>
      </c>
      <c r="AL13" s="51"/>
      <c r="AM13" s="51"/>
      <c r="AN13" s="51"/>
      <c r="AO13" s="51"/>
      <c r="AP13" s="11">
        <v>0</v>
      </c>
      <c r="AQ13" s="51"/>
      <c r="AR13" s="51"/>
      <c r="AS13" s="51"/>
      <c r="AT13" s="51"/>
      <c r="AU13" s="11">
        <v>0</v>
      </c>
      <c r="AV13" s="51"/>
      <c r="AW13" s="51"/>
      <c r="AX13" s="51"/>
      <c r="AY13" s="51"/>
      <c r="AZ13" s="11">
        <v>0</v>
      </c>
      <c r="BA13" s="51"/>
      <c r="BB13" s="51"/>
      <c r="BC13" s="51"/>
      <c r="BD13" s="51"/>
      <c r="BE13" s="11">
        <v>0</v>
      </c>
      <c r="BF13" s="51"/>
      <c r="BG13" s="51"/>
      <c r="BH13" s="51"/>
      <c r="BI13" s="51"/>
      <c r="BJ13" s="11">
        <v>0</v>
      </c>
      <c r="BK13" s="51"/>
      <c r="BL13" s="51"/>
      <c r="BM13" s="51"/>
      <c r="BN13" s="51"/>
      <c r="BO13" s="11">
        <v>0</v>
      </c>
      <c r="BP13" s="51"/>
      <c r="BQ13" s="51"/>
      <c r="BR13" s="51"/>
      <c r="BS13" s="51"/>
      <c r="BT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</row>
    <row r="14" spans="1:82" ht="12.75" customHeight="1">
      <c r="A14" s="39" t="s">
        <v>309</v>
      </c>
      <c r="B14" s="39"/>
      <c r="C14" s="39">
        <f>SUM(C11:C13)</f>
        <v>585</v>
      </c>
      <c r="D14" s="39">
        <f>SUM(D11:D13)</f>
        <v>565</v>
      </c>
      <c r="E14" s="39">
        <f>SUM(E11:E13)</f>
        <v>461</v>
      </c>
      <c r="F14" s="39">
        <f>SUM(F11:F13)</f>
        <v>407</v>
      </c>
      <c r="G14" s="39">
        <f>SUM(G11:G13)</f>
        <v>352</v>
      </c>
      <c r="H14" s="52"/>
      <c r="I14" s="52"/>
      <c r="J14" s="52"/>
      <c r="K14" s="52"/>
      <c r="L14" s="39">
        <f>SUM(L11:L13)</f>
        <v>314</v>
      </c>
      <c r="M14" s="52"/>
      <c r="N14" s="52"/>
      <c r="O14" s="52"/>
      <c r="P14" s="52"/>
      <c r="Q14" s="39">
        <f>SUM(Q11:Q13)</f>
        <v>252</v>
      </c>
      <c r="R14" s="52"/>
      <c r="S14" s="52"/>
      <c r="T14" s="52"/>
      <c r="U14" s="52"/>
      <c r="V14" s="39">
        <f>SUM(V11:V13)</f>
        <v>216</v>
      </c>
      <c r="W14" s="52"/>
      <c r="X14" s="52"/>
      <c r="Y14" s="52"/>
      <c r="Z14" s="52"/>
      <c r="AA14" s="39">
        <f>SUM(AA11:AA13)</f>
        <v>208</v>
      </c>
      <c r="AB14" s="52"/>
      <c r="AC14" s="52"/>
      <c r="AD14" s="52"/>
      <c r="AE14" s="52"/>
      <c r="AF14" s="39">
        <f>SUM(AF11:AF13)</f>
        <v>177</v>
      </c>
      <c r="AG14" s="52"/>
      <c r="AH14" s="52"/>
      <c r="AI14" s="52"/>
      <c r="AJ14" s="52"/>
      <c r="AK14" s="39">
        <f>SUM(AK11:AK13)</f>
        <v>145</v>
      </c>
      <c r="AL14" s="52"/>
      <c r="AM14" s="52"/>
      <c r="AN14" s="52"/>
      <c r="AO14" s="52"/>
      <c r="AP14" s="39">
        <f>SUM(AP11:AP13)</f>
        <v>109</v>
      </c>
      <c r="AQ14" s="52"/>
      <c r="AR14" s="52"/>
      <c r="AS14" s="52"/>
      <c r="AT14" s="52"/>
      <c r="AU14" s="39">
        <v>96</v>
      </c>
      <c r="AV14" s="52"/>
      <c r="AW14" s="52"/>
      <c r="AX14" s="52"/>
      <c r="AY14" s="52"/>
      <c r="AZ14" s="39">
        <f>87+7</f>
        <v>94</v>
      </c>
      <c r="BA14" s="52"/>
      <c r="BB14" s="52"/>
      <c r="BC14" s="52"/>
      <c r="BD14" s="52"/>
      <c r="BE14" s="39">
        <f>110+11</f>
        <v>121</v>
      </c>
      <c r="BF14" s="52"/>
      <c r="BG14" s="52"/>
      <c r="BH14" s="52"/>
      <c r="BI14" s="52"/>
      <c r="BJ14" s="39">
        <f>102+10</f>
        <v>112</v>
      </c>
      <c r="BK14" s="52"/>
      <c r="BL14" s="52"/>
      <c r="BM14" s="52"/>
      <c r="BN14" s="52"/>
      <c r="BO14" s="39">
        <f>+SUM(BO11:BO13)</f>
        <v>86</v>
      </c>
      <c r="BP14" s="79">
        <f>BP122-BP68</f>
        <v>103.06000000000002</v>
      </c>
      <c r="BQ14" s="79">
        <f>BQ122-BQ68</f>
        <v>103.06000000000002</v>
      </c>
      <c r="BR14" s="79">
        <f>BR122-BR68</f>
        <v>103.06000000000002</v>
      </c>
      <c r="BS14" s="79">
        <f>BS122-BS68</f>
        <v>103.06000000000002</v>
      </c>
      <c r="BT14" s="39">
        <f>AVERAGE(BP14:BS14)</f>
        <v>103.06000000000002</v>
      </c>
      <c r="BU14" s="79">
        <f>BU122-BU68</f>
        <v>112.1</v>
      </c>
      <c r="BV14" s="79">
        <f>BV122-BV68</f>
        <v>112.1</v>
      </c>
      <c r="BW14" s="79">
        <f>BW122-BW68</f>
        <v>112.1</v>
      </c>
      <c r="BX14" s="79">
        <f>BX122-BX68</f>
        <v>112.1</v>
      </c>
      <c r="BY14" s="39">
        <f>AVERAGE(BU14:BX14)</f>
        <v>112.1</v>
      </c>
      <c r="BZ14" s="79">
        <f>BZ122-BZ68</f>
        <v>108.60999999999999</v>
      </c>
      <c r="CA14" s="79">
        <f>CA122-CA68</f>
        <v>108.60999999999999</v>
      </c>
      <c r="CB14" s="79">
        <f>CB122-CB68</f>
        <v>108.60999999999999</v>
      </c>
      <c r="CC14" s="79">
        <f>CC122-CC68</f>
        <v>108.60999999999999</v>
      </c>
      <c r="CD14" s="39">
        <f>AVERAGE(BZ14:CC14)</f>
        <v>108.60999999999999</v>
      </c>
    </row>
    <row r="15" spans="1:82" ht="12.75" customHeight="1">
      <c r="A15" s="11"/>
      <c r="B15" s="11"/>
      <c r="C15" s="11"/>
      <c r="D15" s="11"/>
      <c r="E15" s="11"/>
      <c r="F15" s="11"/>
      <c r="G15" s="11"/>
      <c r="H15" s="51"/>
      <c r="I15" s="51"/>
      <c r="J15" s="51"/>
      <c r="K15" s="51"/>
      <c r="L15" s="11"/>
      <c r="M15" s="51"/>
      <c r="N15" s="51"/>
      <c r="O15" s="51"/>
      <c r="P15" s="51"/>
      <c r="Q15" s="11"/>
      <c r="R15" s="51"/>
      <c r="S15" s="51"/>
      <c r="T15" s="51"/>
      <c r="U15" s="51"/>
      <c r="V15" s="11"/>
      <c r="W15" s="51"/>
      <c r="X15" s="51"/>
      <c r="Y15" s="51"/>
      <c r="Z15" s="51"/>
      <c r="AA15" s="11"/>
      <c r="AB15" s="51"/>
      <c r="AC15" s="51"/>
      <c r="AD15" s="51"/>
      <c r="AE15" s="51"/>
      <c r="AF15" s="11"/>
      <c r="AG15" s="51"/>
      <c r="AH15" s="51"/>
      <c r="AI15" s="51"/>
      <c r="AJ15" s="51"/>
      <c r="AK15" s="11"/>
      <c r="AL15" s="51"/>
      <c r="AM15" s="51"/>
      <c r="AN15" s="51"/>
      <c r="AO15" s="51"/>
      <c r="AP15" s="11"/>
      <c r="AQ15" s="51"/>
      <c r="AR15" s="51"/>
      <c r="AS15" s="51"/>
      <c r="AT15" s="51"/>
      <c r="AU15" s="11"/>
      <c r="AV15" s="51"/>
      <c r="AW15" s="51"/>
      <c r="AX15" s="51"/>
      <c r="AY15" s="5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</row>
    <row r="16" spans="1:82" ht="12.75" customHeight="1">
      <c r="A16" s="39" t="s">
        <v>310</v>
      </c>
      <c r="B16" s="11"/>
      <c r="C16" s="11"/>
      <c r="D16" s="11"/>
      <c r="E16" s="11"/>
      <c r="F16" s="11"/>
      <c r="G16" s="11"/>
      <c r="H16" s="51"/>
      <c r="I16" s="51"/>
      <c r="J16" s="51"/>
      <c r="K16" s="51"/>
      <c r="L16" s="11"/>
      <c r="M16" s="51"/>
      <c r="N16" s="51"/>
      <c r="O16" s="51"/>
      <c r="P16" s="51"/>
      <c r="Q16" s="11"/>
      <c r="R16" s="51"/>
      <c r="S16" s="51"/>
      <c r="T16" s="51"/>
      <c r="U16" s="51"/>
      <c r="V16" s="11"/>
      <c r="W16" s="51"/>
      <c r="X16" s="51"/>
      <c r="Y16" s="51"/>
      <c r="Z16" s="51"/>
      <c r="AA16" s="11"/>
      <c r="AB16" s="51"/>
      <c r="AC16" s="51"/>
      <c r="AD16" s="51"/>
      <c r="AE16" s="51"/>
      <c r="AF16" s="11"/>
      <c r="AG16" s="51"/>
      <c r="AH16" s="51"/>
      <c r="AI16" s="51"/>
      <c r="AJ16" s="51"/>
      <c r="AK16" s="11"/>
      <c r="AL16" s="51"/>
      <c r="AM16" s="51"/>
      <c r="AN16" s="51"/>
      <c r="AO16" s="51"/>
      <c r="AP16" s="11"/>
      <c r="AQ16" s="51"/>
      <c r="AR16" s="51"/>
      <c r="AS16" s="51"/>
      <c r="AT16" s="51"/>
      <c r="AU16" s="11"/>
      <c r="AV16" s="51"/>
      <c r="AW16" s="51"/>
      <c r="AX16" s="51"/>
      <c r="AY16" s="5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</row>
    <row r="17" spans="1:82">
      <c r="A17" s="11"/>
      <c r="B17" s="11" t="s">
        <v>728</v>
      </c>
      <c r="C17" s="11">
        <v>744</v>
      </c>
      <c r="D17" s="11">
        <v>765</v>
      </c>
      <c r="E17" s="11">
        <v>726</v>
      </c>
      <c r="F17" s="11">
        <v>666</v>
      </c>
      <c r="G17" s="11">
        <v>612</v>
      </c>
      <c r="H17" s="51"/>
      <c r="I17" s="51"/>
      <c r="J17" s="51"/>
      <c r="K17" s="51"/>
      <c r="L17" s="11">
        <v>547</v>
      </c>
      <c r="M17" s="51"/>
      <c r="N17" s="51"/>
      <c r="O17" s="51"/>
      <c r="P17" s="51"/>
      <c r="Q17" s="11">
        <v>513</v>
      </c>
      <c r="R17" s="51"/>
      <c r="S17" s="51"/>
      <c r="T17" s="51"/>
      <c r="U17" s="51"/>
      <c r="V17" s="11">
        <v>538</v>
      </c>
      <c r="W17" s="51"/>
      <c r="X17" s="51"/>
      <c r="Y17" s="51"/>
      <c r="Z17" s="51"/>
      <c r="AA17" s="11">
        <v>665</v>
      </c>
      <c r="AB17" s="51"/>
      <c r="AC17" s="51"/>
      <c r="AD17" s="51"/>
      <c r="AE17" s="51"/>
      <c r="AF17" s="11">
        <v>594</v>
      </c>
      <c r="AG17" s="51"/>
      <c r="AH17" s="51"/>
      <c r="AI17" s="51"/>
      <c r="AJ17" s="51"/>
      <c r="AK17" s="47">
        <v>453</v>
      </c>
      <c r="AL17" s="51"/>
      <c r="AM17" s="51"/>
      <c r="AN17" s="51"/>
      <c r="AO17" s="51"/>
      <c r="AP17" s="47">
        <v>390</v>
      </c>
      <c r="AQ17" s="51"/>
      <c r="AR17" s="51"/>
      <c r="AS17" s="51"/>
      <c r="AT17" s="51"/>
      <c r="AU17" s="47">
        <v>363</v>
      </c>
      <c r="AV17" s="51"/>
      <c r="AW17" s="51"/>
      <c r="AX17" s="51"/>
      <c r="AY17" s="51"/>
      <c r="AZ17" s="47">
        <f>347+63</f>
        <v>410</v>
      </c>
      <c r="BA17" s="51"/>
      <c r="BB17" s="51"/>
      <c r="BC17" s="51"/>
      <c r="BD17" s="51"/>
      <c r="BE17" s="47">
        <f>323+56</f>
        <v>379</v>
      </c>
      <c r="BF17" s="51"/>
      <c r="BG17" s="51"/>
      <c r="BH17" s="51"/>
      <c r="BI17" s="51"/>
      <c r="BJ17" s="47">
        <f>335+56</f>
        <v>391</v>
      </c>
      <c r="BK17" s="51"/>
      <c r="BL17" s="51"/>
      <c r="BM17" s="51"/>
      <c r="BN17" s="51"/>
      <c r="BO17" s="47">
        <f>370+56</f>
        <v>426</v>
      </c>
      <c r="BP17" s="86">
        <f t="shared" ref="BP17:BS19" si="0">BP125-BP71</f>
        <v>441.80932000000001</v>
      </c>
      <c r="BQ17" s="86">
        <f t="shared" si="0"/>
        <v>441.80932000000001</v>
      </c>
      <c r="BR17" s="86">
        <f t="shared" si="0"/>
        <v>441.80932000000001</v>
      </c>
      <c r="BS17" s="86">
        <f t="shared" si="0"/>
        <v>441.80932000000001</v>
      </c>
      <c r="BT17" s="47">
        <f>AVERAGE(BP17:BS17)</f>
        <v>441.80932000000001</v>
      </c>
      <c r="BU17" s="86">
        <f t="shared" ref="BU17:BX19" si="1">BU125-BU71</f>
        <v>440.62279999999998</v>
      </c>
      <c r="BV17" s="86">
        <f t="shared" si="1"/>
        <v>440.62279999999998</v>
      </c>
      <c r="BW17" s="86">
        <f t="shared" si="1"/>
        <v>440.62279999999998</v>
      </c>
      <c r="BX17" s="86">
        <f t="shared" si="1"/>
        <v>440.62279999999998</v>
      </c>
      <c r="BY17" s="47">
        <f>AVERAGE(BU17:BX17)</f>
        <v>440.62279999999998</v>
      </c>
      <c r="BZ17" s="86">
        <f t="shared" ref="BZ17:CC19" si="2">BZ125-BZ71</f>
        <v>419.27024</v>
      </c>
      <c r="CA17" s="86">
        <f t="shared" si="2"/>
        <v>419.27024</v>
      </c>
      <c r="CB17" s="86">
        <f t="shared" si="2"/>
        <v>419.27024</v>
      </c>
      <c r="CC17" s="86">
        <f t="shared" si="2"/>
        <v>419.27024</v>
      </c>
      <c r="CD17" s="47">
        <f>AVERAGE(BZ17:CC17)</f>
        <v>419.27024</v>
      </c>
    </row>
    <row r="18" spans="1:82">
      <c r="A18" s="11"/>
      <c r="B18" s="11" t="s">
        <v>727</v>
      </c>
      <c r="C18" s="11">
        <v>18</v>
      </c>
      <c r="D18" s="11">
        <v>16</v>
      </c>
      <c r="E18" s="11">
        <v>13</v>
      </c>
      <c r="F18" s="11">
        <v>11</v>
      </c>
      <c r="G18" s="11">
        <v>10</v>
      </c>
      <c r="H18" s="51"/>
      <c r="I18" s="51"/>
      <c r="J18" s="51"/>
      <c r="K18" s="51"/>
      <c r="L18" s="11">
        <v>8</v>
      </c>
      <c r="M18" s="51"/>
      <c r="N18" s="51"/>
      <c r="O18" s="51"/>
      <c r="P18" s="51"/>
      <c r="Q18" s="11">
        <v>8</v>
      </c>
      <c r="R18" s="51"/>
      <c r="S18" s="51"/>
      <c r="T18" s="51"/>
      <c r="U18" s="51"/>
      <c r="V18" s="11">
        <v>9</v>
      </c>
      <c r="W18" s="51"/>
      <c r="X18" s="51"/>
      <c r="Y18" s="51"/>
      <c r="Z18" s="51"/>
      <c r="AA18" s="11">
        <v>8</v>
      </c>
      <c r="AB18" s="51"/>
      <c r="AC18" s="51"/>
      <c r="AD18" s="51"/>
      <c r="AE18" s="51"/>
      <c r="AF18" s="11">
        <v>7</v>
      </c>
      <c r="AG18" s="51"/>
      <c r="AH18" s="51"/>
      <c r="AI18" s="51"/>
      <c r="AJ18" s="51"/>
      <c r="AK18" s="47">
        <v>2</v>
      </c>
      <c r="AL18" s="51"/>
      <c r="AM18" s="51"/>
      <c r="AN18" s="51"/>
      <c r="AO18" s="51"/>
      <c r="AP18" s="47">
        <v>1</v>
      </c>
      <c r="AQ18" s="51"/>
      <c r="AR18" s="51"/>
      <c r="AS18" s="51"/>
      <c r="AT18" s="51"/>
      <c r="AU18" s="47">
        <v>0</v>
      </c>
      <c r="AV18" s="51"/>
      <c r="AW18" s="51"/>
      <c r="AX18" s="51"/>
      <c r="AY18" s="51"/>
      <c r="AZ18" s="47">
        <v>0</v>
      </c>
      <c r="BA18" s="51"/>
      <c r="BB18" s="51"/>
      <c r="BC18" s="51"/>
      <c r="BD18" s="51"/>
      <c r="BE18" s="47">
        <v>3</v>
      </c>
      <c r="BF18" s="51"/>
      <c r="BG18" s="51"/>
      <c r="BH18" s="51"/>
      <c r="BI18" s="51"/>
      <c r="BJ18" s="47">
        <v>13</v>
      </c>
      <c r="BK18" s="51"/>
      <c r="BL18" s="51"/>
      <c r="BM18" s="51"/>
      <c r="BN18" s="51"/>
      <c r="BO18" s="47">
        <v>20</v>
      </c>
      <c r="BP18" s="86">
        <f t="shared" si="0"/>
        <v>29.34</v>
      </c>
      <c r="BQ18" s="86">
        <f t="shared" si="0"/>
        <v>29.34</v>
      </c>
      <c r="BR18" s="86">
        <f t="shared" si="0"/>
        <v>29.34</v>
      </c>
      <c r="BS18" s="86">
        <f t="shared" si="0"/>
        <v>29.34</v>
      </c>
      <c r="BT18" s="47">
        <f>AVERAGE(BP18:BS18)</f>
        <v>29.34</v>
      </c>
      <c r="BU18" s="86">
        <f t="shared" si="1"/>
        <v>26.98</v>
      </c>
      <c r="BV18" s="86">
        <f t="shared" si="1"/>
        <v>26.98</v>
      </c>
      <c r="BW18" s="86">
        <f t="shared" si="1"/>
        <v>26.98</v>
      </c>
      <c r="BX18" s="86">
        <f t="shared" si="1"/>
        <v>26.98</v>
      </c>
      <c r="BY18" s="47">
        <f>AVERAGE(BU18:BX18)</f>
        <v>26.98</v>
      </c>
      <c r="BZ18" s="86">
        <f t="shared" si="2"/>
        <v>29.56</v>
      </c>
      <c r="CA18" s="86">
        <f t="shared" si="2"/>
        <v>29.56</v>
      </c>
      <c r="CB18" s="86">
        <f t="shared" si="2"/>
        <v>29.56</v>
      </c>
      <c r="CC18" s="86">
        <f t="shared" si="2"/>
        <v>29.56</v>
      </c>
      <c r="CD18" s="47">
        <f>AVERAGE(BZ18:CC18)</f>
        <v>29.56</v>
      </c>
    </row>
    <row r="19" spans="1:82">
      <c r="A19" s="39" t="s">
        <v>1993</v>
      </c>
      <c r="B19" s="39"/>
      <c r="C19" s="39">
        <f>SUM(C17:C18)</f>
        <v>762</v>
      </c>
      <c r="D19" s="39">
        <f>SUM(D17:D18)</f>
        <v>781</v>
      </c>
      <c r="E19" s="39">
        <f>SUM(E17:E18)</f>
        <v>739</v>
      </c>
      <c r="F19" s="39">
        <f>SUM(F17:F18)</f>
        <v>677</v>
      </c>
      <c r="G19" s="39">
        <f>SUM(G17:G18)</f>
        <v>622</v>
      </c>
      <c r="H19" s="52"/>
      <c r="I19" s="52"/>
      <c r="J19" s="52"/>
      <c r="K19" s="52"/>
      <c r="L19" s="39">
        <f>SUM(L17:L18)</f>
        <v>555</v>
      </c>
      <c r="M19" s="52"/>
      <c r="N19" s="52"/>
      <c r="O19" s="52"/>
      <c r="P19" s="52"/>
      <c r="Q19" s="39">
        <f>SUM(Q17:Q18)</f>
        <v>521</v>
      </c>
      <c r="R19" s="52"/>
      <c r="S19" s="52"/>
      <c r="T19" s="52"/>
      <c r="U19" s="52"/>
      <c r="V19" s="39">
        <f>SUM(V17:V18)</f>
        <v>547</v>
      </c>
      <c r="W19" s="52"/>
      <c r="X19" s="52"/>
      <c r="Y19" s="52"/>
      <c r="Z19" s="52"/>
      <c r="AA19" s="39">
        <f>SUM(AA17:AA18)</f>
        <v>673</v>
      </c>
      <c r="AB19" s="52"/>
      <c r="AC19" s="52"/>
      <c r="AD19" s="52"/>
      <c r="AE19" s="52"/>
      <c r="AF19" s="39">
        <f>SUM(AF17:AF18)</f>
        <v>601</v>
      </c>
      <c r="AG19" s="52"/>
      <c r="AH19" s="52"/>
      <c r="AI19" s="52"/>
      <c r="AJ19" s="52"/>
      <c r="AK19" s="39">
        <v>455</v>
      </c>
      <c r="AL19" s="52"/>
      <c r="AM19" s="52"/>
      <c r="AN19" s="52"/>
      <c r="AO19" s="52"/>
      <c r="AP19" s="39">
        <v>391</v>
      </c>
      <c r="AQ19" s="52"/>
      <c r="AR19" s="52"/>
      <c r="AS19" s="52"/>
      <c r="AT19" s="52"/>
      <c r="AU19" s="39">
        <v>363</v>
      </c>
      <c r="AV19" s="52"/>
      <c r="AW19" s="52"/>
      <c r="AX19" s="52"/>
      <c r="AY19" s="52"/>
      <c r="AZ19" s="39">
        <f>347+63</f>
        <v>410</v>
      </c>
      <c r="BA19" s="52"/>
      <c r="BB19" s="52"/>
      <c r="BC19" s="52"/>
      <c r="BD19" s="52"/>
      <c r="BE19" s="39">
        <f>327+56</f>
        <v>383</v>
      </c>
      <c r="BF19" s="52"/>
      <c r="BG19" s="52"/>
      <c r="BH19" s="52"/>
      <c r="BI19" s="52"/>
      <c r="BJ19" s="39">
        <f>347+56</f>
        <v>403</v>
      </c>
      <c r="BK19" s="52"/>
      <c r="BL19" s="52"/>
      <c r="BM19" s="52"/>
      <c r="BN19" s="52"/>
      <c r="BO19" s="39">
        <f>SUM(BO17:BO18)</f>
        <v>446</v>
      </c>
      <c r="BP19" s="79">
        <f t="shared" si="0"/>
        <v>471.14931999999999</v>
      </c>
      <c r="BQ19" s="79">
        <f t="shared" si="0"/>
        <v>471.14931999999999</v>
      </c>
      <c r="BR19" s="79">
        <f t="shared" si="0"/>
        <v>471.14931999999999</v>
      </c>
      <c r="BS19" s="79">
        <f t="shared" si="0"/>
        <v>471.14931999999999</v>
      </c>
      <c r="BT19" s="39">
        <f>AVERAGE(BP19:BS19)</f>
        <v>471.14931999999999</v>
      </c>
      <c r="BU19" s="79">
        <f t="shared" si="1"/>
        <v>467.6028</v>
      </c>
      <c r="BV19" s="79">
        <f t="shared" si="1"/>
        <v>467.6028</v>
      </c>
      <c r="BW19" s="79">
        <f t="shared" si="1"/>
        <v>467.6028</v>
      </c>
      <c r="BX19" s="79">
        <f t="shared" si="1"/>
        <v>467.6028</v>
      </c>
      <c r="BY19" s="39">
        <f>AVERAGE(BU19:BX19)</f>
        <v>467.6028</v>
      </c>
      <c r="BZ19" s="79">
        <f t="shared" si="2"/>
        <v>448.83024</v>
      </c>
      <c r="CA19" s="79">
        <f t="shared" si="2"/>
        <v>448.83024</v>
      </c>
      <c r="CB19" s="79">
        <f t="shared" si="2"/>
        <v>448.83024</v>
      </c>
      <c r="CC19" s="79">
        <f t="shared" si="2"/>
        <v>448.83024</v>
      </c>
      <c r="CD19" s="39">
        <f>AVERAGE(BZ19:CC19)</f>
        <v>448.83024</v>
      </c>
    </row>
    <row r="20" spans="1:82">
      <c r="A20" s="11"/>
      <c r="B20" s="11"/>
      <c r="C20" s="11"/>
      <c r="D20" s="11"/>
      <c r="E20" s="11"/>
      <c r="F20" s="11"/>
      <c r="G20" s="11"/>
      <c r="H20" s="51"/>
      <c r="I20" s="51"/>
      <c r="J20" s="51"/>
      <c r="K20" s="51"/>
      <c r="L20" s="11"/>
      <c r="M20" s="51"/>
      <c r="N20" s="51"/>
      <c r="O20" s="51"/>
      <c r="P20" s="51"/>
      <c r="Q20" s="11"/>
      <c r="R20" s="51"/>
      <c r="S20" s="51"/>
      <c r="T20" s="51"/>
      <c r="U20" s="51"/>
      <c r="V20" s="11"/>
      <c r="W20" s="51"/>
      <c r="X20" s="51"/>
      <c r="Y20" s="51"/>
      <c r="Z20" s="51"/>
      <c r="AA20" s="11"/>
      <c r="AB20" s="51"/>
      <c r="AC20" s="51"/>
      <c r="AD20" s="51"/>
      <c r="AE20" s="51"/>
      <c r="AF20" s="11"/>
      <c r="AG20" s="51"/>
      <c r="AH20" s="51"/>
      <c r="AI20" s="51"/>
      <c r="AJ20" s="51"/>
      <c r="AK20" s="11"/>
      <c r="AL20" s="51"/>
      <c r="AM20" s="51"/>
      <c r="AN20" s="51"/>
      <c r="AO20" s="51"/>
      <c r="AP20" s="11"/>
      <c r="AQ20" s="51"/>
      <c r="AR20" s="51"/>
      <c r="AS20" s="51"/>
      <c r="AT20" s="51"/>
      <c r="AU20" s="11"/>
      <c r="AV20" s="51"/>
      <c r="AW20" s="51"/>
      <c r="AX20" s="51"/>
      <c r="AY20" s="5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</row>
    <row r="21" spans="1:82">
      <c r="A21" s="39" t="s">
        <v>1994</v>
      </c>
      <c r="B21" s="11"/>
      <c r="C21" s="11"/>
      <c r="D21" s="11"/>
      <c r="E21" s="11"/>
      <c r="F21" s="11"/>
      <c r="G21" s="11"/>
      <c r="H21" s="51"/>
      <c r="I21" s="51"/>
      <c r="J21" s="51"/>
      <c r="K21" s="51"/>
      <c r="L21" s="11"/>
      <c r="M21" s="51"/>
      <c r="N21" s="51"/>
      <c r="O21" s="51"/>
      <c r="P21" s="51"/>
      <c r="Q21" s="11"/>
      <c r="R21" s="51"/>
      <c r="S21" s="51"/>
      <c r="T21" s="51"/>
      <c r="U21" s="51"/>
      <c r="V21" s="11"/>
      <c r="W21" s="51"/>
      <c r="X21" s="51"/>
      <c r="Y21" s="51"/>
      <c r="Z21" s="51"/>
      <c r="AA21" s="11"/>
      <c r="AB21" s="51"/>
      <c r="AC21" s="51"/>
      <c r="AD21" s="51"/>
      <c r="AE21" s="51"/>
      <c r="AF21" s="11"/>
      <c r="AG21" s="51"/>
      <c r="AH21" s="51"/>
      <c r="AI21" s="51"/>
      <c r="AJ21" s="51"/>
      <c r="AK21" s="11"/>
      <c r="AL21" s="51"/>
      <c r="AM21" s="51"/>
      <c r="AN21" s="51"/>
      <c r="AO21" s="51"/>
      <c r="AP21" s="11"/>
      <c r="AQ21" s="51"/>
      <c r="AR21" s="51"/>
      <c r="AS21" s="51"/>
      <c r="AT21" s="51"/>
      <c r="AU21" s="11"/>
      <c r="AV21" s="51"/>
      <c r="AW21" s="51"/>
      <c r="AX21" s="51"/>
      <c r="AY21" s="5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</row>
    <row r="22" spans="1:82">
      <c r="A22" s="39"/>
      <c r="B22" s="11" t="s">
        <v>2921</v>
      </c>
      <c r="C22" s="11">
        <v>0</v>
      </c>
      <c r="D22" s="11">
        <v>0</v>
      </c>
      <c r="E22" s="11">
        <v>0</v>
      </c>
      <c r="F22" s="11">
        <v>0</v>
      </c>
      <c r="G22" s="11">
        <v>0</v>
      </c>
      <c r="H22" s="51"/>
      <c r="I22" s="51"/>
      <c r="J22" s="51"/>
      <c r="K22" s="51"/>
      <c r="L22" s="11">
        <v>0</v>
      </c>
      <c r="M22" s="51"/>
      <c r="N22" s="51"/>
      <c r="O22" s="51"/>
      <c r="P22" s="51"/>
      <c r="Q22" s="11">
        <v>0</v>
      </c>
      <c r="R22" s="51"/>
      <c r="S22" s="51"/>
      <c r="T22" s="51"/>
      <c r="U22" s="51"/>
      <c r="V22" s="11">
        <v>0</v>
      </c>
      <c r="W22" s="51"/>
      <c r="X22" s="51"/>
      <c r="Y22" s="51"/>
      <c r="Z22" s="51"/>
      <c r="AA22" s="11">
        <v>0</v>
      </c>
      <c r="AB22" s="51"/>
      <c r="AC22" s="51"/>
      <c r="AD22" s="51"/>
      <c r="AE22" s="51"/>
      <c r="AF22" s="11">
        <v>0</v>
      </c>
      <c r="AG22" s="51"/>
      <c r="AH22" s="51"/>
      <c r="AI22" s="51"/>
      <c r="AJ22" s="51"/>
      <c r="AK22" s="11">
        <v>0</v>
      </c>
      <c r="AL22" s="51"/>
      <c r="AM22" s="51"/>
      <c r="AN22" s="51"/>
      <c r="AO22" s="51"/>
      <c r="AP22" s="11">
        <v>0</v>
      </c>
      <c r="AQ22" s="51"/>
      <c r="AR22" s="51"/>
      <c r="AS22" s="51"/>
      <c r="AT22" s="51"/>
      <c r="AU22" s="11">
        <v>0</v>
      </c>
      <c r="AV22" s="51"/>
      <c r="AW22" s="51"/>
      <c r="AX22" s="51"/>
      <c r="AY22" s="51"/>
      <c r="AZ22" s="11">
        <v>0</v>
      </c>
      <c r="BA22" s="51"/>
      <c r="BB22" s="51"/>
      <c r="BC22" s="51"/>
      <c r="BD22" s="51"/>
      <c r="BE22" s="11">
        <v>0</v>
      </c>
      <c r="BF22" s="51"/>
      <c r="BG22" s="51"/>
      <c r="BH22" s="51"/>
      <c r="BI22" s="51"/>
      <c r="BJ22" s="11">
        <v>0</v>
      </c>
      <c r="BK22" s="51"/>
      <c r="BL22" s="51"/>
      <c r="BM22" s="51"/>
      <c r="BN22" s="51"/>
      <c r="BO22" s="11">
        <v>0</v>
      </c>
      <c r="BP22" s="51"/>
      <c r="BQ22" s="51"/>
      <c r="BR22" s="51"/>
      <c r="BS22" s="51"/>
      <c r="BT22" s="51"/>
      <c r="BU22" s="51"/>
      <c r="BV22" s="51"/>
      <c r="BW22" s="51"/>
      <c r="BX22" s="51"/>
      <c r="BY22" s="51"/>
      <c r="BZ22" s="51"/>
      <c r="CA22" s="51"/>
      <c r="CB22" s="51"/>
      <c r="CC22" s="51"/>
      <c r="CD22" s="51"/>
    </row>
    <row r="23" spans="1:82">
      <c r="A23" s="39"/>
      <c r="B23" s="11" t="s">
        <v>785</v>
      </c>
      <c r="C23" s="11">
        <v>0</v>
      </c>
      <c r="D23" s="11">
        <v>0</v>
      </c>
      <c r="E23" s="11">
        <v>0</v>
      </c>
      <c r="F23" s="11">
        <v>0</v>
      </c>
      <c r="G23" s="11">
        <v>0</v>
      </c>
      <c r="H23" s="51"/>
      <c r="I23" s="51"/>
      <c r="J23" s="51"/>
      <c r="K23" s="51"/>
      <c r="L23" s="11">
        <v>0</v>
      </c>
      <c r="M23" s="51"/>
      <c r="N23" s="51"/>
      <c r="O23" s="51"/>
      <c r="P23" s="51"/>
      <c r="Q23" s="11">
        <v>0</v>
      </c>
      <c r="R23" s="51"/>
      <c r="S23" s="51"/>
      <c r="T23" s="51"/>
      <c r="U23" s="51"/>
      <c r="V23" s="11">
        <v>0</v>
      </c>
      <c r="W23" s="51"/>
      <c r="X23" s="51"/>
      <c r="Y23" s="51"/>
      <c r="Z23" s="51"/>
      <c r="AA23" s="11">
        <v>0</v>
      </c>
      <c r="AB23" s="51"/>
      <c r="AC23" s="51"/>
      <c r="AD23" s="51"/>
      <c r="AE23" s="51"/>
      <c r="AF23" s="11">
        <v>0</v>
      </c>
      <c r="AG23" s="51"/>
      <c r="AH23" s="51"/>
      <c r="AI23" s="51"/>
      <c r="AJ23" s="51"/>
      <c r="AK23" s="11">
        <v>0</v>
      </c>
      <c r="AL23" s="51"/>
      <c r="AM23" s="51"/>
      <c r="AN23" s="51"/>
      <c r="AO23" s="51"/>
      <c r="AP23" s="11">
        <v>0</v>
      </c>
      <c r="AQ23" s="51"/>
      <c r="AR23" s="51"/>
      <c r="AS23" s="51"/>
      <c r="AT23" s="51"/>
      <c r="AU23" s="11">
        <v>0</v>
      </c>
      <c r="AV23" s="51"/>
      <c r="AW23" s="51"/>
      <c r="AX23" s="51"/>
      <c r="AY23" s="51"/>
      <c r="AZ23" s="11">
        <v>0</v>
      </c>
      <c r="BA23" s="51"/>
      <c r="BB23" s="51"/>
      <c r="BC23" s="51"/>
      <c r="BD23" s="51"/>
      <c r="BE23" s="11">
        <v>0</v>
      </c>
      <c r="BF23" s="51"/>
      <c r="BG23" s="51"/>
      <c r="BH23" s="51"/>
      <c r="BI23" s="51"/>
      <c r="BJ23" s="11">
        <v>0</v>
      </c>
      <c r="BK23" s="51"/>
      <c r="BL23" s="51"/>
      <c r="BM23" s="51"/>
      <c r="BN23" s="51"/>
      <c r="BO23" s="11">
        <v>0</v>
      </c>
      <c r="BP23" s="51"/>
      <c r="BQ23" s="51"/>
      <c r="BR23" s="51"/>
      <c r="BS23" s="51"/>
      <c r="BT23" s="51"/>
      <c r="BU23" s="51"/>
      <c r="BV23" s="51"/>
      <c r="BW23" s="51"/>
      <c r="BX23" s="51"/>
      <c r="BY23" s="51"/>
      <c r="BZ23" s="51"/>
      <c r="CA23" s="51"/>
      <c r="CB23" s="51"/>
      <c r="CC23" s="51"/>
      <c r="CD23" s="51"/>
    </row>
    <row r="24" spans="1:82">
      <c r="A24" s="39"/>
      <c r="B24" s="11" t="s">
        <v>2428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51"/>
      <c r="I24" s="51"/>
      <c r="J24" s="51"/>
      <c r="K24" s="51"/>
      <c r="L24" s="11">
        <v>0</v>
      </c>
      <c r="M24" s="51"/>
      <c r="N24" s="51"/>
      <c r="O24" s="51"/>
      <c r="P24" s="51"/>
      <c r="Q24" s="11">
        <v>0</v>
      </c>
      <c r="R24" s="51"/>
      <c r="S24" s="51"/>
      <c r="T24" s="51"/>
      <c r="U24" s="51"/>
      <c r="V24" s="11">
        <v>0</v>
      </c>
      <c r="W24" s="51"/>
      <c r="X24" s="51"/>
      <c r="Y24" s="51"/>
      <c r="Z24" s="51"/>
      <c r="AA24" s="11">
        <v>0</v>
      </c>
      <c r="AB24" s="51"/>
      <c r="AC24" s="51"/>
      <c r="AD24" s="51"/>
      <c r="AE24" s="51"/>
      <c r="AF24" s="11">
        <v>0</v>
      </c>
      <c r="AG24" s="51"/>
      <c r="AH24" s="51"/>
      <c r="AI24" s="51"/>
      <c r="AJ24" s="51"/>
      <c r="AK24" s="11">
        <v>7</v>
      </c>
      <c r="AL24" s="51"/>
      <c r="AM24" s="51"/>
      <c r="AN24" s="51"/>
      <c r="AO24" s="51"/>
      <c r="AP24" s="11">
        <v>7</v>
      </c>
      <c r="AQ24" s="51"/>
      <c r="AR24" s="51"/>
      <c r="AS24" s="51"/>
      <c r="AT24" s="51"/>
      <c r="AU24" s="11">
        <v>7</v>
      </c>
      <c r="AV24" s="51"/>
      <c r="AW24" s="51"/>
      <c r="AX24" s="51"/>
      <c r="AY24" s="51"/>
      <c r="AZ24" s="11">
        <f>0+0</f>
        <v>0</v>
      </c>
      <c r="BA24" s="51"/>
      <c r="BB24" s="51"/>
      <c r="BC24" s="51"/>
      <c r="BD24" s="51"/>
      <c r="BE24" s="11">
        <v>0</v>
      </c>
      <c r="BF24" s="51"/>
      <c r="BG24" s="51"/>
      <c r="BH24" s="51"/>
      <c r="BI24" s="51"/>
      <c r="BJ24" s="11">
        <v>0</v>
      </c>
      <c r="BK24" s="51"/>
      <c r="BL24" s="51"/>
      <c r="BM24" s="51"/>
      <c r="BN24" s="51"/>
      <c r="BO24" s="11">
        <v>0</v>
      </c>
      <c r="BP24" s="51"/>
      <c r="BQ24" s="51"/>
      <c r="BR24" s="51"/>
      <c r="BS24" s="51"/>
      <c r="BT24" s="51"/>
      <c r="BU24" s="51"/>
      <c r="BV24" s="51"/>
      <c r="BW24" s="51"/>
      <c r="BX24" s="51"/>
      <c r="BY24" s="51"/>
      <c r="BZ24" s="51"/>
      <c r="CA24" s="51"/>
      <c r="CB24" s="51"/>
      <c r="CC24" s="51"/>
      <c r="CD24" s="51"/>
    </row>
    <row r="25" spans="1:82">
      <c r="A25" s="11"/>
      <c r="B25" s="11" t="s">
        <v>2247</v>
      </c>
      <c r="C25" s="11">
        <v>48</v>
      </c>
      <c r="D25" s="11">
        <v>46</v>
      </c>
      <c r="E25" s="11">
        <v>53</v>
      </c>
      <c r="F25" s="11">
        <v>48</v>
      </c>
      <c r="G25" s="11">
        <v>41</v>
      </c>
      <c r="H25" s="51"/>
      <c r="I25" s="51"/>
      <c r="J25" s="51"/>
      <c r="K25" s="51"/>
      <c r="L25" s="11">
        <v>34</v>
      </c>
      <c r="M25" s="51"/>
      <c r="N25" s="51"/>
      <c r="O25" s="51"/>
      <c r="P25" s="51"/>
      <c r="Q25" s="11">
        <v>28</v>
      </c>
      <c r="R25" s="51"/>
      <c r="S25" s="51"/>
      <c r="T25" s="51"/>
      <c r="U25" s="51"/>
      <c r="V25" s="11">
        <v>24</v>
      </c>
      <c r="W25" s="51"/>
      <c r="X25" s="51"/>
      <c r="Y25" s="51"/>
      <c r="Z25" s="51"/>
      <c r="AA25" s="11">
        <v>23</v>
      </c>
      <c r="AB25" s="51"/>
      <c r="AC25" s="51"/>
      <c r="AD25" s="51"/>
      <c r="AE25" s="51"/>
      <c r="AF25" s="11">
        <v>18</v>
      </c>
      <c r="AG25" s="51"/>
      <c r="AH25" s="51"/>
      <c r="AI25" s="51"/>
      <c r="AJ25" s="51"/>
      <c r="AK25" s="11">
        <v>1</v>
      </c>
      <c r="AL25" s="51"/>
      <c r="AM25" s="51"/>
      <c r="AN25" s="51"/>
      <c r="AO25" s="51"/>
      <c r="AP25" s="11">
        <v>0</v>
      </c>
      <c r="AQ25" s="51"/>
      <c r="AR25" s="51"/>
      <c r="AS25" s="51"/>
      <c r="AT25" s="51"/>
      <c r="AU25" s="11">
        <v>0</v>
      </c>
      <c r="AV25" s="51"/>
      <c r="AW25" s="51"/>
      <c r="AX25" s="51"/>
      <c r="AY25" s="51"/>
      <c r="AZ25" s="11">
        <v>0</v>
      </c>
      <c r="BA25" s="51"/>
      <c r="BB25" s="51"/>
      <c r="BC25" s="51"/>
      <c r="BD25" s="51"/>
      <c r="BE25" s="11">
        <v>0</v>
      </c>
      <c r="BF25" s="51"/>
      <c r="BG25" s="51"/>
      <c r="BH25" s="51"/>
      <c r="BI25" s="51"/>
      <c r="BJ25" s="11">
        <v>0</v>
      </c>
      <c r="BK25" s="51"/>
      <c r="BL25" s="51"/>
      <c r="BM25" s="51"/>
      <c r="BN25" s="51"/>
      <c r="BO25" s="11">
        <v>0</v>
      </c>
      <c r="BP25" s="51"/>
      <c r="BQ25" s="51"/>
      <c r="BR25" s="51"/>
      <c r="BS25" s="51"/>
      <c r="BT25" s="51"/>
      <c r="BU25" s="51"/>
      <c r="BV25" s="51"/>
      <c r="BW25" s="51"/>
      <c r="BX25" s="51"/>
      <c r="BY25" s="51"/>
      <c r="BZ25" s="51"/>
      <c r="CA25" s="51"/>
      <c r="CB25" s="51"/>
      <c r="CC25" s="51"/>
      <c r="CD25" s="51"/>
    </row>
    <row r="26" spans="1:82">
      <c r="A26" s="11"/>
      <c r="B26" s="11" t="s">
        <v>1280</v>
      </c>
      <c r="C26" s="11">
        <v>48</v>
      </c>
      <c r="D26" s="11">
        <v>67</v>
      </c>
      <c r="E26" s="11">
        <v>74</v>
      </c>
      <c r="F26" s="11">
        <v>59</v>
      </c>
      <c r="G26" s="11">
        <v>40</v>
      </c>
      <c r="H26" s="51"/>
      <c r="I26" s="51"/>
      <c r="J26" s="51"/>
      <c r="K26" s="51"/>
      <c r="L26" s="11">
        <v>40</v>
      </c>
      <c r="M26" s="51"/>
      <c r="N26" s="51"/>
      <c r="O26" s="51"/>
      <c r="P26" s="51"/>
      <c r="Q26" s="11">
        <v>30</v>
      </c>
      <c r="R26" s="51"/>
      <c r="S26" s="51"/>
      <c r="T26" s="51"/>
      <c r="U26" s="51"/>
      <c r="V26" s="11">
        <v>38</v>
      </c>
      <c r="W26" s="51"/>
      <c r="X26" s="51"/>
      <c r="Y26" s="51"/>
      <c r="Z26" s="51"/>
      <c r="AA26" s="11">
        <v>38</v>
      </c>
      <c r="AB26" s="51"/>
      <c r="AC26" s="51"/>
      <c r="AD26" s="51"/>
      <c r="AE26" s="51"/>
      <c r="AF26" s="11">
        <v>36</v>
      </c>
      <c r="AG26" s="51"/>
      <c r="AH26" s="51"/>
      <c r="AI26" s="51"/>
      <c r="AJ26" s="51"/>
      <c r="AK26" s="11">
        <v>31</v>
      </c>
      <c r="AL26" s="51"/>
      <c r="AM26" s="51"/>
      <c r="AN26" s="51"/>
      <c r="AO26" s="51"/>
      <c r="AP26" s="11">
        <v>21</v>
      </c>
      <c r="AQ26" s="51"/>
      <c r="AR26" s="51"/>
      <c r="AS26" s="51"/>
      <c r="AT26" s="51"/>
      <c r="AU26" s="11">
        <v>23</v>
      </c>
      <c r="AV26" s="51"/>
      <c r="AW26" s="51"/>
      <c r="AX26" s="51"/>
      <c r="AY26" s="51"/>
      <c r="AZ26" s="11">
        <f>13+12</f>
        <v>25</v>
      </c>
      <c r="BA26" s="51"/>
      <c r="BB26" s="51"/>
      <c r="BC26" s="51"/>
      <c r="BD26" s="51"/>
      <c r="BE26" s="11">
        <f>12+11</f>
        <v>23</v>
      </c>
      <c r="BF26" s="51"/>
      <c r="BG26" s="51"/>
      <c r="BH26" s="51"/>
      <c r="BI26" s="51"/>
      <c r="BJ26" s="11">
        <v>18</v>
      </c>
      <c r="BK26" s="51"/>
      <c r="BL26" s="51"/>
      <c r="BM26" s="51"/>
      <c r="BN26" s="51"/>
      <c r="BO26" s="11">
        <f>12+10</f>
        <v>22</v>
      </c>
      <c r="BP26" s="51"/>
      <c r="BQ26" s="51"/>
      <c r="BR26" s="51"/>
      <c r="BS26" s="51"/>
      <c r="BT26" s="51"/>
      <c r="BU26" s="51"/>
      <c r="BV26" s="51"/>
      <c r="BW26" s="51"/>
      <c r="BX26" s="51"/>
      <c r="BY26" s="51"/>
      <c r="BZ26" s="51"/>
      <c r="CA26" s="51"/>
      <c r="CB26" s="51"/>
      <c r="CC26" s="51"/>
      <c r="CD26" s="51"/>
    </row>
    <row r="27" spans="1:82">
      <c r="A27" s="11"/>
      <c r="B27" s="11" t="s">
        <v>1036</v>
      </c>
      <c r="C27" s="11">
        <v>54</v>
      </c>
      <c r="D27" s="11">
        <v>51</v>
      </c>
      <c r="E27" s="11">
        <v>53</v>
      </c>
      <c r="F27" s="11">
        <v>55</v>
      </c>
      <c r="G27" s="11">
        <v>55</v>
      </c>
      <c r="H27" s="51"/>
      <c r="I27" s="51"/>
      <c r="J27" s="51"/>
      <c r="K27" s="51"/>
      <c r="L27" s="11">
        <v>26</v>
      </c>
      <c r="M27" s="51"/>
      <c r="N27" s="51"/>
      <c r="O27" s="51"/>
      <c r="P27" s="51"/>
      <c r="Q27" s="11">
        <v>16</v>
      </c>
      <c r="R27" s="51"/>
      <c r="S27" s="51"/>
      <c r="T27" s="51"/>
      <c r="U27" s="51"/>
      <c r="V27" s="11">
        <v>4</v>
      </c>
      <c r="W27" s="51"/>
      <c r="X27" s="51"/>
      <c r="Y27" s="51"/>
      <c r="Z27" s="51"/>
      <c r="AA27" s="11">
        <v>0</v>
      </c>
      <c r="AB27" s="51"/>
      <c r="AC27" s="51"/>
      <c r="AD27" s="51"/>
      <c r="AE27" s="51"/>
      <c r="AF27" s="11">
        <v>0</v>
      </c>
      <c r="AG27" s="51"/>
      <c r="AH27" s="51"/>
      <c r="AI27" s="51"/>
      <c r="AJ27" s="51"/>
      <c r="AK27" s="11">
        <v>0</v>
      </c>
      <c r="AL27" s="51"/>
      <c r="AM27" s="51"/>
      <c r="AN27" s="51"/>
      <c r="AO27" s="51"/>
      <c r="AP27" s="11">
        <v>0</v>
      </c>
      <c r="AQ27" s="51"/>
      <c r="AR27" s="51"/>
      <c r="AS27" s="51"/>
      <c r="AT27" s="51"/>
      <c r="AU27" s="11">
        <v>0</v>
      </c>
      <c r="AV27" s="51"/>
      <c r="AW27" s="51"/>
      <c r="AX27" s="51"/>
      <c r="AY27" s="51"/>
      <c r="AZ27" s="11">
        <v>0</v>
      </c>
      <c r="BA27" s="51"/>
      <c r="BB27" s="51"/>
      <c r="BC27" s="51"/>
      <c r="BD27" s="51"/>
      <c r="BE27" s="11">
        <v>0</v>
      </c>
      <c r="BF27" s="51"/>
      <c r="BG27" s="51"/>
      <c r="BH27" s="51"/>
      <c r="BI27" s="51"/>
      <c r="BJ27" s="11">
        <v>0</v>
      </c>
      <c r="BK27" s="51"/>
      <c r="BL27" s="51"/>
      <c r="BM27" s="51"/>
      <c r="BN27" s="51"/>
      <c r="BO27" s="11">
        <v>0</v>
      </c>
      <c r="BP27" s="51"/>
      <c r="BQ27" s="51"/>
      <c r="BR27" s="51"/>
      <c r="BS27" s="51"/>
      <c r="BT27" s="51"/>
      <c r="BU27" s="51"/>
      <c r="BV27" s="51"/>
      <c r="BW27" s="51"/>
      <c r="BX27" s="51"/>
      <c r="BY27" s="51"/>
      <c r="BZ27" s="51"/>
      <c r="CA27" s="51"/>
      <c r="CB27" s="51"/>
      <c r="CC27" s="51"/>
      <c r="CD27" s="51"/>
    </row>
    <row r="28" spans="1:82">
      <c r="A28" s="39" t="s">
        <v>119</v>
      </c>
      <c r="B28" s="39"/>
      <c r="C28" s="39">
        <f>SUM(C22:C27)</f>
        <v>150</v>
      </c>
      <c r="D28" s="39">
        <f>SUM(D22:D27)</f>
        <v>164</v>
      </c>
      <c r="E28" s="39">
        <f>SUM(E22:E27)</f>
        <v>180</v>
      </c>
      <c r="F28" s="39">
        <f>SUM(F22:F27)</f>
        <v>162</v>
      </c>
      <c r="G28" s="39">
        <f>SUM(G22:G27)</f>
        <v>136</v>
      </c>
      <c r="H28" s="52"/>
      <c r="I28" s="52"/>
      <c r="J28" s="52"/>
      <c r="K28" s="52"/>
      <c r="L28" s="39">
        <f>SUM(L22:L27)</f>
        <v>100</v>
      </c>
      <c r="M28" s="52"/>
      <c r="N28" s="52"/>
      <c r="O28" s="52"/>
      <c r="P28" s="52"/>
      <c r="Q28" s="39">
        <f>SUM(Q22:Q27)</f>
        <v>74</v>
      </c>
      <c r="R28" s="52"/>
      <c r="S28" s="52"/>
      <c r="T28" s="52"/>
      <c r="U28" s="52"/>
      <c r="V28" s="39">
        <f>SUM(V22:V27)</f>
        <v>66</v>
      </c>
      <c r="W28" s="52"/>
      <c r="X28" s="52"/>
      <c r="Y28" s="52"/>
      <c r="Z28" s="52"/>
      <c r="AA28" s="39">
        <f>SUM(AA22:AA27)</f>
        <v>61</v>
      </c>
      <c r="AB28" s="52"/>
      <c r="AC28" s="52"/>
      <c r="AD28" s="52"/>
      <c r="AE28" s="52"/>
      <c r="AF28" s="39">
        <f>SUM(AF22:AF27)</f>
        <v>54</v>
      </c>
      <c r="AG28" s="52"/>
      <c r="AH28" s="52"/>
      <c r="AI28" s="52"/>
      <c r="AJ28" s="52"/>
      <c r="AK28" s="39">
        <v>39</v>
      </c>
      <c r="AL28" s="52"/>
      <c r="AM28" s="52"/>
      <c r="AN28" s="52"/>
      <c r="AO28" s="52"/>
      <c r="AP28" s="39">
        <v>28</v>
      </c>
      <c r="AQ28" s="52"/>
      <c r="AR28" s="52"/>
      <c r="AS28" s="52"/>
      <c r="AT28" s="52"/>
      <c r="AU28" s="39">
        <v>30</v>
      </c>
      <c r="AV28" s="52"/>
      <c r="AW28" s="52"/>
      <c r="AX28" s="52"/>
      <c r="AY28" s="52"/>
      <c r="AZ28" s="39">
        <f>13+12</f>
        <v>25</v>
      </c>
      <c r="BA28" s="52"/>
      <c r="BB28" s="52"/>
      <c r="BC28" s="52"/>
      <c r="BD28" s="52"/>
      <c r="BE28" s="39">
        <f>12+11</f>
        <v>23</v>
      </c>
      <c r="BF28" s="52"/>
      <c r="BG28" s="52"/>
      <c r="BH28" s="52"/>
      <c r="BI28" s="52"/>
      <c r="BJ28" s="39">
        <f>10+8</f>
        <v>18</v>
      </c>
      <c r="BK28" s="52"/>
      <c r="BL28" s="52"/>
      <c r="BM28" s="52"/>
      <c r="BN28" s="52"/>
      <c r="BO28" s="39">
        <f>SUM(BO22:BO27)</f>
        <v>22</v>
      </c>
      <c r="BP28" s="79">
        <f>BP136-BP82</f>
        <v>24.22</v>
      </c>
      <c r="BQ28" s="79">
        <f>BQ136-BQ82</f>
        <v>19.22</v>
      </c>
      <c r="BR28" s="79">
        <f>BR136-BR82</f>
        <v>19.22</v>
      </c>
      <c r="BS28" s="79">
        <f>BS136-BS82</f>
        <v>19.22</v>
      </c>
      <c r="BT28" s="39">
        <f>AVERAGE(BP28:BS28)</f>
        <v>20.47</v>
      </c>
      <c r="BU28" s="79">
        <f>BU136-BU82</f>
        <v>19.130000000000003</v>
      </c>
      <c r="BV28" s="79">
        <f>BV136-BV82</f>
        <v>19.130000000000003</v>
      </c>
      <c r="BW28" s="79">
        <f>BW136-BW82</f>
        <v>19.130000000000003</v>
      </c>
      <c r="BX28" s="79">
        <f>BX136-BX82</f>
        <v>19.130000000000003</v>
      </c>
      <c r="BY28" s="39">
        <f>AVERAGE(BU28:BX28)</f>
        <v>19.130000000000003</v>
      </c>
      <c r="BZ28" s="79">
        <f>BZ136-BZ82</f>
        <v>18.010000000000005</v>
      </c>
      <c r="CA28" s="79">
        <f>CA136-CA82</f>
        <v>18.010000000000005</v>
      </c>
      <c r="CB28" s="79">
        <f>CB136-CB82</f>
        <v>18.010000000000005</v>
      </c>
      <c r="CC28" s="79">
        <f>CC136-CC82</f>
        <v>18.010000000000005</v>
      </c>
      <c r="CD28" s="39">
        <f>AVERAGE(BZ28:CC28)</f>
        <v>18.010000000000005</v>
      </c>
    </row>
    <row r="29" spans="1:82">
      <c r="A29" s="11"/>
      <c r="B29" s="11"/>
      <c r="C29" s="11"/>
      <c r="D29" s="11"/>
      <c r="E29" s="11"/>
      <c r="F29" s="11"/>
      <c r="G29" s="11"/>
      <c r="H29" s="51"/>
      <c r="I29" s="51"/>
      <c r="J29" s="51"/>
      <c r="K29" s="51"/>
      <c r="L29" s="11"/>
      <c r="M29" s="51"/>
      <c r="N29" s="51"/>
      <c r="O29" s="51"/>
      <c r="P29" s="51"/>
      <c r="Q29" s="11"/>
      <c r="R29" s="51"/>
      <c r="S29" s="51"/>
      <c r="T29" s="51"/>
      <c r="U29" s="51"/>
      <c r="V29" s="11"/>
      <c r="W29" s="51"/>
      <c r="X29" s="51"/>
      <c r="Y29" s="51"/>
      <c r="Z29" s="51"/>
      <c r="AA29" s="11"/>
      <c r="AB29" s="51"/>
      <c r="AC29" s="51"/>
      <c r="AD29" s="51"/>
      <c r="AE29" s="51"/>
      <c r="AF29" s="11"/>
      <c r="AG29" s="51"/>
      <c r="AH29" s="51"/>
      <c r="AI29" s="51"/>
      <c r="AJ29" s="51"/>
      <c r="AK29" s="11"/>
      <c r="AL29" s="51"/>
      <c r="AM29" s="51"/>
      <c r="AN29" s="51"/>
      <c r="AO29" s="51"/>
      <c r="AP29" s="11"/>
      <c r="AQ29" s="51"/>
      <c r="AR29" s="51"/>
      <c r="AS29" s="51"/>
      <c r="AT29" s="51"/>
      <c r="AU29" s="11"/>
      <c r="AV29" s="51"/>
      <c r="AW29" s="51"/>
      <c r="AX29" s="51"/>
      <c r="AY29" s="5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</row>
    <row r="30" spans="1:82">
      <c r="A30" s="39" t="s">
        <v>120</v>
      </c>
      <c r="B30" s="11"/>
      <c r="C30" s="11"/>
      <c r="D30" s="11"/>
      <c r="E30" s="11"/>
      <c r="F30" s="11"/>
      <c r="G30" s="11"/>
      <c r="H30" s="51"/>
      <c r="I30" s="51"/>
      <c r="J30" s="51"/>
      <c r="K30" s="51"/>
      <c r="L30" s="11"/>
      <c r="M30" s="51"/>
      <c r="N30" s="51"/>
      <c r="O30" s="51"/>
      <c r="P30" s="51"/>
      <c r="Q30" s="11"/>
      <c r="R30" s="51"/>
      <c r="S30" s="51"/>
      <c r="T30" s="51"/>
      <c r="U30" s="51"/>
      <c r="V30" s="11"/>
      <c r="W30" s="51"/>
      <c r="X30" s="51"/>
      <c r="Y30" s="51"/>
      <c r="Z30" s="51"/>
      <c r="AA30" s="11"/>
      <c r="AB30" s="51"/>
      <c r="AC30" s="51"/>
      <c r="AD30" s="51"/>
      <c r="AE30" s="51"/>
      <c r="AF30" s="11"/>
      <c r="AG30" s="51"/>
      <c r="AH30" s="51"/>
      <c r="AI30" s="51"/>
      <c r="AJ30" s="51"/>
      <c r="AK30" s="11"/>
      <c r="AL30" s="51"/>
      <c r="AM30" s="51"/>
      <c r="AN30" s="51"/>
      <c r="AO30" s="51"/>
      <c r="AP30" s="11"/>
      <c r="AQ30" s="51"/>
      <c r="AR30" s="51"/>
      <c r="AS30" s="51"/>
      <c r="AT30" s="51"/>
      <c r="AU30" s="11"/>
      <c r="AV30" s="51"/>
      <c r="AW30" s="51"/>
      <c r="AX30" s="51"/>
      <c r="AY30" s="5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</row>
    <row r="31" spans="1:82">
      <c r="A31" s="11"/>
      <c r="B31" s="11" t="s">
        <v>1473</v>
      </c>
      <c r="C31" s="11">
        <v>0</v>
      </c>
      <c r="D31" s="11">
        <v>0</v>
      </c>
      <c r="E31" s="11">
        <v>0</v>
      </c>
      <c r="F31" s="11">
        <v>0</v>
      </c>
      <c r="G31" s="11">
        <v>0</v>
      </c>
      <c r="H31" s="51"/>
      <c r="I31" s="51"/>
      <c r="J31" s="51"/>
      <c r="K31" s="51"/>
      <c r="L31" s="11">
        <v>3</v>
      </c>
      <c r="M31" s="51"/>
      <c r="N31" s="51"/>
      <c r="O31" s="51"/>
      <c r="P31" s="51"/>
      <c r="Q31" s="11">
        <v>12</v>
      </c>
      <c r="R31" s="51"/>
      <c r="S31" s="51"/>
      <c r="T31" s="51"/>
      <c r="U31" s="51"/>
      <c r="V31" s="11">
        <v>19</v>
      </c>
      <c r="W31" s="51"/>
      <c r="X31" s="51"/>
      <c r="Y31" s="51"/>
      <c r="Z31" s="51"/>
      <c r="AA31" s="11">
        <v>22</v>
      </c>
      <c r="AB31" s="51"/>
      <c r="AC31" s="51"/>
      <c r="AD31" s="51"/>
      <c r="AE31" s="51"/>
      <c r="AF31" s="11">
        <v>17</v>
      </c>
      <c r="AG31" s="51"/>
      <c r="AH31" s="51"/>
      <c r="AI31" s="51"/>
      <c r="AJ31" s="51"/>
      <c r="AK31" s="11">
        <v>22</v>
      </c>
      <c r="AL31" s="51"/>
      <c r="AM31" s="51"/>
      <c r="AN31" s="51"/>
      <c r="AO31" s="51"/>
      <c r="AP31" s="11">
        <v>12</v>
      </c>
      <c r="AQ31" s="51"/>
      <c r="AR31" s="51"/>
      <c r="AS31" s="51"/>
      <c r="AT31" s="51"/>
      <c r="AU31" s="11">
        <v>7</v>
      </c>
      <c r="AV31" s="51"/>
      <c r="AW31" s="51"/>
      <c r="AX31" s="51"/>
      <c r="AY31" s="51"/>
      <c r="AZ31" s="11">
        <f>5+5</f>
        <v>10</v>
      </c>
      <c r="BA31" s="51"/>
      <c r="BB31" s="51"/>
      <c r="BC31" s="51"/>
      <c r="BD31" s="51"/>
      <c r="BE31" s="11">
        <f>6+7</f>
        <v>13</v>
      </c>
      <c r="BF31" s="51"/>
      <c r="BG31" s="51"/>
      <c r="BH31" s="51"/>
      <c r="BI31" s="51"/>
      <c r="BJ31" s="11">
        <f>5+5</f>
        <v>10</v>
      </c>
      <c r="BK31" s="51"/>
      <c r="BL31" s="51"/>
      <c r="BM31" s="51"/>
      <c r="BN31" s="51"/>
      <c r="BO31" s="11">
        <f>9+10</f>
        <v>19</v>
      </c>
      <c r="BP31" s="51"/>
      <c r="BQ31" s="51"/>
      <c r="BR31" s="51"/>
      <c r="BS31" s="51"/>
      <c r="BT31" s="51"/>
      <c r="BU31" s="51"/>
      <c r="BV31" s="51"/>
      <c r="BW31" s="51"/>
      <c r="BX31" s="51"/>
      <c r="BY31" s="51"/>
      <c r="BZ31" s="51"/>
      <c r="CA31" s="51"/>
      <c r="CB31" s="51"/>
      <c r="CC31" s="51"/>
      <c r="CD31" s="51"/>
    </row>
    <row r="32" spans="1:82">
      <c r="A32" s="11"/>
      <c r="B32" s="11" t="s">
        <v>1934</v>
      </c>
      <c r="C32" s="11">
        <v>1</v>
      </c>
      <c r="D32" s="11">
        <v>29</v>
      </c>
      <c r="E32" s="11">
        <f>33+2</f>
        <v>35</v>
      </c>
      <c r="F32" s="11">
        <f>31+16+24</f>
        <v>71</v>
      </c>
      <c r="G32" s="11">
        <f>34+56+28+10</f>
        <v>128</v>
      </c>
      <c r="H32" s="51"/>
      <c r="I32" s="51"/>
      <c r="J32" s="51"/>
      <c r="K32" s="51"/>
      <c r="L32" s="11">
        <v>133</v>
      </c>
      <c r="M32" s="51"/>
      <c r="N32" s="51"/>
      <c r="O32" s="51"/>
      <c r="P32" s="51"/>
      <c r="Q32" s="11">
        <v>140</v>
      </c>
      <c r="R32" s="51"/>
      <c r="S32" s="51"/>
      <c r="T32" s="51"/>
      <c r="U32" s="51"/>
      <c r="V32" s="11">
        <v>201</v>
      </c>
      <c r="W32" s="51"/>
      <c r="X32" s="51"/>
      <c r="Y32" s="51"/>
      <c r="Z32" s="51"/>
      <c r="AA32" s="11">
        <v>211</v>
      </c>
      <c r="AB32" s="51"/>
      <c r="AC32" s="51"/>
      <c r="AD32" s="51"/>
      <c r="AE32" s="51"/>
      <c r="AF32" s="11">
        <v>170</v>
      </c>
      <c r="AG32" s="51"/>
      <c r="AH32" s="51"/>
      <c r="AI32" s="51"/>
      <c r="AJ32" s="51"/>
      <c r="AK32" s="11">
        <v>123</v>
      </c>
      <c r="AL32" s="51"/>
      <c r="AM32" s="51"/>
      <c r="AN32" s="51"/>
      <c r="AO32" s="51"/>
      <c r="AP32" s="11">
        <v>149</v>
      </c>
      <c r="AQ32" s="51"/>
      <c r="AR32" s="51"/>
      <c r="AS32" s="51"/>
      <c r="AT32" s="51"/>
      <c r="AU32" s="11">
        <v>180</v>
      </c>
      <c r="AV32" s="51"/>
      <c r="AW32" s="51"/>
      <c r="AX32" s="51"/>
      <c r="AY32" s="51"/>
      <c r="AZ32" s="11">
        <v>181</v>
      </c>
      <c r="BA32" s="51"/>
      <c r="BB32" s="51"/>
      <c r="BC32" s="51"/>
      <c r="BD32" s="51"/>
      <c r="BE32" s="11">
        <v>221</v>
      </c>
      <c r="BF32" s="51"/>
      <c r="BG32" s="51"/>
      <c r="BH32" s="51"/>
      <c r="BI32" s="51"/>
      <c r="BJ32" s="11">
        <v>219</v>
      </c>
      <c r="BK32" s="51"/>
      <c r="BL32" s="51"/>
      <c r="BM32" s="51"/>
      <c r="BN32" s="51"/>
      <c r="BO32" s="11">
        <v>192</v>
      </c>
      <c r="BP32" s="51"/>
      <c r="BQ32" s="51"/>
      <c r="BR32" s="51"/>
      <c r="BS32" s="51"/>
      <c r="BT32" s="51"/>
      <c r="BU32" s="51"/>
      <c r="BV32" s="51"/>
      <c r="BW32" s="51"/>
      <c r="BX32" s="51"/>
      <c r="BY32" s="51"/>
      <c r="BZ32" s="51"/>
      <c r="CA32" s="51"/>
      <c r="CB32" s="51"/>
      <c r="CC32" s="51"/>
      <c r="CD32" s="51"/>
    </row>
    <row r="33" spans="1:82">
      <c r="A33" s="11"/>
      <c r="B33" s="11" t="s">
        <v>2251</v>
      </c>
      <c r="C33" s="11">
        <v>91</v>
      </c>
      <c r="D33" s="11">
        <v>85</v>
      </c>
      <c r="E33" s="11">
        <v>73</v>
      </c>
      <c r="F33" s="11">
        <v>57</v>
      </c>
      <c r="G33" s="11">
        <v>47</v>
      </c>
      <c r="H33" s="51"/>
      <c r="I33" s="51"/>
      <c r="J33" s="51"/>
      <c r="K33" s="51"/>
      <c r="L33" s="11">
        <v>42</v>
      </c>
      <c r="M33" s="51"/>
      <c r="N33" s="51"/>
      <c r="O33" s="51"/>
      <c r="P33" s="51"/>
      <c r="Q33" s="11">
        <v>43</v>
      </c>
      <c r="R33" s="51"/>
      <c r="S33" s="51"/>
      <c r="T33" s="51"/>
      <c r="U33" s="51"/>
      <c r="V33" s="11">
        <v>57</v>
      </c>
      <c r="W33" s="51"/>
      <c r="X33" s="51"/>
      <c r="Y33" s="51"/>
      <c r="Z33" s="51"/>
      <c r="AA33" s="11">
        <v>71</v>
      </c>
      <c r="AB33" s="51"/>
      <c r="AC33" s="51"/>
      <c r="AD33" s="51"/>
      <c r="AE33" s="51"/>
      <c r="AF33" s="11">
        <v>59</v>
      </c>
      <c r="AG33" s="51"/>
      <c r="AH33" s="51"/>
      <c r="AI33" s="51"/>
      <c r="AJ33" s="51"/>
      <c r="AK33" s="11">
        <v>45</v>
      </c>
      <c r="AL33" s="51"/>
      <c r="AM33" s="51"/>
      <c r="AN33" s="51"/>
      <c r="AO33" s="51"/>
      <c r="AP33" s="11">
        <v>41</v>
      </c>
      <c r="AQ33" s="51"/>
      <c r="AR33" s="51"/>
      <c r="AS33" s="51"/>
      <c r="AT33" s="51"/>
      <c r="AU33" s="11">
        <v>38</v>
      </c>
      <c r="AV33" s="51"/>
      <c r="AW33" s="51"/>
      <c r="AX33" s="51"/>
      <c r="AY33" s="51"/>
      <c r="AZ33" s="11">
        <v>37</v>
      </c>
      <c r="BA33" s="51"/>
      <c r="BB33" s="51"/>
      <c r="BC33" s="51"/>
      <c r="BD33" s="51"/>
      <c r="BE33" s="11">
        <v>42</v>
      </c>
      <c r="BF33" s="51"/>
      <c r="BG33" s="51"/>
      <c r="BH33" s="51"/>
      <c r="BI33" s="51"/>
      <c r="BJ33" s="11">
        <v>39</v>
      </c>
      <c r="BK33" s="51"/>
      <c r="BL33" s="51"/>
      <c r="BM33" s="51"/>
      <c r="BN33" s="51"/>
      <c r="BO33" s="11">
        <v>40</v>
      </c>
      <c r="BP33" s="51"/>
      <c r="BQ33" s="51"/>
      <c r="BR33" s="51"/>
      <c r="BS33" s="51"/>
      <c r="BT33" s="51"/>
      <c r="BU33" s="51"/>
      <c r="BV33" s="51"/>
      <c r="BW33" s="51"/>
      <c r="BX33" s="51"/>
      <c r="BY33" s="51"/>
      <c r="BZ33" s="51"/>
      <c r="CA33" s="51"/>
      <c r="CB33" s="51"/>
      <c r="CC33" s="51"/>
      <c r="CD33" s="51"/>
    </row>
    <row r="34" spans="1:82">
      <c r="A34" s="39" t="s">
        <v>2461</v>
      </c>
      <c r="B34" s="39"/>
      <c r="C34" s="39">
        <f>SUM(C31:C33)</f>
        <v>92</v>
      </c>
      <c r="D34" s="39">
        <f>SUM(D31:D33)</f>
        <v>114</v>
      </c>
      <c r="E34" s="39">
        <f>SUM(E31:E33)</f>
        <v>108</v>
      </c>
      <c r="F34" s="39">
        <f>SUM(F31:F33)</f>
        <v>128</v>
      </c>
      <c r="G34" s="39">
        <f>SUM(G31:G33)</f>
        <v>175</v>
      </c>
      <c r="H34" s="52"/>
      <c r="I34" s="52"/>
      <c r="J34" s="52"/>
      <c r="K34" s="52"/>
      <c r="L34" s="39">
        <f>SUM(L31:L33)</f>
        <v>178</v>
      </c>
      <c r="M34" s="52"/>
      <c r="N34" s="52"/>
      <c r="O34" s="52"/>
      <c r="P34" s="52"/>
      <c r="Q34" s="39">
        <f>SUM(Q31:Q33)</f>
        <v>195</v>
      </c>
      <c r="R34" s="52"/>
      <c r="S34" s="52"/>
      <c r="T34" s="52"/>
      <c r="U34" s="52"/>
      <c r="V34" s="39">
        <f>SUM(V31:V33)</f>
        <v>277</v>
      </c>
      <c r="W34" s="52"/>
      <c r="X34" s="52"/>
      <c r="Y34" s="52"/>
      <c r="Z34" s="52"/>
      <c r="AA34" s="39">
        <f>SUM(AA31:AA33)</f>
        <v>304</v>
      </c>
      <c r="AB34" s="52"/>
      <c r="AC34" s="52"/>
      <c r="AD34" s="52"/>
      <c r="AE34" s="52"/>
      <c r="AF34" s="39">
        <f>SUM(AF31:AF33)</f>
        <v>246</v>
      </c>
      <c r="AG34" s="52"/>
      <c r="AH34" s="52"/>
      <c r="AI34" s="52"/>
      <c r="AJ34" s="52"/>
      <c r="AK34" s="39">
        <v>190</v>
      </c>
      <c r="AL34" s="52"/>
      <c r="AM34" s="52"/>
      <c r="AN34" s="52"/>
      <c r="AO34" s="52"/>
      <c r="AP34" s="39">
        <f>SUM(AP31:AP33)</f>
        <v>202</v>
      </c>
      <c r="AQ34" s="52"/>
      <c r="AR34" s="52"/>
      <c r="AS34" s="52"/>
      <c r="AT34" s="52"/>
      <c r="AU34" s="39">
        <f>SUM(AU31:AU33)</f>
        <v>225</v>
      </c>
      <c r="AV34" s="52"/>
      <c r="AW34" s="52"/>
      <c r="AX34" s="52"/>
      <c r="AY34" s="52"/>
      <c r="AZ34" s="39">
        <f>222+5</f>
        <v>227</v>
      </c>
      <c r="BA34" s="52"/>
      <c r="BB34" s="52"/>
      <c r="BC34" s="52"/>
      <c r="BD34" s="52"/>
      <c r="BE34" s="39">
        <f>270+7</f>
        <v>277</v>
      </c>
      <c r="BF34" s="52"/>
      <c r="BG34" s="52"/>
      <c r="BH34" s="52"/>
      <c r="BI34" s="52"/>
      <c r="BJ34" s="39">
        <f>263+5</f>
        <v>268</v>
      </c>
      <c r="BK34" s="52"/>
      <c r="BL34" s="52"/>
      <c r="BM34" s="52"/>
      <c r="BN34" s="52"/>
      <c r="BO34" s="39">
        <f>SUM(BO31:BO33)</f>
        <v>251</v>
      </c>
      <c r="BP34" s="79">
        <f>BP142-BP88</f>
        <v>242.69</v>
      </c>
      <c r="BQ34" s="79">
        <f>BQ142-BQ88</f>
        <v>242.69</v>
      </c>
      <c r="BR34" s="79">
        <f>BR142-BR88</f>
        <v>242.69</v>
      </c>
      <c r="BS34" s="79">
        <f>BS142-BS88</f>
        <v>242.69</v>
      </c>
      <c r="BT34" s="39">
        <f>AVERAGE(BP34:BS34)</f>
        <v>242.69</v>
      </c>
      <c r="BU34" s="79">
        <f>BU142-BU88</f>
        <v>223.49000000000007</v>
      </c>
      <c r="BV34" s="79">
        <f>BV142-BV88</f>
        <v>223.49000000000007</v>
      </c>
      <c r="BW34" s="79">
        <f>BW142-BW88</f>
        <v>223.49000000000007</v>
      </c>
      <c r="BX34" s="79">
        <f>BX142-BX88</f>
        <v>223.49000000000007</v>
      </c>
      <c r="BY34" s="39">
        <f>AVERAGE(BU34:BX34)</f>
        <v>223.49000000000007</v>
      </c>
      <c r="BZ34" s="79">
        <f>BZ142-BZ88</f>
        <v>211.20000000000002</v>
      </c>
      <c r="CA34" s="79">
        <f>CA142-CA88</f>
        <v>211.20000000000002</v>
      </c>
      <c r="CB34" s="79">
        <f>CB142-CB88</f>
        <v>211.20000000000002</v>
      </c>
      <c r="CC34" s="79">
        <f>CC142-CC88</f>
        <v>211.20000000000002</v>
      </c>
      <c r="CD34" s="39">
        <f>AVERAGE(BZ34:CC34)</f>
        <v>211.20000000000002</v>
      </c>
    </row>
    <row r="35" spans="1:82">
      <c r="A35" s="11"/>
      <c r="B35" s="11"/>
      <c r="C35" s="11"/>
      <c r="D35" s="11"/>
      <c r="E35" s="11"/>
      <c r="F35" s="11"/>
      <c r="G35" s="11"/>
      <c r="H35" s="51"/>
      <c r="I35" s="51"/>
      <c r="J35" s="51"/>
      <c r="K35" s="51"/>
      <c r="L35" s="11"/>
      <c r="M35" s="51"/>
      <c r="N35" s="51"/>
      <c r="O35" s="51"/>
      <c r="P35" s="51"/>
      <c r="Q35" s="11"/>
      <c r="R35" s="51"/>
      <c r="S35" s="51"/>
      <c r="T35" s="51"/>
      <c r="U35" s="51"/>
      <c r="V35" s="11"/>
      <c r="W35" s="51"/>
      <c r="X35" s="51"/>
      <c r="Y35" s="51"/>
      <c r="Z35" s="51"/>
      <c r="AA35" s="11"/>
      <c r="AB35" s="51"/>
      <c r="AC35" s="51"/>
      <c r="AD35" s="51"/>
      <c r="AE35" s="51"/>
      <c r="AF35" s="11"/>
      <c r="AG35" s="51"/>
      <c r="AH35" s="51"/>
      <c r="AI35" s="51"/>
      <c r="AJ35" s="51"/>
      <c r="AK35" s="11"/>
      <c r="AL35" s="51"/>
      <c r="AM35" s="51"/>
      <c r="AN35" s="51"/>
      <c r="AO35" s="51"/>
      <c r="AP35" s="11"/>
      <c r="AQ35" s="51"/>
      <c r="AR35" s="51"/>
      <c r="AS35" s="51"/>
      <c r="AT35" s="51"/>
      <c r="AU35" s="11"/>
      <c r="AV35" s="51"/>
      <c r="AW35" s="51"/>
      <c r="AX35" s="51"/>
      <c r="AY35" s="5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</row>
    <row r="36" spans="1:82">
      <c r="A36" s="39" t="s">
        <v>2462</v>
      </c>
      <c r="B36" s="11"/>
      <c r="C36" s="11"/>
      <c r="D36" s="11"/>
      <c r="E36" s="11"/>
      <c r="F36" s="11"/>
      <c r="G36" s="11"/>
      <c r="H36" s="51"/>
      <c r="I36" s="51"/>
      <c r="J36" s="51"/>
      <c r="K36" s="51"/>
      <c r="L36" s="11"/>
      <c r="M36" s="51"/>
      <c r="N36" s="51"/>
      <c r="O36" s="51"/>
      <c r="P36" s="51"/>
      <c r="Q36" s="11"/>
      <c r="R36" s="51"/>
      <c r="S36" s="51"/>
      <c r="T36" s="51"/>
      <c r="U36" s="51"/>
      <c r="V36" s="11"/>
      <c r="W36" s="51"/>
      <c r="X36" s="51"/>
      <c r="Y36" s="51"/>
      <c r="Z36" s="51"/>
      <c r="AA36" s="11"/>
      <c r="AB36" s="51"/>
      <c r="AC36" s="51"/>
      <c r="AD36" s="51"/>
      <c r="AE36" s="51"/>
      <c r="AF36" s="11"/>
      <c r="AG36" s="51"/>
      <c r="AH36" s="51"/>
      <c r="AI36" s="51"/>
      <c r="AJ36" s="51"/>
      <c r="AK36" s="11"/>
      <c r="AL36" s="51"/>
      <c r="AM36" s="51"/>
      <c r="AN36" s="51"/>
      <c r="AO36" s="51"/>
      <c r="AP36" s="11"/>
      <c r="AQ36" s="51"/>
      <c r="AR36" s="51"/>
      <c r="AS36" s="51"/>
      <c r="AT36" s="51"/>
      <c r="AU36" s="11"/>
      <c r="AV36" s="51"/>
      <c r="AW36" s="51"/>
      <c r="AX36" s="51"/>
      <c r="AY36" s="5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</row>
    <row r="37" spans="1:82">
      <c r="A37" s="39"/>
      <c r="B37" s="11" t="s">
        <v>2502</v>
      </c>
      <c r="C37" s="11">
        <v>0</v>
      </c>
      <c r="D37" s="11">
        <v>0</v>
      </c>
      <c r="E37" s="11">
        <v>0</v>
      </c>
      <c r="F37" s="11">
        <v>0</v>
      </c>
      <c r="G37" s="11">
        <v>0</v>
      </c>
      <c r="H37" s="51"/>
      <c r="I37" s="51"/>
      <c r="J37" s="51"/>
      <c r="K37" s="51"/>
      <c r="L37" s="11">
        <v>0</v>
      </c>
      <c r="M37" s="51"/>
      <c r="N37" s="51"/>
      <c r="O37" s="51"/>
      <c r="P37" s="51"/>
      <c r="Q37" s="11">
        <v>0</v>
      </c>
      <c r="R37" s="51"/>
      <c r="S37" s="51"/>
      <c r="T37" s="51"/>
      <c r="U37" s="51"/>
      <c r="V37" s="11">
        <v>0</v>
      </c>
      <c r="W37" s="51"/>
      <c r="X37" s="51"/>
      <c r="Y37" s="51"/>
      <c r="Z37" s="51"/>
      <c r="AA37" s="11">
        <v>0</v>
      </c>
      <c r="AB37" s="51"/>
      <c r="AC37" s="51"/>
      <c r="AD37" s="51"/>
      <c r="AE37" s="51"/>
      <c r="AF37" s="11">
        <v>0</v>
      </c>
      <c r="AG37" s="51"/>
      <c r="AH37" s="51"/>
      <c r="AI37" s="51"/>
      <c r="AJ37" s="51"/>
      <c r="AK37" s="11">
        <v>0</v>
      </c>
      <c r="AL37" s="51"/>
      <c r="AM37" s="51"/>
      <c r="AN37" s="51"/>
      <c r="AO37" s="51"/>
      <c r="AP37" s="11">
        <v>0</v>
      </c>
      <c r="AQ37" s="51"/>
      <c r="AR37" s="51"/>
      <c r="AS37" s="51"/>
      <c r="AT37" s="51"/>
      <c r="AU37" s="11">
        <v>0</v>
      </c>
      <c r="AV37" s="51"/>
      <c r="AW37" s="51"/>
      <c r="AX37" s="51"/>
      <c r="AY37" s="51"/>
      <c r="AZ37" s="11">
        <v>0</v>
      </c>
      <c r="BA37" s="51"/>
      <c r="BB37" s="51"/>
      <c r="BC37" s="51"/>
      <c r="BD37" s="51"/>
      <c r="BE37" s="11">
        <v>0</v>
      </c>
      <c r="BF37" s="51"/>
      <c r="BG37" s="51"/>
      <c r="BH37" s="51"/>
      <c r="BI37" s="51"/>
      <c r="BJ37" s="11">
        <v>0</v>
      </c>
      <c r="BK37" s="51"/>
      <c r="BL37" s="51"/>
      <c r="BM37" s="51"/>
      <c r="BN37" s="51"/>
      <c r="BO37" s="11">
        <v>158</v>
      </c>
      <c r="BP37" s="51"/>
      <c r="BQ37" s="51"/>
      <c r="BR37" s="51"/>
      <c r="BS37" s="51"/>
      <c r="BT37" s="51"/>
      <c r="BU37" s="51"/>
      <c r="BV37" s="51"/>
      <c r="BW37" s="51"/>
      <c r="BX37" s="51"/>
      <c r="BY37" s="51"/>
      <c r="BZ37" s="51"/>
      <c r="CA37" s="51"/>
      <c r="CB37" s="51"/>
      <c r="CC37" s="51"/>
      <c r="CD37" s="51"/>
    </row>
    <row r="38" spans="1:82">
      <c r="A38" s="11"/>
      <c r="B38" s="11" t="s">
        <v>726</v>
      </c>
      <c r="C38" s="11">
        <v>35</v>
      </c>
      <c r="D38" s="11">
        <v>38</v>
      </c>
      <c r="E38" s="11">
        <v>38</v>
      </c>
      <c r="F38" s="11">
        <v>39</v>
      </c>
      <c r="G38" s="11">
        <v>76</v>
      </c>
      <c r="H38" s="51"/>
      <c r="I38" s="51"/>
      <c r="J38" s="51"/>
      <c r="K38" s="51"/>
      <c r="L38" s="11">
        <v>145</v>
      </c>
      <c r="M38" s="51"/>
      <c r="N38" s="51"/>
      <c r="O38" s="51"/>
      <c r="P38" s="51"/>
      <c r="Q38" s="11">
        <v>205</v>
      </c>
      <c r="R38" s="51"/>
      <c r="S38" s="51"/>
      <c r="T38" s="51"/>
      <c r="U38" s="51"/>
      <c r="V38" s="11">
        <v>105</v>
      </c>
      <c r="W38" s="51"/>
      <c r="X38" s="51"/>
      <c r="Y38" s="51"/>
      <c r="Z38" s="51"/>
      <c r="AA38" s="11">
        <v>101</v>
      </c>
      <c r="AB38" s="51"/>
      <c r="AC38" s="51"/>
      <c r="AD38" s="51"/>
      <c r="AE38" s="51"/>
      <c r="AF38" s="11">
        <v>103</v>
      </c>
      <c r="AG38" s="51"/>
      <c r="AH38" s="51"/>
      <c r="AI38" s="51"/>
      <c r="AJ38" s="51"/>
      <c r="AK38" s="11">
        <v>94</v>
      </c>
      <c r="AL38" s="51"/>
      <c r="AM38" s="51"/>
      <c r="AN38" s="51"/>
      <c r="AO38" s="51"/>
      <c r="AP38" s="11">
        <v>92</v>
      </c>
      <c r="AQ38" s="51"/>
      <c r="AR38" s="51"/>
      <c r="AS38" s="51"/>
      <c r="AT38" s="51"/>
      <c r="AU38" s="11">
        <v>96</v>
      </c>
      <c r="AV38" s="51"/>
      <c r="AW38" s="51"/>
      <c r="AX38" s="51"/>
      <c r="AY38" s="51"/>
      <c r="AZ38" s="11">
        <v>98</v>
      </c>
      <c r="BA38" s="51"/>
      <c r="BB38" s="51"/>
      <c r="BC38" s="51"/>
      <c r="BD38" s="51"/>
      <c r="BE38" s="11">
        <v>111</v>
      </c>
      <c r="BF38" s="51"/>
      <c r="BG38" s="51"/>
      <c r="BH38" s="51"/>
      <c r="BI38" s="51"/>
      <c r="BJ38" s="11">
        <v>105</v>
      </c>
      <c r="BK38" s="51"/>
      <c r="BL38" s="51"/>
      <c r="BM38" s="51"/>
      <c r="BN38" s="51"/>
      <c r="BO38" s="11">
        <v>90</v>
      </c>
      <c r="BP38" s="51"/>
      <c r="BQ38" s="51"/>
      <c r="BR38" s="51"/>
      <c r="BS38" s="51"/>
      <c r="BT38" s="51"/>
      <c r="BU38" s="51"/>
      <c r="BV38" s="51"/>
      <c r="BW38" s="51"/>
      <c r="BX38" s="51"/>
      <c r="BY38" s="51"/>
      <c r="BZ38" s="51"/>
      <c r="CA38" s="51"/>
      <c r="CB38" s="51"/>
      <c r="CC38" s="51"/>
      <c r="CD38" s="51"/>
    </row>
    <row r="39" spans="1:82">
      <c r="A39" s="11"/>
      <c r="B39" s="11" t="s">
        <v>216</v>
      </c>
      <c r="C39" s="11">
        <v>0</v>
      </c>
      <c r="D39" s="11">
        <v>0</v>
      </c>
      <c r="E39" s="11">
        <v>0</v>
      </c>
      <c r="F39" s="11">
        <v>0</v>
      </c>
      <c r="G39" s="11">
        <v>0</v>
      </c>
      <c r="H39" s="51"/>
      <c r="I39" s="51"/>
      <c r="J39" s="51"/>
      <c r="K39" s="51"/>
      <c r="L39" s="11">
        <v>0</v>
      </c>
      <c r="M39" s="51"/>
      <c r="N39" s="51"/>
      <c r="O39" s="51"/>
      <c r="P39" s="51"/>
      <c r="Q39" s="11">
        <v>0</v>
      </c>
      <c r="R39" s="51"/>
      <c r="S39" s="51"/>
      <c r="T39" s="51"/>
      <c r="U39" s="51"/>
      <c r="V39" s="11">
        <v>0</v>
      </c>
      <c r="W39" s="51"/>
      <c r="X39" s="51"/>
      <c r="Y39" s="51"/>
      <c r="Z39" s="51"/>
      <c r="AA39" s="11">
        <v>0</v>
      </c>
      <c r="AB39" s="51"/>
      <c r="AC39" s="51"/>
      <c r="AD39" s="51"/>
      <c r="AE39" s="51"/>
      <c r="AF39" s="11">
        <v>0</v>
      </c>
      <c r="AG39" s="51"/>
      <c r="AH39" s="51"/>
      <c r="AI39" s="51"/>
      <c r="AJ39" s="51"/>
      <c r="AK39" s="11">
        <v>0</v>
      </c>
      <c r="AL39" s="51"/>
      <c r="AM39" s="51"/>
      <c r="AN39" s="51"/>
      <c r="AO39" s="51"/>
      <c r="AP39" s="11">
        <v>0</v>
      </c>
      <c r="AQ39" s="51"/>
      <c r="AR39" s="51"/>
      <c r="AS39" s="51"/>
      <c r="AT39" s="51"/>
      <c r="AU39" s="11">
        <v>0</v>
      </c>
      <c r="AV39" s="51"/>
      <c r="AW39" s="51"/>
      <c r="AX39" s="51"/>
      <c r="AY39" s="51"/>
      <c r="AZ39" s="11">
        <v>0</v>
      </c>
      <c r="BA39" s="51"/>
      <c r="BB39" s="51"/>
      <c r="BC39" s="51"/>
      <c r="BD39" s="51"/>
      <c r="BE39" s="11">
        <v>0</v>
      </c>
      <c r="BF39" s="51"/>
      <c r="BG39" s="51"/>
      <c r="BH39" s="51"/>
      <c r="BI39" s="51"/>
      <c r="BJ39" s="11">
        <v>0</v>
      </c>
      <c r="BK39" s="51"/>
      <c r="BL39" s="51"/>
      <c r="BM39" s="51"/>
      <c r="BN39" s="51"/>
      <c r="BO39" s="11">
        <v>0</v>
      </c>
      <c r="BP39" s="51"/>
      <c r="BQ39" s="51"/>
      <c r="BR39" s="51"/>
      <c r="BS39" s="51"/>
      <c r="BT39" s="51"/>
      <c r="BU39" s="51"/>
      <c r="BV39" s="51"/>
      <c r="BW39" s="51"/>
      <c r="BX39" s="51"/>
      <c r="BY39" s="51"/>
      <c r="BZ39" s="51"/>
      <c r="CA39" s="51"/>
      <c r="CB39" s="51"/>
      <c r="CC39" s="51"/>
      <c r="CD39" s="51"/>
    </row>
    <row r="40" spans="1:82">
      <c r="A40" s="11"/>
      <c r="B40" s="11" t="s">
        <v>138</v>
      </c>
      <c r="C40" s="11">
        <v>0</v>
      </c>
      <c r="D40" s="11">
        <v>0</v>
      </c>
      <c r="E40" s="11">
        <v>0</v>
      </c>
      <c r="F40" s="11">
        <v>0</v>
      </c>
      <c r="G40" s="11">
        <v>0</v>
      </c>
      <c r="H40" s="51"/>
      <c r="I40" s="51"/>
      <c r="J40" s="51"/>
      <c r="K40" s="51"/>
      <c r="L40" s="11">
        <v>0</v>
      </c>
      <c r="M40" s="51"/>
      <c r="N40" s="51"/>
      <c r="O40" s="51"/>
      <c r="P40" s="51"/>
      <c r="Q40" s="11">
        <v>0</v>
      </c>
      <c r="R40" s="51"/>
      <c r="S40" s="51"/>
      <c r="T40" s="51"/>
      <c r="U40" s="51"/>
      <c r="V40" s="11">
        <v>0</v>
      </c>
      <c r="W40" s="51"/>
      <c r="X40" s="51"/>
      <c r="Y40" s="51"/>
      <c r="Z40" s="51"/>
      <c r="AA40" s="11">
        <v>0</v>
      </c>
      <c r="AB40" s="51"/>
      <c r="AC40" s="51"/>
      <c r="AD40" s="51"/>
      <c r="AE40" s="51"/>
      <c r="AF40" s="11">
        <v>0</v>
      </c>
      <c r="AG40" s="51"/>
      <c r="AH40" s="51"/>
      <c r="AI40" s="51"/>
      <c r="AJ40" s="51"/>
      <c r="AK40" s="11">
        <v>31</v>
      </c>
      <c r="AL40" s="51"/>
      <c r="AM40" s="51"/>
      <c r="AN40" s="51"/>
      <c r="AO40" s="51"/>
      <c r="AP40" s="11">
        <v>39</v>
      </c>
      <c r="AQ40" s="51"/>
      <c r="AR40" s="51"/>
      <c r="AS40" s="51"/>
      <c r="AT40" s="51"/>
      <c r="AU40" s="11">
        <v>39</v>
      </c>
      <c r="AV40" s="51"/>
      <c r="AW40" s="51"/>
      <c r="AX40" s="51"/>
      <c r="AY40" s="51"/>
      <c r="AZ40" s="11">
        <v>46</v>
      </c>
      <c r="BA40" s="51"/>
      <c r="BB40" s="51"/>
      <c r="BC40" s="51"/>
      <c r="BD40" s="51"/>
      <c r="BE40" s="11">
        <v>85</v>
      </c>
      <c r="BF40" s="51"/>
      <c r="BG40" s="51"/>
      <c r="BH40" s="51"/>
      <c r="BI40" s="51"/>
      <c r="BJ40" s="11">
        <v>96</v>
      </c>
      <c r="BK40" s="51"/>
      <c r="BL40" s="51"/>
      <c r="BM40" s="51"/>
      <c r="BN40" s="51"/>
      <c r="BO40" s="11">
        <v>73</v>
      </c>
      <c r="BP40" s="51"/>
      <c r="BQ40" s="51"/>
      <c r="BR40" s="51"/>
      <c r="BS40" s="51"/>
      <c r="BT40" s="51"/>
      <c r="BU40" s="51"/>
      <c r="BV40" s="51"/>
      <c r="BW40" s="51"/>
      <c r="BX40" s="51"/>
      <c r="BY40" s="51"/>
      <c r="BZ40" s="51"/>
      <c r="CA40" s="51"/>
      <c r="CB40" s="51"/>
      <c r="CC40" s="51"/>
      <c r="CD40" s="51"/>
    </row>
    <row r="41" spans="1:82">
      <c r="A41" s="11"/>
      <c r="B41" s="11" t="s">
        <v>816</v>
      </c>
      <c r="C41" s="11">
        <v>0</v>
      </c>
      <c r="D41" s="11">
        <v>0</v>
      </c>
      <c r="E41" s="11">
        <v>0</v>
      </c>
      <c r="F41" s="11">
        <v>0</v>
      </c>
      <c r="G41" s="11">
        <v>0</v>
      </c>
      <c r="H41" s="51"/>
      <c r="I41" s="51"/>
      <c r="J41" s="51"/>
      <c r="K41" s="51"/>
      <c r="L41" s="11">
        <v>0</v>
      </c>
      <c r="M41" s="51"/>
      <c r="N41" s="51"/>
      <c r="O41" s="51"/>
      <c r="P41" s="51"/>
      <c r="Q41" s="11">
        <v>0</v>
      </c>
      <c r="R41" s="51"/>
      <c r="S41" s="51"/>
      <c r="T41" s="51"/>
      <c r="U41" s="51"/>
      <c r="V41" s="11">
        <v>0</v>
      </c>
      <c r="W41" s="51"/>
      <c r="X41" s="51"/>
      <c r="Y41" s="51"/>
      <c r="Z41" s="51"/>
      <c r="AA41" s="11">
        <v>0</v>
      </c>
      <c r="AB41" s="51"/>
      <c r="AC41" s="51"/>
      <c r="AD41" s="51"/>
      <c r="AE41" s="51"/>
      <c r="AF41" s="11">
        <v>0</v>
      </c>
      <c r="AG41" s="51"/>
      <c r="AH41" s="51"/>
      <c r="AI41" s="51"/>
      <c r="AJ41" s="51"/>
      <c r="AK41" s="11">
        <v>0</v>
      </c>
      <c r="AL41" s="51"/>
      <c r="AM41" s="51"/>
      <c r="AN41" s="51"/>
      <c r="AO41" s="51"/>
      <c r="AP41" s="11">
        <v>0</v>
      </c>
      <c r="AQ41" s="51"/>
      <c r="AR41" s="51"/>
      <c r="AS41" s="51"/>
      <c r="AT41" s="51"/>
      <c r="AU41" s="11">
        <v>0</v>
      </c>
      <c r="AV41" s="51"/>
      <c r="AW41" s="51"/>
      <c r="AX41" s="51"/>
      <c r="AY41" s="51"/>
      <c r="AZ41" s="11">
        <v>0</v>
      </c>
      <c r="BA41" s="51"/>
      <c r="BB41" s="51"/>
      <c r="BC41" s="51"/>
      <c r="BD41" s="51"/>
      <c r="BE41" s="11">
        <v>0</v>
      </c>
      <c r="BF41" s="51"/>
      <c r="BG41" s="51"/>
      <c r="BH41" s="51"/>
      <c r="BI41" s="51"/>
      <c r="BJ41" s="11">
        <v>0</v>
      </c>
      <c r="BK41" s="51"/>
      <c r="BL41" s="51"/>
      <c r="BM41" s="51"/>
      <c r="BN41" s="51"/>
      <c r="BO41" s="11">
        <v>0</v>
      </c>
      <c r="BP41" s="51"/>
      <c r="BQ41" s="51"/>
      <c r="BR41" s="51"/>
      <c r="BS41" s="51"/>
      <c r="BT41" s="51"/>
      <c r="BU41" s="51"/>
      <c r="BV41" s="51"/>
      <c r="BW41" s="51"/>
      <c r="BX41" s="51"/>
      <c r="BY41" s="51"/>
      <c r="BZ41" s="51"/>
      <c r="CA41" s="51"/>
      <c r="CB41" s="51"/>
      <c r="CC41" s="51"/>
      <c r="CD41" s="51"/>
    </row>
    <row r="42" spans="1:82">
      <c r="A42" s="11"/>
      <c r="B42" s="11" t="s">
        <v>1962</v>
      </c>
      <c r="C42" s="11">
        <v>0</v>
      </c>
      <c r="D42" s="11">
        <v>0</v>
      </c>
      <c r="E42" s="11">
        <v>0</v>
      </c>
      <c r="F42" s="11">
        <v>0</v>
      </c>
      <c r="G42" s="11">
        <v>0</v>
      </c>
      <c r="H42" s="51"/>
      <c r="I42" s="51"/>
      <c r="J42" s="51"/>
      <c r="K42" s="51"/>
      <c r="L42" s="11">
        <v>0</v>
      </c>
      <c r="M42" s="51"/>
      <c r="N42" s="51"/>
      <c r="O42" s="51"/>
      <c r="P42" s="51"/>
      <c r="Q42" s="11">
        <v>0</v>
      </c>
      <c r="R42" s="51"/>
      <c r="S42" s="51"/>
      <c r="T42" s="51"/>
      <c r="U42" s="51"/>
      <c r="V42" s="11">
        <v>0</v>
      </c>
      <c r="W42" s="51"/>
      <c r="X42" s="51"/>
      <c r="Y42" s="51"/>
      <c r="Z42" s="51"/>
      <c r="AA42" s="11">
        <v>0</v>
      </c>
      <c r="AB42" s="51"/>
      <c r="AC42" s="51"/>
      <c r="AD42" s="51"/>
      <c r="AE42" s="51"/>
      <c r="AF42" s="11">
        <v>0</v>
      </c>
      <c r="AG42" s="51"/>
      <c r="AH42" s="51"/>
      <c r="AI42" s="51"/>
      <c r="AJ42" s="51"/>
      <c r="AK42" s="11">
        <v>0</v>
      </c>
      <c r="AL42" s="51"/>
      <c r="AM42" s="51"/>
      <c r="AN42" s="51"/>
      <c r="AO42" s="51"/>
      <c r="AP42" s="11">
        <v>0</v>
      </c>
      <c r="AQ42" s="51"/>
      <c r="AR42" s="51"/>
      <c r="AS42" s="51"/>
      <c r="AT42" s="51"/>
      <c r="AU42" s="11">
        <v>0</v>
      </c>
      <c r="AV42" s="51"/>
      <c r="AW42" s="51"/>
      <c r="AX42" s="51"/>
      <c r="AY42" s="51"/>
      <c r="AZ42" s="11">
        <v>0</v>
      </c>
      <c r="BA42" s="51"/>
      <c r="BB42" s="51"/>
      <c r="BC42" s="51"/>
      <c r="BD42" s="51"/>
      <c r="BE42" s="11">
        <v>0</v>
      </c>
      <c r="BF42" s="51"/>
      <c r="BG42" s="51"/>
      <c r="BH42" s="51"/>
      <c r="BI42" s="51"/>
      <c r="BJ42" s="11">
        <v>0</v>
      </c>
      <c r="BK42" s="51"/>
      <c r="BL42" s="51"/>
      <c r="BM42" s="51"/>
      <c r="BN42" s="51"/>
      <c r="BO42" s="11">
        <v>0</v>
      </c>
      <c r="BP42" s="51"/>
      <c r="BQ42" s="51"/>
      <c r="BR42" s="51"/>
      <c r="BS42" s="51"/>
      <c r="BT42" s="51"/>
      <c r="BU42" s="51"/>
      <c r="BV42" s="51"/>
      <c r="BW42" s="51"/>
      <c r="BX42" s="51"/>
      <c r="BY42" s="51"/>
      <c r="BZ42" s="51"/>
      <c r="CA42" s="51"/>
      <c r="CB42" s="51"/>
      <c r="CC42" s="51"/>
      <c r="CD42" s="51"/>
    </row>
    <row r="43" spans="1:82">
      <c r="A43" s="11"/>
      <c r="B43" s="11" t="s">
        <v>3277</v>
      </c>
      <c r="C43" s="11">
        <v>0</v>
      </c>
      <c r="D43" s="11">
        <v>0</v>
      </c>
      <c r="E43" s="11">
        <v>0</v>
      </c>
      <c r="F43" s="11">
        <v>0</v>
      </c>
      <c r="G43" s="11">
        <v>0</v>
      </c>
      <c r="H43" s="51"/>
      <c r="I43" s="51"/>
      <c r="J43" s="51"/>
      <c r="K43" s="51"/>
      <c r="L43" s="11">
        <v>0</v>
      </c>
      <c r="M43" s="51"/>
      <c r="N43" s="51"/>
      <c r="O43" s="51"/>
      <c r="P43" s="51"/>
      <c r="Q43" s="11">
        <v>0</v>
      </c>
      <c r="R43" s="51"/>
      <c r="S43" s="51"/>
      <c r="T43" s="51"/>
      <c r="U43" s="51"/>
      <c r="V43" s="11">
        <v>0</v>
      </c>
      <c r="W43" s="51"/>
      <c r="X43" s="51"/>
      <c r="Y43" s="51"/>
      <c r="Z43" s="51"/>
      <c r="AA43" s="11">
        <v>0</v>
      </c>
      <c r="AB43" s="51"/>
      <c r="AC43" s="51"/>
      <c r="AD43" s="51"/>
      <c r="AE43" s="51"/>
      <c r="AF43" s="11">
        <v>0</v>
      </c>
      <c r="AG43" s="51"/>
      <c r="AH43" s="51"/>
      <c r="AI43" s="51"/>
      <c r="AJ43" s="51"/>
      <c r="AK43" s="11">
        <v>0</v>
      </c>
      <c r="AL43" s="51"/>
      <c r="AM43" s="51"/>
      <c r="AN43" s="51"/>
      <c r="AO43" s="51"/>
      <c r="AP43" s="11">
        <v>0</v>
      </c>
      <c r="AQ43" s="51"/>
      <c r="AR43" s="51"/>
      <c r="AS43" s="51"/>
      <c r="AT43" s="51"/>
      <c r="AU43" s="11">
        <v>0</v>
      </c>
      <c r="AV43" s="51"/>
      <c r="AW43" s="51"/>
      <c r="AX43" s="51"/>
      <c r="AY43" s="51"/>
      <c r="AZ43" s="11">
        <v>0</v>
      </c>
      <c r="BA43" s="51"/>
      <c r="BB43" s="51"/>
      <c r="BC43" s="51"/>
      <c r="BD43" s="51"/>
      <c r="BE43" s="11">
        <v>0</v>
      </c>
      <c r="BF43" s="51"/>
      <c r="BG43" s="51"/>
      <c r="BH43" s="51"/>
      <c r="BI43" s="51"/>
      <c r="BJ43" s="11">
        <v>0</v>
      </c>
      <c r="BK43" s="51"/>
      <c r="BL43" s="51"/>
      <c r="BM43" s="51"/>
      <c r="BN43" s="51"/>
      <c r="BO43" s="11">
        <v>2</v>
      </c>
      <c r="BP43" s="51"/>
      <c r="BQ43" s="51"/>
      <c r="BR43" s="51"/>
      <c r="BS43" s="51"/>
      <c r="BT43" s="51"/>
      <c r="BU43" s="51"/>
      <c r="BV43" s="51"/>
      <c r="BW43" s="51"/>
      <c r="BX43" s="51"/>
      <c r="BY43" s="51"/>
      <c r="BZ43" s="51"/>
      <c r="CA43" s="51"/>
      <c r="CB43" s="51"/>
      <c r="CC43" s="51"/>
      <c r="CD43" s="51"/>
    </row>
    <row r="44" spans="1:82">
      <c r="A44" s="11"/>
      <c r="B44" s="11" t="s">
        <v>3278</v>
      </c>
      <c r="C44" s="11">
        <v>0</v>
      </c>
      <c r="D44" s="11">
        <v>0</v>
      </c>
      <c r="E44" s="11">
        <v>0</v>
      </c>
      <c r="F44" s="11">
        <v>0</v>
      </c>
      <c r="G44" s="11">
        <v>0</v>
      </c>
      <c r="H44" s="51"/>
      <c r="I44" s="51"/>
      <c r="J44" s="51"/>
      <c r="K44" s="51"/>
      <c r="L44" s="11">
        <v>0</v>
      </c>
      <c r="M44" s="51"/>
      <c r="N44" s="51"/>
      <c r="O44" s="51"/>
      <c r="P44" s="51"/>
      <c r="Q44" s="11">
        <v>0</v>
      </c>
      <c r="R44" s="51"/>
      <c r="S44" s="51"/>
      <c r="T44" s="51"/>
      <c r="U44" s="51"/>
      <c r="V44" s="11">
        <v>0</v>
      </c>
      <c r="W44" s="51"/>
      <c r="X44" s="51"/>
      <c r="Y44" s="51"/>
      <c r="Z44" s="51"/>
      <c r="AA44" s="11">
        <v>0</v>
      </c>
      <c r="AB44" s="51"/>
      <c r="AC44" s="51"/>
      <c r="AD44" s="51"/>
      <c r="AE44" s="51"/>
      <c r="AF44" s="11">
        <v>0</v>
      </c>
      <c r="AG44" s="51"/>
      <c r="AH44" s="51"/>
      <c r="AI44" s="51"/>
      <c r="AJ44" s="51"/>
      <c r="AK44" s="11">
        <v>0</v>
      </c>
      <c r="AL44" s="51"/>
      <c r="AM44" s="51"/>
      <c r="AN44" s="51"/>
      <c r="AO44" s="51"/>
      <c r="AP44" s="11">
        <v>0</v>
      </c>
      <c r="AQ44" s="51"/>
      <c r="AR44" s="51"/>
      <c r="AS44" s="51"/>
      <c r="AT44" s="51"/>
      <c r="AU44" s="11">
        <v>0</v>
      </c>
      <c r="AV44" s="51"/>
      <c r="AW44" s="51"/>
      <c r="AX44" s="51"/>
      <c r="AY44" s="51"/>
      <c r="AZ44" s="11">
        <v>0</v>
      </c>
      <c r="BA44" s="51"/>
      <c r="BB44" s="51"/>
      <c r="BC44" s="51"/>
      <c r="BD44" s="51"/>
      <c r="BE44" s="11">
        <v>0</v>
      </c>
      <c r="BF44" s="51"/>
      <c r="BG44" s="51"/>
      <c r="BH44" s="51"/>
      <c r="BI44" s="51"/>
      <c r="BJ44" s="11">
        <v>0</v>
      </c>
      <c r="BK44" s="51"/>
      <c r="BL44" s="51"/>
      <c r="BM44" s="51"/>
      <c r="BN44" s="51"/>
      <c r="BO44" s="11">
        <v>0</v>
      </c>
      <c r="BP44" s="51"/>
      <c r="BQ44" s="51"/>
      <c r="BR44" s="51"/>
      <c r="BS44" s="51"/>
      <c r="BT44" s="51"/>
      <c r="BU44" s="51"/>
      <c r="BV44" s="51"/>
      <c r="BW44" s="51"/>
      <c r="BX44" s="51"/>
      <c r="BY44" s="51"/>
      <c r="BZ44" s="51"/>
      <c r="CA44" s="51"/>
      <c r="CB44" s="51"/>
      <c r="CC44" s="51"/>
      <c r="CD44" s="51"/>
    </row>
    <row r="45" spans="1:82">
      <c r="A45" s="47"/>
      <c r="B45" s="47" t="s">
        <v>1703</v>
      </c>
      <c r="C45" s="11">
        <v>0</v>
      </c>
      <c r="D45" s="11">
        <v>0</v>
      </c>
      <c r="E45" s="11">
        <v>0</v>
      </c>
      <c r="F45" s="11">
        <v>0</v>
      </c>
      <c r="G45" s="11">
        <v>0</v>
      </c>
      <c r="H45" s="51"/>
      <c r="I45" s="51"/>
      <c r="J45" s="51"/>
      <c r="K45" s="51"/>
      <c r="L45" s="11">
        <v>0</v>
      </c>
      <c r="M45" s="51"/>
      <c r="N45" s="51"/>
      <c r="O45" s="51"/>
      <c r="P45" s="51"/>
      <c r="Q45" s="11">
        <v>0</v>
      </c>
      <c r="R45" s="51"/>
      <c r="S45" s="51"/>
      <c r="T45" s="51"/>
      <c r="U45" s="51"/>
      <c r="V45" s="11">
        <v>0</v>
      </c>
      <c r="W45" s="51"/>
      <c r="X45" s="51"/>
      <c r="Y45" s="51"/>
      <c r="Z45" s="51"/>
      <c r="AA45" s="11">
        <v>0</v>
      </c>
      <c r="AB45" s="51"/>
      <c r="AC45" s="51"/>
      <c r="AD45" s="51"/>
      <c r="AE45" s="51"/>
      <c r="AF45" s="11">
        <v>0</v>
      </c>
      <c r="AG45" s="51"/>
      <c r="AH45" s="51"/>
      <c r="AI45" s="51"/>
      <c r="AJ45" s="51"/>
      <c r="AK45" s="11">
        <v>0</v>
      </c>
      <c r="AL45" s="51"/>
      <c r="AM45" s="51"/>
      <c r="AN45" s="51"/>
      <c r="AO45" s="51"/>
      <c r="AP45" s="11">
        <v>0</v>
      </c>
      <c r="AQ45" s="51"/>
      <c r="AR45" s="51"/>
      <c r="AS45" s="51"/>
      <c r="AT45" s="51"/>
      <c r="AU45" s="11">
        <v>0</v>
      </c>
      <c r="AV45" s="51"/>
      <c r="AW45" s="51"/>
      <c r="AX45" s="51"/>
      <c r="AY45" s="51"/>
      <c r="AZ45" s="11">
        <v>0</v>
      </c>
      <c r="BA45" s="51"/>
      <c r="BB45" s="51"/>
      <c r="BC45" s="51"/>
      <c r="BD45" s="51"/>
      <c r="BE45" s="11">
        <v>0</v>
      </c>
      <c r="BF45" s="51"/>
      <c r="BG45" s="51"/>
      <c r="BH45" s="51"/>
      <c r="BI45" s="51"/>
      <c r="BJ45" s="11">
        <v>0</v>
      </c>
      <c r="BK45" s="51"/>
      <c r="BL45" s="51"/>
      <c r="BM45" s="51"/>
      <c r="BN45" s="51"/>
      <c r="BO45" s="11">
        <v>0</v>
      </c>
      <c r="BP45" s="51"/>
      <c r="BQ45" s="51"/>
      <c r="BR45" s="51"/>
      <c r="BS45" s="51"/>
      <c r="BT45" s="51"/>
      <c r="BU45" s="51"/>
      <c r="BV45" s="51"/>
      <c r="BW45" s="51"/>
      <c r="BX45" s="51"/>
      <c r="BY45" s="51"/>
      <c r="BZ45" s="51"/>
      <c r="CA45" s="51"/>
      <c r="CB45" s="51"/>
      <c r="CC45" s="51"/>
      <c r="CD45" s="51"/>
    </row>
    <row r="46" spans="1:82">
      <c r="A46" s="47"/>
      <c r="B46" s="47" t="s">
        <v>1961</v>
      </c>
      <c r="C46" s="11">
        <v>0</v>
      </c>
      <c r="D46" s="11">
        <v>0</v>
      </c>
      <c r="E46" s="11">
        <v>0</v>
      </c>
      <c r="F46" s="11">
        <v>0</v>
      </c>
      <c r="G46" s="11">
        <v>0</v>
      </c>
      <c r="H46" s="51"/>
      <c r="I46" s="51"/>
      <c r="J46" s="51"/>
      <c r="K46" s="51"/>
      <c r="L46" s="11">
        <v>0</v>
      </c>
      <c r="M46" s="51"/>
      <c r="N46" s="51"/>
      <c r="O46" s="51"/>
      <c r="P46" s="51"/>
      <c r="Q46" s="11">
        <v>0</v>
      </c>
      <c r="R46" s="51"/>
      <c r="S46" s="51"/>
      <c r="T46" s="51"/>
      <c r="U46" s="51"/>
      <c r="V46" s="11">
        <v>0</v>
      </c>
      <c r="W46" s="51"/>
      <c r="X46" s="51"/>
      <c r="Y46" s="51"/>
      <c r="Z46" s="51"/>
      <c r="AA46" s="11">
        <v>0</v>
      </c>
      <c r="AB46" s="51"/>
      <c r="AC46" s="51"/>
      <c r="AD46" s="51"/>
      <c r="AE46" s="51"/>
      <c r="AF46" s="11">
        <v>0</v>
      </c>
      <c r="AG46" s="51"/>
      <c r="AH46" s="51"/>
      <c r="AI46" s="51"/>
      <c r="AJ46" s="51"/>
      <c r="AK46" s="11">
        <v>0</v>
      </c>
      <c r="AL46" s="51"/>
      <c r="AM46" s="51"/>
      <c r="AN46" s="51"/>
      <c r="AO46" s="51"/>
      <c r="AP46" s="11">
        <v>0</v>
      </c>
      <c r="AQ46" s="51"/>
      <c r="AR46" s="51"/>
      <c r="AS46" s="51"/>
      <c r="AT46" s="51"/>
      <c r="AU46" s="11">
        <v>0</v>
      </c>
      <c r="AV46" s="51"/>
      <c r="AW46" s="51"/>
      <c r="AX46" s="51"/>
      <c r="AY46" s="51"/>
      <c r="AZ46" s="11">
        <v>0</v>
      </c>
      <c r="BA46" s="51"/>
      <c r="BB46" s="51"/>
      <c r="BC46" s="51"/>
      <c r="BD46" s="51"/>
      <c r="BE46" s="11">
        <v>0</v>
      </c>
      <c r="BF46" s="51"/>
      <c r="BG46" s="51"/>
      <c r="BH46" s="51"/>
      <c r="BI46" s="51"/>
      <c r="BJ46" s="11">
        <v>0</v>
      </c>
      <c r="BK46" s="51"/>
      <c r="BL46" s="51"/>
      <c r="BM46" s="51"/>
      <c r="BN46" s="51"/>
      <c r="BO46" s="11">
        <v>0</v>
      </c>
      <c r="BP46" s="51"/>
      <c r="BQ46" s="51"/>
      <c r="BR46" s="51"/>
      <c r="BS46" s="51"/>
      <c r="BT46" s="51"/>
      <c r="BU46" s="51"/>
      <c r="BV46" s="51"/>
      <c r="BW46" s="51"/>
      <c r="BX46" s="51"/>
      <c r="BY46" s="51"/>
      <c r="BZ46" s="51"/>
      <c r="CA46" s="51"/>
      <c r="CB46" s="51"/>
      <c r="CC46" s="51"/>
      <c r="CD46" s="51"/>
    </row>
    <row r="47" spans="1:82">
      <c r="A47" s="11"/>
      <c r="B47" s="11" t="s">
        <v>3399</v>
      </c>
      <c r="C47" s="11">
        <v>0</v>
      </c>
      <c r="D47" s="11">
        <v>0</v>
      </c>
      <c r="E47" s="11">
        <v>0</v>
      </c>
      <c r="F47" s="11">
        <v>0</v>
      </c>
      <c r="G47" s="11">
        <v>0</v>
      </c>
      <c r="H47" s="51"/>
      <c r="I47" s="51"/>
      <c r="J47" s="51"/>
      <c r="K47" s="51"/>
      <c r="L47" s="11">
        <v>8</v>
      </c>
      <c r="M47" s="51"/>
      <c r="N47" s="51"/>
      <c r="O47" s="51"/>
      <c r="P47" s="51"/>
      <c r="Q47" s="11">
        <v>7</v>
      </c>
      <c r="R47" s="51"/>
      <c r="S47" s="51"/>
      <c r="T47" s="51"/>
      <c r="U47" s="51"/>
      <c r="V47" s="11">
        <v>7</v>
      </c>
      <c r="W47" s="51"/>
      <c r="X47" s="51"/>
      <c r="Y47" s="51"/>
      <c r="Z47" s="51"/>
      <c r="AA47" s="11">
        <v>5</v>
      </c>
      <c r="AB47" s="51"/>
      <c r="AC47" s="51"/>
      <c r="AD47" s="51"/>
      <c r="AE47" s="51"/>
      <c r="AF47" s="11">
        <v>2</v>
      </c>
      <c r="AG47" s="51"/>
      <c r="AH47" s="51"/>
      <c r="AI47" s="51"/>
      <c r="AJ47" s="51"/>
      <c r="AK47" s="11">
        <v>2</v>
      </c>
      <c r="AL47" s="51"/>
      <c r="AM47" s="51"/>
      <c r="AN47" s="51"/>
      <c r="AO47" s="51"/>
      <c r="AP47" s="11">
        <v>1</v>
      </c>
      <c r="AQ47" s="51"/>
      <c r="AR47" s="51"/>
      <c r="AS47" s="51"/>
      <c r="AT47" s="51"/>
      <c r="AU47" s="11">
        <v>1</v>
      </c>
      <c r="AV47" s="51"/>
      <c r="AW47" s="51"/>
      <c r="AX47" s="51"/>
      <c r="AY47" s="51"/>
      <c r="AZ47" s="11">
        <v>2</v>
      </c>
      <c r="BA47" s="51"/>
      <c r="BB47" s="51"/>
      <c r="BC47" s="51"/>
      <c r="BD47" s="51"/>
      <c r="BE47" s="11">
        <v>2</v>
      </c>
      <c r="BF47" s="51"/>
      <c r="BG47" s="51"/>
      <c r="BH47" s="51"/>
      <c r="BI47" s="51"/>
      <c r="BJ47" s="11">
        <v>2</v>
      </c>
      <c r="BK47" s="51"/>
      <c r="BL47" s="51"/>
      <c r="BM47" s="51"/>
      <c r="BN47" s="51"/>
      <c r="BO47" s="11">
        <v>0</v>
      </c>
      <c r="BP47" s="51"/>
      <c r="BQ47" s="51"/>
      <c r="BR47" s="51"/>
      <c r="BS47" s="51"/>
      <c r="BT47" s="51"/>
      <c r="BU47" s="51"/>
      <c r="BV47" s="51"/>
      <c r="BW47" s="51"/>
      <c r="BX47" s="51"/>
      <c r="BY47" s="51"/>
      <c r="BZ47" s="51"/>
      <c r="CA47" s="51"/>
      <c r="CB47" s="51"/>
      <c r="CC47" s="51"/>
      <c r="CD47" s="51"/>
    </row>
    <row r="48" spans="1:82">
      <c r="A48" s="11"/>
      <c r="B48" s="11" t="s">
        <v>3400</v>
      </c>
      <c r="C48" s="11">
        <v>59</v>
      </c>
      <c r="D48" s="11">
        <v>61</v>
      </c>
      <c r="E48" s="11">
        <v>49</v>
      </c>
      <c r="F48" s="11">
        <v>31</v>
      </c>
      <c r="G48" s="11">
        <v>26</v>
      </c>
      <c r="H48" s="51"/>
      <c r="I48" s="51"/>
      <c r="J48" s="51"/>
      <c r="K48" s="51"/>
      <c r="L48" s="11">
        <v>17</v>
      </c>
      <c r="M48" s="51"/>
      <c r="N48" s="51"/>
      <c r="O48" s="51"/>
      <c r="P48" s="51"/>
      <c r="Q48" s="11">
        <v>16</v>
      </c>
      <c r="R48" s="51"/>
      <c r="S48" s="51"/>
      <c r="T48" s="51"/>
      <c r="U48" s="51"/>
      <c r="V48" s="11">
        <v>16</v>
      </c>
      <c r="W48" s="51"/>
      <c r="X48" s="51"/>
      <c r="Y48" s="51"/>
      <c r="Z48" s="51"/>
      <c r="AA48" s="11">
        <v>17</v>
      </c>
      <c r="AB48" s="51"/>
      <c r="AC48" s="51"/>
      <c r="AD48" s="51"/>
      <c r="AE48" s="51"/>
      <c r="AF48" s="11">
        <v>14</v>
      </c>
      <c r="AG48" s="51"/>
      <c r="AH48" s="51"/>
      <c r="AI48" s="51"/>
      <c r="AJ48" s="51"/>
      <c r="AK48" s="11">
        <v>11</v>
      </c>
      <c r="AL48" s="51"/>
      <c r="AM48" s="51"/>
      <c r="AN48" s="51"/>
      <c r="AO48" s="51"/>
      <c r="AP48" s="11">
        <v>7</v>
      </c>
      <c r="AQ48" s="51"/>
      <c r="AR48" s="51"/>
      <c r="AS48" s="51"/>
      <c r="AT48" s="51"/>
      <c r="AU48" s="11">
        <v>5</v>
      </c>
      <c r="AV48" s="51"/>
      <c r="AW48" s="51"/>
      <c r="AX48" s="51"/>
      <c r="AY48" s="51"/>
      <c r="AZ48" s="11">
        <v>2</v>
      </c>
      <c r="BA48" s="51"/>
      <c r="BB48" s="51"/>
      <c r="BC48" s="51"/>
      <c r="BD48" s="51"/>
      <c r="BE48" s="11">
        <v>1</v>
      </c>
      <c r="BF48" s="51"/>
      <c r="BG48" s="51"/>
      <c r="BH48" s="51"/>
      <c r="BI48" s="51"/>
      <c r="BJ48" s="11">
        <v>1</v>
      </c>
      <c r="BK48" s="51"/>
      <c r="BL48" s="51"/>
      <c r="BM48" s="51"/>
      <c r="BN48" s="51"/>
      <c r="BO48" s="11">
        <v>1</v>
      </c>
      <c r="BP48" s="51"/>
      <c r="BQ48" s="51"/>
      <c r="BR48" s="51"/>
      <c r="BS48" s="51"/>
      <c r="BT48" s="51"/>
      <c r="BU48" s="51"/>
      <c r="BV48" s="51"/>
      <c r="BW48" s="51"/>
      <c r="BX48" s="51"/>
      <c r="BY48" s="51"/>
      <c r="BZ48" s="51"/>
      <c r="CA48" s="51"/>
      <c r="CB48" s="51"/>
      <c r="CC48" s="51"/>
      <c r="CD48" s="51"/>
    </row>
    <row r="49" spans="1:82">
      <c r="A49" s="39" t="s">
        <v>3401</v>
      </c>
      <c r="B49" s="39"/>
      <c r="C49" s="39">
        <f>SUM(C37:C48)</f>
        <v>94</v>
      </c>
      <c r="D49" s="39">
        <f>SUM(D37:D48)</f>
        <v>99</v>
      </c>
      <c r="E49" s="39">
        <f>SUM(E37:E48)</f>
        <v>87</v>
      </c>
      <c r="F49" s="39">
        <f>SUM(F37:F48)</f>
        <v>70</v>
      </c>
      <c r="G49" s="39">
        <f>SUM(G37:G48)</f>
        <v>102</v>
      </c>
      <c r="H49" s="52"/>
      <c r="I49" s="52"/>
      <c r="J49" s="52"/>
      <c r="K49" s="52"/>
      <c r="L49" s="39">
        <f>SUM(L37:L48)</f>
        <v>170</v>
      </c>
      <c r="M49" s="52"/>
      <c r="N49" s="52"/>
      <c r="O49" s="52"/>
      <c r="P49" s="52"/>
      <c r="Q49" s="39">
        <f>SUM(Q37:Q48)</f>
        <v>228</v>
      </c>
      <c r="R49" s="52"/>
      <c r="S49" s="52"/>
      <c r="T49" s="52"/>
      <c r="U49" s="52"/>
      <c r="V49" s="39">
        <f>SUM(V37:V48)</f>
        <v>128</v>
      </c>
      <c r="W49" s="52"/>
      <c r="X49" s="52"/>
      <c r="Y49" s="52"/>
      <c r="Z49" s="52"/>
      <c r="AA49" s="39">
        <f>SUM(AA37:AA48)</f>
        <v>123</v>
      </c>
      <c r="AB49" s="52"/>
      <c r="AC49" s="52"/>
      <c r="AD49" s="52"/>
      <c r="AE49" s="52"/>
      <c r="AF49" s="39">
        <f>SUM(AF37:AF48)</f>
        <v>119</v>
      </c>
      <c r="AG49" s="52"/>
      <c r="AH49" s="52"/>
      <c r="AI49" s="52"/>
      <c r="AJ49" s="52"/>
      <c r="AK49" s="39">
        <f>SUM(AK37:AK48)</f>
        <v>138</v>
      </c>
      <c r="AL49" s="52"/>
      <c r="AM49" s="52"/>
      <c r="AN49" s="52"/>
      <c r="AO49" s="52"/>
      <c r="AP49" s="39">
        <f>SUM(AP37:AP48)</f>
        <v>139</v>
      </c>
      <c r="AQ49" s="52"/>
      <c r="AR49" s="52"/>
      <c r="AS49" s="52"/>
      <c r="AT49" s="52"/>
      <c r="AU49" s="39">
        <v>141</v>
      </c>
      <c r="AV49" s="52"/>
      <c r="AW49" s="52"/>
      <c r="AX49" s="52"/>
      <c r="AY49" s="52"/>
      <c r="AZ49" s="39">
        <v>147</v>
      </c>
      <c r="BA49" s="51"/>
      <c r="BB49" s="51"/>
      <c r="BC49" s="51"/>
      <c r="BD49" s="51"/>
      <c r="BE49" s="39">
        <f>199+1</f>
        <v>200</v>
      </c>
      <c r="BF49" s="51"/>
      <c r="BG49" s="51"/>
      <c r="BH49" s="51"/>
      <c r="BI49" s="51"/>
      <c r="BJ49" s="39">
        <f>204+0</f>
        <v>204</v>
      </c>
      <c r="BK49" s="51"/>
      <c r="BL49" s="51"/>
      <c r="BM49" s="51"/>
      <c r="BN49" s="51"/>
      <c r="BO49" s="39">
        <v>325</v>
      </c>
      <c r="BP49" s="79">
        <f>BP157-BP103</f>
        <v>355.40999999999985</v>
      </c>
      <c r="BQ49" s="79">
        <f>BQ157-BQ103</f>
        <v>355.40999999999985</v>
      </c>
      <c r="BR49" s="79">
        <f>BR157-BR103</f>
        <v>355.40999999999985</v>
      </c>
      <c r="BS49" s="79">
        <f>BS157-BS103</f>
        <v>355.40999999999985</v>
      </c>
      <c r="BT49" s="39">
        <f>AVERAGE(BP49:BS49)</f>
        <v>355.40999999999985</v>
      </c>
      <c r="BU49" s="79">
        <f>BU157-BU103</f>
        <v>385.5200000000001</v>
      </c>
      <c r="BV49" s="79">
        <f>BV157-BV103</f>
        <v>385.5200000000001</v>
      </c>
      <c r="BW49" s="79">
        <f>BW157-BW103</f>
        <v>385.5200000000001</v>
      </c>
      <c r="BX49" s="79">
        <f>BX157-BX103</f>
        <v>385.5200000000001</v>
      </c>
      <c r="BY49" s="39">
        <f>AVERAGE(BU49:BX49)</f>
        <v>385.5200000000001</v>
      </c>
      <c r="BZ49" s="79">
        <f>BZ157-BZ103</f>
        <v>390.64</v>
      </c>
      <c r="CA49" s="79">
        <f>CA157-CA103</f>
        <v>390.64</v>
      </c>
      <c r="CB49" s="79">
        <f>CB157-CB103</f>
        <v>390.64</v>
      </c>
      <c r="CC49" s="79">
        <f>CC157-CC103</f>
        <v>390.64</v>
      </c>
      <c r="CD49" s="39">
        <f>AVERAGE(BZ49:CC49)</f>
        <v>390.64</v>
      </c>
    </row>
    <row r="50" spans="1:82">
      <c r="A50" s="11"/>
      <c r="B50" s="11"/>
      <c r="C50" s="11"/>
      <c r="D50" s="11"/>
      <c r="E50" s="11"/>
      <c r="F50" s="11"/>
      <c r="G50" s="11"/>
      <c r="H50" s="51"/>
      <c r="I50" s="51"/>
      <c r="J50" s="51"/>
      <c r="K50" s="51"/>
      <c r="L50" s="11"/>
      <c r="M50" s="51"/>
      <c r="N50" s="51"/>
      <c r="O50" s="51"/>
      <c r="P50" s="51"/>
      <c r="Q50" s="11"/>
      <c r="R50" s="51"/>
      <c r="S50" s="51"/>
      <c r="T50" s="51"/>
      <c r="U50" s="51"/>
      <c r="V50" s="11"/>
      <c r="W50" s="51"/>
      <c r="X50" s="51"/>
      <c r="Y50" s="51"/>
      <c r="Z50" s="51"/>
      <c r="AA50" s="11"/>
      <c r="AB50" s="51"/>
      <c r="AC50" s="51"/>
      <c r="AD50" s="51"/>
      <c r="AE50" s="51"/>
      <c r="AF50" s="11"/>
      <c r="AG50" s="51"/>
      <c r="AH50" s="51"/>
      <c r="AI50" s="51"/>
      <c r="AJ50" s="51"/>
      <c r="AK50" s="11"/>
      <c r="AL50" s="51"/>
      <c r="AM50" s="51"/>
      <c r="AN50" s="51"/>
      <c r="AO50" s="51"/>
      <c r="AP50" s="11"/>
      <c r="AQ50" s="51"/>
      <c r="AR50" s="51"/>
      <c r="AS50" s="51"/>
      <c r="AT50" s="51"/>
      <c r="AU50" s="11"/>
      <c r="AV50" s="51"/>
      <c r="AW50" s="51"/>
      <c r="AX50" s="51"/>
      <c r="AY50" s="5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</row>
    <row r="51" spans="1:82">
      <c r="A51" s="39" t="s">
        <v>3402</v>
      </c>
      <c r="B51" s="11"/>
      <c r="C51" s="11"/>
      <c r="D51" s="11"/>
      <c r="E51" s="11"/>
      <c r="F51" s="11"/>
      <c r="G51" s="11"/>
      <c r="H51" s="51"/>
      <c r="I51" s="51"/>
      <c r="J51" s="51"/>
      <c r="K51" s="51"/>
      <c r="L51" s="11"/>
      <c r="M51" s="51"/>
      <c r="N51" s="51"/>
      <c r="O51" s="51"/>
      <c r="P51" s="51"/>
      <c r="Q51" s="11"/>
      <c r="R51" s="51"/>
      <c r="S51" s="51"/>
      <c r="T51" s="51"/>
      <c r="U51" s="51"/>
      <c r="V51" s="11"/>
      <c r="W51" s="51"/>
      <c r="X51" s="51"/>
      <c r="Y51" s="51"/>
      <c r="Z51" s="51"/>
      <c r="AA51" s="11"/>
      <c r="AB51" s="51"/>
      <c r="AC51" s="51"/>
      <c r="AD51" s="51"/>
      <c r="AE51" s="51"/>
      <c r="AF51" s="11"/>
      <c r="AG51" s="51"/>
      <c r="AH51" s="51"/>
      <c r="AI51" s="51"/>
      <c r="AJ51" s="51"/>
      <c r="AK51" s="11"/>
      <c r="AL51" s="51"/>
      <c r="AM51" s="51"/>
      <c r="AN51" s="51"/>
      <c r="AO51" s="51"/>
      <c r="AP51" s="11"/>
      <c r="AQ51" s="51"/>
      <c r="AR51" s="51"/>
      <c r="AS51" s="51"/>
      <c r="AT51" s="51"/>
      <c r="AU51" s="11"/>
      <c r="AV51" s="51"/>
      <c r="AW51" s="51"/>
      <c r="AX51" s="51"/>
      <c r="AY51" s="5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</row>
    <row r="52" spans="1:82">
      <c r="A52" s="11"/>
      <c r="B52" s="11" t="s">
        <v>2965</v>
      </c>
      <c r="C52" s="11">
        <v>40</v>
      </c>
      <c r="D52" s="11">
        <v>43</v>
      </c>
      <c r="E52" s="11">
        <v>40</v>
      </c>
      <c r="F52" s="11">
        <v>36</v>
      </c>
      <c r="G52" s="11">
        <v>36</v>
      </c>
      <c r="H52" s="51"/>
      <c r="I52" s="51"/>
      <c r="J52" s="51"/>
      <c r="K52" s="51"/>
      <c r="L52" s="11">
        <v>34</v>
      </c>
      <c r="M52" s="51"/>
      <c r="N52" s="51"/>
      <c r="O52" s="51"/>
      <c r="P52" s="51"/>
      <c r="Q52" s="11">
        <v>34</v>
      </c>
      <c r="R52" s="51"/>
      <c r="S52" s="51"/>
      <c r="T52" s="51"/>
      <c r="U52" s="51"/>
      <c r="V52" s="11">
        <v>29</v>
      </c>
      <c r="W52" s="51"/>
      <c r="X52" s="51"/>
      <c r="Y52" s="51"/>
      <c r="Z52" s="51"/>
      <c r="AA52" s="11">
        <v>31</v>
      </c>
      <c r="AB52" s="51"/>
      <c r="AC52" s="51"/>
      <c r="AD52" s="51"/>
      <c r="AE52" s="51"/>
      <c r="AF52" s="11">
        <v>30</v>
      </c>
      <c r="AG52" s="51"/>
      <c r="AH52" s="51"/>
      <c r="AI52" s="51"/>
      <c r="AJ52" s="51"/>
      <c r="AK52" s="11">
        <v>23</v>
      </c>
      <c r="AL52" s="51"/>
      <c r="AM52" s="51"/>
      <c r="AN52" s="51"/>
      <c r="AO52" s="51"/>
      <c r="AP52" s="11">
        <v>24</v>
      </c>
      <c r="AQ52" s="51"/>
      <c r="AR52" s="51"/>
      <c r="AS52" s="51"/>
      <c r="AT52" s="51"/>
      <c r="AU52" s="11">
        <v>23</v>
      </c>
      <c r="AV52" s="51"/>
      <c r="AW52" s="51"/>
      <c r="AX52" s="51"/>
      <c r="AY52" s="51"/>
      <c r="AZ52" s="11">
        <f>17+3</f>
        <v>20</v>
      </c>
      <c r="BA52" s="51"/>
      <c r="BB52" s="51"/>
      <c r="BC52" s="51"/>
      <c r="BD52" s="51"/>
      <c r="BE52" s="11">
        <f>15+3</f>
        <v>18</v>
      </c>
      <c r="BF52" s="51"/>
      <c r="BG52" s="51"/>
      <c r="BH52" s="51"/>
      <c r="BI52" s="51"/>
      <c r="BJ52" s="11">
        <f>15+3</f>
        <v>18</v>
      </c>
      <c r="BK52" s="51"/>
      <c r="BL52" s="51"/>
      <c r="BM52" s="51"/>
      <c r="BN52" s="51"/>
      <c r="BO52" s="11">
        <f>15+2</f>
        <v>17</v>
      </c>
      <c r="BP52" s="51"/>
      <c r="BQ52" s="51"/>
      <c r="BR52" s="51"/>
      <c r="BS52" s="51"/>
      <c r="BT52" s="51"/>
      <c r="BU52" s="51"/>
      <c r="BV52" s="51"/>
      <c r="BW52" s="51"/>
      <c r="BX52" s="51"/>
      <c r="BY52" s="51"/>
      <c r="BZ52" s="51"/>
      <c r="CA52" s="51"/>
      <c r="CB52" s="51"/>
      <c r="CC52" s="51"/>
      <c r="CD52" s="51"/>
    </row>
    <row r="53" spans="1:82">
      <c r="A53" s="11"/>
      <c r="B53" s="11" t="s">
        <v>3403</v>
      </c>
      <c r="C53" s="11">
        <v>0</v>
      </c>
      <c r="D53" s="11">
        <v>0</v>
      </c>
      <c r="E53" s="11">
        <v>0</v>
      </c>
      <c r="F53" s="11">
        <v>0</v>
      </c>
      <c r="G53" s="11">
        <v>0</v>
      </c>
      <c r="H53" s="51"/>
      <c r="I53" s="51"/>
      <c r="J53" s="51"/>
      <c r="K53" s="51"/>
      <c r="L53" s="11">
        <v>0</v>
      </c>
      <c r="M53" s="51"/>
      <c r="N53" s="51"/>
      <c r="O53" s="51"/>
      <c r="P53" s="51"/>
      <c r="Q53" s="11">
        <v>0</v>
      </c>
      <c r="R53" s="51"/>
      <c r="S53" s="51"/>
      <c r="T53" s="51"/>
      <c r="U53" s="51"/>
      <c r="V53" s="11">
        <v>0</v>
      </c>
      <c r="W53" s="51"/>
      <c r="X53" s="51"/>
      <c r="Y53" s="51"/>
      <c r="Z53" s="51"/>
      <c r="AA53" s="11">
        <v>0</v>
      </c>
      <c r="AB53" s="51"/>
      <c r="AC53" s="51"/>
      <c r="AD53" s="51"/>
      <c r="AE53" s="51"/>
      <c r="AF53" s="11">
        <v>2</v>
      </c>
      <c r="AG53" s="51"/>
      <c r="AH53" s="51"/>
      <c r="AI53" s="51"/>
      <c r="AJ53" s="51"/>
      <c r="AK53" s="11">
        <v>2</v>
      </c>
      <c r="AL53" s="51"/>
      <c r="AM53" s="51"/>
      <c r="AN53" s="51"/>
      <c r="AO53" s="51"/>
      <c r="AP53" s="11">
        <v>3</v>
      </c>
      <c r="AQ53" s="51"/>
      <c r="AR53" s="51"/>
      <c r="AS53" s="51"/>
      <c r="AT53" s="51"/>
      <c r="AU53" s="11">
        <v>2</v>
      </c>
      <c r="AV53" s="51"/>
      <c r="AW53" s="51"/>
      <c r="AX53" s="51"/>
      <c r="AY53" s="51"/>
      <c r="AZ53" s="11">
        <v>2</v>
      </c>
      <c r="BA53" s="51"/>
      <c r="BB53" s="51"/>
      <c r="BC53" s="51"/>
      <c r="BD53" s="51"/>
      <c r="BE53" s="11">
        <v>2</v>
      </c>
      <c r="BF53" s="51"/>
      <c r="BG53" s="51"/>
      <c r="BH53" s="51"/>
      <c r="BI53" s="51"/>
      <c r="BJ53" s="11">
        <v>2</v>
      </c>
      <c r="BK53" s="51"/>
      <c r="BL53" s="51"/>
      <c r="BM53" s="51"/>
      <c r="BN53" s="51"/>
      <c r="BO53" s="11">
        <v>1</v>
      </c>
      <c r="BP53" s="51"/>
      <c r="BQ53" s="51"/>
      <c r="BR53" s="51"/>
      <c r="BS53" s="51"/>
      <c r="BT53" s="51"/>
      <c r="BU53" s="51"/>
      <c r="BV53" s="51"/>
      <c r="BW53" s="51"/>
      <c r="BX53" s="51"/>
      <c r="BY53" s="51"/>
      <c r="BZ53" s="51"/>
      <c r="CA53" s="51"/>
      <c r="CB53" s="51"/>
      <c r="CC53" s="51"/>
      <c r="CD53" s="51"/>
    </row>
    <row r="54" spans="1:82">
      <c r="A54" s="39" t="s">
        <v>1935</v>
      </c>
      <c r="B54" s="39"/>
      <c r="C54" s="39">
        <f>SUM(C52:C53)</f>
        <v>40</v>
      </c>
      <c r="D54" s="39">
        <f>SUM(D52:D53)</f>
        <v>43</v>
      </c>
      <c r="E54" s="39">
        <f>SUM(E52:E53)</f>
        <v>40</v>
      </c>
      <c r="F54" s="39">
        <f>SUM(F52:F53)</f>
        <v>36</v>
      </c>
      <c r="G54" s="39">
        <f>SUM(G52:G53)</f>
        <v>36</v>
      </c>
      <c r="H54" s="52"/>
      <c r="I54" s="52"/>
      <c r="J54" s="52"/>
      <c r="K54" s="52"/>
      <c r="L54" s="39">
        <f>SUM(L52:L53)</f>
        <v>34</v>
      </c>
      <c r="M54" s="52"/>
      <c r="N54" s="52"/>
      <c r="O54" s="52"/>
      <c r="P54" s="52"/>
      <c r="Q54" s="39">
        <f>SUM(Q52:Q53)</f>
        <v>34</v>
      </c>
      <c r="R54" s="52"/>
      <c r="S54" s="52"/>
      <c r="T54" s="52"/>
      <c r="U54" s="52"/>
      <c r="V54" s="39">
        <f>SUM(V52:V53)</f>
        <v>29</v>
      </c>
      <c r="W54" s="52"/>
      <c r="X54" s="52"/>
      <c r="Y54" s="52"/>
      <c r="Z54" s="52"/>
      <c r="AA54" s="39">
        <f>SUM(AA52:AA53)</f>
        <v>31</v>
      </c>
      <c r="AB54" s="52"/>
      <c r="AC54" s="52"/>
      <c r="AD54" s="52"/>
      <c r="AE54" s="52"/>
      <c r="AF54" s="39">
        <f>SUM(AF52:AF53)</f>
        <v>32</v>
      </c>
      <c r="AG54" s="52"/>
      <c r="AH54" s="52"/>
      <c r="AI54" s="52"/>
      <c r="AJ54" s="52"/>
      <c r="AK54" s="39">
        <f>SUM(AK52:AK53)</f>
        <v>25</v>
      </c>
      <c r="AL54" s="52"/>
      <c r="AM54" s="52"/>
      <c r="AN54" s="52"/>
      <c r="AO54" s="52"/>
      <c r="AP54" s="39">
        <f>SUM(AP52:AP53)</f>
        <v>27</v>
      </c>
      <c r="AQ54" s="52"/>
      <c r="AR54" s="52"/>
      <c r="AS54" s="52"/>
      <c r="AT54" s="52"/>
      <c r="AU54" s="39">
        <v>25</v>
      </c>
      <c r="AV54" s="52"/>
      <c r="AW54" s="52"/>
      <c r="AX54" s="52"/>
      <c r="AY54" s="52"/>
      <c r="AZ54" s="39">
        <f>19+3</f>
        <v>22</v>
      </c>
      <c r="BA54" s="52"/>
      <c r="BB54" s="52"/>
      <c r="BC54" s="52"/>
      <c r="BD54" s="52"/>
      <c r="BE54" s="39">
        <f>SUM(BE52:BE53)</f>
        <v>20</v>
      </c>
      <c r="BF54" s="52"/>
      <c r="BG54" s="52"/>
      <c r="BH54" s="52"/>
      <c r="BI54" s="52"/>
      <c r="BJ54" s="39">
        <f>16+3</f>
        <v>19</v>
      </c>
      <c r="BK54" s="52"/>
      <c r="BL54" s="52"/>
      <c r="BM54" s="52"/>
      <c r="BN54" s="52"/>
      <c r="BO54" s="39">
        <f>17+2</f>
        <v>19</v>
      </c>
      <c r="BP54" s="79">
        <f>BP162-BP108</f>
        <v>21.04</v>
      </c>
      <c r="BQ54" s="79">
        <f>BQ162-BQ108</f>
        <v>21.04</v>
      </c>
      <c r="BR54" s="79">
        <f>BR162-BR108</f>
        <v>21.04</v>
      </c>
      <c r="BS54" s="79">
        <f>BS162-BS108</f>
        <v>21.04</v>
      </c>
      <c r="BT54" s="39">
        <f>AVERAGE(BP54:BS54)</f>
        <v>21.04</v>
      </c>
      <c r="BU54" s="79">
        <f>BU162-BU108</f>
        <v>19.57</v>
      </c>
      <c r="BV54" s="79">
        <f>BV162-BV108</f>
        <v>19.57</v>
      </c>
      <c r="BW54" s="79">
        <f>BW162-BW108</f>
        <v>19.57</v>
      </c>
      <c r="BX54" s="79">
        <f>BX162-BX108</f>
        <v>19.57</v>
      </c>
      <c r="BY54" s="39">
        <f>AVERAGE(BU54:BX54)</f>
        <v>19.57</v>
      </c>
      <c r="BZ54" s="79">
        <f>BZ162-BZ108</f>
        <v>18.940000000000001</v>
      </c>
      <c r="CA54" s="79">
        <f>CA162-CA108</f>
        <v>18.940000000000001</v>
      </c>
      <c r="CB54" s="79">
        <f>CB162-CB108</f>
        <v>18.940000000000001</v>
      </c>
      <c r="CC54" s="79">
        <f>CC162-CC108</f>
        <v>18.940000000000001</v>
      </c>
      <c r="CD54" s="39">
        <f>AVERAGE(BZ54:CC54)</f>
        <v>18.940000000000001</v>
      </c>
    </row>
    <row r="55" spans="1:82">
      <c r="A55" s="39"/>
      <c r="B55" s="39"/>
      <c r="C55" s="39"/>
      <c r="D55" s="39"/>
      <c r="E55" s="39"/>
      <c r="F55" s="39"/>
      <c r="G55" s="39"/>
      <c r="H55" s="52"/>
      <c r="I55" s="52"/>
      <c r="J55" s="52"/>
      <c r="K55" s="52"/>
      <c r="L55" s="39"/>
      <c r="M55" s="52"/>
      <c r="N55" s="52"/>
      <c r="O55" s="52"/>
      <c r="P55" s="52"/>
      <c r="Q55" s="39"/>
      <c r="R55" s="52"/>
      <c r="S55" s="52"/>
      <c r="T55" s="52"/>
      <c r="U55" s="52"/>
      <c r="V55" s="39"/>
      <c r="W55" s="52"/>
      <c r="X55" s="52"/>
      <c r="Y55" s="52"/>
      <c r="Z55" s="52"/>
      <c r="AA55" s="39"/>
      <c r="AB55" s="52"/>
      <c r="AC55" s="52"/>
      <c r="AD55" s="52"/>
      <c r="AE55" s="52"/>
      <c r="AF55" s="39"/>
      <c r="AG55" s="52"/>
      <c r="AH55" s="52"/>
      <c r="AI55" s="52"/>
      <c r="AJ55" s="52"/>
      <c r="AK55" s="39"/>
      <c r="AL55" s="52"/>
      <c r="AM55" s="52"/>
      <c r="AN55" s="52"/>
      <c r="AO55" s="52"/>
      <c r="AP55" s="39"/>
      <c r="AQ55" s="52"/>
      <c r="AR55" s="52"/>
      <c r="AS55" s="52"/>
      <c r="AT55" s="52"/>
      <c r="AU55" s="39"/>
      <c r="AV55" s="52"/>
      <c r="AW55" s="52"/>
      <c r="AX55" s="52"/>
      <c r="AY55" s="52"/>
      <c r="AZ55" s="39"/>
      <c r="BA55" s="39"/>
      <c r="BB55" s="39"/>
      <c r="BC55" s="39"/>
      <c r="BD55" s="39"/>
      <c r="BE55" s="39"/>
      <c r="BF55" s="39"/>
      <c r="BG55" s="39"/>
      <c r="BH55" s="39"/>
      <c r="BI55" s="39"/>
      <c r="BJ55" s="39"/>
      <c r="BK55" s="39"/>
      <c r="BL55" s="39"/>
      <c r="BM55" s="39"/>
      <c r="BN55" s="39"/>
      <c r="BO55" s="39"/>
      <c r="BP55" s="39"/>
      <c r="BQ55" s="39"/>
      <c r="BR55" s="39"/>
      <c r="BS55" s="39"/>
      <c r="BT55" s="39"/>
      <c r="BU55" s="39"/>
      <c r="BV55" s="39"/>
      <c r="BW55" s="39"/>
      <c r="BX55" s="39"/>
      <c r="BY55" s="39"/>
      <c r="BZ55" s="39"/>
      <c r="CA55" s="39"/>
      <c r="CB55" s="39"/>
      <c r="CC55" s="39"/>
      <c r="CD55" s="39"/>
    </row>
    <row r="56" spans="1:82">
      <c r="A56" s="46" t="s">
        <v>1791</v>
      </c>
      <c r="B56" s="46"/>
      <c r="C56" s="46">
        <f>C14+C19+C28+C34+C49+C54</f>
        <v>1723</v>
      </c>
      <c r="D56" s="46">
        <f>D14+D19+D28+D34+D49+D54</f>
        <v>1766</v>
      </c>
      <c r="E56" s="46">
        <f>E14+E19+E28+E34+E49+E54</f>
        <v>1615</v>
      </c>
      <c r="F56" s="46">
        <f>F14+F19+F28+F34+F49+F54</f>
        <v>1480</v>
      </c>
      <c r="G56" s="46">
        <f>G14+G19+G28+G34+G49+G54</f>
        <v>1423</v>
      </c>
      <c r="H56" s="53"/>
      <c r="I56" s="53"/>
      <c r="J56" s="53"/>
      <c r="K56" s="53"/>
      <c r="L56" s="46">
        <f>L14+L19+L28+L34+L49+L54</f>
        <v>1351</v>
      </c>
      <c r="M56" s="53"/>
      <c r="N56" s="53"/>
      <c r="O56" s="53"/>
      <c r="P56" s="53"/>
      <c r="Q56" s="46">
        <f>Q14+Q19+Q28+Q34+Q49+Q54</f>
        <v>1304</v>
      </c>
      <c r="R56" s="53"/>
      <c r="S56" s="53"/>
      <c r="T56" s="53"/>
      <c r="U56" s="53"/>
      <c r="V56" s="46">
        <f>V14+V19+V28+V34+V49+V54</f>
        <v>1263</v>
      </c>
      <c r="W56" s="53"/>
      <c r="X56" s="53"/>
      <c r="Y56" s="53"/>
      <c r="Z56" s="53"/>
      <c r="AA56" s="46">
        <f>AA14+AA19+AA28+AA34+AA49+AA54</f>
        <v>1400</v>
      </c>
      <c r="AB56" s="53"/>
      <c r="AC56" s="53"/>
      <c r="AD56" s="53"/>
      <c r="AE56" s="53"/>
      <c r="AF56" s="46">
        <f>AF14+AF19+AF28+AF34+AF49+AF54</f>
        <v>1229</v>
      </c>
      <c r="AG56" s="53"/>
      <c r="AH56" s="53"/>
      <c r="AI56" s="53"/>
      <c r="AJ56" s="53"/>
      <c r="AK56" s="46">
        <f t="shared" ref="AK56:CD56" si="3">AK14+AK19+AK28+AK34+AK49+AK54</f>
        <v>992</v>
      </c>
      <c r="AL56" s="53"/>
      <c r="AM56" s="53"/>
      <c r="AN56" s="53"/>
      <c r="AO56" s="53"/>
      <c r="AP56" s="46">
        <f t="shared" si="3"/>
        <v>896</v>
      </c>
      <c r="AQ56" s="53"/>
      <c r="AR56" s="53"/>
      <c r="AS56" s="53"/>
      <c r="AT56" s="53"/>
      <c r="AU56" s="46">
        <v>879</v>
      </c>
      <c r="AV56" s="53"/>
      <c r="AW56" s="53"/>
      <c r="AX56" s="53"/>
      <c r="AY56" s="53"/>
      <c r="AZ56" s="46">
        <f>834+91</f>
        <v>925</v>
      </c>
      <c r="BA56" s="53"/>
      <c r="BB56" s="53"/>
      <c r="BC56" s="53"/>
      <c r="BD56" s="53"/>
      <c r="BE56" s="46">
        <f>933+88</f>
        <v>1021</v>
      </c>
      <c r="BF56" s="53"/>
      <c r="BG56" s="53"/>
      <c r="BH56" s="53"/>
      <c r="BI56" s="53"/>
      <c r="BJ56" s="46">
        <f>943+82</f>
        <v>1025</v>
      </c>
      <c r="BK56" s="53"/>
      <c r="BL56" s="53"/>
      <c r="BM56" s="53"/>
      <c r="BN56" s="53"/>
      <c r="BO56" s="46">
        <f>1064+85</f>
        <v>1149</v>
      </c>
      <c r="BP56" s="89">
        <f t="shared" si="3"/>
        <v>1217.5693199999998</v>
      </c>
      <c r="BQ56" s="89">
        <f t="shared" si="3"/>
        <v>1212.5693199999998</v>
      </c>
      <c r="BR56" s="89">
        <f t="shared" si="3"/>
        <v>1212.5693199999998</v>
      </c>
      <c r="BS56" s="89">
        <f t="shared" si="3"/>
        <v>1212.5693199999998</v>
      </c>
      <c r="BT56" s="46">
        <f t="shared" si="3"/>
        <v>1213.8193199999998</v>
      </c>
      <c r="BU56" s="89">
        <f t="shared" si="3"/>
        <v>1227.4128000000003</v>
      </c>
      <c r="BV56" s="89">
        <f t="shared" si="3"/>
        <v>1227.4128000000003</v>
      </c>
      <c r="BW56" s="89">
        <f t="shared" si="3"/>
        <v>1227.4128000000003</v>
      </c>
      <c r="BX56" s="89">
        <f t="shared" si="3"/>
        <v>1227.4128000000003</v>
      </c>
      <c r="BY56" s="46">
        <f t="shared" si="3"/>
        <v>1227.4128000000003</v>
      </c>
      <c r="BZ56" s="89">
        <f t="shared" si="3"/>
        <v>1196.2302400000001</v>
      </c>
      <c r="CA56" s="89">
        <f t="shared" si="3"/>
        <v>1196.2302400000001</v>
      </c>
      <c r="CB56" s="89">
        <f t="shared" si="3"/>
        <v>1196.2302400000001</v>
      </c>
      <c r="CC56" s="89">
        <f t="shared" si="3"/>
        <v>1196.2302400000001</v>
      </c>
      <c r="CD56" s="46">
        <f t="shared" si="3"/>
        <v>1196.2302400000001</v>
      </c>
    </row>
    <row r="57" spans="1:82">
      <c r="A57" s="24"/>
      <c r="B57" s="24"/>
      <c r="C57" s="24">
        <f>C56-1723</f>
        <v>0</v>
      </c>
      <c r="D57" s="24">
        <f>D56-1766</f>
        <v>0</v>
      </c>
      <c r="E57" s="24">
        <f>E56-1615</f>
        <v>0</v>
      </c>
      <c r="F57" s="24">
        <f>F56-1480</f>
        <v>0</v>
      </c>
      <c r="G57" s="24">
        <f>G56-1423</f>
        <v>0</v>
      </c>
      <c r="H57" s="24"/>
      <c r="I57" s="24"/>
      <c r="J57" s="24"/>
      <c r="K57" s="24"/>
      <c r="L57" s="24">
        <f>L56-1351</f>
        <v>0</v>
      </c>
      <c r="M57" s="24"/>
      <c r="N57" s="24"/>
      <c r="O57" s="24"/>
      <c r="P57" s="24"/>
      <c r="Q57" s="24">
        <f>Q56-1304</f>
        <v>0</v>
      </c>
      <c r="R57" s="24"/>
      <c r="S57" s="24"/>
      <c r="T57" s="24"/>
      <c r="U57" s="24"/>
      <c r="V57" s="24">
        <f>V56-1263</f>
        <v>0</v>
      </c>
      <c r="W57" s="24"/>
      <c r="X57" s="24"/>
      <c r="Y57" s="24"/>
      <c r="Z57" s="24"/>
      <c r="AA57" s="24">
        <f>AA56-1400</f>
        <v>0</v>
      </c>
      <c r="AB57" s="24"/>
      <c r="AC57" s="24"/>
      <c r="AD57" s="24"/>
      <c r="AE57" s="24"/>
      <c r="AF57" s="24">
        <f>AF56-1229</f>
        <v>0</v>
      </c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  <c r="AR57" s="24"/>
      <c r="AS57" s="24"/>
      <c r="AT57" s="24"/>
      <c r="AU57" s="24"/>
      <c r="AV57" s="24"/>
      <c r="AW57" s="24"/>
      <c r="AX57" s="24"/>
      <c r="AY57" s="24"/>
      <c r="AZ57" s="24"/>
      <c r="BA57" s="24"/>
      <c r="BB57" s="24"/>
      <c r="BC57" s="24"/>
      <c r="BD57" s="24"/>
      <c r="BE57" s="24"/>
      <c r="BF57" s="24"/>
      <c r="BG57" s="24"/>
      <c r="BH57" s="24"/>
      <c r="BI57" s="24"/>
      <c r="BJ57" s="24"/>
      <c r="BK57" s="24"/>
      <c r="BL57" s="24"/>
      <c r="BM57" s="24"/>
      <c r="BN57" s="24"/>
      <c r="BO57" s="24">
        <f>1064+85</f>
        <v>1149</v>
      </c>
      <c r="BP57" s="24"/>
      <c r="BQ57" s="24"/>
      <c r="BR57" s="24"/>
      <c r="BS57" s="24"/>
      <c r="BT57" s="24"/>
      <c r="BU57" s="24"/>
      <c r="BV57" s="24"/>
      <c r="BW57" s="24"/>
      <c r="BX57" s="24"/>
      <c r="BY57" s="24"/>
      <c r="BZ57" s="24"/>
      <c r="CA57" s="24"/>
      <c r="CB57" s="24"/>
      <c r="CC57" s="24"/>
      <c r="CD57" s="24"/>
    </row>
    <row r="58" spans="1:82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</row>
    <row r="59" spans="1:82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/>
      <c r="CB59" s="11"/>
      <c r="CC59" s="11"/>
      <c r="CD59" s="11"/>
    </row>
    <row r="60" spans="1:82" ht="15.75" customHeight="1">
      <c r="A60" s="400" t="s">
        <v>1792</v>
      </c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  <c r="BD60" s="39"/>
      <c r="BE60" s="39"/>
      <c r="BF60" s="39"/>
      <c r="BG60" s="39"/>
      <c r="BH60" s="39"/>
      <c r="BI60" s="39"/>
      <c r="BJ60" s="39"/>
      <c r="BK60" s="39"/>
      <c r="BL60" s="39"/>
      <c r="BM60" s="39"/>
      <c r="BN60" s="39"/>
      <c r="BO60" s="39"/>
      <c r="BP60" s="39"/>
      <c r="BQ60" s="39"/>
      <c r="BR60" s="39"/>
      <c r="BS60" s="39"/>
      <c r="BT60" s="39"/>
      <c r="BU60" s="39"/>
      <c r="BV60" s="39"/>
      <c r="BW60" s="39"/>
      <c r="BX60" s="39"/>
      <c r="BY60" s="39"/>
      <c r="BZ60" s="39"/>
      <c r="CA60" s="39"/>
      <c r="CB60" s="39"/>
      <c r="CC60" s="39"/>
      <c r="CD60" s="39"/>
    </row>
    <row r="61" spans="1:82" ht="12.75" customHeight="1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  <c r="BU61" s="11"/>
      <c r="BV61" s="11"/>
      <c r="BW61" s="11"/>
      <c r="BX61" s="11"/>
      <c r="BY61" s="11"/>
      <c r="BZ61" s="11"/>
      <c r="CA61" s="11"/>
      <c r="CB61" s="11"/>
      <c r="CC61" s="11"/>
      <c r="CD61" s="11"/>
    </row>
    <row r="62" spans="1:82" ht="12.75" customHeight="1">
      <c r="A62" s="24" t="s">
        <v>304</v>
      </c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  <c r="CC62" s="11"/>
      <c r="CD62" s="11"/>
    </row>
    <row r="63" spans="1:82" ht="12.75" customHeight="1">
      <c r="A63" s="10"/>
      <c r="B63" s="10"/>
      <c r="C63" s="31">
        <v>2001</v>
      </c>
      <c r="D63" s="32">
        <v>2002</v>
      </c>
      <c r="E63" s="32">
        <v>2003</v>
      </c>
      <c r="F63" s="32">
        <v>2004</v>
      </c>
      <c r="G63" s="31">
        <v>2005</v>
      </c>
      <c r="H63" s="33" t="s">
        <v>714</v>
      </c>
      <c r="I63" s="33" t="s">
        <v>715</v>
      </c>
      <c r="J63" s="33" t="s">
        <v>716</v>
      </c>
      <c r="K63" s="33" t="s">
        <v>717</v>
      </c>
      <c r="L63" s="31">
        <v>2006</v>
      </c>
      <c r="M63" s="33" t="s">
        <v>718</v>
      </c>
      <c r="N63" s="33" t="s">
        <v>719</v>
      </c>
      <c r="O63" s="33" t="s">
        <v>1970</v>
      </c>
      <c r="P63" s="33" t="s">
        <v>1971</v>
      </c>
      <c r="Q63" s="31">
        <v>2007</v>
      </c>
      <c r="R63" s="33" t="s">
        <v>1972</v>
      </c>
      <c r="S63" s="33" t="s">
        <v>1973</v>
      </c>
      <c r="T63" s="33" t="s">
        <v>1974</v>
      </c>
      <c r="U63" s="33" t="s">
        <v>1975</v>
      </c>
      <c r="V63" s="31">
        <v>2008</v>
      </c>
      <c r="W63" s="33" t="s">
        <v>1976</v>
      </c>
      <c r="X63" s="33" t="s">
        <v>1977</v>
      </c>
      <c r="Y63" s="33" t="s">
        <v>1978</v>
      </c>
      <c r="Z63" s="33" t="s">
        <v>1979</v>
      </c>
      <c r="AA63" s="31">
        <v>2009</v>
      </c>
      <c r="AB63" s="33" t="s">
        <v>1980</v>
      </c>
      <c r="AC63" s="33" t="s">
        <v>1981</v>
      </c>
      <c r="AD63" s="33" t="s">
        <v>1982</v>
      </c>
      <c r="AE63" s="33" t="s">
        <v>2392</v>
      </c>
      <c r="AF63" s="31">
        <v>2010</v>
      </c>
      <c r="AG63" s="33" t="s">
        <v>2393</v>
      </c>
      <c r="AH63" s="33" t="s">
        <v>2394</v>
      </c>
      <c r="AI63" s="33" t="s">
        <v>2395</v>
      </c>
      <c r="AJ63" s="33" t="s">
        <v>2396</v>
      </c>
      <c r="AK63" s="31">
        <v>2011</v>
      </c>
      <c r="AL63" s="33" t="s">
        <v>2397</v>
      </c>
      <c r="AM63" s="33" t="s">
        <v>2398</v>
      </c>
      <c r="AN63" s="33" t="s">
        <v>2399</v>
      </c>
      <c r="AO63" s="368" t="s">
        <v>2400</v>
      </c>
      <c r="AP63" s="369">
        <v>2012</v>
      </c>
      <c r="AQ63" s="368" t="s">
        <v>2401</v>
      </c>
      <c r="AR63" s="368" t="s">
        <v>2402</v>
      </c>
      <c r="AS63" s="368" t="s">
        <v>2403</v>
      </c>
      <c r="AT63" s="368" t="s">
        <v>2404</v>
      </c>
      <c r="AU63" s="369">
        <v>2013</v>
      </c>
      <c r="AV63" s="363" t="s">
        <v>2405</v>
      </c>
      <c r="AW63" s="363" t="s">
        <v>2406</v>
      </c>
      <c r="AX63" s="363" t="s">
        <v>2407</v>
      </c>
      <c r="AY63" s="363" t="s">
        <v>2408</v>
      </c>
      <c r="AZ63" s="364">
        <v>2014</v>
      </c>
      <c r="BA63" s="368" t="s">
        <v>2409</v>
      </c>
      <c r="BB63" s="368" t="s">
        <v>2410</v>
      </c>
      <c r="BC63" s="368" t="s">
        <v>2411</v>
      </c>
      <c r="BD63" s="368" t="s">
        <v>2412</v>
      </c>
      <c r="BE63" s="364">
        <v>2015</v>
      </c>
      <c r="BF63" s="368" t="s">
        <v>2413</v>
      </c>
      <c r="BG63" s="368" t="s">
        <v>2414</v>
      </c>
      <c r="BH63" s="368" t="s">
        <v>2415</v>
      </c>
      <c r="BI63" s="368" t="s">
        <v>2416</v>
      </c>
      <c r="BJ63" s="364">
        <v>2016</v>
      </c>
      <c r="BK63" s="368" t="s">
        <v>2417</v>
      </c>
      <c r="BL63" s="368" t="s">
        <v>2418</v>
      </c>
      <c r="BM63" s="368" t="s">
        <v>2419</v>
      </c>
      <c r="BN63" s="363" t="s">
        <v>2420</v>
      </c>
      <c r="BO63" s="31">
        <v>2017</v>
      </c>
      <c r="BP63" s="363" t="s">
        <v>2244</v>
      </c>
      <c r="BQ63" s="363" t="s">
        <v>2245</v>
      </c>
      <c r="BR63" s="363" t="s">
        <v>2508</v>
      </c>
      <c r="BS63" s="363" t="s">
        <v>2509</v>
      </c>
      <c r="BT63" s="364">
        <v>2018</v>
      </c>
      <c r="BU63" s="363" t="s">
        <v>2510</v>
      </c>
      <c r="BV63" s="363" t="s">
        <v>2511</v>
      </c>
      <c r="BW63" s="363" t="s">
        <v>3125</v>
      </c>
      <c r="BX63" s="363" t="s">
        <v>1405</v>
      </c>
      <c r="BY63" s="364">
        <v>2019</v>
      </c>
      <c r="BZ63" s="363" t="s">
        <v>1406</v>
      </c>
      <c r="CA63" s="363" t="s">
        <v>1407</v>
      </c>
      <c r="CB63" s="363" t="s">
        <v>1408</v>
      </c>
      <c r="CC63" s="363" t="s">
        <v>1409</v>
      </c>
      <c r="CD63" s="364">
        <v>2020</v>
      </c>
    </row>
    <row r="64" spans="1:82">
      <c r="A64" s="39" t="s">
        <v>305</v>
      </c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</row>
    <row r="65" spans="1:82">
      <c r="A65" s="11"/>
      <c r="B65" s="11" t="s">
        <v>1281</v>
      </c>
      <c r="C65" s="11">
        <v>0</v>
      </c>
      <c r="D65" s="11">
        <v>0</v>
      </c>
      <c r="E65" s="11">
        <v>0</v>
      </c>
      <c r="F65" s="11">
        <v>0</v>
      </c>
      <c r="G65" s="11">
        <v>0</v>
      </c>
      <c r="H65" s="51"/>
      <c r="I65" s="51"/>
      <c r="J65" s="51"/>
      <c r="K65" s="51"/>
      <c r="L65" s="11">
        <v>0</v>
      </c>
      <c r="M65" s="51"/>
      <c r="N65" s="51"/>
      <c r="O65" s="51"/>
      <c r="P65" s="51"/>
      <c r="Q65" s="11">
        <v>0</v>
      </c>
      <c r="R65" s="51"/>
      <c r="S65" s="51"/>
      <c r="T65" s="51"/>
      <c r="U65" s="51"/>
      <c r="V65" s="11">
        <v>0</v>
      </c>
      <c r="W65" s="51"/>
      <c r="X65" s="51"/>
      <c r="Y65" s="51"/>
      <c r="Z65" s="51"/>
      <c r="AA65" s="11">
        <v>0</v>
      </c>
      <c r="AB65" s="51"/>
      <c r="AC65" s="51"/>
      <c r="AD65" s="51"/>
      <c r="AE65" s="51"/>
      <c r="AF65" s="11">
        <v>0</v>
      </c>
      <c r="AG65" s="51"/>
      <c r="AH65" s="51"/>
      <c r="AI65" s="51"/>
      <c r="AJ65" s="51"/>
      <c r="AK65" s="11">
        <v>0</v>
      </c>
      <c r="AL65" s="51"/>
      <c r="AM65" s="51"/>
      <c r="AN65" s="51"/>
      <c r="AO65" s="51"/>
      <c r="AP65" s="11">
        <v>0</v>
      </c>
      <c r="AQ65" s="11">
        <v>0</v>
      </c>
      <c r="AR65" s="11">
        <v>0</v>
      </c>
      <c r="AS65" s="11">
        <v>0</v>
      </c>
      <c r="AT65" s="11">
        <v>0</v>
      </c>
      <c r="AU65" s="11">
        <v>0</v>
      </c>
      <c r="AV65" s="51"/>
      <c r="AW65" s="51"/>
      <c r="AX65" s="51"/>
      <c r="AY65" s="51"/>
      <c r="AZ65" s="11">
        <v>0</v>
      </c>
      <c r="BA65" s="51"/>
      <c r="BB65" s="51"/>
      <c r="BC65" s="51"/>
      <c r="BD65" s="51"/>
      <c r="BE65" s="11">
        <v>0</v>
      </c>
      <c r="BF65" s="51"/>
      <c r="BG65" s="51"/>
      <c r="BH65" s="51"/>
      <c r="BI65" s="51"/>
      <c r="BJ65" s="11">
        <v>0</v>
      </c>
      <c r="BK65" s="51"/>
      <c r="BL65" s="51"/>
      <c r="BM65" s="51"/>
      <c r="BN65" s="51"/>
      <c r="BO65" s="11">
        <v>0</v>
      </c>
      <c r="BP65" s="51"/>
      <c r="BQ65" s="51"/>
      <c r="BR65" s="51"/>
      <c r="BS65" s="51"/>
      <c r="BT65" s="51"/>
      <c r="BU65" s="51"/>
      <c r="BV65" s="51"/>
      <c r="BW65" s="51"/>
      <c r="BX65" s="51"/>
      <c r="BY65" s="51"/>
      <c r="BZ65" s="51"/>
      <c r="CA65" s="51"/>
      <c r="CB65" s="51"/>
      <c r="CC65" s="51"/>
      <c r="CD65" s="51"/>
    </row>
    <row r="66" spans="1:82">
      <c r="A66" s="11"/>
      <c r="B66" s="11" t="s">
        <v>306</v>
      </c>
      <c r="C66" s="11">
        <v>0</v>
      </c>
      <c r="D66" s="11">
        <v>0</v>
      </c>
      <c r="E66" s="11">
        <v>0</v>
      </c>
      <c r="F66" s="11">
        <v>0</v>
      </c>
      <c r="G66" s="11">
        <v>0</v>
      </c>
      <c r="H66" s="51"/>
      <c r="I66" s="51"/>
      <c r="J66" s="51"/>
      <c r="K66" s="51"/>
      <c r="L66" s="11">
        <v>0</v>
      </c>
      <c r="M66" s="51"/>
      <c r="N66" s="51"/>
      <c r="O66" s="51"/>
      <c r="P66" s="51"/>
      <c r="Q66" s="11">
        <v>0</v>
      </c>
      <c r="R66" s="51"/>
      <c r="S66" s="51"/>
      <c r="T66" s="51"/>
      <c r="U66" s="51"/>
      <c r="V66" s="11">
        <v>0</v>
      </c>
      <c r="W66" s="51"/>
      <c r="X66" s="51"/>
      <c r="Y66" s="51"/>
      <c r="Z66" s="51"/>
      <c r="AA66" s="11">
        <v>0</v>
      </c>
      <c r="AB66" s="51"/>
      <c r="AC66" s="51"/>
      <c r="AD66" s="51"/>
      <c r="AE66" s="51"/>
      <c r="AF66" s="11">
        <v>0</v>
      </c>
      <c r="AG66" s="51"/>
      <c r="AH66" s="51"/>
      <c r="AI66" s="51"/>
      <c r="AJ66" s="51"/>
      <c r="AK66" s="11">
        <v>0</v>
      </c>
      <c r="AL66" s="51"/>
      <c r="AM66" s="51"/>
      <c r="AN66" s="51"/>
      <c r="AO66" s="51"/>
      <c r="AP66" s="11">
        <v>0</v>
      </c>
      <c r="AQ66" s="11">
        <v>0</v>
      </c>
      <c r="AR66" s="11">
        <v>0</v>
      </c>
      <c r="AS66" s="11">
        <v>0</v>
      </c>
      <c r="AT66" s="11">
        <v>0</v>
      </c>
      <c r="AU66" s="11">
        <v>0</v>
      </c>
      <c r="AV66" s="51"/>
      <c r="AW66" s="51"/>
      <c r="AX66" s="51"/>
      <c r="AY66" s="51"/>
      <c r="AZ66" s="11">
        <v>0</v>
      </c>
      <c r="BA66" s="51"/>
      <c r="BB66" s="51"/>
      <c r="BC66" s="51"/>
      <c r="BD66" s="51"/>
      <c r="BE66" s="11">
        <v>0</v>
      </c>
      <c r="BF66" s="51"/>
      <c r="BG66" s="51"/>
      <c r="BH66" s="51"/>
      <c r="BI66" s="51"/>
      <c r="BJ66" s="11">
        <v>7</v>
      </c>
      <c r="BK66" s="51"/>
      <c r="BL66" s="51"/>
      <c r="BM66" s="51"/>
      <c r="BN66" s="51"/>
      <c r="BO66" s="11">
        <f>31+2</f>
        <v>33</v>
      </c>
      <c r="BP66" s="51"/>
      <c r="BQ66" s="51"/>
      <c r="BR66" s="51"/>
      <c r="BS66" s="51"/>
      <c r="BT66" s="51"/>
      <c r="BU66" s="51"/>
      <c r="BV66" s="51"/>
      <c r="BW66" s="51"/>
      <c r="BX66" s="51"/>
      <c r="BY66" s="51"/>
      <c r="BZ66" s="51"/>
      <c r="CA66" s="51"/>
      <c r="CB66" s="51"/>
      <c r="CC66" s="51"/>
      <c r="CD66" s="51"/>
    </row>
    <row r="67" spans="1:82">
      <c r="A67" s="11"/>
      <c r="B67" s="11" t="s">
        <v>139</v>
      </c>
      <c r="C67" s="11">
        <v>0</v>
      </c>
      <c r="D67" s="11">
        <v>0</v>
      </c>
      <c r="E67" s="11">
        <v>0</v>
      </c>
      <c r="F67" s="11">
        <v>0</v>
      </c>
      <c r="G67" s="11">
        <v>0</v>
      </c>
      <c r="H67" s="51"/>
      <c r="I67" s="51"/>
      <c r="J67" s="51"/>
      <c r="K67" s="51"/>
      <c r="L67" s="11">
        <v>0</v>
      </c>
      <c r="M67" s="51"/>
      <c r="N67" s="51"/>
      <c r="O67" s="51"/>
      <c r="P67" s="51"/>
      <c r="Q67" s="11">
        <v>0</v>
      </c>
      <c r="R67" s="51"/>
      <c r="S67" s="51"/>
      <c r="T67" s="51"/>
      <c r="U67" s="51"/>
      <c r="V67" s="11">
        <v>0</v>
      </c>
      <c r="W67" s="51"/>
      <c r="X67" s="51"/>
      <c r="Y67" s="51"/>
      <c r="Z67" s="51"/>
      <c r="AA67" s="11">
        <v>0</v>
      </c>
      <c r="AB67" s="51"/>
      <c r="AC67" s="51"/>
      <c r="AD67" s="51"/>
      <c r="AE67" s="51"/>
      <c r="AF67" s="11">
        <v>0</v>
      </c>
      <c r="AG67" s="51"/>
      <c r="AH67" s="51"/>
      <c r="AI67" s="51"/>
      <c r="AJ67" s="51"/>
      <c r="AK67" s="11">
        <v>0</v>
      </c>
      <c r="AL67" s="51"/>
      <c r="AM67" s="51"/>
      <c r="AN67" s="51"/>
      <c r="AO67" s="51"/>
      <c r="AP67" s="11">
        <v>0</v>
      </c>
      <c r="AQ67" s="11">
        <v>0</v>
      </c>
      <c r="AR67" s="11">
        <v>0</v>
      </c>
      <c r="AS67" s="11">
        <v>0</v>
      </c>
      <c r="AT67" s="11">
        <v>0</v>
      </c>
      <c r="AU67" s="11">
        <v>0</v>
      </c>
      <c r="AV67" s="51"/>
      <c r="AW67" s="51"/>
      <c r="AX67" s="51"/>
      <c r="AY67" s="51"/>
      <c r="AZ67" s="11">
        <v>0</v>
      </c>
      <c r="BA67" s="51"/>
      <c r="BB67" s="51"/>
      <c r="BC67" s="51"/>
      <c r="BD67" s="51"/>
      <c r="BE67" s="11">
        <v>0</v>
      </c>
      <c r="BF67" s="51"/>
      <c r="BG67" s="51"/>
      <c r="BH67" s="51"/>
      <c r="BI67" s="51"/>
      <c r="BJ67" s="11">
        <v>0</v>
      </c>
      <c r="BK67" s="51"/>
      <c r="BL67" s="51"/>
      <c r="BM67" s="51"/>
      <c r="BN67" s="51"/>
      <c r="BO67" s="11">
        <v>0</v>
      </c>
      <c r="BP67" s="51"/>
      <c r="BQ67" s="51"/>
      <c r="BR67" s="51"/>
      <c r="BS67" s="51"/>
      <c r="BT67" s="51"/>
      <c r="BU67" s="51"/>
      <c r="BV67" s="51"/>
      <c r="BW67" s="51"/>
      <c r="BX67" s="51"/>
      <c r="BY67" s="51"/>
      <c r="BZ67" s="51"/>
      <c r="CA67" s="51"/>
      <c r="CB67" s="51"/>
      <c r="CC67" s="51"/>
      <c r="CD67" s="51"/>
    </row>
    <row r="68" spans="1:82">
      <c r="A68" s="39" t="s">
        <v>309</v>
      </c>
      <c r="B68" s="39"/>
      <c r="C68" s="39">
        <f>SUM(C65:C67)</f>
        <v>0</v>
      </c>
      <c r="D68" s="39">
        <f>SUM(D65:D67)</f>
        <v>0</v>
      </c>
      <c r="E68" s="39">
        <f>SUM(E65:E67)</f>
        <v>0</v>
      </c>
      <c r="F68" s="39">
        <f>SUM(F65:F67)</f>
        <v>0</v>
      </c>
      <c r="G68" s="39">
        <f>SUM(G65:G67)</f>
        <v>0</v>
      </c>
      <c r="H68" s="52"/>
      <c r="I68" s="52"/>
      <c r="J68" s="52"/>
      <c r="K68" s="52"/>
      <c r="L68" s="39">
        <f>SUM(L65:L67)</f>
        <v>0</v>
      </c>
      <c r="M68" s="52"/>
      <c r="N68" s="52"/>
      <c r="O68" s="52"/>
      <c r="P68" s="52"/>
      <c r="Q68" s="39">
        <f>SUM(Q65:Q67)</f>
        <v>0</v>
      </c>
      <c r="R68" s="52"/>
      <c r="S68" s="52"/>
      <c r="T68" s="52"/>
      <c r="U68" s="52"/>
      <c r="V68" s="39">
        <f>SUM(V65:V67)</f>
        <v>0</v>
      </c>
      <c r="W68" s="52"/>
      <c r="X68" s="52"/>
      <c r="Y68" s="52"/>
      <c r="Z68" s="52"/>
      <c r="AA68" s="39">
        <f>SUM(AA65:AA67)</f>
        <v>0</v>
      </c>
      <c r="AB68" s="52"/>
      <c r="AC68" s="52"/>
      <c r="AD68" s="52"/>
      <c r="AE68" s="52"/>
      <c r="AF68" s="39">
        <f>SUM(AF65:AF67)</f>
        <v>0</v>
      </c>
      <c r="AG68" s="52"/>
      <c r="AH68" s="52"/>
      <c r="AI68" s="52"/>
      <c r="AJ68" s="52"/>
      <c r="AK68" s="39">
        <f>SUM(AK65:AK67)</f>
        <v>0</v>
      </c>
      <c r="AL68" s="52"/>
      <c r="AM68" s="52"/>
      <c r="AN68" s="52"/>
      <c r="AO68" s="52"/>
      <c r="AP68" s="39">
        <v>0</v>
      </c>
      <c r="AQ68" s="39">
        <v>0</v>
      </c>
      <c r="AR68" s="39">
        <v>0</v>
      </c>
      <c r="AS68" s="39">
        <v>0</v>
      </c>
      <c r="AT68" s="39">
        <v>0</v>
      </c>
      <c r="AU68" s="39">
        <v>0</v>
      </c>
      <c r="AV68" s="52"/>
      <c r="AW68" s="52"/>
      <c r="AX68" s="52"/>
      <c r="AY68" s="52"/>
      <c r="AZ68" s="39">
        <v>0</v>
      </c>
      <c r="BA68" s="52"/>
      <c r="BB68" s="52"/>
      <c r="BC68" s="52"/>
      <c r="BD68" s="52"/>
      <c r="BE68" s="39">
        <v>0</v>
      </c>
      <c r="BF68" s="52"/>
      <c r="BG68" s="52"/>
      <c r="BH68" s="52"/>
      <c r="BI68" s="52"/>
      <c r="BJ68" s="39">
        <v>7</v>
      </c>
      <c r="BK68" s="52"/>
      <c r="BL68" s="52"/>
      <c r="BM68" s="52"/>
      <c r="BN68" s="52"/>
      <c r="BO68" s="39">
        <f>SUM(BO65:BO67)</f>
        <v>33</v>
      </c>
      <c r="BP68" s="77">
        <f t="shared" ref="BP68:CC68" si="4">BP230</f>
        <v>38.978999999999999</v>
      </c>
      <c r="BQ68" s="77">
        <f t="shared" si="4"/>
        <v>38.978999999999999</v>
      </c>
      <c r="BR68" s="77">
        <f t="shared" si="4"/>
        <v>38.978999999999999</v>
      </c>
      <c r="BS68" s="77">
        <f t="shared" si="4"/>
        <v>38.978999999999999</v>
      </c>
      <c r="BT68" s="90">
        <f>AVERAGE(BP68:BS68)</f>
        <v>38.978999999999999</v>
      </c>
      <c r="BU68" s="77">
        <f t="shared" si="4"/>
        <v>36.6</v>
      </c>
      <c r="BV68" s="77">
        <f t="shared" si="4"/>
        <v>36.6</v>
      </c>
      <c r="BW68" s="77">
        <f t="shared" si="4"/>
        <v>36.6</v>
      </c>
      <c r="BX68" s="77">
        <f t="shared" si="4"/>
        <v>36.6</v>
      </c>
      <c r="BY68" s="90">
        <f>AVERAGE(BU68:BX68)</f>
        <v>36.6</v>
      </c>
      <c r="BZ68" s="77">
        <f t="shared" si="4"/>
        <v>50.259000000000007</v>
      </c>
      <c r="CA68" s="77">
        <f t="shared" si="4"/>
        <v>50.259000000000007</v>
      </c>
      <c r="CB68" s="77">
        <f t="shared" si="4"/>
        <v>50.259000000000007</v>
      </c>
      <c r="CC68" s="77">
        <f t="shared" si="4"/>
        <v>50.259000000000007</v>
      </c>
      <c r="CD68" s="90">
        <f>AVERAGE(BZ68:CC68)</f>
        <v>50.259000000000007</v>
      </c>
    </row>
    <row r="69" spans="1:82">
      <c r="A69" s="11"/>
      <c r="B69" s="11"/>
      <c r="C69" s="11"/>
      <c r="D69" s="11"/>
      <c r="E69" s="11"/>
      <c r="F69" s="11"/>
      <c r="G69" s="11"/>
      <c r="H69" s="51"/>
      <c r="I69" s="51"/>
      <c r="J69" s="51"/>
      <c r="K69" s="51"/>
      <c r="L69" s="11"/>
      <c r="M69" s="51"/>
      <c r="N69" s="51"/>
      <c r="O69" s="51"/>
      <c r="P69" s="51"/>
      <c r="Q69" s="11"/>
      <c r="R69" s="51"/>
      <c r="S69" s="51"/>
      <c r="T69" s="51"/>
      <c r="U69" s="51"/>
      <c r="V69" s="11"/>
      <c r="W69" s="51"/>
      <c r="X69" s="51"/>
      <c r="Y69" s="51"/>
      <c r="Z69" s="51"/>
      <c r="AA69" s="11"/>
      <c r="AB69" s="51"/>
      <c r="AC69" s="51"/>
      <c r="AD69" s="51"/>
      <c r="AE69" s="51"/>
      <c r="AF69" s="11"/>
      <c r="AG69" s="51"/>
      <c r="AH69" s="51"/>
      <c r="AI69" s="51"/>
      <c r="AJ69" s="51"/>
      <c r="AK69" s="11"/>
      <c r="AL69" s="51"/>
      <c r="AM69" s="51"/>
      <c r="AN69" s="51"/>
      <c r="AO69" s="51"/>
      <c r="AP69" s="11"/>
      <c r="AQ69" s="51"/>
      <c r="AR69" s="51"/>
      <c r="AS69" s="51"/>
      <c r="AT69" s="51"/>
      <c r="AU69" s="11"/>
      <c r="AV69" s="51"/>
      <c r="AW69" s="51"/>
      <c r="AX69" s="51"/>
      <c r="AY69" s="5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  <c r="BU69" s="11"/>
      <c r="BV69" s="11"/>
      <c r="BW69" s="11"/>
      <c r="BX69" s="11"/>
      <c r="BY69" s="11"/>
      <c r="BZ69" s="11"/>
      <c r="CA69" s="11"/>
      <c r="CB69" s="11"/>
      <c r="CC69" s="11"/>
      <c r="CD69" s="11"/>
    </row>
    <row r="70" spans="1:82">
      <c r="A70" s="39" t="s">
        <v>310</v>
      </c>
      <c r="B70" s="11"/>
      <c r="C70" s="11"/>
      <c r="D70" s="11"/>
      <c r="E70" s="11"/>
      <c r="F70" s="11"/>
      <c r="G70" s="11"/>
      <c r="H70" s="51"/>
      <c r="I70" s="51"/>
      <c r="J70" s="51"/>
      <c r="K70" s="51"/>
      <c r="L70" s="11"/>
      <c r="M70" s="51"/>
      <c r="N70" s="51"/>
      <c r="O70" s="51"/>
      <c r="P70" s="51"/>
      <c r="Q70" s="11"/>
      <c r="R70" s="51"/>
      <c r="S70" s="51"/>
      <c r="T70" s="51"/>
      <c r="U70" s="51"/>
      <c r="V70" s="11"/>
      <c r="W70" s="51"/>
      <c r="X70" s="51"/>
      <c r="Y70" s="51"/>
      <c r="Z70" s="51"/>
      <c r="AA70" s="11"/>
      <c r="AB70" s="51"/>
      <c r="AC70" s="51"/>
      <c r="AD70" s="51"/>
      <c r="AE70" s="51"/>
      <c r="AF70" s="11"/>
      <c r="AG70" s="51"/>
      <c r="AH70" s="51"/>
      <c r="AI70" s="51"/>
      <c r="AJ70" s="51"/>
      <c r="AK70" s="11"/>
      <c r="AL70" s="51"/>
      <c r="AM70" s="51"/>
      <c r="AN70" s="51"/>
      <c r="AO70" s="51"/>
      <c r="AP70" s="11"/>
      <c r="AQ70" s="51"/>
      <c r="AR70" s="51"/>
      <c r="AS70" s="51"/>
      <c r="AT70" s="51"/>
      <c r="AU70" s="11"/>
      <c r="AV70" s="51"/>
      <c r="AW70" s="51"/>
      <c r="AX70" s="51"/>
      <c r="AY70" s="5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1"/>
      <c r="CB70" s="11"/>
      <c r="CC70" s="11"/>
      <c r="CD70" s="11"/>
    </row>
    <row r="71" spans="1:82">
      <c r="A71" s="11"/>
      <c r="B71" s="11" t="s">
        <v>728</v>
      </c>
      <c r="C71" s="11">
        <v>0</v>
      </c>
      <c r="D71" s="11">
        <v>0</v>
      </c>
      <c r="E71" s="11">
        <v>0</v>
      </c>
      <c r="F71" s="11">
        <v>0</v>
      </c>
      <c r="G71" s="11">
        <v>0</v>
      </c>
      <c r="H71" s="51"/>
      <c r="I71" s="51"/>
      <c r="J71" s="51"/>
      <c r="K71" s="51"/>
      <c r="L71" s="11">
        <v>0</v>
      </c>
      <c r="M71" s="51"/>
      <c r="N71" s="51"/>
      <c r="O71" s="51"/>
      <c r="P71" s="51"/>
      <c r="Q71" s="11">
        <v>0</v>
      </c>
      <c r="R71" s="51"/>
      <c r="S71" s="51"/>
      <c r="T71" s="51"/>
      <c r="U71" s="51"/>
      <c r="V71" s="11">
        <v>0</v>
      </c>
      <c r="W71" s="51"/>
      <c r="X71" s="51"/>
      <c r="Y71" s="51"/>
      <c r="Z71" s="51"/>
      <c r="AA71" s="11">
        <v>0</v>
      </c>
      <c r="AB71" s="51"/>
      <c r="AC71" s="51"/>
      <c r="AD71" s="51"/>
      <c r="AE71" s="51"/>
      <c r="AF71" s="11">
        <v>0</v>
      </c>
      <c r="AG71" s="51"/>
      <c r="AH71" s="51"/>
      <c r="AI71" s="51"/>
      <c r="AJ71" s="51"/>
      <c r="AK71" s="11">
        <v>0</v>
      </c>
      <c r="AL71" s="51"/>
      <c r="AM71" s="51"/>
      <c r="AN71" s="51"/>
      <c r="AO71" s="51"/>
      <c r="AP71" s="11">
        <v>0</v>
      </c>
      <c r="AQ71" s="11">
        <v>0</v>
      </c>
      <c r="AR71" s="11">
        <v>0</v>
      </c>
      <c r="AS71" s="11">
        <v>0</v>
      </c>
      <c r="AT71" s="11">
        <v>0</v>
      </c>
      <c r="AU71" s="11">
        <v>0</v>
      </c>
      <c r="AV71" s="51"/>
      <c r="AW71" s="51"/>
      <c r="AX71" s="51"/>
      <c r="AY71" s="51"/>
      <c r="AZ71" s="11">
        <v>0</v>
      </c>
      <c r="BA71" s="51"/>
      <c r="BB71" s="51"/>
      <c r="BC71" s="51"/>
      <c r="BD71" s="51"/>
      <c r="BE71" s="11">
        <v>0</v>
      </c>
      <c r="BF71" s="51"/>
      <c r="BG71" s="51"/>
      <c r="BH71" s="51"/>
      <c r="BI71" s="51"/>
      <c r="BJ71" s="11">
        <v>0</v>
      </c>
      <c r="BK71" s="51"/>
      <c r="BL71" s="51"/>
      <c r="BM71" s="51"/>
      <c r="BN71" s="51"/>
      <c r="BO71" s="11"/>
      <c r="BP71" s="51"/>
      <c r="BQ71" s="51"/>
      <c r="BR71" s="51"/>
      <c r="BS71" s="51"/>
      <c r="BT71" s="51"/>
      <c r="BU71" s="51"/>
      <c r="BV71" s="51"/>
      <c r="BW71" s="51"/>
      <c r="BX71" s="51"/>
      <c r="BY71" s="51"/>
      <c r="BZ71" s="51"/>
      <c r="CA71" s="51"/>
      <c r="CB71" s="51"/>
      <c r="CC71" s="51"/>
      <c r="CD71" s="51"/>
    </row>
    <row r="72" spans="1:82">
      <c r="A72" s="11"/>
      <c r="B72" s="11" t="s">
        <v>727</v>
      </c>
      <c r="C72" s="11">
        <v>0</v>
      </c>
      <c r="D72" s="11">
        <v>0</v>
      </c>
      <c r="E72" s="11">
        <v>0</v>
      </c>
      <c r="F72" s="11">
        <v>0</v>
      </c>
      <c r="G72" s="11">
        <v>0</v>
      </c>
      <c r="H72" s="51"/>
      <c r="I72" s="51"/>
      <c r="J72" s="51"/>
      <c r="K72" s="51"/>
      <c r="L72" s="11">
        <v>0</v>
      </c>
      <c r="M72" s="51"/>
      <c r="N72" s="51"/>
      <c r="O72" s="51"/>
      <c r="P72" s="51"/>
      <c r="Q72" s="11">
        <v>0</v>
      </c>
      <c r="R72" s="51"/>
      <c r="S72" s="51"/>
      <c r="T72" s="51"/>
      <c r="U72" s="51"/>
      <c r="V72" s="11">
        <v>0</v>
      </c>
      <c r="W72" s="51"/>
      <c r="X72" s="51"/>
      <c r="Y72" s="51"/>
      <c r="Z72" s="51"/>
      <c r="AA72" s="11">
        <v>0</v>
      </c>
      <c r="AB72" s="51"/>
      <c r="AC72" s="51"/>
      <c r="AD72" s="51"/>
      <c r="AE72" s="51"/>
      <c r="AF72" s="11">
        <v>0</v>
      </c>
      <c r="AG72" s="51"/>
      <c r="AH72" s="51"/>
      <c r="AI72" s="51"/>
      <c r="AJ72" s="51"/>
      <c r="AK72" s="11">
        <v>0</v>
      </c>
      <c r="AL72" s="51"/>
      <c r="AM72" s="51"/>
      <c r="AN72" s="51"/>
      <c r="AO72" s="51"/>
      <c r="AP72" s="11">
        <v>0</v>
      </c>
      <c r="AQ72" s="11">
        <v>0</v>
      </c>
      <c r="AR72" s="11">
        <v>0</v>
      </c>
      <c r="AS72" s="11">
        <v>0</v>
      </c>
      <c r="AT72" s="11">
        <v>0</v>
      </c>
      <c r="AU72" s="11">
        <v>0</v>
      </c>
      <c r="AV72" s="51"/>
      <c r="AW72" s="51"/>
      <c r="AX72" s="51"/>
      <c r="AY72" s="51"/>
      <c r="AZ72" s="11">
        <v>0</v>
      </c>
      <c r="BA72" s="51"/>
      <c r="BB72" s="51"/>
      <c r="BC72" s="51"/>
      <c r="BD72" s="51"/>
      <c r="BE72" s="11">
        <v>0</v>
      </c>
      <c r="BF72" s="51"/>
      <c r="BG72" s="51"/>
      <c r="BH72" s="51"/>
      <c r="BI72" s="51"/>
      <c r="BJ72" s="11">
        <v>0</v>
      </c>
      <c r="BK72" s="51"/>
      <c r="BL72" s="51"/>
      <c r="BM72" s="51"/>
      <c r="BN72" s="51"/>
      <c r="BO72" s="11"/>
      <c r="BP72" s="51"/>
      <c r="BQ72" s="51"/>
      <c r="BR72" s="51"/>
      <c r="BS72" s="51"/>
      <c r="BT72" s="51"/>
      <c r="BU72" s="51"/>
      <c r="BV72" s="51"/>
      <c r="BW72" s="51"/>
      <c r="BX72" s="51"/>
      <c r="BY72" s="51"/>
      <c r="BZ72" s="51"/>
      <c r="CA72" s="51"/>
      <c r="CB72" s="51"/>
      <c r="CC72" s="51"/>
      <c r="CD72" s="51"/>
    </row>
    <row r="73" spans="1:82">
      <c r="A73" s="39" t="s">
        <v>1993</v>
      </c>
      <c r="B73" s="39"/>
      <c r="C73" s="39">
        <f>SUM(C71:C72)</f>
        <v>0</v>
      </c>
      <c r="D73" s="39">
        <f>SUM(D71:D72)</f>
        <v>0</v>
      </c>
      <c r="E73" s="39">
        <f>SUM(E71:E72)</f>
        <v>0</v>
      </c>
      <c r="F73" s="39">
        <f>SUM(F71:F72)</f>
        <v>0</v>
      </c>
      <c r="G73" s="39">
        <f>SUM(G71:G72)</f>
        <v>0</v>
      </c>
      <c r="H73" s="52"/>
      <c r="I73" s="52"/>
      <c r="J73" s="52"/>
      <c r="K73" s="52"/>
      <c r="L73" s="39">
        <f>SUM(L71:L72)</f>
        <v>0</v>
      </c>
      <c r="M73" s="52"/>
      <c r="N73" s="52"/>
      <c r="O73" s="52"/>
      <c r="P73" s="52"/>
      <c r="Q73" s="39">
        <f>SUM(Q71:Q72)</f>
        <v>0</v>
      </c>
      <c r="R73" s="52"/>
      <c r="S73" s="52"/>
      <c r="T73" s="52"/>
      <c r="U73" s="52"/>
      <c r="V73" s="39">
        <f>SUM(V71:V72)</f>
        <v>0</v>
      </c>
      <c r="W73" s="52"/>
      <c r="X73" s="52"/>
      <c r="Y73" s="52"/>
      <c r="Z73" s="52"/>
      <c r="AA73" s="39">
        <f>SUM(AA71:AA72)</f>
        <v>0</v>
      </c>
      <c r="AB73" s="52"/>
      <c r="AC73" s="52"/>
      <c r="AD73" s="52"/>
      <c r="AE73" s="52"/>
      <c r="AF73" s="39">
        <f>SUM(AF71:AF72)</f>
        <v>0</v>
      </c>
      <c r="AG73" s="52"/>
      <c r="AH73" s="52"/>
      <c r="AI73" s="52"/>
      <c r="AJ73" s="52"/>
      <c r="AK73" s="39">
        <f>SUM(AK71:AK72)</f>
        <v>0</v>
      </c>
      <c r="AL73" s="52"/>
      <c r="AM73" s="52"/>
      <c r="AN73" s="52"/>
      <c r="AO73" s="52"/>
      <c r="AP73" s="39">
        <v>0</v>
      </c>
      <c r="AQ73" s="39">
        <v>0</v>
      </c>
      <c r="AR73" s="39">
        <v>0</v>
      </c>
      <c r="AS73" s="39">
        <v>0</v>
      </c>
      <c r="AT73" s="39">
        <v>0</v>
      </c>
      <c r="AU73" s="39">
        <v>0</v>
      </c>
      <c r="AV73" s="52"/>
      <c r="AW73" s="52"/>
      <c r="AX73" s="52"/>
      <c r="AY73" s="52"/>
      <c r="AZ73" s="39">
        <v>0</v>
      </c>
      <c r="BA73" s="52"/>
      <c r="BB73" s="52"/>
      <c r="BC73" s="52"/>
      <c r="BD73" s="52"/>
      <c r="BE73" s="39">
        <v>0</v>
      </c>
      <c r="BF73" s="52"/>
      <c r="BG73" s="52"/>
      <c r="BH73" s="52"/>
      <c r="BI73" s="52"/>
      <c r="BJ73" s="39">
        <v>0</v>
      </c>
      <c r="BK73" s="52"/>
      <c r="BL73" s="52"/>
      <c r="BM73" s="52"/>
      <c r="BN73" s="52"/>
      <c r="BO73" s="39">
        <v>0</v>
      </c>
      <c r="BP73" s="77">
        <f t="shared" ref="BP73:CC73" si="5">BP235</f>
        <v>0</v>
      </c>
      <c r="BQ73" s="77">
        <f t="shared" si="5"/>
        <v>0</v>
      </c>
      <c r="BR73" s="77">
        <f t="shared" si="5"/>
        <v>0</v>
      </c>
      <c r="BS73" s="77">
        <f t="shared" si="5"/>
        <v>0</v>
      </c>
      <c r="BT73" s="90">
        <f>AVERAGE(BP73:BS73)</f>
        <v>0</v>
      </c>
      <c r="BU73" s="77">
        <f t="shared" si="5"/>
        <v>0</v>
      </c>
      <c r="BV73" s="77">
        <f t="shared" si="5"/>
        <v>0</v>
      </c>
      <c r="BW73" s="77">
        <f t="shared" si="5"/>
        <v>0</v>
      </c>
      <c r="BX73" s="77">
        <f t="shared" si="5"/>
        <v>0</v>
      </c>
      <c r="BY73" s="90">
        <f>AVERAGE(BU73:BX73)</f>
        <v>0</v>
      </c>
      <c r="BZ73" s="77">
        <f t="shared" si="5"/>
        <v>0</v>
      </c>
      <c r="CA73" s="77">
        <f t="shared" si="5"/>
        <v>0</v>
      </c>
      <c r="CB73" s="77">
        <f t="shared" si="5"/>
        <v>0</v>
      </c>
      <c r="CC73" s="77">
        <f t="shared" si="5"/>
        <v>0</v>
      </c>
      <c r="CD73" s="90">
        <f>AVERAGE(BZ73:CC73)</f>
        <v>0</v>
      </c>
    </row>
    <row r="74" spans="1:82">
      <c r="A74" s="11"/>
      <c r="B74" s="11"/>
      <c r="C74" s="11"/>
      <c r="D74" s="11"/>
      <c r="E74" s="11"/>
      <c r="F74" s="11"/>
      <c r="G74" s="11"/>
      <c r="H74" s="51"/>
      <c r="I74" s="51"/>
      <c r="J74" s="51"/>
      <c r="K74" s="51"/>
      <c r="L74" s="11"/>
      <c r="M74" s="51"/>
      <c r="N74" s="51"/>
      <c r="O74" s="51"/>
      <c r="P74" s="51"/>
      <c r="Q74" s="11"/>
      <c r="R74" s="51"/>
      <c r="S74" s="51"/>
      <c r="T74" s="51"/>
      <c r="U74" s="51"/>
      <c r="V74" s="11"/>
      <c r="W74" s="51"/>
      <c r="X74" s="51"/>
      <c r="Y74" s="51"/>
      <c r="Z74" s="51"/>
      <c r="AA74" s="11"/>
      <c r="AB74" s="51"/>
      <c r="AC74" s="51"/>
      <c r="AD74" s="51"/>
      <c r="AE74" s="51"/>
      <c r="AF74" s="11"/>
      <c r="AG74" s="51"/>
      <c r="AH74" s="51"/>
      <c r="AI74" s="51"/>
      <c r="AJ74" s="51"/>
      <c r="AK74" s="11"/>
      <c r="AL74" s="51"/>
      <c r="AM74" s="51"/>
      <c r="AN74" s="51"/>
      <c r="AO74" s="51"/>
      <c r="AP74" s="11"/>
      <c r="AQ74" s="51"/>
      <c r="AR74" s="51"/>
      <c r="AS74" s="51"/>
      <c r="AT74" s="51"/>
      <c r="AU74" s="11"/>
      <c r="AV74" s="51"/>
      <c r="AW74" s="51"/>
      <c r="AX74" s="51"/>
      <c r="AY74" s="5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  <c r="BU74" s="11"/>
      <c r="BV74" s="11"/>
      <c r="BW74" s="11"/>
      <c r="BX74" s="11"/>
      <c r="BY74" s="11"/>
      <c r="BZ74" s="11"/>
      <c r="CA74" s="11"/>
      <c r="CB74" s="11"/>
      <c r="CC74" s="11"/>
      <c r="CD74" s="11"/>
    </row>
    <row r="75" spans="1:82">
      <c r="A75" s="39" t="s">
        <v>1994</v>
      </c>
      <c r="B75" s="11"/>
      <c r="C75" s="11"/>
      <c r="D75" s="11"/>
      <c r="E75" s="11"/>
      <c r="F75" s="11"/>
      <c r="G75" s="11"/>
      <c r="H75" s="51"/>
      <c r="I75" s="51"/>
      <c r="J75" s="51"/>
      <c r="K75" s="51"/>
      <c r="L75" s="11"/>
      <c r="M75" s="51"/>
      <c r="N75" s="51"/>
      <c r="O75" s="51"/>
      <c r="P75" s="51"/>
      <c r="Q75" s="11"/>
      <c r="R75" s="51"/>
      <c r="S75" s="51"/>
      <c r="T75" s="51"/>
      <c r="U75" s="51"/>
      <c r="V75" s="11"/>
      <c r="W75" s="51"/>
      <c r="X75" s="51"/>
      <c r="Y75" s="51"/>
      <c r="Z75" s="51"/>
      <c r="AA75" s="11"/>
      <c r="AB75" s="51"/>
      <c r="AC75" s="51"/>
      <c r="AD75" s="51"/>
      <c r="AE75" s="51"/>
      <c r="AF75" s="11"/>
      <c r="AG75" s="51"/>
      <c r="AH75" s="51"/>
      <c r="AI75" s="51"/>
      <c r="AJ75" s="51"/>
      <c r="AK75" s="11"/>
      <c r="AL75" s="51"/>
      <c r="AM75" s="51"/>
      <c r="AN75" s="51"/>
      <c r="AO75" s="51"/>
      <c r="AP75" s="11"/>
      <c r="AQ75" s="51"/>
      <c r="AR75" s="51"/>
      <c r="AS75" s="51"/>
      <c r="AT75" s="51"/>
      <c r="AU75" s="11"/>
      <c r="AV75" s="51"/>
      <c r="AW75" s="51"/>
      <c r="AX75" s="51"/>
      <c r="AY75" s="5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  <c r="BS75" s="11"/>
      <c r="BT75" s="11"/>
      <c r="BU75" s="11"/>
      <c r="BV75" s="11"/>
      <c r="BW75" s="11"/>
      <c r="BX75" s="11"/>
      <c r="BY75" s="11"/>
      <c r="BZ75" s="11"/>
      <c r="CA75" s="11"/>
      <c r="CB75" s="11"/>
      <c r="CC75" s="11"/>
      <c r="CD75" s="11"/>
    </row>
    <row r="76" spans="1:82">
      <c r="A76" s="11"/>
      <c r="B76" s="11" t="s">
        <v>2921</v>
      </c>
      <c r="C76" s="11">
        <v>50</v>
      </c>
      <c r="D76" s="11">
        <v>53</v>
      </c>
      <c r="E76" s="11">
        <v>60</v>
      </c>
      <c r="F76" s="11">
        <v>64</v>
      </c>
      <c r="G76" s="11">
        <v>67</v>
      </c>
      <c r="H76" s="51"/>
      <c r="I76" s="51"/>
      <c r="J76" s="51"/>
      <c r="K76" s="51"/>
      <c r="L76" s="11">
        <v>69</v>
      </c>
      <c r="M76" s="51"/>
      <c r="N76" s="51"/>
      <c r="O76" s="51"/>
      <c r="P76" s="51"/>
      <c r="Q76" s="11">
        <v>69</v>
      </c>
      <c r="R76" s="51"/>
      <c r="S76" s="51"/>
      <c r="T76" s="51"/>
      <c r="U76" s="51"/>
      <c r="V76" s="11">
        <v>70</v>
      </c>
      <c r="W76" s="51"/>
      <c r="X76" s="51"/>
      <c r="Y76" s="51"/>
      <c r="Z76" s="51"/>
      <c r="AA76" s="11">
        <v>75</v>
      </c>
      <c r="AB76" s="51"/>
      <c r="AC76" s="51"/>
      <c r="AD76" s="51"/>
      <c r="AE76" s="51"/>
      <c r="AF76" s="11">
        <v>75</v>
      </c>
      <c r="AG76" s="51"/>
      <c r="AH76" s="51"/>
      <c r="AI76" s="51"/>
      <c r="AJ76" s="51"/>
      <c r="AK76" s="11">
        <v>74</v>
      </c>
      <c r="AL76" s="51"/>
      <c r="AM76" s="51"/>
      <c r="AN76" s="51"/>
      <c r="AO76" s="51"/>
      <c r="AP76" s="11">
        <v>65</v>
      </c>
      <c r="AQ76" s="51"/>
      <c r="AR76" s="51"/>
      <c r="AS76" s="51"/>
      <c r="AT76" s="51"/>
      <c r="AU76" s="11">
        <v>63</v>
      </c>
      <c r="AV76" s="51"/>
      <c r="AW76" s="51"/>
      <c r="AX76" s="51"/>
      <c r="AY76" s="51"/>
      <c r="AZ76" s="11">
        <f>62+3</f>
        <v>65</v>
      </c>
      <c r="BA76" s="51"/>
      <c r="BB76" s="51"/>
      <c r="BC76" s="51"/>
      <c r="BD76" s="51"/>
      <c r="BE76" s="11">
        <f>65+3</f>
        <v>68</v>
      </c>
      <c r="BF76" s="51"/>
      <c r="BG76" s="51"/>
      <c r="BH76" s="51"/>
      <c r="BI76" s="51"/>
      <c r="BJ76" s="11">
        <f>62+1</f>
        <v>63</v>
      </c>
      <c r="BK76" s="51"/>
      <c r="BL76" s="51"/>
      <c r="BM76" s="51"/>
      <c r="BN76" s="51"/>
      <c r="BO76" s="11">
        <v>60</v>
      </c>
      <c r="BP76" s="51"/>
      <c r="BQ76" s="51"/>
      <c r="BR76" s="51"/>
      <c r="BS76" s="51"/>
      <c r="BT76" s="51"/>
      <c r="BU76" s="51"/>
      <c r="BV76" s="51"/>
      <c r="BW76" s="51"/>
      <c r="BX76" s="51"/>
      <c r="BY76" s="51"/>
      <c r="BZ76" s="51"/>
      <c r="CA76" s="51"/>
      <c r="CB76" s="51"/>
      <c r="CC76" s="51"/>
      <c r="CD76" s="51"/>
    </row>
    <row r="77" spans="1:82">
      <c r="A77" s="11"/>
      <c r="B77" s="11" t="s">
        <v>785</v>
      </c>
      <c r="C77" s="11">
        <v>0</v>
      </c>
      <c r="D77" s="11">
        <v>0</v>
      </c>
      <c r="E77" s="11">
        <v>0</v>
      </c>
      <c r="F77" s="11">
        <v>0</v>
      </c>
      <c r="G77" s="11">
        <v>0</v>
      </c>
      <c r="H77" s="51"/>
      <c r="I77" s="51"/>
      <c r="J77" s="51"/>
      <c r="K77" s="51"/>
      <c r="L77" s="11">
        <v>4</v>
      </c>
      <c r="M77" s="51"/>
      <c r="N77" s="51"/>
      <c r="O77" s="51"/>
      <c r="P77" s="51"/>
      <c r="Q77" s="11">
        <v>2</v>
      </c>
      <c r="R77" s="51"/>
      <c r="S77" s="51"/>
      <c r="T77" s="51"/>
      <c r="U77" s="51"/>
      <c r="V77" s="11">
        <v>3</v>
      </c>
      <c r="W77" s="51"/>
      <c r="X77" s="51"/>
      <c r="Y77" s="51"/>
      <c r="Z77" s="51"/>
      <c r="AA77" s="11">
        <v>1</v>
      </c>
      <c r="AB77" s="51"/>
      <c r="AC77" s="51"/>
      <c r="AD77" s="51"/>
      <c r="AE77" s="51"/>
      <c r="AF77" s="11">
        <v>0</v>
      </c>
      <c r="AG77" s="51"/>
      <c r="AH77" s="51"/>
      <c r="AI77" s="51"/>
      <c r="AJ77" s="51"/>
      <c r="AK77" s="11">
        <v>0</v>
      </c>
      <c r="AL77" s="51"/>
      <c r="AM77" s="51"/>
      <c r="AN77" s="51"/>
      <c r="AO77" s="51"/>
      <c r="AP77" s="11">
        <v>1</v>
      </c>
      <c r="AQ77" s="51"/>
      <c r="AR77" s="51"/>
      <c r="AS77" s="51"/>
      <c r="AT77" s="51"/>
      <c r="AU77" s="11">
        <v>2</v>
      </c>
      <c r="AV77" s="51"/>
      <c r="AW77" s="51"/>
      <c r="AX77" s="51"/>
      <c r="AY77" s="51"/>
      <c r="AZ77" s="11">
        <v>3</v>
      </c>
      <c r="BA77" s="51"/>
      <c r="BB77" s="51"/>
      <c r="BC77" s="51"/>
      <c r="BD77" s="51"/>
      <c r="BE77" s="11">
        <v>4</v>
      </c>
      <c r="BF77" s="51"/>
      <c r="BG77" s="51"/>
      <c r="BH77" s="51"/>
      <c r="BI77" s="51"/>
      <c r="BJ77" s="11">
        <v>4</v>
      </c>
      <c r="BK77" s="51"/>
      <c r="BL77" s="51"/>
      <c r="BM77" s="51"/>
      <c r="BN77" s="51"/>
      <c r="BO77" s="11">
        <v>3</v>
      </c>
      <c r="BP77" s="51"/>
      <c r="BQ77" s="51"/>
      <c r="BR77" s="51"/>
      <c r="BS77" s="51"/>
      <c r="BT77" s="51"/>
      <c r="BU77" s="51"/>
      <c r="BV77" s="51"/>
      <c r="BW77" s="51"/>
      <c r="BX77" s="51"/>
      <c r="BY77" s="51"/>
      <c r="BZ77" s="51"/>
      <c r="CA77" s="51"/>
      <c r="CB77" s="51"/>
      <c r="CC77" s="51"/>
      <c r="CD77" s="51"/>
    </row>
    <row r="78" spans="1:82">
      <c r="A78" s="11"/>
      <c r="B78" s="11" t="s">
        <v>2428</v>
      </c>
      <c r="C78" s="11">
        <v>0</v>
      </c>
      <c r="D78" s="11">
        <v>0</v>
      </c>
      <c r="E78" s="11">
        <v>0</v>
      </c>
      <c r="F78" s="11">
        <v>0</v>
      </c>
      <c r="G78" s="11">
        <v>0</v>
      </c>
      <c r="H78" s="51"/>
      <c r="I78" s="51"/>
      <c r="J78" s="51"/>
      <c r="K78" s="51"/>
      <c r="L78" s="11">
        <v>0</v>
      </c>
      <c r="M78" s="51"/>
      <c r="N78" s="51"/>
      <c r="O78" s="51"/>
      <c r="P78" s="51"/>
      <c r="Q78" s="11">
        <v>0</v>
      </c>
      <c r="R78" s="51"/>
      <c r="S78" s="51"/>
      <c r="T78" s="51"/>
      <c r="U78" s="51"/>
      <c r="V78" s="11">
        <v>0</v>
      </c>
      <c r="W78" s="51"/>
      <c r="X78" s="51"/>
      <c r="Y78" s="51"/>
      <c r="Z78" s="51"/>
      <c r="AA78" s="11">
        <v>0</v>
      </c>
      <c r="AB78" s="51"/>
      <c r="AC78" s="51"/>
      <c r="AD78" s="51"/>
      <c r="AE78" s="51"/>
      <c r="AF78" s="11">
        <v>0</v>
      </c>
      <c r="AG78" s="51"/>
      <c r="AH78" s="51"/>
      <c r="AI78" s="51"/>
      <c r="AJ78" s="51"/>
      <c r="AK78" s="11">
        <v>0</v>
      </c>
      <c r="AL78" s="11">
        <v>0</v>
      </c>
      <c r="AM78" s="11">
        <v>0</v>
      </c>
      <c r="AN78" s="11">
        <v>0</v>
      </c>
      <c r="AO78" s="11">
        <v>0</v>
      </c>
      <c r="AP78" s="11">
        <v>0</v>
      </c>
      <c r="AQ78" s="51"/>
      <c r="AR78" s="51"/>
      <c r="AS78" s="51"/>
      <c r="AT78" s="51"/>
      <c r="AU78" s="11">
        <v>0</v>
      </c>
      <c r="AV78" s="51"/>
      <c r="AW78" s="51"/>
      <c r="AX78" s="51"/>
      <c r="AY78" s="51"/>
      <c r="AZ78" s="11">
        <v>0</v>
      </c>
      <c r="BA78" s="51"/>
      <c r="BB78" s="51"/>
      <c r="BC78" s="51"/>
      <c r="BD78" s="51"/>
      <c r="BE78" s="11">
        <v>0</v>
      </c>
      <c r="BF78" s="51"/>
      <c r="BG78" s="51"/>
      <c r="BH78" s="51"/>
      <c r="BI78" s="51"/>
      <c r="BJ78" s="11">
        <v>0</v>
      </c>
      <c r="BK78" s="51"/>
      <c r="BL78" s="51"/>
      <c r="BM78" s="51"/>
      <c r="BN78" s="51"/>
      <c r="BO78" s="11">
        <v>0</v>
      </c>
      <c r="BP78" s="51"/>
      <c r="BQ78" s="51"/>
      <c r="BR78" s="51"/>
      <c r="BS78" s="51"/>
      <c r="BT78" s="51"/>
      <c r="BU78" s="51"/>
      <c r="BV78" s="51"/>
      <c r="BW78" s="51"/>
      <c r="BX78" s="51"/>
      <c r="BY78" s="51"/>
      <c r="BZ78" s="51"/>
      <c r="CA78" s="51"/>
      <c r="CB78" s="51"/>
      <c r="CC78" s="51"/>
      <c r="CD78" s="51"/>
    </row>
    <row r="79" spans="1:82">
      <c r="A79" s="11"/>
      <c r="B79" s="11" t="s">
        <v>2247</v>
      </c>
      <c r="C79" s="11">
        <v>0</v>
      </c>
      <c r="D79" s="11">
        <v>0</v>
      </c>
      <c r="E79" s="11">
        <v>0</v>
      </c>
      <c r="F79" s="11">
        <v>0</v>
      </c>
      <c r="G79" s="11">
        <v>0</v>
      </c>
      <c r="H79" s="51"/>
      <c r="I79" s="51"/>
      <c r="J79" s="51"/>
      <c r="K79" s="51"/>
      <c r="L79" s="11">
        <v>0</v>
      </c>
      <c r="M79" s="51"/>
      <c r="N79" s="51"/>
      <c r="O79" s="51"/>
      <c r="P79" s="51"/>
      <c r="Q79" s="11">
        <v>0</v>
      </c>
      <c r="R79" s="51"/>
      <c r="S79" s="51"/>
      <c r="T79" s="51"/>
      <c r="U79" s="51"/>
      <c r="V79" s="11">
        <v>0</v>
      </c>
      <c r="W79" s="51"/>
      <c r="X79" s="51"/>
      <c r="Y79" s="51"/>
      <c r="Z79" s="51"/>
      <c r="AA79" s="11">
        <v>0</v>
      </c>
      <c r="AB79" s="51"/>
      <c r="AC79" s="51"/>
      <c r="AD79" s="51"/>
      <c r="AE79" s="51"/>
      <c r="AF79" s="11">
        <v>0</v>
      </c>
      <c r="AG79" s="51"/>
      <c r="AH79" s="51"/>
      <c r="AI79" s="51"/>
      <c r="AJ79" s="51"/>
      <c r="AK79" s="11">
        <v>0</v>
      </c>
      <c r="AL79" s="11">
        <v>0</v>
      </c>
      <c r="AM79" s="11">
        <v>0</v>
      </c>
      <c r="AN79" s="11">
        <v>0</v>
      </c>
      <c r="AO79" s="11">
        <v>0</v>
      </c>
      <c r="AP79" s="11">
        <v>0</v>
      </c>
      <c r="AQ79" s="51"/>
      <c r="AR79" s="51"/>
      <c r="AS79" s="51"/>
      <c r="AT79" s="51"/>
      <c r="AU79" s="11">
        <v>0</v>
      </c>
      <c r="AV79" s="51"/>
      <c r="AW79" s="51"/>
      <c r="AX79" s="51"/>
      <c r="AY79" s="51"/>
      <c r="AZ79" s="11">
        <v>0</v>
      </c>
      <c r="BA79" s="51"/>
      <c r="BB79" s="51"/>
      <c r="BC79" s="51"/>
      <c r="BD79" s="51"/>
      <c r="BE79" s="11">
        <v>0</v>
      </c>
      <c r="BF79" s="51"/>
      <c r="BG79" s="51"/>
      <c r="BH79" s="51"/>
      <c r="BI79" s="51"/>
      <c r="BJ79" s="11">
        <v>0</v>
      </c>
      <c r="BK79" s="51"/>
      <c r="BL79" s="51"/>
      <c r="BM79" s="51"/>
      <c r="BN79" s="51"/>
      <c r="BO79" s="11">
        <v>0</v>
      </c>
      <c r="BP79" s="51"/>
      <c r="BQ79" s="51"/>
      <c r="BR79" s="51"/>
      <c r="BS79" s="51"/>
      <c r="BT79" s="51"/>
      <c r="BU79" s="51"/>
      <c r="BV79" s="51"/>
      <c r="BW79" s="51"/>
      <c r="BX79" s="51"/>
      <c r="BY79" s="51"/>
      <c r="BZ79" s="51"/>
      <c r="CA79" s="51"/>
      <c r="CB79" s="51"/>
      <c r="CC79" s="51"/>
      <c r="CD79" s="51"/>
    </row>
    <row r="80" spans="1:82">
      <c r="A80" s="11"/>
      <c r="B80" s="11" t="s">
        <v>1280</v>
      </c>
      <c r="C80" s="11">
        <v>0</v>
      </c>
      <c r="D80" s="11">
        <v>0</v>
      </c>
      <c r="E80" s="11">
        <v>0</v>
      </c>
      <c r="F80" s="11">
        <v>0</v>
      </c>
      <c r="G80" s="11">
        <v>0</v>
      </c>
      <c r="H80" s="51"/>
      <c r="I80" s="51"/>
      <c r="J80" s="51"/>
      <c r="K80" s="51"/>
      <c r="L80" s="11">
        <v>0</v>
      </c>
      <c r="M80" s="51"/>
      <c r="N80" s="51"/>
      <c r="O80" s="51"/>
      <c r="P80" s="51"/>
      <c r="Q80" s="11">
        <v>0</v>
      </c>
      <c r="R80" s="51"/>
      <c r="S80" s="51"/>
      <c r="T80" s="51"/>
      <c r="U80" s="51"/>
      <c r="V80" s="11">
        <v>0</v>
      </c>
      <c r="W80" s="51"/>
      <c r="X80" s="51"/>
      <c r="Y80" s="51"/>
      <c r="Z80" s="51"/>
      <c r="AA80" s="11">
        <v>0</v>
      </c>
      <c r="AB80" s="51"/>
      <c r="AC80" s="51"/>
      <c r="AD80" s="51"/>
      <c r="AE80" s="51"/>
      <c r="AF80" s="11">
        <v>0</v>
      </c>
      <c r="AG80" s="51"/>
      <c r="AH80" s="51"/>
      <c r="AI80" s="51"/>
      <c r="AJ80" s="51"/>
      <c r="AK80" s="11">
        <v>0</v>
      </c>
      <c r="AL80" s="11">
        <v>0</v>
      </c>
      <c r="AM80" s="11">
        <v>0</v>
      </c>
      <c r="AN80" s="11">
        <v>0</v>
      </c>
      <c r="AO80" s="11">
        <v>0</v>
      </c>
      <c r="AP80" s="11">
        <v>0</v>
      </c>
      <c r="AQ80" s="51"/>
      <c r="AR80" s="51"/>
      <c r="AS80" s="51"/>
      <c r="AT80" s="51"/>
      <c r="AU80" s="11">
        <v>0</v>
      </c>
      <c r="AV80" s="51"/>
      <c r="AW80" s="51"/>
      <c r="AX80" s="51"/>
      <c r="AY80" s="51"/>
      <c r="AZ80" s="11">
        <v>0</v>
      </c>
      <c r="BA80" s="51"/>
      <c r="BB80" s="51"/>
      <c r="BC80" s="51"/>
      <c r="BD80" s="51"/>
      <c r="BE80" s="11">
        <v>0</v>
      </c>
      <c r="BF80" s="51"/>
      <c r="BG80" s="51"/>
      <c r="BH80" s="51"/>
      <c r="BI80" s="51"/>
      <c r="BJ80" s="11">
        <v>0</v>
      </c>
      <c r="BK80" s="51"/>
      <c r="BL80" s="51"/>
      <c r="BM80" s="51"/>
      <c r="BN80" s="51"/>
      <c r="BO80" s="11">
        <v>0</v>
      </c>
      <c r="BP80" s="51"/>
      <c r="BQ80" s="51"/>
      <c r="BR80" s="51"/>
      <c r="BS80" s="51"/>
      <c r="BT80" s="51"/>
      <c r="BU80" s="51"/>
      <c r="BV80" s="51"/>
      <c r="BW80" s="51"/>
      <c r="BX80" s="51"/>
      <c r="BY80" s="51"/>
      <c r="BZ80" s="51"/>
      <c r="CA80" s="51"/>
      <c r="CB80" s="51"/>
      <c r="CC80" s="51"/>
      <c r="CD80" s="51"/>
    </row>
    <row r="81" spans="1:82">
      <c r="A81" s="11"/>
      <c r="B81" s="11" t="s">
        <v>1036</v>
      </c>
      <c r="C81" s="11">
        <v>0</v>
      </c>
      <c r="D81" s="11">
        <v>0</v>
      </c>
      <c r="E81" s="11">
        <v>0</v>
      </c>
      <c r="F81" s="11">
        <v>0</v>
      </c>
      <c r="G81" s="11">
        <v>0</v>
      </c>
      <c r="H81" s="51"/>
      <c r="I81" s="51"/>
      <c r="J81" s="51"/>
      <c r="K81" s="51"/>
      <c r="L81" s="11">
        <v>4</v>
      </c>
      <c r="M81" s="51"/>
      <c r="N81" s="51"/>
      <c r="O81" s="51"/>
      <c r="P81" s="51"/>
      <c r="Q81" s="11">
        <v>6</v>
      </c>
      <c r="R81" s="51"/>
      <c r="S81" s="51"/>
      <c r="T81" s="51"/>
      <c r="U81" s="51"/>
      <c r="V81" s="11">
        <v>19</v>
      </c>
      <c r="W81" s="51"/>
      <c r="X81" s="51"/>
      <c r="Y81" s="51"/>
      <c r="Z81" s="51"/>
      <c r="AA81" s="11">
        <v>25</v>
      </c>
      <c r="AB81" s="51"/>
      <c r="AC81" s="51"/>
      <c r="AD81" s="51"/>
      <c r="AE81" s="51"/>
      <c r="AF81" s="11">
        <v>23</v>
      </c>
      <c r="AG81" s="51"/>
      <c r="AH81" s="51"/>
      <c r="AI81" s="51"/>
      <c r="AJ81" s="51"/>
      <c r="AK81" s="11">
        <v>16</v>
      </c>
      <c r="AL81" s="51"/>
      <c r="AM81" s="51"/>
      <c r="AN81" s="51"/>
      <c r="AO81" s="51"/>
      <c r="AP81" s="11">
        <v>14</v>
      </c>
      <c r="AQ81" s="51"/>
      <c r="AR81" s="51"/>
      <c r="AS81" s="51"/>
      <c r="AT81" s="51"/>
      <c r="AU81" s="11">
        <v>0</v>
      </c>
      <c r="AV81" s="51"/>
      <c r="AW81" s="51"/>
      <c r="AX81" s="51"/>
      <c r="AY81" s="51"/>
      <c r="AZ81" s="11">
        <v>0</v>
      </c>
      <c r="BA81" s="51"/>
      <c r="BB81" s="51"/>
      <c r="BC81" s="51"/>
      <c r="BD81" s="51"/>
      <c r="BE81" s="11">
        <v>0</v>
      </c>
      <c r="BF81" s="51"/>
      <c r="BG81" s="51"/>
      <c r="BH81" s="51"/>
      <c r="BI81" s="51"/>
      <c r="BJ81" s="11">
        <v>0</v>
      </c>
      <c r="BK81" s="51"/>
      <c r="BL81" s="51"/>
      <c r="BM81" s="51"/>
      <c r="BN81" s="51"/>
      <c r="BO81" s="11">
        <v>0</v>
      </c>
      <c r="BP81" s="51"/>
      <c r="BQ81" s="51"/>
      <c r="BR81" s="51"/>
      <c r="BS81" s="51"/>
      <c r="BT81" s="51"/>
      <c r="BU81" s="51"/>
      <c r="BV81" s="51"/>
      <c r="BW81" s="51"/>
      <c r="BX81" s="51"/>
      <c r="BY81" s="51"/>
      <c r="BZ81" s="51"/>
      <c r="CA81" s="51"/>
      <c r="CB81" s="51"/>
      <c r="CC81" s="51"/>
      <c r="CD81" s="51"/>
    </row>
    <row r="82" spans="1:82">
      <c r="A82" s="39" t="s">
        <v>119</v>
      </c>
      <c r="B82" s="39"/>
      <c r="C82" s="39">
        <f>SUM(C76:C81)</f>
        <v>50</v>
      </c>
      <c r="D82" s="39">
        <f>SUM(D76:D81)</f>
        <v>53</v>
      </c>
      <c r="E82" s="39">
        <f>SUM(E76:E81)</f>
        <v>60</v>
      </c>
      <c r="F82" s="39">
        <f>SUM(F76:F81)</f>
        <v>64</v>
      </c>
      <c r="G82" s="39">
        <f>SUM(G76:G81)</f>
        <v>67</v>
      </c>
      <c r="H82" s="52"/>
      <c r="I82" s="52"/>
      <c r="J82" s="52"/>
      <c r="K82" s="52"/>
      <c r="L82" s="39">
        <f>SUM(L76:L81)</f>
        <v>77</v>
      </c>
      <c r="M82" s="52"/>
      <c r="N82" s="52"/>
      <c r="O82" s="52"/>
      <c r="P82" s="52"/>
      <c r="Q82" s="39">
        <f>SUM(Q76:Q81)</f>
        <v>77</v>
      </c>
      <c r="R82" s="52"/>
      <c r="S82" s="52"/>
      <c r="T82" s="52"/>
      <c r="U82" s="52"/>
      <c r="V82" s="39">
        <f>SUM(V76:V81)</f>
        <v>92</v>
      </c>
      <c r="W82" s="52"/>
      <c r="X82" s="52"/>
      <c r="Y82" s="52"/>
      <c r="Z82" s="52"/>
      <c r="AA82" s="39">
        <f>SUM(AA76:AA81)</f>
        <v>101</v>
      </c>
      <c r="AB82" s="52"/>
      <c r="AC82" s="52"/>
      <c r="AD82" s="52"/>
      <c r="AE82" s="52"/>
      <c r="AF82" s="39">
        <f>SUM(AF76:AF81)</f>
        <v>98</v>
      </c>
      <c r="AG82" s="52"/>
      <c r="AH82" s="52"/>
      <c r="AI82" s="52"/>
      <c r="AJ82" s="52"/>
      <c r="AK82" s="39">
        <f>SUM(AK76:AK81)</f>
        <v>90</v>
      </c>
      <c r="AL82" s="52"/>
      <c r="AM82" s="52"/>
      <c r="AN82" s="52"/>
      <c r="AO82" s="52"/>
      <c r="AP82" s="39">
        <f>SUM(AP76:AP81)</f>
        <v>80</v>
      </c>
      <c r="AQ82" s="52"/>
      <c r="AR82" s="52"/>
      <c r="AS82" s="52"/>
      <c r="AT82" s="52"/>
      <c r="AU82" s="39">
        <f>SUM(AU76:AU81)</f>
        <v>65</v>
      </c>
      <c r="AV82" s="52"/>
      <c r="AW82" s="52"/>
      <c r="AX82" s="52"/>
      <c r="AY82" s="52"/>
      <c r="AZ82" s="39">
        <f>SUM(AZ76:AZ81)</f>
        <v>68</v>
      </c>
      <c r="BA82" s="52"/>
      <c r="BB82" s="52"/>
      <c r="BC82" s="52"/>
      <c r="BD82" s="52"/>
      <c r="BE82" s="39">
        <f>SUM(BE76:BE81)</f>
        <v>72</v>
      </c>
      <c r="BF82" s="52"/>
      <c r="BG82" s="52"/>
      <c r="BH82" s="52"/>
      <c r="BI82" s="52"/>
      <c r="BJ82" s="39">
        <f>SUM(BJ76:BJ81)</f>
        <v>67</v>
      </c>
      <c r="BK82" s="52"/>
      <c r="BL82" s="52"/>
      <c r="BM82" s="52"/>
      <c r="BN82" s="52"/>
      <c r="BO82" s="39">
        <f>SUM(BO76:BO81)</f>
        <v>63</v>
      </c>
      <c r="BP82" s="77">
        <f t="shared" ref="BP82:CC82" si="6">BP244</f>
        <v>55.575000000000003</v>
      </c>
      <c r="BQ82" s="77">
        <f t="shared" si="6"/>
        <v>55.575000000000003</v>
      </c>
      <c r="BR82" s="77">
        <f t="shared" si="6"/>
        <v>55.575000000000003</v>
      </c>
      <c r="BS82" s="77">
        <f t="shared" si="6"/>
        <v>55.575000000000003</v>
      </c>
      <c r="BT82" s="90">
        <f>AVERAGE(BP82:BS82)</f>
        <v>55.575000000000003</v>
      </c>
      <c r="BU82" s="77">
        <f t="shared" si="6"/>
        <v>56.160000000000004</v>
      </c>
      <c r="BV82" s="77">
        <f t="shared" si="6"/>
        <v>56.160000000000004</v>
      </c>
      <c r="BW82" s="77">
        <f t="shared" si="6"/>
        <v>56.160000000000004</v>
      </c>
      <c r="BX82" s="77">
        <f t="shared" si="6"/>
        <v>56.160000000000004</v>
      </c>
      <c r="BY82" s="90">
        <f>AVERAGE(BU82:BX82)</f>
        <v>56.160000000000004</v>
      </c>
      <c r="BZ82" s="77">
        <f t="shared" si="6"/>
        <v>56.900000000000006</v>
      </c>
      <c r="CA82" s="77">
        <f t="shared" si="6"/>
        <v>56.900000000000006</v>
      </c>
      <c r="CB82" s="77">
        <f t="shared" si="6"/>
        <v>56.900000000000006</v>
      </c>
      <c r="CC82" s="77">
        <f t="shared" si="6"/>
        <v>56.900000000000006</v>
      </c>
      <c r="CD82" s="90">
        <f>AVERAGE(BZ82:CC82)</f>
        <v>56.900000000000006</v>
      </c>
    </row>
    <row r="83" spans="1:82">
      <c r="A83" s="11"/>
      <c r="B83" s="11"/>
      <c r="C83" s="11"/>
      <c r="D83" s="11"/>
      <c r="E83" s="11"/>
      <c r="F83" s="11"/>
      <c r="G83" s="11"/>
      <c r="H83" s="51"/>
      <c r="I83" s="51"/>
      <c r="J83" s="51"/>
      <c r="K83" s="51"/>
      <c r="L83" s="11"/>
      <c r="M83" s="51"/>
      <c r="N83" s="51"/>
      <c r="O83" s="51"/>
      <c r="P83" s="51"/>
      <c r="Q83" s="11"/>
      <c r="R83" s="51"/>
      <c r="S83" s="51"/>
      <c r="T83" s="51"/>
      <c r="U83" s="51"/>
      <c r="V83" s="11"/>
      <c r="W83" s="51"/>
      <c r="X83" s="51"/>
      <c r="Y83" s="51"/>
      <c r="Z83" s="51"/>
      <c r="AA83" s="11"/>
      <c r="AB83" s="51"/>
      <c r="AC83" s="51"/>
      <c r="AD83" s="51"/>
      <c r="AE83" s="51"/>
      <c r="AF83" s="11"/>
      <c r="AG83" s="51"/>
      <c r="AH83" s="51"/>
      <c r="AI83" s="51"/>
      <c r="AJ83" s="51"/>
      <c r="AK83" s="11"/>
      <c r="AL83" s="51"/>
      <c r="AM83" s="51"/>
      <c r="AN83" s="51"/>
      <c r="AO83" s="51"/>
      <c r="AP83" s="11"/>
      <c r="AQ83" s="51"/>
      <c r="AR83" s="51"/>
      <c r="AS83" s="51"/>
      <c r="AT83" s="51"/>
      <c r="AU83" s="11"/>
      <c r="AV83" s="51"/>
      <c r="AW83" s="51"/>
      <c r="AX83" s="51"/>
      <c r="AY83" s="5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  <c r="BU83" s="11"/>
      <c r="BV83" s="11"/>
      <c r="BW83" s="11"/>
      <c r="BX83" s="11"/>
      <c r="BY83" s="11"/>
      <c r="BZ83" s="11"/>
      <c r="CA83" s="11"/>
      <c r="CB83" s="11"/>
      <c r="CC83" s="11"/>
      <c r="CD83" s="11"/>
    </row>
    <row r="84" spans="1:82">
      <c r="A84" s="39" t="s">
        <v>120</v>
      </c>
      <c r="B84" s="11"/>
      <c r="C84" s="11"/>
      <c r="D84" s="11"/>
      <c r="E84" s="11"/>
      <c r="F84" s="11"/>
      <c r="G84" s="11"/>
      <c r="H84" s="51"/>
      <c r="I84" s="51"/>
      <c r="J84" s="51"/>
      <c r="K84" s="51"/>
      <c r="L84" s="11"/>
      <c r="M84" s="51"/>
      <c r="N84" s="51"/>
      <c r="O84" s="51"/>
      <c r="P84" s="51"/>
      <c r="Q84" s="11"/>
      <c r="R84" s="51"/>
      <c r="S84" s="51"/>
      <c r="T84" s="51"/>
      <c r="U84" s="51"/>
      <c r="V84" s="11"/>
      <c r="W84" s="51"/>
      <c r="X84" s="51"/>
      <c r="Y84" s="51"/>
      <c r="Z84" s="51"/>
      <c r="AA84" s="11"/>
      <c r="AB84" s="51"/>
      <c r="AC84" s="51"/>
      <c r="AD84" s="51"/>
      <c r="AE84" s="51"/>
      <c r="AF84" s="11"/>
      <c r="AG84" s="51"/>
      <c r="AH84" s="51"/>
      <c r="AI84" s="51"/>
      <c r="AJ84" s="51"/>
      <c r="AK84" s="11"/>
      <c r="AL84" s="51"/>
      <c r="AM84" s="51"/>
      <c r="AN84" s="51"/>
      <c r="AO84" s="51"/>
      <c r="AP84" s="11"/>
      <c r="AQ84" s="51"/>
      <c r="AR84" s="51"/>
      <c r="AS84" s="51"/>
      <c r="AT84" s="51"/>
      <c r="AU84" s="11"/>
      <c r="AV84" s="51"/>
      <c r="AW84" s="51"/>
      <c r="AX84" s="51"/>
      <c r="AY84" s="5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</row>
    <row r="85" spans="1:82">
      <c r="A85" s="11"/>
      <c r="B85" s="11" t="s">
        <v>1473</v>
      </c>
      <c r="C85" s="11">
        <v>0</v>
      </c>
      <c r="D85" s="11">
        <v>0</v>
      </c>
      <c r="E85" s="11">
        <v>0</v>
      </c>
      <c r="F85" s="11">
        <v>0</v>
      </c>
      <c r="G85" s="11">
        <v>0</v>
      </c>
      <c r="H85" s="51"/>
      <c r="I85" s="51"/>
      <c r="J85" s="51"/>
      <c r="K85" s="51"/>
      <c r="L85" s="11">
        <v>0</v>
      </c>
      <c r="M85" s="51"/>
      <c r="N85" s="51"/>
      <c r="O85" s="51"/>
      <c r="P85" s="51"/>
      <c r="Q85" s="11">
        <v>0</v>
      </c>
      <c r="R85" s="51"/>
      <c r="S85" s="51"/>
      <c r="T85" s="51"/>
      <c r="U85" s="51"/>
      <c r="V85" s="11">
        <v>0</v>
      </c>
      <c r="W85" s="51"/>
      <c r="X85" s="51"/>
      <c r="Y85" s="51"/>
      <c r="Z85" s="51"/>
      <c r="AA85" s="11">
        <v>0</v>
      </c>
      <c r="AB85" s="51"/>
      <c r="AC85" s="51"/>
      <c r="AD85" s="51"/>
      <c r="AE85" s="51"/>
      <c r="AF85" s="11">
        <v>0</v>
      </c>
      <c r="AG85" s="51"/>
      <c r="AH85" s="51"/>
      <c r="AI85" s="51"/>
      <c r="AJ85" s="51"/>
      <c r="AK85" s="11">
        <v>0</v>
      </c>
      <c r="AL85" s="51"/>
      <c r="AM85" s="51"/>
      <c r="AN85" s="51"/>
      <c r="AO85" s="51"/>
      <c r="AP85" s="11">
        <v>0</v>
      </c>
      <c r="AQ85" s="51"/>
      <c r="AR85" s="51"/>
      <c r="AS85" s="51"/>
      <c r="AT85" s="51"/>
      <c r="AU85" s="11">
        <v>0</v>
      </c>
      <c r="AV85" s="51"/>
      <c r="AW85" s="51"/>
      <c r="AX85" s="51"/>
      <c r="AY85" s="51"/>
      <c r="AZ85" s="11">
        <v>0</v>
      </c>
      <c r="BA85" s="51"/>
      <c r="BB85" s="51"/>
      <c r="BC85" s="51"/>
      <c r="BD85" s="51"/>
      <c r="BE85" s="11"/>
      <c r="BF85" s="51"/>
      <c r="BG85" s="51"/>
      <c r="BH85" s="51"/>
      <c r="BI85" s="51"/>
      <c r="BJ85" s="11"/>
      <c r="BK85" s="51"/>
      <c r="BL85" s="51"/>
      <c r="BM85" s="51"/>
      <c r="BN85" s="51"/>
      <c r="BO85" s="11"/>
      <c r="BP85" s="51"/>
      <c r="BQ85" s="51"/>
      <c r="BR85" s="51"/>
      <c r="BS85" s="51"/>
      <c r="BT85" s="51"/>
      <c r="BU85" s="51"/>
      <c r="BV85" s="51"/>
      <c r="BW85" s="51"/>
      <c r="BX85" s="51"/>
      <c r="BY85" s="51"/>
      <c r="BZ85" s="51"/>
      <c r="CA85" s="51"/>
      <c r="CB85" s="51"/>
      <c r="CC85" s="51"/>
      <c r="CD85" s="51"/>
    </row>
    <row r="86" spans="1:82">
      <c r="A86" s="11"/>
      <c r="B86" s="11" t="s">
        <v>1934</v>
      </c>
      <c r="C86" s="11">
        <v>0</v>
      </c>
      <c r="D86" s="11">
        <v>0</v>
      </c>
      <c r="E86" s="11">
        <v>0</v>
      </c>
      <c r="F86" s="11">
        <v>0</v>
      </c>
      <c r="G86" s="11">
        <v>0</v>
      </c>
      <c r="H86" s="51"/>
      <c r="I86" s="51"/>
      <c r="J86" s="51"/>
      <c r="K86" s="51"/>
      <c r="L86" s="11">
        <v>0</v>
      </c>
      <c r="M86" s="51"/>
      <c r="N86" s="51"/>
      <c r="O86" s="51"/>
      <c r="P86" s="51"/>
      <c r="Q86" s="11">
        <v>0</v>
      </c>
      <c r="R86" s="51"/>
      <c r="S86" s="51"/>
      <c r="T86" s="51"/>
      <c r="U86" s="51"/>
      <c r="V86" s="11">
        <v>0</v>
      </c>
      <c r="W86" s="51"/>
      <c r="X86" s="51"/>
      <c r="Y86" s="51"/>
      <c r="Z86" s="51"/>
      <c r="AA86" s="11">
        <v>0</v>
      </c>
      <c r="AB86" s="51"/>
      <c r="AC86" s="51"/>
      <c r="AD86" s="51"/>
      <c r="AE86" s="51"/>
      <c r="AF86" s="11">
        <v>0</v>
      </c>
      <c r="AG86" s="51"/>
      <c r="AH86" s="51"/>
      <c r="AI86" s="51"/>
      <c r="AJ86" s="51"/>
      <c r="AK86" s="11">
        <v>0</v>
      </c>
      <c r="AL86" s="51"/>
      <c r="AM86" s="51"/>
      <c r="AN86" s="51"/>
      <c r="AO86" s="51"/>
      <c r="AP86" s="11">
        <v>0</v>
      </c>
      <c r="AQ86" s="51"/>
      <c r="AR86" s="51"/>
      <c r="AS86" s="51"/>
      <c r="AT86" s="51"/>
      <c r="AU86" s="11">
        <v>0</v>
      </c>
      <c r="AV86" s="51"/>
      <c r="AW86" s="51"/>
      <c r="AX86" s="51"/>
      <c r="AY86" s="51"/>
      <c r="AZ86" s="11">
        <v>0</v>
      </c>
      <c r="BA86" s="51"/>
      <c r="BB86" s="51"/>
      <c r="BC86" s="51"/>
      <c r="BD86" s="51"/>
      <c r="BE86" s="11"/>
      <c r="BF86" s="51"/>
      <c r="BG86" s="51"/>
      <c r="BH86" s="51"/>
      <c r="BI86" s="51"/>
      <c r="BJ86" s="11">
        <v>1</v>
      </c>
      <c r="BK86" s="51"/>
      <c r="BL86" s="51"/>
      <c r="BM86" s="51"/>
      <c r="BN86" s="51"/>
      <c r="BO86" s="11">
        <f>4+1</f>
        <v>5</v>
      </c>
      <c r="BP86" s="51"/>
      <c r="BQ86" s="51"/>
      <c r="BR86" s="51"/>
      <c r="BS86" s="51"/>
      <c r="BT86" s="51"/>
      <c r="BU86" s="51"/>
      <c r="BV86" s="51"/>
      <c r="BW86" s="51"/>
      <c r="BX86" s="51"/>
      <c r="BY86" s="51"/>
      <c r="BZ86" s="51"/>
      <c r="CA86" s="51"/>
      <c r="CB86" s="51"/>
      <c r="CC86" s="51"/>
      <c r="CD86" s="51"/>
    </row>
    <row r="87" spans="1:82">
      <c r="A87" s="11"/>
      <c r="B87" s="11" t="s">
        <v>2251</v>
      </c>
      <c r="C87" s="11">
        <v>0</v>
      </c>
      <c r="D87" s="11">
        <v>0</v>
      </c>
      <c r="E87" s="11">
        <v>0</v>
      </c>
      <c r="F87" s="11">
        <v>0</v>
      </c>
      <c r="G87" s="11">
        <v>0</v>
      </c>
      <c r="H87" s="51"/>
      <c r="I87" s="51"/>
      <c r="J87" s="51"/>
      <c r="K87" s="51"/>
      <c r="L87" s="11">
        <v>0</v>
      </c>
      <c r="M87" s="51"/>
      <c r="N87" s="51"/>
      <c r="O87" s="51"/>
      <c r="P87" s="51"/>
      <c r="Q87" s="11">
        <v>0</v>
      </c>
      <c r="R87" s="51"/>
      <c r="S87" s="51"/>
      <c r="T87" s="51"/>
      <c r="U87" s="51"/>
      <c r="V87" s="11">
        <v>0</v>
      </c>
      <c r="W87" s="51"/>
      <c r="X87" s="51"/>
      <c r="Y87" s="51"/>
      <c r="Z87" s="51"/>
      <c r="AA87" s="11">
        <v>0</v>
      </c>
      <c r="AB87" s="51"/>
      <c r="AC87" s="51"/>
      <c r="AD87" s="51"/>
      <c r="AE87" s="51"/>
      <c r="AF87" s="11">
        <v>0</v>
      </c>
      <c r="AG87" s="51"/>
      <c r="AH87" s="51"/>
      <c r="AI87" s="51"/>
      <c r="AJ87" s="51"/>
      <c r="AK87" s="11">
        <v>0</v>
      </c>
      <c r="AL87" s="51"/>
      <c r="AM87" s="51"/>
      <c r="AN87" s="51"/>
      <c r="AO87" s="51"/>
      <c r="AP87" s="11">
        <v>0</v>
      </c>
      <c r="AQ87" s="51"/>
      <c r="AR87" s="51"/>
      <c r="AS87" s="51"/>
      <c r="AT87" s="51"/>
      <c r="AU87" s="11">
        <v>0</v>
      </c>
      <c r="AV87" s="51"/>
      <c r="AW87" s="51"/>
      <c r="AX87" s="51"/>
      <c r="AY87" s="51"/>
      <c r="AZ87" s="11">
        <v>4</v>
      </c>
      <c r="BA87" s="51"/>
      <c r="BB87" s="51"/>
      <c r="BC87" s="51"/>
      <c r="BD87" s="51"/>
      <c r="BE87" s="11">
        <v>3</v>
      </c>
      <c r="BF87" s="51"/>
      <c r="BG87" s="51"/>
      <c r="BH87" s="51"/>
      <c r="BI87" s="51"/>
      <c r="BJ87" s="11">
        <v>3</v>
      </c>
      <c r="BK87" s="51"/>
      <c r="BL87" s="51"/>
      <c r="BM87" s="51"/>
      <c r="BN87" s="51"/>
      <c r="BO87" s="11">
        <v>2</v>
      </c>
      <c r="BP87" s="51"/>
      <c r="BQ87" s="51"/>
      <c r="BR87" s="51"/>
      <c r="BS87" s="51"/>
      <c r="BT87" s="51"/>
      <c r="BU87" s="51"/>
      <c r="BV87" s="51"/>
      <c r="BW87" s="51"/>
      <c r="BX87" s="51"/>
      <c r="BY87" s="51"/>
      <c r="BZ87" s="51"/>
      <c r="CA87" s="51"/>
      <c r="CB87" s="51"/>
      <c r="CC87" s="51"/>
      <c r="CD87" s="51"/>
    </row>
    <row r="88" spans="1:82">
      <c r="A88" s="39" t="s">
        <v>2461</v>
      </c>
      <c r="B88" s="39"/>
      <c r="C88" s="39">
        <f>SUM(C85:C87)</f>
        <v>0</v>
      </c>
      <c r="D88" s="39">
        <f>SUM(D85:D87)</f>
        <v>0</v>
      </c>
      <c r="E88" s="39">
        <f>SUM(E85:E87)</f>
        <v>0</v>
      </c>
      <c r="F88" s="39">
        <f>SUM(F85:F87)</f>
        <v>0</v>
      </c>
      <c r="G88" s="39">
        <f>SUM(G85:G87)</f>
        <v>0</v>
      </c>
      <c r="H88" s="52"/>
      <c r="I88" s="52"/>
      <c r="J88" s="52"/>
      <c r="K88" s="52"/>
      <c r="L88" s="39">
        <f>SUM(L85:L87)</f>
        <v>0</v>
      </c>
      <c r="M88" s="52"/>
      <c r="N88" s="52"/>
      <c r="O88" s="52"/>
      <c r="P88" s="52"/>
      <c r="Q88" s="39">
        <f>SUM(Q85:Q87)</f>
        <v>0</v>
      </c>
      <c r="R88" s="52"/>
      <c r="S88" s="52"/>
      <c r="T88" s="52"/>
      <c r="U88" s="52"/>
      <c r="V88" s="39">
        <f>SUM(V85:V87)</f>
        <v>0</v>
      </c>
      <c r="W88" s="52"/>
      <c r="X88" s="52"/>
      <c r="Y88" s="52"/>
      <c r="Z88" s="52"/>
      <c r="AA88" s="39">
        <f>SUM(AA85:AA87)</f>
        <v>0</v>
      </c>
      <c r="AB88" s="52"/>
      <c r="AC88" s="52"/>
      <c r="AD88" s="52"/>
      <c r="AE88" s="52"/>
      <c r="AF88" s="39">
        <f>SUM(AF85:AF87)</f>
        <v>0</v>
      </c>
      <c r="AG88" s="52"/>
      <c r="AH88" s="52"/>
      <c r="AI88" s="52"/>
      <c r="AJ88" s="52"/>
      <c r="AK88" s="39">
        <f>SUM(AK85:AK87)</f>
        <v>0</v>
      </c>
      <c r="AL88" s="52"/>
      <c r="AM88" s="52"/>
      <c r="AN88" s="52"/>
      <c r="AO88" s="52"/>
      <c r="AP88" s="39">
        <v>0</v>
      </c>
      <c r="AQ88" s="52"/>
      <c r="AR88" s="52"/>
      <c r="AS88" s="52"/>
      <c r="AT88" s="52"/>
      <c r="AU88" s="39">
        <v>0</v>
      </c>
      <c r="AV88" s="52"/>
      <c r="AW88" s="52"/>
      <c r="AX88" s="52"/>
      <c r="AY88" s="52"/>
      <c r="AZ88" s="39">
        <v>4</v>
      </c>
      <c r="BA88" s="52"/>
      <c r="BB88" s="52"/>
      <c r="BC88" s="52"/>
      <c r="BD88" s="52"/>
      <c r="BE88" s="39">
        <f>SUM(BE85:BE87)</f>
        <v>3</v>
      </c>
      <c r="BF88" s="52"/>
      <c r="BG88" s="52"/>
      <c r="BH88" s="52"/>
      <c r="BI88" s="52"/>
      <c r="BJ88" s="39">
        <f>SUM(BJ85:BJ87)</f>
        <v>4</v>
      </c>
      <c r="BK88" s="52"/>
      <c r="BL88" s="52"/>
      <c r="BM88" s="52"/>
      <c r="BN88" s="52"/>
      <c r="BO88" s="39">
        <f>SUM(BO85:BO87)</f>
        <v>7</v>
      </c>
      <c r="BP88" s="77">
        <f t="shared" ref="BP88:CC88" si="7">BP250</f>
        <v>0</v>
      </c>
      <c r="BQ88" s="77">
        <f t="shared" si="7"/>
        <v>0</v>
      </c>
      <c r="BR88" s="77">
        <f t="shared" si="7"/>
        <v>0</v>
      </c>
      <c r="BS88" s="77">
        <f t="shared" si="7"/>
        <v>0</v>
      </c>
      <c r="BT88" s="90">
        <f>AVERAGE(BP88:BS88)</f>
        <v>0</v>
      </c>
      <c r="BU88" s="77">
        <f t="shared" si="7"/>
        <v>0</v>
      </c>
      <c r="BV88" s="77">
        <f t="shared" si="7"/>
        <v>0</v>
      </c>
      <c r="BW88" s="77">
        <f t="shared" si="7"/>
        <v>0</v>
      </c>
      <c r="BX88" s="77">
        <f t="shared" si="7"/>
        <v>0</v>
      </c>
      <c r="BY88" s="90">
        <f>AVERAGE(BU88:BX88)</f>
        <v>0</v>
      </c>
      <c r="BZ88" s="77">
        <f t="shared" si="7"/>
        <v>0</v>
      </c>
      <c r="CA88" s="77">
        <f t="shared" si="7"/>
        <v>0</v>
      </c>
      <c r="CB88" s="77">
        <f t="shared" si="7"/>
        <v>0</v>
      </c>
      <c r="CC88" s="77">
        <f t="shared" si="7"/>
        <v>0</v>
      </c>
      <c r="CD88" s="90">
        <f>AVERAGE(BZ88:CC88)</f>
        <v>0</v>
      </c>
    </row>
    <row r="89" spans="1:82">
      <c r="A89" s="11"/>
      <c r="B89" s="11"/>
      <c r="C89" s="11"/>
      <c r="D89" s="11"/>
      <c r="E89" s="11"/>
      <c r="F89" s="11"/>
      <c r="G89" s="11"/>
      <c r="H89" s="51"/>
      <c r="I89" s="51"/>
      <c r="J89" s="51"/>
      <c r="K89" s="51"/>
      <c r="L89" s="11"/>
      <c r="M89" s="51"/>
      <c r="N89" s="51"/>
      <c r="O89" s="51"/>
      <c r="P89" s="51"/>
      <c r="Q89" s="11"/>
      <c r="R89" s="51"/>
      <c r="S89" s="51"/>
      <c r="T89" s="51"/>
      <c r="U89" s="51"/>
      <c r="V89" s="11"/>
      <c r="W89" s="51"/>
      <c r="X89" s="51"/>
      <c r="Y89" s="51"/>
      <c r="Z89" s="51"/>
      <c r="AA89" s="11"/>
      <c r="AB89" s="51"/>
      <c r="AC89" s="51"/>
      <c r="AD89" s="51"/>
      <c r="AE89" s="51"/>
      <c r="AF89" s="11"/>
      <c r="AG89" s="51"/>
      <c r="AH89" s="51"/>
      <c r="AI89" s="51"/>
      <c r="AJ89" s="51"/>
      <c r="AK89" s="11"/>
      <c r="AL89" s="51"/>
      <c r="AM89" s="51"/>
      <c r="AN89" s="51"/>
      <c r="AO89" s="51"/>
      <c r="AP89" s="11"/>
      <c r="AQ89" s="51"/>
      <c r="AR89" s="51"/>
      <c r="AS89" s="51"/>
      <c r="AT89" s="51"/>
      <c r="AU89" s="11"/>
      <c r="AV89" s="51"/>
      <c r="AW89" s="51"/>
      <c r="AX89" s="51"/>
      <c r="AY89" s="5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11"/>
      <c r="BY89" s="11"/>
      <c r="BZ89" s="11"/>
      <c r="CA89" s="11"/>
      <c r="CB89" s="11"/>
      <c r="CC89" s="11"/>
      <c r="CD89" s="11"/>
    </row>
    <row r="90" spans="1:82">
      <c r="A90" s="39" t="s">
        <v>2462</v>
      </c>
      <c r="B90" s="11"/>
      <c r="C90" s="11"/>
      <c r="D90" s="11"/>
      <c r="E90" s="11"/>
      <c r="F90" s="11"/>
      <c r="G90" s="11"/>
      <c r="H90" s="51"/>
      <c r="I90" s="51"/>
      <c r="J90" s="51"/>
      <c r="K90" s="51"/>
      <c r="L90" s="11"/>
      <c r="M90" s="51"/>
      <c r="N90" s="51"/>
      <c r="O90" s="51"/>
      <c r="P90" s="51"/>
      <c r="Q90" s="11"/>
      <c r="R90" s="51"/>
      <c r="S90" s="51"/>
      <c r="T90" s="51"/>
      <c r="U90" s="51"/>
      <c r="V90" s="11"/>
      <c r="W90" s="51"/>
      <c r="X90" s="51"/>
      <c r="Y90" s="51"/>
      <c r="Z90" s="51"/>
      <c r="AA90" s="11"/>
      <c r="AB90" s="51"/>
      <c r="AC90" s="51"/>
      <c r="AD90" s="51"/>
      <c r="AE90" s="51"/>
      <c r="AF90" s="11"/>
      <c r="AG90" s="51"/>
      <c r="AH90" s="51"/>
      <c r="AI90" s="51"/>
      <c r="AJ90" s="51"/>
      <c r="AK90" s="11"/>
      <c r="AL90" s="51"/>
      <c r="AM90" s="51"/>
      <c r="AN90" s="51"/>
      <c r="AO90" s="51"/>
      <c r="AP90" s="11"/>
      <c r="AQ90" s="51"/>
      <c r="AR90" s="51"/>
      <c r="AS90" s="51"/>
      <c r="AT90" s="51"/>
      <c r="AU90" s="11"/>
      <c r="AV90" s="51"/>
      <c r="AW90" s="51"/>
      <c r="AX90" s="51"/>
      <c r="AY90" s="5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  <c r="BU90" s="11"/>
      <c r="BV90" s="11"/>
      <c r="BW90" s="11"/>
      <c r="BX90" s="11"/>
      <c r="BY90" s="11"/>
      <c r="BZ90" s="11"/>
      <c r="CA90" s="11"/>
      <c r="CB90" s="11"/>
      <c r="CC90" s="11"/>
      <c r="CD90" s="11"/>
    </row>
    <row r="91" spans="1:82">
      <c r="A91" s="39"/>
      <c r="B91" s="11" t="s">
        <v>2502</v>
      </c>
      <c r="C91" s="11">
        <v>126</v>
      </c>
      <c r="D91" s="11">
        <v>113</v>
      </c>
      <c r="E91" s="11">
        <v>138</v>
      </c>
      <c r="F91" s="11">
        <v>142</v>
      </c>
      <c r="G91" s="11">
        <v>148</v>
      </c>
      <c r="H91" s="51"/>
      <c r="I91" s="51"/>
      <c r="J91" s="51"/>
      <c r="K91" s="51"/>
      <c r="L91" s="11">
        <v>163</v>
      </c>
      <c r="M91" s="51"/>
      <c r="N91" s="51"/>
      <c r="O91" s="51"/>
      <c r="P91" s="51"/>
      <c r="Q91" s="11">
        <v>192</v>
      </c>
      <c r="R91" s="51"/>
      <c r="S91" s="51"/>
      <c r="T91" s="51"/>
      <c r="U91" s="51"/>
      <c r="V91" s="11">
        <v>210</v>
      </c>
      <c r="W91" s="51"/>
      <c r="X91" s="51"/>
      <c r="Y91" s="51"/>
      <c r="Z91" s="51"/>
      <c r="AA91" s="11">
        <v>182</v>
      </c>
      <c r="AB91" s="51"/>
      <c r="AC91" s="51"/>
      <c r="AD91" s="51"/>
      <c r="AE91" s="51"/>
      <c r="AF91" s="11">
        <v>190</v>
      </c>
      <c r="AG91" s="51"/>
      <c r="AH91" s="51"/>
      <c r="AI91" s="51"/>
      <c r="AJ91" s="51"/>
      <c r="AK91" s="88">
        <v>209</v>
      </c>
      <c r="AL91" s="51"/>
      <c r="AM91" s="51"/>
      <c r="AN91" s="51"/>
      <c r="AO91" s="51"/>
      <c r="AP91" s="88">
        <v>216</v>
      </c>
      <c r="AQ91" s="51"/>
      <c r="AR91" s="51"/>
      <c r="AS91" s="51"/>
      <c r="AT91" s="51"/>
      <c r="AU91" s="88">
        <v>231</v>
      </c>
      <c r="AV91" s="51"/>
      <c r="AW91" s="51"/>
      <c r="AX91" s="51"/>
      <c r="AY91" s="51"/>
      <c r="AZ91" s="88">
        <v>97</v>
      </c>
      <c r="BA91" s="51"/>
      <c r="BB91" s="51"/>
      <c r="BC91" s="51"/>
      <c r="BD91" s="51"/>
      <c r="BE91" s="88">
        <v>96</v>
      </c>
      <c r="BF91" s="51"/>
      <c r="BG91" s="51"/>
      <c r="BH91" s="51"/>
      <c r="BI91" s="51"/>
      <c r="BJ91" s="88">
        <v>101</v>
      </c>
      <c r="BK91" s="51"/>
      <c r="BL91" s="51"/>
      <c r="BM91" s="51"/>
      <c r="BN91" s="51"/>
      <c r="BO91" s="88">
        <v>99</v>
      </c>
      <c r="BP91" s="87">
        <f>BP253+BP361</f>
        <v>19.8</v>
      </c>
      <c r="BQ91" s="87">
        <f>BQ253+BQ361</f>
        <v>19.8</v>
      </c>
      <c r="BR91" s="87">
        <f>BR253+BR361</f>
        <v>19.8</v>
      </c>
      <c r="BS91" s="87">
        <f>BS253+BS361</f>
        <v>19.8</v>
      </c>
      <c r="BT91" s="88">
        <f>AVERAGE(BP91:BS91)</f>
        <v>19.8</v>
      </c>
      <c r="BU91" s="87">
        <f>BU253+BU361</f>
        <v>0</v>
      </c>
      <c r="BV91" s="87">
        <f>BV253+BV361</f>
        <v>0</v>
      </c>
      <c r="BW91" s="87">
        <f>BW253+BW361</f>
        <v>0</v>
      </c>
      <c r="BX91" s="87">
        <f>BX253+BX361</f>
        <v>0</v>
      </c>
      <c r="BY91" s="88">
        <f>AVERAGE(BU91:BX91)</f>
        <v>0</v>
      </c>
      <c r="BZ91" s="87">
        <f>BZ253+BZ361</f>
        <v>0</v>
      </c>
      <c r="CA91" s="87">
        <f>CA253+CA361</f>
        <v>0</v>
      </c>
      <c r="CB91" s="87">
        <f>CB253+CB361</f>
        <v>0</v>
      </c>
      <c r="CC91" s="87">
        <f>CC253+CC361</f>
        <v>0</v>
      </c>
      <c r="CD91" s="88">
        <f>AVERAGE(BZ91:CC91)</f>
        <v>0</v>
      </c>
    </row>
    <row r="92" spans="1:82">
      <c r="A92" s="11"/>
      <c r="B92" s="11" t="s">
        <v>726</v>
      </c>
      <c r="C92" s="11">
        <v>0</v>
      </c>
      <c r="D92" s="11">
        <v>0</v>
      </c>
      <c r="E92" s="11">
        <v>0</v>
      </c>
      <c r="F92" s="11">
        <v>0</v>
      </c>
      <c r="G92" s="11">
        <v>0</v>
      </c>
      <c r="H92" s="51"/>
      <c r="I92" s="51"/>
      <c r="J92" s="51"/>
      <c r="K92" s="51"/>
      <c r="L92" s="11">
        <v>0</v>
      </c>
      <c r="M92" s="51"/>
      <c r="N92" s="51"/>
      <c r="O92" s="51"/>
      <c r="P92" s="51"/>
      <c r="Q92" s="11">
        <v>0</v>
      </c>
      <c r="R92" s="51"/>
      <c r="S92" s="51"/>
      <c r="T92" s="51"/>
      <c r="U92" s="51"/>
      <c r="V92" s="11">
        <v>0</v>
      </c>
      <c r="W92" s="51"/>
      <c r="X92" s="51"/>
      <c r="Y92" s="51"/>
      <c r="Z92" s="51"/>
      <c r="AA92" s="11">
        <v>0</v>
      </c>
      <c r="AB92" s="51"/>
      <c r="AC92" s="51"/>
      <c r="AD92" s="51"/>
      <c r="AE92" s="51"/>
      <c r="AF92" s="11">
        <v>0</v>
      </c>
      <c r="AG92" s="51"/>
      <c r="AH92" s="51"/>
      <c r="AI92" s="51"/>
      <c r="AJ92" s="51"/>
      <c r="AK92" s="11">
        <v>0</v>
      </c>
      <c r="AL92" s="51"/>
      <c r="AM92" s="51"/>
      <c r="AN92" s="51"/>
      <c r="AO92" s="51"/>
      <c r="AP92" s="11">
        <v>0</v>
      </c>
      <c r="AQ92" s="51"/>
      <c r="AR92" s="51"/>
      <c r="AS92" s="51"/>
      <c r="AT92" s="51"/>
      <c r="AU92" s="11">
        <v>0</v>
      </c>
      <c r="AV92" s="11">
        <v>0</v>
      </c>
      <c r="AW92" s="11">
        <v>0</v>
      </c>
      <c r="AX92" s="11">
        <v>0</v>
      </c>
      <c r="AY92" s="11">
        <v>0</v>
      </c>
      <c r="AZ92" s="11">
        <v>0</v>
      </c>
      <c r="BA92" s="51"/>
      <c r="BB92" s="51"/>
      <c r="BC92" s="51"/>
      <c r="BD92" s="51"/>
      <c r="BE92" s="11">
        <v>0</v>
      </c>
      <c r="BF92" s="51"/>
      <c r="BG92" s="51"/>
      <c r="BH92" s="51"/>
      <c r="BI92" s="51"/>
      <c r="BJ92" s="11">
        <v>0</v>
      </c>
      <c r="BK92" s="51"/>
      <c r="BL92" s="51"/>
      <c r="BM92" s="51"/>
      <c r="BN92" s="51"/>
      <c r="BO92" s="11"/>
      <c r="BP92" s="51"/>
      <c r="BQ92" s="51"/>
      <c r="BR92" s="51"/>
      <c r="BS92" s="51"/>
      <c r="BT92" s="51"/>
      <c r="BU92" s="51"/>
      <c r="BV92" s="51"/>
      <c r="BW92" s="51"/>
      <c r="BX92" s="51"/>
      <c r="BY92" s="51"/>
      <c r="BZ92" s="51"/>
      <c r="CA92" s="51"/>
      <c r="CB92" s="51"/>
      <c r="CC92" s="51"/>
      <c r="CD92" s="51"/>
    </row>
    <row r="93" spans="1:82">
      <c r="A93" s="11"/>
      <c r="B93" s="11" t="s">
        <v>216</v>
      </c>
      <c r="C93" s="11">
        <v>0</v>
      </c>
      <c r="D93" s="11">
        <v>0</v>
      </c>
      <c r="E93" s="11">
        <v>0</v>
      </c>
      <c r="F93" s="11">
        <v>0</v>
      </c>
      <c r="G93" s="11">
        <v>0</v>
      </c>
      <c r="H93" s="51"/>
      <c r="I93" s="51"/>
      <c r="J93" s="51"/>
      <c r="K93" s="51"/>
      <c r="L93" s="11">
        <v>0</v>
      </c>
      <c r="M93" s="51"/>
      <c r="N93" s="51"/>
      <c r="O93" s="51"/>
      <c r="P93" s="51"/>
      <c r="Q93" s="11">
        <v>0</v>
      </c>
      <c r="R93" s="51"/>
      <c r="S93" s="51"/>
      <c r="T93" s="51"/>
      <c r="U93" s="51"/>
      <c r="V93" s="11">
        <v>0</v>
      </c>
      <c r="W93" s="51"/>
      <c r="X93" s="51"/>
      <c r="Y93" s="51"/>
      <c r="Z93" s="51"/>
      <c r="AA93" s="11">
        <v>0</v>
      </c>
      <c r="AB93" s="51"/>
      <c r="AC93" s="51"/>
      <c r="AD93" s="51"/>
      <c r="AE93" s="51"/>
      <c r="AF93" s="11">
        <v>0</v>
      </c>
      <c r="AG93" s="51"/>
      <c r="AH93" s="51"/>
      <c r="AI93" s="51"/>
      <c r="AJ93" s="51"/>
      <c r="AK93" s="11">
        <v>0</v>
      </c>
      <c r="AL93" s="51"/>
      <c r="AM93" s="51"/>
      <c r="AN93" s="51"/>
      <c r="AO93" s="51"/>
      <c r="AP93" s="11">
        <v>0</v>
      </c>
      <c r="AQ93" s="51"/>
      <c r="AR93" s="51"/>
      <c r="AS93" s="51"/>
      <c r="AT93" s="51"/>
      <c r="AU93" s="11">
        <v>0</v>
      </c>
      <c r="AV93" s="11">
        <v>0</v>
      </c>
      <c r="AW93" s="11">
        <v>0</v>
      </c>
      <c r="AX93" s="11">
        <v>0</v>
      </c>
      <c r="AY93" s="11">
        <v>0</v>
      </c>
      <c r="AZ93" s="11">
        <v>0</v>
      </c>
      <c r="BA93" s="51"/>
      <c r="BB93" s="51"/>
      <c r="BC93" s="51"/>
      <c r="BD93" s="51"/>
      <c r="BE93" s="11">
        <v>0</v>
      </c>
      <c r="BF93" s="51"/>
      <c r="BG93" s="51"/>
      <c r="BH93" s="51"/>
      <c r="BI93" s="51"/>
      <c r="BJ93" s="11">
        <v>0</v>
      </c>
      <c r="BK93" s="51"/>
      <c r="BL93" s="51"/>
      <c r="BM93" s="51"/>
      <c r="BN93" s="51"/>
      <c r="BO93" s="11"/>
      <c r="BP93" s="51"/>
      <c r="BQ93" s="51"/>
      <c r="BR93" s="51"/>
      <c r="BS93" s="51"/>
      <c r="BT93" s="51"/>
      <c r="BU93" s="51"/>
      <c r="BV93" s="51"/>
      <c r="BW93" s="51"/>
      <c r="BX93" s="51"/>
      <c r="BY93" s="51"/>
      <c r="BZ93" s="51"/>
      <c r="CA93" s="51"/>
      <c r="CB93" s="51"/>
      <c r="CC93" s="51"/>
      <c r="CD93" s="51"/>
    </row>
    <row r="94" spans="1:82">
      <c r="A94" s="11"/>
      <c r="B94" s="11" t="s">
        <v>138</v>
      </c>
      <c r="C94" s="11">
        <v>0</v>
      </c>
      <c r="D94" s="11">
        <v>0</v>
      </c>
      <c r="E94" s="11">
        <v>0</v>
      </c>
      <c r="F94" s="11">
        <v>0</v>
      </c>
      <c r="G94" s="11">
        <v>0</v>
      </c>
      <c r="H94" s="64"/>
      <c r="I94" s="64"/>
      <c r="J94" s="64"/>
      <c r="K94" s="64"/>
      <c r="L94" s="11">
        <v>0</v>
      </c>
      <c r="M94" s="64"/>
      <c r="N94" s="64"/>
      <c r="O94" s="64"/>
      <c r="P94" s="64"/>
      <c r="Q94" s="11">
        <v>0</v>
      </c>
      <c r="R94" s="64"/>
      <c r="S94" s="64"/>
      <c r="T94" s="64"/>
      <c r="U94" s="64"/>
      <c r="V94" s="11">
        <v>0</v>
      </c>
      <c r="W94" s="64"/>
      <c r="X94" s="64"/>
      <c r="Y94" s="64"/>
      <c r="Z94" s="64"/>
      <c r="AA94" s="11">
        <v>0</v>
      </c>
      <c r="AB94" s="64"/>
      <c r="AC94" s="64"/>
      <c r="AD94" s="64"/>
      <c r="AE94" s="64"/>
      <c r="AF94" s="11">
        <v>0</v>
      </c>
      <c r="AG94" s="64"/>
      <c r="AH94" s="64"/>
      <c r="AI94" s="64"/>
      <c r="AJ94" s="64"/>
      <c r="AK94" s="11">
        <v>0</v>
      </c>
      <c r="AL94" s="51"/>
      <c r="AM94" s="51"/>
      <c r="AN94" s="51"/>
      <c r="AO94" s="51"/>
      <c r="AP94" s="11">
        <v>0</v>
      </c>
      <c r="AQ94" s="51"/>
      <c r="AR94" s="51"/>
      <c r="AS94" s="51"/>
      <c r="AT94" s="51"/>
      <c r="AU94" s="11">
        <v>0</v>
      </c>
      <c r="AV94" s="11">
        <v>0</v>
      </c>
      <c r="AW94" s="11">
        <v>0</v>
      </c>
      <c r="AX94" s="11">
        <v>0</v>
      </c>
      <c r="AY94" s="11">
        <v>0</v>
      </c>
      <c r="AZ94" s="11">
        <v>0</v>
      </c>
      <c r="BA94" s="51"/>
      <c r="BB94" s="51"/>
      <c r="BC94" s="51"/>
      <c r="BD94" s="51"/>
      <c r="BE94" s="11">
        <v>0</v>
      </c>
      <c r="BF94" s="51"/>
      <c r="BG94" s="51"/>
      <c r="BH94" s="51"/>
      <c r="BI94" s="51"/>
      <c r="BJ94" s="11">
        <v>0</v>
      </c>
      <c r="BK94" s="51"/>
      <c r="BL94" s="51"/>
      <c r="BM94" s="51"/>
      <c r="BN94" s="51"/>
      <c r="BO94" s="11"/>
      <c r="BP94" s="51"/>
      <c r="BQ94" s="51"/>
      <c r="BR94" s="51"/>
      <c r="BS94" s="51"/>
      <c r="BT94" s="51"/>
      <c r="BU94" s="51"/>
      <c r="BV94" s="51"/>
      <c r="BW94" s="51"/>
      <c r="BX94" s="51"/>
      <c r="BY94" s="51"/>
      <c r="BZ94" s="51"/>
      <c r="CA94" s="51"/>
      <c r="CB94" s="51"/>
      <c r="CC94" s="51"/>
      <c r="CD94" s="51"/>
    </row>
    <row r="95" spans="1:82">
      <c r="A95" s="11"/>
      <c r="B95" s="11" t="s">
        <v>816</v>
      </c>
      <c r="C95" s="11">
        <v>0</v>
      </c>
      <c r="D95" s="11">
        <v>0</v>
      </c>
      <c r="E95" s="11">
        <v>0</v>
      </c>
      <c r="F95" s="11">
        <v>0</v>
      </c>
      <c r="G95" s="11">
        <v>0</v>
      </c>
      <c r="H95" s="51"/>
      <c r="I95" s="51"/>
      <c r="J95" s="51"/>
      <c r="K95" s="51"/>
      <c r="L95" s="11">
        <v>0</v>
      </c>
      <c r="M95" s="51"/>
      <c r="N95" s="51"/>
      <c r="O95" s="51"/>
      <c r="P95" s="51"/>
      <c r="Q95" s="11">
        <v>0</v>
      </c>
      <c r="R95" s="51"/>
      <c r="S95" s="51"/>
      <c r="T95" s="51"/>
      <c r="U95" s="51"/>
      <c r="V95" s="11">
        <v>0</v>
      </c>
      <c r="W95" s="51"/>
      <c r="X95" s="51"/>
      <c r="Y95" s="51"/>
      <c r="Z95" s="51"/>
      <c r="AA95" s="11">
        <v>0</v>
      </c>
      <c r="AB95" s="51"/>
      <c r="AC95" s="51"/>
      <c r="AD95" s="51"/>
      <c r="AE95" s="51"/>
      <c r="AF95" s="11">
        <v>0</v>
      </c>
      <c r="AG95" s="51"/>
      <c r="AH95" s="51"/>
      <c r="AI95" s="51"/>
      <c r="AJ95" s="51"/>
      <c r="AK95" s="11">
        <v>0</v>
      </c>
      <c r="AL95" s="51"/>
      <c r="AM95" s="51"/>
      <c r="AN95" s="51"/>
      <c r="AO95" s="51"/>
      <c r="AP95" s="11">
        <v>0</v>
      </c>
      <c r="AQ95" s="51"/>
      <c r="AR95" s="51"/>
      <c r="AS95" s="51"/>
      <c r="AT95" s="51"/>
      <c r="AU95" s="11">
        <v>0</v>
      </c>
      <c r="AV95" s="11">
        <v>0</v>
      </c>
      <c r="AW95" s="11">
        <v>0</v>
      </c>
      <c r="AX95" s="11">
        <v>0</v>
      </c>
      <c r="AY95" s="11">
        <v>0</v>
      </c>
      <c r="AZ95" s="11">
        <v>0</v>
      </c>
      <c r="BA95" s="51"/>
      <c r="BB95" s="51"/>
      <c r="BC95" s="51"/>
      <c r="BD95" s="51"/>
      <c r="BE95" s="11">
        <v>0</v>
      </c>
      <c r="BF95" s="51"/>
      <c r="BG95" s="51"/>
      <c r="BH95" s="51"/>
      <c r="BI95" s="51"/>
      <c r="BJ95" s="11">
        <v>0</v>
      </c>
      <c r="BK95" s="51"/>
      <c r="BL95" s="51"/>
      <c r="BM95" s="51"/>
      <c r="BN95" s="51"/>
      <c r="BO95" s="11"/>
      <c r="BP95" s="51"/>
      <c r="BQ95" s="51"/>
      <c r="BR95" s="51"/>
      <c r="BS95" s="51"/>
      <c r="BT95" s="51"/>
      <c r="BU95" s="51"/>
      <c r="BV95" s="51"/>
      <c r="BW95" s="51"/>
      <c r="BX95" s="51"/>
      <c r="BY95" s="51"/>
      <c r="BZ95" s="51"/>
      <c r="CA95" s="51"/>
      <c r="CB95" s="51"/>
      <c r="CC95" s="51"/>
      <c r="CD95" s="51"/>
    </row>
    <row r="96" spans="1:82">
      <c r="A96" s="11"/>
      <c r="B96" s="11" t="s">
        <v>1962</v>
      </c>
      <c r="C96" s="11">
        <v>0</v>
      </c>
      <c r="D96" s="11">
        <v>0</v>
      </c>
      <c r="E96" s="11">
        <v>0</v>
      </c>
      <c r="F96" s="11">
        <v>0</v>
      </c>
      <c r="G96" s="11">
        <v>0</v>
      </c>
      <c r="H96" s="51"/>
      <c r="I96" s="51"/>
      <c r="J96" s="51"/>
      <c r="K96" s="51"/>
      <c r="L96" s="11">
        <v>0</v>
      </c>
      <c r="M96" s="51"/>
      <c r="N96" s="51"/>
      <c r="O96" s="51"/>
      <c r="P96" s="51"/>
      <c r="Q96" s="11">
        <v>0</v>
      </c>
      <c r="R96" s="51"/>
      <c r="S96" s="51"/>
      <c r="T96" s="51"/>
      <c r="U96" s="51"/>
      <c r="V96" s="11">
        <v>0</v>
      </c>
      <c r="W96" s="51"/>
      <c r="X96" s="51"/>
      <c r="Y96" s="51"/>
      <c r="Z96" s="51"/>
      <c r="AA96" s="11">
        <v>0</v>
      </c>
      <c r="AB96" s="51"/>
      <c r="AC96" s="51"/>
      <c r="AD96" s="51"/>
      <c r="AE96" s="51"/>
      <c r="AF96" s="11">
        <v>0</v>
      </c>
      <c r="AG96" s="51"/>
      <c r="AH96" s="51"/>
      <c r="AI96" s="51"/>
      <c r="AJ96" s="51"/>
      <c r="AK96" s="11">
        <v>0</v>
      </c>
      <c r="AL96" s="51"/>
      <c r="AM96" s="51"/>
      <c r="AN96" s="51"/>
      <c r="AO96" s="51"/>
      <c r="AP96" s="11">
        <v>0</v>
      </c>
      <c r="AQ96" s="51"/>
      <c r="AR96" s="51"/>
      <c r="AS96" s="51"/>
      <c r="AT96" s="51"/>
      <c r="AU96" s="11">
        <v>0</v>
      </c>
      <c r="AV96" s="11">
        <v>0</v>
      </c>
      <c r="AW96" s="11">
        <v>0</v>
      </c>
      <c r="AX96" s="11">
        <v>0</v>
      </c>
      <c r="AY96" s="11">
        <v>0</v>
      </c>
      <c r="AZ96" s="11">
        <v>0</v>
      </c>
      <c r="BA96" s="51"/>
      <c r="BB96" s="51"/>
      <c r="BC96" s="51"/>
      <c r="BD96" s="51"/>
      <c r="BE96" s="11">
        <v>0</v>
      </c>
      <c r="BF96" s="51"/>
      <c r="BG96" s="51"/>
      <c r="BH96" s="51"/>
      <c r="BI96" s="51"/>
      <c r="BJ96" s="11">
        <v>0</v>
      </c>
      <c r="BK96" s="51"/>
      <c r="BL96" s="51"/>
      <c r="BM96" s="51"/>
      <c r="BN96" s="51"/>
      <c r="BO96" s="11"/>
      <c r="BP96" s="51"/>
      <c r="BQ96" s="51"/>
      <c r="BR96" s="51"/>
      <c r="BS96" s="51"/>
      <c r="BT96" s="51"/>
      <c r="BU96" s="51"/>
      <c r="BV96" s="51"/>
      <c r="BW96" s="51"/>
      <c r="BX96" s="51"/>
      <c r="BY96" s="51"/>
      <c r="BZ96" s="51"/>
      <c r="CA96" s="51"/>
      <c r="CB96" s="51"/>
      <c r="CC96" s="51"/>
      <c r="CD96" s="51"/>
    </row>
    <row r="97" spans="1:82">
      <c r="A97" s="11"/>
      <c r="B97" s="11" t="s">
        <v>3277</v>
      </c>
      <c r="C97" s="11">
        <v>0</v>
      </c>
      <c r="D97" s="11">
        <v>0</v>
      </c>
      <c r="E97" s="11">
        <v>0</v>
      </c>
      <c r="F97" s="11">
        <v>0</v>
      </c>
      <c r="G97" s="11">
        <v>0</v>
      </c>
      <c r="H97" s="51"/>
      <c r="I97" s="51"/>
      <c r="J97" s="51"/>
      <c r="K97" s="51"/>
      <c r="L97" s="11">
        <v>0</v>
      </c>
      <c r="M97" s="51"/>
      <c r="N97" s="51"/>
      <c r="O97" s="51"/>
      <c r="P97" s="51"/>
      <c r="Q97" s="11">
        <v>0</v>
      </c>
      <c r="R97" s="51"/>
      <c r="S97" s="51"/>
      <c r="T97" s="51"/>
      <c r="U97" s="51"/>
      <c r="V97" s="11">
        <v>0</v>
      </c>
      <c r="W97" s="51"/>
      <c r="X97" s="51"/>
      <c r="Y97" s="51"/>
      <c r="Z97" s="51"/>
      <c r="AA97" s="11">
        <v>0</v>
      </c>
      <c r="AB97" s="51"/>
      <c r="AC97" s="51"/>
      <c r="AD97" s="51"/>
      <c r="AE97" s="51"/>
      <c r="AF97" s="11">
        <v>0</v>
      </c>
      <c r="AG97" s="51"/>
      <c r="AH97" s="51"/>
      <c r="AI97" s="51"/>
      <c r="AJ97" s="51"/>
      <c r="AK97" s="11">
        <v>0</v>
      </c>
      <c r="AL97" s="51"/>
      <c r="AM97" s="51"/>
      <c r="AN97" s="51"/>
      <c r="AO97" s="51"/>
      <c r="AP97" s="11">
        <v>0</v>
      </c>
      <c r="AQ97" s="51"/>
      <c r="AR97" s="51"/>
      <c r="AS97" s="51"/>
      <c r="AT97" s="51"/>
      <c r="AU97" s="11">
        <v>0</v>
      </c>
      <c r="AV97" s="11">
        <v>0</v>
      </c>
      <c r="AW97" s="11">
        <v>0</v>
      </c>
      <c r="AX97" s="11">
        <v>0</v>
      </c>
      <c r="AY97" s="11">
        <v>0</v>
      </c>
      <c r="AZ97" s="11">
        <v>0</v>
      </c>
      <c r="BA97" s="51"/>
      <c r="BB97" s="51"/>
      <c r="BC97" s="51"/>
      <c r="BD97" s="51"/>
      <c r="BE97" s="11">
        <v>0</v>
      </c>
      <c r="BF97" s="51"/>
      <c r="BG97" s="51"/>
      <c r="BH97" s="51"/>
      <c r="BI97" s="51"/>
      <c r="BJ97" s="11">
        <v>0</v>
      </c>
      <c r="BK97" s="51"/>
      <c r="BL97" s="51"/>
      <c r="BM97" s="51"/>
      <c r="BN97" s="51"/>
      <c r="BO97" s="11"/>
      <c r="BP97" s="51"/>
      <c r="BQ97" s="51"/>
      <c r="BR97" s="51"/>
      <c r="BS97" s="51"/>
      <c r="BT97" s="51"/>
      <c r="BU97" s="51"/>
      <c r="BV97" s="51"/>
      <c r="BW97" s="51"/>
      <c r="BX97" s="51"/>
      <c r="BY97" s="51"/>
      <c r="BZ97" s="51"/>
      <c r="CA97" s="51"/>
      <c r="CB97" s="51"/>
      <c r="CC97" s="51"/>
      <c r="CD97" s="51"/>
    </row>
    <row r="98" spans="1:82">
      <c r="A98" s="11"/>
      <c r="B98" s="11" t="s">
        <v>3278</v>
      </c>
      <c r="C98" s="11">
        <v>0</v>
      </c>
      <c r="D98" s="11">
        <v>0</v>
      </c>
      <c r="E98" s="11">
        <v>0</v>
      </c>
      <c r="F98" s="11">
        <v>0</v>
      </c>
      <c r="G98" s="11">
        <v>0</v>
      </c>
      <c r="H98" s="51"/>
      <c r="I98" s="51"/>
      <c r="J98" s="51"/>
      <c r="K98" s="51"/>
      <c r="L98" s="11">
        <v>0</v>
      </c>
      <c r="M98" s="51"/>
      <c r="N98" s="51"/>
      <c r="O98" s="51"/>
      <c r="P98" s="51"/>
      <c r="Q98" s="11">
        <v>0</v>
      </c>
      <c r="R98" s="51"/>
      <c r="S98" s="51"/>
      <c r="T98" s="51"/>
      <c r="U98" s="51"/>
      <c r="V98" s="11">
        <v>0</v>
      </c>
      <c r="W98" s="51"/>
      <c r="X98" s="51"/>
      <c r="Y98" s="51"/>
      <c r="Z98" s="51"/>
      <c r="AA98" s="11">
        <v>0</v>
      </c>
      <c r="AB98" s="51"/>
      <c r="AC98" s="51"/>
      <c r="AD98" s="51"/>
      <c r="AE98" s="51"/>
      <c r="AF98" s="11">
        <v>0</v>
      </c>
      <c r="AG98" s="51"/>
      <c r="AH98" s="51"/>
      <c r="AI98" s="51"/>
      <c r="AJ98" s="51"/>
      <c r="AK98" s="11">
        <v>0</v>
      </c>
      <c r="AL98" s="51"/>
      <c r="AM98" s="51"/>
      <c r="AN98" s="51"/>
      <c r="AO98" s="51"/>
      <c r="AP98" s="11">
        <v>0</v>
      </c>
      <c r="AQ98" s="51"/>
      <c r="AR98" s="51"/>
      <c r="AS98" s="51"/>
      <c r="AT98" s="51"/>
      <c r="AU98" s="11">
        <v>0</v>
      </c>
      <c r="AV98" s="11">
        <v>0</v>
      </c>
      <c r="AW98" s="11">
        <v>0</v>
      </c>
      <c r="AX98" s="11">
        <v>0</v>
      </c>
      <c r="AY98" s="11">
        <v>0</v>
      </c>
      <c r="AZ98" s="11">
        <v>0</v>
      </c>
      <c r="BA98" s="51"/>
      <c r="BB98" s="51"/>
      <c r="BC98" s="51"/>
      <c r="BD98" s="51"/>
      <c r="BE98" s="11">
        <v>0</v>
      </c>
      <c r="BF98" s="51"/>
      <c r="BG98" s="51"/>
      <c r="BH98" s="51"/>
      <c r="BI98" s="51"/>
      <c r="BJ98" s="11">
        <v>0</v>
      </c>
      <c r="BK98" s="51"/>
      <c r="BL98" s="51"/>
      <c r="BM98" s="51"/>
      <c r="BN98" s="51"/>
      <c r="BO98" s="11"/>
      <c r="BP98" s="51"/>
      <c r="BQ98" s="51"/>
      <c r="BR98" s="51"/>
      <c r="BS98" s="51"/>
      <c r="BT98" s="51"/>
      <c r="BU98" s="51"/>
      <c r="BV98" s="51"/>
      <c r="BW98" s="51"/>
      <c r="BX98" s="51"/>
      <c r="BY98" s="51"/>
      <c r="BZ98" s="51"/>
      <c r="CA98" s="51"/>
      <c r="CB98" s="51"/>
      <c r="CC98" s="51"/>
      <c r="CD98" s="51"/>
    </row>
    <row r="99" spans="1:82">
      <c r="A99" s="47"/>
      <c r="B99" s="47" t="s">
        <v>1703</v>
      </c>
      <c r="C99" s="69">
        <v>20</v>
      </c>
      <c r="D99" s="69">
        <v>73</v>
      </c>
      <c r="E99" s="69">
        <v>296</v>
      </c>
      <c r="F99" s="47">
        <v>831</v>
      </c>
      <c r="G99" s="47">
        <v>911</v>
      </c>
      <c r="H99" s="64"/>
      <c r="I99" s="64"/>
      <c r="J99" s="64"/>
      <c r="K99" s="64"/>
      <c r="L99" s="47">
        <v>876</v>
      </c>
      <c r="M99" s="64"/>
      <c r="N99" s="64"/>
      <c r="O99" s="64"/>
      <c r="P99" s="64"/>
      <c r="Q99" s="47">
        <v>832</v>
      </c>
      <c r="R99" s="64"/>
      <c r="S99" s="64"/>
      <c r="T99" s="64"/>
      <c r="U99" s="64"/>
      <c r="V99" s="47">
        <v>826</v>
      </c>
      <c r="W99" s="64"/>
      <c r="X99" s="64"/>
      <c r="Y99" s="64"/>
      <c r="Z99" s="64"/>
      <c r="AA99" s="47">
        <v>840</v>
      </c>
      <c r="AB99" s="64"/>
      <c r="AC99" s="64"/>
      <c r="AD99" s="64"/>
      <c r="AE99" s="64"/>
      <c r="AF99" s="47">
        <v>856</v>
      </c>
      <c r="AG99" s="64"/>
      <c r="AH99" s="64"/>
      <c r="AI99" s="64"/>
      <c r="AJ99" s="64"/>
      <c r="AK99" s="88">
        <v>865</v>
      </c>
      <c r="AL99" s="51"/>
      <c r="AM99" s="51"/>
      <c r="AN99" s="51"/>
      <c r="AO99" s="51"/>
      <c r="AP99" s="88">
        <v>863</v>
      </c>
      <c r="AQ99" s="51"/>
      <c r="AR99" s="51"/>
      <c r="AS99" s="51"/>
      <c r="AT99" s="51"/>
      <c r="AU99" s="88">
        <f>650+187</f>
        <v>837</v>
      </c>
      <c r="AV99" s="51"/>
      <c r="AW99" s="51"/>
      <c r="AX99" s="51"/>
      <c r="AY99" s="51"/>
      <c r="AZ99" s="88">
        <f>816+5</f>
        <v>821</v>
      </c>
      <c r="BA99" s="51"/>
      <c r="BB99" s="51"/>
      <c r="BC99" s="51"/>
      <c r="BD99" s="51"/>
      <c r="BE99" s="88">
        <f>809+4</f>
        <v>813</v>
      </c>
      <c r="BF99" s="51"/>
      <c r="BG99" s="51"/>
      <c r="BH99" s="51"/>
      <c r="BI99" s="51"/>
      <c r="BJ99" s="88">
        <f>836+4</f>
        <v>840</v>
      </c>
      <c r="BK99" s="51"/>
      <c r="BL99" s="51"/>
      <c r="BM99" s="51"/>
      <c r="BN99" s="51"/>
      <c r="BO99" s="88">
        <f>900+4</f>
        <v>904</v>
      </c>
      <c r="BP99" s="87">
        <f>BP261+BP369</f>
        <v>874.74934250000024</v>
      </c>
      <c r="BQ99" s="87">
        <f>BQ261+BQ369</f>
        <v>874.74934250000024</v>
      </c>
      <c r="BR99" s="87">
        <f>BR261+BR369</f>
        <v>874.74934250000024</v>
      </c>
      <c r="BS99" s="87">
        <f>BS261+BS369</f>
        <v>874.74934250000024</v>
      </c>
      <c r="BT99" s="88">
        <f>AVERAGE(BP99:BS99)</f>
        <v>874.74934250000024</v>
      </c>
      <c r="BU99" s="87">
        <f>BU261+BU369</f>
        <v>908.602665</v>
      </c>
      <c r="BV99" s="87">
        <f>BV261+BV369</f>
        <v>908.602665</v>
      </c>
      <c r="BW99" s="87">
        <f>BW261+BW369</f>
        <v>908.602665</v>
      </c>
      <c r="BX99" s="87">
        <f>BX261+BX369</f>
        <v>908.602665</v>
      </c>
      <c r="BY99" s="88">
        <f>AVERAGE(BU99:BX99)</f>
        <v>908.602665</v>
      </c>
      <c r="BZ99" s="87">
        <f>BZ261+BZ369</f>
        <v>919.80802250000022</v>
      </c>
      <c r="CA99" s="87">
        <f>CA261+CA369</f>
        <v>919.80802250000022</v>
      </c>
      <c r="CB99" s="87">
        <f>CB261+CB369</f>
        <v>919.80802250000022</v>
      </c>
      <c r="CC99" s="87">
        <f>CC261+CC369</f>
        <v>919.80802250000022</v>
      </c>
      <c r="CD99" s="88">
        <f>AVERAGE(BZ99:CC99)</f>
        <v>919.80802250000022</v>
      </c>
    </row>
    <row r="100" spans="1:82">
      <c r="A100" s="47"/>
      <c r="B100" s="47" t="s">
        <v>1961</v>
      </c>
      <c r="C100" s="11">
        <v>0</v>
      </c>
      <c r="D100" s="11">
        <v>0</v>
      </c>
      <c r="E100" s="11">
        <v>0</v>
      </c>
      <c r="F100" s="11">
        <v>0</v>
      </c>
      <c r="G100" s="11">
        <v>0</v>
      </c>
      <c r="H100" s="51"/>
      <c r="I100" s="51"/>
      <c r="J100" s="51"/>
      <c r="K100" s="51"/>
      <c r="L100" s="11">
        <v>0</v>
      </c>
      <c r="M100" s="51"/>
      <c r="N100" s="51"/>
      <c r="O100" s="51"/>
      <c r="P100" s="51"/>
      <c r="Q100" s="11">
        <v>0</v>
      </c>
      <c r="R100" s="51"/>
      <c r="S100" s="51"/>
      <c r="T100" s="51"/>
      <c r="U100" s="51"/>
      <c r="V100" s="11">
        <v>0</v>
      </c>
      <c r="W100" s="51"/>
      <c r="X100" s="51"/>
      <c r="Y100" s="51"/>
      <c r="Z100" s="51"/>
      <c r="AA100" s="11">
        <v>0</v>
      </c>
      <c r="AB100" s="51"/>
      <c r="AC100" s="51"/>
      <c r="AD100" s="51"/>
      <c r="AE100" s="51"/>
      <c r="AF100" s="11">
        <v>0</v>
      </c>
      <c r="AG100" s="51"/>
      <c r="AH100" s="51"/>
      <c r="AI100" s="51"/>
      <c r="AJ100" s="51"/>
      <c r="AK100" s="11">
        <v>0</v>
      </c>
      <c r="AL100" s="51"/>
      <c r="AM100" s="51"/>
      <c r="AN100" s="51"/>
      <c r="AO100" s="51"/>
      <c r="AP100" s="11">
        <v>0</v>
      </c>
      <c r="AQ100" s="51"/>
      <c r="AR100" s="51"/>
      <c r="AS100" s="51"/>
      <c r="AT100" s="51"/>
      <c r="AU100" s="11">
        <v>0</v>
      </c>
      <c r="AV100" s="51"/>
      <c r="AW100" s="51"/>
      <c r="AX100" s="51"/>
      <c r="AY100" s="51"/>
      <c r="AZ100" s="11">
        <v>0</v>
      </c>
      <c r="BA100" s="51"/>
      <c r="BB100" s="51"/>
      <c r="BC100" s="51"/>
      <c r="BD100" s="51"/>
      <c r="BE100" s="11">
        <v>0</v>
      </c>
      <c r="BF100" s="51"/>
      <c r="BG100" s="51"/>
      <c r="BH100" s="51"/>
      <c r="BI100" s="51"/>
      <c r="BJ100" s="11">
        <v>0</v>
      </c>
      <c r="BK100" s="51"/>
      <c r="BL100" s="51"/>
      <c r="BM100" s="51"/>
      <c r="BN100" s="51"/>
      <c r="BO100" s="11"/>
      <c r="BP100" s="51"/>
      <c r="BQ100" s="51"/>
      <c r="BR100" s="51"/>
      <c r="BS100" s="51"/>
      <c r="BT100" s="51"/>
      <c r="BU100" s="51"/>
      <c r="BV100" s="51"/>
      <c r="BW100" s="51"/>
      <c r="BX100" s="51"/>
      <c r="BY100" s="51"/>
      <c r="BZ100" s="51"/>
      <c r="CA100" s="51"/>
      <c r="CB100" s="51"/>
      <c r="CC100" s="51"/>
      <c r="CD100" s="51"/>
    </row>
    <row r="101" spans="1:82">
      <c r="A101" s="11"/>
      <c r="B101" s="11" t="s">
        <v>3399</v>
      </c>
      <c r="C101" s="11">
        <v>0</v>
      </c>
      <c r="D101" s="11">
        <v>0</v>
      </c>
      <c r="E101" s="11">
        <v>0</v>
      </c>
      <c r="F101" s="11">
        <v>0</v>
      </c>
      <c r="G101" s="11">
        <v>0</v>
      </c>
      <c r="H101" s="51"/>
      <c r="I101" s="51"/>
      <c r="J101" s="51"/>
      <c r="K101" s="51"/>
      <c r="L101" s="11">
        <v>0</v>
      </c>
      <c r="M101" s="51"/>
      <c r="N101" s="51"/>
      <c r="O101" s="51"/>
      <c r="P101" s="51"/>
      <c r="Q101" s="11">
        <v>0</v>
      </c>
      <c r="R101" s="51"/>
      <c r="S101" s="51"/>
      <c r="T101" s="51"/>
      <c r="U101" s="51"/>
      <c r="V101" s="11">
        <v>0</v>
      </c>
      <c r="W101" s="51"/>
      <c r="X101" s="51"/>
      <c r="Y101" s="51"/>
      <c r="Z101" s="51"/>
      <c r="AA101" s="11">
        <v>0</v>
      </c>
      <c r="AB101" s="51"/>
      <c r="AC101" s="51"/>
      <c r="AD101" s="51"/>
      <c r="AE101" s="51"/>
      <c r="AF101" s="11">
        <v>0</v>
      </c>
      <c r="AG101" s="51"/>
      <c r="AH101" s="51"/>
      <c r="AI101" s="51"/>
      <c r="AJ101" s="51"/>
      <c r="AK101" s="11">
        <v>0</v>
      </c>
      <c r="AL101" s="51"/>
      <c r="AM101" s="51"/>
      <c r="AN101" s="51"/>
      <c r="AO101" s="51"/>
      <c r="AP101" s="11">
        <v>0</v>
      </c>
      <c r="AQ101" s="51"/>
      <c r="AR101" s="51"/>
      <c r="AS101" s="51"/>
      <c r="AT101" s="51"/>
      <c r="AU101" s="11">
        <v>0</v>
      </c>
      <c r="AV101" s="51"/>
      <c r="AW101" s="51"/>
      <c r="AX101" s="51"/>
      <c r="AY101" s="51"/>
      <c r="AZ101" s="11">
        <v>0</v>
      </c>
      <c r="BA101" s="51"/>
      <c r="BB101" s="51"/>
      <c r="BC101" s="51"/>
      <c r="BD101" s="51"/>
      <c r="BE101" s="11">
        <v>0</v>
      </c>
      <c r="BF101" s="51"/>
      <c r="BG101" s="51"/>
      <c r="BH101" s="51"/>
      <c r="BI101" s="51"/>
      <c r="BJ101" s="11">
        <v>0</v>
      </c>
      <c r="BK101" s="51"/>
      <c r="BL101" s="51"/>
      <c r="BM101" s="51"/>
      <c r="BN101" s="51"/>
      <c r="BO101" s="11"/>
      <c r="BP101" s="51"/>
      <c r="BQ101" s="51"/>
      <c r="BR101" s="51"/>
      <c r="BS101" s="51"/>
      <c r="BT101" s="51"/>
      <c r="BU101" s="51"/>
      <c r="BV101" s="51"/>
      <c r="BW101" s="51"/>
      <c r="BX101" s="51"/>
      <c r="BY101" s="51"/>
      <c r="BZ101" s="51"/>
      <c r="CA101" s="51"/>
      <c r="CB101" s="51"/>
      <c r="CC101" s="51"/>
      <c r="CD101" s="51"/>
    </row>
    <row r="102" spans="1:82">
      <c r="A102" s="11"/>
      <c r="B102" s="11" t="s">
        <v>3400</v>
      </c>
      <c r="C102" s="11">
        <v>12</v>
      </c>
      <c r="D102" s="11">
        <v>13</v>
      </c>
      <c r="E102" s="11">
        <v>12</v>
      </c>
      <c r="F102" s="11">
        <v>14</v>
      </c>
      <c r="G102" s="11">
        <v>13</v>
      </c>
      <c r="H102" s="51"/>
      <c r="I102" s="51"/>
      <c r="J102" s="51"/>
      <c r="K102" s="51"/>
      <c r="L102" s="11">
        <v>8</v>
      </c>
      <c r="M102" s="51"/>
      <c r="N102" s="51"/>
      <c r="O102" s="51"/>
      <c r="P102" s="51"/>
      <c r="Q102" s="11">
        <v>9</v>
      </c>
      <c r="R102" s="51"/>
      <c r="S102" s="51"/>
      <c r="T102" s="51"/>
      <c r="U102" s="51"/>
      <c r="V102" s="11">
        <v>10</v>
      </c>
      <c r="W102" s="51"/>
      <c r="X102" s="51"/>
      <c r="Y102" s="51"/>
      <c r="Z102" s="51"/>
      <c r="AA102" s="11">
        <v>12</v>
      </c>
      <c r="AB102" s="51"/>
      <c r="AC102" s="51"/>
      <c r="AD102" s="51"/>
      <c r="AE102" s="51"/>
      <c r="AF102" s="11">
        <v>1</v>
      </c>
      <c r="AG102" s="51"/>
      <c r="AH102" s="51"/>
      <c r="AI102" s="51"/>
      <c r="AJ102" s="51"/>
      <c r="AK102" s="11">
        <v>1</v>
      </c>
      <c r="AL102" s="51"/>
      <c r="AM102" s="51"/>
      <c r="AN102" s="51"/>
      <c r="AO102" s="51"/>
      <c r="AP102" s="11">
        <v>1</v>
      </c>
      <c r="AQ102" s="51"/>
      <c r="AR102" s="51"/>
      <c r="AS102" s="51"/>
      <c r="AT102" s="51"/>
      <c r="AU102" s="11">
        <v>1</v>
      </c>
      <c r="AV102" s="51"/>
      <c r="AW102" s="51"/>
      <c r="AX102" s="51"/>
      <c r="AY102" s="51"/>
      <c r="AZ102" s="11">
        <v>1</v>
      </c>
      <c r="BA102" s="51"/>
      <c r="BB102" s="51"/>
      <c r="BC102" s="51"/>
      <c r="BD102" s="51"/>
      <c r="BE102" s="11">
        <v>1</v>
      </c>
      <c r="BF102" s="51"/>
      <c r="BG102" s="51"/>
      <c r="BH102" s="51"/>
      <c r="BI102" s="51"/>
      <c r="BJ102" s="11">
        <v>4</v>
      </c>
      <c r="BK102" s="51"/>
      <c r="BL102" s="51"/>
      <c r="BM102" s="51"/>
      <c r="BN102" s="51"/>
      <c r="BO102" s="11">
        <v>5</v>
      </c>
      <c r="BP102" s="77">
        <v>0</v>
      </c>
      <c r="BQ102" s="77">
        <v>0</v>
      </c>
      <c r="BR102" s="77">
        <v>0</v>
      </c>
      <c r="BS102" s="77">
        <v>0</v>
      </c>
      <c r="BT102" s="90">
        <f>AVERAGE(BP102:BS102)</f>
        <v>0</v>
      </c>
      <c r="BU102" s="77">
        <v>0</v>
      </c>
      <c r="BV102" s="77">
        <v>0</v>
      </c>
      <c r="BW102" s="77">
        <v>0</v>
      </c>
      <c r="BX102" s="77">
        <v>0</v>
      </c>
      <c r="BY102" s="90">
        <f>AVERAGE(BU102:BX102)</f>
        <v>0</v>
      </c>
      <c r="BZ102" s="77">
        <v>0</v>
      </c>
      <c r="CA102" s="77">
        <v>0</v>
      </c>
      <c r="CB102" s="77">
        <v>0</v>
      </c>
      <c r="CC102" s="77">
        <v>0</v>
      </c>
      <c r="CD102" s="90">
        <f>AVERAGE(BZ102:CC102)</f>
        <v>0</v>
      </c>
    </row>
    <row r="103" spans="1:82">
      <c r="A103" s="39" t="s">
        <v>3401</v>
      </c>
      <c r="B103" s="39"/>
      <c r="C103" s="39">
        <f>SUM(C91:C102)</f>
        <v>158</v>
      </c>
      <c r="D103" s="39">
        <f>SUM(D91:D102)</f>
        <v>199</v>
      </c>
      <c r="E103" s="39">
        <f>SUM(E91:E102)</f>
        <v>446</v>
      </c>
      <c r="F103" s="39">
        <f>SUM(F91:F102)</f>
        <v>987</v>
      </c>
      <c r="G103" s="39">
        <f>SUM(G91:G102)</f>
        <v>1072</v>
      </c>
      <c r="H103" s="52"/>
      <c r="I103" s="52"/>
      <c r="J103" s="52"/>
      <c r="K103" s="52"/>
      <c r="L103" s="39">
        <f>SUM(L91:L102)</f>
        <v>1047</v>
      </c>
      <c r="M103" s="52"/>
      <c r="N103" s="52"/>
      <c r="O103" s="52"/>
      <c r="P103" s="52"/>
      <c r="Q103" s="39">
        <f>SUM(Q91:Q102)</f>
        <v>1033</v>
      </c>
      <c r="R103" s="52"/>
      <c r="S103" s="52"/>
      <c r="T103" s="52"/>
      <c r="U103" s="52"/>
      <c r="V103" s="39">
        <f>SUM(V91:V102)</f>
        <v>1046</v>
      </c>
      <c r="W103" s="52"/>
      <c r="X103" s="52"/>
      <c r="Y103" s="52"/>
      <c r="Z103" s="52"/>
      <c r="AA103" s="39">
        <f>SUM(AA91:AA102)</f>
        <v>1034</v>
      </c>
      <c r="AB103" s="52"/>
      <c r="AC103" s="52"/>
      <c r="AD103" s="52"/>
      <c r="AE103" s="52"/>
      <c r="AF103" s="39">
        <f>SUM(AF91:AF102)</f>
        <v>1047</v>
      </c>
      <c r="AG103" s="52"/>
      <c r="AH103" s="52"/>
      <c r="AI103" s="52"/>
      <c r="AJ103" s="52"/>
      <c r="AK103" s="39">
        <f t="shared" ref="AK103:CD103" si="8">SUM(AK91:AK102)</f>
        <v>1075</v>
      </c>
      <c r="AL103" s="52"/>
      <c r="AM103" s="52"/>
      <c r="AN103" s="52"/>
      <c r="AO103" s="52"/>
      <c r="AP103" s="39">
        <f t="shared" si="8"/>
        <v>1080</v>
      </c>
      <c r="AQ103" s="52"/>
      <c r="AR103" s="52"/>
      <c r="AS103" s="52"/>
      <c r="AT103" s="52"/>
      <c r="AU103" s="39">
        <f t="shared" si="8"/>
        <v>1069</v>
      </c>
      <c r="AV103" s="52"/>
      <c r="AW103" s="52"/>
      <c r="AX103" s="52"/>
      <c r="AY103" s="52"/>
      <c r="AZ103" s="39">
        <f t="shared" si="8"/>
        <v>919</v>
      </c>
      <c r="BA103" s="51"/>
      <c r="BB103" s="51"/>
      <c r="BC103" s="51"/>
      <c r="BD103" s="51"/>
      <c r="BE103" s="39">
        <f t="shared" si="8"/>
        <v>910</v>
      </c>
      <c r="BF103" s="51"/>
      <c r="BG103" s="51"/>
      <c r="BH103" s="51"/>
      <c r="BI103" s="51"/>
      <c r="BJ103" s="39">
        <f t="shared" ref="BJ103" si="9">SUM(BJ91:BJ102)</f>
        <v>945</v>
      </c>
      <c r="BK103" s="51"/>
      <c r="BL103" s="51"/>
      <c r="BM103" s="51"/>
      <c r="BN103" s="51"/>
      <c r="BO103" s="39">
        <f t="shared" si="8"/>
        <v>1008</v>
      </c>
      <c r="BP103" s="79">
        <f t="shared" si="8"/>
        <v>894.54934250000019</v>
      </c>
      <c r="BQ103" s="79">
        <f t="shared" si="8"/>
        <v>894.54934250000019</v>
      </c>
      <c r="BR103" s="79">
        <f t="shared" si="8"/>
        <v>894.54934250000019</v>
      </c>
      <c r="BS103" s="79">
        <f t="shared" si="8"/>
        <v>894.54934250000019</v>
      </c>
      <c r="BT103" s="39">
        <f t="shared" si="8"/>
        <v>894.54934250000019</v>
      </c>
      <c r="BU103" s="79">
        <f t="shared" si="8"/>
        <v>908.602665</v>
      </c>
      <c r="BV103" s="79">
        <f t="shared" si="8"/>
        <v>908.602665</v>
      </c>
      <c r="BW103" s="79">
        <f t="shared" si="8"/>
        <v>908.602665</v>
      </c>
      <c r="BX103" s="79">
        <f t="shared" si="8"/>
        <v>908.602665</v>
      </c>
      <c r="BY103" s="39">
        <f t="shared" si="8"/>
        <v>908.602665</v>
      </c>
      <c r="BZ103" s="79">
        <f t="shared" si="8"/>
        <v>919.80802250000022</v>
      </c>
      <c r="CA103" s="79">
        <f t="shared" si="8"/>
        <v>919.80802250000022</v>
      </c>
      <c r="CB103" s="79">
        <f t="shared" si="8"/>
        <v>919.80802250000022</v>
      </c>
      <c r="CC103" s="79">
        <f t="shared" si="8"/>
        <v>919.80802250000022</v>
      </c>
      <c r="CD103" s="39">
        <f t="shared" si="8"/>
        <v>919.80802250000022</v>
      </c>
    </row>
    <row r="104" spans="1:82">
      <c r="A104" s="11"/>
      <c r="B104" s="11"/>
      <c r="C104" s="11"/>
      <c r="D104" s="11"/>
      <c r="E104" s="11"/>
      <c r="F104" s="11"/>
      <c r="G104" s="11"/>
      <c r="H104" s="51"/>
      <c r="I104" s="51"/>
      <c r="J104" s="51"/>
      <c r="K104" s="51"/>
      <c r="L104" s="11"/>
      <c r="M104" s="51"/>
      <c r="N104" s="51"/>
      <c r="O104" s="51"/>
      <c r="P104" s="51"/>
      <c r="Q104" s="11"/>
      <c r="R104" s="51"/>
      <c r="S104" s="51"/>
      <c r="T104" s="51"/>
      <c r="U104" s="51"/>
      <c r="V104" s="11"/>
      <c r="W104" s="51"/>
      <c r="X104" s="51"/>
      <c r="Y104" s="51"/>
      <c r="Z104" s="51"/>
      <c r="AA104" s="11"/>
      <c r="AB104" s="51"/>
      <c r="AC104" s="51"/>
      <c r="AD104" s="51"/>
      <c r="AE104" s="51"/>
      <c r="AF104" s="11"/>
      <c r="AG104" s="51"/>
      <c r="AH104" s="51"/>
      <c r="AI104" s="51"/>
      <c r="AJ104" s="51"/>
      <c r="AK104" s="11"/>
      <c r="AL104" s="51"/>
      <c r="AM104" s="51"/>
      <c r="AN104" s="51"/>
      <c r="AO104" s="51"/>
      <c r="AP104" s="11"/>
      <c r="AQ104" s="51"/>
      <c r="AR104" s="51"/>
      <c r="AS104" s="51"/>
      <c r="AT104" s="51"/>
      <c r="AU104" s="11"/>
      <c r="AV104" s="51"/>
      <c r="AW104" s="51"/>
      <c r="AX104" s="51"/>
      <c r="AY104" s="5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  <c r="BS104" s="11"/>
      <c r="BT104" s="11"/>
      <c r="BU104" s="11"/>
      <c r="BV104" s="11"/>
      <c r="BW104" s="11"/>
      <c r="BX104" s="11"/>
      <c r="BY104" s="11"/>
      <c r="BZ104" s="11"/>
      <c r="CA104" s="11"/>
      <c r="CB104" s="11"/>
      <c r="CC104" s="11"/>
      <c r="CD104" s="11"/>
    </row>
    <row r="105" spans="1:82">
      <c r="A105" s="39" t="s">
        <v>3402</v>
      </c>
      <c r="B105" s="11"/>
      <c r="C105" s="11"/>
      <c r="D105" s="11"/>
      <c r="E105" s="11"/>
      <c r="F105" s="11"/>
      <c r="G105" s="11"/>
      <c r="H105" s="51"/>
      <c r="I105" s="51"/>
      <c r="J105" s="51"/>
      <c r="K105" s="51"/>
      <c r="L105" s="11"/>
      <c r="M105" s="51"/>
      <c r="N105" s="51"/>
      <c r="O105" s="51"/>
      <c r="P105" s="51"/>
      <c r="Q105" s="11"/>
      <c r="R105" s="51"/>
      <c r="S105" s="51"/>
      <c r="T105" s="51"/>
      <c r="U105" s="51"/>
      <c r="V105" s="11"/>
      <c r="W105" s="51"/>
      <c r="X105" s="51"/>
      <c r="Y105" s="51"/>
      <c r="Z105" s="51"/>
      <c r="AA105" s="11"/>
      <c r="AB105" s="51"/>
      <c r="AC105" s="51"/>
      <c r="AD105" s="51"/>
      <c r="AE105" s="51"/>
      <c r="AF105" s="11"/>
      <c r="AG105" s="51"/>
      <c r="AH105" s="51"/>
      <c r="AI105" s="51"/>
      <c r="AJ105" s="51"/>
      <c r="AK105" s="11"/>
      <c r="AL105" s="51"/>
      <c r="AM105" s="51"/>
      <c r="AN105" s="51"/>
      <c r="AO105" s="51"/>
      <c r="AP105" s="11"/>
      <c r="AQ105" s="51"/>
      <c r="AR105" s="51"/>
      <c r="AS105" s="51"/>
      <c r="AT105" s="51"/>
      <c r="AU105" s="11"/>
      <c r="AV105" s="51"/>
      <c r="AW105" s="51"/>
      <c r="AX105" s="51"/>
      <c r="AY105" s="5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  <c r="BS105" s="11"/>
      <c r="BT105" s="11"/>
      <c r="BU105" s="11"/>
      <c r="BV105" s="11"/>
      <c r="BW105" s="11"/>
      <c r="BX105" s="11"/>
      <c r="BY105" s="11"/>
      <c r="BZ105" s="11"/>
      <c r="CA105" s="11"/>
      <c r="CB105" s="11"/>
      <c r="CC105" s="11"/>
      <c r="CD105" s="11"/>
    </row>
    <row r="106" spans="1:82">
      <c r="A106" s="11"/>
      <c r="B106" s="11" t="s">
        <v>2965</v>
      </c>
      <c r="C106" s="11">
        <v>0</v>
      </c>
      <c r="D106" s="11">
        <v>0</v>
      </c>
      <c r="E106" s="11">
        <v>0</v>
      </c>
      <c r="F106" s="11">
        <v>0</v>
      </c>
      <c r="G106" s="11">
        <v>0</v>
      </c>
      <c r="H106" s="51"/>
      <c r="I106" s="51"/>
      <c r="J106" s="51"/>
      <c r="K106" s="51"/>
      <c r="L106" s="11">
        <v>0</v>
      </c>
      <c r="M106" s="51"/>
      <c r="N106" s="51"/>
      <c r="O106" s="51"/>
      <c r="P106" s="51"/>
      <c r="Q106" s="11">
        <v>0</v>
      </c>
      <c r="R106" s="51"/>
      <c r="S106" s="51"/>
      <c r="T106" s="51"/>
      <c r="U106" s="51"/>
      <c r="V106" s="11">
        <v>0</v>
      </c>
      <c r="W106" s="51"/>
      <c r="X106" s="51"/>
      <c r="Y106" s="51"/>
      <c r="Z106" s="51"/>
      <c r="AA106" s="11">
        <v>0</v>
      </c>
      <c r="AB106" s="51"/>
      <c r="AC106" s="51"/>
      <c r="AD106" s="51"/>
      <c r="AE106" s="51"/>
      <c r="AF106" s="11">
        <v>0</v>
      </c>
      <c r="AG106" s="51"/>
      <c r="AH106" s="51"/>
      <c r="AI106" s="51"/>
      <c r="AJ106" s="51"/>
      <c r="AK106" s="11">
        <v>0</v>
      </c>
      <c r="AL106" s="51"/>
      <c r="AM106" s="51"/>
      <c r="AN106" s="51"/>
      <c r="AO106" s="51"/>
      <c r="AP106" s="11">
        <v>0</v>
      </c>
      <c r="AQ106" s="51"/>
      <c r="AR106" s="51"/>
      <c r="AS106" s="51"/>
      <c r="AT106" s="51"/>
      <c r="AU106" s="11">
        <v>0</v>
      </c>
      <c r="AV106" s="51"/>
      <c r="AW106" s="51"/>
      <c r="AX106" s="51"/>
      <c r="AY106" s="51"/>
      <c r="AZ106" s="11">
        <v>0</v>
      </c>
      <c r="BA106" s="51"/>
      <c r="BB106" s="51"/>
      <c r="BC106" s="51"/>
      <c r="BD106" s="51"/>
      <c r="BE106" s="11">
        <v>0</v>
      </c>
      <c r="BF106" s="51"/>
      <c r="BG106" s="51"/>
      <c r="BH106" s="51"/>
      <c r="BI106" s="51"/>
      <c r="BJ106" s="11">
        <v>0</v>
      </c>
      <c r="BK106" s="51"/>
      <c r="BL106" s="51"/>
      <c r="BM106" s="51"/>
      <c r="BN106" s="51"/>
      <c r="BO106" s="11">
        <v>0</v>
      </c>
      <c r="BP106" s="51"/>
      <c r="BQ106" s="51"/>
      <c r="BR106" s="51"/>
      <c r="BS106" s="51"/>
      <c r="BT106" s="51"/>
      <c r="BU106" s="51"/>
      <c r="BV106" s="51"/>
      <c r="BW106" s="51"/>
      <c r="BX106" s="51"/>
      <c r="BY106" s="51"/>
      <c r="BZ106" s="51"/>
      <c r="CA106" s="51"/>
      <c r="CB106" s="51"/>
      <c r="CC106" s="51"/>
      <c r="CD106" s="51"/>
    </row>
    <row r="107" spans="1:82">
      <c r="A107" s="11"/>
      <c r="B107" s="11" t="s">
        <v>3403</v>
      </c>
      <c r="C107" s="11">
        <v>0</v>
      </c>
      <c r="D107" s="11">
        <v>0</v>
      </c>
      <c r="E107" s="11">
        <v>0</v>
      </c>
      <c r="F107" s="11">
        <v>0</v>
      </c>
      <c r="G107" s="11">
        <v>0</v>
      </c>
      <c r="H107" s="51"/>
      <c r="I107" s="51"/>
      <c r="J107" s="51"/>
      <c r="K107" s="51"/>
      <c r="L107" s="11">
        <v>0</v>
      </c>
      <c r="M107" s="51"/>
      <c r="N107" s="51"/>
      <c r="O107" s="51"/>
      <c r="P107" s="51"/>
      <c r="Q107" s="11">
        <v>0</v>
      </c>
      <c r="R107" s="51"/>
      <c r="S107" s="51"/>
      <c r="T107" s="51"/>
      <c r="U107" s="51"/>
      <c r="V107" s="11">
        <v>0</v>
      </c>
      <c r="W107" s="51"/>
      <c r="X107" s="51"/>
      <c r="Y107" s="51"/>
      <c r="Z107" s="51"/>
      <c r="AA107" s="11">
        <v>0</v>
      </c>
      <c r="AB107" s="51"/>
      <c r="AC107" s="51"/>
      <c r="AD107" s="51"/>
      <c r="AE107" s="51"/>
      <c r="AF107" s="11">
        <v>0</v>
      </c>
      <c r="AG107" s="51"/>
      <c r="AH107" s="51"/>
      <c r="AI107" s="51"/>
      <c r="AJ107" s="51"/>
      <c r="AK107" s="11">
        <v>0</v>
      </c>
      <c r="AL107" s="51"/>
      <c r="AM107" s="51"/>
      <c r="AN107" s="51"/>
      <c r="AO107" s="51"/>
      <c r="AP107" s="11">
        <v>0</v>
      </c>
      <c r="AQ107" s="51"/>
      <c r="AR107" s="51"/>
      <c r="AS107" s="51"/>
      <c r="AT107" s="51"/>
      <c r="AU107" s="11">
        <v>0</v>
      </c>
      <c r="AV107" s="51"/>
      <c r="AW107" s="51"/>
      <c r="AX107" s="51"/>
      <c r="AY107" s="51"/>
      <c r="AZ107" s="11">
        <v>0</v>
      </c>
      <c r="BA107" s="51"/>
      <c r="BB107" s="51"/>
      <c r="BC107" s="51"/>
      <c r="BD107" s="51"/>
      <c r="BE107" s="11">
        <v>0</v>
      </c>
      <c r="BF107" s="51"/>
      <c r="BG107" s="51"/>
      <c r="BH107" s="51"/>
      <c r="BI107" s="51"/>
      <c r="BJ107" s="11">
        <v>0</v>
      </c>
      <c r="BK107" s="51"/>
      <c r="BL107" s="51"/>
      <c r="BM107" s="51"/>
      <c r="BN107" s="51"/>
      <c r="BO107" s="11">
        <v>0</v>
      </c>
      <c r="BP107" s="51"/>
      <c r="BQ107" s="51"/>
      <c r="BR107" s="51"/>
      <c r="BS107" s="51"/>
      <c r="BT107" s="51"/>
      <c r="BU107" s="51"/>
      <c r="BV107" s="51"/>
      <c r="BW107" s="51"/>
      <c r="BX107" s="51"/>
      <c r="BY107" s="51"/>
      <c r="BZ107" s="51"/>
      <c r="CA107" s="51"/>
      <c r="CB107" s="51"/>
      <c r="CC107" s="51"/>
      <c r="CD107" s="51"/>
    </row>
    <row r="108" spans="1:82">
      <c r="A108" s="39" t="s">
        <v>1935</v>
      </c>
      <c r="B108" s="39"/>
      <c r="C108" s="39">
        <f>SUM(C106:C107)</f>
        <v>0</v>
      </c>
      <c r="D108" s="39">
        <f>SUM(D106:D107)</f>
        <v>0</v>
      </c>
      <c r="E108" s="39">
        <f>SUM(E106:E107)</f>
        <v>0</v>
      </c>
      <c r="F108" s="39">
        <f>SUM(F106:F107)</f>
        <v>0</v>
      </c>
      <c r="G108" s="39">
        <f>SUM(G106:G107)</f>
        <v>0</v>
      </c>
      <c r="H108" s="52"/>
      <c r="I108" s="52"/>
      <c r="J108" s="52"/>
      <c r="K108" s="52"/>
      <c r="L108" s="39">
        <f>SUM(L106:L107)</f>
        <v>0</v>
      </c>
      <c r="M108" s="52"/>
      <c r="N108" s="52"/>
      <c r="O108" s="52"/>
      <c r="P108" s="52"/>
      <c r="Q108" s="39">
        <f>SUM(Q106:Q107)</f>
        <v>0</v>
      </c>
      <c r="R108" s="52"/>
      <c r="S108" s="52"/>
      <c r="T108" s="52"/>
      <c r="U108" s="52"/>
      <c r="V108" s="39">
        <f>SUM(V106:V107)</f>
        <v>0</v>
      </c>
      <c r="W108" s="52"/>
      <c r="X108" s="52"/>
      <c r="Y108" s="52"/>
      <c r="Z108" s="52"/>
      <c r="AA108" s="39">
        <f>SUM(AA106:AA107)</f>
        <v>0</v>
      </c>
      <c r="AB108" s="52"/>
      <c r="AC108" s="52"/>
      <c r="AD108" s="52"/>
      <c r="AE108" s="52"/>
      <c r="AF108" s="39">
        <f>SUM(AF106:AF107)</f>
        <v>0</v>
      </c>
      <c r="AG108" s="52"/>
      <c r="AH108" s="52"/>
      <c r="AI108" s="52"/>
      <c r="AJ108" s="52"/>
      <c r="AK108" s="39">
        <f>SUM(AK106:AK107)</f>
        <v>0</v>
      </c>
      <c r="AL108" s="52"/>
      <c r="AM108" s="52"/>
      <c r="AN108" s="52"/>
      <c r="AO108" s="52"/>
      <c r="AP108" s="39">
        <v>0</v>
      </c>
      <c r="AQ108" s="52"/>
      <c r="AR108" s="52"/>
      <c r="AS108" s="52"/>
      <c r="AT108" s="52"/>
      <c r="AU108" s="39">
        <v>0</v>
      </c>
      <c r="AV108" s="52"/>
      <c r="AW108" s="52"/>
      <c r="AX108" s="52"/>
      <c r="AY108" s="52"/>
      <c r="AZ108" s="39">
        <v>0</v>
      </c>
      <c r="BA108" s="52"/>
      <c r="BB108" s="52"/>
      <c r="BC108" s="52"/>
      <c r="BD108" s="52"/>
      <c r="BE108" s="39">
        <v>0</v>
      </c>
      <c r="BF108" s="52"/>
      <c r="BG108" s="52"/>
      <c r="BH108" s="52"/>
      <c r="BI108" s="52"/>
      <c r="BJ108" s="39">
        <v>0</v>
      </c>
      <c r="BK108" s="52"/>
      <c r="BL108" s="52"/>
      <c r="BM108" s="52"/>
      <c r="BN108" s="52"/>
      <c r="BO108" s="39">
        <v>0</v>
      </c>
      <c r="BP108" s="77">
        <f t="shared" ref="BP108:CC108" si="10">BP270</f>
        <v>0</v>
      </c>
      <c r="BQ108" s="77">
        <f t="shared" si="10"/>
        <v>0</v>
      </c>
      <c r="BR108" s="77">
        <f t="shared" si="10"/>
        <v>0</v>
      </c>
      <c r="BS108" s="77">
        <f t="shared" si="10"/>
        <v>0</v>
      </c>
      <c r="BT108" s="90">
        <f>AVERAGE(BP108:BS108)</f>
        <v>0</v>
      </c>
      <c r="BU108" s="77">
        <f t="shared" si="10"/>
        <v>0</v>
      </c>
      <c r="BV108" s="77">
        <f t="shared" si="10"/>
        <v>0</v>
      </c>
      <c r="BW108" s="77">
        <f t="shared" si="10"/>
        <v>0</v>
      </c>
      <c r="BX108" s="77">
        <f t="shared" si="10"/>
        <v>0</v>
      </c>
      <c r="BY108" s="90">
        <f>AVERAGE(BU108:BX108)</f>
        <v>0</v>
      </c>
      <c r="BZ108" s="77">
        <f t="shared" si="10"/>
        <v>0</v>
      </c>
      <c r="CA108" s="77">
        <f t="shared" si="10"/>
        <v>0</v>
      </c>
      <c r="CB108" s="77">
        <f t="shared" si="10"/>
        <v>0</v>
      </c>
      <c r="CC108" s="77">
        <f t="shared" si="10"/>
        <v>0</v>
      </c>
      <c r="CD108" s="90">
        <f>AVERAGE(BZ108:CC108)</f>
        <v>0</v>
      </c>
    </row>
    <row r="109" spans="1:82">
      <c r="A109" s="39"/>
      <c r="B109" s="39"/>
      <c r="C109" s="39"/>
      <c r="D109" s="39"/>
      <c r="E109" s="39"/>
      <c r="F109" s="39"/>
      <c r="G109" s="39"/>
      <c r="H109" s="52"/>
      <c r="I109" s="52"/>
      <c r="J109" s="52"/>
      <c r="K109" s="52"/>
      <c r="L109" s="39"/>
      <c r="M109" s="52"/>
      <c r="N109" s="52"/>
      <c r="O109" s="52"/>
      <c r="P109" s="52"/>
      <c r="Q109" s="39"/>
      <c r="R109" s="52"/>
      <c r="S109" s="52"/>
      <c r="T109" s="52"/>
      <c r="U109" s="52"/>
      <c r="V109" s="39"/>
      <c r="W109" s="52"/>
      <c r="X109" s="52"/>
      <c r="Y109" s="52"/>
      <c r="Z109" s="52"/>
      <c r="AA109" s="39"/>
      <c r="AB109" s="52"/>
      <c r="AC109" s="52"/>
      <c r="AD109" s="52"/>
      <c r="AE109" s="52"/>
      <c r="AF109" s="39"/>
      <c r="AG109" s="52"/>
      <c r="AH109" s="52"/>
      <c r="AI109" s="52"/>
      <c r="AJ109" s="52"/>
      <c r="AK109" s="39"/>
      <c r="AL109" s="52"/>
      <c r="AM109" s="52"/>
      <c r="AN109" s="52"/>
      <c r="AO109" s="52"/>
      <c r="AP109" s="39"/>
      <c r="AQ109" s="52"/>
      <c r="AR109" s="52"/>
      <c r="AS109" s="52"/>
      <c r="AT109" s="52"/>
      <c r="AU109" s="39"/>
      <c r="AV109" s="52"/>
      <c r="AW109" s="52"/>
      <c r="AX109" s="52"/>
      <c r="AY109" s="52"/>
      <c r="AZ109" s="39"/>
      <c r="BA109" s="39"/>
      <c r="BB109" s="39"/>
      <c r="BC109" s="39"/>
      <c r="BD109" s="39"/>
      <c r="BE109" s="39"/>
      <c r="BF109" s="39"/>
      <c r="BG109" s="39"/>
      <c r="BH109" s="39"/>
      <c r="BI109" s="39"/>
      <c r="BJ109" s="39"/>
      <c r="BK109" s="39"/>
      <c r="BL109" s="39"/>
      <c r="BM109" s="39"/>
      <c r="BN109" s="39"/>
      <c r="BO109" s="39"/>
      <c r="BP109" s="39"/>
      <c r="BQ109" s="39"/>
      <c r="BR109" s="39"/>
      <c r="BS109" s="39"/>
      <c r="BT109" s="39"/>
      <c r="BU109" s="39"/>
      <c r="BV109" s="39"/>
      <c r="BW109" s="39"/>
      <c r="BX109" s="39"/>
      <c r="BY109" s="39"/>
      <c r="BZ109" s="39"/>
      <c r="CA109" s="39"/>
      <c r="CB109" s="39"/>
      <c r="CC109" s="39"/>
      <c r="CD109" s="39"/>
    </row>
    <row r="110" spans="1:82">
      <c r="A110" s="46" t="s">
        <v>540</v>
      </c>
      <c r="B110" s="46"/>
      <c r="C110" s="46">
        <f>C68+C73+C82+C88+C103+C108</f>
        <v>208</v>
      </c>
      <c r="D110" s="46">
        <f>D68+D73+D82+D88+D103+D108</f>
        <v>252</v>
      </c>
      <c r="E110" s="46">
        <f>E68+E73+E82+E88+E103+E108</f>
        <v>506</v>
      </c>
      <c r="F110" s="46">
        <f>F68+F73+F82+F88+F103+F108</f>
        <v>1051</v>
      </c>
      <c r="G110" s="46">
        <f>G68+G73+G82+G88+G103+G108</f>
        <v>1139</v>
      </c>
      <c r="H110" s="53"/>
      <c r="I110" s="53"/>
      <c r="J110" s="53"/>
      <c r="K110" s="53"/>
      <c r="L110" s="46">
        <f>L68+L73+L82+L88+L103+L108</f>
        <v>1124</v>
      </c>
      <c r="M110" s="53"/>
      <c r="N110" s="53"/>
      <c r="O110" s="53"/>
      <c r="P110" s="53"/>
      <c r="Q110" s="46">
        <f>Q68+Q73+Q82+Q88+Q103+Q108</f>
        <v>1110</v>
      </c>
      <c r="R110" s="53"/>
      <c r="S110" s="53"/>
      <c r="T110" s="53"/>
      <c r="U110" s="53"/>
      <c r="V110" s="46">
        <f>V68+V73+V82+V88+V103+V108</f>
        <v>1138</v>
      </c>
      <c r="W110" s="53"/>
      <c r="X110" s="53"/>
      <c r="Y110" s="53"/>
      <c r="Z110" s="53"/>
      <c r="AA110" s="46">
        <f>AA68+AA73+AA82+AA88+AA103+AA108</f>
        <v>1135</v>
      </c>
      <c r="AB110" s="53"/>
      <c r="AC110" s="53"/>
      <c r="AD110" s="53"/>
      <c r="AE110" s="53"/>
      <c r="AF110" s="46">
        <f>AF68+AF73+AF82+AF88+AF103+AF108</f>
        <v>1145</v>
      </c>
      <c r="AG110" s="53"/>
      <c r="AH110" s="53"/>
      <c r="AI110" s="53"/>
      <c r="AJ110" s="53"/>
      <c r="AK110" s="46">
        <f t="shared" ref="AK110:CD110" si="11">AK68+AK73+AK82+AK88+AK103+AK108</f>
        <v>1165</v>
      </c>
      <c r="AL110" s="53"/>
      <c r="AM110" s="53"/>
      <c r="AN110" s="53"/>
      <c r="AO110" s="53"/>
      <c r="AP110" s="46">
        <f t="shared" si="11"/>
        <v>1160</v>
      </c>
      <c r="AQ110" s="53"/>
      <c r="AR110" s="53"/>
      <c r="AS110" s="53"/>
      <c r="AT110" s="53"/>
      <c r="AU110" s="46">
        <f t="shared" si="11"/>
        <v>1134</v>
      </c>
      <c r="AV110" s="53"/>
      <c r="AW110" s="53"/>
      <c r="AX110" s="53"/>
      <c r="AY110" s="53"/>
      <c r="AZ110" s="46">
        <f t="shared" si="11"/>
        <v>991</v>
      </c>
      <c r="BA110" s="53"/>
      <c r="BB110" s="53"/>
      <c r="BC110" s="53"/>
      <c r="BD110" s="53"/>
      <c r="BE110" s="46">
        <f t="shared" si="11"/>
        <v>985</v>
      </c>
      <c r="BF110" s="53"/>
      <c r="BG110" s="53"/>
      <c r="BH110" s="53"/>
      <c r="BI110" s="53"/>
      <c r="BJ110" s="46">
        <f t="shared" si="11"/>
        <v>1023</v>
      </c>
      <c r="BK110" s="53"/>
      <c r="BL110" s="53"/>
      <c r="BM110" s="53"/>
      <c r="BN110" s="53"/>
      <c r="BO110" s="46">
        <f t="shared" si="11"/>
        <v>1111</v>
      </c>
      <c r="BP110" s="89">
        <f t="shared" si="11"/>
        <v>989.10334250000017</v>
      </c>
      <c r="BQ110" s="89">
        <f t="shared" si="11"/>
        <v>989.10334250000017</v>
      </c>
      <c r="BR110" s="89">
        <f t="shared" si="11"/>
        <v>989.10334250000017</v>
      </c>
      <c r="BS110" s="89">
        <f t="shared" si="11"/>
        <v>989.10334250000017</v>
      </c>
      <c r="BT110" s="46">
        <f t="shared" si="11"/>
        <v>989.10334250000017</v>
      </c>
      <c r="BU110" s="89">
        <f t="shared" si="11"/>
        <v>1001.362665</v>
      </c>
      <c r="BV110" s="89">
        <f t="shared" si="11"/>
        <v>1001.362665</v>
      </c>
      <c r="BW110" s="89">
        <f t="shared" si="11"/>
        <v>1001.362665</v>
      </c>
      <c r="BX110" s="89">
        <f t="shared" si="11"/>
        <v>1001.362665</v>
      </c>
      <c r="BY110" s="46">
        <f t="shared" si="11"/>
        <v>1001.362665</v>
      </c>
      <c r="BZ110" s="89">
        <f t="shared" si="11"/>
        <v>1026.9670225000002</v>
      </c>
      <c r="CA110" s="89">
        <f t="shared" si="11"/>
        <v>1026.9670225000002</v>
      </c>
      <c r="CB110" s="89">
        <f t="shared" si="11"/>
        <v>1026.9670225000002</v>
      </c>
      <c r="CC110" s="89">
        <f t="shared" si="11"/>
        <v>1026.9670225000002</v>
      </c>
      <c r="CD110" s="46">
        <f t="shared" si="11"/>
        <v>1026.9670225000002</v>
      </c>
    </row>
    <row r="111" spans="1:82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  <c r="BS111" s="11"/>
      <c r="BT111" s="11"/>
      <c r="BU111" s="11"/>
      <c r="BV111" s="11"/>
      <c r="BW111" s="11"/>
      <c r="BX111" s="11"/>
      <c r="BY111" s="11"/>
      <c r="BZ111" s="11"/>
      <c r="CA111" s="11"/>
      <c r="CB111" s="11"/>
      <c r="CC111" s="11"/>
      <c r="CD111" s="11"/>
    </row>
    <row r="112" spans="1:82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1"/>
      <c r="BO112" s="11"/>
      <c r="BP112" s="11"/>
      <c r="BQ112" s="11"/>
      <c r="BR112" s="11"/>
      <c r="BS112" s="11"/>
      <c r="BT112" s="11"/>
      <c r="BU112" s="11"/>
      <c r="BV112" s="11"/>
      <c r="BW112" s="11"/>
      <c r="BX112" s="11"/>
      <c r="BY112" s="11"/>
      <c r="BZ112" s="11"/>
      <c r="CA112" s="11"/>
      <c r="CB112" s="11"/>
      <c r="CC112" s="11"/>
      <c r="CD112" s="11"/>
    </row>
    <row r="113" spans="1:82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  <c r="BM113" s="11"/>
      <c r="BN113" s="11"/>
      <c r="BO113" s="11"/>
      <c r="BP113" s="11"/>
      <c r="BQ113" s="11"/>
      <c r="BR113" s="11"/>
      <c r="BS113" s="11"/>
      <c r="BT113" s="11"/>
      <c r="BU113" s="11"/>
      <c r="BV113" s="11"/>
      <c r="BW113" s="11"/>
      <c r="BX113" s="11"/>
      <c r="BY113" s="11"/>
      <c r="BZ113" s="11"/>
      <c r="CA113" s="11"/>
      <c r="CB113" s="11"/>
      <c r="CC113" s="11"/>
      <c r="CD113" s="11"/>
    </row>
    <row r="114" spans="1:82" ht="15.75">
      <c r="A114" s="400" t="s">
        <v>1821</v>
      </c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422"/>
      <c r="AR114" s="422"/>
      <c r="AS114" s="422"/>
      <c r="AT114" s="422"/>
      <c r="AU114" s="422"/>
      <c r="AV114" s="422"/>
      <c r="AW114" s="422"/>
      <c r="AX114" s="422"/>
      <c r="AY114" s="422"/>
      <c r="AZ114" s="422"/>
      <c r="BA114" s="422"/>
      <c r="BB114" s="422"/>
      <c r="BC114" s="422"/>
      <c r="BD114" s="422"/>
      <c r="BE114" s="422"/>
      <c r="BF114" s="422"/>
      <c r="BG114" s="422"/>
      <c r="BH114" s="422"/>
      <c r="BI114" s="422"/>
      <c r="BJ114" s="422"/>
      <c r="BK114" s="422"/>
      <c r="BL114" s="422"/>
      <c r="BM114" s="422"/>
      <c r="BN114" s="422"/>
      <c r="BO114" s="422"/>
      <c r="BP114" s="422"/>
      <c r="BQ114" s="422"/>
      <c r="BR114" s="422"/>
      <c r="BS114" s="422"/>
      <c r="BT114" s="422"/>
      <c r="BU114" s="422"/>
      <c r="BV114" s="422"/>
      <c r="BW114" s="422"/>
      <c r="BX114" s="422"/>
      <c r="BY114" s="422"/>
      <c r="BZ114" s="422"/>
      <c r="CA114" s="422"/>
      <c r="CB114" s="422"/>
      <c r="CC114" s="422"/>
      <c r="CD114" s="422"/>
    </row>
    <row r="115" spans="1:82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</row>
    <row r="116" spans="1:82">
      <c r="A116" s="24" t="s">
        <v>304</v>
      </c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  <c r="BO116" s="11"/>
      <c r="BP116" s="11"/>
      <c r="BQ116" s="11"/>
      <c r="BR116" s="11"/>
      <c r="BS116" s="11"/>
      <c r="BT116" s="11"/>
      <c r="BU116" s="11"/>
      <c r="BV116" s="11"/>
      <c r="BW116" s="11"/>
      <c r="BX116" s="11"/>
      <c r="BY116" s="11"/>
      <c r="BZ116" s="11"/>
      <c r="CA116" s="11"/>
      <c r="CB116" s="11"/>
      <c r="CC116" s="11"/>
      <c r="CD116" s="11"/>
    </row>
    <row r="117" spans="1:82" ht="12.75" customHeight="1">
      <c r="A117" s="10"/>
      <c r="B117" s="10"/>
      <c r="C117" s="31">
        <v>2001</v>
      </c>
      <c r="D117" s="32">
        <v>2002</v>
      </c>
      <c r="E117" s="32">
        <v>2003</v>
      </c>
      <c r="F117" s="32">
        <v>2004</v>
      </c>
      <c r="G117" s="31">
        <v>2005</v>
      </c>
      <c r="H117" s="33" t="s">
        <v>714</v>
      </c>
      <c r="I117" s="33" t="s">
        <v>715</v>
      </c>
      <c r="J117" s="33" t="s">
        <v>716</v>
      </c>
      <c r="K117" s="33" t="s">
        <v>717</v>
      </c>
      <c r="L117" s="31">
        <v>2006</v>
      </c>
      <c r="M117" s="33" t="s">
        <v>718</v>
      </c>
      <c r="N117" s="33" t="s">
        <v>719</v>
      </c>
      <c r="O117" s="33" t="s">
        <v>1970</v>
      </c>
      <c r="P117" s="33" t="s">
        <v>1971</v>
      </c>
      <c r="Q117" s="31">
        <v>2007</v>
      </c>
      <c r="R117" s="33" t="s">
        <v>1972</v>
      </c>
      <c r="S117" s="33" t="s">
        <v>1973</v>
      </c>
      <c r="T117" s="33" t="s">
        <v>1974</v>
      </c>
      <c r="U117" s="33" t="s">
        <v>1975</v>
      </c>
      <c r="V117" s="31">
        <v>2008</v>
      </c>
      <c r="W117" s="33" t="s">
        <v>1976</v>
      </c>
      <c r="X117" s="33" t="s">
        <v>1977</v>
      </c>
      <c r="Y117" s="33" t="s">
        <v>1978</v>
      </c>
      <c r="Z117" s="33" t="s">
        <v>1979</v>
      </c>
      <c r="AA117" s="31">
        <v>2009</v>
      </c>
      <c r="AB117" s="33" t="s">
        <v>1980</v>
      </c>
      <c r="AC117" s="33" t="s">
        <v>1981</v>
      </c>
      <c r="AD117" s="33" t="s">
        <v>1982</v>
      </c>
      <c r="AE117" s="33" t="s">
        <v>2392</v>
      </c>
      <c r="AF117" s="31">
        <v>2010</v>
      </c>
      <c r="AG117" s="33" t="s">
        <v>2393</v>
      </c>
      <c r="AH117" s="33" t="s">
        <v>2394</v>
      </c>
      <c r="AI117" s="33" t="s">
        <v>2395</v>
      </c>
      <c r="AJ117" s="33" t="s">
        <v>2396</v>
      </c>
      <c r="AK117" s="31">
        <v>2011</v>
      </c>
      <c r="AL117" s="33" t="s">
        <v>2397</v>
      </c>
      <c r="AM117" s="33" t="s">
        <v>2398</v>
      </c>
      <c r="AN117" s="33" t="s">
        <v>2399</v>
      </c>
      <c r="AO117" s="368" t="s">
        <v>2400</v>
      </c>
      <c r="AP117" s="369">
        <v>2012</v>
      </c>
      <c r="AQ117" s="368" t="s">
        <v>2401</v>
      </c>
      <c r="AR117" s="368" t="s">
        <v>2402</v>
      </c>
      <c r="AS117" s="368" t="s">
        <v>2403</v>
      </c>
      <c r="AT117" s="368" t="s">
        <v>2404</v>
      </c>
      <c r="AU117" s="369">
        <v>2013</v>
      </c>
      <c r="AV117" s="368" t="s">
        <v>2405</v>
      </c>
      <c r="AW117" s="368" t="s">
        <v>2406</v>
      </c>
      <c r="AX117" s="368" t="s">
        <v>2407</v>
      </c>
      <c r="AY117" s="368" t="s">
        <v>2408</v>
      </c>
      <c r="AZ117" s="369">
        <v>2014</v>
      </c>
      <c r="BA117" s="368" t="s">
        <v>2409</v>
      </c>
      <c r="BB117" s="368" t="s">
        <v>2410</v>
      </c>
      <c r="BC117" s="368" t="s">
        <v>2411</v>
      </c>
      <c r="BD117" s="368" t="s">
        <v>2412</v>
      </c>
      <c r="BE117" s="364">
        <v>2015</v>
      </c>
      <c r="BF117" s="368" t="s">
        <v>2413</v>
      </c>
      <c r="BG117" s="368" t="s">
        <v>2414</v>
      </c>
      <c r="BH117" s="368" t="s">
        <v>2415</v>
      </c>
      <c r="BI117" s="368" t="s">
        <v>2416</v>
      </c>
      <c r="BJ117" s="364">
        <v>2016</v>
      </c>
      <c r="BK117" s="368" t="s">
        <v>2417</v>
      </c>
      <c r="BL117" s="368" t="s">
        <v>2418</v>
      </c>
      <c r="BM117" s="368" t="s">
        <v>2419</v>
      </c>
      <c r="BN117" s="363" t="s">
        <v>2420</v>
      </c>
      <c r="BO117" s="31">
        <v>2017</v>
      </c>
      <c r="BP117" s="363" t="s">
        <v>2244</v>
      </c>
      <c r="BQ117" s="363" t="s">
        <v>2245</v>
      </c>
      <c r="BR117" s="363" t="s">
        <v>2508</v>
      </c>
      <c r="BS117" s="363" t="s">
        <v>2509</v>
      </c>
      <c r="BT117" s="364">
        <v>2018</v>
      </c>
      <c r="BU117" s="363" t="s">
        <v>2510</v>
      </c>
      <c r="BV117" s="363" t="s">
        <v>2511</v>
      </c>
      <c r="BW117" s="363" t="s">
        <v>3125</v>
      </c>
      <c r="BX117" s="363" t="s">
        <v>1405</v>
      </c>
      <c r="BY117" s="364">
        <v>2019</v>
      </c>
      <c r="BZ117" s="363" t="s">
        <v>1406</v>
      </c>
      <c r="CA117" s="363" t="s">
        <v>1407</v>
      </c>
      <c r="CB117" s="363" t="s">
        <v>1408</v>
      </c>
      <c r="CC117" s="363" t="s">
        <v>1409</v>
      </c>
      <c r="CD117" s="364">
        <v>2020</v>
      </c>
    </row>
    <row r="118" spans="1:82">
      <c r="A118" s="39" t="s">
        <v>305</v>
      </c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  <c r="BM118" s="11"/>
      <c r="BN118" s="11"/>
      <c r="BO118" s="11"/>
      <c r="BP118" s="11"/>
      <c r="BQ118" s="11"/>
      <c r="BR118" s="11"/>
      <c r="BS118" s="11"/>
      <c r="BT118" s="11"/>
      <c r="BU118" s="11"/>
      <c r="BV118" s="11"/>
      <c r="BW118" s="11"/>
      <c r="BX118" s="11"/>
      <c r="BY118" s="11"/>
      <c r="BZ118" s="11"/>
      <c r="CA118" s="11"/>
      <c r="CB118" s="11"/>
      <c r="CC118" s="11"/>
      <c r="CD118" s="11"/>
    </row>
    <row r="119" spans="1:82">
      <c r="A119" s="11"/>
      <c r="B119" s="11" t="s">
        <v>1281</v>
      </c>
      <c r="C119" s="11">
        <f t="shared" ref="C119:G121" si="12">SUMIF($B$11:$B$53,$B119,C$11:C$53)+SUMIF($B$65:$B$107,$B119,C$65:C$107)</f>
        <v>485</v>
      </c>
      <c r="D119" s="11">
        <f t="shared" si="12"/>
        <v>461</v>
      </c>
      <c r="E119" s="11">
        <f t="shared" si="12"/>
        <v>377</v>
      </c>
      <c r="F119" s="11">
        <f t="shared" si="12"/>
        <v>330</v>
      </c>
      <c r="G119" s="11">
        <f t="shared" si="12"/>
        <v>277</v>
      </c>
      <c r="H119" s="82"/>
      <c r="I119" s="82"/>
      <c r="J119" s="82"/>
      <c r="K119" s="82"/>
      <c r="L119" s="11">
        <f>SUMIF($B$11:$B$53,$B119,L$11:L$53)+SUMIF($B$65:$B$107,$B119,L$65:L$107)</f>
        <v>253</v>
      </c>
      <c r="M119" s="82"/>
      <c r="N119" s="82"/>
      <c r="O119" s="82"/>
      <c r="P119" s="82"/>
      <c r="Q119" s="11">
        <f>SUMIF($B$11:$B$53,$B119,Q$11:Q$53)+SUMIF($B$65:$B$107,$B119,Q$65:Q$107)</f>
        <v>201</v>
      </c>
      <c r="R119" s="82"/>
      <c r="S119" s="82"/>
      <c r="T119" s="82"/>
      <c r="U119" s="82"/>
      <c r="V119" s="11">
        <f>SUMIF($B$11:$B$53,$B119,V$11:V$53)+SUMIF($B$65:$B$107,$B119,V$65:V$107)</f>
        <v>173</v>
      </c>
      <c r="W119" s="82"/>
      <c r="X119" s="82"/>
      <c r="Y119" s="82"/>
      <c r="Z119" s="82"/>
      <c r="AA119" s="11">
        <f>SUMIF($B$11:$B$53,$B119,AA$11:AA$53)+SUMIF($B$65:$B$107,$B119,AA$65:AA$107)</f>
        <v>168</v>
      </c>
      <c r="AB119" s="82"/>
      <c r="AC119" s="82"/>
      <c r="AD119" s="82"/>
      <c r="AE119" s="82"/>
      <c r="AF119" s="11">
        <f>SUMIF($B$11:$B$53,$B119,AF$11:AF$53)+SUMIF($B$65:$B$107,$B119,AF$65:AF$107)</f>
        <v>137</v>
      </c>
      <c r="AG119" s="82"/>
      <c r="AH119" s="82"/>
      <c r="AI119" s="82"/>
      <c r="AJ119" s="82"/>
      <c r="AK119" s="11">
        <f>SUMIF($B$11:$B$53,$B119,AK$11:AK$53)+SUMIF($B$65:$B$107,$B119,AK$65:AK$107)</f>
        <v>113</v>
      </c>
      <c r="AL119" s="82"/>
      <c r="AM119" s="82"/>
      <c r="AN119" s="82"/>
      <c r="AO119" s="82"/>
      <c r="AP119" s="11">
        <f>SUMIF($B$11:$B$53,$B119,AP$11:AP$53)+SUMIF($B$65:$B$107,$B119,AP$65:AP$107)</f>
        <v>86</v>
      </c>
      <c r="AQ119" s="82"/>
      <c r="AR119" s="82"/>
      <c r="AS119" s="82"/>
      <c r="AT119" s="82"/>
      <c r="AU119" s="11">
        <f>SUMIF($B$11:$B$53,$B119,AU$11:AU$53)+SUMIF($B$65:$B$107,$B119,AU$65:AU$107)</f>
        <v>61</v>
      </c>
      <c r="AV119" s="82"/>
      <c r="AW119" s="82"/>
      <c r="AX119" s="82"/>
      <c r="AY119" s="82"/>
      <c r="AZ119" s="11">
        <f>SUMIF($B$11:$B$53,$B119,AZ$11:AZ$53)+SUMIF($B$65:$B$107,$B119,AZ$65:AZ$107)</f>
        <v>48</v>
      </c>
      <c r="BA119" s="82"/>
      <c r="BB119" s="82"/>
      <c r="BC119" s="82"/>
      <c r="BD119" s="82"/>
      <c r="BE119" s="11">
        <f>SUMIF($B$11:$B$53,$B119,BE$11:BE$53)+SUMIF($B$65:$B$107,$B119,BE$65:BE$107)</f>
        <v>79</v>
      </c>
      <c r="BF119" s="82"/>
      <c r="BG119" s="82"/>
      <c r="BH119" s="82"/>
      <c r="BI119" s="82"/>
      <c r="BJ119" s="11">
        <f>SUMIF($B$11:$B$53,$B119,BJ$11:BJ$53)+SUMIF($B$65:$B$107,$B119,BJ$65:BJ$107)</f>
        <v>85</v>
      </c>
      <c r="BK119" s="82"/>
      <c r="BL119" s="82"/>
      <c r="BM119" s="82"/>
      <c r="BN119" s="82"/>
      <c r="BO119" s="11">
        <f>BO11+BO65</f>
        <v>86</v>
      </c>
      <c r="BP119" s="82"/>
      <c r="BQ119" s="82"/>
      <c r="BR119" s="82"/>
      <c r="BS119" s="82"/>
      <c r="BT119" s="82"/>
      <c r="BU119" s="82"/>
      <c r="BV119" s="82"/>
      <c r="BW119" s="82"/>
      <c r="BX119" s="82"/>
      <c r="BY119" s="82"/>
      <c r="BZ119" s="82"/>
      <c r="CA119" s="82"/>
      <c r="CB119" s="82"/>
      <c r="CC119" s="82"/>
      <c r="CD119" s="82"/>
    </row>
    <row r="120" spans="1:82">
      <c r="A120" s="11"/>
      <c r="B120" s="11" t="s">
        <v>306</v>
      </c>
      <c r="C120" s="11">
        <f t="shared" si="12"/>
        <v>99</v>
      </c>
      <c r="D120" s="11">
        <f t="shared" si="12"/>
        <v>103</v>
      </c>
      <c r="E120" s="11">
        <f t="shared" si="12"/>
        <v>83</v>
      </c>
      <c r="F120" s="11">
        <f t="shared" si="12"/>
        <v>76</v>
      </c>
      <c r="G120" s="11">
        <f t="shared" si="12"/>
        <v>74</v>
      </c>
      <c r="H120" s="82"/>
      <c r="I120" s="82"/>
      <c r="J120" s="82"/>
      <c r="K120" s="82"/>
      <c r="L120" s="11">
        <f>SUMIF($B$11:$B$53,$B120,L$11:L$53)+SUMIF($B$65:$B$107,$B120,L$65:L$107)</f>
        <v>60</v>
      </c>
      <c r="M120" s="82"/>
      <c r="N120" s="82"/>
      <c r="O120" s="82"/>
      <c r="P120" s="82"/>
      <c r="Q120" s="11">
        <f>SUMIF($B$11:$B$53,$B120,Q$11:Q$53)+SUMIF($B$65:$B$107,$B120,Q$65:Q$107)</f>
        <v>51</v>
      </c>
      <c r="R120" s="82"/>
      <c r="S120" s="82"/>
      <c r="T120" s="82"/>
      <c r="U120" s="82"/>
      <c r="V120" s="11">
        <f>SUMIF($B$11:$B$53,$B120,V$11:V$53)+SUMIF($B$65:$B$107,$B120,V$65:V$107)</f>
        <v>43</v>
      </c>
      <c r="W120" s="82"/>
      <c r="X120" s="82"/>
      <c r="Y120" s="82"/>
      <c r="Z120" s="82"/>
      <c r="AA120" s="11">
        <f>SUMIF($B$11:$B$53,$B120,AA$11:AA$53)+SUMIF($B$65:$B$107,$B120,AA$65:AA$107)</f>
        <v>40</v>
      </c>
      <c r="AB120" s="82"/>
      <c r="AC120" s="82"/>
      <c r="AD120" s="82"/>
      <c r="AE120" s="82"/>
      <c r="AF120" s="11">
        <f>SUMIF($B$11:$B$53,$B120,AF$11:AF$53)+SUMIF($B$65:$B$107,$B120,AF$65:AF$107)</f>
        <v>40</v>
      </c>
      <c r="AG120" s="82"/>
      <c r="AH120" s="82"/>
      <c r="AI120" s="82"/>
      <c r="AJ120" s="82"/>
      <c r="AK120" s="11">
        <f>SUMIF($B$11:$B$53,$B120,AK$11:AK$53)+SUMIF($B$65:$B$107,$B120,AK$65:AK$107)</f>
        <v>32</v>
      </c>
      <c r="AL120" s="82"/>
      <c r="AM120" s="82"/>
      <c r="AN120" s="82"/>
      <c r="AO120" s="82"/>
      <c r="AP120" s="11">
        <f>SUMIF($B$11:$B$53,$B120,AP$11:AP$53)+SUMIF($B$65:$B$107,$B120,AP$65:AP$107)</f>
        <v>23</v>
      </c>
      <c r="AQ120" s="82"/>
      <c r="AR120" s="82"/>
      <c r="AS120" s="82"/>
      <c r="AT120" s="82"/>
      <c r="AU120" s="11">
        <f>SUMIF($B$11:$B$53,$B120,AU$11:AU$53)+SUMIF($B$65:$B$107,$B120,AU$65:AU$107)</f>
        <v>34</v>
      </c>
      <c r="AV120" s="82"/>
      <c r="AW120" s="82"/>
      <c r="AX120" s="82"/>
      <c r="AY120" s="82"/>
      <c r="AZ120" s="11">
        <f>SUMIF($B$11:$B$53,$B120,AZ$11:AZ$53)+SUMIF($B$65:$B$107,$B120,AZ$65:AZ$107)</f>
        <v>46</v>
      </c>
      <c r="BA120" s="82"/>
      <c r="BB120" s="82"/>
      <c r="BC120" s="82"/>
      <c r="BD120" s="82"/>
      <c r="BE120" s="11">
        <f>SUMIF($B$11:$B$53,$B120,BE$11:BE$53)+SUMIF($B$65:$B$107,$B120,BE$65:BE$107)</f>
        <v>43</v>
      </c>
      <c r="BF120" s="82"/>
      <c r="BG120" s="82"/>
      <c r="BH120" s="82"/>
      <c r="BI120" s="82"/>
      <c r="BJ120" s="11">
        <f>SUMIF($B$11:$B$53,$B120,BJ$11:BJ$53)+SUMIF($B$65:$B$107,$B120,BJ$65:BJ$107)</f>
        <v>35</v>
      </c>
      <c r="BK120" s="82"/>
      <c r="BL120" s="82"/>
      <c r="BM120" s="82"/>
      <c r="BN120" s="82"/>
      <c r="BO120" s="11">
        <f>BO12+BO66</f>
        <v>33</v>
      </c>
      <c r="BP120" s="82"/>
      <c r="BQ120" s="82"/>
      <c r="BR120" s="82"/>
      <c r="BS120" s="82"/>
      <c r="BT120" s="82"/>
      <c r="BU120" s="82"/>
      <c r="BV120" s="82"/>
      <c r="BW120" s="82"/>
      <c r="BX120" s="82"/>
      <c r="BY120" s="82"/>
      <c r="BZ120" s="82"/>
      <c r="CA120" s="82"/>
      <c r="CB120" s="82"/>
      <c r="CC120" s="82"/>
      <c r="CD120" s="82"/>
    </row>
    <row r="121" spans="1:82">
      <c r="A121" s="11"/>
      <c r="B121" s="11" t="s">
        <v>139</v>
      </c>
      <c r="C121" s="11">
        <f t="shared" si="12"/>
        <v>1</v>
      </c>
      <c r="D121" s="11">
        <f t="shared" si="12"/>
        <v>1</v>
      </c>
      <c r="E121" s="11">
        <f t="shared" si="12"/>
        <v>1</v>
      </c>
      <c r="F121" s="11">
        <f t="shared" si="12"/>
        <v>1</v>
      </c>
      <c r="G121" s="11">
        <f t="shared" si="12"/>
        <v>1</v>
      </c>
      <c r="H121" s="82"/>
      <c r="I121" s="82"/>
      <c r="J121" s="82"/>
      <c r="K121" s="82"/>
      <c r="L121" s="11">
        <f>SUMIF($B$11:$B$53,$B121,L$11:L$53)+SUMIF($B$65:$B$107,$B121,L$65:L$107)</f>
        <v>1</v>
      </c>
      <c r="M121" s="82"/>
      <c r="N121" s="82"/>
      <c r="O121" s="82"/>
      <c r="P121" s="82"/>
      <c r="Q121" s="11">
        <f>SUMIF($B$11:$B$53,$B121,Q$11:Q$53)+SUMIF($B$65:$B$107,$B121,Q$65:Q$107)</f>
        <v>0</v>
      </c>
      <c r="R121" s="82"/>
      <c r="S121" s="82"/>
      <c r="T121" s="82"/>
      <c r="U121" s="82"/>
      <c r="V121" s="11">
        <f>SUMIF($B$11:$B$53,$B121,V$11:V$53)+SUMIF($B$65:$B$107,$B121,V$65:V$107)</f>
        <v>0</v>
      </c>
      <c r="W121" s="82"/>
      <c r="X121" s="82"/>
      <c r="Y121" s="82"/>
      <c r="Z121" s="82"/>
      <c r="AA121" s="11">
        <f>SUMIF($B$11:$B$53,$B121,AA$11:AA$53)+SUMIF($B$65:$B$107,$B121,AA$65:AA$107)</f>
        <v>0</v>
      </c>
      <c r="AB121" s="82"/>
      <c r="AC121" s="82"/>
      <c r="AD121" s="82"/>
      <c r="AE121" s="82"/>
      <c r="AF121" s="11">
        <f>SUMIF($B$11:$B$53,$B121,AF$11:AF$53)+SUMIF($B$65:$B$107,$B121,AF$65:AF$107)</f>
        <v>0</v>
      </c>
      <c r="AG121" s="82"/>
      <c r="AH121" s="82"/>
      <c r="AI121" s="82"/>
      <c r="AJ121" s="82"/>
      <c r="AK121" s="11">
        <f>SUMIF($B$11:$B$53,$B121,AK$11:AK$53)+SUMIF($B$65:$B$107,$B121,AK$65:AK$107)</f>
        <v>0</v>
      </c>
      <c r="AL121" s="82"/>
      <c r="AM121" s="82"/>
      <c r="AN121" s="82"/>
      <c r="AO121" s="82"/>
      <c r="AP121" s="11">
        <f>SUMIF($B$11:$B$53,$B121,AP$11:AP$53)+SUMIF($B$65:$B$107,$B121,AP$65:AP$107)</f>
        <v>0</v>
      </c>
      <c r="AQ121" s="82"/>
      <c r="AR121" s="82"/>
      <c r="AS121" s="82"/>
      <c r="AT121" s="82"/>
      <c r="AU121" s="11">
        <f>SUMIF($B$11:$B$53,$B121,AU$11:AU$53)+SUMIF($B$65:$B$107,$B121,AU$65:AU$107)</f>
        <v>0</v>
      </c>
      <c r="AV121" s="82"/>
      <c r="AW121" s="82"/>
      <c r="AX121" s="82"/>
      <c r="AY121" s="82"/>
      <c r="AZ121" s="11">
        <f>SUMIF($B$11:$B$53,$B121,AZ$11:AZ$53)+SUMIF($B$65:$B$107,$B121,AZ$65:AZ$107)</f>
        <v>0</v>
      </c>
      <c r="BA121" s="82"/>
      <c r="BB121" s="82"/>
      <c r="BC121" s="82"/>
      <c r="BD121" s="82"/>
      <c r="BE121" s="11">
        <f>SUMIF($B$11:$B$53,$B121,BE$11:BE$53)+SUMIF($B$65:$B$107,$B121,BE$65:BE$107)</f>
        <v>0</v>
      </c>
      <c r="BF121" s="82"/>
      <c r="BG121" s="82"/>
      <c r="BH121" s="82"/>
      <c r="BI121" s="82"/>
      <c r="BJ121" s="11">
        <f>SUMIF($B$11:$B$53,$B121,BJ$11:BJ$53)+SUMIF($B$65:$B$107,$B121,BJ$65:BJ$107)</f>
        <v>0</v>
      </c>
      <c r="BK121" s="82"/>
      <c r="BL121" s="82"/>
      <c r="BM121" s="82"/>
      <c r="BN121" s="82"/>
      <c r="BO121" s="11">
        <f>BO13+BO67</f>
        <v>0</v>
      </c>
      <c r="BP121" s="82"/>
      <c r="BQ121" s="82"/>
      <c r="BR121" s="82"/>
      <c r="BS121" s="82"/>
      <c r="BT121" s="82"/>
      <c r="BU121" s="82"/>
      <c r="BV121" s="82"/>
      <c r="BW121" s="82"/>
      <c r="BX121" s="82"/>
      <c r="BY121" s="82"/>
      <c r="BZ121" s="82"/>
      <c r="CA121" s="82"/>
      <c r="CB121" s="82"/>
      <c r="CC121" s="82"/>
      <c r="CD121" s="82"/>
    </row>
    <row r="122" spans="1:82">
      <c r="A122" s="39" t="s">
        <v>309</v>
      </c>
      <c r="B122" s="39"/>
      <c r="C122" s="39">
        <f t="shared" ref="C122:L122" si="13">SUM(C119:C121)</f>
        <v>585</v>
      </c>
      <c r="D122" s="39">
        <f t="shared" si="13"/>
        <v>565</v>
      </c>
      <c r="E122" s="39">
        <f t="shared" si="13"/>
        <v>461</v>
      </c>
      <c r="F122" s="39">
        <f t="shared" si="13"/>
        <v>407</v>
      </c>
      <c r="G122" s="39">
        <f t="shared" si="13"/>
        <v>352</v>
      </c>
      <c r="H122" s="83"/>
      <c r="I122" s="83"/>
      <c r="J122" s="83"/>
      <c r="K122" s="83"/>
      <c r="L122" s="39">
        <f t="shared" si="13"/>
        <v>314</v>
      </c>
      <c r="M122" s="80">
        <v>295</v>
      </c>
      <c r="N122" s="80">
        <v>261</v>
      </c>
      <c r="O122" s="80">
        <v>203</v>
      </c>
      <c r="P122" s="80">
        <v>249</v>
      </c>
      <c r="Q122" s="39">
        <f>SUM(Q119:Q121)</f>
        <v>252</v>
      </c>
      <c r="R122" s="80">
        <v>235</v>
      </c>
      <c r="S122" s="80">
        <v>226</v>
      </c>
      <c r="T122" s="80">
        <v>190</v>
      </c>
      <c r="U122" s="80">
        <v>216</v>
      </c>
      <c r="V122" s="39">
        <f>SUM(V119:V121)</f>
        <v>216</v>
      </c>
      <c r="W122" s="80">
        <v>212</v>
      </c>
      <c r="X122" s="80">
        <v>201</v>
      </c>
      <c r="Y122" s="80">
        <v>199</v>
      </c>
      <c r="Z122" s="80">
        <v>219</v>
      </c>
      <c r="AA122" s="39">
        <f>SUM(AA119:AA121)</f>
        <v>208</v>
      </c>
      <c r="AB122" s="80">
        <v>215</v>
      </c>
      <c r="AC122" s="80">
        <v>184</v>
      </c>
      <c r="AD122" s="80">
        <v>155</v>
      </c>
      <c r="AE122" s="80">
        <v>155</v>
      </c>
      <c r="AF122" s="39">
        <f>SUM(AF119:AF121)</f>
        <v>177</v>
      </c>
      <c r="AG122" s="80">
        <v>166</v>
      </c>
      <c r="AH122" s="79">
        <v>151</v>
      </c>
      <c r="AI122" s="335">
        <v>120</v>
      </c>
      <c r="AJ122" s="335">
        <v>145</v>
      </c>
      <c r="AK122" s="39">
        <f>SUM(AK119:AK121)</f>
        <v>145</v>
      </c>
      <c r="AL122" s="79">
        <v>123</v>
      </c>
      <c r="AM122" s="79">
        <v>119</v>
      </c>
      <c r="AN122" s="79">
        <v>95</v>
      </c>
      <c r="AO122" s="79">
        <v>100</v>
      </c>
      <c r="AP122" s="39">
        <f>SUM(AP119:AP121)</f>
        <v>109</v>
      </c>
      <c r="AQ122" s="79">
        <v>115</v>
      </c>
      <c r="AR122" s="79">
        <v>97</v>
      </c>
      <c r="AS122" s="79">
        <v>75</v>
      </c>
      <c r="AT122" s="79">
        <v>97</v>
      </c>
      <c r="AU122" s="39">
        <f>SUM(AU119:AU121)</f>
        <v>95</v>
      </c>
      <c r="AV122" s="79">
        <v>106</v>
      </c>
      <c r="AW122" s="79">
        <v>92</v>
      </c>
      <c r="AX122" s="79">
        <v>91</v>
      </c>
      <c r="AY122" s="79">
        <v>85</v>
      </c>
      <c r="AZ122" s="39">
        <f>SUM(AZ119:AZ121)</f>
        <v>94</v>
      </c>
      <c r="BA122" s="79">
        <v>112</v>
      </c>
      <c r="BB122" s="79">
        <v>147</v>
      </c>
      <c r="BC122" s="79">
        <v>94</v>
      </c>
      <c r="BD122" s="79">
        <v>131</v>
      </c>
      <c r="BE122" s="39">
        <f>SUM(BE119:BE121)</f>
        <v>122</v>
      </c>
      <c r="BF122" s="79">
        <v>128</v>
      </c>
      <c r="BG122" s="79">
        <v>117</v>
      </c>
      <c r="BH122" s="79">
        <v>112</v>
      </c>
      <c r="BI122" s="86">
        <v>122</v>
      </c>
      <c r="BJ122" s="39">
        <f>SUM(BJ119:BJ121)</f>
        <v>120</v>
      </c>
      <c r="BK122" s="68">
        <v>115</v>
      </c>
      <c r="BL122" s="68">
        <v>122</v>
      </c>
      <c r="BM122" s="68">
        <v>123</v>
      </c>
      <c r="BN122" s="79">
        <v>117</v>
      </c>
      <c r="BO122" s="39">
        <f>BO14+BO68</f>
        <v>119</v>
      </c>
      <c r="BP122" s="79">
        <f>BP284+BP338</f>
        <v>142.03900000000002</v>
      </c>
      <c r="BQ122" s="79">
        <f>BQ284+BQ338</f>
        <v>142.03900000000002</v>
      </c>
      <c r="BR122" s="79">
        <f>BR284+BR338</f>
        <v>142.03900000000002</v>
      </c>
      <c r="BS122" s="79">
        <f>BS284+BS338</f>
        <v>142.03900000000002</v>
      </c>
      <c r="BT122" s="39">
        <f>AVERAGE(BP122:BS122)</f>
        <v>142.03900000000002</v>
      </c>
      <c r="BU122" s="79">
        <f>BU284+BU338</f>
        <v>148.69999999999999</v>
      </c>
      <c r="BV122" s="79">
        <f>BV284+BV338</f>
        <v>148.69999999999999</v>
      </c>
      <c r="BW122" s="79">
        <f>BW284+BW338</f>
        <v>148.69999999999999</v>
      </c>
      <c r="BX122" s="79">
        <f>BX284+BX338</f>
        <v>148.69999999999999</v>
      </c>
      <c r="BY122" s="39">
        <f>AVERAGE(BU122:BX122)</f>
        <v>148.69999999999999</v>
      </c>
      <c r="BZ122" s="79">
        <f>BZ284+BZ338</f>
        <v>158.869</v>
      </c>
      <c r="CA122" s="79">
        <f>CA284+CA338</f>
        <v>158.869</v>
      </c>
      <c r="CB122" s="79">
        <f>CB284+CB338</f>
        <v>158.869</v>
      </c>
      <c r="CC122" s="79">
        <f>CC284+CC338</f>
        <v>158.869</v>
      </c>
      <c r="CD122" s="39">
        <f>AVERAGE(BZ122:CC122)</f>
        <v>158.869</v>
      </c>
    </row>
    <row r="123" spans="1:82">
      <c r="A123" s="11"/>
      <c r="B123" s="11"/>
      <c r="C123" s="11"/>
      <c r="D123" s="11"/>
      <c r="E123" s="11"/>
      <c r="F123" s="11"/>
      <c r="G123" s="11"/>
      <c r="H123" s="82"/>
      <c r="I123" s="82"/>
      <c r="J123" s="82"/>
      <c r="K123" s="82"/>
      <c r="L123" s="11"/>
      <c r="M123" s="68"/>
      <c r="N123" s="68"/>
      <c r="O123" s="68"/>
      <c r="P123" s="68"/>
      <c r="Q123" s="11"/>
      <c r="R123" s="68"/>
      <c r="S123" s="68"/>
      <c r="T123" s="68"/>
      <c r="U123" s="68"/>
      <c r="V123" s="11"/>
      <c r="W123" s="68"/>
      <c r="X123" s="68"/>
      <c r="Y123" s="68"/>
      <c r="Z123" s="68"/>
      <c r="AA123" s="11"/>
      <c r="AB123" s="68"/>
      <c r="AC123" s="68"/>
      <c r="AD123" s="68"/>
      <c r="AE123" s="68"/>
      <c r="AF123" s="11"/>
      <c r="AG123" s="68"/>
      <c r="AH123" s="11"/>
      <c r="AI123" s="55"/>
      <c r="AJ123" s="11"/>
      <c r="AK123" s="11"/>
      <c r="AL123" s="68"/>
      <c r="AM123" s="68"/>
      <c r="AN123" s="68"/>
      <c r="AO123" s="68"/>
      <c r="AP123" s="11"/>
      <c r="AQ123" s="48"/>
      <c r="AR123" s="48"/>
      <c r="AS123" s="48"/>
      <c r="AT123" s="48"/>
      <c r="AU123" s="11"/>
      <c r="AV123" s="497"/>
      <c r="AW123" s="48"/>
      <c r="AX123" s="48"/>
      <c r="AY123" s="48"/>
      <c r="AZ123" s="11"/>
      <c r="BA123" s="497"/>
      <c r="BB123" s="497"/>
      <c r="BC123" s="497"/>
      <c r="BD123" s="497"/>
      <c r="BE123" s="11"/>
      <c r="BF123" s="497"/>
      <c r="BG123" s="497"/>
      <c r="BH123" s="497"/>
      <c r="BI123" s="497"/>
      <c r="BJ123" s="11"/>
      <c r="BK123" s="497"/>
      <c r="BL123" s="497"/>
      <c r="BM123" s="497"/>
      <c r="BN123" s="497"/>
      <c r="BO123" s="11"/>
      <c r="BP123" s="497"/>
      <c r="BQ123" s="497"/>
      <c r="BR123" s="497"/>
      <c r="BS123" s="497"/>
      <c r="BT123" s="497"/>
      <c r="BU123" s="497"/>
      <c r="BV123" s="497"/>
      <c r="BW123" s="497"/>
      <c r="BX123" s="497"/>
      <c r="BY123" s="497"/>
      <c r="BZ123" s="497"/>
      <c r="CA123" s="497"/>
      <c r="CB123" s="497"/>
      <c r="CC123" s="497"/>
      <c r="CD123" s="497"/>
    </row>
    <row r="124" spans="1:82">
      <c r="A124" s="39" t="s">
        <v>310</v>
      </c>
      <c r="B124" s="11"/>
      <c r="C124" s="11"/>
      <c r="D124" s="11"/>
      <c r="E124" s="11"/>
      <c r="F124" s="11"/>
      <c r="G124" s="11"/>
      <c r="H124" s="82"/>
      <c r="I124" s="82"/>
      <c r="J124" s="82"/>
      <c r="K124" s="82"/>
      <c r="L124" s="11"/>
      <c r="M124" s="68"/>
      <c r="N124" s="68"/>
      <c r="O124" s="68"/>
      <c r="P124" s="68"/>
      <c r="Q124" s="11"/>
      <c r="R124" s="68"/>
      <c r="S124" s="68"/>
      <c r="T124" s="68"/>
      <c r="U124" s="68"/>
      <c r="V124" s="11"/>
      <c r="W124" s="68"/>
      <c r="X124" s="68"/>
      <c r="Y124" s="68"/>
      <c r="Z124" s="68"/>
      <c r="AA124" s="11"/>
      <c r="AB124" s="68"/>
      <c r="AC124" s="68"/>
      <c r="AD124" s="68"/>
      <c r="AE124" s="68"/>
      <c r="AF124" s="11"/>
      <c r="AG124" s="68"/>
      <c r="AH124" s="11"/>
      <c r="AI124" s="55"/>
      <c r="AJ124" s="11"/>
      <c r="AK124" s="11"/>
      <c r="AL124" s="68"/>
      <c r="AM124" s="68"/>
      <c r="AN124" s="68"/>
      <c r="AO124" s="68"/>
      <c r="AP124" s="11"/>
      <c r="AQ124" s="360"/>
      <c r="AR124" s="48">
        <f>AR125-AQ125</f>
        <v>-31</v>
      </c>
      <c r="AS124" s="48"/>
      <c r="AT124" s="48"/>
      <c r="AU124" s="11"/>
      <c r="AV124" s="492"/>
      <c r="AW124" s="48"/>
      <c r="AX124" s="48"/>
      <c r="AY124" s="48"/>
      <c r="AZ124" s="11"/>
      <c r="BA124" s="492"/>
      <c r="BB124" s="492"/>
      <c r="BC124" s="492"/>
      <c r="BD124" s="492"/>
      <c r="BE124" s="11"/>
      <c r="BF124" s="492"/>
      <c r="BG124" s="492"/>
      <c r="BH124" s="492"/>
      <c r="BI124" s="492"/>
      <c r="BJ124" s="11"/>
      <c r="BK124" s="492"/>
      <c r="BL124" s="492"/>
      <c r="BM124" s="492"/>
      <c r="BN124" s="492"/>
      <c r="BO124" s="11"/>
    </row>
    <row r="125" spans="1:82">
      <c r="A125" s="11"/>
      <c r="B125" s="11" t="s">
        <v>728</v>
      </c>
      <c r="C125" s="11">
        <f t="shared" ref="C125:G126" si="14">SUMIF($B$11:$B$53,$B125,C$11:C$53)+SUMIF($B$65:$B$107,$B125,C$65:C$107)</f>
        <v>744</v>
      </c>
      <c r="D125" s="11">
        <f t="shared" si="14"/>
        <v>765</v>
      </c>
      <c r="E125" s="11">
        <f t="shared" si="14"/>
        <v>726</v>
      </c>
      <c r="F125" s="11">
        <f t="shared" si="14"/>
        <v>666</v>
      </c>
      <c r="G125" s="11">
        <f t="shared" si="14"/>
        <v>612</v>
      </c>
      <c r="H125" s="82"/>
      <c r="I125" s="82"/>
      <c r="J125" s="82"/>
      <c r="K125" s="82"/>
      <c r="L125" s="11">
        <f>SUMIF($B$11:$B$53,$B125,L$11:L$53)+SUMIF($B$65:$B$107,$B125,L$65:L$107)</f>
        <v>547</v>
      </c>
      <c r="M125" s="68">
        <v>526</v>
      </c>
      <c r="N125" s="68">
        <v>532</v>
      </c>
      <c r="O125" s="68">
        <v>475</v>
      </c>
      <c r="P125" s="68">
        <v>523</v>
      </c>
      <c r="Q125" s="11">
        <f>SUMIF($B$11:$B$53,$B125,Q$11:Q$53)+SUMIF($B$65:$B$107,$B125,Q$65:Q$107)</f>
        <v>513</v>
      </c>
      <c r="R125" s="68">
        <v>554</v>
      </c>
      <c r="S125" s="68">
        <v>534</v>
      </c>
      <c r="T125" s="68">
        <v>473</v>
      </c>
      <c r="U125" s="68">
        <v>590</v>
      </c>
      <c r="V125" s="11">
        <f>SUMIF($B$11:$B$53,$B125,V$11:V$53)+SUMIF($B$65:$B$107,$B125,V$65:V$107)</f>
        <v>538</v>
      </c>
      <c r="W125" s="68">
        <v>643</v>
      </c>
      <c r="X125" s="68">
        <v>661</v>
      </c>
      <c r="Y125" s="68">
        <v>669</v>
      </c>
      <c r="Z125" s="68">
        <v>687</v>
      </c>
      <c r="AA125" s="11">
        <f>SUMIF($B$11:$B$53,$B125,AA$11:AA$53)+SUMIF($B$65:$B$107,$B125,AA$65:AA$107)</f>
        <v>665</v>
      </c>
      <c r="AB125" s="68">
        <v>665</v>
      </c>
      <c r="AC125" s="68">
        <v>581</v>
      </c>
      <c r="AD125" s="68">
        <v>564</v>
      </c>
      <c r="AE125" s="68">
        <v>567</v>
      </c>
      <c r="AF125" s="11">
        <f>SUMIF($B$11:$B$53,$B125,AF$11:AF$53)+SUMIF($B$65:$B$107,$B125,AF$65:AF$107)</f>
        <v>594</v>
      </c>
      <c r="AG125" s="68">
        <v>523</v>
      </c>
      <c r="AH125" s="68">
        <v>465</v>
      </c>
      <c r="AI125" s="239">
        <v>388</v>
      </c>
      <c r="AJ125" s="68">
        <v>439</v>
      </c>
      <c r="AK125" s="11">
        <f>SUMIF($B$11:$B$53,$B125,AK$11:AK$53)+SUMIF($B$65:$B$107,$B125,AK$65:AK$107)</f>
        <v>453</v>
      </c>
      <c r="AL125" s="68">
        <v>454</v>
      </c>
      <c r="AM125" s="68">
        <v>350</v>
      </c>
      <c r="AN125" s="68">
        <v>356</v>
      </c>
      <c r="AO125" s="68">
        <v>402</v>
      </c>
      <c r="AP125" s="11">
        <f>SUMIF($B$11:$B$53,$B125,AP$11:AP$53)+SUMIF($B$65:$B$107,$B125,AP$65:AP$107)</f>
        <v>390</v>
      </c>
      <c r="AQ125" s="68">
        <v>366</v>
      </c>
      <c r="AR125" s="68">
        <v>335</v>
      </c>
      <c r="AS125" s="68">
        <v>356</v>
      </c>
      <c r="AT125" s="68">
        <v>392</v>
      </c>
      <c r="AU125" s="11">
        <f>SUMIF($B$11:$B$53,$B125,AU$11:AU$53)+SUMIF($B$65:$B$107,$B125,AU$65:AU$107)</f>
        <v>363</v>
      </c>
      <c r="AV125" s="68">
        <v>396</v>
      </c>
      <c r="AW125" s="68">
        <v>429</v>
      </c>
      <c r="AX125" s="68">
        <v>410</v>
      </c>
      <c r="AY125" s="68">
        <v>407</v>
      </c>
      <c r="AZ125" s="11">
        <f>SUMIF($B$11:$B$53,$B125,AZ$11:AZ$53)+SUMIF($B$65:$B$107,$B125,AZ$65:AZ$107)</f>
        <v>410</v>
      </c>
      <c r="BA125" s="68">
        <v>392</v>
      </c>
      <c r="BB125" s="68">
        <v>334</v>
      </c>
      <c r="BC125" s="68">
        <v>390</v>
      </c>
      <c r="BD125" s="68">
        <v>401</v>
      </c>
      <c r="BE125" s="11">
        <f>SUMIF($B$11:$B$53,$B125,BE$11:BE$53)+SUMIF($B$65:$B$107,$B125,BE$65:BE$107)</f>
        <v>379</v>
      </c>
      <c r="BF125" s="68">
        <v>403</v>
      </c>
      <c r="BG125" s="68">
        <v>401</v>
      </c>
      <c r="BH125" s="68">
        <v>353</v>
      </c>
      <c r="BI125" s="86">
        <v>406</v>
      </c>
      <c r="BJ125" s="11">
        <f>SUMIF($B$11:$B$53,$B125,BJ$11:BJ$53)+SUMIF($B$65:$B$107,$B125,BJ$65:BJ$107)</f>
        <v>391</v>
      </c>
      <c r="BK125" s="86">
        <v>448</v>
      </c>
      <c r="BL125" s="86">
        <v>418</v>
      </c>
      <c r="BM125" s="86">
        <v>408</v>
      </c>
      <c r="BN125" s="68">
        <v>430</v>
      </c>
      <c r="BO125" s="11">
        <f t="shared" ref="BO125:BO126" si="15">BO17+BO71</f>
        <v>426</v>
      </c>
      <c r="BP125" s="68">
        <f t="shared" ref="BP125:BS126" si="16">BP179+BP341</f>
        <v>441.80932000000001</v>
      </c>
      <c r="BQ125" s="68">
        <f t="shared" si="16"/>
        <v>441.80932000000001</v>
      </c>
      <c r="BR125" s="68">
        <f t="shared" si="16"/>
        <v>441.80932000000001</v>
      </c>
      <c r="BS125" s="68">
        <f t="shared" si="16"/>
        <v>441.80932000000001</v>
      </c>
      <c r="BT125" s="47">
        <f>AVERAGE(BP125:BS125)</f>
        <v>441.80932000000001</v>
      </c>
      <c r="BU125" s="68">
        <f t="shared" ref="BU125:BX126" si="17">BU179+BU341</f>
        <v>440.62279999999998</v>
      </c>
      <c r="BV125" s="68">
        <f t="shared" si="17"/>
        <v>440.62279999999998</v>
      </c>
      <c r="BW125" s="68">
        <f t="shared" si="17"/>
        <v>440.62279999999998</v>
      </c>
      <c r="BX125" s="68">
        <f t="shared" si="17"/>
        <v>440.62279999999998</v>
      </c>
      <c r="BY125" s="47">
        <f>AVERAGE(BU125:BX125)</f>
        <v>440.62279999999998</v>
      </c>
      <c r="BZ125" s="68">
        <f t="shared" ref="BZ125:CC126" si="18">BZ179+BZ341</f>
        <v>419.27024</v>
      </c>
      <c r="CA125" s="68">
        <f t="shared" si="18"/>
        <v>419.27024</v>
      </c>
      <c r="CB125" s="68">
        <f t="shared" si="18"/>
        <v>419.27024</v>
      </c>
      <c r="CC125" s="68">
        <f t="shared" si="18"/>
        <v>419.27024</v>
      </c>
      <c r="CD125" s="47">
        <f>AVERAGE(BZ125:CC125)</f>
        <v>419.27024</v>
      </c>
    </row>
    <row r="126" spans="1:82">
      <c r="A126" s="11"/>
      <c r="B126" s="11" t="s">
        <v>727</v>
      </c>
      <c r="C126" s="11">
        <f t="shared" si="14"/>
        <v>18</v>
      </c>
      <c r="D126" s="11">
        <f t="shared" si="14"/>
        <v>16</v>
      </c>
      <c r="E126" s="11">
        <f t="shared" si="14"/>
        <v>13</v>
      </c>
      <c r="F126" s="11">
        <f t="shared" si="14"/>
        <v>11</v>
      </c>
      <c r="G126" s="11">
        <f t="shared" si="14"/>
        <v>10</v>
      </c>
      <c r="H126" s="82"/>
      <c r="I126" s="82"/>
      <c r="J126" s="82"/>
      <c r="K126" s="82"/>
      <c r="L126" s="11">
        <f>SUMIF($B$11:$B$53,$B126,L$11:L$53)+SUMIF($B$65:$B$107,$B126,L$65:L$107)</f>
        <v>8</v>
      </c>
      <c r="M126" s="82"/>
      <c r="N126" s="82"/>
      <c r="O126" s="82"/>
      <c r="P126" s="82"/>
      <c r="Q126" s="11">
        <f>SUMIF($B$11:$B$53,$B126,Q$11:Q$53)+SUMIF($B$65:$B$107,$B126,Q$65:Q$107)</f>
        <v>8</v>
      </c>
      <c r="R126" s="82"/>
      <c r="S126" s="82"/>
      <c r="T126" s="82"/>
      <c r="U126" s="82"/>
      <c r="V126" s="11">
        <f>SUMIF($B$11:$B$53,$B126,V$11:V$53)+SUMIF($B$65:$B$107,$B126,V$65:V$107)</f>
        <v>9</v>
      </c>
      <c r="W126" s="82"/>
      <c r="X126" s="82"/>
      <c r="Y126" s="82"/>
      <c r="Z126" s="82"/>
      <c r="AA126" s="11">
        <f>SUMIF($B$11:$B$53,$B126,AA$11:AA$53)+SUMIF($B$65:$B$107,$B126,AA$65:AA$107)</f>
        <v>8</v>
      </c>
      <c r="AB126" s="82"/>
      <c r="AC126" s="82"/>
      <c r="AD126" s="82"/>
      <c r="AE126" s="82"/>
      <c r="AF126" s="11">
        <f>SUMIF($B$11:$B$53,$B126,AF$11:AF$53)+SUMIF($B$65:$B$107,$B126,AF$65:AF$107)</f>
        <v>7</v>
      </c>
      <c r="AG126" s="82"/>
      <c r="AH126" s="82"/>
      <c r="AI126" s="82"/>
      <c r="AJ126" s="82"/>
      <c r="AK126" s="11">
        <f>SUMIF($B$11:$B$53,$B126,AK$11:AK$53)+SUMIF($B$65:$B$107,$B126,AK$65:AK$107)</f>
        <v>2</v>
      </c>
      <c r="AL126" s="82"/>
      <c r="AM126" s="82"/>
      <c r="AN126" s="82"/>
      <c r="AO126" s="82"/>
      <c r="AP126" s="11">
        <f>SUMIF($B$11:$B$53,$B126,AP$11:AP$53)+SUMIF($B$65:$B$107,$B126,AP$65:AP$107)</f>
        <v>1</v>
      </c>
      <c r="AQ126" s="82"/>
      <c r="AR126" s="82"/>
      <c r="AS126" s="82"/>
      <c r="AT126" s="82"/>
      <c r="AU126" s="11">
        <f>SUMIF($B$11:$B$53,$B126,AU$11:AU$53)+SUMIF($B$65:$B$107,$B126,AU$65:AU$107)</f>
        <v>0</v>
      </c>
      <c r="AV126" s="82"/>
      <c r="AW126" s="82"/>
      <c r="AX126" s="82"/>
      <c r="AY126" s="82"/>
      <c r="AZ126" s="11">
        <f>SUMIF($B$11:$B$53,$B126,AZ$11:AZ$53)+SUMIF($B$65:$B$107,$B126,AZ$65:AZ$107)</f>
        <v>0</v>
      </c>
      <c r="BA126" s="82"/>
      <c r="BB126" s="82"/>
      <c r="BC126" s="82"/>
      <c r="BD126" s="82"/>
      <c r="BE126" s="11">
        <f>SUMIF($B$11:$B$53,$B126,BE$11:BE$53)+SUMIF($B$65:$B$107,$B126,BE$65:BE$107)</f>
        <v>3</v>
      </c>
      <c r="BF126" s="82"/>
      <c r="BG126" s="82"/>
      <c r="BH126" s="82"/>
      <c r="BI126" s="82"/>
      <c r="BJ126" s="11">
        <f>SUMIF($B$11:$B$53,$B126,BJ$11:BJ$53)+SUMIF($B$65:$B$107,$B126,BJ$65:BJ$107)</f>
        <v>13</v>
      </c>
      <c r="BK126" s="82"/>
      <c r="BL126" s="82"/>
      <c r="BM126" s="82"/>
      <c r="BN126" s="82"/>
      <c r="BO126" s="11">
        <f t="shared" si="15"/>
        <v>20</v>
      </c>
      <c r="BP126" s="68">
        <f t="shared" si="16"/>
        <v>29.34</v>
      </c>
      <c r="BQ126" s="68">
        <f t="shared" si="16"/>
        <v>29.34</v>
      </c>
      <c r="BR126" s="68">
        <f t="shared" si="16"/>
        <v>29.34</v>
      </c>
      <c r="BS126" s="68">
        <f t="shared" si="16"/>
        <v>29.34</v>
      </c>
      <c r="BT126" s="47">
        <f>AVERAGE(BP126:BS126)</f>
        <v>29.34</v>
      </c>
      <c r="BU126" s="68">
        <f t="shared" si="17"/>
        <v>26.98</v>
      </c>
      <c r="BV126" s="68">
        <f t="shared" si="17"/>
        <v>26.98</v>
      </c>
      <c r="BW126" s="68">
        <f t="shared" si="17"/>
        <v>26.98</v>
      </c>
      <c r="BX126" s="68">
        <f t="shared" si="17"/>
        <v>26.98</v>
      </c>
      <c r="BY126" s="47">
        <f>AVERAGE(BU126:BX126)</f>
        <v>26.98</v>
      </c>
      <c r="BZ126" s="68">
        <f t="shared" si="18"/>
        <v>29.56</v>
      </c>
      <c r="CA126" s="68">
        <f t="shared" si="18"/>
        <v>29.56</v>
      </c>
      <c r="CB126" s="68">
        <f t="shared" si="18"/>
        <v>29.56</v>
      </c>
      <c r="CC126" s="68">
        <f t="shared" si="18"/>
        <v>29.56</v>
      </c>
      <c r="CD126" s="47">
        <f>AVERAGE(BZ126:CC126)</f>
        <v>29.56</v>
      </c>
    </row>
    <row r="127" spans="1:82">
      <c r="A127" s="39" t="s">
        <v>1993</v>
      </c>
      <c r="B127" s="39"/>
      <c r="C127" s="39">
        <f t="shared" ref="C127:L127" si="19">SUM(C125:C126)</f>
        <v>762</v>
      </c>
      <c r="D127" s="39">
        <f t="shared" si="19"/>
        <v>781</v>
      </c>
      <c r="E127" s="39">
        <f t="shared" si="19"/>
        <v>739</v>
      </c>
      <c r="F127" s="39">
        <f t="shared" si="19"/>
        <v>677</v>
      </c>
      <c r="G127" s="39">
        <f t="shared" si="19"/>
        <v>622</v>
      </c>
      <c r="H127" s="83"/>
      <c r="I127" s="83"/>
      <c r="J127" s="83"/>
      <c r="K127" s="83"/>
      <c r="L127" s="39">
        <f t="shared" si="19"/>
        <v>555</v>
      </c>
      <c r="M127" s="82"/>
      <c r="N127" s="82"/>
      <c r="O127" s="82"/>
      <c r="P127" s="82"/>
      <c r="Q127" s="39">
        <f>SUM(Q125:Q126)</f>
        <v>521</v>
      </c>
      <c r="R127" s="82"/>
      <c r="S127" s="82"/>
      <c r="T127" s="82"/>
      <c r="U127" s="82"/>
      <c r="V127" s="39">
        <f>SUM(V125:V126)</f>
        <v>547</v>
      </c>
      <c r="W127" s="82"/>
      <c r="X127" s="82"/>
      <c r="Y127" s="82"/>
      <c r="Z127" s="82"/>
      <c r="AA127" s="39">
        <f>SUM(AA125:AA126)</f>
        <v>673</v>
      </c>
      <c r="AB127" s="82"/>
      <c r="AC127" s="82"/>
      <c r="AD127" s="82"/>
      <c r="AE127" s="82"/>
      <c r="AF127" s="39">
        <f>SUM(AF125:AF126)</f>
        <v>601</v>
      </c>
      <c r="AG127" s="82"/>
      <c r="AH127" s="82"/>
      <c r="AI127" s="82"/>
      <c r="AJ127" s="82"/>
      <c r="AK127" s="39">
        <f>SUM(AK125:AK126)</f>
        <v>455</v>
      </c>
      <c r="AL127" s="82"/>
      <c r="AM127" s="82"/>
      <c r="AN127" s="82"/>
      <c r="AO127" s="82"/>
      <c r="AP127" s="39">
        <f>SUM(AP125:AP126)</f>
        <v>391</v>
      </c>
      <c r="AQ127" s="82"/>
      <c r="AR127" s="82"/>
      <c r="AS127" s="82"/>
      <c r="AT127" s="82"/>
      <c r="AU127" s="39">
        <f>SUM(AU125:AU126)</f>
        <v>363</v>
      </c>
      <c r="AV127" s="82"/>
      <c r="AW127" s="82"/>
      <c r="AX127" s="82"/>
      <c r="AY127" s="82"/>
      <c r="AZ127" s="39">
        <f>SUM(AZ125:AZ126)</f>
        <v>410</v>
      </c>
      <c r="BA127" s="82"/>
      <c r="BB127" s="82"/>
      <c r="BC127" s="82"/>
      <c r="BD127" s="82"/>
      <c r="BE127" s="39">
        <f>SUM(BE125:BE126)</f>
        <v>382</v>
      </c>
      <c r="BF127" s="82"/>
      <c r="BG127" s="82"/>
      <c r="BH127" s="82"/>
      <c r="BI127" s="82"/>
      <c r="BJ127" s="39">
        <f>SUM(BJ125:BJ126)</f>
        <v>404</v>
      </c>
      <c r="BK127" s="82"/>
      <c r="BL127" s="82"/>
      <c r="BM127" s="82"/>
      <c r="BN127" s="82"/>
      <c r="BO127" s="39">
        <f>BO19+BO73</f>
        <v>446</v>
      </c>
      <c r="BP127" s="79">
        <f>SUM(BP125:BP126)</f>
        <v>471.14931999999999</v>
      </c>
      <c r="BQ127" s="79">
        <f>SUM(BQ125:BQ126)</f>
        <v>471.14931999999999</v>
      </c>
      <c r="BR127" s="79">
        <f>SUM(BR125:BR126)</f>
        <v>471.14931999999999</v>
      </c>
      <c r="BS127" s="79">
        <f>SUM(BS125:BS126)</f>
        <v>471.14931999999999</v>
      </c>
      <c r="BT127" s="39">
        <f>AVERAGE(BP127:BS127)</f>
        <v>471.14931999999999</v>
      </c>
      <c r="BU127" s="79">
        <f>SUM(BU125:BU126)</f>
        <v>467.6028</v>
      </c>
      <c r="BV127" s="79">
        <f>SUM(BV125:BV126)</f>
        <v>467.6028</v>
      </c>
      <c r="BW127" s="79">
        <f>SUM(BW125:BW126)</f>
        <v>467.6028</v>
      </c>
      <c r="BX127" s="79">
        <f>SUM(BX125:BX126)</f>
        <v>467.6028</v>
      </c>
      <c r="BY127" s="39">
        <f>AVERAGE(BU127:BX127)</f>
        <v>467.6028</v>
      </c>
      <c r="BZ127" s="79">
        <f>SUM(BZ125:BZ126)</f>
        <v>448.83024</v>
      </c>
      <c r="CA127" s="79">
        <f>SUM(CA125:CA126)</f>
        <v>448.83024</v>
      </c>
      <c r="CB127" s="79">
        <f>SUM(CB125:CB126)</f>
        <v>448.83024</v>
      </c>
      <c r="CC127" s="79">
        <f>SUM(CC125:CC126)</f>
        <v>448.83024</v>
      </c>
      <c r="CD127" s="39">
        <f>AVERAGE(BZ127:CC127)</f>
        <v>448.83024</v>
      </c>
    </row>
    <row r="128" spans="1:82">
      <c r="A128" s="11"/>
      <c r="B128" s="11"/>
      <c r="C128" s="11"/>
      <c r="D128" s="11"/>
      <c r="E128" s="11"/>
      <c r="F128" s="11"/>
      <c r="G128" s="11"/>
      <c r="H128" s="82"/>
      <c r="I128" s="82"/>
      <c r="J128" s="82"/>
      <c r="K128" s="82"/>
      <c r="L128" s="11"/>
      <c r="M128" s="68"/>
      <c r="N128" s="68"/>
      <c r="O128" s="68"/>
      <c r="P128" s="68"/>
      <c r="Q128" s="11"/>
      <c r="R128" s="68"/>
      <c r="S128" s="68"/>
      <c r="T128" s="68"/>
      <c r="U128" s="68"/>
      <c r="V128" s="11"/>
      <c r="W128" s="68"/>
      <c r="X128" s="68"/>
      <c r="Y128" s="68"/>
      <c r="Z128" s="68"/>
      <c r="AA128" s="11"/>
      <c r="AB128" s="68"/>
      <c r="AC128" s="68"/>
      <c r="AD128" s="68"/>
      <c r="AE128" s="68"/>
      <c r="AF128" s="11"/>
      <c r="AG128" s="68"/>
      <c r="AH128" s="11"/>
      <c r="AI128" s="11"/>
      <c r="AJ128" s="11"/>
      <c r="AK128" s="11"/>
      <c r="AL128" s="68"/>
      <c r="AM128" s="11"/>
      <c r="AN128" s="11"/>
      <c r="AO128" s="11"/>
      <c r="AP128" s="11"/>
      <c r="AQ128" s="68"/>
      <c r="AR128" s="68"/>
      <c r="AS128" s="68"/>
      <c r="AT128" s="68"/>
      <c r="AU128" s="11"/>
      <c r="AV128" s="68"/>
      <c r="AW128" s="68"/>
      <c r="AX128" s="68"/>
      <c r="AY128" s="68"/>
      <c r="AZ128" s="11"/>
      <c r="BA128" s="68"/>
      <c r="BB128" s="68"/>
      <c r="BC128" s="68"/>
      <c r="BD128" s="68"/>
      <c r="BE128" s="11"/>
      <c r="BF128" s="498"/>
      <c r="BG128" s="498"/>
      <c r="BH128" s="498"/>
      <c r="BI128" s="498"/>
      <c r="BJ128" s="11"/>
      <c r="BK128" s="709"/>
      <c r="BL128" s="709"/>
      <c r="BM128" s="709"/>
      <c r="BN128" s="708"/>
      <c r="BO128" s="11"/>
      <c r="BP128" s="708"/>
      <c r="BQ128" s="708"/>
      <c r="BR128" s="708"/>
      <c r="BS128" s="708"/>
      <c r="BT128" s="708"/>
      <c r="BU128" s="708"/>
      <c r="BV128" s="708"/>
      <c r="BW128" s="708"/>
      <c r="BX128" s="708"/>
      <c r="BY128" s="708"/>
      <c r="BZ128" s="708"/>
      <c r="CA128" s="708"/>
      <c r="CB128" s="708"/>
      <c r="CC128" s="708"/>
      <c r="CD128" s="708"/>
    </row>
    <row r="129" spans="1:82">
      <c r="A129" s="39" t="s">
        <v>1994</v>
      </c>
      <c r="B129" s="11"/>
      <c r="C129" s="11"/>
      <c r="D129" s="11"/>
      <c r="E129" s="11"/>
      <c r="F129" s="11"/>
      <c r="G129" s="11"/>
      <c r="H129" s="82"/>
      <c r="I129" s="82"/>
      <c r="J129" s="82"/>
      <c r="K129" s="82"/>
      <c r="L129" s="11"/>
      <c r="M129" s="68"/>
      <c r="N129" s="68"/>
      <c r="O129" s="68"/>
      <c r="P129" s="68"/>
      <c r="Q129" s="11"/>
      <c r="R129" s="68"/>
      <c r="S129" s="68"/>
      <c r="T129" s="68"/>
      <c r="U129" s="68"/>
      <c r="V129" s="11"/>
      <c r="W129" s="68"/>
      <c r="X129" s="68"/>
      <c r="Y129" s="68"/>
      <c r="Z129" s="68"/>
      <c r="AA129" s="11"/>
      <c r="AB129" s="68"/>
      <c r="AC129" s="68"/>
      <c r="AD129" s="68"/>
      <c r="AE129" s="68"/>
      <c r="AF129" s="11"/>
      <c r="AG129" s="68"/>
      <c r="AH129" s="11"/>
      <c r="AI129" s="11"/>
      <c r="AJ129" s="11"/>
      <c r="AK129" s="11"/>
      <c r="AL129" s="68"/>
      <c r="AM129" s="11"/>
      <c r="AN129" s="11"/>
      <c r="AO129" s="11"/>
      <c r="AP129" s="11"/>
      <c r="AQ129" s="68"/>
      <c r="AR129" s="68"/>
      <c r="AS129" s="68"/>
      <c r="AT129" s="68"/>
      <c r="AU129" s="11"/>
      <c r="AV129" s="68"/>
      <c r="AW129" s="68"/>
      <c r="AX129" s="68"/>
      <c r="AY129" s="68"/>
      <c r="AZ129" s="11"/>
      <c r="BA129" s="68"/>
      <c r="BB129" s="68"/>
      <c r="BC129" s="68"/>
      <c r="BD129" s="68"/>
      <c r="BE129" s="11"/>
      <c r="BF129" s="68"/>
      <c r="BG129" s="68"/>
      <c r="BH129" s="68"/>
      <c r="BI129" s="68"/>
      <c r="BJ129" s="11"/>
      <c r="BK129" s="68"/>
      <c r="BL129" s="68"/>
      <c r="BM129" s="68"/>
      <c r="BO129" s="11"/>
    </row>
    <row r="130" spans="1:82">
      <c r="A130" s="39"/>
      <c r="B130" s="11" t="s">
        <v>2921</v>
      </c>
      <c r="C130" s="11">
        <f t="shared" ref="C130:G135" si="20">SUMIF($B$11:$B$53,$B130,C$11:C$53)+SUMIF($B$65:$B$107,$B130,C$65:C$107)</f>
        <v>50</v>
      </c>
      <c r="D130" s="11">
        <f t="shared" si="20"/>
        <v>53</v>
      </c>
      <c r="E130" s="11">
        <f t="shared" si="20"/>
        <v>60</v>
      </c>
      <c r="F130" s="11">
        <f t="shared" si="20"/>
        <v>64</v>
      </c>
      <c r="G130" s="11">
        <f t="shared" si="20"/>
        <v>67</v>
      </c>
      <c r="H130" s="82"/>
      <c r="I130" s="82"/>
      <c r="J130" s="82"/>
      <c r="K130" s="82"/>
      <c r="L130" s="11">
        <f t="shared" ref="L130:L135" si="21">SUMIF($B$11:$B$53,$B130,L$11:L$53)+SUMIF($B$65:$B$107,$B130,L$65:L$107)</f>
        <v>69</v>
      </c>
      <c r="M130" s="82"/>
      <c r="N130" s="82"/>
      <c r="O130" s="82"/>
      <c r="P130" s="82"/>
      <c r="Q130" s="11">
        <f t="shared" ref="Q130:Q135" si="22">SUMIF($B$11:$B$53,$B130,Q$11:Q$53)+SUMIF($B$65:$B$107,$B130,Q$65:Q$107)</f>
        <v>69</v>
      </c>
      <c r="R130" s="82"/>
      <c r="S130" s="82"/>
      <c r="T130" s="82"/>
      <c r="U130" s="82"/>
      <c r="V130" s="11">
        <f t="shared" ref="V130:V135" si="23">SUMIF($B$11:$B$53,$B130,V$11:V$53)+SUMIF($B$65:$B$107,$B130,V$65:V$107)</f>
        <v>70</v>
      </c>
      <c r="W130" s="82"/>
      <c r="X130" s="82"/>
      <c r="Y130" s="82"/>
      <c r="Z130" s="82"/>
      <c r="AA130" s="11">
        <f t="shared" ref="AA130:AA135" si="24">SUMIF($B$11:$B$53,$B130,AA$11:AA$53)+SUMIF($B$65:$B$107,$B130,AA$65:AA$107)</f>
        <v>75</v>
      </c>
      <c r="AB130" s="82"/>
      <c r="AC130" s="82"/>
      <c r="AD130" s="82"/>
      <c r="AE130" s="82"/>
      <c r="AF130" s="11">
        <f t="shared" ref="AF130:AF135" si="25">SUMIF($B$11:$B$53,$B130,AF$11:AF$53)+SUMIF($B$65:$B$107,$B130,AF$65:AF$107)</f>
        <v>75</v>
      </c>
      <c r="AG130" s="82"/>
      <c r="AH130" s="82"/>
      <c r="AI130" s="82"/>
      <c r="AJ130" s="82"/>
      <c r="AK130" s="11">
        <f t="shared" ref="AK130:AK135" si="26">SUMIF($B$11:$B$53,$B130,AK$11:AK$53)+SUMIF($B$65:$B$107,$B130,AK$65:AK$107)</f>
        <v>74</v>
      </c>
      <c r="AL130" s="82"/>
      <c r="AM130" s="82"/>
      <c r="AN130" s="82"/>
      <c r="AO130" s="82"/>
      <c r="AP130" s="11">
        <f t="shared" ref="AP130:AP135" si="27">SUMIF($B$11:$B$53,$B130,AP$11:AP$53)+SUMIF($B$65:$B$107,$B130,AP$65:AP$107)</f>
        <v>65</v>
      </c>
      <c r="AQ130" s="82"/>
      <c r="AR130" s="82"/>
      <c r="AS130" s="82"/>
      <c r="AT130" s="82"/>
      <c r="AU130" s="11">
        <f t="shared" ref="AU130:AU135" si="28">SUMIF($B$11:$B$53,$B130,AU$11:AU$53)+SUMIF($B$65:$B$107,$B130,AU$65:AU$107)</f>
        <v>63</v>
      </c>
      <c r="AV130" s="82"/>
      <c r="AW130" s="82"/>
      <c r="AX130" s="82"/>
      <c r="AY130" s="82"/>
      <c r="AZ130" s="11">
        <f t="shared" ref="AZ130:AZ135" si="29">SUMIF($B$11:$B$53,$B130,AZ$11:AZ$53)+SUMIF($B$65:$B$107,$B130,AZ$65:AZ$107)</f>
        <v>65</v>
      </c>
      <c r="BA130" s="82"/>
      <c r="BB130" s="82"/>
      <c r="BC130" s="82"/>
      <c r="BD130" s="82"/>
      <c r="BE130" s="11">
        <f t="shared" ref="BE130:BE135" si="30">SUMIF($B$11:$B$53,$B130,BE$11:BE$53)+SUMIF($B$65:$B$107,$B130,BE$65:BE$107)</f>
        <v>68</v>
      </c>
      <c r="BF130" s="82"/>
      <c r="BG130" s="82"/>
      <c r="BH130" s="82"/>
      <c r="BI130" s="82"/>
      <c r="BJ130" s="11">
        <f t="shared" ref="BJ130:BJ135" si="31">SUMIF($B$11:$B$53,$B130,BJ$11:BJ$53)+SUMIF($B$65:$B$107,$B130,BJ$65:BJ$107)</f>
        <v>63</v>
      </c>
      <c r="BK130" s="82"/>
      <c r="BL130" s="82"/>
      <c r="BM130" s="82"/>
      <c r="BN130" s="82"/>
      <c r="BO130" s="11">
        <f t="shared" ref="BO130:BO135" si="32">BO22+BO76</f>
        <v>60</v>
      </c>
      <c r="BP130" s="82"/>
      <c r="BQ130" s="82"/>
      <c r="BR130" s="82"/>
      <c r="BS130" s="82"/>
      <c r="BT130" s="82"/>
      <c r="BU130" s="82"/>
      <c r="BV130" s="82"/>
      <c r="BW130" s="82"/>
      <c r="BX130" s="82"/>
      <c r="BY130" s="82"/>
      <c r="BZ130" s="82"/>
      <c r="CA130" s="82"/>
      <c r="CB130" s="82"/>
      <c r="CC130" s="82"/>
      <c r="CD130" s="82"/>
    </row>
    <row r="131" spans="1:82">
      <c r="A131" s="39"/>
      <c r="B131" s="11" t="s">
        <v>785</v>
      </c>
      <c r="C131" s="11">
        <f t="shared" si="20"/>
        <v>0</v>
      </c>
      <c r="D131" s="11">
        <f t="shared" si="20"/>
        <v>0</v>
      </c>
      <c r="E131" s="11">
        <f t="shared" si="20"/>
        <v>0</v>
      </c>
      <c r="F131" s="11">
        <f t="shared" si="20"/>
        <v>0</v>
      </c>
      <c r="G131" s="11">
        <f t="shared" si="20"/>
        <v>0</v>
      </c>
      <c r="H131" s="82"/>
      <c r="I131" s="82"/>
      <c r="J131" s="82"/>
      <c r="K131" s="82"/>
      <c r="L131" s="11">
        <f t="shared" si="21"/>
        <v>4</v>
      </c>
      <c r="M131" s="82"/>
      <c r="N131" s="82"/>
      <c r="O131" s="82"/>
      <c r="P131" s="82"/>
      <c r="Q131" s="11">
        <f t="shared" si="22"/>
        <v>2</v>
      </c>
      <c r="R131" s="82"/>
      <c r="S131" s="82"/>
      <c r="T131" s="82"/>
      <c r="U131" s="82"/>
      <c r="V131" s="11">
        <f t="shared" si="23"/>
        <v>3</v>
      </c>
      <c r="W131" s="82"/>
      <c r="X131" s="82"/>
      <c r="Y131" s="82"/>
      <c r="Z131" s="82"/>
      <c r="AA131" s="11">
        <f t="shared" si="24"/>
        <v>1</v>
      </c>
      <c r="AB131" s="82"/>
      <c r="AC131" s="82"/>
      <c r="AD131" s="82"/>
      <c r="AE131" s="82"/>
      <c r="AF131" s="11">
        <f t="shared" si="25"/>
        <v>0</v>
      </c>
      <c r="AG131" s="82"/>
      <c r="AH131" s="82"/>
      <c r="AI131" s="82"/>
      <c r="AJ131" s="82"/>
      <c r="AK131" s="11">
        <f t="shared" si="26"/>
        <v>0</v>
      </c>
      <c r="AL131" s="82"/>
      <c r="AM131" s="82"/>
      <c r="AN131" s="82"/>
      <c r="AO131" s="82"/>
      <c r="AP131" s="11">
        <f t="shared" si="27"/>
        <v>1</v>
      </c>
      <c r="AQ131" s="82"/>
      <c r="AR131" s="82"/>
      <c r="AS131" s="82"/>
      <c r="AT131" s="82"/>
      <c r="AU131" s="11">
        <f t="shared" si="28"/>
        <v>2</v>
      </c>
      <c r="AV131" s="82"/>
      <c r="AW131" s="82"/>
      <c r="AX131" s="82"/>
      <c r="AY131" s="82"/>
      <c r="AZ131" s="11">
        <f t="shared" si="29"/>
        <v>3</v>
      </c>
      <c r="BA131" s="82"/>
      <c r="BB131" s="82"/>
      <c r="BC131" s="82"/>
      <c r="BD131" s="82"/>
      <c r="BE131" s="11">
        <f t="shared" si="30"/>
        <v>4</v>
      </c>
      <c r="BF131" s="82"/>
      <c r="BG131" s="82"/>
      <c r="BH131" s="82"/>
      <c r="BI131" s="82"/>
      <c r="BJ131" s="11">
        <f t="shared" si="31"/>
        <v>4</v>
      </c>
      <c r="BK131" s="82"/>
      <c r="BL131" s="82"/>
      <c r="BM131" s="82"/>
      <c r="BN131" s="82"/>
      <c r="BO131" s="11">
        <f t="shared" si="32"/>
        <v>3</v>
      </c>
      <c r="BP131" s="82"/>
      <c r="BQ131" s="82"/>
      <c r="BR131" s="82"/>
      <c r="BS131" s="82"/>
      <c r="BT131" s="82"/>
      <c r="BU131" s="82"/>
      <c r="BV131" s="82"/>
      <c r="BW131" s="82"/>
      <c r="BX131" s="82"/>
      <c r="BY131" s="82"/>
      <c r="BZ131" s="82"/>
      <c r="CA131" s="82"/>
      <c r="CB131" s="82"/>
      <c r="CC131" s="82"/>
      <c r="CD131" s="82"/>
    </row>
    <row r="132" spans="1:82">
      <c r="A132" s="39"/>
      <c r="B132" s="11" t="s">
        <v>2428</v>
      </c>
      <c r="C132" s="11">
        <f t="shared" si="20"/>
        <v>0</v>
      </c>
      <c r="D132" s="11">
        <f t="shared" si="20"/>
        <v>0</v>
      </c>
      <c r="E132" s="11">
        <f t="shared" si="20"/>
        <v>0</v>
      </c>
      <c r="F132" s="11">
        <f t="shared" si="20"/>
        <v>0</v>
      </c>
      <c r="G132" s="11">
        <f t="shared" si="20"/>
        <v>0</v>
      </c>
      <c r="H132" s="51"/>
      <c r="I132" s="51"/>
      <c r="J132" s="51"/>
      <c r="K132" s="51"/>
      <c r="L132" s="11">
        <f t="shared" si="21"/>
        <v>0</v>
      </c>
      <c r="M132" s="51"/>
      <c r="N132" s="51"/>
      <c r="O132" s="51"/>
      <c r="P132" s="51"/>
      <c r="Q132" s="11">
        <f t="shared" si="22"/>
        <v>0</v>
      </c>
      <c r="R132" s="51"/>
      <c r="S132" s="51"/>
      <c r="T132" s="51"/>
      <c r="U132" s="51"/>
      <c r="V132" s="11">
        <f t="shared" si="23"/>
        <v>0</v>
      </c>
      <c r="W132" s="51"/>
      <c r="X132" s="51"/>
      <c r="Y132" s="51"/>
      <c r="Z132" s="51"/>
      <c r="AA132" s="11">
        <f t="shared" si="24"/>
        <v>0</v>
      </c>
      <c r="AB132" s="51"/>
      <c r="AC132" s="51"/>
      <c r="AD132" s="51"/>
      <c r="AE132" s="51"/>
      <c r="AF132" s="11">
        <f t="shared" si="25"/>
        <v>0</v>
      </c>
      <c r="AG132" s="51"/>
      <c r="AH132" s="51"/>
      <c r="AI132" s="51"/>
      <c r="AJ132" s="51"/>
      <c r="AK132" s="11">
        <f t="shared" si="26"/>
        <v>7</v>
      </c>
      <c r="AL132" s="51"/>
      <c r="AM132" s="51"/>
      <c r="AN132" s="51"/>
      <c r="AO132" s="51"/>
      <c r="AP132" s="11">
        <f t="shared" si="27"/>
        <v>7</v>
      </c>
      <c r="AQ132" s="82"/>
      <c r="AR132" s="82"/>
      <c r="AS132" s="82"/>
      <c r="AT132" s="82"/>
      <c r="AU132" s="11">
        <f t="shared" si="28"/>
        <v>7</v>
      </c>
      <c r="AV132" s="82"/>
      <c r="AW132" s="82"/>
      <c r="AX132" s="82"/>
      <c r="AY132" s="82"/>
      <c r="AZ132" s="11">
        <f t="shared" si="29"/>
        <v>0</v>
      </c>
      <c r="BA132" s="82"/>
      <c r="BB132" s="82"/>
      <c r="BC132" s="82"/>
      <c r="BD132" s="82"/>
      <c r="BE132" s="11">
        <f t="shared" si="30"/>
        <v>0</v>
      </c>
      <c r="BF132" s="82"/>
      <c r="BG132" s="82"/>
      <c r="BH132" s="82"/>
      <c r="BI132" s="82"/>
      <c r="BJ132" s="11">
        <f t="shared" si="31"/>
        <v>0</v>
      </c>
      <c r="BK132" s="82"/>
      <c r="BL132" s="82"/>
      <c r="BM132" s="82"/>
      <c r="BN132" s="82"/>
      <c r="BO132" s="11">
        <f t="shared" si="32"/>
        <v>0</v>
      </c>
      <c r="BP132" s="82"/>
      <c r="BQ132" s="82"/>
      <c r="BR132" s="82"/>
      <c r="BS132" s="82"/>
      <c r="BT132" s="82"/>
      <c r="BU132" s="82"/>
      <c r="BV132" s="82"/>
      <c r="BW132" s="82"/>
      <c r="BX132" s="82"/>
      <c r="BY132" s="82"/>
      <c r="BZ132" s="82"/>
      <c r="CA132" s="82"/>
      <c r="CB132" s="82"/>
      <c r="CC132" s="82"/>
      <c r="CD132" s="82"/>
    </row>
    <row r="133" spans="1:82">
      <c r="A133" s="11"/>
      <c r="B133" s="11" t="s">
        <v>2247</v>
      </c>
      <c r="C133" s="11">
        <f t="shared" si="20"/>
        <v>48</v>
      </c>
      <c r="D133" s="11">
        <f t="shared" si="20"/>
        <v>46</v>
      </c>
      <c r="E133" s="11">
        <f t="shared" si="20"/>
        <v>53</v>
      </c>
      <c r="F133" s="11">
        <f t="shared" si="20"/>
        <v>48</v>
      </c>
      <c r="G133" s="11">
        <f t="shared" si="20"/>
        <v>41</v>
      </c>
      <c r="H133" s="82"/>
      <c r="I133" s="82"/>
      <c r="J133" s="82"/>
      <c r="K133" s="82"/>
      <c r="L133" s="11">
        <f t="shared" si="21"/>
        <v>34</v>
      </c>
      <c r="M133" s="82"/>
      <c r="N133" s="82"/>
      <c r="O133" s="82"/>
      <c r="P133" s="82"/>
      <c r="Q133" s="11">
        <f t="shared" si="22"/>
        <v>28</v>
      </c>
      <c r="R133" s="82"/>
      <c r="S133" s="82"/>
      <c r="T133" s="82"/>
      <c r="U133" s="82"/>
      <c r="V133" s="11">
        <f t="shared" si="23"/>
        <v>24</v>
      </c>
      <c r="W133" s="82"/>
      <c r="X133" s="82"/>
      <c r="Y133" s="82"/>
      <c r="Z133" s="82"/>
      <c r="AA133" s="11">
        <f t="shared" si="24"/>
        <v>23</v>
      </c>
      <c r="AB133" s="82"/>
      <c r="AC133" s="82"/>
      <c r="AD133" s="82"/>
      <c r="AE133" s="82"/>
      <c r="AF133" s="11">
        <f t="shared" si="25"/>
        <v>18</v>
      </c>
      <c r="AG133" s="82"/>
      <c r="AH133" s="82"/>
      <c r="AI133" s="82"/>
      <c r="AJ133" s="82"/>
      <c r="AK133" s="11">
        <f t="shared" si="26"/>
        <v>1</v>
      </c>
      <c r="AL133" s="82"/>
      <c r="AM133" s="82"/>
      <c r="AN133" s="82"/>
      <c r="AO133" s="82"/>
      <c r="AP133" s="11">
        <f t="shared" si="27"/>
        <v>0</v>
      </c>
      <c r="AQ133" s="82"/>
      <c r="AR133" s="82"/>
      <c r="AS133" s="82"/>
      <c r="AT133" s="82"/>
      <c r="AU133" s="11">
        <f t="shared" si="28"/>
        <v>0</v>
      </c>
      <c r="AV133" s="82"/>
      <c r="AW133" s="82"/>
      <c r="AX133" s="82"/>
      <c r="AY133" s="82"/>
      <c r="AZ133" s="11">
        <f t="shared" si="29"/>
        <v>0</v>
      </c>
      <c r="BA133" s="82"/>
      <c r="BB133" s="82"/>
      <c r="BC133" s="82"/>
      <c r="BD133" s="82"/>
      <c r="BE133" s="11">
        <f t="shared" si="30"/>
        <v>0</v>
      </c>
      <c r="BF133" s="82"/>
      <c r="BG133" s="82"/>
      <c r="BH133" s="82"/>
      <c r="BI133" s="82"/>
      <c r="BJ133" s="11">
        <f t="shared" si="31"/>
        <v>0</v>
      </c>
      <c r="BK133" s="82"/>
      <c r="BL133" s="82"/>
      <c r="BM133" s="82"/>
      <c r="BN133" s="82"/>
      <c r="BO133" s="11">
        <f t="shared" si="32"/>
        <v>0</v>
      </c>
      <c r="BP133" s="82"/>
      <c r="BQ133" s="82"/>
      <c r="BR133" s="82"/>
      <c r="BS133" s="82"/>
      <c r="BT133" s="82"/>
      <c r="BU133" s="82"/>
      <c r="BV133" s="82"/>
      <c r="BW133" s="82"/>
      <c r="BX133" s="82"/>
      <c r="BY133" s="82"/>
      <c r="BZ133" s="82"/>
      <c r="CA133" s="82"/>
      <c r="CB133" s="82"/>
      <c r="CC133" s="82"/>
      <c r="CD133" s="82"/>
    </row>
    <row r="134" spans="1:82">
      <c r="A134" s="11"/>
      <c r="B134" s="11" t="s">
        <v>1280</v>
      </c>
      <c r="C134" s="11">
        <f t="shared" si="20"/>
        <v>48</v>
      </c>
      <c r="D134" s="11">
        <f t="shared" si="20"/>
        <v>67</v>
      </c>
      <c r="E134" s="11">
        <f t="shared" si="20"/>
        <v>74</v>
      </c>
      <c r="F134" s="11">
        <f t="shared" si="20"/>
        <v>59</v>
      </c>
      <c r="G134" s="11">
        <f t="shared" si="20"/>
        <v>40</v>
      </c>
      <c r="H134" s="82"/>
      <c r="I134" s="82"/>
      <c r="J134" s="82"/>
      <c r="K134" s="82"/>
      <c r="L134" s="11">
        <f t="shared" si="21"/>
        <v>40</v>
      </c>
      <c r="M134" s="82"/>
      <c r="N134" s="82"/>
      <c r="O134" s="82"/>
      <c r="P134" s="82"/>
      <c r="Q134" s="11">
        <f t="shared" si="22"/>
        <v>30</v>
      </c>
      <c r="R134" s="82"/>
      <c r="S134" s="82"/>
      <c r="T134" s="82"/>
      <c r="U134" s="82"/>
      <c r="V134" s="11">
        <f t="shared" si="23"/>
        <v>38</v>
      </c>
      <c r="W134" s="82"/>
      <c r="X134" s="82"/>
      <c r="Y134" s="82"/>
      <c r="Z134" s="82"/>
      <c r="AA134" s="11">
        <f t="shared" si="24"/>
        <v>38</v>
      </c>
      <c r="AB134" s="82"/>
      <c r="AC134" s="82"/>
      <c r="AD134" s="82"/>
      <c r="AE134" s="82"/>
      <c r="AF134" s="11">
        <f t="shared" si="25"/>
        <v>36</v>
      </c>
      <c r="AG134" s="82"/>
      <c r="AH134" s="82"/>
      <c r="AI134" s="82"/>
      <c r="AJ134" s="82"/>
      <c r="AK134" s="11">
        <f t="shared" si="26"/>
        <v>31</v>
      </c>
      <c r="AL134" s="82"/>
      <c r="AM134" s="82"/>
      <c r="AN134" s="82"/>
      <c r="AO134" s="82"/>
      <c r="AP134" s="11">
        <f t="shared" si="27"/>
        <v>21</v>
      </c>
      <c r="AQ134" s="82"/>
      <c r="AR134" s="82"/>
      <c r="AS134" s="82"/>
      <c r="AT134" s="82"/>
      <c r="AU134" s="11">
        <f t="shared" si="28"/>
        <v>23</v>
      </c>
      <c r="AV134" s="82"/>
      <c r="AW134" s="82"/>
      <c r="AX134" s="82"/>
      <c r="AY134" s="82"/>
      <c r="AZ134" s="11">
        <f t="shared" si="29"/>
        <v>25</v>
      </c>
      <c r="BA134" s="82"/>
      <c r="BB134" s="82"/>
      <c r="BC134" s="82"/>
      <c r="BD134" s="82"/>
      <c r="BE134" s="11">
        <f t="shared" si="30"/>
        <v>23</v>
      </c>
      <c r="BF134" s="82"/>
      <c r="BG134" s="82"/>
      <c r="BH134" s="82"/>
      <c r="BI134" s="82"/>
      <c r="BJ134" s="11">
        <f>SUMIF($B$11:$B$53,$B134,BJ$11:BJ$53)+SUMIF($B$65:$B$107,$B134,BJ$65:BJ$107)</f>
        <v>18</v>
      </c>
      <c r="BK134" s="82"/>
      <c r="BL134" s="82"/>
      <c r="BM134" s="82"/>
      <c r="BN134" s="82"/>
      <c r="BO134" s="11">
        <f t="shared" si="32"/>
        <v>22</v>
      </c>
      <c r="BP134" s="82"/>
      <c r="BQ134" s="82"/>
      <c r="BR134" s="82"/>
      <c r="BS134" s="82"/>
      <c r="BT134" s="82"/>
      <c r="BU134" s="82"/>
      <c r="BV134" s="82"/>
      <c r="BW134" s="82"/>
      <c r="BX134" s="82"/>
      <c r="BY134" s="82"/>
      <c r="BZ134" s="82"/>
      <c r="CA134" s="82"/>
      <c r="CB134" s="82"/>
      <c r="CC134" s="82"/>
      <c r="CD134" s="82"/>
    </row>
    <row r="135" spans="1:82">
      <c r="A135" s="11"/>
      <c r="B135" s="11" t="s">
        <v>1036</v>
      </c>
      <c r="C135" s="11">
        <f t="shared" si="20"/>
        <v>54</v>
      </c>
      <c r="D135" s="11">
        <f t="shared" si="20"/>
        <v>51</v>
      </c>
      <c r="E135" s="11">
        <f t="shared" si="20"/>
        <v>53</v>
      </c>
      <c r="F135" s="11">
        <f t="shared" si="20"/>
        <v>55</v>
      </c>
      <c r="G135" s="11">
        <f t="shared" si="20"/>
        <v>55</v>
      </c>
      <c r="H135" s="82"/>
      <c r="I135" s="82"/>
      <c r="J135" s="82"/>
      <c r="K135" s="82"/>
      <c r="L135" s="11">
        <f t="shared" si="21"/>
        <v>30</v>
      </c>
      <c r="M135" s="82"/>
      <c r="N135" s="82"/>
      <c r="O135" s="82"/>
      <c r="P135" s="82"/>
      <c r="Q135" s="11">
        <f t="shared" si="22"/>
        <v>22</v>
      </c>
      <c r="R135" s="82"/>
      <c r="S135" s="82"/>
      <c r="T135" s="82"/>
      <c r="U135" s="82"/>
      <c r="V135" s="11">
        <f t="shared" si="23"/>
        <v>23</v>
      </c>
      <c r="W135" s="82"/>
      <c r="X135" s="82"/>
      <c r="Y135" s="82"/>
      <c r="Z135" s="82"/>
      <c r="AA135" s="11">
        <f t="shared" si="24"/>
        <v>25</v>
      </c>
      <c r="AB135" s="82"/>
      <c r="AC135" s="82"/>
      <c r="AD135" s="82"/>
      <c r="AE135" s="82"/>
      <c r="AF135" s="11">
        <f t="shared" si="25"/>
        <v>23</v>
      </c>
      <c r="AG135" s="82"/>
      <c r="AH135" s="82"/>
      <c r="AI135" s="82"/>
      <c r="AJ135" s="82"/>
      <c r="AK135" s="11">
        <f t="shared" si="26"/>
        <v>16</v>
      </c>
      <c r="AL135" s="82"/>
      <c r="AM135" s="82"/>
      <c r="AN135" s="82"/>
      <c r="AO135" s="82"/>
      <c r="AP135" s="11">
        <f t="shared" si="27"/>
        <v>14</v>
      </c>
      <c r="AQ135" s="82"/>
      <c r="AR135" s="82"/>
      <c r="AS135" s="82"/>
      <c r="AT135" s="82"/>
      <c r="AU135" s="11">
        <f t="shared" si="28"/>
        <v>0</v>
      </c>
      <c r="AV135" s="82"/>
      <c r="AW135" s="82"/>
      <c r="AX135" s="82"/>
      <c r="AY135" s="82"/>
      <c r="AZ135" s="11">
        <f t="shared" si="29"/>
        <v>0</v>
      </c>
      <c r="BA135" s="82"/>
      <c r="BB135" s="82"/>
      <c r="BC135" s="82"/>
      <c r="BD135" s="82"/>
      <c r="BE135" s="11">
        <f t="shared" si="30"/>
        <v>0</v>
      </c>
      <c r="BF135" s="82"/>
      <c r="BG135" s="82"/>
      <c r="BH135" s="82"/>
      <c r="BI135" s="82"/>
      <c r="BJ135" s="11">
        <f t="shared" si="31"/>
        <v>0</v>
      </c>
      <c r="BK135" s="82"/>
      <c r="BL135" s="82"/>
      <c r="BM135" s="82"/>
      <c r="BN135" s="82"/>
      <c r="BO135" s="11">
        <f t="shared" si="32"/>
        <v>0</v>
      </c>
      <c r="BP135" s="82"/>
      <c r="BQ135" s="82"/>
      <c r="BR135" s="82"/>
      <c r="BS135" s="82"/>
      <c r="BT135" s="82"/>
      <c r="BU135" s="82"/>
      <c r="BV135" s="82"/>
      <c r="BW135" s="82"/>
      <c r="BX135" s="82"/>
      <c r="BY135" s="82"/>
      <c r="BZ135" s="82"/>
      <c r="CA135" s="82"/>
      <c r="CB135" s="82"/>
      <c r="CC135" s="82"/>
      <c r="CD135" s="82"/>
    </row>
    <row r="136" spans="1:82">
      <c r="A136" s="39" t="s">
        <v>119</v>
      </c>
      <c r="B136" s="39"/>
      <c r="C136" s="39">
        <f t="shared" ref="C136:L136" si="33">SUM(C130:C135)</f>
        <v>200</v>
      </c>
      <c r="D136" s="39">
        <f t="shared" si="33"/>
        <v>217</v>
      </c>
      <c r="E136" s="39">
        <f t="shared" si="33"/>
        <v>240</v>
      </c>
      <c r="F136" s="39">
        <f t="shared" si="33"/>
        <v>226</v>
      </c>
      <c r="G136" s="39">
        <f t="shared" si="33"/>
        <v>203</v>
      </c>
      <c r="H136" s="83"/>
      <c r="I136" s="83"/>
      <c r="J136" s="83"/>
      <c r="K136" s="83"/>
      <c r="L136" s="39">
        <f t="shared" si="33"/>
        <v>177</v>
      </c>
      <c r="M136" s="82"/>
      <c r="N136" s="82"/>
      <c r="O136" s="82"/>
      <c r="P136" s="82"/>
      <c r="Q136" s="39">
        <f>SUM(Q130:Q135)</f>
        <v>151</v>
      </c>
      <c r="R136" s="82"/>
      <c r="S136" s="82"/>
      <c r="T136" s="82"/>
      <c r="U136" s="82"/>
      <c r="V136" s="39">
        <f>SUM(V130:V135)</f>
        <v>158</v>
      </c>
      <c r="W136" s="82"/>
      <c r="X136" s="82"/>
      <c r="Y136" s="82"/>
      <c r="Z136" s="82"/>
      <c r="AA136" s="39">
        <f>SUM(AA130:AA135)</f>
        <v>162</v>
      </c>
      <c r="AB136" s="82"/>
      <c r="AC136" s="82"/>
      <c r="AD136" s="82"/>
      <c r="AE136" s="82"/>
      <c r="AF136" s="39">
        <f>SUM(AF130:AF135)</f>
        <v>152</v>
      </c>
      <c r="AG136" s="82"/>
      <c r="AH136" s="82"/>
      <c r="AI136" s="82"/>
      <c r="AJ136" s="82"/>
      <c r="AK136" s="39">
        <f>SUM(AK130:AK135)</f>
        <v>129</v>
      </c>
      <c r="AL136" s="82"/>
      <c r="AM136" s="82"/>
      <c r="AN136" s="82"/>
      <c r="AO136" s="82"/>
      <c r="AP136" s="39">
        <f>SUM(AP130:AP135)</f>
        <v>108</v>
      </c>
      <c r="AQ136" s="82"/>
      <c r="AR136" s="82"/>
      <c r="AS136" s="82"/>
      <c r="AT136" s="82"/>
      <c r="AU136" s="39">
        <f>SUM(AU130:AU135)</f>
        <v>95</v>
      </c>
      <c r="AV136" s="79">
        <f>AV298+AV352</f>
        <v>82.609999999999985</v>
      </c>
      <c r="AW136" s="79">
        <f>AW298+AW352</f>
        <v>82.609999999999985</v>
      </c>
      <c r="AX136" s="79">
        <f>AX298+AX352</f>
        <v>82.609999999999985</v>
      </c>
      <c r="AY136" s="79">
        <f>AY298+AY352</f>
        <v>82.609999999999985</v>
      </c>
      <c r="AZ136" s="39">
        <f>SUM(AZ130:AZ135)</f>
        <v>93</v>
      </c>
      <c r="BA136" s="79">
        <f>BA298+BA352</f>
        <v>82.215999999999994</v>
      </c>
      <c r="BB136" s="79">
        <f>BB298+BB352</f>
        <v>82.215999999999994</v>
      </c>
      <c r="BC136" s="79">
        <f>BC298+BC352</f>
        <v>82.215999999999994</v>
      </c>
      <c r="BD136" s="79">
        <f>BD298+BD352</f>
        <v>82.215999999999994</v>
      </c>
      <c r="BE136" s="39">
        <f>SUM(BE130:BE135)</f>
        <v>95</v>
      </c>
      <c r="BF136" s="79">
        <f>BF298+BF352</f>
        <v>77.068000000000012</v>
      </c>
      <c r="BG136" s="79">
        <f>BG298+BG352</f>
        <v>77.068000000000012</v>
      </c>
      <c r="BH136" s="79">
        <f>BH298+BH352</f>
        <v>77.068000000000012</v>
      </c>
      <c r="BI136" s="79">
        <f>BI298+BI352</f>
        <v>77.068000000000012</v>
      </c>
      <c r="BJ136" s="39">
        <f>SUM(BJ130:BJ135)</f>
        <v>85</v>
      </c>
      <c r="BK136" s="79">
        <f>BK298+BK352</f>
        <v>76.751999999999995</v>
      </c>
      <c r="BL136" s="79">
        <f>BL298+BL352</f>
        <v>76.751999999999995</v>
      </c>
      <c r="BM136" s="79">
        <f>BM298+BM352</f>
        <v>76.751999999999995</v>
      </c>
      <c r="BN136" s="79">
        <f>BN298+BN352</f>
        <v>76.751999999999995</v>
      </c>
      <c r="BO136" s="39">
        <f>BO28+BO82</f>
        <v>85</v>
      </c>
      <c r="BP136" s="79">
        <f>BP298+BP352</f>
        <v>79.795000000000002</v>
      </c>
      <c r="BQ136" s="79">
        <f>BQ298+BQ352</f>
        <v>74.795000000000002</v>
      </c>
      <c r="BR136" s="79">
        <f>BR298+BR352</f>
        <v>74.795000000000002</v>
      </c>
      <c r="BS136" s="79">
        <f>BS298+BS352</f>
        <v>74.795000000000002</v>
      </c>
      <c r="BT136" s="39">
        <f>AVERAGE(BP136:BS136)</f>
        <v>76.045000000000002</v>
      </c>
      <c r="BU136" s="79">
        <f>BU298+BU352</f>
        <v>75.290000000000006</v>
      </c>
      <c r="BV136" s="79">
        <f>BV298+BV352</f>
        <v>75.290000000000006</v>
      </c>
      <c r="BW136" s="79">
        <f>BW298+BW352</f>
        <v>75.290000000000006</v>
      </c>
      <c r="BX136" s="79">
        <f>BX298+BX352</f>
        <v>75.290000000000006</v>
      </c>
      <c r="BY136" s="39">
        <f>AVERAGE(BU136:BX136)</f>
        <v>75.290000000000006</v>
      </c>
      <c r="BZ136" s="79">
        <f>BZ298+BZ352</f>
        <v>74.910000000000011</v>
      </c>
      <c r="CA136" s="79">
        <f>CA298+CA352</f>
        <v>74.910000000000011</v>
      </c>
      <c r="CB136" s="79">
        <f>CB298+CB352</f>
        <v>74.910000000000011</v>
      </c>
      <c r="CC136" s="79">
        <f>CC298+CC352</f>
        <v>74.910000000000011</v>
      </c>
      <c r="CD136" s="39">
        <f>AVERAGE(BZ136:CC136)</f>
        <v>74.910000000000011</v>
      </c>
    </row>
    <row r="137" spans="1:82">
      <c r="A137" s="11"/>
      <c r="B137" s="11"/>
      <c r="C137" s="11"/>
      <c r="D137" s="11"/>
      <c r="E137" s="11"/>
      <c r="F137" s="11"/>
      <c r="G137" s="11"/>
      <c r="H137" s="82"/>
      <c r="I137" s="82"/>
      <c r="J137" s="82"/>
      <c r="K137" s="82"/>
      <c r="L137" s="11"/>
      <c r="M137" s="68"/>
      <c r="N137" s="68"/>
      <c r="O137" s="68"/>
      <c r="P137" s="68"/>
      <c r="Q137" s="11"/>
      <c r="R137" s="68"/>
      <c r="S137" s="68"/>
      <c r="T137" s="68"/>
      <c r="U137" s="68"/>
      <c r="V137" s="11"/>
      <c r="W137" s="68"/>
      <c r="X137" s="68"/>
      <c r="Y137" s="68"/>
      <c r="Z137" s="68"/>
      <c r="AA137" s="11"/>
      <c r="AB137" s="68"/>
      <c r="AC137" s="68"/>
      <c r="AD137" s="68"/>
      <c r="AE137" s="68"/>
      <c r="AF137" s="11"/>
      <c r="AG137" s="68"/>
      <c r="AH137" s="11"/>
      <c r="AI137" s="11"/>
      <c r="AJ137" s="11"/>
      <c r="AK137" s="11"/>
      <c r="AL137" s="68"/>
      <c r="AM137" s="11"/>
      <c r="AN137" s="11"/>
      <c r="AO137" s="11"/>
      <c r="AP137" s="11"/>
      <c r="AQ137" s="48"/>
      <c r="AR137" s="48"/>
      <c r="AS137" s="48"/>
      <c r="AT137" s="48"/>
      <c r="AU137" s="11"/>
      <c r="AV137" s="48"/>
      <c r="AW137" s="48"/>
      <c r="AX137" s="48"/>
      <c r="AY137" s="48"/>
      <c r="AZ137" s="11"/>
      <c r="BA137" s="48"/>
      <c r="BB137" s="48"/>
      <c r="BC137" s="48"/>
      <c r="BD137" s="48"/>
      <c r="BE137" s="11"/>
      <c r="BF137" s="48"/>
      <c r="BG137" s="48"/>
      <c r="BH137" s="48"/>
      <c r="BI137" s="48"/>
      <c r="BJ137" s="11"/>
      <c r="BK137" s="48"/>
      <c r="BL137" s="48"/>
      <c r="BM137" s="48"/>
      <c r="BN137" s="48"/>
      <c r="BO137" s="11"/>
      <c r="BP137" s="48"/>
      <c r="BQ137" s="48"/>
      <c r="BR137" s="48"/>
      <c r="BS137" s="48"/>
      <c r="BT137" s="48"/>
      <c r="BU137" s="48"/>
      <c r="BV137" s="48"/>
      <c r="BW137" s="48"/>
      <c r="BX137" s="48"/>
      <c r="BY137" s="48"/>
      <c r="BZ137" s="48"/>
      <c r="CA137" s="48"/>
      <c r="CB137" s="48"/>
      <c r="CC137" s="48"/>
      <c r="CD137" s="48"/>
    </row>
    <row r="138" spans="1:82">
      <c r="A138" s="39" t="s">
        <v>120</v>
      </c>
      <c r="B138" s="11"/>
      <c r="C138" s="11"/>
      <c r="D138" s="11"/>
      <c r="E138" s="11"/>
      <c r="F138" s="11"/>
      <c r="G138" s="11"/>
      <c r="H138" s="82"/>
      <c r="I138" s="82"/>
      <c r="J138" s="82"/>
      <c r="K138" s="82"/>
      <c r="L138" s="11"/>
      <c r="M138" s="68"/>
      <c r="N138" s="68"/>
      <c r="O138" s="68"/>
      <c r="P138" s="68"/>
      <c r="Q138" s="11"/>
      <c r="R138" s="68"/>
      <c r="S138" s="68"/>
      <c r="T138" s="68"/>
      <c r="U138" s="68"/>
      <c r="V138" s="11"/>
      <c r="W138" s="68"/>
      <c r="X138" s="68"/>
      <c r="Y138" s="68"/>
      <c r="Z138" s="68"/>
      <c r="AA138" s="11"/>
      <c r="AB138" s="68"/>
      <c r="AC138" s="68"/>
      <c r="AD138" s="68"/>
      <c r="AE138" s="68"/>
      <c r="AF138" s="11"/>
      <c r="AG138" s="68"/>
      <c r="AH138" s="11"/>
      <c r="AI138" s="11"/>
      <c r="AJ138" s="11"/>
      <c r="AK138" s="11"/>
      <c r="AL138" s="68"/>
      <c r="AM138" s="11"/>
      <c r="AN138" s="11"/>
      <c r="AO138" s="11"/>
      <c r="AP138" s="11"/>
      <c r="AQ138" s="48"/>
      <c r="AR138" s="48"/>
      <c r="AS138" s="48"/>
      <c r="AT138" s="48"/>
      <c r="AU138" s="11"/>
      <c r="AV138" s="48"/>
      <c r="AW138" s="48"/>
      <c r="AX138" s="48"/>
      <c r="AY138" s="48"/>
      <c r="AZ138" s="11"/>
      <c r="BA138" s="48"/>
      <c r="BB138" s="48"/>
      <c r="BC138" s="48"/>
      <c r="BD138" s="48"/>
      <c r="BE138" s="11"/>
      <c r="BF138" s="48"/>
      <c r="BG138" s="48"/>
      <c r="BH138" s="48"/>
      <c r="BI138" s="48"/>
      <c r="BJ138" s="11"/>
      <c r="BK138" s="48"/>
      <c r="BL138" s="48"/>
      <c r="BM138" s="48"/>
      <c r="BN138" s="48"/>
      <c r="BO138" s="11"/>
      <c r="BP138" s="48"/>
      <c r="BQ138" s="48"/>
      <c r="BR138" s="48"/>
      <c r="BS138" s="48"/>
      <c r="BT138" s="48"/>
      <c r="BU138" s="48"/>
      <c r="BV138" s="48"/>
      <c r="BW138" s="48"/>
      <c r="BX138" s="48"/>
      <c r="BY138" s="48"/>
      <c r="BZ138" s="48"/>
      <c r="CA138" s="48"/>
      <c r="CB138" s="48"/>
      <c r="CC138" s="48"/>
      <c r="CD138" s="48"/>
    </row>
    <row r="139" spans="1:82">
      <c r="A139" s="11"/>
      <c r="B139" s="11" t="s">
        <v>1473</v>
      </c>
      <c r="C139" s="11">
        <f t="shared" ref="C139:G141" si="34">SUMIF($B$11:$B$53,$B139,C$11:C$53)+SUMIF($B$65:$B$107,$B139,C$65:C$107)</f>
        <v>0</v>
      </c>
      <c r="D139" s="11">
        <f t="shared" si="34"/>
        <v>0</v>
      </c>
      <c r="E139" s="11">
        <f t="shared" si="34"/>
        <v>0</v>
      </c>
      <c r="F139" s="11">
        <f t="shared" si="34"/>
        <v>0</v>
      </c>
      <c r="G139" s="11">
        <f t="shared" si="34"/>
        <v>0</v>
      </c>
      <c r="H139" s="82"/>
      <c r="I139" s="82"/>
      <c r="J139" s="82"/>
      <c r="K139" s="82"/>
      <c r="L139" s="11">
        <f>SUMIF($B$11:$B$53,$B139,L$11:L$53)+SUMIF($B$65:$B$107,$B139,L$65:L$107)</f>
        <v>3</v>
      </c>
      <c r="M139" s="82"/>
      <c r="N139" s="82"/>
      <c r="O139" s="82"/>
      <c r="P139" s="82"/>
      <c r="Q139" s="11">
        <f>SUMIF($B$11:$B$53,$B139,Q$11:Q$53)+SUMIF($B$65:$B$107,$B139,Q$65:Q$107)</f>
        <v>12</v>
      </c>
      <c r="R139" s="82"/>
      <c r="S139" s="82"/>
      <c r="T139" s="82"/>
      <c r="U139" s="82"/>
      <c r="V139" s="11">
        <f>SUMIF($B$11:$B$53,$B139,V$11:V$53)+SUMIF($B$65:$B$107,$B139,V$65:V$107)</f>
        <v>19</v>
      </c>
      <c r="W139" s="82"/>
      <c r="X139" s="82"/>
      <c r="Y139" s="82"/>
      <c r="Z139" s="82"/>
      <c r="AA139" s="11">
        <f>SUMIF($B$11:$B$53,$B139,AA$11:AA$53)+SUMIF($B$65:$B$107,$B139,AA$65:AA$107)</f>
        <v>22</v>
      </c>
      <c r="AB139" s="82"/>
      <c r="AC139" s="82"/>
      <c r="AD139" s="82"/>
      <c r="AE139" s="82"/>
      <c r="AF139" s="11">
        <f>SUMIF($B$11:$B$53,$B139,AF$11:AF$53)+SUMIF($B$65:$B$107,$B139,AF$65:AF$107)</f>
        <v>17</v>
      </c>
      <c r="AG139" s="82"/>
      <c r="AH139" s="82"/>
      <c r="AI139" s="82"/>
      <c r="AJ139" s="82"/>
      <c r="AK139" s="11">
        <f>SUMIF($B$11:$B$53,$B139,AK$11:AK$53)+SUMIF($B$65:$B$107,$B139,AK$65:AK$107)</f>
        <v>22</v>
      </c>
      <c r="AL139" s="82"/>
      <c r="AM139" s="82"/>
      <c r="AN139" s="82"/>
      <c r="AO139" s="82"/>
      <c r="AP139" s="11">
        <f>SUMIF($B$11:$B$53,$B139,AP$11:AP$53)+SUMIF($B$65:$B$107,$B139,AP$65:AP$107)</f>
        <v>12</v>
      </c>
      <c r="AQ139" s="82"/>
      <c r="AR139" s="82"/>
      <c r="AS139" s="82"/>
      <c r="AT139" s="82"/>
      <c r="AU139" s="11">
        <f>SUMIF($B$11:$B$53,$B139,AU$11:AU$53)+SUMIF($B$65:$B$107,$B139,AU$65:AU$107)</f>
        <v>7</v>
      </c>
      <c r="AV139" s="82"/>
      <c r="AW139" s="82"/>
      <c r="AX139" s="82"/>
      <c r="AY139" s="82"/>
      <c r="AZ139" s="11">
        <f>SUMIF($B$11:$B$53,$B139,AZ$11:AZ$53)+SUMIF($B$65:$B$107,$B139,AZ$65:AZ$107)</f>
        <v>10</v>
      </c>
      <c r="BA139" s="82"/>
      <c r="BB139" s="82"/>
      <c r="BC139" s="82"/>
      <c r="BD139" s="82"/>
      <c r="BE139" s="11">
        <f>SUMIF($B$11:$B$53,$B139,BE$11:BE$53)+SUMIF($B$65:$B$107,$B139,BE$65:BE$107)</f>
        <v>13</v>
      </c>
      <c r="BF139" s="82"/>
      <c r="BG139" s="82"/>
      <c r="BH139" s="82"/>
      <c r="BI139" s="82"/>
      <c r="BJ139" s="11">
        <f>SUMIF($B$11:$B$53,$B139,BJ$11:BJ$53)+SUMIF($B$65:$B$107,$B139,BJ$65:BJ$107)</f>
        <v>10</v>
      </c>
      <c r="BK139" s="82"/>
      <c r="BL139" s="82"/>
      <c r="BM139" s="82"/>
      <c r="BN139" s="82"/>
      <c r="BO139" s="11">
        <f t="shared" ref="BO139:BO141" si="35">BO31+BO85</f>
        <v>19</v>
      </c>
      <c r="BP139" s="82"/>
      <c r="BQ139" s="82"/>
      <c r="BR139" s="82"/>
      <c r="BS139" s="82"/>
      <c r="BT139" s="82"/>
      <c r="BU139" s="82"/>
      <c r="BV139" s="82"/>
      <c r="BW139" s="82"/>
      <c r="BX139" s="82"/>
      <c r="BY139" s="82"/>
      <c r="BZ139" s="82"/>
      <c r="CA139" s="82"/>
      <c r="CB139" s="82"/>
      <c r="CC139" s="82"/>
      <c r="CD139" s="82"/>
    </row>
    <row r="140" spans="1:82">
      <c r="A140" s="11"/>
      <c r="B140" s="11" t="s">
        <v>1934</v>
      </c>
      <c r="C140" s="11">
        <f t="shared" si="34"/>
        <v>1</v>
      </c>
      <c r="D140" s="11">
        <f t="shared" si="34"/>
        <v>29</v>
      </c>
      <c r="E140" s="11">
        <f t="shared" si="34"/>
        <v>35</v>
      </c>
      <c r="F140" s="11">
        <f t="shared" si="34"/>
        <v>71</v>
      </c>
      <c r="G140" s="11">
        <f t="shared" si="34"/>
        <v>128</v>
      </c>
      <c r="H140" s="82"/>
      <c r="I140" s="82"/>
      <c r="J140" s="82"/>
      <c r="K140" s="82"/>
      <c r="L140" s="11">
        <f>SUMIF($B$11:$B$53,$B140,L$11:L$53)+SUMIF($B$65:$B$107,$B140,L$65:L$107)</f>
        <v>133</v>
      </c>
      <c r="M140" s="82"/>
      <c r="N140" s="82"/>
      <c r="O140" s="82"/>
      <c r="P140" s="82"/>
      <c r="Q140" s="11">
        <f>SUMIF($B$11:$B$53,$B140,Q$11:Q$53)+SUMIF($B$65:$B$107,$B140,Q$65:Q$107)</f>
        <v>140</v>
      </c>
      <c r="R140" s="82"/>
      <c r="S140" s="82"/>
      <c r="T140" s="82"/>
      <c r="U140" s="82"/>
      <c r="V140" s="11">
        <f>SUMIF($B$11:$B$53,$B140,V$11:V$53)+SUMIF($B$65:$B$107,$B140,V$65:V$107)</f>
        <v>201</v>
      </c>
      <c r="W140" s="82"/>
      <c r="X140" s="82"/>
      <c r="Y140" s="82"/>
      <c r="Z140" s="82"/>
      <c r="AA140" s="11">
        <f>SUMIF($B$11:$B$53,$B140,AA$11:AA$53)+SUMIF($B$65:$B$107,$B140,AA$65:AA$107)</f>
        <v>211</v>
      </c>
      <c r="AB140" s="82"/>
      <c r="AC140" s="82"/>
      <c r="AD140" s="82"/>
      <c r="AE140" s="82"/>
      <c r="AF140" s="11">
        <f>SUMIF($B$11:$B$53,$B140,AF$11:AF$53)+SUMIF($B$65:$B$107,$B140,AF$65:AF$107)</f>
        <v>170</v>
      </c>
      <c r="AG140" s="82"/>
      <c r="AH140" s="82"/>
      <c r="AI140" s="82"/>
      <c r="AJ140" s="82"/>
      <c r="AK140" s="11">
        <f>SUMIF($B$11:$B$53,$B140,AK$11:AK$53)+SUMIF($B$65:$B$107,$B140,AK$65:AK$107)</f>
        <v>123</v>
      </c>
      <c r="AL140" s="82"/>
      <c r="AM140" s="82"/>
      <c r="AN140" s="82"/>
      <c r="AO140" s="82"/>
      <c r="AP140" s="11">
        <f>SUMIF($B$11:$B$53,$B140,AP$11:AP$53)+SUMIF($B$65:$B$107,$B140,AP$65:AP$107)</f>
        <v>149</v>
      </c>
      <c r="AQ140" s="82"/>
      <c r="AR140" s="82"/>
      <c r="AS140" s="82"/>
      <c r="AT140" s="82"/>
      <c r="AU140" s="11">
        <f>SUMIF($B$11:$B$53,$B140,AU$11:AU$53)+SUMIF($B$65:$B$107,$B140,AU$65:AU$107)</f>
        <v>180</v>
      </c>
      <c r="AV140" s="82"/>
      <c r="AW140" s="82"/>
      <c r="AX140" s="82"/>
      <c r="AY140" s="82"/>
      <c r="AZ140" s="11">
        <f>SUMIF($B$11:$B$53,$B140,AZ$11:AZ$53)+SUMIF($B$65:$B$107,$B140,AZ$65:AZ$107)</f>
        <v>181</v>
      </c>
      <c r="BA140" s="82"/>
      <c r="BB140" s="82"/>
      <c r="BC140" s="82"/>
      <c r="BD140" s="82"/>
      <c r="BE140" s="11">
        <f>SUMIF($B$11:$B$53,$B140,BE$11:BE$53)+SUMIF($B$65:$B$107,$B140,BE$65:BE$107)</f>
        <v>221</v>
      </c>
      <c r="BF140" s="82"/>
      <c r="BG140" s="82"/>
      <c r="BH140" s="82"/>
      <c r="BI140" s="82"/>
      <c r="BJ140" s="11">
        <f>SUMIF($B$11:$B$53,$B140,BJ$11:BJ$53)+SUMIF($B$65:$B$107,$B140,BJ$65:BJ$107)</f>
        <v>220</v>
      </c>
      <c r="BK140" s="82"/>
      <c r="BL140" s="82"/>
      <c r="BM140" s="82"/>
      <c r="BN140" s="82"/>
      <c r="BO140" s="11">
        <f t="shared" si="35"/>
        <v>197</v>
      </c>
      <c r="BP140" s="82"/>
      <c r="BQ140" s="82"/>
      <c r="BR140" s="82"/>
      <c r="BS140" s="82"/>
      <c r="BT140" s="82"/>
      <c r="BU140" s="82"/>
      <c r="BV140" s="82"/>
      <c r="BW140" s="82"/>
      <c r="BX140" s="82"/>
      <c r="BY140" s="82"/>
      <c r="BZ140" s="82"/>
      <c r="CA140" s="82"/>
      <c r="CB140" s="82"/>
      <c r="CC140" s="82"/>
      <c r="CD140" s="82"/>
    </row>
    <row r="141" spans="1:82">
      <c r="A141" s="11"/>
      <c r="B141" s="11" t="s">
        <v>2251</v>
      </c>
      <c r="C141" s="11">
        <f t="shared" si="34"/>
        <v>91</v>
      </c>
      <c r="D141" s="11">
        <f t="shared" si="34"/>
        <v>85</v>
      </c>
      <c r="E141" s="11">
        <f t="shared" si="34"/>
        <v>73</v>
      </c>
      <c r="F141" s="11">
        <f t="shared" si="34"/>
        <v>57</v>
      </c>
      <c r="G141" s="11">
        <f t="shared" si="34"/>
        <v>47</v>
      </c>
      <c r="H141" s="82"/>
      <c r="I141" s="82"/>
      <c r="J141" s="82"/>
      <c r="K141" s="82"/>
      <c r="L141" s="11">
        <f>SUMIF($B$11:$B$53,$B141,L$11:L$53)+SUMIF($B$65:$B$107,$B141,L$65:L$107)</f>
        <v>42</v>
      </c>
      <c r="M141" s="82"/>
      <c r="N141" s="82"/>
      <c r="O141" s="82"/>
      <c r="P141" s="82"/>
      <c r="Q141" s="11">
        <f>SUMIF($B$11:$B$53,$B141,Q$11:Q$53)+SUMIF($B$65:$B$107,$B141,Q$65:Q$107)</f>
        <v>43</v>
      </c>
      <c r="R141" s="82"/>
      <c r="S141" s="82"/>
      <c r="T141" s="82"/>
      <c r="U141" s="82"/>
      <c r="V141" s="11">
        <f>SUMIF($B$11:$B$53,$B141,V$11:V$53)+SUMIF($B$65:$B$107,$B141,V$65:V$107)</f>
        <v>57</v>
      </c>
      <c r="W141" s="82"/>
      <c r="X141" s="82"/>
      <c r="Y141" s="82"/>
      <c r="Z141" s="82"/>
      <c r="AA141" s="11">
        <f>SUMIF($B$11:$B$53,$B141,AA$11:AA$53)+SUMIF($B$65:$B$107,$B141,AA$65:AA$107)</f>
        <v>71</v>
      </c>
      <c r="AB141" s="82"/>
      <c r="AC141" s="82"/>
      <c r="AD141" s="82"/>
      <c r="AE141" s="82"/>
      <c r="AF141" s="11">
        <f>SUMIF($B$11:$B$53,$B141,AF$11:AF$53)+SUMIF($B$65:$B$107,$B141,AF$65:AF$107)</f>
        <v>59</v>
      </c>
      <c r="AG141" s="82"/>
      <c r="AH141" s="82"/>
      <c r="AI141" s="82"/>
      <c r="AJ141" s="82"/>
      <c r="AK141" s="11">
        <f>SUMIF($B$11:$B$53,$B141,AK$11:AK$53)+SUMIF($B$65:$B$107,$B141,AK$65:AK$107)</f>
        <v>45</v>
      </c>
      <c r="AL141" s="82"/>
      <c r="AM141" s="82"/>
      <c r="AN141" s="82"/>
      <c r="AO141" s="82"/>
      <c r="AP141" s="11">
        <f>SUMIF($B$11:$B$53,$B141,AP$11:AP$53)+SUMIF($B$65:$B$107,$B141,AP$65:AP$107)</f>
        <v>41</v>
      </c>
      <c r="AQ141" s="82"/>
      <c r="AR141" s="82"/>
      <c r="AS141" s="82"/>
      <c r="AT141" s="82"/>
      <c r="AU141" s="11">
        <f>SUMIF($B$11:$B$53,$B141,AU$11:AU$53)+SUMIF($B$65:$B$107,$B141,AU$65:AU$107)</f>
        <v>38</v>
      </c>
      <c r="AV141" s="82"/>
      <c r="AW141" s="82"/>
      <c r="AX141" s="82"/>
      <c r="AY141" s="82"/>
      <c r="AZ141" s="11">
        <f>SUMIF($B$11:$B$53,$B141,AZ$11:AZ$53)+SUMIF($B$65:$B$107,$B141,AZ$65:AZ$107)</f>
        <v>41</v>
      </c>
      <c r="BA141" s="82"/>
      <c r="BB141" s="82"/>
      <c r="BC141" s="82"/>
      <c r="BD141" s="82"/>
      <c r="BE141" s="11">
        <f>SUMIF($B$11:$B$53,$B141,BE$11:BE$53)+SUMIF($B$65:$B$107,$B141,BE$65:BE$107)</f>
        <v>45</v>
      </c>
      <c r="BF141" s="82"/>
      <c r="BG141" s="82"/>
      <c r="BH141" s="82"/>
      <c r="BI141" s="82"/>
      <c r="BJ141" s="11">
        <f>SUMIF($B$11:$B$53,$B141,BJ$11:BJ$53)+SUMIF($B$65:$B$107,$B141,BJ$65:BJ$107)</f>
        <v>42</v>
      </c>
      <c r="BK141" s="82"/>
      <c r="BL141" s="82"/>
      <c r="BM141" s="82"/>
      <c r="BN141" s="82"/>
      <c r="BO141" s="11">
        <f t="shared" si="35"/>
        <v>42</v>
      </c>
      <c r="BP141" s="82"/>
      <c r="BQ141" s="82"/>
      <c r="BR141" s="82"/>
      <c r="BS141" s="82"/>
      <c r="BT141" s="82"/>
      <c r="BU141" s="82"/>
      <c r="BV141" s="82"/>
      <c r="BW141" s="82"/>
      <c r="BX141" s="82"/>
      <c r="BY141" s="82"/>
      <c r="BZ141" s="82"/>
      <c r="CA141" s="82"/>
      <c r="CB141" s="82"/>
      <c r="CC141" s="82"/>
      <c r="CD141" s="82"/>
    </row>
    <row r="142" spans="1:82">
      <c r="A142" s="39" t="s">
        <v>2461</v>
      </c>
      <c r="B142" s="39"/>
      <c r="C142" s="39">
        <f>SUM(C139:C141)</f>
        <v>92</v>
      </c>
      <c r="D142" s="39">
        <f>SUM(D139:D141)</f>
        <v>114</v>
      </c>
      <c r="E142" s="39">
        <f>SUM(E139:E141)</f>
        <v>108</v>
      </c>
      <c r="F142" s="39">
        <f>SUM(F139:F141)</f>
        <v>128</v>
      </c>
      <c r="G142" s="39">
        <f>SUM(G139:G141)</f>
        <v>175</v>
      </c>
      <c r="H142" s="83"/>
      <c r="I142" s="83"/>
      <c r="J142" s="83"/>
      <c r="K142" s="83"/>
      <c r="L142" s="39">
        <f>SUM(L139:L141)</f>
        <v>178</v>
      </c>
      <c r="M142" s="82"/>
      <c r="N142" s="82"/>
      <c r="O142" s="82"/>
      <c r="P142" s="82"/>
      <c r="Q142" s="39">
        <f>SUM(Q139:Q141)</f>
        <v>195</v>
      </c>
      <c r="R142" s="82"/>
      <c r="S142" s="82"/>
      <c r="T142" s="82"/>
      <c r="U142" s="82"/>
      <c r="V142" s="39">
        <f>SUM(V139:V141)</f>
        <v>277</v>
      </c>
      <c r="W142" s="82"/>
      <c r="X142" s="82"/>
      <c r="Y142" s="82"/>
      <c r="Z142" s="82"/>
      <c r="AA142" s="39">
        <f>SUM(AA139:AA141)</f>
        <v>304</v>
      </c>
      <c r="AB142" s="82"/>
      <c r="AC142" s="82"/>
      <c r="AD142" s="82"/>
      <c r="AE142" s="82"/>
      <c r="AF142" s="39">
        <f>SUM(AF139:AF141)</f>
        <v>246</v>
      </c>
      <c r="AG142" s="82"/>
      <c r="AH142" s="82"/>
      <c r="AI142" s="82"/>
      <c r="AJ142" s="82"/>
      <c r="AK142" s="39">
        <f>SUM(AK139:AK141)</f>
        <v>190</v>
      </c>
      <c r="AL142" s="82"/>
      <c r="AM142" s="82"/>
      <c r="AN142" s="82"/>
      <c r="AO142" s="82"/>
      <c r="AP142" s="39">
        <f>SUM(AP139:AP141)</f>
        <v>202</v>
      </c>
      <c r="AQ142" s="82"/>
      <c r="AR142" s="82"/>
      <c r="AS142" s="82"/>
      <c r="AT142" s="82"/>
      <c r="AU142" s="39">
        <f>SUM(AU139:AU141)</f>
        <v>225</v>
      </c>
      <c r="AV142" s="82"/>
      <c r="AW142" s="82"/>
      <c r="AX142" s="82"/>
      <c r="AY142" s="82"/>
      <c r="AZ142" s="39">
        <f>SUM(AZ139:AZ141)</f>
        <v>232</v>
      </c>
      <c r="BA142" s="82"/>
      <c r="BB142" s="82"/>
      <c r="BC142" s="82"/>
      <c r="BD142" s="82"/>
      <c r="BE142" s="39">
        <f>SUM(BE139:BE141)</f>
        <v>279</v>
      </c>
      <c r="BF142" s="82"/>
      <c r="BG142" s="82"/>
      <c r="BH142" s="82"/>
      <c r="BI142" s="82"/>
      <c r="BJ142" s="39">
        <f>SUM(BJ139:BJ141)</f>
        <v>272</v>
      </c>
      <c r="BK142" s="82"/>
      <c r="BL142" s="82"/>
      <c r="BM142" s="82"/>
      <c r="BN142" s="82"/>
      <c r="BO142" s="39">
        <f>BO34+BO88</f>
        <v>258</v>
      </c>
      <c r="BP142" s="79">
        <f>BP304+BP358</f>
        <v>242.69</v>
      </c>
      <c r="BQ142" s="79">
        <f>BQ304+BQ358</f>
        <v>242.69</v>
      </c>
      <c r="BR142" s="79">
        <f>BR304+BR358</f>
        <v>242.69</v>
      </c>
      <c r="BS142" s="79">
        <f>BS304+BS358</f>
        <v>242.69</v>
      </c>
      <c r="BT142" s="39">
        <f>AVERAGE(BP142:BS142)</f>
        <v>242.69</v>
      </c>
      <c r="BU142" s="79">
        <f>BU304+BU358</f>
        <v>223.49000000000007</v>
      </c>
      <c r="BV142" s="79">
        <f>BV304+BV358</f>
        <v>223.49000000000007</v>
      </c>
      <c r="BW142" s="79">
        <f>BW304+BW358</f>
        <v>223.49000000000007</v>
      </c>
      <c r="BX142" s="79">
        <f>BX304+BX358</f>
        <v>223.49000000000007</v>
      </c>
      <c r="BY142" s="39">
        <f>AVERAGE(BU142:BX142)</f>
        <v>223.49000000000007</v>
      </c>
      <c r="BZ142" s="79">
        <f>BZ304+BZ358</f>
        <v>211.20000000000002</v>
      </c>
      <c r="CA142" s="79">
        <f>CA304+CA358</f>
        <v>211.20000000000002</v>
      </c>
      <c r="CB142" s="79">
        <f>CB304+CB358</f>
        <v>211.20000000000002</v>
      </c>
      <c r="CC142" s="79">
        <f>CC304+CC358</f>
        <v>211.20000000000002</v>
      </c>
      <c r="CD142" s="39">
        <f>AVERAGE(BZ142:CC142)</f>
        <v>211.20000000000002</v>
      </c>
    </row>
    <row r="143" spans="1:82">
      <c r="A143" s="11"/>
      <c r="B143" s="11"/>
      <c r="C143" s="11"/>
      <c r="D143" s="11"/>
      <c r="E143" s="11"/>
      <c r="F143" s="11"/>
      <c r="G143" s="11"/>
      <c r="H143" s="82"/>
      <c r="I143" s="82"/>
      <c r="J143" s="82"/>
      <c r="K143" s="82"/>
      <c r="L143" s="11"/>
      <c r="M143" s="68"/>
      <c r="N143" s="68"/>
      <c r="O143" s="68"/>
      <c r="P143" s="68"/>
      <c r="Q143" s="11"/>
      <c r="R143" s="68"/>
      <c r="S143" s="68"/>
      <c r="T143" s="68"/>
      <c r="U143" s="68"/>
      <c r="V143" s="11"/>
      <c r="W143" s="68"/>
      <c r="X143" s="68"/>
      <c r="Y143" s="68"/>
      <c r="Z143" s="68"/>
      <c r="AA143" s="11"/>
      <c r="AB143" s="68"/>
      <c r="AC143" s="68"/>
      <c r="AD143" s="68"/>
      <c r="AE143" s="68"/>
      <c r="AF143" s="11"/>
      <c r="AG143" s="68"/>
      <c r="AH143" s="11"/>
      <c r="AI143" s="11"/>
      <c r="AJ143" s="11"/>
      <c r="AK143" s="11"/>
      <c r="AL143" s="68"/>
      <c r="AM143" s="11"/>
      <c r="AN143" s="11"/>
      <c r="AO143" s="11"/>
      <c r="AP143" s="11"/>
      <c r="AQ143" s="48"/>
      <c r="AR143" s="48"/>
      <c r="AS143" s="48"/>
      <c r="AT143" s="48"/>
      <c r="AU143" s="11"/>
      <c r="AV143" s="48"/>
      <c r="AW143" s="48"/>
      <c r="AX143" s="48"/>
      <c r="AY143" s="48"/>
      <c r="AZ143" s="11"/>
      <c r="BA143" s="48"/>
      <c r="BB143" s="48"/>
      <c r="BC143" s="48"/>
      <c r="BD143" s="48"/>
      <c r="BE143" s="11"/>
      <c r="BF143" s="48"/>
      <c r="BG143" s="48"/>
      <c r="BH143" s="48"/>
      <c r="BI143" s="48"/>
      <c r="BJ143" s="11"/>
      <c r="BK143" s="48"/>
      <c r="BL143" s="48"/>
      <c r="BM143" s="48"/>
      <c r="BN143" s="48"/>
      <c r="BO143" s="11"/>
      <c r="BP143" s="48"/>
      <c r="BQ143" s="48"/>
      <c r="BR143" s="48"/>
      <c r="BS143" s="48"/>
      <c r="BT143" s="48"/>
      <c r="BU143" s="48"/>
      <c r="BV143" s="48"/>
      <c r="BW143" s="48"/>
      <c r="BX143" s="48"/>
      <c r="BY143" s="48"/>
      <c r="BZ143" s="48"/>
      <c r="CA143" s="48"/>
      <c r="CB143" s="48"/>
      <c r="CC143" s="48"/>
      <c r="CD143" s="48"/>
    </row>
    <row r="144" spans="1:82">
      <c r="A144" s="39" t="s">
        <v>2462</v>
      </c>
      <c r="B144" s="11"/>
      <c r="C144" s="11"/>
      <c r="D144" s="11"/>
      <c r="E144" s="11"/>
      <c r="F144" s="11"/>
      <c r="G144" s="11"/>
      <c r="H144" s="82"/>
      <c r="I144" s="82"/>
      <c r="J144" s="82"/>
      <c r="K144" s="82"/>
      <c r="L144" s="11"/>
      <c r="M144" s="68"/>
      <c r="N144" s="68"/>
      <c r="O144" s="68"/>
      <c r="P144" s="68"/>
      <c r="Q144" s="11"/>
      <c r="R144" s="68"/>
      <c r="S144" s="68"/>
      <c r="T144" s="68"/>
      <c r="U144" s="68"/>
      <c r="V144" s="11"/>
      <c r="W144" s="68"/>
      <c r="X144" s="68"/>
      <c r="Y144" s="68"/>
      <c r="Z144" s="68"/>
      <c r="AA144" s="11"/>
      <c r="AB144" s="68"/>
      <c r="AC144" s="68"/>
      <c r="AD144" s="68"/>
      <c r="AE144" s="68"/>
      <c r="AF144" s="11"/>
      <c r="AG144" s="68"/>
      <c r="AH144" s="11"/>
      <c r="AI144" s="11"/>
      <c r="AJ144" s="11"/>
      <c r="AK144" s="11"/>
      <c r="AL144" s="68"/>
      <c r="AM144" s="11"/>
      <c r="AN144" s="11"/>
      <c r="AO144" s="11"/>
      <c r="AP144" s="11"/>
      <c r="AQ144" s="48"/>
      <c r="AR144" s="48"/>
      <c r="AS144" s="48"/>
      <c r="AT144" s="48"/>
      <c r="AU144" s="11"/>
      <c r="AV144" s="48"/>
      <c r="AW144" s="48"/>
      <c r="AX144" s="48"/>
      <c r="AY144" s="48"/>
      <c r="AZ144" s="11"/>
      <c r="BA144" s="48"/>
      <c r="BB144" s="48"/>
      <c r="BC144" s="48"/>
      <c r="BD144" s="48"/>
      <c r="BE144" s="11"/>
      <c r="BF144" s="48"/>
      <c r="BG144" s="48"/>
      <c r="BH144" s="48"/>
      <c r="BI144" s="48"/>
      <c r="BJ144" s="11"/>
      <c r="BK144" s="48"/>
      <c r="BL144" s="48"/>
      <c r="BM144" s="48"/>
      <c r="BN144" s="48"/>
      <c r="BO144" s="11"/>
      <c r="BP144" s="48"/>
      <c r="BQ144" s="48"/>
      <c r="BR144" s="48"/>
      <c r="BS144" s="48"/>
      <c r="BT144" s="48"/>
      <c r="BU144" s="48"/>
      <c r="BV144" s="48"/>
      <c r="BW144" s="48"/>
      <c r="BX144" s="48"/>
      <c r="BY144" s="48"/>
      <c r="BZ144" s="48"/>
      <c r="CA144" s="48"/>
      <c r="CB144" s="48"/>
      <c r="CC144" s="48"/>
      <c r="CD144" s="48"/>
    </row>
    <row r="145" spans="1:82">
      <c r="A145" s="11"/>
      <c r="B145" s="11" t="s">
        <v>2502</v>
      </c>
      <c r="C145" s="11">
        <f t="shared" ref="C145:G156" si="36">SUMIF($B$11:$B$53,$B145,C$11:C$53)+SUMIF($B$65:$B$107,$B145,C$65:C$107)</f>
        <v>126</v>
      </c>
      <c r="D145" s="11">
        <f t="shared" si="36"/>
        <v>113</v>
      </c>
      <c r="E145" s="11">
        <f t="shared" si="36"/>
        <v>138</v>
      </c>
      <c r="F145" s="11">
        <f t="shared" si="36"/>
        <v>142</v>
      </c>
      <c r="G145" s="11">
        <f t="shared" si="36"/>
        <v>148</v>
      </c>
      <c r="H145" s="82"/>
      <c r="I145" s="82"/>
      <c r="J145" s="82"/>
      <c r="K145" s="82"/>
      <c r="L145" s="11">
        <f t="shared" ref="L145:L156" si="37">SUMIF($B$11:$B$53,$B145,L$11:L$53)+SUMIF($B$65:$B$107,$B145,L$65:L$107)</f>
        <v>163</v>
      </c>
      <c r="M145" s="82"/>
      <c r="N145" s="82"/>
      <c r="O145" s="82"/>
      <c r="P145" s="82"/>
      <c r="Q145" s="11">
        <f t="shared" ref="Q145:Q156" si="38">SUMIF($B$11:$B$53,$B145,Q$11:Q$53)+SUMIF($B$65:$B$107,$B145,Q$65:Q$107)</f>
        <v>192</v>
      </c>
      <c r="R145" s="82"/>
      <c r="S145" s="82"/>
      <c r="T145" s="82"/>
      <c r="U145" s="82"/>
      <c r="V145" s="11">
        <f t="shared" ref="V145:V156" si="39">SUMIF($B$11:$B$53,$B145,V$11:V$53)+SUMIF($B$65:$B$107,$B145,V$65:V$107)</f>
        <v>210</v>
      </c>
      <c r="W145" s="82"/>
      <c r="X145" s="82"/>
      <c r="Y145" s="82"/>
      <c r="Z145" s="82"/>
      <c r="AA145" s="11">
        <f t="shared" ref="AA145:AA156" si="40">SUMIF($B$11:$B$53,$B145,AA$11:AA$53)+SUMIF($B$65:$B$107,$B145,AA$65:AA$107)</f>
        <v>182</v>
      </c>
      <c r="AB145" s="82"/>
      <c r="AC145" s="82"/>
      <c r="AD145" s="82"/>
      <c r="AE145" s="82"/>
      <c r="AF145" s="11">
        <f t="shared" ref="AF145:AF156" si="41">SUMIF($B$11:$B$53,$B145,AF$11:AF$53)+SUMIF($B$65:$B$107,$B145,AF$65:AF$107)</f>
        <v>190</v>
      </c>
      <c r="AG145" s="82"/>
      <c r="AH145" s="82"/>
      <c r="AI145" s="82"/>
      <c r="AJ145" s="82"/>
      <c r="AK145" s="11">
        <f t="shared" ref="AK145:AK156" si="42">SUMIF($B$11:$B$53,$B145,AK$11:AK$53)+SUMIF($B$65:$B$107,$B145,AK$65:AK$107)</f>
        <v>209</v>
      </c>
      <c r="AL145" s="82"/>
      <c r="AM145" s="82"/>
      <c r="AN145" s="82"/>
      <c r="AO145" s="82"/>
      <c r="AP145" s="11">
        <f t="shared" ref="AP145:AP156" si="43">SUMIF($B$11:$B$53,$B145,AP$11:AP$53)+SUMIF($B$65:$B$107,$B145,AP$65:AP$107)</f>
        <v>216</v>
      </c>
      <c r="AQ145" s="82"/>
      <c r="AR145" s="82"/>
      <c r="AS145" s="82"/>
      <c r="AT145" s="82"/>
      <c r="AU145" s="11">
        <f t="shared" ref="AU145:AU156" si="44">SUMIF($B$11:$B$53,$B145,AU$11:AU$53)+SUMIF($B$65:$B$107,$B145,AU$65:AU$107)</f>
        <v>231</v>
      </c>
      <c r="AV145" s="82"/>
      <c r="AW145" s="82"/>
      <c r="AX145" s="82"/>
      <c r="AY145" s="82"/>
      <c r="AZ145" s="11">
        <f t="shared" ref="AZ145:AZ156" si="45">SUMIF($B$11:$B$53,$B145,AZ$11:AZ$53)+SUMIF($B$65:$B$107,$B145,AZ$65:AZ$107)</f>
        <v>97</v>
      </c>
      <c r="BA145" s="82"/>
      <c r="BB145" s="82"/>
      <c r="BC145" s="82"/>
      <c r="BD145" s="82"/>
      <c r="BE145" s="11">
        <f>SUMIF($B$11:$B$53,$B145,BE$11:BE$53)+SUMIF($B$65:$B$107,$B145,BE$65:BE$107)</f>
        <v>96</v>
      </c>
      <c r="BF145" s="82"/>
      <c r="BG145" s="82"/>
      <c r="BH145" s="82"/>
      <c r="BI145" s="82"/>
      <c r="BJ145" s="11">
        <f>SUMIF($B$11:$B$53,$B145,BJ$11:BJ$53)+SUMIF($B$65:$B$107,$B145,BJ$65:BJ$107)</f>
        <v>101</v>
      </c>
      <c r="BK145" s="82"/>
      <c r="BL145" s="82"/>
      <c r="BM145" s="82"/>
      <c r="BN145" s="82"/>
      <c r="BO145" s="11">
        <f t="shared" ref="BO145:BO156" si="46">BO37+BO91</f>
        <v>257</v>
      </c>
      <c r="BP145" s="86">
        <f t="shared" ref="BP145:BS156" si="47">BP307+BP361</f>
        <v>188.87</v>
      </c>
      <c r="BQ145" s="86">
        <f t="shared" si="47"/>
        <v>188.87</v>
      </c>
      <c r="BR145" s="86">
        <f t="shared" si="47"/>
        <v>188.87</v>
      </c>
      <c r="BS145" s="86">
        <f t="shared" si="47"/>
        <v>188.87</v>
      </c>
      <c r="BT145" s="47">
        <f t="shared" ref="BT145:BT156" si="48">AVERAGE(BP145:BS145)</f>
        <v>188.87</v>
      </c>
      <c r="BU145" s="86">
        <f t="shared" ref="BU145:BX156" si="49">BU307+BU361</f>
        <v>169.34</v>
      </c>
      <c r="BV145" s="86">
        <f t="shared" si="49"/>
        <v>169.34</v>
      </c>
      <c r="BW145" s="86">
        <f t="shared" si="49"/>
        <v>169.34</v>
      </c>
      <c r="BX145" s="86">
        <f t="shared" si="49"/>
        <v>169.34</v>
      </c>
      <c r="BY145" s="47">
        <f t="shared" ref="BY145:BY156" si="50">AVERAGE(BU145:BX145)</f>
        <v>169.34</v>
      </c>
      <c r="BZ145" s="86">
        <f t="shared" ref="BZ145:CC156" si="51">BZ307+BZ361</f>
        <v>170.17</v>
      </c>
      <c r="CA145" s="86">
        <f t="shared" si="51"/>
        <v>170.17</v>
      </c>
      <c r="CB145" s="86">
        <f t="shared" si="51"/>
        <v>170.17</v>
      </c>
      <c r="CC145" s="86">
        <f t="shared" si="51"/>
        <v>170.17</v>
      </c>
      <c r="CD145" s="47">
        <f t="shared" ref="CD145:CD156" si="52">AVERAGE(BZ145:CC145)</f>
        <v>170.17</v>
      </c>
    </row>
    <row r="146" spans="1:82">
      <c r="A146" s="11"/>
      <c r="B146" s="11" t="s">
        <v>726</v>
      </c>
      <c r="C146" s="11">
        <f t="shared" si="36"/>
        <v>35</v>
      </c>
      <c r="D146" s="11">
        <f t="shared" si="36"/>
        <v>38</v>
      </c>
      <c r="E146" s="11">
        <f t="shared" si="36"/>
        <v>38</v>
      </c>
      <c r="F146" s="11">
        <f t="shared" si="36"/>
        <v>39</v>
      </c>
      <c r="G146" s="11">
        <f t="shared" si="36"/>
        <v>76</v>
      </c>
      <c r="H146" s="82"/>
      <c r="I146" s="82"/>
      <c r="J146" s="82"/>
      <c r="K146" s="82"/>
      <c r="L146" s="11">
        <f t="shared" si="37"/>
        <v>145</v>
      </c>
      <c r="M146" s="82"/>
      <c r="N146" s="82"/>
      <c r="O146" s="82"/>
      <c r="P146" s="82"/>
      <c r="Q146" s="11">
        <f t="shared" si="38"/>
        <v>205</v>
      </c>
      <c r="R146" s="82"/>
      <c r="S146" s="82"/>
      <c r="T146" s="82"/>
      <c r="U146" s="82"/>
      <c r="V146" s="11">
        <f t="shared" si="39"/>
        <v>105</v>
      </c>
      <c r="W146" s="82"/>
      <c r="X146" s="82"/>
      <c r="Y146" s="82"/>
      <c r="Z146" s="82"/>
      <c r="AA146" s="11">
        <f t="shared" si="40"/>
        <v>101</v>
      </c>
      <c r="AB146" s="82"/>
      <c r="AC146" s="82"/>
      <c r="AD146" s="82"/>
      <c r="AE146" s="82"/>
      <c r="AF146" s="11">
        <f t="shared" si="41"/>
        <v>103</v>
      </c>
      <c r="AG146" s="82"/>
      <c r="AH146" s="82"/>
      <c r="AI146" s="82"/>
      <c r="AJ146" s="82"/>
      <c r="AK146" s="11">
        <f t="shared" si="42"/>
        <v>94</v>
      </c>
      <c r="AL146" s="82"/>
      <c r="AM146" s="82"/>
      <c r="AN146" s="82"/>
      <c r="AO146" s="82"/>
      <c r="AP146" s="11">
        <f t="shared" si="43"/>
        <v>92</v>
      </c>
      <c r="AQ146" s="82"/>
      <c r="AR146" s="82"/>
      <c r="AS146" s="82"/>
      <c r="AT146" s="82"/>
      <c r="AU146" s="11">
        <f t="shared" si="44"/>
        <v>96</v>
      </c>
      <c r="AV146" s="82"/>
      <c r="AW146" s="82"/>
      <c r="AX146" s="82"/>
      <c r="AY146" s="82"/>
      <c r="AZ146" s="11">
        <f t="shared" si="45"/>
        <v>98</v>
      </c>
      <c r="BA146" s="82"/>
      <c r="BB146" s="82"/>
      <c r="BC146" s="82"/>
      <c r="BD146" s="82"/>
      <c r="BE146" s="11">
        <f t="shared" ref="BE146:BE156" si="53">SUMIF($B$11:$B$53,$B146,BE$11:BE$53)+SUMIF($B$65:$B$107,$B146,BE$65:BE$107)</f>
        <v>111</v>
      </c>
      <c r="BF146" s="82"/>
      <c r="BG146" s="82"/>
      <c r="BH146" s="82"/>
      <c r="BI146" s="82"/>
      <c r="BJ146" s="11">
        <f t="shared" ref="BJ146:BJ156" si="54">SUMIF($B$11:$B$53,$B146,BJ$11:BJ$53)+SUMIF($B$65:$B$107,$B146,BJ$65:BJ$107)</f>
        <v>105</v>
      </c>
      <c r="BK146" s="82"/>
      <c r="BL146" s="82"/>
      <c r="BM146" s="82"/>
      <c r="BN146" s="82"/>
      <c r="BO146" s="11">
        <f t="shared" si="46"/>
        <v>90</v>
      </c>
      <c r="BP146" s="86">
        <f t="shared" si="47"/>
        <v>88.53</v>
      </c>
      <c r="BQ146" s="86">
        <f t="shared" si="47"/>
        <v>88.53</v>
      </c>
      <c r="BR146" s="86">
        <f t="shared" si="47"/>
        <v>88.53</v>
      </c>
      <c r="BS146" s="86">
        <f t="shared" si="47"/>
        <v>88.53</v>
      </c>
      <c r="BT146" s="47">
        <f t="shared" si="48"/>
        <v>88.53</v>
      </c>
      <c r="BU146" s="86">
        <f t="shared" si="49"/>
        <v>94.929999999999993</v>
      </c>
      <c r="BV146" s="86">
        <f t="shared" si="49"/>
        <v>94.929999999999993</v>
      </c>
      <c r="BW146" s="86">
        <f t="shared" si="49"/>
        <v>94.929999999999993</v>
      </c>
      <c r="BX146" s="86">
        <f t="shared" si="49"/>
        <v>94.929999999999993</v>
      </c>
      <c r="BY146" s="47">
        <f t="shared" si="50"/>
        <v>94.929999999999993</v>
      </c>
      <c r="BZ146" s="86">
        <f t="shared" si="51"/>
        <v>99.330000000000013</v>
      </c>
      <c r="CA146" s="86">
        <f t="shared" si="51"/>
        <v>99.330000000000013</v>
      </c>
      <c r="CB146" s="86">
        <f t="shared" si="51"/>
        <v>99.330000000000013</v>
      </c>
      <c r="CC146" s="86">
        <f t="shared" si="51"/>
        <v>99.330000000000013</v>
      </c>
      <c r="CD146" s="47">
        <f t="shared" si="52"/>
        <v>99.330000000000013</v>
      </c>
    </row>
    <row r="147" spans="1:82">
      <c r="A147" s="11"/>
      <c r="B147" s="11" t="s">
        <v>216</v>
      </c>
      <c r="C147" s="11">
        <f t="shared" si="36"/>
        <v>0</v>
      </c>
      <c r="D147" s="11">
        <f t="shared" si="36"/>
        <v>0</v>
      </c>
      <c r="E147" s="11">
        <f t="shared" si="36"/>
        <v>0</v>
      </c>
      <c r="F147" s="11">
        <f t="shared" si="36"/>
        <v>0</v>
      </c>
      <c r="G147" s="11">
        <f t="shared" si="36"/>
        <v>0</v>
      </c>
      <c r="H147" s="82"/>
      <c r="I147" s="82"/>
      <c r="J147" s="82"/>
      <c r="K147" s="82"/>
      <c r="L147" s="11">
        <f t="shared" si="37"/>
        <v>0</v>
      </c>
      <c r="M147" s="82"/>
      <c r="N147" s="82"/>
      <c r="O147" s="82"/>
      <c r="P147" s="82"/>
      <c r="Q147" s="11">
        <f t="shared" si="38"/>
        <v>0</v>
      </c>
      <c r="R147" s="82"/>
      <c r="S147" s="82"/>
      <c r="T147" s="82"/>
      <c r="U147" s="82"/>
      <c r="V147" s="11">
        <f t="shared" si="39"/>
        <v>0</v>
      </c>
      <c r="W147" s="82"/>
      <c r="X147" s="82"/>
      <c r="Y147" s="82"/>
      <c r="Z147" s="82"/>
      <c r="AA147" s="11">
        <f t="shared" si="40"/>
        <v>0</v>
      </c>
      <c r="AB147" s="82"/>
      <c r="AC147" s="82"/>
      <c r="AD147" s="82"/>
      <c r="AE147" s="82"/>
      <c r="AF147" s="11">
        <f t="shared" si="41"/>
        <v>0</v>
      </c>
      <c r="AG147" s="82"/>
      <c r="AH147" s="82"/>
      <c r="AI147" s="82"/>
      <c r="AJ147" s="82"/>
      <c r="AK147" s="11">
        <f t="shared" si="42"/>
        <v>0</v>
      </c>
      <c r="AL147" s="82"/>
      <c r="AM147" s="82"/>
      <c r="AN147" s="82"/>
      <c r="AO147" s="82"/>
      <c r="AP147" s="11">
        <f t="shared" si="43"/>
        <v>0</v>
      </c>
      <c r="AQ147" s="82"/>
      <c r="AR147" s="82"/>
      <c r="AS147" s="82"/>
      <c r="AT147" s="82"/>
      <c r="AU147" s="11">
        <f t="shared" si="44"/>
        <v>0</v>
      </c>
      <c r="AV147" s="82"/>
      <c r="AW147" s="82"/>
      <c r="AX147" s="82"/>
      <c r="AY147" s="82"/>
      <c r="AZ147" s="11">
        <f t="shared" si="45"/>
        <v>0</v>
      </c>
      <c r="BA147" s="82"/>
      <c r="BB147" s="82"/>
      <c r="BC147" s="82"/>
      <c r="BD147" s="82"/>
      <c r="BE147" s="11">
        <f t="shared" si="53"/>
        <v>0</v>
      </c>
      <c r="BF147" s="82"/>
      <c r="BG147" s="82"/>
      <c r="BH147" s="82"/>
      <c r="BI147" s="82"/>
      <c r="BJ147" s="11">
        <f t="shared" si="54"/>
        <v>0</v>
      </c>
      <c r="BK147" s="82"/>
      <c r="BL147" s="82"/>
      <c r="BM147" s="82"/>
      <c r="BN147" s="82"/>
      <c r="BO147" s="11">
        <f t="shared" si="46"/>
        <v>0</v>
      </c>
      <c r="BP147" s="86">
        <f t="shared" si="47"/>
        <v>0</v>
      </c>
      <c r="BQ147" s="86">
        <f t="shared" si="47"/>
        <v>0</v>
      </c>
      <c r="BR147" s="86">
        <f t="shared" si="47"/>
        <v>0</v>
      </c>
      <c r="BS147" s="86">
        <f t="shared" si="47"/>
        <v>0</v>
      </c>
      <c r="BT147" s="47">
        <f>AVERAGE(BP147:BS147)</f>
        <v>0</v>
      </c>
      <c r="BU147" s="86">
        <f t="shared" si="49"/>
        <v>0</v>
      </c>
      <c r="BV147" s="86">
        <f t="shared" si="49"/>
        <v>0</v>
      </c>
      <c r="BW147" s="86">
        <f t="shared" si="49"/>
        <v>0</v>
      </c>
      <c r="BX147" s="86">
        <f t="shared" si="49"/>
        <v>0</v>
      </c>
      <c r="BY147" s="47">
        <f>AVERAGE(BU147:BX147)</f>
        <v>0</v>
      </c>
      <c r="BZ147" s="86">
        <f t="shared" si="51"/>
        <v>0</v>
      </c>
      <c r="CA147" s="86">
        <f t="shared" si="51"/>
        <v>0</v>
      </c>
      <c r="CB147" s="86">
        <f t="shared" si="51"/>
        <v>0</v>
      </c>
      <c r="CC147" s="86">
        <f t="shared" si="51"/>
        <v>0</v>
      </c>
      <c r="CD147" s="47">
        <f>AVERAGE(BZ147:CC147)</f>
        <v>0</v>
      </c>
    </row>
    <row r="148" spans="1:82">
      <c r="A148" s="11"/>
      <c r="B148" s="11" t="s">
        <v>138</v>
      </c>
      <c r="C148" s="11">
        <f t="shared" si="36"/>
        <v>0</v>
      </c>
      <c r="D148" s="11">
        <f t="shared" si="36"/>
        <v>0</v>
      </c>
      <c r="E148" s="11">
        <f t="shared" si="36"/>
        <v>0</v>
      </c>
      <c r="F148" s="11">
        <f t="shared" si="36"/>
        <v>0</v>
      </c>
      <c r="G148" s="11">
        <f t="shared" si="36"/>
        <v>0</v>
      </c>
      <c r="H148" s="82"/>
      <c r="I148" s="82"/>
      <c r="J148" s="82"/>
      <c r="K148" s="82"/>
      <c r="L148" s="11">
        <f t="shared" si="37"/>
        <v>0</v>
      </c>
      <c r="M148" s="82"/>
      <c r="N148" s="82"/>
      <c r="O148" s="82"/>
      <c r="P148" s="82"/>
      <c r="Q148" s="11">
        <f t="shared" si="38"/>
        <v>0</v>
      </c>
      <c r="R148" s="82"/>
      <c r="S148" s="82"/>
      <c r="T148" s="82"/>
      <c r="U148" s="82"/>
      <c r="V148" s="11">
        <f t="shared" si="39"/>
        <v>0</v>
      </c>
      <c r="W148" s="82"/>
      <c r="X148" s="82"/>
      <c r="Y148" s="82"/>
      <c r="Z148" s="82"/>
      <c r="AA148" s="11">
        <f t="shared" si="40"/>
        <v>0</v>
      </c>
      <c r="AB148" s="82"/>
      <c r="AC148" s="82"/>
      <c r="AD148" s="82"/>
      <c r="AE148" s="82"/>
      <c r="AF148" s="11">
        <f t="shared" si="41"/>
        <v>0</v>
      </c>
      <c r="AG148" s="82"/>
      <c r="AH148" s="82"/>
      <c r="AI148" s="82"/>
      <c r="AJ148" s="82"/>
      <c r="AK148" s="11">
        <f t="shared" si="42"/>
        <v>31</v>
      </c>
      <c r="AL148" s="82"/>
      <c r="AM148" s="82"/>
      <c r="AN148" s="82"/>
      <c r="AO148" s="82"/>
      <c r="AP148" s="11">
        <f t="shared" si="43"/>
        <v>39</v>
      </c>
      <c r="AQ148" s="82"/>
      <c r="AR148" s="82"/>
      <c r="AS148" s="82"/>
      <c r="AT148" s="82"/>
      <c r="AU148" s="11">
        <f t="shared" si="44"/>
        <v>39</v>
      </c>
      <c r="AV148" s="82"/>
      <c r="AW148" s="82"/>
      <c r="AX148" s="82"/>
      <c r="AY148" s="82"/>
      <c r="AZ148" s="11">
        <f t="shared" si="45"/>
        <v>46</v>
      </c>
      <c r="BA148" s="82"/>
      <c r="BB148" s="82"/>
      <c r="BC148" s="82"/>
      <c r="BD148" s="82"/>
      <c r="BE148" s="11">
        <f t="shared" si="53"/>
        <v>85</v>
      </c>
      <c r="BF148" s="82"/>
      <c r="BG148" s="82"/>
      <c r="BH148" s="82"/>
      <c r="BI148" s="82"/>
      <c r="BJ148" s="11">
        <f t="shared" si="54"/>
        <v>96</v>
      </c>
      <c r="BK148" s="82"/>
      <c r="BL148" s="82"/>
      <c r="BM148" s="82"/>
      <c r="BN148" s="82"/>
      <c r="BO148" s="11">
        <f t="shared" si="46"/>
        <v>73</v>
      </c>
      <c r="BP148" s="86">
        <f t="shared" si="47"/>
        <v>87.2</v>
      </c>
      <c r="BQ148" s="86">
        <f t="shared" si="47"/>
        <v>87.2</v>
      </c>
      <c r="BR148" s="86">
        <f t="shared" si="47"/>
        <v>87.2</v>
      </c>
      <c r="BS148" s="86">
        <f t="shared" si="47"/>
        <v>87.2</v>
      </c>
      <c r="BT148" s="47">
        <f t="shared" si="48"/>
        <v>87.2</v>
      </c>
      <c r="BU148" s="86">
        <f t="shared" si="49"/>
        <v>107.87</v>
      </c>
      <c r="BV148" s="86">
        <f t="shared" si="49"/>
        <v>107.87</v>
      </c>
      <c r="BW148" s="86">
        <f t="shared" si="49"/>
        <v>107.87</v>
      </c>
      <c r="BX148" s="86">
        <f t="shared" si="49"/>
        <v>107.87</v>
      </c>
      <c r="BY148" s="47">
        <f t="shared" si="50"/>
        <v>107.87</v>
      </c>
      <c r="BZ148" s="86">
        <f t="shared" si="51"/>
        <v>105.49</v>
      </c>
      <c r="CA148" s="86">
        <f t="shared" si="51"/>
        <v>105.49</v>
      </c>
      <c r="CB148" s="86">
        <f t="shared" si="51"/>
        <v>105.49</v>
      </c>
      <c r="CC148" s="86">
        <f t="shared" si="51"/>
        <v>105.49</v>
      </c>
      <c r="CD148" s="47">
        <f t="shared" si="52"/>
        <v>105.49</v>
      </c>
    </row>
    <row r="149" spans="1:82">
      <c r="A149" s="11"/>
      <c r="B149" s="11" t="s">
        <v>816</v>
      </c>
      <c r="C149" s="11">
        <f t="shared" si="36"/>
        <v>0</v>
      </c>
      <c r="D149" s="11">
        <f t="shared" si="36"/>
        <v>0</v>
      </c>
      <c r="E149" s="11">
        <f t="shared" si="36"/>
        <v>0</v>
      </c>
      <c r="F149" s="11">
        <f t="shared" si="36"/>
        <v>0</v>
      </c>
      <c r="G149" s="11">
        <f t="shared" si="36"/>
        <v>0</v>
      </c>
      <c r="H149" s="82"/>
      <c r="I149" s="82"/>
      <c r="J149" s="82"/>
      <c r="K149" s="82"/>
      <c r="L149" s="11">
        <f t="shared" si="37"/>
        <v>0</v>
      </c>
      <c r="M149" s="82"/>
      <c r="N149" s="82"/>
      <c r="O149" s="82"/>
      <c r="P149" s="82"/>
      <c r="Q149" s="11">
        <f t="shared" si="38"/>
        <v>0</v>
      </c>
      <c r="R149" s="82"/>
      <c r="S149" s="82"/>
      <c r="T149" s="82"/>
      <c r="U149" s="82"/>
      <c r="V149" s="11">
        <f t="shared" si="39"/>
        <v>0</v>
      </c>
      <c r="W149" s="82"/>
      <c r="X149" s="82"/>
      <c r="Y149" s="82"/>
      <c r="Z149" s="82"/>
      <c r="AA149" s="11">
        <f t="shared" si="40"/>
        <v>0</v>
      </c>
      <c r="AB149" s="82"/>
      <c r="AC149" s="82"/>
      <c r="AD149" s="82"/>
      <c r="AE149" s="82"/>
      <c r="AF149" s="11">
        <f t="shared" si="41"/>
        <v>0</v>
      </c>
      <c r="AG149" s="82"/>
      <c r="AH149" s="82"/>
      <c r="AI149" s="82"/>
      <c r="AJ149" s="82"/>
      <c r="AK149" s="11">
        <f t="shared" si="42"/>
        <v>0</v>
      </c>
      <c r="AL149" s="82"/>
      <c r="AM149" s="82"/>
      <c r="AN149" s="82"/>
      <c r="AO149" s="82"/>
      <c r="AP149" s="11">
        <f t="shared" si="43"/>
        <v>0</v>
      </c>
      <c r="AQ149" s="82"/>
      <c r="AR149" s="82"/>
      <c r="AS149" s="82"/>
      <c r="AT149" s="82"/>
      <c r="AU149" s="11">
        <f t="shared" si="44"/>
        <v>0</v>
      </c>
      <c r="AV149" s="82"/>
      <c r="AW149" s="82"/>
      <c r="AX149" s="82"/>
      <c r="AY149" s="82"/>
      <c r="AZ149" s="11">
        <f t="shared" si="45"/>
        <v>0</v>
      </c>
      <c r="BA149" s="82"/>
      <c r="BB149" s="82"/>
      <c r="BC149" s="82"/>
      <c r="BD149" s="82"/>
      <c r="BE149" s="11">
        <f t="shared" si="53"/>
        <v>0</v>
      </c>
      <c r="BF149" s="82"/>
      <c r="BG149" s="82"/>
      <c r="BH149" s="82"/>
      <c r="BI149" s="82"/>
      <c r="BJ149" s="11">
        <f t="shared" si="54"/>
        <v>0</v>
      </c>
      <c r="BK149" s="82"/>
      <c r="BL149" s="82"/>
      <c r="BM149" s="82"/>
      <c r="BN149" s="82"/>
      <c r="BO149" s="11">
        <f t="shared" si="46"/>
        <v>0</v>
      </c>
      <c r="BP149" s="86">
        <f t="shared" si="47"/>
        <v>0</v>
      </c>
      <c r="BQ149" s="86">
        <f t="shared" si="47"/>
        <v>0</v>
      </c>
      <c r="BR149" s="86">
        <f t="shared" si="47"/>
        <v>0</v>
      </c>
      <c r="BS149" s="86">
        <f t="shared" si="47"/>
        <v>0</v>
      </c>
      <c r="BT149" s="47">
        <f>AVERAGE(BP149:BS149)</f>
        <v>0</v>
      </c>
      <c r="BU149" s="86">
        <f t="shared" si="49"/>
        <v>0</v>
      </c>
      <c r="BV149" s="86">
        <f t="shared" si="49"/>
        <v>0</v>
      </c>
      <c r="BW149" s="86">
        <f t="shared" si="49"/>
        <v>0</v>
      </c>
      <c r="BX149" s="86">
        <f t="shared" si="49"/>
        <v>0</v>
      </c>
      <c r="BY149" s="47">
        <f>AVERAGE(BU149:BX149)</f>
        <v>0</v>
      </c>
      <c r="BZ149" s="86">
        <f t="shared" si="51"/>
        <v>0</v>
      </c>
      <c r="CA149" s="86">
        <f t="shared" si="51"/>
        <v>0</v>
      </c>
      <c r="CB149" s="86">
        <f t="shared" si="51"/>
        <v>0</v>
      </c>
      <c r="CC149" s="86">
        <f t="shared" si="51"/>
        <v>0</v>
      </c>
      <c r="CD149" s="47">
        <f>AVERAGE(BZ149:CC149)</f>
        <v>0</v>
      </c>
    </row>
    <row r="150" spans="1:82">
      <c r="A150" s="11"/>
      <c r="B150" s="11" t="s">
        <v>1962</v>
      </c>
      <c r="C150" s="11">
        <f t="shared" si="36"/>
        <v>0</v>
      </c>
      <c r="D150" s="11">
        <f t="shared" si="36"/>
        <v>0</v>
      </c>
      <c r="E150" s="11">
        <f t="shared" si="36"/>
        <v>0</v>
      </c>
      <c r="F150" s="11">
        <f t="shared" si="36"/>
        <v>0</v>
      </c>
      <c r="G150" s="11">
        <f t="shared" si="36"/>
        <v>0</v>
      </c>
      <c r="H150" s="82"/>
      <c r="I150" s="82"/>
      <c r="J150" s="82"/>
      <c r="K150" s="82"/>
      <c r="L150" s="11">
        <f t="shared" si="37"/>
        <v>0</v>
      </c>
      <c r="M150" s="82"/>
      <c r="N150" s="82"/>
      <c r="O150" s="82"/>
      <c r="P150" s="82"/>
      <c r="Q150" s="11">
        <f t="shared" si="38"/>
        <v>0</v>
      </c>
      <c r="R150" s="82"/>
      <c r="S150" s="82"/>
      <c r="T150" s="82"/>
      <c r="U150" s="82"/>
      <c r="V150" s="11">
        <f t="shared" si="39"/>
        <v>0</v>
      </c>
      <c r="W150" s="82"/>
      <c r="X150" s="82"/>
      <c r="Y150" s="82"/>
      <c r="Z150" s="82"/>
      <c r="AA150" s="11">
        <f t="shared" si="40"/>
        <v>0</v>
      </c>
      <c r="AB150" s="82"/>
      <c r="AC150" s="82"/>
      <c r="AD150" s="82"/>
      <c r="AE150" s="82"/>
      <c r="AF150" s="11">
        <f t="shared" si="41"/>
        <v>0</v>
      </c>
      <c r="AG150" s="82"/>
      <c r="AH150" s="82"/>
      <c r="AI150" s="82"/>
      <c r="AJ150" s="82"/>
      <c r="AK150" s="11">
        <f t="shared" si="42"/>
        <v>0</v>
      </c>
      <c r="AL150" s="82"/>
      <c r="AM150" s="82"/>
      <c r="AN150" s="82"/>
      <c r="AO150" s="82"/>
      <c r="AP150" s="11">
        <f t="shared" si="43"/>
        <v>0</v>
      </c>
      <c r="AQ150" s="82"/>
      <c r="AR150" s="82"/>
      <c r="AS150" s="82"/>
      <c r="AT150" s="82"/>
      <c r="AU150" s="11">
        <f t="shared" si="44"/>
        <v>0</v>
      </c>
      <c r="AV150" s="82"/>
      <c r="AW150" s="82"/>
      <c r="AX150" s="82"/>
      <c r="AY150" s="82"/>
      <c r="AZ150" s="11">
        <f t="shared" si="45"/>
        <v>0</v>
      </c>
      <c r="BA150" s="82"/>
      <c r="BB150" s="82"/>
      <c r="BC150" s="82"/>
      <c r="BD150" s="82"/>
      <c r="BE150" s="11">
        <f t="shared" si="53"/>
        <v>0</v>
      </c>
      <c r="BF150" s="82"/>
      <c r="BG150" s="82"/>
      <c r="BH150" s="82"/>
      <c r="BI150" s="82"/>
      <c r="BJ150" s="11">
        <f t="shared" si="54"/>
        <v>0</v>
      </c>
      <c r="BK150" s="82"/>
      <c r="BL150" s="82"/>
      <c r="BM150" s="82"/>
      <c r="BN150" s="82"/>
      <c r="BO150" s="11">
        <f t="shared" si="46"/>
        <v>0</v>
      </c>
      <c r="BP150" s="86">
        <f t="shared" si="47"/>
        <v>0</v>
      </c>
      <c r="BQ150" s="86">
        <f t="shared" si="47"/>
        <v>0</v>
      </c>
      <c r="BR150" s="86">
        <f t="shared" si="47"/>
        <v>0</v>
      </c>
      <c r="BS150" s="86">
        <f t="shared" si="47"/>
        <v>0</v>
      </c>
      <c r="BT150" s="47">
        <f>AVERAGE(BP150:BS150)</f>
        <v>0</v>
      </c>
      <c r="BU150" s="86">
        <f t="shared" si="49"/>
        <v>0</v>
      </c>
      <c r="BV150" s="86">
        <f t="shared" si="49"/>
        <v>0</v>
      </c>
      <c r="BW150" s="86">
        <f t="shared" si="49"/>
        <v>0</v>
      </c>
      <c r="BX150" s="86">
        <f t="shared" si="49"/>
        <v>0</v>
      </c>
      <c r="BY150" s="47">
        <f>AVERAGE(BU150:BX150)</f>
        <v>0</v>
      </c>
      <c r="BZ150" s="86">
        <f t="shared" si="51"/>
        <v>0</v>
      </c>
      <c r="CA150" s="86">
        <f t="shared" si="51"/>
        <v>0</v>
      </c>
      <c r="CB150" s="86">
        <f t="shared" si="51"/>
        <v>0</v>
      </c>
      <c r="CC150" s="86">
        <f t="shared" si="51"/>
        <v>0</v>
      </c>
      <c r="CD150" s="47">
        <f>AVERAGE(BZ150:CC150)</f>
        <v>0</v>
      </c>
    </row>
    <row r="151" spans="1:82">
      <c r="A151" s="11"/>
      <c r="B151" s="11" t="s">
        <v>3277</v>
      </c>
      <c r="C151" s="11">
        <f t="shared" si="36"/>
        <v>0</v>
      </c>
      <c r="D151" s="11">
        <f t="shared" si="36"/>
        <v>0</v>
      </c>
      <c r="E151" s="11">
        <f t="shared" si="36"/>
        <v>0</v>
      </c>
      <c r="F151" s="11">
        <f t="shared" si="36"/>
        <v>0</v>
      </c>
      <c r="G151" s="11">
        <f t="shared" si="36"/>
        <v>0</v>
      </c>
      <c r="H151" s="82"/>
      <c r="I151" s="82"/>
      <c r="J151" s="82"/>
      <c r="K151" s="82"/>
      <c r="L151" s="11">
        <f t="shared" si="37"/>
        <v>0</v>
      </c>
      <c r="M151" s="82"/>
      <c r="N151" s="82"/>
      <c r="O151" s="82"/>
      <c r="P151" s="82"/>
      <c r="Q151" s="11">
        <f t="shared" si="38"/>
        <v>0</v>
      </c>
      <c r="R151" s="82"/>
      <c r="S151" s="82"/>
      <c r="T151" s="82"/>
      <c r="U151" s="82"/>
      <c r="V151" s="11">
        <f t="shared" si="39"/>
        <v>0</v>
      </c>
      <c r="W151" s="82"/>
      <c r="X151" s="82"/>
      <c r="Y151" s="82"/>
      <c r="Z151" s="82"/>
      <c r="AA151" s="11">
        <f t="shared" si="40"/>
        <v>0</v>
      </c>
      <c r="AB151" s="82"/>
      <c r="AC151" s="82"/>
      <c r="AD151" s="82"/>
      <c r="AE151" s="82"/>
      <c r="AF151" s="11">
        <f t="shared" si="41"/>
        <v>0</v>
      </c>
      <c r="AG151" s="82"/>
      <c r="AH151" s="82"/>
      <c r="AI151" s="82"/>
      <c r="AJ151" s="82"/>
      <c r="AK151" s="11">
        <f t="shared" si="42"/>
        <v>0</v>
      </c>
      <c r="AL151" s="82"/>
      <c r="AM151" s="82"/>
      <c r="AN151" s="82"/>
      <c r="AO151" s="82"/>
      <c r="AP151" s="11">
        <f t="shared" si="43"/>
        <v>0</v>
      </c>
      <c r="AQ151" s="82"/>
      <c r="AR151" s="82"/>
      <c r="AS151" s="82"/>
      <c r="AT151" s="82"/>
      <c r="AU151" s="11">
        <f t="shared" si="44"/>
        <v>0</v>
      </c>
      <c r="AV151" s="82"/>
      <c r="AW151" s="82"/>
      <c r="AX151" s="82"/>
      <c r="AY151" s="82"/>
      <c r="AZ151" s="11">
        <f t="shared" si="45"/>
        <v>0</v>
      </c>
      <c r="BA151" s="82"/>
      <c r="BB151" s="82"/>
      <c r="BC151" s="82"/>
      <c r="BD151" s="82"/>
      <c r="BE151" s="11">
        <f t="shared" si="53"/>
        <v>0</v>
      </c>
      <c r="BF151" s="82"/>
      <c r="BG151" s="82"/>
      <c r="BH151" s="82"/>
      <c r="BI151" s="82"/>
      <c r="BJ151" s="11">
        <f t="shared" si="54"/>
        <v>0</v>
      </c>
      <c r="BK151" s="82"/>
      <c r="BL151" s="82"/>
      <c r="BM151" s="82"/>
      <c r="BN151" s="82"/>
      <c r="BO151" s="11">
        <f t="shared" si="46"/>
        <v>2</v>
      </c>
      <c r="BP151" s="86">
        <f t="shared" si="47"/>
        <v>0</v>
      </c>
      <c r="BQ151" s="86">
        <f t="shared" si="47"/>
        <v>0</v>
      </c>
      <c r="BR151" s="86">
        <f t="shared" si="47"/>
        <v>0</v>
      </c>
      <c r="BS151" s="86">
        <f t="shared" si="47"/>
        <v>0</v>
      </c>
      <c r="BT151" s="47">
        <f>AVERAGE(BP151:BS151)</f>
        <v>0</v>
      </c>
      <c r="BU151" s="86">
        <f t="shared" si="49"/>
        <v>0</v>
      </c>
      <c r="BV151" s="86">
        <f t="shared" si="49"/>
        <v>0</v>
      </c>
      <c r="BW151" s="86">
        <f t="shared" si="49"/>
        <v>0</v>
      </c>
      <c r="BX151" s="86">
        <f t="shared" si="49"/>
        <v>0</v>
      </c>
      <c r="BY151" s="47">
        <f>AVERAGE(BU151:BX151)</f>
        <v>0</v>
      </c>
      <c r="BZ151" s="86">
        <f t="shared" si="51"/>
        <v>0</v>
      </c>
      <c r="CA151" s="86">
        <f t="shared" si="51"/>
        <v>0</v>
      </c>
      <c r="CB151" s="86">
        <f t="shared" si="51"/>
        <v>0</v>
      </c>
      <c r="CC151" s="86">
        <f t="shared" si="51"/>
        <v>0</v>
      </c>
      <c r="CD151" s="47">
        <f>AVERAGE(BZ151:CC151)</f>
        <v>0</v>
      </c>
    </row>
    <row r="152" spans="1:82">
      <c r="A152" s="11"/>
      <c r="B152" s="11" t="s">
        <v>3278</v>
      </c>
      <c r="C152" s="11">
        <f t="shared" si="36"/>
        <v>0</v>
      </c>
      <c r="D152" s="11">
        <f t="shared" si="36"/>
        <v>0</v>
      </c>
      <c r="E152" s="11">
        <f t="shared" si="36"/>
        <v>0</v>
      </c>
      <c r="F152" s="11">
        <f t="shared" si="36"/>
        <v>0</v>
      </c>
      <c r="G152" s="11">
        <f t="shared" si="36"/>
        <v>0</v>
      </c>
      <c r="H152" s="82"/>
      <c r="I152" s="82"/>
      <c r="J152" s="82"/>
      <c r="K152" s="82"/>
      <c r="L152" s="11">
        <f t="shared" si="37"/>
        <v>0</v>
      </c>
      <c r="M152" s="82"/>
      <c r="N152" s="82"/>
      <c r="O152" s="82"/>
      <c r="P152" s="82"/>
      <c r="Q152" s="11">
        <f t="shared" si="38"/>
        <v>0</v>
      </c>
      <c r="R152" s="82"/>
      <c r="S152" s="82"/>
      <c r="T152" s="82"/>
      <c r="U152" s="82"/>
      <c r="V152" s="11">
        <f t="shared" si="39"/>
        <v>0</v>
      </c>
      <c r="W152" s="82"/>
      <c r="X152" s="82"/>
      <c r="Y152" s="82"/>
      <c r="Z152" s="82"/>
      <c r="AA152" s="11">
        <f t="shared" si="40"/>
        <v>0</v>
      </c>
      <c r="AB152" s="82"/>
      <c r="AC152" s="82"/>
      <c r="AD152" s="82"/>
      <c r="AE152" s="82"/>
      <c r="AF152" s="11">
        <f t="shared" si="41"/>
        <v>0</v>
      </c>
      <c r="AG152" s="82"/>
      <c r="AH152" s="82"/>
      <c r="AI152" s="82"/>
      <c r="AJ152" s="82"/>
      <c r="AK152" s="11">
        <f t="shared" si="42"/>
        <v>0</v>
      </c>
      <c r="AL152" s="82"/>
      <c r="AM152" s="82"/>
      <c r="AN152" s="82"/>
      <c r="AO152" s="82"/>
      <c r="AP152" s="11">
        <f t="shared" si="43"/>
        <v>0</v>
      </c>
      <c r="AQ152" s="82"/>
      <c r="AR152" s="82"/>
      <c r="AS152" s="82"/>
      <c r="AT152" s="82"/>
      <c r="AU152" s="11">
        <f t="shared" si="44"/>
        <v>0</v>
      </c>
      <c r="AV152" s="82"/>
      <c r="AW152" s="82"/>
      <c r="AX152" s="82"/>
      <c r="AY152" s="82"/>
      <c r="AZ152" s="11">
        <f t="shared" si="45"/>
        <v>0</v>
      </c>
      <c r="BA152" s="82"/>
      <c r="BB152" s="82"/>
      <c r="BC152" s="82"/>
      <c r="BD152" s="82"/>
      <c r="BE152" s="11">
        <f t="shared" si="53"/>
        <v>0</v>
      </c>
      <c r="BF152" s="82"/>
      <c r="BG152" s="82"/>
      <c r="BH152" s="82"/>
      <c r="BI152" s="82"/>
      <c r="BJ152" s="11">
        <f t="shared" si="54"/>
        <v>0</v>
      </c>
      <c r="BK152" s="82"/>
      <c r="BL152" s="82"/>
      <c r="BM152" s="82"/>
      <c r="BN152" s="82"/>
      <c r="BO152" s="11">
        <f t="shared" si="46"/>
        <v>0</v>
      </c>
      <c r="BP152" s="86">
        <f t="shared" si="47"/>
        <v>0</v>
      </c>
      <c r="BQ152" s="86">
        <f t="shared" si="47"/>
        <v>0</v>
      </c>
      <c r="BR152" s="86">
        <f t="shared" si="47"/>
        <v>0</v>
      </c>
      <c r="BS152" s="86">
        <f t="shared" si="47"/>
        <v>0</v>
      </c>
      <c r="BT152" s="47">
        <f>AVERAGE(BP152:BS152)</f>
        <v>0</v>
      </c>
      <c r="BU152" s="86">
        <f t="shared" si="49"/>
        <v>0</v>
      </c>
      <c r="BV152" s="86">
        <f t="shared" si="49"/>
        <v>0</v>
      </c>
      <c r="BW152" s="86">
        <f t="shared" si="49"/>
        <v>0</v>
      </c>
      <c r="BX152" s="86">
        <f t="shared" si="49"/>
        <v>0</v>
      </c>
      <c r="BY152" s="47">
        <f>AVERAGE(BU152:BX152)</f>
        <v>0</v>
      </c>
      <c r="BZ152" s="86">
        <f t="shared" si="51"/>
        <v>0</v>
      </c>
      <c r="CA152" s="86">
        <f t="shared" si="51"/>
        <v>0</v>
      </c>
      <c r="CB152" s="86">
        <f t="shared" si="51"/>
        <v>0</v>
      </c>
      <c r="CC152" s="86">
        <f t="shared" si="51"/>
        <v>0</v>
      </c>
      <c r="CD152" s="47">
        <f>AVERAGE(BZ152:CC152)</f>
        <v>0</v>
      </c>
    </row>
    <row r="153" spans="1:82">
      <c r="A153" s="47"/>
      <c r="B153" s="47" t="s">
        <v>1703</v>
      </c>
      <c r="C153" s="11">
        <f t="shared" si="36"/>
        <v>20</v>
      </c>
      <c r="D153" s="11">
        <f t="shared" si="36"/>
        <v>73</v>
      </c>
      <c r="E153" s="11">
        <f t="shared" si="36"/>
        <v>296</v>
      </c>
      <c r="F153" s="11">
        <f t="shared" si="36"/>
        <v>831</v>
      </c>
      <c r="G153" s="11">
        <f t="shared" si="36"/>
        <v>911</v>
      </c>
      <c r="H153" s="82"/>
      <c r="I153" s="82"/>
      <c r="J153" s="82"/>
      <c r="K153" s="82"/>
      <c r="L153" s="11">
        <f t="shared" si="37"/>
        <v>876</v>
      </c>
      <c r="M153" s="68">
        <v>832</v>
      </c>
      <c r="N153" s="68">
        <v>837</v>
      </c>
      <c r="O153" s="68">
        <v>830</v>
      </c>
      <c r="P153" s="68">
        <v>829</v>
      </c>
      <c r="Q153" s="11">
        <f t="shared" si="38"/>
        <v>832</v>
      </c>
      <c r="R153" s="68">
        <v>818</v>
      </c>
      <c r="S153" s="68">
        <v>825</v>
      </c>
      <c r="T153" s="68">
        <v>833</v>
      </c>
      <c r="U153" s="68">
        <v>827</v>
      </c>
      <c r="V153" s="11">
        <f t="shared" si="39"/>
        <v>826</v>
      </c>
      <c r="W153" s="68">
        <v>822</v>
      </c>
      <c r="X153" s="68">
        <v>837</v>
      </c>
      <c r="Y153" s="68">
        <v>850</v>
      </c>
      <c r="Z153" s="68">
        <v>852</v>
      </c>
      <c r="AA153" s="11">
        <f t="shared" si="40"/>
        <v>840</v>
      </c>
      <c r="AB153" s="68">
        <v>849</v>
      </c>
      <c r="AC153" s="68">
        <v>859</v>
      </c>
      <c r="AD153" s="68">
        <v>859</v>
      </c>
      <c r="AE153" s="68">
        <v>858</v>
      </c>
      <c r="AF153" s="11">
        <f t="shared" si="41"/>
        <v>856</v>
      </c>
      <c r="AG153" s="68">
        <v>856</v>
      </c>
      <c r="AH153" s="86">
        <v>860</v>
      </c>
      <c r="AI153" s="356">
        <v>883</v>
      </c>
      <c r="AJ153" s="86">
        <v>874</v>
      </c>
      <c r="AK153" s="11">
        <f t="shared" si="42"/>
        <v>865</v>
      </c>
      <c r="AL153" s="86">
        <v>879</v>
      </c>
      <c r="AM153" s="86">
        <v>881</v>
      </c>
      <c r="AN153" s="86">
        <v>876</v>
      </c>
      <c r="AO153" s="86">
        <v>870</v>
      </c>
      <c r="AP153" s="11">
        <f t="shared" si="43"/>
        <v>863</v>
      </c>
      <c r="AQ153" s="86">
        <f>758+102</f>
        <v>860</v>
      </c>
      <c r="AR153" s="86">
        <v>826</v>
      </c>
      <c r="AS153" s="86">
        <v>828</v>
      </c>
      <c r="AT153" s="86">
        <v>833</v>
      </c>
      <c r="AU153" s="11">
        <f t="shared" si="44"/>
        <v>837</v>
      </c>
      <c r="AV153" s="86">
        <v>827</v>
      </c>
      <c r="AW153" s="86">
        <v>816</v>
      </c>
      <c r="AX153" s="86">
        <v>817</v>
      </c>
      <c r="AY153" s="86">
        <v>819</v>
      </c>
      <c r="AZ153" s="11">
        <f t="shared" si="45"/>
        <v>821</v>
      </c>
      <c r="BA153" s="68">
        <v>816</v>
      </c>
      <c r="BB153" s="68">
        <v>815</v>
      </c>
      <c r="BC153" s="68">
        <v>810</v>
      </c>
      <c r="BD153" s="68">
        <v>811</v>
      </c>
      <c r="BE153" s="11">
        <f t="shared" si="53"/>
        <v>813</v>
      </c>
      <c r="BF153" s="86">
        <v>808</v>
      </c>
      <c r="BG153" s="86">
        <v>812</v>
      </c>
      <c r="BH153" s="86">
        <v>820</v>
      </c>
      <c r="BI153" s="86">
        <v>919</v>
      </c>
      <c r="BJ153" s="11">
        <f t="shared" si="54"/>
        <v>840</v>
      </c>
      <c r="BK153" s="356">
        <v>912</v>
      </c>
      <c r="BL153" s="356">
        <v>902</v>
      </c>
      <c r="BM153" s="356">
        <v>903</v>
      </c>
      <c r="BN153" s="356">
        <v>899</v>
      </c>
      <c r="BO153" s="11">
        <f t="shared" si="46"/>
        <v>904</v>
      </c>
      <c r="BP153" s="86">
        <f t="shared" si="47"/>
        <v>874.74934250000024</v>
      </c>
      <c r="BQ153" s="86">
        <f t="shared" si="47"/>
        <v>874.74934250000024</v>
      </c>
      <c r="BR153" s="86">
        <f t="shared" si="47"/>
        <v>874.74934250000024</v>
      </c>
      <c r="BS153" s="86">
        <f t="shared" si="47"/>
        <v>874.74934250000024</v>
      </c>
      <c r="BT153" s="47">
        <f t="shared" si="48"/>
        <v>874.74934250000024</v>
      </c>
      <c r="BU153" s="86">
        <f t="shared" si="49"/>
        <v>908.602665</v>
      </c>
      <c r="BV153" s="86">
        <f t="shared" si="49"/>
        <v>908.602665</v>
      </c>
      <c r="BW153" s="86">
        <f t="shared" si="49"/>
        <v>908.602665</v>
      </c>
      <c r="BX153" s="86">
        <f t="shared" si="49"/>
        <v>908.602665</v>
      </c>
      <c r="BY153" s="47">
        <f t="shared" si="50"/>
        <v>908.602665</v>
      </c>
      <c r="BZ153" s="86">
        <f t="shared" si="51"/>
        <v>919.80802250000022</v>
      </c>
      <c r="CA153" s="86">
        <f t="shared" si="51"/>
        <v>919.80802250000022</v>
      </c>
      <c r="CB153" s="86">
        <f t="shared" si="51"/>
        <v>919.80802250000022</v>
      </c>
      <c r="CC153" s="86">
        <f t="shared" si="51"/>
        <v>919.80802250000022</v>
      </c>
      <c r="CD153" s="47">
        <f t="shared" si="52"/>
        <v>919.80802250000022</v>
      </c>
    </row>
    <row r="154" spans="1:82">
      <c r="A154" s="47"/>
      <c r="B154" s="47" t="s">
        <v>1961</v>
      </c>
      <c r="C154" s="11">
        <f t="shared" si="36"/>
        <v>0</v>
      </c>
      <c r="D154" s="11">
        <f t="shared" si="36"/>
        <v>0</v>
      </c>
      <c r="E154" s="11">
        <f t="shared" si="36"/>
        <v>0</v>
      </c>
      <c r="F154" s="11">
        <f t="shared" si="36"/>
        <v>0</v>
      </c>
      <c r="G154" s="11">
        <f t="shared" si="36"/>
        <v>0</v>
      </c>
      <c r="H154" s="82"/>
      <c r="I154" s="82"/>
      <c r="J154" s="82"/>
      <c r="K154" s="82"/>
      <c r="L154" s="11">
        <f t="shared" si="37"/>
        <v>0</v>
      </c>
      <c r="M154" s="82"/>
      <c r="N154" s="82"/>
      <c r="O154" s="82"/>
      <c r="P154" s="82"/>
      <c r="Q154" s="11">
        <f t="shared" si="38"/>
        <v>0</v>
      </c>
      <c r="R154" s="82"/>
      <c r="S154" s="82"/>
      <c r="T154" s="82"/>
      <c r="U154" s="82"/>
      <c r="V154" s="11">
        <f t="shared" si="39"/>
        <v>0</v>
      </c>
      <c r="W154" s="82"/>
      <c r="X154" s="82"/>
      <c r="Y154" s="82"/>
      <c r="Z154" s="82"/>
      <c r="AA154" s="11">
        <f t="shared" si="40"/>
        <v>0</v>
      </c>
      <c r="AB154" s="82"/>
      <c r="AC154" s="82"/>
      <c r="AD154" s="82"/>
      <c r="AE154" s="82"/>
      <c r="AF154" s="11">
        <f t="shared" si="41"/>
        <v>0</v>
      </c>
      <c r="AG154" s="82"/>
      <c r="AH154" s="82"/>
      <c r="AI154" s="82"/>
      <c r="AJ154" s="82"/>
      <c r="AK154" s="11">
        <f t="shared" si="42"/>
        <v>0</v>
      </c>
      <c r="AL154" s="82"/>
      <c r="AM154" s="82"/>
      <c r="AN154" s="82"/>
      <c r="AO154" s="82"/>
      <c r="AP154" s="11">
        <f t="shared" si="43"/>
        <v>0</v>
      </c>
      <c r="AQ154" s="82"/>
      <c r="AR154" s="82"/>
      <c r="AS154" s="82"/>
      <c r="AT154" s="82"/>
      <c r="AU154" s="11">
        <f t="shared" si="44"/>
        <v>0</v>
      </c>
      <c r="AV154" s="82"/>
      <c r="AW154" s="82"/>
      <c r="AX154" s="82"/>
      <c r="AY154" s="82"/>
      <c r="AZ154" s="11">
        <f t="shared" si="45"/>
        <v>0</v>
      </c>
      <c r="BA154" s="82"/>
      <c r="BB154" s="82"/>
      <c r="BC154" s="82"/>
      <c r="BD154" s="82"/>
      <c r="BE154" s="11">
        <f t="shared" si="53"/>
        <v>0</v>
      </c>
      <c r="BF154" s="82"/>
      <c r="BG154" s="82"/>
      <c r="BH154" s="82"/>
      <c r="BI154" s="82"/>
      <c r="BJ154" s="11">
        <f t="shared" si="54"/>
        <v>0</v>
      </c>
      <c r="BK154" s="82"/>
      <c r="BL154" s="82"/>
      <c r="BM154" s="82"/>
      <c r="BN154" s="82"/>
      <c r="BO154" s="11">
        <f t="shared" si="46"/>
        <v>0</v>
      </c>
      <c r="BP154" s="86">
        <f t="shared" si="47"/>
        <v>0</v>
      </c>
      <c r="BQ154" s="86">
        <f t="shared" si="47"/>
        <v>0</v>
      </c>
      <c r="BR154" s="86">
        <f t="shared" si="47"/>
        <v>0</v>
      </c>
      <c r="BS154" s="86">
        <f t="shared" si="47"/>
        <v>0</v>
      </c>
      <c r="BT154" s="47">
        <f>AVERAGE(BP154:BS154)</f>
        <v>0</v>
      </c>
      <c r="BU154" s="86">
        <f t="shared" si="49"/>
        <v>0</v>
      </c>
      <c r="BV154" s="86">
        <f t="shared" si="49"/>
        <v>0</v>
      </c>
      <c r="BW154" s="86">
        <f t="shared" si="49"/>
        <v>0</v>
      </c>
      <c r="BX154" s="86">
        <f t="shared" si="49"/>
        <v>0</v>
      </c>
      <c r="BY154" s="47">
        <f>AVERAGE(BU154:BX154)</f>
        <v>0</v>
      </c>
      <c r="BZ154" s="86">
        <f t="shared" si="51"/>
        <v>0</v>
      </c>
      <c r="CA154" s="86">
        <f t="shared" si="51"/>
        <v>0</v>
      </c>
      <c r="CB154" s="86">
        <f t="shared" si="51"/>
        <v>0</v>
      </c>
      <c r="CC154" s="86">
        <f t="shared" si="51"/>
        <v>0</v>
      </c>
      <c r="CD154" s="47">
        <f>AVERAGE(BZ154:CC154)</f>
        <v>0</v>
      </c>
    </row>
    <row r="155" spans="1:82">
      <c r="A155" s="11"/>
      <c r="B155" s="11" t="s">
        <v>3399</v>
      </c>
      <c r="C155" s="11">
        <f t="shared" si="36"/>
        <v>0</v>
      </c>
      <c r="D155" s="11">
        <f t="shared" si="36"/>
        <v>0</v>
      </c>
      <c r="E155" s="11">
        <f t="shared" si="36"/>
        <v>0</v>
      </c>
      <c r="F155" s="11">
        <f t="shared" si="36"/>
        <v>0</v>
      </c>
      <c r="G155" s="11">
        <f t="shared" si="36"/>
        <v>0</v>
      </c>
      <c r="H155" s="82"/>
      <c r="I155" s="82"/>
      <c r="J155" s="82"/>
      <c r="K155" s="82"/>
      <c r="L155" s="11">
        <f t="shared" si="37"/>
        <v>8</v>
      </c>
      <c r="M155" s="82"/>
      <c r="N155" s="82"/>
      <c r="O155" s="82"/>
      <c r="P155" s="82"/>
      <c r="Q155" s="11">
        <f t="shared" si="38"/>
        <v>7</v>
      </c>
      <c r="R155" s="82"/>
      <c r="S155" s="82"/>
      <c r="T155" s="82"/>
      <c r="U155" s="82"/>
      <c r="V155" s="11">
        <f t="shared" si="39"/>
        <v>7</v>
      </c>
      <c r="W155" s="82"/>
      <c r="X155" s="82"/>
      <c r="Y155" s="82"/>
      <c r="Z155" s="82"/>
      <c r="AA155" s="11">
        <f t="shared" si="40"/>
        <v>5</v>
      </c>
      <c r="AB155" s="82"/>
      <c r="AC155" s="82"/>
      <c r="AD155" s="82"/>
      <c r="AE155" s="82"/>
      <c r="AF155" s="11">
        <f t="shared" si="41"/>
        <v>2</v>
      </c>
      <c r="AG155" s="82"/>
      <c r="AH155" s="82"/>
      <c r="AI155" s="82"/>
      <c r="AJ155" s="82"/>
      <c r="AK155" s="11">
        <f t="shared" si="42"/>
        <v>2</v>
      </c>
      <c r="AL155" s="82"/>
      <c r="AM155" s="82"/>
      <c r="AN155" s="82"/>
      <c r="AO155" s="82"/>
      <c r="AP155" s="11">
        <f t="shared" si="43"/>
        <v>1</v>
      </c>
      <c r="AQ155" s="82"/>
      <c r="AR155" s="82"/>
      <c r="AS155" s="82"/>
      <c r="AT155" s="82"/>
      <c r="AU155" s="11">
        <f t="shared" si="44"/>
        <v>1</v>
      </c>
      <c r="AV155" s="82"/>
      <c r="AW155" s="82"/>
      <c r="AX155" s="82"/>
      <c r="AY155" s="82"/>
      <c r="AZ155" s="11">
        <f t="shared" si="45"/>
        <v>2</v>
      </c>
      <c r="BA155" s="82"/>
      <c r="BB155" s="82"/>
      <c r="BC155" s="82"/>
      <c r="BD155" s="82"/>
      <c r="BE155" s="11">
        <f t="shared" si="53"/>
        <v>2</v>
      </c>
      <c r="BF155" s="82"/>
      <c r="BG155" s="82"/>
      <c r="BH155" s="82"/>
      <c r="BI155" s="82"/>
      <c r="BJ155" s="11">
        <f t="shared" si="54"/>
        <v>2</v>
      </c>
      <c r="BK155" s="82"/>
      <c r="BL155" s="82"/>
      <c r="BM155" s="82"/>
      <c r="BN155" s="82"/>
      <c r="BO155" s="11">
        <f t="shared" si="46"/>
        <v>0</v>
      </c>
      <c r="BP155" s="86">
        <f t="shared" si="47"/>
        <v>0</v>
      </c>
      <c r="BQ155" s="86">
        <f t="shared" si="47"/>
        <v>0</v>
      </c>
      <c r="BR155" s="86">
        <f t="shared" si="47"/>
        <v>0</v>
      </c>
      <c r="BS155" s="86">
        <f t="shared" si="47"/>
        <v>0</v>
      </c>
      <c r="BT155" s="47">
        <f t="shared" si="48"/>
        <v>0</v>
      </c>
      <c r="BU155" s="86">
        <f t="shared" si="49"/>
        <v>0</v>
      </c>
      <c r="BV155" s="86">
        <f t="shared" si="49"/>
        <v>0</v>
      </c>
      <c r="BW155" s="86">
        <f t="shared" si="49"/>
        <v>0</v>
      </c>
      <c r="BX155" s="86">
        <f t="shared" si="49"/>
        <v>0</v>
      </c>
      <c r="BY155" s="47">
        <f t="shared" si="50"/>
        <v>0</v>
      </c>
      <c r="BZ155" s="86">
        <f t="shared" si="51"/>
        <v>0</v>
      </c>
      <c r="CA155" s="86">
        <f t="shared" si="51"/>
        <v>0</v>
      </c>
      <c r="CB155" s="86">
        <f t="shared" si="51"/>
        <v>0</v>
      </c>
      <c r="CC155" s="86">
        <f t="shared" si="51"/>
        <v>0</v>
      </c>
      <c r="CD155" s="47">
        <f t="shared" si="52"/>
        <v>0</v>
      </c>
    </row>
    <row r="156" spans="1:82">
      <c r="A156" s="11"/>
      <c r="B156" s="11" t="s">
        <v>3400</v>
      </c>
      <c r="C156" s="11">
        <f t="shared" si="36"/>
        <v>71</v>
      </c>
      <c r="D156" s="11">
        <f t="shared" si="36"/>
        <v>74</v>
      </c>
      <c r="E156" s="11">
        <f t="shared" si="36"/>
        <v>61</v>
      </c>
      <c r="F156" s="11">
        <f t="shared" si="36"/>
        <v>45</v>
      </c>
      <c r="G156" s="11">
        <f t="shared" si="36"/>
        <v>39</v>
      </c>
      <c r="H156" s="82"/>
      <c r="I156" s="82"/>
      <c r="J156" s="82"/>
      <c r="K156" s="82"/>
      <c r="L156" s="11">
        <f t="shared" si="37"/>
        <v>25</v>
      </c>
      <c r="M156" s="82"/>
      <c r="N156" s="82"/>
      <c r="O156" s="82"/>
      <c r="P156" s="82"/>
      <c r="Q156" s="11">
        <f t="shared" si="38"/>
        <v>25</v>
      </c>
      <c r="R156" s="82"/>
      <c r="S156" s="82"/>
      <c r="T156" s="82"/>
      <c r="U156" s="82"/>
      <c r="V156" s="11">
        <f t="shared" si="39"/>
        <v>26</v>
      </c>
      <c r="W156" s="82"/>
      <c r="X156" s="82"/>
      <c r="Y156" s="82"/>
      <c r="Z156" s="82"/>
      <c r="AA156" s="11">
        <f t="shared" si="40"/>
        <v>29</v>
      </c>
      <c r="AB156" s="82"/>
      <c r="AC156" s="82"/>
      <c r="AD156" s="82"/>
      <c r="AE156" s="82"/>
      <c r="AF156" s="11">
        <f t="shared" si="41"/>
        <v>15</v>
      </c>
      <c r="AG156" s="82"/>
      <c r="AH156" s="82"/>
      <c r="AI156" s="82"/>
      <c r="AJ156" s="82"/>
      <c r="AK156" s="11">
        <f t="shared" si="42"/>
        <v>12</v>
      </c>
      <c r="AL156" s="82"/>
      <c r="AM156" s="82"/>
      <c r="AN156" s="82"/>
      <c r="AO156" s="82"/>
      <c r="AP156" s="11">
        <f t="shared" si="43"/>
        <v>8</v>
      </c>
      <c r="AQ156" s="82"/>
      <c r="AR156" s="82"/>
      <c r="AS156" s="82"/>
      <c r="AT156" s="82"/>
      <c r="AU156" s="11">
        <f t="shared" si="44"/>
        <v>6</v>
      </c>
      <c r="AV156" s="82"/>
      <c r="AW156" s="82"/>
      <c r="AX156" s="82"/>
      <c r="AY156" s="82"/>
      <c r="AZ156" s="11">
        <f t="shared" si="45"/>
        <v>3</v>
      </c>
      <c r="BA156" s="82"/>
      <c r="BB156" s="82"/>
      <c r="BC156" s="82"/>
      <c r="BD156" s="82"/>
      <c r="BE156" s="11">
        <f t="shared" si="53"/>
        <v>2</v>
      </c>
      <c r="BF156" s="82"/>
      <c r="BG156" s="82"/>
      <c r="BH156" s="82"/>
      <c r="BI156" s="82"/>
      <c r="BJ156" s="11">
        <f t="shared" si="54"/>
        <v>5</v>
      </c>
      <c r="BK156" s="82"/>
      <c r="BL156" s="82"/>
      <c r="BM156" s="82"/>
      <c r="BN156" s="82"/>
      <c r="BO156" s="11">
        <f t="shared" si="46"/>
        <v>6</v>
      </c>
      <c r="BP156" s="86">
        <f t="shared" si="47"/>
        <v>10.61</v>
      </c>
      <c r="BQ156" s="86">
        <f t="shared" si="47"/>
        <v>10.61</v>
      </c>
      <c r="BR156" s="86">
        <f t="shared" si="47"/>
        <v>10.61</v>
      </c>
      <c r="BS156" s="86">
        <f t="shared" si="47"/>
        <v>10.61</v>
      </c>
      <c r="BT156" s="47">
        <f t="shared" si="48"/>
        <v>10.61</v>
      </c>
      <c r="BU156" s="86">
        <f t="shared" si="49"/>
        <v>13.379999999999999</v>
      </c>
      <c r="BV156" s="86">
        <f t="shared" si="49"/>
        <v>13.379999999999999</v>
      </c>
      <c r="BW156" s="86">
        <f t="shared" si="49"/>
        <v>13.379999999999999</v>
      </c>
      <c r="BX156" s="86">
        <f t="shared" si="49"/>
        <v>13.379999999999999</v>
      </c>
      <c r="BY156" s="47">
        <f t="shared" si="50"/>
        <v>13.379999999999999</v>
      </c>
      <c r="BZ156" s="86">
        <f t="shared" si="51"/>
        <v>15.65</v>
      </c>
      <c r="CA156" s="86">
        <f t="shared" si="51"/>
        <v>15.65</v>
      </c>
      <c r="CB156" s="86">
        <f t="shared" si="51"/>
        <v>15.65</v>
      </c>
      <c r="CC156" s="86">
        <f t="shared" si="51"/>
        <v>15.65</v>
      </c>
      <c r="CD156" s="47">
        <f t="shared" si="52"/>
        <v>15.65</v>
      </c>
    </row>
    <row r="157" spans="1:82">
      <c r="A157" s="39" t="s">
        <v>3401</v>
      </c>
      <c r="B157" s="39"/>
      <c r="C157" s="39">
        <f t="shared" ref="C157:L157" si="55">SUM(C145:C156)</f>
        <v>252</v>
      </c>
      <c r="D157" s="39">
        <f t="shared" si="55"/>
        <v>298</v>
      </c>
      <c r="E157" s="39">
        <f t="shared" si="55"/>
        <v>533</v>
      </c>
      <c r="F157" s="39">
        <f t="shared" si="55"/>
        <v>1057</v>
      </c>
      <c r="G157" s="39">
        <f t="shared" si="55"/>
        <v>1174</v>
      </c>
      <c r="H157" s="83"/>
      <c r="I157" s="83"/>
      <c r="J157" s="83"/>
      <c r="K157" s="83"/>
      <c r="L157" s="39">
        <f t="shared" si="55"/>
        <v>1217</v>
      </c>
      <c r="M157" s="82"/>
      <c r="N157" s="82"/>
      <c r="O157" s="82"/>
      <c r="P157" s="82"/>
      <c r="Q157" s="39">
        <f>SUM(Q145:Q156)</f>
        <v>1261</v>
      </c>
      <c r="R157" s="82"/>
      <c r="S157" s="82"/>
      <c r="T157" s="82"/>
      <c r="U157" s="82"/>
      <c r="V157" s="39">
        <f>SUM(V145:V156)</f>
        <v>1174</v>
      </c>
      <c r="W157" s="82"/>
      <c r="X157" s="82"/>
      <c r="Y157" s="82"/>
      <c r="Z157" s="82"/>
      <c r="AA157" s="39">
        <f>SUM(AA145:AA156)</f>
        <v>1157</v>
      </c>
      <c r="AB157" s="82"/>
      <c r="AC157" s="82"/>
      <c r="AD157" s="82"/>
      <c r="AE157" s="82"/>
      <c r="AF157" s="39">
        <f>SUM(AF145:AF156)</f>
        <v>1166</v>
      </c>
      <c r="AG157" s="82"/>
      <c r="AH157" s="82"/>
      <c r="AI157" s="82"/>
      <c r="AJ157" s="82"/>
      <c r="AK157" s="39">
        <f>SUM(AK145:AK156)</f>
        <v>1213</v>
      </c>
      <c r="AL157" s="82"/>
      <c r="AM157" s="82"/>
      <c r="AN157" s="82"/>
      <c r="AO157" s="82"/>
      <c r="AP157" s="39">
        <f>SUM(AP145:AP156)</f>
        <v>1219</v>
      </c>
      <c r="AQ157" s="82"/>
      <c r="AR157" s="82"/>
      <c r="AS157" s="82"/>
      <c r="AT157" s="82"/>
      <c r="AU157" s="39">
        <f>SUM(AU145:AU156)</f>
        <v>1210</v>
      </c>
      <c r="AV157" s="82"/>
      <c r="AW157" s="82"/>
      <c r="AX157" s="82"/>
      <c r="AY157" s="82"/>
      <c r="AZ157" s="39">
        <f>SUM(AZ145:AZ156)</f>
        <v>1067</v>
      </c>
      <c r="BA157" s="82"/>
      <c r="BB157" s="82"/>
      <c r="BC157" s="82"/>
      <c r="BD157" s="82"/>
      <c r="BE157" s="39">
        <f>SUM(BE145:BE156)</f>
        <v>1109</v>
      </c>
      <c r="BF157" s="82"/>
      <c r="BG157" s="82"/>
      <c r="BH157" s="82"/>
      <c r="BI157" s="82"/>
      <c r="BJ157" s="39">
        <f>SUM(BJ145:BJ156)</f>
        <v>1149</v>
      </c>
      <c r="BK157" s="82"/>
      <c r="BL157" s="82"/>
      <c r="BM157" s="82"/>
      <c r="BN157" s="82"/>
      <c r="BO157" s="39">
        <f>BO49+BO103</f>
        <v>1333</v>
      </c>
      <c r="BP157" s="79">
        <f t="shared" ref="BP157:CD157" si="56">SUM(BP145:BP156)</f>
        <v>1249.9593425</v>
      </c>
      <c r="BQ157" s="79">
        <f t="shared" si="56"/>
        <v>1249.9593425</v>
      </c>
      <c r="BR157" s="79">
        <f t="shared" si="56"/>
        <v>1249.9593425</v>
      </c>
      <c r="BS157" s="79">
        <f t="shared" si="56"/>
        <v>1249.9593425</v>
      </c>
      <c r="BT157" s="39">
        <f t="shared" si="56"/>
        <v>1249.9593425</v>
      </c>
      <c r="BU157" s="79">
        <f t="shared" si="56"/>
        <v>1294.1226650000001</v>
      </c>
      <c r="BV157" s="79">
        <f t="shared" si="56"/>
        <v>1294.1226650000001</v>
      </c>
      <c r="BW157" s="79">
        <f t="shared" si="56"/>
        <v>1294.1226650000001</v>
      </c>
      <c r="BX157" s="79">
        <f t="shared" si="56"/>
        <v>1294.1226650000001</v>
      </c>
      <c r="BY157" s="39">
        <f t="shared" si="56"/>
        <v>1294.1226650000001</v>
      </c>
      <c r="BZ157" s="79">
        <f t="shared" si="56"/>
        <v>1310.4480225000002</v>
      </c>
      <c r="CA157" s="79">
        <f t="shared" si="56"/>
        <v>1310.4480225000002</v>
      </c>
      <c r="CB157" s="79">
        <f t="shared" si="56"/>
        <v>1310.4480225000002</v>
      </c>
      <c r="CC157" s="79">
        <f t="shared" si="56"/>
        <v>1310.4480225000002</v>
      </c>
      <c r="CD157" s="39">
        <f t="shared" si="56"/>
        <v>1310.4480225000002</v>
      </c>
    </row>
    <row r="158" spans="1:82">
      <c r="A158" s="11"/>
      <c r="B158" s="11"/>
      <c r="C158" s="11"/>
      <c r="D158" s="11"/>
      <c r="E158" s="11"/>
      <c r="F158" s="11"/>
      <c r="G158" s="11"/>
      <c r="H158" s="82"/>
      <c r="I158" s="82"/>
      <c r="J158" s="82"/>
      <c r="K158" s="82"/>
      <c r="L158" s="11"/>
      <c r="M158" s="68"/>
      <c r="N158" s="68"/>
      <c r="O158" s="68"/>
      <c r="P158" s="68"/>
      <c r="Q158" s="11"/>
      <c r="R158" s="68"/>
      <c r="S158" s="68"/>
      <c r="T158" s="68"/>
      <c r="U158" s="68"/>
      <c r="V158" s="11"/>
      <c r="W158" s="68"/>
      <c r="X158" s="68"/>
      <c r="Y158" s="68"/>
      <c r="Z158" s="68"/>
      <c r="AA158" s="11"/>
      <c r="AB158" s="68"/>
      <c r="AC158" s="68"/>
      <c r="AD158" s="68"/>
      <c r="AE158" s="68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68"/>
      <c r="AR158" s="68"/>
      <c r="AS158" s="68"/>
      <c r="AT158" s="68"/>
      <c r="AU158" s="11"/>
      <c r="AV158" s="68"/>
      <c r="AW158" s="68"/>
      <c r="AX158" s="68"/>
      <c r="AY158" s="68"/>
      <c r="AZ158" s="11"/>
      <c r="BA158" s="68"/>
      <c r="BB158" s="68"/>
      <c r="BC158" s="68"/>
      <c r="BD158" s="68"/>
      <c r="BE158" s="11"/>
      <c r="BF158" s="68"/>
      <c r="BG158" s="68"/>
      <c r="BH158" s="68"/>
      <c r="BI158" s="68"/>
      <c r="BJ158" s="11"/>
      <c r="BK158" s="68"/>
      <c r="BL158" s="68"/>
      <c r="BM158" s="68"/>
      <c r="BN158" s="68"/>
      <c r="BO158" s="11"/>
      <c r="BP158" s="11"/>
      <c r="BQ158" s="11"/>
      <c r="BR158" s="11"/>
      <c r="BS158" s="11"/>
      <c r="BT158" s="11"/>
      <c r="BU158" s="11"/>
      <c r="BV158" s="11"/>
      <c r="BW158" s="11"/>
      <c r="BX158" s="11"/>
      <c r="BY158" s="11"/>
      <c r="BZ158" s="11"/>
      <c r="CA158" s="11"/>
      <c r="CB158" s="11"/>
      <c r="CC158" s="11"/>
      <c r="CD158" s="11"/>
    </row>
    <row r="159" spans="1:82">
      <c r="A159" s="39" t="s">
        <v>3402</v>
      </c>
      <c r="B159" s="11"/>
      <c r="C159" s="11"/>
      <c r="D159" s="11"/>
      <c r="E159" s="11"/>
      <c r="F159" s="11"/>
      <c r="G159" s="11"/>
      <c r="H159" s="82"/>
      <c r="I159" s="82"/>
      <c r="J159" s="82"/>
      <c r="K159" s="82"/>
      <c r="L159" s="11"/>
      <c r="M159" s="68"/>
      <c r="N159" s="68"/>
      <c r="O159" s="68"/>
      <c r="P159" s="68"/>
      <c r="Q159" s="11"/>
      <c r="R159" s="68"/>
      <c r="S159" s="68"/>
      <c r="T159" s="68"/>
      <c r="U159" s="68"/>
      <c r="V159" s="11"/>
      <c r="W159" s="68"/>
      <c r="X159" s="68"/>
      <c r="Y159" s="68"/>
      <c r="Z159" s="68"/>
      <c r="AA159" s="11"/>
      <c r="AB159" s="68"/>
      <c r="AC159" s="68"/>
      <c r="AD159" s="68"/>
      <c r="AE159" s="68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  <c r="AQ159" s="68"/>
      <c r="AR159" s="68"/>
      <c r="AS159" s="68"/>
      <c r="AT159" s="68"/>
      <c r="AU159" s="11"/>
      <c r="AV159" s="68"/>
      <c r="AW159" s="68"/>
      <c r="AX159" s="68"/>
      <c r="AY159" s="68"/>
      <c r="AZ159" s="11"/>
      <c r="BA159" s="68"/>
      <c r="BB159" s="68"/>
      <c r="BC159" s="68"/>
      <c r="BD159" s="68"/>
      <c r="BE159" s="11"/>
      <c r="BF159" s="68"/>
      <c r="BG159" s="68"/>
      <c r="BH159" s="68"/>
      <c r="BI159" s="68"/>
      <c r="BJ159" s="11"/>
      <c r="BK159" s="68"/>
      <c r="BL159" s="68"/>
      <c r="BM159" s="68"/>
      <c r="BN159" s="68"/>
      <c r="BO159" s="11"/>
      <c r="BP159" s="68"/>
      <c r="BQ159" s="68"/>
      <c r="BR159" s="68"/>
      <c r="BS159" s="68"/>
      <c r="BT159" s="11"/>
      <c r="BU159" s="68"/>
      <c r="BV159" s="68"/>
      <c r="BW159" s="68"/>
      <c r="BX159" s="68"/>
      <c r="BY159" s="11"/>
      <c r="BZ159" s="68"/>
      <c r="CA159" s="68"/>
      <c r="CB159" s="68"/>
      <c r="CC159" s="68"/>
      <c r="CD159" s="11"/>
    </row>
    <row r="160" spans="1:82">
      <c r="A160" s="11"/>
      <c r="B160" s="11" t="s">
        <v>2965</v>
      </c>
      <c r="C160" s="11">
        <f t="shared" ref="C160:G161" si="57">SUMIF($B$11:$B$53,$B160,C$11:C$53)+SUMIF($B$65:$B$107,$B160,C$65:C$107)</f>
        <v>40</v>
      </c>
      <c r="D160" s="11">
        <f t="shared" si="57"/>
        <v>43</v>
      </c>
      <c r="E160" s="11">
        <f t="shared" si="57"/>
        <v>40</v>
      </c>
      <c r="F160" s="11">
        <f t="shared" si="57"/>
        <v>36</v>
      </c>
      <c r="G160" s="11">
        <f t="shared" si="57"/>
        <v>36</v>
      </c>
      <c r="H160" s="82"/>
      <c r="I160" s="82"/>
      <c r="J160" s="82"/>
      <c r="K160" s="82"/>
      <c r="L160" s="11">
        <f>SUMIF($B$11:$B$53,$B160,L$11:L$53)+SUMIF($B$65:$B$107,$B160,L$65:L$107)</f>
        <v>34</v>
      </c>
      <c r="M160" s="82"/>
      <c r="N160" s="82"/>
      <c r="O160" s="82"/>
      <c r="P160" s="82"/>
      <c r="Q160" s="11">
        <f>SUMIF($B$11:$B$53,$B160,Q$11:Q$53)+SUMIF($B$65:$B$107,$B160,Q$65:Q$107)</f>
        <v>34</v>
      </c>
      <c r="R160" s="82"/>
      <c r="S160" s="82"/>
      <c r="T160" s="82"/>
      <c r="U160" s="82"/>
      <c r="V160" s="11">
        <f>SUMIF($B$11:$B$53,$B160,V$11:V$53)+SUMIF($B$65:$B$107,$B160,V$65:V$107)</f>
        <v>29</v>
      </c>
      <c r="W160" s="82"/>
      <c r="X160" s="82"/>
      <c r="Y160" s="82"/>
      <c r="Z160" s="82"/>
      <c r="AA160" s="11">
        <f>SUMIF($B$11:$B$53,$B160,AA$11:AA$53)+SUMIF($B$65:$B$107,$B160,AA$65:AA$107)</f>
        <v>31</v>
      </c>
      <c r="AB160" s="82"/>
      <c r="AC160" s="82"/>
      <c r="AD160" s="82"/>
      <c r="AE160" s="82"/>
      <c r="AF160" s="11">
        <f>SUMIF($B$11:$B$53,$B160,AF$11:AF$53)+SUMIF($B$65:$B$107,$B160,AF$65:AF$107)</f>
        <v>30</v>
      </c>
      <c r="AG160" s="82"/>
      <c r="AH160" s="82"/>
      <c r="AI160" s="82"/>
      <c r="AJ160" s="82"/>
      <c r="AK160" s="11">
        <f>SUMIF($B$11:$B$53,$B160,AK$11:AK$53)+SUMIF($B$65:$B$107,$B160,AK$65:AK$107)</f>
        <v>23</v>
      </c>
      <c r="AL160" s="82"/>
      <c r="AM160" s="82"/>
      <c r="AN160" s="82"/>
      <c r="AO160" s="82"/>
      <c r="AP160" s="11">
        <f>SUMIF($B$11:$B$53,$B160,AP$11:AP$53)+SUMIF($B$65:$B$107,$B160,AP$65:AP$107)</f>
        <v>24</v>
      </c>
      <c r="AQ160" s="82"/>
      <c r="AR160" s="82"/>
      <c r="AS160" s="82"/>
      <c r="AT160" s="82"/>
      <c r="AU160" s="11">
        <f>SUMIF($B$11:$B$53,$B160,AU$11:AU$53)+SUMIF($B$65:$B$107,$B160,AU$65:AU$107)</f>
        <v>23</v>
      </c>
      <c r="AV160" s="82"/>
      <c r="AW160" s="82"/>
      <c r="AX160" s="82"/>
      <c r="AY160" s="82"/>
      <c r="AZ160" s="11">
        <f>SUMIF($B$11:$B$53,$B160,AZ$11:AZ$53)+SUMIF($B$65:$B$107,$B160,AZ$65:AZ$107)</f>
        <v>20</v>
      </c>
      <c r="BA160" s="82"/>
      <c r="BB160" s="82"/>
      <c r="BC160" s="82"/>
      <c r="BD160" s="82"/>
      <c r="BE160" s="11">
        <f>SUMIF($B$11:$B$53,$B160,BE$11:BE$53)+SUMIF($B$65:$B$107,$B160,BE$65:BE$107)</f>
        <v>18</v>
      </c>
      <c r="BF160" s="82"/>
      <c r="BG160" s="82"/>
      <c r="BH160" s="82"/>
      <c r="BI160" s="82"/>
      <c r="BJ160" s="11">
        <f>SUMIF($B$11:$B$53,$B160,BJ$11:BJ$53)+SUMIF($B$65:$B$107,$B160,BJ$65:BJ$107)</f>
        <v>18</v>
      </c>
      <c r="BK160" s="82"/>
      <c r="BL160" s="82"/>
      <c r="BM160" s="82"/>
      <c r="BN160" s="82"/>
      <c r="BO160" s="11">
        <f t="shared" ref="BO160:BO161" si="58">BO52+BO106</f>
        <v>17</v>
      </c>
      <c r="BP160" s="82"/>
      <c r="BQ160" s="82"/>
      <c r="BR160" s="82"/>
      <c r="BS160" s="82"/>
      <c r="BT160" s="82"/>
      <c r="BU160" s="82"/>
      <c r="BV160" s="82"/>
      <c r="BW160" s="82"/>
      <c r="BX160" s="82"/>
      <c r="BY160" s="82"/>
      <c r="BZ160" s="82"/>
      <c r="CA160" s="82"/>
      <c r="CB160" s="82"/>
      <c r="CC160" s="82"/>
      <c r="CD160" s="82"/>
    </row>
    <row r="161" spans="1:88">
      <c r="A161" s="11"/>
      <c r="B161" s="11" t="s">
        <v>3403</v>
      </c>
      <c r="C161" s="11">
        <f t="shared" si="57"/>
        <v>0</v>
      </c>
      <c r="D161" s="11">
        <f t="shared" si="57"/>
        <v>0</v>
      </c>
      <c r="E161" s="11">
        <f t="shared" si="57"/>
        <v>0</v>
      </c>
      <c r="F161" s="11">
        <f t="shared" si="57"/>
        <v>0</v>
      </c>
      <c r="G161" s="11">
        <f t="shared" si="57"/>
        <v>0</v>
      </c>
      <c r="H161" s="82"/>
      <c r="I161" s="82"/>
      <c r="J161" s="82"/>
      <c r="K161" s="82"/>
      <c r="L161" s="11">
        <f>SUMIF($B$11:$B$53,$B161,L$11:L$53)+SUMIF($B$65:$B$107,$B161,L$65:L$107)</f>
        <v>0</v>
      </c>
      <c r="M161" s="82"/>
      <c r="N161" s="82"/>
      <c r="O161" s="82"/>
      <c r="P161" s="82"/>
      <c r="Q161" s="11">
        <f>SUMIF($B$11:$B$53,$B161,Q$11:Q$53)+SUMIF($B$65:$B$107,$B161,Q$65:Q$107)</f>
        <v>0</v>
      </c>
      <c r="R161" s="82"/>
      <c r="S161" s="82"/>
      <c r="T161" s="82"/>
      <c r="U161" s="82"/>
      <c r="V161" s="11">
        <f>SUMIF($B$11:$B$53,$B161,V$11:V$53)+SUMIF($B$65:$B$107,$B161,V$65:V$107)</f>
        <v>0</v>
      </c>
      <c r="W161" s="82"/>
      <c r="X161" s="82"/>
      <c r="Y161" s="82"/>
      <c r="Z161" s="82"/>
      <c r="AA161" s="11">
        <f>SUMIF($B$11:$B$53,$B161,AA$11:AA$53)+SUMIF($B$65:$B$107,$B161,AA$65:AA$107)</f>
        <v>0</v>
      </c>
      <c r="AB161" s="82"/>
      <c r="AC161" s="82"/>
      <c r="AD161" s="82"/>
      <c r="AE161" s="82"/>
      <c r="AF161" s="11">
        <f>SUMIF($B$11:$B$53,$B161,AF$11:AF$53)+SUMIF($B$65:$B$107,$B161,AF$65:AF$107)</f>
        <v>2</v>
      </c>
      <c r="AG161" s="82"/>
      <c r="AH161" s="82"/>
      <c r="AI161" s="82"/>
      <c r="AJ161" s="82"/>
      <c r="AK161" s="11">
        <f>SUMIF($B$11:$B$53,$B161,AK$11:AK$53)+SUMIF($B$65:$B$107,$B161,AK$65:AK$107)</f>
        <v>2</v>
      </c>
      <c r="AL161" s="82"/>
      <c r="AM161" s="82"/>
      <c r="AN161" s="82"/>
      <c r="AO161" s="82"/>
      <c r="AP161" s="11">
        <f>SUMIF($B$11:$B$53,$B161,AP$11:AP$53)+SUMIF($B$65:$B$107,$B161,AP$65:AP$107)</f>
        <v>3</v>
      </c>
      <c r="AQ161" s="82"/>
      <c r="AR161" s="82"/>
      <c r="AS161" s="82"/>
      <c r="AT161" s="82"/>
      <c r="AU161" s="11">
        <f>SUMIF($B$11:$B$53,$B161,AU$11:AU$53)+SUMIF($B$65:$B$107,$B161,AU$65:AU$107)</f>
        <v>2</v>
      </c>
      <c r="AV161" s="82"/>
      <c r="AW161" s="82"/>
      <c r="AX161" s="82"/>
      <c r="AY161" s="82"/>
      <c r="AZ161" s="11">
        <f>SUMIF($B$11:$B$53,$B161,AZ$11:AZ$53)+SUMIF($B$65:$B$107,$B161,AZ$65:AZ$107)</f>
        <v>2</v>
      </c>
      <c r="BA161" s="82"/>
      <c r="BB161" s="82"/>
      <c r="BC161" s="82"/>
      <c r="BD161" s="82"/>
      <c r="BE161" s="11">
        <f>SUMIF($B$11:$B$53,$B161,BE$11:BE$53)+SUMIF($B$65:$B$107,$B161,BE$65:BE$107)</f>
        <v>2</v>
      </c>
      <c r="BF161" s="82"/>
      <c r="BG161" s="82"/>
      <c r="BH161" s="82"/>
      <c r="BI161" s="82"/>
      <c r="BJ161" s="11">
        <f>SUMIF($B$11:$B$53,$B161,BJ$11:BJ$53)+SUMIF($B$65:$B$107,$B161,BJ$65:BJ$107)</f>
        <v>2</v>
      </c>
      <c r="BK161" s="82"/>
      <c r="BL161" s="82"/>
      <c r="BM161" s="82"/>
      <c r="BN161" s="82"/>
      <c r="BO161" s="11">
        <f t="shared" si="58"/>
        <v>1</v>
      </c>
      <c r="BP161" s="82"/>
      <c r="BQ161" s="82"/>
      <c r="BR161" s="82"/>
      <c r="BS161" s="82"/>
      <c r="BT161" s="82"/>
      <c r="BU161" s="82"/>
      <c r="BV161" s="82"/>
      <c r="BW161" s="82"/>
      <c r="BX161" s="82"/>
      <c r="BY161" s="82"/>
      <c r="BZ161" s="82"/>
      <c r="CA161" s="82"/>
      <c r="CB161" s="82"/>
      <c r="CC161" s="82"/>
      <c r="CD161" s="82"/>
    </row>
    <row r="162" spans="1:88">
      <c r="A162" s="39" t="s">
        <v>1935</v>
      </c>
      <c r="B162" s="39"/>
      <c r="C162" s="39">
        <f t="shared" ref="C162:L162" si="59">SUM(C160:C161)</f>
        <v>40</v>
      </c>
      <c r="D162" s="39">
        <f t="shared" si="59"/>
        <v>43</v>
      </c>
      <c r="E162" s="39">
        <f t="shared" si="59"/>
        <v>40</v>
      </c>
      <c r="F162" s="39">
        <f t="shared" si="59"/>
        <v>36</v>
      </c>
      <c r="G162" s="39">
        <f t="shared" si="59"/>
        <v>36</v>
      </c>
      <c r="H162" s="83"/>
      <c r="I162" s="83"/>
      <c r="J162" s="83"/>
      <c r="K162" s="83"/>
      <c r="L162" s="39">
        <f t="shared" si="59"/>
        <v>34</v>
      </c>
      <c r="M162" s="82"/>
      <c r="N162" s="82"/>
      <c r="O162" s="82"/>
      <c r="P162" s="82"/>
      <c r="Q162" s="39">
        <f>SUM(Q160:Q161)</f>
        <v>34</v>
      </c>
      <c r="R162" s="82"/>
      <c r="S162" s="82"/>
      <c r="T162" s="82"/>
      <c r="U162" s="82"/>
      <c r="V162" s="39">
        <f>SUM(V160:V161)</f>
        <v>29</v>
      </c>
      <c r="W162" s="82"/>
      <c r="X162" s="82"/>
      <c r="Y162" s="82"/>
      <c r="Z162" s="82"/>
      <c r="AA162" s="39">
        <f>SUM(AA160:AA161)</f>
        <v>31</v>
      </c>
      <c r="AB162" s="82"/>
      <c r="AC162" s="82"/>
      <c r="AD162" s="82"/>
      <c r="AE162" s="82"/>
      <c r="AF162" s="39">
        <f>SUM(AF160:AF161)</f>
        <v>32</v>
      </c>
      <c r="AG162" s="82"/>
      <c r="AH162" s="82"/>
      <c r="AI162" s="82"/>
      <c r="AJ162" s="82"/>
      <c r="AK162" s="39">
        <f>SUM(AK160:AK161)</f>
        <v>25</v>
      </c>
      <c r="AL162" s="82"/>
      <c r="AM162" s="82"/>
      <c r="AN162" s="82"/>
      <c r="AO162" s="82"/>
      <c r="AP162" s="39">
        <f>SUM(AP160:AP161)</f>
        <v>27</v>
      </c>
      <c r="AQ162" s="82"/>
      <c r="AR162" s="82"/>
      <c r="AS162" s="82"/>
      <c r="AT162" s="82"/>
      <c r="AU162" s="39">
        <f>SUM(AU160:AU161)</f>
        <v>25</v>
      </c>
      <c r="AV162" s="82"/>
      <c r="AW162" s="82"/>
      <c r="AX162" s="82"/>
      <c r="AY162" s="82"/>
      <c r="AZ162" s="39">
        <f>SUM(AZ160:AZ161)</f>
        <v>22</v>
      </c>
      <c r="BA162" s="82"/>
      <c r="BB162" s="82"/>
      <c r="BC162" s="82"/>
      <c r="BD162" s="82"/>
      <c r="BE162" s="39">
        <f>SUM(BE160:BE161)</f>
        <v>20</v>
      </c>
      <c r="BF162" s="82"/>
      <c r="BG162" s="82"/>
      <c r="BH162" s="82"/>
      <c r="BI162" s="82"/>
      <c r="BJ162" s="39">
        <f>SUM(BJ160:BJ161)</f>
        <v>20</v>
      </c>
      <c r="BK162" s="82"/>
      <c r="BL162" s="82"/>
      <c r="BM162" s="82"/>
      <c r="BN162" s="82"/>
      <c r="BO162" s="39">
        <f>BO54+BO108</f>
        <v>19</v>
      </c>
      <c r="BP162" s="79">
        <f>BP324+BP378</f>
        <v>21.04</v>
      </c>
      <c r="BQ162" s="79">
        <f>BQ324+BQ378</f>
        <v>21.04</v>
      </c>
      <c r="BR162" s="79">
        <f>BR324+BR378</f>
        <v>21.04</v>
      </c>
      <c r="BS162" s="79">
        <f>BS324+BS378</f>
        <v>21.04</v>
      </c>
      <c r="BT162" s="39">
        <f>AVERAGE(BP162:BS162)</f>
        <v>21.04</v>
      </c>
      <c r="BU162" s="79">
        <f>BU324+BU378</f>
        <v>19.57</v>
      </c>
      <c r="BV162" s="79">
        <f>BV324+BV378</f>
        <v>19.57</v>
      </c>
      <c r="BW162" s="79">
        <f>BW324+BW378</f>
        <v>19.57</v>
      </c>
      <c r="BX162" s="79">
        <f>BX324+BX378</f>
        <v>19.57</v>
      </c>
      <c r="BY162" s="39">
        <f>AVERAGE(BU162:BX162)</f>
        <v>19.57</v>
      </c>
      <c r="BZ162" s="79">
        <f>BZ324+BZ378</f>
        <v>18.940000000000001</v>
      </c>
      <c r="CA162" s="79">
        <f>CA324+CA378</f>
        <v>18.940000000000001</v>
      </c>
      <c r="CB162" s="79">
        <f>CB324+CB378</f>
        <v>18.940000000000001</v>
      </c>
      <c r="CC162" s="79">
        <f>CC324+CC378</f>
        <v>18.940000000000001</v>
      </c>
      <c r="CD162" s="39">
        <f>AVERAGE(BZ162:CC162)</f>
        <v>18.940000000000001</v>
      </c>
    </row>
    <row r="163" spans="1:88">
      <c r="A163" s="39"/>
      <c r="B163" s="39"/>
      <c r="C163" s="39"/>
      <c r="D163" s="39"/>
      <c r="E163" s="39"/>
      <c r="F163" s="39"/>
      <c r="G163" s="39"/>
      <c r="H163" s="83"/>
      <c r="I163" s="83"/>
      <c r="J163" s="83"/>
      <c r="K163" s="83"/>
      <c r="L163" s="39"/>
      <c r="M163" s="80"/>
      <c r="N163" s="80"/>
      <c r="O163" s="80"/>
      <c r="P163" s="80"/>
      <c r="Q163" s="39"/>
      <c r="R163" s="80"/>
      <c r="S163" s="80"/>
      <c r="T163" s="80"/>
      <c r="U163" s="80"/>
      <c r="V163" s="39"/>
      <c r="W163" s="80"/>
      <c r="X163" s="80"/>
      <c r="Y163" s="80"/>
      <c r="Z163" s="80"/>
      <c r="AA163" s="39"/>
      <c r="AB163" s="80"/>
      <c r="AC163" s="80"/>
      <c r="AD163" s="80"/>
      <c r="AE163" s="80"/>
      <c r="AF163" s="39"/>
      <c r="AG163" s="80"/>
      <c r="AH163" s="39"/>
      <c r="AI163" s="39"/>
      <c r="AJ163" s="39"/>
      <c r="AK163" s="39"/>
      <c r="AL163" s="80"/>
      <c r="AM163" s="80"/>
      <c r="AN163" s="80"/>
      <c r="AO163" s="80"/>
      <c r="AP163" s="39"/>
      <c r="AQ163" s="80"/>
      <c r="AR163" s="80"/>
      <c r="AS163" s="80"/>
      <c r="AT163" s="80"/>
      <c r="AU163" s="39"/>
      <c r="AV163" s="80"/>
      <c r="AW163" s="80"/>
      <c r="AX163" s="80"/>
      <c r="AY163" s="80"/>
      <c r="AZ163" s="39"/>
      <c r="BA163" s="80"/>
      <c r="BB163" s="80"/>
      <c r="BC163" s="80"/>
      <c r="BD163" s="80"/>
      <c r="BE163" s="39"/>
      <c r="BF163" s="657"/>
      <c r="BG163" s="657"/>
      <c r="BH163" s="657"/>
      <c r="BI163" s="657"/>
      <c r="BJ163" s="39"/>
      <c r="BK163" s="742"/>
      <c r="BL163" s="742"/>
      <c r="BM163" s="742"/>
      <c r="BN163" s="742"/>
      <c r="BO163" s="39"/>
      <c r="BP163" s="742"/>
      <c r="BQ163" s="742"/>
      <c r="BR163" s="742"/>
      <c r="BS163" s="742"/>
      <c r="BT163" s="742"/>
      <c r="BU163" s="657"/>
      <c r="BV163" s="657"/>
      <c r="BW163" s="657"/>
      <c r="BX163" s="657"/>
      <c r="BY163" s="657"/>
      <c r="BZ163" s="657"/>
      <c r="CA163" s="657"/>
      <c r="CB163" s="657"/>
      <c r="CC163" s="657"/>
      <c r="CD163" s="657"/>
    </row>
    <row r="164" spans="1:88">
      <c r="A164" s="46" t="s">
        <v>541</v>
      </c>
      <c r="B164" s="46"/>
      <c r="C164" s="46">
        <f>C122+C127+C136+C142+C157+C162</f>
        <v>1931</v>
      </c>
      <c r="D164" s="46">
        <f>D122+D127+D136+D142+D157+D162</f>
        <v>2018</v>
      </c>
      <c r="E164" s="46">
        <f>E122+E127+E136+E142+E157+E162</f>
        <v>2121</v>
      </c>
      <c r="F164" s="46">
        <f>F122+F127+F136+F142+F157+F162</f>
        <v>2531</v>
      </c>
      <c r="G164" s="46">
        <f>G122+G127+G136+G142+G157+G162</f>
        <v>2562</v>
      </c>
      <c r="H164" s="84"/>
      <c r="I164" s="84"/>
      <c r="J164" s="84"/>
      <c r="K164" s="84"/>
      <c r="L164" s="46">
        <f>L122+L127+L136+L142+L157+L162</f>
        <v>2475</v>
      </c>
      <c r="M164" s="81">
        <v>2446</v>
      </c>
      <c r="N164" s="81">
        <v>2449</v>
      </c>
      <c r="O164" s="81">
        <v>2292</v>
      </c>
      <c r="P164" s="81">
        <v>2469</v>
      </c>
      <c r="Q164" s="46">
        <f>Q122+Q127+Q136+Q142+Q157+Q162</f>
        <v>2414</v>
      </c>
      <c r="R164" s="81">
        <v>2453</v>
      </c>
      <c r="S164" s="81">
        <v>2408</v>
      </c>
      <c r="T164" s="81">
        <v>2283</v>
      </c>
      <c r="U164" s="81">
        <v>2460</v>
      </c>
      <c r="V164" s="46">
        <f>V122+V127+V136+V142+V157+V162</f>
        <v>2401</v>
      </c>
      <c r="W164" s="81">
        <v>2504</v>
      </c>
      <c r="X164" s="81">
        <v>2526</v>
      </c>
      <c r="Y164" s="81">
        <v>2532</v>
      </c>
      <c r="Z164" s="81">
        <v>2577</v>
      </c>
      <c r="AA164" s="46">
        <f>AA122+AA127+AA136+AA142+AA157+AA162</f>
        <v>2535</v>
      </c>
      <c r="AB164" s="81">
        <v>2527</v>
      </c>
      <c r="AC164" s="81">
        <v>2383</v>
      </c>
      <c r="AD164" s="81">
        <v>2321</v>
      </c>
      <c r="AE164" s="81">
        <v>2266</v>
      </c>
      <c r="AF164" s="46">
        <f>AF122+AF127+AF136+AF142+AF157+AF162</f>
        <v>2374</v>
      </c>
      <c r="AG164" s="81">
        <v>2270</v>
      </c>
      <c r="AH164" s="81">
        <v>2129</v>
      </c>
      <c r="AI164" s="81">
        <v>2075</v>
      </c>
      <c r="AJ164" s="81">
        <v>2157</v>
      </c>
      <c r="AK164" s="46">
        <f t="shared" ref="AK164:CD164" si="60">AK122+AK127+AK136+AK142+AK157+AK162</f>
        <v>2157</v>
      </c>
      <c r="AL164" s="81">
        <v>2127</v>
      </c>
      <c r="AM164" s="81">
        <v>2031</v>
      </c>
      <c r="AN164" s="81">
        <v>2024</v>
      </c>
      <c r="AO164" s="81">
        <v>2042</v>
      </c>
      <c r="AP164" s="46">
        <f t="shared" si="60"/>
        <v>2056</v>
      </c>
      <c r="AQ164" s="81">
        <f>1193+758+102</f>
        <v>2053</v>
      </c>
      <c r="AR164" s="81">
        <f>1165+826</f>
        <v>1991</v>
      </c>
      <c r="AS164" s="81">
        <f>1147+828</f>
        <v>1975</v>
      </c>
      <c r="AT164" s="81">
        <f>1201+833</f>
        <v>2034</v>
      </c>
      <c r="AU164" s="46">
        <f>AU122+AU127+AU136+AU142+AU157+AU162</f>
        <v>2013</v>
      </c>
      <c r="AV164" s="81">
        <v>1912</v>
      </c>
      <c r="AW164" s="81">
        <v>1899</v>
      </c>
      <c r="AX164" s="81">
        <v>1923</v>
      </c>
      <c r="AY164" s="81">
        <v>1968</v>
      </c>
      <c r="AZ164" s="46">
        <f>AZ122+AZ127+AZ136+AZ142+AZ157+AZ162</f>
        <v>1918</v>
      </c>
      <c r="BA164" s="81">
        <v>2073.8262495957761</v>
      </c>
      <c r="BB164" s="81">
        <v>1925.9552831985923</v>
      </c>
      <c r="BC164" s="81">
        <v>2041.4029216014083</v>
      </c>
      <c r="BD164" s="81">
        <v>2137.2091648042237</v>
      </c>
      <c r="BE164" s="46">
        <f>BE122+BE127+BE136+BE142+BE157+BE162</f>
        <v>2007</v>
      </c>
      <c r="BF164" s="81">
        <f>1409+BF153</f>
        <v>2217</v>
      </c>
      <c r="BG164" s="81">
        <f>1102+BG153</f>
        <v>1914</v>
      </c>
      <c r="BH164" s="81">
        <f>1128+BH153</f>
        <v>1948</v>
      </c>
      <c r="BI164" s="81">
        <f>1178+BI153</f>
        <v>2097</v>
      </c>
      <c r="BJ164" s="46">
        <f>BJ122+BJ127+BJ136+BJ142+BJ157+BJ162</f>
        <v>2050</v>
      </c>
      <c r="BK164" s="743">
        <f>1389+BK153</f>
        <v>2301</v>
      </c>
      <c r="BL164" s="743">
        <f>1352+BL153</f>
        <v>2254</v>
      </c>
      <c r="BM164" s="743">
        <f>1341+BM153</f>
        <v>2244</v>
      </c>
      <c r="BN164" s="744">
        <f>1344+BN153</f>
        <v>2243</v>
      </c>
      <c r="BO164" s="46">
        <f>BO122+BO127+BO136+BO142+BO157+BO162</f>
        <v>2260</v>
      </c>
      <c r="BP164" s="744">
        <f t="shared" si="60"/>
        <v>2206.6726625000001</v>
      </c>
      <c r="BQ164" s="744">
        <f t="shared" si="60"/>
        <v>2201.6726625000001</v>
      </c>
      <c r="BR164" s="744">
        <f t="shared" si="60"/>
        <v>2201.6726625000001</v>
      </c>
      <c r="BS164" s="744">
        <f t="shared" si="60"/>
        <v>2201.6726625000001</v>
      </c>
      <c r="BT164" s="745">
        <f t="shared" si="60"/>
        <v>2202.9226625000001</v>
      </c>
      <c r="BU164" s="81">
        <f t="shared" si="60"/>
        <v>2228.7754650000002</v>
      </c>
      <c r="BV164" s="81">
        <f t="shared" si="60"/>
        <v>2228.7754650000002</v>
      </c>
      <c r="BW164" s="81">
        <f t="shared" si="60"/>
        <v>2228.7754650000002</v>
      </c>
      <c r="BX164" s="81">
        <f t="shared" si="60"/>
        <v>2228.7754650000002</v>
      </c>
      <c r="BY164" s="46">
        <f t="shared" si="60"/>
        <v>2228.7754650000002</v>
      </c>
      <c r="BZ164" s="81">
        <f t="shared" si="60"/>
        <v>2223.1972625000003</v>
      </c>
      <c r="CA164" s="81">
        <f t="shared" si="60"/>
        <v>2223.1972625000003</v>
      </c>
      <c r="CB164" s="81">
        <f t="shared" si="60"/>
        <v>2223.1972625000003</v>
      </c>
      <c r="CC164" s="81">
        <f t="shared" si="60"/>
        <v>2223.1972625000003</v>
      </c>
      <c r="CD164" s="46">
        <f t="shared" si="60"/>
        <v>2223.1972625000003</v>
      </c>
      <c r="CE164" s="631"/>
    </row>
    <row r="165" spans="1:88">
      <c r="A165" s="605" t="s">
        <v>3553</v>
      </c>
      <c r="B165" s="24"/>
      <c r="C165" s="24">
        <f t="shared" ref="C165:AH165" si="61">C164-C153</f>
        <v>1911</v>
      </c>
      <c r="D165" s="24">
        <f t="shared" si="61"/>
        <v>1945</v>
      </c>
      <c r="E165" s="24">
        <f t="shared" si="61"/>
        <v>1825</v>
      </c>
      <c r="F165" s="24">
        <f t="shared" si="61"/>
        <v>1700</v>
      </c>
      <c r="G165" s="24">
        <f t="shared" si="61"/>
        <v>1651</v>
      </c>
      <c r="H165" s="606">
        <f t="shared" si="61"/>
        <v>0</v>
      </c>
      <c r="I165" s="606">
        <f t="shared" si="61"/>
        <v>0</v>
      </c>
      <c r="J165" s="606">
        <f t="shared" si="61"/>
        <v>0</v>
      </c>
      <c r="K165" s="606">
        <f t="shared" si="61"/>
        <v>0</v>
      </c>
      <c r="L165" s="24">
        <f t="shared" si="61"/>
        <v>1599</v>
      </c>
      <c r="M165" s="359">
        <f t="shared" si="61"/>
        <v>1614</v>
      </c>
      <c r="N165" s="359">
        <f t="shared" si="61"/>
        <v>1612</v>
      </c>
      <c r="O165" s="359">
        <f t="shared" si="61"/>
        <v>1462</v>
      </c>
      <c r="P165" s="359">
        <f t="shared" si="61"/>
        <v>1640</v>
      </c>
      <c r="Q165" s="24">
        <f t="shared" si="61"/>
        <v>1582</v>
      </c>
      <c r="R165" s="359">
        <f t="shared" si="61"/>
        <v>1635</v>
      </c>
      <c r="S165" s="359">
        <f t="shared" si="61"/>
        <v>1583</v>
      </c>
      <c r="T165" s="359">
        <f t="shared" si="61"/>
        <v>1450</v>
      </c>
      <c r="U165" s="359">
        <f t="shared" si="61"/>
        <v>1633</v>
      </c>
      <c r="V165" s="24">
        <f t="shared" si="61"/>
        <v>1575</v>
      </c>
      <c r="W165" s="359">
        <f t="shared" si="61"/>
        <v>1682</v>
      </c>
      <c r="X165" s="359">
        <f t="shared" si="61"/>
        <v>1689</v>
      </c>
      <c r="Y165" s="359">
        <f t="shared" si="61"/>
        <v>1682</v>
      </c>
      <c r="Z165" s="359">
        <f t="shared" si="61"/>
        <v>1725</v>
      </c>
      <c r="AA165" s="24">
        <f t="shared" si="61"/>
        <v>1695</v>
      </c>
      <c r="AB165" s="359">
        <f t="shared" si="61"/>
        <v>1678</v>
      </c>
      <c r="AC165" s="359">
        <f t="shared" si="61"/>
        <v>1524</v>
      </c>
      <c r="AD165" s="359">
        <f t="shared" si="61"/>
        <v>1462</v>
      </c>
      <c r="AE165" s="359">
        <f t="shared" si="61"/>
        <v>1408</v>
      </c>
      <c r="AF165" s="24">
        <f t="shared" si="61"/>
        <v>1518</v>
      </c>
      <c r="AG165" s="359">
        <f t="shared" si="61"/>
        <v>1414</v>
      </c>
      <c r="AH165" s="359">
        <f t="shared" si="61"/>
        <v>1269</v>
      </c>
      <c r="AI165" s="607">
        <f t="shared" ref="AI165:BN165" si="62">AI164-AI153</f>
        <v>1192</v>
      </c>
      <c r="AJ165" s="359">
        <f t="shared" si="62"/>
        <v>1283</v>
      </c>
      <c r="AK165" s="24">
        <f t="shared" si="62"/>
        <v>1292</v>
      </c>
      <c r="AL165" s="359">
        <f t="shared" si="62"/>
        <v>1248</v>
      </c>
      <c r="AM165" s="359">
        <f t="shared" si="62"/>
        <v>1150</v>
      </c>
      <c r="AN165" s="359">
        <f t="shared" si="62"/>
        <v>1148</v>
      </c>
      <c r="AO165" s="359">
        <f t="shared" si="62"/>
        <v>1172</v>
      </c>
      <c r="AP165" s="24">
        <f t="shared" si="62"/>
        <v>1193</v>
      </c>
      <c r="AQ165" s="359">
        <f t="shared" si="62"/>
        <v>1193</v>
      </c>
      <c r="AR165" s="359">
        <f t="shared" si="62"/>
        <v>1165</v>
      </c>
      <c r="AS165" s="359">
        <f t="shared" si="62"/>
        <v>1147</v>
      </c>
      <c r="AT165" s="359">
        <f t="shared" si="62"/>
        <v>1201</v>
      </c>
      <c r="AU165" s="24">
        <f t="shared" si="62"/>
        <v>1176</v>
      </c>
      <c r="AV165" s="359">
        <f t="shared" si="62"/>
        <v>1085</v>
      </c>
      <c r="AW165" s="359">
        <f t="shared" si="62"/>
        <v>1083</v>
      </c>
      <c r="AX165" s="359">
        <f t="shared" si="62"/>
        <v>1106</v>
      </c>
      <c r="AY165" s="359">
        <f t="shared" si="62"/>
        <v>1149</v>
      </c>
      <c r="AZ165" s="24">
        <f t="shared" si="62"/>
        <v>1097</v>
      </c>
      <c r="BA165" s="359">
        <f t="shared" si="62"/>
        <v>1257.8262495957761</v>
      </c>
      <c r="BB165" s="359">
        <f t="shared" si="62"/>
        <v>1110.9552831985923</v>
      </c>
      <c r="BC165" s="359">
        <f t="shared" si="62"/>
        <v>1231.4029216014083</v>
      </c>
      <c r="BD165" s="359">
        <f t="shared" si="62"/>
        <v>1326.2091648042237</v>
      </c>
      <c r="BE165" s="24">
        <f>BE164-BE153</f>
        <v>1194</v>
      </c>
      <c r="BF165" s="359">
        <f t="shared" si="62"/>
        <v>1409</v>
      </c>
      <c r="BG165" s="359">
        <f t="shared" si="62"/>
        <v>1102</v>
      </c>
      <c r="BH165" s="359">
        <f t="shared" si="62"/>
        <v>1128</v>
      </c>
      <c r="BI165" s="359">
        <f t="shared" si="62"/>
        <v>1178</v>
      </c>
      <c r="BJ165" s="24">
        <f t="shared" si="62"/>
        <v>1210</v>
      </c>
      <c r="BK165" s="746">
        <f t="shared" si="62"/>
        <v>1389</v>
      </c>
      <c r="BL165" s="746">
        <f>BL164-BL153</f>
        <v>1352</v>
      </c>
      <c r="BM165" s="746">
        <f t="shared" si="62"/>
        <v>1341</v>
      </c>
      <c r="BN165" s="607">
        <f t="shared" si="62"/>
        <v>1344</v>
      </c>
      <c r="BO165" s="747">
        <f t="shared" ref="BO165:CD165" si="63">BO164-BO153</f>
        <v>1356</v>
      </c>
      <c r="BP165" s="607">
        <f t="shared" si="63"/>
        <v>1331.9233199999999</v>
      </c>
      <c r="BQ165" s="607">
        <f t="shared" si="63"/>
        <v>1326.9233199999999</v>
      </c>
      <c r="BR165" s="607">
        <f t="shared" si="63"/>
        <v>1326.9233199999999</v>
      </c>
      <c r="BS165" s="607">
        <f t="shared" si="63"/>
        <v>1326.9233199999999</v>
      </c>
      <c r="BT165" s="747">
        <f t="shared" si="63"/>
        <v>1328.1733199999999</v>
      </c>
      <c r="BU165" s="359">
        <f t="shared" si="63"/>
        <v>1320.1728000000003</v>
      </c>
      <c r="BV165" s="359">
        <f t="shared" si="63"/>
        <v>1320.1728000000003</v>
      </c>
      <c r="BW165" s="359">
        <f t="shared" si="63"/>
        <v>1320.1728000000003</v>
      </c>
      <c r="BX165" s="359">
        <f t="shared" si="63"/>
        <v>1320.1728000000003</v>
      </c>
      <c r="BY165" s="24">
        <f t="shared" si="63"/>
        <v>1320.1728000000003</v>
      </c>
      <c r="BZ165" s="359">
        <f t="shared" si="63"/>
        <v>1303.38924</v>
      </c>
      <c r="CA165" s="359">
        <f t="shared" si="63"/>
        <v>1303.38924</v>
      </c>
      <c r="CB165" s="359">
        <f t="shared" si="63"/>
        <v>1303.38924</v>
      </c>
      <c r="CC165" s="359">
        <f t="shared" si="63"/>
        <v>1303.38924</v>
      </c>
      <c r="CD165" s="24">
        <f t="shared" si="63"/>
        <v>1303.38924</v>
      </c>
    </row>
    <row r="166" spans="1:88">
      <c r="A166" s="605" t="s">
        <v>897</v>
      </c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48"/>
      <c r="AL166" s="48"/>
      <c r="AM166" s="48"/>
      <c r="AN166" s="48"/>
      <c r="AO166" s="48"/>
      <c r="AP166" s="48"/>
      <c r="AQ166" s="48"/>
      <c r="AR166" s="48"/>
      <c r="AS166" s="48"/>
      <c r="AT166" s="48"/>
      <c r="AU166" s="48"/>
      <c r="AV166" s="48"/>
      <c r="AW166" s="48"/>
      <c r="AX166" s="48"/>
      <c r="AY166" s="48"/>
      <c r="AZ166" s="48"/>
      <c r="BA166">
        <f>ROUND(BA165-1258,0)</f>
        <v>0</v>
      </c>
      <c r="BB166">
        <f>ROUND(BB165-1111,0)</f>
        <v>0</v>
      </c>
      <c r="BC166">
        <f>ROUND(BC165-1231,0)</f>
        <v>0</v>
      </c>
      <c r="BD166">
        <f>ROUND(BD165-1326,0)</f>
        <v>0</v>
      </c>
      <c r="BE166" s="48"/>
      <c r="BF166">
        <f>ROUND(BF165-1409,0)</f>
        <v>0</v>
      </c>
      <c r="BG166">
        <f>ROUND(BG165-1102,0)</f>
        <v>0</v>
      </c>
      <c r="BH166">
        <f>ROUND(BH165-1128,0)</f>
        <v>0</v>
      </c>
      <c r="BI166">
        <f>ROUND(BI165-1178,0)</f>
        <v>0</v>
      </c>
      <c r="BJ166" s="48"/>
      <c r="BK166" s="48"/>
      <c r="BL166" s="48"/>
      <c r="BM166" s="48"/>
      <c r="BN166" s="48"/>
      <c r="BO166" s="48"/>
      <c r="BP166" s="48"/>
      <c r="BQ166" s="48"/>
      <c r="BR166" s="48"/>
      <c r="BS166" s="48"/>
      <c r="BT166" s="48"/>
      <c r="BU166" s="48"/>
      <c r="BV166" s="48"/>
      <c r="BW166" s="48"/>
      <c r="BX166" s="48"/>
      <c r="BY166" s="48"/>
      <c r="BZ166" s="48"/>
      <c r="CA166" s="48"/>
      <c r="CB166" s="48"/>
      <c r="CC166" s="48"/>
      <c r="CD166" s="48"/>
    </row>
    <row r="167" spans="1:88">
      <c r="A167" s="646"/>
      <c r="B167" s="11"/>
    </row>
    <row r="168" spans="1:88" ht="15.75">
      <c r="A168" s="400" t="s">
        <v>2660</v>
      </c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  <c r="AJ168" s="39"/>
      <c r="AK168" s="422"/>
      <c r="AL168" s="422"/>
      <c r="AM168" s="422"/>
      <c r="AN168" s="422"/>
      <c r="AO168" s="422"/>
      <c r="AP168" s="422"/>
      <c r="AQ168" s="422"/>
      <c r="AR168" s="422"/>
      <c r="AS168" s="422"/>
      <c r="AT168" s="422"/>
      <c r="AU168" s="422"/>
      <c r="AV168" s="422"/>
      <c r="AW168" s="422"/>
      <c r="AX168" s="422"/>
      <c r="AY168" s="422"/>
      <c r="AZ168" s="422"/>
      <c r="BA168" s="86"/>
      <c r="BB168" s="86"/>
      <c r="BC168" s="86"/>
      <c r="BD168" s="86"/>
      <c r="BE168" s="47"/>
      <c r="BF168" s="86"/>
      <c r="BG168" s="86"/>
      <c r="BH168" s="86"/>
      <c r="BI168" s="86"/>
      <c r="BJ168" s="47"/>
      <c r="BK168" s="47"/>
      <c r="BL168" s="47"/>
      <c r="BM168" s="47"/>
      <c r="BN168" s="47"/>
      <c r="BO168" s="47"/>
      <c r="BP168" s="47"/>
      <c r="BQ168" s="47"/>
      <c r="BR168" s="47"/>
      <c r="BS168" s="47"/>
      <c r="BT168" s="47"/>
      <c r="BU168" s="47"/>
      <c r="BV168" s="47"/>
      <c r="BW168" s="47"/>
      <c r="BX168" s="47"/>
      <c r="BY168" s="47"/>
      <c r="BZ168" s="47"/>
      <c r="CA168" s="47"/>
      <c r="CB168" s="47"/>
      <c r="CC168" s="47"/>
      <c r="CD168" s="47"/>
      <c r="CE168" s="47"/>
      <c r="CF168" s="47"/>
      <c r="CG168" s="47"/>
      <c r="CH168" s="47"/>
      <c r="CI168" s="47"/>
      <c r="CJ168" s="47"/>
    </row>
    <row r="169" spans="1:88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48"/>
      <c r="AR169" s="48"/>
      <c r="AS169" s="48"/>
      <c r="AT169" s="48"/>
      <c r="AU169" s="48"/>
      <c r="AV169" s="48"/>
      <c r="AW169" s="48"/>
      <c r="AX169" s="48"/>
      <c r="AY169" s="48"/>
      <c r="AZ169" s="48"/>
      <c r="BA169" s="86"/>
      <c r="BB169" s="86"/>
      <c r="BC169" s="86"/>
      <c r="BD169" s="86"/>
      <c r="BE169" s="47"/>
      <c r="BF169" s="86"/>
      <c r="BG169" s="86"/>
      <c r="BH169" s="86"/>
      <c r="BI169" s="86"/>
      <c r="BJ169" s="86"/>
      <c r="BK169" s="86"/>
      <c r="BL169" s="86"/>
      <c r="BM169" s="86"/>
      <c r="BN169" s="86"/>
      <c r="BO169" s="86"/>
      <c r="BP169" s="86"/>
      <c r="BQ169" s="86"/>
      <c r="BR169" s="86"/>
      <c r="BS169" s="86"/>
      <c r="BT169" s="86"/>
      <c r="BU169" s="86"/>
      <c r="BV169" s="86"/>
      <c r="BW169" s="86"/>
      <c r="BX169" s="86"/>
      <c r="BY169" s="86"/>
      <c r="BZ169" s="86"/>
      <c r="CA169" s="86"/>
      <c r="CB169" s="86"/>
      <c r="CC169" s="86"/>
      <c r="CD169" s="86"/>
      <c r="CE169" s="86"/>
      <c r="CF169" s="86"/>
      <c r="CG169" s="86"/>
      <c r="CH169" s="86"/>
      <c r="CI169" s="86"/>
      <c r="CJ169" s="86"/>
    </row>
    <row r="170" spans="1:88">
      <c r="A170" s="24" t="s">
        <v>304</v>
      </c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  <c r="BL170" s="11"/>
      <c r="BM170" s="11"/>
      <c r="BN170" s="11"/>
      <c r="BO170" s="11"/>
      <c r="BP170" s="11"/>
      <c r="BQ170" s="11"/>
      <c r="BR170" s="11"/>
      <c r="BS170" s="11"/>
      <c r="BT170" s="11"/>
      <c r="BU170" s="11"/>
      <c r="BV170" s="11"/>
      <c r="BW170" s="11"/>
      <c r="BX170" s="11"/>
      <c r="BY170" s="11"/>
      <c r="BZ170" s="11"/>
      <c r="CA170" s="11"/>
      <c r="CB170" s="11"/>
      <c r="CC170" s="11"/>
      <c r="CD170" s="11"/>
      <c r="CE170" s="11"/>
      <c r="CF170" s="11"/>
      <c r="CG170" s="11"/>
      <c r="CH170" s="11"/>
      <c r="CI170" s="11"/>
      <c r="CJ170" s="11"/>
    </row>
    <row r="171" spans="1:88" ht="12.75" customHeight="1">
      <c r="A171" s="10"/>
      <c r="B171" s="10"/>
      <c r="C171" s="31">
        <v>2001</v>
      </c>
      <c r="D171" s="32">
        <v>2002</v>
      </c>
      <c r="E171" s="32">
        <v>2003</v>
      </c>
      <c r="F171" s="32">
        <v>2004</v>
      </c>
      <c r="G171" s="31">
        <v>2005</v>
      </c>
      <c r="H171" s="33" t="s">
        <v>714</v>
      </c>
      <c r="I171" s="33" t="s">
        <v>715</v>
      </c>
      <c r="J171" s="33" t="s">
        <v>716</v>
      </c>
      <c r="K171" s="33" t="s">
        <v>717</v>
      </c>
      <c r="L171" s="31">
        <v>2006</v>
      </c>
      <c r="M171" s="33" t="s">
        <v>718</v>
      </c>
      <c r="N171" s="33" t="s">
        <v>719</v>
      </c>
      <c r="O171" s="33" t="s">
        <v>1970</v>
      </c>
      <c r="P171" s="33" t="s">
        <v>1971</v>
      </c>
      <c r="Q171" s="31">
        <v>2007</v>
      </c>
      <c r="R171" s="33" t="s">
        <v>1972</v>
      </c>
      <c r="S171" s="33" t="s">
        <v>1973</v>
      </c>
      <c r="T171" s="33" t="s">
        <v>1974</v>
      </c>
      <c r="U171" s="33" t="s">
        <v>1975</v>
      </c>
      <c r="V171" s="31">
        <v>2008</v>
      </c>
      <c r="W171" s="33" t="s">
        <v>1976</v>
      </c>
      <c r="X171" s="33" t="s">
        <v>1977</v>
      </c>
      <c r="Y171" s="33" t="s">
        <v>1978</v>
      </c>
      <c r="Z171" s="33" t="s">
        <v>1979</v>
      </c>
      <c r="AA171" s="31">
        <v>2009</v>
      </c>
      <c r="AB171" s="33" t="s">
        <v>1980</v>
      </c>
      <c r="AC171" s="33" t="s">
        <v>1981</v>
      </c>
      <c r="AD171" s="33" t="s">
        <v>1982</v>
      </c>
      <c r="AE171" s="33" t="s">
        <v>2392</v>
      </c>
      <c r="AF171" s="31">
        <v>2010</v>
      </c>
      <c r="AG171" s="33" t="s">
        <v>2393</v>
      </c>
      <c r="AH171" s="33" t="s">
        <v>2394</v>
      </c>
      <c r="AI171" s="33" t="s">
        <v>2395</v>
      </c>
      <c r="AJ171" s="33" t="s">
        <v>2396</v>
      </c>
      <c r="AK171" s="31">
        <v>2011</v>
      </c>
      <c r="AL171" s="33" t="s">
        <v>2397</v>
      </c>
      <c r="AM171" s="33" t="s">
        <v>2398</v>
      </c>
      <c r="AN171" s="33" t="s">
        <v>2399</v>
      </c>
      <c r="AO171" s="368" t="s">
        <v>2400</v>
      </c>
      <c r="AP171" s="369">
        <v>2012</v>
      </c>
      <c r="AQ171" s="368" t="s">
        <v>2401</v>
      </c>
      <c r="AR171" s="368" t="s">
        <v>2402</v>
      </c>
      <c r="AS171" s="368" t="s">
        <v>2403</v>
      </c>
      <c r="AT171" s="368" t="s">
        <v>2404</v>
      </c>
      <c r="AU171" s="369">
        <v>2013</v>
      </c>
      <c r="AV171" s="368" t="s">
        <v>2405</v>
      </c>
      <c r="AW171" s="368" t="s">
        <v>2406</v>
      </c>
      <c r="AX171" s="368" t="s">
        <v>2407</v>
      </c>
      <c r="AY171" s="368" t="s">
        <v>2408</v>
      </c>
      <c r="AZ171" s="369">
        <v>2014</v>
      </c>
      <c r="BA171" s="368" t="s">
        <v>2409</v>
      </c>
      <c r="BB171" s="368" t="s">
        <v>2410</v>
      </c>
      <c r="BC171" s="368" t="s">
        <v>2411</v>
      </c>
      <c r="BD171" s="368" t="s">
        <v>2412</v>
      </c>
      <c r="BE171" s="31">
        <v>2015</v>
      </c>
      <c r="BF171" s="363" t="s">
        <v>2413</v>
      </c>
      <c r="BG171" s="363" t="s">
        <v>2414</v>
      </c>
      <c r="BH171" s="363" t="s">
        <v>2415</v>
      </c>
      <c r="BI171" s="368" t="s">
        <v>2416</v>
      </c>
      <c r="BJ171" s="31">
        <v>2016</v>
      </c>
      <c r="BK171" s="368" t="s">
        <v>2417</v>
      </c>
      <c r="BL171" s="368" t="s">
        <v>2418</v>
      </c>
      <c r="BM171" s="368" t="s">
        <v>2419</v>
      </c>
      <c r="BN171" s="363" t="s">
        <v>2420</v>
      </c>
      <c r="BO171" s="31">
        <v>2017</v>
      </c>
      <c r="BP171" s="363" t="s">
        <v>2244</v>
      </c>
      <c r="BQ171" s="363" t="s">
        <v>2245</v>
      </c>
      <c r="BR171" s="363" t="s">
        <v>2508</v>
      </c>
      <c r="BS171" s="363" t="s">
        <v>2509</v>
      </c>
      <c r="BT171" s="364">
        <v>2018</v>
      </c>
      <c r="BU171" s="363" t="s">
        <v>2510</v>
      </c>
      <c r="BV171" s="363" t="s">
        <v>2511</v>
      </c>
      <c r="BW171" s="363" t="s">
        <v>3125</v>
      </c>
      <c r="BX171" s="363" t="s">
        <v>1405</v>
      </c>
      <c r="BY171" s="364">
        <v>2019</v>
      </c>
      <c r="BZ171" s="363" t="s">
        <v>1406</v>
      </c>
      <c r="CA171" s="363" t="s">
        <v>1407</v>
      </c>
      <c r="CB171" s="363" t="s">
        <v>1408</v>
      </c>
      <c r="CC171" s="363" t="s">
        <v>1409</v>
      </c>
      <c r="CD171" s="364">
        <v>2020</v>
      </c>
    </row>
    <row r="172" spans="1:88">
      <c r="A172" s="39" t="s">
        <v>305</v>
      </c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Z172" s="11"/>
    </row>
    <row r="173" spans="1:88">
      <c r="A173" s="11"/>
      <c r="B173" s="27" t="s">
        <v>1281</v>
      </c>
      <c r="C173" s="51"/>
      <c r="D173" s="51"/>
      <c r="E173" s="5">
        <f>VLOOKUP($B173,'Woodmac profile - Oil'!$B$447:$AL$474,MATCH(E$171,'Woodmac profile - Oil'!$B$480:$AL$480),FALSE)</f>
        <v>329.49999999999994</v>
      </c>
      <c r="F173" s="5">
        <f>VLOOKUP($B173,'Woodmac profile - Oil'!$B$447:$AL$474,MATCH(F$171,'Woodmac profile - Oil'!$B$480:$AL$480),FALSE)</f>
        <v>293.5</v>
      </c>
      <c r="G173" s="5">
        <f>VLOOKUP($B173,'Woodmac profile - Oil'!$B$447:$AL$474,MATCH(G$171,'Woodmac profile - Oil'!$B$480:$AL$480),FALSE)</f>
        <v>243.00000000000009</v>
      </c>
      <c r="H173" s="65">
        <f>L173</f>
        <v>222.77000000000004</v>
      </c>
      <c r="I173" s="65">
        <f>L173</f>
        <v>222.77000000000004</v>
      </c>
      <c r="J173" s="12">
        <f>L173</f>
        <v>222.77000000000004</v>
      </c>
      <c r="K173" s="12">
        <f>L173</f>
        <v>222.77000000000004</v>
      </c>
      <c r="L173" s="5">
        <f>VLOOKUP($B173,'Woodmac profile - Oil'!$B$447:$AL$474,MATCH(L$171,'Woodmac profile - Oil'!$B$480:$AL$480),FALSE)</f>
        <v>222.77000000000004</v>
      </c>
      <c r="M173" s="65">
        <f>Q173</f>
        <v>171.96999999999997</v>
      </c>
      <c r="N173" s="65">
        <f>Q173</f>
        <v>171.96999999999997</v>
      </c>
      <c r="O173" s="12">
        <f>Q173</f>
        <v>171.96999999999997</v>
      </c>
      <c r="P173" s="12">
        <f>Q173</f>
        <v>171.96999999999997</v>
      </c>
      <c r="Q173" s="5">
        <f>VLOOKUP($B173,'Woodmac profile - Oil'!$B$447:$AL$474,MATCH(Q$171,'Woodmac profile - Oil'!$B$480:$AL$480),FALSE)</f>
        <v>171.96999999999997</v>
      </c>
      <c r="R173" s="65">
        <f>V173</f>
        <v>149.5</v>
      </c>
      <c r="S173" s="65">
        <f>V173</f>
        <v>149.5</v>
      </c>
      <c r="T173" s="12">
        <f>V173</f>
        <v>149.5</v>
      </c>
      <c r="U173" s="12">
        <f>V173</f>
        <v>149.5</v>
      </c>
      <c r="V173" s="5">
        <f>VLOOKUP($B173,'Woodmac profile - Oil'!$B$447:$AL$474,MATCH(V$171,'Woodmac profile - Oil'!$B$480:$AL$480),FALSE)</f>
        <v>149.5</v>
      </c>
      <c r="W173" s="65">
        <f>AA173</f>
        <v>144.22000000000003</v>
      </c>
      <c r="X173" s="65">
        <f>AA173</f>
        <v>144.22000000000003</v>
      </c>
      <c r="Y173" s="12">
        <f>AA173</f>
        <v>144.22000000000003</v>
      </c>
      <c r="Z173" s="12">
        <f>AA173</f>
        <v>144.22000000000003</v>
      </c>
      <c r="AA173" s="5">
        <f>VLOOKUP($B173,'Woodmac profile - Oil'!$B$447:$AL$474,MATCH(AA$171,'Woodmac profile - Oil'!$B$480:$AL$480),FALSE)</f>
        <v>144.22000000000003</v>
      </c>
      <c r="AB173" s="65">
        <f>AF173</f>
        <v>116.59</v>
      </c>
      <c r="AC173" s="65">
        <f>AF173</f>
        <v>116.59</v>
      </c>
      <c r="AD173" s="12">
        <f>AF173</f>
        <v>116.59</v>
      </c>
      <c r="AE173" s="12">
        <f>AF173</f>
        <v>116.59</v>
      </c>
      <c r="AF173" s="5">
        <f>VLOOKUP($B173,'Woodmac profile - Oil'!$B$447:$AL$474,MATCH(AF$171,'Woodmac profile - Oil'!$B$480:$AL$480),FALSE)</f>
        <v>116.59</v>
      </c>
      <c r="AG173" s="65">
        <f>AK173</f>
        <v>95.11</v>
      </c>
      <c r="AH173" s="65">
        <f>AK173</f>
        <v>95.11</v>
      </c>
      <c r="AI173" s="12">
        <f>AK173</f>
        <v>95.11</v>
      </c>
      <c r="AJ173" s="12">
        <f>AK173</f>
        <v>95.11</v>
      </c>
      <c r="AK173" s="5">
        <f>VLOOKUP($B173,'Woodmac profile - Oil'!$B$447:$AL$474,MATCH(AK$171,'Woodmac profile - Oil'!$B$480:$AL$480),FALSE)</f>
        <v>95.11</v>
      </c>
      <c r="AL173" s="65">
        <f>AP173</f>
        <v>62.44</v>
      </c>
      <c r="AM173" s="65">
        <f>AP173</f>
        <v>62.44</v>
      </c>
      <c r="AN173" s="12">
        <f>AP173</f>
        <v>62.44</v>
      </c>
      <c r="AO173" s="12">
        <f>AP173</f>
        <v>62.44</v>
      </c>
      <c r="AP173" s="5">
        <f>VLOOKUP($B173,'Woodmac profile - Oil'!$B$447:$AL$474,MATCH(AP$171,'Woodmac profile - Oil'!$B$480:$AL$480),FALSE)</f>
        <v>62.44</v>
      </c>
      <c r="AQ173" s="65">
        <f>AU173</f>
        <v>50.78</v>
      </c>
      <c r="AR173" s="65">
        <f>AU173</f>
        <v>50.78</v>
      </c>
      <c r="AS173" s="12">
        <f>AU173</f>
        <v>50.78</v>
      </c>
      <c r="AT173" s="12">
        <f>AU173</f>
        <v>50.78</v>
      </c>
      <c r="AU173" s="5">
        <f>VLOOKUP($B173,'Woodmac profile - Oil'!$B$447:$AL$474,MATCH(AU$171,'Woodmac profile - Oil'!$B$480:$AL$480),FALSE)</f>
        <v>50.78</v>
      </c>
      <c r="AV173" s="65">
        <f>AZ173</f>
        <v>46.660000000000004</v>
      </c>
      <c r="AW173" s="65">
        <f>AZ173</f>
        <v>46.660000000000004</v>
      </c>
      <c r="AX173" s="12">
        <f>AZ173</f>
        <v>46.660000000000004</v>
      </c>
      <c r="AY173" s="12">
        <f>AZ173</f>
        <v>46.660000000000004</v>
      </c>
      <c r="AZ173" s="5">
        <f>VLOOKUP($B173,'Woodmac profile - Oil'!$B$447:$AL$474,MATCH(AZ$171,'Woodmac profile - Oil'!$B$480:$AL$480),FALSE)</f>
        <v>46.660000000000004</v>
      </c>
      <c r="BA173" s="65">
        <f>BE173</f>
        <v>75.570000000000007</v>
      </c>
      <c r="BB173" s="65">
        <f>BE173</f>
        <v>75.570000000000007</v>
      </c>
      <c r="BC173" s="12">
        <f>BE173</f>
        <v>75.570000000000007</v>
      </c>
      <c r="BD173" s="12">
        <f>BE173</f>
        <v>75.570000000000007</v>
      </c>
      <c r="BE173" s="5">
        <f>VLOOKUP($B173,'Woodmac profile - Oil'!$B$447:$AL$474,MATCH(BE$171,'Woodmac profile - Oil'!$B$480:$AL$480),FALSE)</f>
        <v>75.570000000000007</v>
      </c>
      <c r="BF173" s="65">
        <f>BJ173</f>
        <v>81.16</v>
      </c>
      <c r="BG173" s="65">
        <f>BJ173</f>
        <v>81.16</v>
      </c>
      <c r="BH173" s="65">
        <f>BJ173</f>
        <v>81.16</v>
      </c>
      <c r="BI173" s="65">
        <f>BJ173</f>
        <v>81.16</v>
      </c>
      <c r="BJ173" s="5">
        <f>VLOOKUP($B173,'Woodmac profile - Oil'!$B$447:$AL$474,MATCH(BJ$171,'Woodmac profile - Oil'!$B$480:$AL$480),FALSE)</f>
        <v>81.16</v>
      </c>
      <c r="BK173" s="65">
        <f>BO173</f>
        <v>93.41</v>
      </c>
      <c r="BL173" s="65">
        <f>BO173</f>
        <v>93.41</v>
      </c>
      <c r="BM173" s="65">
        <f>BO173</f>
        <v>93.41</v>
      </c>
      <c r="BN173" s="12">
        <f>BO173</f>
        <v>93.41</v>
      </c>
      <c r="BO173" s="5">
        <f>VLOOKUP($B173,'Woodmac profile - Oil'!$B$447:$AL$474,MATCH(BO$171,'Woodmac profile - Oil'!$B$480:$AL$480),FALSE)</f>
        <v>93.41</v>
      </c>
      <c r="BP173" s="65">
        <f>BT173</f>
        <v>123.06000000000002</v>
      </c>
      <c r="BQ173" s="65">
        <f>BT173</f>
        <v>123.06000000000002</v>
      </c>
      <c r="BR173" s="12">
        <f>BT173</f>
        <v>123.06000000000002</v>
      </c>
      <c r="BS173" s="12">
        <f>BT173</f>
        <v>123.06000000000002</v>
      </c>
      <c r="BT173" s="5">
        <f>VLOOKUP($B173,'Woodmac profile - Oil'!$B$447:$AL$474,MATCH(BT$171,'Woodmac profile - Oil'!$B$480:$AL$480),FALSE)</f>
        <v>123.06000000000002</v>
      </c>
      <c r="BU173" s="65">
        <f>BY173</f>
        <v>132.1</v>
      </c>
      <c r="BV173" s="65">
        <f>BY173</f>
        <v>132.1</v>
      </c>
      <c r="BW173" s="12">
        <f>BY173</f>
        <v>132.1</v>
      </c>
      <c r="BX173" s="12">
        <f>BY173</f>
        <v>132.1</v>
      </c>
      <c r="BY173" s="5">
        <f>VLOOKUP($B173,'Woodmac profile - Oil'!$B$447:$AL$474,MATCH(BY$171,'Woodmac profile - Oil'!$B$480:$AL$480),FALSE)</f>
        <v>132.1</v>
      </c>
      <c r="BZ173" s="65">
        <f>CD173</f>
        <v>128.60999999999999</v>
      </c>
      <c r="CA173" s="65">
        <f>CD173</f>
        <v>128.60999999999999</v>
      </c>
      <c r="CB173" s="12">
        <f>CD173</f>
        <v>128.60999999999999</v>
      </c>
      <c r="CC173" s="12">
        <f>CD173</f>
        <v>128.60999999999999</v>
      </c>
      <c r="CD173" s="5">
        <f>VLOOKUP($B173,'Woodmac profile - Oil'!$B$447:$AL$474,MATCH(CD$171,'Woodmac profile - Oil'!$B$480:$AL$480),FALSE)</f>
        <v>128.60999999999999</v>
      </c>
    </row>
    <row r="174" spans="1:88">
      <c r="A174" s="11"/>
      <c r="B174" s="27" t="s">
        <v>1745</v>
      </c>
      <c r="C174" s="51"/>
      <c r="D174" s="51"/>
      <c r="E174" s="5">
        <f>VLOOKUP($B174,'Woodmac profile - Oil'!$B$447:$AL$474,MATCH(E$171,'Woodmac profile - Oil'!$B$480:$AL$480),FALSE)</f>
        <v>78.13</v>
      </c>
      <c r="F174" s="5">
        <f>VLOOKUP($B174,'Woodmac profile - Oil'!$B$447:$AL$474,MATCH(F$171,'Woodmac profile - Oil'!$B$480:$AL$480),FALSE)</f>
        <v>76.319999999999993</v>
      </c>
      <c r="G174" s="5">
        <f>VLOOKUP($B174,'Woodmac profile - Oil'!$B$447:$AL$474,MATCH(G$171,'Woodmac profile - Oil'!$B$480:$AL$480),FALSE)</f>
        <v>74.460000000000008</v>
      </c>
      <c r="H174" s="65">
        <f>L174</f>
        <v>61.6</v>
      </c>
      <c r="I174" s="65">
        <f>L174</f>
        <v>61.6</v>
      </c>
      <c r="J174" s="12">
        <f>L174</f>
        <v>61.6</v>
      </c>
      <c r="K174" s="12">
        <f>L174</f>
        <v>61.6</v>
      </c>
      <c r="L174" s="5">
        <f>VLOOKUP($B174,'Woodmac profile - Oil'!$B$447:$AL$474,MATCH(L$171,'Woodmac profile - Oil'!$B$480:$AL$480),FALSE)</f>
        <v>61.6</v>
      </c>
      <c r="M174" s="65">
        <f>Q174</f>
        <v>50.79</v>
      </c>
      <c r="N174" s="65">
        <f>Q174</f>
        <v>50.79</v>
      </c>
      <c r="O174" s="12">
        <f>Q174</f>
        <v>50.79</v>
      </c>
      <c r="P174" s="12">
        <f>Q174</f>
        <v>50.79</v>
      </c>
      <c r="Q174" s="5">
        <f>VLOOKUP($B174,'Woodmac profile - Oil'!$B$447:$AL$474,MATCH(Q$171,'Woodmac profile - Oil'!$B$480:$AL$480),FALSE)</f>
        <v>50.79</v>
      </c>
      <c r="R174" s="65">
        <f>V174</f>
        <v>42.650000000000006</v>
      </c>
      <c r="S174" s="65">
        <f>V174</f>
        <v>42.650000000000006</v>
      </c>
      <c r="T174" s="12">
        <f>V174</f>
        <v>42.650000000000006</v>
      </c>
      <c r="U174" s="12">
        <f>V174</f>
        <v>42.650000000000006</v>
      </c>
      <c r="V174" s="5">
        <f>VLOOKUP($B174,'Woodmac profile - Oil'!$B$447:$AL$474,MATCH(V$171,'Woodmac profile - Oil'!$B$480:$AL$480),FALSE)</f>
        <v>42.650000000000006</v>
      </c>
      <c r="W174" s="65">
        <f>AA174</f>
        <v>37.93</v>
      </c>
      <c r="X174" s="65">
        <f>AA174</f>
        <v>37.93</v>
      </c>
      <c r="Y174" s="12">
        <f>AA174</f>
        <v>37.93</v>
      </c>
      <c r="Z174" s="12">
        <f>AA174</f>
        <v>37.93</v>
      </c>
      <c r="AA174" s="5">
        <f>VLOOKUP($B174,'Woodmac profile - Oil'!$B$447:$AL$474,MATCH(AA$171,'Woodmac profile - Oil'!$B$480:$AL$480),FALSE)</f>
        <v>37.93</v>
      </c>
      <c r="AB174" s="65">
        <f>AF174</f>
        <v>41.519999999999996</v>
      </c>
      <c r="AC174" s="65">
        <f>AF174</f>
        <v>41.519999999999996</v>
      </c>
      <c r="AD174" s="12">
        <f>AF174</f>
        <v>41.519999999999996</v>
      </c>
      <c r="AE174" s="12">
        <f>AF174</f>
        <v>41.519999999999996</v>
      </c>
      <c r="AF174" s="5">
        <f>VLOOKUP($B174,'Woodmac profile - Oil'!$B$447:$AL$474,MATCH(AF$171,'Woodmac profile - Oil'!$B$480:$AL$480),FALSE)</f>
        <v>41.519999999999996</v>
      </c>
      <c r="AG174" s="65">
        <f>AK174</f>
        <v>31.82</v>
      </c>
      <c r="AH174" s="65">
        <f>AK174</f>
        <v>31.82</v>
      </c>
      <c r="AI174" s="12">
        <f>AK174</f>
        <v>31.82</v>
      </c>
      <c r="AJ174" s="12">
        <f>AK174</f>
        <v>31.82</v>
      </c>
      <c r="AK174" s="5">
        <f>VLOOKUP($B174,'Woodmac profile - Oil'!$B$447:$AL$474,MATCH(AK$171,'Woodmac profile - Oil'!$B$480:$AL$480),FALSE)</f>
        <v>31.82</v>
      </c>
      <c r="AL174" s="65">
        <f>AP174</f>
        <v>15.98</v>
      </c>
      <c r="AM174" s="65">
        <f>AP174</f>
        <v>15.98</v>
      </c>
      <c r="AN174" s="12">
        <f>AP174</f>
        <v>15.98</v>
      </c>
      <c r="AO174" s="12">
        <f>AP174</f>
        <v>15.98</v>
      </c>
      <c r="AP174" s="5">
        <f>VLOOKUP($B174,'Woodmac profile - Oil'!$B$447:$AL$474,MATCH(AP$171,'Woodmac profile - Oil'!$B$480:$AL$480),FALSE)</f>
        <v>15.98</v>
      </c>
      <c r="AQ174" s="65">
        <f>AU174</f>
        <v>32.81</v>
      </c>
      <c r="AR174" s="65">
        <f>AU174</f>
        <v>32.81</v>
      </c>
      <c r="AS174" s="12">
        <f>AU174</f>
        <v>32.81</v>
      </c>
      <c r="AT174" s="12">
        <f>AU174</f>
        <v>32.81</v>
      </c>
      <c r="AU174" s="5">
        <f>VLOOKUP($B174,'Woodmac profile - Oil'!$B$447:$AL$474,MATCH(AU$171,'Woodmac profile - Oil'!$B$480:$AL$480),FALSE)</f>
        <v>32.81</v>
      </c>
      <c r="AV174" s="65">
        <f>AZ174</f>
        <v>44.7</v>
      </c>
      <c r="AW174" s="65">
        <f>AZ174</f>
        <v>44.7</v>
      </c>
      <c r="AX174" s="12">
        <f>AZ174</f>
        <v>44.7</v>
      </c>
      <c r="AY174" s="12">
        <f>AZ174</f>
        <v>44.7</v>
      </c>
      <c r="AZ174" s="5">
        <f>VLOOKUP($B174,'Woodmac profile - Oil'!$B$447:$AL$474,MATCH(AZ$171,'Woodmac profile - Oil'!$B$480:$AL$480),FALSE)</f>
        <v>44.7</v>
      </c>
      <c r="BA174" s="65">
        <f>BE174</f>
        <v>38.099999999999994</v>
      </c>
      <c r="BB174" s="65">
        <f>BE174</f>
        <v>38.099999999999994</v>
      </c>
      <c r="BC174" s="12">
        <f>BE174</f>
        <v>38.099999999999994</v>
      </c>
      <c r="BD174" s="12">
        <f>BE174</f>
        <v>38.099999999999994</v>
      </c>
      <c r="BE174" s="5">
        <f>VLOOKUP($B174,'Woodmac profile - Oil'!$B$447:$AL$474,MATCH(BE$171,'Woodmac profile - Oil'!$B$480:$AL$480),FALSE)</f>
        <v>38.099999999999994</v>
      </c>
      <c r="BF174" s="65">
        <f>BJ174</f>
        <v>27.639000000000003</v>
      </c>
      <c r="BG174" s="65">
        <f>BJ174</f>
        <v>27.639000000000003</v>
      </c>
      <c r="BH174" s="65">
        <f>BJ174</f>
        <v>27.639000000000003</v>
      </c>
      <c r="BI174" s="65">
        <f>BJ174</f>
        <v>27.639000000000003</v>
      </c>
      <c r="BJ174" s="5">
        <f>VLOOKUP($B174,'Woodmac profile - Oil'!$B$447:$AL$474,MATCH(BJ$171,'Woodmac profile - Oil'!$B$480:$AL$480),FALSE)</f>
        <v>27.639000000000003</v>
      </c>
      <c r="BK174" s="65">
        <f>BO174</f>
        <v>0</v>
      </c>
      <c r="BL174" s="65">
        <f>BO174</f>
        <v>0</v>
      </c>
      <c r="BM174" s="65">
        <f>BO174</f>
        <v>0</v>
      </c>
      <c r="BN174" s="12">
        <f>BO174</f>
        <v>0</v>
      </c>
      <c r="BO174" s="5">
        <f>VLOOKUP($B174,'Woodmac profile - Oil'!$B$447:$AL$474,MATCH(BO$171,'Woodmac profile - Oil'!$B$480:$AL$480),FALSE)</f>
        <v>0</v>
      </c>
      <c r="BP174" s="65">
        <f>BT174</f>
        <v>0</v>
      </c>
      <c r="BQ174" s="65">
        <f>BT174</f>
        <v>0</v>
      </c>
      <c r="BR174" s="12">
        <f>BT174</f>
        <v>0</v>
      </c>
      <c r="BS174" s="12">
        <f>BT174</f>
        <v>0</v>
      </c>
      <c r="BT174" s="5">
        <f>VLOOKUP($B174,'Woodmac profile - Oil'!$B$447:$AL$474,MATCH(BT$171,'Woodmac profile - Oil'!$B$480:$AL$480),FALSE)</f>
        <v>0</v>
      </c>
      <c r="BU174" s="65">
        <f>BY174</f>
        <v>0</v>
      </c>
      <c r="BV174" s="65">
        <f>BY174</f>
        <v>0</v>
      </c>
      <c r="BW174" s="12">
        <f>BY174</f>
        <v>0</v>
      </c>
      <c r="BX174" s="12">
        <f>BY174</f>
        <v>0</v>
      </c>
      <c r="BY174" s="5">
        <f>VLOOKUP($B174,'Woodmac profile - Oil'!$B$447:$AL$474,MATCH(BY$171,'Woodmac profile - Oil'!$B$480:$AL$480),FALSE)</f>
        <v>0</v>
      </c>
      <c r="BZ174" s="65">
        <f>CD174</f>
        <v>0</v>
      </c>
      <c r="CA174" s="65">
        <f>CD174</f>
        <v>0</v>
      </c>
      <c r="CB174" s="12">
        <f>CD174</f>
        <v>0</v>
      </c>
      <c r="CC174" s="12">
        <f>CD174</f>
        <v>0</v>
      </c>
      <c r="CD174" s="5">
        <f>VLOOKUP($B174,'Woodmac profile - Oil'!$B$447:$AL$474,MATCH(CD$171,'Woodmac profile - Oil'!$B$480:$AL$480),FALSE)</f>
        <v>0</v>
      </c>
    </row>
    <row r="175" spans="1:88">
      <c r="A175" s="11"/>
      <c r="B175" s="11" t="s">
        <v>139</v>
      </c>
      <c r="C175" s="51"/>
      <c r="D175" s="51"/>
      <c r="E175" s="5">
        <f>VLOOKUP($B175,'Woodmac profile - Oil'!$B$447:$AL$474,MATCH(E$171,'Woodmac profile - Oil'!$B$480:$AL$480),FALSE)</f>
        <v>0.72</v>
      </c>
      <c r="F175" s="5">
        <f>VLOOKUP($B175,'Woodmac profile - Oil'!$B$447:$AL$474,MATCH(F$171,'Woodmac profile - Oil'!$B$480:$AL$480),FALSE)</f>
        <v>0.79999999999999993</v>
      </c>
      <c r="G175" s="5">
        <f>VLOOKUP($B175,'Woodmac profile - Oil'!$B$447:$AL$474,MATCH(G$171,'Woodmac profile - Oil'!$B$480:$AL$480),FALSE)</f>
        <v>0.64</v>
      </c>
      <c r="H175" s="65">
        <f>L175</f>
        <v>0.4</v>
      </c>
      <c r="I175" s="65">
        <f>L175</f>
        <v>0.4</v>
      </c>
      <c r="J175" s="12">
        <f>L175</f>
        <v>0.4</v>
      </c>
      <c r="K175" s="12">
        <f>L175</f>
        <v>0.4</v>
      </c>
      <c r="L175" s="5">
        <f>VLOOKUP($B175,'Woodmac profile - Oil'!$B$447:$AL$474,MATCH(L$171,'Woodmac profile - Oil'!$B$480:$AL$480),FALSE)</f>
        <v>0.4</v>
      </c>
      <c r="M175" s="65">
        <f>Q175</f>
        <v>0</v>
      </c>
      <c r="N175" s="65">
        <f>Q175</f>
        <v>0</v>
      </c>
      <c r="O175" s="12">
        <f>Q175</f>
        <v>0</v>
      </c>
      <c r="P175" s="12">
        <f>Q175</f>
        <v>0</v>
      </c>
      <c r="Q175" s="5">
        <f>VLOOKUP($B175,'Woodmac profile - Oil'!$B$447:$AL$474,MATCH(Q$171,'Woodmac profile - Oil'!$B$480:$AL$480),FALSE)</f>
        <v>0</v>
      </c>
      <c r="R175" s="65">
        <f>V175</f>
        <v>0</v>
      </c>
      <c r="S175" s="65">
        <f>V175</f>
        <v>0</v>
      </c>
      <c r="T175" s="12">
        <f>V175</f>
        <v>0</v>
      </c>
      <c r="U175" s="12">
        <f>V175</f>
        <v>0</v>
      </c>
      <c r="V175" s="5">
        <f>VLOOKUP($B175,'Woodmac profile - Oil'!$B$447:$AL$474,MATCH(V$171,'Woodmac profile - Oil'!$B$480:$AL$480),FALSE)</f>
        <v>0</v>
      </c>
      <c r="W175" s="65">
        <f>AA175</f>
        <v>0</v>
      </c>
      <c r="X175" s="65">
        <f>AA175</f>
        <v>0</v>
      </c>
      <c r="Y175" s="12">
        <f>AA175</f>
        <v>0</v>
      </c>
      <c r="Z175" s="12">
        <f>AA175</f>
        <v>0</v>
      </c>
      <c r="AA175" s="5">
        <f>VLOOKUP($B175,'Woodmac profile - Oil'!$B$447:$AL$474,MATCH(AA$171,'Woodmac profile - Oil'!$B$480:$AL$480),FALSE)</f>
        <v>0</v>
      </c>
      <c r="AB175" s="65">
        <f>AF175</f>
        <v>0</v>
      </c>
      <c r="AC175" s="65">
        <f>AF175</f>
        <v>0</v>
      </c>
      <c r="AD175" s="12">
        <f>AF175</f>
        <v>0</v>
      </c>
      <c r="AE175" s="12">
        <f>AF175</f>
        <v>0</v>
      </c>
      <c r="AF175" s="5">
        <f>VLOOKUP($B175,'Woodmac profile - Oil'!$B$447:$AL$474,MATCH(AF$171,'Woodmac profile - Oil'!$B$480:$AL$480),FALSE)</f>
        <v>0</v>
      </c>
      <c r="AG175" s="65">
        <f>AK175</f>
        <v>0</v>
      </c>
      <c r="AH175" s="65">
        <f>AK175</f>
        <v>0</v>
      </c>
      <c r="AI175" s="12">
        <f>AK175</f>
        <v>0</v>
      </c>
      <c r="AJ175" s="12">
        <f>AK175</f>
        <v>0</v>
      </c>
      <c r="AK175" s="5">
        <f>VLOOKUP($B175,'Woodmac profile - Oil'!$B$447:$AL$474,MATCH(AK$171,'Woodmac profile - Oil'!$B$480:$AL$480),FALSE)</f>
        <v>0</v>
      </c>
      <c r="AL175" s="65">
        <f>AP175</f>
        <v>0</v>
      </c>
      <c r="AM175" s="65">
        <f>AP175</f>
        <v>0</v>
      </c>
      <c r="AN175" s="12">
        <f>AP175</f>
        <v>0</v>
      </c>
      <c r="AO175" s="12">
        <f>AP175</f>
        <v>0</v>
      </c>
      <c r="AP175" s="5">
        <f>VLOOKUP($B175,'Woodmac profile - Oil'!$B$447:$AL$474,MATCH(AP$171,'Woodmac profile - Oil'!$B$480:$AL$480),FALSE)</f>
        <v>0</v>
      </c>
      <c r="AQ175" s="65">
        <f>AU175</f>
        <v>0</v>
      </c>
      <c r="AR175" s="65">
        <f>AU175</f>
        <v>0</v>
      </c>
      <c r="AS175" s="12">
        <f>AU175</f>
        <v>0</v>
      </c>
      <c r="AT175" s="12">
        <f>AU175</f>
        <v>0</v>
      </c>
      <c r="AU175" s="5">
        <f>VLOOKUP($B175,'Woodmac profile - Oil'!$B$447:$AL$474,MATCH(AU$171,'Woodmac profile - Oil'!$B$480:$AL$480),FALSE)</f>
        <v>0</v>
      </c>
      <c r="AV175" s="65">
        <f>AZ175</f>
        <v>0</v>
      </c>
      <c r="AW175" s="65">
        <f>AZ175</f>
        <v>0</v>
      </c>
      <c r="AX175" s="12">
        <f>AZ175</f>
        <v>0</v>
      </c>
      <c r="AY175" s="12">
        <f>AZ175</f>
        <v>0</v>
      </c>
      <c r="AZ175" s="5">
        <f>VLOOKUP($B175,'Woodmac profile - Oil'!$B$447:$AL$474,MATCH(AZ$171,'Woodmac profile - Oil'!$B$480:$AL$480),FALSE)</f>
        <v>0</v>
      </c>
      <c r="BA175" s="65">
        <f>BE175</f>
        <v>0</v>
      </c>
      <c r="BB175" s="65">
        <f>BE175</f>
        <v>0</v>
      </c>
      <c r="BC175" s="12">
        <f>BE175</f>
        <v>0</v>
      </c>
      <c r="BD175" s="12">
        <f>BE175</f>
        <v>0</v>
      </c>
      <c r="BE175" s="5">
        <f>VLOOKUP($B175,'Woodmac profile - Oil'!$B$447:$AL$474,MATCH(BE$171,'Woodmac profile - Oil'!$B$480:$AL$480),FALSE)</f>
        <v>0</v>
      </c>
      <c r="BF175" s="65">
        <f>BJ175</f>
        <v>0</v>
      </c>
      <c r="BG175" s="65">
        <f>BJ175</f>
        <v>0</v>
      </c>
      <c r="BH175" s="65">
        <f>BJ175</f>
        <v>0</v>
      </c>
      <c r="BI175" s="65">
        <f>BJ175</f>
        <v>0</v>
      </c>
      <c r="BJ175" s="5">
        <f>VLOOKUP($B175,'Woodmac profile - Oil'!$B$447:$AL$474,MATCH(BJ$171,'Woodmac profile - Oil'!$B$480:$AL$480),FALSE)</f>
        <v>0</v>
      </c>
      <c r="BK175" s="65">
        <f>BO175</f>
        <v>0</v>
      </c>
      <c r="BL175" s="65">
        <f>BO175</f>
        <v>0</v>
      </c>
      <c r="BM175" s="65">
        <f>BO175</f>
        <v>0</v>
      </c>
      <c r="BN175" s="12">
        <f>BO175</f>
        <v>0</v>
      </c>
      <c r="BO175" s="5">
        <f>VLOOKUP($B175,'Woodmac profile - Oil'!$B$447:$AL$474,MATCH(BO$171,'Woodmac profile - Oil'!$B$480:$AL$480),FALSE)</f>
        <v>0</v>
      </c>
      <c r="BP175" s="65">
        <f>BT175</f>
        <v>0</v>
      </c>
      <c r="BQ175" s="65">
        <f>BT175</f>
        <v>0</v>
      </c>
      <c r="BR175" s="12">
        <f>BT175</f>
        <v>0</v>
      </c>
      <c r="BS175" s="12">
        <f>BT175</f>
        <v>0</v>
      </c>
      <c r="BT175" s="5">
        <f>VLOOKUP($B175,'Woodmac profile - Oil'!$B$447:$AL$474,MATCH(BT$171,'Woodmac profile - Oil'!$B$480:$AL$480),FALSE)</f>
        <v>0</v>
      </c>
      <c r="BU175" s="65">
        <f>BY175</f>
        <v>0</v>
      </c>
      <c r="BV175" s="65">
        <f>BY175</f>
        <v>0</v>
      </c>
      <c r="BW175" s="12">
        <f>BY175</f>
        <v>0</v>
      </c>
      <c r="BX175" s="12">
        <f>BY175</f>
        <v>0</v>
      </c>
      <c r="BY175" s="5">
        <f>VLOOKUP($B175,'Woodmac profile - Oil'!$B$447:$AL$474,MATCH(BY$171,'Woodmac profile - Oil'!$B$480:$AL$480),FALSE)</f>
        <v>0</v>
      </c>
      <c r="BZ175" s="65">
        <f>CD175</f>
        <v>0</v>
      </c>
      <c r="CA175" s="65">
        <f>CD175</f>
        <v>0</v>
      </c>
      <c r="CB175" s="12">
        <f>CD175</f>
        <v>0</v>
      </c>
      <c r="CC175" s="12">
        <f>CD175</f>
        <v>0</v>
      </c>
      <c r="CD175" s="5">
        <f>VLOOKUP($B175,'Woodmac profile - Oil'!$B$447:$AL$474,MATCH(CD$171,'Woodmac profile - Oil'!$B$480:$AL$480),FALSE)</f>
        <v>0</v>
      </c>
    </row>
    <row r="176" spans="1:88">
      <c r="A176" s="39" t="s">
        <v>309</v>
      </c>
      <c r="B176" s="39"/>
      <c r="C176" s="52"/>
      <c r="D176" s="52"/>
      <c r="E176" s="8">
        <f t="shared" ref="E176:AF176" si="64">SUM(E173:E175)</f>
        <v>408.34999999999997</v>
      </c>
      <c r="F176" s="8">
        <f t="shared" si="64"/>
        <v>370.62</v>
      </c>
      <c r="G176" s="8">
        <f t="shared" si="64"/>
        <v>318.10000000000008</v>
      </c>
      <c r="H176" s="66">
        <f t="shared" si="64"/>
        <v>284.77000000000004</v>
      </c>
      <c r="I176" s="66">
        <f t="shared" si="64"/>
        <v>284.77000000000004</v>
      </c>
      <c r="J176" s="66">
        <f t="shared" si="64"/>
        <v>284.77000000000004</v>
      </c>
      <c r="K176" s="66">
        <f t="shared" si="64"/>
        <v>284.77000000000004</v>
      </c>
      <c r="L176" s="8">
        <f t="shared" si="64"/>
        <v>284.77000000000004</v>
      </c>
      <c r="M176" s="66">
        <f t="shared" ref="M176:P176" si="65">SUM(M173:M175)</f>
        <v>222.75999999999996</v>
      </c>
      <c r="N176" s="66">
        <f t="shared" si="65"/>
        <v>222.75999999999996</v>
      </c>
      <c r="O176" s="66">
        <f t="shared" si="65"/>
        <v>222.75999999999996</v>
      </c>
      <c r="P176" s="66">
        <f t="shared" si="65"/>
        <v>222.75999999999996</v>
      </c>
      <c r="Q176" s="8">
        <f t="shared" si="64"/>
        <v>222.75999999999996</v>
      </c>
      <c r="R176" s="66">
        <f t="shared" ref="R176:U176" si="66">SUM(R173:R175)</f>
        <v>192.15</v>
      </c>
      <c r="S176" s="66">
        <f t="shared" si="66"/>
        <v>192.15</v>
      </c>
      <c r="T176" s="66">
        <f t="shared" si="66"/>
        <v>192.15</v>
      </c>
      <c r="U176" s="66">
        <f t="shared" si="66"/>
        <v>192.15</v>
      </c>
      <c r="V176" s="8">
        <f t="shared" si="64"/>
        <v>192.15</v>
      </c>
      <c r="W176" s="66">
        <f t="shared" ref="W176:Z176" si="67">SUM(W173:W175)</f>
        <v>182.15000000000003</v>
      </c>
      <c r="X176" s="66">
        <f t="shared" si="67"/>
        <v>182.15000000000003</v>
      </c>
      <c r="Y176" s="66">
        <f t="shared" si="67"/>
        <v>182.15000000000003</v>
      </c>
      <c r="Z176" s="66">
        <f t="shared" si="67"/>
        <v>182.15000000000003</v>
      </c>
      <c r="AA176" s="8">
        <f t="shared" si="64"/>
        <v>182.15000000000003</v>
      </c>
      <c r="AB176" s="66">
        <f t="shared" ref="AB176:AE176" si="68">SUM(AB173:AB175)</f>
        <v>158.11000000000001</v>
      </c>
      <c r="AC176" s="66">
        <f t="shared" si="68"/>
        <v>158.11000000000001</v>
      </c>
      <c r="AD176" s="66">
        <f t="shared" si="68"/>
        <v>158.11000000000001</v>
      </c>
      <c r="AE176" s="66">
        <f t="shared" si="68"/>
        <v>158.11000000000001</v>
      </c>
      <c r="AF176" s="8">
        <f t="shared" si="64"/>
        <v>158.11000000000001</v>
      </c>
      <c r="AG176" s="66">
        <f t="shared" ref="AG176:AJ176" si="69">SUM(AG173:AG175)</f>
        <v>126.93</v>
      </c>
      <c r="AH176" s="66">
        <f t="shared" si="69"/>
        <v>126.93</v>
      </c>
      <c r="AI176" s="66">
        <f t="shared" si="69"/>
        <v>126.93</v>
      </c>
      <c r="AJ176" s="66">
        <f t="shared" si="69"/>
        <v>126.93</v>
      </c>
      <c r="AK176" s="8">
        <f t="shared" ref="AK176:BS176" si="70">SUM(AK173:AK175)</f>
        <v>126.93</v>
      </c>
      <c r="AL176" s="66">
        <f t="shared" si="70"/>
        <v>78.42</v>
      </c>
      <c r="AM176" s="66">
        <f t="shared" si="70"/>
        <v>78.42</v>
      </c>
      <c r="AN176" s="66">
        <f t="shared" si="70"/>
        <v>78.42</v>
      </c>
      <c r="AO176" s="66">
        <f t="shared" si="70"/>
        <v>78.42</v>
      </c>
      <c r="AP176" s="8">
        <f t="shared" si="70"/>
        <v>78.42</v>
      </c>
      <c r="AQ176" s="66">
        <f t="shared" si="70"/>
        <v>83.59</v>
      </c>
      <c r="AR176" s="66">
        <f t="shared" si="70"/>
        <v>83.59</v>
      </c>
      <c r="AS176" s="66">
        <f t="shared" si="70"/>
        <v>83.59</v>
      </c>
      <c r="AT176" s="66">
        <f t="shared" si="70"/>
        <v>83.59</v>
      </c>
      <c r="AU176" s="8">
        <f t="shared" si="70"/>
        <v>83.59</v>
      </c>
      <c r="AV176" s="66">
        <f t="shared" si="70"/>
        <v>91.360000000000014</v>
      </c>
      <c r="AW176" s="66">
        <f t="shared" si="70"/>
        <v>91.360000000000014</v>
      </c>
      <c r="AX176" s="66">
        <f t="shared" si="70"/>
        <v>91.360000000000014</v>
      </c>
      <c r="AY176" s="66">
        <f t="shared" si="70"/>
        <v>91.360000000000014</v>
      </c>
      <c r="AZ176" s="8">
        <f>SUM(AZ173:AZ175)</f>
        <v>91.360000000000014</v>
      </c>
      <c r="BA176" s="66">
        <f t="shared" ref="BA176:BD176" si="71">SUM(BA173:BA175)</f>
        <v>113.67</v>
      </c>
      <c r="BB176" s="66">
        <f t="shared" si="71"/>
        <v>113.67</v>
      </c>
      <c r="BC176" s="66">
        <f t="shared" si="71"/>
        <v>113.67</v>
      </c>
      <c r="BD176" s="66">
        <f t="shared" si="71"/>
        <v>113.67</v>
      </c>
      <c r="BE176" s="8">
        <f t="shared" si="70"/>
        <v>113.67</v>
      </c>
      <c r="BF176" s="66">
        <f t="shared" si="70"/>
        <v>108.79900000000001</v>
      </c>
      <c r="BG176" s="66">
        <f t="shared" si="70"/>
        <v>108.79900000000001</v>
      </c>
      <c r="BH176" s="66">
        <f t="shared" si="70"/>
        <v>108.79900000000001</v>
      </c>
      <c r="BI176" s="66">
        <f t="shared" si="70"/>
        <v>108.79900000000001</v>
      </c>
      <c r="BJ176" s="8">
        <f t="shared" si="70"/>
        <v>108.79900000000001</v>
      </c>
      <c r="BK176" s="66">
        <f t="shared" si="70"/>
        <v>93.41</v>
      </c>
      <c r="BL176" s="66">
        <f t="shared" si="70"/>
        <v>93.41</v>
      </c>
      <c r="BM176" s="66">
        <f t="shared" si="70"/>
        <v>93.41</v>
      </c>
      <c r="BN176" s="66">
        <f t="shared" si="70"/>
        <v>93.41</v>
      </c>
      <c r="BO176" s="8">
        <f t="shared" si="70"/>
        <v>93.41</v>
      </c>
      <c r="BP176" s="66">
        <f t="shared" si="70"/>
        <v>123.06000000000002</v>
      </c>
      <c r="BQ176" s="66">
        <f t="shared" si="70"/>
        <v>123.06000000000002</v>
      </c>
      <c r="BR176" s="66">
        <f t="shared" si="70"/>
        <v>123.06000000000002</v>
      </c>
      <c r="BS176" s="66">
        <f t="shared" si="70"/>
        <v>123.06000000000002</v>
      </c>
      <c r="BT176" s="8">
        <f t="shared" ref="BT176:CD176" si="72">SUM(BT173:BT175)</f>
        <v>123.06000000000002</v>
      </c>
      <c r="BU176" s="66">
        <f t="shared" si="72"/>
        <v>132.1</v>
      </c>
      <c r="BV176" s="66">
        <f t="shared" si="72"/>
        <v>132.1</v>
      </c>
      <c r="BW176" s="66">
        <f t="shared" si="72"/>
        <v>132.1</v>
      </c>
      <c r="BX176" s="66">
        <f t="shared" si="72"/>
        <v>132.1</v>
      </c>
      <c r="BY176" s="8">
        <f t="shared" si="72"/>
        <v>132.1</v>
      </c>
      <c r="BZ176" s="66">
        <f t="shared" si="72"/>
        <v>128.60999999999999</v>
      </c>
      <c r="CA176" s="66">
        <f t="shared" si="72"/>
        <v>128.60999999999999</v>
      </c>
      <c r="CB176" s="66">
        <f t="shared" si="72"/>
        <v>128.60999999999999</v>
      </c>
      <c r="CC176" s="66">
        <f t="shared" si="72"/>
        <v>128.60999999999999</v>
      </c>
      <c r="CD176" s="8">
        <f t="shared" si="72"/>
        <v>128.60999999999999</v>
      </c>
    </row>
    <row r="177" spans="1:83">
      <c r="A177" s="11"/>
      <c r="B177" s="11"/>
      <c r="C177" s="51"/>
      <c r="D177" s="51"/>
      <c r="E177" s="5"/>
      <c r="F177" s="5"/>
      <c r="G177" s="5"/>
      <c r="H177" s="12"/>
      <c r="I177" s="12"/>
      <c r="J177" s="12"/>
      <c r="K177" s="12"/>
      <c r="L177" s="5"/>
      <c r="M177" s="12"/>
      <c r="N177" s="12"/>
      <c r="O177" s="12"/>
      <c r="P177" s="12"/>
      <c r="Q177" s="5"/>
      <c r="R177" s="12"/>
      <c r="S177" s="12"/>
      <c r="T177" s="12"/>
      <c r="U177" s="12"/>
      <c r="V177" s="5"/>
      <c r="W177" s="12"/>
      <c r="X177" s="12"/>
      <c r="Y177" s="12"/>
      <c r="Z177" s="12"/>
      <c r="AA177" s="5"/>
      <c r="AB177" s="12"/>
      <c r="AC177" s="12"/>
      <c r="AD177" s="12"/>
      <c r="AE177" s="12"/>
      <c r="AF177" s="5"/>
      <c r="AG177" s="12"/>
      <c r="AH177" s="12"/>
      <c r="AI177" s="12"/>
      <c r="AJ177" s="12"/>
      <c r="AK177" s="5"/>
      <c r="AL177" s="12"/>
      <c r="AM177" s="12"/>
      <c r="AN177" s="12"/>
      <c r="AO177" s="12"/>
      <c r="AP177" s="5"/>
      <c r="AQ177" s="12"/>
      <c r="AR177" s="12"/>
      <c r="AS177" s="12"/>
      <c r="AT177" s="12"/>
      <c r="AU177" s="5"/>
      <c r="AV177" s="12"/>
      <c r="AW177" s="12"/>
      <c r="AX177" s="12"/>
      <c r="AY177" s="12"/>
      <c r="AZ177" s="5"/>
      <c r="BA177" s="12"/>
      <c r="BB177" s="12"/>
      <c r="BC177" s="12"/>
      <c r="BD177" s="12"/>
      <c r="BE177" s="5"/>
      <c r="BF177" s="12"/>
      <c r="BG177" s="12"/>
      <c r="BH177" s="12"/>
      <c r="BI177" s="12"/>
      <c r="BJ177" s="5"/>
      <c r="BK177" s="12"/>
      <c r="BL177" s="12"/>
      <c r="BM177" s="12"/>
      <c r="BN177" s="12"/>
      <c r="BO177" s="5"/>
      <c r="BP177" s="12"/>
      <c r="BQ177" s="12"/>
      <c r="BR177" s="12"/>
      <c r="BS177" s="12"/>
      <c r="BT177" s="5"/>
      <c r="BU177" s="12"/>
      <c r="BV177" s="12"/>
      <c r="BW177" s="12"/>
      <c r="BX177" s="12"/>
      <c r="BY177" s="5"/>
      <c r="BZ177" s="12"/>
      <c r="CA177" s="12"/>
      <c r="CB177" s="12"/>
      <c r="CC177" s="12"/>
      <c r="CD177" s="5"/>
    </row>
    <row r="178" spans="1:83">
      <c r="A178" s="39" t="s">
        <v>310</v>
      </c>
      <c r="B178" s="11"/>
      <c r="C178" s="51"/>
      <c r="D178" s="51"/>
      <c r="E178" s="5"/>
      <c r="F178" s="5"/>
      <c r="G178" s="5"/>
      <c r="H178" s="12"/>
      <c r="I178" s="12"/>
      <c r="J178" s="12"/>
      <c r="K178" s="12"/>
      <c r="L178" s="5"/>
      <c r="M178" s="12"/>
      <c r="N178" s="12"/>
      <c r="O178" s="12"/>
      <c r="P178" s="12"/>
      <c r="Q178" s="5"/>
      <c r="R178" s="12"/>
      <c r="S178" s="12"/>
      <c r="T178" s="12"/>
      <c r="U178" s="12"/>
      <c r="V178" s="5"/>
      <c r="W178" s="12"/>
      <c r="X178" s="12"/>
      <c r="Y178" s="12"/>
      <c r="Z178" s="12"/>
      <c r="AA178" s="5"/>
      <c r="AB178" s="12"/>
      <c r="AC178" s="12"/>
      <c r="AD178" s="12"/>
      <c r="AE178" s="12"/>
      <c r="AF178" s="5"/>
      <c r="AG178" s="12"/>
      <c r="AH178" s="12"/>
      <c r="AI178" s="12"/>
      <c r="AJ178" s="12"/>
      <c r="AK178" s="5"/>
      <c r="AL178" s="12"/>
      <c r="AM178" s="12"/>
      <c r="AN178" s="12"/>
      <c r="AO178" s="12"/>
      <c r="AP178" s="5"/>
      <c r="AQ178" s="12"/>
      <c r="AR178" s="12"/>
      <c r="AS178" s="12"/>
      <c r="AT178" s="12"/>
      <c r="AU178" s="49"/>
      <c r="AV178" s="12"/>
      <c r="AW178" s="12"/>
      <c r="AX178" s="12"/>
      <c r="AY178" s="12"/>
      <c r="AZ178" s="49"/>
      <c r="BA178" s="12"/>
      <c r="BB178" s="12"/>
      <c r="BC178" s="12"/>
      <c r="BD178" s="12"/>
      <c r="BE178" s="49"/>
      <c r="BF178" s="12"/>
      <c r="BG178" s="12"/>
      <c r="BH178" s="12"/>
      <c r="BI178" s="12"/>
      <c r="BK178" s="12"/>
      <c r="BL178" s="12"/>
      <c r="BM178" s="12"/>
      <c r="BN178" s="12"/>
      <c r="BP178" s="12"/>
      <c r="BQ178" s="12"/>
      <c r="BR178" s="12"/>
      <c r="BS178" s="12"/>
      <c r="BU178" s="12"/>
      <c r="BV178" s="12"/>
      <c r="BW178" s="12"/>
      <c r="BX178" s="12"/>
      <c r="BZ178" s="12"/>
      <c r="CA178" s="12"/>
      <c r="CB178" s="12"/>
      <c r="CC178" s="12"/>
    </row>
    <row r="179" spans="1:83">
      <c r="A179" s="11"/>
      <c r="B179" s="11" t="s">
        <v>728</v>
      </c>
      <c r="C179" s="52"/>
      <c r="D179" s="52"/>
      <c r="E179" s="5">
        <f>VLOOKUP($B179,'Woodmac profile - Oil'!$B$447:$AL$474,MATCH(E$171,'Woodmac profile - Oil'!$B$480:$AL$480),FALSE)</f>
        <v>709.46999999999991</v>
      </c>
      <c r="F179" s="5">
        <f>VLOOKUP($B179,'Woodmac profile - Oil'!$B$447:$AL$474,MATCH(F$171,'Woodmac profile - Oil'!$B$480:$AL$480),FALSE)</f>
        <v>650.19999999999993</v>
      </c>
      <c r="G179" s="5">
        <f>VLOOKUP($B179,'Woodmac profile - Oil'!$B$447:$AL$474,MATCH(G$171,'Woodmac profile - Oil'!$B$480:$AL$480),FALSE)</f>
        <v>580.41999999999996</v>
      </c>
      <c r="H179" s="65">
        <f>L179</f>
        <v>526.94999999999982</v>
      </c>
      <c r="I179" s="65">
        <f>L179</f>
        <v>526.94999999999982</v>
      </c>
      <c r="J179" s="12">
        <f>L179</f>
        <v>526.94999999999982</v>
      </c>
      <c r="K179" s="12">
        <f>L179</f>
        <v>526.94999999999982</v>
      </c>
      <c r="L179" s="5">
        <f>VLOOKUP($B179,'Woodmac profile - Oil'!$B$447:$AL$474,MATCH(L$171,'Woodmac profile - Oil'!$B$480:$AL$480),FALSE)</f>
        <v>526.94999999999982</v>
      </c>
      <c r="M179" s="65">
        <f>Q179</f>
        <v>497.96999999999997</v>
      </c>
      <c r="N179" s="65">
        <f>Q179</f>
        <v>497.96999999999997</v>
      </c>
      <c r="O179" s="12">
        <f>Q179</f>
        <v>497.96999999999997</v>
      </c>
      <c r="P179" s="12">
        <f>Q179</f>
        <v>497.96999999999997</v>
      </c>
      <c r="Q179" s="5">
        <f>VLOOKUP($B179,'Woodmac profile - Oil'!$B$447:$AL$474,MATCH(Q$171,'Woodmac profile - Oil'!$B$480:$AL$480),FALSE)</f>
        <v>497.96999999999997</v>
      </c>
      <c r="R179" s="65">
        <f>V179</f>
        <v>523.6</v>
      </c>
      <c r="S179" s="65">
        <f>V179</f>
        <v>523.6</v>
      </c>
      <c r="T179" s="12">
        <f>V179</f>
        <v>523.6</v>
      </c>
      <c r="U179" s="12">
        <f>V179</f>
        <v>523.6</v>
      </c>
      <c r="V179" s="5">
        <f>VLOOKUP($B179,'Woodmac profile - Oil'!$B$447:$AL$474,MATCH(V$171,'Woodmac profile - Oil'!$B$480:$AL$480),FALSE)</f>
        <v>523.6</v>
      </c>
      <c r="W179" s="65">
        <f>AA179</f>
        <v>644.03</v>
      </c>
      <c r="X179" s="65">
        <f>AA179</f>
        <v>644.03</v>
      </c>
      <c r="Y179" s="12">
        <f>AA179</f>
        <v>644.03</v>
      </c>
      <c r="Z179" s="12">
        <f>AA179</f>
        <v>644.03</v>
      </c>
      <c r="AA179" s="5">
        <f>VLOOKUP($B179,'Woodmac profile - Oil'!$B$447:$AL$474,MATCH(AA$171,'Woodmac profile - Oil'!$B$480:$AL$480),FALSE)</f>
        <v>644.03</v>
      </c>
      <c r="AB179" s="65">
        <f>AF179</f>
        <v>567.92999999999995</v>
      </c>
      <c r="AC179" s="65">
        <f>AF179</f>
        <v>567.92999999999995</v>
      </c>
      <c r="AD179" s="12">
        <f>AF179</f>
        <v>567.92999999999995</v>
      </c>
      <c r="AE179" s="12">
        <f>AF179</f>
        <v>567.92999999999995</v>
      </c>
      <c r="AF179" s="5">
        <f>VLOOKUP($B179,'Woodmac profile - Oil'!$B$447:$AL$474,MATCH(AF$171,'Woodmac profile - Oil'!$B$480:$AL$480),FALSE)</f>
        <v>567.92999999999995</v>
      </c>
      <c r="AG179" s="65">
        <f>AK179</f>
        <v>439.27</v>
      </c>
      <c r="AH179" s="65">
        <f>AK179</f>
        <v>439.27</v>
      </c>
      <c r="AI179" s="12">
        <f>AK179</f>
        <v>439.27</v>
      </c>
      <c r="AJ179" s="12">
        <f>AK179</f>
        <v>439.27</v>
      </c>
      <c r="AK179" s="5">
        <f>VLOOKUP($B179,'Woodmac profile - Oil'!$B$447:$AL$474,MATCH(AK$171,'Woodmac profile - Oil'!$B$480:$AL$480),FALSE)</f>
        <v>439.27</v>
      </c>
      <c r="AL179" s="65">
        <f>AP179</f>
        <v>382.91999999999996</v>
      </c>
      <c r="AM179" s="65">
        <f>AP179</f>
        <v>382.91999999999996</v>
      </c>
      <c r="AN179" s="12">
        <f>AP179</f>
        <v>382.91999999999996</v>
      </c>
      <c r="AO179" s="12">
        <f>AP179</f>
        <v>382.91999999999996</v>
      </c>
      <c r="AP179" s="5">
        <f>VLOOKUP($B179,'Woodmac profile - Oil'!$B$447:$AL$474,MATCH(AP$171,'Woodmac profile - Oil'!$B$480:$AL$480),FALSE)</f>
        <v>382.91999999999996</v>
      </c>
      <c r="AQ179" s="65">
        <f>AU179</f>
        <v>359.31</v>
      </c>
      <c r="AR179" s="65">
        <f>AU179</f>
        <v>359.31</v>
      </c>
      <c r="AS179" s="12">
        <f>AU179</f>
        <v>359.31</v>
      </c>
      <c r="AT179" s="12">
        <f>AU179</f>
        <v>359.31</v>
      </c>
      <c r="AU179" s="5">
        <f>VLOOKUP($B179,'Woodmac profile - Oil'!$B$447:$AL$474,MATCH(AU$171,'Woodmac profile - Oil'!$B$480:$AL$480),FALSE)</f>
        <v>359.31</v>
      </c>
      <c r="AV179" s="65">
        <f>AZ179</f>
        <v>420.51424000000003</v>
      </c>
      <c r="AW179" s="65">
        <f>AZ179</f>
        <v>420.51424000000003</v>
      </c>
      <c r="AX179" s="12">
        <f>AZ179</f>
        <v>420.51424000000003</v>
      </c>
      <c r="AY179" s="12">
        <f>AZ179</f>
        <v>420.51424000000003</v>
      </c>
      <c r="AZ179" s="5">
        <f>VLOOKUP($B179,'Woodmac profile - Oil'!$B$447:$AL$474,MATCH(AZ$171,'Woodmac profile - Oil'!$B$480:$AL$480),FALSE)</f>
        <v>420.51424000000003</v>
      </c>
      <c r="BA179" s="65">
        <f>BE179</f>
        <v>387.82076000000001</v>
      </c>
      <c r="BB179" s="65">
        <f>BE179</f>
        <v>387.82076000000001</v>
      </c>
      <c r="BC179" s="12">
        <f>BE179</f>
        <v>387.82076000000001</v>
      </c>
      <c r="BD179" s="12">
        <f>BE179</f>
        <v>387.82076000000001</v>
      </c>
      <c r="BE179" s="5">
        <f>VLOOKUP($B179,'Woodmac profile - Oil'!$B$447:$AL$474,MATCH(BE$171,'Woodmac profile - Oil'!$B$480:$AL$480),FALSE)</f>
        <v>387.82076000000001</v>
      </c>
      <c r="BF179" s="65">
        <f>BJ179</f>
        <v>390.71248000000003</v>
      </c>
      <c r="BG179" s="65">
        <f>BJ179</f>
        <v>390.71248000000003</v>
      </c>
      <c r="BH179" s="65">
        <f>BJ179</f>
        <v>390.71248000000003</v>
      </c>
      <c r="BI179" s="65">
        <f>BJ179</f>
        <v>390.71248000000003</v>
      </c>
      <c r="BJ179" s="5">
        <f>VLOOKUP($B179,'Woodmac profile - Oil'!$B$447:$AL$474,MATCH(BJ$171,'Woodmac profile - Oil'!$B$480:$AL$480),FALSE)</f>
        <v>390.71248000000003</v>
      </c>
      <c r="BK179" s="65">
        <f>BO179</f>
        <v>406.32076000000001</v>
      </c>
      <c r="BL179" s="65">
        <f>BO179</f>
        <v>406.32076000000001</v>
      </c>
      <c r="BM179" s="65">
        <f>BO179</f>
        <v>406.32076000000001</v>
      </c>
      <c r="BN179" s="12">
        <f>BO179</f>
        <v>406.32076000000001</v>
      </c>
      <c r="BO179" s="5">
        <f>VLOOKUP($B179,'Woodmac profile - Oil'!$B$447:$AL$474,MATCH(BO$171,'Woodmac profile - Oil'!$B$480:$AL$480),FALSE)</f>
        <v>406.32076000000001</v>
      </c>
      <c r="BP179" s="65">
        <f>BT179</f>
        <v>421.80932000000001</v>
      </c>
      <c r="BQ179" s="65">
        <f>BT179</f>
        <v>421.80932000000001</v>
      </c>
      <c r="BR179" s="12">
        <f>BT179</f>
        <v>421.80932000000001</v>
      </c>
      <c r="BS179" s="12">
        <f>BT179</f>
        <v>421.80932000000001</v>
      </c>
      <c r="BT179" s="5">
        <f>VLOOKUP($B179,'Woodmac profile - Oil'!$B$447:$AL$474,MATCH(BT$171,'Woodmac profile - Oil'!$B$480:$AL$480),FALSE)</f>
        <v>421.80932000000001</v>
      </c>
      <c r="BU179" s="65">
        <f>BY179</f>
        <v>420.62279999999998</v>
      </c>
      <c r="BV179" s="65">
        <f>BY179</f>
        <v>420.62279999999998</v>
      </c>
      <c r="BW179" s="12">
        <f>BY179</f>
        <v>420.62279999999998</v>
      </c>
      <c r="BX179" s="12">
        <f>BY179</f>
        <v>420.62279999999998</v>
      </c>
      <c r="BY179" s="5">
        <f>VLOOKUP($B179,'Woodmac profile - Oil'!$B$447:$AL$474,MATCH(BY$171,'Woodmac profile - Oil'!$B$480:$AL$480),FALSE)</f>
        <v>420.62279999999998</v>
      </c>
      <c r="BZ179" s="65">
        <f>CD179</f>
        <v>399.27024</v>
      </c>
      <c r="CA179" s="65">
        <f>CD179</f>
        <v>399.27024</v>
      </c>
      <c r="CB179" s="12">
        <f>CD179</f>
        <v>399.27024</v>
      </c>
      <c r="CC179" s="12">
        <f>CD179</f>
        <v>399.27024</v>
      </c>
      <c r="CD179" s="5">
        <f>VLOOKUP($B179,'Woodmac profile - Oil'!$B$447:$AL$474,MATCH(CD$171,'Woodmac profile - Oil'!$B$480:$AL$480),FALSE)</f>
        <v>399.27024</v>
      </c>
    </row>
    <row r="180" spans="1:83">
      <c r="A180" s="11"/>
      <c r="B180" s="11" t="s">
        <v>727</v>
      </c>
      <c r="C180" s="52"/>
      <c r="D180" s="52"/>
      <c r="E180" s="5">
        <f>VLOOKUP($B180,'Woodmac profile - Oil'!$B$447:$AL$474,MATCH(E$171,'Woodmac profile - Oil'!$B$480:$AL$480),FALSE)</f>
        <v>12.99</v>
      </c>
      <c r="F180" s="5">
        <f>VLOOKUP($B180,'Woodmac profile - Oil'!$B$447:$AL$474,MATCH(F$171,'Woodmac profile - Oil'!$B$480:$AL$480),FALSE)</f>
        <v>11</v>
      </c>
      <c r="G180" s="5">
        <f>VLOOKUP($B180,'Woodmac profile - Oil'!$B$447:$AL$474,MATCH(G$171,'Woodmac profile - Oil'!$B$480:$AL$480),FALSE)</f>
        <v>9.99</v>
      </c>
      <c r="H180" s="65">
        <f>L180</f>
        <v>8.01</v>
      </c>
      <c r="I180" s="65">
        <f>L180</f>
        <v>8.01</v>
      </c>
      <c r="J180" s="12">
        <f>L180</f>
        <v>8.01</v>
      </c>
      <c r="K180" s="12">
        <f>L180</f>
        <v>8.01</v>
      </c>
      <c r="L180" s="5">
        <f>VLOOKUP($B180,'Woodmac profile - Oil'!$B$447:$AL$474,MATCH(L$171,'Woodmac profile - Oil'!$B$480:$AL$480),FALSE)</f>
        <v>8.01</v>
      </c>
      <c r="M180" s="65">
        <f>Q180</f>
        <v>8.1199999999999992</v>
      </c>
      <c r="N180" s="65">
        <f>Q180</f>
        <v>8.1199999999999992</v>
      </c>
      <c r="O180" s="12">
        <f>Q180</f>
        <v>8.1199999999999992</v>
      </c>
      <c r="P180" s="12">
        <f>Q180</f>
        <v>8.1199999999999992</v>
      </c>
      <c r="Q180" s="5">
        <f>VLOOKUP($B180,'Woodmac profile - Oil'!$B$447:$AL$474,MATCH(Q$171,'Woodmac profile - Oil'!$B$480:$AL$480),FALSE)</f>
        <v>8.1199999999999992</v>
      </c>
      <c r="R180" s="65">
        <f>V180</f>
        <v>9.01</v>
      </c>
      <c r="S180" s="65">
        <f>V180</f>
        <v>9.01</v>
      </c>
      <c r="T180" s="12">
        <f>V180</f>
        <v>9.01</v>
      </c>
      <c r="U180" s="12">
        <f>V180</f>
        <v>9.01</v>
      </c>
      <c r="V180" s="5">
        <f>VLOOKUP($B180,'Woodmac profile - Oil'!$B$447:$AL$474,MATCH(V$171,'Woodmac profile - Oil'!$B$480:$AL$480),FALSE)</f>
        <v>9.01</v>
      </c>
      <c r="W180" s="65">
        <f>AA180</f>
        <v>8.0400000000000009</v>
      </c>
      <c r="X180" s="65">
        <f>AA180</f>
        <v>8.0400000000000009</v>
      </c>
      <c r="Y180" s="12">
        <f>AA180</f>
        <v>8.0400000000000009</v>
      </c>
      <c r="Z180" s="12">
        <f>AA180</f>
        <v>8.0400000000000009</v>
      </c>
      <c r="AA180" s="5">
        <f>VLOOKUP($B180,'Woodmac profile - Oil'!$B$447:$AL$474,MATCH(AA$171,'Woodmac profile - Oil'!$B$480:$AL$480),FALSE)</f>
        <v>8.0400000000000009</v>
      </c>
      <c r="AB180" s="65">
        <f>AF180</f>
        <v>7.05</v>
      </c>
      <c r="AC180" s="65">
        <f>AF180</f>
        <v>7.05</v>
      </c>
      <c r="AD180" s="12">
        <f>AF180</f>
        <v>7.05</v>
      </c>
      <c r="AE180" s="12">
        <f>AF180</f>
        <v>7.05</v>
      </c>
      <c r="AF180" s="5">
        <f>VLOOKUP($B180,'Woodmac profile - Oil'!$B$447:$AL$474,MATCH(AF$171,'Woodmac profile - Oil'!$B$480:$AL$480),FALSE)</f>
        <v>7.05</v>
      </c>
      <c r="AG180" s="65">
        <f>AK180</f>
        <v>2</v>
      </c>
      <c r="AH180" s="65">
        <f>AK180</f>
        <v>2</v>
      </c>
      <c r="AI180" s="12">
        <f>AK180</f>
        <v>2</v>
      </c>
      <c r="AJ180" s="12">
        <f>AK180</f>
        <v>2</v>
      </c>
      <c r="AK180" s="5">
        <f>VLOOKUP($B180,'Woodmac profile - Oil'!$B$447:$AL$474,MATCH(AK$171,'Woodmac profile - Oil'!$B$480:$AL$480),FALSE)</f>
        <v>2</v>
      </c>
      <c r="AL180" s="65">
        <f>AP180</f>
        <v>1</v>
      </c>
      <c r="AM180" s="65">
        <f>AP180</f>
        <v>1</v>
      </c>
      <c r="AN180" s="12">
        <f>AP180</f>
        <v>1</v>
      </c>
      <c r="AO180" s="12">
        <f>AP180</f>
        <v>1</v>
      </c>
      <c r="AP180" s="5">
        <f>VLOOKUP($B180,'Woodmac profile - Oil'!$B$447:$AL$474,MATCH(AP$171,'Woodmac profile - Oil'!$B$480:$AL$480),FALSE)</f>
        <v>1</v>
      </c>
      <c r="AQ180" s="65">
        <f>AU180</f>
        <v>0.02</v>
      </c>
      <c r="AR180" s="65">
        <f>AU180</f>
        <v>0.02</v>
      </c>
      <c r="AS180" s="12">
        <f>AU180</f>
        <v>0.02</v>
      </c>
      <c r="AT180" s="12">
        <f>AU180</f>
        <v>0.02</v>
      </c>
      <c r="AU180" s="5">
        <f>VLOOKUP($B180,'Woodmac profile - Oil'!$B$447:$AL$474,MATCH(AU$171,'Woodmac profile - Oil'!$B$480:$AL$480),FALSE)</f>
        <v>0.02</v>
      </c>
      <c r="AV180" s="65">
        <f>AZ180</f>
        <v>0</v>
      </c>
      <c r="AW180" s="65">
        <f>AZ180</f>
        <v>0</v>
      </c>
      <c r="AX180" s="12">
        <f>AZ180</f>
        <v>0</v>
      </c>
      <c r="AY180" s="12">
        <f>AZ180</f>
        <v>0</v>
      </c>
      <c r="AZ180" s="5">
        <f>VLOOKUP($B180,'Woodmac profile - Oil'!$B$447:$AL$474,MATCH(AZ$171,'Woodmac profile - Oil'!$B$480:$AL$480),FALSE)</f>
        <v>0</v>
      </c>
      <c r="BA180" s="65">
        <f>BE180</f>
        <v>3.19</v>
      </c>
      <c r="BB180" s="65">
        <f>BE180</f>
        <v>3.19</v>
      </c>
      <c r="BC180" s="12">
        <f>BE180</f>
        <v>3.19</v>
      </c>
      <c r="BD180" s="12">
        <f>BE180</f>
        <v>3.19</v>
      </c>
      <c r="BE180" s="5">
        <f>VLOOKUP($B180,'Woodmac profile - Oil'!$B$447:$AL$474,MATCH(BE$171,'Woodmac profile - Oil'!$B$480:$AL$480),FALSE)</f>
        <v>3.19</v>
      </c>
      <c r="BF180" s="65">
        <f>BJ180</f>
        <v>12.81</v>
      </c>
      <c r="BG180" s="65">
        <f>BJ180</f>
        <v>12.81</v>
      </c>
      <c r="BH180" s="65">
        <f>BJ180</f>
        <v>12.81</v>
      </c>
      <c r="BI180" s="65">
        <f>BJ180</f>
        <v>12.81</v>
      </c>
      <c r="BJ180" s="5">
        <f>VLOOKUP($B180,'Woodmac profile - Oil'!$B$447:$AL$474,MATCH(BJ$171,'Woodmac profile - Oil'!$B$480:$AL$480),FALSE)</f>
        <v>12.81</v>
      </c>
      <c r="BK180" s="65">
        <f>BO180</f>
        <v>20.6</v>
      </c>
      <c r="BL180" s="65">
        <f>BO180</f>
        <v>20.6</v>
      </c>
      <c r="BM180" s="65">
        <f>BO180</f>
        <v>20.6</v>
      </c>
      <c r="BN180" s="12">
        <f>BO180</f>
        <v>20.6</v>
      </c>
      <c r="BO180" s="5">
        <f>VLOOKUP($B180,'Woodmac profile - Oil'!$B$447:$AL$474,MATCH(BO$171,'Woodmac profile - Oil'!$B$480:$AL$480),FALSE)</f>
        <v>20.6</v>
      </c>
      <c r="BP180" s="65">
        <f>BT180</f>
        <v>29.34</v>
      </c>
      <c r="BQ180" s="65">
        <f>BT180</f>
        <v>29.34</v>
      </c>
      <c r="BR180" s="12">
        <f>BT180</f>
        <v>29.34</v>
      </c>
      <c r="BS180" s="12">
        <f>BT180</f>
        <v>29.34</v>
      </c>
      <c r="BT180" s="5">
        <f>VLOOKUP($B180,'Woodmac profile - Oil'!$B$447:$AL$474,MATCH(BT$171,'Woodmac profile - Oil'!$B$480:$AL$480),FALSE)</f>
        <v>29.34</v>
      </c>
      <c r="BU180" s="65">
        <f>BY180</f>
        <v>26.98</v>
      </c>
      <c r="BV180" s="65">
        <f>BY180</f>
        <v>26.98</v>
      </c>
      <c r="BW180" s="12">
        <f>BY180</f>
        <v>26.98</v>
      </c>
      <c r="BX180" s="12">
        <f>BY180</f>
        <v>26.98</v>
      </c>
      <c r="BY180" s="5">
        <f>VLOOKUP($B180,'Woodmac profile - Oil'!$B$447:$AL$474,MATCH(BY$171,'Woodmac profile - Oil'!$B$480:$AL$480),FALSE)</f>
        <v>26.98</v>
      </c>
      <c r="BZ180" s="65">
        <f>CD180</f>
        <v>29.56</v>
      </c>
      <c r="CA180" s="65">
        <f>CD180</f>
        <v>29.56</v>
      </c>
      <c r="CB180" s="12">
        <f>CD180</f>
        <v>29.56</v>
      </c>
      <c r="CC180" s="12">
        <f>CD180</f>
        <v>29.56</v>
      </c>
      <c r="CD180" s="5">
        <f>VLOOKUP($B180,'Woodmac profile - Oil'!$B$447:$AL$474,MATCH(CD$171,'Woodmac profile - Oil'!$B$480:$AL$480),FALSE)</f>
        <v>29.56</v>
      </c>
    </row>
    <row r="181" spans="1:83">
      <c r="A181" s="39" t="s">
        <v>1993</v>
      </c>
      <c r="B181" s="39"/>
      <c r="C181" s="52"/>
      <c r="D181" s="52"/>
      <c r="E181" s="8">
        <f t="shared" ref="E181:AF181" si="73">SUM(E179:E180)</f>
        <v>722.45999999999992</v>
      </c>
      <c r="F181" s="8">
        <f t="shared" si="73"/>
        <v>661.19999999999993</v>
      </c>
      <c r="G181" s="8">
        <f t="shared" si="73"/>
        <v>590.41</v>
      </c>
      <c r="H181" s="66">
        <f t="shared" si="73"/>
        <v>534.95999999999981</v>
      </c>
      <c r="I181" s="66">
        <f t="shared" si="73"/>
        <v>534.95999999999981</v>
      </c>
      <c r="J181" s="66">
        <f t="shared" si="73"/>
        <v>534.95999999999981</v>
      </c>
      <c r="K181" s="66">
        <f t="shared" si="73"/>
        <v>534.95999999999981</v>
      </c>
      <c r="L181" s="8">
        <f t="shared" si="73"/>
        <v>534.95999999999981</v>
      </c>
      <c r="M181" s="66">
        <f t="shared" ref="M181:P181" si="74">SUM(M179:M180)</f>
        <v>506.09</v>
      </c>
      <c r="N181" s="66">
        <f t="shared" si="74"/>
        <v>506.09</v>
      </c>
      <c r="O181" s="66">
        <f t="shared" si="74"/>
        <v>506.09</v>
      </c>
      <c r="P181" s="66">
        <f t="shared" si="74"/>
        <v>506.09</v>
      </c>
      <c r="Q181" s="8">
        <f t="shared" si="73"/>
        <v>506.09</v>
      </c>
      <c r="R181" s="66">
        <f t="shared" ref="R181:U181" si="75">SUM(R179:R180)</f>
        <v>532.61</v>
      </c>
      <c r="S181" s="66">
        <f t="shared" si="75"/>
        <v>532.61</v>
      </c>
      <c r="T181" s="66">
        <f t="shared" si="75"/>
        <v>532.61</v>
      </c>
      <c r="U181" s="66">
        <f t="shared" si="75"/>
        <v>532.61</v>
      </c>
      <c r="V181" s="8">
        <f t="shared" si="73"/>
        <v>532.61</v>
      </c>
      <c r="W181" s="66">
        <f t="shared" ref="W181:Z181" si="76">SUM(W179:W180)</f>
        <v>652.06999999999994</v>
      </c>
      <c r="X181" s="66">
        <f t="shared" si="76"/>
        <v>652.06999999999994</v>
      </c>
      <c r="Y181" s="66">
        <f t="shared" si="76"/>
        <v>652.06999999999994</v>
      </c>
      <c r="Z181" s="66">
        <f t="shared" si="76"/>
        <v>652.06999999999994</v>
      </c>
      <c r="AA181" s="8">
        <f t="shared" si="73"/>
        <v>652.06999999999994</v>
      </c>
      <c r="AB181" s="66">
        <f t="shared" ref="AB181:AE181" si="77">SUM(AB179:AB180)</f>
        <v>574.9799999999999</v>
      </c>
      <c r="AC181" s="66">
        <f t="shared" si="77"/>
        <v>574.9799999999999</v>
      </c>
      <c r="AD181" s="66">
        <f t="shared" si="77"/>
        <v>574.9799999999999</v>
      </c>
      <c r="AE181" s="66">
        <f t="shared" si="77"/>
        <v>574.9799999999999</v>
      </c>
      <c r="AF181" s="8">
        <f t="shared" si="73"/>
        <v>574.9799999999999</v>
      </c>
      <c r="AG181" s="66">
        <f t="shared" ref="AG181:AJ181" si="78">SUM(AG179:AG180)</f>
        <v>441.27</v>
      </c>
      <c r="AH181" s="66">
        <f t="shared" si="78"/>
        <v>441.27</v>
      </c>
      <c r="AI181" s="66">
        <f t="shared" si="78"/>
        <v>441.27</v>
      </c>
      <c r="AJ181" s="66">
        <f t="shared" si="78"/>
        <v>441.27</v>
      </c>
      <c r="AK181" s="8">
        <f t="shared" ref="AK181:BS181" si="79">SUM(AK179:AK180)</f>
        <v>441.27</v>
      </c>
      <c r="AL181" s="66">
        <f t="shared" si="79"/>
        <v>383.91999999999996</v>
      </c>
      <c r="AM181" s="66">
        <f t="shared" si="79"/>
        <v>383.91999999999996</v>
      </c>
      <c r="AN181" s="66">
        <f t="shared" si="79"/>
        <v>383.91999999999996</v>
      </c>
      <c r="AO181" s="66">
        <f t="shared" si="79"/>
        <v>383.91999999999996</v>
      </c>
      <c r="AP181" s="8">
        <f t="shared" si="79"/>
        <v>383.91999999999996</v>
      </c>
      <c r="AQ181" s="66">
        <f t="shared" si="79"/>
        <v>359.33</v>
      </c>
      <c r="AR181" s="66">
        <f t="shared" si="79"/>
        <v>359.33</v>
      </c>
      <c r="AS181" s="66">
        <f t="shared" si="79"/>
        <v>359.33</v>
      </c>
      <c r="AT181" s="66">
        <f t="shared" si="79"/>
        <v>359.33</v>
      </c>
      <c r="AU181" s="8">
        <f t="shared" si="79"/>
        <v>359.33</v>
      </c>
      <c r="AV181" s="66">
        <f t="shared" si="79"/>
        <v>420.51424000000003</v>
      </c>
      <c r="AW181" s="66">
        <f t="shared" si="79"/>
        <v>420.51424000000003</v>
      </c>
      <c r="AX181" s="66">
        <f t="shared" si="79"/>
        <v>420.51424000000003</v>
      </c>
      <c r="AY181" s="66">
        <f t="shared" si="79"/>
        <v>420.51424000000003</v>
      </c>
      <c r="AZ181" s="8">
        <f>SUM(AZ179:AZ180)</f>
        <v>420.51424000000003</v>
      </c>
      <c r="BA181" s="66">
        <f t="shared" ref="BA181:BD181" si="80">SUM(BA179:BA180)</f>
        <v>391.01076</v>
      </c>
      <c r="BB181" s="66">
        <f t="shared" si="80"/>
        <v>391.01076</v>
      </c>
      <c r="BC181" s="66">
        <f t="shared" si="80"/>
        <v>391.01076</v>
      </c>
      <c r="BD181" s="66">
        <f t="shared" si="80"/>
        <v>391.01076</v>
      </c>
      <c r="BE181" s="8">
        <f t="shared" si="79"/>
        <v>391.01076</v>
      </c>
      <c r="BF181" s="66">
        <f t="shared" si="79"/>
        <v>403.52248000000003</v>
      </c>
      <c r="BG181" s="66">
        <f t="shared" si="79"/>
        <v>403.52248000000003</v>
      </c>
      <c r="BH181" s="66">
        <f t="shared" si="79"/>
        <v>403.52248000000003</v>
      </c>
      <c r="BI181" s="66">
        <f t="shared" si="79"/>
        <v>403.52248000000003</v>
      </c>
      <c r="BJ181" s="8">
        <f t="shared" si="79"/>
        <v>403.52248000000003</v>
      </c>
      <c r="BK181" s="66">
        <f t="shared" si="79"/>
        <v>426.92076000000003</v>
      </c>
      <c r="BL181" s="66">
        <f t="shared" si="79"/>
        <v>426.92076000000003</v>
      </c>
      <c r="BM181" s="66">
        <f t="shared" si="79"/>
        <v>426.92076000000003</v>
      </c>
      <c r="BN181" s="66">
        <f t="shared" si="79"/>
        <v>426.92076000000003</v>
      </c>
      <c r="BO181" s="8">
        <f t="shared" si="79"/>
        <v>426.92076000000003</v>
      </c>
      <c r="BP181" s="66">
        <f t="shared" si="79"/>
        <v>451.14931999999999</v>
      </c>
      <c r="BQ181" s="66">
        <f t="shared" si="79"/>
        <v>451.14931999999999</v>
      </c>
      <c r="BR181" s="66">
        <f t="shared" si="79"/>
        <v>451.14931999999999</v>
      </c>
      <c r="BS181" s="66">
        <f t="shared" si="79"/>
        <v>451.14931999999999</v>
      </c>
      <c r="BT181" s="8">
        <f t="shared" ref="BT181:CD181" si="81">SUM(BT179:BT180)</f>
        <v>451.14931999999999</v>
      </c>
      <c r="BU181" s="66">
        <f t="shared" si="81"/>
        <v>447.6028</v>
      </c>
      <c r="BV181" s="66">
        <f t="shared" si="81"/>
        <v>447.6028</v>
      </c>
      <c r="BW181" s="66">
        <f t="shared" si="81"/>
        <v>447.6028</v>
      </c>
      <c r="BX181" s="66">
        <f t="shared" si="81"/>
        <v>447.6028</v>
      </c>
      <c r="BY181" s="8">
        <f t="shared" si="81"/>
        <v>447.6028</v>
      </c>
      <c r="BZ181" s="66">
        <f t="shared" si="81"/>
        <v>428.83024</v>
      </c>
      <c r="CA181" s="66">
        <f t="shared" si="81"/>
        <v>428.83024</v>
      </c>
      <c r="CB181" s="66">
        <f t="shared" si="81"/>
        <v>428.83024</v>
      </c>
      <c r="CC181" s="66">
        <f t="shared" si="81"/>
        <v>428.83024</v>
      </c>
      <c r="CD181" s="8">
        <f t="shared" si="81"/>
        <v>428.83024</v>
      </c>
    </row>
    <row r="182" spans="1:83">
      <c r="A182" s="11"/>
      <c r="B182" s="11"/>
      <c r="C182" s="51"/>
      <c r="D182" s="51"/>
      <c r="E182" s="5"/>
      <c r="F182" s="5"/>
      <c r="G182" s="5"/>
      <c r="H182" s="12"/>
      <c r="I182" s="12"/>
      <c r="J182" s="12"/>
      <c r="K182" s="12"/>
      <c r="L182" s="5"/>
      <c r="M182" s="12"/>
      <c r="N182" s="12"/>
      <c r="O182" s="12"/>
      <c r="P182" s="12"/>
      <c r="Q182" s="5"/>
      <c r="R182" s="12"/>
      <c r="S182" s="12"/>
      <c r="T182" s="12"/>
      <c r="U182" s="12"/>
      <c r="V182" s="5"/>
      <c r="W182" s="12"/>
      <c r="X182" s="12"/>
      <c r="Y182" s="12"/>
      <c r="Z182" s="12"/>
      <c r="AA182" s="5"/>
      <c r="AB182" s="12"/>
      <c r="AC182" s="12"/>
      <c r="AD182" s="12"/>
      <c r="AE182" s="12"/>
      <c r="AF182" s="5"/>
      <c r="AG182" s="12"/>
      <c r="AH182" s="12"/>
      <c r="AI182" s="12"/>
      <c r="AJ182" s="12"/>
      <c r="AK182" s="5"/>
      <c r="AL182" s="12"/>
      <c r="AM182" s="12"/>
      <c r="AN182" s="12"/>
      <c r="AO182" s="12"/>
      <c r="AP182" s="49"/>
      <c r="AQ182" s="12"/>
      <c r="AR182" s="12"/>
      <c r="AS182" s="12"/>
      <c r="AT182" s="12"/>
      <c r="AU182" s="49"/>
      <c r="AV182" s="12"/>
      <c r="AW182" s="12"/>
      <c r="AX182" s="12"/>
      <c r="AY182" s="12"/>
      <c r="AZ182" s="49"/>
      <c r="BA182" s="12"/>
      <c r="BB182" s="12"/>
      <c r="BC182" s="12"/>
      <c r="BD182" s="12"/>
      <c r="BE182" s="49"/>
      <c r="BF182" s="12"/>
      <c r="BG182" s="12"/>
      <c r="BH182" s="12"/>
      <c r="BI182" s="12"/>
      <c r="BJ182" s="49"/>
      <c r="BK182" s="12"/>
      <c r="BL182" s="12"/>
      <c r="BM182" s="12"/>
      <c r="BN182" s="12"/>
      <c r="BO182" s="49"/>
      <c r="BP182" s="12"/>
      <c r="BQ182" s="12"/>
      <c r="BR182" s="12"/>
      <c r="BS182" s="12"/>
      <c r="BT182" s="49"/>
      <c r="BU182" s="12"/>
      <c r="BV182" s="12"/>
      <c r="BW182" s="12"/>
      <c r="BX182" s="12"/>
      <c r="BY182" s="49"/>
      <c r="BZ182" s="12"/>
      <c r="CA182" s="12"/>
      <c r="CB182" s="12"/>
      <c r="CC182" s="12"/>
      <c r="CD182" s="49"/>
      <c r="CE182" s="349"/>
    </row>
    <row r="183" spans="1:83">
      <c r="A183" s="39" t="s">
        <v>1994</v>
      </c>
      <c r="B183" s="11"/>
      <c r="C183" s="51"/>
      <c r="D183" s="51"/>
      <c r="E183" s="5"/>
      <c r="F183" s="5"/>
      <c r="G183" s="5"/>
      <c r="H183" s="12"/>
      <c r="I183" s="12"/>
      <c r="J183" s="12"/>
      <c r="K183" s="12"/>
      <c r="L183" s="5"/>
      <c r="M183" s="12"/>
      <c r="N183" s="12"/>
      <c r="O183" s="12"/>
      <c r="P183" s="12"/>
      <c r="Q183" s="5"/>
      <c r="R183" s="12"/>
      <c r="S183" s="12"/>
      <c r="T183" s="12"/>
      <c r="U183" s="12"/>
      <c r="V183" s="5"/>
      <c r="W183" s="12"/>
      <c r="X183" s="12"/>
      <c r="Y183" s="12"/>
      <c r="Z183" s="12"/>
      <c r="AA183" s="5"/>
      <c r="AB183" s="12"/>
      <c r="AC183" s="12"/>
      <c r="AD183" s="12"/>
      <c r="AE183" s="12"/>
      <c r="AF183" s="5"/>
      <c r="AG183" s="12"/>
      <c r="AH183" s="12"/>
      <c r="AI183" s="12"/>
      <c r="AJ183" s="12"/>
      <c r="AK183" s="5"/>
      <c r="AL183" s="12"/>
      <c r="AM183" s="12"/>
      <c r="AN183" s="12"/>
      <c r="AO183" s="12"/>
      <c r="AP183" s="5"/>
      <c r="AQ183" s="12"/>
      <c r="AR183" s="12"/>
      <c r="AS183" s="12"/>
      <c r="AT183" s="12"/>
      <c r="AU183" s="5"/>
      <c r="AV183" s="12"/>
      <c r="AW183" s="12"/>
      <c r="AX183" s="12"/>
      <c r="AY183" s="12"/>
      <c r="AZ183" s="5"/>
      <c r="BA183" s="12"/>
      <c r="BB183" s="12"/>
      <c r="BC183" s="12"/>
      <c r="BD183" s="12"/>
      <c r="BE183" s="5"/>
      <c r="BF183" s="12"/>
      <c r="BG183" s="12"/>
      <c r="BH183" s="12"/>
      <c r="BI183" s="12"/>
      <c r="BJ183" s="5"/>
      <c r="BK183" s="12"/>
      <c r="BL183" s="12"/>
      <c r="BM183" s="12"/>
      <c r="BN183" s="12"/>
      <c r="BO183" s="5"/>
      <c r="BP183" s="12"/>
      <c r="BQ183" s="12"/>
      <c r="BR183" s="12"/>
      <c r="BS183" s="12"/>
      <c r="BT183" s="5"/>
      <c r="BU183" s="12"/>
      <c r="BV183" s="12"/>
      <c r="BW183" s="12"/>
      <c r="BX183" s="12"/>
      <c r="BY183" s="5"/>
      <c r="BZ183" s="12"/>
      <c r="CA183" s="12"/>
      <c r="CB183" s="12"/>
      <c r="CC183" s="12"/>
      <c r="CD183" s="5"/>
    </row>
    <row r="184" spans="1:83">
      <c r="A184" s="39"/>
      <c r="B184" s="11" t="s">
        <v>2921</v>
      </c>
      <c r="C184" s="52"/>
      <c r="D184" s="52"/>
      <c r="E184" s="5">
        <f>VLOOKUP($B184,'Woodmac profile - Oil'!$B$447:$AL$474,MATCH(E$171,'Woodmac profile - Oil'!$B$480:$AL$480),FALSE)</f>
        <v>0</v>
      </c>
      <c r="F184" s="5">
        <f>VLOOKUP($B184,'Woodmac profile - Oil'!$B$447:$AL$474,MATCH(F$171,'Woodmac profile - Oil'!$B$480:$AL$480),FALSE)</f>
        <v>0</v>
      </c>
      <c r="G184" s="5">
        <f>VLOOKUP($B184,'Woodmac profile - Oil'!$B$447:$AL$474,MATCH(G$171,'Woodmac profile - Oil'!$B$480:$AL$480),FALSE)</f>
        <v>0</v>
      </c>
      <c r="H184" s="65">
        <f t="shared" ref="H184:H189" si="82">L184</f>
        <v>0</v>
      </c>
      <c r="I184" s="65">
        <f t="shared" ref="I184:I189" si="83">L184</f>
        <v>0</v>
      </c>
      <c r="J184" s="12">
        <f t="shared" ref="J184:J189" si="84">L184</f>
        <v>0</v>
      </c>
      <c r="K184" s="12">
        <f t="shared" ref="K184:K189" si="85">L184</f>
        <v>0</v>
      </c>
      <c r="L184" s="5">
        <f>VLOOKUP($B184,'Woodmac profile - Oil'!$B$447:$AL$474,MATCH(L$171,'Woodmac profile - Oil'!$B$480:$AL$480),FALSE)</f>
        <v>0</v>
      </c>
      <c r="M184" s="65">
        <f t="shared" ref="M184:M189" si="86">Q184</f>
        <v>0</v>
      </c>
      <c r="N184" s="65">
        <f t="shared" ref="N184:N189" si="87">Q184</f>
        <v>0</v>
      </c>
      <c r="O184" s="12">
        <f t="shared" ref="O184:O189" si="88">Q184</f>
        <v>0</v>
      </c>
      <c r="P184" s="12">
        <f t="shared" ref="P184:P189" si="89">Q184</f>
        <v>0</v>
      </c>
      <c r="Q184" s="5">
        <f>VLOOKUP($B184,'Woodmac profile - Oil'!$B$447:$AL$474,MATCH(Q$171,'Woodmac profile - Oil'!$B$480:$AL$480),FALSE)</f>
        <v>0</v>
      </c>
      <c r="R184" s="65">
        <f t="shared" ref="R184:R189" si="90">V184</f>
        <v>0</v>
      </c>
      <c r="S184" s="65">
        <f t="shared" ref="S184:S189" si="91">V184</f>
        <v>0</v>
      </c>
      <c r="T184" s="12">
        <f t="shared" ref="T184:T189" si="92">V184</f>
        <v>0</v>
      </c>
      <c r="U184" s="12">
        <f t="shared" ref="U184:U189" si="93">V184</f>
        <v>0</v>
      </c>
      <c r="V184" s="5">
        <f>VLOOKUP($B184,'Woodmac profile - Oil'!$B$447:$AL$474,MATCH(V$171,'Woodmac profile - Oil'!$B$480:$AL$480),FALSE)</f>
        <v>0</v>
      </c>
      <c r="W184" s="65">
        <f t="shared" ref="W184:W189" si="94">AA184</f>
        <v>0</v>
      </c>
      <c r="X184" s="65">
        <f t="shared" ref="X184:X189" si="95">AA184</f>
        <v>0</v>
      </c>
      <c r="Y184" s="12">
        <f t="shared" ref="Y184:Y189" si="96">AA184</f>
        <v>0</v>
      </c>
      <c r="Z184" s="12">
        <f t="shared" ref="Z184:Z189" si="97">AA184</f>
        <v>0</v>
      </c>
      <c r="AA184" s="5">
        <f>VLOOKUP($B184,'Woodmac profile - Oil'!$B$447:$AL$474,MATCH(AA$171,'Woodmac profile - Oil'!$B$480:$AL$480),FALSE)</f>
        <v>0</v>
      </c>
      <c r="AB184" s="65">
        <f t="shared" ref="AB184:AB189" si="98">AF184</f>
        <v>0</v>
      </c>
      <c r="AC184" s="65">
        <f t="shared" ref="AC184:AC189" si="99">AF184</f>
        <v>0</v>
      </c>
      <c r="AD184" s="12">
        <f t="shared" ref="AD184:AD189" si="100">AF184</f>
        <v>0</v>
      </c>
      <c r="AE184" s="12">
        <f t="shared" ref="AE184:AE189" si="101">AF184</f>
        <v>0</v>
      </c>
      <c r="AF184" s="5">
        <f>VLOOKUP($B184,'Woodmac profile - Oil'!$B$447:$AL$474,MATCH(AF$171,'Woodmac profile - Oil'!$B$480:$AL$480),FALSE)</f>
        <v>0</v>
      </c>
      <c r="AG184" s="65">
        <f t="shared" ref="AG184:AG189" si="102">AK184</f>
        <v>0</v>
      </c>
      <c r="AH184" s="65">
        <f t="shared" ref="AH184:AH189" si="103">AK184</f>
        <v>0</v>
      </c>
      <c r="AI184" s="12">
        <f t="shared" ref="AI184:AI189" si="104">AK184</f>
        <v>0</v>
      </c>
      <c r="AJ184" s="12">
        <f t="shared" ref="AJ184:AJ189" si="105">AK184</f>
        <v>0</v>
      </c>
      <c r="AK184" s="5">
        <f>VLOOKUP($B184,'Woodmac profile - Oil'!$B$447:$AL$474,MATCH(AK$171,'Woodmac profile - Oil'!$B$480:$AL$480),FALSE)</f>
        <v>0</v>
      </c>
      <c r="AL184" s="65">
        <f t="shared" ref="AL184:AL189" si="106">AP184</f>
        <v>0</v>
      </c>
      <c r="AM184" s="65">
        <f t="shared" ref="AM184:AM189" si="107">AP184</f>
        <v>0</v>
      </c>
      <c r="AN184" s="12">
        <f t="shared" ref="AN184:AN189" si="108">AP184</f>
        <v>0</v>
      </c>
      <c r="AO184" s="12">
        <f t="shared" ref="AO184:AO189" si="109">AP184</f>
        <v>0</v>
      </c>
      <c r="AP184" s="5">
        <f>VLOOKUP($B184,'Woodmac profile - Oil'!$B$447:$AL$474,MATCH(AP$171,'Woodmac profile - Oil'!$B$480:$AL$480),FALSE)</f>
        <v>0</v>
      </c>
      <c r="AQ184" s="65">
        <f t="shared" ref="AQ184:AQ189" si="110">AU184</f>
        <v>0</v>
      </c>
      <c r="AR184" s="65">
        <f t="shared" ref="AR184:AR189" si="111">AU184</f>
        <v>0</v>
      </c>
      <c r="AS184" s="12">
        <f t="shared" ref="AS184:AS189" si="112">AU184</f>
        <v>0</v>
      </c>
      <c r="AT184" s="12">
        <f t="shared" ref="AT184:AT189" si="113">AU184</f>
        <v>0</v>
      </c>
      <c r="AU184" s="5">
        <f>VLOOKUP($B184,'Woodmac profile - Oil'!$B$447:$AL$474,MATCH(AU$171,'Woodmac profile - Oil'!$B$480:$AL$480),FALSE)</f>
        <v>0</v>
      </c>
      <c r="AV184" s="65">
        <f t="shared" ref="AV184:AV189" si="114">AZ184</f>
        <v>0</v>
      </c>
      <c r="AW184" s="65">
        <f t="shared" ref="AW184:AW189" si="115">AZ184</f>
        <v>0</v>
      </c>
      <c r="AX184" s="12">
        <f t="shared" ref="AX184:AX189" si="116">AZ184</f>
        <v>0</v>
      </c>
      <c r="AY184" s="12">
        <f t="shared" ref="AY184:AY189" si="117">AZ184</f>
        <v>0</v>
      </c>
      <c r="AZ184" s="5">
        <f>VLOOKUP($B184,'Woodmac profile - Oil'!$B$447:$AL$474,MATCH(AZ$171,'Woodmac profile - Oil'!$B$480:$AL$480),FALSE)</f>
        <v>0</v>
      </c>
      <c r="BA184" s="65">
        <f t="shared" ref="BA184:BA189" si="118">BE184</f>
        <v>0</v>
      </c>
      <c r="BB184" s="65">
        <f t="shared" ref="BB184:BB189" si="119">BE184</f>
        <v>0</v>
      </c>
      <c r="BC184" s="12">
        <f t="shared" ref="BC184:BC189" si="120">BE184</f>
        <v>0</v>
      </c>
      <c r="BD184" s="12">
        <f t="shared" ref="BD184:BD189" si="121">BE184</f>
        <v>0</v>
      </c>
      <c r="BE184" s="5">
        <f>VLOOKUP($B184,'Woodmac profile - Oil'!$B$447:$AL$474,MATCH(BE$171,'Woodmac profile - Oil'!$B$480:$AL$480),FALSE)</f>
        <v>0</v>
      </c>
      <c r="BF184" s="65">
        <f t="shared" ref="BF184:BF189" si="122">BJ184</f>
        <v>0</v>
      </c>
      <c r="BG184" s="65">
        <f t="shared" ref="BG184:BG189" si="123">BJ184</f>
        <v>0</v>
      </c>
      <c r="BH184" s="65">
        <f t="shared" ref="BH184:BH189" si="124">BJ184</f>
        <v>0</v>
      </c>
      <c r="BI184" s="65">
        <f t="shared" ref="BI184:BI189" si="125">BJ184</f>
        <v>0</v>
      </c>
      <c r="BJ184" s="5">
        <f>VLOOKUP($B184,'Woodmac profile - Oil'!$B$447:$AL$474,MATCH(BJ$171,'Woodmac profile - Oil'!$B$480:$AL$480),FALSE)</f>
        <v>0</v>
      </c>
      <c r="BK184" s="65">
        <f t="shared" ref="BK184:BK189" si="126">BO184</f>
        <v>0</v>
      </c>
      <c r="BL184" s="65">
        <f t="shared" ref="BL184:BL189" si="127">BO184</f>
        <v>0</v>
      </c>
      <c r="BM184" s="65">
        <f t="shared" ref="BM184:BM189" si="128">BO184</f>
        <v>0</v>
      </c>
      <c r="BN184" s="12">
        <f t="shared" ref="BN184:BN189" si="129">BO184</f>
        <v>0</v>
      </c>
      <c r="BO184" s="5">
        <f>VLOOKUP($B184,'Woodmac profile - Oil'!$B$447:$AL$474,MATCH(BO$171,'Woodmac profile - Oil'!$B$480:$AL$480),FALSE)</f>
        <v>0</v>
      </c>
      <c r="BP184" s="65">
        <f t="shared" ref="BP184:BP189" si="130">BT184</f>
        <v>0</v>
      </c>
      <c r="BQ184" s="65">
        <f t="shared" ref="BQ184:BQ189" si="131">BT184</f>
        <v>0</v>
      </c>
      <c r="BR184" s="12">
        <f t="shared" ref="BR184:BR189" si="132">BT184</f>
        <v>0</v>
      </c>
      <c r="BS184" s="12">
        <f t="shared" ref="BS184:BS189" si="133">BT184</f>
        <v>0</v>
      </c>
      <c r="BT184" s="5">
        <f>VLOOKUP($B184,'Woodmac profile - Oil'!$B$447:$AL$474,MATCH(BT$171,'Woodmac profile - Oil'!$B$480:$AL$480),FALSE)</f>
        <v>0</v>
      </c>
      <c r="BU184" s="65">
        <f t="shared" ref="BU184:BU189" si="134">BY184</f>
        <v>0</v>
      </c>
      <c r="BV184" s="65">
        <f t="shared" ref="BV184:BV189" si="135">BY184</f>
        <v>0</v>
      </c>
      <c r="BW184" s="12">
        <f t="shared" ref="BW184:BW189" si="136">BY184</f>
        <v>0</v>
      </c>
      <c r="BX184" s="12">
        <f t="shared" ref="BX184:BX189" si="137">BY184</f>
        <v>0</v>
      </c>
      <c r="BY184" s="5">
        <f>VLOOKUP($B184,'Woodmac profile - Oil'!$B$447:$AL$474,MATCH(BY$171,'Woodmac profile - Oil'!$B$480:$AL$480),FALSE)</f>
        <v>0</v>
      </c>
      <c r="BZ184" s="65">
        <f t="shared" ref="BZ184:BZ189" si="138">CD184</f>
        <v>0</v>
      </c>
      <c r="CA184" s="65">
        <f t="shared" ref="CA184:CA189" si="139">CD184</f>
        <v>0</v>
      </c>
      <c r="CB184" s="12">
        <f t="shared" ref="CB184:CB189" si="140">CD184</f>
        <v>0</v>
      </c>
      <c r="CC184" s="12">
        <f t="shared" ref="CC184:CC189" si="141">CD184</f>
        <v>0</v>
      </c>
      <c r="CD184" s="5">
        <f>VLOOKUP($B184,'Woodmac profile - Oil'!$B$447:$AL$474,MATCH(CD$171,'Woodmac profile - Oil'!$B$480:$AL$480),FALSE)</f>
        <v>0</v>
      </c>
    </row>
    <row r="185" spans="1:83">
      <c r="A185" s="39"/>
      <c r="B185" s="11" t="s">
        <v>785</v>
      </c>
      <c r="C185" s="52"/>
      <c r="D185" s="52"/>
      <c r="E185" s="5">
        <f>VLOOKUP($B185,'Woodmac profile - Oil'!$B$447:$AL$474,MATCH(E$171,'Woodmac profile - Oil'!$B$480:$AL$480),FALSE)</f>
        <v>0</v>
      </c>
      <c r="F185" s="5">
        <f>VLOOKUP($B185,'Woodmac profile - Oil'!$B$447:$AL$474,MATCH(F$171,'Woodmac profile - Oil'!$B$480:$AL$480),FALSE)</f>
        <v>0</v>
      </c>
      <c r="G185" s="5">
        <f>VLOOKUP($B185,'Woodmac profile - Oil'!$B$447:$AL$474,MATCH(G$171,'Woodmac profile - Oil'!$B$480:$AL$480),FALSE)</f>
        <v>0</v>
      </c>
      <c r="H185" s="65">
        <f t="shared" si="82"/>
        <v>0</v>
      </c>
      <c r="I185" s="65">
        <f t="shared" si="83"/>
        <v>0</v>
      </c>
      <c r="J185" s="12">
        <f t="shared" si="84"/>
        <v>0</v>
      </c>
      <c r="K185" s="12">
        <f t="shared" si="85"/>
        <v>0</v>
      </c>
      <c r="L185" s="5">
        <f>VLOOKUP($B185,'Woodmac profile - Oil'!$B$447:$AL$474,MATCH(L$171,'Woodmac profile - Oil'!$B$480:$AL$480),FALSE)</f>
        <v>0</v>
      </c>
      <c r="M185" s="65">
        <f t="shared" si="86"/>
        <v>0</v>
      </c>
      <c r="N185" s="65">
        <f t="shared" si="87"/>
        <v>0</v>
      </c>
      <c r="O185" s="12">
        <f t="shared" si="88"/>
        <v>0</v>
      </c>
      <c r="P185" s="12">
        <f t="shared" si="89"/>
        <v>0</v>
      </c>
      <c r="Q185" s="5">
        <f>VLOOKUP($B185,'Woodmac profile - Oil'!$B$447:$AL$474,MATCH(Q$171,'Woodmac profile - Oil'!$B$480:$AL$480),FALSE)</f>
        <v>0</v>
      </c>
      <c r="R185" s="65">
        <f t="shared" si="90"/>
        <v>0</v>
      </c>
      <c r="S185" s="65">
        <f t="shared" si="91"/>
        <v>0</v>
      </c>
      <c r="T185" s="12">
        <f t="shared" si="92"/>
        <v>0</v>
      </c>
      <c r="U185" s="12">
        <f t="shared" si="93"/>
        <v>0</v>
      </c>
      <c r="V185" s="5">
        <f>VLOOKUP($B185,'Woodmac profile - Oil'!$B$447:$AL$474,MATCH(V$171,'Woodmac profile - Oil'!$B$480:$AL$480),FALSE)</f>
        <v>0</v>
      </c>
      <c r="W185" s="65">
        <f t="shared" si="94"/>
        <v>0</v>
      </c>
      <c r="X185" s="65">
        <f t="shared" si="95"/>
        <v>0</v>
      </c>
      <c r="Y185" s="12">
        <f t="shared" si="96"/>
        <v>0</v>
      </c>
      <c r="Z185" s="12">
        <f t="shared" si="97"/>
        <v>0</v>
      </c>
      <c r="AA185" s="5">
        <f>VLOOKUP($B185,'Woodmac profile - Oil'!$B$447:$AL$474,MATCH(AA$171,'Woodmac profile - Oil'!$B$480:$AL$480),FALSE)</f>
        <v>0</v>
      </c>
      <c r="AB185" s="65">
        <f t="shared" si="98"/>
        <v>0</v>
      </c>
      <c r="AC185" s="65">
        <f t="shared" si="99"/>
        <v>0</v>
      </c>
      <c r="AD185" s="12">
        <f t="shared" si="100"/>
        <v>0</v>
      </c>
      <c r="AE185" s="12">
        <f t="shared" si="101"/>
        <v>0</v>
      </c>
      <c r="AF185" s="5">
        <f>VLOOKUP($B185,'Woodmac profile - Oil'!$B$447:$AL$474,MATCH(AF$171,'Woodmac profile - Oil'!$B$480:$AL$480),FALSE)</f>
        <v>0</v>
      </c>
      <c r="AG185" s="65">
        <f t="shared" si="102"/>
        <v>0</v>
      </c>
      <c r="AH185" s="65">
        <f t="shared" si="103"/>
        <v>0</v>
      </c>
      <c r="AI185" s="12">
        <f t="shared" si="104"/>
        <v>0</v>
      </c>
      <c r="AJ185" s="12">
        <f t="shared" si="105"/>
        <v>0</v>
      </c>
      <c r="AK185" s="5">
        <f>VLOOKUP($B185,'Woodmac profile - Oil'!$B$447:$AL$474,MATCH(AK$171,'Woodmac profile - Oil'!$B$480:$AL$480),FALSE)</f>
        <v>0</v>
      </c>
      <c r="AL185" s="65">
        <f t="shared" si="106"/>
        <v>0</v>
      </c>
      <c r="AM185" s="65">
        <f t="shared" si="107"/>
        <v>0</v>
      </c>
      <c r="AN185" s="12">
        <f t="shared" si="108"/>
        <v>0</v>
      </c>
      <c r="AO185" s="12">
        <f t="shared" si="109"/>
        <v>0</v>
      </c>
      <c r="AP185" s="5">
        <f>VLOOKUP($B185,'Woodmac profile - Oil'!$B$447:$AL$474,MATCH(AP$171,'Woodmac profile - Oil'!$B$480:$AL$480),FALSE)</f>
        <v>0</v>
      </c>
      <c r="AQ185" s="65">
        <f t="shared" si="110"/>
        <v>0</v>
      </c>
      <c r="AR185" s="65">
        <f t="shared" si="111"/>
        <v>0</v>
      </c>
      <c r="AS185" s="12">
        <f t="shared" si="112"/>
        <v>0</v>
      </c>
      <c r="AT185" s="12">
        <f t="shared" si="113"/>
        <v>0</v>
      </c>
      <c r="AU185" s="5">
        <f>VLOOKUP($B185,'Woodmac profile - Oil'!$B$447:$AL$474,MATCH(AU$171,'Woodmac profile - Oil'!$B$480:$AL$480),FALSE)</f>
        <v>0</v>
      </c>
      <c r="AV185" s="65">
        <f t="shared" si="114"/>
        <v>0</v>
      </c>
      <c r="AW185" s="65">
        <f t="shared" si="115"/>
        <v>0</v>
      </c>
      <c r="AX185" s="12">
        <f t="shared" si="116"/>
        <v>0</v>
      </c>
      <c r="AY185" s="12">
        <f t="shared" si="117"/>
        <v>0</v>
      </c>
      <c r="AZ185" s="5">
        <f>VLOOKUP($B185,'Woodmac profile - Oil'!$B$447:$AL$474,MATCH(AZ$171,'Woodmac profile - Oil'!$B$480:$AL$480),FALSE)</f>
        <v>0</v>
      </c>
      <c r="BA185" s="65">
        <f t="shared" si="118"/>
        <v>0</v>
      </c>
      <c r="BB185" s="65">
        <f t="shared" si="119"/>
        <v>0</v>
      </c>
      <c r="BC185" s="12">
        <f t="shared" si="120"/>
        <v>0</v>
      </c>
      <c r="BD185" s="12">
        <f t="shared" si="121"/>
        <v>0</v>
      </c>
      <c r="BE185" s="5">
        <f>VLOOKUP($B185,'Woodmac profile - Oil'!$B$447:$AL$474,MATCH(BE$171,'Woodmac profile - Oil'!$B$480:$AL$480),FALSE)</f>
        <v>0</v>
      </c>
      <c r="BF185" s="65">
        <f t="shared" si="122"/>
        <v>0</v>
      </c>
      <c r="BG185" s="65">
        <f t="shared" si="123"/>
        <v>0</v>
      </c>
      <c r="BH185" s="65">
        <f t="shared" si="124"/>
        <v>0</v>
      </c>
      <c r="BI185" s="65">
        <f t="shared" si="125"/>
        <v>0</v>
      </c>
      <c r="BJ185" s="5">
        <f>VLOOKUP($B185,'Woodmac profile - Oil'!$B$447:$AL$474,MATCH(BJ$171,'Woodmac profile - Oil'!$B$480:$AL$480),FALSE)</f>
        <v>0</v>
      </c>
      <c r="BK185" s="65">
        <f t="shared" si="126"/>
        <v>0</v>
      </c>
      <c r="BL185" s="65">
        <f t="shared" si="127"/>
        <v>0</v>
      </c>
      <c r="BM185" s="65">
        <f t="shared" si="128"/>
        <v>0</v>
      </c>
      <c r="BN185" s="12">
        <f t="shared" si="129"/>
        <v>0</v>
      </c>
      <c r="BO185" s="5">
        <f>VLOOKUP($B185,'Woodmac profile - Oil'!$B$447:$AL$474,MATCH(BO$171,'Woodmac profile - Oil'!$B$480:$AL$480),FALSE)</f>
        <v>0</v>
      </c>
      <c r="BP185" s="65">
        <f t="shared" si="130"/>
        <v>0</v>
      </c>
      <c r="BQ185" s="65">
        <f t="shared" si="131"/>
        <v>0</v>
      </c>
      <c r="BR185" s="12">
        <f t="shared" si="132"/>
        <v>0</v>
      </c>
      <c r="BS185" s="12">
        <f t="shared" si="133"/>
        <v>0</v>
      </c>
      <c r="BT185" s="5">
        <f>VLOOKUP($B185,'Woodmac profile - Oil'!$B$447:$AL$474,MATCH(BT$171,'Woodmac profile - Oil'!$B$480:$AL$480),FALSE)</f>
        <v>0</v>
      </c>
      <c r="BU185" s="65">
        <f t="shared" si="134"/>
        <v>0</v>
      </c>
      <c r="BV185" s="65">
        <f t="shared" si="135"/>
        <v>0</v>
      </c>
      <c r="BW185" s="12">
        <f t="shared" si="136"/>
        <v>0</v>
      </c>
      <c r="BX185" s="12">
        <f t="shared" si="137"/>
        <v>0</v>
      </c>
      <c r="BY185" s="5">
        <f>VLOOKUP($B185,'Woodmac profile - Oil'!$B$447:$AL$474,MATCH(BY$171,'Woodmac profile - Oil'!$B$480:$AL$480),FALSE)</f>
        <v>0</v>
      </c>
      <c r="BZ185" s="65">
        <f t="shared" si="138"/>
        <v>0</v>
      </c>
      <c r="CA185" s="65">
        <f t="shared" si="139"/>
        <v>0</v>
      </c>
      <c r="CB185" s="12">
        <f t="shared" si="140"/>
        <v>0</v>
      </c>
      <c r="CC185" s="12">
        <f t="shared" si="141"/>
        <v>0</v>
      </c>
      <c r="CD185" s="5">
        <f>VLOOKUP($B185,'Woodmac profile - Oil'!$B$447:$AL$474,MATCH(CD$171,'Woodmac profile - Oil'!$B$480:$AL$480),FALSE)</f>
        <v>0</v>
      </c>
    </row>
    <row r="186" spans="1:83">
      <c r="A186" s="39"/>
      <c r="B186" s="11" t="s">
        <v>2428</v>
      </c>
      <c r="C186" s="52"/>
      <c r="D186" s="52"/>
      <c r="E186" s="5">
        <f>VLOOKUP($B186,'Woodmac profile - Oil'!$B$447:$AL$474,MATCH(E$171,'Woodmac profile - Oil'!$B$480:$AL$480),FALSE)</f>
        <v>0</v>
      </c>
      <c r="F186" s="5">
        <f>VLOOKUP($B186,'Woodmac profile - Oil'!$B$447:$AL$474,MATCH(F$171,'Woodmac profile - Oil'!$B$480:$AL$480),FALSE)</f>
        <v>0</v>
      </c>
      <c r="G186" s="5">
        <f>VLOOKUP($B186,'Woodmac profile - Oil'!$B$447:$AL$474,MATCH(G$171,'Woodmac profile - Oil'!$B$480:$AL$480),FALSE)</f>
        <v>0</v>
      </c>
      <c r="H186" s="65">
        <f t="shared" si="82"/>
        <v>0</v>
      </c>
      <c r="I186" s="65">
        <f t="shared" si="83"/>
        <v>0</v>
      </c>
      <c r="J186" s="12">
        <f t="shared" si="84"/>
        <v>0</v>
      </c>
      <c r="K186" s="12">
        <f t="shared" si="85"/>
        <v>0</v>
      </c>
      <c r="L186" s="5">
        <f>VLOOKUP($B186,'Woodmac profile - Oil'!$B$447:$AL$474,MATCH(L$171,'Woodmac profile - Oil'!$B$480:$AL$480),FALSE)</f>
        <v>0</v>
      </c>
      <c r="M186" s="65">
        <f t="shared" si="86"/>
        <v>0</v>
      </c>
      <c r="N186" s="65">
        <f t="shared" si="87"/>
        <v>0</v>
      </c>
      <c r="O186" s="12">
        <f t="shared" si="88"/>
        <v>0</v>
      </c>
      <c r="P186" s="12">
        <f t="shared" si="89"/>
        <v>0</v>
      </c>
      <c r="Q186" s="5">
        <f>VLOOKUP($B186,'Woodmac profile - Oil'!$B$447:$AL$474,MATCH(Q$171,'Woodmac profile - Oil'!$B$480:$AL$480),FALSE)</f>
        <v>0</v>
      </c>
      <c r="R186" s="65">
        <f t="shared" si="90"/>
        <v>0</v>
      </c>
      <c r="S186" s="65">
        <f t="shared" si="91"/>
        <v>0</v>
      </c>
      <c r="T186" s="12">
        <f t="shared" si="92"/>
        <v>0</v>
      </c>
      <c r="U186" s="12">
        <f t="shared" si="93"/>
        <v>0</v>
      </c>
      <c r="V186" s="5">
        <f>VLOOKUP($B186,'Woodmac profile - Oil'!$B$447:$AL$474,MATCH(V$171,'Woodmac profile - Oil'!$B$480:$AL$480),FALSE)</f>
        <v>0</v>
      </c>
      <c r="W186" s="65">
        <f t="shared" si="94"/>
        <v>0</v>
      </c>
      <c r="X186" s="65">
        <f t="shared" si="95"/>
        <v>0</v>
      </c>
      <c r="Y186" s="12">
        <f t="shared" si="96"/>
        <v>0</v>
      </c>
      <c r="Z186" s="12">
        <f t="shared" si="97"/>
        <v>0</v>
      </c>
      <c r="AA186" s="5">
        <f>VLOOKUP($B186,'Woodmac profile - Oil'!$B$447:$AL$474,MATCH(AA$171,'Woodmac profile - Oil'!$B$480:$AL$480),FALSE)</f>
        <v>0</v>
      </c>
      <c r="AB186" s="65">
        <f t="shared" si="98"/>
        <v>0</v>
      </c>
      <c r="AC186" s="65">
        <f t="shared" si="99"/>
        <v>0</v>
      </c>
      <c r="AD186" s="12">
        <f t="shared" si="100"/>
        <v>0</v>
      </c>
      <c r="AE186" s="12">
        <f t="shared" si="101"/>
        <v>0</v>
      </c>
      <c r="AF186" s="5">
        <f>VLOOKUP($B186,'Woodmac profile - Oil'!$B$447:$AL$474,MATCH(AF$171,'Woodmac profile - Oil'!$B$480:$AL$480),FALSE)</f>
        <v>0</v>
      </c>
      <c r="AG186" s="65">
        <f t="shared" si="102"/>
        <v>6.29</v>
      </c>
      <c r="AH186" s="65">
        <f t="shared" si="103"/>
        <v>6.29</v>
      </c>
      <c r="AI186" s="12">
        <f t="shared" si="104"/>
        <v>6.29</v>
      </c>
      <c r="AJ186" s="12">
        <f t="shared" si="105"/>
        <v>6.29</v>
      </c>
      <c r="AK186" s="5">
        <f>VLOOKUP($B186,'Woodmac profile - Oil'!$B$447:$AL$474,MATCH(AK$171,'Woodmac profile - Oil'!$B$480:$AL$480),FALSE)</f>
        <v>6.29</v>
      </c>
      <c r="AL186" s="65">
        <f t="shared" si="106"/>
        <v>7.23</v>
      </c>
      <c r="AM186" s="65">
        <f t="shared" si="107"/>
        <v>7.23</v>
      </c>
      <c r="AN186" s="12">
        <f t="shared" si="108"/>
        <v>7.23</v>
      </c>
      <c r="AO186" s="12">
        <f t="shared" si="109"/>
        <v>7.23</v>
      </c>
      <c r="AP186" s="5">
        <f>VLOOKUP($B186,'Woodmac profile - Oil'!$B$447:$AL$474,MATCH(AP$171,'Woodmac profile - Oil'!$B$480:$AL$480),FALSE)</f>
        <v>7.23</v>
      </c>
      <c r="AQ186" s="65">
        <f t="shared" si="110"/>
        <v>0</v>
      </c>
      <c r="AR186" s="65">
        <f t="shared" si="111"/>
        <v>0</v>
      </c>
      <c r="AS186" s="12">
        <f t="shared" si="112"/>
        <v>0</v>
      </c>
      <c r="AT186" s="12">
        <f t="shared" si="113"/>
        <v>0</v>
      </c>
      <c r="AU186" s="5">
        <f>VLOOKUP($B186,'Woodmac profile - Oil'!$B$447:$AL$474,MATCH(AU$171,'Woodmac profile - Oil'!$B$480:$AL$480),FALSE)</f>
        <v>0</v>
      </c>
      <c r="AV186" s="65">
        <f t="shared" si="114"/>
        <v>0</v>
      </c>
      <c r="AW186" s="65">
        <f t="shared" si="115"/>
        <v>0</v>
      </c>
      <c r="AX186" s="12">
        <f t="shared" si="116"/>
        <v>0</v>
      </c>
      <c r="AY186" s="12">
        <f t="shared" si="117"/>
        <v>0</v>
      </c>
      <c r="AZ186" s="5">
        <f>VLOOKUP($B186,'Woodmac profile - Oil'!$B$447:$AL$474,MATCH(AZ$171,'Woodmac profile - Oil'!$B$480:$AL$480),FALSE)</f>
        <v>0</v>
      </c>
      <c r="BA186" s="65">
        <f t="shared" si="118"/>
        <v>0</v>
      </c>
      <c r="BB186" s="65">
        <f t="shared" si="119"/>
        <v>0</v>
      </c>
      <c r="BC186" s="12">
        <f t="shared" si="120"/>
        <v>0</v>
      </c>
      <c r="BD186" s="12">
        <f t="shared" si="121"/>
        <v>0</v>
      </c>
      <c r="BE186" s="5">
        <f>VLOOKUP($B186,'Woodmac profile - Oil'!$B$447:$AL$474,MATCH(BE$171,'Woodmac profile - Oil'!$B$480:$AL$480),FALSE)</f>
        <v>0</v>
      </c>
      <c r="BF186" s="65">
        <f t="shared" si="122"/>
        <v>0</v>
      </c>
      <c r="BG186" s="65">
        <f t="shared" si="123"/>
        <v>0</v>
      </c>
      <c r="BH186" s="65">
        <f t="shared" si="124"/>
        <v>0</v>
      </c>
      <c r="BI186" s="65">
        <f t="shared" si="125"/>
        <v>0</v>
      </c>
      <c r="BJ186" s="5">
        <f>VLOOKUP($B186,'Woodmac profile - Oil'!$B$447:$AL$474,MATCH(BJ$171,'Woodmac profile - Oil'!$B$480:$AL$480),FALSE)</f>
        <v>0</v>
      </c>
      <c r="BK186" s="65">
        <f t="shared" si="126"/>
        <v>0</v>
      </c>
      <c r="BL186" s="65">
        <f t="shared" si="127"/>
        <v>0</v>
      </c>
      <c r="BM186" s="65">
        <f t="shared" si="128"/>
        <v>0</v>
      </c>
      <c r="BN186" s="12">
        <f t="shared" si="129"/>
        <v>0</v>
      </c>
      <c r="BO186" s="5">
        <f>VLOOKUP($B186,'Woodmac profile - Oil'!$B$447:$AL$474,MATCH(BO$171,'Woodmac profile - Oil'!$B$480:$AL$480),FALSE)</f>
        <v>0</v>
      </c>
      <c r="BP186" s="65">
        <f t="shared" si="130"/>
        <v>0</v>
      </c>
      <c r="BQ186" s="65">
        <f t="shared" si="131"/>
        <v>0</v>
      </c>
      <c r="BR186" s="12">
        <f t="shared" si="132"/>
        <v>0</v>
      </c>
      <c r="BS186" s="12">
        <f t="shared" si="133"/>
        <v>0</v>
      </c>
      <c r="BT186" s="5">
        <f>VLOOKUP($B186,'Woodmac profile - Oil'!$B$447:$AL$474,MATCH(BT$171,'Woodmac profile - Oil'!$B$480:$AL$480),FALSE)</f>
        <v>0</v>
      </c>
      <c r="BU186" s="65">
        <f t="shared" si="134"/>
        <v>0</v>
      </c>
      <c r="BV186" s="65">
        <f t="shared" si="135"/>
        <v>0</v>
      </c>
      <c r="BW186" s="12">
        <f t="shared" si="136"/>
        <v>0</v>
      </c>
      <c r="BX186" s="12">
        <f t="shared" si="137"/>
        <v>0</v>
      </c>
      <c r="BY186" s="5">
        <f>VLOOKUP($B186,'Woodmac profile - Oil'!$B$447:$AL$474,MATCH(BY$171,'Woodmac profile - Oil'!$B$480:$AL$480),FALSE)</f>
        <v>0</v>
      </c>
      <c r="BZ186" s="65">
        <f t="shared" si="138"/>
        <v>0</v>
      </c>
      <c r="CA186" s="65">
        <f t="shared" si="139"/>
        <v>0</v>
      </c>
      <c r="CB186" s="12">
        <f t="shared" si="140"/>
        <v>0</v>
      </c>
      <c r="CC186" s="12">
        <f t="shared" si="141"/>
        <v>0</v>
      </c>
      <c r="CD186" s="5">
        <f>VLOOKUP($B186,'Woodmac profile - Oil'!$B$447:$AL$474,MATCH(CD$171,'Woodmac profile - Oil'!$B$480:$AL$480),FALSE)</f>
        <v>0</v>
      </c>
    </row>
    <row r="187" spans="1:83">
      <c r="A187" s="11"/>
      <c r="B187" s="11" t="s">
        <v>2247</v>
      </c>
      <c r="C187" s="52"/>
      <c r="D187" s="52"/>
      <c r="E187" s="5">
        <f>VLOOKUP($B187,'Woodmac profile - Oil'!$B$447:$AL$474,MATCH(E$171,'Woodmac profile - Oil'!$B$480:$AL$480),FALSE)</f>
        <v>68.540000000000006</v>
      </c>
      <c r="F187" s="5">
        <f>VLOOKUP($B187,'Woodmac profile - Oil'!$B$447:$AL$474,MATCH(F$171,'Woodmac profile - Oil'!$B$480:$AL$480),FALSE)</f>
        <v>58.339999999999996</v>
      </c>
      <c r="G187" s="5">
        <f>VLOOKUP($B187,'Woodmac profile - Oil'!$B$447:$AL$474,MATCH(G$171,'Woodmac profile - Oil'!$B$480:$AL$480),FALSE)</f>
        <v>47.160000000000011</v>
      </c>
      <c r="H187" s="65">
        <f t="shared" si="82"/>
        <v>39.049999999999997</v>
      </c>
      <c r="I187" s="65">
        <f t="shared" si="83"/>
        <v>39.049999999999997</v>
      </c>
      <c r="J187" s="12">
        <f t="shared" si="84"/>
        <v>39.049999999999997</v>
      </c>
      <c r="K187" s="12">
        <f t="shared" si="85"/>
        <v>39.049999999999997</v>
      </c>
      <c r="L187" s="5">
        <f>VLOOKUP($B187,'Woodmac profile - Oil'!$B$447:$AL$474,MATCH(L$171,'Woodmac profile - Oil'!$B$480:$AL$480),FALSE)</f>
        <v>39.049999999999997</v>
      </c>
      <c r="M187" s="65">
        <f t="shared" si="86"/>
        <v>32.03</v>
      </c>
      <c r="N187" s="65">
        <f t="shared" si="87"/>
        <v>32.03</v>
      </c>
      <c r="O187" s="12">
        <f t="shared" si="88"/>
        <v>32.03</v>
      </c>
      <c r="P187" s="12">
        <f t="shared" si="89"/>
        <v>32.03</v>
      </c>
      <c r="Q187" s="5">
        <f>VLOOKUP($B187,'Woodmac profile - Oil'!$B$447:$AL$474,MATCH(Q$171,'Woodmac profile - Oil'!$B$480:$AL$480),FALSE)</f>
        <v>32.03</v>
      </c>
      <c r="R187" s="65">
        <f t="shared" si="90"/>
        <v>30.410000000000004</v>
      </c>
      <c r="S187" s="65">
        <f t="shared" si="91"/>
        <v>30.410000000000004</v>
      </c>
      <c r="T187" s="12">
        <f t="shared" si="92"/>
        <v>30.410000000000004</v>
      </c>
      <c r="U187" s="12">
        <f t="shared" si="93"/>
        <v>30.410000000000004</v>
      </c>
      <c r="V187" s="5">
        <f>VLOOKUP($B187,'Woodmac profile - Oil'!$B$447:$AL$474,MATCH(V$171,'Woodmac profile - Oil'!$B$480:$AL$480),FALSE)</f>
        <v>30.410000000000004</v>
      </c>
      <c r="W187" s="65">
        <f t="shared" si="94"/>
        <v>28.43</v>
      </c>
      <c r="X187" s="65">
        <f t="shared" si="95"/>
        <v>28.43</v>
      </c>
      <c r="Y187" s="12">
        <f t="shared" si="96"/>
        <v>28.43</v>
      </c>
      <c r="Z187" s="12">
        <f t="shared" si="97"/>
        <v>28.43</v>
      </c>
      <c r="AA187" s="5">
        <f>VLOOKUP($B187,'Woodmac profile - Oil'!$B$447:$AL$474,MATCH(AA$171,'Woodmac profile - Oil'!$B$480:$AL$480),FALSE)</f>
        <v>28.43</v>
      </c>
      <c r="AB187" s="65">
        <f t="shared" si="98"/>
        <v>26.22</v>
      </c>
      <c r="AC187" s="65">
        <f t="shared" si="99"/>
        <v>26.22</v>
      </c>
      <c r="AD187" s="12">
        <f t="shared" si="100"/>
        <v>26.22</v>
      </c>
      <c r="AE187" s="12">
        <f t="shared" si="101"/>
        <v>26.22</v>
      </c>
      <c r="AF187" s="5">
        <f>VLOOKUP($B187,'Woodmac profile - Oil'!$B$447:$AL$474,MATCH(AF$171,'Woodmac profile - Oil'!$B$480:$AL$480),FALSE)</f>
        <v>26.22</v>
      </c>
      <c r="AG187" s="65">
        <f t="shared" si="102"/>
        <v>0</v>
      </c>
      <c r="AH187" s="65">
        <f t="shared" si="103"/>
        <v>0</v>
      </c>
      <c r="AI187" s="12">
        <f t="shared" si="104"/>
        <v>0</v>
      </c>
      <c r="AJ187" s="12">
        <f t="shared" si="105"/>
        <v>0</v>
      </c>
      <c r="AK187" s="5">
        <f>VLOOKUP($B187,'Woodmac profile - Oil'!$B$447:$AL$474,MATCH(AK$171,'Woodmac profile - Oil'!$B$480:$AL$480),FALSE)</f>
        <v>0</v>
      </c>
      <c r="AL187" s="65">
        <f t="shared" si="106"/>
        <v>0</v>
      </c>
      <c r="AM187" s="65">
        <f t="shared" si="107"/>
        <v>0</v>
      </c>
      <c r="AN187" s="12">
        <f t="shared" si="108"/>
        <v>0</v>
      </c>
      <c r="AO187" s="12">
        <f t="shared" si="109"/>
        <v>0</v>
      </c>
      <c r="AP187" s="5">
        <f>VLOOKUP($B187,'Woodmac profile - Oil'!$B$447:$AL$474,MATCH(AP$171,'Woodmac profile - Oil'!$B$480:$AL$480),FALSE)</f>
        <v>0</v>
      </c>
      <c r="AQ187" s="65">
        <f t="shared" si="110"/>
        <v>0</v>
      </c>
      <c r="AR187" s="65">
        <f t="shared" si="111"/>
        <v>0</v>
      </c>
      <c r="AS187" s="12">
        <f t="shared" si="112"/>
        <v>0</v>
      </c>
      <c r="AT187" s="12">
        <f t="shared" si="113"/>
        <v>0</v>
      </c>
      <c r="AU187" s="5">
        <f>VLOOKUP($B187,'Woodmac profile - Oil'!$B$447:$AL$474,MATCH(AU$171,'Woodmac profile - Oil'!$B$480:$AL$480),FALSE)</f>
        <v>0</v>
      </c>
      <c r="AV187" s="65">
        <f t="shared" si="114"/>
        <v>0</v>
      </c>
      <c r="AW187" s="65">
        <f t="shared" si="115"/>
        <v>0</v>
      </c>
      <c r="AX187" s="12">
        <f t="shared" si="116"/>
        <v>0</v>
      </c>
      <c r="AY187" s="12">
        <f t="shared" si="117"/>
        <v>0</v>
      </c>
      <c r="AZ187" s="5">
        <f>VLOOKUP($B187,'Woodmac profile - Oil'!$B$447:$AL$474,MATCH(AZ$171,'Woodmac profile - Oil'!$B$480:$AL$480),FALSE)</f>
        <v>0</v>
      </c>
      <c r="BA187" s="65">
        <f t="shared" si="118"/>
        <v>0</v>
      </c>
      <c r="BB187" s="65">
        <f t="shared" si="119"/>
        <v>0</v>
      </c>
      <c r="BC187" s="12">
        <f t="shared" si="120"/>
        <v>0</v>
      </c>
      <c r="BD187" s="12">
        <f t="shared" si="121"/>
        <v>0</v>
      </c>
      <c r="BE187" s="5">
        <f>VLOOKUP($B187,'Woodmac profile - Oil'!$B$447:$AL$474,MATCH(BE$171,'Woodmac profile - Oil'!$B$480:$AL$480),FALSE)</f>
        <v>0</v>
      </c>
      <c r="BF187" s="65">
        <f t="shared" si="122"/>
        <v>0</v>
      </c>
      <c r="BG187" s="65">
        <f t="shared" si="123"/>
        <v>0</v>
      </c>
      <c r="BH187" s="65">
        <f t="shared" si="124"/>
        <v>0</v>
      </c>
      <c r="BI187" s="65">
        <f t="shared" si="125"/>
        <v>0</v>
      </c>
      <c r="BJ187" s="5">
        <f>VLOOKUP($B187,'Woodmac profile - Oil'!$B$447:$AL$474,MATCH(BJ$171,'Woodmac profile - Oil'!$B$480:$AL$480),FALSE)</f>
        <v>0</v>
      </c>
      <c r="BK187" s="65">
        <f t="shared" si="126"/>
        <v>0</v>
      </c>
      <c r="BL187" s="65">
        <f t="shared" si="127"/>
        <v>0</v>
      </c>
      <c r="BM187" s="65">
        <f t="shared" si="128"/>
        <v>0</v>
      </c>
      <c r="BN187" s="12">
        <f t="shared" si="129"/>
        <v>0</v>
      </c>
      <c r="BO187" s="5">
        <f>VLOOKUP($B187,'Woodmac profile - Oil'!$B$447:$AL$474,MATCH(BO$171,'Woodmac profile - Oil'!$B$480:$AL$480),FALSE)</f>
        <v>0</v>
      </c>
      <c r="BP187" s="65">
        <f t="shared" si="130"/>
        <v>0</v>
      </c>
      <c r="BQ187" s="65">
        <f t="shared" si="131"/>
        <v>0</v>
      </c>
      <c r="BR187" s="12">
        <f t="shared" si="132"/>
        <v>0</v>
      </c>
      <c r="BS187" s="12">
        <f t="shared" si="133"/>
        <v>0</v>
      </c>
      <c r="BT187" s="5">
        <f>VLOOKUP($B187,'Woodmac profile - Oil'!$B$447:$AL$474,MATCH(BT$171,'Woodmac profile - Oil'!$B$480:$AL$480),FALSE)</f>
        <v>0</v>
      </c>
      <c r="BU187" s="65">
        <f t="shared" si="134"/>
        <v>0</v>
      </c>
      <c r="BV187" s="65">
        <f t="shared" si="135"/>
        <v>0</v>
      </c>
      <c r="BW187" s="12">
        <f t="shared" si="136"/>
        <v>0</v>
      </c>
      <c r="BX187" s="12">
        <f t="shared" si="137"/>
        <v>0</v>
      </c>
      <c r="BY187" s="5">
        <f>VLOOKUP($B187,'Woodmac profile - Oil'!$B$447:$AL$474,MATCH(BY$171,'Woodmac profile - Oil'!$B$480:$AL$480),FALSE)</f>
        <v>0</v>
      </c>
      <c r="BZ187" s="65">
        <f t="shared" si="138"/>
        <v>0</v>
      </c>
      <c r="CA187" s="65">
        <f t="shared" si="139"/>
        <v>0</v>
      </c>
      <c r="CB187" s="12">
        <f t="shared" si="140"/>
        <v>0</v>
      </c>
      <c r="CC187" s="12">
        <f t="shared" si="141"/>
        <v>0</v>
      </c>
      <c r="CD187" s="5">
        <f>VLOOKUP($B187,'Woodmac profile - Oil'!$B$447:$AL$474,MATCH(CD$171,'Woodmac profile - Oil'!$B$480:$AL$480),FALSE)</f>
        <v>0</v>
      </c>
    </row>
    <row r="188" spans="1:83">
      <c r="A188" s="11"/>
      <c r="B188" s="11" t="s">
        <v>1280</v>
      </c>
      <c r="C188" s="52"/>
      <c r="D188" s="52"/>
      <c r="E188" s="5">
        <f>VLOOKUP($B188,'Woodmac profile - Oil'!$B$447:$AL$474,MATCH(E$171,'Woodmac profile - Oil'!$B$480:$AL$480),FALSE)</f>
        <v>74.19</v>
      </c>
      <c r="F188" s="5">
        <f>VLOOKUP($B188,'Woodmac profile - Oil'!$B$447:$AL$474,MATCH(F$171,'Woodmac profile - Oil'!$B$480:$AL$480),FALSE)</f>
        <v>60.19</v>
      </c>
      <c r="G188" s="5">
        <f>VLOOKUP($B188,'Woodmac profile - Oil'!$B$447:$AL$474,MATCH(G$171,'Woodmac profile - Oil'!$B$480:$AL$480),FALSE)</f>
        <v>37.97</v>
      </c>
      <c r="H188" s="65">
        <f t="shared" si="82"/>
        <v>26.38</v>
      </c>
      <c r="I188" s="65">
        <f t="shared" si="83"/>
        <v>26.38</v>
      </c>
      <c r="J188" s="12">
        <f t="shared" si="84"/>
        <v>26.38</v>
      </c>
      <c r="K188" s="12">
        <f t="shared" si="85"/>
        <v>26.38</v>
      </c>
      <c r="L188" s="5">
        <f>VLOOKUP($B188,'Woodmac profile - Oil'!$B$447:$AL$474,MATCH(L$171,'Woodmac profile - Oil'!$B$480:$AL$480),FALSE)</f>
        <v>26.38</v>
      </c>
      <c r="M188" s="65">
        <f t="shared" si="86"/>
        <v>20.32</v>
      </c>
      <c r="N188" s="65">
        <f t="shared" si="87"/>
        <v>20.32</v>
      </c>
      <c r="O188" s="12">
        <f t="shared" si="88"/>
        <v>20.32</v>
      </c>
      <c r="P188" s="12">
        <f t="shared" si="89"/>
        <v>20.32</v>
      </c>
      <c r="Q188" s="5">
        <f>VLOOKUP($B188,'Woodmac profile - Oil'!$B$447:$AL$474,MATCH(Q$171,'Woodmac profile - Oil'!$B$480:$AL$480),FALSE)</f>
        <v>20.32</v>
      </c>
      <c r="R188" s="65">
        <f t="shared" si="90"/>
        <v>22.66</v>
      </c>
      <c r="S188" s="65">
        <f t="shared" si="91"/>
        <v>22.66</v>
      </c>
      <c r="T188" s="12">
        <f t="shared" si="92"/>
        <v>22.66</v>
      </c>
      <c r="U188" s="12">
        <f t="shared" si="93"/>
        <v>22.66</v>
      </c>
      <c r="V188" s="5">
        <f>VLOOKUP($B188,'Woodmac profile - Oil'!$B$447:$AL$474,MATCH(V$171,'Woodmac profile - Oil'!$B$480:$AL$480),FALSE)</f>
        <v>22.66</v>
      </c>
      <c r="W188" s="65">
        <f t="shared" si="94"/>
        <v>26.19</v>
      </c>
      <c r="X188" s="65">
        <f t="shared" si="95"/>
        <v>26.19</v>
      </c>
      <c r="Y188" s="12">
        <f t="shared" si="96"/>
        <v>26.19</v>
      </c>
      <c r="Z188" s="12">
        <f t="shared" si="97"/>
        <v>26.19</v>
      </c>
      <c r="AA188" s="5">
        <f>VLOOKUP($B188,'Woodmac profile - Oil'!$B$447:$AL$474,MATCH(AA$171,'Woodmac profile - Oil'!$B$480:$AL$480),FALSE)</f>
        <v>26.19</v>
      </c>
      <c r="AB188" s="65">
        <f t="shared" si="98"/>
        <v>25.73</v>
      </c>
      <c r="AC188" s="65">
        <f t="shared" si="99"/>
        <v>25.73</v>
      </c>
      <c r="AD188" s="12">
        <f t="shared" si="100"/>
        <v>25.73</v>
      </c>
      <c r="AE188" s="12">
        <f t="shared" si="101"/>
        <v>25.73</v>
      </c>
      <c r="AF188" s="5">
        <f>VLOOKUP($B188,'Woodmac profile - Oil'!$B$447:$AL$474,MATCH(AF$171,'Woodmac profile - Oil'!$B$480:$AL$480),FALSE)</f>
        <v>25.73</v>
      </c>
      <c r="AG188" s="65">
        <f t="shared" si="102"/>
        <v>20.97</v>
      </c>
      <c r="AH188" s="65">
        <f t="shared" si="103"/>
        <v>20.97</v>
      </c>
      <c r="AI188" s="12">
        <f t="shared" si="104"/>
        <v>20.97</v>
      </c>
      <c r="AJ188" s="12">
        <f t="shared" si="105"/>
        <v>20.97</v>
      </c>
      <c r="AK188" s="5">
        <f>VLOOKUP($B188,'Woodmac profile - Oil'!$B$447:$AL$474,MATCH(AK$171,'Woodmac profile - Oil'!$B$480:$AL$480),FALSE)</f>
        <v>20.97</v>
      </c>
      <c r="AL188" s="65">
        <f t="shared" si="106"/>
        <v>14.97</v>
      </c>
      <c r="AM188" s="65">
        <f t="shared" si="107"/>
        <v>14.97</v>
      </c>
      <c r="AN188" s="12">
        <f t="shared" si="108"/>
        <v>14.97</v>
      </c>
      <c r="AO188" s="12">
        <f t="shared" si="109"/>
        <v>14.97</v>
      </c>
      <c r="AP188" s="5">
        <f>VLOOKUP($B188,'Woodmac profile - Oil'!$B$447:$AL$474,MATCH(AP$171,'Woodmac profile - Oil'!$B$480:$AL$480),FALSE)</f>
        <v>14.97</v>
      </c>
      <c r="AQ188" s="65">
        <f t="shared" si="110"/>
        <v>16.18</v>
      </c>
      <c r="AR188" s="65">
        <f t="shared" si="111"/>
        <v>16.18</v>
      </c>
      <c r="AS188" s="12">
        <f t="shared" si="112"/>
        <v>16.18</v>
      </c>
      <c r="AT188" s="12">
        <f t="shared" si="113"/>
        <v>16.18</v>
      </c>
      <c r="AU188" s="5">
        <f>VLOOKUP($B188,'Woodmac profile - Oil'!$B$447:$AL$474,MATCH(AU$171,'Woodmac profile - Oil'!$B$480:$AL$480),FALSE)</f>
        <v>16.18</v>
      </c>
      <c r="AV188" s="65">
        <f t="shared" si="114"/>
        <v>17.239999999999998</v>
      </c>
      <c r="AW188" s="65">
        <f t="shared" si="115"/>
        <v>17.239999999999998</v>
      </c>
      <c r="AX188" s="12">
        <f t="shared" si="116"/>
        <v>17.239999999999998</v>
      </c>
      <c r="AY188" s="12">
        <f t="shared" si="117"/>
        <v>17.239999999999998</v>
      </c>
      <c r="AZ188" s="5">
        <f>VLOOKUP($B188,'Woodmac profile - Oil'!$B$447:$AL$474,MATCH(AZ$171,'Woodmac profile - Oil'!$B$480:$AL$480),FALSE)</f>
        <v>17.239999999999998</v>
      </c>
      <c r="BA188" s="65">
        <f t="shared" si="118"/>
        <v>15.58</v>
      </c>
      <c r="BB188" s="65">
        <f t="shared" si="119"/>
        <v>15.58</v>
      </c>
      <c r="BC188" s="12">
        <f t="shared" si="120"/>
        <v>15.58</v>
      </c>
      <c r="BD188" s="12">
        <f t="shared" si="121"/>
        <v>15.58</v>
      </c>
      <c r="BE188" s="5">
        <f>VLOOKUP($B188,'Woodmac profile - Oil'!$B$447:$AL$474,MATCH(BE$171,'Woodmac profile - Oil'!$B$480:$AL$480),FALSE)</f>
        <v>15.58</v>
      </c>
      <c r="BF188" s="65">
        <f t="shared" si="122"/>
        <v>13.51</v>
      </c>
      <c r="BG188" s="65">
        <f t="shared" si="123"/>
        <v>13.51</v>
      </c>
      <c r="BH188" s="65">
        <f t="shared" si="124"/>
        <v>13.51</v>
      </c>
      <c r="BI188" s="65">
        <f t="shared" si="125"/>
        <v>13.51</v>
      </c>
      <c r="BJ188" s="5">
        <f>VLOOKUP($B188,'Woodmac profile - Oil'!$B$447:$AL$474,MATCH(BJ$171,'Woodmac profile - Oil'!$B$480:$AL$480),FALSE)</f>
        <v>13.51</v>
      </c>
      <c r="BK188" s="65">
        <f t="shared" si="126"/>
        <v>15.25</v>
      </c>
      <c r="BL188" s="65">
        <f t="shared" si="127"/>
        <v>15.25</v>
      </c>
      <c r="BM188" s="65">
        <f t="shared" si="128"/>
        <v>15.25</v>
      </c>
      <c r="BN188" s="12">
        <f t="shared" si="129"/>
        <v>15.25</v>
      </c>
      <c r="BO188" s="5">
        <f>VLOOKUP($B188,'Woodmac profile - Oil'!$B$447:$AL$474,MATCH(BO$171,'Woodmac profile - Oil'!$B$480:$AL$480),FALSE)</f>
        <v>15.25</v>
      </c>
      <c r="BP188" s="65">
        <f t="shared" si="130"/>
        <v>14.22</v>
      </c>
      <c r="BQ188" s="65">
        <f t="shared" si="131"/>
        <v>14.22</v>
      </c>
      <c r="BR188" s="12">
        <f t="shared" si="132"/>
        <v>14.22</v>
      </c>
      <c r="BS188" s="12">
        <f t="shared" si="133"/>
        <v>14.22</v>
      </c>
      <c r="BT188" s="5">
        <f>VLOOKUP($B188,'Woodmac profile - Oil'!$B$447:$AL$474,MATCH(BT$171,'Woodmac profile - Oil'!$B$480:$AL$480),FALSE)</f>
        <v>14.22</v>
      </c>
      <c r="BU188" s="65">
        <f t="shared" si="134"/>
        <v>14.13</v>
      </c>
      <c r="BV188" s="65">
        <f t="shared" si="135"/>
        <v>14.13</v>
      </c>
      <c r="BW188" s="12">
        <f t="shared" si="136"/>
        <v>14.13</v>
      </c>
      <c r="BX188" s="12">
        <f t="shared" si="137"/>
        <v>14.13</v>
      </c>
      <c r="BY188" s="5">
        <f>VLOOKUP($B188,'Woodmac profile - Oil'!$B$447:$AL$474,MATCH(BY$171,'Woodmac profile - Oil'!$B$480:$AL$480),FALSE)</f>
        <v>14.13</v>
      </c>
      <c r="BZ188" s="65">
        <f t="shared" si="138"/>
        <v>13.01</v>
      </c>
      <c r="CA188" s="65">
        <f t="shared" si="139"/>
        <v>13.01</v>
      </c>
      <c r="CB188" s="12">
        <f t="shared" si="140"/>
        <v>13.01</v>
      </c>
      <c r="CC188" s="12">
        <f t="shared" si="141"/>
        <v>13.01</v>
      </c>
      <c r="CD188" s="5">
        <f>VLOOKUP($B188,'Woodmac profile - Oil'!$B$447:$AL$474,MATCH(CD$171,'Woodmac profile - Oil'!$B$480:$AL$480),FALSE)</f>
        <v>13.01</v>
      </c>
    </row>
    <row r="189" spans="1:83">
      <c r="A189" s="11"/>
      <c r="B189" s="11" t="s">
        <v>1036</v>
      </c>
      <c r="C189" s="52"/>
      <c r="D189" s="52"/>
      <c r="E189" s="5">
        <f>VLOOKUP($B189,'Woodmac profile - Oil'!$B$447:$AL$474,MATCH(E$171,'Woodmac profile - Oil'!$B$480:$AL$480),FALSE)</f>
        <v>0</v>
      </c>
      <c r="F189" s="5">
        <f>VLOOKUP($B189,'Woodmac profile - Oil'!$B$447:$AL$474,MATCH(F$171,'Woodmac profile - Oil'!$B$480:$AL$480),FALSE)</f>
        <v>0</v>
      </c>
      <c r="G189" s="5">
        <f>VLOOKUP($B189,'Woodmac profile - Oil'!$B$447:$AL$474,MATCH(G$171,'Woodmac profile - Oil'!$B$480:$AL$480),FALSE)</f>
        <v>0</v>
      </c>
      <c r="H189" s="65">
        <f t="shared" si="82"/>
        <v>0</v>
      </c>
      <c r="I189" s="65">
        <f t="shared" si="83"/>
        <v>0</v>
      </c>
      <c r="J189" s="12">
        <f t="shared" si="84"/>
        <v>0</v>
      </c>
      <c r="K189" s="12">
        <f t="shared" si="85"/>
        <v>0</v>
      </c>
      <c r="L189" s="5">
        <f>VLOOKUP($B189,'Woodmac profile - Oil'!$B$447:$AL$474,MATCH(L$171,'Woodmac profile - Oil'!$B$480:$AL$480),FALSE)</f>
        <v>0</v>
      </c>
      <c r="M189" s="65">
        <f t="shared" si="86"/>
        <v>0</v>
      </c>
      <c r="N189" s="65">
        <f t="shared" si="87"/>
        <v>0</v>
      </c>
      <c r="O189" s="12">
        <f t="shared" si="88"/>
        <v>0</v>
      </c>
      <c r="P189" s="12">
        <f t="shared" si="89"/>
        <v>0</v>
      </c>
      <c r="Q189" s="5">
        <f>VLOOKUP($B189,'Woodmac profile - Oil'!$B$447:$AL$474,MATCH(Q$171,'Woodmac profile - Oil'!$B$480:$AL$480),FALSE)</f>
        <v>0</v>
      </c>
      <c r="R189" s="65">
        <f t="shared" si="90"/>
        <v>0</v>
      </c>
      <c r="S189" s="65">
        <f t="shared" si="91"/>
        <v>0</v>
      </c>
      <c r="T189" s="12">
        <f t="shared" si="92"/>
        <v>0</v>
      </c>
      <c r="U189" s="12">
        <f t="shared" si="93"/>
        <v>0</v>
      </c>
      <c r="V189" s="5">
        <f>VLOOKUP($B189,'Woodmac profile - Oil'!$B$447:$AL$474,MATCH(V$171,'Woodmac profile - Oil'!$B$480:$AL$480),FALSE)</f>
        <v>0</v>
      </c>
      <c r="W189" s="65">
        <f t="shared" si="94"/>
        <v>0</v>
      </c>
      <c r="X189" s="65">
        <f t="shared" si="95"/>
        <v>0</v>
      </c>
      <c r="Y189" s="12">
        <f t="shared" si="96"/>
        <v>0</v>
      </c>
      <c r="Z189" s="12">
        <f t="shared" si="97"/>
        <v>0</v>
      </c>
      <c r="AA189" s="5">
        <f>VLOOKUP($B189,'Woodmac profile - Oil'!$B$447:$AL$474,MATCH(AA$171,'Woodmac profile - Oil'!$B$480:$AL$480),FALSE)</f>
        <v>0</v>
      </c>
      <c r="AB189" s="65">
        <f t="shared" si="98"/>
        <v>0</v>
      </c>
      <c r="AC189" s="65">
        <f t="shared" si="99"/>
        <v>0</v>
      </c>
      <c r="AD189" s="12">
        <f t="shared" si="100"/>
        <v>0</v>
      </c>
      <c r="AE189" s="12">
        <f t="shared" si="101"/>
        <v>0</v>
      </c>
      <c r="AF189" s="5">
        <f>VLOOKUP($B189,'Woodmac profile - Oil'!$B$447:$AL$474,MATCH(AF$171,'Woodmac profile - Oil'!$B$480:$AL$480),FALSE)</f>
        <v>0</v>
      </c>
      <c r="AG189" s="65">
        <f t="shared" si="102"/>
        <v>0</v>
      </c>
      <c r="AH189" s="65">
        <f t="shared" si="103"/>
        <v>0</v>
      </c>
      <c r="AI189" s="12">
        <f t="shared" si="104"/>
        <v>0</v>
      </c>
      <c r="AJ189" s="12">
        <f t="shared" si="105"/>
        <v>0</v>
      </c>
      <c r="AK189" s="5">
        <f>VLOOKUP($B189,'Woodmac profile - Oil'!$B$447:$AL$474,MATCH(AK$171,'Woodmac profile - Oil'!$B$480:$AL$480),FALSE)</f>
        <v>0</v>
      </c>
      <c r="AL189" s="65">
        <f t="shared" si="106"/>
        <v>0</v>
      </c>
      <c r="AM189" s="65">
        <f t="shared" si="107"/>
        <v>0</v>
      </c>
      <c r="AN189" s="12">
        <f t="shared" si="108"/>
        <v>0</v>
      </c>
      <c r="AO189" s="12">
        <f t="shared" si="109"/>
        <v>0</v>
      </c>
      <c r="AP189" s="5">
        <f>VLOOKUP($B189,'Woodmac profile - Oil'!$B$447:$AL$474,MATCH(AP$171,'Woodmac profile - Oil'!$B$480:$AL$480),FALSE)</f>
        <v>0</v>
      </c>
      <c r="AQ189" s="65">
        <f t="shared" si="110"/>
        <v>0</v>
      </c>
      <c r="AR189" s="65">
        <f t="shared" si="111"/>
        <v>0</v>
      </c>
      <c r="AS189" s="12">
        <f t="shared" si="112"/>
        <v>0</v>
      </c>
      <c r="AT189" s="12">
        <f t="shared" si="113"/>
        <v>0</v>
      </c>
      <c r="AU189" s="5">
        <f>VLOOKUP($B189,'Woodmac profile - Oil'!$B$447:$AL$474,MATCH(AU$171,'Woodmac profile - Oil'!$B$480:$AL$480),FALSE)</f>
        <v>0</v>
      </c>
      <c r="AV189" s="65">
        <f t="shared" si="114"/>
        <v>0</v>
      </c>
      <c r="AW189" s="65">
        <f t="shared" si="115"/>
        <v>0</v>
      </c>
      <c r="AX189" s="12">
        <f t="shared" si="116"/>
        <v>0</v>
      </c>
      <c r="AY189" s="12">
        <f t="shared" si="117"/>
        <v>0</v>
      </c>
      <c r="AZ189" s="5">
        <f>VLOOKUP($B189,'Woodmac profile - Oil'!$B$447:$AL$474,MATCH(AZ$171,'Woodmac profile - Oil'!$B$480:$AL$480),FALSE)</f>
        <v>0</v>
      </c>
      <c r="BA189" s="65">
        <f t="shared" si="118"/>
        <v>0</v>
      </c>
      <c r="BB189" s="65">
        <f t="shared" si="119"/>
        <v>0</v>
      </c>
      <c r="BC189" s="12">
        <f t="shared" si="120"/>
        <v>0</v>
      </c>
      <c r="BD189" s="12">
        <f t="shared" si="121"/>
        <v>0</v>
      </c>
      <c r="BE189" s="5">
        <f>VLOOKUP($B189,'Woodmac profile - Oil'!$B$447:$AL$474,MATCH(BE$171,'Woodmac profile - Oil'!$B$480:$AL$480),FALSE)</f>
        <v>0</v>
      </c>
      <c r="BF189" s="65">
        <f t="shared" si="122"/>
        <v>0</v>
      </c>
      <c r="BG189" s="65">
        <f t="shared" si="123"/>
        <v>0</v>
      </c>
      <c r="BH189" s="65">
        <f t="shared" si="124"/>
        <v>0</v>
      </c>
      <c r="BI189" s="65">
        <f t="shared" si="125"/>
        <v>0</v>
      </c>
      <c r="BJ189" s="5">
        <f>VLOOKUP($B189,'Woodmac profile - Oil'!$B$447:$AL$474,MATCH(BJ$171,'Woodmac profile - Oil'!$B$480:$AL$480),FALSE)</f>
        <v>0</v>
      </c>
      <c r="BK189" s="65">
        <f t="shared" si="126"/>
        <v>0</v>
      </c>
      <c r="BL189" s="65">
        <f t="shared" si="127"/>
        <v>0</v>
      </c>
      <c r="BM189" s="65">
        <f t="shared" si="128"/>
        <v>0</v>
      </c>
      <c r="BN189" s="12">
        <f t="shared" si="129"/>
        <v>0</v>
      </c>
      <c r="BO189" s="5">
        <f>VLOOKUP($B189,'Woodmac profile - Oil'!$B$447:$AL$474,MATCH(BO$171,'Woodmac profile - Oil'!$B$480:$AL$480),FALSE)</f>
        <v>0</v>
      </c>
      <c r="BP189" s="65">
        <f t="shared" si="130"/>
        <v>0</v>
      </c>
      <c r="BQ189" s="65">
        <f t="shared" si="131"/>
        <v>0</v>
      </c>
      <c r="BR189" s="12">
        <f t="shared" si="132"/>
        <v>0</v>
      </c>
      <c r="BS189" s="12">
        <f t="shared" si="133"/>
        <v>0</v>
      </c>
      <c r="BT189" s="5">
        <f>VLOOKUP($B189,'Woodmac profile - Oil'!$B$447:$AL$474,MATCH(BT$171,'Woodmac profile - Oil'!$B$480:$AL$480),FALSE)</f>
        <v>0</v>
      </c>
      <c r="BU189" s="65">
        <f t="shared" si="134"/>
        <v>0</v>
      </c>
      <c r="BV189" s="65">
        <f t="shared" si="135"/>
        <v>0</v>
      </c>
      <c r="BW189" s="12">
        <f t="shared" si="136"/>
        <v>0</v>
      </c>
      <c r="BX189" s="12">
        <f t="shared" si="137"/>
        <v>0</v>
      </c>
      <c r="BY189" s="5">
        <f>VLOOKUP($B189,'Woodmac profile - Oil'!$B$447:$AL$474,MATCH(BY$171,'Woodmac profile - Oil'!$B$480:$AL$480),FALSE)</f>
        <v>0</v>
      </c>
      <c r="BZ189" s="65">
        <f t="shared" si="138"/>
        <v>0</v>
      </c>
      <c r="CA189" s="65">
        <f t="shared" si="139"/>
        <v>0</v>
      </c>
      <c r="CB189" s="12">
        <f t="shared" si="140"/>
        <v>0</v>
      </c>
      <c r="CC189" s="12">
        <f t="shared" si="141"/>
        <v>0</v>
      </c>
      <c r="CD189" s="5">
        <f>VLOOKUP($B189,'Woodmac profile - Oil'!$B$447:$AL$474,MATCH(CD$171,'Woodmac profile - Oil'!$B$480:$AL$480),FALSE)</f>
        <v>0</v>
      </c>
    </row>
    <row r="190" spans="1:83">
      <c r="A190" s="39" t="s">
        <v>119</v>
      </c>
      <c r="B190" s="39"/>
      <c r="C190" s="52"/>
      <c r="D190" s="52"/>
      <c r="E190" s="8">
        <f t="shared" ref="E190:AF190" si="142">SUM(E184:E189)</f>
        <v>142.73000000000002</v>
      </c>
      <c r="F190" s="8">
        <f t="shared" si="142"/>
        <v>118.53</v>
      </c>
      <c r="G190" s="8">
        <f t="shared" si="142"/>
        <v>85.13000000000001</v>
      </c>
      <c r="H190" s="66">
        <f t="shared" si="142"/>
        <v>65.429999999999993</v>
      </c>
      <c r="I190" s="66">
        <f t="shared" si="142"/>
        <v>65.429999999999993</v>
      </c>
      <c r="J190" s="66">
        <f t="shared" si="142"/>
        <v>65.429999999999993</v>
      </c>
      <c r="K190" s="66">
        <f t="shared" si="142"/>
        <v>65.429999999999993</v>
      </c>
      <c r="L190" s="8">
        <f t="shared" si="142"/>
        <v>65.429999999999993</v>
      </c>
      <c r="M190" s="66">
        <f t="shared" ref="M190:P190" si="143">SUM(M184:M189)</f>
        <v>52.35</v>
      </c>
      <c r="N190" s="66">
        <f t="shared" si="143"/>
        <v>52.35</v>
      </c>
      <c r="O190" s="66">
        <f t="shared" si="143"/>
        <v>52.35</v>
      </c>
      <c r="P190" s="66">
        <f t="shared" si="143"/>
        <v>52.35</v>
      </c>
      <c r="Q190" s="8">
        <f t="shared" si="142"/>
        <v>52.35</v>
      </c>
      <c r="R190" s="66">
        <f t="shared" ref="R190:U190" si="144">SUM(R184:R189)</f>
        <v>53.070000000000007</v>
      </c>
      <c r="S190" s="66">
        <f t="shared" si="144"/>
        <v>53.070000000000007</v>
      </c>
      <c r="T190" s="66">
        <f t="shared" si="144"/>
        <v>53.070000000000007</v>
      </c>
      <c r="U190" s="66">
        <f t="shared" si="144"/>
        <v>53.070000000000007</v>
      </c>
      <c r="V190" s="8">
        <f t="shared" si="142"/>
        <v>53.070000000000007</v>
      </c>
      <c r="W190" s="66">
        <f t="shared" ref="W190:Z190" si="145">SUM(W184:W189)</f>
        <v>54.620000000000005</v>
      </c>
      <c r="X190" s="66">
        <f t="shared" si="145"/>
        <v>54.620000000000005</v>
      </c>
      <c r="Y190" s="66">
        <f t="shared" si="145"/>
        <v>54.620000000000005</v>
      </c>
      <c r="Z190" s="66">
        <f t="shared" si="145"/>
        <v>54.620000000000005</v>
      </c>
      <c r="AA190" s="8">
        <f t="shared" si="142"/>
        <v>54.620000000000005</v>
      </c>
      <c r="AB190" s="66">
        <f t="shared" ref="AB190:AE190" si="146">SUM(AB184:AB189)</f>
        <v>51.95</v>
      </c>
      <c r="AC190" s="66">
        <f t="shared" si="146"/>
        <v>51.95</v>
      </c>
      <c r="AD190" s="66">
        <f t="shared" si="146"/>
        <v>51.95</v>
      </c>
      <c r="AE190" s="66">
        <f t="shared" si="146"/>
        <v>51.95</v>
      </c>
      <c r="AF190" s="8">
        <f t="shared" si="142"/>
        <v>51.95</v>
      </c>
      <c r="AG190" s="66">
        <f t="shared" ref="AG190:AJ190" si="147">SUM(AG184:AG189)</f>
        <v>27.259999999999998</v>
      </c>
      <c r="AH190" s="66">
        <f t="shared" si="147"/>
        <v>27.259999999999998</v>
      </c>
      <c r="AI190" s="66">
        <f t="shared" si="147"/>
        <v>27.259999999999998</v>
      </c>
      <c r="AJ190" s="66">
        <f t="shared" si="147"/>
        <v>27.259999999999998</v>
      </c>
      <c r="AK190" s="8">
        <f t="shared" ref="AK190:BS190" si="148">SUM(AK184:AK189)</f>
        <v>27.259999999999998</v>
      </c>
      <c r="AL190" s="66">
        <f t="shared" si="148"/>
        <v>22.200000000000003</v>
      </c>
      <c r="AM190" s="66">
        <f t="shared" si="148"/>
        <v>22.200000000000003</v>
      </c>
      <c r="AN190" s="66">
        <f t="shared" si="148"/>
        <v>22.200000000000003</v>
      </c>
      <c r="AO190" s="66">
        <f t="shared" si="148"/>
        <v>22.200000000000003</v>
      </c>
      <c r="AP190" s="8">
        <f t="shared" si="148"/>
        <v>22.200000000000003</v>
      </c>
      <c r="AQ190" s="66">
        <f t="shared" si="148"/>
        <v>16.18</v>
      </c>
      <c r="AR190" s="66">
        <f t="shared" si="148"/>
        <v>16.18</v>
      </c>
      <c r="AS190" s="66">
        <f t="shared" si="148"/>
        <v>16.18</v>
      </c>
      <c r="AT190" s="66">
        <f t="shared" si="148"/>
        <v>16.18</v>
      </c>
      <c r="AU190" s="8">
        <f t="shared" si="148"/>
        <v>16.18</v>
      </c>
      <c r="AV190" s="66">
        <f t="shared" si="148"/>
        <v>17.239999999999998</v>
      </c>
      <c r="AW190" s="66">
        <f t="shared" si="148"/>
        <v>17.239999999999998</v>
      </c>
      <c r="AX190" s="66">
        <f t="shared" si="148"/>
        <v>17.239999999999998</v>
      </c>
      <c r="AY190" s="66">
        <f t="shared" si="148"/>
        <v>17.239999999999998</v>
      </c>
      <c r="AZ190" s="8">
        <f>SUM(AZ184:AZ189)</f>
        <v>17.239999999999998</v>
      </c>
      <c r="BA190" s="66">
        <f t="shared" ref="BA190:BD190" si="149">SUM(BA184:BA189)</f>
        <v>15.58</v>
      </c>
      <c r="BB190" s="66">
        <f t="shared" si="149"/>
        <v>15.58</v>
      </c>
      <c r="BC190" s="66">
        <f t="shared" si="149"/>
        <v>15.58</v>
      </c>
      <c r="BD190" s="66">
        <f t="shared" si="149"/>
        <v>15.58</v>
      </c>
      <c r="BE190" s="8">
        <f t="shared" si="148"/>
        <v>15.58</v>
      </c>
      <c r="BF190" s="66">
        <f t="shared" si="148"/>
        <v>13.51</v>
      </c>
      <c r="BG190" s="66">
        <f t="shared" si="148"/>
        <v>13.51</v>
      </c>
      <c r="BH190" s="66">
        <f t="shared" si="148"/>
        <v>13.51</v>
      </c>
      <c r="BI190" s="66">
        <f t="shared" si="148"/>
        <v>13.51</v>
      </c>
      <c r="BJ190" s="8">
        <f t="shared" si="148"/>
        <v>13.51</v>
      </c>
      <c r="BK190" s="66">
        <f t="shared" si="148"/>
        <v>15.25</v>
      </c>
      <c r="BL190" s="66">
        <f t="shared" si="148"/>
        <v>15.25</v>
      </c>
      <c r="BM190" s="66">
        <f t="shared" si="148"/>
        <v>15.25</v>
      </c>
      <c r="BN190" s="66">
        <f t="shared" si="148"/>
        <v>15.25</v>
      </c>
      <c r="BO190" s="8">
        <f t="shared" si="148"/>
        <v>15.25</v>
      </c>
      <c r="BP190" s="66">
        <f t="shared" si="148"/>
        <v>14.22</v>
      </c>
      <c r="BQ190" s="66">
        <f t="shared" si="148"/>
        <v>14.22</v>
      </c>
      <c r="BR190" s="66">
        <f t="shared" si="148"/>
        <v>14.22</v>
      </c>
      <c r="BS190" s="66">
        <f t="shared" si="148"/>
        <v>14.22</v>
      </c>
      <c r="BT190" s="8">
        <f t="shared" ref="BT190:CD190" si="150">SUM(BT184:BT189)</f>
        <v>14.22</v>
      </c>
      <c r="BU190" s="66">
        <f t="shared" si="150"/>
        <v>14.13</v>
      </c>
      <c r="BV190" s="66">
        <f t="shared" si="150"/>
        <v>14.13</v>
      </c>
      <c r="BW190" s="66">
        <f t="shared" si="150"/>
        <v>14.13</v>
      </c>
      <c r="BX190" s="66">
        <f t="shared" si="150"/>
        <v>14.13</v>
      </c>
      <c r="BY190" s="8">
        <f t="shared" si="150"/>
        <v>14.13</v>
      </c>
      <c r="BZ190" s="66">
        <f t="shared" si="150"/>
        <v>13.01</v>
      </c>
      <c r="CA190" s="66">
        <f t="shared" si="150"/>
        <v>13.01</v>
      </c>
      <c r="CB190" s="66">
        <f t="shared" si="150"/>
        <v>13.01</v>
      </c>
      <c r="CC190" s="66">
        <f t="shared" si="150"/>
        <v>13.01</v>
      </c>
      <c r="CD190" s="8">
        <f t="shared" si="150"/>
        <v>13.01</v>
      </c>
    </row>
    <row r="191" spans="1:83">
      <c r="A191" s="11"/>
      <c r="B191" s="11"/>
      <c r="C191" s="51"/>
      <c r="D191" s="51"/>
      <c r="E191" s="5"/>
      <c r="F191" s="5"/>
      <c r="G191" s="5"/>
      <c r="H191" s="12"/>
      <c r="I191" s="12"/>
      <c r="J191" s="12"/>
      <c r="K191" s="12"/>
      <c r="L191" s="5"/>
      <c r="M191" s="12"/>
      <c r="N191" s="12"/>
      <c r="O191" s="12"/>
      <c r="P191" s="12"/>
      <c r="Q191" s="5"/>
      <c r="R191" s="12"/>
      <c r="S191" s="12"/>
      <c r="T191" s="12"/>
      <c r="U191" s="12"/>
      <c r="V191" s="5"/>
      <c r="W191" s="12"/>
      <c r="X191" s="12"/>
      <c r="Y191" s="12"/>
      <c r="Z191" s="12"/>
      <c r="AA191" s="5"/>
      <c r="AB191" s="12"/>
      <c r="AC191" s="12"/>
      <c r="AD191" s="12"/>
      <c r="AE191" s="12"/>
      <c r="AF191" s="5"/>
      <c r="AG191" s="12"/>
      <c r="AH191" s="12"/>
      <c r="AI191" s="12"/>
      <c r="AJ191" s="12"/>
      <c r="AK191" s="5"/>
      <c r="AL191" s="12"/>
      <c r="AM191" s="12"/>
      <c r="AN191" s="12"/>
      <c r="AO191" s="12"/>
      <c r="AP191" s="5"/>
      <c r="AQ191" s="12"/>
      <c r="AR191" s="12"/>
      <c r="AS191" s="12"/>
      <c r="AT191" s="12"/>
      <c r="AU191" s="5"/>
      <c r="AV191" s="12"/>
      <c r="AW191" s="12"/>
      <c r="AX191" s="12"/>
      <c r="AY191" s="12"/>
      <c r="AZ191" s="5"/>
      <c r="BA191" s="12"/>
      <c r="BB191" s="12"/>
      <c r="BC191" s="12"/>
      <c r="BD191" s="12"/>
      <c r="BE191" s="5"/>
      <c r="BF191" s="12"/>
      <c r="BG191" s="12"/>
      <c r="BH191" s="12"/>
      <c r="BI191" s="12"/>
      <c r="BJ191" s="5"/>
      <c r="BK191" s="12"/>
      <c r="BL191" s="12"/>
      <c r="BM191" s="12"/>
      <c r="BN191" s="12"/>
      <c r="BO191" s="5"/>
      <c r="BP191" s="12"/>
      <c r="BQ191" s="12"/>
      <c r="BR191" s="12"/>
      <c r="BS191" s="12"/>
      <c r="BT191" s="5"/>
      <c r="BU191" s="12"/>
      <c r="BV191" s="12"/>
      <c r="BW191" s="12"/>
      <c r="BX191" s="12"/>
      <c r="BY191" s="5"/>
      <c r="BZ191" s="12"/>
      <c r="CA191" s="12"/>
      <c r="CB191" s="12"/>
      <c r="CC191" s="12"/>
      <c r="CD191" s="5"/>
    </row>
    <row r="192" spans="1:83">
      <c r="A192" s="39" t="s">
        <v>120</v>
      </c>
      <c r="B192" s="11"/>
      <c r="C192" s="51"/>
      <c r="D192" s="51"/>
      <c r="E192" s="5"/>
      <c r="F192" s="5"/>
      <c r="G192" s="5"/>
      <c r="H192" s="12"/>
      <c r="I192" s="12"/>
      <c r="J192" s="12"/>
      <c r="K192" s="12"/>
      <c r="L192" s="5"/>
      <c r="M192" s="12"/>
      <c r="N192" s="12"/>
      <c r="O192" s="12"/>
      <c r="P192" s="12"/>
      <c r="Q192" s="5"/>
      <c r="R192" s="12"/>
      <c r="S192" s="12"/>
      <c r="T192" s="12"/>
      <c r="U192" s="12"/>
      <c r="V192" s="5"/>
      <c r="W192" s="12"/>
      <c r="X192" s="12"/>
      <c r="Y192" s="12"/>
      <c r="Z192" s="12"/>
      <c r="AA192" s="5"/>
      <c r="AB192" s="12"/>
      <c r="AC192" s="12"/>
      <c r="AD192" s="12"/>
      <c r="AE192" s="12"/>
      <c r="AF192" s="5"/>
      <c r="AG192" s="12"/>
      <c r="AH192" s="12"/>
      <c r="AI192" s="12"/>
      <c r="AJ192" s="12"/>
      <c r="AK192" s="5"/>
      <c r="AL192" s="12"/>
      <c r="AM192" s="12"/>
      <c r="AN192" s="12"/>
      <c r="AO192" s="12"/>
      <c r="AP192" s="5"/>
      <c r="AQ192" s="12"/>
      <c r="AR192" s="12"/>
      <c r="AS192" s="12"/>
      <c r="AT192" s="12"/>
      <c r="AU192" s="5"/>
      <c r="AV192" s="12"/>
      <c r="AW192" s="12"/>
      <c r="AX192" s="12"/>
      <c r="AY192" s="12"/>
      <c r="AZ192" s="5"/>
      <c r="BA192" s="12"/>
      <c r="BB192" s="12"/>
      <c r="BC192" s="12"/>
      <c r="BD192" s="12"/>
      <c r="BE192" s="5"/>
      <c r="BF192" s="12"/>
      <c r="BG192" s="12"/>
      <c r="BH192" s="12"/>
      <c r="BI192" s="12"/>
      <c r="BJ192" s="5"/>
      <c r="BK192" s="12"/>
      <c r="BL192" s="12"/>
      <c r="BM192" s="12"/>
      <c r="BN192" s="12"/>
      <c r="BO192" s="5"/>
      <c r="BP192" s="12"/>
      <c r="BQ192" s="12"/>
      <c r="BR192" s="12"/>
      <c r="BS192" s="12"/>
      <c r="BT192" s="5"/>
      <c r="BU192" s="12"/>
      <c r="BV192" s="12"/>
      <c r="BW192" s="12"/>
      <c r="BX192" s="12"/>
      <c r="BY192" s="5"/>
      <c r="BZ192" s="12"/>
      <c r="CA192" s="12"/>
      <c r="CB192" s="12"/>
      <c r="CC192" s="12"/>
      <c r="CD192" s="5"/>
    </row>
    <row r="193" spans="1:83">
      <c r="A193" s="11"/>
      <c r="B193" s="11" t="s">
        <v>1473</v>
      </c>
      <c r="C193" s="52"/>
      <c r="D193" s="52"/>
      <c r="E193" s="5">
        <f>VLOOKUP($B193,'Woodmac profile - Oil'!$B$447:$AL$474,MATCH(E$171,'Woodmac profile - Oil'!$B$480:$AL$480),FALSE)</f>
        <v>0</v>
      </c>
      <c r="F193" s="5">
        <f>VLOOKUP($B193,'Woodmac profile - Oil'!$B$447:$AL$474,MATCH(F$171,'Woodmac profile - Oil'!$B$480:$AL$480),FALSE)</f>
        <v>0</v>
      </c>
      <c r="G193" s="5">
        <f>VLOOKUP($B193,'Woodmac profile - Oil'!$B$447:$AL$474,MATCH(G$171,'Woodmac profile - Oil'!$B$480:$AL$480),FALSE)</f>
        <v>0</v>
      </c>
      <c r="H193" s="65">
        <f>L193</f>
        <v>12.56</v>
      </c>
      <c r="I193" s="65">
        <f>L193</f>
        <v>12.56</v>
      </c>
      <c r="J193" s="12">
        <f>L193</f>
        <v>12.56</v>
      </c>
      <c r="K193" s="12">
        <f>L193</f>
        <v>12.56</v>
      </c>
      <c r="L193" s="5">
        <f>VLOOKUP($B193,'Woodmac profile - Oil'!$B$447:$AL$474,MATCH(L$171,'Woodmac profile - Oil'!$B$480:$AL$480),FALSE)</f>
        <v>12.56</v>
      </c>
      <c r="M193" s="65">
        <f>Q193</f>
        <v>16.559999999999999</v>
      </c>
      <c r="N193" s="65">
        <f>Q193</f>
        <v>16.559999999999999</v>
      </c>
      <c r="O193" s="12">
        <f>Q193</f>
        <v>16.559999999999999</v>
      </c>
      <c r="P193" s="12">
        <f>Q193</f>
        <v>16.559999999999999</v>
      </c>
      <c r="Q193" s="5">
        <f>VLOOKUP($B193,'Woodmac profile - Oil'!$B$447:$AL$474,MATCH(Q$171,'Woodmac profile - Oil'!$B$480:$AL$480),FALSE)</f>
        <v>16.559999999999999</v>
      </c>
      <c r="R193" s="65">
        <f>V193</f>
        <v>13.83</v>
      </c>
      <c r="S193" s="65">
        <f>V193</f>
        <v>13.83</v>
      </c>
      <c r="T193" s="12">
        <f>V193</f>
        <v>13.83</v>
      </c>
      <c r="U193" s="12">
        <f>V193</f>
        <v>13.83</v>
      </c>
      <c r="V193" s="5">
        <f>VLOOKUP($B193,'Woodmac profile - Oil'!$B$447:$AL$474,MATCH(V$171,'Woodmac profile - Oil'!$B$480:$AL$480),FALSE)</f>
        <v>13.83</v>
      </c>
      <c r="W193" s="65">
        <f>AA193</f>
        <v>18.64</v>
      </c>
      <c r="X193" s="65">
        <f>AA193</f>
        <v>18.64</v>
      </c>
      <c r="Y193" s="12">
        <f>AA193</f>
        <v>18.64</v>
      </c>
      <c r="Z193" s="12">
        <f>AA193</f>
        <v>18.64</v>
      </c>
      <c r="AA193" s="5">
        <f>VLOOKUP($B193,'Woodmac profile - Oil'!$B$447:$AL$474,MATCH(AA$171,'Woodmac profile - Oil'!$B$480:$AL$480),FALSE)</f>
        <v>18.64</v>
      </c>
      <c r="AB193" s="65">
        <f>AF193</f>
        <v>12.43</v>
      </c>
      <c r="AC193" s="65">
        <f>AF193</f>
        <v>12.43</v>
      </c>
      <c r="AD193" s="12">
        <f>AF193</f>
        <v>12.43</v>
      </c>
      <c r="AE193" s="12">
        <f>AF193</f>
        <v>12.43</v>
      </c>
      <c r="AF193" s="5">
        <f>VLOOKUP($B193,'Woodmac profile - Oil'!$B$447:$AL$474,MATCH(AF$171,'Woodmac profile - Oil'!$B$480:$AL$480),FALSE)</f>
        <v>12.43</v>
      </c>
      <c r="AG193" s="65">
        <f>AK193</f>
        <v>10.07</v>
      </c>
      <c r="AH193" s="65">
        <f>AK193</f>
        <v>10.07</v>
      </c>
      <c r="AI193" s="12">
        <f>AK193</f>
        <v>10.07</v>
      </c>
      <c r="AJ193" s="12">
        <f>AK193</f>
        <v>10.07</v>
      </c>
      <c r="AK193" s="5">
        <f>VLOOKUP($B193,'Woodmac profile - Oil'!$B$447:$AL$474,MATCH(AK$171,'Woodmac profile - Oil'!$B$480:$AL$480),FALSE)</f>
        <v>10.07</v>
      </c>
      <c r="AL193" s="65">
        <f>AP193</f>
        <v>9.61</v>
      </c>
      <c r="AM193" s="65">
        <f>AP193</f>
        <v>9.61</v>
      </c>
      <c r="AN193" s="12">
        <f>AP193</f>
        <v>9.61</v>
      </c>
      <c r="AO193" s="12">
        <f>AP193</f>
        <v>9.61</v>
      </c>
      <c r="AP193" s="5">
        <f>VLOOKUP($B193,'Woodmac profile - Oil'!$B$447:$AL$474,MATCH(AP$171,'Woodmac profile - Oil'!$B$480:$AL$480),FALSE)</f>
        <v>9.61</v>
      </c>
      <c r="AQ193" s="65">
        <f>AU193</f>
        <v>6.42</v>
      </c>
      <c r="AR193" s="65">
        <f>AU193</f>
        <v>6.42</v>
      </c>
      <c r="AS193" s="12">
        <f>AU193</f>
        <v>6.42</v>
      </c>
      <c r="AT193" s="12">
        <f>AU193</f>
        <v>6.42</v>
      </c>
      <c r="AU193" s="5">
        <f>VLOOKUP($B193,'Woodmac profile - Oil'!$B$447:$AL$474,MATCH(AU$171,'Woodmac profile - Oil'!$B$480:$AL$480),FALSE)</f>
        <v>6.42</v>
      </c>
      <c r="AV193" s="65">
        <f>AZ193</f>
        <v>8.99</v>
      </c>
      <c r="AW193" s="65">
        <f>AZ193</f>
        <v>8.99</v>
      </c>
      <c r="AX193" s="12">
        <f>AZ193</f>
        <v>8.99</v>
      </c>
      <c r="AY193" s="12">
        <f>AZ193</f>
        <v>8.99</v>
      </c>
      <c r="AZ193" s="5">
        <f>VLOOKUP($B193,'Woodmac profile - Oil'!$B$447:$AL$474,MATCH(AZ$171,'Woodmac profile - Oil'!$B$480:$AL$480),FALSE)</f>
        <v>8.99</v>
      </c>
      <c r="BA193" s="65">
        <f>BE193</f>
        <v>13.33</v>
      </c>
      <c r="BB193" s="65">
        <f>BE193</f>
        <v>13.33</v>
      </c>
      <c r="BC193" s="12">
        <f>BE193</f>
        <v>13.33</v>
      </c>
      <c r="BD193" s="12">
        <f>BE193</f>
        <v>13.33</v>
      </c>
      <c r="BE193" s="5">
        <f>VLOOKUP($B193,'Woodmac profile - Oil'!$B$447:$AL$474,MATCH(BE$171,'Woodmac profile - Oil'!$B$480:$AL$480),FALSE)</f>
        <v>13.33</v>
      </c>
      <c r="BF193" s="65">
        <f>BJ193</f>
        <v>12.77</v>
      </c>
      <c r="BG193" s="65">
        <f>BJ193</f>
        <v>12.77</v>
      </c>
      <c r="BH193" s="65">
        <f>BJ193</f>
        <v>12.77</v>
      </c>
      <c r="BI193" s="65">
        <f>BJ193</f>
        <v>12.77</v>
      </c>
      <c r="BJ193" s="5">
        <f>VLOOKUP($B193,'Woodmac profile - Oil'!$B$447:$AL$474,MATCH(BJ$171,'Woodmac profile - Oil'!$B$480:$AL$480),FALSE)</f>
        <v>12.77</v>
      </c>
      <c r="BK193" s="65">
        <f>BO193</f>
        <v>18.14</v>
      </c>
      <c r="BL193" s="65">
        <f>BO193</f>
        <v>18.14</v>
      </c>
      <c r="BM193" s="65">
        <f>BO193</f>
        <v>18.14</v>
      </c>
      <c r="BN193" s="12">
        <f>BO193</f>
        <v>18.14</v>
      </c>
      <c r="BO193" s="5">
        <f>VLOOKUP($B193,'Woodmac profile - Oil'!$B$447:$AL$474,MATCH(BO$171,'Woodmac profile - Oil'!$B$480:$AL$480),FALSE)</f>
        <v>18.14</v>
      </c>
      <c r="BP193" s="65">
        <f>BT193</f>
        <v>18.18</v>
      </c>
      <c r="BQ193" s="65">
        <f>BT193</f>
        <v>18.18</v>
      </c>
      <c r="BR193" s="12">
        <f>BT193</f>
        <v>18.18</v>
      </c>
      <c r="BS193" s="12">
        <f>BT193</f>
        <v>18.18</v>
      </c>
      <c r="BT193" s="5">
        <f>VLOOKUP($B193,'Woodmac profile - Oil'!$B$447:$AL$474,MATCH(BT$171,'Woodmac profile - Oil'!$B$480:$AL$480),FALSE)</f>
        <v>18.18</v>
      </c>
      <c r="BU193" s="65">
        <f>BY193</f>
        <v>18.239999999999998</v>
      </c>
      <c r="BV193" s="65">
        <f>BY193</f>
        <v>18.239999999999998</v>
      </c>
      <c r="BW193" s="12">
        <f>BY193</f>
        <v>18.239999999999998</v>
      </c>
      <c r="BX193" s="12">
        <f>BY193</f>
        <v>18.239999999999998</v>
      </c>
      <c r="BY193" s="5">
        <f>VLOOKUP($B193,'Woodmac profile - Oil'!$B$447:$AL$474,MATCH(BY$171,'Woodmac profile - Oil'!$B$480:$AL$480),FALSE)</f>
        <v>18.239999999999998</v>
      </c>
      <c r="BZ193" s="65">
        <f>CD193</f>
        <v>17.940000000000001</v>
      </c>
      <c r="CA193" s="65">
        <f>CD193</f>
        <v>17.940000000000001</v>
      </c>
      <c r="CB193" s="12">
        <f>CD193</f>
        <v>17.940000000000001</v>
      </c>
      <c r="CC193" s="12">
        <f>CD193</f>
        <v>17.940000000000001</v>
      </c>
      <c r="CD193" s="5">
        <f>VLOOKUP($B193,'Woodmac profile - Oil'!$B$447:$AL$474,MATCH(CD$171,'Woodmac profile - Oil'!$B$480:$AL$480),FALSE)</f>
        <v>17.940000000000001</v>
      </c>
    </row>
    <row r="194" spans="1:83">
      <c r="A194" s="11"/>
      <c r="B194" s="11" t="s">
        <v>1934</v>
      </c>
      <c r="C194" s="52"/>
      <c r="D194" s="52"/>
      <c r="E194" s="5">
        <f>VLOOKUP($B194,'Woodmac profile - Oil'!$B$447:$AL$474,MATCH(E$171,'Woodmac profile - Oil'!$B$480:$AL$480),FALSE)</f>
        <v>31.29</v>
      </c>
      <c r="F194" s="5">
        <f>VLOOKUP($B194,'Woodmac profile - Oil'!$B$447:$AL$474,MATCH(F$171,'Woodmac profile - Oil'!$B$480:$AL$480),FALSE)</f>
        <v>50.449999999999996</v>
      </c>
      <c r="G194" s="5">
        <f>VLOOKUP($B194,'Woodmac profile - Oil'!$B$447:$AL$474,MATCH(G$171,'Woodmac profile - Oil'!$B$480:$AL$480),FALSE)</f>
        <v>115.1</v>
      </c>
      <c r="H194" s="65">
        <f>L194</f>
        <v>124.82999999999998</v>
      </c>
      <c r="I194" s="65">
        <f>L194</f>
        <v>124.82999999999998</v>
      </c>
      <c r="J194" s="12">
        <f>L194</f>
        <v>124.82999999999998</v>
      </c>
      <c r="K194" s="12">
        <f>L194</f>
        <v>124.82999999999998</v>
      </c>
      <c r="L194" s="5">
        <f>VLOOKUP($B194,'Woodmac profile - Oil'!$B$447:$AL$474,MATCH(L$171,'Woodmac profile - Oil'!$B$480:$AL$480),FALSE)</f>
        <v>124.82999999999998</v>
      </c>
      <c r="M194" s="65">
        <f>Q194</f>
        <v>163.27999999999997</v>
      </c>
      <c r="N194" s="65">
        <f>Q194</f>
        <v>163.27999999999997</v>
      </c>
      <c r="O194" s="12">
        <f>Q194</f>
        <v>163.27999999999997</v>
      </c>
      <c r="P194" s="12">
        <f>Q194</f>
        <v>163.27999999999997</v>
      </c>
      <c r="Q194" s="5">
        <f>VLOOKUP($B194,'Woodmac profile - Oil'!$B$447:$AL$474,MATCH(Q$171,'Woodmac profile - Oil'!$B$480:$AL$480),FALSE)</f>
        <v>163.27999999999997</v>
      </c>
      <c r="R194" s="65">
        <f>V194</f>
        <v>200.28</v>
      </c>
      <c r="S194" s="65">
        <f>V194</f>
        <v>200.28</v>
      </c>
      <c r="T194" s="12">
        <f>V194</f>
        <v>200.28</v>
      </c>
      <c r="U194" s="12">
        <f>V194</f>
        <v>200.28</v>
      </c>
      <c r="V194" s="5">
        <f>VLOOKUP($B194,'Woodmac profile - Oil'!$B$447:$AL$474,MATCH(V$171,'Woodmac profile - Oil'!$B$480:$AL$480),FALSE)</f>
        <v>200.28</v>
      </c>
      <c r="W194" s="65">
        <f>AA194</f>
        <v>211.08999999999997</v>
      </c>
      <c r="X194" s="65">
        <f>AA194</f>
        <v>211.08999999999997</v>
      </c>
      <c r="Y194" s="12">
        <f>AA194</f>
        <v>211.08999999999997</v>
      </c>
      <c r="Z194" s="12">
        <f>AA194</f>
        <v>211.08999999999997</v>
      </c>
      <c r="AA194" s="5">
        <f>VLOOKUP($B194,'Woodmac profile - Oil'!$B$447:$AL$474,MATCH(AA$171,'Woodmac profile - Oil'!$B$480:$AL$480),FALSE)</f>
        <v>211.08999999999997</v>
      </c>
      <c r="AB194" s="65">
        <f>AF194</f>
        <v>164.73</v>
      </c>
      <c r="AC194" s="65">
        <f>AF194</f>
        <v>164.73</v>
      </c>
      <c r="AD194" s="12">
        <f>AF194</f>
        <v>164.73</v>
      </c>
      <c r="AE194" s="12">
        <f>AF194</f>
        <v>164.73</v>
      </c>
      <c r="AF194" s="5">
        <f>VLOOKUP($B194,'Woodmac profile - Oil'!$B$447:$AL$474,MATCH(AF$171,'Woodmac profile - Oil'!$B$480:$AL$480),FALSE)</f>
        <v>164.73</v>
      </c>
      <c r="AG194" s="65">
        <f>AK194</f>
        <v>123.45</v>
      </c>
      <c r="AH194" s="65">
        <f>AK194</f>
        <v>123.45</v>
      </c>
      <c r="AI194" s="12">
        <f>AK194</f>
        <v>123.45</v>
      </c>
      <c r="AJ194" s="12">
        <f>AK194</f>
        <v>123.45</v>
      </c>
      <c r="AK194" s="5">
        <f>VLOOKUP($B194,'Woodmac profile - Oil'!$B$447:$AL$474,MATCH(AK$171,'Woodmac profile - Oil'!$B$480:$AL$480),FALSE)</f>
        <v>123.45</v>
      </c>
      <c r="AL194" s="65">
        <f>AP194</f>
        <v>155</v>
      </c>
      <c r="AM194" s="65">
        <f>AP194</f>
        <v>155</v>
      </c>
      <c r="AN194" s="12">
        <f>AP194</f>
        <v>155</v>
      </c>
      <c r="AO194" s="12">
        <f>AP194</f>
        <v>155</v>
      </c>
      <c r="AP194" s="5">
        <f>VLOOKUP($B194,'Woodmac profile - Oil'!$B$447:$AL$474,MATCH(AP$171,'Woodmac profile - Oil'!$B$480:$AL$480),FALSE)</f>
        <v>155</v>
      </c>
      <c r="AQ194" s="65">
        <f>AU194</f>
        <v>190.09</v>
      </c>
      <c r="AR194" s="65">
        <f>AU194</f>
        <v>190.09</v>
      </c>
      <c r="AS194" s="12">
        <f>AU194</f>
        <v>190.09</v>
      </c>
      <c r="AT194" s="12">
        <f>AU194</f>
        <v>190.09</v>
      </c>
      <c r="AU194" s="5">
        <f>VLOOKUP($B194,'Woodmac profile - Oil'!$B$447:$AL$474,MATCH(AU$171,'Woodmac profile - Oil'!$B$480:$AL$480),FALSE)</f>
        <v>190.09</v>
      </c>
      <c r="AV194" s="65">
        <f>AZ194</f>
        <v>194.70999999999995</v>
      </c>
      <c r="AW194" s="65">
        <f>AZ194</f>
        <v>194.70999999999995</v>
      </c>
      <c r="AX194" s="12">
        <f>AZ194</f>
        <v>194.70999999999995</v>
      </c>
      <c r="AY194" s="12">
        <f>AZ194</f>
        <v>194.70999999999995</v>
      </c>
      <c r="AZ194" s="5">
        <f>VLOOKUP($B194,'Woodmac profile - Oil'!$B$447:$AL$474,MATCH(AZ$171,'Woodmac profile - Oil'!$B$480:$AL$480),FALSE)</f>
        <v>194.70999999999995</v>
      </c>
      <c r="BA194" s="65">
        <f>BE194</f>
        <v>219.66999999999996</v>
      </c>
      <c r="BB194" s="65">
        <f>BE194</f>
        <v>219.66999999999996</v>
      </c>
      <c r="BC194" s="12">
        <f>BE194</f>
        <v>219.66999999999996</v>
      </c>
      <c r="BD194" s="12">
        <f>BE194</f>
        <v>219.66999999999996</v>
      </c>
      <c r="BE194" s="5">
        <f>VLOOKUP($B194,'Woodmac profile - Oil'!$B$447:$AL$474,MATCH(BE$171,'Woodmac profile - Oil'!$B$480:$AL$480),FALSE)</f>
        <v>219.66999999999996</v>
      </c>
      <c r="BF194" s="65">
        <f>BJ194</f>
        <v>210.61999999999998</v>
      </c>
      <c r="BG194" s="65">
        <f>BJ194</f>
        <v>210.61999999999998</v>
      </c>
      <c r="BH194" s="65">
        <f>BJ194</f>
        <v>210.61999999999998</v>
      </c>
      <c r="BI194" s="65">
        <f>BJ194</f>
        <v>210.61999999999998</v>
      </c>
      <c r="BJ194" s="5">
        <f>VLOOKUP($B194,'Woodmac profile - Oil'!$B$447:$AL$474,MATCH(BJ$171,'Woodmac profile - Oil'!$B$480:$AL$480),FALSE)</f>
        <v>210.61999999999998</v>
      </c>
      <c r="BK194" s="65">
        <f>BO194</f>
        <v>187.63</v>
      </c>
      <c r="BL194" s="65">
        <f>BO194</f>
        <v>187.63</v>
      </c>
      <c r="BM194" s="65">
        <f>BO194</f>
        <v>187.63</v>
      </c>
      <c r="BN194" s="12">
        <f>BO194</f>
        <v>187.63</v>
      </c>
      <c r="BO194" s="5">
        <f>VLOOKUP($B194,'Woodmac profile - Oil'!$B$447:$AL$474,MATCH(BO$171,'Woodmac profile - Oil'!$B$480:$AL$480),FALSE)</f>
        <v>187.63</v>
      </c>
      <c r="BP194" s="65">
        <f>BT194</f>
        <v>170.45</v>
      </c>
      <c r="BQ194" s="65">
        <f>BT194</f>
        <v>170.45</v>
      </c>
      <c r="BR194" s="12">
        <f>BT194</f>
        <v>170.45</v>
      </c>
      <c r="BS194" s="12">
        <f>BT194</f>
        <v>170.45</v>
      </c>
      <c r="BT194" s="5">
        <f>VLOOKUP($B194,'Woodmac profile - Oil'!$B$447:$AL$474,MATCH(BT$171,'Woodmac profile - Oil'!$B$480:$AL$480),FALSE)</f>
        <v>170.45</v>
      </c>
      <c r="BU194" s="65">
        <f>BY194</f>
        <v>148.31000000000006</v>
      </c>
      <c r="BV194" s="65">
        <f>BY194</f>
        <v>148.31000000000006</v>
      </c>
      <c r="BW194" s="12">
        <f>BY194</f>
        <v>148.31000000000006</v>
      </c>
      <c r="BX194" s="12">
        <f>BY194</f>
        <v>148.31000000000006</v>
      </c>
      <c r="BY194" s="5">
        <f>VLOOKUP($B194,'Woodmac profile - Oil'!$B$447:$AL$474,MATCH(BY$171,'Woodmac profile - Oil'!$B$480:$AL$480),FALSE)</f>
        <v>148.31000000000006</v>
      </c>
      <c r="BZ194" s="65">
        <f>CD194</f>
        <v>133.56</v>
      </c>
      <c r="CA194" s="65">
        <f>CD194</f>
        <v>133.56</v>
      </c>
      <c r="CB194" s="12">
        <f>CD194</f>
        <v>133.56</v>
      </c>
      <c r="CC194" s="12">
        <f>CD194</f>
        <v>133.56</v>
      </c>
      <c r="CD194" s="5">
        <f>VLOOKUP($B194,'Woodmac profile - Oil'!$B$447:$AL$474,MATCH(CD$171,'Woodmac profile - Oil'!$B$480:$AL$480),FALSE)</f>
        <v>133.56</v>
      </c>
    </row>
    <row r="195" spans="1:83">
      <c r="A195" s="11"/>
      <c r="B195" s="11" t="s">
        <v>2251</v>
      </c>
      <c r="C195" s="52"/>
      <c r="D195" s="52"/>
      <c r="E195" s="5">
        <f>VLOOKUP($B195,'Woodmac profile - Oil'!$B$447:$AL$474,MATCH(E$171,'Woodmac profile - Oil'!$B$480:$AL$480),FALSE)</f>
        <v>83.089999999999989</v>
      </c>
      <c r="F195" s="5">
        <f>VLOOKUP($B195,'Woodmac profile - Oil'!$B$447:$AL$474,MATCH(F$171,'Woodmac profile - Oil'!$B$480:$AL$480),FALSE)</f>
        <v>71.97</v>
      </c>
      <c r="G195" s="5">
        <f>VLOOKUP($B195,'Woodmac profile - Oil'!$B$447:$AL$474,MATCH(G$171,'Woodmac profile - Oil'!$B$480:$AL$480),FALSE)</f>
        <v>67.739999999999995</v>
      </c>
      <c r="H195" s="65">
        <f>L195</f>
        <v>46.17</v>
      </c>
      <c r="I195" s="65">
        <f>L195</f>
        <v>46.17</v>
      </c>
      <c r="J195" s="12">
        <f>L195</f>
        <v>46.17</v>
      </c>
      <c r="K195" s="12">
        <f>L195</f>
        <v>46.17</v>
      </c>
      <c r="L195" s="5">
        <f>VLOOKUP($B195,'Woodmac profile - Oil'!$B$447:$AL$474,MATCH(L$171,'Woodmac profile - Oil'!$B$480:$AL$480),FALSE)</f>
        <v>46.17</v>
      </c>
      <c r="M195" s="65">
        <f>Q195</f>
        <v>52.019999999999996</v>
      </c>
      <c r="N195" s="65">
        <f>Q195</f>
        <v>52.019999999999996</v>
      </c>
      <c r="O195" s="12">
        <f>Q195</f>
        <v>52.019999999999996</v>
      </c>
      <c r="P195" s="12">
        <f>Q195</f>
        <v>52.019999999999996</v>
      </c>
      <c r="Q195" s="5">
        <f>VLOOKUP($B195,'Woodmac profile - Oil'!$B$447:$AL$474,MATCH(Q$171,'Woodmac profile - Oil'!$B$480:$AL$480),FALSE)</f>
        <v>52.019999999999996</v>
      </c>
      <c r="R195" s="65">
        <f>V195</f>
        <v>41.37</v>
      </c>
      <c r="S195" s="65">
        <f>V195</f>
        <v>41.37</v>
      </c>
      <c r="T195" s="12">
        <f>V195</f>
        <v>41.37</v>
      </c>
      <c r="U195" s="12">
        <f>V195</f>
        <v>41.37</v>
      </c>
      <c r="V195" s="5">
        <f>VLOOKUP($B195,'Woodmac profile - Oil'!$B$447:$AL$474,MATCH(V$171,'Woodmac profile - Oil'!$B$480:$AL$480),FALSE)</f>
        <v>41.37</v>
      </c>
      <c r="W195" s="65">
        <f>AA195</f>
        <v>48.51</v>
      </c>
      <c r="X195" s="65">
        <f>AA195</f>
        <v>48.51</v>
      </c>
      <c r="Y195" s="12">
        <f>AA195</f>
        <v>48.51</v>
      </c>
      <c r="Z195" s="12">
        <f>AA195</f>
        <v>48.51</v>
      </c>
      <c r="AA195" s="5">
        <f>VLOOKUP($B195,'Woodmac profile - Oil'!$B$447:$AL$474,MATCH(AA$171,'Woodmac profile - Oil'!$B$480:$AL$480),FALSE)</f>
        <v>48.51</v>
      </c>
      <c r="AB195" s="65">
        <f>AF195</f>
        <v>41.820000000000007</v>
      </c>
      <c r="AC195" s="65">
        <f>AF195</f>
        <v>41.820000000000007</v>
      </c>
      <c r="AD195" s="12">
        <f>AF195</f>
        <v>41.820000000000007</v>
      </c>
      <c r="AE195" s="12">
        <f>AF195</f>
        <v>41.820000000000007</v>
      </c>
      <c r="AF195" s="5">
        <f>VLOOKUP($B195,'Woodmac profile - Oil'!$B$447:$AL$474,MATCH(AF$171,'Woodmac profile - Oil'!$B$480:$AL$480),FALSE)</f>
        <v>41.820000000000007</v>
      </c>
      <c r="AG195" s="65">
        <f>AK195</f>
        <v>33.690000000000005</v>
      </c>
      <c r="AH195" s="65">
        <f>AK195</f>
        <v>33.690000000000005</v>
      </c>
      <c r="AI195" s="12">
        <f>AK195</f>
        <v>33.690000000000005</v>
      </c>
      <c r="AJ195" s="12">
        <f>AK195</f>
        <v>33.690000000000005</v>
      </c>
      <c r="AK195" s="5">
        <f>VLOOKUP($B195,'Woodmac profile - Oil'!$B$447:$AL$474,MATCH(AK$171,'Woodmac profile - Oil'!$B$480:$AL$480),FALSE)</f>
        <v>33.690000000000005</v>
      </c>
      <c r="AL195" s="65">
        <f>AP195</f>
        <v>31.419999999999995</v>
      </c>
      <c r="AM195" s="65">
        <f>AP195</f>
        <v>31.419999999999995</v>
      </c>
      <c r="AN195" s="12">
        <f>AP195</f>
        <v>31.419999999999995</v>
      </c>
      <c r="AO195" s="12">
        <f>AP195</f>
        <v>31.419999999999995</v>
      </c>
      <c r="AP195" s="5">
        <f>VLOOKUP($B195,'Woodmac profile - Oil'!$B$447:$AL$474,MATCH(AP$171,'Woodmac profile - Oil'!$B$480:$AL$480),FALSE)</f>
        <v>31.419999999999995</v>
      </c>
      <c r="AQ195" s="65">
        <f>AU195</f>
        <v>28.880000000000003</v>
      </c>
      <c r="AR195" s="65">
        <f>AU195</f>
        <v>28.880000000000003</v>
      </c>
      <c r="AS195" s="12">
        <f>AU195</f>
        <v>28.880000000000003</v>
      </c>
      <c r="AT195" s="12">
        <f>AU195</f>
        <v>28.880000000000003</v>
      </c>
      <c r="AU195" s="5">
        <f>VLOOKUP($B195,'Woodmac profile - Oil'!$B$447:$AL$474,MATCH(AU$171,'Woodmac profile - Oil'!$B$480:$AL$480),FALSE)</f>
        <v>28.880000000000003</v>
      </c>
      <c r="AV195" s="65">
        <f>AZ195</f>
        <v>37.169999999999995</v>
      </c>
      <c r="AW195" s="65">
        <f>AZ195</f>
        <v>37.169999999999995</v>
      </c>
      <c r="AX195" s="12">
        <f>AZ195</f>
        <v>37.169999999999995</v>
      </c>
      <c r="AY195" s="12">
        <f>AZ195</f>
        <v>37.169999999999995</v>
      </c>
      <c r="AZ195" s="5">
        <f>VLOOKUP($B195,'Woodmac profile - Oil'!$B$447:$AL$474,MATCH(AZ$171,'Woodmac profile - Oil'!$B$480:$AL$480),FALSE)</f>
        <v>37.169999999999995</v>
      </c>
      <c r="BA195" s="65">
        <f>BE195</f>
        <v>44.87</v>
      </c>
      <c r="BB195" s="65">
        <f>BE195</f>
        <v>44.87</v>
      </c>
      <c r="BC195" s="12">
        <f>BE195</f>
        <v>44.87</v>
      </c>
      <c r="BD195" s="12">
        <f>BE195</f>
        <v>44.87</v>
      </c>
      <c r="BE195" s="5">
        <f>VLOOKUP($B195,'Woodmac profile - Oil'!$B$447:$AL$474,MATCH(BE$171,'Woodmac profile - Oil'!$B$480:$AL$480),FALSE)</f>
        <v>44.87</v>
      </c>
      <c r="BF195" s="65">
        <f>BJ195</f>
        <v>46.7</v>
      </c>
      <c r="BG195" s="65">
        <f>BJ195</f>
        <v>46.7</v>
      </c>
      <c r="BH195" s="65">
        <f>BJ195</f>
        <v>46.7</v>
      </c>
      <c r="BI195" s="65">
        <f>BJ195</f>
        <v>46.7</v>
      </c>
      <c r="BJ195" s="5">
        <f>VLOOKUP($B195,'Woodmac profile - Oil'!$B$447:$AL$474,MATCH(BJ$171,'Woodmac profile - Oil'!$B$480:$AL$480),FALSE)</f>
        <v>46.7</v>
      </c>
      <c r="BK195" s="65">
        <f>BO195</f>
        <v>44.47</v>
      </c>
      <c r="BL195" s="65">
        <f>BO195</f>
        <v>44.47</v>
      </c>
      <c r="BM195" s="65">
        <f>BO195</f>
        <v>44.47</v>
      </c>
      <c r="BN195" s="12">
        <f>BO195</f>
        <v>44.47</v>
      </c>
      <c r="BO195" s="5">
        <f>VLOOKUP($B195,'Woodmac profile - Oil'!$B$447:$AL$474,MATCH(BO$171,'Woodmac profile - Oil'!$B$480:$AL$480),FALSE)</f>
        <v>44.47</v>
      </c>
      <c r="BP195" s="65">
        <f>BT195</f>
        <v>44.06</v>
      </c>
      <c r="BQ195" s="65">
        <f>BT195</f>
        <v>44.06</v>
      </c>
      <c r="BR195" s="12">
        <f>BT195</f>
        <v>44.06</v>
      </c>
      <c r="BS195" s="12">
        <f>BT195</f>
        <v>44.06</v>
      </c>
      <c r="BT195" s="5">
        <f>VLOOKUP($B195,'Woodmac profile - Oil'!$B$447:$AL$474,MATCH(BT$171,'Woodmac profile - Oil'!$B$480:$AL$480),FALSE)</f>
        <v>44.06</v>
      </c>
      <c r="BU195" s="65">
        <f>BY195</f>
        <v>46.94</v>
      </c>
      <c r="BV195" s="65">
        <f>BY195</f>
        <v>46.94</v>
      </c>
      <c r="BW195" s="12">
        <f>BY195</f>
        <v>46.94</v>
      </c>
      <c r="BX195" s="12">
        <f>BY195</f>
        <v>46.94</v>
      </c>
      <c r="BY195" s="5">
        <f>VLOOKUP($B195,'Woodmac profile - Oil'!$B$447:$AL$474,MATCH(BY$171,'Woodmac profile - Oil'!$B$480:$AL$480),FALSE)</f>
        <v>46.94</v>
      </c>
      <c r="BZ195" s="65">
        <f>CD195</f>
        <v>49.70000000000001</v>
      </c>
      <c r="CA195" s="65">
        <f>CD195</f>
        <v>49.70000000000001</v>
      </c>
      <c r="CB195" s="12">
        <f>CD195</f>
        <v>49.70000000000001</v>
      </c>
      <c r="CC195" s="12">
        <f>CD195</f>
        <v>49.70000000000001</v>
      </c>
      <c r="CD195" s="5">
        <f>VLOOKUP($B195,'Woodmac profile - Oil'!$B$447:$AL$474,MATCH(CD$171,'Woodmac profile - Oil'!$B$480:$AL$480),FALSE)</f>
        <v>49.70000000000001</v>
      </c>
    </row>
    <row r="196" spans="1:83">
      <c r="A196" s="39" t="s">
        <v>2461</v>
      </c>
      <c r="B196" s="39"/>
      <c r="C196" s="52"/>
      <c r="D196" s="52"/>
      <c r="E196" s="8">
        <f t="shared" ref="E196:AF196" si="151">SUM(E193:E195)</f>
        <v>114.38</v>
      </c>
      <c r="F196" s="8">
        <f t="shared" si="151"/>
        <v>122.41999999999999</v>
      </c>
      <c r="G196" s="8">
        <f t="shared" si="151"/>
        <v>182.83999999999997</v>
      </c>
      <c r="H196" s="66">
        <f t="shared" si="151"/>
        <v>183.56</v>
      </c>
      <c r="I196" s="66">
        <f t="shared" si="151"/>
        <v>183.56</v>
      </c>
      <c r="J196" s="66">
        <f t="shared" si="151"/>
        <v>183.56</v>
      </c>
      <c r="K196" s="66">
        <f t="shared" si="151"/>
        <v>183.56</v>
      </c>
      <c r="L196" s="8">
        <f t="shared" si="151"/>
        <v>183.56</v>
      </c>
      <c r="M196" s="66">
        <f t="shared" ref="M196:P196" si="152">SUM(M193:M195)</f>
        <v>231.85999999999996</v>
      </c>
      <c r="N196" s="66">
        <f t="shared" si="152"/>
        <v>231.85999999999996</v>
      </c>
      <c r="O196" s="66">
        <f t="shared" si="152"/>
        <v>231.85999999999996</v>
      </c>
      <c r="P196" s="66">
        <f t="shared" si="152"/>
        <v>231.85999999999996</v>
      </c>
      <c r="Q196" s="8">
        <f t="shared" si="151"/>
        <v>231.85999999999996</v>
      </c>
      <c r="R196" s="66">
        <f t="shared" ref="R196:U196" si="153">SUM(R193:R195)</f>
        <v>255.48000000000002</v>
      </c>
      <c r="S196" s="66">
        <f t="shared" si="153"/>
        <v>255.48000000000002</v>
      </c>
      <c r="T196" s="66">
        <f t="shared" si="153"/>
        <v>255.48000000000002</v>
      </c>
      <c r="U196" s="66">
        <f t="shared" si="153"/>
        <v>255.48000000000002</v>
      </c>
      <c r="V196" s="8">
        <f t="shared" si="151"/>
        <v>255.48000000000002</v>
      </c>
      <c r="W196" s="66">
        <f t="shared" ref="W196:Z196" si="154">SUM(W193:W195)</f>
        <v>278.23999999999995</v>
      </c>
      <c r="X196" s="66">
        <f t="shared" si="154"/>
        <v>278.23999999999995</v>
      </c>
      <c r="Y196" s="66">
        <f t="shared" si="154"/>
        <v>278.23999999999995</v>
      </c>
      <c r="Z196" s="66">
        <f t="shared" si="154"/>
        <v>278.23999999999995</v>
      </c>
      <c r="AA196" s="8">
        <f t="shared" si="151"/>
        <v>278.23999999999995</v>
      </c>
      <c r="AB196" s="66">
        <f t="shared" ref="AB196:AE196" si="155">SUM(AB193:AB195)</f>
        <v>218.98000000000002</v>
      </c>
      <c r="AC196" s="66">
        <f t="shared" si="155"/>
        <v>218.98000000000002</v>
      </c>
      <c r="AD196" s="66">
        <f t="shared" si="155"/>
        <v>218.98000000000002</v>
      </c>
      <c r="AE196" s="66">
        <f t="shared" si="155"/>
        <v>218.98000000000002</v>
      </c>
      <c r="AF196" s="8">
        <f t="shared" si="151"/>
        <v>218.98000000000002</v>
      </c>
      <c r="AG196" s="66">
        <f t="shared" ref="AG196:AJ196" si="156">SUM(AG193:AG195)</f>
        <v>167.21</v>
      </c>
      <c r="AH196" s="66">
        <f t="shared" si="156"/>
        <v>167.21</v>
      </c>
      <c r="AI196" s="66">
        <f t="shared" si="156"/>
        <v>167.21</v>
      </c>
      <c r="AJ196" s="66">
        <f t="shared" si="156"/>
        <v>167.21</v>
      </c>
      <c r="AK196" s="8">
        <f t="shared" ref="AK196:BS196" si="157">SUM(AK193:AK195)</f>
        <v>167.21</v>
      </c>
      <c r="AL196" s="66">
        <f t="shared" si="157"/>
        <v>196.03</v>
      </c>
      <c r="AM196" s="66">
        <f t="shared" si="157"/>
        <v>196.03</v>
      </c>
      <c r="AN196" s="66">
        <f t="shared" si="157"/>
        <v>196.03</v>
      </c>
      <c r="AO196" s="66">
        <f t="shared" si="157"/>
        <v>196.03</v>
      </c>
      <c r="AP196" s="8">
        <f t="shared" si="157"/>
        <v>196.03</v>
      </c>
      <c r="AQ196" s="66">
        <f t="shared" si="157"/>
        <v>225.39</v>
      </c>
      <c r="AR196" s="66">
        <f t="shared" si="157"/>
        <v>225.39</v>
      </c>
      <c r="AS196" s="66">
        <f t="shared" si="157"/>
        <v>225.39</v>
      </c>
      <c r="AT196" s="66">
        <f t="shared" si="157"/>
        <v>225.39</v>
      </c>
      <c r="AU196" s="8">
        <f t="shared" si="157"/>
        <v>225.39</v>
      </c>
      <c r="AV196" s="66">
        <f t="shared" si="157"/>
        <v>240.86999999999995</v>
      </c>
      <c r="AW196" s="66">
        <f t="shared" si="157"/>
        <v>240.86999999999995</v>
      </c>
      <c r="AX196" s="66">
        <f t="shared" si="157"/>
        <v>240.86999999999995</v>
      </c>
      <c r="AY196" s="66">
        <f t="shared" si="157"/>
        <v>240.86999999999995</v>
      </c>
      <c r="AZ196" s="8">
        <f>SUM(AZ193:AZ195)</f>
        <v>240.86999999999995</v>
      </c>
      <c r="BA196" s="66">
        <f t="shared" ref="BA196:BD196" si="158">SUM(BA193:BA195)</f>
        <v>277.86999999999995</v>
      </c>
      <c r="BB196" s="66">
        <f t="shared" si="158"/>
        <v>277.86999999999995</v>
      </c>
      <c r="BC196" s="66">
        <f t="shared" si="158"/>
        <v>277.86999999999995</v>
      </c>
      <c r="BD196" s="66">
        <f t="shared" si="158"/>
        <v>277.86999999999995</v>
      </c>
      <c r="BE196" s="8">
        <f t="shared" si="157"/>
        <v>277.86999999999995</v>
      </c>
      <c r="BF196" s="66">
        <f t="shared" si="157"/>
        <v>270.08999999999997</v>
      </c>
      <c r="BG196" s="66">
        <f t="shared" si="157"/>
        <v>270.08999999999997</v>
      </c>
      <c r="BH196" s="66">
        <f t="shared" si="157"/>
        <v>270.08999999999997</v>
      </c>
      <c r="BI196" s="66">
        <f t="shared" si="157"/>
        <v>270.08999999999997</v>
      </c>
      <c r="BJ196" s="8">
        <f t="shared" si="157"/>
        <v>270.08999999999997</v>
      </c>
      <c r="BK196" s="66">
        <f t="shared" si="157"/>
        <v>250.23999999999998</v>
      </c>
      <c r="BL196" s="66">
        <f t="shared" si="157"/>
        <v>250.23999999999998</v>
      </c>
      <c r="BM196" s="66">
        <f t="shared" si="157"/>
        <v>250.23999999999998</v>
      </c>
      <c r="BN196" s="66">
        <f t="shared" si="157"/>
        <v>250.23999999999998</v>
      </c>
      <c r="BO196" s="8">
        <f t="shared" si="157"/>
        <v>250.23999999999998</v>
      </c>
      <c r="BP196" s="66">
        <f t="shared" si="157"/>
        <v>232.69</v>
      </c>
      <c r="BQ196" s="66">
        <f t="shared" si="157"/>
        <v>232.69</v>
      </c>
      <c r="BR196" s="66">
        <f t="shared" si="157"/>
        <v>232.69</v>
      </c>
      <c r="BS196" s="66">
        <f t="shared" si="157"/>
        <v>232.69</v>
      </c>
      <c r="BT196" s="8">
        <f t="shared" ref="BT196:CD196" si="159">SUM(BT193:BT195)</f>
        <v>232.69</v>
      </c>
      <c r="BU196" s="66">
        <f t="shared" si="159"/>
        <v>213.49000000000007</v>
      </c>
      <c r="BV196" s="66">
        <f t="shared" si="159"/>
        <v>213.49000000000007</v>
      </c>
      <c r="BW196" s="66">
        <f t="shared" si="159"/>
        <v>213.49000000000007</v>
      </c>
      <c r="BX196" s="66">
        <f t="shared" si="159"/>
        <v>213.49000000000007</v>
      </c>
      <c r="BY196" s="8">
        <f t="shared" si="159"/>
        <v>213.49000000000007</v>
      </c>
      <c r="BZ196" s="66">
        <f t="shared" si="159"/>
        <v>201.20000000000002</v>
      </c>
      <c r="CA196" s="66">
        <f t="shared" si="159"/>
        <v>201.20000000000002</v>
      </c>
      <c r="CB196" s="66">
        <f t="shared" si="159"/>
        <v>201.20000000000002</v>
      </c>
      <c r="CC196" s="66">
        <f t="shared" si="159"/>
        <v>201.20000000000002</v>
      </c>
      <c r="CD196" s="8">
        <f t="shared" si="159"/>
        <v>201.20000000000002</v>
      </c>
    </row>
    <row r="197" spans="1:83">
      <c r="A197" s="11"/>
      <c r="B197" s="11"/>
      <c r="C197" s="51"/>
      <c r="D197" s="51"/>
      <c r="E197" s="5"/>
      <c r="F197" s="5"/>
      <c r="G197" s="5"/>
      <c r="H197" s="12"/>
      <c r="I197" s="12"/>
      <c r="J197" s="12"/>
      <c r="K197" s="12"/>
      <c r="L197" s="5"/>
      <c r="M197" s="12"/>
      <c r="N197" s="12"/>
      <c r="O197" s="12"/>
      <c r="P197" s="12"/>
      <c r="Q197" s="5"/>
      <c r="R197" s="12"/>
      <c r="S197" s="12"/>
      <c r="T197" s="12"/>
      <c r="U197" s="12"/>
      <c r="V197" s="5"/>
      <c r="W197" s="12"/>
      <c r="X197" s="12"/>
      <c r="Y197" s="12"/>
      <c r="Z197" s="12"/>
      <c r="AA197" s="5"/>
      <c r="AB197" s="12"/>
      <c r="AC197" s="12"/>
      <c r="AD197" s="12"/>
      <c r="AE197" s="12"/>
      <c r="AF197" s="5"/>
      <c r="AG197" s="12"/>
      <c r="AH197" s="12"/>
      <c r="AI197" s="12"/>
      <c r="AJ197" s="12"/>
      <c r="AK197" s="5"/>
      <c r="AL197" s="12"/>
      <c r="AM197" s="12"/>
      <c r="AN197" s="12"/>
      <c r="AO197" s="12"/>
      <c r="AP197" s="5"/>
      <c r="AQ197" s="12"/>
      <c r="AR197" s="12"/>
      <c r="AS197" s="12"/>
      <c r="AT197" s="12"/>
      <c r="AU197" s="5"/>
      <c r="AV197" s="12"/>
      <c r="AW197" s="12"/>
      <c r="AX197" s="12"/>
      <c r="AY197" s="12"/>
      <c r="AZ197" s="5"/>
      <c r="BA197" s="12"/>
      <c r="BB197" s="12"/>
      <c r="BC197" s="12"/>
      <c r="BD197" s="12"/>
      <c r="BE197" s="5"/>
      <c r="BF197" s="12"/>
      <c r="BG197" s="12"/>
      <c r="BH197" s="12"/>
      <c r="BI197" s="12"/>
      <c r="BJ197" s="5"/>
      <c r="BK197" s="12"/>
      <c r="BL197" s="12"/>
      <c r="BM197" s="12"/>
      <c r="BN197" s="12"/>
      <c r="BO197" s="5"/>
      <c r="BP197" s="12"/>
      <c r="BQ197" s="12"/>
      <c r="BR197" s="12"/>
      <c r="BS197" s="12"/>
      <c r="BT197" s="5"/>
      <c r="BU197" s="12"/>
      <c r="BV197" s="12"/>
      <c r="BW197" s="12"/>
      <c r="BX197" s="12"/>
      <c r="BY197" s="5"/>
      <c r="BZ197" s="12"/>
      <c r="CA197" s="12"/>
      <c r="CB197" s="12"/>
      <c r="CC197" s="12"/>
      <c r="CD197" s="5"/>
    </row>
    <row r="198" spans="1:83">
      <c r="A198" s="39" t="s">
        <v>2462</v>
      </c>
      <c r="B198" s="11"/>
      <c r="C198" s="51"/>
      <c r="D198" s="51"/>
      <c r="E198" s="5"/>
      <c r="F198" s="5"/>
      <c r="G198" s="5"/>
      <c r="H198" s="12"/>
      <c r="I198" s="12"/>
      <c r="J198" s="12"/>
      <c r="K198" s="12"/>
      <c r="L198" s="5"/>
      <c r="M198" s="12"/>
      <c r="N198" s="12"/>
      <c r="O198" s="12"/>
      <c r="P198" s="12"/>
      <c r="Q198" s="5"/>
      <c r="R198" s="12"/>
      <c r="S198" s="12"/>
      <c r="T198" s="12"/>
      <c r="U198" s="12"/>
      <c r="V198" s="5"/>
      <c r="W198" s="12"/>
      <c r="X198" s="12"/>
      <c r="Y198" s="12"/>
      <c r="Z198" s="12"/>
      <c r="AA198" s="5"/>
      <c r="AB198" s="12"/>
      <c r="AC198" s="12"/>
      <c r="AD198" s="12"/>
      <c r="AE198" s="12"/>
      <c r="AF198" s="5"/>
      <c r="AG198" s="12"/>
      <c r="AH198" s="12"/>
      <c r="AI198" s="12"/>
      <c r="AJ198" s="12"/>
      <c r="AK198" s="5"/>
      <c r="AL198" s="12"/>
      <c r="AM198" s="12"/>
      <c r="AN198" s="12"/>
      <c r="AO198" s="12"/>
      <c r="AP198" s="49"/>
      <c r="AQ198" s="12"/>
      <c r="AR198" s="12"/>
      <c r="AS198" s="12"/>
      <c r="AT198" s="12"/>
      <c r="AU198" s="49"/>
      <c r="AV198" s="12"/>
      <c r="AW198" s="12"/>
      <c r="AX198" s="12"/>
      <c r="AY198" s="12"/>
      <c r="AZ198" s="49"/>
      <c r="BA198" s="12"/>
      <c r="BB198" s="12"/>
      <c r="BC198" s="12"/>
      <c r="BD198" s="12"/>
      <c r="BE198" s="49"/>
      <c r="BF198" s="12"/>
      <c r="BG198" s="12"/>
      <c r="BH198" s="12"/>
      <c r="BI198" s="12"/>
      <c r="BJ198" s="49"/>
      <c r="BK198" s="12"/>
      <c r="BL198" s="12"/>
      <c r="BM198" s="12"/>
      <c r="BN198" s="12"/>
      <c r="BO198" s="49"/>
      <c r="BP198" s="12"/>
      <c r="BQ198" s="12"/>
      <c r="BR198" s="12"/>
      <c r="BS198" s="12"/>
      <c r="BT198" s="49"/>
      <c r="BU198" s="12"/>
      <c r="BV198" s="12"/>
      <c r="BW198" s="12"/>
      <c r="BX198" s="12"/>
      <c r="BY198" s="49"/>
      <c r="BZ198" s="12"/>
      <c r="CA198" s="12"/>
      <c r="CB198" s="12"/>
      <c r="CC198" s="12"/>
      <c r="CD198" s="49"/>
      <c r="CE198" s="349"/>
    </row>
    <row r="199" spans="1:83">
      <c r="A199" s="11"/>
      <c r="B199" s="11" t="s">
        <v>2502</v>
      </c>
      <c r="C199" s="52"/>
      <c r="D199" s="52"/>
      <c r="E199" s="5">
        <f>VLOOKUP($B199,'Woodmac profile - Oil'!$B$447:$AL$474,MATCH(E$171,'Woodmac profile - Oil'!$B$480:$AL$480),FALSE)</f>
        <v>0</v>
      </c>
      <c r="F199" s="5">
        <f>VLOOKUP($B199,'Woodmac profile - Oil'!$B$447:$AL$474,MATCH(F$171,'Woodmac profile - Oil'!$B$480:$AL$480),FALSE)</f>
        <v>0</v>
      </c>
      <c r="G199" s="5">
        <f>VLOOKUP($B199,'Woodmac profile - Oil'!$B$447:$AL$474,MATCH(G$171,'Woodmac profile - Oil'!$B$480:$AL$480),FALSE)</f>
        <v>0</v>
      </c>
      <c r="H199" s="65">
        <f t="shared" ref="H199:H210" si="160">L199</f>
        <v>0</v>
      </c>
      <c r="I199" s="65">
        <f t="shared" ref="I199:I210" si="161">L199</f>
        <v>0</v>
      </c>
      <c r="J199" s="12">
        <f t="shared" ref="J199:J210" si="162">L199</f>
        <v>0</v>
      </c>
      <c r="K199" s="12">
        <f t="shared" ref="K199:K210" si="163">L199</f>
        <v>0</v>
      </c>
      <c r="L199" s="5">
        <f>VLOOKUP($B199,'Woodmac profile - Oil'!$B$447:$AL$474,MATCH(L$171,'Woodmac profile - Oil'!$B$480:$AL$480),FALSE)</f>
        <v>0</v>
      </c>
      <c r="M199" s="65">
        <f t="shared" ref="M199:M210" si="164">Q199</f>
        <v>0</v>
      </c>
      <c r="N199" s="65">
        <f t="shared" ref="N199:N210" si="165">Q199</f>
        <v>0</v>
      </c>
      <c r="O199" s="12">
        <f t="shared" ref="O199:O210" si="166">Q199</f>
        <v>0</v>
      </c>
      <c r="P199" s="12">
        <f t="shared" ref="P199:P210" si="167">Q199</f>
        <v>0</v>
      </c>
      <c r="Q199" s="5">
        <f>VLOOKUP($B199,'Woodmac profile - Oil'!$B$447:$AL$474,MATCH(Q$171,'Woodmac profile - Oil'!$B$480:$AL$480),FALSE)</f>
        <v>0</v>
      </c>
      <c r="R199" s="65">
        <f t="shared" ref="R199:R210" si="168">V199</f>
        <v>0</v>
      </c>
      <c r="S199" s="65">
        <f t="shared" ref="S199:S210" si="169">V199</f>
        <v>0</v>
      </c>
      <c r="T199" s="12">
        <f t="shared" ref="T199:T210" si="170">V199</f>
        <v>0</v>
      </c>
      <c r="U199" s="12">
        <f t="shared" ref="U199:U210" si="171">V199</f>
        <v>0</v>
      </c>
      <c r="V199" s="5">
        <f>VLOOKUP($B199,'Woodmac profile - Oil'!$B$447:$AL$474,MATCH(V$171,'Woodmac profile - Oil'!$B$480:$AL$480),FALSE)</f>
        <v>0</v>
      </c>
      <c r="W199" s="65">
        <f t="shared" ref="W199:W210" si="172">AA199</f>
        <v>0</v>
      </c>
      <c r="X199" s="65">
        <f t="shared" ref="X199:X210" si="173">AA199</f>
        <v>0</v>
      </c>
      <c r="Y199" s="12">
        <f t="shared" ref="Y199:Y210" si="174">AA199</f>
        <v>0</v>
      </c>
      <c r="Z199" s="12">
        <f t="shared" ref="Z199:Z210" si="175">AA199</f>
        <v>0</v>
      </c>
      <c r="AA199" s="5">
        <f>VLOOKUP($B199,'Woodmac profile - Oil'!$B$447:$AL$474,MATCH(AA$171,'Woodmac profile - Oil'!$B$480:$AL$480),FALSE)</f>
        <v>0</v>
      </c>
      <c r="AB199" s="65">
        <f t="shared" ref="AB199:AB210" si="176">AF199</f>
        <v>0</v>
      </c>
      <c r="AC199" s="65">
        <f t="shared" ref="AC199:AC210" si="177">AF199</f>
        <v>0</v>
      </c>
      <c r="AD199" s="12">
        <f t="shared" ref="AD199:AD210" si="178">AF199</f>
        <v>0</v>
      </c>
      <c r="AE199" s="12">
        <f t="shared" ref="AE199:AE210" si="179">AF199</f>
        <v>0</v>
      </c>
      <c r="AF199" s="5">
        <f>VLOOKUP($B199,'Woodmac profile - Oil'!$B$447:$AL$474,MATCH(AF$171,'Woodmac profile - Oil'!$B$480:$AL$480),FALSE)</f>
        <v>0</v>
      </c>
      <c r="AG199" s="65">
        <f t="shared" ref="AG199:AG210" si="180">AK199</f>
        <v>0</v>
      </c>
      <c r="AH199" s="65">
        <f t="shared" ref="AH199:AH210" si="181">AK199</f>
        <v>0</v>
      </c>
      <c r="AI199" s="12">
        <f t="shared" ref="AI199:AI210" si="182">AK199</f>
        <v>0</v>
      </c>
      <c r="AJ199" s="12">
        <f t="shared" ref="AJ199:AJ210" si="183">AK199</f>
        <v>0</v>
      </c>
      <c r="AK199" s="5">
        <f>VLOOKUP($B199,'Woodmac profile - Oil'!$B$447:$AL$474,MATCH(AK$171,'Woodmac profile - Oil'!$B$480:$AL$480),FALSE)</f>
        <v>0</v>
      </c>
      <c r="AL199" s="65">
        <f t="shared" ref="AL199:AL210" si="184">AP199</f>
        <v>0</v>
      </c>
      <c r="AM199" s="65">
        <f t="shared" ref="AM199:AM210" si="185">AP199</f>
        <v>0</v>
      </c>
      <c r="AN199" s="12">
        <f t="shared" ref="AN199:AN210" si="186">AP199</f>
        <v>0</v>
      </c>
      <c r="AO199" s="12">
        <f t="shared" ref="AO199:AO210" si="187">AP199</f>
        <v>0</v>
      </c>
      <c r="AP199" s="5">
        <f>VLOOKUP($B199,'Woodmac profile - Oil'!$B$447:$AL$474,MATCH(AP$171,'Woodmac profile - Oil'!$B$480:$AL$480),FALSE)</f>
        <v>0</v>
      </c>
      <c r="AQ199" s="65">
        <f t="shared" ref="AQ199:AQ210" si="188">AU199</f>
        <v>0</v>
      </c>
      <c r="AR199" s="65">
        <f t="shared" ref="AR199:AR210" si="189">AU199</f>
        <v>0</v>
      </c>
      <c r="AS199" s="12">
        <f t="shared" ref="AS199:AS210" si="190">AU199</f>
        <v>0</v>
      </c>
      <c r="AT199" s="12">
        <f t="shared" ref="AT199:AT210" si="191">AU199</f>
        <v>0</v>
      </c>
      <c r="AU199" s="5">
        <f>VLOOKUP($B199,'Woodmac profile - Oil'!$B$447:$AL$474,MATCH(AU$171,'Woodmac profile - Oil'!$B$480:$AL$480),FALSE)</f>
        <v>0</v>
      </c>
      <c r="AV199" s="65">
        <f t="shared" ref="AV199:AV210" si="192">AZ199</f>
        <v>0</v>
      </c>
      <c r="AW199" s="65">
        <f t="shared" ref="AW199:AW210" si="193">AZ199</f>
        <v>0</v>
      </c>
      <c r="AX199" s="12">
        <f t="shared" ref="AX199:AX210" si="194">AZ199</f>
        <v>0</v>
      </c>
      <c r="AY199" s="12">
        <f t="shared" ref="AY199:AY210" si="195">AZ199</f>
        <v>0</v>
      </c>
      <c r="AZ199" s="5">
        <f>VLOOKUP($B199,'Woodmac profile - Oil'!$B$447:$AL$474,MATCH(AZ$171,'Woodmac profile - Oil'!$B$480:$AL$480),FALSE)</f>
        <v>0</v>
      </c>
      <c r="BA199" s="65">
        <f t="shared" ref="BA199:BA210" si="196">BE199</f>
        <v>158.4</v>
      </c>
      <c r="BB199" s="65">
        <f t="shared" ref="BB199:BB210" si="197">BE199</f>
        <v>158.4</v>
      </c>
      <c r="BC199" s="12">
        <f t="shared" ref="BC199:BC210" si="198">BE199</f>
        <v>158.4</v>
      </c>
      <c r="BD199" s="12">
        <f t="shared" ref="BD199:BD210" si="199">BE199</f>
        <v>158.4</v>
      </c>
      <c r="BE199" s="5">
        <f>VLOOKUP($B199,'Woodmac profile - Oil'!$B$447:$AL$474,MATCH(BE$171,'Woodmac profile - Oil'!$B$480:$AL$480),FALSE)</f>
        <v>158.4</v>
      </c>
      <c r="BF199" s="65">
        <f t="shared" ref="BF199:BF210" si="200">BJ199</f>
        <v>165.1</v>
      </c>
      <c r="BG199" s="65">
        <f t="shared" ref="BG199:BG210" si="201">BJ199</f>
        <v>165.1</v>
      </c>
      <c r="BH199" s="65">
        <f t="shared" ref="BH199:BH210" si="202">BJ199</f>
        <v>165.1</v>
      </c>
      <c r="BI199" s="65">
        <f t="shared" ref="BI199:BI210" si="203">BJ199</f>
        <v>165.1</v>
      </c>
      <c r="BJ199" s="5">
        <f>VLOOKUP($B199,'Woodmac profile - Oil'!$B$447:$AL$474,MATCH(BJ$171,'Woodmac profile - Oil'!$B$480:$AL$480),FALSE)</f>
        <v>165.1</v>
      </c>
      <c r="BK199" s="65">
        <f t="shared" ref="BK199:BK210" si="204">BO199</f>
        <v>167.07</v>
      </c>
      <c r="BL199" s="65">
        <f t="shared" ref="BL199:BL210" si="205">BO199</f>
        <v>167.07</v>
      </c>
      <c r="BM199" s="65">
        <f t="shared" ref="BM199:BM210" si="206">BO199</f>
        <v>167.07</v>
      </c>
      <c r="BN199" s="12">
        <f t="shared" ref="BN199:BN210" si="207">BO199</f>
        <v>167.07</v>
      </c>
      <c r="BO199" s="5">
        <f>VLOOKUP($B199,'Woodmac profile - Oil'!$B$447:$AL$474,MATCH(BO$171,'Woodmac profile - Oil'!$B$480:$AL$480),FALSE)</f>
        <v>167.07</v>
      </c>
      <c r="BP199" s="65">
        <f t="shared" ref="BP199:BP210" si="208">BT199</f>
        <v>169.07</v>
      </c>
      <c r="BQ199" s="65">
        <f t="shared" ref="BQ199:BQ210" si="209">BT199</f>
        <v>169.07</v>
      </c>
      <c r="BR199" s="12">
        <f t="shared" ref="BR199:BR210" si="210">BT199</f>
        <v>169.07</v>
      </c>
      <c r="BS199" s="12">
        <f t="shared" ref="BS199:BS210" si="211">BT199</f>
        <v>169.07</v>
      </c>
      <c r="BT199" s="5">
        <f>VLOOKUP($B199,'Woodmac profile - Oil'!$B$447:$AL$474,MATCH(BT$171,'Woodmac profile - Oil'!$B$480:$AL$480),FALSE)</f>
        <v>169.07</v>
      </c>
      <c r="BU199" s="65">
        <f t="shared" ref="BU199:BU210" si="212">BY199</f>
        <v>169.34</v>
      </c>
      <c r="BV199" s="65">
        <f t="shared" ref="BV199:BV210" si="213">BY199</f>
        <v>169.34</v>
      </c>
      <c r="BW199" s="12">
        <f t="shared" ref="BW199:BW210" si="214">BY199</f>
        <v>169.34</v>
      </c>
      <c r="BX199" s="12">
        <f t="shared" ref="BX199:BX210" si="215">BY199</f>
        <v>169.34</v>
      </c>
      <c r="BY199" s="5">
        <f>VLOOKUP($B199,'Woodmac profile - Oil'!$B$447:$AL$474,MATCH(BY$171,'Woodmac profile - Oil'!$B$480:$AL$480),FALSE)</f>
        <v>169.34</v>
      </c>
      <c r="BZ199" s="65">
        <f t="shared" ref="BZ199:BZ210" si="216">CD199</f>
        <v>170.17</v>
      </c>
      <c r="CA199" s="65">
        <f t="shared" ref="CA199:CA210" si="217">CD199</f>
        <v>170.17</v>
      </c>
      <c r="CB199" s="12">
        <f t="shared" ref="CB199:CB210" si="218">CD199</f>
        <v>170.17</v>
      </c>
      <c r="CC199" s="12">
        <f t="shared" ref="CC199:CC210" si="219">CD199</f>
        <v>170.17</v>
      </c>
      <c r="CD199" s="5">
        <f>VLOOKUP($B199,'Woodmac profile - Oil'!$B$447:$AL$474,MATCH(CD$171,'Woodmac profile - Oil'!$B$480:$AL$480),FALSE)</f>
        <v>170.17</v>
      </c>
    </row>
    <row r="200" spans="1:83">
      <c r="A200" s="11"/>
      <c r="B200" s="11" t="s">
        <v>726</v>
      </c>
      <c r="C200" s="52"/>
      <c r="D200" s="52"/>
      <c r="E200" s="5">
        <f>VLOOKUP($B200,'Woodmac profile - Oil'!$B$447:$AL$474,MATCH(E$171,'Woodmac profile - Oil'!$B$480:$AL$480),FALSE)</f>
        <v>39.01</v>
      </c>
      <c r="F200" s="5">
        <f>VLOOKUP($B200,'Woodmac profile - Oil'!$B$447:$AL$474,MATCH(F$171,'Woodmac profile - Oil'!$B$480:$AL$480),FALSE)</f>
        <v>39.090000000000003</v>
      </c>
      <c r="G200" s="5">
        <f>VLOOKUP($B200,'Woodmac profile - Oil'!$B$447:$AL$474,MATCH(G$171,'Woodmac profile - Oil'!$B$480:$AL$480),FALSE)</f>
        <v>75.37</v>
      </c>
      <c r="H200" s="65">
        <f t="shared" si="160"/>
        <v>143.1</v>
      </c>
      <c r="I200" s="65">
        <f t="shared" si="161"/>
        <v>143.1</v>
      </c>
      <c r="J200" s="12">
        <f t="shared" si="162"/>
        <v>143.1</v>
      </c>
      <c r="K200" s="12">
        <f t="shared" si="163"/>
        <v>143.1</v>
      </c>
      <c r="L200" s="5">
        <f>VLOOKUP($B200,'Woodmac profile - Oil'!$B$447:$AL$474,MATCH(L$171,'Woodmac profile - Oil'!$B$480:$AL$480),FALSE)</f>
        <v>143.1</v>
      </c>
      <c r="M200" s="65">
        <f t="shared" si="164"/>
        <v>205.18</v>
      </c>
      <c r="N200" s="65">
        <f t="shared" si="165"/>
        <v>205.18</v>
      </c>
      <c r="O200" s="12">
        <f t="shared" si="166"/>
        <v>205.18</v>
      </c>
      <c r="P200" s="12">
        <f t="shared" si="167"/>
        <v>205.18</v>
      </c>
      <c r="Q200" s="5">
        <f>VLOOKUP($B200,'Woodmac profile - Oil'!$B$447:$AL$474,MATCH(Q$171,'Woodmac profile - Oil'!$B$480:$AL$480),FALSE)</f>
        <v>205.18</v>
      </c>
      <c r="R200" s="65">
        <f t="shared" si="168"/>
        <v>95.58</v>
      </c>
      <c r="S200" s="65">
        <f t="shared" si="169"/>
        <v>95.58</v>
      </c>
      <c r="T200" s="12">
        <f t="shared" si="170"/>
        <v>95.58</v>
      </c>
      <c r="U200" s="12">
        <f t="shared" si="171"/>
        <v>95.58</v>
      </c>
      <c r="V200" s="5">
        <f>VLOOKUP($B200,'Woodmac profile - Oil'!$B$447:$AL$474,MATCH(V$171,'Woodmac profile - Oil'!$B$480:$AL$480),FALSE)</f>
        <v>95.58</v>
      </c>
      <c r="W200" s="65">
        <f t="shared" si="172"/>
        <v>115.8</v>
      </c>
      <c r="X200" s="65">
        <f t="shared" si="173"/>
        <v>115.8</v>
      </c>
      <c r="Y200" s="12">
        <f t="shared" si="174"/>
        <v>115.8</v>
      </c>
      <c r="Z200" s="12">
        <f t="shared" si="175"/>
        <v>115.8</v>
      </c>
      <c r="AA200" s="5">
        <f>VLOOKUP($B200,'Woodmac profile - Oil'!$B$447:$AL$474,MATCH(AA$171,'Woodmac profile - Oil'!$B$480:$AL$480),FALSE)</f>
        <v>115.8</v>
      </c>
      <c r="AB200" s="65">
        <f t="shared" si="176"/>
        <v>124.39</v>
      </c>
      <c r="AC200" s="65">
        <f t="shared" si="177"/>
        <v>124.39</v>
      </c>
      <c r="AD200" s="12">
        <f t="shared" si="178"/>
        <v>124.39</v>
      </c>
      <c r="AE200" s="12">
        <f t="shared" si="179"/>
        <v>124.39</v>
      </c>
      <c r="AF200" s="5">
        <f>VLOOKUP($B200,'Woodmac profile - Oil'!$B$447:$AL$474,MATCH(AF$171,'Woodmac profile - Oil'!$B$480:$AL$480),FALSE)</f>
        <v>124.39</v>
      </c>
      <c r="AG200" s="65">
        <f t="shared" si="180"/>
        <v>100.44999999999999</v>
      </c>
      <c r="AH200" s="65">
        <f t="shared" si="181"/>
        <v>100.44999999999999</v>
      </c>
      <c r="AI200" s="12">
        <f t="shared" si="182"/>
        <v>100.44999999999999</v>
      </c>
      <c r="AJ200" s="12">
        <f t="shared" si="183"/>
        <v>100.44999999999999</v>
      </c>
      <c r="AK200" s="5">
        <f>VLOOKUP($B200,'Woodmac profile - Oil'!$B$447:$AL$474,MATCH(AK$171,'Woodmac profile - Oil'!$B$480:$AL$480),FALSE)</f>
        <v>100.44999999999999</v>
      </c>
      <c r="AL200" s="65">
        <f t="shared" si="184"/>
        <v>97.76</v>
      </c>
      <c r="AM200" s="65">
        <f t="shared" si="185"/>
        <v>97.76</v>
      </c>
      <c r="AN200" s="12">
        <f t="shared" si="186"/>
        <v>97.76</v>
      </c>
      <c r="AO200" s="12">
        <f t="shared" si="187"/>
        <v>97.76</v>
      </c>
      <c r="AP200" s="5">
        <f>VLOOKUP($B200,'Woodmac profile - Oil'!$B$447:$AL$474,MATCH(AP$171,'Woodmac profile - Oil'!$B$480:$AL$480),FALSE)</f>
        <v>97.76</v>
      </c>
      <c r="AQ200" s="65">
        <f t="shared" si="188"/>
        <v>102.42999999999999</v>
      </c>
      <c r="AR200" s="65">
        <f t="shared" si="189"/>
        <v>102.42999999999999</v>
      </c>
      <c r="AS200" s="12">
        <f t="shared" si="190"/>
        <v>102.42999999999999</v>
      </c>
      <c r="AT200" s="12">
        <f t="shared" si="191"/>
        <v>102.42999999999999</v>
      </c>
      <c r="AU200" s="5">
        <f>VLOOKUP($B200,'Woodmac profile - Oil'!$B$447:$AL$474,MATCH(AU$171,'Woodmac profile - Oil'!$B$480:$AL$480),FALSE)</f>
        <v>102.42999999999999</v>
      </c>
      <c r="AV200" s="65">
        <f t="shared" si="192"/>
        <v>104.36999999999999</v>
      </c>
      <c r="AW200" s="65">
        <f t="shared" si="193"/>
        <v>104.36999999999999</v>
      </c>
      <c r="AX200" s="12">
        <f t="shared" si="194"/>
        <v>104.36999999999999</v>
      </c>
      <c r="AY200" s="12">
        <f t="shared" si="195"/>
        <v>104.36999999999999</v>
      </c>
      <c r="AZ200" s="5">
        <f>VLOOKUP($B200,'Woodmac profile - Oil'!$B$447:$AL$474,MATCH(AZ$171,'Woodmac profile - Oil'!$B$480:$AL$480),FALSE)</f>
        <v>104.36999999999999</v>
      </c>
      <c r="BA200" s="65">
        <f t="shared" si="196"/>
        <v>127.1</v>
      </c>
      <c r="BB200" s="65">
        <f t="shared" si="197"/>
        <v>127.1</v>
      </c>
      <c r="BC200" s="12">
        <f t="shared" si="198"/>
        <v>127.1</v>
      </c>
      <c r="BD200" s="12">
        <f t="shared" si="199"/>
        <v>127.1</v>
      </c>
      <c r="BE200" s="5">
        <f>VLOOKUP($B200,'Woodmac profile - Oil'!$B$447:$AL$474,MATCH(BE$171,'Woodmac profile - Oil'!$B$480:$AL$480),FALSE)</f>
        <v>127.1</v>
      </c>
      <c r="BF200" s="65">
        <f t="shared" si="200"/>
        <v>123.38</v>
      </c>
      <c r="BG200" s="65">
        <f t="shared" si="201"/>
        <v>123.38</v>
      </c>
      <c r="BH200" s="65">
        <f t="shared" si="202"/>
        <v>123.38</v>
      </c>
      <c r="BI200" s="65">
        <f t="shared" si="203"/>
        <v>123.38</v>
      </c>
      <c r="BJ200" s="5">
        <f>VLOOKUP($B200,'Woodmac profile - Oil'!$B$447:$AL$474,MATCH(BJ$171,'Woodmac profile - Oil'!$B$480:$AL$480),FALSE)</f>
        <v>123.38</v>
      </c>
      <c r="BK200" s="65">
        <f t="shared" si="204"/>
        <v>91.240000000000009</v>
      </c>
      <c r="BL200" s="65">
        <f t="shared" si="205"/>
        <v>91.240000000000009</v>
      </c>
      <c r="BM200" s="65">
        <f t="shared" si="206"/>
        <v>91.240000000000009</v>
      </c>
      <c r="BN200" s="12">
        <f t="shared" si="207"/>
        <v>91.240000000000009</v>
      </c>
      <c r="BO200" s="5">
        <f>VLOOKUP($B200,'Woodmac profile - Oil'!$B$447:$AL$474,MATCH(BO$171,'Woodmac profile - Oil'!$B$480:$AL$480),FALSE)</f>
        <v>91.240000000000009</v>
      </c>
      <c r="BP200" s="65">
        <f t="shared" si="208"/>
        <v>88.53</v>
      </c>
      <c r="BQ200" s="65">
        <f t="shared" si="209"/>
        <v>88.53</v>
      </c>
      <c r="BR200" s="12">
        <f t="shared" si="210"/>
        <v>88.53</v>
      </c>
      <c r="BS200" s="12">
        <f t="shared" si="211"/>
        <v>88.53</v>
      </c>
      <c r="BT200" s="5">
        <f>VLOOKUP($B200,'Woodmac profile - Oil'!$B$447:$AL$474,MATCH(BT$171,'Woodmac profile - Oil'!$B$480:$AL$480),FALSE)</f>
        <v>88.53</v>
      </c>
      <c r="BU200" s="65">
        <f t="shared" si="212"/>
        <v>94.929999999999993</v>
      </c>
      <c r="BV200" s="65">
        <f t="shared" si="213"/>
        <v>94.929999999999993</v>
      </c>
      <c r="BW200" s="12">
        <f t="shared" si="214"/>
        <v>94.929999999999993</v>
      </c>
      <c r="BX200" s="12">
        <f t="shared" si="215"/>
        <v>94.929999999999993</v>
      </c>
      <c r="BY200" s="5">
        <f>VLOOKUP($B200,'Woodmac profile - Oil'!$B$447:$AL$474,MATCH(BY$171,'Woodmac profile - Oil'!$B$480:$AL$480),FALSE)</f>
        <v>94.929999999999993</v>
      </c>
      <c r="BZ200" s="65">
        <f t="shared" si="216"/>
        <v>99.330000000000013</v>
      </c>
      <c r="CA200" s="65">
        <f t="shared" si="217"/>
        <v>99.330000000000013</v>
      </c>
      <c r="CB200" s="12">
        <f t="shared" si="218"/>
        <v>99.330000000000013</v>
      </c>
      <c r="CC200" s="12">
        <f t="shared" si="219"/>
        <v>99.330000000000013</v>
      </c>
      <c r="CD200" s="5">
        <f>VLOOKUP($B200,'Woodmac profile - Oil'!$B$447:$AL$474,MATCH(CD$171,'Woodmac profile - Oil'!$B$480:$AL$480),FALSE)</f>
        <v>99.330000000000013</v>
      </c>
    </row>
    <row r="201" spans="1:83">
      <c r="A201" s="11"/>
      <c r="B201" s="11" t="s">
        <v>216</v>
      </c>
      <c r="C201" s="52"/>
      <c r="D201" s="52"/>
      <c r="E201" s="5">
        <f>VLOOKUP($B201,'Woodmac profile - Oil'!$B$447:$AL$474,MATCH(E$171,'Woodmac profile - Oil'!$B$480:$AL$480),FALSE)</f>
        <v>0</v>
      </c>
      <c r="F201" s="5">
        <f>VLOOKUP($B201,'Woodmac profile - Oil'!$B$447:$AL$474,MATCH(F$171,'Woodmac profile - Oil'!$B$480:$AL$480),FALSE)</f>
        <v>0</v>
      </c>
      <c r="G201" s="5">
        <f>VLOOKUP($B201,'Woodmac profile - Oil'!$B$447:$AL$474,MATCH(G$171,'Woodmac profile - Oil'!$B$480:$AL$480),FALSE)</f>
        <v>0</v>
      </c>
      <c r="H201" s="65">
        <f t="shared" si="160"/>
        <v>0</v>
      </c>
      <c r="I201" s="65">
        <f t="shared" si="161"/>
        <v>0</v>
      </c>
      <c r="J201" s="12">
        <f t="shared" si="162"/>
        <v>0</v>
      </c>
      <c r="K201" s="12">
        <f t="shared" si="163"/>
        <v>0</v>
      </c>
      <c r="L201" s="5">
        <f>VLOOKUP($B201,'Woodmac profile - Oil'!$B$447:$AL$474,MATCH(L$171,'Woodmac profile - Oil'!$B$480:$AL$480),FALSE)</f>
        <v>0</v>
      </c>
      <c r="M201" s="65">
        <f t="shared" si="164"/>
        <v>0</v>
      </c>
      <c r="N201" s="65">
        <f t="shared" si="165"/>
        <v>0</v>
      </c>
      <c r="O201" s="12">
        <f t="shared" si="166"/>
        <v>0</v>
      </c>
      <c r="P201" s="12">
        <f t="shared" si="167"/>
        <v>0</v>
      </c>
      <c r="Q201" s="5">
        <f>VLOOKUP($B201,'Woodmac profile - Oil'!$B$447:$AL$474,MATCH(Q$171,'Woodmac profile - Oil'!$B$480:$AL$480),FALSE)</f>
        <v>0</v>
      </c>
      <c r="R201" s="65">
        <f t="shared" si="168"/>
        <v>0</v>
      </c>
      <c r="S201" s="65">
        <f t="shared" si="169"/>
        <v>0</v>
      </c>
      <c r="T201" s="12">
        <f t="shared" si="170"/>
        <v>0</v>
      </c>
      <c r="U201" s="12">
        <f t="shared" si="171"/>
        <v>0</v>
      </c>
      <c r="V201" s="5">
        <f>VLOOKUP($B201,'Woodmac profile - Oil'!$B$447:$AL$474,MATCH(V$171,'Woodmac profile - Oil'!$B$480:$AL$480),FALSE)</f>
        <v>0</v>
      </c>
      <c r="W201" s="65">
        <f t="shared" si="172"/>
        <v>0</v>
      </c>
      <c r="X201" s="65">
        <f t="shared" si="173"/>
        <v>0</v>
      </c>
      <c r="Y201" s="12">
        <f t="shared" si="174"/>
        <v>0</v>
      </c>
      <c r="Z201" s="12">
        <f t="shared" si="175"/>
        <v>0</v>
      </c>
      <c r="AA201" s="5">
        <f>VLOOKUP($B201,'Woodmac profile - Oil'!$B$447:$AL$474,MATCH(AA$171,'Woodmac profile - Oil'!$B$480:$AL$480),FALSE)</f>
        <v>0</v>
      </c>
      <c r="AB201" s="65">
        <f t="shared" si="176"/>
        <v>0</v>
      </c>
      <c r="AC201" s="65">
        <f t="shared" si="177"/>
        <v>0</v>
      </c>
      <c r="AD201" s="12">
        <f t="shared" si="178"/>
        <v>0</v>
      </c>
      <c r="AE201" s="12">
        <f t="shared" si="179"/>
        <v>0</v>
      </c>
      <c r="AF201" s="5">
        <f>VLOOKUP($B201,'Woodmac profile - Oil'!$B$447:$AL$474,MATCH(AF$171,'Woodmac profile - Oil'!$B$480:$AL$480),FALSE)</f>
        <v>0</v>
      </c>
      <c r="AG201" s="65">
        <f t="shared" si="180"/>
        <v>0</v>
      </c>
      <c r="AH201" s="65">
        <f t="shared" si="181"/>
        <v>0</v>
      </c>
      <c r="AI201" s="12">
        <f t="shared" si="182"/>
        <v>0</v>
      </c>
      <c r="AJ201" s="12">
        <f t="shared" si="183"/>
        <v>0</v>
      </c>
      <c r="AK201" s="5">
        <f>VLOOKUP($B201,'Woodmac profile - Oil'!$B$447:$AL$474,MATCH(AK$171,'Woodmac profile - Oil'!$B$480:$AL$480),FALSE)</f>
        <v>0</v>
      </c>
      <c r="AL201" s="65">
        <f t="shared" si="184"/>
        <v>0</v>
      </c>
      <c r="AM201" s="65">
        <f t="shared" si="185"/>
        <v>0</v>
      </c>
      <c r="AN201" s="12">
        <f t="shared" si="186"/>
        <v>0</v>
      </c>
      <c r="AO201" s="12">
        <f t="shared" si="187"/>
        <v>0</v>
      </c>
      <c r="AP201" s="5">
        <f>VLOOKUP($B201,'Woodmac profile - Oil'!$B$447:$AL$474,MATCH(AP$171,'Woodmac profile - Oil'!$B$480:$AL$480),FALSE)</f>
        <v>0</v>
      </c>
      <c r="AQ201" s="65">
        <f t="shared" si="188"/>
        <v>0</v>
      </c>
      <c r="AR201" s="65">
        <f t="shared" si="189"/>
        <v>0</v>
      </c>
      <c r="AS201" s="12">
        <f t="shared" si="190"/>
        <v>0</v>
      </c>
      <c r="AT201" s="12">
        <f t="shared" si="191"/>
        <v>0</v>
      </c>
      <c r="AU201" s="5">
        <f>VLOOKUP($B201,'Woodmac profile - Oil'!$B$447:$AL$474,MATCH(AU$171,'Woodmac profile - Oil'!$B$480:$AL$480),FALSE)</f>
        <v>0</v>
      </c>
      <c r="AV201" s="65">
        <f t="shared" si="192"/>
        <v>0</v>
      </c>
      <c r="AW201" s="65">
        <f t="shared" si="193"/>
        <v>0</v>
      </c>
      <c r="AX201" s="12">
        <f t="shared" si="194"/>
        <v>0</v>
      </c>
      <c r="AY201" s="12">
        <f t="shared" si="195"/>
        <v>0</v>
      </c>
      <c r="AZ201" s="5">
        <f>VLOOKUP($B201,'Woodmac profile - Oil'!$B$447:$AL$474,MATCH(AZ$171,'Woodmac profile - Oil'!$B$480:$AL$480),FALSE)</f>
        <v>0</v>
      </c>
      <c r="BA201" s="65">
        <f t="shared" si="196"/>
        <v>0</v>
      </c>
      <c r="BB201" s="65">
        <f t="shared" si="197"/>
        <v>0</v>
      </c>
      <c r="BC201" s="12">
        <f t="shared" si="198"/>
        <v>0</v>
      </c>
      <c r="BD201" s="12">
        <f t="shared" si="199"/>
        <v>0</v>
      </c>
      <c r="BE201" s="5">
        <f>VLOOKUP($B201,'Woodmac profile - Oil'!$B$447:$AL$474,MATCH(BE$171,'Woodmac profile - Oil'!$B$480:$AL$480),FALSE)</f>
        <v>0</v>
      </c>
      <c r="BF201" s="65">
        <f t="shared" si="200"/>
        <v>0</v>
      </c>
      <c r="BG201" s="65">
        <f t="shared" si="201"/>
        <v>0</v>
      </c>
      <c r="BH201" s="65">
        <f t="shared" si="202"/>
        <v>0</v>
      </c>
      <c r="BI201" s="65">
        <f t="shared" si="203"/>
        <v>0</v>
      </c>
      <c r="BJ201" s="5">
        <f>VLOOKUP($B201,'Woodmac profile - Oil'!$B$447:$AL$474,MATCH(BJ$171,'Woodmac profile - Oil'!$B$480:$AL$480),FALSE)</f>
        <v>0</v>
      </c>
      <c r="BK201" s="65">
        <f t="shared" si="204"/>
        <v>0</v>
      </c>
      <c r="BL201" s="65">
        <f t="shared" si="205"/>
        <v>0</v>
      </c>
      <c r="BM201" s="65">
        <f t="shared" si="206"/>
        <v>0</v>
      </c>
      <c r="BN201" s="12">
        <f t="shared" si="207"/>
        <v>0</v>
      </c>
      <c r="BO201" s="5">
        <f>VLOOKUP($B201,'Woodmac profile - Oil'!$B$447:$AL$474,MATCH(BO$171,'Woodmac profile - Oil'!$B$480:$AL$480),FALSE)</f>
        <v>0</v>
      </c>
      <c r="BP201" s="65">
        <f t="shared" si="208"/>
        <v>0</v>
      </c>
      <c r="BQ201" s="65">
        <f t="shared" si="209"/>
        <v>0</v>
      </c>
      <c r="BR201" s="12">
        <f t="shared" si="210"/>
        <v>0</v>
      </c>
      <c r="BS201" s="12">
        <f t="shared" si="211"/>
        <v>0</v>
      </c>
      <c r="BT201" s="5">
        <f>VLOOKUP($B201,'Woodmac profile - Oil'!$B$447:$AL$474,MATCH(BT$171,'Woodmac profile - Oil'!$B$480:$AL$480),FALSE)</f>
        <v>0</v>
      </c>
      <c r="BU201" s="65">
        <f t="shared" si="212"/>
        <v>0</v>
      </c>
      <c r="BV201" s="65">
        <f t="shared" si="213"/>
        <v>0</v>
      </c>
      <c r="BW201" s="12">
        <f t="shared" si="214"/>
        <v>0</v>
      </c>
      <c r="BX201" s="12">
        <f t="shared" si="215"/>
        <v>0</v>
      </c>
      <c r="BY201" s="5">
        <f>VLOOKUP($B201,'Woodmac profile - Oil'!$B$447:$AL$474,MATCH(BY$171,'Woodmac profile - Oil'!$B$480:$AL$480),FALSE)</f>
        <v>0</v>
      </c>
      <c r="BZ201" s="65">
        <f t="shared" si="216"/>
        <v>0</v>
      </c>
      <c r="CA201" s="65">
        <f t="shared" si="217"/>
        <v>0</v>
      </c>
      <c r="CB201" s="12">
        <f t="shared" si="218"/>
        <v>0</v>
      </c>
      <c r="CC201" s="12">
        <f t="shared" si="219"/>
        <v>0</v>
      </c>
      <c r="CD201" s="5">
        <f>VLOOKUP($B201,'Woodmac profile - Oil'!$B$447:$AL$474,MATCH(CD$171,'Woodmac profile - Oil'!$B$480:$AL$480),FALSE)</f>
        <v>0</v>
      </c>
    </row>
    <row r="202" spans="1:83">
      <c r="A202" s="11"/>
      <c r="B202" s="11" t="s">
        <v>138</v>
      </c>
      <c r="C202" s="52"/>
      <c r="D202" s="52"/>
      <c r="E202" s="5">
        <f>VLOOKUP($B202,'Woodmac profile - Oil'!$B$447:$AL$474,MATCH(E$171,'Woodmac profile - Oil'!$B$480:$AL$480),FALSE)</f>
        <v>0</v>
      </c>
      <c r="F202" s="5">
        <f>VLOOKUP($B202,'Woodmac profile - Oil'!$B$447:$AL$474,MATCH(F$171,'Woodmac profile - Oil'!$B$480:$AL$480),FALSE)</f>
        <v>0</v>
      </c>
      <c r="G202" s="5">
        <f>VLOOKUP($B202,'Woodmac profile - Oil'!$B$447:$AL$474,MATCH(G$171,'Woodmac profile - Oil'!$B$480:$AL$480),FALSE)</f>
        <v>0</v>
      </c>
      <c r="H202" s="65">
        <f t="shared" si="160"/>
        <v>0</v>
      </c>
      <c r="I202" s="65">
        <f t="shared" si="161"/>
        <v>0</v>
      </c>
      <c r="J202" s="12">
        <f t="shared" si="162"/>
        <v>0</v>
      </c>
      <c r="K202" s="12">
        <f t="shared" si="163"/>
        <v>0</v>
      </c>
      <c r="L202" s="5">
        <f>VLOOKUP($B202,'Woodmac profile - Oil'!$B$447:$AL$474,MATCH(L$171,'Woodmac profile - Oil'!$B$480:$AL$480),FALSE)</f>
        <v>0</v>
      </c>
      <c r="M202" s="65">
        <f t="shared" si="164"/>
        <v>0</v>
      </c>
      <c r="N202" s="65">
        <f t="shared" si="165"/>
        <v>0</v>
      </c>
      <c r="O202" s="12">
        <f t="shared" si="166"/>
        <v>0</v>
      </c>
      <c r="P202" s="12">
        <f t="shared" si="167"/>
        <v>0</v>
      </c>
      <c r="Q202" s="5">
        <f>VLOOKUP($B202,'Woodmac profile - Oil'!$B$447:$AL$474,MATCH(Q$171,'Woodmac profile - Oil'!$B$480:$AL$480),FALSE)</f>
        <v>0</v>
      </c>
      <c r="R202" s="65">
        <f t="shared" si="168"/>
        <v>0</v>
      </c>
      <c r="S202" s="65">
        <f t="shared" si="169"/>
        <v>0</v>
      </c>
      <c r="T202" s="12">
        <f t="shared" si="170"/>
        <v>0</v>
      </c>
      <c r="U202" s="12">
        <f t="shared" si="171"/>
        <v>0</v>
      </c>
      <c r="V202" s="5">
        <f>VLOOKUP($B202,'Woodmac profile - Oil'!$B$447:$AL$474,MATCH(V$171,'Woodmac profile - Oil'!$B$480:$AL$480),FALSE)</f>
        <v>0</v>
      </c>
      <c r="W202" s="65">
        <f t="shared" si="172"/>
        <v>0</v>
      </c>
      <c r="X202" s="65">
        <f t="shared" si="173"/>
        <v>0</v>
      </c>
      <c r="Y202" s="12">
        <f t="shared" si="174"/>
        <v>0</v>
      </c>
      <c r="Z202" s="12">
        <f t="shared" si="175"/>
        <v>0</v>
      </c>
      <c r="AA202" s="5">
        <f>VLOOKUP($B202,'Woodmac profile - Oil'!$B$447:$AL$474,MATCH(AA$171,'Woodmac profile - Oil'!$B$480:$AL$480),FALSE)</f>
        <v>0</v>
      </c>
      <c r="AB202" s="65">
        <f t="shared" si="176"/>
        <v>0</v>
      </c>
      <c r="AC202" s="65">
        <f t="shared" si="177"/>
        <v>0</v>
      </c>
      <c r="AD202" s="12">
        <f t="shared" si="178"/>
        <v>0</v>
      </c>
      <c r="AE202" s="12">
        <f t="shared" si="179"/>
        <v>0</v>
      </c>
      <c r="AF202" s="5">
        <f>VLOOKUP($B202,'Woodmac profile - Oil'!$B$447:$AL$474,MATCH(AF$171,'Woodmac profile - Oil'!$B$480:$AL$480),FALSE)</f>
        <v>0</v>
      </c>
      <c r="AG202" s="65">
        <f t="shared" si="180"/>
        <v>34.25</v>
      </c>
      <c r="AH202" s="65">
        <f t="shared" si="181"/>
        <v>34.25</v>
      </c>
      <c r="AI202" s="12">
        <f t="shared" si="182"/>
        <v>34.25</v>
      </c>
      <c r="AJ202" s="12">
        <f t="shared" si="183"/>
        <v>34.25</v>
      </c>
      <c r="AK202" s="5">
        <f>VLOOKUP($B202,'Woodmac profile - Oil'!$B$447:$AL$474,MATCH(AK$171,'Woodmac profile - Oil'!$B$480:$AL$480),FALSE)</f>
        <v>34.25</v>
      </c>
      <c r="AL202" s="65">
        <f t="shared" si="184"/>
        <v>39.47</v>
      </c>
      <c r="AM202" s="65">
        <f t="shared" si="185"/>
        <v>39.47</v>
      </c>
      <c r="AN202" s="12">
        <f t="shared" si="186"/>
        <v>39.47</v>
      </c>
      <c r="AO202" s="12">
        <f t="shared" si="187"/>
        <v>39.47</v>
      </c>
      <c r="AP202" s="5">
        <f>VLOOKUP($B202,'Woodmac profile - Oil'!$B$447:$AL$474,MATCH(AP$171,'Woodmac profile - Oil'!$B$480:$AL$480),FALSE)</f>
        <v>39.47</v>
      </c>
      <c r="AQ202" s="65">
        <f t="shared" si="188"/>
        <v>40.81</v>
      </c>
      <c r="AR202" s="65">
        <f t="shared" si="189"/>
        <v>40.81</v>
      </c>
      <c r="AS202" s="12">
        <f t="shared" si="190"/>
        <v>40.81</v>
      </c>
      <c r="AT202" s="12">
        <f t="shared" si="191"/>
        <v>40.81</v>
      </c>
      <c r="AU202" s="5">
        <f>VLOOKUP($B202,'Woodmac profile - Oil'!$B$447:$AL$474,MATCH(AU$171,'Woodmac profile - Oil'!$B$480:$AL$480),FALSE)</f>
        <v>40.81</v>
      </c>
      <c r="AV202" s="65">
        <f t="shared" si="192"/>
        <v>49.7</v>
      </c>
      <c r="AW202" s="65">
        <f t="shared" si="193"/>
        <v>49.7</v>
      </c>
      <c r="AX202" s="12">
        <f t="shared" si="194"/>
        <v>49.7</v>
      </c>
      <c r="AY202" s="12">
        <f t="shared" si="195"/>
        <v>49.7</v>
      </c>
      <c r="AZ202" s="5">
        <f>VLOOKUP($B202,'Woodmac profile - Oil'!$B$447:$AL$474,MATCH(AZ$171,'Woodmac profile - Oil'!$B$480:$AL$480),FALSE)</f>
        <v>49.7</v>
      </c>
      <c r="BA202" s="65">
        <f t="shared" si="196"/>
        <v>82.36</v>
      </c>
      <c r="BB202" s="65">
        <f t="shared" si="197"/>
        <v>82.36</v>
      </c>
      <c r="BC202" s="12">
        <f t="shared" si="198"/>
        <v>82.36</v>
      </c>
      <c r="BD202" s="12">
        <f t="shared" si="199"/>
        <v>82.36</v>
      </c>
      <c r="BE202" s="5">
        <f>VLOOKUP($B202,'Woodmac profile - Oil'!$B$447:$AL$474,MATCH(BE$171,'Woodmac profile - Oil'!$B$480:$AL$480),FALSE)</f>
        <v>82.36</v>
      </c>
      <c r="BF202" s="65">
        <f t="shared" si="200"/>
        <v>95.86</v>
      </c>
      <c r="BG202" s="65">
        <f t="shared" si="201"/>
        <v>95.86</v>
      </c>
      <c r="BH202" s="65">
        <f t="shared" si="202"/>
        <v>95.86</v>
      </c>
      <c r="BI202" s="65">
        <f t="shared" si="203"/>
        <v>95.86</v>
      </c>
      <c r="BJ202" s="5">
        <f>VLOOKUP($B202,'Woodmac profile - Oil'!$B$447:$AL$474,MATCH(BJ$171,'Woodmac profile - Oil'!$B$480:$AL$480),FALSE)</f>
        <v>95.86</v>
      </c>
      <c r="BK202" s="65">
        <f t="shared" si="204"/>
        <v>71.95</v>
      </c>
      <c r="BL202" s="65">
        <f t="shared" si="205"/>
        <v>71.95</v>
      </c>
      <c r="BM202" s="65">
        <f t="shared" si="206"/>
        <v>71.95</v>
      </c>
      <c r="BN202" s="12">
        <f t="shared" si="207"/>
        <v>71.95</v>
      </c>
      <c r="BO202" s="5">
        <f>VLOOKUP($B202,'Woodmac profile - Oil'!$B$447:$AL$474,MATCH(BO$171,'Woodmac profile - Oil'!$B$480:$AL$480),FALSE)</f>
        <v>71.95</v>
      </c>
      <c r="BP202" s="65">
        <f t="shared" si="208"/>
        <v>67.2</v>
      </c>
      <c r="BQ202" s="65">
        <f t="shared" si="209"/>
        <v>67.2</v>
      </c>
      <c r="BR202" s="12">
        <f t="shared" si="210"/>
        <v>67.2</v>
      </c>
      <c r="BS202" s="12">
        <f t="shared" si="211"/>
        <v>67.2</v>
      </c>
      <c r="BT202" s="5">
        <f>VLOOKUP($B202,'Woodmac profile - Oil'!$B$447:$AL$474,MATCH(BT$171,'Woodmac profile - Oil'!$B$480:$AL$480),FALSE)</f>
        <v>67.2</v>
      </c>
      <c r="BU202" s="65">
        <f t="shared" si="212"/>
        <v>67.87</v>
      </c>
      <c r="BV202" s="65">
        <f t="shared" si="213"/>
        <v>67.87</v>
      </c>
      <c r="BW202" s="12">
        <f t="shared" si="214"/>
        <v>67.87</v>
      </c>
      <c r="BX202" s="12">
        <f t="shared" si="215"/>
        <v>67.87</v>
      </c>
      <c r="BY202" s="5">
        <f>VLOOKUP($B202,'Woodmac profile - Oil'!$B$447:$AL$474,MATCH(BY$171,'Woodmac profile - Oil'!$B$480:$AL$480),FALSE)</f>
        <v>67.87</v>
      </c>
      <c r="BZ202" s="65">
        <f t="shared" si="216"/>
        <v>65.489999999999995</v>
      </c>
      <c r="CA202" s="65">
        <f t="shared" si="217"/>
        <v>65.489999999999995</v>
      </c>
      <c r="CB202" s="12">
        <f t="shared" si="218"/>
        <v>65.489999999999995</v>
      </c>
      <c r="CC202" s="12">
        <f t="shared" si="219"/>
        <v>65.489999999999995</v>
      </c>
      <c r="CD202" s="5">
        <f>VLOOKUP($B202,'Woodmac profile - Oil'!$B$447:$AL$474,MATCH(CD$171,'Woodmac profile - Oil'!$B$480:$AL$480),FALSE)</f>
        <v>65.489999999999995</v>
      </c>
    </row>
    <row r="203" spans="1:83">
      <c r="A203" s="11"/>
      <c r="B203" s="11" t="s">
        <v>816</v>
      </c>
      <c r="C203" s="52"/>
      <c r="D203" s="52"/>
      <c r="E203" s="5">
        <f>VLOOKUP($B203,'Woodmac profile - Oil'!$B$447:$AL$474,MATCH(E$171,'Woodmac profile - Oil'!$B$480:$AL$480),FALSE)</f>
        <v>0</v>
      </c>
      <c r="F203" s="5">
        <f>VLOOKUP($B203,'Woodmac profile - Oil'!$B$447:$AL$474,MATCH(F$171,'Woodmac profile - Oil'!$B$480:$AL$480),FALSE)</f>
        <v>0</v>
      </c>
      <c r="G203" s="5">
        <f>VLOOKUP($B203,'Woodmac profile - Oil'!$B$447:$AL$474,MATCH(G$171,'Woodmac profile - Oil'!$B$480:$AL$480),FALSE)</f>
        <v>0</v>
      </c>
      <c r="H203" s="65">
        <f t="shared" si="160"/>
        <v>0</v>
      </c>
      <c r="I203" s="65">
        <f t="shared" si="161"/>
        <v>0</v>
      </c>
      <c r="J203" s="12">
        <f t="shared" si="162"/>
        <v>0</v>
      </c>
      <c r="K203" s="12">
        <f t="shared" si="163"/>
        <v>0</v>
      </c>
      <c r="L203" s="5">
        <f>VLOOKUP($B203,'Woodmac profile - Oil'!$B$447:$AL$474,MATCH(L$171,'Woodmac profile - Oil'!$B$480:$AL$480),FALSE)</f>
        <v>0</v>
      </c>
      <c r="M203" s="65">
        <f t="shared" si="164"/>
        <v>0</v>
      </c>
      <c r="N203" s="65">
        <f t="shared" si="165"/>
        <v>0</v>
      </c>
      <c r="O203" s="12">
        <f t="shared" si="166"/>
        <v>0</v>
      </c>
      <c r="P203" s="12">
        <f t="shared" si="167"/>
        <v>0</v>
      </c>
      <c r="Q203" s="5">
        <f>VLOOKUP($B203,'Woodmac profile - Oil'!$B$447:$AL$474,MATCH(Q$171,'Woodmac profile - Oil'!$B$480:$AL$480),FALSE)</f>
        <v>0</v>
      </c>
      <c r="R203" s="65">
        <f t="shared" si="168"/>
        <v>0</v>
      </c>
      <c r="S203" s="65">
        <f t="shared" si="169"/>
        <v>0</v>
      </c>
      <c r="T203" s="12">
        <f t="shared" si="170"/>
        <v>0</v>
      </c>
      <c r="U203" s="12">
        <f t="shared" si="171"/>
        <v>0</v>
      </c>
      <c r="V203" s="5">
        <f>VLOOKUP($B203,'Woodmac profile - Oil'!$B$447:$AL$474,MATCH(V$171,'Woodmac profile - Oil'!$B$480:$AL$480),FALSE)</f>
        <v>0</v>
      </c>
      <c r="W203" s="65">
        <f t="shared" si="172"/>
        <v>0</v>
      </c>
      <c r="X203" s="65">
        <f t="shared" si="173"/>
        <v>0</v>
      </c>
      <c r="Y203" s="12">
        <f t="shared" si="174"/>
        <v>0</v>
      </c>
      <c r="Z203" s="12">
        <f t="shared" si="175"/>
        <v>0</v>
      </c>
      <c r="AA203" s="5">
        <f>VLOOKUP($B203,'Woodmac profile - Oil'!$B$447:$AL$474,MATCH(AA$171,'Woodmac profile - Oil'!$B$480:$AL$480),FALSE)</f>
        <v>0</v>
      </c>
      <c r="AB203" s="65">
        <f t="shared" si="176"/>
        <v>0</v>
      </c>
      <c r="AC203" s="65">
        <f t="shared" si="177"/>
        <v>0</v>
      </c>
      <c r="AD203" s="12">
        <f t="shared" si="178"/>
        <v>0</v>
      </c>
      <c r="AE203" s="12">
        <f t="shared" si="179"/>
        <v>0</v>
      </c>
      <c r="AF203" s="5">
        <f>VLOOKUP($B203,'Woodmac profile - Oil'!$B$447:$AL$474,MATCH(AF$171,'Woodmac profile - Oil'!$B$480:$AL$480),FALSE)</f>
        <v>0</v>
      </c>
      <c r="AG203" s="65">
        <f t="shared" si="180"/>
        <v>0</v>
      </c>
      <c r="AH203" s="65">
        <f t="shared" si="181"/>
        <v>0</v>
      </c>
      <c r="AI203" s="12">
        <f t="shared" si="182"/>
        <v>0</v>
      </c>
      <c r="AJ203" s="12">
        <f t="shared" si="183"/>
        <v>0</v>
      </c>
      <c r="AK203" s="5">
        <f>VLOOKUP($B203,'Woodmac profile - Oil'!$B$447:$AL$474,MATCH(AK$171,'Woodmac profile - Oil'!$B$480:$AL$480),FALSE)</f>
        <v>0</v>
      </c>
      <c r="AL203" s="65">
        <f t="shared" si="184"/>
        <v>0</v>
      </c>
      <c r="AM203" s="65">
        <f t="shared" si="185"/>
        <v>0</v>
      </c>
      <c r="AN203" s="12">
        <f t="shared" si="186"/>
        <v>0</v>
      </c>
      <c r="AO203" s="12">
        <f t="shared" si="187"/>
        <v>0</v>
      </c>
      <c r="AP203" s="5">
        <f>VLOOKUP($B203,'Woodmac profile - Oil'!$B$447:$AL$474,MATCH(AP$171,'Woodmac profile - Oil'!$B$480:$AL$480),FALSE)</f>
        <v>0</v>
      </c>
      <c r="AQ203" s="65">
        <f t="shared" si="188"/>
        <v>0</v>
      </c>
      <c r="AR203" s="65">
        <f t="shared" si="189"/>
        <v>0</v>
      </c>
      <c r="AS203" s="12">
        <f t="shared" si="190"/>
        <v>0</v>
      </c>
      <c r="AT203" s="12">
        <f t="shared" si="191"/>
        <v>0</v>
      </c>
      <c r="AU203" s="5">
        <f>VLOOKUP($B203,'Woodmac profile - Oil'!$B$447:$AL$474,MATCH(AU$171,'Woodmac profile - Oil'!$B$480:$AL$480),FALSE)</f>
        <v>0</v>
      </c>
      <c r="AV203" s="65">
        <f t="shared" si="192"/>
        <v>0</v>
      </c>
      <c r="AW203" s="65">
        <f t="shared" si="193"/>
        <v>0</v>
      </c>
      <c r="AX203" s="12">
        <f t="shared" si="194"/>
        <v>0</v>
      </c>
      <c r="AY203" s="12">
        <f t="shared" si="195"/>
        <v>0</v>
      </c>
      <c r="AZ203" s="5">
        <f>VLOOKUP($B203,'Woodmac profile - Oil'!$B$447:$AL$474,MATCH(AZ$171,'Woodmac profile - Oil'!$B$480:$AL$480),FALSE)</f>
        <v>0</v>
      </c>
      <c r="BA203" s="65">
        <f t="shared" si="196"/>
        <v>0</v>
      </c>
      <c r="BB203" s="65">
        <f t="shared" si="197"/>
        <v>0</v>
      </c>
      <c r="BC203" s="12">
        <f t="shared" si="198"/>
        <v>0</v>
      </c>
      <c r="BD203" s="12">
        <f t="shared" si="199"/>
        <v>0</v>
      </c>
      <c r="BE203" s="5">
        <f>VLOOKUP($B203,'Woodmac profile - Oil'!$B$447:$AL$474,MATCH(BE$171,'Woodmac profile - Oil'!$B$480:$AL$480),FALSE)</f>
        <v>0</v>
      </c>
      <c r="BF203" s="65">
        <f t="shared" si="200"/>
        <v>0</v>
      </c>
      <c r="BG203" s="65">
        <f t="shared" si="201"/>
        <v>0</v>
      </c>
      <c r="BH203" s="65">
        <f t="shared" si="202"/>
        <v>0</v>
      </c>
      <c r="BI203" s="65">
        <f t="shared" si="203"/>
        <v>0</v>
      </c>
      <c r="BJ203" s="5">
        <f>VLOOKUP($B203,'Woodmac profile - Oil'!$B$447:$AL$474,MATCH(BJ$171,'Woodmac profile - Oil'!$B$480:$AL$480),FALSE)</f>
        <v>0</v>
      </c>
      <c r="BK203" s="65">
        <f t="shared" si="204"/>
        <v>0</v>
      </c>
      <c r="BL203" s="65">
        <f t="shared" si="205"/>
        <v>0</v>
      </c>
      <c r="BM203" s="65">
        <f t="shared" si="206"/>
        <v>0</v>
      </c>
      <c r="BN203" s="12">
        <f t="shared" si="207"/>
        <v>0</v>
      </c>
      <c r="BO203" s="5">
        <f>VLOOKUP($B203,'Woodmac profile - Oil'!$B$447:$AL$474,MATCH(BO$171,'Woodmac profile - Oil'!$B$480:$AL$480),FALSE)</f>
        <v>0</v>
      </c>
      <c r="BP203" s="65">
        <f t="shared" si="208"/>
        <v>0</v>
      </c>
      <c r="BQ203" s="65">
        <f t="shared" si="209"/>
        <v>0</v>
      </c>
      <c r="BR203" s="12">
        <f t="shared" si="210"/>
        <v>0</v>
      </c>
      <c r="BS203" s="12">
        <f t="shared" si="211"/>
        <v>0</v>
      </c>
      <c r="BT203" s="5">
        <f>VLOOKUP($B203,'Woodmac profile - Oil'!$B$447:$AL$474,MATCH(BT$171,'Woodmac profile - Oil'!$B$480:$AL$480),FALSE)</f>
        <v>0</v>
      </c>
      <c r="BU203" s="65">
        <f t="shared" si="212"/>
        <v>0</v>
      </c>
      <c r="BV203" s="65">
        <f t="shared" si="213"/>
        <v>0</v>
      </c>
      <c r="BW203" s="12">
        <f t="shared" si="214"/>
        <v>0</v>
      </c>
      <c r="BX203" s="12">
        <f t="shared" si="215"/>
        <v>0</v>
      </c>
      <c r="BY203" s="5">
        <f>VLOOKUP($B203,'Woodmac profile - Oil'!$B$447:$AL$474,MATCH(BY$171,'Woodmac profile - Oil'!$B$480:$AL$480),FALSE)</f>
        <v>0</v>
      </c>
      <c r="BZ203" s="65">
        <f t="shared" si="216"/>
        <v>0</v>
      </c>
      <c r="CA203" s="65">
        <f t="shared" si="217"/>
        <v>0</v>
      </c>
      <c r="CB203" s="12">
        <f t="shared" si="218"/>
        <v>0</v>
      </c>
      <c r="CC203" s="12">
        <f t="shared" si="219"/>
        <v>0</v>
      </c>
      <c r="CD203" s="5">
        <f>VLOOKUP($B203,'Woodmac profile - Oil'!$B$447:$AL$474,MATCH(CD$171,'Woodmac profile - Oil'!$B$480:$AL$480),FALSE)</f>
        <v>0</v>
      </c>
    </row>
    <row r="204" spans="1:83">
      <c r="A204" s="11"/>
      <c r="B204" s="11" t="s">
        <v>1962</v>
      </c>
      <c r="C204" s="52"/>
      <c r="D204" s="52"/>
      <c r="E204" s="5">
        <f>VLOOKUP($B204,'Woodmac profile - Oil'!$B$447:$AL$474,MATCH(E$171,'Woodmac profile - Oil'!$B$480:$AL$480),FALSE)</f>
        <v>0</v>
      </c>
      <c r="F204" s="5">
        <f>VLOOKUP($B204,'Woodmac profile - Oil'!$B$447:$AL$474,MATCH(F$171,'Woodmac profile - Oil'!$B$480:$AL$480),FALSE)</f>
        <v>0</v>
      </c>
      <c r="G204" s="5">
        <f>VLOOKUP($B204,'Woodmac profile - Oil'!$B$447:$AL$474,MATCH(G$171,'Woodmac profile - Oil'!$B$480:$AL$480),FALSE)</f>
        <v>0</v>
      </c>
      <c r="H204" s="65">
        <f t="shared" si="160"/>
        <v>0</v>
      </c>
      <c r="I204" s="65">
        <f t="shared" si="161"/>
        <v>0</v>
      </c>
      <c r="J204" s="12">
        <f t="shared" si="162"/>
        <v>0</v>
      </c>
      <c r="K204" s="12">
        <f t="shared" si="163"/>
        <v>0</v>
      </c>
      <c r="L204" s="5">
        <f>VLOOKUP($B204,'Woodmac profile - Oil'!$B$447:$AL$474,MATCH(L$171,'Woodmac profile - Oil'!$B$480:$AL$480),FALSE)</f>
        <v>0</v>
      </c>
      <c r="M204" s="65">
        <f t="shared" si="164"/>
        <v>0</v>
      </c>
      <c r="N204" s="65">
        <f t="shared" si="165"/>
        <v>0</v>
      </c>
      <c r="O204" s="12">
        <f t="shared" si="166"/>
        <v>0</v>
      </c>
      <c r="P204" s="12">
        <f t="shared" si="167"/>
        <v>0</v>
      </c>
      <c r="Q204" s="5">
        <f>VLOOKUP($B204,'Woodmac profile - Oil'!$B$447:$AL$474,MATCH(Q$171,'Woodmac profile - Oil'!$B$480:$AL$480),FALSE)</f>
        <v>0</v>
      </c>
      <c r="R204" s="65">
        <f t="shared" si="168"/>
        <v>0</v>
      </c>
      <c r="S204" s="65">
        <f t="shared" si="169"/>
        <v>0</v>
      </c>
      <c r="T204" s="12">
        <f t="shared" si="170"/>
        <v>0</v>
      </c>
      <c r="U204" s="12">
        <f t="shared" si="171"/>
        <v>0</v>
      </c>
      <c r="V204" s="5">
        <f>VLOOKUP($B204,'Woodmac profile - Oil'!$B$447:$AL$474,MATCH(V$171,'Woodmac profile - Oil'!$B$480:$AL$480),FALSE)</f>
        <v>0</v>
      </c>
      <c r="W204" s="65">
        <f t="shared" si="172"/>
        <v>0</v>
      </c>
      <c r="X204" s="65">
        <f t="shared" si="173"/>
        <v>0</v>
      </c>
      <c r="Y204" s="12">
        <f t="shared" si="174"/>
        <v>0</v>
      </c>
      <c r="Z204" s="12">
        <f t="shared" si="175"/>
        <v>0</v>
      </c>
      <c r="AA204" s="5">
        <f>VLOOKUP($B204,'Woodmac profile - Oil'!$B$447:$AL$474,MATCH(AA$171,'Woodmac profile - Oil'!$B$480:$AL$480),FALSE)</f>
        <v>0</v>
      </c>
      <c r="AB204" s="65">
        <f t="shared" si="176"/>
        <v>0</v>
      </c>
      <c r="AC204" s="65">
        <f t="shared" si="177"/>
        <v>0</v>
      </c>
      <c r="AD204" s="12">
        <f t="shared" si="178"/>
        <v>0</v>
      </c>
      <c r="AE204" s="12">
        <f t="shared" si="179"/>
        <v>0</v>
      </c>
      <c r="AF204" s="5">
        <f>VLOOKUP($B204,'Woodmac profile - Oil'!$B$447:$AL$474,MATCH(AF$171,'Woodmac profile - Oil'!$B$480:$AL$480),FALSE)</f>
        <v>0</v>
      </c>
      <c r="AG204" s="65">
        <f t="shared" si="180"/>
        <v>0</v>
      </c>
      <c r="AH204" s="65">
        <f t="shared" si="181"/>
        <v>0</v>
      </c>
      <c r="AI204" s="12">
        <f t="shared" si="182"/>
        <v>0</v>
      </c>
      <c r="AJ204" s="12">
        <f t="shared" si="183"/>
        <v>0</v>
      </c>
      <c r="AK204" s="5">
        <f>VLOOKUP($B204,'Woodmac profile - Oil'!$B$447:$AL$474,MATCH(AK$171,'Woodmac profile - Oil'!$B$480:$AL$480),FALSE)</f>
        <v>0</v>
      </c>
      <c r="AL204" s="65">
        <f t="shared" si="184"/>
        <v>0</v>
      </c>
      <c r="AM204" s="65">
        <f t="shared" si="185"/>
        <v>0</v>
      </c>
      <c r="AN204" s="12">
        <f t="shared" si="186"/>
        <v>0</v>
      </c>
      <c r="AO204" s="12">
        <f t="shared" si="187"/>
        <v>0</v>
      </c>
      <c r="AP204" s="5">
        <f>VLOOKUP($B204,'Woodmac profile - Oil'!$B$447:$AL$474,MATCH(AP$171,'Woodmac profile - Oil'!$B$480:$AL$480),FALSE)</f>
        <v>0</v>
      </c>
      <c r="AQ204" s="65">
        <f t="shared" si="188"/>
        <v>0</v>
      </c>
      <c r="AR204" s="65">
        <f t="shared" si="189"/>
        <v>0</v>
      </c>
      <c r="AS204" s="12">
        <f t="shared" si="190"/>
        <v>0</v>
      </c>
      <c r="AT204" s="12">
        <f t="shared" si="191"/>
        <v>0</v>
      </c>
      <c r="AU204" s="5">
        <f>VLOOKUP($B204,'Woodmac profile - Oil'!$B$447:$AL$474,MATCH(AU$171,'Woodmac profile - Oil'!$B$480:$AL$480),FALSE)</f>
        <v>0</v>
      </c>
      <c r="AV204" s="65">
        <f t="shared" si="192"/>
        <v>0</v>
      </c>
      <c r="AW204" s="65">
        <f t="shared" si="193"/>
        <v>0</v>
      </c>
      <c r="AX204" s="12">
        <f t="shared" si="194"/>
        <v>0</v>
      </c>
      <c r="AY204" s="12">
        <f t="shared" si="195"/>
        <v>0</v>
      </c>
      <c r="AZ204" s="5">
        <f>VLOOKUP($B204,'Woodmac profile - Oil'!$B$447:$AL$474,MATCH(AZ$171,'Woodmac profile - Oil'!$B$480:$AL$480),FALSE)</f>
        <v>0</v>
      </c>
      <c r="BA204" s="65">
        <f t="shared" si="196"/>
        <v>0</v>
      </c>
      <c r="BB204" s="65">
        <f t="shared" si="197"/>
        <v>0</v>
      </c>
      <c r="BC204" s="12">
        <f t="shared" si="198"/>
        <v>0</v>
      </c>
      <c r="BD204" s="12">
        <f t="shared" si="199"/>
        <v>0</v>
      </c>
      <c r="BE204" s="5">
        <f>VLOOKUP($B204,'Woodmac profile - Oil'!$B$447:$AL$474,MATCH(BE$171,'Woodmac profile - Oil'!$B$480:$AL$480),FALSE)</f>
        <v>0</v>
      </c>
      <c r="BF204" s="65">
        <f t="shared" si="200"/>
        <v>0</v>
      </c>
      <c r="BG204" s="65">
        <f t="shared" si="201"/>
        <v>0</v>
      </c>
      <c r="BH204" s="65">
        <f t="shared" si="202"/>
        <v>0</v>
      </c>
      <c r="BI204" s="65">
        <f t="shared" si="203"/>
        <v>0</v>
      </c>
      <c r="BJ204" s="5">
        <f>VLOOKUP($B204,'Woodmac profile - Oil'!$B$447:$AL$474,MATCH(BJ$171,'Woodmac profile - Oil'!$B$480:$AL$480),FALSE)</f>
        <v>0</v>
      </c>
      <c r="BK204" s="65">
        <f t="shared" si="204"/>
        <v>0</v>
      </c>
      <c r="BL204" s="65">
        <f t="shared" si="205"/>
        <v>0</v>
      </c>
      <c r="BM204" s="65">
        <f t="shared" si="206"/>
        <v>0</v>
      </c>
      <c r="BN204" s="12">
        <f t="shared" si="207"/>
        <v>0</v>
      </c>
      <c r="BO204" s="5">
        <f>VLOOKUP($B204,'Woodmac profile - Oil'!$B$447:$AL$474,MATCH(BO$171,'Woodmac profile - Oil'!$B$480:$AL$480),FALSE)</f>
        <v>0</v>
      </c>
      <c r="BP204" s="65">
        <f t="shared" si="208"/>
        <v>0</v>
      </c>
      <c r="BQ204" s="65">
        <f t="shared" si="209"/>
        <v>0</v>
      </c>
      <c r="BR204" s="12">
        <f t="shared" si="210"/>
        <v>0</v>
      </c>
      <c r="BS204" s="12">
        <f t="shared" si="211"/>
        <v>0</v>
      </c>
      <c r="BT204" s="5">
        <f>VLOOKUP($B204,'Woodmac profile - Oil'!$B$447:$AL$474,MATCH(BT$171,'Woodmac profile - Oil'!$B$480:$AL$480),FALSE)</f>
        <v>0</v>
      </c>
      <c r="BU204" s="65">
        <f t="shared" si="212"/>
        <v>0</v>
      </c>
      <c r="BV204" s="65">
        <f t="shared" si="213"/>
        <v>0</v>
      </c>
      <c r="BW204" s="12">
        <f t="shared" si="214"/>
        <v>0</v>
      </c>
      <c r="BX204" s="12">
        <f t="shared" si="215"/>
        <v>0</v>
      </c>
      <c r="BY204" s="5">
        <f>VLOOKUP($B204,'Woodmac profile - Oil'!$B$447:$AL$474,MATCH(BY$171,'Woodmac profile - Oil'!$B$480:$AL$480),FALSE)</f>
        <v>0</v>
      </c>
      <c r="BZ204" s="65">
        <f t="shared" si="216"/>
        <v>0</v>
      </c>
      <c r="CA204" s="65">
        <f t="shared" si="217"/>
        <v>0</v>
      </c>
      <c r="CB204" s="12">
        <f t="shared" si="218"/>
        <v>0</v>
      </c>
      <c r="CC204" s="12">
        <f t="shared" si="219"/>
        <v>0</v>
      </c>
      <c r="CD204" s="5">
        <f>VLOOKUP($B204,'Woodmac profile - Oil'!$B$447:$AL$474,MATCH(CD$171,'Woodmac profile - Oil'!$B$480:$AL$480),FALSE)</f>
        <v>0</v>
      </c>
    </row>
    <row r="205" spans="1:83">
      <c r="A205" s="11"/>
      <c r="B205" s="11" t="s">
        <v>3277</v>
      </c>
      <c r="C205" s="52"/>
      <c r="D205" s="52"/>
      <c r="E205" s="5">
        <f>VLOOKUP($B205,'Woodmac profile - Oil'!$B$447:$AL$474,MATCH(E$171,'Woodmac profile - Oil'!$B$480:$AL$480),FALSE)</f>
        <v>0</v>
      </c>
      <c r="F205" s="5">
        <f>VLOOKUP($B205,'Woodmac profile - Oil'!$B$447:$AL$474,MATCH(F$171,'Woodmac profile - Oil'!$B$480:$AL$480),FALSE)</f>
        <v>0</v>
      </c>
      <c r="G205" s="5">
        <f>VLOOKUP($B205,'Woodmac profile - Oil'!$B$447:$AL$474,MATCH(G$171,'Woodmac profile - Oil'!$B$480:$AL$480),FALSE)</f>
        <v>0</v>
      </c>
      <c r="H205" s="65">
        <f t="shared" si="160"/>
        <v>0</v>
      </c>
      <c r="I205" s="65">
        <f t="shared" si="161"/>
        <v>0</v>
      </c>
      <c r="J205" s="12">
        <f t="shared" si="162"/>
        <v>0</v>
      </c>
      <c r="K205" s="12">
        <f t="shared" si="163"/>
        <v>0</v>
      </c>
      <c r="L205" s="5">
        <f>VLOOKUP($B205,'Woodmac profile - Oil'!$B$447:$AL$474,MATCH(L$171,'Woodmac profile - Oil'!$B$480:$AL$480),FALSE)</f>
        <v>0</v>
      </c>
      <c r="M205" s="65">
        <f t="shared" si="164"/>
        <v>0</v>
      </c>
      <c r="N205" s="65">
        <f t="shared" si="165"/>
        <v>0</v>
      </c>
      <c r="O205" s="12">
        <f t="shared" si="166"/>
        <v>0</v>
      </c>
      <c r="P205" s="12">
        <f t="shared" si="167"/>
        <v>0</v>
      </c>
      <c r="Q205" s="5">
        <f>VLOOKUP($B205,'Woodmac profile - Oil'!$B$447:$AL$474,MATCH(Q$171,'Woodmac profile - Oil'!$B$480:$AL$480),FALSE)</f>
        <v>0</v>
      </c>
      <c r="R205" s="65">
        <f t="shared" si="168"/>
        <v>0</v>
      </c>
      <c r="S205" s="65">
        <f t="shared" si="169"/>
        <v>0</v>
      </c>
      <c r="T205" s="12">
        <f t="shared" si="170"/>
        <v>0</v>
      </c>
      <c r="U205" s="12">
        <f t="shared" si="171"/>
        <v>0</v>
      </c>
      <c r="V205" s="5">
        <f>VLOOKUP($B205,'Woodmac profile - Oil'!$B$447:$AL$474,MATCH(V$171,'Woodmac profile - Oil'!$B$480:$AL$480),FALSE)</f>
        <v>0</v>
      </c>
      <c r="W205" s="65">
        <f t="shared" si="172"/>
        <v>0</v>
      </c>
      <c r="X205" s="65">
        <f t="shared" si="173"/>
        <v>0</v>
      </c>
      <c r="Y205" s="12">
        <f t="shared" si="174"/>
        <v>0</v>
      </c>
      <c r="Z205" s="12">
        <f t="shared" si="175"/>
        <v>0</v>
      </c>
      <c r="AA205" s="5">
        <f>VLOOKUP($B205,'Woodmac profile - Oil'!$B$447:$AL$474,MATCH(AA$171,'Woodmac profile - Oil'!$B$480:$AL$480),FALSE)</f>
        <v>0</v>
      </c>
      <c r="AB205" s="65">
        <f t="shared" si="176"/>
        <v>0</v>
      </c>
      <c r="AC205" s="65">
        <f t="shared" si="177"/>
        <v>0</v>
      </c>
      <c r="AD205" s="12">
        <f t="shared" si="178"/>
        <v>0</v>
      </c>
      <c r="AE205" s="12">
        <f t="shared" si="179"/>
        <v>0</v>
      </c>
      <c r="AF205" s="5">
        <f>VLOOKUP($B205,'Woodmac profile - Oil'!$B$447:$AL$474,MATCH(AF$171,'Woodmac profile - Oil'!$B$480:$AL$480),FALSE)</f>
        <v>0</v>
      </c>
      <c r="AG205" s="65">
        <f t="shared" si="180"/>
        <v>0</v>
      </c>
      <c r="AH205" s="65">
        <f t="shared" si="181"/>
        <v>0</v>
      </c>
      <c r="AI205" s="12">
        <f t="shared" si="182"/>
        <v>0</v>
      </c>
      <c r="AJ205" s="12">
        <f t="shared" si="183"/>
        <v>0</v>
      </c>
      <c r="AK205" s="5">
        <f>VLOOKUP($B205,'Woodmac profile - Oil'!$B$447:$AL$474,MATCH(AK$171,'Woodmac profile - Oil'!$B$480:$AL$480),FALSE)</f>
        <v>0</v>
      </c>
      <c r="AL205" s="65">
        <f t="shared" si="184"/>
        <v>0</v>
      </c>
      <c r="AM205" s="65">
        <f t="shared" si="185"/>
        <v>0</v>
      </c>
      <c r="AN205" s="12">
        <f t="shared" si="186"/>
        <v>0</v>
      </c>
      <c r="AO205" s="12">
        <f t="shared" si="187"/>
        <v>0</v>
      </c>
      <c r="AP205" s="5">
        <f>VLOOKUP($B205,'Woodmac profile - Oil'!$B$447:$AL$474,MATCH(AP$171,'Woodmac profile - Oil'!$B$480:$AL$480),FALSE)</f>
        <v>0</v>
      </c>
      <c r="AQ205" s="65">
        <f t="shared" si="188"/>
        <v>0</v>
      </c>
      <c r="AR205" s="65">
        <f t="shared" si="189"/>
        <v>0</v>
      </c>
      <c r="AS205" s="12">
        <f t="shared" si="190"/>
        <v>0</v>
      </c>
      <c r="AT205" s="12">
        <f t="shared" si="191"/>
        <v>0</v>
      </c>
      <c r="AU205" s="5">
        <f>VLOOKUP($B205,'Woodmac profile - Oil'!$B$447:$AL$474,MATCH(AU$171,'Woodmac profile - Oil'!$B$480:$AL$480),FALSE)</f>
        <v>0</v>
      </c>
      <c r="AV205" s="65">
        <f t="shared" si="192"/>
        <v>0</v>
      </c>
      <c r="AW205" s="65">
        <f t="shared" si="193"/>
        <v>0</v>
      </c>
      <c r="AX205" s="12">
        <f t="shared" si="194"/>
        <v>0</v>
      </c>
      <c r="AY205" s="12">
        <f t="shared" si="195"/>
        <v>0</v>
      </c>
      <c r="AZ205" s="5">
        <f>VLOOKUP($B205,'Woodmac profile - Oil'!$B$447:$AL$474,MATCH(AZ$171,'Woodmac profile - Oil'!$B$480:$AL$480),FALSE)</f>
        <v>0</v>
      </c>
      <c r="BA205" s="65">
        <f t="shared" si="196"/>
        <v>0</v>
      </c>
      <c r="BB205" s="65">
        <f t="shared" si="197"/>
        <v>0</v>
      </c>
      <c r="BC205" s="12">
        <f t="shared" si="198"/>
        <v>0</v>
      </c>
      <c r="BD205" s="12">
        <f t="shared" si="199"/>
        <v>0</v>
      </c>
      <c r="BE205" s="5">
        <f>VLOOKUP($B205,'Woodmac profile - Oil'!$B$447:$AL$474,MATCH(BE$171,'Woodmac profile - Oil'!$B$480:$AL$480),FALSE)</f>
        <v>0</v>
      </c>
      <c r="BF205" s="65">
        <f t="shared" si="200"/>
        <v>0</v>
      </c>
      <c r="BG205" s="65">
        <f t="shared" si="201"/>
        <v>0</v>
      </c>
      <c r="BH205" s="65">
        <f t="shared" si="202"/>
        <v>0</v>
      </c>
      <c r="BI205" s="65">
        <f t="shared" si="203"/>
        <v>0</v>
      </c>
      <c r="BJ205" s="5">
        <f>VLOOKUP($B205,'Woodmac profile - Oil'!$B$447:$AL$474,MATCH(BJ$171,'Woodmac profile - Oil'!$B$480:$AL$480),FALSE)</f>
        <v>0</v>
      </c>
      <c r="BK205" s="65">
        <f t="shared" si="204"/>
        <v>0</v>
      </c>
      <c r="BL205" s="65">
        <f t="shared" si="205"/>
        <v>0</v>
      </c>
      <c r="BM205" s="65">
        <f t="shared" si="206"/>
        <v>0</v>
      </c>
      <c r="BN205" s="12">
        <f t="shared" si="207"/>
        <v>0</v>
      </c>
      <c r="BO205" s="5">
        <f>VLOOKUP($B205,'Woodmac profile - Oil'!$B$447:$AL$474,MATCH(BO$171,'Woodmac profile - Oil'!$B$480:$AL$480),FALSE)</f>
        <v>0</v>
      </c>
      <c r="BP205" s="65">
        <f t="shared" si="208"/>
        <v>0</v>
      </c>
      <c r="BQ205" s="65">
        <f t="shared" si="209"/>
        <v>0</v>
      </c>
      <c r="BR205" s="12">
        <f t="shared" si="210"/>
        <v>0</v>
      </c>
      <c r="BS205" s="12">
        <f t="shared" si="211"/>
        <v>0</v>
      </c>
      <c r="BT205" s="5">
        <f>VLOOKUP($B205,'Woodmac profile - Oil'!$B$447:$AL$474,MATCH(BT$171,'Woodmac profile - Oil'!$B$480:$AL$480),FALSE)</f>
        <v>0</v>
      </c>
      <c r="BU205" s="65">
        <f t="shared" si="212"/>
        <v>0</v>
      </c>
      <c r="BV205" s="65">
        <f t="shared" si="213"/>
        <v>0</v>
      </c>
      <c r="BW205" s="12">
        <f t="shared" si="214"/>
        <v>0</v>
      </c>
      <c r="BX205" s="12">
        <f t="shared" si="215"/>
        <v>0</v>
      </c>
      <c r="BY205" s="5">
        <f>VLOOKUP($B205,'Woodmac profile - Oil'!$B$447:$AL$474,MATCH(BY$171,'Woodmac profile - Oil'!$B$480:$AL$480),FALSE)</f>
        <v>0</v>
      </c>
      <c r="BZ205" s="65">
        <f t="shared" si="216"/>
        <v>0</v>
      </c>
      <c r="CA205" s="65">
        <f t="shared" si="217"/>
        <v>0</v>
      </c>
      <c r="CB205" s="12">
        <f t="shared" si="218"/>
        <v>0</v>
      </c>
      <c r="CC205" s="12">
        <f t="shared" si="219"/>
        <v>0</v>
      </c>
      <c r="CD205" s="5">
        <f>VLOOKUP($B205,'Woodmac profile - Oil'!$B$447:$AL$474,MATCH(CD$171,'Woodmac profile - Oil'!$B$480:$AL$480),FALSE)</f>
        <v>0</v>
      </c>
    </row>
    <row r="206" spans="1:83">
      <c r="A206" s="11"/>
      <c r="B206" s="11" t="s">
        <v>3278</v>
      </c>
      <c r="C206" s="52"/>
      <c r="D206" s="52"/>
      <c r="E206" s="5">
        <f>VLOOKUP($B206,'Woodmac profile - Oil'!$B$447:$AL$474,MATCH(E$171,'Woodmac profile - Oil'!$B$480:$AL$480),FALSE)</f>
        <v>0</v>
      </c>
      <c r="F206" s="5">
        <f>VLOOKUP($B206,'Woodmac profile - Oil'!$B$447:$AL$474,MATCH(F$171,'Woodmac profile - Oil'!$B$480:$AL$480),FALSE)</f>
        <v>0</v>
      </c>
      <c r="G206" s="5">
        <f>VLOOKUP($B206,'Woodmac profile - Oil'!$B$447:$AL$474,MATCH(G$171,'Woodmac profile - Oil'!$B$480:$AL$480),FALSE)</f>
        <v>0</v>
      </c>
      <c r="H206" s="65">
        <f t="shared" si="160"/>
        <v>0</v>
      </c>
      <c r="I206" s="65">
        <f t="shared" si="161"/>
        <v>0</v>
      </c>
      <c r="J206" s="12">
        <f t="shared" si="162"/>
        <v>0</v>
      </c>
      <c r="K206" s="12">
        <f t="shared" si="163"/>
        <v>0</v>
      </c>
      <c r="L206" s="5">
        <f>VLOOKUP($B206,'Woodmac profile - Oil'!$B$447:$AL$474,MATCH(L$171,'Woodmac profile - Oil'!$B$480:$AL$480),FALSE)</f>
        <v>0</v>
      </c>
      <c r="M206" s="65">
        <f t="shared" si="164"/>
        <v>0</v>
      </c>
      <c r="N206" s="65">
        <f t="shared" si="165"/>
        <v>0</v>
      </c>
      <c r="O206" s="12">
        <f t="shared" si="166"/>
        <v>0</v>
      </c>
      <c r="P206" s="12">
        <f t="shared" si="167"/>
        <v>0</v>
      </c>
      <c r="Q206" s="5">
        <f>VLOOKUP($B206,'Woodmac profile - Oil'!$B$447:$AL$474,MATCH(Q$171,'Woodmac profile - Oil'!$B$480:$AL$480),FALSE)</f>
        <v>0</v>
      </c>
      <c r="R206" s="65">
        <f t="shared" si="168"/>
        <v>0</v>
      </c>
      <c r="S206" s="65">
        <f t="shared" si="169"/>
        <v>0</v>
      </c>
      <c r="T206" s="12">
        <f t="shared" si="170"/>
        <v>0</v>
      </c>
      <c r="U206" s="12">
        <f t="shared" si="171"/>
        <v>0</v>
      </c>
      <c r="V206" s="5">
        <f>VLOOKUP($B206,'Woodmac profile - Oil'!$B$447:$AL$474,MATCH(V$171,'Woodmac profile - Oil'!$B$480:$AL$480),FALSE)</f>
        <v>0</v>
      </c>
      <c r="W206" s="65">
        <f t="shared" si="172"/>
        <v>0</v>
      </c>
      <c r="X206" s="65">
        <f t="shared" si="173"/>
        <v>0</v>
      </c>
      <c r="Y206" s="12">
        <f t="shared" si="174"/>
        <v>0</v>
      </c>
      <c r="Z206" s="12">
        <f t="shared" si="175"/>
        <v>0</v>
      </c>
      <c r="AA206" s="5">
        <f>VLOOKUP($B206,'Woodmac profile - Oil'!$B$447:$AL$474,MATCH(AA$171,'Woodmac profile - Oil'!$B$480:$AL$480),FALSE)</f>
        <v>0</v>
      </c>
      <c r="AB206" s="65">
        <f t="shared" si="176"/>
        <v>0</v>
      </c>
      <c r="AC206" s="65">
        <f t="shared" si="177"/>
        <v>0</v>
      </c>
      <c r="AD206" s="12">
        <f t="shared" si="178"/>
        <v>0</v>
      </c>
      <c r="AE206" s="12">
        <f t="shared" si="179"/>
        <v>0</v>
      </c>
      <c r="AF206" s="5">
        <f>VLOOKUP($B206,'Woodmac profile - Oil'!$B$447:$AL$474,MATCH(AF$171,'Woodmac profile - Oil'!$B$480:$AL$480),FALSE)</f>
        <v>0</v>
      </c>
      <c r="AG206" s="65">
        <f t="shared" si="180"/>
        <v>0</v>
      </c>
      <c r="AH206" s="65">
        <f t="shared" si="181"/>
        <v>0</v>
      </c>
      <c r="AI206" s="12">
        <f t="shared" si="182"/>
        <v>0</v>
      </c>
      <c r="AJ206" s="12">
        <f t="shared" si="183"/>
        <v>0</v>
      </c>
      <c r="AK206" s="5">
        <f>VLOOKUP($B206,'Woodmac profile - Oil'!$B$447:$AL$474,MATCH(AK$171,'Woodmac profile - Oil'!$B$480:$AL$480),FALSE)</f>
        <v>0</v>
      </c>
      <c r="AL206" s="65">
        <f t="shared" si="184"/>
        <v>0</v>
      </c>
      <c r="AM206" s="65">
        <f t="shared" si="185"/>
        <v>0</v>
      </c>
      <c r="AN206" s="12">
        <f t="shared" si="186"/>
        <v>0</v>
      </c>
      <c r="AO206" s="12">
        <f t="shared" si="187"/>
        <v>0</v>
      </c>
      <c r="AP206" s="5">
        <f>VLOOKUP($B206,'Woodmac profile - Oil'!$B$447:$AL$474,MATCH(AP$171,'Woodmac profile - Oil'!$B$480:$AL$480),FALSE)</f>
        <v>0</v>
      </c>
      <c r="AQ206" s="65">
        <f t="shared" si="188"/>
        <v>0</v>
      </c>
      <c r="AR206" s="65">
        <f t="shared" si="189"/>
        <v>0</v>
      </c>
      <c r="AS206" s="12">
        <f t="shared" si="190"/>
        <v>0</v>
      </c>
      <c r="AT206" s="12">
        <f t="shared" si="191"/>
        <v>0</v>
      </c>
      <c r="AU206" s="5">
        <f>VLOOKUP($B206,'Woodmac profile - Oil'!$B$447:$AL$474,MATCH(AU$171,'Woodmac profile - Oil'!$B$480:$AL$480),FALSE)</f>
        <v>0</v>
      </c>
      <c r="AV206" s="65">
        <f t="shared" si="192"/>
        <v>0</v>
      </c>
      <c r="AW206" s="65">
        <f t="shared" si="193"/>
        <v>0</v>
      </c>
      <c r="AX206" s="12">
        <f t="shared" si="194"/>
        <v>0</v>
      </c>
      <c r="AY206" s="12">
        <f t="shared" si="195"/>
        <v>0</v>
      </c>
      <c r="AZ206" s="5">
        <f>VLOOKUP($B206,'Woodmac profile - Oil'!$B$447:$AL$474,MATCH(AZ$171,'Woodmac profile - Oil'!$B$480:$AL$480),FALSE)</f>
        <v>0</v>
      </c>
      <c r="BA206" s="65">
        <f t="shared" si="196"/>
        <v>0</v>
      </c>
      <c r="BB206" s="65">
        <f t="shared" si="197"/>
        <v>0</v>
      </c>
      <c r="BC206" s="12">
        <f t="shared" si="198"/>
        <v>0</v>
      </c>
      <c r="BD206" s="12">
        <f t="shared" si="199"/>
        <v>0</v>
      </c>
      <c r="BE206" s="5">
        <f>VLOOKUP($B206,'Woodmac profile - Oil'!$B$447:$AL$474,MATCH(BE$171,'Woodmac profile - Oil'!$B$480:$AL$480),FALSE)</f>
        <v>0</v>
      </c>
      <c r="BF206" s="65">
        <f t="shared" si="200"/>
        <v>0</v>
      </c>
      <c r="BG206" s="65">
        <f t="shared" si="201"/>
        <v>0</v>
      </c>
      <c r="BH206" s="65">
        <f t="shared" si="202"/>
        <v>0</v>
      </c>
      <c r="BI206" s="65">
        <f t="shared" si="203"/>
        <v>0</v>
      </c>
      <c r="BJ206" s="5">
        <f>VLOOKUP($B206,'Woodmac profile - Oil'!$B$447:$AL$474,MATCH(BJ$171,'Woodmac profile - Oil'!$B$480:$AL$480),FALSE)</f>
        <v>0</v>
      </c>
      <c r="BK206" s="65">
        <f t="shared" si="204"/>
        <v>0</v>
      </c>
      <c r="BL206" s="65">
        <f t="shared" si="205"/>
        <v>0</v>
      </c>
      <c r="BM206" s="65">
        <f t="shared" si="206"/>
        <v>0</v>
      </c>
      <c r="BN206" s="12">
        <f t="shared" si="207"/>
        <v>0</v>
      </c>
      <c r="BO206" s="5">
        <f>VLOOKUP($B206,'Woodmac profile - Oil'!$B$447:$AL$474,MATCH(BO$171,'Woodmac profile - Oil'!$B$480:$AL$480),FALSE)</f>
        <v>0</v>
      </c>
      <c r="BP206" s="65">
        <f t="shared" si="208"/>
        <v>0</v>
      </c>
      <c r="BQ206" s="65">
        <f t="shared" si="209"/>
        <v>0</v>
      </c>
      <c r="BR206" s="12">
        <f t="shared" si="210"/>
        <v>0</v>
      </c>
      <c r="BS206" s="12">
        <f t="shared" si="211"/>
        <v>0</v>
      </c>
      <c r="BT206" s="5">
        <f>VLOOKUP($B206,'Woodmac profile - Oil'!$B$447:$AL$474,MATCH(BT$171,'Woodmac profile - Oil'!$B$480:$AL$480),FALSE)</f>
        <v>0</v>
      </c>
      <c r="BU206" s="65">
        <f t="shared" si="212"/>
        <v>0</v>
      </c>
      <c r="BV206" s="65">
        <f t="shared" si="213"/>
        <v>0</v>
      </c>
      <c r="BW206" s="12">
        <f t="shared" si="214"/>
        <v>0</v>
      </c>
      <c r="BX206" s="12">
        <f t="shared" si="215"/>
        <v>0</v>
      </c>
      <c r="BY206" s="5">
        <f>VLOOKUP($B206,'Woodmac profile - Oil'!$B$447:$AL$474,MATCH(BY$171,'Woodmac profile - Oil'!$B$480:$AL$480),FALSE)</f>
        <v>0</v>
      </c>
      <c r="BZ206" s="65">
        <f t="shared" si="216"/>
        <v>0</v>
      </c>
      <c r="CA206" s="65">
        <f t="shared" si="217"/>
        <v>0</v>
      </c>
      <c r="CB206" s="12">
        <f t="shared" si="218"/>
        <v>0</v>
      </c>
      <c r="CC206" s="12">
        <f t="shared" si="219"/>
        <v>0</v>
      </c>
      <c r="CD206" s="5">
        <f>VLOOKUP($B206,'Woodmac profile - Oil'!$B$447:$AL$474,MATCH(CD$171,'Woodmac profile - Oil'!$B$480:$AL$480),FALSE)</f>
        <v>0</v>
      </c>
    </row>
    <row r="207" spans="1:83">
      <c r="A207" s="47"/>
      <c r="B207" s="47" t="s">
        <v>1703</v>
      </c>
      <c r="C207" s="52"/>
      <c r="D207" s="52"/>
      <c r="E207" s="5">
        <f>VLOOKUP($B207,'Woodmac profile - Oil'!$B$447:$AL$474,MATCH(E$171,'Woodmac profile - Oil'!$B$480:$AL$480),FALSE)</f>
        <v>0</v>
      </c>
      <c r="F207" s="5">
        <f>VLOOKUP($B207,'Woodmac profile - Oil'!$B$447:$AL$474,MATCH(F$171,'Woodmac profile - Oil'!$B$480:$AL$480),FALSE)</f>
        <v>0</v>
      </c>
      <c r="G207" s="5">
        <f>VLOOKUP($B207,'Woodmac profile - Oil'!$B$447:$AL$474,MATCH(G$171,'Woodmac profile - Oil'!$B$480:$AL$480),FALSE)</f>
        <v>0</v>
      </c>
      <c r="H207" s="65">
        <f t="shared" si="160"/>
        <v>0</v>
      </c>
      <c r="I207" s="65">
        <f t="shared" si="161"/>
        <v>0</v>
      </c>
      <c r="J207" s="12">
        <f t="shared" si="162"/>
        <v>0</v>
      </c>
      <c r="K207" s="12">
        <f t="shared" si="163"/>
        <v>0</v>
      </c>
      <c r="L207" s="5">
        <f>VLOOKUP($B207,'Woodmac profile - Oil'!$B$447:$AL$474,MATCH(L$171,'Woodmac profile - Oil'!$B$480:$AL$480),FALSE)</f>
        <v>0</v>
      </c>
      <c r="M207" s="65">
        <f t="shared" si="164"/>
        <v>0</v>
      </c>
      <c r="N207" s="65">
        <f t="shared" si="165"/>
        <v>0</v>
      </c>
      <c r="O207" s="12">
        <f t="shared" si="166"/>
        <v>0</v>
      </c>
      <c r="P207" s="12">
        <f t="shared" si="167"/>
        <v>0</v>
      </c>
      <c r="Q207" s="5">
        <f>VLOOKUP($B207,'Woodmac profile - Oil'!$B$447:$AL$474,MATCH(Q$171,'Woodmac profile - Oil'!$B$480:$AL$480),FALSE)</f>
        <v>0</v>
      </c>
      <c r="R207" s="65">
        <f t="shared" si="168"/>
        <v>0</v>
      </c>
      <c r="S207" s="65">
        <f t="shared" si="169"/>
        <v>0</v>
      </c>
      <c r="T207" s="12">
        <f t="shared" si="170"/>
        <v>0</v>
      </c>
      <c r="U207" s="12">
        <f t="shared" si="171"/>
        <v>0</v>
      </c>
      <c r="V207" s="5">
        <f>VLOOKUP($B207,'Woodmac profile - Oil'!$B$447:$AL$474,MATCH(V$171,'Woodmac profile - Oil'!$B$480:$AL$480),FALSE)</f>
        <v>0</v>
      </c>
      <c r="W207" s="65">
        <f t="shared" si="172"/>
        <v>0</v>
      </c>
      <c r="X207" s="65">
        <f t="shared" si="173"/>
        <v>0</v>
      </c>
      <c r="Y207" s="12">
        <f t="shared" si="174"/>
        <v>0</v>
      </c>
      <c r="Z207" s="12">
        <f t="shared" si="175"/>
        <v>0</v>
      </c>
      <c r="AA207" s="5">
        <f>VLOOKUP($B207,'Woodmac profile - Oil'!$B$447:$AL$474,MATCH(AA$171,'Woodmac profile - Oil'!$B$480:$AL$480),FALSE)</f>
        <v>0</v>
      </c>
      <c r="AB207" s="65">
        <f t="shared" si="176"/>
        <v>0</v>
      </c>
      <c r="AC207" s="65">
        <f t="shared" si="177"/>
        <v>0</v>
      </c>
      <c r="AD207" s="12">
        <f t="shared" si="178"/>
        <v>0</v>
      </c>
      <c r="AE207" s="12">
        <f t="shared" si="179"/>
        <v>0</v>
      </c>
      <c r="AF207" s="5">
        <f>VLOOKUP($B207,'Woodmac profile - Oil'!$B$447:$AL$474,MATCH(AF$171,'Woodmac profile - Oil'!$B$480:$AL$480),FALSE)</f>
        <v>0</v>
      </c>
      <c r="AG207" s="65">
        <f t="shared" si="180"/>
        <v>0</v>
      </c>
      <c r="AH207" s="65">
        <f t="shared" si="181"/>
        <v>0</v>
      </c>
      <c r="AI207" s="12">
        <f t="shared" si="182"/>
        <v>0</v>
      </c>
      <c r="AJ207" s="12">
        <f t="shared" si="183"/>
        <v>0</v>
      </c>
      <c r="AK207" s="5">
        <f>VLOOKUP($B207,'Woodmac profile - Oil'!$B$447:$AL$474,MATCH(AK$171,'Woodmac profile - Oil'!$B$480:$AL$480),FALSE)</f>
        <v>0</v>
      </c>
      <c r="AL207" s="65">
        <f t="shared" si="184"/>
        <v>0</v>
      </c>
      <c r="AM207" s="65">
        <f t="shared" si="185"/>
        <v>0</v>
      </c>
      <c r="AN207" s="12">
        <f t="shared" si="186"/>
        <v>0</v>
      </c>
      <c r="AO207" s="12">
        <f t="shared" si="187"/>
        <v>0</v>
      </c>
      <c r="AP207" s="5">
        <f>VLOOKUP($B207,'Woodmac profile - Oil'!$B$447:$AL$474,MATCH(AP$171,'Woodmac profile - Oil'!$B$480:$AL$480),FALSE)</f>
        <v>0</v>
      </c>
      <c r="AQ207" s="65">
        <f t="shared" si="188"/>
        <v>0</v>
      </c>
      <c r="AR207" s="65">
        <f t="shared" si="189"/>
        <v>0</v>
      </c>
      <c r="AS207" s="12">
        <f t="shared" si="190"/>
        <v>0</v>
      </c>
      <c r="AT207" s="12">
        <f t="shared" si="191"/>
        <v>0</v>
      </c>
      <c r="AU207" s="5">
        <f>VLOOKUP($B207,'Woodmac profile - Oil'!$B$447:$AL$474,MATCH(AU$171,'Woodmac profile - Oil'!$B$480:$AL$480),FALSE)</f>
        <v>0</v>
      </c>
      <c r="AV207" s="65">
        <f t="shared" si="192"/>
        <v>0</v>
      </c>
      <c r="AW207" s="65">
        <f t="shared" si="193"/>
        <v>0</v>
      </c>
      <c r="AX207" s="12">
        <f t="shared" si="194"/>
        <v>0</v>
      </c>
      <c r="AY207" s="12">
        <f t="shared" si="195"/>
        <v>0</v>
      </c>
      <c r="AZ207" s="5">
        <f>VLOOKUP($B207,'Woodmac profile - Oil'!$B$447:$AL$474,MATCH(AZ$171,'Woodmac profile - Oil'!$B$480:$AL$480),FALSE)</f>
        <v>0</v>
      </c>
      <c r="BA207" s="65">
        <f t="shared" si="196"/>
        <v>0</v>
      </c>
      <c r="BB207" s="65">
        <f t="shared" si="197"/>
        <v>0</v>
      </c>
      <c r="BC207" s="12">
        <f t="shared" si="198"/>
        <v>0</v>
      </c>
      <c r="BD207" s="12">
        <f t="shared" si="199"/>
        <v>0</v>
      </c>
      <c r="BE207" s="5">
        <f>VLOOKUP($B207,'Woodmac profile - Oil'!$B$447:$AL$474,MATCH(BE$171,'Woodmac profile - Oil'!$B$480:$AL$480),FALSE)</f>
        <v>0</v>
      </c>
      <c r="BF207" s="65">
        <f t="shared" si="200"/>
        <v>0</v>
      </c>
      <c r="BG207" s="65">
        <f t="shared" si="201"/>
        <v>0</v>
      </c>
      <c r="BH207" s="65">
        <f t="shared" si="202"/>
        <v>0</v>
      </c>
      <c r="BI207" s="65">
        <f t="shared" si="203"/>
        <v>0</v>
      </c>
      <c r="BJ207" s="5">
        <f>VLOOKUP($B207,'Woodmac profile - Oil'!$B$447:$AL$474,MATCH(BJ$171,'Woodmac profile - Oil'!$B$480:$AL$480),FALSE)</f>
        <v>0</v>
      </c>
      <c r="BK207" s="65">
        <f t="shared" si="204"/>
        <v>0</v>
      </c>
      <c r="BL207" s="65">
        <f t="shared" si="205"/>
        <v>0</v>
      </c>
      <c r="BM207" s="65">
        <f t="shared" si="206"/>
        <v>0</v>
      </c>
      <c r="BN207" s="12">
        <f t="shared" si="207"/>
        <v>0</v>
      </c>
      <c r="BO207" s="5">
        <f>VLOOKUP($B207,'Woodmac profile - Oil'!$B$447:$AL$474,MATCH(BO$171,'Woodmac profile - Oil'!$B$480:$AL$480),FALSE)</f>
        <v>0</v>
      </c>
      <c r="BP207" s="65">
        <f t="shared" si="208"/>
        <v>0</v>
      </c>
      <c r="BQ207" s="65">
        <f t="shared" si="209"/>
        <v>0</v>
      </c>
      <c r="BR207" s="12">
        <f t="shared" si="210"/>
        <v>0</v>
      </c>
      <c r="BS207" s="12">
        <f t="shared" si="211"/>
        <v>0</v>
      </c>
      <c r="BT207" s="5">
        <f>VLOOKUP($B207,'Woodmac profile - Oil'!$B$447:$AL$474,MATCH(BT$171,'Woodmac profile - Oil'!$B$480:$AL$480),FALSE)</f>
        <v>0</v>
      </c>
      <c r="BU207" s="65">
        <f t="shared" si="212"/>
        <v>0</v>
      </c>
      <c r="BV207" s="65">
        <f t="shared" si="213"/>
        <v>0</v>
      </c>
      <c r="BW207" s="12">
        <f t="shared" si="214"/>
        <v>0</v>
      </c>
      <c r="BX207" s="12">
        <f t="shared" si="215"/>
        <v>0</v>
      </c>
      <c r="BY207" s="5">
        <f>VLOOKUP($B207,'Woodmac profile - Oil'!$B$447:$AL$474,MATCH(BY$171,'Woodmac profile - Oil'!$B$480:$AL$480),FALSE)</f>
        <v>0</v>
      </c>
      <c r="BZ207" s="65">
        <f t="shared" si="216"/>
        <v>0</v>
      </c>
      <c r="CA207" s="65">
        <f t="shared" si="217"/>
        <v>0</v>
      </c>
      <c r="CB207" s="12">
        <f t="shared" si="218"/>
        <v>0</v>
      </c>
      <c r="CC207" s="12">
        <f t="shared" si="219"/>
        <v>0</v>
      </c>
      <c r="CD207" s="5">
        <f>VLOOKUP($B207,'Woodmac profile - Oil'!$B$447:$AL$474,MATCH(CD$171,'Woodmac profile - Oil'!$B$480:$AL$480),FALSE)</f>
        <v>0</v>
      </c>
    </row>
    <row r="208" spans="1:83">
      <c r="A208" s="47"/>
      <c r="B208" s="47" t="s">
        <v>1961</v>
      </c>
      <c r="C208" s="52"/>
      <c r="D208" s="52"/>
      <c r="E208" s="5">
        <f>VLOOKUP($B208,'Woodmac profile - Oil'!$B$447:$AL$474,MATCH(E$171,'Woodmac profile - Oil'!$B$480:$AL$480),FALSE)</f>
        <v>0</v>
      </c>
      <c r="F208" s="5">
        <f>VLOOKUP($B208,'Woodmac profile - Oil'!$B$447:$AL$474,MATCH(F$171,'Woodmac profile - Oil'!$B$480:$AL$480),FALSE)</f>
        <v>0</v>
      </c>
      <c r="G208" s="5">
        <f>VLOOKUP($B208,'Woodmac profile - Oil'!$B$447:$AL$474,MATCH(G$171,'Woodmac profile - Oil'!$B$480:$AL$480),FALSE)</f>
        <v>0</v>
      </c>
      <c r="H208" s="65">
        <f t="shared" si="160"/>
        <v>0</v>
      </c>
      <c r="I208" s="65">
        <f t="shared" si="161"/>
        <v>0</v>
      </c>
      <c r="J208" s="12">
        <f t="shared" si="162"/>
        <v>0</v>
      </c>
      <c r="K208" s="12">
        <f t="shared" si="163"/>
        <v>0</v>
      </c>
      <c r="L208" s="5">
        <f>VLOOKUP($B208,'Woodmac profile - Oil'!$B$447:$AL$474,MATCH(L$171,'Woodmac profile - Oil'!$B$480:$AL$480),FALSE)</f>
        <v>0</v>
      </c>
      <c r="M208" s="65">
        <f t="shared" si="164"/>
        <v>0</v>
      </c>
      <c r="N208" s="65">
        <f t="shared" si="165"/>
        <v>0</v>
      </c>
      <c r="O208" s="12">
        <f t="shared" si="166"/>
        <v>0</v>
      </c>
      <c r="P208" s="12">
        <f t="shared" si="167"/>
        <v>0</v>
      </c>
      <c r="Q208" s="5">
        <f>VLOOKUP($B208,'Woodmac profile - Oil'!$B$447:$AL$474,MATCH(Q$171,'Woodmac profile - Oil'!$B$480:$AL$480),FALSE)</f>
        <v>0</v>
      </c>
      <c r="R208" s="65">
        <f t="shared" si="168"/>
        <v>0</v>
      </c>
      <c r="S208" s="65">
        <f t="shared" si="169"/>
        <v>0</v>
      </c>
      <c r="T208" s="12">
        <f t="shared" si="170"/>
        <v>0</v>
      </c>
      <c r="U208" s="12">
        <f t="shared" si="171"/>
        <v>0</v>
      </c>
      <c r="V208" s="5">
        <f>VLOOKUP($B208,'Woodmac profile - Oil'!$B$447:$AL$474,MATCH(V$171,'Woodmac profile - Oil'!$B$480:$AL$480),FALSE)</f>
        <v>0</v>
      </c>
      <c r="W208" s="65">
        <f t="shared" si="172"/>
        <v>0</v>
      </c>
      <c r="X208" s="65">
        <f t="shared" si="173"/>
        <v>0</v>
      </c>
      <c r="Y208" s="12">
        <f t="shared" si="174"/>
        <v>0</v>
      </c>
      <c r="Z208" s="12">
        <f t="shared" si="175"/>
        <v>0</v>
      </c>
      <c r="AA208" s="5">
        <f>VLOOKUP($B208,'Woodmac profile - Oil'!$B$447:$AL$474,MATCH(AA$171,'Woodmac profile - Oil'!$B$480:$AL$480),FALSE)</f>
        <v>0</v>
      </c>
      <c r="AB208" s="65">
        <f t="shared" si="176"/>
        <v>0</v>
      </c>
      <c r="AC208" s="65">
        <f t="shared" si="177"/>
        <v>0</v>
      </c>
      <c r="AD208" s="12">
        <f t="shared" si="178"/>
        <v>0</v>
      </c>
      <c r="AE208" s="12">
        <f t="shared" si="179"/>
        <v>0</v>
      </c>
      <c r="AF208" s="5">
        <f>VLOOKUP($B208,'Woodmac profile - Oil'!$B$447:$AL$474,MATCH(AF$171,'Woodmac profile - Oil'!$B$480:$AL$480),FALSE)</f>
        <v>0</v>
      </c>
      <c r="AG208" s="65">
        <f t="shared" si="180"/>
        <v>0</v>
      </c>
      <c r="AH208" s="65">
        <f t="shared" si="181"/>
        <v>0</v>
      </c>
      <c r="AI208" s="12">
        <f t="shared" si="182"/>
        <v>0</v>
      </c>
      <c r="AJ208" s="12">
        <f t="shared" si="183"/>
        <v>0</v>
      </c>
      <c r="AK208" s="5">
        <f>VLOOKUP($B208,'Woodmac profile - Oil'!$B$447:$AL$474,MATCH(AK$171,'Woodmac profile - Oil'!$B$480:$AL$480),FALSE)</f>
        <v>0</v>
      </c>
      <c r="AL208" s="65">
        <f t="shared" si="184"/>
        <v>0</v>
      </c>
      <c r="AM208" s="65">
        <f t="shared" si="185"/>
        <v>0</v>
      </c>
      <c r="AN208" s="12">
        <f t="shared" si="186"/>
        <v>0</v>
      </c>
      <c r="AO208" s="12">
        <f t="shared" si="187"/>
        <v>0</v>
      </c>
      <c r="AP208" s="5">
        <f>VLOOKUP($B208,'Woodmac profile - Oil'!$B$447:$AL$474,MATCH(AP$171,'Woodmac profile - Oil'!$B$480:$AL$480),FALSE)</f>
        <v>0</v>
      </c>
      <c r="AQ208" s="65">
        <f t="shared" si="188"/>
        <v>0</v>
      </c>
      <c r="AR208" s="65">
        <f t="shared" si="189"/>
        <v>0</v>
      </c>
      <c r="AS208" s="12">
        <f t="shared" si="190"/>
        <v>0</v>
      </c>
      <c r="AT208" s="12">
        <f t="shared" si="191"/>
        <v>0</v>
      </c>
      <c r="AU208" s="5">
        <f>VLOOKUP($B208,'Woodmac profile - Oil'!$B$447:$AL$474,MATCH(AU$171,'Woodmac profile - Oil'!$B$480:$AL$480),FALSE)</f>
        <v>0</v>
      </c>
      <c r="AV208" s="65">
        <f t="shared" si="192"/>
        <v>0</v>
      </c>
      <c r="AW208" s="65">
        <f t="shared" si="193"/>
        <v>0</v>
      </c>
      <c r="AX208" s="12">
        <f t="shared" si="194"/>
        <v>0</v>
      </c>
      <c r="AY208" s="12">
        <f t="shared" si="195"/>
        <v>0</v>
      </c>
      <c r="AZ208" s="5">
        <f>VLOOKUP($B208,'Woodmac profile - Oil'!$B$447:$AL$474,MATCH(AZ$171,'Woodmac profile - Oil'!$B$480:$AL$480),FALSE)</f>
        <v>0</v>
      </c>
      <c r="BA208" s="65">
        <f t="shared" si="196"/>
        <v>0</v>
      </c>
      <c r="BB208" s="65">
        <f t="shared" si="197"/>
        <v>0</v>
      </c>
      <c r="BC208" s="12">
        <f t="shared" si="198"/>
        <v>0</v>
      </c>
      <c r="BD208" s="12">
        <f t="shared" si="199"/>
        <v>0</v>
      </c>
      <c r="BE208" s="5">
        <f>VLOOKUP($B208,'Woodmac profile - Oil'!$B$447:$AL$474,MATCH(BE$171,'Woodmac profile - Oil'!$B$480:$AL$480),FALSE)</f>
        <v>0</v>
      </c>
      <c r="BF208" s="65">
        <f t="shared" si="200"/>
        <v>0</v>
      </c>
      <c r="BG208" s="65">
        <f t="shared" si="201"/>
        <v>0</v>
      </c>
      <c r="BH208" s="65">
        <f t="shared" si="202"/>
        <v>0</v>
      </c>
      <c r="BI208" s="65">
        <f t="shared" si="203"/>
        <v>0</v>
      </c>
      <c r="BJ208" s="5">
        <f>VLOOKUP($B208,'Woodmac profile - Oil'!$B$447:$AL$474,MATCH(BJ$171,'Woodmac profile - Oil'!$B$480:$AL$480),FALSE)</f>
        <v>0</v>
      </c>
      <c r="BK208" s="65">
        <f t="shared" si="204"/>
        <v>0</v>
      </c>
      <c r="BL208" s="65">
        <f t="shared" si="205"/>
        <v>0</v>
      </c>
      <c r="BM208" s="65">
        <f t="shared" si="206"/>
        <v>0</v>
      </c>
      <c r="BN208" s="12">
        <f t="shared" si="207"/>
        <v>0</v>
      </c>
      <c r="BO208" s="5">
        <f>VLOOKUP($B208,'Woodmac profile - Oil'!$B$447:$AL$474,MATCH(BO$171,'Woodmac profile - Oil'!$B$480:$AL$480),FALSE)</f>
        <v>0</v>
      </c>
      <c r="BP208" s="65">
        <f t="shared" si="208"/>
        <v>0</v>
      </c>
      <c r="BQ208" s="65">
        <f t="shared" si="209"/>
        <v>0</v>
      </c>
      <c r="BR208" s="12">
        <f t="shared" si="210"/>
        <v>0</v>
      </c>
      <c r="BS208" s="12">
        <f t="shared" si="211"/>
        <v>0</v>
      </c>
      <c r="BT208" s="5">
        <f>VLOOKUP($B208,'Woodmac profile - Oil'!$B$447:$AL$474,MATCH(BT$171,'Woodmac profile - Oil'!$B$480:$AL$480),FALSE)</f>
        <v>0</v>
      </c>
      <c r="BU208" s="65">
        <f t="shared" si="212"/>
        <v>0</v>
      </c>
      <c r="BV208" s="65">
        <f t="shared" si="213"/>
        <v>0</v>
      </c>
      <c r="BW208" s="12">
        <f t="shared" si="214"/>
        <v>0</v>
      </c>
      <c r="BX208" s="12">
        <f t="shared" si="215"/>
        <v>0</v>
      </c>
      <c r="BY208" s="5">
        <f>VLOOKUP($B208,'Woodmac profile - Oil'!$B$447:$AL$474,MATCH(BY$171,'Woodmac profile - Oil'!$B$480:$AL$480),FALSE)</f>
        <v>0</v>
      </c>
      <c r="BZ208" s="65">
        <f t="shared" si="216"/>
        <v>0</v>
      </c>
      <c r="CA208" s="65">
        <f t="shared" si="217"/>
        <v>0</v>
      </c>
      <c r="CB208" s="12">
        <f t="shared" si="218"/>
        <v>0</v>
      </c>
      <c r="CC208" s="12">
        <f t="shared" si="219"/>
        <v>0</v>
      </c>
      <c r="CD208" s="5">
        <f>VLOOKUP($B208,'Woodmac profile - Oil'!$B$447:$AL$474,MATCH(CD$171,'Woodmac profile - Oil'!$B$480:$AL$480),FALSE)</f>
        <v>0</v>
      </c>
    </row>
    <row r="209" spans="1:83">
      <c r="A209" s="11"/>
      <c r="B209" s="11" t="s">
        <v>3399</v>
      </c>
      <c r="C209" s="52"/>
      <c r="D209" s="52"/>
      <c r="E209" s="5">
        <f>VLOOKUP($B209,'Woodmac profile - Oil'!$B$447:$AL$474,MATCH(E$171,'Woodmac profile - Oil'!$B$480:$AL$480),FALSE)</f>
        <v>12.77</v>
      </c>
      <c r="F209" s="5">
        <f>VLOOKUP($B209,'Woodmac profile - Oil'!$B$447:$AL$474,MATCH(F$171,'Woodmac profile - Oil'!$B$480:$AL$480),FALSE)</f>
        <v>9.86</v>
      </c>
      <c r="G209" s="5">
        <f>VLOOKUP($B209,'Woodmac profile - Oil'!$B$447:$AL$474,MATCH(G$171,'Woodmac profile - Oil'!$B$480:$AL$480),FALSE)</f>
        <v>7.9</v>
      </c>
      <c r="H209" s="65">
        <f t="shared" si="160"/>
        <v>7.55</v>
      </c>
      <c r="I209" s="65">
        <f t="shared" si="161"/>
        <v>7.55</v>
      </c>
      <c r="J209" s="12">
        <f t="shared" si="162"/>
        <v>7.55</v>
      </c>
      <c r="K209" s="12">
        <f t="shared" si="163"/>
        <v>7.55</v>
      </c>
      <c r="L209" s="5">
        <f>VLOOKUP($B209,'Woodmac profile - Oil'!$B$447:$AL$474,MATCH(L$171,'Woodmac profile - Oil'!$B$480:$AL$480),FALSE)</f>
        <v>7.55</v>
      </c>
      <c r="M209" s="65">
        <f t="shared" si="164"/>
        <v>6.67</v>
      </c>
      <c r="N209" s="65">
        <f t="shared" si="165"/>
        <v>6.67</v>
      </c>
      <c r="O209" s="12">
        <f t="shared" si="166"/>
        <v>6.67</v>
      </c>
      <c r="P209" s="12">
        <f t="shared" si="167"/>
        <v>6.67</v>
      </c>
      <c r="Q209" s="5">
        <f>VLOOKUP($B209,'Woodmac profile - Oil'!$B$447:$AL$474,MATCH(Q$171,'Woodmac profile - Oil'!$B$480:$AL$480),FALSE)</f>
        <v>6.67</v>
      </c>
      <c r="R209" s="65">
        <f t="shared" si="168"/>
        <v>6.79</v>
      </c>
      <c r="S209" s="65">
        <f t="shared" si="169"/>
        <v>6.79</v>
      </c>
      <c r="T209" s="12">
        <f t="shared" si="170"/>
        <v>6.79</v>
      </c>
      <c r="U209" s="12">
        <f t="shared" si="171"/>
        <v>6.79</v>
      </c>
      <c r="V209" s="5">
        <f>VLOOKUP($B209,'Woodmac profile - Oil'!$B$447:$AL$474,MATCH(V$171,'Woodmac profile - Oil'!$B$480:$AL$480),FALSE)</f>
        <v>6.79</v>
      </c>
      <c r="W209" s="65">
        <f t="shared" si="172"/>
        <v>4.7799999999999994</v>
      </c>
      <c r="X209" s="65">
        <f t="shared" si="173"/>
        <v>4.7799999999999994</v>
      </c>
      <c r="Y209" s="12">
        <f t="shared" si="174"/>
        <v>4.7799999999999994</v>
      </c>
      <c r="Z209" s="12">
        <f t="shared" si="175"/>
        <v>4.7799999999999994</v>
      </c>
      <c r="AA209" s="5">
        <f>VLOOKUP($B209,'Woodmac profile - Oil'!$B$447:$AL$474,MATCH(AA$171,'Woodmac profile - Oil'!$B$480:$AL$480),FALSE)</f>
        <v>4.7799999999999994</v>
      </c>
      <c r="AB209" s="65">
        <f t="shared" si="176"/>
        <v>1.96</v>
      </c>
      <c r="AC209" s="65">
        <f t="shared" si="177"/>
        <v>1.96</v>
      </c>
      <c r="AD209" s="12">
        <f t="shared" si="178"/>
        <v>1.96</v>
      </c>
      <c r="AE209" s="12">
        <f t="shared" si="179"/>
        <v>1.96</v>
      </c>
      <c r="AF209" s="5">
        <f>VLOOKUP($B209,'Woodmac profile - Oil'!$B$447:$AL$474,MATCH(AF$171,'Woodmac profile - Oil'!$B$480:$AL$480),FALSE)</f>
        <v>1.96</v>
      </c>
      <c r="AG209" s="65">
        <f t="shared" si="180"/>
        <v>1.54</v>
      </c>
      <c r="AH209" s="65">
        <f t="shared" si="181"/>
        <v>1.54</v>
      </c>
      <c r="AI209" s="12">
        <f t="shared" si="182"/>
        <v>1.54</v>
      </c>
      <c r="AJ209" s="12">
        <f t="shared" si="183"/>
        <v>1.54</v>
      </c>
      <c r="AK209" s="5">
        <f>VLOOKUP($B209,'Woodmac profile - Oil'!$B$447:$AL$474,MATCH(AK$171,'Woodmac profile - Oil'!$B$480:$AL$480),FALSE)</f>
        <v>1.54</v>
      </c>
      <c r="AL209" s="65">
        <f t="shared" si="184"/>
        <v>1.6</v>
      </c>
      <c r="AM209" s="65">
        <f t="shared" si="185"/>
        <v>1.6</v>
      </c>
      <c r="AN209" s="12">
        <f t="shared" si="186"/>
        <v>1.6</v>
      </c>
      <c r="AO209" s="12">
        <f t="shared" si="187"/>
        <v>1.6</v>
      </c>
      <c r="AP209" s="5">
        <f>VLOOKUP($B209,'Woodmac profile - Oil'!$B$447:$AL$474,MATCH(AP$171,'Woodmac profile - Oil'!$B$480:$AL$480),FALSE)</f>
        <v>1.6</v>
      </c>
      <c r="AQ209" s="65">
        <f t="shared" si="188"/>
        <v>1.5</v>
      </c>
      <c r="AR209" s="65">
        <f t="shared" si="189"/>
        <v>1.5</v>
      </c>
      <c r="AS209" s="12">
        <f t="shared" si="190"/>
        <v>1.5</v>
      </c>
      <c r="AT209" s="12">
        <f t="shared" si="191"/>
        <v>1.5</v>
      </c>
      <c r="AU209" s="5">
        <f>VLOOKUP($B209,'Woodmac profile - Oil'!$B$447:$AL$474,MATCH(AU$171,'Woodmac profile - Oil'!$B$480:$AL$480),FALSE)</f>
        <v>1.5</v>
      </c>
      <c r="AV209" s="65">
        <f t="shared" si="192"/>
        <v>1.54</v>
      </c>
      <c r="AW209" s="65">
        <f t="shared" si="193"/>
        <v>1.54</v>
      </c>
      <c r="AX209" s="12">
        <f t="shared" si="194"/>
        <v>1.54</v>
      </c>
      <c r="AY209" s="12">
        <f t="shared" si="195"/>
        <v>1.54</v>
      </c>
      <c r="AZ209" s="5">
        <f>VLOOKUP($B209,'Woodmac profile - Oil'!$B$447:$AL$474,MATCH(AZ$171,'Woodmac profile - Oil'!$B$480:$AL$480),FALSE)</f>
        <v>1.54</v>
      </c>
      <c r="BA209" s="65">
        <f t="shared" si="196"/>
        <v>2.0499999999999998</v>
      </c>
      <c r="BB209" s="65">
        <f t="shared" si="197"/>
        <v>2.0499999999999998</v>
      </c>
      <c r="BC209" s="12">
        <f t="shared" si="198"/>
        <v>2.0499999999999998</v>
      </c>
      <c r="BD209" s="12">
        <f t="shared" si="199"/>
        <v>2.0499999999999998</v>
      </c>
      <c r="BE209" s="5">
        <f>VLOOKUP($B209,'Woodmac profile - Oil'!$B$447:$AL$474,MATCH(BE$171,'Woodmac profile - Oil'!$B$480:$AL$480),FALSE)</f>
        <v>2.0499999999999998</v>
      </c>
      <c r="BF209" s="65">
        <f t="shared" si="200"/>
        <v>1.51</v>
      </c>
      <c r="BG209" s="65">
        <f t="shared" si="201"/>
        <v>1.51</v>
      </c>
      <c r="BH209" s="65">
        <f t="shared" si="202"/>
        <v>1.51</v>
      </c>
      <c r="BI209" s="65">
        <f t="shared" si="203"/>
        <v>1.51</v>
      </c>
      <c r="BJ209" s="5">
        <f>VLOOKUP($B209,'Woodmac profile - Oil'!$B$447:$AL$474,MATCH(BJ$171,'Woodmac profile - Oil'!$B$480:$AL$480),FALSE)</f>
        <v>1.51</v>
      </c>
      <c r="BK209" s="65">
        <f t="shared" si="204"/>
        <v>0</v>
      </c>
      <c r="BL209" s="65">
        <f t="shared" si="205"/>
        <v>0</v>
      </c>
      <c r="BM209" s="65">
        <f t="shared" si="206"/>
        <v>0</v>
      </c>
      <c r="BN209" s="12">
        <f t="shared" si="207"/>
        <v>0</v>
      </c>
      <c r="BO209" s="5">
        <f>VLOOKUP($B209,'Woodmac profile - Oil'!$B$447:$AL$474,MATCH(BO$171,'Woodmac profile - Oil'!$B$480:$AL$480),FALSE)</f>
        <v>0</v>
      </c>
      <c r="BP209" s="65">
        <f t="shared" si="208"/>
        <v>0</v>
      </c>
      <c r="BQ209" s="65">
        <f t="shared" si="209"/>
        <v>0</v>
      </c>
      <c r="BR209" s="12">
        <f t="shared" si="210"/>
        <v>0</v>
      </c>
      <c r="BS209" s="12">
        <f t="shared" si="211"/>
        <v>0</v>
      </c>
      <c r="BT209" s="5">
        <f>VLOOKUP($B209,'Woodmac profile - Oil'!$B$447:$AL$474,MATCH(BT$171,'Woodmac profile - Oil'!$B$480:$AL$480),FALSE)</f>
        <v>0</v>
      </c>
      <c r="BU209" s="65">
        <f t="shared" si="212"/>
        <v>0</v>
      </c>
      <c r="BV209" s="65">
        <f t="shared" si="213"/>
        <v>0</v>
      </c>
      <c r="BW209" s="12">
        <f t="shared" si="214"/>
        <v>0</v>
      </c>
      <c r="BX209" s="12">
        <f t="shared" si="215"/>
        <v>0</v>
      </c>
      <c r="BY209" s="5">
        <f>VLOOKUP($B209,'Woodmac profile - Oil'!$B$447:$AL$474,MATCH(BY$171,'Woodmac profile - Oil'!$B$480:$AL$480),FALSE)</f>
        <v>0</v>
      </c>
      <c r="BZ209" s="65">
        <f t="shared" si="216"/>
        <v>0</v>
      </c>
      <c r="CA209" s="65">
        <f t="shared" si="217"/>
        <v>0</v>
      </c>
      <c r="CB209" s="12">
        <f t="shared" si="218"/>
        <v>0</v>
      </c>
      <c r="CC209" s="12">
        <f t="shared" si="219"/>
        <v>0</v>
      </c>
      <c r="CD209" s="5">
        <f>VLOOKUP($B209,'Woodmac profile - Oil'!$B$447:$AL$474,MATCH(CD$171,'Woodmac profile - Oil'!$B$480:$AL$480),FALSE)</f>
        <v>0</v>
      </c>
    </row>
    <row r="210" spans="1:83">
      <c r="A210" s="11"/>
      <c r="B210" s="11" t="s">
        <v>3400</v>
      </c>
      <c r="C210" s="52"/>
      <c r="D210" s="52"/>
      <c r="E210" s="5">
        <f>VLOOKUP($B210,'Woodmac profile - Oil'!$B$447:$AL$474,MATCH(E$171,'Woodmac profile - Oil'!$B$480:$AL$480),FALSE)</f>
        <v>0</v>
      </c>
      <c r="F210" s="5">
        <f>VLOOKUP($B210,'Woodmac profile - Oil'!$B$447:$AL$474,MATCH(F$171,'Woodmac profile - Oil'!$B$480:$AL$480),FALSE)</f>
        <v>0</v>
      </c>
      <c r="G210" s="5">
        <f>VLOOKUP($B210,'Woodmac profile - Oil'!$B$447:$AL$474,MATCH(G$171,'Woodmac profile - Oil'!$B$480:$AL$480),FALSE)</f>
        <v>0</v>
      </c>
      <c r="H210" s="65">
        <f t="shared" si="160"/>
        <v>0</v>
      </c>
      <c r="I210" s="65">
        <f t="shared" si="161"/>
        <v>0</v>
      </c>
      <c r="J210" s="12">
        <f t="shared" si="162"/>
        <v>0</v>
      </c>
      <c r="K210" s="12">
        <f t="shared" si="163"/>
        <v>0</v>
      </c>
      <c r="L210" s="5">
        <f>VLOOKUP($B210,'Woodmac profile - Oil'!$B$447:$AL$474,MATCH(L$171,'Woodmac profile - Oil'!$B$480:$AL$480),FALSE)</f>
        <v>0</v>
      </c>
      <c r="M210" s="65">
        <f t="shared" si="164"/>
        <v>0</v>
      </c>
      <c r="N210" s="65">
        <f t="shared" si="165"/>
        <v>0</v>
      </c>
      <c r="O210" s="12">
        <f t="shared" si="166"/>
        <v>0</v>
      </c>
      <c r="P210" s="12">
        <f t="shared" si="167"/>
        <v>0</v>
      </c>
      <c r="Q210" s="5">
        <f>VLOOKUP($B210,'Woodmac profile - Oil'!$B$447:$AL$474,MATCH(Q$171,'Woodmac profile - Oil'!$B$480:$AL$480),FALSE)</f>
        <v>0</v>
      </c>
      <c r="R210" s="65">
        <f t="shared" si="168"/>
        <v>0</v>
      </c>
      <c r="S210" s="65">
        <f t="shared" si="169"/>
        <v>0</v>
      </c>
      <c r="T210" s="12">
        <f t="shared" si="170"/>
        <v>0</v>
      </c>
      <c r="U210" s="12">
        <f t="shared" si="171"/>
        <v>0</v>
      </c>
      <c r="V210" s="5">
        <f>VLOOKUP($B210,'Woodmac profile - Oil'!$B$447:$AL$474,MATCH(V$171,'Woodmac profile - Oil'!$B$480:$AL$480),FALSE)</f>
        <v>0</v>
      </c>
      <c r="W210" s="65">
        <f t="shared" si="172"/>
        <v>0</v>
      </c>
      <c r="X210" s="65">
        <f t="shared" si="173"/>
        <v>0</v>
      </c>
      <c r="Y210" s="12">
        <f t="shared" si="174"/>
        <v>0</v>
      </c>
      <c r="Z210" s="12">
        <f t="shared" si="175"/>
        <v>0</v>
      </c>
      <c r="AA210" s="5">
        <f>VLOOKUP($B210,'Woodmac profile - Oil'!$B$447:$AL$474,MATCH(AA$171,'Woodmac profile - Oil'!$B$480:$AL$480),FALSE)</f>
        <v>0</v>
      </c>
      <c r="AB210" s="65">
        <f t="shared" si="176"/>
        <v>0</v>
      </c>
      <c r="AC210" s="65">
        <f t="shared" si="177"/>
        <v>0</v>
      </c>
      <c r="AD210" s="12">
        <f t="shared" si="178"/>
        <v>0</v>
      </c>
      <c r="AE210" s="12">
        <f t="shared" si="179"/>
        <v>0</v>
      </c>
      <c r="AF210" s="5">
        <f>VLOOKUP($B210,'Woodmac profile - Oil'!$B$447:$AL$474,MATCH(AF$171,'Woodmac profile - Oil'!$B$480:$AL$480),FALSE)</f>
        <v>0</v>
      </c>
      <c r="AG210" s="65">
        <f t="shared" si="180"/>
        <v>1.58</v>
      </c>
      <c r="AH210" s="65">
        <f t="shared" si="181"/>
        <v>1.58</v>
      </c>
      <c r="AI210" s="12">
        <f t="shared" si="182"/>
        <v>1.58</v>
      </c>
      <c r="AJ210" s="12">
        <f t="shared" si="183"/>
        <v>1.58</v>
      </c>
      <c r="AK210" s="5">
        <f>VLOOKUP($B210,'Woodmac profile - Oil'!$B$447:$AL$474,MATCH(AK$171,'Woodmac profile - Oil'!$B$480:$AL$480),FALSE)</f>
        <v>1.58</v>
      </c>
      <c r="AL210" s="65">
        <f t="shared" si="184"/>
        <v>2.66</v>
      </c>
      <c r="AM210" s="65">
        <f t="shared" si="185"/>
        <v>2.66</v>
      </c>
      <c r="AN210" s="12">
        <f t="shared" si="186"/>
        <v>2.66</v>
      </c>
      <c r="AO210" s="12">
        <f t="shared" si="187"/>
        <v>2.66</v>
      </c>
      <c r="AP210" s="5">
        <f>VLOOKUP($B210,'Woodmac profile - Oil'!$B$447:$AL$474,MATCH(AP$171,'Woodmac profile - Oil'!$B$480:$AL$480),FALSE)</f>
        <v>2.66</v>
      </c>
      <c r="AQ210" s="65">
        <f t="shared" si="188"/>
        <v>2</v>
      </c>
      <c r="AR210" s="65">
        <f t="shared" si="189"/>
        <v>2</v>
      </c>
      <c r="AS210" s="12">
        <f t="shared" si="190"/>
        <v>2</v>
      </c>
      <c r="AT210" s="12">
        <f t="shared" si="191"/>
        <v>2</v>
      </c>
      <c r="AU210" s="5">
        <f>VLOOKUP($B210,'Woodmac profile - Oil'!$B$447:$AL$474,MATCH(AU$171,'Woodmac profile - Oil'!$B$480:$AL$480),FALSE)</f>
        <v>2</v>
      </c>
      <c r="AV210" s="65">
        <f t="shared" si="192"/>
        <v>1.86</v>
      </c>
      <c r="AW210" s="65">
        <f t="shared" si="193"/>
        <v>1.86</v>
      </c>
      <c r="AX210" s="12">
        <f t="shared" si="194"/>
        <v>1.86</v>
      </c>
      <c r="AY210" s="12">
        <f t="shared" si="195"/>
        <v>1.86</v>
      </c>
      <c r="AZ210" s="5">
        <f>VLOOKUP($B210,'Woodmac profile - Oil'!$B$447:$AL$474,MATCH(AZ$171,'Woodmac profile - Oil'!$B$480:$AL$480),FALSE)</f>
        <v>1.86</v>
      </c>
      <c r="BA210" s="65">
        <f t="shared" si="196"/>
        <v>1.54</v>
      </c>
      <c r="BB210" s="65">
        <f t="shared" si="197"/>
        <v>1.54</v>
      </c>
      <c r="BC210" s="12">
        <f t="shared" si="198"/>
        <v>1.54</v>
      </c>
      <c r="BD210" s="12">
        <f t="shared" si="199"/>
        <v>1.54</v>
      </c>
      <c r="BE210" s="5">
        <f>VLOOKUP($B210,'Woodmac profile - Oil'!$B$447:$AL$474,MATCH(BE$171,'Woodmac profile - Oil'!$B$480:$AL$480),FALSE)</f>
        <v>1.54</v>
      </c>
      <c r="BF210" s="65">
        <f t="shared" si="200"/>
        <v>1.05</v>
      </c>
      <c r="BG210" s="65">
        <f t="shared" si="201"/>
        <v>1.05</v>
      </c>
      <c r="BH210" s="65">
        <f t="shared" si="202"/>
        <v>1.05</v>
      </c>
      <c r="BI210" s="65">
        <f t="shared" si="203"/>
        <v>1.05</v>
      </c>
      <c r="BJ210" s="5">
        <f>VLOOKUP($B210,'Woodmac profile - Oil'!$B$447:$AL$474,MATCH(BJ$171,'Woodmac profile - Oil'!$B$480:$AL$480),FALSE)</f>
        <v>1.05</v>
      </c>
      <c r="BK210" s="65">
        <f t="shared" si="204"/>
        <v>0.79</v>
      </c>
      <c r="BL210" s="65">
        <f t="shared" si="205"/>
        <v>0.79</v>
      </c>
      <c r="BM210" s="65">
        <f t="shared" si="206"/>
        <v>0.79</v>
      </c>
      <c r="BN210" s="12">
        <f t="shared" si="207"/>
        <v>0.79</v>
      </c>
      <c r="BO210" s="5">
        <f>VLOOKUP($B210,'Woodmac profile - Oil'!$B$447:$AL$474,MATCH(BO$171,'Woodmac profile - Oil'!$B$480:$AL$480),FALSE)</f>
        <v>0.79</v>
      </c>
      <c r="BP210" s="65">
        <f t="shared" si="208"/>
        <v>0.59</v>
      </c>
      <c r="BQ210" s="65">
        <f t="shared" si="209"/>
        <v>0.59</v>
      </c>
      <c r="BR210" s="12">
        <f t="shared" si="210"/>
        <v>0.59</v>
      </c>
      <c r="BS210" s="12">
        <f t="shared" si="211"/>
        <v>0.59</v>
      </c>
      <c r="BT210" s="5">
        <f>VLOOKUP($B210,'Woodmac profile - Oil'!$B$447:$AL$474,MATCH(BT$171,'Woodmac profile - Oil'!$B$480:$AL$480),FALSE)</f>
        <v>0.59</v>
      </c>
      <c r="BU210" s="65">
        <f t="shared" si="212"/>
        <v>0.44</v>
      </c>
      <c r="BV210" s="65">
        <f t="shared" si="213"/>
        <v>0.44</v>
      </c>
      <c r="BW210" s="12">
        <f t="shared" si="214"/>
        <v>0.44</v>
      </c>
      <c r="BX210" s="12">
        <f t="shared" si="215"/>
        <v>0.44</v>
      </c>
      <c r="BY210" s="5">
        <f>VLOOKUP($B210,'Woodmac profile - Oil'!$B$447:$AL$474,MATCH(BY$171,'Woodmac profile - Oil'!$B$480:$AL$480),FALSE)</f>
        <v>0.44</v>
      </c>
      <c r="BZ210" s="65">
        <f t="shared" si="216"/>
        <v>0.35</v>
      </c>
      <c r="CA210" s="65">
        <f t="shared" si="217"/>
        <v>0.35</v>
      </c>
      <c r="CB210" s="12">
        <f t="shared" si="218"/>
        <v>0.35</v>
      </c>
      <c r="CC210" s="12">
        <f t="shared" si="219"/>
        <v>0.35</v>
      </c>
      <c r="CD210" s="5">
        <f>VLOOKUP($B210,'Woodmac profile - Oil'!$B$447:$AL$474,MATCH(CD$171,'Woodmac profile - Oil'!$B$480:$AL$480),FALSE)</f>
        <v>0.35</v>
      </c>
    </row>
    <row r="211" spans="1:83">
      <c r="A211" s="39" t="s">
        <v>3401</v>
      </c>
      <c r="B211" s="39"/>
      <c r="C211" s="52"/>
      <c r="D211" s="52"/>
      <c r="E211" s="8">
        <f t="shared" ref="E211:AF211" si="220">SUM(E199:E210)</f>
        <v>51.78</v>
      </c>
      <c r="F211" s="8">
        <f t="shared" si="220"/>
        <v>48.95</v>
      </c>
      <c r="G211" s="8">
        <f t="shared" si="220"/>
        <v>83.27000000000001</v>
      </c>
      <c r="H211" s="66">
        <f t="shared" si="220"/>
        <v>150.65</v>
      </c>
      <c r="I211" s="66">
        <f t="shared" si="220"/>
        <v>150.65</v>
      </c>
      <c r="J211" s="66">
        <f t="shared" si="220"/>
        <v>150.65</v>
      </c>
      <c r="K211" s="66">
        <f t="shared" si="220"/>
        <v>150.65</v>
      </c>
      <c r="L211" s="8">
        <f t="shared" si="220"/>
        <v>150.65</v>
      </c>
      <c r="M211" s="66">
        <f t="shared" ref="M211:P211" si="221">SUM(M199:M210)</f>
        <v>211.85</v>
      </c>
      <c r="N211" s="66">
        <f t="shared" si="221"/>
        <v>211.85</v>
      </c>
      <c r="O211" s="66">
        <f t="shared" si="221"/>
        <v>211.85</v>
      </c>
      <c r="P211" s="66">
        <f t="shared" si="221"/>
        <v>211.85</v>
      </c>
      <c r="Q211" s="8">
        <f t="shared" si="220"/>
        <v>211.85</v>
      </c>
      <c r="R211" s="66">
        <f t="shared" ref="R211:U211" si="222">SUM(R199:R210)</f>
        <v>102.37</v>
      </c>
      <c r="S211" s="66">
        <f t="shared" si="222"/>
        <v>102.37</v>
      </c>
      <c r="T211" s="66">
        <f t="shared" si="222"/>
        <v>102.37</v>
      </c>
      <c r="U211" s="66">
        <f t="shared" si="222"/>
        <v>102.37</v>
      </c>
      <c r="V211" s="8">
        <f t="shared" si="220"/>
        <v>102.37</v>
      </c>
      <c r="W211" s="66">
        <f t="shared" ref="W211:Z211" si="223">SUM(W199:W210)</f>
        <v>120.58</v>
      </c>
      <c r="X211" s="66">
        <f t="shared" si="223"/>
        <v>120.58</v>
      </c>
      <c r="Y211" s="66">
        <f t="shared" si="223"/>
        <v>120.58</v>
      </c>
      <c r="Z211" s="66">
        <f t="shared" si="223"/>
        <v>120.58</v>
      </c>
      <c r="AA211" s="8">
        <f t="shared" si="220"/>
        <v>120.58</v>
      </c>
      <c r="AB211" s="66">
        <f t="shared" ref="AB211:AE211" si="224">SUM(AB199:AB210)</f>
        <v>126.35</v>
      </c>
      <c r="AC211" s="66">
        <f t="shared" si="224"/>
        <v>126.35</v>
      </c>
      <c r="AD211" s="66">
        <f t="shared" si="224"/>
        <v>126.35</v>
      </c>
      <c r="AE211" s="66">
        <f t="shared" si="224"/>
        <v>126.35</v>
      </c>
      <c r="AF211" s="8">
        <f t="shared" si="220"/>
        <v>126.35</v>
      </c>
      <c r="AG211" s="66">
        <f t="shared" ref="AG211:AJ211" si="225">SUM(AG199:AG210)</f>
        <v>137.82</v>
      </c>
      <c r="AH211" s="66">
        <f t="shared" si="225"/>
        <v>137.82</v>
      </c>
      <c r="AI211" s="66">
        <f t="shared" si="225"/>
        <v>137.82</v>
      </c>
      <c r="AJ211" s="66">
        <f t="shared" si="225"/>
        <v>137.82</v>
      </c>
      <c r="AK211" s="8">
        <f t="shared" ref="AK211:BS211" si="226">SUM(AK199:AK210)</f>
        <v>137.82</v>
      </c>
      <c r="AL211" s="66">
        <f t="shared" si="226"/>
        <v>141.49</v>
      </c>
      <c r="AM211" s="66">
        <f t="shared" si="226"/>
        <v>141.49</v>
      </c>
      <c r="AN211" s="66">
        <f t="shared" si="226"/>
        <v>141.49</v>
      </c>
      <c r="AO211" s="66">
        <f t="shared" si="226"/>
        <v>141.49</v>
      </c>
      <c r="AP211" s="8">
        <f t="shared" si="226"/>
        <v>141.49</v>
      </c>
      <c r="AQ211" s="66">
        <f t="shared" si="226"/>
        <v>146.74</v>
      </c>
      <c r="AR211" s="66">
        <f t="shared" si="226"/>
        <v>146.74</v>
      </c>
      <c r="AS211" s="66">
        <f t="shared" si="226"/>
        <v>146.74</v>
      </c>
      <c r="AT211" s="66">
        <f t="shared" si="226"/>
        <v>146.74</v>
      </c>
      <c r="AU211" s="8">
        <f t="shared" si="226"/>
        <v>146.74</v>
      </c>
      <c r="AV211" s="66">
        <f t="shared" si="226"/>
        <v>157.47</v>
      </c>
      <c r="AW211" s="66">
        <f t="shared" si="226"/>
        <v>157.47</v>
      </c>
      <c r="AX211" s="66">
        <f t="shared" si="226"/>
        <v>157.47</v>
      </c>
      <c r="AY211" s="66">
        <f t="shared" si="226"/>
        <v>157.47</v>
      </c>
      <c r="AZ211" s="8">
        <f>SUM(AZ199:AZ210)</f>
        <v>157.47</v>
      </c>
      <c r="BA211" s="66">
        <f t="shared" ref="BA211:BD211" si="227">SUM(BA199:BA210)</f>
        <v>371.45000000000005</v>
      </c>
      <c r="BB211" s="66">
        <f t="shared" si="227"/>
        <v>371.45000000000005</v>
      </c>
      <c r="BC211" s="66">
        <f t="shared" si="227"/>
        <v>371.45000000000005</v>
      </c>
      <c r="BD211" s="66">
        <f t="shared" si="227"/>
        <v>371.45000000000005</v>
      </c>
      <c r="BE211" s="8">
        <f t="shared" si="226"/>
        <v>371.45000000000005</v>
      </c>
      <c r="BF211" s="66">
        <f t="shared" si="226"/>
        <v>386.90000000000003</v>
      </c>
      <c r="BG211" s="66">
        <f t="shared" si="226"/>
        <v>386.90000000000003</v>
      </c>
      <c r="BH211" s="66">
        <f t="shared" si="226"/>
        <v>386.90000000000003</v>
      </c>
      <c r="BI211" s="66">
        <f t="shared" si="226"/>
        <v>386.90000000000003</v>
      </c>
      <c r="BJ211" s="8">
        <f t="shared" si="226"/>
        <v>386.90000000000003</v>
      </c>
      <c r="BK211" s="66">
        <f t="shared" si="226"/>
        <v>331.05</v>
      </c>
      <c r="BL211" s="66">
        <f t="shared" si="226"/>
        <v>331.05</v>
      </c>
      <c r="BM211" s="66">
        <f t="shared" si="226"/>
        <v>331.05</v>
      </c>
      <c r="BN211" s="66">
        <f t="shared" si="226"/>
        <v>331.05</v>
      </c>
      <c r="BO211" s="8">
        <f t="shared" si="226"/>
        <v>331.05</v>
      </c>
      <c r="BP211" s="66">
        <f t="shared" si="226"/>
        <v>325.39</v>
      </c>
      <c r="BQ211" s="66">
        <f t="shared" si="226"/>
        <v>325.39</v>
      </c>
      <c r="BR211" s="66">
        <f t="shared" si="226"/>
        <v>325.39</v>
      </c>
      <c r="BS211" s="66">
        <f t="shared" si="226"/>
        <v>325.39</v>
      </c>
      <c r="BT211" s="8">
        <f t="shared" ref="BT211:CD211" si="228">SUM(BT199:BT210)</f>
        <v>325.39</v>
      </c>
      <c r="BU211" s="66">
        <f t="shared" si="228"/>
        <v>332.58</v>
      </c>
      <c r="BV211" s="66">
        <f t="shared" si="228"/>
        <v>332.58</v>
      </c>
      <c r="BW211" s="66">
        <f t="shared" si="228"/>
        <v>332.58</v>
      </c>
      <c r="BX211" s="66">
        <f t="shared" si="228"/>
        <v>332.58</v>
      </c>
      <c r="BY211" s="8">
        <f t="shared" si="228"/>
        <v>332.58</v>
      </c>
      <c r="BZ211" s="66">
        <f t="shared" si="228"/>
        <v>335.34000000000003</v>
      </c>
      <c r="CA211" s="66">
        <f t="shared" si="228"/>
        <v>335.34000000000003</v>
      </c>
      <c r="CB211" s="66">
        <f t="shared" si="228"/>
        <v>335.34000000000003</v>
      </c>
      <c r="CC211" s="66">
        <f t="shared" si="228"/>
        <v>335.34000000000003</v>
      </c>
      <c r="CD211" s="8">
        <f t="shared" si="228"/>
        <v>335.34000000000003</v>
      </c>
    </row>
    <row r="212" spans="1:83">
      <c r="A212" s="11"/>
      <c r="B212" s="11"/>
      <c r="C212" s="51"/>
      <c r="D212" s="51"/>
      <c r="E212" s="5"/>
      <c r="F212" s="5"/>
      <c r="G212" s="5"/>
      <c r="H212" s="12"/>
      <c r="I212" s="12"/>
      <c r="J212" s="12"/>
      <c r="K212" s="12"/>
      <c r="L212" s="5"/>
      <c r="M212" s="12"/>
      <c r="N212" s="12"/>
      <c r="O212" s="12"/>
      <c r="P212" s="12"/>
      <c r="Q212" s="5"/>
      <c r="R212" s="12"/>
      <c r="S212" s="12"/>
      <c r="T212" s="12"/>
      <c r="U212" s="12"/>
      <c r="V212" s="5"/>
      <c r="W212" s="12"/>
      <c r="X212" s="12"/>
      <c r="Y212" s="12"/>
      <c r="Z212" s="12"/>
      <c r="AA212" s="5"/>
      <c r="AB212" s="12"/>
      <c r="AC212" s="12"/>
      <c r="AD212" s="12"/>
      <c r="AE212" s="12"/>
      <c r="AF212" s="5"/>
      <c r="AG212" s="12"/>
      <c r="AH212" s="12"/>
      <c r="AI212" s="12"/>
      <c r="AJ212" s="12"/>
      <c r="AK212" s="5"/>
      <c r="AL212" s="12"/>
      <c r="AM212" s="12"/>
      <c r="AN212" s="12"/>
      <c r="AO212" s="12"/>
      <c r="AP212" s="49"/>
      <c r="AQ212" s="12"/>
      <c r="AR212" s="12"/>
      <c r="AS212" s="12"/>
      <c r="AT212" s="12"/>
      <c r="AU212" s="49"/>
      <c r="AV212" s="12"/>
      <c r="AW212" s="12"/>
      <c r="AX212" s="12"/>
      <c r="AY212" s="12"/>
      <c r="AZ212" s="49"/>
      <c r="BA212" s="12"/>
      <c r="BB212" s="12"/>
      <c r="BC212" s="12"/>
      <c r="BD212" s="12"/>
      <c r="BE212" s="49"/>
      <c r="BF212" s="12"/>
      <c r="BG212" s="12"/>
      <c r="BH212" s="12"/>
      <c r="BI212" s="12"/>
      <c r="BJ212" s="49"/>
      <c r="BK212" s="12"/>
      <c r="BL212" s="12"/>
      <c r="BM212" s="12"/>
      <c r="BN212" s="12"/>
      <c r="BO212" s="49"/>
      <c r="BP212" s="12"/>
      <c r="BQ212" s="12"/>
      <c r="BR212" s="12"/>
      <c r="BS212" s="12"/>
      <c r="BT212" s="49"/>
      <c r="BU212" s="12"/>
      <c r="BV212" s="12"/>
      <c r="BW212" s="12"/>
      <c r="BX212" s="12"/>
      <c r="BY212" s="49"/>
      <c r="BZ212" s="12"/>
      <c r="CA212" s="12"/>
      <c r="CB212" s="12"/>
      <c r="CC212" s="12"/>
      <c r="CD212" s="49"/>
      <c r="CE212" s="349"/>
    </row>
    <row r="213" spans="1:83">
      <c r="A213" s="39" t="s">
        <v>3402</v>
      </c>
      <c r="B213" s="11"/>
      <c r="C213" s="51"/>
      <c r="D213" s="51"/>
      <c r="E213" s="5"/>
      <c r="F213" s="5"/>
      <c r="G213" s="5"/>
      <c r="H213" s="12"/>
      <c r="I213" s="12"/>
      <c r="J213" s="12"/>
      <c r="K213" s="12"/>
      <c r="L213" s="5"/>
      <c r="M213" s="12"/>
      <c r="N213" s="12"/>
      <c r="O213" s="12"/>
      <c r="P213" s="12"/>
      <c r="Q213" s="5"/>
      <c r="R213" s="12"/>
      <c r="S213" s="12"/>
      <c r="T213" s="12"/>
      <c r="U213" s="12"/>
      <c r="V213" s="5"/>
      <c r="W213" s="12"/>
      <c r="X213" s="12"/>
      <c r="Y213" s="12"/>
      <c r="Z213" s="12"/>
      <c r="AA213" s="5"/>
      <c r="AB213" s="12"/>
      <c r="AC213" s="12"/>
      <c r="AD213" s="12"/>
      <c r="AE213" s="12"/>
      <c r="AF213" s="5"/>
      <c r="AG213" s="12"/>
      <c r="AH213" s="12"/>
      <c r="AI213" s="12"/>
      <c r="AJ213" s="12"/>
      <c r="AK213" s="5"/>
      <c r="AL213" s="12"/>
      <c r="AM213" s="12"/>
      <c r="AN213" s="12"/>
      <c r="AO213" s="12"/>
      <c r="AP213" s="5"/>
      <c r="AQ213" s="12"/>
      <c r="AR213" s="12"/>
      <c r="AS213" s="12"/>
      <c r="AT213" s="12"/>
      <c r="AU213" s="5"/>
      <c r="AV213" s="12"/>
      <c r="AW213" s="12"/>
      <c r="AX213" s="12"/>
      <c r="AY213" s="12"/>
      <c r="AZ213" s="5"/>
      <c r="BA213" s="12"/>
      <c r="BB213" s="12"/>
      <c r="BC213" s="12"/>
      <c r="BD213" s="12"/>
      <c r="BE213" s="5"/>
      <c r="BF213" s="12"/>
      <c r="BG213" s="12"/>
      <c r="BH213" s="12"/>
      <c r="BI213" s="12"/>
      <c r="BJ213" s="5"/>
      <c r="BK213" s="12"/>
      <c r="BL213" s="12"/>
      <c r="BM213" s="12"/>
      <c r="BN213" s="12"/>
      <c r="BO213" s="5"/>
      <c r="BP213" s="12"/>
      <c r="BQ213" s="12"/>
      <c r="BR213" s="12"/>
      <c r="BS213" s="12"/>
      <c r="BT213" s="5"/>
      <c r="BU213" s="12"/>
      <c r="BV213" s="12"/>
      <c r="BW213" s="12"/>
      <c r="BX213" s="12"/>
      <c r="BY213" s="5"/>
      <c r="BZ213" s="12"/>
      <c r="CA213" s="12"/>
      <c r="CB213" s="12"/>
      <c r="CC213" s="12"/>
      <c r="CD213" s="5"/>
    </row>
    <row r="214" spans="1:83">
      <c r="A214" s="11"/>
      <c r="B214" s="11" t="s">
        <v>2965</v>
      </c>
      <c r="C214" s="52"/>
      <c r="D214" s="52"/>
      <c r="E214" s="5">
        <f>VLOOKUP($B214,'Woodmac profile - Oil'!$B$447:$AL$474,MATCH(E$171,'Woodmac profile - Oil'!$B$480:$AL$480),FALSE)</f>
        <v>36.17</v>
      </c>
      <c r="F214" s="5">
        <f>VLOOKUP($B214,'Woodmac profile - Oil'!$B$447:$AL$474,MATCH(F$171,'Woodmac profile - Oil'!$B$480:$AL$480),FALSE)</f>
        <v>30.78</v>
      </c>
      <c r="G214" s="5">
        <f>VLOOKUP($B214,'Woodmac profile - Oil'!$B$447:$AL$474,MATCH(G$171,'Woodmac profile - Oil'!$B$480:$AL$480),FALSE)</f>
        <v>31.119999999999997</v>
      </c>
      <c r="H214" s="65">
        <f>L214</f>
        <v>28.39</v>
      </c>
      <c r="I214" s="65">
        <f>L214</f>
        <v>28.39</v>
      </c>
      <c r="J214" s="12">
        <f>L214</f>
        <v>28.39</v>
      </c>
      <c r="K214" s="12">
        <f>L214</f>
        <v>28.39</v>
      </c>
      <c r="L214" s="5">
        <f>VLOOKUP($B214,'Woodmac profile - Oil'!$B$447:$AL$474,MATCH(L$171,'Woodmac profile - Oil'!$B$480:$AL$480),FALSE)</f>
        <v>28.39</v>
      </c>
      <c r="M214" s="65">
        <f>Q214</f>
        <v>28.99</v>
      </c>
      <c r="N214" s="65">
        <f>Q214</f>
        <v>28.99</v>
      </c>
      <c r="O214" s="12">
        <f>Q214</f>
        <v>28.99</v>
      </c>
      <c r="P214" s="12">
        <f>Q214</f>
        <v>28.99</v>
      </c>
      <c r="Q214" s="5">
        <f>VLOOKUP($B214,'Woodmac profile - Oil'!$B$447:$AL$474,MATCH(Q$171,'Woodmac profile - Oil'!$B$480:$AL$480),FALSE)</f>
        <v>28.99</v>
      </c>
      <c r="R214" s="65">
        <f>V214</f>
        <v>25.01</v>
      </c>
      <c r="S214" s="65">
        <f>V214</f>
        <v>25.01</v>
      </c>
      <c r="T214" s="12">
        <f>V214</f>
        <v>25.01</v>
      </c>
      <c r="U214" s="12">
        <f>V214</f>
        <v>25.01</v>
      </c>
      <c r="V214" s="5">
        <f>VLOOKUP($B214,'Woodmac profile - Oil'!$B$447:$AL$474,MATCH(V$171,'Woodmac profile - Oil'!$B$480:$AL$480),FALSE)</f>
        <v>25.01</v>
      </c>
      <c r="W214" s="65">
        <f>AA214</f>
        <v>25.86</v>
      </c>
      <c r="X214" s="65">
        <f>AA214</f>
        <v>25.86</v>
      </c>
      <c r="Y214" s="12">
        <f>AA214</f>
        <v>25.86</v>
      </c>
      <c r="Z214" s="12">
        <f>AA214</f>
        <v>25.86</v>
      </c>
      <c r="AA214" s="5">
        <f>VLOOKUP($B214,'Woodmac profile - Oil'!$B$447:$AL$474,MATCH(AA$171,'Woodmac profile - Oil'!$B$480:$AL$480),FALSE)</f>
        <v>25.86</v>
      </c>
      <c r="AB214" s="65">
        <f>AF214</f>
        <v>25.269999999999996</v>
      </c>
      <c r="AC214" s="65">
        <f>AF214</f>
        <v>25.269999999999996</v>
      </c>
      <c r="AD214" s="12">
        <f>AF214</f>
        <v>25.269999999999996</v>
      </c>
      <c r="AE214" s="12">
        <f>AF214</f>
        <v>25.269999999999996</v>
      </c>
      <c r="AF214" s="5">
        <f>VLOOKUP($B214,'Woodmac profile - Oil'!$B$447:$AL$474,MATCH(AF$171,'Woodmac profile - Oil'!$B$480:$AL$480),FALSE)</f>
        <v>25.269999999999996</v>
      </c>
      <c r="AG214" s="65">
        <f>AK214</f>
        <v>18.3</v>
      </c>
      <c r="AH214" s="65">
        <f>AK214</f>
        <v>18.3</v>
      </c>
      <c r="AI214" s="12">
        <f>AK214</f>
        <v>18.3</v>
      </c>
      <c r="AJ214" s="12">
        <f>AK214</f>
        <v>18.3</v>
      </c>
      <c r="AK214" s="5">
        <f>VLOOKUP($B214,'Woodmac profile - Oil'!$B$447:$AL$474,MATCH(AK$171,'Woodmac profile - Oil'!$B$480:$AL$480),FALSE)</f>
        <v>18.3</v>
      </c>
      <c r="AL214" s="65">
        <f>AP214</f>
        <v>20.14</v>
      </c>
      <c r="AM214" s="65">
        <f>AP214</f>
        <v>20.14</v>
      </c>
      <c r="AN214" s="12">
        <f>AP214</f>
        <v>20.14</v>
      </c>
      <c r="AO214" s="12">
        <f>AP214</f>
        <v>20.14</v>
      </c>
      <c r="AP214" s="5">
        <f>VLOOKUP($B214,'Woodmac profile - Oil'!$B$447:$AL$474,MATCH(AP$171,'Woodmac profile - Oil'!$B$480:$AL$480),FALSE)</f>
        <v>20.14</v>
      </c>
      <c r="AQ214" s="65">
        <f>AU214</f>
        <v>19</v>
      </c>
      <c r="AR214" s="65">
        <f>AU214</f>
        <v>19</v>
      </c>
      <c r="AS214" s="12">
        <f>AU214</f>
        <v>19</v>
      </c>
      <c r="AT214" s="12">
        <f>AU214</f>
        <v>19</v>
      </c>
      <c r="AU214" s="5">
        <f>VLOOKUP($B214,'Woodmac profile - Oil'!$B$447:$AL$474,MATCH(AU$171,'Woodmac profile - Oil'!$B$480:$AL$480),FALSE)</f>
        <v>19</v>
      </c>
      <c r="AV214" s="65">
        <f>AZ214</f>
        <v>16.989999999999998</v>
      </c>
      <c r="AW214" s="65">
        <f>AZ214</f>
        <v>16.989999999999998</v>
      </c>
      <c r="AX214" s="12">
        <f>AZ214</f>
        <v>16.989999999999998</v>
      </c>
      <c r="AY214" s="12">
        <f>AZ214</f>
        <v>16.989999999999998</v>
      </c>
      <c r="AZ214" s="5">
        <f>VLOOKUP($B214,'Woodmac profile - Oil'!$B$447:$AL$474,MATCH(AZ$171,'Woodmac profile - Oil'!$B$480:$AL$480),FALSE)</f>
        <v>16.989999999999998</v>
      </c>
      <c r="BA214" s="65">
        <f>BE214</f>
        <v>15.26</v>
      </c>
      <c r="BB214" s="65">
        <f>BE214</f>
        <v>15.26</v>
      </c>
      <c r="BC214" s="12">
        <f>BE214</f>
        <v>15.26</v>
      </c>
      <c r="BD214" s="12">
        <f>BE214</f>
        <v>15.26</v>
      </c>
      <c r="BE214" s="5">
        <f>VLOOKUP($B214,'Woodmac profile - Oil'!$B$447:$AL$474,MATCH(BE$171,'Woodmac profile - Oil'!$B$480:$AL$480),FALSE)</f>
        <v>15.26</v>
      </c>
      <c r="BF214" s="65">
        <f>BJ214</f>
        <v>15.809999999999999</v>
      </c>
      <c r="BG214" s="65">
        <f>BJ214</f>
        <v>15.809999999999999</v>
      </c>
      <c r="BH214" s="65">
        <f>BJ214</f>
        <v>15.809999999999999</v>
      </c>
      <c r="BI214" s="65">
        <f>BJ214</f>
        <v>15.809999999999999</v>
      </c>
      <c r="BJ214" s="5">
        <f>VLOOKUP($B214,'Woodmac profile - Oil'!$B$447:$AL$474,MATCH(BJ$171,'Woodmac profile - Oil'!$B$480:$AL$480),FALSE)</f>
        <v>15.809999999999999</v>
      </c>
      <c r="BK214" s="65">
        <f>BO214</f>
        <v>15.75</v>
      </c>
      <c r="BL214" s="65">
        <f>BO214</f>
        <v>15.75</v>
      </c>
      <c r="BM214" s="65">
        <f>BO214</f>
        <v>15.75</v>
      </c>
      <c r="BN214" s="12">
        <f>BO214</f>
        <v>15.75</v>
      </c>
      <c r="BO214" s="5">
        <f>VLOOKUP($B214,'Woodmac profile - Oil'!$B$447:$AL$474,MATCH(BO$171,'Woodmac profile - Oil'!$B$480:$AL$480),FALSE)</f>
        <v>15.75</v>
      </c>
      <c r="BP214" s="65">
        <f>BT214</f>
        <v>14.35</v>
      </c>
      <c r="BQ214" s="65">
        <f>BT214</f>
        <v>14.35</v>
      </c>
      <c r="BR214" s="12">
        <f>BT214</f>
        <v>14.35</v>
      </c>
      <c r="BS214" s="12">
        <f>BT214</f>
        <v>14.35</v>
      </c>
      <c r="BT214" s="5">
        <f>VLOOKUP($B214,'Woodmac profile - Oil'!$B$447:$AL$474,MATCH(BT$171,'Woodmac profile - Oil'!$B$480:$AL$480),FALSE)</f>
        <v>14.35</v>
      </c>
      <c r="BU214" s="65">
        <f>BY214</f>
        <v>12.899999999999999</v>
      </c>
      <c r="BV214" s="65">
        <f>BY214</f>
        <v>12.899999999999999</v>
      </c>
      <c r="BW214" s="12">
        <f>BY214</f>
        <v>12.899999999999999</v>
      </c>
      <c r="BX214" s="12">
        <f>BY214</f>
        <v>12.899999999999999</v>
      </c>
      <c r="BY214" s="5">
        <f>VLOOKUP($B214,'Woodmac profile - Oil'!$B$447:$AL$474,MATCH(BY$171,'Woodmac profile - Oil'!$B$480:$AL$480),FALSE)</f>
        <v>12.899999999999999</v>
      </c>
      <c r="BZ214" s="65">
        <f>CD214</f>
        <v>12.290000000000001</v>
      </c>
      <c r="CA214" s="65">
        <f>CD214</f>
        <v>12.290000000000001</v>
      </c>
      <c r="CB214" s="12">
        <f>CD214</f>
        <v>12.290000000000001</v>
      </c>
      <c r="CC214" s="12">
        <f>CD214</f>
        <v>12.290000000000001</v>
      </c>
      <c r="CD214" s="5">
        <f>VLOOKUP($B214,'Woodmac profile - Oil'!$B$447:$AL$474,MATCH(CD$171,'Woodmac profile - Oil'!$B$480:$AL$480),FALSE)</f>
        <v>12.290000000000001</v>
      </c>
    </row>
    <row r="215" spans="1:83">
      <c r="A215" s="11"/>
      <c r="B215" s="11" t="s">
        <v>3403</v>
      </c>
      <c r="C215" s="52"/>
      <c r="D215" s="52"/>
      <c r="E215" s="5">
        <f>VLOOKUP($B215,'Woodmac profile - Oil'!$B$447:$AL$474,MATCH(E$171,'Woodmac profile - Oil'!$B$480:$AL$480),FALSE)</f>
        <v>0</v>
      </c>
      <c r="F215" s="5">
        <f>VLOOKUP($B215,'Woodmac profile - Oil'!$B$447:$AL$474,MATCH(F$171,'Woodmac profile - Oil'!$B$480:$AL$480),FALSE)</f>
        <v>0</v>
      </c>
      <c r="G215" s="5">
        <f>VLOOKUP($B215,'Woodmac profile - Oil'!$B$447:$AL$474,MATCH(G$171,'Woodmac profile - Oil'!$B$480:$AL$480),FALSE)</f>
        <v>0</v>
      </c>
      <c r="H215" s="65">
        <f>L215</f>
        <v>0</v>
      </c>
      <c r="I215" s="65">
        <f>L215</f>
        <v>0</v>
      </c>
      <c r="J215" s="12">
        <f>L215</f>
        <v>0</v>
      </c>
      <c r="K215" s="12">
        <f>L215</f>
        <v>0</v>
      </c>
      <c r="L215" s="5">
        <f>VLOOKUP($B215,'Woodmac profile - Oil'!$B$447:$AL$474,MATCH(L$171,'Woodmac profile - Oil'!$B$480:$AL$480),FALSE)</f>
        <v>0</v>
      </c>
      <c r="M215" s="65">
        <f>Q215</f>
        <v>0</v>
      </c>
      <c r="N215" s="65">
        <f>Q215</f>
        <v>0</v>
      </c>
      <c r="O215" s="12">
        <f>Q215</f>
        <v>0</v>
      </c>
      <c r="P215" s="12">
        <f>Q215</f>
        <v>0</v>
      </c>
      <c r="Q215" s="5">
        <f>VLOOKUP($B215,'Woodmac profile - Oil'!$B$447:$AL$474,MATCH(Q$171,'Woodmac profile - Oil'!$B$480:$AL$480),FALSE)</f>
        <v>0</v>
      </c>
      <c r="R215" s="65">
        <f>V215</f>
        <v>0</v>
      </c>
      <c r="S215" s="65">
        <f>V215</f>
        <v>0</v>
      </c>
      <c r="T215" s="12">
        <f>V215</f>
        <v>0</v>
      </c>
      <c r="U215" s="12">
        <f>V215</f>
        <v>0</v>
      </c>
      <c r="V215" s="5">
        <f>VLOOKUP($B215,'Woodmac profile - Oil'!$B$447:$AL$474,MATCH(V$171,'Woodmac profile - Oil'!$B$480:$AL$480),FALSE)</f>
        <v>0</v>
      </c>
      <c r="W215" s="65">
        <f>AA215</f>
        <v>0.24</v>
      </c>
      <c r="X215" s="65">
        <f>AA215</f>
        <v>0.24</v>
      </c>
      <c r="Y215" s="12">
        <f>AA215</f>
        <v>0.24</v>
      </c>
      <c r="Z215" s="12">
        <f>AA215</f>
        <v>0.24</v>
      </c>
      <c r="AA215" s="5">
        <f>VLOOKUP($B215,'Woodmac profile - Oil'!$B$447:$AL$474,MATCH(AA$171,'Woodmac profile - Oil'!$B$480:$AL$480),FALSE)</f>
        <v>0.24</v>
      </c>
      <c r="AB215" s="65">
        <f>AF215</f>
        <v>1.59</v>
      </c>
      <c r="AC215" s="65">
        <f>AF215</f>
        <v>1.59</v>
      </c>
      <c r="AD215" s="12">
        <f>AF215</f>
        <v>1.59</v>
      </c>
      <c r="AE215" s="12">
        <f>AF215</f>
        <v>1.59</v>
      </c>
      <c r="AF215" s="5">
        <f>VLOOKUP($B215,'Woodmac profile - Oil'!$B$447:$AL$474,MATCH(AF$171,'Woodmac profile - Oil'!$B$480:$AL$480),FALSE)</f>
        <v>1.59</v>
      </c>
      <c r="AG215" s="65">
        <f>AK215</f>
        <v>1.35</v>
      </c>
      <c r="AH215" s="65">
        <f>AK215</f>
        <v>1.35</v>
      </c>
      <c r="AI215" s="12">
        <f>AK215</f>
        <v>1.35</v>
      </c>
      <c r="AJ215" s="12">
        <f>AK215</f>
        <v>1.35</v>
      </c>
      <c r="AK215" s="5">
        <f>VLOOKUP($B215,'Woodmac profile - Oil'!$B$447:$AL$474,MATCH(AK$171,'Woodmac profile - Oil'!$B$480:$AL$480),FALSE)</f>
        <v>1.35</v>
      </c>
      <c r="AL215" s="65">
        <f>AP215</f>
        <v>1.5</v>
      </c>
      <c r="AM215" s="65">
        <f>AP215</f>
        <v>1.5</v>
      </c>
      <c r="AN215" s="12">
        <f>AP215</f>
        <v>1.5</v>
      </c>
      <c r="AO215" s="12">
        <f>AP215</f>
        <v>1.5</v>
      </c>
      <c r="AP215" s="5">
        <f>VLOOKUP($B215,'Woodmac profile - Oil'!$B$447:$AL$474,MATCH(AP$171,'Woodmac profile - Oil'!$B$480:$AL$480),FALSE)</f>
        <v>1.5</v>
      </c>
      <c r="AQ215" s="65">
        <f>AU215</f>
        <v>1.5</v>
      </c>
      <c r="AR215" s="65">
        <f>AU215</f>
        <v>1.5</v>
      </c>
      <c r="AS215" s="12">
        <f>AU215</f>
        <v>1.5</v>
      </c>
      <c r="AT215" s="12">
        <f>AU215</f>
        <v>1.5</v>
      </c>
      <c r="AU215" s="5">
        <f>VLOOKUP($B215,'Woodmac profile - Oil'!$B$447:$AL$474,MATCH(AU$171,'Woodmac profile - Oil'!$B$480:$AL$480),FALSE)</f>
        <v>1.5</v>
      </c>
      <c r="AV215" s="65">
        <f>AZ215</f>
        <v>1.55</v>
      </c>
      <c r="AW215" s="65">
        <f>AZ215</f>
        <v>1.55</v>
      </c>
      <c r="AX215" s="12">
        <f>AZ215</f>
        <v>1.55</v>
      </c>
      <c r="AY215" s="12">
        <f>AZ215</f>
        <v>1.55</v>
      </c>
      <c r="AZ215" s="5">
        <f>VLOOKUP($B215,'Woodmac profile - Oil'!$B$447:$AL$474,MATCH(AZ$171,'Woodmac profile - Oil'!$B$480:$AL$480),FALSE)</f>
        <v>1.55</v>
      </c>
      <c r="BA215" s="65">
        <f>BE215</f>
        <v>1.58</v>
      </c>
      <c r="BB215" s="65">
        <f>BE215</f>
        <v>1.58</v>
      </c>
      <c r="BC215" s="12">
        <f>BE215</f>
        <v>1.58</v>
      </c>
      <c r="BD215" s="12">
        <f>BE215</f>
        <v>1.58</v>
      </c>
      <c r="BE215" s="5">
        <f>VLOOKUP($B215,'Woodmac profile - Oil'!$B$447:$AL$474,MATCH(BE$171,'Woodmac profile - Oil'!$B$480:$AL$480),FALSE)</f>
        <v>1.58</v>
      </c>
      <c r="BF215" s="65">
        <f>BJ215</f>
        <v>1.63</v>
      </c>
      <c r="BG215" s="65">
        <f>BJ215</f>
        <v>1.63</v>
      </c>
      <c r="BH215" s="65">
        <f>BJ215</f>
        <v>1.63</v>
      </c>
      <c r="BI215" s="65">
        <f>BJ215</f>
        <v>1.63</v>
      </c>
      <c r="BJ215" s="5">
        <f>VLOOKUP($B215,'Woodmac profile - Oil'!$B$447:$AL$474,MATCH(BJ$171,'Woodmac profile - Oil'!$B$480:$AL$480),FALSE)</f>
        <v>1.63</v>
      </c>
      <c r="BK215" s="65">
        <f>BO215</f>
        <v>1.67</v>
      </c>
      <c r="BL215" s="65">
        <f>BO215</f>
        <v>1.67</v>
      </c>
      <c r="BM215" s="65">
        <f>BO215</f>
        <v>1.67</v>
      </c>
      <c r="BN215" s="12">
        <f>BO215</f>
        <v>1.67</v>
      </c>
      <c r="BO215" s="5">
        <f>VLOOKUP($B215,'Woodmac profile - Oil'!$B$447:$AL$474,MATCH(BO$171,'Woodmac profile - Oil'!$B$480:$AL$480),FALSE)</f>
        <v>1.67</v>
      </c>
      <c r="BP215" s="65">
        <f>BT215</f>
        <v>1.69</v>
      </c>
      <c r="BQ215" s="65">
        <f>BT215</f>
        <v>1.69</v>
      </c>
      <c r="BR215" s="12">
        <f>BT215</f>
        <v>1.69</v>
      </c>
      <c r="BS215" s="12">
        <f>BT215</f>
        <v>1.69</v>
      </c>
      <c r="BT215" s="5">
        <f>VLOOKUP($B215,'Woodmac profile - Oil'!$B$447:$AL$474,MATCH(BT$171,'Woodmac profile - Oil'!$B$480:$AL$480),FALSE)</f>
        <v>1.69</v>
      </c>
      <c r="BU215" s="65">
        <f>BY215</f>
        <v>1.67</v>
      </c>
      <c r="BV215" s="65">
        <f>BY215</f>
        <v>1.67</v>
      </c>
      <c r="BW215" s="12">
        <f>BY215</f>
        <v>1.67</v>
      </c>
      <c r="BX215" s="12">
        <f>BY215</f>
        <v>1.67</v>
      </c>
      <c r="BY215" s="5">
        <f>VLOOKUP($B215,'Woodmac profile - Oil'!$B$447:$AL$474,MATCH(BY$171,'Woodmac profile - Oil'!$B$480:$AL$480),FALSE)</f>
        <v>1.67</v>
      </c>
      <c r="BZ215" s="65">
        <f>CD215</f>
        <v>1.65</v>
      </c>
      <c r="CA215" s="65">
        <f>CD215</f>
        <v>1.65</v>
      </c>
      <c r="CB215" s="12">
        <f>CD215</f>
        <v>1.65</v>
      </c>
      <c r="CC215" s="12">
        <f>CD215</f>
        <v>1.65</v>
      </c>
      <c r="CD215" s="5">
        <f>VLOOKUP($B215,'Woodmac profile - Oil'!$B$447:$AL$474,MATCH(CD$171,'Woodmac profile - Oil'!$B$480:$AL$480),FALSE)</f>
        <v>1.65</v>
      </c>
    </row>
    <row r="216" spans="1:83">
      <c r="A216" s="39" t="s">
        <v>1935</v>
      </c>
      <c r="B216" s="39"/>
      <c r="C216" s="52"/>
      <c r="D216" s="52"/>
      <c r="E216" s="8">
        <f t="shared" ref="E216:AF216" si="229">SUM(E214:E215)</f>
        <v>36.17</v>
      </c>
      <c r="F216" s="8">
        <f t="shared" si="229"/>
        <v>30.78</v>
      </c>
      <c r="G216" s="8">
        <f t="shared" si="229"/>
        <v>31.119999999999997</v>
      </c>
      <c r="H216" s="66">
        <f t="shared" si="229"/>
        <v>28.39</v>
      </c>
      <c r="I216" s="66">
        <f t="shared" si="229"/>
        <v>28.39</v>
      </c>
      <c r="J216" s="66">
        <f t="shared" si="229"/>
        <v>28.39</v>
      </c>
      <c r="K216" s="66">
        <f t="shared" si="229"/>
        <v>28.39</v>
      </c>
      <c r="L216" s="8">
        <f t="shared" si="229"/>
        <v>28.39</v>
      </c>
      <c r="M216" s="66">
        <f t="shared" ref="M216:P216" si="230">SUM(M214:M215)</f>
        <v>28.99</v>
      </c>
      <c r="N216" s="66">
        <f t="shared" si="230"/>
        <v>28.99</v>
      </c>
      <c r="O216" s="66">
        <f t="shared" si="230"/>
        <v>28.99</v>
      </c>
      <c r="P216" s="66">
        <f t="shared" si="230"/>
        <v>28.99</v>
      </c>
      <c r="Q216" s="8">
        <f t="shared" si="229"/>
        <v>28.99</v>
      </c>
      <c r="R216" s="66">
        <f t="shared" ref="R216:U216" si="231">SUM(R214:R215)</f>
        <v>25.01</v>
      </c>
      <c r="S216" s="66">
        <f t="shared" si="231"/>
        <v>25.01</v>
      </c>
      <c r="T216" s="66">
        <f t="shared" si="231"/>
        <v>25.01</v>
      </c>
      <c r="U216" s="66">
        <f t="shared" si="231"/>
        <v>25.01</v>
      </c>
      <c r="V216" s="8">
        <f t="shared" si="229"/>
        <v>25.01</v>
      </c>
      <c r="W216" s="66">
        <f t="shared" ref="W216:Z216" si="232">SUM(W214:W215)</f>
        <v>26.099999999999998</v>
      </c>
      <c r="X216" s="66">
        <f t="shared" si="232"/>
        <v>26.099999999999998</v>
      </c>
      <c r="Y216" s="66">
        <f t="shared" si="232"/>
        <v>26.099999999999998</v>
      </c>
      <c r="Z216" s="66">
        <f t="shared" si="232"/>
        <v>26.099999999999998</v>
      </c>
      <c r="AA216" s="8">
        <f t="shared" si="229"/>
        <v>26.099999999999998</v>
      </c>
      <c r="AB216" s="66">
        <f t="shared" ref="AB216:AE216" si="233">SUM(AB214:AB215)</f>
        <v>26.859999999999996</v>
      </c>
      <c r="AC216" s="66">
        <f t="shared" si="233"/>
        <v>26.859999999999996</v>
      </c>
      <c r="AD216" s="66">
        <f t="shared" si="233"/>
        <v>26.859999999999996</v>
      </c>
      <c r="AE216" s="66">
        <f t="shared" si="233"/>
        <v>26.859999999999996</v>
      </c>
      <c r="AF216" s="8">
        <f t="shared" si="229"/>
        <v>26.859999999999996</v>
      </c>
      <c r="AG216" s="66">
        <f t="shared" ref="AG216:AJ216" si="234">SUM(AG214:AG215)</f>
        <v>19.650000000000002</v>
      </c>
      <c r="AH216" s="66">
        <f t="shared" si="234"/>
        <v>19.650000000000002</v>
      </c>
      <c r="AI216" s="66">
        <f t="shared" si="234"/>
        <v>19.650000000000002</v>
      </c>
      <c r="AJ216" s="66">
        <f t="shared" si="234"/>
        <v>19.650000000000002</v>
      </c>
      <c r="AK216" s="8">
        <f t="shared" ref="AK216:BS216" si="235">SUM(AK214:AK215)</f>
        <v>19.650000000000002</v>
      </c>
      <c r="AL216" s="66">
        <f t="shared" si="235"/>
        <v>21.64</v>
      </c>
      <c r="AM216" s="66">
        <f t="shared" si="235"/>
        <v>21.64</v>
      </c>
      <c r="AN216" s="66">
        <f t="shared" si="235"/>
        <v>21.64</v>
      </c>
      <c r="AO216" s="66">
        <f t="shared" si="235"/>
        <v>21.64</v>
      </c>
      <c r="AP216" s="8">
        <f t="shared" si="235"/>
        <v>21.64</v>
      </c>
      <c r="AQ216" s="66">
        <f t="shared" si="235"/>
        <v>20.5</v>
      </c>
      <c r="AR216" s="66">
        <f t="shared" si="235"/>
        <v>20.5</v>
      </c>
      <c r="AS216" s="66">
        <f t="shared" si="235"/>
        <v>20.5</v>
      </c>
      <c r="AT216" s="66">
        <f t="shared" si="235"/>
        <v>20.5</v>
      </c>
      <c r="AU216" s="8">
        <f t="shared" si="235"/>
        <v>20.5</v>
      </c>
      <c r="AV216" s="66">
        <f t="shared" si="235"/>
        <v>18.54</v>
      </c>
      <c r="AW216" s="66">
        <f t="shared" si="235"/>
        <v>18.54</v>
      </c>
      <c r="AX216" s="66">
        <f t="shared" si="235"/>
        <v>18.54</v>
      </c>
      <c r="AY216" s="66">
        <f t="shared" si="235"/>
        <v>18.54</v>
      </c>
      <c r="AZ216" s="8">
        <f>SUM(AZ214:AZ215)</f>
        <v>18.54</v>
      </c>
      <c r="BA216" s="66">
        <f t="shared" ref="BA216:BD216" si="236">SUM(BA214:BA215)</f>
        <v>16.84</v>
      </c>
      <c r="BB216" s="66">
        <f t="shared" si="236"/>
        <v>16.84</v>
      </c>
      <c r="BC216" s="66">
        <f t="shared" si="236"/>
        <v>16.84</v>
      </c>
      <c r="BD216" s="66">
        <f t="shared" si="236"/>
        <v>16.84</v>
      </c>
      <c r="BE216" s="8">
        <f t="shared" si="235"/>
        <v>16.84</v>
      </c>
      <c r="BF216" s="66">
        <f t="shared" si="235"/>
        <v>17.439999999999998</v>
      </c>
      <c r="BG216" s="66">
        <f t="shared" si="235"/>
        <v>17.439999999999998</v>
      </c>
      <c r="BH216" s="66">
        <f t="shared" si="235"/>
        <v>17.439999999999998</v>
      </c>
      <c r="BI216" s="66">
        <f t="shared" si="235"/>
        <v>17.439999999999998</v>
      </c>
      <c r="BJ216" s="8">
        <f t="shared" si="235"/>
        <v>17.439999999999998</v>
      </c>
      <c r="BK216" s="66">
        <f t="shared" si="235"/>
        <v>17.420000000000002</v>
      </c>
      <c r="BL216" s="66">
        <f t="shared" si="235"/>
        <v>17.420000000000002</v>
      </c>
      <c r="BM216" s="66">
        <f t="shared" si="235"/>
        <v>17.420000000000002</v>
      </c>
      <c r="BN216" s="66">
        <f t="shared" si="235"/>
        <v>17.420000000000002</v>
      </c>
      <c r="BO216" s="8">
        <f t="shared" si="235"/>
        <v>17.420000000000002</v>
      </c>
      <c r="BP216" s="66">
        <f t="shared" si="235"/>
        <v>16.04</v>
      </c>
      <c r="BQ216" s="66">
        <f t="shared" si="235"/>
        <v>16.04</v>
      </c>
      <c r="BR216" s="66">
        <f t="shared" si="235"/>
        <v>16.04</v>
      </c>
      <c r="BS216" s="66">
        <f t="shared" si="235"/>
        <v>16.04</v>
      </c>
      <c r="BT216" s="8">
        <f t="shared" ref="BT216:CD216" si="237">SUM(BT214:BT215)</f>
        <v>16.04</v>
      </c>
      <c r="BU216" s="66">
        <f t="shared" si="237"/>
        <v>14.569999999999999</v>
      </c>
      <c r="BV216" s="66">
        <f t="shared" si="237"/>
        <v>14.569999999999999</v>
      </c>
      <c r="BW216" s="66">
        <f t="shared" si="237"/>
        <v>14.569999999999999</v>
      </c>
      <c r="BX216" s="66">
        <f t="shared" si="237"/>
        <v>14.569999999999999</v>
      </c>
      <c r="BY216" s="8">
        <f t="shared" si="237"/>
        <v>14.569999999999999</v>
      </c>
      <c r="BZ216" s="66">
        <f t="shared" si="237"/>
        <v>13.940000000000001</v>
      </c>
      <c r="CA216" s="66">
        <f t="shared" si="237"/>
        <v>13.940000000000001</v>
      </c>
      <c r="CB216" s="66">
        <f t="shared" si="237"/>
        <v>13.940000000000001</v>
      </c>
      <c r="CC216" s="66">
        <f t="shared" si="237"/>
        <v>13.940000000000001</v>
      </c>
      <c r="CD216" s="8">
        <f t="shared" si="237"/>
        <v>13.940000000000001</v>
      </c>
    </row>
    <row r="217" spans="1:83">
      <c r="A217" s="39"/>
      <c r="B217" s="39"/>
      <c r="C217" s="52"/>
      <c r="D217" s="52"/>
      <c r="E217" s="8"/>
      <c r="F217" s="8"/>
      <c r="G217" s="8"/>
      <c r="H217" s="66"/>
      <c r="I217" s="66"/>
      <c r="J217" s="66"/>
      <c r="K217" s="66"/>
      <c r="L217" s="8"/>
      <c r="M217" s="66"/>
      <c r="N217" s="66"/>
      <c r="O217" s="66"/>
      <c r="P217" s="66"/>
      <c r="Q217" s="8"/>
      <c r="R217" s="66"/>
      <c r="S217" s="66"/>
      <c r="T217" s="66"/>
      <c r="U217" s="66"/>
      <c r="V217" s="8"/>
      <c r="W217" s="66"/>
      <c r="X217" s="66"/>
      <c r="Y217" s="66"/>
      <c r="Z217" s="66"/>
      <c r="AA217" s="8"/>
      <c r="AB217" s="66"/>
      <c r="AC217" s="66"/>
      <c r="AD217" s="66"/>
      <c r="AE217" s="66"/>
      <c r="AF217" s="8"/>
      <c r="AG217" s="66"/>
      <c r="AH217" s="66"/>
      <c r="AI217" s="66"/>
      <c r="AJ217" s="66"/>
      <c r="AK217" s="8"/>
      <c r="AL217" s="66"/>
      <c r="AM217" s="66"/>
      <c r="AN217" s="66"/>
      <c r="AO217" s="66"/>
      <c r="AP217" s="8"/>
      <c r="AQ217" s="66"/>
      <c r="AR217" s="66"/>
      <c r="AS217" s="66"/>
      <c r="AT217" s="66"/>
      <c r="AU217" s="8"/>
      <c r="AV217" s="66"/>
      <c r="AW217" s="66"/>
      <c r="AX217" s="66"/>
      <c r="AY217" s="66"/>
      <c r="AZ217" s="8"/>
      <c r="BA217" s="66"/>
      <c r="BB217" s="66"/>
      <c r="BC217" s="66"/>
      <c r="BD217" s="66"/>
      <c r="BE217" s="8"/>
      <c r="BF217" s="66"/>
      <c r="BG217" s="66"/>
      <c r="BH217" s="66"/>
      <c r="BI217" s="66"/>
      <c r="BJ217" s="8"/>
      <c r="BK217" s="66"/>
      <c r="BL217" s="66"/>
      <c r="BM217" s="66"/>
      <c r="BN217" s="66"/>
      <c r="BO217" s="8"/>
      <c r="BP217" s="66"/>
      <c r="BQ217" s="66"/>
      <c r="BR217" s="66"/>
      <c r="BS217" s="66"/>
      <c r="BT217" s="8"/>
      <c r="BU217" s="66"/>
      <c r="BV217" s="66"/>
      <c r="BW217" s="66"/>
      <c r="BX217" s="66"/>
      <c r="BY217" s="8"/>
      <c r="BZ217" s="66"/>
      <c r="CA217" s="66"/>
      <c r="CB217" s="66"/>
      <c r="CC217" s="66"/>
      <c r="CD217" s="8"/>
    </row>
    <row r="218" spans="1:83">
      <c r="A218" s="46" t="s">
        <v>541</v>
      </c>
      <c r="B218" s="46"/>
      <c r="C218" s="53"/>
      <c r="D218" s="53"/>
      <c r="E218" s="15">
        <f t="shared" ref="E218:AF218" si="238">E176+E181+E190+E196+E211+E216</f>
        <v>1475.8700000000001</v>
      </c>
      <c r="F218" s="15">
        <f t="shared" si="238"/>
        <v>1352.5</v>
      </c>
      <c r="G218" s="15">
        <f t="shared" si="238"/>
        <v>1290.8699999999999</v>
      </c>
      <c r="H218" s="67">
        <f t="shared" si="238"/>
        <v>1247.76</v>
      </c>
      <c r="I218" s="67">
        <f t="shared" si="238"/>
        <v>1247.76</v>
      </c>
      <c r="J218" s="67">
        <f t="shared" si="238"/>
        <v>1247.76</v>
      </c>
      <c r="K218" s="67">
        <f t="shared" si="238"/>
        <v>1247.76</v>
      </c>
      <c r="L218" s="15">
        <f t="shared" si="238"/>
        <v>1247.76</v>
      </c>
      <c r="M218" s="67">
        <f t="shared" ref="M218:P218" si="239">M176+M181+M190+M196+M211+M216</f>
        <v>1253.8999999999999</v>
      </c>
      <c r="N218" s="67">
        <f t="shared" si="239"/>
        <v>1253.8999999999999</v>
      </c>
      <c r="O218" s="67">
        <f t="shared" si="239"/>
        <v>1253.8999999999999</v>
      </c>
      <c r="P218" s="67">
        <f t="shared" si="239"/>
        <v>1253.8999999999999</v>
      </c>
      <c r="Q218" s="15">
        <f t="shared" si="238"/>
        <v>1253.8999999999999</v>
      </c>
      <c r="R218" s="67">
        <f t="shared" ref="R218:U218" si="240">R176+R181+R190+R196+R211+R216</f>
        <v>1160.6899999999998</v>
      </c>
      <c r="S218" s="67">
        <f t="shared" si="240"/>
        <v>1160.6899999999998</v>
      </c>
      <c r="T218" s="67">
        <f t="shared" si="240"/>
        <v>1160.6899999999998</v>
      </c>
      <c r="U218" s="67">
        <f t="shared" si="240"/>
        <v>1160.6899999999998</v>
      </c>
      <c r="V218" s="15">
        <f t="shared" si="238"/>
        <v>1160.6899999999998</v>
      </c>
      <c r="W218" s="67">
        <f t="shared" ref="W218:Z218" si="241">W176+W181+W190+W196+W211+W216</f>
        <v>1313.7599999999998</v>
      </c>
      <c r="X218" s="67">
        <f t="shared" si="241"/>
        <v>1313.7599999999998</v>
      </c>
      <c r="Y218" s="67">
        <f t="shared" si="241"/>
        <v>1313.7599999999998</v>
      </c>
      <c r="Z218" s="67">
        <f t="shared" si="241"/>
        <v>1313.7599999999998</v>
      </c>
      <c r="AA218" s="15">
        <f t="shared" si="238"/>
        <v>1313.7599999999998</v>
      </c>
      <c r="AB218" s="67">
        <f t="shared" ref="AB218:AE218" si="242">AB176+AB181+AB190+AB196+AB211+AB216</f>
        <v>1157.2299999999998</v>
      </c>
      <c r="AC218" s="67">
        <f t="shared" si="242"/>
        <v>1157.2299999999998</v>
      </c>
      <c r="AD218" s="67">
        <f t="shared" si="242"/>
        <v>1157.2299999999998</v>
      </c>
      <c r="AE218" s="67">
        <f t="shared" si="242"/>
        <v>1157.2299999999998</v>
      </c>
      <c r="AF218" s="15">
        <f t="shared" si="238"/>
        <v>1157.2299999999998</v>
      </c>
      <c r="AG218" s="67">
        <f t="shared" ref="AG218:AJ218" si="243">AG176+AG181+AG190+AG196+AG211+AG216</f>
        <v>920.14</v>
      </c>
      <c r="AH218" s="67">
        <f t="shared" si="243"/>
        <v>920.14</v>
      </c>
      <c r="AI218" s="67">
        <f t="shared" si="243"/>
        <v>920.14</v>
      </c>
      <c r="AJ218" s="67">
        <f t="shared" si="243"/>
        <v>920.14</v>
      </c>
      <c r="AK218" s="15">
        <f t="shared" ref="AK218:BS218" si="244">AK176+AK181+AK190+AK196+AK211+AK216</f>
        <v>920.14</v>
      </c>
      <c r="AL218" s="67">
        <f t="shared" si="244"/>
        <v>843.69999999999993</v>
      </c>
      <c r="AM218" s="67">
        <f t="shared" si="244"/>
        <v>843.69999999999993</v>
      </c>
      <c r="AN218" s="67">
        <f t="shared" si="244"/>
        <v>843.69999999999993</v>
      </c>
      <c r="AO218" s="67">
        <f t="shared" si="244"/>
        <v>843.69999999999993</v>
      </c>
      <c r="AP218" s="15">
        <f t="shared" si="244"/>
        <v>843.69999999999993</v>
      </c>
      <c r="AQ218" s="67">
        <f t="shared" si="244"/>
        <v>851.73</v>
      </c>
      <c r="AR218" s="67">
        <f t="shared" si="244"/>
        <v>851.73</v>
      </c>
      <c r="AS218" s="67">
        <f t="shared" si="244"/>
        <v>851.73</v>
      </c>
      <c r="AT218" s="67">
        <f t="shared" si="244"/>
        <v>851.73</v>
      </c>
      <c r="AU218" s="15">
        <f t="shared" si="244"/>
        <v>851.73</v>
      </c>
      <c r="AV218" s="67">
        <f t="shared" si="244"/>
        <v>945.99423999999999</v>
      </c>
      <c r="AW218" s="67">
        <f t="shared" si="244"/>
        <v>945.99423999999999</v>
      </c>
      <c r="AX218" s="67">
        <f t="shared" si="244"/>
        <v>945.99423999999999</v>
      </c>
      <c r="AY218" s="67">
        <f t="shared" si="244"/>
        <v>945.99423999999999</v>
      </c>
      <c r="AZ218" s="15">
        <f>AZ176+AZ181+AZ190+AZ196+AZ211+AZ216</f>
        <v>945.99423999999999</v>
      </c>
      <c r="BA218" s="67">
        <f t="shared" ref="BA218:BD218" si="245">BA176+BA181+BA190+BA196+BA211+BA216</f>
        <v>1186.42076</v>
      </c>
      <c r="BB218" s="67">
        <f t="shared" si="245"/>
        <v>1186.42076</v>
      </c>
      <c r="BC218" s="67">
        <f t="shared" si="245"/>
        <v>1186.42076</v>
      </c>
      <c r="BD218" s="67">
        <f t="shared" si="245"/>
        <v>1186.42076</v>
      </c>
      <c r="BE218" s="15">
        <f t="shared" si="244"/>
        <v>1186.42076</v>
      </c>
      <c r="BF218" s="67">
        <f t="shared" si="244"/>
        <v>1200.2614800000001</v>
      </c>
      <c r="BG218" s="67">
        <f t="shared" si="244"/>
        <v>1200.2614800000001</v>
      </c>
      <c r="BH218" s="67">
        <f t="shared" si="244"/>
        <v>1200.2614800000001</v>
      </c>
      <c r="BI218" s="67">
        <f t="shared" si="244"/>
        <v>1200.2614800000001</v>
      </c>
      <c r="BJ218" s="15">
        <f t="shared" si="244"/>
        <v>1200.2614800000001</v>
      </c>
      <c r="BK218" s="67">
        <f t="shared" si="244"/>
        <v>1134.2907600000001</v>
      </c>
      <c r="BL218" s="67">
        <f t="shared" si="244"/>
        <v>1134.2907600000001</v>
      </c>
      <c r="BM218" s="67">
        <f t="shared" si="244"/>
        <v>1134.2907600000001</v>
      </c>
      <c r="BN218" s="67">
        <f t="shared" si="244"/>
        <v>1134.2907600000001</v>
      </c>
      <c r="BO218" s="15">
        <f t="shared" si="244"/>
        <v>1134.2907600000001</v>
      </c>
      <c r="BP218" s="67">
        <f t="shared" si="244"/>
        <v>1162.5493200000001</v>
      </c>
      <c r="BQ218" s="67">
        <f t="shared" si="244"/>
        <v>1162.5493200000001</v>
      </c>
      <c r="BR218" s="67">
        <f t="shared" si="244"/>
        <v>1162.5493200000001</v>
      </c>
      <c r="BS218" s="67">
        <f t="shared" si="244"/>
        <v>1162.5493200000001</v>
      </c>
      <c r="BT218" s="15">
        <f t="shared" ref="BT218:CD218" si="246">BT176+BT181+BT190+BT196+BT211+BT216</f>
        <v>1162.5493200000001</v>
      </c>
      <c r="BU218" s="67">
        <f t="shared" si="246"/>
        <v>1154.4728</v>
      </c>
      <c r="BV218" s="67">
        <f t="shared" si="246"/>
        <v>1154.4728</v>
      </c>
      <c r="BW218" s="67">
        <f t="shared" si="246"/>
        <v>1154.4728</v>
      </c>
      <c r="BX218" s="67">
        <f t="shared" si="246"/>
        <v>1154.4728</v>
      </c>
      <c r="BY218" s="15">
        <f t="shared" si="246"/>
        <v>1154.4728</v>
      </c>
      <c r="BZ218" s="67">
        <f t="shared" si="246"/>
        <v>1120.9302400000001</v>
      </c>
      <c r="CA218" s="67">
        <f t="shared" si="246"/>
        <v>1120.9302400000001</v>
      </c>
      <c r="CB218" s="67">
        <f t="shared" si="246"/>
        <v>1120.9302400000001</v>
      </c>
      <c r="CC218" s="67">
        <f t="shared" si="246"/>
        <v>1120.9302400000001</v>
      </c>
      <c r="CD218" s="15">
        <f t="shared" si="246"/>
        <v>1120.9302400000001</v>
      </c>
    </row>
    <row r="219" spans="1:83">
      <c r="A219" s="11"/>
      <c r="B219" s="11"/>
      <c r="C219" s="11"/>
      <c r="D219" s="11"/>
      <c r="E219" s="11"/>
      <c r="F219" s="11"/>
      <c r="G219" s="11"/>
      <c r="H219" s="68"/>
      <c r="I219" s="68"/>
      <c r="J219" s="68"/>
      <c r="K219" s="68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48"/>
      <c r="AM219" s="48"/>
      <c r="AN219" s="48"/>
      <c r="AO219" s="48"/>
      <c r="AP219" s="48"/>
      <c r="AQ219" s="48"/>
      <c r="AR219" s="48"/>
      <c r="AS219" s="48"/>
      <c r="AT219" s="48"/>
      <c r="AU219" s="48"/>
      <c r="AV219" s="48"/>
      <c r="AW219" s="48"/>
      <c r="AX219" s="48"/>
      <c r="AY219" s="48"/>
      <c r="AZ219" s="48"/>
      <c r="BA219" s="48"/>
      <c r="BB219" s="48"/>
      <c r="BC219" s="48"/>
      <c r="BD219" s="48"/>
      <c r="BE219" s="48"/>
      <c r="BF219" s="48"/>
      <c r="BG219" s="48"/>
      <c r="BH219" s="48"/>
      <c r="BI219" s="48"/>
      <c r="BJ219" s="48"/>
      <c r="BK219" s="48"/>
      <c r="BL219" s="48"/>
      <c r="BM219" s="48"/>
      <c r="BN219" s="48"/>
      <c r="BO219" s="48"/>
      <c r="BP219" s="48"/>
      <c r="BQ219" s="48"/>
      <c r="BR219" s="48"/>
      <c r="BS219" s="48"/>
      <c r="BT219" s="48"/>
      <c r="BU219" s="48"/>
      <c r="BV219" s="48"/>
      <c r="BW219" s="48"/>
      <c r="BX219" s="48"/>
      <c r="BY219" s="48"/>
      <c r="BZ219" s="48"/>
      <c r="CA219" s="48"/>
      <c r="CB219" s="48"/>
      <c r="CC219" s="48"/>
      <c r="CD219" s="48"/>
      <c r="CE219" s="349"/>
    </row>
    <row r="220" spans="1:83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360"/>
      <c r="AM220" s="360"/>
      <c r="AN220" s="360"/>
      <c r="AO220" s="360"/>
      <c r="AP220" s="360"/>
      <c r="AQ220" s="360"/>
      <c r="AR220" s="360"/>
      <c r="AS220" s="360"/>
      <c r="AT220" s="360"/>
      <c r="AU220" s="360"/>
      <c r="AV220" s="360"/>
      <c r="AW220" s="360"/>
      <c r="AX220" s="360"/>
      <c r="AY220" s="360"/>
      <c r="AZ220" s="360"/>
      <c r="BA220" s="360"/>
      <c r="BB220" s="360"/>
      <c r="BC220" s="360"/>
      <c r="BD220" s="360"/>
      <c r="BE220" s="360"/>
      <c r="BF220" s="360"/>
      <c r="BG220" s="360"/>
      <c r="BH220" s="360"/>
      <c r="BI220" s="360"/>
      <c r="BJ220" s="360"/>
      <c r="BK220" s="360"/>
      <c r="BL220" s="360"/>
      <c r="BM220" s="360"/>
      <c r="BN220" s="360"/>
      <c r="BO220" s="360"/>
      <c r="BP220" s="360"/>
      <c r="BQ220" s="360"/>
      <c r="BR220" s="360"/>
      <c r="BS220" s="360"/>
      <c r="BT220" s="360"/>
      <c r="BU220" s="360"/>
      <c r="BV220" s="360"/>
      <c r="BW220" s="360"/>
      <c r="BX220" s="360"/>
      <c r="BY220" s="360"/>
      <c r="BZ220" s="360"/>
      <c r="CA220" s="360"/>
      <c r="CB220" s="360"/>
      <c r="CC220" s="360"/>
      <c r="CD220" s="360"/>
    </row>
    <row r="221" spans="1:83">
      <c r="A221" s="22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  <c r="BL221" s="11"/>
      <c r="BM221" s="11"/>
      <c r="BN221" s="11"/>
      <c r="BO221" s="11"/>
      <c r="BP221" s="11"/>
      <c r="BQ221" s="11"/>
      <c r="BR221" s="11"/>
      <c r="BS221" s="11"/>
      <c r="BT221" s="11"/>
      <c r="BU221" s="11"/>
      <c r="BV221" s="11"/>
      <c r="BW221" s="11"/>
      <c r="BX221" s="11"/>
      <c r="BY221" s="11"/>
      <c r="BZ221" s="11"/>
      <c r="CA221" s="11"/>
      <c r="CB221" s="11"/>
      <c r="CC221" s="11"/>
      <c r="CD221" s="11"/>
    </row>
    <row r="222" spans="1:83" ht="15.75">
      <c r="A222" s="400" t="s">
        <v>2661</v>
      </c>
      <c r="B222" s="39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39"/>
      <c r="AO222" s="39"/>
      <c r="AP222" s="39"/>
      <c r="AQ222" s="39"/>
      <c r="AR222" s="39"/>
      <c r="AS222" s="39"/>
      <c r="AT222" s="39"/>
      <c r="AU222" s="39"/>
      <c r="AV222" s="39"/>
      <c r="AW222" s="39"/>
      <c r="AX222" s="39"/>
      <c r="AY222" s="39"/>
      <c r="AZ222" s="39"/>
      <c r="BA222" s="39"/>
      <c r="BB222" s="39"/>
      <c r="BC222" s="39"/>
      <c r="BD222" s="39"/>
      <c r="BE222" s="39"/>
      <c r="BF222" s="39"/>
      <c r="BG222" s="39"/>
      <c r="BH222" s="39"/>
      <c r="BI222" s="39"/>
      <c r="BJ222" s="39"/>
      <c r="BK222" s="39"/>
      <c r="BL222" s="39"/>
      <c r="BM222" s="39"/>
      <c r="BN222" s="39"/>
      <c r="BO222" s="39"/>
      <c r="BP222" s="39"/>
      <c r="BQ222" s="39"/>
      <c r="BR222" s="39"/>
      <c r="BS222" s="39"/>
      <c r="BT222" s="39"/>
      <c r="BU222" s="39"/>
      <c r="BV222" s="39"/>
      <c r="BW222" s="39"/>
      <c r="BX222" s="39"/>
      <c r="BY222" s="39"/>
      <c r="BZ222" s="39"/>
      <c r="CA222" s="39"/>
      <c r="CB222" s="39"/>
      <c r="CC222" s="39"/>
      <c r="CD222" s="39"/>
    </row>
    <row r="223" spans="1:83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11"/>
      <c r="AT223" s="11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  <c r="BL223" s="11"/>
      <c r="BM223" s="11"/>
      <c r="BN223" s="11"/>
      <c r="BO223" s="11"/>
      <c r="BP223" s="11"/>
      <c r="BQ223" s="11"/>
      <c r="BR223" s="11"/>
      <c r="BS223" s="11"/>
      <c r="BT223" s="11"/>
      <c r="BU223" s="11"/>
      <c r="BV223" s="11"/>
      <c r="BW223" s="11"/>
      <c r="BX223" s="11"/>
      <c r="BY223" s="11"/>
      <c r="BZ223" s="11"/>
      <c r="CA223" s="11"/>
      <c r="CB223" s="11"/>
      <c r="CC223" s="11"/>
      <c r="CD223" s="11"/>
    </row>
    <row r="224" spans="1:83">
      <c r="A224" s="24" t="s">
        <v>304</v>
      </c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11"/>
      <c r="AT224" s="11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  <c r="BL224" s="11"/>
      <c r="BM224" s="11"/>
      <c r="BN224" s="11"/>
      <c r="BO224" s="11"/>
      <c r="BP224" s="11"/>
      <c r="BQ224" s="11"/>
      <c r="BR224" s="11"/>
      <c r="BS224" s="11"/>
      <c r="BT224" s="11"/>
      <c r="BU224" s="11"/>
      <c r="BV224" s="11"/>
      <c r="BW224" s="11"/>
      <c r="BX224" s="11"/>
      <c r="BY224" s="11"/>
      <c r="BZ224" s="11"/>
      <c r="CA224" s="11"/>
      <c r="CB224" s="11"/>
      <c r="CC224" s="11"/>
      <c r="CD224" s="11"/>
    </row>
    <row r="225" spans="1:82" ht="12.75" customHeight="1">
      <c r="A225" s="10"/>
      <c r="B225" s="10"/>
      <c r="C225" s="31">
        <v>2001</v>
      </c>
      <c r="D225" s="32">
        <v>2002</v>
      </c>
      <c r="E225" s="32">
        <v>2003</v>
      </c>
      <c r="F225" s="32">
        <v>2004</v>
      </c>
      <c r="G225" s="31">
        <v>2005</v>
      </c>
      <c r="H225" s="33" t="s">
        <v>714</v>
      </c>
      <c r="I225" s="33" t="s">
        <v>715</v>
      </c>
      <c r="J225" s="33" t="s">
        <v>716</v>
      </c>
      <c r="K225" s="33" t="s">
        <v>717</v>
      </c>
      <c r="L225" s="31">
        <v>2006</v>
      </c>
      <c r="M225" s="33" t="s">
        <v>718</v>
      </c>
      <c r="N225" s="33" t="s">
        <v>719</v>
      </c>
      <c r="O225" s="33" t="s">
        <v>1970</v>
      </c>
      <c r="P225" s="33" t="s">
        <v>1971</v>
      </c>
      <c r="Q225" s="31">
        <v>2007</v>
      </c>
      <c r="R225" s="33" t="s">
        <v>1972</v>
      </c>
      <c r="S225" s="33" t="s">
        <v>1973</v>
      </c>
      <c r="T225" s="33" t="s">
        <v>1974</v>
      </c>
      <c r="U225" s="33" t="s">
        <v>1975</v>
      </c>
      <c r="V225" s="31">
        <v>2008</v>
      </c>
      <c r="W225" s="33" t="s">
        <v>1976</v>
      </c>
      <c r="X225" s="33" t="s">
        <v>1977</v>
      </c>
      <c r="Y225" s="33" t="s">
        <v>1978</v>
      </c>
      <c r="Z225" s="33" t="s">
        <v>1979</v>
      </c>
      <c r="AA225" s="31">
        <v>2009</v>
      </c>
      <c r="AB225" s="33" t="s">
        <v>1980</v>
      </c>
      <c r="AC225" s="33" t="s">
        <v>1981</v>
      </c>
      <c r="AD225" s="33" t="s">
        <v>1982</v>
      </c>
      <c r="AE225" s="33" t="s">
        <v>2392</v>
      </c>
      <c r="AF225" s="31">
        <v>2010</v>
      </c>
      <c r="AG225" s="33" t="s">
        <v>2393</v>
      </c>
      <c r="AH225" s="33" t="s">
        <v>2394</v>
      </c>
      <c r="AI225" s="33" t="s">
        <v>2395</v>
      </c>
      <c r="AJ225" s="33" t="s">
        <v>2396</v>
      </c>
      <c r="AK225" s="31">
        <v>2011</v>
      </c>
      <c r="AL225" s="33" t="s">
        <v>2397</v>
      </c>
      <c r="AM225" s="33" t="s">
        <v>2398</v>
      </c>
      <c r="AN225" s="33" t="s">
        <v>2399</v>
      </c>
      <c r="AO225" s="368" t="s">
        <v>2400</v>
      </c>
      <c r="AP225" s="369">
        <v>2012</v>
      </c>
      <c r="AQ225" s="368" t="s">
        <v>2401</v>
      </c>
      <c r="AR225" s="368" t="s">
        <v>2402</v>
      </c>
      <c r="AS225" s="368" t="s">
        <v>2403</v>
      </c>
      <c r="AT225" s="368" t="s">
        <v>2404</v>
      </c>
      <c r="AU225" s="369">
        <v>2013</v>
      </c>
      <c r="AV225" s="368" t="s">
        <v>2405</v>
      </c>
      <c r="AW225" s="368" t="s">
        <v>2406</v>
      </c>
      <c r="AX225" s="368" t="s">
        <v>2407</v>
      </c>
      <c r="AY225" s="368" t="s">
        <v>2408</v>
      </c>
      <c r="AZ225" s="369">
        <v>2014</v>
      </c>
      <c r="BA225" s="33" t="s">
        <v>2409</v>
      </c>
      <c r="BB225" s="33" t="s">
        <v>2410</v>
      </c>
      <c r="BC225" s="33" t="s">
        <v>2411</v>
      </c>
      <c r="BD225" s="33" t="s">
        <v>2412</v>
      </c>
      <c r="BE225" s="31">
        <v>2015</v>
      </c>
      <c r="BF225" s="33" t="s">
        <v>2413</v>
      </c>
      <c r="BG225" s="33" t="s">
        <v>2414</v>
      </c>
      <c r="BH225" s="33" t="s">
        <v>2415</v>
      </c>
      <c r="BI225" s="368" t="s">
        <v>2416</v>
      </c>
      <c r="BJ225" s="31">
        <v>2016</v>
      </c>
      <c r="BK225" s="368" t="s">
        <v>2417</v>
      </c>
      <c r="BL225" s="368" t="s">
        <v>2418</v>
      </c>
      <c r="BM225" s="368" t="s">
        <v>2419</v>
      </c>
      <c r="BN225" s="33" t="s">
        <v>2420</v>
      </c>
      <c r="BO225" s="31">
        <v>2017</v>
      </c>
      <c r="BP225" s="33" t="s">
        <v>2244</v>
      </c>
      <c r="BQ225" s="33" t="s">
        <v>2245</v>
      </c>
      <c r="BR225" s="33" t="s">
        <v>2508</v>
      </c>
      <c r="BS225" s="33" t="s">
        <v>2509</v>
      </c>
      <c r="BT225" s="31">
        <v>2018</v>
      </c>
      <c r="BU225" s="33" t="s">
        <v>2510</v>
      </c>
      <c r="BV225" s="33" t="s">
        <v>2511</v>
      </c>
      <c r="BW225" s="33" t="s">
        <v>3125</v>
      </c>
      <c r="BX225" s="33" t="s">
        <v>1405</v>
      </c>
      <c r="BY225" s="31">
        <v>2019</v>
      </c>
      <c r="BZ225" s="33" t="s">
        <v>1406</v>
      </c>
      <c r="CA225" s="33" t="s">
        <v>1407</v>
      </c>
      <c r="CB225" s="33" t="s">
        <v>1408</v>
      </c>
      <c r="CC225" s="33" t="s">
        <v>1409</v>
      </c>
      <c r="CD225" s="31">
        <v>2020</v>
      </c>
    </row>
    <row r="226" spans="1:82">
      <c r="A226" s="39" t="s">
        <v>305</v>
      </c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11"/>
      <c r="AT226" s="11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  <c r="BL226" s="11"/>
      <c r="BM226" s="11"/>
      <c r="BN226" s="11"/>
      <c r="BO226" s="11"/>
      <c r="BP226" s="11"/>
      <c r="BQ226" s="11"/>
      <c r="BR226" s="11"/>
      <c r="BS226" s="11"/>
      <c r="BT226" s="11"/>
      <c r="BU226" s="11"/>
      <c r="BV226" s="11"/>
      <c r="BW226" s="11"/>
      <c r="BX226" s="11"/>
      <c r="BY226" s="11"/>
      <c r="BZ226" s="11"/>
      <c r="CA226" s="11"/>
      <c r="CB226" s="11"/>
      <c r="CC226" s="11"/>
      <c r="CD226" s="11"/>
    </row>
    <row r="227" spans="1:82">
      <c r="A227" s="11"/>
      <c r="B227" s="11" t="s">
        <v>1281</v>
      </c>
      <c r="C227" s="51"/>
      <c r="D227" s="51"/>
      <c r="E227" s="115">
        <f>IF(ISERROR(VLOOKUP($B227,'Woodmac profile - Oil'!$B$498:$AL$526,MATCH(E$225,'Woodmac profile - Oil'!$B$480:$AL$480),FALSE)),0,VLOOKUP($B227,'Woodmac profile - Oil'!$B$498:$AL$526,MATCH(E$225,'Woodmac profile - Oil'!$B$480:$AL$480),FALSE))</f>
        <v>0</v>
      </c>
      <c r="F227" s="115">
        <f>IF(ISERROR(VLOOKUP($B227,'Woodmac profile - Oil'!$B$498:$AL$526,MATCH(F$225,'Woodmac profile - Oil'!$B$480:$AL$480),FALSE)),0,VLOOKUP($B227,'Woodmac profile - Oil'!$B$498:$AL$526,MATCH(F$225,'Woodmac profile - Oil'!$B$480:$AL$480),FALSE))</f>
        <v>0</v>
      </c>
      <c r="G227" s="115">
        <f>IF(ISERROR(VLOOKUP($B227,'Woodmac profile - Oil'!$B$498:$AL$526,MATCH(G$225,'Woodmac profile - Oil'!$B$480:$AL$480),FALSE)),0,VLOOKUP($B227,'Woodmac profile - Oil'!$B$498:$AL$526,MATCH(G$225,'Woodmac profile - Oil'!$B$480:$AL$480),FALSE))</f>
        <v>0</v>
      </c>
      <c r="H227" s="65">
        <f>L227</f>
        <v>0</v>
      </c>
      <c r="I227" s="65">
        <f>L227</f>
        <v>0</v>
      </c>
      <c r="J227" s="12">
        <f>L227</f>
        <v>0</v>
      </c>
      <c r="K227" s="12">
        <f>L227</f>
        <v>0</v>
      </c>
      <c r="L227" s="115">
        <f>IF(ISERROR(VLOOKUP($B227,'Woodmac profile - Oil'!$B$498:$AL$526,MATCH(L$225,'Woodmac profile - Oil'!$B$480:$AL$480),FALSE)),0,VLOOKUP($B227,'Woodmac profile - Oil'!$B$498:$AL$526,MATCH(L$225,'Woodmac profile - Oil'!$B$480:$AL$480),FALSE))</f>
        <v>0</v>
      </c>
      <c r="M227" s="65">
        <f t="shared" ref="M227:M229" si="247">Q227</f>
        <v>0</v>
      </c>
      <c r="N227" s="65">
        <f t="shared" ref="N227:N229" si="248">Q227</f>
        <v>0</v>
      </c>
      <c r="O227" s="12">
        <f t="shared" ref="O227:O229" si="249">Q227</f>
        <v>0</v>
      </c>
      <c r="P227" s="12">
        <f t="shared" ref="P227" si="250">Q227</f>
        <v>0</v>
      </c>
      <c r="Q227" s="115">
        <f>IF(ISERROR(VLOOKUP($B227,'Woodmac profile - Oil'!$B$498:$AL$526,MATCH(Q$225,'Woodmac profile - Oil'!$B$480:$AL$480),FALSE)),0,VLOOKUP($B227,'Woodmac profile - Oil'!$B$498:$AL$526,MATCH(Q$225,'Woodmac profile - Oil'!$B$480:$AL$480),FALSE))</f>
        <v>0</v>
      </c>
      <c r="R227" s="65">
        <f t="shared" ref="R227:R229" si="251">V227</f>
        <v>0</v>
      </c>
      <c r="S227" s="65">
        <f t="shared" ref="S227:S229" si="252">V227</f>
        <v>0</v>
      </c>
      <c r="T227" s="12">
        <f t="shared" ref="T227:T229" si="253">V227</f>
        <v>0</v>
      </c>
      <c r="U227" s="12">
        <f t="shared" ref="U227" si="254">V227</f>
        <v>0</v>
      </c>
      <c r="V227" s="115">
        <f>IF(ISERROR(VLOOKUP($B227,'Woodmac profile - Oil'!$B$498:$AL$526,MATCH(V$225,'Woodmac profile - Oil'!$B$480:$AL$480),FALSE)),0,VLOOKUP($B227,'Woodmac profile - Oil'!$B$498:$AL$526,MATCH(V$225,'Woodmac profile - Oil'!$B$480:$AL$480),FALSE))</f>
        <v>0</v>
      </c>
      <c r="W227" s="65">
        <f t="shared" ref="W227:W229" si="255">AA227</f>
        <v>0</v>
      </c>
      <c r="X227" s="65">
        <f t="shared" ref="X227:X229" si="256">AA227</f>
        <v>0</v>
      </c>
      <c r="Y227" s="12">
        <f t="shared" ref="Y227:Y229" si="257">AA227</f>
        <v>0</v>
      </c>
      <c r="Z227" s="12">
        <f t="shared" ref="Z227" si="258">AA227</f>
        <v>0</v>
      </c>
      <c r="AA227" s="115">
        <f>IF(ISERROR(VLOOKUP($B227,'Woodmac profile - Oil'!$B$498:$AL$526,MATCH(AA$225,'Woodmac profile - Oil'!$B$480:$AL$480),FALSE)),0,VLOOKUP($B227,'Woodmac profile - Oil'!$B$498:$AL$526,MATCH(AA$225,'Woodmac profile - Oil'!$B$480:$AL$480),FALSE))</f>
        <v>0</v>
      </c>
      <c r="AB227" s="65">
        <f t="shared" ref="AB227:AB229" si="259">AF227</f>
        <v>0</v>
      </c>
      <c r="AC227" s="65">
        <f t="shared" ref="AC227:AC229" si="260">AF227</f>
        <v>0</v>
      </c>
      <c r="AD227" s="12">
        <f t="shared" ref="AD227:AD229" si="261">AF227</f>
        <v>0</v>
      </c>
      <c r="AE227" s="12">
        <f t="shared" ref="AE227" si="262">AF227</f>
        <v>0</v>
      </c>
      <c r="AF227" s="115">
        <f>IF(ISERROR(VLOOKUP($B227,'Woodmac profile - Oil'!$B$498:$AL$526,MATCH(AF$225,'Woodmac profile - Oil'!$B$480:$AL$480),FALSE)),0,VLOOKUP($B227,'Woodmac profile - Oil'!$B$498:$AL$526,MATCH(AF$225,'Woodmac profile - Oil'!$B$480:$AL$480),FALSE))</f>
        <v>0</v>
      </c>
      <c r="AG227" s="65">
        <f t="shared" ref="AG227:AG229" si="263">AK227</f>
        <v>0</v>
      </c>
      <c r="AH227" s="65">
        <f t="shared" ref="AH227:AH229" si="264">AK227</f>
        <v>0</v>
      </c>
      <c r="AI227" s="12">
        <f t="shared" ref="AI227:AI229" si="265">AK227</f>
        <v>0</v>
      </c>
      <c r="AJ227" s="12">
        <f t="shared" ref="AJ227" si="266">AK227</f>
        <v>0</v>
      </c>
      <c r="AK227" s="115">
        <f>IF(ISERROR(VLOOKUP($B227,'Woodmac profile - Oil'!$B$498:$AL$526,MATCH(AK$225,'Woodmac profile - Oil'!$B$480:$AL$480),FALSE)),0,VLOOKUP($B227,'Woodmac profile - Oil'!$B$498:$AL$526,MATCH(AK$225,'Woodmac profile - Oil'!$B$480:$AL$480),FALSE))</f>
        <v>0</v>
      </c>
      <c r="AL227" s="65">
        <f t="shared" ref="AL227:AL229" si="267">AP227</f>
        <v>0</v>
      </c>
      <c r="AM227" s="65">
        <f t="shared" ref="AM227:AM229" si="268">AP227</f>
        <v>0</v>
      </c>
      <c r="AN227" s="12">
        <f t="shared" ref="AN227:AN229" si="269">AP227</f>
        <v>0</v>
      </c>
      <c r="AO227" s="12">
        <f t="shared" ref="AO227" si="270">AP227</f>
        <v>0</v>
      </c>
      <c r="AP227" s="115">
        <f>IF(ISERROR(VLOOKUP($B227,'Woodmac profile - Oil'!$B$498:$AL$526,MATCH(AP$225,'Woodmac profile - Oil'!$B$480:$AL$480),FALSE)),0,VLOOKUP($B227,'Woodmac profile - Oil'!$B$498:$AL$526,MATCH(AP$225,'Woodmac profile - Oil'!$B$480:$AL$480),FALSE))</f>
        <v>0</v>
      </c>
      <c r="AQ227" s="65">
        <f t="shared" ref="AQ227:AQ229" si="271">AU227</f>
        <v>0</v>
      </c>
      <c r="AR227" s="65">
        <f t="shared" ref="AR227:AR229" si="272">AU227</f>
        <v>0</v>
      </c>
      <c r="AS227" s="12">
        <f t="shared" ref="AS227:AS229" si="273">AU227</f>
        <v>0</v>
      </c>
      <c r="AT227" s="12">
        <f t="shared" ref="AT227" si="274">AU227</f>
        <v>0</v>
      </c>
      <c r="AU227" s="115">
        <f>IF(ISERROR(VLOOKUP($B227,'Woodmac profile - Oil'!$B$498:$AL$526,MATCH(AU$225,'Woodmac profile - Oil'!$B$480:$AL$480),FALSE)),0,VLOOKUP($B227,'Woodmac profile - Oil'!$B$498:$AL$526,MATCH(AU$225,'Woodmac profile - Oil'!$B$480:$AL$480),FALSE))</f>
        <v>0</v>
      </c>
      <c r="AV227" s="65">
        <f t="shared" ref="AV227:AV229" si="275">AZ227</f>
        <v>0</v>
      </c>
      <c r="AW227" s="65">
        <f t="shared" ref="AW227:AW229" si="276">AZ227</f>
        <v>0</v>
      </c>
      <c r="AX227" s="12">
        <f t="shared" ref="AX227:AX229" si="277">AZ227</f>
        <v>0</v>
      </c>
      <c r="AY227" s="12">
        <f t="shared" ref="AY227" si="278">AZ227</f>
        <v>0</v>
      </c>
      <c r="AZ227" s="115">
        <f>IF(ISERROR(VLOOKUP($B227,'Woodmac profile - Oil'!$B$498:$AL$526,MATCH(AZ$225,'Woodmac profile - Oil'!$B$480:$AL$480),FALSE)),0,VLOOKUP($B227,'Woodmac profile - Oil'!$B$498:$AL$526,MATCH(AZ$225,'Woodmac profile - Oil'!$B$480:$AL$480),FALSE))</f>
        <v>0</v>
      </c>
      <c r="BA227" s="65">
        <f t="shared" ref="BA227:BA229" si="279">BE227</f>
        <v>0</v>
      </c>
      <c r="BB227" s="65">
        <f t="shared" ref="BB227:BB229" si="280">BE227</f>
        <v>0</v>
      </c>
      <c r="BC227" s="12">
        <f t="shared" ref="BC227:BC229" si="281">BE227</f>
        <v>0</v>
      </c>
      <c r="BD227" s="12">
        <f t="shared" ref="BD227" si="282">BE227</f>
        <v>0</v>
      </c>
      <c r="BE227" s="115">
        <f>IF(ISERROR(VLOOKUP($B227,'Woodmac profile - Oil'!$B$498:$AL$526,MATCH(BE$225,'Woodmac profile - Oil'!$B$480:$AL$480),FALSE)),0,VLOOKUP($B227,'Woodmac profile - Oil'!$B$498:$AL$526,MATCH(BE$225,'Woodmac profile - Oil'!$B$480:$AL$480),FALSE))</f>
        <v>0</v>
      </c>
      <c r="BF227" s="65">
        <f t="shared" ref="BF227:BF229" si="283">BJ227</f>
        <v>0</v>
      </c>
      <c r="BG227" s="65">
        <f t="shared" ref="BG227:BG229" si="284">BJ227</f>
        <v>0</v>
      </c>
      <c r="BH227" s="65">
        <f t="shared" ref="BH227:BH229" si="285">BJ227</f>
        <v>0</v>
      </c>
      <c r="BI227" s="65">
        <f t="shared" ref="BI227" si="286">BJ227</f>
        <v>0</v>
      </c>
      <c r="BJ227" s="115">
        <f>IF(ISERROR(VLOOKUP($B227,'Woodmac profile - Oil'!$B$498:$AL$526,MATCH(BJ$225,'Woodmac profile - Oil'!$B$480:$AL$480),FALSE)),0,VLOOKUP($B227,'Woodmac profile - Oil'!$B$498:$AL$526,MATCH(BJ$225,'Woodmac profile - Oil'!$B$480:$AL$480),FALSE))</f>
        <v>0</v>
      </c>
      <c r="BK227" s="65">
        <f t="shared" ref="BK227:BK229" si="287">BO227</f>
        <v>0</v>
      </c>
      <c r="BL227" s="65">
        <f t="shared" ref="BL227:BL229" si="288">BO227</f>
        <v>0</v>
      </c>
      <c r="BM227" s="65">
        <f t="shared" ref="BM227:BM229" si="289">BO227</f>
        <v>0</v>
      </c>
      <c r="BN227" s="12">
        <f t="shared" ref="BN227" si="290">BO227</f>
        <v>0</v>
      </c>
      <c r="BO227" s="115">
        <f>IF(ISERROR(VLOOKUP($B227,'Woodmac profile - Oil'!$B$498:$AL$526,MATCH(BO$225,'Woodmac profile - Oil'!$B$480:$AL$480),FALSE)),0,VLOOKUP($B227,'Woodmac profile - Oil'!$B$498:$AL$526,MATCH(BO$225,'Woodmac profile - Oil'!$B$480:$AL$480),FALSE))</f>
        <v>0</v>
      </c>
      <c r="BP227" s="65">
        <f t="shared" ref="BP227:BP229" si="291">BT227</f>
        <v>0</v>
      </c>
      <c r="BQ227" s="65">
        <f t="shared" ref="BQ227:BQ229" si="292">BT227</f>
        <v>0</v>
      </c>
      <c r="BR227" s="12">
        <f t="shared" ref="BR227:BR229" si="293">BT227</f>
        <v>0</v>
      </c>
      <c r="BS227" s="12">
        <f t="shared" ref="BS227" si="294">BT227</f>
        <v>0</v>
      </c>
      <c r="BT227" s="115">
        <f>IF(ISERROR(VLOOKUP($B227,'Woodmac profile - Oil'!$B$498:$AL$526,MATCH(BT$225,'Woodmac profile - Oil'!$B$480:$AL$480),FALSE)),0,VLOOKUP($B227,'Woodmac profile - Oil'!$B$498:$AL$526,MATCH(BT$225,'Woodmac profile - Oil'!$B$480:$AL$480),FALSE))</f>
        <v>0</v>
      </c>
      <c r="BU227" s="65">
        <f t="shared" ref="BU227:BU229" si="295">BY227</f>
        <v>0</v>
      </c>
      <c r="BV227" s="65">
        <f t="shared" ref="BV227:BV229" si="296">BY227</f>
        <v>0</v>
      </c>
      <c r="BW227" s="12">
        <f t="shared" ref="BW227:BW229" si="297">BY227</f>
        <v>0</v>
      </c>
      <c r="BX227" s="12">
        <f t="shared" ref="BX227" si="298">BY227</f>
        <v>0</v>
      </c>
      <c r="BY227" s="115">
        <f>IF(ISERROR(VLOOKUP($B227,'Woodmac profile - Oil'!$B$498:$AL$526,MATCH(BY$225,'Woodmac profile - Oil'!$B$480:$AL$480),FALSE)),0,VLOOKUP($B227,'Woodmac profile - Oil'!$B$498:$AL$526,MATCH(BY$225,'Woodmac profile - Oil'!$B$480:$AL$480),FALSE))</f>
        <v>0</v>
      </c>
      <c r="BZ227" s="65">
        <f t="shared" ref="BZ227:BZ229" si="299">CD227</f>
        <v>0</v>
      </c>
      <c r="CA227" s="65">
        <f t="shared" ref="CA227:CA229" si="300">CD227</f>
        <v>0</v>
      </c>
      <c r="CB227" s="12">
        <f t="shared" ref="CB227:CB229" si="301">CD227</f>
        <v>0</v>
      </c>
      <c r="CC227" s="12">
        <f t="shared" ref="CC227" si="302">CD227</f>
        <v>0</v>
      </c>
      <c r="CD227" s="115">
        <f>IF(ISERROR(VLOOKUP($B227,'Woodmac profile - Oil'!$B$498:$AL$526,MATCH(CD$225,'Woodmac profile - Oil'!$B$480:$AL$480),FALSE)),0,VLOOKUP($B227,'Woodmac profile - Oil'!$B$498:$AL$526,MATCH(CD$225,'Woodmac profile - Oil'!$B$480:$AL$480),FALSE))</f>
        <v>0</v>
      </c>
    </row>
    <row r="228" spans="1:82">
      <c r="A228" s="11"/>
      <c r="B228" s="11" t="s">
        <v>1745</v>
      </c>
      <c r="C228" s="51"/>
      <c r="D228" s="51"/>
      <c r="E228" s="115">
        <f>IF(ISERROR(VLOOKUP($B228,'Woodmac profile - Oil'!$B$498:$AL$526,MATCH(E$225,'Woodmac profile - Oil'!$B$480:$AL$480),FALSE)),0,VLOOKUP($B228,'Woodmac profile - Oil'!$B$498:$AL$526,MATCH(E$225,'Woodmac profile - Oil'!$B$480:$AL$480),FALSE))</f>
        <v>0</v>
      </c>
      <c r="F228" s="115">
        <f>IF(ISERROR(VLOOKUP($B228,'Woodmac profile - Oil'!$B$498:$AL$526,MATCH(F$225,'Woodmac profile - Oil'!$B$480:$AL$480),FALSE)),0,VLOOKUP($B228,'Woodmac profile - Oil'!$B$498:$AL$526,MATCH(F$225,'Woodmac profile - Oil'!$B$480:$AL$480),FALSE))</f>
        <v>0</v>
      </c>
      <c r="G228" s="115">
        <f>IF(ISERROR(VLOOKUP($B228,'Woodmac profile - Oil'!$B$498:$AL$526,MATCH(G$225,'Woodmac profile - Oil'!$B$480:$AL$480),FALSE)),0,VLOOKUP($B228,'Woodmac profile - Oil'!$B$498:$AL$526,MATCH(G$225,'Woodmac profile - Oil'!$B$480:$AL$480),FALSE))</f>
        <v>0</v>
      </c>
      <c r="H228" s="65">
        <f>L228</f>
        <v>0</v>
      </c>
      <c r="I228" s="65">
        <f>L228</f>
        <v>0</v>
      </c>
      <c r="J228" s="12">
        <f>L228</f>
        <v>0</v>
      </c>
      <c r="K228" s="12">
        <f>L228</f>
        <v>0</v>
      </c>
      <c r="L228" s="115">
        <f>IF(ISERROR(VLOOKUP($B228,'Woodmac profile - Oil'!$B$498:$AL$526,MATCH(L$225,'Woodmac profile - Oil'!$B$480:$AL$480),FALSE)),0,VLOOKUP($B228,'Woodmac profile - Oil'!$B$498:$AL$526,MATCH(L$225,'Woodmac profile - Oil'!$B$480:$AL$480),FALSE))</f>
        <v>0</v>
      </c>
      <c r="M228" s="65">
        <f t="shared" si="247"/>
        <v>0</v>
      </c>
      <c r="N228" s="65">
        <f t="shared" si="248"/>
        <v>0</v>
      </c>
      <c r="O228" s="12">
        <f t="shared" si="249"/>
        <v>0</v>
      </c>
      <c r="P228" s="12">
        <f t="shared" ref="P228" si="303">Q228</f>
        <v>0</v>
      </c>
      <c r="Q228" s="115">
        <f>IF(ISERROR(VLOOKUP($B228,'Woodmac profile - Oil'!$B$498:$AL$526,MATCH(Q$225,'Woodmac profile - Oil'!$B$480:$AL$480),FALSE)),0,VLOOKUP($B228,'Woodmac profile - Oil'!$B$498:$AL$526,MATCH(Q$225,'Woodmac profile - Oil'!$B$480:$AL$480),FALSE))</f>
        <v>0</v>
      </c>
      <c r="R228" s="65">
        <f t="shared" si="251"/>
        <v>0</v>
      </c>
      <c r="S228" s="65">
        <f t="shared" si="252"/>
        <v>0</v>
      </c>
      <c r="T228" s="12">
        <f t="shared" si="253"/>
        <v>0</v>
      </c>
      <c r="U228" s="12">
        <f t="shared" ref="U228" si="304">V228</f>
        <v>0</v>
      </c>
      <c r="V228" s="115">
        <f>IF(ISERROR(VLOOKUP($B228,'Woodmac profile - Oil'!$B$498:$AL$526,MATCH(V$225,'Woodmac profile - Oil'!$B$480:$AL$480),FALSE)),0,VLOOKUP($B228,'Woodmac profile - Oil'!$B$498:$AL$526,MATCH(V$225,'Woodmac profile - Oil'!$B$480:$AL$480),FALSE))</f>
        <v>0</v>
      </c>
      <c r="W228" s="65">
        <f t="shared" si="255"/>
        <v>0</v>
      </c>
      <c r="X228" s="65">
        <f t="shared" si="256"/>
        <v>0</v>
      </c>
      <c r="Y228" s="12">
        <f t="shared" si="257"/>
        <v>0</v>
      </c>
      <c r="Z228" s="12">
        <f t="shared" ref="Z228" si="305">AA228</f>
        <v>0</v>
      </c>
      <c r="AA228" s="115">
        <f>IF(ISERROR(VLOOKUP($B228,'Woodmac profile - Oil'!$B$498:$AL$526,MATCH(AA$225,'Woodmac profile - Oil'!$B$480:$AL$480),FALSE)),0,VLOOKUP($B228,'Woodmac profile - Oil'!$B$498:$AL$526,MATCH(AA$225,'Woodmac profile - Oil'!$B$480:$AL$480),FALSE))</f>
        <v>0</v>
      </c>
      <c r="AB228" s="65">
        <f t="shared" si="259"/>
        <v>0</v>
      </c>
      <c r="AC228" s="65">
        <f t="shared" si="260"/>
        <v>0</v>
      </c>
      <c r="AD228" s="12">
        <f t="shared" si="261"/>
        <v>0</v>
      </c>
      <c r="AE228" s="12">
        <f t="shared" ref="AE228" si="306">AF228</f>
        <v>0</v>
      </c>
      <c r="AF228" s="115">
        <f>IF(ISERROR(VLOOKUP($B228,'Woodmac profile - Oil'!$B$498:$AL$526,MATCH(AF$225,'Woodmac profile - Oil'!$B$480:$AL$480),FALSE)),0,VLOOKUP($B228,'Woodmac profile - Oil'!$B$498:$AL$526,MATCH(AF$225,'Woodmac profile - Oil'!$B$480:$AL$480),FALSE))</f>
        <v>0</v>
      </c>
      <c r="AG228" s="65">
        <f t="shared" si="263"/>
        <v>0</v>
      </c>
      <c r="AH228" s="65">
        <f t="shared" si="264"/>
        <v>0</v>
      </c>
      <c r="AI228" s="12">
        <f t="shared" si="265"/>
        <v>0</v>
      </c>
      <c r="AJ228" s="12">
        <f t="shared" ref="AJ228" si="307">AK228</f>
        <v>0</v>
      </c>
      <c r="AK228" s="115">
        <f>IF(ISERROR(VLOOKUP($B228,'Woodmac profile - Oil'!$B$498:$AL$526,MATCH(AK$225,'Woodmac profile - Oil'!$B$480:$AL$480),FALSE)),0,VLOOKUP($B228,'Woodmac profile - Oil'!$B$498:$AL$526,MATCH(AK$225,'Woodmac profile - Oil'!$B$480:$AL$480),FALSE))</f>
        <v>0</v>
      </c>
      <c r="AL228" s="65">
        <f t="shared" si="267"/>
        <v>0</v>
      </c>
      <c r="AM228" s="65">
        <f t="shared" si="268"/>
        <v>0</v>
      </c>
      <c r="AN228" s="12">
        <f t="shared" si="269"/>
        <v>0</v>
      </c>
      <c r="AO228" s="12">
        <f t="shared" ref="AO228" si="308">AP228</f>
        <v>0</v>
      </c>
      <c r="AP228" s="115">
        <f>IF(ISERROR(VLOOKUP($B228,'Woodmac profile - Oil'!$B$498:$AL$526,MATCH(AP$225,'Woodmac profile - Oil'!$B$480:$AL$480),FALSE)),0,VLOOKUP($B228,'Woodmac profile - Oil'!$B$498:$AL$526,MATCH(AP$225,'Woodmac profile - Oil'!$B$480:$AL$480),FALSE))</f>
        <v>0</v>
      </c>
      <c r="AQ228" s="65">
        <f t="shared" si="271"/>
        <v>0</v>
      </c>
      <c r="AR228" s="65">
        <f t="shared" si="272"/>
        <v>0</v>
      </c>
      <c r="AS228" s="12">
        <f t="shared" si="273"/>
        <v>0</v>
      </c>
      <c r="AT228" s="12">
        <f t="shared" ref="AT228" si="309">AU228</f>
        <v>0</v>
      </c>
      <c r="AU228" s="115">
        <f>IF(ISERROR(VLOOKUP($B228,'Woodmac profile - Oil'!$B$498:$AL$526,MATCH(AU$225,'Woodmac profile - Oil'!$B$480:$AL$480),FALSE)),0,VLOOKUP($B228,'Woodmac profile - Oil'!$B$498:$AL$526,MATCH(AU$225,'Woodmac profile - Oil'!$B$480:$AL$480),FALSE))</f>
        <v>0</v>
      </c>
      <c r="AV228" s="65">
        <f t="shared" si="275"/>
        <v>0</v>
      </c>
      <c r="AW228" s="65">
        <f t="shared" si="276"/>
        <v>0</v>
      </c>
      <c r="AX228" s="12">
        <f t="shared" si="277"/>
        <v>0</v>
      </c>
      <c r="AY228" s="12">
        <f t="shared" ref="AY228" si="310">AZ228</f>
        <v>0</v>
      </c>
      <c r="AZ228" s="115">
        <f>IF(ISERROR(VLOOKUP($B228,'Woodmac profile - Oil'!$B$498:$AL$526,MATCH(AZ$225,'Woodmac profile - Oil'!$B$480:$AL$480),FALSE)),0,VLOOKUP($B228,'Woodmac profile - Oil'!$B$498:$AL$526,MATCH(AZ$225,'Woodmac profile - Oil'!$B$480:$AL$480),FALSE))</f>
        <v>0</v>
      </c>
      <c r="BA228" s="65">
        <f t="shared" si="279"/>
        <v>0</v>
      </c>
      <c r="BB228" s="65">
        <f t="shared" si="280"/>
        <v>0</v>
      </c>
      <c r="BC228" s="12">
        <f t="shared" si="281"/>
        <v>0</v>
      </c>
      <c r="BD228" s="12">
        <f t="shared" ref="BD228" si="311">BE228</f>
        <v>0</v>
      </c>
      <c r="BE228" s="115">
        <f>IF(ISERROR(VLOOKUP($B228,'Woodmac profile - Oil'!$B$498:$AL$526,MATCH(BE$225,'Woodmac profile - Oil'!$B$480:$AL$480),FALSE)),0,VLOOKUP($B228,'Woodmac profile - Oil'!$B$498:$AL$526,MATCH(BE$225,'Woodmac profile - Oil'!$B$480:$AL$480),FALSE))</f>
        <v>0</v>
      </c>
      <c r="BF228" s="65">
        <f t="shared" si="283"/>
        <v>0</v>
      </c>
      <c r="BG228" s="65">
        <f t="shared" si="284"/>
        <v>0</v>
      </c>
      <c r="BH228" s="65">
        <f t="shared" si="285"/>
        <v>0</v>
      </c>
      <c r="BI228" s="65">
        <f t="shared" ref="BI228" si="312">BJ228</f>
        <v>0</v>
      </c>
      <c r="BJ228" s="115">
        <f>IF(ISERROR(VLOOKUP($B228,'Woodmac profile - Oil'!$B$498:$AL$526,MATCH(BJ$225,'Woodmac profile - Oil'!$B$480:$AL$480),FALSE)),0,VLOOKUP($B228,'Woodmac profile - Oil'!$B$498:$AL$526,MATCH(BJ$225,'Woodmac profile - Oil'!$B$480:$AL$480),FALSE))</f>
        <v>0</v>
      </c>
      <c r="BK228" s="65">
        <f t="shared" si="287"/>
        <v>40.032000000000004</v>
      </c>
      <c r="BL228" s="65">
        <f t="shared" si="288"/>
        <v>40.032000000000004</v>
      </c>
      <c r="BM228" s="65">
        <f t="shared" si="289"/>
        <v>40.032000000000004</v>
      </c>
      <c r="BN228" s="12">
        <f t="shared" ref="BN228" si="313">BO228</f>
        <v>40.032000000000004</v>
      </c>
      <c r="BO228" s="115">
        <f>IF(ISERROR(VLOOKUP($B228,'Woodmac profile - Oil'!$B$498:$AL$526,MATCH(BO$225,'Woodmac profile - Oil'!$B$480:$AL$480),FALSE)),0,VLOOKUP($B228,'Woodmac profile - Oil'!$B$498:$AL$526,MATCH(BO$225,'Woodmac profile - Oil'!$B$480:$AL$480),FALSE))</f>
        <v>40.032000000000004</v>
      </c>
      <c r="BP228" s="65">
        <f t="shared" si="291"/>
        <v>38.978999999999999</v>
      </c>
      <c r="BQ228" s="65">
        <f t="shared" si="292"/>
        <v>38.978999999999999</v>
      </c>
      <c r="BR228" s="12">
        <f t="shared" si="293"/>
        <v>38.978999999999999</v>
      </c>
      <c r="BS228" s="12">
        <f t="shared" ref="BS228" si="314">BT228</f>
        <v>38.978999999999999</v>
      </c>
      <c r="BT228" s="115">
        <f>IF(ISERROR(VLOOKUP($B228,'Woodmac profile - Oil'!$B$498:$AL$526,MATCH(BT$225,'Woodmac profile - Oil'!$B$480:$AL$480),FALSE)),0,VLOOKUP($B228,'Woodmac profile - Oil'!$B$498:$AL$526,MATCH(BT$225,'Woodmac profile - Oil'!$B$480:$AL$480),FALSE))</f>
        <v>38.978999999999999</v>
      </c>
      <c r="BU228" s="65">
        <f t="shared" si="295"/>
        <v>36.6</v>
      </c>
      <c r="BV228" s="65">
        <f t="shared" si="296"/>
        <v>36.6</v>
      </c>
      <c r="BW228" s="12">
        <f t="shared" si="297"/>
        <v>36.6</v>
      </c>
      <c r="BX228" s="12">
        <f t="shared" ref="BX228" si="315">BY228</f>
        <v>36.6</v>
      </c>
      <c r="BY228" s="115">
        <f>IF(ISERROR(VLOOKUP($B228,'Woodmac profile - Oil'!$B$498:$AL$526,MATCH(BY$225,'Woodmac profile - Oil'!$B$480:$AL$480),FALSE)),0,VLOOKUP($B228,'Woodmac profile - Oil'!$B$498:$AL$526,MATCH(BY$225,'Woodmac profile - Oil'!$B$480:$AL$480),FALSE))</f>
        <v>36.6</v>
      </c>
      <c r="BZ228" s="65">
        <f t="shared" si="299"/>
        <v>50.259000000000007</v>
      </c>
      <c r="CA228" s="65">
        <f t="shared" si="300"/>
        <v>50.259000000000007</v>
      </c>
      <c r="CB228" s="12">
        <f t="shared" si="301"/>
        <v>50.259000000000007</v>
      </c>
      <c r="CC228" s="12">
        <f t="shared" ref="CC228" si="316">CD228</f>
        <v>50.259000000000007</v>
      </c>
      <c r="CD228" s="115">
        <f>IF(ISERROR(VLOOKUP($B228,'Woodmac profile - Oil'!$B$498:$AL$526,MATCH(CD$225,'Woodmac profile - Oil'!$B$480:$AL$480),FALSE)),0,VLOOKUP($B228,'Woodmac profile - Oil'!$B$498:$AL$526,MATCH(CD$225,'Woodmac profile - Oil'!$B$480:$AL$480),FALSE))</f>
        <v>50.259000000000007</v>
      </c>
    </row>
    <row r="229" spans="1:82">
      <c r="A229" s="11"/>
      <c r="B229" s="11" t="s">
        <v>139</v>
      </c>
      <c r="C229" s="51"/>
      <c r="D229" s="51"/>
      <c r="E229" s="115">
        <f>IF(ISERROR(VLOOKUP($B229,'Woodmac profile - Oil'!$B$498:$AL$526,MATCH(E$225,'Woodmac profile - Oil'!$B$480:$AL$480),FALSE)),0,VLOOKUP($B229,'Woodmac profile - Oil'!$B$498:$AL$526,MATCH(E$225,'Woodmac profile - Oil'!$B$480:$AL$480),FALSE))</f>
        <v>0</v>
      </c>
      <c r="F229" s="115">
        <f>IF(ISERROR(VLOOKUP($B229,'Woodmac profile - Oil'!$B$498:$AL$526,MATCH(F$225,'Woodmac profile - Oil'!$B$480:$AL$480),FALSE)),0,VLOOKUP($B229,'Woodmac profile - Oil'!$B$498:$AL$526,MATCH(F$225,'Woodmac profile - Oil'!$B$480:$AL$480),FALSE))</f>
        <v>0</v>
      </c>
      <c r="G229" s="115">
        <f>IF(ISERROR(VLOOKUP($B229,'Woodmac profile - Oil'!$B$498:$AL$526,MATCH(G$225,'Woodmac profile - Oil'!$B$480:$AL$480),FALSE)),0,VLOOKUP($B229,'Woodmac profile - Oil'!$B$498:$AL$526,MATCH(G$225,'Woodmac profile - Oil'!$B$480:$AL$480),FALSE))</f>
        <v>0</v>
      </c>
      <c r="H229" s="65">
        <f>L229</f>
        <v>0</v>
      </c>
      <c r="I229" s="65">
        <f>L229</f>
        <v>0</v>
      </c>
      <c r="J229" s="12">
        <f>L229</f>
        <v>0</v>
      </c>
      <c r="K229" s="12">
        <f>L229</f>
        <v>0</v>
      </c>
      <c r="L229" s="115">
        <f>IF(ISERROR(VLOOKUP($B229,'Woodmac profile - Oil'!$B$498:$AL$526,MATCH(L$225,'Woodmac profile - Oil'!$B$480:$AL$480),FALSE)),0,VLOOKUP($B229,'Woodmac profile - Oil'!$B$498:$AL$526,MATCH(L$225,'Woodmac profile - Oil'!$B$480:$AL$480),FALSE))</f>
        <v>0</v>
      </c>
      <c r="M229" s="65">
        <f t="shared" si="247"/>
        <v>0</v>
      </c>
      <c r="N229" s="65">
        <f t="shared" si="248"/>
        <v>0</v>
      </c>
      <c r="O229" s="12">
        <f t="shared" si="249"/>
        <v>0</v>
      </c>
      <c r="P229" s="12">
        <f t="shared" ref="P229" si="317">Q229</f>
        <v>0</v>
      </c>
      <c r="Q229" s="115">
        <f>IF(ISERROR(VLOOKUP($B229,'Woodmac profile - Oil'!$B$498:$AL$526,MATCH(Q$225,'Woodmac profile - Oil'!$B$480:$AL$480),FALSE)),0,VLOOKUP($B229,'Woodmac profile - Oil'!$B$498:$AL$526,MATCH(Q$225,'Woodmac profile - Oil'!$B$480:$AL$480),FALSE))</f>
        <v>0</v>
      </c>
      <c r="R229" s="65">
        <f t="shared" si="251"/>
        <v>0</v>
      </c>
      <c r="S229" s="65">
        <f t="shared" si="252"/>
        <v>0</v>
      </c>
      <c r="T229" s="12">
        <f t="shared" si="253"/>
        <v>0</v>
      </c>
      <c r="U229" s="12">
        <f t="shared" ref="U229" si="318">V229</f>
        <v>0</v>
      </c>
      <c r="V229" s="115">
        <f>IF(ISERROR(VLOOKUP($B229,'Woodmac profile - Oil'!$B$498:$AL$526,MATCH(V$225,'Woodmac profile - Oil'!$B$480:$AL$480),FALSE)),0,VLOOKUP($B229,'Woodmac profile - Oil'!$B$498:$AL$526,MATCH(V$225,'Woodmac profile - Oil'!$B$480:$AL$480),FALSE))</f>
        <v>0</v>
      </c>
      <c r="W229" s="65">
        <f t="shared" si="255"/>
        <v>0</v>
      </c>
      <c r="X229" s="65">
        <f t="shared" si="256"/>
        <v>0</v>
      </c>
      <c r="Y229" s="12">
        <f t="shared" si="257"/>
        <v>0</v>
      </c>
      <c r="Z229" s="12">
        <f t="shared" ref="Z229" si="319">AA229</f>
        <v>0</v>
      </c>
      <c r="AA229" s="115">
        <f>IF(ISERROR(VLOOKUP($B229,'Woodmac profile - Oil'!$B$498:$AL$526,MATCH(AA$225,'Woodmac profile - Oil'!$B$480:$AL$480),FALSE)),0,VLOOKUP($B229,'Woodmac profile - Oil'!$B$498:$AL$526,MATCH(AA$225,'Woodmac profile - Oil'!$B$480:$AL$480),FALSE))</f>
        <v>0</v>
      </c>
      <c r="AB229" s="65">
        <f t="shared" si="259"/>
        <v>0</v>
      </c>
      <c r="AC229" s="65">
        <f t="shared" si="260"/>
        <v>0</v>
      </c>
      <c r="AD229" s="12">
        <f t="shared" si="261"/>
        <v>0</v>
      </c>
      <c r="AE229" s="12">
        <f t="shared" ref="AE229" si="320">AF229</f>
        <v>0</v>
      </c>
      <c r="AF229" s="115">
        <f>IF(ISERROR(VLOOKUP($B229,'Woodmac profile - Oil'!$B$498:$AL$526,MATCH(AF$225,'Woodmac profile - Oil'!$B$480:$AL$480),FALSE)),0,VLOOKUP($B229,'Woodmac profile - Oil'!$B$498:$AL$526,MATCH(AF$225,'Woodmac profile - Oil'!$B$480:$AL$480),FALSE))</f>
        <v>0</v>
      </c>
      <c r="AG229" s="65">
        <f t="shared" si="263"/>
        <v>0</v>
      </c>
      <c r="AH229" s="65">
        <f t="shared" si="264"/>
        <v>0</v>
      </c>
      <c r="AI229" s="12">
        <f t="shared" si="265"/>
        <v>0</v>
      </c>
      <c r="AJ229" s="12">
        <f t="shared" ref="AJ229" si="321">AK229</f>
        <v>0</v>
      </c>
      <c r="AK229" s="115">
        <f>IF(ISERROR(VLOOKUP($B229,'Woodmac profile - Oil'!$B$498:$AL$526,MATCH(AK$225,'Woodmac profile - Oil'!$B$480:$AL$480),FALSE)),0,VLOOKUP($B229,'Woodmac profile - Oil'!$B$498:$AL$526,MATCH(AK$225,'Woodmac profile - Oil'!$B$480:$AL$480),FALSE))</f>
        <v>0</v>
      </c>
      <c r="AL229" s="65">
        <f t="shared" si="267"/>
        <v>0</v>
      </c>
      <c r="AM229" s="65">
        <f t="shared" si="268"/>
        <v>0</v>
      </c>
      <c r="AN229" s="12">
        <f t="shared" si="269"/>
        <v>0</v>
      </c>
      <c r="AO229" s="12">
        <f t="shared" ref="AO229" si="322">AP229</f>
        <v>0</v>
      </c>
      <c r="AP229" s="115">
        <f>IF(ISERROR(VLOOKUP($B229,'Woodmac profile - Oil'!$B$498:$AL$526,MATCH(AP$225,'Woodmac profile - Oil'!$B$480:$AL$480),FALSE)),0,VLOOKUP($B229,'Woodmac profile - Oil'!$B$498:$AL$526,MATCH(AP$225,'Woodmac profile - Oil'!$B$480:$AL$480),FALSE))</f>
        <v>0</v>
      </c>
      <c r="AQ229" s="65">
        <f t="shared" si="271"/>
        <v>0</v>
      </c>
      <c r="AR229" s="65">
        <f t="shared" si="272"/>
        <v>0</v>
      </c>
      <c r="AS229" s="12">
        <f t="shared" si="273"/>
        <v>0</v>
      </c>
      <c r="AT229" s="12">
        <f t="shared" ref="AT229" si="323">AU229</f>
        <v>0</v>
      </c>
      <c r="AU229" s="115">
        <f>IF(ISERROR(VLOOKUP($B229,'Woodmac profile - Oil'!$B$498:$AL$526,MATCH(AU$225,'Woodmac profile - Oil'!$B$480:$AL$480),FALSE)),0,VLOOKUP($B229,'Woodmac profile - Oil'!$B$498:$AL$526,MATCH(AU$225,'Woodmac profile - Oil'!$B$480:$AL$480),FALSE))</f>
        <v>0</v>
      </c>
      <c r="AV229" s="65">
        <f t="shared" si="275"/>
        <v>0</v>
      </c>
      <c r="AW229" s="65">
        <f t="shared" si="276"/>
        <v>0</v>
      </c>
      <c r="AX229" s="12">
        <f t="shared" si="277"/>
        <v>0</v>
      </c>
      <c r="AY229" s="12">
        <f t="shared" ref="AY229" si="324">AZ229</f>
        <v>0</v>
      </c>
      <c r="AZ229" s="115">
        <f>IF(ISERROR(VLOOKUP($B229,'Woodmac profile - Oil'!$B$498:$AL$526,MATCH(AZ$225,'Woodmac profile - Oil'!$B$480:$AL$480),FALSE)),0,VLOOKUP($B229,'Woodmac profile - Oil'!$B$498:$AL$526,MATCH(AZ$225,'Woodmac profile - Oil'!$B$480:$AL$480),FALSE))</f>
        <v>0</v>
      </c>
      <c r="BA229" s="65">
        <f t="shared" si="279"/>
        <v>0</v>
      </c>
      <c r="BB229" s="65">
        <f t="shared" si="280"/>
        <v>0</v>
      </c>
      <c r="BC229" s="12">
        <f t="shared" si="281"/>
        <v>0</v>
      </c>
      <c r="BD229" s="12">
        <f t="shared" ref="BD229" si="325">BE229</f>
        <v>0</v>
      </c>
      <c r="BE229" s="115">
        <f>IF(ISERROR(VLOOKUP($B229,'Woodmac profile - Oil'!$B$498:$AL$526,MATCH(BE$225,'Woodmac profile - Oil'!$B$480:$AL$480),FALSE)),0,VLOOKUP($B229,'Woodmac profile - Oil'!$B$498:$AL$526,MATCH(BE$225,'Woodmac profile - Oil'!$B$480:$AL$480),FALSE))</f>
        <v>0</v>
      </c>
      <c r="BF229" s="65">
        <f t="shared" si="283"/>
        <v>0</v>
      </c>
      <c r="BG229" s="65">
        <f t="shared" si="284"/>
        <v>0</v>
      </c>
      <c r="BH229" s="65">
        <f t="shared" si="285"/>
        <v>0</v>
      </c>
      <c r="BI229" s="65">
        <f t="shared" ref="BI229" si="326">BJ229</f>
        <v>0</v>
      </c>
      <c r="BJ229" s="115">
        <f>IF(ISERROR(VLOOKUP($B229,'Woodmac profile - Oil'!$B$498:$AL$526,MATCH(BJ$225,'Woodmac profile - Oil'!$B$480:$AL$480),FALSE)),0,VLOOKUP($B229,'Woodmac profile - Oil'!$B$498:$AL$526,MATCH(BJ$225,'Woodmac profile - Oil'!$B$480:$AL$480),FALSE))</f>
        <v>0</v>
      </c>
      <c r="BK229" s="65">
        <f t="shared" si="287"/>
        <v>0</v>
      </c>
      <c r="BL229" s="65">
        <f t="shared" si="288"/>
        <v>0</v>
      </c>
      <c r="BM229" s="65">
        <f t="shared" si="289"/>
        <v>0</v>
      </c>
      <c r="BN229" s="12">
        <f t="shared" ref="BN229" si="327">BO229</f>
        <v>0</v>
      </c>
      <c r="BO229" s="115">
        <f>IF(ISERROR(VLOOKUP($B229,'Woodmac profile - Oil'!$B$498:$AL$526,MATCH(BO$225,'Woodmac profile - Oil'!$B$480:$AL$480),FALSE)),0,VLOOKUP($B229,'Woodmac profile - Oil'!$B$498:$AL$526,MATCH(BO$225,'Woodmac profile - Oil'!$B$480:$AL$480),FALSE))</f>
        <v>0</v>
      </c>
      <c r="BP229" s="65">
        <f t="shared" si="291"/>
        <v>0</v>
      </c>
      <c r="BQ229" s="65">
        <f t="shared" si="292"/>
        <v>0</v>
      </c>
      <c r="BR229" s="12">
        <f t="shared" si="293"/>
        <v>0</v>
      </c>
      <c r="BS229" s="12">
        <f t="shared" ref="BS229" si="328">BT229</f>
        <v>0</v>
      </c>
      <c r="BT229" s="115">
        <f>IF(ISERROR(VLOOKUP($B229,'Woodmac profile - Oil'!$B$498:$AL$526,MATCH(BT$225,'Woodmac profile - Oil'!$B$480:$AL$480),FALSE)),0,VLOOKUP($B229,'Woodmac profile - Oil'!$B$498:$AL$526,MATCH(BT$225,'Woodmac profile - Oil'!$B$480:$AL$480),FALSE))</f>
        <v>0</v>
      </c>
      <c r="BU229" s="65">
        <f t="shared" si="295"/>
        <v>0</v>
      </c>
      <c r="BV229" s="65">
        <f t="shared" si="296"/>
        <v>0</v>
      </c>
      <c r="BW229" s="12">
        <f t="shared" si="297"/>
        <v>0</v>
      </c>
      <c r="BX229" s="12">
        <f t="shared" ref="BX229" si="329">BY229</f>
        <v>0</v>
      </c>
      <c r="BY229" s="115">
        <f>IF(ISERROR(VLOOKUP($B229,'Woodmac profile - Oil'!$B$498:$AL$526,MATCH(BY$225,'Woodmac profile - Oil'!$B$480:$AL$480),FALSE)),0,VLOOKUP($B229,'Woodmac profile - Oil'!$B$498:$AL$526,MATCH(BY$225,'Woodmac profile - Oil'!$B$480:$AL$480),FALSE))</f>
        <v>0</v>
      </c>
      <c r="BZ229" s="65">
        <f t="shared" si="299"/>
        <v>0</v>
      </c>
      <c r="CA229" s="65">
        <f t="shared" si="300"/>
        <v>0</v>
      </c>
      <c r="CB229" s="12">
        <f t="shared" si="301"/>
        <v>0</v>
      </c>
      <c r="CC229" s="12">
        <f t="shared" ref="CC229" si="330">CD229</f>
        <v>0</v>
      </c>
      <c r="CD229" s="115">
        <f>IF(ISERROR(VLOOKUP($B229,'Woodmac profile - Oil'!$B$498:$AL$526,MATCH(CD$225,'Woodmac profile - Oil'!$B$480:$AL$480),FALSE)),0,VLOOKUP($B229,'Woodmac profile - Oil'!$B$498:$AL$526,MATCH(CD$225,'Woodmac profile - Oil'!$B$480:$AL$480),FALSE))</f>
        <v>0</v>
      </c>
    </row>
    <row r="230" spans="1:82">
      <c r="A230" s="39" t="s">
        <v>309</v>
      </c>
      <c r="B230" s="39"/>
      <c r="C230" s="52"/>
      <c r="D230" s="52"/>
      <c r="E230" s="78">
        <f t="shared" ref="E230:L230" si="331">SUM(E227:E229)</f>
        <v>0</v>
      </c>
      <c r="F230" s="78">
        <f t="shared" si="331"/>
        <v>0</v>
      </c>
      <c r="G230" s="78">
        <f t="shared" si="331"/>
        <v>0</v>
      </c>
      <c r="H230" s="650">
        <f t="shared" si="331"/>
        <v>0</v>
      </c>
      <c r="I230" s="650">
        <f t="shared" si="331"/>
        <v>0</v>
      </c>
      <c r="J230" s="650">
        <f t="shared" si="331"/>
        <v>0</v>
      </c>
      <c r="K230" s="650">
        <f t="shared" si="331"/>
        <v>0</v>
      </c>
      <c r="L230" s="78">
        <f t="shared" si="331"/>
        <v>0</v>
      </c>
      <c r="M230" s="650">
        <f t="shared" ref="M230:BX230" si="332">SUM(M227:M229)</f>
        <v>0</v>
      </c>
      <c r="N230" s="650">
        <f t="shared" si="332"/>
        <v>0</v>
      </c>
      <c r="O230" s="650">
        <f t="shared" si="332"/>
        <v>0</v>
      </c>
      <c r="P230" s="650">
        <f t="shared" si="332"/>
        <v>0</v>
      </c>
      <c r="Q230" s="571">
        <f t="shared" si="332"/>
        <v>0</v>
      </c>
      <c r="R230" s="650">
        <f t="shared" si="332"/>
        <v>0</v>
      </c>
      <c r="S230" s="650">
        <f t="shared" si="332"/>
        <v>0</v>
      </c>
      <c r="T230" s="650">
        <f t="shared" si="332"/>
        <v>0</v>
      </c>
      <c r="U230" s="650">
        <f t="shared" si="332"/>
        <v>0</v>
      </c>
      <c r="V230" s="571">
        <f t="shared" si="332"/>
        <v>0</v>
      </c>
      <c r="W230" s="650">
        <f t="shared" si="332"/>
        <v>0</v>
      </c>
      <c r="X230" s="650">
        <f t="shared" si="332"/>
        <v>0</v>
      </c>
      <c r="Y230" s="650">
        <f t="shared" si="332"/>
        <v>0</v>
      </c>
      <c r="Z230" s="650">
        <f t="shared" si="332"/>
        <v>0</v>
      </c>
      <c r="AA230" s="571">
        <f t="shared" si="332"/>
        <v>0</v>
      </c>
      <c r="AB230" s="650">
        <f t="shared" si="332"/>
        <v>0</v>
      </c>
      <c r="AC230" s="650">
        <f t="shared" si="332"/>
        <v>0</v>
      </c>
      <c r="AD230" s="650">
        <f t="shared" si="332"/>
        <v>0</v>
      </c>
      <c r="AE230" s="650">
        <f t="shared" si="332"/>
        <v>0</v>
      </c>
      <c r="AF230" s="571">
        <f t="shared" si="332"/>
        <v>0</v>
      </c>
      <c r="AG230" s="650">
        <f t="shared" si="332"/>
        <v>0</v>
      </c>
      <c r="AH230" s="650">
        <f t="shared" si="332"/>
        <v>0</v>
      </c>
      <c r="AI230" s="650">
        <f t="shared" si="332"/>
        <v>0</v>
      </c>
      <c r="AJ230" s="650">
        <f t="shared" si="332"/>
        <v>0</v>
      </c>
      <c r="AK230" s="571">
        <f t="shared" si="332"/>
        <v>0</v>
      </c>
      <c r="AL230" s="650">
        <f t="shared" si="332"/>
        <v>0</v>
      </c>
      <c r="AM230" s="650">
        <f t="shared" si="332"/>
        <v>0</v>
      </c>
      <c r="AN230" s="650">
        <f t="shared" si="332"/>
        <v>0</v>
      </c>
      <c r="AO230" s="650">
        <f t="shared" si="332"/>
        <v>0</v>
      </c>
      <c r="AP230" s="571">
        <f t="shared" si="332"/>
        <v>0</v>
      </c>
      <c r="AQ230" s="650">
        <f t="shared" si="332"/>
        <v>0</v>
      </c>
      <c r="AR230" s="650">
        <f t="shared" si="332"/>
        <v>0</v>
      </c>
      <c r="AS230" s="650">
        <f t="shared" si="332"/>
        <v>0</v>
      </c>
      <c r="AT230" s="650">
        <f t="shared" si="332"/>
        <v>0</v>
      </c>
      <c r="AU230" s="571">
        <f t="shared" si="332"/>
        <v>0</v>
      </c>
      <c r="AV230" s="650">
        <f t="shared" si="332"/>
        <v>0</v>
      </c>
      <c r="AW230" s="650">
        <f t="shared" si="332"/>
        <v>0</v>
      </c>
      <c r="AX230" s="650">
        <f t="shared" si="332"/>
        <v>0</v>
      </c>
      <c r="AY230" s="650">
        <f t="shared" si="332"/>
        <v>0</v>
      </c>
      <c r="AZ230" s="571">
        <f t="shared" si="332"/>
        <v>0</v>
      </c>
      <c r="BA230" s="650">
        <f t="shared" si="332"/>
        <v>0</v>
      </c>
      <c r="BB230" s="650">
        <f t="shared" si="332"/>
        <v>0</v>
      </c>
      <c r="BC230" s="650">
        <f t="shared" si="332"/>
        <v>0</v>
      </c>
      <c r="BD230" s="650">
        <f t="shared" si="332"/>
        <v>0</v>
      </c>
      <c r="BE230" s="571">
        <f t="shared" si="332"/>
        <v>0</v>
      </c>
      <c r="BF230" s="650">
        <f t="shared" si="332"/>
        <v>0</v>
      </c>
      <c r="BG230" s="650">
        <f t="shared" si="332"/>
        <v>0</v>
      </c>
      <c r="BH230" s="650">
        <f t="shared" si="332"/>
        <v>0</v>
      </c>
      <c r="BI230" s="650">
        <f t="shared" si="332"/>
        <v>0</v>
      </c>
      <c r="BJ230" s="571">
        <f t="shared" si="332"/>
        <v>0</v>
      </c>
      <c r="BK230" s="650">
        <f t="shared" si="332"/>
        <v>40.032000000000004</v>
      </c>
      <c r="BL230" s="650">
        <f t="shared" si="332"/>
        <v>40.032000000000004</v>
      </c>
      <c r="BM230" s="650">
        <f t="shared" si="332"/>
        <v>40.032000000000004</v>
      </c>
      <c r="BN230" s="650">
        <f t="shared" si="332"/>
        <v>40.032000000000004</v>
      </c>
      <c r="BO230" s="571">
        <f t="shared" si="332"/>
        <v>40.032000000000004</v>
      </c>
      <c r="BP230" s="650">
        <f t="shared" si="332"/>
        <v>38.978999999999999</v>
      </c>
      <c r="BQ230" s="650">
        <f t="shared" si="332"/>
        <v>38.978999999999999</v>
      </c>
      <c r="BR230" s="650">
        <f t="shared" si="332"/>
        <v>38.978999999999999</v>
      </c>
      <c r="BS230" s="650">
        <f t="shared" si="332"/>
        <v>38.978999999999999</v>
      </c>
      <c r="BT230" s="571">
        <f t="shared" si="332"/>
        <v>38.978999999999999</v>
      </c>
      <c r="BU230" s="650">
        <f t="shared" si="332"/>
        <v>36.6</v>
      </c>
      <c r="BV230" s="650">
        <f t="shared" si="332"/>
        <v>36.6</v>
      </c>
      <c r="BW230" s="650">
        <f t="shared" si="332"/>
        <v>36.6</v>
      </c>
      <c r="BX230" s="650">
        <f t="shared" si="332"/>
        <v>36.6</v>
      </c>
      <c r="BY230" s="571">
        <f t="shared" ref="BY230:CD230" si="333">SUM(BY227:BY229)</f>
        <v>36.6</v>
      </c>
      <c r="BZ230" s="650">
        <f t="shared" si="333"/>
        <v>50.259000000000007</v>
      </c>
      <c r="CA230" s="650">
        <f t="shared" si="333"/>
        <v>50.259000000000007</v>
      </c>
      <c r="CB230" s="650">
        <f t="shared" si="333"/>
        <v>50.259000000000007</v>
      </c>
      <c r="CC230" s="650">
        <f t="shared" si="333"/>
        <v>50.259000000000007</v>
      </c>
      <c r="CD230" s="571">
        <f t="shared" si="333"/>
        <v>50.259000000000007</v>
      </c>
    </row>
    <row r="231" spans="1:82">
      <c r="A231" s="11"/>
      <c r="B231" s="11"/>
      <c r="C231" s="51"/>
      <c r="D231" s="51"/>
      <c r="E231" s="115"/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5"/>
      <c r="W231" s="115"/>
      <c r="X231" s="115"/>
      <c r="Y231" s="115"/>
      <c r="Z231" s="115"/>
      <c r="AA231" s="115"/>
      <c r="AB231" s="115"/>
      <c r="AC231" s="115"/>
      <c r="AD231" s="115"/>
      <c r="AE231" s="115"/>
      <c r="AF231" s="115"/>
      <c r="AG231" s="115"/>
      <c r="AH231" s="115"/>
      <c r="AI231" s="115"/>
      <c r="AJ231" s="115"/>
      <c r="AK231" s="115"/>
      <c r="AL231" s="115"/>
      <c r="AM231" s="115"/>
      <c r="AN231" s="115"/>
      <c r="AO231" s="115"/>
      <c r="AP231" s="115"/>
      <c r="AQ231" s="115"/>
      <c r="AR231" s="115"/>
      <c r="AS231" s="115"/>
      <c r="AT231" s="115"/>
      <c r="AU231" s="115"/>
      <c r="AV231" s="115"/>
      <c r="AW231" s="115"/>
      <c r="AX231" s="115"/>
      <c r="AY231" s="115"/>
      <c r="AZ231" s="115"/>
      <c r="BA231" s="115"/>
      <c r="BB231" s="115"/>
      <c r="BC231" s="115"/>
      <c r="BD231" s="115"/>
      <c r="BE231" s="115"/>
      <c r="BF231" s="115"/>
      <c r="BG231" s="115"/>
      <c r="BH231" s="115"/>
      <c r="BI231" s="115"/>
      <c r="BJ231" s="115"/>
      <c r="BK231" s="115"/>
      <c r="BL231" s="115"/>
      <c r="BM231" s="115"/>
      <c r="BN231" s="115"/>
      <c r="BO231" s="115"/>
      <c r="BP231" s="115"/>
      <c r="BQ231" s="115"/>
      <c r="BR231" s="115"/>
      <c r="BS231" s="115"/>
      <c r="BT231" s="115"/>
      <c r="BU231" s="115"/>
      <c r="BV231" s="115"/>
      <c r="BW231" s="115"/>
      <c r="BX231" s="115"/>
      <c r="BY231" s="115"/>
      <c r="BZ231" s="115"/>
      <c r="CA231" s="115"/>
      <c r="CB231" s="115"/>
      <c r="CC231" s="115"/>
      <c r="CD231" s="115"/>
    </row>
    <row r="232" spans="1:82">
      <c r="A232" s="39" t="s">
        <v>310</v>
      </c>
      <c r="B232" s="11"/>
      <c r="C232" s="51"/>
      <c r="D232" s="51"/>
      <c r="E232" s="115"/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5"/>
      <c r="W232" s="115"/>
      <c r="X232" s="115"/>
      <c r="Y232" s="115"/>
      <c r="Z232" s="115"/>
      <c r="AA232" s="115"/>
      <c r="AB232" s="115"/>
      <c r="AC232" s="115"/>
      <c r="AD232" s="115"/>
      <c r="AE232" s="115"/>
      <c r="AF232" s="115"/>
      <c r="AG232" s="115"/>
      <c r="AH232" s="115"/>
      <c r="AI232" s="115"/>
      <c r="AJ232" s="115"/>
      <c r="AK232" s="115"/>
      <c r="AL232" s="115"/>
      <c r="AM232" s="115"/>
      <c r="AN232" s="115"/>
      <c r="AO232" s="115"/>
      <c r="AP232" s="115"/>
      <c r="AQ232" s="115"/>
      <c r="AR232" s="115"/>
      <c r="AS232" s="115"/>
      <c r="AT232" s="115"/>
      <c r="AU232" s="115"/>
      <c r="AV232" s="115"/>
      <c r="AW232" s="115"/>
      <c r="AX232" s="115"/>
      <c r="AY232" s="115"/>
      <c r="AZ232" s="115"/>
      <c r="BA232" s="115"/>
      <c r="BB232" s="115"/>
      <c r="BC232" s="115"/>
      <c r="BD232" s="115"/>
      <c r="BE232" s="115"/>
      <c r="BF232" s="115"/>
      <c r="BG232" s="115"/>
      <c r="BH232" s="115"/>
      <c r="BI232" s="115"/>
      <c r="BJ232" s="115"/>
      <c r="BK232" s="115"/>
      <c r="BL232" s="115"/>
      <c r="BM232" s="115"/>
      <c r="BN232" s="115"/>
      <c r="BO232" s="115"/>
      <c r="BP232" s="115"/>
      <c r="BQ232" s="115"/>
      <c r="BR232" s="115"/>
      <c r="BS232" s="115"/>
      <c r="BT232" s="115"/>
      <c r="BU232" s="115"/>
      <c r="BV232" s="115"/>
      <c r="BW232" s="115"/>
      <c r="BX232" s="115"/>
      <c r="BY232" s="115"/>
      <c r="BZ232" s="115"/>
      <c r="CA232" s="115"/>
      <c r="CB232" s="115"/>
      <c r="CC232" s="115"/>
      <c r="CD232" s="115"/>
    </row>
    <row r="233" spans="1:82">
      <c r="A233" s="11"/>
      <c r="B233" s="11" t="s">
        <v>728</v>
      </c>
      <c r="C233" s="52"/>
      <c r="D233" s="52"/>
      <c r="E233" s="115">
        <f>IF(ISERROR(VLOOKUP($B233,'Woodmac profile - Oil'!$B$498:$AL$526,MATCH(E$225,'Woodmac profile - Oil'!$B$480:$AL$480),FALSE)),0,VLOOKUP($B233,'Woodmac profile - Oil'!$B$498:$AL$526,MATCH(E$225,'Woodmac profile - Oil'!$B$480:$AL$480),FALSE))</f>
        <v>0</v>
      </c>
      <c r="F233" s="115">
        <f>IF(ISERROR(VLOOKUP($B233,'Woodmac profile - Oil'!$B$498:$AL$526,MATCH(F$225,'Woodmac profile - Oil'!$B$480:$AL$480),FALSE)),0,VLOOKUP($B233,'Woodmac profile - Oil'!$B$498:$AL$526,MATCH(F$225,'Woodmac profile - Oil'!$B$480:$AL$480),FALSE))</f>
        <v>0</v>
      </c>
      <c r="G233" s="115">
        <f>IF(ISERROR(VLOOKUP($B233,'Woodmac profile - Oil'!$B$498:$AL$526,MATCH(G$225,'Woodmac profile - Oil'!$B$480:$AL$480),FALSE)),0,VLOOKUP($B233,'Woodmac profile - Oil'!$B$498:$AL$526,MATCH(G$225,'Woodmac profile - Oil'!$B$480:$AL$480),FALSE))</f>
        <v>0</v>
      </c>
      <c r="H233" s="65">
        <f>L233</f>
        <v>0</v>
      </c>
      <c r="I233" s="65">
        <f>L233</f>
        <v>0</v>
      </c>
      <c r="J233" s="12">
        <f>L233</f>
        <v>0</v>
      </c>
      <c r="K233" s="12">
        <f>L233</f>
        <v>0</v>
      </c>
      <c r="L233" s="115">
        <f>IF(ISERROR(VLOOKUP($B233,'Woodmac profile - Oil'!$B$498:$AL$526,MATCH(L$225,'Woodmac profile - Oil'!$B$480:$AL$480),FALSE)),0,VLOOKUP($B233,'Woodmac profile - Oil'!$B$498:$AL$526,MATCH(L$225,'Woodmac profile - Oil'!$B$480:$AL$480),FALSE))</f>
        <v>0</v>
      </c>
      <c r="M233" s="65">
        <f t="shared" ref="M233:M234" si="334">Q233</f>
        <v>0</v>
      </c>
      <c r="N233" s="65">
        <f t="shared" ref="N233:N234" si="335">Q233</f>
        <v>0</v>
      </c>
      <c r="O233" s="12">
        <f t="shared" ref="O233:O234" si="336">Q233</f>
        <v>0</v>
      </c>
      <c r="P233" s="12">
        <f t="shared" ref="P233" si="337">Q233</f>
        <v>0</v>
      </c>
      <c r="Q233" s="115">
        <f>IF(ISERROR(VLOOKUP($B233,'Woodmac profile - Oil'!$B$498:$AL$526,MATCH(Q$225,'Woodmac profile - Oil'!$B$480:$AL$480),FALSE)),0,VLOOKUP($B233,'Woodmac profile - Oil'!$B$498:$AL$526,MATCH(Q$225,'Woodmac profile - Oil'!$B$480:$AL$480),FALSE))</f>
        <v>0</v>
      </c>
      <c r="R233" s="65">
        <f t="shared" ref="R233:R234" si="338">V233</f>
        <v>0</v>
      </c>
      <c r="S233" s="65">
        <f t="shared" ref="S233:S234" si="339">V233</f>
        <v>0</v>
      </c>
      <c r="T233" s="12">
        <f t="shared" ref="T233:T234" si="340">V233</f>
        <v>0</v>
      </c>
      <c r="U233" s="12">
        <f t="shared" ref="U233" si="341">V233</f>
        <v>0</v>
      </c>
      <c r="V233" s="115">
        <f>IF(ISERROR(VLOOKUP($B233,'Woodmac profile - Oil'!$B$498:$AL$526,MATCH(V$225,'Woodmac profile - Oil'!$B$480:$AL$480),FALSE)),0,VLOOKUP($B233,'Woodmac profile - Oil'!$B$498:$AL$526,MATCH(V$225,'Woodmac profile - Oil'!$B$480:$AL$480),FALSE))</f>
        <v>0</v>
      </c>
      <c r="W233" s="65">
        <f t="shared" ref="W233:W234" si="342">AA233</f>
        <v>0</v>
      </c>
      <c r="X233" s="65">
        <f t="shared" ref="X233:X234" si="343">AA233</f>
        <v>0</v>
      </c>
      <c r="Y233" s="12">
        <f t="shared" ref="Y233:Y234" si="344">AA233</f>
        <v>0</v>
      </c>
      <c r="Z233" s="12">
        <f t="shared" ref="Z233" si="345">AA233</f>
        <v>0</v>
      </c>
      <c r="AA233" s="115">
        <f>IF(ISERROR(VLOOKUP($B233,'Woodmac profile - Oil'!$B$498:$AL$526,MATCH(AA$225,'Woodmac profile - Oil'!$B$480:$AL$480),FALSE)),0,VLOOKUP($B233,'Woodmac profile - Oil'!$B$498:$AL$526,MATCH(AA$225,'Woodmac profile - Oil'!$B$480:$AL$480),FALSE))</f>
        <v>0</v>
      </c>
      <c r="AB233" s="65">
        <f t="shared" ref="AB233:AB234" si="346">AF233</f>
        <v>0</v>
      </c>
      <c r="AC233" s="65">
        <f t="shared" ref="AC233:AC234" si="347">AF233</f>
        <v>0</v>
      </c>
      <c r="AD233" s="12">
        <f t="shared" ref="AD233:AD234" si="348">AF233</f>
        <v>0</v>
      </c>
      <c r="AE233" s="12">
        <f t="shared" ref="AE233" si="349">AF233</f>
        <v>0</v>
      </c>
      <c r="AF233" s="115">
        <f>IF(ISERROR(VLOOKUP($B233,'Woodmac profile - Oil'!$B$498:$AL$526,MATCH(AF$225,'Woodmac profile - Oil'!$B$480:$AL$480),FALSE)),0,VLOOKUP($B233,'Woodmac profile - Oil'!$B$498:$AL$526,MATCH(AF$225,'Woodmac profile - Oil'!$B$480:$AL$480),FALSE))</f>
        <v>0</v>
      </c>
      <c r="AG233" s="65">
        <f t="shared" ref="AG233:AG234" si="350">AK233</f>
        <v>0</v>
      </c>
      <c r="AH233" s="65">
        <f t="shared" ref="AH233:AH234" si="351">AK233</f>
        <v>0</v>
      </c>
      <c r="AI233" s="12">
        <f t="shared" ref="AI233:AI234" si="352">AK233</f>
        <v>0</v>
      </c>
      <c r="AJ233" s="12">
        <f t="shared" ref="AJ233" si="353">AK233</f>
        <v>0</v>
      </c>
      <c r="AK233" s="115">
        <f>IF(ISERROR(VLOOKUP($B233,'Woodmac profile - Oil'!$B$498:$AL$526,MATCH(AK$225,'Woodmac profile - Oil'!$B$480:$AL$480),FALSE)),0,VLOOKUP($B233,'Woodmac profile - Oil'!$B$498:$AL$526,MATCH(AK$225,'Woodmac profile - Oil'!$B$480:$AL$480),FALSE))</f>
        <v>0</v>
      </c>
      <c r="AL233" s="65">
        <f t="shared" ref="AL233:AL234" si="354">AP233</f>
        <v>0</v>
      </c>
      <c r="AM233" s="65">
        <f t="shared" ref="AM233:AM234" si="355">AP233</f>
        <v>0</v>
      </c>
      <c r="AN233" s="12">
        <f t="shared" ref="AN233:AN234" si="356">AP233</f>
        <v>0</v>
      </c>
      <c r="AO233" s="12">
        <f t="shared" ref="AO233" si="357">AP233</f>
        <v>0</v>
      </c>
      <c r="AP233" s="115">
        <f>IF(ISERROR(VLOOKUP($B233,'Woodmac profile - Oil'!$B$498:$AL$526,MATCH(AP$225,'Woodmac profile - Oil'!$B$480:$AL$480),FALSE)),0,VLOOKUP($B233,'Woodmac profile - Oil'!$B$498:$AL$526,MATCH(AP$225,'Woodmac profile - Oil'!$B$480:$AL$480),FALSE))</f>
        <v>0</v>
      </c>
      <c r="AQ233" s="65">
        <f t="shared" ref="AQ233:AQ234" si="358">AU233</f>
        <v>0</v>
      </c>
      <c r="AR233" s="65">
        <f t="shared" ref="AR233:AR234" si="359">AU233</f>
        <v>0</v>
      </c>
      <c r="AS233" s="12">
        <f t="shared" ref="AS233:AS234" si="360">AU233</f>
        <v>0</v>
      </c>
      <c r="AT233" s="12">
        <f t="shared" ref="AT233" si="361">AU233</f>
        <v>0</v>
      </c>
      <c r="AU233" s="115">
        <f>IF(ISERROR(VLOOKUP($B233,'Woodmac profile - Oil'!$B$498:$AL$526,MATCH(AU$225,'Woodmac profile - Oil'!$B$480:$AL$480),FALSE)),0,VLOOKUP($B233,'Woodmac profile - Oil'!$B$498:$AL$526,MATCH(AU$225,'Woodmac profile - Oil'!$B$480:$AL$480),FALSE))</f>
        <v>0</v>
      </c>
      <c r="AV233" s="65">
        <f t="shared" ref="AV233:AV234" si="362">AZ233</f>
        <v>0</v>
      </c>
      <c r="AW233" s="65">
        <f t="shared" ref="AW233:AW234" si="363">AZ233</f>
        <v>0</v>
      </c>
      <c r="AX233" s="12">
        <f t="shared" ref="AX233:AX234" si="364">AZ233</f>
        <v>0</v>
      </c>
      <c r="AY233" s="12">
        <f t="shared" ref="AY233" si="365">AZ233</f>
        <v>0</v>
      </c>
      <c r="AZ233" s="115">
        <f>IF(ISERROR(VLOOKUP($B233,'Woodmac profile - Oil'!$B$498:$AL$526,MATCH(AZ$225,'Woodmac profile - Oil'!$B$480:$AL$480),FALSE)),0,VLOOKUP($B233,'Woodmac profile - Oil'!$B$498:$AL$526,MATCH(AZ$225,'Woodmac profile - Oil'!$B$480:$AL$480),FALSE))</f>
        <v>0</v>
      </c>
      <c r="BA233" s="65">
        <f t="shared" ref="BA233:BA234" si="366">BE233</f>
        <v>0</v>
      </c>
      <c r="BB233" s="65">
        <f t="shared" ref="BB233:BB234" si="367">BE233</f>
        <v>0</v>
      </c>
      <c r="BC233" s="12">
        <f t="shared" ref="BC233:BC234" si="368">BE233</f>
        <v>0</v>
      </c>
      <c r="BD233" s="12">
        <f t="shared" ref="BD233" si="369">BE233</f>
        <v>0</v>
      </c>
      <c r="BE233" s="115">
        <f>IF(ISERROR(VLOOKUP($B233,'Woodmac profile - Oil'!$B$498:$AL$526,MATCH(BE$225,'Woodmac profile - Oil'!$B$480:$AL$480),FALSE)),0,VLOOKUP($B233,'Woodmac profile - Oil'!$B$498:$AL$526,MATCH(BE$225,'Woodmac profile - Oil'!$B$480:$AL$480),FALSE))</f>
        <v>0</v>
      </c>
      <c r="BF233" s="65">
        <f t="shared" ref="BF233:BF234" si="370">BJ233</f>
        <v>0</v>
      </c>
      <c r="BG233" s="65">
        <f t="shared" ref="BG233:BG234" si="371">BJ233</f>
        <v>0</v>
      </c>
      <c r="BH233" s="65">
        <f t="shared" ref="BH233:BH234" si="372">BJ233</f>
        <v>0</v>
      </c>
      <c r="BI233" s="65">
        <f t="shared" ref="BI233" si="373">BJ233</f>
        <v>0</v>
      </c>
      <c r="BJ233" s="115">
        <f>IF(ISERROR(VLOOKUP($B233,'Woodmac profile - Oil'!$B$498:$AL$526,MATCH(BJ$225,'Woodmac profile - Oil'!$B$480:$AL$480),FALSE)),0,VLOOKUP($B233,'Woodmac profile - Oil'!$B$498:$AL$526,MATCH(BJ$225,'Woodmac profile - Oil'!$B$480:$AL$480),FALSE))</f>
        <v>0</v>
      </c>
      <c r="BK233" s="65">
        <f t="shared" ref="BK233:BK234" si="374">BO233</f>
        <v>0</v>
      </c>
      <c r="BL233" s="65">
        <f t="shared" ref="BL233:BL234" si="375">BO233</f>
        <v>0</v>
      </c>
      <c r="BM233" s="65">
        <f t="shared" ref="BM233:BM234" si="376">BO233</f>
        <v>0</v>
      </c>
      <c r="BN233" s="12">
        <f t="shared" ref="BN233" si="377">BO233</f>
        <v>0</v>
      </c>
      <c r="BO233" s="115">
        <f>IF(ISERROR(VLOOKUP($B233,'Woodmac profile - Oil'!$B$498:$AL$526,MATCH(BO$225,'Woodmac profile - Oil'!$B$480:$AL$480),FALSE)),0,VLOOKUP($B233,'Woodmac profile - Oil'!$B$498:$AL$526,MATCH(BO$225,'Woodmac profile - Oil'!$B$480:$AL$480),FALSE))</f>
        <v>0</v>
      </c>
      <c r="BP233" s="65">
        <f t="shared" ref="BP233:BP234" si="378">BT233</f>
        <v>0</v>
      </c>
      <c r="BQ233" s="65">
        <f t="shared" ref="BQ233:BQ234" si="379">BT233</f>
        <v>0</v>
      </c>
      <c r="BR233" s="12">
        <f t="shared" ref="BR233:BR234" si="380">BT233</f>
        <v>0</v>
      </c>
      <c r="BS233" s="12">
        <f t="shared" ref="BS233" si="381">BT233</f>
        <v>0</v>
      </c>
      <c r="BT233" s="115">
        <f>IF(ISERROR(VLOOKUP($B233,'Woodmac profile - Oil'!$B$498:$AL$526,MATCH(BT$225,'Woodmac profile - Oil'!$B$480:$AL$480),FALSE)),0,VLOOKUP($B233,'Woodmac profile - Oil'!$B$498:$AL$526,MATCH(BT$225,'Woodmac profile - Oil'!$B$480:$AL$480),FALSE))</f>
        <v>0</v>
      </c>
      <c r="BU233" s="65">
        <f t="shared" ref="BU233:BU234" si="382">BY233</f>
        <v>0</v>
      </c>
      <c r="BV233" s="65">
        <f t="shared" ref="BV233:BV234" si="383">BY233</f>
        <v>0</v>
      </c>
      <c r="BW233" s="12">
        <f t="shared" ref="BW233:BW234" si="384">BY233</f>
        <v>0</v>
      </c>
      <c r="BX233" s="12">
        <f t="shared" ref="BX233" si="385">BY233</f>
        <v>0</v>
      </c>
      <c r="BY233" s="115">
        <f>IF(ISERROR(VLOOKUP($B233,'Woodmac profile - Oil'!$B$498:$AL$526,MATCH(BY$225,'Woodmac profile - Oil'!$B$480:$AL$480),FALSE)),0,VLOOKUP($B233,'Woodmac profile - Oil'!$B$498:$AL$526,MATCH(BY$225,'Woodmac profile - Oil'!$B$480:$AL$480),FALSE))</f>
        <v>0</v>
      </c>
      <c r="BZ233" s="65">
        <f t="shared" ref="BZ233:BZ234" si="386">CD233</f>
        <v>0</v>
      </c>
      <c r="CA233" s="65">
        <f t="shared" ref="CA233:CA234" si="387">CD233</f>
        <v>0</v>
      </c>
      <c r="CB233" s="12">
        <f t="shared" ref="CB233:CB234" si="388">CD233</f>
        <v>0</v>
      </c>
      <c r="CC233" s="12">
        <f t="shared" ref="CC233" si="389">CD233</f>
        <v>0</v>
      </c>
      <c r="CD233" s="115">
        <f>IF(ISERROR(VLOOKUP($B233,'Woodmac profile - Oil'!$B$498:$AL$526,MATCH(CD$225,'Woodmac profile - Oil'!$B$480:$AL$480),FALSE)),0,VLOOKUP($B233,'Woodmac profile - Oil'!$B$498:$AL$526,MATCH(CD$225,'Woodmac profile - Oil'!$B$480:$AL$480),FALSE))</f>
        <v>0</v>
      </c>
    </row>
    <row r="234" spans="1:82">
      <c r="A234" s="11"/>
      <c r="B234" s="11" t="s">
        <v>727</v>
      </c>
      <c r="C234" s="52"/>
      <c r="D234" s="52"/>
      <c r="E234" s="115">
        <f>IF(ISERROR(VLOOKUP($B234,'Woodmac profile - Oil'!$B$498:$AL$526,MATCH(E$225,'Woodmac profile - Oil'!$B$480:$AL$480),FALSE)),0,VLOOKUP($B234,'Woodmac profile - Oil'!$B$498:$AL$526,MATCH(E$225,'Woodmac profile - Oil'!$B$480:$AL$480),FALSE))</f>
        <v>0</v>
      </c>
      <c r="F234" s="115">
        <f>IF(ISERROR(VLOOKUP($B234,'Woodmac profile - Oil'!$B$498:$AL$526,MATCH(F$225,'Woodmac profile - Oil'!$B$480:$AL$480),FALSE)),0,VLOOKUP($B234,'Woodmac profile - Oil'!$B$498:$AL$526,MATCH(F$225,'Woodmac profile - Oil'!$B$480:$AL$480),FALSE))</f>
        <v>0</v>
      </c>
      <c r="G234" s="115">
        <f>IF(ISERROR(VLOOKUP($B234,'Woodmac profile - Oil'!$B$498:$AL$526,MATCH(G$225,'Woodmac profile - Oil'!$B$480:$AL$480),FALSE)),0,VLOOKUP($B234,'Woodmac profile - Oil'!$B$498:$AL$526,MATCH(G$225,'Woodmac profile - Oil'!$B$480:$AL$480),FALSE))</f>
        <v>0</v>
      </c>
      <c r="H234" s="65">
        <f>L234</f>
        <v>0</v>
      </c>
      <c r="I234" s="65">
        <f>L234</f>
        <v>0</v>
      </c>
      <c r="J234" s="12">
        <f>L234</f>
        <v>0</v>
      </c>
      <c r="K234" s="12">
        <f>L234</f>
        <v>0</v>
      </c>
      <c r="L234" s="115">
        <f>IF(ISERROR(VLOOKUP($B234,'Woodmac profile - Oil'!$B$498:$AL$526,MATCH(L$225,'Woodmac profile - Oil'!$B$480:$AL$480),FALSE)),0,VLOOKUP($B234,'Woodmac profile - Oil'!$B$498:$AL$526,MATCH(L$225,'Woodmac profile - Oil'!$B$480:$AL$480),FALSE))</f>
        <v>0</v>
      </c>
      <c r="M234" s="65">
        <f t="shared" si="334"/>
        <v>0</v>
      </c>
      <c r="N234" s="65">
        <f t="shared" si="335"/>
        <v>0</v>
      </c>
      <c r="O234" s="12">
        <f t="shared" si="336"/>
        <v>0</v>
      </c>
      <c r="P234" s="12">
        <f t="shared" ref="P234" si="390">Q234</f>
        <v>0</v>
      </c>
      <c r="Q234" s="115">
        <f>IF(ISERROR(VLOOKUP($B234,'Woodmac profile - Oil'!$B$498:$AL$526,MATCH(Q$225,'Woodmac profile - Oil'!$B$480:$AL$480),FALSE)),0,VLOOKUP($B234,'Woodmac profile - Oil'!$B$498:$AL$526,MATCH(Q$225,'Woodmac profile - Oil'!$B$480:$AL$480),FALSE))</f>
        <v>0</v>
      </c>
      <c r="R234" s="65">
        <f t="shared" si="338"/>
        <v>0</v>
      </c>
      <c r="S234" s="65">
        <f t="shared" si="339"/>
        <v>0</v>
      </c>
      <c r="T234" s="12">
        <f t="shared" si="340"/>
        <v>0</v>
      </c>
      <c r="U234" s="12">
        <f t="shared" ref="U234" si="391">V234</f>
        <v>0</v>
      </c>
      <c r="V234" s="115">
        <f>IF(ISERROR(VLOOKUP($B234,'Woodmac profile - Oil'!$B$498:$AL$526,MATCH(V$225,'Woodmac profile - Oil'!$B$480:$AL$480),FALSE)),0,VLOOKUP($B234,'Woodmac profile - Oil'!$B$498:$AL$526,MATCH(V$225,'Woodmac profile - Oil'!$B$480:$AL$480),FALSE))</f>
        <v>0</v>
      </c>
      <c r="W234" s="65">
        <f t="shared" si="342"/>
        <v>0</v>
      </c>
      <c r="X234" s="65">
        <f t="shared" si="343"/>
        <v>0</v>
      </c>
      <c r="Y234" s="12">
        <f t="shared" si="344"/>
        <v>0</v>
      </c>
      <c r="Z234" s="12">
        <f t="shared" ref="Z234" si="392">AA234</f>
        <v>0</v>
      </c>
      <c r="AA234" s="115">
        <f>IF(ISERROR(VLOOKUP($B234,'Woodmac profile - Oil'!$B$498:$AL$526,MATCH(AA$225,'Woodmac profile - Oil'!$B$480:$AL$480),FALSE)),0,VLOOKUP($B234,'Woodmac profile - Oil'!$B$498:$AL$526,MATCH(AA$225,'Woodmac profile - Oil'!$B$480:$AL$480),FALSE))</f>
        <v>0</v>
      </c>
      <c r="AB234" s="65">
        <f t="shared" si="346"/>
        <v>0</v>
      </c>
      <c r="AC234" s="65">
        <f t="shared" si="347"/>
        <v>0</v>
      </c>
      <c r="AD234" s="12">
        <f t="shared" si="348"/>
        <v>0</v>
      </c>
      <c r="AE234" s="12">
        <f t="shared" ref="AE234" si="393">AF234</f>
        <v>0</v>
      </c>
      <c r="AF234" s="115">
        <f>IF(ISERROR(VLOOKUP($B234,'Woodmac profile - Oil'!$B$498:$AL$526,MATCH(AF$225,'Woodmac profile - Oil'!$B$480:$AL$480),FALSE)),0,VLOOKUP($B234,'Woodmac profile - Oil'!$B$498:$AL$526,MATCH(AF$225,'Woodmac profile - Oil'!$B$480:$AL$480),FALSE))</f>
        <v>0</v>
      </c>
      <c r="AG234" s="65">
        <f t="shared" si="350"/>
        <v>0</v>
      </c>
      <c r="AH234" s="65">
        <f t="shared" si="351"/>
        <v>0</v>
      </c>
      <c r="AI234" s="12">
        <f t="shared" si="352"/>
        <v>0</v>
      </c>
      <c r="AJ234" s="12">
        <f t="shared" ref="AJ234" si="394">AK234</f>
        <v>0</v>
      </c>
      <c r="AK234" s="115">
        <f>IF(ISERROR(VLOOKUP($B234,'Woodmac profile - Oil'!$B$498:$AL$526,MATCH(AK$225,'Woodmac profile - Oil'!$B$480:$AL$480),FALSE)),0,VLOOKUP($B234,'Woodmac profile - Oil'!$B$498:$AL$526,MATCH(AK$225,'Woodmac profile - Oil'!$B$480:$AL$480),FALSE))</f>
        <v>0</v>
      </c>
      <c r="AL234" s="65">
        <f t="shared" si="354"/>
        <v>0</v>
      </c>
      <c r="AM234" s="65">
        <f t="shared" si="355"/>
        <v>0</v>
      </c>
      <c r="AN234" s="12">
        <f t="shared" si="356"/>
        <v>0</v>
      </c>
      <c r="AO234" s="12">
        <f t="shared" ref="AO234" si="395">AP234</f>
        <v>0</v>
      </c>
      <c r="AP234" s="115">
        <f>IF(ISERROR(VLOOKUP($B234,'Woodmac profile - Oil'!$B$498:$AL$526,MATCH(AP$225,'Woodmac profile - Oil'!$B$480:$AL$480),FALSE)),0,VLOOKUP($B234,'Woodmac profile - Oil'!$B$498:$AL$526,MATCH(AP$225,'Woodmac profile - Oil'!$B$480:$AL$480),FALSE))</f>
        <v>0</v>
      </c>
      <c r="AQ234" s="65">
        <f t="shared" si="358"/>
        <v>0</v>
      </c>
      <c r="AR234" s="65">
        <f t="shared" si="359"/>
        <v>0</v>
      </c>
      <c r="AS234" s="12">
        <f t="shared" si="360"/>
        <v>0</v>
      </c>
      <c r="AT234" s="12">
        <f t="shared" ref="AT234" si="396">AU234</f>
        <v>0</v>
      </c>
      <c r="AU234" s="115">
        <f>IF(ISERROR(VLOOKUP($B234,'Woodmac profile - Oil'!$B$498:$AL$526,MATCH(AU$225,'Woodmac profile - Oil'!$B$480:$AL$480),FALSE)),0,VLOOKUP($B234,'Woodmac profile - Oil'!$B$498:$AL$526,MATCH(AU$225,'Woodmac profile - Oil'!$B$480:$AL$480),FALSE))</f>
        <v>0</v>
      </c>
      <c r="AV234" s="65">
        <f t="shared" si="362"/>
        <v>0</v>
      </c>
      <c r="AW234" s="65">
        <f t="shared" si="363"/>
        <v>0</v>
      </c>
      <c r="AX234" s="12">
        <f t="shared" si="364"/>
        <v>0</v>
      </c>
      <c r="AY234" s="12">
        <f t="shared" ref="AY234" si="397">AZ234</f>
        <v>0</v>
      </c>
      <c r="AZ234" s="115">
        <f>IF(ISERROR(VLOOKUP($B234,'Woodmac profile - Oil'!$B$498:$AL$526,MATCH(AZ$225,'Woodmac profile - Oil'!$B$480:$AL$480),FALSE)),0,VLOOKUP($B234,'Woodmac profile - Oil'!$B$498:$AL$526,MATCH(AZ$225,'Woodmac profile - Oil'!$B$480:$AL$480),FALSE))</f>
        <v>0</v>
      </c>
      <c r="BA234" s="65">
        <f t="shared" si="366"/>
        <v>0</v>
      </c>
      <c r="BB234" s="65">
        <f t="shared" si="367"/>
        <v>0</v>
      </c>
      <c r="BC234" s="12">
        <f t="shared" si="368"/>
        <v>0</v>
      </c>
      <c r="BD234" s="12">
        <f t="shared" ref="BD234" si="398">BE234</f>
        <v>0</v>
      </c>
      <c r="BE234" s="115">
        <f>IF(ISERROR(VLOOKUP($B234,'Woodmac profile - Oil'!$B$498:$AL$526,MATCH(BE$225,'Woodmac profile - Oil'!$B$480:$AL$480),FALSE)),0,VLOOKUP($B234,'Woodmac profile - Oil'!$B$498:$AL$526,MATCH(BE$225,'Woodmac profile - Oil'!$B$480:$AL$480),FALSE))</f>
        <v>0</v>
      </c>
      <c r="BF234" s="65">
        <f t="shared" si="370"/>
        <v>0</v>
      </c>
      <c r="BG234" s="65">
        <f t="shared" si="371"/>
        <v>0</v>
      </c>
      <c r="BH234" s="65">
        <f t="shared" si="372"/>
        <v>0</v>
      </c>
      <c r="BI234" s="65">
        <f t="shared" ref="BI234" si="399">BJ234</f>
        <v>0</v>
      </c>
      <c r="BJ234" s="115">
        <f>IF(ISERROR(VLOOKUP($B234,'Woodmac profile - Oil'!$B$498:$AL$526,MATCH(BJ$225,'Woodmac profile - Oil'!$B$480:$AL$480),FALSE)),0,VLOOKUP($B234,'Woodmac profile - Oil'!$B$498:$AL$526,MATCH(BJ$225,'Woodmac profile - Oil'!$B$480:$AL$480),FALSE))</f>
        <v>0</v>
      </c>
      <c r="BK234" s="65">
        <f t="shared" si="374"/>
        <v>0</v>
      </c>
      <c r="BL234" s="65">
        <f t="shared" si="375"/>
        <v>0</v>
      </c>
      <c r="BM234" s="65">
        <f t="shared" si="376"/>
        <v>0</v>
      </c>
      <c r="BN234" s="12">
        <f t="shared" ref="BN234" si="400">BO234</f>
        <v>0</v>
      </c>
      <c r="BO234" s="115">
        <f>IF(ISERROR(VLOOKUP($B234,'Woodmac profile - Oil'!$B$498:$AL$526,MATCH(BO$225,'Woodmac profile - Oil'!$B$480:$AL$480),FALSE)),0,VLOOKUP($B234,'Woodmac profile - Oil'!$B$498:$AL$526,MATCH(BO$225,'Woodmac profile - Oil'!$B$480:$AL$480),FALSE))</f>
        <v>0</v>
      </c>
      <c r="BP234" s="65">
        <f t="shared" si="378"/>
        <v>0</v>
      </c>
      <c r="BQ234" s="65">
        <f t="shared" si="379"/>
        <v>0</v>
      </c>
      <c r="BR234" s="12">
        <f t="shared" si="380"/>
        <v>0</v>
      </c>
      <c r="BS234" s="12">
        <f t="shared" ref="BS234" si="401">BT234</f>
        <v>0</v>
      </c>
      <c r="BT234" s="115">
        <f>IF(ISERROR(VLOOKUP($B234,'Woodmac profile - Oil'!$B$498:$AL$526,MATCH(BT$225,'Woodmac profile - Oil'!$B$480:$AL$480),FALSE)),0,VLOOKUP($B234,'Woodmac profile - Oil'!$B$498:$AL$526,MATCH(BT$225,'Woodmac profile - Oil'!$B$480:$AL$480),FALSE))</f>
        <v>0</v>
      </c>
      <c r="BU234" s="65">
        <f t="shared" si="382"/>
        <v>0</v>
      </c>
      <c r="BV234" s="65">
        <f t="shared" si="383"/>
        <v>0</v>
      </c>
      <c r="BW234" s="12">
        <f t="shared" si="384"/>
        <v>0</v>
      </c>
      <c r="BX234" s="12">
        <f t="shared" ref="BX234" si="402">BY234</f>
        <v>0</v>
      </c>
      <c r="BY234" s="115">
        <f>IF(ISERROR(VLOOKUP($B234,'Woodmac profile - Oil'!$B$498:$AL$526,MATCH(BY$225,'Woodmac profile - Oil'!$B$480:$AL$480),FALSE)),0,VLOOKUP($B234,'Woodmac profile - Oil'!$B$498:$AL$526,MATCH(BY$225,'Woodmac profile - Oil'!$B$480:$AL$480),FALSE))</f>
        <v>0</v>
      </c>
      <c r="BZ234" s="65">
        <f t="shared" si="386"/>
        <v>0</v>
      </c>
      <c r="CA234" s="65">
        <f t="shared" si="387"/>
        <v>0</v>
      </c>
      <c r="CB234" s="12">
        <f t="shared" si="388"/>
        <v>0</v>
      </c>
      <c r="CC234" s="12">
        <f t="shared" ref="CC234" si="403">CD234</f>
        <v>0</v>
      </c>
      <c r="CD234" s="115">
        <f>IF(ISERROR(VLOOKUP($B234,'Woodmac profile - Oil'!$B$498:$AL$526,MATCH(CD$225,'Woodmac profile - Oil'!$B$480:$AL$480),FALSE)),0,VLOOKUP($B234,'Woodmac profile - Oil'!$B$498:$AL$526,MATCH(CD$225,'Woodmac profile - Oil'!$B$480:$AL$480),FALSE))</f>
        <v>0</v>
      </c>
    </row>
    <row r="235" spans="1:82">
      <c r="A235" s="39" t="s">
        <v>1993</v>
      </c>
      <c r="B235" s="54"/>
      <c r="C235" s="52"/>
      <c r="D235" s="52"/>
      <c r="E235" s="78">
        <f t="shared" ref="E235:L235" si="404">SUM(E233:E234)</f>
        <v>0</v>
      </c>
      <c r="F235" s="78">
        <f t="shared" si="404"/>
        <v>0</v>
      </c>
      <c r="G235" s="78">
        <f t="shared" si="404"/>
        <v>0</v>
      </c>
      <c r="H235" s="397">
        <f t="shared" si="404"/>
        <v>0</v>
      </c>
      <c r="I235" s="397">
        <f t="shared" si="404"/>
        <v>0</v>
      </c>
      <c r="J235" s="397">
        <f t="shared" si="404"/>
        <v>0</v>
      </c>
      <c r="K235" s="397">
        <f t="shared" si="404"/>
        <v>0</v>
      </c>
      <c r="L235" s="78">
        <f t="shared" si="404"/>
        <v>0</v>
      </c>
      <c r="M235" s="397">
        <f t="shared" ref="M235:BX235" si="405">SUM(M233:M234)</f>
        <v>0</v>
      </c>
      <c r="N235" s="397">
        <f t="shared" si="405"/>
        <v>0</v>
      </c>
      <c r="O235" s="397">
        <f t="shared" si="405"/>
        <v>0</v>
      </c>
      <c r="P235" s="397">
        <f t="shared" si="405"/>
        <v>0</v>
      </c>
      <c r="Q235" s="571">
        <f t="shared" si="405"/>
        <v>0</v>
      </c>
      <c r="R235" s="397">
        <f t="shared" si="405"/>
        <v>0</v>
      </c>
      <c r="S235" s="397">
        <f t="shared" si="405"/>
        <v>0</v>
      </c>
      <c r="T235" s="397">
        <f t="shared" si="405"/>
        <v>0</v>
      </c>
      <c r="U235" s="397">
        <f t="shared" si="405"/>
        <v>0</v>
      </c>
      <c r="V235" s="571">
        <f t="shared" si="405"/>
        <v>0</v>
      </c>
      <c r="W235" s="397">
        <f t="shared" si="405"/>
        <v>0</v>
      </c>
      <c r="X235" s="397">
        <f t="shared" si="405"/>
        <v>0</v>
      </c>
      <c r="Y235" s="397">
        <f t="shared" si="405"/>
        <v>0</v>
      </c>
      <c r="Z235" s="397">
        <f t="shared" si="405"/>
        <v>0</v>
      </c>
      <c r="AA235" s="571">
        <f t="shared" si="405"/>
        <v>0</v>
      </c>
      <c r="AB235" s="397">
        <f t="shared" si="405"/>
        <v>0</v>
      </c>
      <c r="AC235" s="397">
        <f t="shared" si="405"/>
        <v>0</v>
      </c>
      <c r="AD235" s="397">
        <f t="shared" si="405"/>
        <v>0</v>
      </c>
      <c r="AE235" s="397">
        <f t="shared" si="405"/>
        <v>0</v>
      </c>
      <c r="AF235" s="571">
        <f t="shared" si="405"/>
        <v>0</v>
      </c>
      <c r="AG235" s="397">
        <f t="shared" si="405"/>
        <v>0</v>
      </c>
      <c r="AH235" s="397">
        <f t="shared" si="405"/>
        <v>0</v>
      </c>
      <c r="AI235" s="397">
        <f t="shared" si="405"/>
        <v>0</v>
      </c>
      <c r="AJ235" s="397">
        <f t="shared" si="405"/>
        <v>0</v>
      </c>
      <c r="AK235" s="571">
        <f t="shared" si="405"/>
        <v>0</v>
      </c>
      <c r="AL235" s="397">
        <f t="shared" si="405"/>
        <v>0</v>
      </c>
      <c r="AM235" s="397">
        <f t="shared" si="405"/>
        <v>0</v>
      </c>
      <c r="AN235" s="397">
        <f t="shared" si="405"/>
        <v>0</v>
      </c>
      <c r="AO235" s="397">
        <f t="shared" si="405"/>
        <v>0</v>
      </c>
      <c r="AP235" s="571">
        <f t="shared" si="405"/>
        <v>0</v>
      </c>
      <c r="AQ235" s="397">
        <f t="shared" si="405"/>
        <v>0</v>
      </c>
      <c r="AR235" s="397">
        <f t="shared" si="405"/>
        <v>0</v>
      </c>
      <c r="AS235" s="397">
        <f t="shared" si="405"/>
        <v>0</v>
      </c>
      <c r="AT235" s="397">
        <f t="shared" si="405"/>
        <v>0</v>
      </c>
      <c r="AU235" s="571">
        <f t="shared" si="405"/>
        <v>0</v>
      </c>
      <c r="AV235" s="397">
        <f t="shared" si="405"/>
        <v>0</v>
      </c>
      <c r="AW235" s="397">
        <f t="shared" si="405"/>
        <v>0</v>
      </c>
      <c r="AX235" s="397">
        <f t="shared" si="405"/>
        <v>0</v>
      </c>
      <c r="AY235" s="397">
        <f t="shared" si="405"/>
        <v>0</v>
      </c>
      <c r="AZ235" s="571">
        <f t="shared" si="405"/>
        <v>0</v>
      </c>
      <c r="BA235" s="397">
        <f t="shared" si="405"/>
        <v>0</v>
      </c>
      <c r="BB235" s="397">
        <f t="shared" si="405"/>
        <v>0</v>
      </c>
      <c r="BC235" s="397">
        <f t="shared" si="405"/>
        <v>0</v>
      </c>
      <c r="BD235" s="397">
        <f t="shared" si="405"/>
        <v>0</v>
      </c>
      <c r="BE235" s="571">
        <f t="shared" si="405"/>
        <v>0</v>
      </c>
      <c r="BF235" s="397">
        <f t="shared" si="405"/>
        <v>0</v>
      </c>
      <c r="BG235" s="397">
        <f t="shared" si="405"/>
        <v>0</v>
      </c>
      <c r="BH235" s="397">
        <f t="shared" si="405"/>
        <v>0</v>
      </c>
      <c r="BI235" s="397">
        <f t="shared" si="405"/>
        <v>0</v>
      </c>
      <c r="BJ235" s="571">
        <f t="shared" si="405"/>
        <v>0</v>
      </c>
      <c r="BK235" s="397">
        <f t="shared" si="405"/>
        <v>0</v>
      </c>
      <c r="BL235" s="397">
        <f t="shared" si="405"/>
        <v>0</v>
      </c>
      <c r="BM235" s="397">
        <f t="shared" si="405"/>
        <v>0</v>
      </c>
      <c r="BN235" s="397">
        <f t="shared" si="405"/>
        <v>0</v>
      </c>
      <c r="BO235" s="571">
        <f t="shared" si="405"/>
        <v>0</v>
      </c>
      <c r="BP235" s="397">
        <f t="shared" si="405"/>
        <v>0</v>
      </c>
      <c r="BQ235" s="397">
        <f t="shared" si="405"/>
        <v>0</v>
      </c>
      <c r="BR235" s="397">
        <f t="shared" si="405"/>
        <v>0</v>
      </c>
      <c r="BS235" s="397">
        <f t="shared" si="405"/>
        <v>0</v>
      </c>
      <c r="BT235" s="571">
        <f t="shared" si="405"/>
        <v>0</v>
      </c>
      <c r="BU235" s="397">
        <f t="shared" si="405"/>
        <v>0</v>
      </c>
      <c r="BV235" s="397">
        <f t="shared" si="405"/>
        <v>0</v>
      </c>
      <c r="BW235" s="397">
        <f t="shared" si="405"/>
        <v>0</v>
      </c>
      <c r="BX235" s="397">
        <f t="shared" si="405"/>
        <v>0</v>
      </c>
      <c r="BY235" s="571">
        <f t="shared" ref="BY235:CD235" si="406">SUM(BY233:BY234)</f>
        <v>0</v>
      </c>
      <c r="BZ235" s="397">
        <f t="shared" si="406"/>
        <v>0</v>
      </c>
      <c r="CA235" s="397">
        <f t="shared" si="406"/>
        <v>0</v>
      </c>
      <c r="CB235" s="397">
        <f t="shared" si="406"/>
        <v>0</v>
      </c>
      <c r="CC235" s="397">
        <f t="shared" si="406"/>
        <v>0</v>
      </c>
      <c r="CD235" s="571">
        <f t="shared" si="406"/>
        <v>0</v>
      </c>
    </row>
    <row r="236" spans="1:82">
      <c r="A236" s="11"/>
      <c r="B236" s="55"/>
      <c r="C236" s="51"/>
      <c r="D236" s="51"/>
      <c r="E236" s="115"/>
      <c r="F236" s="115"/>
      <c r="G236" s="115"/>
      <c r="H236" s="65"/>
      <c r="I236" s="65"/>
      <c r="J236" s="65"/>
      <c r="K236" s="65"/>
      <c r="L236" s="115"/>
      <c r="M236" s="65"/>
      <c r="N236" s="65"/>
      <c r="O236" s="65"/>
      <c r="P236" s="65"/>
      <c r="Q236" s="115"/>
      <c r="R236" s="65"/>
      <c r="S236" s="65"/>
      <c r="T236" s="65"/>
      <c r="U236" s="65"/>
      <c r="V236" s="115"/>
      <c r="W236" s="65"/>
      <c r="X236" s="65"/>
      <c r="Y236" s="65"/>
      <c r="Z236" s="65"/>
      <c r="AA236" s="115"/>
      <c r="AB236" s="65"/>
      <c r="AC236" s="65"/>
      <c r="AD236" s="65"/>
      <c r="AE236" s="65"/>
      <c r="AF236" s="115"/>
      <c r="AG236" s="65"/>
      <c r="AH236" s="65"/>
      <c r="AI236" s="65"/>
      <c r="AJ236" s="65"/>
      <c r="AK236" s="115"/>
      <c r="AL236" s="65"/>
      <c r="AM236" s="65"/>
      <c r="AN236" s="65"/>
      <c r="AO236" s="65"/>
      <c r="AP236" s="115"/>
      <c r="AQ236" s="65"/>
      <c r="AR236" s="65"/>
      <c r="AS236" s="65"/>
      <c r="AT236" s="65"/>
      <c r="AU236" s="115"/>
      <c r="AV236" s="65"/>
      <c r="AW236" s="65"/>
      <c r="AX236" s="65"/>
      <c r="AY236" s="65"/>
      <c r="AZ236" s="115"/>
      <c r="BA236" s="65"/>
      <c r="BB236" s="65"/>
      <c r="BC236" s="65"/>
      <c r="BD236" s="65"/>
      <c r="BE236" s="115"/>
      <c r="BF236" s="65"/>
      <c r="BG236" s="65"/>
      <c r="BH236" s="65"/>
      <c r="BI236" s="65"/>
      <c r="BJ236" s="115"/>
      <c r="BK236" s="65"/>
      <c r="BL236" s="65"/>
      <c r="BM236" s="65"/>
      <c r="BN236" s="65"/>
      <c r="BO236" s="115"/>
      <c r="BP236" s="65"/>
      <c r="BQ236" s="65"/>
      <c r="BR236" s="65"/>
      <c r="BS236" s="65"/>
      <c r="BT236" s="115"/>
      <c r="BU236" s="65"/>
      <c r="BV236" s="65"/>
      <c r="BW236" s="65"/>
      <c r="BX236" s="65"/>
      <c r="BY236" s="115"/>
      <c r="BZ236" s="65"/>
      <c r="CA236" s="65"/>
      <c r="CB236" s="65"/>
      <c r="CC236" s="65"/>
      <c r="CD236" s="115"/>
    </row>
    <row r="237" spans="1:82">
      <c r="A237" s="39" t="s">
        <v>1994</v>
      </c>
      <c r="B237" s="55"/>
      <c r="C237" s="51"/>
      <c r="D237" s="51"/>
      <c r="E237" s="115"/>
      <c r="F237" s="115"/>
      <c r="G237" s="115"/>
      <c r="H237" s="65"/>
      <c r="I237" s="65"/>
      <c r="J237" s="65"/>
      <c r="K237" s="65"/>
      <c r="L237" s="115"/>
      <c r="M237" s="65"/>
      <c r="N237" s="65"/>
      <c r="O237" s="65"/>
      <c r="P237" s="65"/>
      <c r="Q237" s="115"/>
      <c r="R237" s="65"/>
      <c r="S237" s="65"/>
      <c r="T237" s="65"/>
      <c r="U237" s="65"/>
      <c r="V237" s="115"/>
      <c r="W237" s="65"/>
      <c r="X237" s="65"/>
      <c r="Y237" s="65"/>
      <c r="Z237" s="65"/>
      <c r="AA237" s="115"/>
      <c r="AB237" s="65"/>
      <c r="AC237" s="65"/>
      <c r="AD237" s="65"/>
      <c r="AE237" s="65"/>
      <c r="AF237" s="115"/>
      <c r="AG237" s="65"/>
      <c r="AH237" s="65"/>
      <c r="AI237" s="65"/>
      <c r="AJ237" s="65"/>
      <c r="AK237" s="115"/>
      <c r="AL237" s="65"/>
      <c r="AM237" s="65"/>
      <c r="AN237" s="65"/>
      <c r="AO237" s="65"/>
      <c r="AP237" s="115"/>
      <c r="AQ237" s="65"/>
      <c r="AR237" s="65"/>
      <c r="AS237" s="65"/>
      <c r="AT237" s="65"/>
      <c r="AU237" s="115"/>
      <c r="AV237" s="65"/>
      <c r="AW237" s="65"/>
      <c r="AX237" s="65"/>
      <c r="AY237" s="65"/>
      <c r="AZ237" s="115"/>
      <c r="BA237" s="65"/>
      <c r="BB237" s="65"/>
      <c r="BC237" s="65"/>
      <c r="BD237" s="65"/>
      <c r="BE237" s="115"/>
      <c r="BF237" s="65"/>
      <c r="BG237" s="65"/>
      <c r="BH237" s="65"/>
      <c r="BI237" s="65"/>
      <c r="BJ237" s="115"/>
      <c r="BK237" s="65"/>
      <c r="BL237" s="65"/>
      <c r="BM237" s="65"/>
      <c r="BN237" s="65"/>
      <c r="BO237" s="115"/>
      <c r="BP237" s="65"/>
      <c r="BQ237" s="65"/>
      <c r="BR237" s="65"/>
      <c r="BS237" s="65"/>
      <c r="BT237" s="115"/>
      <c r="BU237" s="65"/>
      <c r="BV237" s="65"/>
      <c r="BW237" s="65"/>
      <c r="BX237" s="65"/>
      <c r="BY237" s="115"/>
      <c r="BZ237" s="65"/>
      <c r="CA237" s="65"/>
      <c r="CB237" s="65"/>
      <c r="CC237" s="65"/>
      <c r="CD237" s="115"/>
    </row>
    <row r="238" spans="1:82">
      <c r="A238" s="39"/>
      <c r="B238" s="55" t="s">
        <v>2921</v>
      </c>
      <c r="C238" s="52"/>
      <c r="D238" s="52"/>
      <c r="E238" s="115">
        <f>IF(ISERROR(VLOOKUP($B238,'Woodmac profile - Oil'!$B$498:$AL$526,MATCH(E$225,'Woodmac profile - Oil'!$B$480:$AL$480),FALSE)),0,VLOOKUP($B238,'Woodmac profile - Oil'!$B$498:$AL$526,MATCH(E$225,'Woodmac profile - Oil'!$B$480:$AL$480),FALSE))</f>
        <v>59.291999999999994</v>
      </c>
      <c r="F238" s="115">
        <f>IF(ISERROR(VLOOKUP($B238,'Woodmac profile - Oil'!$B$498:$AL$526,MATCH(F$225,'Woodmac profile - Oil'!$B$480:$AL$480),FALSE)),0,VLOOKUP($B238,'Woodmac profile - Oil'!$B$498:$AL$526,MATCH(F$225,'Woodmac profile - Oil'!$B$480:$AL$480),FALSE))</f>
        <v>63.21</v>
      </c>
      <c r="G238" s="115">
        <f>IF(ISERROR(VLOOKUP($B238,'Woodmac profile - Oil'!$B$498:$AL$526,MATCH(G$225,'Woodmac profile - Oil'!$B$480:$AL$480),FALSE)),0,VLOOKUP($B238,'Woodmac profile - Oil'!$B$498:$AL$526,MATCH(G$225,'Woodmac profile - Oil'!$B$480:$AL$480),FALSE))</f>
        <v>65.34</v>
      </c>
      <c r="H238" s="65">
        <f t="shared" ref="H238:H243" si="407">L238</f>
        <v>67.440000000000012</v>
      </c>
      <c r="I238" s="65">
        <f t="shared" ref="I238:I243" si="408">L238</f>
        <v>67.440000000000012</v>
      </c>
      <c r="J238" s="12">
        <f t="shared" ref="J238:J243" si="409">L238</f>
        <v>67.440000000000012</v>
      </c>
      <c r="K238" s="12">
        <f t="shared" ref="K238:K243" si="410">L238</f>
        <v>67.440000000000012</v>
      </c>
      <c r="L238" s="115">
        <f>IF(ISERROR(VLOOKUP($B238,'Woodmac profile - Oil'!$B$498:$AL$526,MATCH(L$225,'Woodmac profile - Oil'!$B$480:$AL$480),FALSE)),0,VLOOKUP($B238,'Woodmac profile - Oil'!$B$498:$AL$526,MATCH(L$225,'Woodmac profile - Oil'!$B$480:$AL$480),FALSE))</f>
        <v>67.440000000000012</v>
      </c>
      <c r="M238" s="65">
        <f t="shared" ref="M238:M243" si="411">Q238</f>
        <v>66.75</v>
      </c>
      <c r="N238" s="65">
        <f t="shared" ref="N238:N243" si="412">Q238</f>
        <v>66.75</v>
      </c>
      <c r="O238" s="12">
        <f t="shared" ref="O238:O243" si="413">Q238</f>
        <v>66.75</v>
      </c>
      <c r="P238" s="12">
        <f t="shared" ref="P238" si="414">Q238</f>
        <v>66.75</v>
      </c>
      <c r="Q238" s="115">
        <f>IF(ISERROR(VLOOKUP($B238,'Woodmac profile - Oil'!$B$498:$AL$526,MATCH(Q$225,'Woodmac profile - Oil'!$B$480:$AL$480),FALSE)),0,VLOOKUP($B238,'Woodmac profile - Oil'!$B$498:$AL$526,MATCH(Q$225,'Woodmac profile - Oil'!$B$480:$AL$480),FALSE))</f>
        <v>66.75</v>
      </c>
      <c r="R238" s="65">
        <f t="shared" ref="R238:R243" si="415">V238</f>
        <v>66.114000000000004</v>
      </c>
      <c r="S238" s="65">
        <f t="shared" ref="S238:S243" si="416">V238</f>
        <v>66.114000000000004</v>
      </c>
      <c r="T238" s="12">
        <f t="shared" ref="T238:T243" si="417">V238</f>
        <v>66.114000000000004</v>
      </c>
      <c r="U238" s="12">
        <f t="shared" ref="U238" si="418">V238</f>
        <v>66.114000000000004</v>
      </c>
      <c r="V238" s="115">
        <f>IF(ISERROR(VLOOKUP($B238,'Woodmac profile - Oil'!$B$498:$AL$526,MATCH(V$225,'Woodmac profile - Oil'!$B$480:$AL$480),FALSE)),0,VLOOKUP($B238,'Woodmac profile - Oil'!$B$498:$AL$526,MATCH(V$225,'Woodmac profile - Oil'!$B$480:$AL$480),FALSE))</f>
        <v>66.114000000000004</v>
      </c>
      <c r="W238" s="65">
        <f t="shared" ref="W238:W243" si="419">AA238</f>
        <v>71.063999999999993</v>
      </c>
      <c r="X238" s="65">
        <f t="shared" ref="X238:X243" si="420">AA238</f>
        <v>71.063999999999993</v>
      </c>
      <c r="Y238" s="12">
        <f t="shared" ref="Y238:Y243" si="421">AA238</f>
        <v>71.063999999999993</v>
      </c>
      <c r="Z238" s="12">
        <f t="shared" ref="Z238" si="422">AA238</f>
        <v>71.063999999999993</v>
      </c>
      <c r="AA238" s="115">
        <f>IF(ISERROR(VLOOKUP($B238,'Woodmac profile - Oil'!$B$498:$AL$526,MATCH(AA$225,'Woodmac profile - Oil'!$B$480:$AL$480),FALSE)),0,VLOOKUP($B238,'Woodmac profile - Oil'!$B$498:$AL$526,MATCH(AA$225,'Woodmac profile - Oil'!$B$480:$AL$480),FALSE))</f>
        <v>71.063999999999993</v>
      </c>
      <c r="AB238" s="65">
        <f t="shared" ref="AB238:AB243" si="423">AF238</f>
        <v>70.932000000000016</v>
      </c>
      <c r="AC238" s="65">
        <f t="shared" ref="AC238:AC243" si="424">AF238</f>
        <v>70.932000000000016</v>
      </c>
      <c r="AD238" s="12">
        <f t="shared" ref="AD238:AD243" si="425">AF238</f>
        <v>70.932000000000016</v>
      </c>
      <c r="AE238" s="12">
        <f t="shared" ref="AE238" si="426">AF238</f>
        <v>70.932000000000016</v>
      </c>
      <c r="AF238" s="115">
        <f>IF(ISERROR(VLOOKUP($B238,'Woodmac profile - Oil'!$B$498:$AL$526,MATCH(AF$225,'Woodmac profile - Oil'!$B$480:$AL$480),FALSE)),0,VLOOKUP($B238,'Woodmac profile - Oil'!$B$498:$AL$526,MATCH(AF$225,'Woodmac profile - Oil'!$B$480:$AL$480),FALSE))</f>
        <v>70.932000000000016</v>
      </c>
      <c r="AG238" s="65">
        <f t="shared" ref="AG238:AG243" si="427">AK238</f>
        <v>70.698000000000008</v>
      </c>
      <c r="AH238" s="65">
        <f t="shared" ref="AH238:AH243" si="428">AK238</f>
        <v>70.698000000000008</v>
      </c>
      <c r="AI238" s="12">
        <f t="shared" ref="AI238:AI243" si="429">AK238</f>
        <v>70.698000000000008</v>
      </c>
      <c r="AJ238" s="12">
        <f t="shared" ref="AJ238" si="430">AK238</f>
        <v>70.698000000000008</v>
      </c>
      <c r="AK238" s="115">
        <f>IF(ISERROR(VLOOKUP($B238,'Woodmac profile - Oil'!$B$498:$AL$526,MATCH(AK$225,'Woodmac profile - Oil'!$B$480:$AL$480),FALSE)),0,VLOOKUP($B238,'Woodmac profile - Oil'!$B$498:$AL$526,MATCH(AK$225,'Woodmac profile - Oil'!$B$480:$AL$480),FALSE))</f>
        <v>70.698000000000008</v>
      </c>
      <c r="AL238" s="65">
        <f t="shared" ref="AL238:AL243" si="431">AP238</f>
        <v>64.266000000000005</v>
      </c>
      <c r="AM238" s="65">
        <f t="shared" ref="AM238:AM243" si="432">AP238</f>
        <v>64.266000000000005</v>
      </c>
      <c r="AN238" s="12">
        <f t="shared" ref="AN238:AN243" si="433">AP238</f>
        <v>64.266000000000005</v>
      </c>
      <c r="AO238" s="12">
        <f t="shared" ref="AO238" si="434">AP238</f>
        <v>64.266000000000005</v>
      </c>
      <c r="AP238" s="115">
        <f>IF(ISERROR(VLOOKUP($B238,'Woodmac profile - Oil'!$B$498:$AL$526,MATCH(AP$225,'Woodmac profile - Oil'!$B$480:$AL$480),FALSE)),0,VLOOKUP($B238,'Woodmac profile - Oil'!$B$498:$AL$526,MATCH(AP$225,'Woodmac profile - Oil'!$B$480:$AL$480),FALSE))</f>
        <v>64.266000000000005</v>
      </c>
      <c r="AQ238" s="65">
        <f t="shared" ref="AQ238:AQ243" si="435">AU238</f>
        <v>62.069999999999993</v>
      </c>
      <c r="AR238" s="65">
        <f t="shared" ref="AR238:AR243" si="436">AU238</f>
        <v>62.069999999999993</v>
      </c>
      <c r="AS238" s="12">
        <f t="shared" ref="AS238:AS243" si="437">AU238</f>
        <v>62.069999999999993</v>
      </c>
      <c r="AT238" s="12">
        <f t="shared" ref="AT238" si="438">AU238</f>
        <v>62.069999999999993</v>
      </c>
      <c r="AU238" s="115">
        <f>IF(ISERROR(VLOOKUP($B238,'Woodmac profile - Oil'!$B$498:$AL$526,MATCH(AU$225,'Woodmac profile - Oil'!$B$480:$AL$480),FALSE)),0,VLOOKUP($B238,'Woodmac profile - Oil'!$B$498:$AL$526,MATCH(AU$225,'Woodmac profile - Oil'!$B$480:$AL$480),FALSE))</f>
        <v>62.069999999999993</v>
      </c>
      <c r="AV238" s="65">
        <f t="shared" ref="AV238:AV243" si="439">AZ238</f>
        <v>63.611999999999995</v>
      </c>
      <c r="AW238" s="65">
        <f t="shared" ref="AW238:AW243" si="440">AZ238</f>
        <v>63.611999999999995</v>
      </c>
      <c r="AX238" s="12">
        <f t="shared" ref="AX238:AX243" si="441">AZ238</f>
        <v>63.611999999999995</v>
      </c>
      <c r="AY238" s="12">
        <f t="shared" ref="AY238" si="442">AZ238</f>
        <v>63.611999999999995</v>
      </c>
      <c r="AZ238" s="115">
        <f>IF(ISERROR(VLOOKUP($B238,'Woodmac profile - Oil'!$B$498:$AL$526,MATCH(AZ$225,'Woodmac profile - Oil'!$B$480:$AL$480),FALSE)),0,VLOOKUP($B238,'Woodmac profile - Oil'!$B$498:$AL$526,MATCH(AZ$225,'Woodmac profile - Oil'!$B$480:$AL$480),FALSE))</f>
        <v>63.611999999999995</v>
      </c>
      <c r="BA238" s="65">
        <f t="shared" ref="BA238:BA243" si="443">BE238</f>
        <v>64.571999999999989</v>
      </c>
      <c r="BB238" s="65">
        <f t="shared" ref="BB238:BB243" si="444">BE238</f>
        <v>64.571999999999989</v>
      </c>
      <c r="BC238" s="12">
        <f t="shared" ref="BC238:BC243" si="445">BE238</f>
        <v>64.571999999999989</v>
      </c>
      <c r="BD238" s="12">
        <f t="shared" ref="BD238" si="446">BE238</f>
        <v>64.571999999999989</v>
      </c>
      <c r="BE238" s="115">
        <f>IF(ISERROR(VLOOKUP($B238,'Woodmac profile - Oil'!$B$498:$AL$526,MATCH(BE$225,'Woodmac profile - Oil'!$B$480:$AL$480),FALSE)),0,VLOOKUP($B238,'Woodmac profile - Oil'!$B$498:$AL$526,MATCH(BE$225,'Woodmac profile - Oil'!$B$480:$AL$480),FALSE))</f>
        <v>64.571999999999989</v>
      </c>
      <c r="BF238" s="65">
        <f t="shared" ref="BF238:BF243" si="447">BJ238</f>
        <v>61.488000000000007</v>
      </c>
      <c r="BG238" s="65">
        <f t="shared" ref="BG238:BG243" si="448">BJ238</f>
        <v>61.488000000000007</v>
      </c>
      <c r="BH238" s="65">
        <f t="shared" ref="BH238:BH243" si="449">BJ238</f>
        <v>61.488000000000007</v>
      </c>
      <c r="BI238" s="65">
        <f t="shared" ref="BI238" si="450">BJ238</f>
        <v>61.488000000000007</v>
      </c>
      <c r="BJ238" s="115">
        <f>IF(ISERROR(VLOOKUP($B238,'Woodmac profile - Oil'!$B$498:$AL$526,MATCH(BJ$225,'Woodmac profile - Oil'!$B$480:$AL$480),FALSE)),0,VLOOKUP($B238,'Woodmac profile - Oil'!$B$498:$AL$526,MATCH(BJ$225,'Woodmac profile - Oil'!$B$480:$AL$480),FALSE))</f>
        <v>61.488000000000007</v>
      </c>
      <c r="BK238" s="65">
        <f t="shared" ref="BK238:BK243" si="451">BO238</f>
        <v>59.611999999999995</v>
      </c>
      <c r="BL238" s="65">
        <f t="shared" ref="BL238:BL243" si="452">BO238</f>
        <v>59.611999999999995</v>
      </c>
      <c r="BM238" s="65">
        <f t="shared" ref="BM238:BM243" si="453">BO238</f>
        <v>59.611999999999995</v>
      </c>
      <c r="BN238" s="12">
        <f t="shared" ref="BN238" si="454">BO238</f>
        <v>59.611999999999995</v>
      </c>
      <c r="BO238" s="115">
        <f>IF(ISERROR(VLOOKUP($B238,'Woodmac profile - Oil'!$B$498:$AL$526,MATCH(BO$225,'Woodmac profile - Oil'!$B$480:$AL$480),FALSE)),0,VLOOKUP($B238,'Woodmac profile - Oil'!$B$498:$AL$526,MATCH(BO$225,'Woodmac profile - Oil'!$B$480:$AL$480),FALSE))</f>
        <v>59.611999999999995</v>
      </c>
      <c r="BP238" s="65">
        <f t="shared" ref="BP238:BP243" si="455">BT238</f>
        <v>53.980000000000004</v>
      </c>
      <c r="BQ238" s="65">
        <f t="shared" ref="BQ238:BQ243" si="456">BT238</f>
        <v>53.980000000000004</v>
      </c>
      <c r="BR238" s="12">
        <f t="shared" ref="BR238:BR243" si="457">BT238</f>
        <v>53.980000000000004</v>
      </c>
      <c r="BS238" s="12">
        <f t="shared" ref="BS238" si="458">BT238</f>
        <v>53.980000000000004</v>
      </c>
      <c r="BT238" s="115">
        <f>IF(ISERROR(VLOOKUP($B238,'Woodmac profile - Oil'!$B$498:$AL$526,MATCH(BT$225,'Woodmac profile - Oil'!$B$480:$AL$480),FALSE)),0,VLOOKUP($B238,'Woodmac profile - Oil'!$B$498:$AL$526,MATCH(BT$225,'Woodmac profile - Oil'!$B$480:$AL$480),FALSE))</f>
        <v>53.980000000000004</v>
      </c>
      <c r="BU238" s="65">
        <f t="shared" ref="BU238:BU243" si="459">BY238</f>
        <v>54.410000000000004</v>
      </c>
      <c r="BV238" s="65">
        <f t="shared" ref="BV238:BV243" si="460">BY238</f>
        <v>54.410000000000004</v>
      </c>
      <c r="BW238" s="12">
        <f t="shared" ref="BW238:BW243" si="461">BY238</f>
        <v>54.410000000000004</v>
      </c>
      <c r="BX238" s="12">
        <f t="shared" ref="BX238" si="462">BY238</f>
        <v>54.410000000000004</v>
      </c>
      <c r="BY238" s="115">
        <f>IF(ISERROR(VLOOKUP($B238,'Woodmac profile - Oil'!$B$498:$AL$526,MATCH(BY$225,'Woodmac profile - Oil'!$B$480:$AL$480),FALSE)),0,VLOOKUP($B238,'Woodmac profile - Oil'!$B$498:$AL$526,MATCH(BY$225,'Woodmac profile - Oil'!$B$480:$AL$480),FALSE))</f>
        <v>54.410000000000004</v>
      </c>
      <c r="BZ238" s="65">
        <f t="shared" ref="BZ238:BZ243" si="463">CD238</f>
        <v>55.105000000000004</v>
      </c>
      <c r="CA238" s="65">
        <f t="shared" ref="CA238:CA243" si="464">CD238</f>
        <v>55.105000000000004</v>
      </c>
      <c r="CB238" s="12">
        <f t="shared" ref="CB238:CB243" si="465">CD238</f>
        <v>55.105000000000004</v>
      </c>
      <c r="CC238" s="12">
        <f t="shared" ref="CC238" si="466">CD238</f>
        <v>55.105000000000004</v>
      </c>
      <c r="CD238" s="115">
        <f>IF(ISERROR(VLOOKUP($B238,'Woodmac profile - Oil'!$B$498:$AL$526,MATCH(CD$225,'Woodmac profile - Oil'!$B$480:$AL$480),FALSE)),0,VLOOKUP($B238,'Woodmac profile - Oil'!$B$498:$AL$526,MATCH(CD$225,'Woodmac profile - Oil'!$B$480:$AL$480),FALSE))</f>
        <v>55.105000000000004</v>
      </c>
    </row>
    <row r="239" spans="1:82">
      <c r="A239" s="39"/>
      <c r="B239" s="55" t="s">
        <v>785</v>
      </c>
      <c r="C239" s="52"/>
      <c r="D239" s="52"/>
      <c r="E239" s="115">
        <f>IF(ISERROR(VLOOKUP($B239,'Woodmac profile - Oil'!$B$498:$AL$526,MATCH(E$225,'Woodmac profile - Oil'!$B$480:$AL$480),FALSE)),0,VLOOKUP($B239,'Woodmac profile - Oil'!$B$498:$AL$526,MATCH(E$225,'Woodmac profile - Oil'!$B$480:$AL$480),FALSE))</f>
        <v>0</v>
      </c>
      <c r="F239" s="115">
        <f>IF(ISERROR(VLOOKUP($B239,'Woodmac profile - Oil'!$B$498:$AL$526,MATCH(F$225,'Woodmac profile - Oil'!$B$480:$AL$480),FALSE)),0,VLOOKUP($B239,'Woodmac profile - Oil'!$B$498:$AL$526,MATCH(F$225,'Woodmac profile - Oil'!$B$480:$AL$480),FALSE))</f>
        <v>1.7999999999999999E-2</v>
      </c>
      <c r="G239" s="115">
        <f>IF(ISERROR(VLOOKUP($B239,'Woodmac profile - Oil'!$B$498:$AL$526,MATCH(G$225,'Woodmac profile - Oil'!$B$480:$AL$480),FALSE)),0,VLOOKUP($B239,'Woodmac profile - Oil'!$B$498:$AL$526,MATCH(G$225,'Woodmac profile - Oil'!$B$480:$AL$480),FALSE))</f>
        <v>0.40200000000000002</v>
      </c>
      <c r="H239" s="65">
        <f t="shared" si="407"/>
        <v>0.23400000000000001</v>
      </c>
      <c r="I239" s="65">
        <f t="shared" si="408"/>
        <v>0.23400000000000001</v>
      </c>
      <c r="J239" s="12">
        <f t="shared" si="409"/>
        <v>0.23400000000000001</v>
      </c>
      <c r="K239" s="12">
        <f t="shared" si="410"/>
        <v>0.23400000000000001</v>
      </c>
      <c r="L239" s="115">
        <f>IF(ISERROR(VLOOKUP($B239,'Woodmac profile - Oil'!$B$498:$AL$526,MATCH(L$225,'Woodmac profile - Oil'!$B$480:$AL$480),FALSE)),0,VLOOKUP($B239,'Woodmac profile - Oil'!$B$498:$AL$526,MATCH(L$225,'Woodmac profile - Oil'!$B$480:$AL$480),FALSE))</f>
        <v>0.23400000000000001</v>
      </c>
      <c r="M239" s="65">
        <f t="shared" si="411"/>
        <v>0.33</v>
      </c>
      <c r="N239" s="65">
        <f t="shared" si="412"/>
        <v>0.33</v>
      </c>
      <c r="O239" s="12">
        <f t="shared" si="413"/>
        <v>0.33</v>
      </c>
      <c r="P239" s="12">
        <f t="shared" ref="P239" si="467">Q239</f>
        <v>0.33</v>
      </c>
      <c r="Q239" s="115">
        <f>IF(ISERROR(VLOOKUP($B239,'Woodmac profile - Oil'!$B$498:$AL$526,MATCH(Q$225,'Woodmac profile - Oil'!$B$480:$AL$480),FALSE)),0,VLOOKUP($B239,'Woodmac profile - Oil'!$B$498:$AL$526,MATCH(Q$225,'Woodmac profile - Oil'!$B$480:$AL$480),FALSE))</f>
        <v>0.33</v>
      </c>
      <c r="R239" s="65">
        <f t="shared" si="415"/>
        <v>0.28199999999999997</v>
      </c>
      <c r="S239" s="65">
        <f t="shared" si="416"/>
        <v>0.28199999999999997</v>
      </c>
      <c r="T239" s="12">
        <f t="shared" si="417"/>
        <v>0.28199999999999997</v>
      </c>
      <c r="U239" s="12">
        <f t="shared" ref="U239" si="468">V239</f>
        <v>0.28199999999999997</v>
      </c>
      <c r="V239" s="115">
        <f>IF(ISERROR(VLOOKUP($B239,'Woodmac profile - Oil'!$B$498:$AL$526,MATCH(V$225,'Woodmac profile - Oil'!$B$480:$AL$480),FALSE)),0,VLOOKUP($B239,'Woodmac profile - Oil'!$B$498:$AL$526,MATCH(V$225,'Woodmac profile - Oil'!$B$480:$AL$480),FALSE))</f>
        <v>0.28199999999999997</v>
      </c>
      <c r="W239" s="65">
        <f t="shared" si="419"/>
        <v>0.25800000000000001</v>
      </c>
      <c r="X239" s="65">
        <f t="shared" si="420"/>
        <v>0.25800000000000001</v>
      </c>
      <c r="Y239" s="12">
        <f t="shared" si="421"/>
        <v>0.25800000000000001</v>
      </c>
      <c r="Z239" s="12">
        <f t="shared" ref="Z239" si="469">AA239</f>
        <v>0.25800000000000001</v>
      </c>
      <c r="AA239" s="115">
        <f>IF(ISERROR(VLOOKUP($B239,'Woodmac profile - Oil'!$B$498:$AL$526,MATCH(AA$225,'Woodmac profile - Oil'!$B$480:$AL$480),FALSE)),0,VLOOKUP($B239,'Woodmac profile - Oil'!$B$498:$AL$526,MATCH(AA$225,'Woodmac profile - Oil'!$B$480:$AL$480),FALSE))</f>
        <v>0.25800000000000001</v>
      </c>
      <c r="AB239" s="65">
        <f t="shared" si="423"/>
        <v>0.318</v>
      </c>
      <c r="AC239" s="65">
        <f t="shared" si="424"/>
        <v>0.318</v>
      </c>
      <c r="AD239" s="12">
        <f t="shared" si="425"/>
        <v>0.318</v>
      </c>
      <c r="AE239" s="12">
        <f t="shared" ref="AE239" si="470">AF239</f>
        <v>0.318</v>
      </c>
      <c r="AF239" s="115">
        <f>IF(ISERROR(VLOOKUP($B239,'Woodmac profile - Oil'!$B$498:$AL$526,MATCH(AF$225,'Woodmac profile - Oil'!$B$480:$AL$480),FALSE)),0,VLOOKUP($B239,'Woodmac profile - Oil'!$B$498:$AL$526,MATCH(AF$225,'Woodmac profile - Oil'!$B$480:$AL$480),FALSE))</f>
        <v>0.318</v>
      </c>
      <c r="AG239" s="65">
        <f t="shared" si="427"/>
        <v>0.372</v>
      </c>
      <c r="AH239" s="65">
        <f t="shared" si="428"/>
        <v>0.372</v>
      </c>
      <c r="AI239" s="12">
        <f t="shared" si="429"/>
        <v>0.372</v>
      </c>
      <c r="AJ239" s="12">
        <f t="shared" ref="AJ239" si="471">AK239</f>
        <v>0.372</v>
      </c>
      <c r="AK239" s="115">
        <f>IF(ISERROR(VLOOKUP($B239,'Woodmac profile - Oil'!$B$498:$AL$526,MATCH(AK$225,'Woodmac profile - Oil'!$B$480:$AL$480),FALSE)),0,VLOOKUP($B239,'Woodmac profile - Oil'!$B$498:$AL$526,MATCH(AK$225,'Woodmac profile - Oil'!$B$480:$AL$480),FALSE))</f>
        <v>0.372</v>
      </c>
      <c r="AL239" s="65">
        <f t="shared" si="431"/>
        <v>0.78600000000000003</v>
      </c>
      <c r="AM239" s="65">
        <f t="shared" si="432"/>
        <v>0.78600000000000003</v>
      </c>
      <c r="AN239" s="12">
        <f t="shared" si="433"/>
        <v>0.78600000000000003</v>
      </c>
      <c r="AO239" s="12">
        <f t="shared" ref="AO239" si="472">AP239</f>
        <v>0.78600000000000003</v>
      </c>
      <c r="AP239" s="115">
        <f>IF(ISERROR(VLOOKUP($B239,'Woodmac profile - Oil'!$B$498:$AL$526,MATCH(AP$225,'Woodmac profile - Oil'!$B$480:$AL$480),FALSE)),0,VLOOKUP($B239,'Woodmac profile - Oil'!$B$498:$AL$526,MATCH(AP$225,'Woodmac profile - Oil'!$B$480:$AL$480),FALSE))</f>
        <v>0.78600000000000003</v>
      </c>
      <c r="AQ239" s="65">
        <f t="shared" si="435"/>
        <v>1.206</v>
      </c>
      <c r="AR239" s="65">
        <f t="shared" si="436"/>
        <v>1.206</v>
      </c>
      <c r="AS239" s="12">
        <f t="shared" si="437"/>
        <v>1.206</v>
      </c>
      <c r="AT239" s="12">
        <f t="shared" ref="AT239" si="473">AU239</f>
        <v>1.206</v>
      </c>
      <c r="AU239" s="115">
        <f>IF(ISERROR(VLOOKUP($B239,'Woodmac profile - Oil'!$B$498:$AL$526,MATCH(AU$225,'Woodmac profile - Oil'!$B$480:$AL$480),FALSE)),0,VLOOKUP($B239,'Woodmac profile - Oil'!$B$498:$AL$526,MATCH(AU$225,'Woodmac profile - Oil'!$B$480:$AL$480),FALSE))</f>
        <v>1.206</v>
      </c>
      <c r="AV239" s="65">
        <f t="shared" si="439"/>
        <v>1.758</v>
      </c>
      <c r="AW239" s="65">
        <f t="shared" si="440"/>
        <v>1.758</v>
      </c>
      <c r="AX239" s="12">
        <f t="shared" si="441"/>
        <v>1.758</v>
      </c>
      <c r="AY239" s="12">
        <f t="shared" ref="AY239" si="474">AZ239</f>
        <v>1.758</v>
      </c>
      <c r="AZ239" s="115">
        <f>IF(ISERROR(VLOOKUP($B239,'Woodmac profile - Oil'!$B$498:$AL$526,MATCH(AZ$225,'Woodmac profile - Oil'!$B$480:$AL$480),FALSE)),0,VLOOKUP($B239,'Woodmac profile - Oil'!$B$498:$AL$526,MATCH(AZ$225,'Woodmac profile - Oil'!$B$480:$AL$480),FALSE))</f>
        <v>1.758</v>
      </c>
      <c r="BA239" s="65">
        <f t="shared" si="443"/>
        <v>2.0640000000000001</v>
      </c>
      <c r="BB239" s="65">
        <f t="shared" si="444"/>
        <v>2.0640000000000001</v>
      </c>
      <c r="BC239" s="12">
        <f t="shared" si="445"/>
        <v>2.0640000000000001</v>
      </c>
      <c r="BD239" s="12">
        <f t="shared" ref="BD239" si="475">BE239</f>
        <v>2.0640000000000001</v>
      </c>
      <c r="BE239" s="115">
        <f>IF(ISERROR(VLOOKUP($B239,'Woodmac profile - Oil'!$B$498:$AL$526,MATCH(BE$225,'Woodmac profile - Oil'!$B$480:$AL$480),FALSE)),0,VLOOKUP($B239,'Woodmac profile - Oil'!$B$498:$AL$526,MATCH(BE$225,'Woodmac profile - Oil'!$B$480:$AL$480),FALSE))</f>
        <v>2.0640000000000001</v>
      </c>
      <c r="BF239" s="65">
        <f t="shared" si="447"/>
        <v>2.0699999999999998</v>
      </c>
      <c r="BG239" s="65">
        <f t="shared" si="448"/>
        <v>2.0699999999999998</v>
      </c>
      <c r="BH239" s="65">
        <f t="shared" si="449"/>
        <v>2.0699999999999998</v>
      </c>
      <c r="BI239" s="65">
        <f t="shared" ref="BI239" si="476">BJ239</f>
        <v>2.0699999999999998</v>
      </c>
      <c r="BJ239" s="115">
        <f>IF(ISERROR(VLOOKUP($B239,'Woodmac profile - Oil'!$B$498:$AL$526,MATCH(BJ$225,'Woodmac profile - Oil'!$B$480:$AL$480),FALSE)),0,VLOOKUP($B239,'Woodmac profile - Oil'!$B$498:$AL$526,MATCH(BJ$225,'Woodmac profile - Oil'!$B$480:$AL$480),FALSE))</f>
        <v>2.0699999999999998</v>
      </c>
      <c r="BK239" s="65">
        <f t="shared" si="451"/>
        <v>1.89</v>
      </c>
      <c r="BL239" s="65">
        <f t="shared" si="452"/>
        <v>1.89</v>
      </c>
      <c r="BM239" s="65">
        <f t="shared" si="453"/>
        <v>1.89</v>
      </c>
      <c r="BN239" s="12">
        <f t="shared" ref="BN239" si="477">BO239</f>
        <v>1.89</v>
      </c>
      <c r="BO239" s="115">
        <f>IF(ISERROR(VLOOKUP($B239,'Woodmac profile - Oil'!$B$498:$AL$526,MATCH(BO$225,'Woodmac profile - Oil'!$B$480:$AL$480),FALSE)),0,VLOOKUP($B239,'Woodmac profile - Oil'!$B$498:$AL$526,MATCH(BO$225,'Woodmac profile - Oil'!$B$480:$AL$480),FALSE))</f>
        <v>1.89</v>
      </c>
      <c r="BP239" s="65">
        <f t="shared" si="455"/>
        <v>1.595</v>
      </c>
      <c r="BQ239" s="65">
        <f t="shared" si="456"/>
        <v>1.595</v>
      </c>
      <c r="BR239" s="12">
        <f t="shared" si="457"/>
        <v>1.595</v>
      </c>
      <c r="BS239" s="12">
        <f t="shared" ref="BS239" si="478">BT239</f>
        <v>1.595</v>
      </c>
      <c r="BT239" s="115">
        <f>IF(ISERROR(VLOOKUP($B239,'Woodmac profile - Oil'!$B$498:$AL$526,MATCH(BT$225,'Woodmac profile - Oil'!$B$480:$AL$480),FALSE)),0,VLOOKUP($B239,'Woodmac profile - Oil'!$B$498:$AL$526,MATCH(BT$225,'Woodmac profile - Oil'!$B$480:$AL$480),FALSE))</f>
        <v>1.595</v>
      </c>
      <c r="BU239" s="65">
        <f t="shared" si="459"/>
        <v>1.75</v>
      </c>
      <c r="BV239" s="65">
        <f t="shared" si="460"/>
        <v>1.75</v>
      </c>
      <c r="BW239" s="12">
        <f t="shared" si="461"/>
        <v>1.75</v>
      </c>
      <c r="BX239" s="12">
        <f t="shared" ref="BX239" si="479">BY239</f>
        <v>1.75</v>
      </c>
      <c r="BY239" s="115">
        <f>IF(ISERROR(VLOOKUP($B239,'Woodmac profile - Oil'!$B$498:$AL$526,MATCH(BY$225,'Woodmac profile - Oil'!$B$480:$AL$480),FALSE)),0,VLOOKUP($B239,'Woodmac profile - Oil'!$B$498:$AL$526,MATCH(BY$225,'Woodmac profile - Oil'!$B$480:$AL$480),FALSE))</f>
        <v>1.75</v>
      </c>
      <c r="BZ239" s="65">
        <f t="shared" si="463"/>
        <v>1.7949999999999999</v>
      </c>
      <c r="CA239" s="65">
        <f t="shared" si="464"/>
        <v>1.7949999999999999</v>
      </c>
      <c r="CB239" s="12">
        <f t="shared" si="465"/>
        <v>1.7949999999999999</v>
      </c>
      <c r="CC239" s="12">
        <f t="shared" ref="CC239" si="480">CD239</f>
        <v>1.7949999999999999</v>
      </c>
      <c r="CD239" s="115">
        <f>IF(ISERROR(VLOOKUP($B239,'Woodmac profile - Oil'!$B$498:$AL$526,MATCH(CD$225,'Woodmac profile - Oil'!$B$480:$AL$480),FALSE)),0,VLOOKUP($B239,'Woodmac profile - Oil'!$B$498:$AL$526,MATCH(CD$225,'Woodmac profile - Oil'!$B$480:$AL$480),FALSE))</f>
        <v>1.7949999999999999</v>
      </c>
    </row>
    <row r="240" spans="1:82">
      <c r="A240" s="39"/>
      <c r="B240" s="55" t="s">
        <v>2428</v>
      </c>
      <c r="C240" s="52"/>
      <c r="D240" s="52"/>
      <c r="E240" s="115">
        <f>IF(ISERROR(VLOOKUP($B240,'Woodmac profile - Oil'!$B$498:$AL$526,MATCH(E$225,'Woodmac profile - Oil'!$B$480:$AL$480),FALSE)),0,VLOOKUP($B240,'Woodmac profile - Oil'!$B$498:$AL$526,MATCH(E$225,'Woodmac profile - Oil'!$B$480:$AL$480),FALSE))</f>
        <v>0</v>
      </c>
      <c r="F240" s="115">
        <f>IF(ISERROR(VLOOKUP($B240,'Woodmac profile - Oil'!$B$498:$AL$526,MATCH(F$225,'Woodmac profile - Oil'!$B$480:$AL$480),FALSE)),0,VLOOKUP($B240,'Woodmac profile - Oil'!$B$498:$AL$526,MATCH(F$225,'Woodmac profile - Oil'!$B$480:$AL$480),FALSE))</f>
        <v>0</v>
      </c>
      <c r="G240" s="115">
        <f>IF(ISERROR(VLOOKUP($B240,'Woodmac profile - Oil'!$B$498:$AL$526,MATCH(G$225,'Woodmac profile - Oil'!$B$480:$AL$480),FALSE)),0,VLOOKUP($B240,'Woodmac profile - Oil'!$B$498:$AL$526,MATCH(G$225,'Woodmac profile - Oil'!$B$480:$AL$480),FALSE))</f>
        <v>0</v>
      </c>
      <c r="H240" s="65">
        <f t="shared" si="407"/>
        <v>0</v>
      </c>
      <c r="I240" s="65">
        <f t="shared" si="408"/>
        <v>0</v>
      </c>
      <c r="J240" s="12">
        <f t="shared" si="409"/>
        <v>0</v>
      </c>
      <c r="K240" s="12">
        <f t="shared" si="410"/>
        <v>0</v>
      </c>
      <c r="L240" s="115">
        <f>IF(ISERROR(VLOOKUP($B240,'Woodmac profile - Oil'!$B$498:$AL$526,MATCH(L$225,'Woodmac profile - Oil'!$B$480:$AL$480),FALSE)),0,VLOOKUP($B240,'Woodmac profile - Oil'!$B$498:$AL$526,MATCH(L$225,'Woodmac profile - Oil'!$B$480:$AL$480),FALSE))</f>
        <v>0</v>
      </c>
      <c r="M240" s="65">
        <f t="shared" si="411"/>
        <v>0</v>
      </c>
      <c r="N240" s="65">
        <f t="shared" si="412"/>
        <v>0</v>
      </c>
      <c r="O240" s="12">
        <f t="shared" si="413"/>
        <v>0</v>
      </c>
      <c r="P240" s="12">
        <f t="shared" ref="P240" si="481">Q240</f>
        <v>0</v>
      </c>
      <c r="Q240" s="115">
        <f>IF(ISERROR(VLOOKUP($B240,'Woodmac profile - Oil'!$B$498:$AL$526,MATCH(Q$225,'Woodmac profile - Oil'!$B$480:$AL$480),FALSE)),0,VLOOKUP($B240,'Woodmac profile - Oil'!$B$498:$AL$526,MATCH(Q$225,'Woodmac profile - Oil'!$B$480:$AL$480),FALSE))</f>
        <v>0</v>
      </c>
      <c r="R240" s="65">
        <f t="shared" si="415"/>
        <v>0</v>
      </c>
      <c r="S240" s="65">
        <f t="shared" si="416"/>
        <v>0</v>
      </c>
      <c r="T240" s="12">
        <f t="shared" si="417"/>
        <v>0</v>
      </c>
      <c r="U240" s="12">
        <f t="shared" ref="U240" si="482">V240</f>
        <v>0</v>
      </c>
      <c r="V240" s="115">
        <f>IF(ISERROR(VLOOKUP($B240,'Woodmac profile - Oil'!$B$498:$AL$526,MATCH(V$225,'Woodmac profile - Oil'!$B$480:$AL$480),FALSE)),0,VLOOKUP($B240,'Woodmac profile - Oil'!$B$498:$AL$526,MATCH(V$225,'Woodmac profile - Oil'!$B$480:$AL$480),FALSE))</f>
        <v>0</v>
      </c>
      <c r="W240" s="65">
        <f t="shared" si="419"/>
        <v>0</v>
      </c>
      <c r="X240" s="65">
        <f t="shared" si="420"/>
        <v>0</v>
      </c>
      <c r="Y240" s="12">
        <f t="shared" si="421"/>
        <v>0</v>
      </c>
      <c r="Z240" s="12">
        <f t="shared" ref="Z240" si="483">AA240</f>
        <v>0</v>
      </c>
      <c r="AA240" s="115">
        <f>IF(ISERROR(VLOOKUP($B240,'Woodmac profile - Oil'!$B$498:$AL$526,MATCH(AA$225,'Woodmac profile - Oil'!$B$480:$AL$480),FALSE)),0,VLOOKUP($B240,'Woodmac profile - Oil'!$B$498:$AL$526,MATCH(AA$225,'Woodmac profile - Oil'!$B$480:$AL$480),FALSE))</f>
        <v>0</v>
      </c>
      <c r="AB240" s="65">
        <f t="shared" si="423"/>
        <v>0</v>
      </c>
      <c r="AC240" s="65">
        <f t="shared" si="424"/>
        <v>0</v>
      </c>
      <c r="AD240" s="12">
        <f t="shared" si="425"/>
        <v>0</v>
      </c>
      <c r="AE240" s="12">
        <f t="shared" ref="AE240" si="484">AF240</f>
        <v>0</v>
      </c>
      <c r="AF240" s="115">
        <f>IF(ISERROR(VLOOKUP($B240,'Woodmac profile - Oil'!$B$498:$AL$526,MATCH(AF$225,'Woodmac profile - Oil'!$B$480:$AL$480),FALSE)),0,VLOOKUP($B240,'Woodmac profile - Oil'!$B$498:$AL$526,MATCH(AF$225,'Woodmac profile - Oil'!$B$480:$AL$480),FALSE))</f>
        <v>0</v>
      </c>
      <c r="AG240" s="65">
        <f t="shared" si="427"/>
        <v>0</v>
      </c>
      <c r="AH240" s="65">
        <f t="shared" si="428"/>
        <v>0</v>
      </c>
      <c r="AI240" s="12">
        <f t="shared" si="429"/>
        <v>0</v>
      </c>
      <c r="AJ240" s="12">
        <f t="shared" ref="AJ240" si="485">AK240</f>
        <v>0</v>
      </c>
      <c r="AK240" s="115">
        <f>IF(ISERROR(VLOOKUP($B240,'Woodmac profile - Oil'!$B$498:$AL$526,MATCH(AK$225,'Woodmac profile - Oil'!$B$480:$AL$480),FALSE)),0,VLOOKUP($B240,'Woodmac profile - Oil'!$B$498:$AL$526,MATCH(AK$225,'Woodmac profile - Oil'!$B$480:$AL$480),FALSE))</f>
        <v>0</v>
      </c>
      <c r="AL240" s="65">
        <f t="shared" si="431"/>
        <v>0</v>
      </c>
      <c r="AM240" s="65">
        <f t="shared" si="432"/>
        <v>0</v>
      </c>
      <c r="AN240" s="12">
        <f t="shared" si="433"/>
        <v>0</v>
      </c>
      <c r="AO240" s="12">
        <f t="shared" ref="AO240" si="486">AP240</f>
        <v>0</v>
      </c>
      <c r="AP240" s="115">
        <f>IF(ISERROR(VLOOKUP($B240,'Woodmac profile - Oil'!$B$498:$AL$526,MATCH(AP$225,'Woodmac profile - Oil'!$B$480:$AL$480),FALSE)),0,VLOOKUP($B240,'Woodmac profile - Oil'!$B$498:$AL$526,MATCH(AP$225,'Woodmac profile - Oil'!$B$480:$AL$480),FALSE))</f>
        <v>0</v>
      </c>
      <c r="AQ240" s="65">
        <f t="shared" si="435"/>
        <v>0</v>
      </c>
      <c r="AR240" s="65">
        <f t="shared" si="436"/>
        <v>0</v>
      </c>
      <c r="AS240" s="12">
        <f t="shared" si="437"/>
        <v>0</v>
      </c>
      <c r="AT240" s="12">
        <f t="shared" ref="AT240" si="487">AU240</f>
        <v>0</v>
      </c>
      <c r="AU240" s="115">
        <f>IF(ISERROR(VLOOKUP($B240,'Woodmac profile - Oil'!$B$498:$AL$526,MATCH(AU$225,'Woodmac profile - Oil'!$B$480:$AL$480),FALSE)),0,VLOOKUP($B240,'Woodmac profile - Oil'!$B$498:$AL$526,MATCH(AU$225,'Woodmac profile - Oil'!$B$480:$AL$480),FALSE))</f>
        <v>0</v>
      </c>
      <c r="AV240" s="65">
        <f t="shared" si="439"/>
        <v>0</v>
      </c>
      <c r="AW240" s="65">
        <f t="shared" si="440"/>
        <v>0</v>
      </c>
      <c r="AX240" s="12">
        <f t="shared" si="441"/>
        <v>0</v>
      </c>
      <c r="AY240" s="12">
        <f t="shared" ref="AY240" si="488">AZ240</f>
        <v>0</v>
      </c>
      <c r="AZ240" s="115">
        <f>IF(ISERROR(VLOOKUP($B240,'Woodmac profile - Oil'!$B$498:$AL$526,MATCH(AZ$225,'Woodmac profile - Oil'!$B$480:$AL$480),FALSE)),0,VLOOKUP($B240,'Woodmac profile - Oil'!$B$498:$AL$526,MATCH(AZ$225,'Woodmac profile - Oil'!$B$480:$AL$480),FALSE))</f>
        <v>0</v>
      </c>
      <c r="BA240" s="65">
        <f t="shared" si="443"/>
        <v>0</v>
      </c>
      <c r="BB240" s="65">
        <f t="shared" si="444"/>
        <v>0</v>
      </c>
      <c r="BC240" s="12">
        <f t="shared" si="445"/>
        <v>0</v>
      </c>
      <c r="BD240" s="12">
        <f t="shared" ref="BD240" si="489">BE240</f>
        <v>0</v>
      </c>
      <c r="BE240" s="115">
        <f>IF(ISERROR(VLOOKUP($B240,'Woodmac profile - Oil'!$B$498:$AL$526,MATCH(BE$225,'Woodmac profile - Oil'!$B$480:$AL$480),FALSE)),0,VLOOKUP($B240,'Woodmac profile - Oil'!$B$498:$AL$526,MATCH(BE$225,'Woodmac profile - Oil'!$B$480:$AL$480),FALSE))</f>
        <v>0</v>
      </c>
      <c r="BF240" s="65">
        <f t="shared" si="447"/>
        <v>0</v>
      </c>
      <c r="BG240" s="65">
        <f t="shared" si="448"/>
        <v>0</v>
      </c>
      <c r="BH240" s="65">
        <f t="shared" si="449"/>
        <v>0</v>
      </c>
      <c r="BI240" s="65">
        <f t="shared" ref="BI240" si="490">BJ240</f>
        <v>0</v>
      </c>
      <c r="BJ240" s="115">
        <f>IF(ISERROR(VLOOKUP($B240,'Woodmac profile - Oil'!$B$498:$AL$526,MATCH(BJ$225,'Woodmac profile - Oil'!$B$480:$AL$480),FALSE)),0,VLOOKUP($B240,'Woodmac profile - Oil'!$B$498:$AL$526,MATCH(BJ$225,'Woodmac profile - Oil'!$B$480:$AL$480),FALSE))</f>
        <v>0</v>
      </c>
      <c r="BK240" s="65">
        <f t="shared" si="451"/>
        <v>0</v>
      </c>
      <c r="BL240" s="65">
        <f t="shared" si="452"/>
        <v>0</v>
      </c>
      <c r="BM240" s="65">
        <f t="shared" si="453"/>
        <v>0</v>
      </c>
      <c r="BN240" s="12">
        <f t="shared" ref="BN240" si="491">BO240</f>
        <v>0</v>
      </c>
      <c r="BO240" s="115">
        <f>IF(ISERROR(VLOOKUP($B240,'Woodmac profile - Oil'!$B$498:$AL$526,MATCH(BO$225,'Woodmac profile - Oil'!$B$480:$AL$480),FALSE)),0,VLOOKUP($B240,'Woodmac profile - Oil'!$B$498:$AL$526,MATCH(BO$225,'Woodmac profile - Oil'!$B$480:$AL$480),FALSE))</f>
        <v>0</v>
      </c>
      <c r="BP240" s="65">
        <f t="shared" si="455"/>
        <v>0</v>
      </c>
      <c r="BQ240" s="65">
        <f t="shared" si="456"/>
        <v>0</v>
      </c>
      <c r="BR240" s="12">
        <f t="shared" si="457"/>
        <v>0</v>
      </c>
      <c r="BS240" s="12">
        <f t="shared" ref="BS240" si="492">BT240</f>
        <v>0</v>
      </c>
      <c r="BT240" s="115">
        <f>IF(ISERROR(VLOOKUP($B240,'Woodmac profile - Oil'!$B$498:$AL$526,MATCH(BT$225,'Woodmac profile - Oil'!$B$480:$AL$480),FALSE)),0,VLOOKUP($B240,'Woodmac profile - Oil'!$B$498:$AL$526,MATCH(BT$225,'Woodmac profile - Oil'!$B$480:$AL$480),FALSE))</f>
        <v>0</v>
      </c>
      <c r="BU240" s="65">
        <f t="shared" si="459"/>
        <v>0</v>
      </c>
      <c r="BV240" s="65">
        <f t="shared" si="460"/>
        <v>0</v>
      </c>
      <c r="BW240" s="12">
        <f t="shared" si="461"/>
        <v>0</v>
      </c>
      <c r="BX240" s="12">
        <f t="shared" ref="BX240" si="493">BY240</f>
        <v>0</v>
      </c>
      <c r="BY240" s="115">
        <f>IF(ISERROR(VLOOKUP($B240,'Woodmac profile - Oil'!$B$498:$AL$526,MATCH(BY$225,'Woodmac profile - Oil'!$B$480:$AL$480),FALSE)),0,VLOOKUP($B240,'Woodmac profile - Oil'!$B$498:$AL$526,MATCH(BY$225,'Woodmac profile - Oil'!$B$480:$AL$480),FALSE))</f>
        <v>0</v>
      </c>
      <c r="BZ240" s="65">
        <f t="shared" si="463"/>
        <v>0</v>
      </c>
      <c r="CA240" s="65">
        <f t="shared" si="464"/>
        <v>0</v>
      </c>
      <c r="CB240" s="12">
        <f t="shared" si="465"/>
        <v>0</v>
      </c>
      <c r="CC240" s="12">
        <f t="shared" ref="CC240" si="494">CD240</f>
        <v>0</v>
      </c>
      <c r="CD240" s="115">
        <f>IF(ISERROR(VLOOKUP($B240,'Woodmac profile - Oil'!$B$498:$AL$526,MATCH(CD$225,'Woodmac profile - Oil'!$B$480:$AL$480),FALSE)),0,VLOOKUP($B240,'Woodmac profile - Oil'!$B$498:$AL$526,MATCH(CD$225,'Woodmac profile - Oil'!$B$480:$AL$480),FALSE))</f>
        <v>0</v>
      </c>
    </row>
    <row r="241" spans="1:82">
      <c r="A241" s="11"/>
      <c r="B241" s="55" t="s">
        <v>2247</v>
      </c>
      <c r="C241" s="52"/>
      <c r="D241" s="52"/>
      <c r="E241" s="115">
        <f>IF(ISERROR(VLOOKUP($B241,'Woodmac profile - Oil'!$B$498:$AL$526,MATCH(E$225,'Woodmac profile - Oil'!$B$480:$AL$480),FALSE)),0,VLOOKUP($B241,'Woodmac profile - Oil'!$B$498:$AL$526,MATCH(E$225,'Woodmac profile - Oil'!$B$480:$AL$480),FALSE))</f>
        <v>0</v>
      </c>
      <c r="F241" s="115">
        <f>IF(ISERROR(VLOOKUP($B241,'Woodmac profile - Oil'!$B$498:$AL$526,MATCH(F$225,'Woodmac profile - Oil'!$B$480:$AL$480),FALSE)),0,VLOOKUP($B241,'Woodmac profile - Oil'!$B$498:$AL$526,MATCH(F$225,'Woodmac profile - Oil'!$B$480:$AL$480),FALSE))</f>
        <v>0</v>
      </c>
      <c r="G241" s="115">
        <f>IF(ISERROR(VLOOKUP($B241,'Woodmac profile - Oil'!$B$498:$AL$526,MATCH(G$225,'Woodmac profile - Oil'!$B$480:$AL$480),FALSE)),0,VLOOKUP($B241,'Woodmac profile - Oil'!$B$498:$AL$526,MATCH(G$225,'Woodmac profile - Oil'!$B$480:$AL$480),FALSE))</f>
        <v>0</v>
      </c>
      <c r="H241" s="65">
        <f t="shared" si="407"/>
        <v>0</v>
      </c>
      <c r="I241" s="65">
        <f t="shared" si="408"/>
        <v>0</v>
      </c>
      <c r="J241" s="12">
        <f t="shared" si="409"/>
        <v>0</v>
      </c>
      <c r="K241" s="12">
        <f t="shared" si="410"/>
        <v>0</v>
      </c>
      <c r="L241" s="115">
        <f>IF(ISERROR(VLOOKUP($B241,'Woodmac profile - Oil'!$B$498:$AL$526,MATCH(L$225,'Woodmac profile - Oil'!$B$480:$AL$480),FALSE)),0,VLOOKUP($B241,'Woodmac profile - Oil'!$B$498:$AL$526,MATCH(L$225,'Woodmac profile - Oil'!$B$480:$AL$480),FALSE))</f>
        <v>0</v>
      </c>
      <c r="M241" s="65">
        <f t="shared" si="411"/>
        <v>0</v>
      </c>
      <c r="N241" s="65">
        <f t="shared" si="412"/>
        <v>0</v>
      </c>
      <c r="O241" s="12">
        <f t="shared" si="413"/>
        <v>0</v>
      </c>
      <c r="P241" s="12">
        <f t="shared" ref="P241" si="495">Q241</f>
        <v>0</v>
      </c>
      <c r="Q241" s="115">
        <f>IF(ISERROR(VLOOKUP($B241,'Woodmac profile - Oil'!$B$498:$AL$526,MATCH(Q$225,'Woodmac profile - Oil'!$B$480:$AL$480),FALSE)),0,VLOOKUP($B241,'Woodmac profile - Oil'!$B$498:$AL$526,MATCH(Q$225,'Woodmac profile - Oil'!$B$480:$AL$480),FALSE))</f>
        <v>0</v>
      </c>
      <c r="R241" s="65">
        <f t="shared" si="415"/>
        <v>0</v>
      </c>
      <c r="S241" s="65">
        <f t="shared" si="416"/>
        <v>0</v>
      </c>
      <c r="T241" s="12">
        <f t="shared" si="417"/>
        <v>0</v>
      </c>
      <c r="U241" s="12">
        <f t="shared" ref="U241" si="496">V241</f>
        <v>0</v>
      </c>
      <c r="V241" s="115">
        <f>IF(ISERROR(VLOOKUP($B241,'Woodmac profile - Oil'!$B$498:$AL$526,MATCH(V$225,'Woodmac profile - Oil'!$B$480:$AL$480),FALSE)),0,VLOOKUP($B241,'Woodmac profile - Oil'!$B$498:$AL$526,MATCH(V$225,'Woodmac profile - Oil'!$B$480:$AL$480),FALSE))</f>
        <v>0</v>
      </c>
      <c r="W241" s="65">
        <f t="shared" si="419"/>
        <v>0</v>
      </c>
      <c r="X241" s="65">
        <f t="shared" si="420"/>
        <v>0</v>
      </c>
      <c r="Y241" s="12">
        <f t="shared" si="421"/>
        <v>0</v>
      </c>
      <c r="Z241" s="12">
        <f t="shared" ref="Z241" si="497">AA241</f>
        <v>0</v>
      </c>
      <c r="AA241" s="115">
        <f>IF(ISERROR(VLOOKUP($B241,'Woodmac profile - Oil'!$B$498:$AL$526,MATCH(AA$225,'Woodmac profile - Oil'!$B$480:$AL$480),FALSE)),0,VLOOKUP($B241,'Woodmac profile - Oil'!$B$498:$AL$526,MATCH(AA$225,'Woodmac profile - Oil'!$B$480:$AL$480),FALSE))</f>
        <v>0</v>
      </c>
      <c r="AB241" s="65">
        <f t="shared" si="423"/>
        <v>0</v>
      </c>
      <c r="AC241" s="65">
        <f t="shared" si="424"/>
        <v>0</v>
      </c>
      <c r="AD241" s="12">
        <f t="shared" si="425"/>
        <v>0</v>
      </c>
      <c r="AE241" s="12">
        <f t="shared" ref="AE241" si="498">AF241</f>
        <v>0</v>
      </c>
      <c r="AF241" s="115">
        <f>IF(ISERROR(VLOOKUP($B241,'Woodmac profile - Oil'!$B$498:$AL$526,MATCH(AF$225,'Woodmac profile - Oil'!$B$480:$AL$480),FALSE)),0,VLOOKUP($B241,'Woodmac profile - Oil'!$B$498:$AL$526,MATCH(AF$225,'Woodmac profile - Oil'!$B$480:$AL$480),FALSE))</f>
        <v>0</v>
      </c>
      <c r="AG241" s="65">
        <f t="shared" si="427"/>
        <v>0</v>
      </c>
      <c r="AH241" s="65">
        <f t="shared" si="428"/>
        <v>0</v>
      </c>
      <c r="AI241" s="12">
        <f t="shared" si="429"/>
        <v>0</v>
      </c>
      <c r="AJ241" s="12">
        <f t="shared" ref="AJ241" si="499">AK241</f>
        <v>0</v>
      </c>
      <c r="AK241" s="115">
        <f>IF(ISERROR(VLOOKUP($B241,'Woodmac profile - Oil'!$B$498:$AL$526,MATCH(AK$225,'Woodmac profile - Oil'!$B$480:$AL$480),FALSE)),0,VLOOKUP($B241,'Woodmac profile - Oil'!$B$498:$AL$526,MATCH(AK$225,'Woodmac profile - Oil'!$B$480:$AL$480),FALSE))</f>
        <v>0</v>
      </c>
      <c r="AL241" s="65">
        <f t="shared" si="431"/>
        <v>0</v>
      </c>
      <c r="AM241" s="65">
        <f t="shared" si="432"/>
        <v>0</v>
      </c>
      <c r="AN241" s="12">
        <f t="shared" si="433"/>
        <v>0</v>
      </c>
      <c r="AO241" s="12">
        <f t="shared" ref="AO241" si="500">AP241</f>
        <v>0</v>
      </c>
      <c r="AP241" s="115">
        <f>IF(ISERROR(VLOOKUP($B241,'Woodmac profile - Oil'!$B$498:$AL$526,MATCH(AP$225,'Woodmac profile - Oil'!$B$480:$AL$480),FALSE)),0,VLOOKUP($B241,'Woodmac profile - Oil'!$B$498:$AL$526,MATCH(AP$225,'Woodmac profile - Oil'!$B$480:$AL$480),FALSE))</f>
        <v>0</v>
      </c>
      <c r="AQ241" s="65">
        <f t="shared" si="435"/>
        <v>0</v>
      </c>
      <c r="AR241" s="65">
        <f t="shared" si="436"/>
        <v>0</v>
      </c>
      <c r="AS241" s="12">
        <f t="shared" si="437"/>
        <v>0</v>
      </c>
      <c r="AT241" s="12">
        <f t="shared" ref="AT241" si="501">AU241</f>
        <v>0</v>
      </c>
      <c r="AU241" s="115">
        <f>IF(ISERROR(VLOOKUP($B241,'Woodmac profile - Oil'!$B$498:$AL$526,MATCH(AU$225,'Woodmac profile - Oil'!$B$480:$AL$480),FALSE)),0,VLOOKUP($B241,'Woodmac profile - Oil'!$B$498:$AL$526,MATCH(AU$225,'Woodmac profile - Oil'!$B$480:$AL$480),FALSE))</f>
        <v>0</v>
      </c>
      <c r="AV241" s="65">
        <f t="shared" si="439"/>
        <v>0</v>
      </c>
      <c r="AW241" s="65">
        <f t="shared" si="440"/>
        <v>0</v>
      </c>
      <c r="AX241" s="12">
        <f t="shared" si="441"/>
        <v>0</v>
      </c>
      <c r="AY241" s="12">
        <f t="shared" ref="AY241" si="502">AZ241</f>
        <v>0</v>
      </c>
      <c r="AZ241" s="115">
        <f>IF(ISERROR(VLOOKUP($B241,'Woodmac profile - Oil'!$B$498:$AL$526,MATCH(AZ$225,'Woodmac profile - Oil'!$B$480:$AL$480),FALSE)),0,VLOOKUP($B241,'Woodmac profile - Oil'!$B$498:$AL$526,MATCH(AZ$225,'Woodmac profile - Oil'!$B$480:$AL$480),FALSE))</f>
        <v>0</v>
      </c>
      <c r="BA241" s="65">
        <f t="shared" si="443"/>
        <v>0</v>
      </c>
      <c r="BB241" s="65">
        <f t="shared" si="444"/>
        <v>0</v>
      </c>
      <c r="BC241" s="12">
        <f t="shared" si="445"/>
        <v>0</v>
      </c>
      <c r="BD241" s="12">
        <f t="shared" ref="BD241" si="503">BE241</f>
        <v>0</v>
      </c>
      <c r="BE241" s="115">
        <f>IF(ISERROR(VLOOKUP($B241,'Woodmac profile - Oil'!$B$498:$AL$526,MATCH(BE$225,'Woodmac profile - Oil'!$B$480:$AL$480),FALSE)),0,VLOOKUP($B241,'Woodmac profile - Oil'!$B$498:$AL$526,MATCH(BE$225,'Woodmac profile - Oil'!$B$480:$AL$480),FALSE))</f>
        <v>0</v>
      </c>
      <c r="BF241" s="65">
        <f t="shared" si="447"/>
        <v>0</v>
      </c>
      <c r="BG241" s="65">
        <f t="shared" si="448"/>
        <v>0</v>
      </c>
      <c r="BH241" s="65">
        <f t="shared" si="449"/>
        <v>0</v>
      </c>
      <c r="BI241" s="65">
        <f t="shared" ref="BI241" si="504">BJ241</f>
        <v>0</v>
      </c>
      <c r="BJ241" s="115">
        <f>IF(ISERROR(VLOOKUP($B241,'Woodmac profile - Oil'!$B$498:$AL$526,MATCH(BJ$225,'Woodmac profile - Oil'!$B$480:$AL$480),FALSE)),0,VLOOKUP($B241,'Woodmac profile - Oil'!$B$498:$AL$526,MATCH(BJ$225,'Woodmac profile - Oil'!$B$480:$AL$480),FALSE))</f>
        <v>0</v>
      </c>
      <c r="BK241" s="65">
        <f t="shared" si="451"/>
        <v>0</v>
      </c>
      <c r="BL241" s="65">
        <f t="shared" si="452"/>
        <v>0</v>
      </c>
      <c r="BM241" s="65">
        <f t="shared" si="453"/>
        <v>0</v>
      </c>
      <c r="BN241" s="12">
        <f t="shared" ref="BN241" si="505">BO241</f>
        <v>0</v>
      </c>
      <c r="BO241" s="115">
        <f>IF(ISERROR(VLOOKUP($B241,'Woodmac profile - Oil'!$B$498:$AL$526,MATCH(BO$225,'Woodmac profile - Oil'!$B$480:$AL$480),FALSE)),0,VLOOKUP($B241,'Woodmac profile - Oil'!$B$498:$AL$526,MATCH(BO$225,'Woodmac profile - Oil'!$B$480:$AL$480),FALSE))</f>
        <v>0</v>
      </c>
      <c r="BP241" s="65">
        <f t="shared" si="455"/>
        <v>0</v>
      </c>
      <c r="BQ241" s="65">
        <f t="shared" si="456"/>
        <v>0</v>
      </c>
      <c r="BR241" s="12">
        <f t="shared" si="457"/>
        <v>0</v>
      </c>
      <c r="BS241" s="12">
        <f t="shared" ref="BS241" si="506">BT241</f>
        <v>0</v>
      </c>
      <c r="BT241" s="115">
        <f>IF(ISERROR(VLOOKUP($B241,'Woodmac profile - Oil'!$B$498:$AL$526,MATCH(BT$225,'Woodmac profile - Oil'!$B$480:$AL$480),FALSE)),0,VLOOKUP($B241,'Woodmac profile - Oil'!$B$498:$AL$526,MATCH(BT$225,'Woodmac profile - Oil'!$B$480:$AL$480),FALSE))</f>
        <v>0</v>
      </c>
      <c r="BU241" s="65">
        <f t="shared" si="459"/>
        <v>0</v>
      </c>
      <c r="BV241" s="65">
        <f t="shared" si="460"/>
        <v>0</v>
      </c>
      <c r="BW241" s="12">
        <f t="shared" si="461"/>
        <v>0</v>
      </c>
      <c r="BX241" s="12">
        <f t="shared" ref="BX241" si="507">BY241</f>
        <v>0</v>
      </c>
      <c r="BY241" s="115">
        <f>IF(ISERROR(VLOOKUP($B241,'Woodmac profile - Oil'!$B$498:$AL$526,MATCH(BY$225,'Woodmac profile - Oil'!$B$480:$AL$480),FALSE)),0,VLOOKUP($B241,'Woodmac profile - Oil'!$B$498:$AL$526,MATCH(BY$225,'Woodmac profile - Oil'!$B$480:$AL$480),FALSE))</f>
        <v>0</v>
      </c>
      <c r="BZ241" s="65">
        <f t="shared" si="463"/>
        <v>0</v>
      </c>
      <c r="CA241" s="65">
        <f t="shared" si="464"/>
        <v>0</v>
      </c>
      <c r="CB241" s="12">
        <f t="shared" si="465"/>
        <v>0</v>
      </c>
      <c r="CC241" s="12">
        <f t="shared" ref="CC241" si="508">CD241</f>
        <v>0</v>
      </c>
      <c r="CD241" s="115">
        <f>IF(ISERROR(VLOOKUP($B241,'Woodmac profile - Oil'!$B$498:$AL$526,MATCH(CD$225,'Woodmac profile - Oil'!$B$480:$AL$480),FALSE)),0,VLOOKUP($B241,'Woodmac profile - Oil'!$B$498:$AL$526,MATCH(CD$225,'Woodmac profile - Oil'!$B$480:$AL$480),FALSE))</f>
        <v>0</v>
      </c>
    </row>
    <row r="242" spans="1:82">
      <c r="A242" s="11"/>
      <c r="B242" s="11" t="s">
        <v>1280</v>
      </c>
      <c r="C242" s="52"/>
      <c r="D242" s="52"/>
      <c r="E242" s="115">
        <f>IF(ISERROR(VLOOKUP($B242,'Woodmac profile - Oil'!$B$498:$AL$526,MATCH(E$225,'Woodmac profile - Oil'!$B$480:$AL$480),FALSE)),0,VLOOKUP($B242,'Woodmac profile - Oil'!$B$498:$AL$526,MATCH(E$225,'Woodmac profile - Oil'!$B$480:$AL$480),FALSE))</f>
        <v>0</v>
      </c>
      <c r="F242" s="115">
        <f>IF(ISERROR(VLOOKUP($B242,'Woodmac profile - Oil'!$B$498:$AL$526,MATCH(F$225,'Woodmac profile - Oil'!$B$480:$AL$480),FALSE)),0,VLOOKUP($B242,'Woodmac profile - Oil'!$B$498:$AL$526,MATCH(F$225,'Woodmac profile - Oil'!$B$480:$AL$480),FALSE))</f>
        <v>0</v>
      </c>
      <c r="G242" s="115">
        <f>IF(ISERROR(VLOOKUP($B242,'Woodmac profile - Oil'!$B$498:$AL$526,MATCH(G$225,'Woodmac profile - Oil'!$B$480:$AL$480),FALSE)),0,VLOOKUP($B242,'Woodmac profile - Oil'!$B$498:$AL$526,MATCH(G$225,'Woodmac profile - Oil'!$B$480:$AL$480),FALSE))</f>
        <v>0</v>
      </c>
      <c r="H242" s="65">
        <f t="shared" si="407"/>
        <v>0</v>
      </c>
      <c r="I242" s="65">
        <f t="shared" si="408"/>
        <v>0</v>
      </c>
      <c r="J242" s="12">
        <f t="shared" si="409"/>
        <v>0</v>
      </c>
      <c r="K242" s="12">
        <f t="shared" si="410"/>
        <v>0</v>
      </c>
      <c r="L242" s="115">
        <f>IF(ISERROR(VLOOKUP($B242,'Woodmac profile - Oil'!$B$498:$AL$526,MATCH(L$225,'Woodmac profile - Oil'!$B$480:$AL$480),FALSE)),0,VLOOKUP($B242,'Woodmac profile - Oil'!$B$498:$AL$526,MATCH(L$225,'Woodmac profile - Oil'!$B$480:$AL$480),FALSE))</f>
        <v>0</v>
      </c>
      <c r="M242" s="65">
        <f t="shared" si="411"/>
        <v>0</v>
      </c>
      <c r="N242" s="65">
        <f t="shared" si="412"/>
        <v>0</v>
      </c>
      <c r="O242" s="12">
        <f t="shared" si="413"/>
        <v>0</v>
      </c>
      <c r="P242" s="12">
        <f t="shared" ref="P242" si="509">Q242</f>
        <v>0</v>
      </c>
      <c r="Q242" s="115">
        <f>IF(ISERROR(VLOOKUP($B242,'Woodmac profile - Oil'!$B$498:$AL$526,MATCH(Q$225,'Woodmac profile - Oil'!$B$480:$AL$480),FALSE)),0,VLOOKUP($B242,'Woodmac profile - Oil'!$B$498:$AL$526,MATCH(Q$225,'Woodmac profile - Oil'!$B$480:$AL$480),FALSE))</f>
        <v>0</v>
      </c>
      <c r="R242" s="65">
        <f t="shared" si="415"/>
        <v>0</v>
      </c>
      <c r="S242" s="65">
        <f t="shared" si="416"/>
        <v>0</v>
      </c>
      <c r="T242" s="12">
        <f t="shared" si="417"/>
        <v>0</v>
      </c>
      <c r="U242" s="12">
        <f t="shared" ref="U242" si="510">V242</f>
        <v>0</v>
      </c>
      <c r="V242" s="115">
        <f>IF(ISERROR(VLOOKUP($B242,'Woodmac profile - Oil'!$B$498:$AL$526,MATCH(V$225,'Woodmac profile - Oil'!$B$480:$AL$480),FALSE)),0,VLOOKUP($B242,'Woodmac profile - Oil'!$B$498:$AL$526,MATCH(V$225,'Woodmac profile - Oil'!$B$480:$AL$480),FALSE))</f>
        <v>0</v>
      </c>
      <c r="W242" s="65">
        <f t="shared" si="419"/>
        <v>0</v>
      </c>
      <c r="X242" s="65">
        <f t="shared" si="420"/>
        <v>0</v>
      </c>
      <c r="Y242" s="12">
        <f t="shared" si="421"/>
        <v>0</v>
      </c>
      <c r="Z242" s="12">
        <f t="shared" ref="Z242" si="511">AA242</f>
        <v>0</v>
      </c>
      <c r="AA242" s="115">
        <f>IF(ISERROR(VLOOKUP($B242,'Woodmac profile - Oil'!$B$498:$AL$526,MATCH(AA$225,'Woodmac profile - Oil'!$B$480:$AL$480),FALSE)),0,VLOOKUP($B242,'Woodmac profile - Oil'!$B$498:$AL$526,MATCH(AA$225,'Woodmac profile - Oil'!$B$480:$AL$480),FALSE))</f>
        <v>0</v>
      </c>
      <c r="AB242" s="65">
        <f t="shared" si="423"/>
        <v>0</v>
      </c>
      <c r="AC242" s="65">
        <f t="shared" si="424"/>
        <v>0</v>
      </c>
      <c r="AD242" s="12">
        <f t="shared" si="425"/>
        <v>0</v>
      </c>
      <c r="AE242" s="12">
        <f t="shared" ref="AE242" si="512">AF242</f>
        <v>0</v>
      </c>
      <c r="AF242" s="115">
        <f>IF(ISERROR(VLOOKUP($B242,'Woodmac profile - Oil'!$B$498:$AL$526,MATCH(AF$225,'Woodmac profile - Oil'!$B$480:$AL$480),FALSE)),0,VLOOKUP($B242,'Woodmac profile - Oil'!$B$498:$AL$526,MATCH(AF$225,'Woodmac profile - Oil'!$B$480:$AL$480),FALSE))</f>
        <v>0</v>
      </c>
      <c r="AG242" s="65">
        <f t="shared" si="427"/>
        <v>0</v>
      </c>
      <c r="AH242" s="65">
        <f t="shared" si="428"/>
        <v>0</v>
      </c>
      <c r="AI242" s="12">
        <f t="shared" si="429"/>
        <v>0</v>
      </c>
      <c r="AJ242" s="12">
        <f t="shared" ref="AJ242" si="513">AK242</f>
        <v>0</v>
      </c>
      <c r="AK242" s="115">
        <f>IF(ISERROR(VLOOKUP($B242,'Woodmac profile - Oil'!$B$498:$AL$526,MATCH(AK$225,'Woodmac profile - Oil'!$B$480:$AL$480),FALSE)),0,VLOOKUP($B242,'Woodmac profile - Oil'!$B$498:$AL$526,MATCH(AK$225,'Woodmac profile - Oil'!$B$480:$AL$480),FALSE))</f>
        <v>0</v>
      </c>
      <c r="AL242" s="65">
        <f t="shared" si="431"/>
        <v>0</v>
      </c>
      <c r="AM242" s="65">
        <f t="shared" si="432"/>
        <v>0</v>
      </c>
      <c r="AN242" s="12">
        <f t="shared" si="433"/>
        <v>0</v>
      </c>
      <c r="AO242" s="12">
        <f t="shared" ref="AO242" si="514">AP242</f>
        <v>0</v>
      </c>
      <c r="AP242" s="115">
        <f>IF(ISERROR(VLOOKUP($B242,'Woodmac profile - Oil'!$B$498:$AL$526,MATCH(AP$225,'Woodmac profile - Oil'!$B$480:$AL$480),FALSE)),0,VLOOKUP($B242,'Woodmac profile - Oil'!$B$498:$AL$526,MATCH(AP$225,'Woodmac profile - Oil'!$B$480:$AL$480),FALSE))</f>
        <v>0</v>
      </c>
      <c r="AQ242" s="65">
        <f t="shared" si="435"/>
        <v>0</v>
      </c>
      <c r="AR242" s="65">
        <f t="shared" si="436"/>
        <v>0</v>
      </c>
      <c r="AS242" s="12">
        <f t="shared" si="437"/>
        <v>0</v>
      </c>
      <c r="AT242" s="12">
        <f t="shared" ref="AT242" si="515">AU242</f>
        <v>0</v>
      </c>
      <c r="AU242" s="115">
        <f>IF(ISERROR(VLOOKUP($B242,'Woodmac profile - Oil'!$B$498:$AL$526,MATCH(AU$225,'Woodmac profile - Oil'!$B$480:$AL$480),FALSE)),0,VLOOKUP($B242,'Woodmac profile - Oil'!$B$498:$AL$526,MATCH(AU$225,'Woodmac profile - Oil'!$B$480:$AL$480),FALSE))</f>
        <v>0</v>
      </c>
      <c r="AV242" s="65">
        <f t="shared" si="439"/>
        <v>0</v>
      </c>
      <c r="AW242" s="65">
        <f t="shared" si="440"/>
        <v>0</v>
      </c>
      <c r="AX242" s="12">
        <f t="shared" si="441"/>
        <v>0</v>
      </c>
      <c r="AY242" s="12">
        <f t="shared" ref="AY242" si="516">AZ242</f>
        <v>0</v>
      </c>
      <c r="AZ242" s="115">
        <f>IF(ISERROR(VLOOKUP($B242,'Woodmac profile - Oil'!$B$498:$AL$526,MATCH(AZ$225,'Woodmac profile - Oil'!$B$480:$AL$480),FALSE)),0,VLOOKUP($B242,'Woodmac profile - Oil'!$B$498:$AL$526,MATCH(AZ$225,'Woodmac profile - Oil'!$B$480:$AL$480),FALSE))</f>
        <v>0</v>
      </c>
      <c r="BA242" s="65">
        <f t="shared" si="443"/>
        <v>0</v>
      </c>
      <c r="BB242" s="65">
        <f t="shared" si="444"/>
        <v>0</v>
      </c>
      <c r="BC242" s="12">
        <f t="shared" si="445"/>
        <v>0</v>
      </c>
      <c r="BD242" s="12">
        <f t="shared" ref="BD242" si="517">BE242</f>
        <v>0</v>
      </c>
      <c r="BE242" s="115">
        <f>IF(ISERROR(VLOOKUP($B242,'Woodmac profile - Oil'!$B$498:$AL$526,MATCH(BE$225,'Woodmac profile - Oil'!$B$480:$AL$480),FALSE)),0,VLOOKUP($B242,'Woodmac profile - Oil'!$B$498:$AL$526,MATCH(BE$225,'Woodmac profile - Oil'!$B$480:$AL$480),FALSE))</f>
        <v>0</v>
      </c>
      <c r="BF242" s="65">
        <f t="shared" si="447"/>
        <v>0</v>
      </c>
      <c r="BG242" s="65">
        <f t="shared" si="448"/>
        <v>0</v>
      </c>
      <c r="BH242" s="65">
        <f t="shared" si="449"/>
        <v>0</v>
      </c>
      <c r="BI242" s="65">
        <f t="shared" ref="BI242" si="518">BJ242</f>
        <v>0</v>
      </c>
      <c r="BJ242" s="115">
        <f>IF(ISERROR(VLOOKUP($B242,'Woodmac profile - Oil'!$B$498:$AL$526,MATCH(BJ$225,'Woodmac profile - Oil'!$B$480:$AL$480),FALSE)),0,VLOOKUP($B242,'Woodmac profile - Oil'!$B$498:$AL$526,MATCH(BJ$225,'Woodmac profile - Oil'!$B$480:$AL$480),FALSE))</f>
        <v>0</v>
      </c>
      <c r="BK242" s="65">
        <f t="shared" si="451"/>
        <v>0</v>
      </c>
      <c r="BL242" s="65">
        <f t="shared" si="452"/>
        <v>0</v>
      </c>
      <c r="BM242" s="65">
        <f t="shared" si="453"/>
        <v>0</v>
      </c>
      <c r="BN242" s="12">
        <f t="shared" ref="BN242" si="519">BO242</f>
        <v>0</v>
      </c>
      <c r="BO242" s="115">
        <f>IF(ISERROR(VLOOKUP($B242,'Woodmac profile - Oil'!$B$498:$AL$526,MATCH(BO$225,'Woodmac profile - Oil'!$B$480:$AL$480),FALSE)),0,VLOOKUP($B242,'Woodmac profile - Oil'!$B$498:$AL$526,MATCH(BO$225,'Woodmac profile - Oil'!$B$480:$AL$480),FALSE))</f>
        <v>0</v>
      </c>
      <c r="BP242" s="65">
        <f t="shared" si="455"/>
        <v>0</v>
      </c>
      <c r="BQ242" s="65">
        <f t="shared" si="456"/>
        <v>0</v>
      </c>
      <c r="BR242" s="12">
        <f t="shared" si="457"/>
        <v>0</v>
      </c>
      <c r="BS242" s="12">
        <f t="shared" ref="BS242" si="520">BT242</f>
        <v>0</v>
      </c>
      <c r="BT242" s="115">
        <f>IF(ISERROR(VLOOKUP($B242,'Woodmac profile - Oil'!$B$498:$AL$526,MATCH(BT$225,'Woodmac profile - Oil'!$B$480:$AL$480),FALSE)),0,VLOOKUP($B242,'Woodmac profile - Oil'!$B$498:$AL$526,MATCH(BT$225,'Woodmac profile - Oil'!$B$480:$AL$480),FALSE))</f>
        <v>0</v>
      </c>
      <c r="BU242" s="65">
        <f t="shared" si="459"/>
        <v>0</v>
      </c>
      <c r="BV242" s="65">
        <f t="shared" si="460"/>
        <v>0</v>
      </c>
      <c r="BW242" s="12">
        <f t="shared" si="461"/>
        <v>0</v>
      </c>
      <c r="BX242" s="12">
        <f t="shared" ref="BX242" si="521">BY242</f>
        <v>0</v>
      </c>
      <c r="BY242" s="115">
        <f>IF(ISERROR(VLOOKUP($B242,'Woodmac profile - Oil'!$B$498:$AL$526,MATCH(BY$225,'Woodmac profile - Oil'!$B$480:$AL$480),FALSE)),0,VLOOKUP($B242,'Woodmac profile - Oil'!$B$498:$AL$526,MATCH(BY$225,'Woodmac profile - Oil'!$B$480:$AL$480),FALSE))</f>
        <v>0</v>
      </c>
      <c r="BZ242" s="65">
        <f t="shared" si="463"/>
        <v>0</v>
      </c>
      <c r="CA242" s="65">
        <f t="shared" si="464"/>
        <v>0</v>
      </c>
      <c r="CB242" s="12">
        <f t="shared" si="465"/>
        <v>0</v>
      </c>
      <c r="CC242" s="12">
        <f t="shared" ref="CC242" si="522">CD242</f>
        <v>0</v>
      </c>
      <c r="CD242" s="115">
        <f>IF(ISERROR(VLOOKUP($B242,'Woodmac profile - Oil'!$B$498:$AL$526,MATCH(CD$225,'Woodmac profile - Oil'!$B$480:$AL$480),FALSE)),0,VLOOKUP($B242,'Woodmac profile - Oil'!$B$498:$AL$526,MATCH(CD$225,'Woodmac profile - Oil'!$B$480:$AL$480),FALSE))</f>
        <v>0</v>
      </c>
    </row>
    <row r="243" spans="1:82">
      <c r="A243" s="11"/>
      <c r="B243" s="55" t="s">
        <v>1036</v>
      </c>
      <c r="C243" s="52"/>
      <c r="D243" s="52"/>
      <c r="E243" s="115">
        <f>IF(ISERROR(VLOOKUP($B243,'Woodmac profile - Oil'!$B$498:$AL$526,MATCH(E$225,'Woodmac profile - Oil'!$B$480:$AL$480),FALSE)),0,VLOOKUP($B243,'Woodmac profile - Oil'!$B$498:$AL$526,MATCH(E$225,'Woodmac profile - Oil'!$B$480:$AL$480),FALSE))</f>
        <v>24.87</v>
      </c>
      <c r="F243" s="115">
        <f>IF(ISERROR(VLOOKUP($B243,'Woodmac profile - Oil'!$B$498:$AL$526,MATCH(F$225,'Woodmac profile - Oil'!$B$480:$AL$480),FALSE)),0,VLOOKUP($B243,'Woodmac profile - Oil'!$B$498:$AL$526,MATCH(F$225,'Woodmac profile - Oil'!$B$480:$AL$480),FALSE))</f>
        <v>24.7</v>
      </c>
      <c r="G243" s="115">
        <f>IF(ISERROR(VLOOKUP($B243,'Woodmac profile - Oil'!$B$498:$AL$526,MATCH(G$225,'Woodmac profile - Oil'!$B$480:$AL$480),FALSE)),0,VLOOKUP($B243,'Woodmac profile - Oil'!$B$498:$AL$526,MATCH(G$225,'Woodmac profile - Oil'!$B$480:$AL$480),FALSE))</f>
        <v>23.24</v>
      </c>
      <c r="H243" s="65">
        <f t="shared" si="407"/>
        <v>21.81</v>
      </c>
      <c r="I243" s="65">
        <f t="shared" si="408"/>
        <v>21.81</v>
      </c>
      <c r="J243" s="12">
        <f t="shared" si="409"/>
        <v>21.81</v>
      </c>
      <c r="K243" s="12">
        <f t="shared" si="410"/>
        <v>21.81</v>
      </c>
      <c r="L243" s="115">
        <f>IF(ISERROR(VLOOKUP($B243,'Woodmac profile - Oil'!$B$498:$AL$526,MATCH(L$225,'Woodmac profile - Oil'!$B$480:$AL$480),FALSE)),0,VLOOKUP($B243,'Woodmac profile - Oil'!$B$498:$AL$526,MATCH(L$225,'Woodmac profile - Oil'!$B$480:$AL$480),FALSE))</f>
        <v>21.81</v>
      </c>
      <c r="M243" s="65">
        <f t="shared" si="411"/>
        <v>8.34</v>
      </c>
      <c r="N243" s="65">
        <f t="shared" si="412"/>
        <v>8.34</v>
      </c>
      <c r="O243" s="12">
        <f t="shared" si="413"/>
        <v>8.34</v>
      </c>
      <c r="P243" s="12">
        <f t="shared" ref="P243" si="523">Q243</f>
        <v>8.34</v>
      </c>
      <c r="Q243" s="115">
        <f>IF(ISERROR(VLOOKUP($B243,'Woodmac profile - Oil'!$B$498:$AL$526,MATCH(Q$225,'Woodmac profile - Oil'!$B$480:$AL$480),FALSE)),0,VLOOKUP($B243,'Woodmac profile - Oil'!$B$498:$AL$526,MATCH(Q$225,'Woodmac profile - Oil'!$B$480:$AL$480),FALSE))</f>
        <v>8.34</v>
      </c>
      <c r="R243" s="65">
        <f t="shared" si="415"/>
        <v>19.770000000000003</v>
      </c>
      <c r="S243" s="65">
        <f t="shared" si="416"/>
        <v>19.770000000000003</v>
      </c>
      <c r="T243" s="12">
        <f t="shared" si="417"/>
        <v>19.770000000000003</v>
      </c>
      <c r="U243" s="12">
        <f t="shared" ref="U243" si="524">V243</f>
        <v>19.770000000000003</v>
      </c>
      <c r="V243" s="115">
        <f>IF(ISERROR(VLOOKUP($B243,'Woodmac profile - Oil'!$B$498:$AL$526,MATCH(V$225,'Woodmac profile - Oil'!$B$480:$AL$480),FALSE)),0,VLOOKUP($B243,'Woodmac profile - Oil'!$B$498:$AL$526,MATCH(V$225,'Woodmac profile - Oil'!$B$480:$AL$480),FALSE))</f>
        <v>19.770000000000003</v>
      </c>
      <c r="W243" s="65">
        <f t="shared" si="419"/>
        <v>9.4700000000000006</v>
      </c>
      <c r="X243" s="65">
        <f t="shared" si="420"/>
        <v>9.4700000000000006</v>
      </c>
      <c r="Y243" s="12">
        <f t="shared" si="421"/>
        <v>9.4700000000000006</v>
      </c>
      <c r="Z243" s="12">
        <f t="shared" ref="Z243" si="525">AA243</f>
        <v>9.4700000000000006</v>
      </c>
      <c r="AA243" s="115">
        <f>IF(ISERROR(VLOOKUP($B243,'Woodmac profile - Oil'!$B$498:$AL$526,MATCH(AA$225,'Woodmac profile - Oil'!$B$480:$AL$480),FALSE)),0,VLOOKUP($B243,'Woodmac profile - Oil'!$B$498:$AL$526,MATCH(AA$225,'Woodmac profile - Oil'!$B$480:$AL$480),FALSE))</f>
        <v>9.4700000000000006</v>
      </c>
      <c r="AB243" s="65">
        <f t="shared" si="423"/>
        <v>11.870000000000001</v>
      </c>
      <c r="AC243" s="65">
        <f t="shared" si="424"/>
        <v>11.870000000000001</v>
      </c>
      <c r="AD243" s="12">
        <f t="shared" si="425"/>
        <v>11.870000000000001</v>
      </c>
      <c r="AE243" s="12">
        <f t="shared" ref="AE243" si="526">AF243</f>
        <v>11.870000000000001</v>
      </c>
      <c r="AF243" s="115">
        <f>IF(ISERROR(VLOOKUP($B243,'Woodmac profile - Oil'!$B$498:$AL$526,MATCH(AF$225,'Woodmac profile - Oil'!$B$480:$AL$480),FALSE)),0,VLOOKUP($B243,'Woodmac profile - Oil'!$B$498:$AL$526,MATCH(AF$225,'Woodmac profile - Oil'!$B$480:$AL$480),FALSE))</f>
        <v>11.870000000000001</v>
      </c>
      <c r="AG243" s="65">
        <f t="shared" si="427"/>
        <v>6.88</v>
      </c>
      <c r="AH243" s="65">
        <f t="shared" si="428"/>
        <v>6.88</v>
      </c>
      <c r="AI243" s="12">
        <f t="shared" si="429"/>
        <v>6.88</v>
      </c>
      <c r="AJ243" s="12">
        <f t="shared" ref="AJ243" si="527">AK243</f>
        <v>6.88</v>
      </c>
      <c r="AK243" s="115">
        <f>IF(ISERROR(VLOOKUP($B243,'Woodmac profile - Oil'!$B$498:$AL$526,MATCH(AK$225,'Woodmac profile - Oil'!$B$480:$AL$480),FALSE)),0,VLOOKUP($B243,'Woodmac profile - Oil'!$B$498:$AL$526,MATCH(AK$225,'Woodmac profile - Oil'!$B$480:$AL$480),FALSE))</f>
        <v>6.88</v>
      </c>
      <c r="AL243" s="65">
        <f t="shared" si="431"/>
        <v>0</v>
      </c>
      <c r="AM243" s="65">
        <f t="shared" si="432"/>
        <v>0</v>
      </c>
      <c r="AN243" s="12">
        <f t="shared" si="433"/>
        <v>0</v>
      </c>
      <c r="AO243" s="12">
        <f t="shared" ref="AO243" si="528">AP243</f>
        <v>0</v>
      </c>
      <c r="AP243" s="115">
        <f>IF(ISERROR(VLOOKUP($B243,'Woodmac profile - Oil'!$B$498:$AL$526,MATCH(AP$225,'Woodmac profile - Oil'!$B$480:$AL$480),FALSE)),0,VLOOKUP($B243,'Woodmac profile - Oil'!$B$498:$AL$526,MATCH(AP$225,'Woodmac profile - Oil'!$B$480:$AL$480),FALSE))</f>
        <v>0</v>
      </c>
      <c r="AQ243" s="65">
        <f t="shared" si="435"/>
        <v>0</v>
      </c>
      <c r="AR243" s="65">
        <f t="shared" si="436"/>
        <v>0</v>
      </c>
      <c r="AS243" s="12">
        <f t="shared" si="437"/>
        <v>0</v>
      </c>
      <c r="AT243" s="12">
        <f t="shared" ref="AT243" si="529">AU243</f>
        <v>0</v>
      </c>
      <c r="AU243" s="115">
        <f>IF(ISERROR(VLOOKUP($B243,'Woodmac profile - Oil'!$B$498:$AL$526,MATCH(AU$225,'Woodmac profile - Oil'!$B$480:$AL$480),FALSE)),0,VLOOKUP($B243,'Woodmac profile - Oil'!$B$498:$AL$526,MATCH(AU$225,'Woodmac profile - Oil'!$B$480:$AL$480),FALSE))</f>
        <v>0</v>
      </c>
      <c r="AV243" s="65">
        <f t="shared" si="439"/>
        <v>0</v>
      </c>
      <c r="AW243" s="65">
        <f t="shared" si="440"/>
        <v>0</v>
      </c>
      <c r="AX243" s="12">
        <f t="shared" si="441"/>
        <v>0</v>
      </c>
      <c r="AY243" s="12">
        <f t="shared" ref="AY243" si="530">AZ243</f>
        <v>0</v>
      </c>
      <c r="AZ243" s="115">
        <f>IF(ISERROR(VLOOKUP($B243,'Woodmac profile - Oil'!$B$498:$AL$526,MATCH(AZ$225,'Woodmac profile - Oil'!$B$480:$AL$480),FALSE)),0,VLOOKUP($B243,'Woodmac profile - Oil'!$B$498:$AL$526,MATCH(AZ$225,'Woodmac profile - Oil'!$B$480:$AL$480),FALSE))</f>
        <v>0</v>
      </c>
      <c r="BA243" s="65">
        <f t="shared" si="443"/>
        <v>0</v>
      </c>
      <c r="BB243" s="65">
        <f t="shared" si="444"/>
        <v>0</v>
      </c>
      <c r="BC243" s="12">
        <f t="shared" si="445"/>
        <v>0</v>
      </c>
      <c r="BD243" s="12">
        <f t="shared" ref="BD243" si="531">BE243</f>
        <v>0</v>
      </c>
      <c r="BE243" s="115">
        <f>IF(ISERROR(VLOOKUP($B243,'Woodmac profile - Oil'!$B$498:$AL$526,MATCH(BE$225,'Woodmac profile - Oil'!$B$480:$AL$480),FALSE)),0,VLOOKUP($B243,'Woodmac profile - Oil'!$B$498:$AL$526,MATCH(BE$225,'Woodmac profile - Oil'!$B$480:$AL$480),FALSE))</f>
        <v>0</v>
      </c>
      <c r="BF243" s="65">
        <f t="shared" si="447"/>
        <v>0</v>
      </c>
      <c r="BG243" s="65">
        <f t="shared" si="448"/>
        <v>0</v>
      </c>
      <c r="BH243" s="65">
        <f t="shared" si="449"/>
        <v>0</v>
      </c>
      <c r="BI243" s="65">
        <f t="shared" ref="BI243" si="532">BJ243</f>
        <v>0</v>
      </c>
      <c r="BJ243" s="115">
        <f>IF(ISERROR(VLOOKUP($B243,'Woodmac profile - Oil'!$B$498:$AL$526,MATCH(BJ$225,'Woodmac profile - Oil'!$B$480:$AL$480),FALSE)),0,VLOOKUP($B243,'Woodmac profile - Oil'!$B$498:$AL$526,MATCH(BJ$225,'Woodmac profile - Oil'!$B$480:$AL$480),FALSE))</f>
        <v>0</v>
      </c>
      <c r="BK243" s="65">
        <f t="shared" si="451"/>
        <v>0</v>
      </c>
      <c r="BL243" s="65">
        <f t="shared" si="452"/>
        <v>0</v>
      </c>
      <c r="BM243" s="65">
        <f t="shared" si="453"/>
        <v>0</v>
      </c>
      <c r="BN243" s="12">
        <f t="shared" ref="BN243" si="533">BO243</f>
        <v>0</v>
      </c>
      <c r="BO243" s="115">
        <f>IF(ISERROR(VLOOKUP($B243,'Woodmac profile - Oil'!$B$498:$AL$526,MATCH(BO$225,'Woodmac profile - Oil'!$B$480:$AL$480),FALSE)),0,VLOOKUP($B243,'Woodmac profile - Oil'!$B$498:$AL$526,MATCH(BO$225,'Woodmac profile - Oil'!$B$480:$AL$480),FALSE))</f>
        <v>0</v>
      </c>
      <c r="BP243" s="65">
        <f t="shared" si="455"/>
        <v>0</v>
      </c>
      <c r="BQ243" s="65">
        <f t="shared" si="456"/>
        <v>0</v>
      </c>
      <c r="BR243" s="12">
        <f t="shared" si="457"/>
        <v>0</v>
      </c>
      <c r="BS243" s="12">
        <f t="shared" ref="BS243" si="534">BT243</f>
        <v>0</v>
      </c>
      <c r="BT243" s="115">
        <f>IF(ISERROR(VLOOKUP($B243,'Woodmac profile - Oil'!$B$498:$AL$526,MATCH(BT$225,'Woodmac profile - Oil'!$B$480:$AL$480),FALSE)),0,VLOOKUP($B243,'Woodmac profile - Oil'!$B$498:$AL$526,MATCH(BT$225,'Woodmac profile - Oil'!$B$480:$AL$480),FALSE))</f>
        <v>0</v>
      </c>
      <c r="BU243" s="65">
        <f t="shared" si="459"/>
        <v>0</v>
      </c>
      <c r="BV243" s="65">
        <f t="shared" si="460"/>
        <v>0</v>
      </c>
      <c r="BW243" s="12">
        <f t="shared" si="461"/>
        <v>0</v>
      </c>
      <c r="BX243" s="12">
        <f t="shared" ref="BX243" si="535">BY243</f>
        <v>0</v>
      </c>
      <c r="BY243" s="115">
        <f>IF(ISERROR(VLOOKUP($B243,'Woodmac profile - Oil'!$B$498:$AL$526,MATCH(BY$225,'Woodmac profile - Oil'!$B$480:$AL$480),FALSE)),0,VLOOKUP($B243,'Woodmac profile - Oil'!$B$498:$AL$526,MATCH(BY$225,'Woodmac profile - Oil'!$B$480:$AL$480),FALSE))</f>
        <v>0</v>
      </c>
      <c r="BZ243" s="65">
        <f t="shared" si="463"/>
        <v>0</v>
      </c>
      <c r="CA243" s="65">
        <f t="shared" si="464"/>
        <v>0</v>
      </c>
      <c r="CB243" s="12">
        <f t="shared" si="465"/>
        <v>0</v>
      </c>
      <c r="CC243" s="12">
        <f t="shared" ref="CC243" si="536">CD243</f>
        <v>0</v>
      </c>
      <c r="CD243" s="115">
        <f>IF(ISERROR(VLOOKUP($B243,'Woodmac profile - Oil'!$B$498:$AL$526,MATCH(CD$225,'Woodmac profile - Oil'!$B$480:$AL$480),FALSE)),0,VLOOKUP($B243,'Woodmac profile - Oil'!$B$498:$AL$526,MATCH(CD$225,'Woodmac profile - Oil'!$B$480:$AL$480),FALSE))</f>
        <v>0</v>
      </c>
    </row>
    <row r="244" spans="1:82">
      <c r="A244" s="39" t="s">
        <v>119</v>
      </c>
      <c r="B244" s="54"/>
      <c r="C244" s="52"/>
      <c r="D244" s="52"/>
      <c r="E244" s="78">
        <f t="shared" ref="E244:L244" si="537">SUM(E238:E243)</f>
        <v>84.161999999999992</v>
      </c>
      <c r="F244" s="78">
        <f t="shared" si="537"/>
        <v>87.927999999999997</v>
      </c>
      <c r="G244" s="78">
        <f t="shared" si="537"/>
        <v>88.981999999999999</v>
      </c>
      <c r="H244" s="397">
        <f t="shared" si="537"/>
        <v>89.484000000000009</v>
      </c>
      <c r="I244" s="397">
        <f t="shared" si="537"/>
        <v>89.484000000000009</v>
      </c>
      <c r="J244" s="397">
        <f t="shared" si="537"/>
        <v>89.484000000000009</v>
      </c>
      <c r="K244" s="397">
        <f t="shared" si="537"/>
        <v>89.484000000000009</v>
      </c>
      <c r="L244" s="78">
        <f t="shared" si="537"/>
        <v>89.484000000000009</v>
      </c>
      <c r="M244" s="397">
        <f t="shared" ref="M244:BX244" si="538">SUM(M238:M243)</f>
        <v>75.42</v>
      </c>
      <c r="N244" s="397">
        <f t="shared" si="538"/>
        <v>75.42</v>
      </c>
      <c r="O244" s="397">
        <f t="shared" si="538"/>
        <v>75.42</v>
      </c>
      <c r="P244" s="397">
        <f t="shared" si="538"/>
        <v>75.42</v>
      </c>
      <c r="Q244" s="571">
        <f t="shared" si="538"/>
        <v>75.42</v>
      </c>
      <c r="R244" s="397">
        <f t="shared" si="538"/>
        <v>86.165999999999997</v>
      </c>
      <c r="S244" s="397">
        <f t="shared" si="538"/>
        <v>86.165999999999997</v>
      </c>
      <c r="T244" s="397">
        <f t="shared" si="538"/>
        <v>86.165999999999997</v>
      </c>
      <c r="U244" s="397">
        <f t="shared" si="538"/>
        <v>86.165999999999997</v>
      </c>
      <c r="V244" s="571">
        <f t="shared" si="538"/>
        <v>86.165999999999997</v>
      </c>
      <c r="W244" s="397">
        <f t="shared" si="538"/>
        <v>80.791999999999987</v>
      </c>
      <c r="X244" s="397">
        <f t="shared" si="538"/>
        <v>80.791999999999987</v>
      </c>
      <c r="Y244" s="397">
        <f t="shared" si="538"/>
        <v>80.791999999999987</v>
      </c>
      <c r="Z244" s="397">
        <f t="shared" si="538"/>
        <v>80.791999999999987</v>
      </c>
      <c r="AA244" s="571">
        <f t="shared" si="538"/>
        <v>80.791999999999987</v>
      </c>
      <c r="AB244" s="397">
        <f t="shared" si="538"/>
        <v>83.120000000000019</v>
      </c>
      <c r="AC244" s="397">
        <f t="shared" si="538"/>
        <v>83.120000000000019</v>
      </c>
      <c r="AD244" s="397">
        <f t="shared" si="538"/>
        <v>83.120000000000019</v>
      </c>
      <c r="AE244" s="397">
        <f t="shared" si="538"/>
        <v>83.120000000000019</v>
      </c>
      <c r="AF244" s="571">
        <f t="shared" si="538"/>
        <v>83.120000000000019</v>
      </c>
      <c r="AG244" s="397">
        <f t="shared" si="538"/>
        <v>77.95</v>
      </c>
      <c r="AH244" s="397">
        <f t="shared" si="538"/>
        <v>77.95</v>
      </c>
      <c r="AI244" s="397">
        <f t="shared" si="538"/>
        <v>77.95</v>
      </c>
      <c r="AJ244" s="397">
        <f t="shared" si="538"/>
        <v>77.95</v>
      </c>
      <c r="AK244" s="571">
        <f t="shared" si="538"/>
        <v>77.95</v>
      </c>
      <c r="AL244" s="397">
        <f t="shared" si="538"/>
        <v>65.052000000000007</v>
      </c>
      <c r="AM244" s="397">
        <f t="shared" si="538"/>
        <v>65.052000000000007</v>
      </c>
      <c r="AN244" s="397">
        <f t="shared" si="538"/>
        <v>65.052000000000007</v>
      </c>
      <c r="AO244" s="397">
        <f t="shared" si="538"/>
        <v>65.052000000000007</v>
      </c>
      <c r="AP244" s="571">
        <f t="shared" si="538"/>
        <v>65.052000000000007</v>
      </c>
      <c r="AQ244" s="397">
        <f t="shared" si="538"/>
        <v>63.275999999999996</v>
      </c>
      <c r="AR244" s="397">
        <f t="shared" si="538"/>
        <v>63.275999999999996</v>
      </c>
      <c r="AS244" s="397">
        <f t="shared" si="538"/>
        <v>63.275999999999996</v>
      </c>
      <c r="AT244" s="397">
        <f t="shared" si="538"/>
        <v>63.275999999999996</v>
      </c>
      <c r="AU244" s="571">
        <f t="shared" si="538"/>
        <v>63.275999999999996</v>
      </c>
      <c r="AV244" s="397">
        <f t="shared" si="538"/>
        <v>65.36999999999999</v>
      </c>
      <c r="AW244" s="397">
        <f t="shared" si="538"/>
        <v>65.36999999999999</v>
      </c>
      <c r="AX244" s="397">
        <f t="shared" si="538"/>
        <v>65.36999999999999</v>
      </c>
      <c r="AY244" s="397">
        <f t="shared" si="538"/>
        <v>65.36999999999999</v>
      </c>
      <c r="AZ244" s="571">
        <f t="shared" si="538"/>
        <v>65.36999999999999</v>
      </c>
      <c r="BA244" s="397">
        <f t="shared" si="538"/>
        <v>66.635999999999996</v>
      </c>
      <c r="BB244" s="397">
        <f t="shared" si="538"/>
        <v>66.635999999999996</v>
      </c>
      <c r="BC244" s="397">
        <f t="shared" si="538"/>
        <v>66.635999999999996</v>
      </c>
      <c r="BD244" s="397">
        <f t="shared" si="538"/>
        <v>66.635999999999996</v>
      </c>
      <c r="BE244" s="571">
        <f t="shared" si="538"/>
        <v>66.635999999999996</v>
      </c>
      <c r="BF244" s="397">
        <f t="shared" si="538"/>
        <v>63.558000000000007</v>
      </c>
      <c r="BG244" s="397">
        <f t="shared" si="538"/>
        <v>63.558000000000007</v>
      </c>
      <c r="BH244" s="397">
        <f t="shared" si="538"/>
        <v>63.558000000000007</v>
      </c>
      <c r="BI244" s="397">
        <f t="shared" si="538"/>
        <v>63.558000000000007</v>
      </c>
      <c r="BJ244" s="571">
        <f t="shared" si="538"/>
        <v>63.558000000000007</v>
      </c>
      <c r="BK244" s="397">
        <f t="shared" si="538"/>
        <v>61.501999999999995</v>
      </c>
      <c r="BL244" s="397">
        <f t="shared" si="538"/>
        <v>61.501999999999995</v>
      </c>
      <c r="BM244" s="397">
        <f t="shared" si="538"/>
        <v>61.501999999999995</v>
      </c>
      <c r="BN244" s="397">
        <f t="shared" si="538"/>
        <v>61.501999999999995</v>
      </c>
      <c r="BO244" s="571">
        <f t="shared" si="538"/>
        <v>61.501999999999995</v>
      </c>
      <c r="BP244" s="397">
        <f t="shared" si="538"/>
        <v>55.575000000000003</v>
      </c>
      <c r="BQ244" s="397">
        <f t="shared" si="538"/>
        <v>55.575000000000003</v>
      </c>
      <c r="BR244" s="397">
        <f t="shared" si="538"/>
        <v>55.575000000000003</v>
      </c>
      <c r="BS244" s="397">
        <f t="shared" si="538"/>
        <v>55.575000000000003</v>
      </c>
      <c r="BT244" s="571">
        <f t="shared" si="538"/>
        <v>55.575000000000003</v>
      </c>
      <c r="BU244" s="397">
        <f t="shared" si="538"/>
        <v>56.160000000000004</v>
      </c>
      <c r="BV244" s="397">
        <f t="shared" si="538"/>
        <v>56.160000000000004</v>
      </c>
      <c r="BW244" s="397">
        <f t="shared" si="538"/>
        <v>56.160000000000004</v>
      </c>
      <c r="BX244" s="397">
        <f t="shared" si="538"/>
        <v>56.160000000000004</v>
      </c>
      <c r="BY244" s="571">
        <f t="shared" ref="BY244:CD244" si="539">SUM(BY238:BY243)</f>
        <v>56.160000000000004</v>
      </c>
      <c r="BZ244" s="397">
        <f t="shared" si="539"/>
        <v>56.900000000000006</v>
      </c>
      <c r="CA244" s="397">
        <f t="shared" si="539"/>
        <v>56.900000000000006</v>
      </c>
      <c r="CB244" s="397">
        <f t="shared" si="539"/>
        <v>56.900000000000006</v>
      </c>
      <c r="CC244" s="397">
        <f t="shared" si="539"/>
        <v>56.900000000000006</v>
      </c>
      <c r="CD244" s="571">
        <f t="shared" si="539"/>
        <v>56.900000000000006</v>
      </c>
    </row>
    <row r="245" spans="1:82">
      <c r="A245" s="11"/>
      <c r="B245" s="55"/>
      <c r="C245" s="51"/>
      <c r="D245" s="51"/>
      <c r="E245" s="115"/>
      <c r="F245" s="115"/>
      <c r="G245" s="115"/>
      <c r="H245" s="65"/>
      <c r="I245" s="65"/>
      <c r="J245" s="65"/>
      <c r="K245" s="65"/>
      <c r="L245" s="115"/>
      <c r="M245" s="65"/>
      <c r="N245" s="65"/>
      <c r="O245" s="65"/>
      <c r="P245" s="65"/>
      <c r="Q245" s="115"/>
      <c r="R245" s="65"/>
      <c r="S245" s="65"/>
      <c r="T245" s="65"/>
      <c r="U245" s="65"/>
      <c r="V245" s="115"/>
      <c r="W245" s="65"/>
      <c r="X245" s="65"/>
      <c r="Y245" s="65"/>
      <c r="Z245" s="65"/>
      <c r="AA245" s="115"/>
      <c r="AB245" s="65"/>
      <c r="AC245" s="65"/>
      <c r="AD245" s="65"/>
      <c r="AE245" s="65"/>
      <c r="AF245" s="115"/>
      <c r="AG245" s="65"/>
      <c r="AH245" s="65"/>
      <c r="AI245" s="65"/>
      <c r="AJ245" s="65"/>
      <c r="AK245" s="115"/>
      <c r="AL245" s="65"/>
      <c r="AM245" s="65"/>
      <c r="AN245" s="65"/>
      <c r="AO245" s="65"/>
      <c r="AP245" s="115"/>
      <c r="AQ245" s="65"/>
      <c r="AR245" s="65"/>
      <c r="AS245" s="65"/>
      <c r="AT245" s="65"/>
      <c r="AU245" s="115"/>
      <c r="AV245" s="65"/>
      <c r="AW245" s="65"/>
      <c r="AX245" s="65"/>
      <c r="AY245" s="65"/>
      <c r="AZ245" s="115"/>
      <c r="BA245" s="65"/>
      <c r="BB245" s="65"/>
      <c r="BC245" s="65"/>
      <c r="BD245" s="65"/>
      <c r="BE245" s="115"/>
      <c r="BF245" s="65"/>
      <c r="BG245" s="65"/>
      <c r="BH245" s="65"/>
      <c r="BI245" s="65"/>
      <c r="BJ245" s="115"/>
      <c r="BK245" s="65"/>
      <c r="BL245" s="65"/>
      <c r="BM245" s="65"/>
      <c r="BN245" s="65"/>
      <c r="BO245" s="115"/>
      <c r="BP245" s="65"/>
      <c r="BQ245" s="65"/>
      <c r="BR245" s="65"/>
      <c r="BS245" s="65"/>
      <c r="BT245" s="115"/>
      <c r="BU245" s="65"/>
      <c r="BV245" s="65"/>
      <c r="BW245" s="65"/>
      <c r="BX245" s="65"/>
      <c r="BY245" s="115"/>
      <c r="BZ245" s="65"/>
      <c r="CA245" s="65"/>
      <c r="CB245" s="65"/>
      <c r="CC245" s="65"/>
      <c r="CD245" s="115"/>
    </row>
    <row r="246" spans="1:82">
      <c r="A246" s="39" t="s">
        <v>120</v>
      </c>
      <c r="B246" s="55"/>
      <c r="C246" s="51"/>
      <c r="D246" s="51"/>
      <c r="E246" s="115"/>
      <c r="F246" s="115"/>
      <c r="G246" s="115"/>
      <c r="H246" s="65"/>
      <c r="I246" s="65"/>
      <c r="J246" s="65"/>
      <c r="K246" s="65"/>
      <c r="L246" s="115"/>
      <c r="M246" s="65"/>
      <c r="N246" s="65"/>
      <c r="O246" s="65"/>
      <c r="P246" s="65"/>
      <c r="Q246" s="115"/>
      <c r="R246" s="65"/>
      <c r="S246" s="65"/>
      <c r="T246" s="65"/>
      <c r="U246" s="65"/>
      <c r="V246" s="115"/>
      <c r="W246" s="65"/>
      <c r="X246" s="65"/>
      <c r="Y246" s="65"/>
      <c r="Z246" s="65"/>
      <c r="AA246" s="115"/>
      <c r="AB246" s="65"/>
      <c r="AC246" s="65"/>
      <c r="AD246" s="65"/>
      <c r="AE246" s="65"/>
      <c r="AF246" s="115"/>
      <c r="AG246" s="65"/>
      <c r="AH246" s="65"/>
      <c r="AI246" s="65"/>
      <c r="AJ246" s="65"/>
      <c r="AK246" s="115"/>
      <c r="AL246" s="65"/>
      <c r="AM246" s="65"/>
      <c r="AN246" s="65"/>
      <c r="AO246" s="65"/>
      <c r="AP246" s="115"/>
      <c r="AQ246" s="65"/>
      <c r="AR246" s="65"/>
      <c r="AS246" s="65"/>
      <c r="AT246" s="65"/>
      <c r="AU246" s="115"/>
      <c r="AV246" s="65"/>
      <c r="AW246" s="65"/>
      <c r="AX246" s="65"/>
      <c r="AY246" s="65"/>
      <c r="AZ246" s="115"/>
      <c r="BA246" s="65"/>
      <c r="BB246" s="65"/>
      <c r="BC246" s="65"/>
      <c r="BD246" s="65"/>
      <c r="BE246" s="115"/>
      <c r="BF246" s="65"/>
      <c r="BG246" s="65"/>
      <c r="BH246" s="65"/>
      <c r="BI246" s="65"/>
      <c r="BJ246" s="115"/>
      <c r="BK246" s="65"/>
      <c r="BL246" s="65"/>
      <c r="BM246" s="65"/>
      <c r="BN246" s="65"/>
      <c r="BO246" s="115"/>
      <c r="BP246" s="65"/>
      <c r="BQ246" s="65"/>
      <c r="BR246" s="65"/>
      <c r="BS246" s="65"/>
      <c r="BT246" s="115"/>
      <c r="BU246" s="65"/>
      <c r="BV246" s="65"/>
      <c r="BW246" s="65"/>
      <c r="BX246" s="65"/>
      <c r="BY246" s="115"/>
      <c r="BZ246" s="65"/>
      <c r="CA246" s="65"/>
      <c r="CB246" s="65"/>
      <c r="CC246" s="65"/>
      <c r="CD246" s="115"/>
    </row>
    <row r="247" spans="1:82">
      <c r="A247" s="11"/>
      <c r="B247" s="55" t="s">
        <v>1473</v>
      </c>
      <c r="C247" s="52"/>
      <c r="D247" s="52"/>
      <c r="E247" s="115">
        <f>IF(ISERROR(VLOOKUP($B247,'Woodmac profile - Oil'!$B$498:$AL$526,MATCH(E$225,'Woodmac profile - Oil'!$B$480:$AL$480),FALSE)),0,VLOOKUP($B247,'Woodmac profile - Oil'!$B$498:$AL$526,MATCH(E$225,'Woodmac profile - Oil'!$B$480:$AL$480),FALSE))</f>
        <v>0</v>
      </c>
      <c r="F247" s="115">
        <f>IF(ISERROR(VLOOKUP($B247,'Woodmac profile - Oil'!$B$498:$AL$526,MATCH(F$225,'Woodmac profile - Oil'!$B$480:$AL$480),FALSE)),0,VLOOKUP($B247,'Woodmac profile - Oil'!$B$498:$AL$526,MATCH(F$225,'Woodmac profile - Oil'!$B$480:$AL$480),FALSE))</f>
        <v>0</v>
      </c>
      <c r="G247" s="115">
        <f>IF(ISERROR(VLOOKUP($B247,'Woodmac profile - Oil'!$B$498:$AL$526,MATCH(G$225,'Woodmac profile - Oil'!$B$480:$AL$480),FALSE)),0,VLOOKUP($B247,'Woodmac profile - Oil'!$B$498:$AL$526,MATCH(G$225,'Woodmac profile - Oil'!$B$480:$AL$480),FALSE))</f>
        <v>0</v>
      </c>
      <c r="H247" s="65">
        <f>L247</f>
        <v>0</v>
      </c>
      <c r="I247" s="65">
        <f>L247</f>
        <v>0</v>
      </c>
      <c r="J247" s="12">
        <f>L247</f>
        <v>0</v>
      </c>
      <c r="K247" s="12">
        <f>L247</f>
        <v>0</v>
      </c>
      <c r="L247" s="115">
        <f>IF(ISERROR(VLOOKUP($B247,'Woodmac profile - Oil'!$B$498:$AL$526,MATCH(L$225,'Woodmac profile - Oil'!$B$480:$AL$480),FALSE)),0,VLOOKUP($B247,'Woodmac profile - Oil'!$B$498:$AL$526,MATCH(L$225,'Woodmac profile - Oil'!$B$480:$AL$480),FALSE))</f>
        <v>0</v>
      </c>
      <c r="M247" s="65">
        <f t="shared" ref="M247:M249" si="540">Q247</f>
        <v>0</v>
      </c>
      <c r="N247" s="65">
        <f t="shared" ref="N247:N249" si="541">Q247</f>
        <v>0</v>
      </c>
      <c r="O247" s="12">
        <f t="shared" ref="O247:O249" si="542">Q247</f>
        <v>0</v>
      </c>
      <c r="P247" s="12">
        <f t="shared" ref="P247" si="543">Q247</f>
        <v>0</v>
      </c>
      <c r="Q247" s="115">
        <f>IF(ISERROR(VLOOKUP($B247,'Woodmac profile - Oil'!$B$498:$AL$526,MATCH(Q$225,'Woodmac profile - Oil'!$B$480:$AL$480),FALSE)),0,VLOOKUP($B247,'Woodmac profile - Oil'!$B$498:$AL$526,MATCH(Q$225,'Woodmac profile - Oil'!$B$480:$AL$480),FALSE))</f>
        <v>0</v>
      </c>
      <c r="R247" s="65">
        <f t="shared" ref="R247:R249" si="544">V247</f>
        <v>0</v>
      </c>
      <c r="S247" s="65">
        <f t="shared" ref="S247:S249" si="545">V247</f>
        <v>0</v>
      </c>
      <c r="T247" s="12">
        <f t="shared" ref="T247:T249" si="546">V247</f>
        <v>0</v>
      </c>
      <c r="U247" s="12">
        <f t="shared" ref="U247" si="547">V247</f>
        <v>0</v>
      </c>
      <c r="V247" s="115">
        <f>IF(ISERROR(VLOOKUP($B247,'Woodmac profile - Oil'!$B$498:$AL$526,MATCH(V$225,'Woodmac profile - Oil'!$B$480:$AL$480),FALSE)),0,VLOOKUP($B247,'Woodmac profile - Oil'!$B$498:$AL$526,MATCH(V$225,'Woodmac profile - Oil'!$B$480:$AL$480),FALSE))</f>
        <v>0</v>
      </c>
      <c r="W247" s="65">
        <f t="shared" ref="W247:W249" si="548">AA247</f>
        <v>0</v>
      </c>
      <c r="X247" s="65">
        <f t="shared" ref="X247:X249" si="549">AA247</f>
        <v>0</v>
      </c>
      <c r="Y247" s="12">
        <f t="shared" ref="Y247:Y249" si="550">AA247</f>
        <v>0</v>
      </c>
      <c r="Z247" s="12">
        <f t="shared" ref="Z247" si="551">AA247</f>
        <v>0</v>
      </c>
      <c r="AA247" s="115">
        <f>IF(ISERROR(VLOOKUP($B247,'Woodmac profile - Oil'!$B$498:$AL$526,MATCH(AA$225,'Woodmac profile - Oil'!$B$480:$AL$480),FALSE)),0,VLOOKUP($B247,'Woodmac profile - Oil'!$B$498:$AL$526,MATCH(AA$225,'Woodmac profile - Oil'!$B$480:$AL$480),FALSE))</f>
        <v>0</v>
      </c>
      <c r="AB247" s="65">
        <f t="shared" ref="AB247:AB249" si="552">AF247</f>
        <v>0</v>
      </c>
      <c r="AC247" s="65">
        <f t="shared" ref="AC247:AC249" si="553">AF247</f>
        <v>0</v>
      </c>
      <c r="AD247" s="12">
        <f t="shared" ref="AD247:AD249" si="554">AF247</f>
        <v>0</v>
      </c>
      <c r="AE247" s="12">
        <f t="shared" ref="AE247" si="555">AF247</f>
        <v>0</v>
      </c>
      <c r="AF247" s="115">
        <f>IF(ISERROR(VLOOKUP($B247,'Woodmac profile - Oil'!$B$498:$AL$526,MATCH(AF$225,'Woodmac profile - Oil'!$B$480:$AL$480),FALSE)),0,VLOOKUP($B247,'Woodmac profile - Oil'!$B$498:$AL$526,MATCH(AF$225,'Woodmac profile - Oil'!$B$480:$AL$480),FALSE))</f>
        <v>0</v>
      </c>
      <c r="AG247" s="65">
        <f t="shared" ref="AG247:AG249" si="556">AK247</f>
        <v>0</v>
      </c>
      <c r="AH247" s="65">
        <f t="shared" ref="AH247:AH249" si="557">AK247</f>
        <v>0</v>
      </c>
      <c r="AI247" s="12">
        <f t="shared" ref="AI247:AI249" si="558">AK247</f>
        <v>0</v>
      </c>
      <c r="AJ247" s="12">
        <f t="shared" ref="AJ247" si="559">AK247</f>
        <v>0</v>
      </c>
      <c r="AK247" s="115">
        <f>IF(ISERROR(VLOOKUP($B247,'Woodmac profile - Oil'!$B$498:$AL$526,MATCH(AK$225,'Woodmac profile - Oil'!$B$480:$AL$480),FALSE)),0,VLOOKUP($B247,'Woodmac profile - Oil'!$B$498:$AL$526,MATCH(AK$225,'Woodmac profile - Oil'!$B$480:$AL$480),FALSE))</f>
        <v>0</v>
      </c>
      <c r="AL247" s="65">
        <f t="shared" ref="AL247:AL249" si="560">AP247</f>
        <v>0</v>
      </c>
      <c r="AM247" s="65">
        <f t="shared" ref="AM247:AM249" si="561">AP247</f>
        <v>0</v>
      </c>
      <c r="AN247" s="12">
        <f t="shared" ref="AN247:AN249" si="562">AP247</f>
        <v>0</v>
      </c>
      <c r="AO247" s="12">
        <f t="shared" ref="AO247" si="563">AP247</f>
        <v>0</v>
      </c>
      <c r="AP247" s="115">
        <f>IF(ISERROR(VLOOKUP($B247,'Woodmac profile - Oil'!$B$498:$AL$526,MATCH(AP$225,'Woodmac profile - Oil'!$B$480:$AL$480),FALSE)),0,VLOOKUP($B247,'Woodmac profile - Oil'!$B$498:$AL$526,MATCH(AP$225,'Woodmac profile - Oil'!$B$480:$AL$480),FALSE))</f>
        <v>0</v>
      </c>
      <c r="AQ247" s="65">
        <f t="shared" ref="AQ247:AQ249" si="564">AU247</f>
        <v>0</v>
      </c>
      <c r="AR247" s="65">
        <f t="shared" ref="AR247:AR249" si="565">AU247</f>
        <v>0</v>
      </c>
      <c r="AS247" s="12">
        <f t="shared" ref="AS247:AS249" si="566">AU247</f>
        <v>0</v>
      </c>
      <c r="AT247" s="12">
        <f t="shared" ref="AT247" si="567">AU247</f>
        <v>0</v>
      </c>
      <c r="AU247" s="115">
        <f>IF(ISERROR(VLOOKUP($B247,'Woodmac profile - Oil'!$B$498:$AL$526,MATCH(AU$225,'Woodmac profile - Oil'!$B$480:$AL$480),FALSE)),0,VLOOKUP($B247,'Woodmac profile - Oil'!$B$498:$AL$526,MATCH(AU$225,'Woodmac profile - Oil'!$B$480:$AL$480),FALSE))</f>
        <v>0</v>
      </c>
      <c r="AV247" s="65">
        <f t="shared" ref="AV247:AV249" si="568">AZ247</f>
        <v>0</v>
      </c>
      <c r="AW247" s="65">
        <f t="shared" ref="AW247:AW249" si="569">AZ247</f>
        <v>0</v>
      </c>
      <c r="AX247" s="12">
        <f t="shared" ref="AX247:AX249" si="570">AZ247</f>
        <v>0</v>
      </c>
      <c r="AY247" s="12">
        <f t="shared" ref="AY247" si="571">AZ247</f>
        <v>0</v>
      </c>
      <c r="AZ247" s="115">
        <f>IF(ISERROR(VLOOKUP($B247,'Woodmac profile - Oil'!$B$498:$AL$526,MATCH(AZ$225,'Woodmac profile - Oil'!$B$480:$AL$480),FALSE)),0,VLOOKUP($B247,'Woodmac profile - Oil'!$B$498:$AL$526,MATCH(AZ$225,'Woodmac profile - Oil'!$B$480:$AL$480),FALSE))</f>
        <v>0</v>
      </c>
      <c r="BA247" s="65">
        <f t="shared" ref="BA247:BA249" si="572">BE247</f>
        <v>0</v>
      </c>
      <c r="BB247" s="65">
        <f t="shared" ref="BB247:BB249" si="573">BE247</f>
        <v>0</v>
      </c>
      <c r="BC247" s="12">
        <f t="shared" ref="BC247:BC249" si="574">BE247</f>
        <v>0</v>
      </c>
      <c r="BD247" s="12">
        <f t="shared" ref="BD247" si="575">BE247</f>
        <v>0</v>
      </c>
      <c r="BE247" s="115">
        <f>IF(ISERROR(VLOOKUP($B247,'Woodmac profile - Oil'!$B$498:$AL$526,MATCH(BE$225,'Woodmac profile - Oil'!$B$480:$AL$480),FALSE)),0,VLOOKUP($B247,'Woodmac profile - Oil'!$B$498:$AL$526,MATCH(BE$225,'Woodmac profile - Oil'!$B$480:$AL$480),FALSE))</f>
        <v>0</v>
      </c>
      <c r="BF247" s="65">
        <f t="shared" ref="BF247:BF249" si="576">BJ247</f>
        <v>0</v>
      </c>
      <c r="BG247" s="65">
        <f t="shared" ref="BG247:BG249" si="577">BJ247</f>
        <v>0</v>
      </c>
      <c r="BH247" s="65">
        <f t="shared" ref="BH247:BH249" si="578">BJ247</f>
        <v>0</v>
      </c>
      <c r="BI247" s="65">
        <f t="shared" ref="BI247" si="579">BJ247</f>
        <v>0</v>
      </c>
      <c r="BJ247" s="115">
        <f>IF(ISERROR(VLOOKUP($B247,'Woodmac profile - Oil'!$B$498:$AL$526,MATCH(BJ$225,'Woodmac profile - Oil'!$B$480:$AL$480),FALSE)),0,VLOOKUP($B247,'Woodmac profile - Oil'!$B$498:$AL$526,MATCH(BJ$225,'Woodmac profile - Oil'!$B$480:$AL$480),FALSE))</f>
        <v>0</v>
      </c>
      <c r="BK247" s="65">
        <f t="shared" ref="BK247:BK249" si="580">BO247</f>
        <v>0</v>
      </c>
      <c r="BL247" s="65">
        <f t="shared" ref="BL247:BL249" si="581">BO247</f>
        <v>0</v>
      </c>
      <c r="BM247" s="65">
        <f t="shared" ref="BM247:BM249" si="582">BO247</f>
        <v>0</v>
      </c>
      <c r="BN247" s="12">
        <f t="shared" ref="BN247" si="583">BO247</f>
        <v>0</v>
      </c>
      <c r="BO247" s="115">
        <f>IF(ISERROR(VLOOKUP($B247,'Woodmac profile - Oil'!$B$498:$AL$526,MATCH(BO$225,'Woodmac profile - Oil'!$B$480:$AL$480),FALSE)),0,VLOOKUP($B247,'Woodmac profile - Oil'!$B$498:$AL$526,MATCH(BO$225,'Woodmac profile - Oil'!$B$480:$AL$480),FALSE))</f>
        <v>0</v>
      </c>
      <c r="BP247" s="65">
        <f t="shared" ref="BP247:BP249" si="584">BT247</f>
        <v>0</v>
      </c>
      <c r="BQ247" s="65">
        <f t="shared" ref="BQ247:BQ249" si="585">BT247</f>
        <v>0</v>
      </c>
      <c r="BR247" s="12">
        <f t="shared" ref="BR247:BR249" si="586">BT247</f>
        <v>0</v>
      </c>
      <c r="BS247" s="12">
        <f t="shared" ref="BS247" si="587">BT247</f>
        <v>0</v>
      </c>
      <c r="BT247" s="115">
        <f>IF(ISERROR(VLOOKUP($B247,'Woodmac profile - Oil'!$B$498:$AL$526,MATCH(BT$225,'Woodmac profile - Oil'!$B$480:$AL$480),FALSE)),0,VLOOKUP($B247,'Woodmac profile - Oil'!$B$498:$AL$526,MATCH(BT$225,'Woodmac profile - Oil'!$B$480:$AL$480),FALSE))</f>
        <v>0</v>
      </c>
      <c r="BU247" s="65">
        <f t="shared" ref="BU247:BU249" si="588">BY247</f>
        <v>0</v>
      </c>
      <c r="BV247" s="65">
        <f t="shared" ref="BV247:BV249" si="589">BY247</f>
        <v>0</v>
      </c>
      <c r="BW247" s="12">
        <f t="shared" ref="BW247:BW249" si="590">BY247</f>
        <v>0</v>
      </c>
      <c r="BX247" s="12">
        <f t="shared" ref="BX247" si="591">BY247</f>
        <v>0</v>
      </c>
      <c r="BY247" s="115">
        <f>IF(ISERROR(VLOOKUP($B247,'Woodmac profile - Oil'!$B$498:$AL$526,MATCH(BY$225,'Woodmac profile - Oil'!$B$480:$AL$480),FALSE)),0,VLOOKUP($B247,'Woodmac profile - Oil'!$B$498:$AL$526,MATCH(BY$225,'Woodmac profile - Oil'!$B$480:$AL$480),FALSE))</f>
        <v>0</v>
      </c>
      <c r="BZ247" s="65">
        <f t="shared" ref="BZ247:BZ249" si="592">CD247</f>
        <v>0</v>
      </c>
      <c r="CA247" s="65">
        <f t="shared" ref="CA247:CA249" si="593">CD247</f>
        <v>0</v>
      </c>
      <c r="CB247" s="12">
        <f t="shared" ref="CB247:CB249" si="594">CD247</f>
        <v>0</v>
      </c>
      <c r="CC247" s="12">
        <f t="shared" ref="CC247" si="595">CD247</f>
        <v>0</v>
      </c>
      <c r="CD247" s="115">
        <f>IF(ISERROR(VLOOKUP($B247,'Woodmac profile - Oil'!$B$498:$AL$526,MATCH(CD$225,'Woodmac profile - Oil'!$B$480:$AL$480),FALSE)),0,VLOOKUP($B247,'Woodmac profile - Oil'!$B$498:$AL$526,MATCH(CD$225,'Woodmac profile - Oil'!$B$480:$AL$480),FALSE))</f>
        <v>0</v>
      </c>
    </row>
    <row r="248" spans="1:82">
      <c r="A248" s="11"/>
      <c r="B248" s="55" t="s">
        <v>1934</v>
      </c>
      <c r="C248" s="52"/>
      <c r="D248" s="52"/>
      <c r="E248" s="115">
        <f>IF(ISERROR(VLOOKUP($B248,'Woodmac profile - Oil'!$B$498:$AL$526,MATCH(E$225,'Woodmac profile - Oil'!$B$480:$AL$480),FALSE)),0,VLOOKUP($B248,'Woodmac profile - Oil'!$B$498:$AL$526,MATCH(E$225,'Woodmac profile - Oil'!$B$480:$AL$480),FALSE))</f>
        <v>0</v>
      </c>
      <c r="F248" s="115">
        <f>IF(ISERROR(VLOOKUP($B248,'Woodmac profile - Oil'!$B$498:$AL$526,MATCH(F$225,'Woodmac profile - Oil'!$B$480:$AL$480),FALSE)),0,VLOOKUP($B248,'Woodmac profile - Oil'!$B$498:$AL$526,MATCH(F$225,'Woodmac profile - Oil'!$B$480:$AL$480),FALSE))</f>
        <v>0</v>
      </c>
      <c r="G248" s="115">
        <f>IF(ISERROR(VLOOKUP($B248,'Woodmac profile - Oil'!$B$498:$AL$526,MATCH(G$225,'Woodmac profile - Oil'!$B$480:$AL$480),FALSE)),0,VLOOKUP($B248,'Woodmac profile - Oil'!$B$498:$AL$526,MATCH(G$225,'Woodmac profile - Oil'!$B$480:$AL$480),FALSE))</f>
        <v>0</v>
      </c>
      <c r="H248" s="65">
        <f>L248</f>
        <v>0</v>
      </c>
      <c r="I248" s="65">
        <f>L248</f>
        <v>0</v>
      </c>
      <c r="J248" s="12">
        <f>L248</f>
        <v>0</v>
      </c>
      <c r="K248" s="12">
        <f>L248</f>
        <v>0</v>
      </c>
      <c r="L248" s="115">
        <f>IF(ISERROR(VLOOKUP($B248,'Woodmac profile - Oil'!$B$498:$AL$526,MATCH(L$225,'Woodmac profile - Oil'!$B$480:$AL$480),FALSE)),0,VLOOKUP($B248,'Woodmac profile - Oil'!$B$498:$AL$526,MATCH(L$225,'Woodmac profile - Oil'!$B$480:$AL$480),FALSE))</f>
        <v>0</v>
      </c>
      <c r="M248" s="65">
        <f t="shared" si="540"/>
        <v>0</v>
      </c>
      <c r="N248" s="65">
        <f t="shared" si="541"/>
        <v>0</v>
      </c>
      <c r="O248" s="12">
        <f t="shared" si="542"/>
        <v>0</v>
      </c>
      <c r="P248" s="12">
        <f t="shared" ref="P248" si="596">Q248</f>
        <v>0</v>
      </c>
      <c r="Q248" s="115">
        <f>IF(ISERROR(VLOOKUP($B248,'Woodmac profile - Oil'!$B$498:$AL$526,MATCH(Q$225,'Woodmac profile - Oil'!$B$480:$AL$480),FALSE)),0,VLOOKUP($B248,'Woodmac profile - Oil'!$B$498:$AL$526,MATCH(Q$225,'Woodmac profile - Oil'!$B$480:$AL$480),FALSE))</f>
        <v>0</v>
      </c>
      <c r="R248" s="65">
        <f t="shared" si="544"/>
        <v>0</v>
      </c>
      <c r="S248" s="65">
        <f t="shared" si="545"/>
        <v>0</v>
      </c>
      <c r="T248" s="12">
        <f t="shared" si="546"/>
        <v>0</v>
      </c>
      <c r="U248" s="12">
        <f t="shared" ref="U248" si="597">V248</f>
        <v>0</v>
      </c>
      <c r="V248" s="115">
        <f>IF(ISERROR(VLOOKUP($B248,'Woodmac profile - Oil'!$B$498:$AL$526,MATCH(V$225,'Woodmac profile - Oil'!$B$480:$AL$480),FALSE)),0,VLOOKUP($B248,'Woodmac profile - Oil'!$B$498:$AL$526,MATCH(V$225,'Woodmac profile - Oil'!$B$480:$AL$480),FALSE))</f>
        <v>0</v>
      </c>
      <c r="W248" s="65">
        <f t="shared" si="548"/>
        <v>0</v>
      </c>
      <c r="X248" s="65">
        <f t="shared" si="549"/>
        <v>0</v>
      </c>
      <c r="Y248" s="12">
        <f t="shared" si="550"/>
        <v>0</v>
      </c>
      <c r="Z248" s="12">
        <f t="shared" ref="Z248" si="598">AA248</f>
        <v>0</v>
      </c>
      <c r="AA248" s="115">
        <f>IF(ISERROR(VLOOKUP($B248,'Woodmac profile - Oil'!$B$498:$AL$526,MATCH(AA$225,'Woodmac profile - Oil'!$B$480:$AL$480),FALSE)),0,VLOOKUP($B248,'Woodmac profile - Oil'!$B$498:$AL$526,MATCH(AA$225,'Woodmac profile - Oil'!$B$480:$AL$480),FALSE))</f>
        <v>0</v>
      </c>
      <c r="AB248" s="65">
        <f t="shared" si="552"/>
        <v>0</v>
      </c>
      <c r="AC248" s="65">
        <f t="shared" si="553"/>
        <v>0</v>
      </c>
      <c r="AD248" s="12">
        <f t="shared" si="554"/>
        <v>0</v>
      </c>
      <c r="AE248" s="12">
        <f t="shared" ref="AE248" si="599">AF248</f>
        <v>0</v>
      </c>
      <c r="AF248" s="115">
        <f>IF(ISERROR(VLOOKUP($B248,'Woodmac profile - Oil'!$B$498:$AL$526,MATCH(AF$225,'Woodmac profile - Oil'!$B$480:$AL$480),FALSE)),0,VLOOKUP($B248,'Woodmac profile - Oil'!$B$498:$AL$526,MATCH(AF$225,'Woodmac profile - Oil'!$B$480:$AL$480),FALSE))</f>
        <v>0</v>
      </c>
      <c r="AG248" s="65">
        <f t="shared" si="556"/>
        <v>0</v>
      </c>
      <c r="AH248" s="65">
        <f t="shared" si="557"/>
        <v>0</v>
      </c>
      <c r="AI248" s="12">
        <f t="shared" si="558"/>
        <v>0</v>
      </c>
      <c r="AJ248" s="12">
        <f t="shared" ref="AJ248" si="600">AK248</f>
        <v>0</v>
      </c>
      <c r="AK248" s="115">
        <f>IF(ISERROR(VLOOKUP($B248,'Woodmac profile - Oil'!$B$498:$AL$526,MATCH(AK$225,'Woodmac profile - Oil'!$B$480:$AL$480),FALSE)),0,VLOOKUP($B248,'Woodmac profile - Oil'!$B$498:$AL$526,MATCH(AK$225,'Woodmac profile - Oil'!$B$480:$AL$480),FALSE))</f>
        <v>0</v>
      </c>
      <c r="AL248" s="65">
        <f t="shared" si="560"/>
        <v>0</v>
      </c>
      <c r="AM248" s="65">
        <f t="shared" si="561"/>
        <v>0</v>
      </c>
      <c r="AN248" s="12">
        <f t="shared" si="562"/>
        <v>0</v>
      </c>
      <c r="AO248" s="12">
        <f t="shared" ref="AO248" si="601">AP248</f>
        <v>0</v>
      </c>
      <c r="AP248" s="115">
        <f>IF(ISERROR(VLOOKUP($B248,'Woodmac profile - Oil'!$B$498:$AL$526,MATCH(AP$225,'Woodmac profile - Oil'!$B$480:$AL$480),FALSE)),0,VLOOKUP($B248,'Woodmac profile - Oil'!$B$498:$AL$526,MATCH(AP$225,'Woodmac profile - Oil'!$B$480:$AL$480),FALSE))</f>
        <v>0</v>
      </c>
      <c r="AQ248" s="65">
        <f t="shared" si="564"/>
        <v>0</v>
      </c>
      <c r="AR248" s="65">
        <f t="shared" si="565"/>
        <v>0</v>
      </c>
      <c r="AS248" s="12">
        <f t="shared" si="566"/>
        <v>0</v>
      </c>
      <c r="AT248" s="12">
        <f t="shared" ref="AT248" si="602">AU248</f>
        <v>0</v>
      </c>
      <c r="AU248" s="115">
        <f>IF(ISERROR(VLOOKUP($B248,'Woodmac profile - Oil'!$B$498:$AL$526,MATCH(AU$225,'Woodmac profile - Oil'!$B$480:$AL$480),FALSE)),0,VLOOKUP($B248,'Woodmac profile - Oil'!$B$498:$AL$526,MATCH(AU$225,'Woodmac profile - Oil'!$B$480:$AL$480),FALSE))</f>
        <v>0</v>
      </c>
      <c r="AV248" s="65">
        <f t="shared" si="568"/>
        <v>0</v>
      </c>
      <c r="AW248" s="65">
        <f t="shared" si="569"/>
        <v>0</v>
      </c>
      <c r="AX248" s="12">
        <f t="shared" si="570"/>
        <v>0</v>
      </c>
      <c r="AY248" s="12">
        <f t="shared" ref="AY248" si="603">AZ248</f>
        <v>0</v>
      </c>
      <c r="AZ248" s="115">
        <f>IF(ISERROR(VLOOKUP($B248,'Woodmac profile - Oil'!$B$498:$AL$526,MATCH(AZ$225,'Woodmac profile - Oil'!$B$480:$AL$480),FALSE)),0,VLOOKUP($B248,'Woodmac profile - Oil'!$B$498:$AL$526,MATCH(AZ$225,'Woodmac profile - Oil'!$B$480:$AL$480),FALSE))</f>
        <v>0</v>
      </c>
      <c r="BA248" s="65">
        <f t="shared" si="572"/>
        <v>0</v>
      </c>
      <c r="BB248" s="65">
        <f t="shared" si="573"/>
        <v>0</v>
      </c>
      <c r="BC248" s="12">
        <f t="shared" si="574"/>
        <v>0</v>
      </c>
      <c r="BD248" s="12">
        <f t="shared" ref="BD248" si="604">BE248</f>
        <v>0</v>
      </c>
      <c r="BE248" s="115">
        <f>IF(ISERROR(VLOOKUP($B248,'Woodmac profile - Oil'!$B$498:$AL$526,MATCH(BE$225,'Woodmac profile - Oil'!$B$480:$AL$480),FALSE)),0,VLOOKUP($B248,'Woodmac profile - Oil'!$B$498:$AL$526,MATCH(BE$225,'Woodmac profile - Oil'!$B$480:$AL$480),FALSE))</f>
        <v>0</v>
      </c>
      <c r="BF248" s="65">
        <f t="shared" si="576"/>
        <v>0</v>
      </c>
      <c r="BG248" s="65">
        <f t="shared" si="577"/>
        <v>0</v>
      </c>
      <c r="BH248" s="65">
        <f t="shared" si="578"/>
        <v>0</v>
      </c>
      <c r="BI248" s="65">
        <f t="shared" ref="BI248" si="605">BJ248</f>
        <v>0</v>
      </c>
      <c r="BJ248" s="115">
        <f>IF(ISERROR(VLOOKUP($B248,'Woodmac profile - Oil'!$B$498:$AL$526,MATCH(BJ$225,'Woodmac profile - Oil'!$B$480:$AL$480),FALSE)),0,VLOOKUP($B248,'Woodmac profile - Oil'!$B$498:$AL$526,MATCH(BJ$225,'Woodmac profile - Oil'!$B$480:$AL$480),FALSE))</f>
        <v>0</v>
      </c>
      <c r="BK248" s="65">
        <f t="shared" si="580"/>
        <v>0</v>
      </c>
      <c r="BL248" s="65">
        <f t="shared" si="581"/>
        <v>0</v>
      </c>
      <c r="BM248" s="65">
        <f t="shared" si="582"/>
        <v>0</v>
      </c>
      <c r="BN248" s="12">
        <f t="shared" ref="BN248" si="606">BO248</f>
        <v>0</v>
      </c>
      <c r="BO248" s="115">
        <f>IF(ISERROR(VLOOKUP($B248,'Woodmac profile - Oil'!$B$498:$AL$526,MATCH(BO$225,'Woodmac profile - Oil'!$B$480:$AL$480),FALSE)),0,VLOOKUP($B248,'Woodmac profile - Oil'!$B$498:$AL$526,MATCH(BO$225,'Woodmac profile - Oil'!$B$480:$AL$480),FALSE))</f>
        <v>0</v>
      </c>
      <c r="BP248" s="65">
        <f t="shared" si="584"/>
        <v>0</v>
      </c>
      <c r="BQ248" s="65">
        <f t="shared" si="585"/>
        <v>0</v>
      </c>
      <c r="BR248" s="12">
        <f t="shared" si="586"/>
        <v>0</v>
      </c>
      <c r="BS248" s="12">
        <f t="shared" ref="BS248" si="607">BT248</f>
        <v>0</v>
      </c>
      <c r="BT248" s="115">
        <f>IF(ISERROR(VLOOKUP($B248,'Woodmac profile - Oil'!$B$498:$AL$526,MATCH(BT$225,'Woodmac profile - Oil'!$B$480:$AL$480),FALSE)),0,VLOOKUP($B248,'Woodmac profile - Oil'!$B$498:$AL$526,MATCH(BT$225,'Woodmac profile - Oil'!$B$480:$AL$480),FALSE))</f>
        <v>0</v>
      </c>
      <c r="BU248" s="65">
        <f t="shared" si="588"/>
        <v>0</v>
      </c>
      <c r="BV248" s="65">
        <f t="shared" si="589"/>
        <v>0</v>
      </c>
      <c r="BW248" s="12">
        <f t="shared" si="590"/>
        <v>0</v>
      </c>
      <c r="BX248" s="12">
        <f t="shared" ref="BX248" si="608">BY248</f>
        <v>0</v>
      </c>
      <c r="BY248" s="115">
        <f>IF(ISERROR(VLOOKUP($B248,'Woodmac profile - Oil'!$B$498:$AL$526,MATCH(BY$225,'Woodmac profile - Oil'!$B$480:$AL$480),FALSE)),0,VLOOKUP($B248,'Woodmac profile - Oil'!$B$498:$AL$526,MATCH(BY$225,'Woodmac profile - Oil'!$B$480:$AL$480),FALSE))</f>
        <v>0</v>
      </c>
      <c r="BZ248" s="65">
        <f t="shared" si="592"/>
        <v>0</v>
      </c>
      <c r="CA248" s="65">
        <f t="shared" si="593"/>
        <v>0</v>
      </c>
      <c r="CB248" s="12">
        <f t="shared" si="594"/>
        <v>0</v>
      </c>
      <c r="CC248" s="12">
        <f t="shared" ref="CC248" si="609">CD248</f>
        <v>0</v>
      </c>
      <c r="CD248" s="115">
        <f>IF(ISERROR(VLOOKUP($B248,'Woodmac profile - Oil'!$B$498:$AL$526,MATCH(CD$225,'Woodmac profile - Oil'!$B$480:$AL$480),FALSE)),0,VLOOKUP($B248,'Woodmac profile - Oil'!$B$498:$AL$526,MATCH(CD$225,'Woodmac profile - Oil'!$B$480:$AL$480),FALSE))</f>
        <v>0</v>
      </c>
    </row>
    <row r="249" spans="1:82">
      <c r="A249" s="11"/>
      <c r="B249" s="55" t="s">
        <v>2251</v>
      </c>
      <c r="C249" s="52"/>
      <c r="D249" s="52"/>
      <c r="E249" s="115">
        <f>IF(ISERROR(VLOOKUP($B249,'Woodmac profile - Oil'!$B$498:$AL$526,MATCH(E$225,'Woodmac profile - Oil'!$B$480:$AL$480),FALSE)),0,VLOOKUP($B249,'Woodmac profile - Oil'!$B$498:$AL$526,MATCH(E$225,'Woodmac profile - Oil'!$B$480:$AL$480),FALSE))</f>
        <v>0</v>
      </c>
      <c r="F249" s="115">
        <f>IF(ISERROR(VLOOKUP($B249,'Woodmac profile - Oil'!$B$498:$AL$526,MATCH(F$225,'Woodmac profile - Oil'!$B$480:$AL$480),FALSE)),0,VLOOKUP($B249,'Woodmac profile - Oil'!$B$498:$AL$526,MATCH(F$225,'Woodmac profile - Oil'!$B$480:$AL$480),FALSE))</f>
        <v>0</v>
      </c>
      <c r="G249" s="115">
        <f>IF(ISERROR(VLOOKUP($B249,'Woodmac profile - Oil'!$B$498:$AL$526,MATCH(G$225,'Woodmac profile - Oil'!$B$480:$AL$480),FALSE)),0,VLOOKUP($B249,'Woodmac profile - Oil'!$B$498:$AL$526,MATCH(G$225,'Woodmac profile - Oil'!$B$480:$AL$480),FALSE))</f>
        <v>0</v>
      </c>
      <c r="H249" s="65">
        <f>L249</f>
        <v>0</v>
      </c>
      <c r="I249" s="65">
        <f>L249</f>
        <v>0</v>
      </c>
      <c r="J249" s="12">
        <f>L249</f>
        <v>0</v>
      </c>
      <c r="K249" s="12">
        <f>L249</f>
        <v>0</v>
      </c>
      <c r="L249" s="115">
        <f>IF(ISERROR(VLOOKUP($B249,'Woodmac profile - Oil'!$B$498:$AL$526,MATCH(L$225,'Woodmac profile - Oil'!$B$480:$AL$480),FALSE)),0,VLOOKUP($B249,'Woodmac profile - Oil'!$B$498:$AL$526,MATCH(L$225,'Woodmac profile - Oil'!$B$480:$AL$480),FALSE))</f>
        <v>0</v>
      </c>
      <c r="M249" s="65">
        <f t="shared" si="540"/>
        <v>0</v>
      </c>
      <c r="N249" s="65">
        <f t="shared" si="541"/>
        <v>0</v>
      </c>
      <c r="O249" s="12">
        <f t="shared" si="542"/>
        <v>0</v>
      </c>
      <c r="P249" s="12">
        <f t="shared" ref="P249" si="610">Q249</f>
        <v>0</v>
      </c>
      <c r="Q249" s="115">
        <f>IF(ISERROR(VLOOKUP($B249,'Woodmac profile - Oil'!$B$498:$AL$526,MATCH(Q$225,'Woodmac profile - Oil'!$B$480:$AL$480),FALSE)),0,VLOOKUP($B249,'Woodmac profile - Oil'!$B$498:$AL$526,MATCH(Q$225,'Woodmac profile - Oil'!$B$480:$AL$480),FALSE))</f>
        <v>0</v>
      </c>
      <c r="R249" s="65">
        <f t="shared" si="544"/>
        <v>0</v>
      </c>
      <c r="S249" s="65">
        <f t="shared" si="545"/>
        <v>0</v>
      </c>
      <c r="T249" s="12">
        <f t="shared" si="546"/>
        <v>0</v>
      </c>
      <c r="U249" s="12">
        <f t="shared" ref="U249" si="611">V249</f>
        <v>0</v>
      </c>
      <c r="V249" s="115">
        <f>IF(ISERROR(VLOOKUP($B249,'Woodmac profile - Oil'!$B$498:$AL$526,MATCH(V$225,'Woodmac profile - Oil'!$B$480:$AL$480),FALSE)),0,VLOOKUP($B249,'Woodmac profile - Oil'!$B$498:$AL$526,MATCH(V$225,'Woodmac profile - Oil'!$B$480:$AL$480),FALSE))</f>
        <v>0</v>
      </c>
      <c r="W249" s="65">
        <f t="shared" si="548"/>
        <v>0</v>
      </c>
      <c r="X249" s="65">
        <f t="shared" si="549"/>
        <v>0</v>
      </c>
      <c r="Y249" s="12">
        <f t="shared" si="550"/>
        <v>0</v>
      </c>
      <c r="Z249" s="12">
        <f t="shared" ref="Z249" si="612">AA249</f>
        <v>0</v>
      </c>
      <c r="AA249" s="115">
        <f>IF(ISERROR(VLOOKUP($B249,'Woodmac profile - Oil'!$B$498:$AL$526,MATCH(AA$225,'Woodmac profile - Oil'!$B$480:$AL$480),FALSE)),0,VLOOKUP($B249,'Woodmac profile - Oil'!$B$498:$AL$526,MATCH(AA$225,'Woodmac profile - Oil'!$B$480:$AL$480),FALSE))</f>
        <v>0</v>
      </c>
      <c r="AB249" s="65">
        <f t="shared" si="552"/>
        <v>0</v>
      </c>
      <c r="AC249" s="65">
        <f t="shared" si="553"/>
        <v>0</v>
      </c>
      <c r="AD249" s="12">
        <f t="shared" si="554"/>
        <v>0</v>
      </c>
      <c r="AE249" s="12">
        <f t="shared" ref="AE249" si="613">AF249</f>
        <v>0</v>
      </c>
      <c r="AF249" s="115">
        <f>IF(ISERROR(VLOOKUP($B249,'Woodmac profile - Oil'!$B$498:$AL$526,MATCH(AF$225,'Woodmac profile - Oil'!$B$480:$AL$480),FALSE)),0,VLOOKUP($B249,'Woodmac profile - Oil'!$B$498:$AL$526,MATCH(AF$225,'Woodmac profile - Oil'!$B$480:$AL$480),FALSE))</f>
        <v>0</v>
      </c>
      <c r="AG249" s="65">
        <f t="shared" si="556"/>
        <v>0</v>
      </c>
      <c r="AH249" s="65">
        <f t="shared" si="557"/>
        <v>0</v>
      </c>
      <c r="AI249" s="12">
        <f t="shared" si="558"/>
        <v>0</v>
      </c>
      <c r="AJ249" s="12">
        <f t="shared" ref="AJ249" si="614">AK249</f>
        <v>0</v>
      </c>
      <c r="AK249" s="115">
        <f>IF(ISERROR(VLOOKUP($B249,'Woodmac profile - Oil'!$B$498:$AL$526,MATCH(AK$225,'Woodmac profile - Oil'!$B$480:$AL$480),FALSE)),0,VLOOKUP($B249,'Woodmac profile - Oil'!$B$498:$AL$526,MATCH(AK$225,'Woodmac profile - Oil'!$B$480:$AL$480),FALSE))</f>
        <v>0</v>
      </c>
      <c r="AL249" s="65">
        <f t="shared" si="560"/>
        <v>0</v>
      </c>
      <c r="AM249" s="65">
        <f t="shared" si="561"/>
        <v>0</v>
      </c>
      <c r="AN249" s="12">
        <f t="shared" si="562"/>
        <v>0</v>
      </c>
      <c r="AO249" s="12">
        <f t="shared" ref="AO249" si="615">AP249</f>
        <v>0</v>
      </c>
      <c r="AP249" s="115">
        <f>IF(ISERROR(VLOOKUP($B249,'Woodmac profile - Oil'!$B$498:$AL$526,MATCH(AP$225,'Woodmac profile - Oil'!$B$480:$AL$480),FALSE)),0,VLOOKUP($B249,'Woodmac profile - Oil'!$B$498:$AL$526,MATCH(AP$225,'Woodmac profile - Oil'!$B$480:$AL$480),FALSE))</f>
        <v>0</v>
      </c>
      <c r="AQ249" s="65">
        <f t="shared" si="564"/>
        <v>0</v>
      </c>
      <c r="AR249" s="65">
        <f t="shared" si="565"/>
        <v>0</v>
      </c>
      <c r="AS249" s="12">
        <f t="shared" si="566"/>
        <v>0</v>
      </c>
      <c r="AT249" s="12">
        <f t="shared" ref="AT249" si="616">AU249</f>
        <v>0</v>
      </c>
      <c r="AU249" s="115">
        <f>IF(ISERROR(VLOOKUP($B249,'Woodmac profile - Oil'!$B$498:$AL$526,MATCH(AU$225,'Woodmac profile - Oil'!$B$480:$AL$480),FALSE)),0,VLOOKUP($B249,'Woodmac profile - Oil'!$B$498:$AL$526,MATCH(AU$225,'Woodmac profile - Oil'!$B$480:$AL$480),FALSE))</f>
        <v>0</v>
      </c>
      <c r="AV249" s="65">
        <f t="shared" si="568"/>
        <v>0</v>
      </c>
      <c r="AW249" s="65">
        <f t="shared" si="569"/>
        <v>0</v>
      </c>
      <c r="AX249" s="12">
        <f t="shared" si="570"/>
        <v>0</v>
      </c>
      <c r="AY249" s="12">
        <f t="shared" ref="AY249" si="617">AZ249</f>
        <v>0</v>
      </c>
      <c r="AZ249" s="115">
        <f>IF(ISERROR(VLOOKUP($B249,'Woodmac profile - Oil'!$B$498:$AL$526,MATCH(AZ$225,'Woodmac profile - Oil'!$B$480:$AL$480),FALSE)),0,VLOOKUP($B249,'Woodmac profile - Oil'!$B$498:$AL$526,MATCH(AZ$225,'Woodmac profile - Oil'!$B$480:$AL$480),FALSE))</f>
        <v>0</v>
      </c>
      <c r="BA249" s="65">
        <f t="shared" si="572"/>
        <v>0</v>
      </c>
      <c r="BB249" s="65">
        <f t="shared" si="573"/>
        <v>0</v>
      </c>
      <c r="BC249" s="12">
        <f t="shared" si="574"/>
        <v>0</v>
      </c>
      <c r="BD249" s="12">
        <f t="shared" ref="BD249" si="618">BE249</f>
        <v>0</v>
      </c>
      <c r="BE249" s="115">
        <f>IF(ISERROR(VLOOKUP($B249,'Woodmac profile - Oil'!$B$498:$AL$526,MATCH(BE$225,'Woodmac profile - Oil'!$B$480:$AL$480),FALSE)),0,VLOOKUP($B249,'Woodmac profile - Oil'!$B$498:$AL$526,MATCH(BE$225,'Woodmac profile - Oil'!$B$480:$AL$480),FALSE))</f>
        <v>0</v>
      </c>
      <c r="BF249" s="65">
        <f t="shared" si="576"/>
        <v>0</v>
      </c>
      <c r="BG249" s="65">
        <f t="shared" si="577"/>
        <v>0</v>
      </c>
      <c r="BH249" s="65">
        <f t="shared" si="578"/>
        <v>0</v>
      </c>
      <c r="BI249" s="65">
        <f t="shared" ref="BI249" si="619">BJ249</f>
        <v>0</v>
      </c>
      <c r="BJ249" s="115">
        <f>IF(ISERROR(VLOOKUP($B249,'Woodmac profile - Oil'!$B$498:$AL$526,MATCH(BJ$225,'Woodmac profile - Oil'!$B$480:$AL$480),FALSE)),0,VLOOKUP($B249,'Woodmac profile - Oil'!$B$498:$AL$526,MATCH(BJ$225,'Woodmac profile - Oil'!$B$480:$AL$480),FALSE))</f>
        <v>0</v>
      </c>
      <c r="BK249" s="65">
        <f t="shared" si="580"/>
        <v>0</v>
      </c>
      <c r="BL249" s="65">
        <f t="shared" si="581"/>
        <v>0</v>
      </c>
      <c r="BM249" s="65">
        <f t="shared" si="582"/>
        <v>0</v>
      </c>
      <c r="BN249" s="12">
        <f t="shared" ref="BN249" si="620">BO249</f>
        <v>0</v>
      </c>
      <c r="BO249" s="115">
        <f>IF(ISERROR(VLOOKUP($B249,'Woodmac profile - Oil'!$B$498:$AL$526,MATCH(BO$225,'Woodmac profile - Oil'!$B$480:$AL$480),FALSE)),0,VLOOKUP($B249,'Woodmac profile - Oil'!$B$498:$AL$526,MATCH(BO$225,'Woodmac profile - Oil'!$B$480:$AL$480),FALSE))</f>
        <v>0</v>
      </c>
      <c r="BP249" s="65">
        <f t="shared" si="584"/>
        <v>0</v>
      </c>
      <c r="BQ249" s="65">
        <f t="shared" si="585"/>
        <v>0</v>
      </c>
      <c r="BR249" s="12">
        <f t="shared" si="586"/>
        <v>0</v>
      </c>
      <c r="BS249" s="12">
        <f t="shared" ref="BS249" si="621">BT249</f>
        <v>0</v>
      </c>
      <c r="BT249" s="115">
        <f>IF(ISERROR(VLOOKUP($B249,'Woodmac profile - Oil'!$B$498:$AL$526,MATCH(BT$225,'Woodmac profile - Oil'!$B$480:$AL$480),FALSE)),0,VLOOKUP($B249,'Woodmac profile - Oil'!$B$498:$AL$526,MATCH(BT$225,'Woodmac profile - Oil'!$B$480:$AL$480),FALSE))</f>
        <v>0</v>
      </c>
      <c r="BU249" s="65">
        <f t="shared" si="588"/>
        <v>0</v>
      </c>
      <c r="BV249" s="65">
        <f t="shared" si="589"/>
        <v>0</v>
      </c>
      <c r="BW249" s="12">
        <f t="shared" si="590"/>
        <v>0</v>
      </c>
      <c r="BX249" s="12">
        <f t="shared" ref="BX249" si="622">BY249</f>
        <v>0</v>
      </c>
      <c r="BY249" s="115">
        <f>IF(ISERROR(VLOOKUP($B249,'Woodmac profile - Oil'!$B$498:$AL$526,MATCH(BY$225,'Woodmac profile - Oil'!$B$480:$AL$480),FALSE)),0,VLOOKUP($B249,'Woodmac profile - Oil'!$B$498:$AL$526,MATCH(BY$225,'Woodmac profile - Oil'!$B$480:$AL$480),FALSE))</f>
        <v>0</v>
      </c>
      <c r="BZ249" s="65">
        <f t="shared" si="592"/>
        <v>0</v>
      </c>
      <c r="CA249" s="65">
        <f t="shared" si="593"/>
        <v>0</v>
      </c>
      <c r="CB249" s="12">
        <f t="shared" si="594"/>
        <v>0</v>
      </c>
      <c r="CC249" s="12">
        <f t="shared" ref="CC249" si="623">CD249</f>
        <v>0</v>
      </c>
      <c r="CD249" s="115">
        <f>IF(ISERROR(VLOOKUP($B249,'Woodmac profile - Oil'!$B$498:$AL$526,MATCH(CD$225,'Woodmac profile - Oil'!$B$480:$AL$480),FALSE)),0,VLOOKUP($B249,'Woodmac profile - Oil'!$B$498:$AL$526,MATCH(CD$225,'Woodmac profile - Oil'!$B$480:$AL$480),FALSE))</f>
        <v>0</v>
      </c>
    </row>
    <row r="250" spans="1:82">
      <c r="A250" s="39" t="s">
        <v>2461</v>
      </c>
      <c r="B250" s="54"/>
      <c r="C250" s="52"/>
      <c r="D250" s="52"/>
      <c r="E250" s="78">
        <f t="shared" ref="E250:L250" si="624">SUM(E247:E249)</f>
        <v>0</v>
      </c>
      <c r="F250" s="78">
        <f t="shared" si="624"/>
        <v>0</v>
      </c>
      <c r="G250" s="78">
        <f t="shared" si="624"/>
        <v>0</v>
      </c>
      <c r="H250" s="397">
        <f t="shared" si="624"/>
        <v>0</v>
      </c>
      <c r="I250" s="397">
        <f t="shared" si="624"/>
        <v>0</v>
      </c>
      <c r="J250" s="397">
        <f t="shared" si="624"/>
        <v>0</v>
      </c>
      <c r="K250" s="397">
        <f t="shared" si="624"/>
        <v>0</v>
      </c>
      <c r="L250" s="78">
        <f t="shared" si="624"/>
        <v>0</v>
      </c>
      <c r="M250" s="397">
        <f t="shared" ref="M250:BX250" si="625">SUM(M247:M249)</f>
        <v>0</v>
      </c>
      <c r="N250" s="397">
        <f t="shared" si="625"/>
        <v>0</v>
      </c>
      <c r="O250" s="397">
        <f t="shared" si="625"/>
        <v>0</v>
      </c>
      <c r="P250" s="397">
        <f t="shared" si="625"/>
        <v>0</v>
      </c>
      <c r="Q250" s="571">
        <f t="shared" si="625"/>
        <v>0</v>
      </c>
      <c r="R250" s="397">
        <f t="shared" si="625"/>
        <v>0</v>
      </c>
      <c r="S250" s="397">
        <f t="shared" si="625"/>
        <v>0</v>
      </c>
      <c r="T250" s="397">
        <f t="shared" si="625"/>
        <v>0</v>
      </c>
      <c r="U250" s="397">
        <f t="shared" si="625"/>
        <v>0</v>
      </c>
      <c r="V250" s="571">
        <f t="shared" si="625"/>
        <v>0</v>
      </c>
      <c r="W250" s="397">
        <f t="shared" si="625"/>
        <v>0</v>
      </c>
      <c r="X250" s="397">
        <f t="shared" si="625"/>
        <v>0</v>
      </c>
      <c r="Y250" s="397">
        <f t="shared" si="625"/>
        <v>0</v>
      </c>
      <c r="Z250" s="397">
        <f t="shared" si="625"/>
        <v>0</v>
      </c>
      <c r="AA250" s="571">
        <f t="shared" si="625"/>
        <v>0</v>
      </c>
      <c r="AB250" s="397">
        <f t="shared" si="625"/>
        <v>0</v>
      </c>
      <c r="AC250" s="397">
        <f t="shared" si="625"/>
        <v>0</v>
      </c>
      <c r="AD250" s="397">
        <f t="shared" si="625"/>
        <v>0</v>
      </c>
      <c r="AE250" s="397">
        <f t="shared" si="625"/>
        <v>0</v>
      </c>
      <c r="AF250" s="571">
        <f t="shared" si="625"/>
        <v>0</v>
      </c>
      <c r="AG250" s="397">
        <f t="shared" si="625"/>
        <v>0</v>
      </c>
      <c r="AH250" s="397">
        <f t="shared" si="625"/>
        <v>0</v>
      </c>
      <c r="AI250" s="397">
        <f t="shared" si="625"/>
        <v>0</v>
      </c>
      <c r="AJ250" s="397">
        <f t="shared" si="625"/>
        <v>0</v>
      </c>
      <c r="AK250" s="571">
        <f t="shared" si="625"/>
        <v>0</v>
      </c>
      <c r="AL250" s="397">
        <f t="shared" si="625"/>
        <v>0</v>
      </c>
      <c r="AM250" s="397">
        <f t="shared" si="625"/>
        <v>0</v>
      </c>
      <c r="AN250" s="397">
        <f t="shared" si="625"/>
        <v>0</v>
      </c>
      <c r="AO250" s="397">
        <f t="shared" si="625"/>
        <v>0</v>
      </c>
      <c r="AP250" s="571">
        <f t="shared" si="625"/>
        <v>0</v>
      </c>
      <c r="AQ250" s="397">
        <f t="shared" si="625"/>
        <v>0</v>
      </c>
      <c r="AR250" s="397">
        <f t="shared" si="625"/>
        <v>0</v>
      </c>
      <c r="AS250" s="397">
        <f t="shared" si="625"/>
        <v>0</v>
      </c>
      <c r="AT250" s="397">
        <f t="shared" si="625"/>
        <v>0</v>
      </c>
      <c r="AU250" s="571">
        <f t="shared" si="625"/>
        <v>0</v>
      </c>
      <c r="AV250" s="397">
        <f t="shared" si="625"/>
        <v>0</v>
      </c>
      <c r="AW250" s="397">
        <f t="shared" si="625"/>
        <v>0</v>
      </c>
      <c r="AX250" s="397">
        <f t="shared" si="625"/>
        <v>0</v>
      </c>
      <c r="AY250" s="397">
        <f t="shared" si="625"/>
        <v>0</v>
      </c>
      <c r="AZ250" s="571">
        <f t="shared" si="625"/>
        <v>0</v>
      </c>
      <c r="BA250" s="397">
        <f t="shared" si="625"/>
        <v>0</v>
      </c>
      <c r="BB250" s="397">
        <f t="shared" si="625"/>
        <v>0</v>
      </c>
      <c r="BC250" s="397">
        <f t="shared" si="625"/>
        <v>0</v>
      </c>
      <c r="BD250" s="397">
        <f t="shared" si="625"/>
        <v>0</v>
      </c>
      <c r="BE250" s="571">
        <f t="shared" si="625"/>
        <v>0</v>
      </c>
      <c r="BF250" s="397">
        <f t="shared" si="625"/>
        <v>0</v>
      </c>
      <c r="BG250" s="397">
        <f t="shared" si="625"/>
        <v>0</v>
      </c>
      <c r="BH250" s="397">
        <f t="shared" si="625"/>
        <v>0</v>
      </c>
      <c r="BI250" s="397">
        <f t="shared" si="625"/>
        <v>0</v>
      </c>
      <c r="BJ250" s="571">
        <f t="shared" si="625"/>
        <v>0</v>
      </c>
      <c r="BK250" s="397">
        <f t="shared" si="625"/>
        <v>0</v>
      </c>
      <c r="BL250" s="397">
        <f t="shared" si="625"/>
        <v>0</v>
      </c>
      <c r="BM250" s="397">
        <f t="shared" si="625"/>
        <v>0</v>
      </c>
      <c r="BN250" s="397">
        <f t="shared" si="625"/>
        <v>0</v>
      </c>
      <c r="BO250" s="571">
        <f t="shared" si="625"/>
        <v>0</v>
      </c>
      <c r="BP250" s="397">
        <f t="shared" si="625"/>
        <v>0</v>
      </c>
      <c r="BQ250" s="397">
        <f t="shared" si="625"/>
        <v>0</v>
      </c>
      <c r="BR250" s="397">
        <f t="shared" si="625"/>
        <v>0</v>
      </c>
      <c r="BS250" s="397">
        <f t="shared" si="625"/>
        <v>0</v>
      </c>
      <c r="BT250" s="571">
        <f t="shared" si="625"/>
        <v>0</v>
      </c>
      <c r="BU250" s="397">
        <f t="shared" si="625"/>
        <v>0</v>
      </c>
      <c r="BV250" s="397">
        <f t="shared" si="625"/>
        <v>0</v>
      </c>
      <c r="BW250" s="397">
        <f t="shared" si="625"/>
        <v>0</v>
      </c>
      <c r="BX250" s="397">
        <f t="shared" si="625"/>
        <v>0</v>
      </c>
      <c r="BY250" s="571">
        <f t="shared" ref="BY250:CD250" si="626">SUM(BY247:BY249)</f>
        <v>0</v>
      </c>
      <c r="BZ250" s="397">
        <f t="shared" si="626"/>
        <v>0</v>
      </c>
      <c r="CA250" s="397">
        <f t="shared" si="626"/>
        <v>0</v>
      </c>
      <c r="CB250" s="397">
        <f t="shared" si="626"/>
        <v>0</v>
      </c>
      <c r="CC250" s="397">
        <f t="shared" si="626"/>
        <v>0</v>
      </c>
      <c r="CD250" s="571">
        <f t="shared" si="626"/>
        <v>0</v>
      </c>
    </row>
    <row r="251" spans="1:82">
      <c r="A251" s="11"/>
      <c r="B251" s="55"/>
      <c r="C251" s="51"/>
      <c r="D251" s="51"/>
      <c r="E251" s="115"/>
      <c r="F251" s="115"/>
      <c r="G251" s="115"/>
      <c r="H251" s="65"/>
      <c r="I251" s="65"/>
      <c r="J251" s="65"/>
      <c r="K251" s="65"/>
      <c r="L251" s="115"/>
      <c r="M251" s="65"/>
      <c r="N251" s="65"/>
      <c r="O251" s="65"/>
      <c r="P251" s="65"/>
      <c r="Q251" s="115"/>
      <c r="R251" s="65"/>
      <c r="S251" s="65"/>
      <c r="T251" s="65"/>
      <c r="U251" s="65"/>
      <c r="V251" s="115"/>
      <c r="W251" s="65"/>
      <c r="X251" s="65"/>
      <c r="Y251" s="65"/>
      <c r="Z251" s="65"/>
      <c r="AA251" s="115"/>
      <c r="AB251" s="65"/>
      <c r="AC251" s="65"/>
      <c r="AD251" s="65"/>
      <c r="AE251" s="65"/>
      <c r="AF251" s="115"/>
      <c r="AG251" s="65"/>
      <c r="AH251" s="65"/>
      <c r="AI251" s="65"/>
      <c r="AJ251" s="65"/>
      <c r="AK251" s="115"/>
      <c r="AL251" s="65"/>
      <c r="AM251" s="65"/>
      <c r="AN251" s="65"/>
      <c r="AO251" s="65"/>
      <c r="AP251" s="115"/>
      <c r="AQ251" s="65"/>
      <c r="AR251" s="65"/>
      <c r="AS251" s="65"/>
      <c r="AT251" s="65"/>
      <c r="AU251" s="115"/>
      <c r="AV251" s="65"/>
      <c r="AW251" s="65"/>
      <c r="AX251" s="65"/>
      <c r="AY251" s="65"/>
      <c r="AZ251" s="115"/>
      <c r="BA251" s="65"/>
      <c r="BB251" s="65"/>
      <c r="BC251" s="65"/>
      <c r="BD251" s="65"/>
      <c r="BE251" s="115"/>
      <c r="BF251" s="65"/>
      <c r="BG251" s="65"/>
      <c r="BH251" s="65"/>
      <c r="BI251" s="65"/>
      <c r="BJ251" s="115"/>
      <c r="BK251" s="65"/>
      <c r="BL251" s="65"/>
      <c r="BM251" s="65"/>
      <c r="BN251" s="65"/>
      <c r="BO251" s="115"/>
      <c r="BP251" s="65"/>
      <c r="BQ251" s="65"/>
      <c r="BR251" s="65"/>
      <c r="BS251" s="65"/>
      <c r="BT251" s="115"/>
      <c r="BU251" s="65"/>
      <c r="BV251" s="65"/>
      <c r="BW251" s="65"/>
      <c r="BX251" s="65"/>
      <c r="BY251" s="115"/>
      <c r="BZ251" s="65"/>
      <c r="CA251" s="65"/>
      <c r="CB251" s="65"/>
      <c r="CC251" s="65"/>
      <c r="CD251" s="115"/>
    </row>
    <row r="252" spans="1:82">
      <c r="A252" s="39" t="s">
        <v>2462</v>
      </c>
      <c r="B252" s="55"/>
      <c r="C252" s="51"/>
      <c r="D252" s="51"/>
      <c r="E252" s="115"/>
      <c r="F252" s="115"/>
      <c r="G252" s="115"/>
      <c r="H252" s="65"/>
      <c r="I252" s="65"/>
      <c r="J252" s="65"/>
      <c r="K252" s="65"/>
      <c r="L252" s="115"/>
      <c r="M252" s="65"/>
      <c r="N252" s="65"/>
      <c r="O252" s="65"/>
      <c r="P252" s="65"/>
      <c r="Q252" s="115"/>
      <c r="R252" s="65"/>
      <c r="S252" s="65"/>
      <c r="T252" s="65"/>
      <c r="U252" s="65"/>
      <c r="V252" s="115"/>
      <c r="W252" s="65"/>
      <c r="X252" s="65"/>
      <c r="Y252" s="65"/>
      <c r="Z252" s="65"/>
      <c r="AA252" s="115"/>
      <c r="AB252" s="65"/>
      <c r="AC252" s="65"/>
      <c r="AD252" s="65"/>
      <c r="AE252" s="65"/>
      <c r="AF252" s="115"/>
      <c r="AG252" s="65"/>
      <c r="AH252" s="65"/>
      <c r="AI252" s="65"/>
      <c r="AJ252" s="65"/>
      <c r="AK252" s="115"/>
      <c r="AL252" s="65"/>
      <c r="AM252" s="65"/>
      <c r="AN252" s="65"/>
      <c r="AO252" s="65"/>
      <c r="AP252" s="115"/>
      <c r="AQ252" s="65"/>
      <c r="AR252" s="65"/>
      <c r="AS252" s="65"/>
      <c r="AT252" s="65"/>
      <c r="AU252" s="115"/>
      <c r="AV252" s="65"/>
      <c r="AW252" s="65"/>
      <c r="AX252" s="65"/>
      <c r="AY252" s="65"/>
      <c r="AZ252" s="115"/>
      <c r="BA252" s="65"/>
      <c r="BB252" s="65"/>
      <c r="BC252" s="65"/>
      <c r="BD252" s="65"/>
      <c r="BE252" s="115"/>
      <c r="BF252" s="65"/>
      <c r="BG252" s="65"/>
      <c r="BH252" s="65"/>
      <c r="BI252" s="65"/>
      <c r="BJ252" s="115"/>
      <c r="BK252" s="65"/>
      <c r="BL252" s="65"/>
      <c r="BM252" s="65"/>
      <c r="BN252" s="65"/>
      <c r="BO252" s="115"/>
      <c r="BP252" s="65"/>
      <c r="BQ252" s="65"/>
      <c r="BR252" s="65"/>
      <c r="BS252" s="65"/>
      <c r="BT252" s="115"/>
      <c r="BU252" s="65"/>
      <c r="BV252" s="65"/>
      <c r="BW252" s="65"/>
      <c r="BX252" s="65"/>
      <c r="BY252" s="115"/>
      <c r="BZ252" s="65"/>
      <c r="CA252" s="65"/>
      <c r="CB252" s="65"/>
      <c r="CC252" s="65"/>
      <c r="CD252" s="115"/>
    </row>
    <row r="253" spans="1:82">
      <c r="A253" s="39"/>
      <c r="B253" s="11" t="s">
        <v>2502</v>
      </c>
      <c r="C253" s="52"/>
      <c r="D253" s="52"/>
      <c r="E253" s="115">
        <f>IF(ISERROR(VLOOKUP($B253,'Woodmac profile - Oil'!$B$498:$AL$526,MATCH(E$225,'Woodmac profile - Oil'!$B$480:$AL$480),FALSE)),0,VLOOKUP($B253,'Woodmac profile - Oil'!$B$498:$AL$526,MATCH(E$225,'Woodmac profile - Oil'!$B$480:$AL$480),FALSE))</f>
        <v>184.17</v>
      </c>
      <c r="F253" s="115">
        <f>IF(ISERROR(VLOOKUP($B253,'Woodmac profile - Oil'!$B$498:$AL$526,MATCH(F$225,'Woodmac profile - Oil'!$B$480:$AL$480),FALSE)),0,VLOOKUP($B253,'Woodmac profile - Oil'!$B$498:$AL$526,MATCH(F$225,'Woodmac profile - Oil'!$B$480:$AL$480),FALSE))</f>
        <v>190.83000000000004</v>
      </c>
      <c r="G253" s="115">
        <f>IF(ISERROR(VLOOKUP($B253,'Woodmac profile - Oil'!$B$498:$AL$526,MATCH(G$225,'Woodmac profile - Oil'!$B$480:$AL$480),FALSE)),0,VLOOKUP($B253,'Woodmac profile - Oil'!$B$498:$AL$526,MATCH(G$225,'Woodmac profile - Oil'!$B$480:$AL$480),FALSE))</f>
        <v>196.76000000000002</v>
      </c>
      <c r="H253" s="65">
        <f t="shared" ref="H253:H264" si="627">L253</f>
        <v>218.33</v>
      </c>
      <c r="I253" s="65">
        <f t="shared" ref="I253:I264" si="628">L253</f>
        <v>218.33</v>
      </c>
      <c r="J253" s="12">
        <f t="shared" ref="J253:J264" si="629">L253</f>
        <v>218.33</v>
      </c>
      <c r="K253" s="12">
        <f t="shared" ref="K253:K264" si="630">L253</f>
        <v>218.33</v>
      </c>
      <c r="L253" s="115">
        <f>IF(ISERROR(VLOOKUP($B253,'Woodmac profile - Oil'!$B$498:$AL$526,MATCH(L$225,'Woodmac profile - Oil'!$B$480:$AL$480),FALSE)),0,VLOOKUP($B253,'Woodmac profile - Oil'!$B$498:$AL$526,MATCH(L$225,'Woodmac profile - Oil'!$B$480:$AL$480),FALSE))</f>
        <v>218.33</v>
      </c>
      <c r="M253" s="65">
        <f t="shared" ref="M253:M264" si="631">Q253</f>
        <v>209.05</v>
      </c>
      <c r="N253" s="65">
        <f t="shared" ref="N253:N264" si="632">Q253</f>
        <v>209.05</v>
      </c>
      <c r="O253" s="12">
        <f t="shared" ref="O253:O264" si="633">Q253</f>
        <v>209.05</v>
      </c>
      <c r="P253" s="12">
        <f t="shared" ref="P253" si="634">Q253</f>
        <v>209.05</v>
      </c>
      <c r="Q253" s="115">
        <f>IF(ISERROR(VLOOKUP($B253,'Woodmac profile - Oil'!$B$498:$AL$526,MATCH(Q$225,'Woodmac profile - Oil'!$B$480:$AL$480),FALSE)),0,VLOOKUP($B253,'Woodmac profile - Oil'!$B$498:$AL$526,MATCH(Q$225,'Woodmac profile - Oil'!$B$480:$AL$480),FALSE))</f>
        <v>209.05</v>
      </c>
      <c r="R253" s="65">
        <f t="shared" ref="R253:R264" si="635">V253</f>
        <v>215.14000000000001</v>
      </c>
      <c r="S253" s="65">
        <f t="shared" ref="S253:S264" si="636">V253</f>
        <v>215.14000000000001</v>
      </c>
      <c r="T253" s="12">
        <f t="shared" ref="T253:T264" si="637">V253</f>
        <v>215.14000000000001</v>
      </c>
      <c r="U253" s="12">
        <f t="shared" ref="U253" si="638">V253</f>
        <v>215.14000000000001</v>
      </c>
      <c r="V253" s="115">
        <f>IF(ISERROR(VLOOKUP($B253,'Woodmac profile - Oil'!$B$498:$AL$526,MATCH(V$225,'Woodmac profile - Oil'!$B$480:$AL$480),FALSE)),0,VLOOKUP($B253,'Woodmac profile - Oil'!$B$498:$AL$526,MATCH(V$225,'Woodmac profile - Oil'!$B$480:$AL$480),FALSE))</f>
        <v>215.14000000000001</v>
      </c>
      <c r="W253" s="65">
        <f t="shared" ref="W253:W264" si="639">AA253</f>
        <v>185.61</v>
      </c>
      <c r="X253" s="65">
        <f t="shared" ref="X253:X264" si="640">AA253</f>
        <v>185.61</v>
      </c>
      <c r="Y253" s="12">
        <f t="shared" ref="Y253:Y264" si="641">AA253</f>
        <v>185.61</v>
      </c>
      <c r="Z253" s="12">
        <f t="shared" ref="Z253" si="642">AA253</f>
        <v>185.61</v>
      </c>
      <c r="AA253" s="115">
        <f>IF(ISERROR(VLOOKUP($B253,'Woodmac profile - Oil'!$B$498:$AL$526,MATCH(AA$225,'Woodmac profile - Oil'!$B$480:$AL$480),FALSE)),0,VLOOKUP($B253,'Woodmac profile - Oil'!$B$498:$AL$526,MATCH(AA$225,'Woodmac profile - Oil'!$B$480:$AL$480),FALSE))</f>
        <v>185.61</v>
      </c>
      <c r="AB253" s="65">
        <f t="shared" ref="AB253:AB264" si="643">AF253</f>
        <v>192.03999999999996</v>
      </c>
      <c r="AC253" s="65">
        <f t="shared" ref="AC253:AC264" si="644">AF253</f>
        <v>192.03999999999996</v>
      </c>
      <c r="AD253" s="12">
        <f t="shared" ref="AD253:AD264" si="645">AF253</f>
        <v>192.03999999999996</v>
      </c>
      <c r="AE253" s="12">
        <f t="shared" ref="AE253" si="646">AF253</f>
        <v>192.03999999999996</v>
      </c>
      <c r="AF253" s="115">
        <f>IF(ISERROR(VLOOKUP($B253,'Woodmac profile - Oil'!$B$498:$AL$526,MATCH(AF$225,'Woodmac profile - Oil'!$B$480:$AL$480),FALSE)),0,VLOOKUP($B253,'Woodmac profile - Oil'!$B$498:$AL$526,MATCH(AF$225,'Woodmac profile - Oil'!$B$480:$AL$480),FALSE))</f>
        <v>192.03999999999996</v>
      </c>
      <c r="AG253" s="65">
        <f t="shared" ref="AG253:AG264" si="647">AK253</f>
        <v>209.16</v>
      </c>
      <c r="AH253" s="65">
        <f t="shared" ref="AH253:AH264" si="648">AK253</f>
        <v>209.16</v>
      </c>
      <c r="AI253" s="12">
        <f t="shared" ref="AI253:AI264" si="649">AK253</f>
        <v>209.16</v>
      </c>
      <c r="AJ253" s="12">
        <f t="shared" ref="AJ253" si="650">AK253</f>
        <v>209.16</v>
      </c>
      <c r="AK253" s="115">
        <f>IF(ISERROR(VLOOKUP($B253,'Woodmac profile - Oil'!$B$498:$AL$526,MATCH(AK$225,'Woodmac profile - Oil'!$B$480:$AL$480),FALSE)),0,VLOOKUP($B253,'Woodmac profile - Oil'!$B$498:$AL$526,MATCH(AK$225,'Woodmac profile - Oil'!$B$480:$AL$480),FALSE))</f>
        <v>209.16</v>
      </c>
      <c r="AL253" s="65">
        <f t="shared" ref="AL253:AL264" si="651">AP253</f>
        <v>215.01</v>
      </c>
      <c r="AM253" s="65">
        <f t="shared" ref="AM253:AM264" si="652">AP253</f>
        <v>215.01</v>
      </c>
      <c r="AN253" s="12">
        <f t="shared" ref="AN253:AN264" si="653">AP253</f>
        <v>215.01</v>
      </c>
      <c r="AO253" s="12">
        <f t="shared" ref="AO253" si="654">AP253</f>
        <v>215.01</v>
      </c>
      <c r="AP253" s="115">
        <f>IF(ISERROR(VLOOKUP($B253,'Woodmac profile - Oil'!$B$498:$AL$526,MATCH(AP$225,'Woodmac profile - Oil'!$B$480:$AL$480),FALSE)),0,VLOOKUP($B253,'Woodmac profile - Oil'!$B$498:$AL$526,MATCH(AP$225,'Woodmac profile - Oil'!$B$480:$AL$480),FALSE))</f>
        <v>215.01</v>
      </c>
      <c r="AQ253" s="65">
        <f t="shared" ref="AQ253:AQ264" si="655">AU253</f>
        <v>228.6</v>
      </c>
      <c r="AR253" s="65">
        <f t="shared" ref="AR253:AR264" si="656">AU253</f>
        <v>228.6</v>
      </c>
      <c r="AS253" s="12">
        <f t="shared" ref="AS253:AS264" si="657">AU253</f>
        <v>228.6</v>
      </c>
      <c r="AT253" s="12">
        <f t="shared" ref="AT253" si="658">AU253</f>
        <v>228.6</v>
      </c>
      <c r="AU253" s="115">
        <f>IF(ISERROR(VLOOKUP($B253,'Woodmac profile - Oil'!$B$498:$AL$526,MATCH(AU$225,'Woodmac profile - Oil'!$B$480:$AL$480),FALSE)),0,VLOOKUP($B253,'Woodmac profile - Oil'!$B$498:$AL$526,MATCH(AU$225,'Woodmac profile - Oil'!$B$480:$AL$480),FALSE))</f>
        <v>228.6</v>
      </c>
      <c r="AV253" s="65">
        <f t="shared" ref="AV253:AV264" si="659">AZ253</f>
        <v>102.71000000000001</v>
      </c>
      <c r="AW253" s="65">
        <f t="shared" ref="AW253:AW264" si="660">AZ253</f>
        <v>102.71000000000001</v>
      </c>
      <c r="AX253" s="12">
        <f t="shared" ref="AX253:AX264" si="661">AZ253</f>
        <v>102.71000000000001</v>
      </c>
      <c r="AY253" s="12">
        <f t="shared" ref="AY253" si="662">AZ253</f>
        <v>102.71000000000001</v>
      </c>
      <c r="AZ253" s="115">
        <f>IF(ISERROR(VLOOKUP($B253,'Woodmac profile - Oil'!$B$498:$AL$526,MATCH(AZ$225,'Woodmac profile - Oil'!$B$480:$AL$480),FALSE)),0,VLOOKUP($B253,'Woodmac profile - Oil'!$B$498:$AL$526,MATCH(AZ$225,'Woodmac profile - Oil'!$B$480:$AL$480),FALSE))</f>
        <v>102.71000000000001</v>
      </c>
      <c r="BA253" s="65">
        <f t="shared" ref="BA253:BA264" si="663">BE253</f>
        <v>95.49</v>
      </c>
      <c r="BB253" s="65">
        <f t="shared" ref="BB253:BB264" si="664">BE253</f>
        <v>95.49</v>
      </c>
      <c r="BC253" s="12">
        <f t="shared" ref="BC253:BC264" si="665">BE253</f>
        <v>95.49</v>
      </c>
      <c r="BD253" s="12">
        <f t="shared" ref="BD253" si="666">BE253</f>
        <v>95.49</v>
      </c>
      <c r="BE253" s="115">
        <f>IF(ISERROR(VLOOKUP($B253,'Woodmac profile - Oil'!$B$498:$AL$526,MATCH(BE$225,'Woodmac profile - Oil'!$B$480:$AL$480),FALSE)),0,VLOOKUP($B253,'Woodmac profile - Oil'!$B$498:$AL$526,MATCH(BE$225,'Woodmac profile - Oil'!$B$480:$AL$480),FALSE))</f>
        <v>95.49</v>
      </c>
      <c r="BF253" s="65">
        <f t="shared" ref="BF253:BF264" si="667">BJ253</f>
        <v>101.35</v>
      </c>
      <c r="BG253" s="65">
        <f t="shared" ref="BG253:BG264" si="668">BJ253</f>
        <v>101.35</v>
      </c>
      <c r="BH253" s="65">
        <f t="shared" ref="BH253:BH264" si="669">BJ253</f>
        <v>101.35</v>
      </c>
      <c r="BI253" s="65">
        <f t="shared" ref="BI253" si="670">BJ253</f>
        <v>101.35</v>
      </c>
      <c r="BJ253" s="115">
        <f>IF(ISERROR(VLOOKUP($B253,'Woodmac profile - Oil'!$B$498:$AL$526,MATCH(BJ$225,'Woodmac profile - Oil'!$B$480:$AL$480),FALSE)),0,VLOOKUP($B253,'Woodmac profile - Oil'!$B$498:$AL$526,MATCH(BJ$225,'Woodmac profile - Oil'!$B$480:$AL$480),FALSE))</f>
        <v>101.35</v>
      </c>
      <c r="BK253" s="65">
        <f t="shared" ref="BK253:BK264" si="671">BO253</f>
        <v>102.65</v>
      </c>
      <c r="BL253" s="65">
        <f t="shared" ref="BL253:BL264" si="672">BO253</f>
        <v>102.65</v>
      </c>
      <c r="BM253" s="65">
        <f t="shared" ref="BM253:BM264" si="673">BO253</f>
        <v>102.65</v>
      </c>
      <c r="BN253" s="12">
        <f t="shared" ref="BN253" si="674">BO253</f>
        <v>102.65</v>
      </c>
      <c r="BO253" s="115">
        <f>IF(ISERROR(VLOOKUP($B253,'Woodmac profile - Oil'!$B$498:$AL$526,MATCH(BO$225,'Woodmac profile - Oil'!$B$480:$AL$480),FALSE)),0,VLOOKUP($B253,'Woodmac profile - Oil'!$B$498:$AL$526,MATCH(BO$225,'Woodmac profile - Oil'!$B$480:$AL$480),FALSE))</f>
        <v>102.65</v>
      </c>
      <c r="BP253" s="65">
        <f t="shared" ref="BP253:BP264" si="675">BT253</f>
        <v>19.8</v>
      </c>
      <c r="BQ253" s="65">
        <f t="shared" ref="BQ253:BQ264" si="676">BT253</f>
        <v>19.8</v>
      </c>
      <c r="BR253" s="12">
        <f t="shared" ref="BR253:BR264" si="677">BT253</f>
        <v>19.8</v>
      </c>
      <c r="BS253" s="12">
        <f t="shared" ref="BS253" si="678">BT253</f>
        <v>19.8</v>
      </c>
      <c r="BT253" s="115">
        <f>IF(ISERROR(VLOOKUP($B253,'Woodmac profile - Oil'!$B$498:$AL$526,MATCH(BT$225,'Woodmac profile - Oil'!$B$480:$AL$480),FALSE)),0,VLOOKUP($B253,'Woodmac profile - Oil'!$B$498:$AL$526,MATCH(BT$225,'Woodmac profile - Oil'!$B$480:$AL$480),FALSE))</f>
        <v>19.8</v>
      </c>
      <c r="BU253" s="65">
        <f t="shared" ref="BU253:BU264" si="679">BY253</f>
        <v>0</v>
      </c>
      <c r="BV253" s="65">
        <f t="shared" ref="BV253:BV264" si="680">BY253</f>
        <v>0</v>
      </c>
      <c r="BW253" s="12">
        <f t="shared" ref="BW253:BW264" si="681">BY253</f>
        <v>0</v>
      </c>
      <c r="BX253" s="12">
        <f t="shared" ref="BX253" si="682">BY253</f>
        <v>0</v>
      </c>
      <c r="BY253" s="115">
        <f>IF(ISERROR(VLOOKUP($B253,'Woodmac profile - Oil'!$B$498:$AL$526,MATCH(BY$225,'Woodmac profile - Oil'!$B$480:$AL$480),FALSE)),0,VLOOKUP($B253,'Woodmac profile - Oil'!$B$498:$AL$526,MATCH(BY$225,'Woodmac profile - Oil'!$B$480:$AL$480),FALSE))</f>
        <v>0</v>
      </c>
      <c r="BZ253" s="65">
        <f t="shared" ref="BZ253:BZ264" si="683">CD253</f>
        <v>0</v>
      </c>
      <c r="CA253" s="65">
        <f t="shared" ref="CA253:CA264" si="684">CD253</f>
        <v>0</v>
      </c>
      <c r="CB253" s="12">
        <f t="shared" ref="CB253:CB264" si="685">CD253</f>
        <v>0</v>
      </c>
      <c r="CC253" s="12">
        <f t="shared" ref="CC253" si="686">CD253</f>
        <v>0</v>
      </c>
      <c r="CD253" s="115">
        <f>IF(ISERROR(VLOOKUP($B253,'Woodmac profile - Oil'!$B$498:$AL$526,MATCH(CD$225,'Woodmac profile - Oil'!$B$480:$AL$480),FALSE)),0,VLOOKUP($B253,'Woodmac profile - Oil'!$B$498:$AL$526,MATCH(CD$225,'Woodmac profile - Oil'!$B$480:$AL$480),FALSE))</f>
        <v>0</v>
      </c>
    </row>
    <row r="254" spans="1:82">
      <c r="A254" s="11"/>
      <c r="B254" s="11" t="s">
        <v>726</v>
      </c>
      <c r="C254" s="52"/>
      <c r="D254" s="52"/>
      <c r="E254" s="115">
        <f>IF(ISERROR(VLOOKUP($B254,'Woodmac profile - Oil'!$B$498:$AL$526,MATCH(E$225,'Woodmac profile - Oil'!$B$480:$AL$480),FALSE)),0,VLOOKUP($B254,'Woodmac profile - Oil'!$B$498:$AL$526,MATCH(E$225,'Woodmac profile - Oil'!$B$480:$AL$480),FALSE))</f>
        <v>0</v>
      </c>
      <c r="F254" s="115">
        <f>IF(ISERROR(VLOOKUP($B254,'Woodmac profile - Oil'!$B$498:$AL$526,MATCH(F$225,'Woodmac profile - Oil'!$B$480:$AL$480),FALSE)),0,VLOOKUP($B254,'Woodmac profile - Oil'!$B$498:$AL$526,MATCH(F$225,'Woodmac profile - Oil'!$B$480:$AL$480),FALSE))</f>
        <v>0</v>
      </c>
      <c r="G254" s="115">
        <f>IF(ISERROR(VLOOKUP($B254,'Woodmac profile - Oil'!$B$498:$AL$526,MATCH(G$225,'Woodmac profile - Oil'!$B$480:$AL$480),FALSE)),0,VLOOKUP($B254,'Woodmac profile - Oil'!$B$498:$AL$526,MATCH(G$225,'Woodmac profile - Oil'!$B$480:$AL$480),FALSE))</f>
        <v>0</v>
      </c>
      <c r="H254" s="65">
        <f t="shared" si="627"/>
        <v>0</v>
      </c>
      <c r="I254" s="65">
        <f t="shared" si="628"/>
        <v>0</v>
      </c>
      <c r="J254" s="12">
        <f t="shared" si="629"/>
        <v>0</v>
      </c>
      <c r="K254" s="12">
        <f t="shared" si="630"/>
        <v>0</v>
      </c>
      <c r="L254" s="115">
        <f>IF(ISERROR(VLOOKUP($B254,'Woodmac profile - Oil'!$B$498:$AL$526,MATCH(L$225,'Woodmac profile - Oil'!$B$480:$AL$480),FALSE)),0,VLOOKUP($B254,'Woodmac profile - Oil'!$B$498:$AL$526,MATCH(L$225,'Woodmac profile - Oil'!$B$480:$AL$480),FALSE))</f>
        <v>0</v>
      </c>
      <c r="M254" s="65">
        <f t="shared" si="631"/>
        <v>0</v>
      </c>
      <c r="N254" s="65">
        <f t="shared" si="632"/>
        <v>0</v>
      </c>
      <c r="O254" s="12">
        <f t="shared" si="633"/>
        <v>0</v>
      </c>
      <c r="P254" s="12">
        <f t="shared" ref="P254" si="687">Q254</f>
        <v>0</v>
      </c>
      <c r="Q254" s="115">
        <f>IF(ISERROR(VLOOKUP($B254,'Woodmac profile - Oil'!$B$498:$AL$526,MATCH(Q$225,'Woodmac profile - Oil'!$B$480:$AL$480),FALSE)),0,VLOOKUP($B254,'Woodmac profile - Oil'!$B$498:$AL$526,MATCH(Q$225,'Woodmac profile - Oil'!$B$480:$AL$480),FALSE))</f>
        <v>0</v>
      </c>
      <c r="R254" s="65">
        <f t="shared" si="635"/>
        <v>0</v>
      </c>
      <c r="S254" s="65">
        <f t="shared" si="636"/>
        <v>0</v>
      </c>
      <c r="T254" s="12">
        <f t="shared" si="637"/>
        <v>0</v>
      </c>
      <c r="U254" s="12">
        <f t="shared" ref="U254" si="688">V254</f>
        <v>0</v>
      </c>
      <c r="V254" s="115">
        <f>IF(ISERROR(VLOOKUP($B254,'Woodmac profile - Oil'!$B$498:$AL$526,MATCH(V$225,'Woodmac profile - Oil'!$B$480:$AL$480),FALSE)),0,VLOOKUP($B254,'Woodmac profile - Oil'!$B$498:$AL$526,MATCH(V$225,'Woodmac profile - Oil'!$B$480:$AL$480),FALSE))</f>
        <v>0</v>
      </c>
      <c r="W254" s="65">
        <f t="shared" si="639"/>
        <v>0</v>
      </c>
      <c r="X254" s="65">
        <f t="shared" si="640"/>
        <v>0</v>
      </c>
      <c r="Y254" s="12">
        <f t="shared" si="641"/>
        <v>0</v>
      </c>
      <c r="Z254" s="12">
        <f t="shared" ref="Z254" si="689">AA254</f>
        <v>0</v>
      </c>
      <c r="AA254" s="115">
        <f>IF(ISERROR(VLOOKUP($B254,'Woodmac profile - Oil'!$B$498:$AL$526,MATCH(AA$225,'Woodmac profile - Oil'!$B$480:$AL$480),FALSE)),0,VLOOKUP($B254,'Woodmac profile - Oil'!$B$498:$AL$526,MATCH(AA$225,'Woodmac profile - Oil'!$B$480:$AL$480),FALSE))</f>
        <v>0</v>
      </c>
      <c r="AB254" s="65">
        <f t="shared" si="643"/>
        <v>0</v>
      </c>
      <c r="AC254" s="65">
        <f t="shared" si="644"/>
        <v>0</v>
      </c>
      <c r="AD254" s="12">
        <f t="shared" si="645"/>
        <v>0</v>
      </c>
      <c r="AE254" s="12">
        <f t="shared" ref="AE254" si="690">AF254</f>
        <v>0</v>
      </c>
      <c r="AF254" s="115">
        <f>IF(ISERROR(VLOOKUP($B254,'Woodmac profile - Oil'!$B$498:$AL$526,MATCH(AF$225,'Woodmac profile - Oil'!$B$480:$AL$480),FALSE)),0,VLOOKUP($B254,'Woodmac profile - Oil'!$B$498:$AL$526,MATCH(AF$225,'Woodmac profile - Oil'!$B$480:$AL$480),FALSE))</f>
        <v>0</v>
      </c>
      <c r="AG254" s="65">
        <f t="shared" si="647"/>
        <v>0</v>
      </c>
      <c r="AH254" s="65">
        <f t="shared" si="648"/>
        <v>0</v>
      </c>
      <c r="AI254" s="12">
        <f t="shared" si="649"/>
        <v>0</v>
      </c>
      <c r="AJ254" s="12">
        <f t="shared" ref="AJ254" si="691">AK254</f>
        <v>0</v>
      </c>
      <c r="AK254" s="115">
        <f>IF(ISERROR(VLOOKUP($B254,'Woodmac profile - Oil'!$B$498:$AL$526,MATCH(AK$225,'Woodmac profile - Oil'!$B$480:$AL$480),FALSE)),0,VLOOKUP($B254,'Woodmac profile - Oil'!$B$498:$AL$526,MATCH(AK$225,'Woodmac profile - Oil'!$B$480:$AL$480),FALSE))</f>
        <v>0</v>
      </c>
      <c r="AL254" s="65">
        <f t="shared" si="651"/>
        <v>0</v>
      </c>
      <c r="AM254" s="65">
        <f t="shared" si="652"/>
        <v>0</v>
      </c>
      <c r="AN254" s="12">
        <f t="shared" si="653"/>
        <v>0</v>
      </c>
      <c r="AO254" s="12">
        <f t="shared" ref="AO254" si="692">AP254</f>
        <v>0</v>
      </c>
      <c r="AP254" s="115">
        <f>IF(ISERROR(VLOOKUP($B254,'Woodmac profile - Oil'!$B$498:$AL$526,MATCH(AP$225,'Woodmac profile - Oil'!$B$480:$AL$480),FALSE)),0,VLOOKUP($B254,'Woodmac profile - Oil'!$B$498:$AL$526,MATCH(AP$225,'Woodmac profile - Oil'!$B$480:$AL$480),FALSE))</f>
        <v>0</v>
      </c>
      <c r="AQ254" s="65">
        <f t="shared" si="655"/>
        <v>0</v>
      </c>
      <c r="AR254" s="65">
        <f t="shared" si="656"/>
        <v>0</v>
      </c>
      <c r="AS254" s="12">
        <f t="shared" si="657"/>
        <v>0</v>
      </c>
      <c r="AT254" s="12">
        <f t="shared" ref="AT254" si="693">AU254</f>
        <v>0</v>
      </c>
      <c r="AU254" s="115">
        <f>IF(ISERROR(VLOOKUP($B254,'Woodmac profile - Oil'!$B$498:$AL$526,MATCH(AU$225,'Woodmac profile - Oil'!$B$480:$AL$480),FALSE)),0,VLOOKUP($B254,'Woodmac profile - Oil'!$B$498:$AL$526,MATCH(AU$225,'Woodmac profile - Oil'!$B$480:$AL$480),FALSE))</f>
        <v>0</v>
      </c>
      <c r="AV254" s="65">
        <f t="shared" si="659"/>
        <v>0</v>
      </c>
      <c r="AW254" s="65">
        <f t="shared" si="660"/>
        <v>0</v>
      </c>
      <c r="AX254" s="12">
        <f t="shared" si="661"/>
        <v>0</v>
      </c>
      <c r="AY254" s="12">
        <f t="shared" ref="AY254" si="694">AZ254</f>
        <v>0</v>
      </c>
      <c r="AZ254" s="115">
        <f>IF(ISERROR(VLOOKUP($B254,'Woodmac profile - Oil'!$B$498:$AL$526,MATCH(AZ$225,'Woodmac profile - Oil'!$B$480:$AL$480),FALSE)),0,VLOOKUP($B254,'Woodmac profile - Oil'!$B$498:$AL$526,MATCH(AZ$225,'Woodmac profile - Oil'!$B$480:$AL$480),FALSE))</f>
        <v>0</v>
      </c>
      <c r="BA254" s="65">
        <f t="shared" si="663"/>
        <v>0</v>
      </c>
      <c r="BB254" s="65">
        <f t="shared" si="664"/>
        <v>0</v>
      </c>
      <c r="BC254" s="12">
        <f t="shared" si="665"/>
        <v>0</v>
      </c>
      <c r="BD254" s="12">
        <f t="shared" ref="BD254" si="695">BE254</f>
        <v>0</v>
      </c>
      <c r="BE254" s="115">
        <f>IF(ISERROR(VLOOKUP($B254,'Woodmac profile - Oil'!$B$498:$AL$526,MATCH(BE$225,'Woodmac profile - Oil'!$B$480:$AL$480),FALSE)),0,VLOOKUP($B254,'Woodmac profile - Oil'!$B$498:$AL$526,MATCH(BE$225,'Woodmac profile - Oil'!$B$480:$AL$480),FALSE))</f>
        <v>0</v>
      </c>
      <c r="BF254" s="65">
        <f t="shared" si="667"/>
        <v>0</v>
      </c>
      <c r="BG254" s="65">
        <f t="shared" si="668"/>
        <v>0</v>
      </c>
      <c r="BH254" s="65">
        <f t="shared" si="669"/>
        <v>0</v>
      </c>
      <c r="BI254" s="65">
        <f t="shared" ref="BI254" si="696">BJ254</f>
        <v>0</v>
      </c>
      <c r="BJ254" s="115">
        <f>IF(ISERROR(VLOOKUP($B254,'Woodmac profile - Oil'!$B$498:$AL$526,MATCH(BJ$225,'Woodmac profile - Oil'!$B$480:$AL$480),FALSE)),0,VLOOKUP($B254,'Woodmac profile - Oil'!$B$498:$AL$526,MATCH(BJ$225,'Woodmac profile - Oil'!$B$480:$AL$480),FALSE))</f>
        <v>0</v>
      </c>
      <c r="BK254" s="65">
        <f t="shared" si="671"/>
        <v>0</v>
      </c>
      <c r="BL254" s="65">
        <f t="shared" si="672"/>
        <v>0</v>
      </c>
      <c r="BM254" s="65">
        <f t="shared" si="673"/>
        <v>0</v>
      </c>
      <c r="BN254" s="12">
        <f t="shared" ref="BN254" si="697">BO254</f>
        <v>0</v>
      </c>
      <c r="BO254" s="115">
        <f>IF(ISERROR(VLOOKUP($B254,'Woodmac profile - Oil'!$B$498:$AL$526,MATCH(BO$225,'Woodmac profile - Oil'!$B$480:$AL$480),FALSE)),0,VLOOKUP($B254,'Woodmac profile - Oil'!$B$498:$AL$526,MATCH(BO$225,'Woodmac profile - Oil'!$B$480:$AL$480),FALSE))</f>
        <v>0</v>
      </c>
      <c r="BP254" s="65">
        <f t="shared" si="675"/>
        <v>0</v>
      </c>
      <c r="BQ254" s="65">
        <f t="shared" si="676"/>
        <v>0</v>
      </c>
      <c r="BR254" s="12">
        <f t="shared" si="677"/>
        <v>0</v>
      </c>
      <c r="BS254" s="12">
        <f t="shared" ref="BS254" si="698">BT254</f>
        <v>0</v>
      </c>
      <c r="BT254" s="115">
        <f>IF(ISERROR(VLOOKUP($B254,'Woodmac profile - Oil'!$B$498:$AL$526,MATCH(BT$225,'Woodmac profile - Oil'!$B$480:$AL$480),FALSE)),0,VLOOKUP($B254,'Woodmac profile - Oil'!$B$498:$AL$526,MATCH(BT$225,'Woodmac profile - Oil'!$B$480:$AL$480),FALSE))</f>
        <v>0</v>
      </c>
      <c r="BU254" s="65">
        <f t="shared" si="679"/>
        <v>0</v>
      </c>
      <c r="BV254" s="65">
        <f t="shared" si="680"/>
        <v>0</v>
      </c>
      <c r="BW254" s="12">
        <f t="shared" si="681"/>
        <v>0</v>
      </c>
      <c r="BX254" s="12">
        <f t="shared" ref="BX254" si="699">BY254</f>
        <v>0</v>
      </c>
      <c r="BY254" s="115">
        <f>IF(ISERROR(VLOOKUP($B254,'Woodmac profile - Oil'!$B$498:$AL$526,MATCH(BY$225,'Woodmac profile - Oil'!$B$480:$AL$480),FALSE)),0,VLOOKUP($B254,'Woodmac profile - Oil'!$B$498:$AL$526,MATCH(BY$225,'Woodmac profile - Oil'!$B$480:$AL$480),FALSE))</f>
        <v>0</v>
      </c>
      <c r="BZ254" s="65">
        <f t="shared" si="683"/>
        <v>0</v>
      </c>
      <c r="CA254" s="65">
        <f t="shared" si="684"/>
        <v>0</v>
      </c>
      <c r="CB254" s="12">
        <f t="shared" si="685"/>
        <v>0</v>
      </c>
      <c r="CC254" s="12">
        <f t="shared" ref="CC254" si="700">CD254</f>
        <v>0</v>
      </c>
      <c r="CD254" s="115">
        <f>IF(ISERROR(VLOOKUP($B254,'Woodmac profile - Oil'!$B$498:$AL$526,MATCH(CD$225,'Woodmac profile - Oil'!$B$480:$AL$480),FALSE)),0,VLOOKUP($B254,'Woodmac profile - Oil'!$B$498:$AL$526,MATCH(CD$225,'Woodmac profile - Oil'!$B$480:$AL$480),FALSE))</f>
        <v>0</v>
      </c>
    </row>
    <row r="255" spans="1:82">
      <c r="A255" s="11"/>
      <c r="B255" s="11" t="s">
        <v>216</v>
      </c>
      <c r="C255" s="52"/>
      <c r="D255" s="52"/>
      <c r="E255" s="115">
        <f>IF(ISERROR(VLOOKUP($B255,'Woodmac profile - Oil'!$B$498:$AL$526,MATCH(E$225,'Woodmac profile - Oil'!$B$480:$AL$480),FALSE)),0,VLOOKUP($B255,'Woodmac profile - Oil'!$B$498:$AL$526,MATCH(E$225,'Woodmac profile - Oil'!$B$480:$AL$480),FALSE))</f>
        <v>0</v>
      </c>
      <c r="F255" s="115">
        <f>IF(ISERROR(VLOOKUP($B255,'Woodmac profile - Oil'!$B$498:$AL$526,MATCH(F$225,'Woodmac profile - Oil'!$B$480:$AL$480),FALSE)),0,VLOOKUP($B255,'Woodmac profile - Oil'!$B$498:$AL$526,MATCH(F$225,'Woodmac profile - Oil'!$B$480:$AL$480),FALSE))</f>
        <v>0</v>
      </c>
      <c r="G255" s="115">
        <f>IF(ISERROR(VLOOKUP($B255,'Woodmac profile - Oil'!$B$498:$AL$526,MATCH(G$225,'Woodmac profile - Oil'!$B$480:$AL$480),FALSE)),0,VLOOKUP($B255,'Woodmac profile - Oil'!$B$498:$AL$526,MATCH(G$225,'Woodmac profile - Oil'!$B$480:$AL$480),FALSE))</f>
        <v>0</v>
      </c>
      <c r="H255" s="65">
        <f t="shared" si="627"/>
        <v>0</v>
      </c>
      <c r="I255" s="65">
        <f t="shared" si="628"/>
        <v>0</v>
      </c>
      <c r="J255" s="12">
        <f t="shared" si="629"/>
        <v>0</v>
      </c>
      <c r="K255" s="12">
        <f t="shared" si="630"/>
        <v>0</v>
      </c>
      <c r="L255" s="115">
        <f>IF(ISERROR(VLOOKUP($B255,'Woodmac profile - Oil'!$B$498:$AL$526,MATCH(L$225,'Woodmac profile - Oil'!$B$480:$AL$480),FALSE)),0,VLOOKUP($B255,'Woodmac profile - Oil'!$B$498:$AL$526,MATCH(L$225,'Woodmac profile - Oil'!$B$480:$AL$480),FALSE))</f>
        <v>0</v>
      </c>
      <c r="M255" s="65">
        <f t="shared" si="631"/>
        <v>0</v>
      </c>
      <c r="N255" s="65">
        <f t="shared" si="632"/>
        <v>0</v>
      </c>
      <c r="O255" s="12">
        <f t="shared" si="633"/>
        <v>0</v>
      </c>
      <c r="P255" s="12">
        <f t="shared" ref="P255" si="701">Q255</f>
        <v>0</v>
      </c>
      <c r="Q255" s="115">
        <f>IF(ISERROR(VLOOKUP($B255,'Woodmac profile - Oil'!$B$498:$AL$526,MATCH(Q$225,'Woodmac profile - Oil'!$B$480:$AL$480),FALSE)),0,VLOOKUP($B255,'Woodmac profile - Oil'!$B$498:$AL$526,MATCH(Q$225,'Woodmac profile - Oil'!$B$480:$AL$480),FALSE))</f>
        <v>0</v>
      </c>
      <c r="R255" s="65">
        <f t="shared" si="635"/>
        <v>0</v>
      </c>
      <c r="S255" s="65">
        <f t="shared" si="636"/>
        <v>0</v>
      </c>
      <c r="T255" s="12">
        <f t="shared" si="637"/>
        <v>0</v>
      </c>
      <c r="U255" s="12">
        <f t="shared" ref="U255" si="702">V255</f>
        <v>0</v>
      </c>
      <c r="V255" s="115">
        <f>IF(ISERROR(VLOOKUP($B255,'Woodmac profile - Oil'!$B$498:$AL$526,MATCH(V$225,'Woodmac profile - Oil'!$B$480:$AL$480),FALSE)),0,VLOOKUP($B255,'Woodmac profile - Oil'!$B$498:$AL$526,MATCH(V$225,'Woodmac profile - Oil'!$B$480:$AL$480),FALSE))</f>
        <v>0</v>
      </c>
      <c r="W255" s="65">
        <f t="shared" si="639"/>
        <v>0</v>
      </c>
      <c r="X255" s="65">
        <f t="shared" si="640"/>
        <v>0</v>
      </c>
      <c r="Y255" s="12">
        <f t="shared" si="641"/>
        <v>0</v>
      </c>
      <c r="Z255" s="12">
        <f t="shared" ref="Z255" si="703">AA255</f>
        <v>0</v>
      </c>
      <c r="AA255" s="115">
        <f>IF(ISERROR(VLOOKUP($B255,'Woodmac profile - Oil'!$B$498:$AL$526,MATCH(AA$225,'Woodmac profile - Oil'!$B$480:$AL$480),FALSE)),0,VLOOKUP($B255,'Woodmac profile - Oil'!$B$498:$AL$526,MATCH(AA$225,'Woodmac profile - Oil'!$B$480:$AL$480),FALSE))</f>
        <v>0</v>
      </c>
      <c r="AB255" s="65">
        <f t="shared" si="643"/>
        <v>0</v>
      </c>
      <c r="AC255" s="65">
        <f t="shared" si="644"/>
        <v>0</v>
      </c>
      <c r="AD255" s="12">
        <f t="shared" si="645"/>
        <v>0</v>
      </c>
      <c r="AE255" s="12">
        <f t="shared" ref="AE255" si="704">AF255</f>
        <v>0</v>
      </c>
      <c r="AF255" s="115">
        <f>IF(ISERROR(VLOOKUP($B255,'Woodmac profile - Oil'!$B$498:$AL$526,MATCH(AF$225,'Woodmac profile - Oil'!$B$480:$AL$480),FALSE)),0,VLOOKUP($B255,'Woodmac profile - Oil'!$B$498:$AL$526,MATCH(AF$225,'Woodmac profile - Oil'!$B$480:$AL$480),FALSE))</f>
        <v>0</v>
      </c>
      <c r="AG255" s="65">
        <f t="shared" si="647"/>
        <v>0</v>
      </c>
      <c r="AH255" s="65">
        <f t="shared" si="648"/>
        <v>0</v>
      </c>
      <c r="AI255" s="12">
        <f t="shared" si="649"/>
        <v>0</v>
      </c>
      <c r="AJ255" s="12">
        <f t="shared" ref="AJ255" si="705">AK255</f>
        <v>0</v>
      </c>
      <c r="AK255" s="115">
        <f>IF(ISERROR(VLOOKUP($B255,'Woodmac profile - Oil'!$B$498:$AL$526,MATCH(AK$225,'Woodmac profile - Oil'!$B$480:$AL$480),FALSE)),0,VLOOKUP($B255,'Woodmac profile - Oil'!$B$498:$AL$526,MATCH(AK$225,'Woodmac profile - Oil'!$B$480:$AL$480),FALSE))</f>
        <v>0</v>
      </c>
      <c r="AL255" s="65">
        <f t="shared" si="651"/>
        <v>0</v>
      </c>
      <c r="AM255" s="65">
        <f t="shared" si="652"/>
        <v>0</v>
      </c>
      <c r="AN255" s="12">
        <f t="shared" si="653"/>
        <v>0</v>
      </c>
      <c r="AO255" s="12">
        <f t="shared" ref="AO255" si="706">AP255</f>
        <v>0</v>
      </c>
      <c r="AP255" s="115">
        <f>IF(ISERROR(VLOOKUP($B255,'Woodmac profile - Oil'!$B$498:$AL$526,MATCH(AP$225,'Woodmac profile - Oil'!$B$480:$AL$480),FALSE)),0,VLOOKUP($B255,'Woodmac profile - Oil'!$B$498:$AL$526,MATCH(AP$225,'Woodmac profile - Oil'!$B$480:$AL$480),FALSE))</f>
        <v>0</v>
      </c>
      <c r="AQ255" s="65">
        <f t="shared" si="655"/>
        <v>0</v>
      </c>
      <c r="AR255" s="65">
        <f t="shared" si="656"/>
        <v>0</v>
      </c>
      <c r="AS255" s="12">
        <f t="shared" si="657"/>
        <v>0</v>
      </c>
      <c r="AT255" s="12">
        <f t="shared" ref="AT255" si="707">AU255</f>
        <v>0</v>
      </c>
      <c r="AU255" s="115">
        <f>IF(ISERROR(VLOOKUP($B255,'Woodmac profile - Oil'!$B$498:$AL$526,MATCH(AU$225,'Woodmac profile - Oil'!$B$480:$AL$480),FALSE)),0,VLOOKUP($B255,'Woodmac profile - Oil'!$B$498:$AL$526,MATCH(AU$225,'Woodmac profile - Oil'!$B$480:$AL$480),FALSE))</f>
        <v>0</v>
      </c>
      <c r="AV255" s="65">
        <f t="shared" si="659"/>
        <v>0</v>
      </c>
      <c r="AW255" s="65">
        <f t="shared" si="660"/>
        <v>0</v>
      </c>
      <c r="AX255" s="12">
        <f t="shared" si="661"/>
        <v>0</v>
      </c>
      <c r="AY255" s="12">
        <f t="shared" ref="AY255" si="708">AZ255</f>
        <v>0</v>
      </c>
      <c r="AZ255" s="115">
        <f>IF(ISERROR(VLOOKUP($B255,'Woodmac profile - Oil'!$B$498:$AL$526,MATCH(AZ$225,'Woodmac profile - Oil'!$B$480:$AL$480),FALSE)),0,VLOOKUP($B255,'Woodmac profile - Oil'!$B$498:$AL$526,MATCH(AZ$225,'Woodmac profile - Oil'!$B$480:$AL$480),FALSE))</f>
        <v>0</v>
      </c>
      <c r="BA255" s="65">
        <f t="shared" si="663"/>
        <v>0</v>
      </c>
      <c r="BB255" s="65">
        <f t="shared" si="664"/>
        <v>0</v>
      </c>
      <c r="BC255" s="12">
        <f t="shared" si="665"/>
        <v>0</v>
      </c>
      <c r="BD255" s="12">
        <f t="shared" ref="BD255" si="709">BE255</f>
        <v>0</v>
      </c>
      <c r="BE255" s="115">
        <f>IF(ISERROR(VLOOKUP($B255,'Woodmac profile - Oil'!$B$498:$AL$526,MATCH(BE$225,'Woodmac profile - Oil'!$B$480:$AL$480),FALSE)),0,VLOOKUP($B255,'Woodmac profile - Oil'!$B$498:$AL$526,MATCH(BE$225,'Woodmac profile - Oil'!$B$480:$AL$480),FALSE))</f>
        <v>0</v>
      </c>
      <c r="BF255" s="65">
        <f t="shared" si="667"/>
        <v>0</v>
      </c>
      <c r="BG255" s="65">
        <f t="shared" si="668"/>
        <v>0</v>
      </c>
      <c r="BH255" s="65">
        <f t="shared" si="669"/>
        <v>0</v>
      </c>
      <c r="BI255" s="65">
        <f t="shared" ref="BI255" si="710">BJ255</f>
        <v>0</v>
      </c>
      <c r="BJ255" s="115">
        <f>IF(ISERROR(VLOOKUP($B255,'Woodmac profile - Oil'!$B$498:$AL$526,MATCH(BJ$225,'Woodmac profile - Oil'!$B$480:$AL$480),FALSE)),0,VLOOKUP($B255,'Woodmac profile - Oil'!$B$498:$AL$526,MATCH(BJ$225,'Woodmac profile - Oil'!$B$480:$AL$480),FALSE))</f>
        <v>0</v>
      </c>
      <c r="BK255" s="65">
        <f t="shared" si="671"/>
        <v>0</v>
      </c>
      <c r="BL255" s="65">
        <f t="shared" si="672"/>
        <v>0</v>
      </c>
      <c r="BM255" s="65">
        <f t="shared" si="673"/>
        <v>0</v>
      </c>
      <c r="BN255" s="12">
        <f t="shared" ref="BN255" si="711">BO255</f>
        <v>0</v>
      </c>
      <c r="BO255" s="115">
        <f>IF(ISERROR(VLOOKUP($B255,'Woodmac profile - Oil'!$B$498:$AL$526,MATCH(BO$225,'Woodmac profile - Oil'!$B$480:$AL$480),FALSE)),0,VLOOKUP($B255,'Woodmac profile - Oil'!$B$498:$AL$526,MATCH(BO$225,'Woodmac profile - Oil'!$B$480:$AL$480),FALSE))</f>
        <v>0</v>
      </c>
      <c r="BP255" s="65">
        <f t="shared" si="675"/>
        <v>0</v>
      </c>
      <c r="BQ255" s="65">
        <f t="shared" si="676"/>
        <v>0</v>
      </c>
      <c r="BR255" s="12">
        <f t="shared" si="677"/>
        <v>0</v>
      </c>
      <c r="BS255" s="12">
        <f t="shared" ref="BS255" si="712">BT255</f>
        <v>0</v>
      </c>
      <c r="BT255" s="115">
        <f>IF(ISERROR(VLOOKUP($B255,'Woodmac profile - Oil'!$B$498:$AL$526,MATCH(BT$225,'Woodmac profile - Oil'!$B$480:$AL$480),FALSE)),0,VLOOKUP($B255,'Woodmac profile - Oil'!$B$498:$AL$526,MATCH(BT$225,'Woodmac profile - Oil'!$B$480:$AL$480),FALSE))</f>
        <v>0</v>
      </c>
      <c r="BU255" s="65">
        <f t="shared" si="679"/>
        <v>0</v>
      </c>
      <c r="BV255" s="65">
        <f t="shared" si="680"/>
        <v>0</v>
      </c>
      <c r="BW255" s="12">
        <f t="shared" si="681"/>
        <v>0</v>
      </c>
      <c r="BX255" s="12">
        <f t="shared" ref="BX255" si="713">BY255</f>
        <v>0</v>
      </c>
      <c r="BY255" s="115">
        <f>IF(ISERROR(VLOOKUP($B255,'Woodmac profile - Oil'!$B$498:$AL$526,MATCH(BY$225,'Woodmac profile - Oil'!$B$480:$AL$480),FALSE)),0,VLOOKUP($B255,'Woodmac profile - Oil'!$B$498:$AL$526,MATCH(BY$225,'Woodmac profile - Oil'!$B$480:$AL$480),FALSE))</f>
        <v>0</v>
      </c>
      <c r="BZ255" s="65">
        <f t="shared" si="683"/>
        <v>0</v>
      </c>
      <c r="CA255" s="65">
        <f t="shared" si="684"/>
        <v>0</v>
      </c>
      <c r="CB255" s="12">
        <f t="shared" si="685"/>
        <v>0</v>
      </c>
      <c r="CC255" s="12">
        <f t="shared" ref="CC255" si="714">CD255</f>
        <v>0</v>
      </c>
      <c r="CD255" s="115">
        <f>IF(ISERROR(VLOOKUP($B255,'Woodmac profile - Oil'!$B$498:$AL$526,MATCH(CD$225,'Woodmac profile - Oil'!$B$480:$AL$480),FALSE)),0,VLOOKUP($B255,'Woodmac profile - Oil'!$B$498:$AL$526,MATCH(CD$225,'Woodmac profile - Oil'!$B$480:$AL$480),FALSE))</f>
        <v>0</v>
      </c>
    </row>
    <row r="256" spans="1:82">
      <c r="A256" s="11"/>
      <c r="B256" s="11" t="s">
        <v>138</v>
      </c>
      <c r="C256" s="52"/>
      <c r="D256" s="52"/>
      <c r="E256" s="115">
        <f>IF(ISERROR(VLOOKUP($B256,'Woodmac profile - Oil'!$B$498:$AL$526,MATCH(E$225,'Woodmac profile - Oil'!$B$480:$AL$480),FALSE)),0,VLOOKUP($B256,'Woodmac profile - Oil'!$B$498:$AL$526,MATCH(E$225,'Woodmac profile - Oil'!$B$480:$AL$480),FALSE))</f>
        <v>0</v>
      </c>
      <c r="F256" s="115">
        <f>IF(ISERROR(VLOOKUP($B256,'Woodmac profile - Oil'!$B$498:$AL$526,MATCH(F$225,'Woodmac profile - Oil'!$B$480:$AL$480),FALSE)),0,VLOOKUP($B256,'Woodmac profile - Oil'!$B$498:$AL$526,MATCH(F$225,'Woodmac profile - Oil'!$B$480:$AL$480),FALSE))</f>
        <v>0</v>
      </c>
      <c r="G256" s="115">
        <f>IF(ISERROR(VLOOKUP($B256,'Woodmac profile - Oil'!$B$498:$AL$526,MATCH(G$225,'Woodmac profile - Oil'!$B$480:$AL$480),FALSE)),0,VLOOKUP($B256,'Woodmac profile - Oil'!$B$498:$AL$526,MATCH(G$225,'Woodmac profile - Oil'!$B$480:$AL$480),FALSE))</f>
        <v>0</v>
      </c>
      <c r="H256" s="65">
        <f t="shared" si="627"/>
        <v>0</v>
      </c>
      <c r="I256" s="65">
        <f t="shared" si="628"/>
        <v>0</v>
      </c>
      <c r="J256" s="12">
        <f t="shared" si="629"/>
        <v>0</v>
      </c>
      <c r="K256" s="12">
        <f t="shared" si="630"/>
        <v>0</v>
      </c>
      <c r="L256" s="115">
        <f>IF(ISERROR(VLOOKUP($B256,'Woodmac profile - Oil'!$B$498:$AL$526,MATCH(L$225,'Woodmac profile - Oil'!$B$480:$AL$480),FALSE)),0,VLOOKUP($B256,'Woodmac profile - Oil'!$B$498:$AL$526,MATCH(L$225,'Woodmac profile - Oil'!$B$480:$AL$480),FALSE))</f>
        <v>0</v>
      </c>
      <c r="M256" s="65">
        <f t="shared" si="631"/>
        <v>0</v>
      </c>
      <c r="N256" s="65">
        <f t="shared" si="632"/>
        <v>0</v>
      </c>
      <c r="O256" s="12">
        <f t="shared" si="633"/>
        <v>0</v>
      </c>
      <c r="P256" s="12">
        <f t="shared" ref="P256" si="715">Q256</f>
        <v>0</v>
      </c>
      <c r="Q256" s="115">
        <f>IF(ISERROR(VLOOKUP($B256,'Woodmac profile - Oil'!$B$498:$AL$526,MATCH(Q$225,'Woodmac profile - Oil'!$B$480:$AL$480),FALSE)),0,VLOOKUP($B256,'Woodmac profile - Oil'!$B$498:$AL$526,MATCH(Q$225,'Woodmac profile - Oil'!$B$480:$AL$480),FALSE))</f>
        <v>0</v>
      </c>
      <c r="R256" s="65">
        <f t="shared" si="635"/>
        <v>0</v>
      </c>
      <c r="S256" s="65">
        <f t="shared" si="636"/>
        <v>0</v>
      </c>
      <c r="T256" s="12">
        <f t="shared" si="637"/>
        <v>0</v>
      </c>
      <c r="U256" s="12">
        <f t="shared" ref="U256" si="716">V256</f>
        <v>0</v>
      </c>
      <c r="V256" s="115">
        <f>IF(ISERROR(VLOOKUP($B256,'Woodmac profile - Oil'!$B$498:$AL$526,MATCH(V$225,'Woodmac profile - Oil'!$B$480:$AL$480),FALSE)),0,VLOOKUP($B256,'Woodmac profile - Oil'!$B$498:$AL$526,MATCH(V$225,'Woodmac profile - Oil'!$B$480:$AL$480),FALSE))</f>
        <v>0</v>
      </c>
      <c r="W256" s="65">
        <f t="shared" si="639"/>
        <v>0</v>
      </c>
      <c r="X256" s="65">
        <f t="shared" si="640"/>
        <v>0</v>
      </c>
      <c r="Y256" s="12">
        <f t="shared" si="641"/>
        <v>0</v>
      </c>
      <c r="Z256" s="12">
        <f t="shared" ref="Z256" si="717">AA256</f>
        <v>0</v>
      </c>
      <c r="AA256" s="115">
        <f>IF(ISERROR(VLOOKUP($B256,'Woodmac profile - Oil'!$B$498:$AL$526,MATCH(AA$225,'Woodmac profile - Oil'!$B$480:$AL$480),FALSE)),0,VLOOKUP($B256,'Woodmac profile - Oil'!$B$498:$AL$526,MATCH(AA$225,'Woodmac profile - Oil'!$B$480:$AL$480),FALSE))</f>
        <v>0</v>
      </c>
      <c r="AB256" s="65">
        <f t="shared" si="643"/>
        <v>0</v>
      </c>
      <c r="AC256" s="65">
        <f t="shared" si="644"/>
        <v>0</v>
      </c>
      <c r="AD256" s="12">
        <f t="shared" si="645"/>
        <v>0</v>
      </c>
      <c r="AE256" s="12">
        <f t="shared" ref="AE256" si="718">AF256</f>
        <v>0</v>
      </c>
      <c r="AF256" s="115">
        <f>IF(ISERROR(VLOOKUP($B256,'Woodmac profile - Oil'!$B$498:$AL$526,MATCH(AF$225,'Woodmac profile - Oil'!$B$480:$AL$480),FALSE)),0,VLOOKUP($B256,'Woodmac profile - Oil'!$B$498:$AL$526,MATCH(AF$225,'Woodmac profile - Oil'!$B$480:$AL$480),FALSE))</f>
        <v>0</v>
      </c>
      <c r="AG256" s="65">
        <f t="shared" si="647"/>
        <v>0</v>
      </c>
      <c r="AH256" s="65">
        <f t="shared" si="648"/>
        <v>0</v>
      </c>
      <c r="AI256" s="12">
        <f t="shared" si="649"/>
        <v>0</v>
      </c>
      <c r="AJ256" s="12">
        <f t="shared" ref="AJ256" si="719">AK256</f>
        <v>0</v>
      </c>
      <c r="AK256" s="115">
        <f>IF(ISERROR(VLOOKUP($B256,'Woodmac profile - Oil'!$B$498:$AL$526,MATCH(AK$225,'Woodmac profile - Oil'!$B$480:$AL$480),FALSE)),0,VLOOKUP($B256,'Woodmac profile - Oil'!$B$498:$AL$526,MATCH(AK$225,'Woodmac profile - Oil'!$B$480:$AL$480),FALSE))</f>
        <v>0</v>
      </c>
      <c r="AL256" s="65">
        <f t="shared" si="651"/>
        <v>0</v>
      </c>
      <c r="AM256" s="65">
        <f t="shared" si="652"/>
        <v>0</v>
      </c>
      <c r="AN256" s="12">
        <f t="shared" si="653"/>
        <v>0</v>
      </c>
      <c r="AO256" s="12">
        <f t="shared" ref="AO256" si="720">AP256</f>
        <v>0</v>
      </c>
      <c r="AP256" s="115">
        <f>IF(ISERROR(VLOOKUP($B256,'Woodmac profile - Oil'!$B$498:$AL$526,MATCH(AP$225,'Woodmac profile - Oil'!$B$480:$AL$480),FALSE)),0,VLOOKUP($B256,'Woodmac profile - Oil'!$B$498:$AL$526,MATCH(AP$225,'Woodmac profile - Oil'!$B$480:$AL$480),FALSE))</f>
        <v>0</v>
      </c>
      <c r="AQ256" s="65">
        <f t="shared" si="655"/>
        <v>0</v>
      </c>
      <c r="AR256" s="65">
        <f t="shared" si="656"/>
        <v>0</v>
      </c>
      <c r="AS256" s="12">
        <f t="shared" si="657"/>
        <v>0</v>
      </c>
      <c r="AT256" s="12">
        <f t="shared" ref="AT256" si="721">AU256</f>
        <v>0</v>
      </c>
      <c r="AU256" s="115">
        <f>IF(ISERROR(VLOOKUP($B256,'Woodmac profile - Oil'!$B$498:$AL$526,MATCH(AU$225,'Woodmac profile - Oil'!$B$480:$AL$480),FALSE)),0,VLOOKUP($B256,'Woodmac profile - Oil'!$B$498:$AL$526,MATCH(AU$225,'Woodmac profile - Oil'!$B$480:$AL$480),FALSE))</f>
        <v>0</v>
      </c>
      <c r="AV256" s="65">
        <f t="shared" si="659"/>
        <v>0</v>
      </c>
      <c r="AW256" s="65">
        <f t="shared" si="660"/>
        <v>0</v>
      </c>
      <c r="AX256" s="12">
        <f t="shared" si="661"/>
        <v>0</v>
      </c>
      <c r="AY256" s="12">
        <f t="shared" ref="AY256" si="722">AZ256</f>
        <v>0</v>
      </c>
      <c r="AZ256" s="115">
        <f>IF(ISERROR(VLOOKUP($B256,'Woodmac profile - Oil'!$B$498:$AL$526,MATCH(AZ$225,'Woodmac profile - Oil'!$B$480:$AL$480),FALSE)),0,VLOOKUP($B256,'Woodmac profile - Oil'!$B$498:$AL$526,MATCH(AZ$225,'Woodmac profile - Oil'!$B$480:$AL$480),FALSE))</f>
        <v>0</v>
      </c>
      <c r="BA256" s="65">
        <f t="shared" si="663"/>
        <v>0</v>
      </c>
      <c r="BB256" s="65">
        <f t="shared" si="664"/>
        <v>0</v>
      </c>
      <c r="BC256" s="12">
        <f t="shared" si="665"/>
        <v>0</v>
      </c>
      <c r="BD256" s="12">
        <f t="shared" ref="BD256" si="723">BE256</f>
        <v>0</v>
      </c>
      <c r="BE256" s="115">
        <f>IF(ISERROR(VLOOKUP($B256,'Woodmac profile - Oil'!$B$498:$AL$526,MATCH(BE$225,'Woodmac profile - Oil'!$B$480:$AL$480),FALSE)),0,VLOOKUP($B256,'Woodmac profile - Oil'!$B$498:$AL$526,MATCH(BE$225,'Woodmac profile - Oil'!$B$480:$AL$480),FALSE))</f>
        <v>0</v>
      </c>
      <c r="BF256" s="65">
        <f t="shared" si="667"/>
        <v>0</v>
      </c>
      <c r="BG256" s="65">
        <f t="shared" si="668"/>
        <v>0</v>
      </c>
      <c r="BH256" s="65">
        <f t="shared" si="669"/>
        <v>0</v>
      </c>
      <c r="BI256" s="65">
        <f t="shared" ref="BI256" si="724">BJ256</f>
        <v>0</v>
      </c>
      <c r="BJ256" s="115">
        <f>IF(ISERROR(VLOOKUP($B256,'Woodmac profile - Oil'!$B$498:$AL$526,MATCH(BJ$225,'Woodmac profile - Oil'!$B$480:$AL$480),FALSE)),0,VLOOKUP($B256,'Woodmac profile - Oil'!$B$498:$AL$526,MATCH(BJ$225,'Woodmac profile - Oil'!$B$480:$AL$480),FALSE))</f>
        <v>0</v>
      </c>
      <c r="BK256" s="65">
        <f t="shared" si="671"/>
        <v>0</v>
      </c>
      <c r="BL256" s="65">
        <f t="shared" si="672"/>
        <v>0</v>
      </c>
      <c r="BM256" s="65">
        <f t="shared" si="673"/>
        <v>0</v>
      </c>
      <c r="BN256" s="12">
        <f t="shared" ref="BN256" si="725">BO256</f>
        <v>0</v>
      </c>
      <c r="BO256" s="115">
        <f>IF(ISERROR(VLOOKUP($B256,'Woodmac profile - Oil'!$B$498:$AL$526,MATCH(BO$225,'Woodmac profile - Oil'!$B$480:$AL$480),FALSE)),0,VLOOKUP($B256,'Woodmac profile - Oil'!$B$498:$AL$526,MATCH(BO$225,'Woodmac profile - Oil'!$B$480:$AL$480),FALSE))</f>
        <v>0</v>
      </c>
      <c r="BP256" s="65">
        <f t="shared" si="675"/>
        <v>0</v>
      </c>
      <c r="BQ256" s="65">
        <f t="shared" si="676"/>
        <v>0</v>
      </c>
      <c r="BR256" s="12">
        <f t="shared" si="677"/>
        <v>0</v>
      </c>
      <c r="BS256" s="12">
        <f t="shared" ref="BS256" si="726">BT256</f>
        <v>0</v>
      </c>
      <c r="BT256" s="115">
        <f>IF(ISERROR(VLOOKUP($B256,'Woodmac profile - Oil'!$B$498:$AL$526,MATCH(BT$225,'Woodmac profile - Oil'!$B$480:$AL$480),FALSE)),0,VLOOKUP($B256,'Woodmac profile - Oil'!$B$498:$AL$526,MATCH(BT$225,'Woodmac profile - Oil'!$B$480:$AL$480),FALSE))</f>
        <v>0</v>
      </c>
      <c r="BU256" s="65">
        <f t="shared" si="679"/>
        <v>0</v>
      </c>
      <c r="BV256" s="65">
        <f t="shared" si="680"/>
        <v>0</v>
      </c>
      <c r="BW256" s="12">
        <f t="shared" si="681"/>
        <v>0</v>
      </c>
      <c r="BX256" s="12">
        <f t="shared" ref="BX256" si="727">BY256</f>
        <v>0</v>
      </c>
      <c r="BY256" s="115">
        <f>IF(ISERROR(VLOOKUP($B256,'Woodmac profile - Oil'!$B$498:$AL$526,MATCH(BY$225,'Woodmac profile - Oil'!$B$480:$AL$480),FALSE)),0,VLOOKUP($B256,'Woodmac profile - Oil'!$B$498:$AL$526,MATCH(BY$225,'Woodmac profile - Oil'!$B$480:$AL$480),FALSE))</f>
        <v>0</v>
      </c>
      <c r="BZ256" s="65">
        <f t="shared" si="683"/>
        <v>0</v>
      </c>
      <c r="CA256" s="65">
        <f t="shared" si="684"/>
        <v>0</v>
      </c>
      <c r="CB256" s="12">
        <f t="shared" si="685"/>
        <v>0</v>
      </c>
      <c r="CC256" s="12">
        <f t="shared" ref="CC256" si="728">CD256</f>
        <v>0</v>
      </c>
      <c r="CD256" s="115">
        <f>IF(ISERROR(VLOOKUP($B256,'Woodmac profile - Oil'!$B$498:$AL$526,MATCH(CD$225,'Woodmac profile - Oil'!$B$480:$AL$480),FALSE)),0,VLOOKUP($B256,'Woodmac profile - Oil'!$B$498:$AL$526,MATCH(CD$225,'Woodmac profile - Oil'!$B$480:$AL$480),FALSE))</f>
        <v>0</v>
      </c>
    </row>
    <row r="257" spans="1:82">
      <c r="A257" s="11"/>
      <c r="B257" s="11" t="s">
        <v>816</v>
      </c>
      <c r="C257" s="52"/>
      <c r="D257" s="52"/>
      <c r="E257" s="115">
        <f>IF(ISERROR(VLOOKUP($B257,'Woodmac profile - Oil'!$B$498:$AL$526,MATCH(E$225,'Woodmac profile - Oil'!$B$480:$AL$480),FALSE)),0,VLOOKUP($B257,'Woodmac profile - Oil'!$B$498:$AL$526,MATCH(E$225,'Woodmac profile - Oil'!$B$480:$AL$480),FALSE))</f>
        <v>0</v>
      </c>
      <c r="F257" s="115">
        <f>IF(ISERROR(VLOOKUP($B257,'Woodmac profile - Oil'!$B$498:$AL$526,MATCH(F$225,'Woodmac profile - Oil'!$B$480:$AL$480),FALSE)),0,VLOOKUP($B257,'Woodmac profile - Oil'!$B$498:$AL$526,MATCH(F$225,'Woodmac profile - Oil'!$B$480:$AL$480),FALSE))</f>
        <v>0</v>
      </c>
      <c r="G257" s="115">
        <f>IF(ISERROR(VLOOKUP($B257,'Woodmac profile - Oil'!$B$498:$AL$526,MATCH(G$225,'Woodmac profile - Oil'!$B$480:$AL$480),FALSE)),0,VLOOKUP($B257,'Woodmac profile - Oil'!$B$498:$AL$526,MATCH(G$225,'Woodmac profile - Oil'!$B$480:$AL$480),FALSE))</f>
        <v>0</v>
      </c>
      <c r="H257" s="65">
        <f t="shared" si="627"/>
        <v>0</v>
      </c>
      <c r="I257" s="65">
        <f t="shared" si="628"/>
        <v>0</v>
      </c>
      <c r="J257" s="12">
        <f t="shared" si="629"/>
        <v>0</v>
      </c>
      <c r="K257" s="12">
        <f t="shared" si="630"/>
        <v>0</v>
      </c>
      <c r="L257" s="115">
        <f>IF(ISERROR(VLOOKUP($B257,'Woodmac profile - Oil'!$B$498:$AL$526,MATCH(L$225,'Woodmac profile - Oil'!$B$480:$AL$480),FALSE)),0,VLOOKUP($B257,'Woodmac profile - Oil'!$B$498:$AL$526,MATCH(L$225,'Woodmac profile - Oil'!$B$480:$AL$480),FALSE))</f>
        <v>0</v>
      </c>
      <c r="M257" s="65">
        <f t="shared" si="631"/>
        <v>0</v>
      </c>
      <c r="N257" s="65">
        <f t="shared" si="632"/>
        <v>0</v>
      </c>
      <c r="O257" s="12">
        <f t="shared" si="633"/>
        <v>0</v>
      </c>
      <c r="P257" s="12">
        <f t="shared" ref="P257" si="729">Q257</f>
        <v>0</v>
      </c>
      <c r="Q257" s="115">
        <f>IF(ISERROR(VLOOKUP($B257,'Woodmac profile - Oil'!$B$498:$AL$526,MATCH(Q$225,'Woodmac profile - Oil'!$B$480:$AL$480),FALSE)),0,VLOOKUP($B257,'Woodmac profile - Oil'!$B$498:$AL$526,MATCH(Q$225,'Woodmac profile - Oil'!$B$480:$AL$480),FALSE))</f>
        <v>0</v>
      </c>
      <c r="R257" s="65">
        <f t="shared" si="635"/>
        <v>0</v>
      </c>
      <c r="S257" s="65">
        <f t="shared" si="636"/>
        <v>0</v>
      </c>
      <c r="T257" s="12">
        <f t="shared" si="637"/>
        <v>0</v>
      </c>
      <c r="U257" s="12">
        <f t="shared" ref="U257" si="730">V257</f>
        <v>0</v>
      </c>
      <c r="V257" s="115">
        <f>IF(ISERROR(VLOOKUP($B257,'Woodmac profile - Oil'!$B$498:$AL$526,MATCH(V$225,'Woodmac profile - Oil'!$B$480:$AL$480),FALSE)),0,VLOOKUP($B257,'Woodmac profile - Oil'!$B$498:$AL$526,MATCH(V$225,'Woodmac profile - Oil'!$B$480:$AL$480),FALSE))</f>
        <v>0</v>
      </c>
      <c r="W257" s="65">
        <f t="shared" si="639"/>
        <v>0</v>
      </c>
      <c r="X257" s="65">
        <f t="shared" si="640"/>
        <v>0</v>
      </c>
      <c r="Y257" s="12">
        <f t="shared" si="641"/>
        <v>0</v>
      </c>
      <c r="Z257" s="12">
        <f t="shared" ref="Z257" si="731">AA257</f>
        <v>0</v>
      </c>
      <c r="AA257" s="115">
        <f>IF(ISERROR(VLOOKUP($B257,'Woodmac profile - Oil'!$B$498:$AL$526,MATCH(AA$225,'Woodmac profile - Oil'!$B$480:$AL$480),FALSE)),0,VLOOKUP($B257,'Woodmac profile - Oil'!$B$498:$AL$526,MATCH(AA$225,'Woodmac profile - Oil'!$B$480:$AL$480),FALSE))</f>
        <v>0</v>
      </c>
      <c r="AB257" s="65">
        <f t="shared" si="643"/>
        <v>0</v>
      </c>
      <c r="AC257" s="65">
        <f t="shared" si="644"/>
        <v>0</v>
      </c>
      <c r="AD257" s="12">
        <f t="shared" si="645"/>
        <v>0</v>
      </c>
      <c r="AE257" s="12">
        <f t="shared" ref="AE257" si="732">AF257</f>
        <v>0</v>
      </c>
      <c r="AF257" s="115">
        <f>IF(ISERROR(VLOOKUP($B257,'Woodmac profile - Oil'!$B$498:$AL$526,MATCH(AF$225,'Woodmac profile - Oil'!$B$480:$AL$480),FALSE)),0,VLOOKUP($B257,'Woodmac profile - Oil'!$B$498:$AL$526,MATCH(AF$225,'Woodmac profile - Oil'!$B$480:$AL$480),FALSE))</f>
        <v>0</v>
      </c>
      <c r="AG257" s="65">
        <f t="shared" si="647"/>
        <v>0</v>
      </c>
      <c r="AH257" s="65">
        <f t="shared" si="648"/>
        <v>0</v>
      </c>
      <c r="AI257" s="12">
        <f t="shared" si="649"/>
        <v>0</v>
      </c>
      <c r="AJ257" s="12">
        <f t="shared" ref="AJ257" si="733">AK257</f>
        <v>0</v>
      </c>
      <c r="AK257" s="115">
        <f>IF(ISERROR(VLOOKUP($B257,'Woodmac profile - Oil'!$B$498:$AL$526,MATCH(AK$225,'Woodmac profile - Oil'!$B$480:$AL$480),FALSE)),0,VLOOKUP($B257,'Woodmac profile - Oil'!$B$498:$AL$526,MATCH(AK$225,'Woodmac profile - Oil'!$B$480:$AL$480),FALSE))</f>
        <v>0</v>
      </c>
      <c r="AL257" s="65">
        <f t="shared" si="651"/>
        <v>0</v>
      </c>
      <c r="AM257" s="65">
        <f t="shared" si="652"/>
        <v>0</v>
      </c>
      <c r="AN257" s="12">
        <f t="shared" si="653"/>
        <v>0</v>
      </c>
      <c r="AO257" s="12">
        <f t="shared" ref="AO257" si="734">AP257</f>
        <v>0</v>
      </c>
      <c r="AP257" s="115">
        <f>IF(ISERROR(VLOOKUP($B257,'Woodmac profile - Oil'!$B$498:$AL$526,MATCH(AP$225,'Woodmac profile - Oil'!$B$480:$AL$480),FALSE)),0,VLOOKUP($B257,'Woodmac profile - Oil'!$B$498:$AL$526,MATCH(AP$225,'Woodmac profile - Oil'!$B$480:$AL$480),FALSE))</f>
        <v>0</v>
      </c>
      <c r="AQ257" s="65">
        <f t="shared" si="655"/>
        <v>0</v>
      </c>
      <c r="AR257" s="65">
        <f t="shared" si="656"/>
        <v>0</v>
      </c>
      <c r="AS257" s="12">
        <f t="shared" si="657"/>
        <v>0</v>
      </c>
      <c r="AT257" s="12">
        <f t="shared" ref="AT257" si="735">AU257</f>
        <v>0</v>
      </c>
      <c r="AU257" s="115">
        <f>IF(ISERROR(VLOOKUP($B257,'Woodmac profile - Oil'!$B$498:$AL$526,MATCH(AU$225,'Woodmac profile - Oil'!$B$480:$AL$480),FALSE)),0,VLOOKUP($B257,'Woodmac profile - Oil'!$B$498:$AL$526,MATCH(AU$225,'Woodmac profile - Oil'!$B$480:$AL$480),FALSE))</f>
        <v>0</v>
      </c>
      <c r="AV257" s="65">
        <f t="shared" si="659"/>
        <v>0</v>
      </c>
      <c r="AW257" s="65">
        <f t="shared" si="660"/>
        <v>0</v>
      </c>
      <c r="AX257" s="12">
        <f t="shared" si="661"/>
        <v>0</v>
      </c>
      <c r="AY257" s="12">
        <f t="shared" ref="AY257" si="736">AZ257</f>
        <v>0</v>
      </c>
      <c r="AZ257" s="115">
        <f>IF(ISERROR(VLOOKUP($B257,'Woodmac profile - Oil'!$B$498:$AL$526,MATCH(AZ$225,'Woodmac profile - Oil'!$B$480:$AL$480),FALSE)),0,VLOOKUP($B257,'Woodmac profile - Oil'!$B$498:$AL$526,MATCH(AZ$225,'Woodmac profile - Oil'!$B$480:$AL$480),FALSE))</f>
        <v>0</v>
      </c>
      <c r="BA257" s="65">
        <f t="shared" si="663"/>
        <v>0</v>
      </c>
      <c r="BB257" s="65">
        <f t="shared" si="664"/>
        <v>0</v>
      </c>
      <c r="BC257" s="12">
        <f t="shared" si="665"/>
        <v>0</v>
      </c>
      <c r="BD257" s="12">
        <f t="shared" ref="BD257" si="737">BE257</f>
        <v>0</v>
      </c>
      <c r="BE257" s="115">
        <f>IF(ISERROR(VLOOKUP($B257,'Woodmac profile - Oil'!$B$498:$AL$526,MATCH(BE$225,'Woodmac profile - Oil'!$B$480:$AL$480),FALSE)),0,VLOOKUP($B257,'Woodmac profile - Oil'!$B$498:$AL$526,MATCH(BE$225,'Woodmac profile - Oil'!$B$480:$AL$480),FALSE))</f>
        <v>0</v>
      </c>
      <c r="BF257" s="65">
        <f t="shared" si="667"/>
        <v>0</v>
      </c>
      <c r="BG257" s="65">
        <f t="shared" si="668"/>
        <v>0</v>
      </c>
      <c r="BH257" s="65">
        <f t="shared" si="669"/>
        <v>0</v>
      </c>
      <c r="BI257" s="65">
        <f t="shared" ref="BI257" si="738">BJ257</f>
        <v>0</v>
      </c>
      <c r="BJ257" s="115">
        <f>IF(ISERROR(VLOOKUP($B257,'Woodmac profile - Oil'!$B$498:$AL$526,MATCH(BJ$225,'Woodmac profile - Oil'!$B$480:$AL$480),FALSE)),0,VLOOKUP($B257,'Woodmac profile - Oil'!$B$498:$AL$526,MATCH(BJ$225,'Woodmac profile - Oil'!$B$480:$AL$480),FALSE))</f>
        <v>0</v>
      </c>
      <c r="BK257" s="65">
        <f t="shared" si="671"/>
        <v>0</v>
      </c>
      <c r="BL257" s="65">
        <f t="shared" si="672"/>
        <v>0</v>
      </c>
      <c r="BM257" s="65">
        <f t="shared" si="673"/>
        <v>0</v>
      </c>
      <c r="BN257" s="12">
        <f t="shared" ref="BN257" si="739">BO257</f>
        <v>0</v>
      </c>
      <c r="BO257" s="115">
        <f>IF(ISERROR(VLOOKUP($B257,'Woodmac profile - Oil'!$B$498:$AL$526,MATCH(BO$225,'Woodmac profile - Oil'!$B$480:$AL$480),FALSE)),0,VLOOKUP($B257,'Woodmac profile - Oil'!$B$498:$AL$526,MATCH(BO$225,'Woodmac profile - Oil'!$B$480:$AL$480),FALSE))</f>
        <v>0</v>
      </c>
      <c r="BP257" s="65">
        <f t="shared" si="675"/>
        <v>0</v>
      </c>
      <c r="BQ257" s="65">
        <f t="shared" si="676"/>
        <v>0</v>
      </c>
      <c r="BR257" s="12">
        <f t="shared" si="677"/>
        <v>0</v>
      </c>
      <c r="BS257" s="12">
        <f t="shared" ref="BS257" si="740">BT257</f>
        <v>0</v>
      </c>
      <c r="BT257" s="115">
        <f>IF(ISERROR(VLOOKUP($B257,'Woodmac profile - Oil'!$B$498:$AL$526,MATCH(BT$225,'Woodmac profile - Oil'!$B$480:$AL$480),FALSE)),0,VLOOKUP($B257,'Woodmac profile - Oil'!$B$498:$AL$526,MATCH(BT$225,'Woodmac profile - Oil'!$B$480:$AL$480),FALSE))</f>
        <v>0</v>
      </c>
      <c r="BU257" s="65">
        <f t="shared" si="679"/>
        <v>0</v>
      </c>
      <c r="BV257" s="65">
        <f t="shared" si="680"/>
        <v>0</v>
      </c>
      <c r="BW257" s="12">
        <f t="shared" si="681"/>
        <v>0</v>
      </c>
      <c r="BX257" s="12">
        <f t="shared" ref="BX257" si="741">BY257</f>
        <v>0</v>
      </c>
      <c r="BY257" s="115">
        <f>IF(ISERROR(VLOOKUP($B257,'Woodmac profile - Oil'!$B$498:$AL$526,MATCH(BY$225,'Woodmac profile - Oil'!$B$480:$AL$480),FALSE)),0,VLOOKUP($B257,'Woodmac profile - Oil'!$B$498:$AL$526,MATCH(BY$225,'Woodmac profile - Oil'!$B$480:$AL$480),FALSE))</f>
        <v>0</v>
      </c>
      <c r="BZ257" s="65">
        <f t="shared" si="683"/>
        <v>0</v>
      </c>
      <c r="CA257" s="65">
        <f t="shared" si="684"/>
        <v>0</v>
      </c>
      <c r="CB257" s="12">
        <f t="shared" si="685"/>
        <v>0</v>
      </c>
      <c r="CC257" s="12">
        <f t="shared" ref="CC257" si="742">CD257</f>
        <v>0</v>
      </c>
      <c r="CD257" s="115">
        <f>IF(ISERROR(VLOOKUP($B257,'Woodmac profile - Oil'!$B$498:$AL$526,MATCH(CD$225,'Woodmac profile - Oil'!$B$480:$AL$480),FALSE)),0,VLOOKUP($B257,'Woodmac profile - Oil'!$B$498:$AL$526,MATCH(CD$225,'Woodmac profile - Oil'!$B$480:$AL$480),FALSE))</f>
        <v>0</v>
      </c>
    </row>
    <row r="258" spans="1:82">
      <c r="A258" s="11"/>
      <c r="B258" s="11" t="s">
        <v>1962</v>
      </c>
      <c r="C258" s="52"/>
      <c r="D258" s="52"/>
      <c r="E258" s="115">
        <f>IF(ISERROR(VLOOKUP($B258,'Woodmac profile - Oil'!$B$498:$AL$526,MATCH(E$225,'Woodmac profile - Oil'!$B$480:$AL$480),FALSE)),0,VLOOKUP($B258,'Woodmac profile - Oil'!$B$498:$AL$526,MATCH(E$225,'Woodmac profile - Oil'!$B$480:$AL$480),FALSE))</f>
        <v>0</v>
      </c>
      <c r="F258" s="115">
        <f>IF(ISERROR(VLOOKUP($B258,'Woodmac profile - Oil'!$B$498:$AL$526,MATCH(F$225,'Woodmac profile - Oil'!$B$480:$AL$480),FALSE)),0,VLOOKUP($B258,'Woodmac profile - Oil'!$B$498:$AL$526,MATCH(F$225,'Woodmac profile - Oil'!$B$480:$AL$480),FALSE))</f>
        <v>0</v>
      </c>
      <c r="G258" s="115">
        <f>IF(ISERROR(VLOOKUP($B258,'Woodmac profile - Oil'!$B$498:$AL$526,MATCH(G$225,'Woodmac profile - Oil'!$B$480:$AL$480),FALSE)),0,VLOOKUP($B258,'Woodmac profile - Oil'!$B$498:$AL$526,MATCH(G$225,'Woodmac profile - Oil'!$B$480:$AL$480),FALSE))</f>
        <v>0</v>
      </c>
      <c r="H258" s="65">
        <f t="shared" si="627"/>
        <v>0</v>
      </c>
      <c r="I258" s="65">
        <f t="shared" si="628"/>
        <v>0</v>
      </c>
      <c r="J258" s="12">
        <f t="shared" si="629"/>
        <v>0</v>
      </c>
      <c r="K258" s="12">
        <f t="shared" si="630"/>
        <v>0</v>
      </c>
      <c r="L258" s="115">
        <f>IF(ISERROR(VLOOKUP($B258,'Woodmac profile - Oil'!$B$498:$AL$526,MATCH(L$225,'Woodmac profile - Oil'!$B$480:$AL$480),FALSE)),0,VLOOKUP($B258,'Woodmac profile - Oil'!$B$498:$AL$526,MATCH(L$225,'Woodmac profile - Oil'!$B$480:$AL$480),FALSE))</f>
        <v>0</v>
      </c>
      <c r="M258" s="65">
        <f t="shared" si="631"/>
        <v>0</v>
      </c>
      <c r="N258" s="65">
        <f t="shared" si="632"/>
        <v>0</v>
      </c>
      <c r="O258" s="12">
        <f t="shared" si="633"/>
        <v>0</v>
      </c>
      <c r="P258" s="12">
        <f t="shared" ref="P258" si="743">Q258</f>
        <v>0</v>
      </c>
      <c r="Q258" s="115">
        <f>IF(ISERROR(VLOOKUP($B258,'Woodmac profile - Oil'!$B$498:$AL$526,MATCH(Q$225,'Woodmac profile - Oil'!$B$480:$AL$480),FALSE)),0,VLOOKUP($B258,'Woodmac profile - Oil'!$B$498:$AL$526,MATCH(Q$225,'Woodmac profile - Oil'!$B$480:$AL$480),FALSE))</f>
        <v>0</v>
      </c>
      <c r="R258" s="65">
        <f t="shared" si="635"/>
        <v>0</v>
      </c>
      <c r="S258" s="65">
        <f t="shared" si="636"/>
        <v>0</v>
      </c>
      <c r="T258" s="12">
        <f t="shared" si="637"/>
        <v>0</v>
      </c>
      <c r="U258" s="12">
        <f t="shared" ref="U258" si="744">V258</f>
        <v>0</v>
      </c>
      <c r="V258" s="115">
        <f>IF(ISERROR(VLOOKUP($B258,'Woodmac profile - Oil'!$B$498:$AL$526,MATCH(V$225,'Woodmac profile - Oil'!$B$480:$AL$480),FALSE)),0,VLOOKUP($B258,'Woodmac profile - Oil'!$B$498:$AL$526,MATCH(V$225,'Woodmac profile - Oil'!$B$480:$AL$480),FALSE))</f>
        <v>0</v>
      </c>
      <c r="W258" s="65">
        <f t="shared" si="639"/>
        <v>0</v>
      </c>
      <c r="X258" s="65">
        <f t="shared" si="640"/>
        <v>0</v>
      </c>
      <c r="Y258" s="12">
        <f t="shared" si="641"/>
        <v>0</v>
      </c>
      <c r="Z258" s="12">
        <f t="shared" ref="Z258" si="745">AA258</f>
        <v>0</v>
      </c>
      <c r="AA258" s="115">
        <f>IF(ISERROR(VLOOKUP($B258,'Woodmac profile - Oil'!$B$498:$AL$526,MATCH(AA$225,'Woodmac profile - Oil'!$B$480:$AL$480),FALSE)),0,VLOOKUP($B258,'Woodmac profile - Oil'!$B$498:$AL$526,MATCH(AA$225,'Woodmac profile - Oil'!$B$480:$AL$480),FALSE))</f>
        <v>0</v>
      </c>
      <c r="AB258" s="65">
        <f t="shared" si="643"/>
        <v>0</v>
      </c>
      <c r="AC258" s="65">
        <f t="shared" si="644"/>
        <v>0</v>
      </c>
      <c r="AD258" s="12">
        <f t="shared" si="645"/>
        <v>0</v>
      </c>
      <c r="AE258" s="12">
        <f t="shared" ref="AE258" si="746">AF258</f>
        <v>0</v>
      </c>
      <c r="AF258" s="115">
        <f>IF(ISERROR(VLOOKUP($B258,'Woodmac profile - Oil'!$B$498:$AL$526,MATCH(AF$225,'Woodmac profile - Oil'!$B$480:$AL$480),FALSE)),0,VLOOKUP($B258,'Woodmac profile - Oil'!$B$498:$AL$526,MATCH(AF$225,'Woodmac profile - Oil'!$B$480:$AL$480),FALSE))</f>
        <v>0</v>
      </c>
      <c r="AG258" s="65">
        <f t="shared" si="647"/>
        <v>0</v>
      </c>
      <c r="AH258" s="65">
        <f t="shared" si="648"/>
        <v>0</v>
      </c>
      <c r="AI258" s="12">
        <f t="shared" si="649"/>
        <v>0</v>
      </c>
      <c r="AJ258" s="12">
        <f t="shared" ref="AJ258" si="747">AK258</f>
        <v>0</v>
      </c>
      <c r="AK258" s="115">
        <f>IF(ISERROR(VLOOKUP($B258,'Woodmac profile - Oil'!$B$498:$AL$526,MATCH(AK$225,'Woodmac profile - Oil'!$B$480:$AL$480),FALSE)),0,VLOOKUP($B258,'Woodmac profile - Oil'!$B$498:$AL$526,MATCH(AK$225,'Woodmac profile - Oil'!$B$480:$AL$480),FALSE))</f>
        <v>0</v>
      </c>
      <c r="AL258" s="65">
        <f t="shared" si="651"/>
        <v>0</v>
      </c>
      <c r="AM258" s="65">
        <f t="shared" si="652"/>
        <v>0</v>
      </c>
      <c r="AN258" s="12">
        <f t="shared" si="653"/>
        <v>0</v>
      </c>
      <c r="AO258" s="12">
        <f t="shared" ref="AO258" si="748">AP258</f>
        <v>0</v>
      </c>
      <c r="AP258" s="115">
        <f>IF(ISERROR(VLOOKUP($B258,'Woodmac profile - Oil'!$B$498:$AL$526,MATCH(AP$225,'Woodmac profile - Oil'!$B$480:$AL$480),FALSE)),0,VLOOKUP($B258,'Woodmac profile - Oil'!$B$498:$AL$526,MATCH(AP$225,'Woodmac profile - Oil'!$B$480:$AL$480),FALSE))</f>
        <v>0</v>
      </c>
      <c r="AQ258" s="65">
        <f t="shared" si="655"/>
        <v>0</v>
      </c>
      <c r="AR258" s="65">
        <f t="shared" si="656"/>
        <v>0</v>
      </c>
      <c r="AS258" s="12">
        <f t="shared" si="657"/>
        <v>0</v>
      </c>
      <c r="AT258" s="12">
        <f t="shared" ref="AT258" si="749">AU258</f>
        <v>0</v>
      </c>
      <c r="AU258" s="115">
        <f>IF(ISERROR(VLOOKUP($B258,'Woodmac profile - Oil'!$B$498:$AL$526,MATCH(AU$225,'Woodmac profile - Oil'!$B$480:$AL$480),FALSE)),0,VLOOKUP($B258,'Woodmac profile - Oil'!$B$498:$AL$526,MATCH(AU$225,'Woodmac profile - Oil'!$B$480:$AL$480),FALSE))</f>
        <v>0</v>
      </c>
      <c r="AV258" s="65">
        <f t="shared" si="659"/>
        <v>0</v>
      </c>
      <c r="AW258" s="65">
        <f t="shared" si="660"/>
        <v>0</v>
      </c>
      <c r="AX258" s="12">
        <f t="shared" si="661"/>
        <v>0</v>
      </c>
      <c r="AY258" s="12">
        <f t="shared" ref="AY258" si="750">AZ258</f>
        <v>0</v>
      </c>
      <c r="AZ258" s="115">
        <f>IF(ISERROR(VLOOKUP($B258,'Woodmac profile - Oil'!$B$498:$AL$526,MATCH(AZ$225,'Woodmac profile - Oil'!$B$480:$AL$480),FALSE)),0,VLOOKUP($B258,'Woodmac profile - Oil'!$B$498:$AL$526,MATCH(AZ$225,'Woodmac profile - Oil'!$B$480:$AL$480),FALSE))</f>
        <v>0</v>
      </c>
      <c r="BA258" s="65">
        <f t="shared" si="663"/>
        <v>0</v>
      </c>
      <c r="BB258" s="65">
        <f t="shared" si="664"/>
        <v>0</v>
      </c>
      <c r="BC258" s="12">
        <f t="shared" si="665"/>
        <v>0</v>
      </c>
      <c r="BD258" s="12">
        <f t="shared" ref="BD258" si="751">BE258</f>
        <v>0</v>
      </c>
      <c r="BE258" s="115">
        <f>IF(ISERROR(VLOOKUP($B258,'Woodmac profile - Oil'!$B$498:$AL$526,MATCH(BE$225,'Woodmac profile - Oil'!$B$480:$AL$480),FALSE)),0,VLOOKUP($B258,'Woodmac profile - Oil'!$B$498:$AL$526,MATCH(BE$225,'Woodmac profile - Oil'!$B$480:$AL$480),FALSE))</f>
        <v>0</v>
      </c>
      <c r="BF258" s="65">
        <f t="shared" si="667"/>
        <v>0</v>
      </c>
      <c r="BG258" s="65">
        <f t="shared" si="668"/>
        <v>0</v>
      </c>
      <c r="BH258" s="65">
        <f t="shared" si="669"/>
        <v>0</v>
      </c>
      <c r="BI258" s="65">
        <f t="shared" ref="BI258" si="752">BJ258</f>
        <v>0</v>
      </c>
      <c r="BJ258" s="115">
        <f>IF(ISERROR(VLOOKUP($B258,'Woodmac profile - Oil'!$B$498:$AL$526,MATCH(BJ$225,'Woodmac profile - Oil'!$B$480:$AL$480),FALSE)),0,VLOOKUP($B258,'Woodmac profile - Oil'!$B$498:$AL$526,MATCH(BJ$225,'Woodmac profile - Oil'!$B$480:$AL$480),FALSE))</f>
        <v>0</v>
      </c>
      <c r="BK258" s="65">
        <f t="shared" si="671"/>
        <v>0</v>
      </c>
      <c r="BL258" s="65">
        <f t="shared" si="672"/>
        <v>0</v>
      </c>
      <c r="BM258" s="65">
        <f t="shared" si="673"/>
        <v>0</v>
      </c>
      <c r="BN258" s="12">
        <f t="shared" ref="BN258" si="753">BO258</f>
        <v>0</v>
      </c>
      <c r="BO258" s="115">
        <f>IF(ISERROR(VLOOKUP($B258,'Woodmac profile - Oil'!$B$498:$AL$526,MATCH(BO$225,'Woodmac profile - Oil'!$B$480:$AL$480),FALSE)),0,VLOOKUP($B258,'Woodmac profile - Oil'!$B$498:$AL$526,MATCH(BO$225,'Woodmac profile - Oil'!$B$480:$AL$480),FALSE))</f>
        <v>0</v>
      </c>
      <c r="BP258" s="65">
        <f t="shared" si="675"/>
        <v>0</v>
      </c>
      <c r="BQ258" s="65">
        <f t="shared" si="676"/>
        <v>0</v>
      </c>
      <c r="BR258" s="12">
        <f t="shared" si="677"/>
        <v>0</v>
      </c>
      <c r="BS258" s="12">
        <f t="shared" ref="BS258" si="754">BT258</f>
        <v>0</v>
      </c>
      <c r="BT258" s="115">
        <f>IF(ISERROR(VLOOKUP($B258,'Woodmac profile - Oil'!$B$498:$AL$526,MATCH(BT$225,'Woodmac profile - Oil'!$B$480:$AL$480),FALSE)),0,VLOOKUP($B258,'Woodmac profile - Oil'!$B$498:$AL$526,MATCH(BT$225,'Woodmac profile - Oil'!$B$480:$AL$480),FALSE))</f>
        <v>0</v>
      </c>
      <c r="BU258" s="65">
        <f t="shared" si="679"/>
        <v>0</v>
      </c>
      <c r="BV258" s="65">
        <f t="shared" si="680"/>
        <v>0</v>
      </c>
      <c r="BW258" s="12">
        <f t="shared" si="681"/>
        <v>0</v>
      </c>
      <c r="BX258" s="12">
        <f t="shared" ref="BX258" si="755">BY258</f>
        <v>0</v>
      </c>
      <c r="BY258" s="115">
        <f>IF(ISERROR(VLOOKUP($B258,'Woodmac profile - Oil'!$B$498:$AL$526,MATCH(BY$225,'Woodmac profile - Oil'!$B$480:$AL$480),FALSE)),0,VLOOKUP($B258,'Woodmac profile - Oil'!$B$498:$AL$526,MATCH(BY$225,'Woodmac profile - Oil'!$B$480:$AL$480),FALSE))</f>
        <v>0</v>
      </c>
      <c r="BZ258" s="65">
        <f t="shared" si="683"/>
        <v>0</v>
      </c>
      <c r="CA258" s="65">
        <f t="shared" si="684"/>
        <v>0</v>
      </c>
      <c r="CB258" s="12">
        <f t="shared" si="685"/>
        <v>0</v>
      </c>
      <c r="CC258" s="12">
        <f t="shared" ref="CC258" si="756">CD258</f>
        <v>0</v>
      </c>
      <c r="CD258" s="115">
        <f>IF(ISERROR(VLOOKUP($B258,'Woodmac profile - Oil'!$B$498:$AL$526,MATCH(CD$225,'Woodmac profile - Oil'!$B$480:$AL$480),FALSE)),0,VLOOKUP($B258,'Woodmac profile - Oil'!$B$498:$AL$526,MATCH(CD$225,'Woodmac profile - Oil'!$B$480:$AL$480),FALSE))</f>
        <v>0</v>
      </c>
    </row>
    <row r="259" spans="1:82">
      <c r="A259" s="11"/>
      <c r="B259" s="11" t="s">
        <v>3277</v>
      </c>
      <c r="C259" s="52"/>
      <c r="D259" s="52"/>
      <c r="E259" s="115">
        <f>IF(ISERROR(VLOOKUP($B259,'Woodmac profile - Oil'!$B$498:$AL$526,MATCH(E$225,'Woodmac profile - Oil'!$B$480:$AL$480),FALSE)),0,VLOOKUP($B259,'Woodmac profile - Oil'!$B$498:$AL$526,MATCH(E$225,'Woodmac profile - Oil'!$B$480:$AL$480),FALSE))</f>
        <v>0</v>
      </c>
      <c r="F259" s="115">
        <f>IF(ISERROR(VLOOKUP($B259,'Woodmac profile - Oil'!$B$498:$AL$526,MATCH(F$225,'Woodmac profile - Oil'!$B$480:$AL$480),FALSE)),0,VLOOKUP($B259,'Woodmac profile - Oil'!$B$498:$AL$526,MATCH(F$225,'Woodmac profile - Oil'!$B$480:$AL$480),FALSE))</f>
        <v>0</v>
      </c>
      <c r="G259" s="115">
        <f>IF(ISERROR(VLOOKUP($B259,'Woodmac profile - Oil'!$B$498:$AL$526,MATCH(G$225,'Woodmac profile - Oil'!$B$480:$AL$480),FALSE)),0,VLOOKUP($B259,'Woodmac profile - Oil'!$B$498:$AL$526,MATCH(G$225,'Woodmac profile - Oil'!$B$480:$AL$480),FALSE))</f>
        <v>0</v>
      </c>
      <c r="H259" s="65">
        <f t="shared" si="627"/>
        <v>0</v>
      </c>
      <c r="I259" s="65">
        <f t="shared" si="628"/>
        <v>0</v>
      </c>
      <c r="J259" s="12">
        <f t="shared" si="629"/>
        <v>0</v>
      </c>
      <c r="K259" s="12">
        <f t="shared" si="630"/>
        <v>0</v>
      </c>
      <c r="L259" s="115">
        <f>IF(ISERROR(VLOOKUP($B259,'Woodmac profile - Oil'!$B$498:$AL$526,MATCH(L$225,'Woodmac profile - Oil'!$B$480:$AL$480),FALSE)),0,VLOOKUP($B259,'Woodmac profile - Oil'!$B$498:$AL$526,MATCH(L$225,'Woodmac profile - Oil'!$B$480:$AL$480),FALSE))</f>
        <v>0</v>
      </c>
      <c r="M259" s="65">
        <f t="shared" si="631"/>
        <v>0</v>
      </c>
      <c r="N259" s="65">
        <f t="shared" si="632"/>
        <v>0</v>
      </c>
      <c r="O259" s="12">
        <f t="shared" si="633"/>
        <v>0</v>
      </c>
      <c r="P259" s="12">
        <f t="shared" ref="P259" si="757">Q259</f>
        <v>0</v>
      </c>
      <c r="Q259" s="115">
        <f>IF(ISERROR(VLOOKUP($B259,'Woodmac profile - Oil'!$B$498:$AL$526,MATCH(Q$225,'Woodmac profile - Oil'!$B$480:$AL$480),FALSE)),0,VLOOKUP($B259,'Woodmac profile - Oil'!$B$498:$AL$526,MATCH(Q$225,'Woodmac profile - Oil'!$B$480:$AL$480),FALSE))</f>
        <v>0</v>
      </c>
      <c r="R259" s="65">
        <f t="shared" si="635"/>
        <v>0</v>
      </c>
      <c r="S259" s="65">
        <f t="shared" si="636"/>
        <v>0</v>
      </c>
      <c r="T259" s="12">
        <f t="shared" si="637"/>
        <v>0</v>
      </c>
      <c r="U259" s="12">
        <f t="shared" ref="U259" si="758">V259</f>
        <v>0</v>
      </c>
      <c r="V259" s="115">
        <f>IF(ISERROR(VLOOKUP($B259,'Woodmac profile - Oil'!$B$498:$AL$526,MATCH(V$225,'Woodmac profile - Oil'!$B$480:$AL$480),FALSE)),0,VLOOKUP($B259,'Woodmac profile - Oil'!$B$498:$AL$526,MATCH(V$225,'Woodmac profile - Oil'!$B$480:$AL$480),FALSE))</f>
        <v>0</v>
      </c>
      <c r="W259" s="65">
        <f t="shared" si="639"/>
        <v>0</v>
      </c>
      <c r="X259" s="65">
        <f t="shared" si="640"/>
        <v>0</v>
      </c>
      <c r="Y259" s="12">
        <f t="shared" si="641"/>
        <v>0</v>
      </c>
      <c r="Z259" s="12">
        <f t="shared" ref="Z259" si="759">AA259</f>
        <v>0</v>
      </c>
      <c r="AA259" s="115">
        <f>IF(ISERROR(VLOOKUP($B259,'Woodmac profile - Oil'!$B$498:$AL$526,MATCH(AA$225,'Woodmac profile - Oil'!$B$480:$AL$480),FALSE)),0,VLOOKUP($B259,'Woodmac profile - Oil'!$B$498:$AL$526,MATCH(AA$225,'Woodmac profile - Oil'!$B$480:$AL$480),FALSE))</f>
        <v>0</v>
      </c>
      <c r="AB259" s="65">
        <f t="shared" si="643"/>
        <v>0</v>
      </c>
      <c r="AC259" s="65">
        <f t="shared" si="644"/>
        <v>0</v>
      </c>
      <c r="AD259" s="12">
        <f t="shared" si="645"/>
        <v>0</v>
      </c>
      <c r="AE259" s="12">
        <f t="shared" ref="AE259" si="760">AF259</f>
        <v>0</v>
      </c>
      <c r="AF259" s="115">
        <f>IF(ISERROR(VLOOKUP($B259,'Woodmac profile - Oil'!$B$498:$AL$526,MATCH(AF$225,'Woodmac profile - Oil'!$B$480:$AL$480),FALSE)),0,VLOOKUP($B259,'Woodmac profile - Oil'!$B$498:$AL$526,MATCH(AF$225,'Woodmac profile - Oil'!$B$480:$AL$480),FALSE))</f>
        <v>0</v>
      </c>
      <c r="AG259" s="65">
        <f t="shared" si="647"/>
        <v>0</v>
      </c>
      <c r="AH259" s="65">
        <f t="shared" si="648"/>
        <v>0</v>
      </c>
      <c r="AI259" s="12">
        <f t="shared" si="649"/>
        <v>0</v>
      </c>
      <c r="AJ259" s="12">
        <f t="shared" ref="AJ259" si="761">AK259</f>
        <v>0</v>
      </c>
      <c r="AK259" s="115">
        <f>IF(ISERROR(VLOOKUP($B259,'Woodmac profile - Oil'!$B$498:$AL$526,MATCH(AK$225,'Woodmac profile - Oil'!$B$480:$AL$480),FALSE)),0,VLOOKUP($B259,'Woodmac profile - Oil'!$B$498:$AL$526,MATCH(AK$225,'Woodmac profile - Oil'!$B$480:$AL$480),FALSE))</f>
        <v>0</v>
      </c>
      <c r="AL259" s="65">
        <f t="shared" si="651"/>
        <v>0</v>
      </c>
      <c r="AM259" s="65">
        <f t="shared" si="652"/>
        <v>0</v>
      </c>
      <c r="AN259" s="12">
        <f t="shared" si="653"/>
        <v>0</v>
      </c>
      <c r="AO259" s="12">
        <f t="shared" ref="AO259" si="762">AP259</f>
        <v>0</v>
      </c>
      <c r="AP259" s="115">
        <f>IF(ISERROR(VLOOKUP($B259,'Woodmac profile - Oil'!$B$498:$AL$526,MATCH(AP$225,'Woodmac profile - Oil'!$B$480:$AL$480),FALSE)),0,VLOOKUP($B259,'Woodmac profile - Oil'!$B$498:$AL$526,MATCH(AP$225,'Woodmac profile - Oil'!$B$480:$AL$480),FALSE))</f>
        <v>0</v>
      </c>
      <c r="AQ259" s="65">
        <f t="shared" si="655"/>
        <v>0</v>
      </c>
      <c r="AR259" s="65">
        <f t="shared" si="656"/>
        <v>0</v>
      </c>
      <c r="AS259" s="12">
        <f t="shared" si="657"/>
        <v>0</v>
      </c>
      <c r="AT259" s="12">
        <f t="shared" ref="AT259" si="763">AU259</f>
        <v>0</v>
      </c>
      <c r="AU259" s="115">
        <f>IF(ISERROR(VLOOKUP($B259,'Woodmac profile - Oil'!$B$498:$AL$526,MATCH(AU$225,'Woodmac profile - Oil'!$B$480:$AL$480),FALSE)),0,VLOOKUP($B259,'Woodmac profile - Oil'!$B$498:$AL$526,MATCH(AU$225,'Woodmac profile - Oil'!$B$480:$AL$480),FALSE))</f>
        <v>0</v>
      </c>
      <c r="AV259" s="65">
        <f t="shared" si="659"/>
        <v>0</v>
      </c>
      <c r="AW259" s="65">
        <f t="shared" si="660"/>
        <v>0</v>
      </c>
      <c r="AX259" s="12">
        <f t="shared" si="661"/>
        <v>0</v>
      </c>
      <c r="AY259" s="12">
        <f t="shared" ref="AY259" si="764">AZ259</f>
        <v>0</v>
      </c>
      <c r="AZ259" s="115">
        <f>IF(ISERROR(VLOOKUP($B259,'Woodmac profile - Oil'!$B$498:$AL$526,MATCH(AZ$225,'Woodmac profile - Oil'!$B$480:$AL$480),FALSE)),0,VLOOKUP($B259,'Woodmac profile - Oil'!$B$498:$AL$526,MATCH(AZ$225,'Woodmac profile - Oil'!$B$480:$AL$480),FALSE))</f>
        <v>0</v>
      </c>
      <c r="BA259" s="65">
        <f t="shared" si="663"/>
        <v>0</v>
      </c>
      <c r="BB259" s="65">
        <f t="shared" si="664"/>
        <v>0</v>
      </c>
      <c r="BC259" s="12">
        <f t="shared" si="665"/>
        <v>0</v>
      </c>
      <c r="BD259" s="12">
        <f t="shared" ref="BD259" si="765">BE259</f>
        <v>0</v>
      </c>
      <c r="BE259" s="115">
        <f>IF(ISERROR(VLOOKUP($B259,'Woodmac profile - Oil'!$B$498:$AL$526,MATCH(BE$225,'Woodmac profile - Oil'!$B$480:$AL$480),FALSE)),0,VLOOKUP($B259,'Woodmac profile - Oil'!$B$498:$AL$526,MATCH(BE$225,'Woodmac profile - Oil'!$B$480:$AL$480),FALSE))</f>
        <v>0</v>
      </c>
      <c r="BF259" s="65">
        <f t="shared" si="667"/>
        <v>0</v>
      </c>
      <c r="BG259" s="65">
        <f t="shared" si="668"/>
        <v>0</v>
      </c>
      <c r="BH259" s="65">
        <f t="shared" si="669"/>
        <v>0</v>
      </c>
      <c r="BI259" s="65">
        <f t="shared" ref="BI259" si="766">BJ259</f>
        <v>0</v>
      </c>
      <c r="BJ259" s="115">
        <f>IF(ISERROR(VLOOKUP($B259,'Woodmac profile - Oil'!$B$498:$AL$526,MATCH(BJ$225,'Woodmac profile - Oil'!$B$480:$AL$480),FALSE)),0,VLOOKUP($B259,'Woodmac profile - Oil'!$B$498:$AL$526,MATCH(BJ$225,'Woodmac profile - Oil'!$B$480:$AL$480),FALSE))</f>
        <v>0</v>
      </c>
      <c r="BK259" s="65">
        <f t="shared" si="671"/>
        <v>0</v>
      </c>
      <c r="BL259" s="65">
        <f t="shared" si="672"/>
        <v>0</v>
      </c>
      <c r="BM259" s="65">
        <f t="shared" si="673"/>
        <v>0</v>
      </c>
      <c r="BN259" s="12">
        <f t="shared" ref="BN259" si="767">BO259</f>
        <v>0</v>
      </c>
      <c r="BO259" s="115">
        <f>IF(ISERROR(VLOOKUP($B259,'Woodmac profile - Oil'!$B$498:$AL$526,MATCH(BO$225,'Woodmac profile - Oil'!$B$480:$AL$480),FALSE)),0,VLOOKUP($B259,'Woodmac profile - Oil'!$B$498:$AL$526,MATCH(BO$225,'Woodmac profile - Oil'!$B$480:$AL$480),FALSE))</f>
        <v>0</v>
      </c>
      <c r="BP259" s="65">
        <f t="shared" si="675"/>
        <v>0</v>
      </c>
      <c r="BQ259" s="65">
        <f t="shared" si="676"/>
        <v>0</v>
      </c>
      <c r="BR259" s="12">
        <f t="shared" si="677"/>
        <v>0</v>
      </c>
      <c r="BS259" s="12">
        <f t="shared" ref="BS259" si="768">BT259</f>
        <v>0</v>
      </c>
      <c r="BT259" s="115">
        <f>IF(ISERROR(VLOOKUP($B259,'Woodmac profile - Oil'!$B$498:$AL$526,MATCH(BT$225,'Woodmac profile - Oil'!$B$480:$AL$480),FALSE)),0,VLOOKUP($B259,'Woodmac profile - Oil'!$B$498:$AL$526,MATCH(BT$225,'Woodmac profile - Oil'!$B$480:$AL$480),FALSE))</f>
        <v>0</v>
      </c>
      <c r="BU259" s="65">
        <f t="shared" si="679"/>
        <v>0</v>
      </c>
      <c r="BV259" s="65">
        <f t="shared" si="680"/>
        <v>0</v>
      </c>
      <c r="BW259" s="12">
        <f t="shared" si="681"/>
        <v>0</v>
      </c>
      <c r="BX259" s="12">
        <f t="shared" ref="BX259" si="769">BY259</f>
        <v>0</v>
      </c>
      <c r="BY259" s="115">
        <f>IF(ISERROR(VLOOKUP($B259,'Woodmac profile - Oil'!$B$498:$AL$526,MATCH(BY$225,'Woodmac profile - Oil'!$B$480:$AL$480),FALSE)),0,VLOOKUP($B259,'Woodmac profile - Oil'!$B$498:$AL$526,MATCH(BY$225,'Woodmac profile - Oil'!$B$480:$AL$480),FALSE))</f>
        <v>0</v>
      </c>
      <c r="BZ259" s="65">
        <f t="shared" si="683"/>
        <v>0</v>
      </c>
      <c r="CA259" s="65">
        <f t="shared" si="684"/>
        <v>0</v>
      </c>
      <c r="CB259" s="12">
        <f t="shared" si="685"/>
        <v>0</v>
      </c>
      <c r="CC259" s="12">
        <f t="shared" ref="CC259" si="770">CD259</f>
        <v>0</v>
      </c>
      <c r="CD259" s="115">
        <f>IF(ISERROR(VLOOKUP($B259,'Woodmac profile - Oil'!$B$498:$AL$526,MATCH(CD$225,'Woodmac profile - Oil'!$B$480:$AL$480),FALSE)),0,VLOOKUP($B259,'Woodmac profile - Oil'!$B$498:$AL$526,MATCH(CD$225,'Woodmac profile - Oil'!$B$480:$AL$480),FALSE))</f>
        <v>0</v>
      </c>
    </row>
    <row r="260" spans="1:82">
      <c r="A260" s="11"/>
      <c r="B260" s="11" t="s">
        <v>3278</v>
      </c>
      <c r="C260" s="52"/>
      <c r="D260" s="52"/>
      <c r="E260" s="115">
        <f>IF(ISERROR(VLOOKUP($B260,'Woodmac profile - Oil'!$B$498:$AL$526,MATCH(E$225,'Woodmac profile - Oil'!$B$480:$AL$480),FALSE)),0,VLOOKUP($B260,'Woodmac profile - Oil'!$B$498:$AL$526,MATCH(E$225,'Woodmac profile - Oil'!$B$480:$AL$480),FALSE))</f>
        <v>0</v>
      </c>
      <c r="F260" s="115">
        <f>IF(ISERROR(VLOOKUP($B260,'Woodmac profile - Oil'!$B$498:$AL$526,MATCH(F$225,'Woodmac profile - Oil'!$B$480:$AL$480),FALSE)),0,VLOOKUP($B260,'Woodmac profile - Oil'!$B$498:$AL$526,MATCH(F$225,'Woodmac profile - Oil'!$B$480:$AL$480),FALSE))</f>
        <v>0</v>
      </c>
      <c r="G260" s="115">
        <f>IF(ISERROR(VLOOKUP($B260,'Woodmac profile - Oil'!$B$498:$AL$526,MATCH(G$225,'Woodmac profile - Oil'!$B$480:$AL$480),FALSE)),0,VLOOKUP($B260,'Woodmac profile - Oil'!$B$498:$AL$526,MATCH(G$225,'Woodmac profile - Oil'!$B$480:$AL$480),FALSE))</f>
        <v>0</v>
      </c>
      <c r="H260" s="65">
        <f t="shared" si="627"/>
        <v>0</v>
      </c>
      <c r="I260" s="65">
        <f t="shared" si="628"/>
        <v>0</v>
      </c>
      <c r="J260" s="12">
        <f t="shared" si="629"/>
        <v>0</v>
      </c>
      <c r="K260" s="12">
        <f t="shared" si="630"/>
        <v>0</v>
      </c>
      <c r="L260" s="115">
        <f>IF(ISERROR(VLOOKUP($B260,'Woodmac profile - Oil'!$B$498:$AL$526,MATCH(L$225,'Woodmac profile - Oil'!$B$480:$AL$480),FALSE)),0,VLOOKUP($B260,'Woodmac profile - Oil'!$B$498:$AL$526,MATCH(L$225,'Woodmac profile - Oil'!$B$480:$AL$480),FALSE))</f>
        <v>0</v>
      </c>
      <c r="M260" s="65">
        <f t="shared" si="631"/>
        <v>0</v>
      </c>
      <c r="N260" s="65">
        <f t="shared" si="632"/>
        <v>0</v>
      </c>
      <c r="O260" s="12">
        <f t="shared" si="633"/>
        <v>0</v>
      </c>
      <c r="P260" s="12">
        <f t="shared" ref="P260" si="771">Q260</f>
        <v>0</v>
      </c>
      <c r="Q260" s="115">
        <f>IF(ISERROR(VLOOKUP($B260,'Woodmac profile - Oil'!$B$498:$AL$526,MATCH(Q$225,'Woodmac profile - Oil'!$B$480:$AL$480),FALSE)),0,VLOOKUP($B260,'Woodmac profile - Oil'!$B$498:$AL$526,MATCH(Q$225,'Woodmac profile - Oil'!$B$480:$AL$480),FALSE))</f>
        <v>0</v>
      </c>
      <c r="R260" s="65">
        <f t="shared" si="635"/>
        <v>0</v>
      </c>
      <c r="S260" s="65">
        <f t="shared" si="636"/>
        <v>0</v>
      </c>
      <c r="T260" s="12">
        <f t="shared" si="637"/>
        <v>0</v>
      </c>
      <c r="U260" s="12">
        <f t="shared" ref="U260" si="772">V260</f>
        <v>0</v>
      </c>
      <c r="V260" s="115">
        <f>IF(ISERROR(VLOOKUP($B260,'Woodmac profile - Oil'!$B$498:$AL$526,MATCH(V$225,'Woodmac profile - Oil'!$B$480:$AL$480),FALSE)),0,VLOOKUP($B260,'Woodmac profile - Oil'!$B$498:$AL$526,MATCH(V$225,'Woodmac profile - Oil'!$B$480:$AL$480),FALSE))</f>
        <v>0</v>
      </c>
      <c r="W260" s="65">
        <f t="shared" si="639"/>
        <v>0</v>
      </c>
      <c r="X260" s="65">
        <f t="shared" si="640"/>
        <v>0</v>
      </c>
      <c r="Y260" s="12">
        <f t="shared" si="641"/>
        <v>0</v>
      </c>
      <c r="Z260" s="12">
        <f t="shared" ref="Z260" si="773">AA260</f>
        <v>0</v>
      </c>
      <c r="AA260" s="115">
        <f>IF(ISERROR(VLOOKUP($B260,'Woodmac profile - Oil'!$B$498:$AL$526,MATCH(AA$225,'Woodmac profile - Oil'!$B$480:$AL$480),FALSE)),0,VLOOKUP($B260,'Woodmac profile - Oil'!$B$498:$AL$526,MATCH(AA$225,'Woodmac profile - Oil'!$B$480:$AL$480),FALSE))</f>
        <v>0</v>
      </c>
      <c r="AB260" s="65">
        <f t="shared" si="643"/>
        <v>0</v>
      </c>
      <c r="AC260" s="65">
        <f t="shared" si="644"/>
        <v>0</v>
      </c>
      <c r="AD260" s="12">
        <f t="shared" si="645"/>
        <v>0</v>
      </c>
      <c r="AE260" s="12">
        <f t="shared" ref="AE260" si="774">AF260</f>
        <v>0</v>
      </c>
      <c r="AF260" s="115">
        <f>IF(ISERROR(VLOOKUP($B260,'Woodmac profile - Oil'!$B$498:$AL$526,MATCH(AF$225,'Woodmac profile - Oil'!$B$480:$AL$480),FALSE)),0,VLOOKUP($B260,'Woodmac profile - Oil'!$B$498:$AL$526,MATCH(AF$225,'Woodmac profile - Oil'!$B$480:$AL$480),FALSE))</f>
        <v>0</v>
      </c>
      <c r="AG260" s="65">
        <f t="shared" si="647"/>
        <v>0</v>
      </c>
      <c r="AH260" s="65">
        <f t="shared" si="648"/>
        <v>0</v>
      </c>
      <c r="AI260" s="12">
        <f t="shared" si="649"/>
        <v>0</v>
      </c>
      <c r="AJ260" s="12">
        <f t="shared" ref="AJ260" si="775">AK260</f>
        <v>0</v>
      </c>
      <c r="AK260" s="115">
        <f>IF(ISERROR(VLOOKUP($B260,'Woodmac profile - Oil'!$B$498:$AL$526,MATCH(AK$225,'Woodmac profile - Oil'!$B$480:$AL$480),FALSE)),0,VLOOKUP($B260,'Woodmac profile - Oil'!$B$498:$AL$526,MATCH(AK$225,'Woodmac profile - Oil'!$B$480:$AL$480),FALSE))</f>
        <v>0</v>
      </c>
      <c r="AL260" s="65">
        <f t="shared" si="651"/>
        <v>0</v>
      </c>
      <c r="AM260" s="65">
        <f t="shared" si="652"/>
        <v>0</v>
      </c>
      <c r="AN260" s="12">
        <f t="shared" si="653"/>
        <v>0</v>
      </c>
      <c r="AO260" s="12">
        <f t="shared" ref="AO260" si="776">AP260</f>
        <v>0</v>
      </c>
      <c r="AP260" s="115">
        <f>IF(ISERROR(VLOOKUP($B260,'Woodmac profile - Oil'!$B$498:$AL$526,MATCH(AP$225,'Woodmac profile - Oil'!$B$480:$AL$480),FALSE)),0,VLOOKUP($B260,'Woodmac profile - Oil'!$B$498:$AL$526,MATCH(AP$225,'Woodmac profile - Oil'!$B$480:$AL$480),FALSE))</f>
        <v>0</v>
      </c>
      <c r="AQ260" s="65">
        <f t="shared" si="655"/>
        <v>0</v>
      </c>
      <c r="AR260" s="65">
        <f t="shared" si="656"/>
        <v>0</v>
      </c>
      <c r="AS260" s="12">
        <f t="shared" si="657"/>
        <v>0</v>
      </c>
      <c r="AT260" s="12">
        <f t="shared" ref="AT260" si="777">AU260</f>
        <v>0</v>
      </c>
      <c r="AU260" s="115">
        <f>IF(ISERROR(VLOOKUP($B260,'Woodmac profile - Oil'!$B$498:$AL$526,MATCH(AU$225,'Woodmac profile - Oil'!$B$480:$AL$480),FALSE)),0,VLOOKUP($B260,'Woodmac profile - Oil'!$B$498:$AL$526,MATCH(AU$225,'Woodmac profile - Oil'!$B$480:$AL$480),FALSE))</f>
        <v>0</v>
      </c>
      <c r="AV260" s="65">
        <f t="shared" si="659"/>
        <v>0</v>
      </c>
      <c r="AW260" s="65">
        <f t="shared" si="660"/>
        <v>0</v>
      </c>
      <c r="AX260" s="12">
        <f t="shared" si="661"/>
        <v>0</v>
      </c>
      <c r="AY260" s="12">
        <f t="shared" ref="AY260" si="778">AZ260</f>
        <v>0</v>
      </c>
      <c r="AZ260" s="115">
        <f>IF(ISERROR(VLOOKUP($B260,'Woodmac profile - Oil'!$B$498:$AL$526,MATCH(AZ$225,'Woodmac profile - Oil'!$B$480:$AL$480),FALSE)),0,VLOOKUP($B260,'Woodmac profile - Oil'!$B$498:$AL$526,MATCH(AZ$225,'Woodmac profile - Oil'!$B$480:$AL$480),FALSE))</f>
        <v>0</v>
      </c>
      <c r="BA260" s="65">
        <f t="shared" si="663"/>
        <v>0</v>
      </c>
      <c r="BB260" s="65">
        <f t="shared" si="664"/>
        <v>0</v>
      </c>
      <c r="BC260" s="12">
        <f t="shared" si="665"/>
        <v>0</v>
      </c>
      <c r="BD260" s="12">
        <f t="shared" ref="BD260" si="779">BE260</f>
        <v>0</v>
      </c>
      <c r="BE260" s="115">
        <f>IF(ISERROR(VLOOKUP($B260,'Woodmac profile - Oil'!$B$498:$AL$526,MATCH(BE$225,'Woodmac profile - Oil'!$B$480:$AL$480),FALSE)),0,VLOOKUP($B260,'Woodmac profile - Oil'!$B$498:$AL$526,MATCH(BE$225,'Woodmac profile - Oil'!$B$480:$AL$480),FALSE))</f>
        <v>0</v>
      </c>
      <c r="BF260" s="65">
        <f t="shared" si="667"/>
        <v>0</v>
      </c>
      <c r="BG260" s="65">
        <f t="shared" si="668"/>
        <v>0</v>
      </c>
      <c r="BH260" s="65">
        <f t="shared" si="669"/>
        <v>0</v>
      </c>
      <c r="BI260" s="65">
        <f t="shared" ref="BI260" si="780">BJ260</f>
        <v>0</v>
      </c>
      <c r="BJ260" s="115">
        <f>IF(ISERROR(VLOOKUP($B260,'Woodmac profile - Oil'!$B$498:$AL$526,MATCH(BJ$225,'Woodmac profile - Oil'!$B$480:$AL$480),FALSE)),0,VLOOKUP($B260,'Woodmac profile - Oil'!$B$498:$AL$526,MATCH(BJ$225,'Woodmac profile - Oil'!$B$480:$AL$480),FALSE))</f>
        <v>0</v>
      </c>
      <c r="BK260" s="65">
        <f t="shared" si="671"/>
        <v>0</v>
      </c>
      <c r="BL260" s="65">
        <f t="shared" si="672"/>
        <v>0</v>
      </c>
      <c r="BM260" s="65">
        <f t="shared" si="673"/>
        <v>0</v>
      </c>
      <c r="BN260" s="12">
        <f t="shared" ref="BN260" si="781">BO260</f>
        <v>0</v>
      </c>
      <c r="BO260" s="115">
        <f>IF(ISERROR(VLOOKUP($B260,'Woodmac profile - Oil'!$B$498:$AL$526,MATCH(BO$225,'Woodmac profile - Oil'!$B$480:$AL$480),FALSE)),0,VLOOKUP($B260,'Woodmac profile - Oil'!$B$498:$AL$526,MATCH(BO$225,'Woodmac profile - Oil'!$B$480:$AL$480),FALSE))</f>
        <v>0</v>
      </c>
      <c r="BP260" s="65">
        <f t="shared" si="675"/>
        <v>0</v>
      </c>
      <c r="BQ260" s="65">
        <f t="shared" si="676"/>
        <v>0</v>
      </c>
      <c r="BR260" s="12">
        <f t="shared" si="677"/>
        <v>0</v>
      </c>
      <c r="BS260" s="12">
        <f t="shared" ref="BS260" si="782">BT260</f>
        <v>0</v>
      </c>
      <c r="BT260" s="115">
        <f>IF(ISERROR(VLOOKUP($B260,'Woodmac profile - Oil'!$B$498:$AL$526,MATCH(BT$225,'Woodmac profile - Oil'!$B$480:$AL$480),FALSE)),0,VLOOKUP($B260,'Woodmac profile - Oil'!$B$498:$AL$526,MATCH(BT$225,'Woodmac profile - Oil'!$B$480:$AL$480),FALSE))</f>
        <v>0</v>
      </c>
      <c r="BU260" s="65">
        <f t="shared" si="679"/>
        <v>0</v>
      </c>
      <c r="BV260" s="65">
        <f t="shared" si="680"/>
        <v>0</v>
      </c>
      <c r="BW260" s="12">
        <f t="shared" si="681"/>
        <v>0</v>
      </c>
      <c r="BX260" s="12">
        <f t="shared" ref="BX260" si="783">BY260</f>
        <v>0</v>
      </c>
      <c r="BY260" s="115">
        <f>IF(ISERROR(VLOOKUP($B260,'Woodmac profile - Oil'!$B$498:$AL$526,MATCH(BY$225,'Woodmac profile - Oil'!$B$480:$AL$480),FALSE)),0,VLOOKUP($B260,'Woodmac profile - Oil'!$B$498:$AL$526,MATCH(BY$225,'Woodmac profile - Oil'!$B$480:$AL$480),FALSE))</f>
        <v>0</v>
      </c>
      <c r="BZ260" s="65">
        <f t="shared" si="683"/>
        <v>0</v>
      </c>
      <c r="CA260" s="65">
        <f t="shared" si="684"/>
        <v>0</v>
      </c>
      <c r="CB260" s="12">
        <f t="shared" si="685"/>
        <v>0</v>
      </c>
      <c r="CC260" s="12">
        <f t="shared" ref="CC260" si="784">CD260</f>
        <v>0</v>
      </c>
      <c r="CD260" s="115">
        <f>IF(ISERROR(VLOOKUP($B260,'Woodmac profile - Oil'!$B$498:$AL$526,MATCH(CD$225,'Woodmac profile - Oil'!$B$480:$AL$480),FALSE)),0,VLOOKUP($B260,'Woodmac profile - Oil'!$B$498:$AL$526,MATCH(CD$225,'Woodmac profile - Oil'!$B$480:$AL$480),FALSE))</f>
        <v>0</v>
      </c>
    </row>
    <row r="261" spans="1:82">
      <c r="A261" s="47"/>
      <c r="B261" s="47" t="s">
        <v>1703</v>
      </c>
      <c r="C261" s="52"/>
      <c r="D261" s="52"/>
      <c r="E261" s="115">
        <f>IF(ISERROR(VLOOKUP($B261,'Woodmac profile - Oil'!$B$498:$AL$526,MATCH(E$225,'Woodmac profile - Oil'!$B$480:$AL$480),FALSE)),0,VLOOKUP($B261,'Woodmac profile - Oil'!$B$498:$AL$526,MATCH(E$225,'Woodmac profile - Oil'!$B$480:$AL$480),FALSE))</f>
        <v>3.89</v>
      </c>
      <c r="F261" s="115">
        <f>IF(ISERROR(VLOOKUP($B261,'Woodmac profile - Oil'!$B$498:$AL$526,MATCH(F$225,'Woodmac profile - Oil'!$B$480:$AL$480),FALSE)),0,VLOOKUP($B261,'Woodmac profile - Oil'!$B$498:$AL$526,MATCH(F$225,'Woodmac profile - Oil'!$B$480:$AL$480),FALSE))</f>
        <v>0</v>
      </c>
      <c r="G261" s="115">
        <f>IF(ISERROR(VLOOKUP($B261,'Woodmac profile - Oil'!$B$498:$AL$526,MATCH(G$225,'Woodmac profile - Oil'!$B$480:$AL$480),FALSE)),0,VLOOKUP($B261,'Woodmac profile - Oil'!$B$498:$AL$526,MATCH(G$225,'Woodmac profile - Oil'!$B$480:$AL$480),FALSE))</f>
        <v>0</v>
      </c>
      <c r="H261" s="65">
        <f t="shared" si="627"/>
        <v>0</v>
      </c>
      <c r="I261" s="65">
        <f t="shared" si="628"/>
        <v>0</v>
      </c>
      <c r="J261" s="12">
        <f t="shared" si="629"/>
        <v>0</v>
      </c>
      <c r="K261" s="12">
        <f t="shared" si="630"/>
        <v>0</v>
      </c>
      <c r="L261" s="115">
        <f>IF(ISERROR(VLOOKUP($B261,'Woodmac profile - Oil'!$B$498:$AL$526,MATCH(L$225,'Woodmac profile - Oil'!$B$480:$AL$480),FALSE)),0,VLOOKUP($B261,'Woodmac profile - Oil'!$B$498:$AL$526,MATCH(L$225,'Woodmac profile - Oil'!$B$480:$AL$480),FALSE))</f>
        <v>0</v>
      </c>
      <c r="M261" s="65">
        <f t="shared" si="631"/>
        <v>0</v>
      </c>
      <c r="N261" s="65">
        <f t="shared" si="632"/>
        <v>0</v>
      </c>
      <c r="O261" s="12">
        <f t="shared" si="633"/>
        <v>0</v>
      </c>
      <c r="P261" s="12">
        <f t="shared" ref="P261" si="785">Q261</f>
        <v>0</v>
      </c>
      <c r="Q261" s="115">
        <f>IF(ISERROR(VLOOKUP($B261,'Woodmac profile - Oil'!$B$498:$AL$526,MATCH(Q$225,'Woodmac profile - Oil'!$B$480:$AL$480),FALSE)),0,VLOOKUP($B261,'Woodmac profile - Oil'!$B$498:$AL$526,MATCH(Q$225,'Woodmac profile - Oil'!$B$480:$AL$480),FALSE))</f>
        <v>0</v>
      </c>
      <c r="R261" s="65">
        <f t="shared" si="635"/>
        <v>0</v>
      </c>
      <c r="S261" s="65">
        <f t="shared" si="636"/>
        <v>0</v>
      </c>
      <c r="T261" s="12">
        <f t="shared" si="637"/>
        <v>0</v>
      </c>
      <c r="U261" s="12">
        <f t="shared" ref="U261" si="786">V261</f>
        <v>0</v>
      </c>
      <c r="V261" s="115">
        <f>IF(ISERROR(VLOOKUP($B261,'Woodmac profile - Oil'!$B$498:$AL$526,MATCH(V$225,'Woodmac profile - Oil'!$B$480:$AL$480),FALSE)),0,VLOOKUP($B261,'Woodmac profile - Oil'!$B$498:$AL$526,MATCH(V$225,'Woodmac profile - Oil'!$B$480:$AL$480),FALSE))</f>
        <v>0</v>
      </c>
      <c r="W261" s="65">
        <f t="shared" si="639"/>
        <v>0</v>
      </c>
      <c r="X261" s="65">
        <f t="shared" si="640"/>
        <v>0</v>
      </c>
      <c r="Y261" s="12">
        <f t="shared" si="641"/>
        <v>0</v>
      </c>
      <c r="Z261" s="12">
        <f t="shared" ref="Z261" si="787">AA261</f>
        <v>0</v>
      </c>
      <c r="AA261" s="115">
        <f>IF(ISERROR(VLOOKUP($B261,'Woodmac profile - Oil'!$B$498:$AL$526,MATCH(AA$225,'Woodmac profile - Oil'!$B$480:$AL$480),FALSE)),0,VLOOKUP($B261,'Woodmac profile - Oil'!$B$498:$AL$526,MATCH(AA$225,'Woodmac profile - Oil'!$B$480:$AL$480),FALSE))</f>
        <v>0</v>
      </c>
      <c r="AB261" s="65">
        <f t="shared" si="643"/>
        <v>0</v>
      </c>
      <c r="AC261" s="65">
        <f t="shared" si="644"/>
        <v>0</v>
      </c>
      <c r="AD261" s="12">
        <f t="shared" si="645"/>
        <v>0</v>
      </c>
      <c r="AE261" s="12">
        <f t="shared" ref="AE261" si="788">AF261</f>
        <v>0</v>
      </c>
      <c r="AF261" s="115">
        <f>IF(ISERROR(VLOOKUP($B261,'Woodmac profile - Oil'!$B$498:$AL$526,MATCH(AF$225,'Woodmac profile - Oil'!$B$480:$AL$480),FALSE)),0,VLOOKUP($B261,'Woodmac profile - Oil'!$B$498:$AL$526,MATCH(AF$225,'Woodmac profile - Oil'!$B$480:$AL$480),FALSE))</f>
        <v>0</v>
      </c>
      <c r="AG261" s="65">
        <f t="shared" si="647"/>
        <v>0</v>
      </c>
      <c r="AH261" s="65">
        <f t="shared" si="648"/>
        <v>0</v>
      </c>
      <c r="AI261" s="12">
        <f t="shared" si="649"/>
        <v>0</v>
      </c>
      <c r="AJ261" s="12">
        <f t="shared" ref="AJ261" si="789">AK261</f>
        <v>0</v>
      </c>
      <c r="AK261" s="115">
        <f>IF(ISERROR(VLOOKUP($B261,'Woodmac profile - Oil'!$B$498:$AL$526,MATCH(AK$225,'Woodmac profile - Oil'!$B$480:$AL$480),FALSE)),0,VLOOKUP($B261,'Woodmac profile - Oil'!$B$498:$AL$526,MATCH(AK$225,'Woodmac profile - Oil'!$B$480:$AL$480),FALSE))</f>
        <v>0</v>
      </c>
      <c r="AL261" s="65">
        <f t="shared" si="651"/>
        <v>0</v>
      </c>
      <c r="AM261" s="65">
        <f t="shared" si="652"/>
        <v>0</v>
      </c>
      <c r="AN261" s="12">
        <f t="shared" si="653"/>
        <v>0</v>
      </c>
      <c r="AO261" s="12">
        <f t="shared" ref="AO261" si="790">AP261</f>
        <v>0</v>
      </c>
      <c r="AP261" s="115">
        <f>IF(ISERROR(VLOOKUP($B261,'Woodmac profile - Oil'!$B$498:$AL$526,MATCH(AP$225,'Woodmac profile - Oil'!$B$480:$AL$480),FALSE)),0,VLOOKUP($B261,'Woodmac profile - Oil'!$B$498:$AL$526,MATCH(AP$225,'Woodmac profile - Oil'!$B$480:$AL$480),FALSE))</f>
        <v>0</v>
      </c>
      <c r="AQ261" s="65">
        <f t="shared" si="655"/>
        <v>597.15981499999998</v>
      </c>
      <c r="AR261" s="65">
        <f t="shared" si="656"/>
        <v>597.15981499999998</v>
      </c>
      <c r="AS261" s="12">
        <f t="shared" si="657"/>
        <v>597.15981499999998</v>
      </c>
      <c r="AT261" s="12">
        <f t="shared" ref="AT261" si="791">AU261</f>
        <v>597.15981499999998</v>
      </c>
      <c r="AU261" s="115">
        <f>IF(ISERROR(VLOOKUP($B261,'Woodmac profile - Oil'!$B$498:$AL$526,MATCH(AU$225,'Woodmac profile - Oil'!$B$480:$AL$480),FALSE)),0,VLOOKUP($B261,'Woodmac profile - Oil'!$B$498:$AL$526,MATCH(AU$225,'Woodmac profile - Oil'!$B$480:$AL$480),FALSE))</f>
        <v>597.15981499999998</v>
      </c>
      <c r="AV261" s="65">
        <f t="shared" si="659"/>
        <v>756.42954250000014</v>
      </c>
      <c r="AW261" s="65">
        <f t="shared" si="660"/>
        <v>756.42954250000014</v>
      </c>
      <c r="AX261" s="12">
        <f t="shared" si="661"/>
        <v>756.42954250000014</v>
      </c>
      <c r="AY261" s="12">
        <f t="shared" ref="AY261" si="792">AZ261</f>
        <v>756.42954250000014</v>
      </c>
      <c r="AZ261" s="115">
        <f>IF(ISERROR(VLOOKUP($B261,'Woodmac profile - Oil'!$B$498:$AL$526,MATCH(AZ$225,'Woodmac profile - Oil'!$B$480:$AL$480),FALSE)),0,VLOOKUP($B261,'Woodmac profile - Oil'!$B$498:$AL$526,MATCH(AZ$225,'Woodmac profile - Oil'!$B$480:$AL$480),FALSE))</f>
        <v>756.42954250000014</v>
      </c>
      <c r="BA261" s="65">
        <f t="shared" si="663"/>
        <v>760.20949500000017</v>
      </c>
      <c r="BB261" s="65">
        <f t="shared" si="664"/>
        <v>760.20949500000017</v>
      </c>
      <c r="BC261" s="12">
        <f t="shared" si="665"/>
        <v>760.20949500000017</v>
      </c>
      <c r="BD261" s="12">
        <f t="shared" ref="BD261" si="793">BE261</f>
        <v>760.20949500000017</v>
      </c>
      <c r="BE261" s="115">
        <f>IF(ISERROR(VLOOKUP($B261,'Woodmac profile - Oil'!$B$498:$AL$526,MATCH(BE$225,'Woodmac profile - Oil'!$B$480:$AL$480),FALSE)),0,VLOOKUP($B261,'Woodmac profile - Oil'!$B$498:$AL$526,MATCH(BE$225,'Woodmac profile - Oil'!$B$480:$AL$480),FALSE))</f>
        <v>760.20949500000017</v>
      </c>
      <c r="BF261" s="65">
        <f t="shared" si="667"/>
        <v>751.82257500000003</v>
      </c>
      <c r="BG261" s="65">
        <f t="shared" si="668"/>
        <v>751.82257500000003</v>
      </c>
      <c r="BH261" s="65">
        <f t="shared" si="669"/>
        <v>751.82257500000003</v>
      </c>
      <c r="BI261" s="65">
        <f t="shared" ref="BI261" si="794">BJ261</f>
        <v>751.82257500000003</v>
      </c>
      <c r="BJ261" s="115">
        <f>IF(ISERROR(VLOOKUP($B261,'Woodmac profile - Oil'!$B$498:$AL$526,MATCH(BJ$225,'Woodmac profile - Oil'!$B$480:$AL$480),FALSE)),0,VLOOKUP($B261,'Woodmac profile - Oil'!$B$498:$AL$526,MATCH(BJ$225,'Woodmac profile - Oil'!$B$480:$AL$480),FALSE))</f>
        <v>751.82257500000003</v>
      </c>
      <c r="BK261" s="65">
        <f t="shared" si="671"/>
        <v>763.39300500000024</v>
      </c>
      <c r="BL261" s="65">
        <f t="shared" si="672"/>
        <v>763.39300500000024</v>
      </c>
      <c r="BM261" s="65">
        <f t="shared" si="673"/>
        <v>763.39300500000024</v>
      </c>
      <c r="BN261" s="12">
        <f t="shared" ref="BN261" si="795">BO261</f>
        <v>763.39300500000024</v>
      </c>
      <c r="BO261" s="115">
        <f>IF(ISERROR(VLOOKUP($B261,'Woodmac profile - Oil'!$B$498:$AL$526,MATCH(BO$225,'Woodmac profile - Oil'!$B$480:$AL$480),FALSE)),0,VLOOKUP($B261,'Woodmac profile - Oil'!$B$498:$AL$526,MATCH(BO$225,'Woodmac profile - Oil'!$B$480:$AL$480),FALSE))</f>
        <v>763.39300500000024</v>
      </c>
      <c r="BP261" s="65">
        <f t="shared" si="675"/>
        <v>764.74934250000024</v>
      </c>
      <c r="BQ261" s="65">
        <f t="shared" si="676"/>
        <v>764.74934250000024</v>
      </c>
      <c r="BR261" s="12">
        <f t="shared" si="677"/>
        <v>764.74934250000024</v>
      </c>
      <c r="BS261" s="12">
        <f t="shared" ref="BS261" si="796">BT261</f>
        <v>764.74934250000024</v>
      </c>
      <c r="BT261" s="115">
        <f>IF(ISERROR(VLOOKUP($B261,'Woodmac profile - Oil'!$B$498:$AL$526,MATCH(BT$225,'Woodmac profile - Oil'!$B$480:$AL$480),FALSE)),0,VLOOKUP($B261,'Woodmac profile - Oil'!$B$498:$AL$526,MATCH(BT$225,'Woodmac profile - Oil'!$B$480:$AL$480),FALSE))</f>
        <v>764.74934250000024</v>
      </c>
      <c r="BU261" s="65">
        <f t="shared" si="679"/>
        <v>808.602665</v>
      </c>
      <c r="BV261" s="65">
        <f t="shared" si="680"/>
        <v>808.602665</v>
      </c>
      <c r="BW261" s="12">
        <f t="shared" si="681"/>
        <v>808.602665</v>
      </c>
      <c r="BX261" s="12">
        <f t="shared" ref="BX261" si="797">BY261</f>
        <v>808.602665</v>
      </c>
      <c r="BY261" s="115">
        <f>IF(ISERROR(VLOOKUP($B261,'Woodmac profile - Oil'!$B$498:$AL$526,MATCH(BY$225,'Woodmac profile - Oil'!$B$480:$AL$480),FALSE)),0,VLOOKUP($B261,'Woodmac profile - Oil'!$B$498:$AL$526,MATCH(BY$225,'Woodmac profile - Oil'!$B$480:$AL$480),FALSE))</f>
        <v>808.602665</v>
      </c>
      <c r="BZ261" s="65">
        <f t="shared" si="683"/>
        <v>839.80802250000022</v>
      </c>
      <c r="CA261" s="65">
        <f t="shared" si="684"/>
        <v>839.80802250000022</v>
      </c>
      <c r="CB261" s="12">
        <f t="shared" si="685"/>
        <v>839.80802250000022</v>
      </c>
      <c r="CC261" s="12">
        <f t="shared" ref="CC261" si="798">CD261</f>
        <v>839.80802250000022</v>
      </c>
      <c r="CD261" s="115">
        <f>IF(ISERROR(VLOOKUP($B261,'Woodmac profile - Oil'!$B$498:$AL$526,MATCH(CD$225,'Woodmac profile - Oil'!$B$480:$AL$480),FALSE)),0,VLOOKUP($B261,'Woodmac profile - Oil'!$B$498:$AL$526,MATCH(CD$225,'Woodmac profile - Oil'!$B$480:$AL$480),FALSE))</f>
        <v>839.80802250000022</v>
      </c>
    </row>
    <row r="262" spans="1:82">
      <c r="A262" s="47"/>
      <c r="B262" s="47" t="s">
        <v>1961</v>
      </c>
      <c r="C262" s="52"/>
      <c r="D262" s="52"/>
      <c r="E262" s="115">
        <f>IF(ISERROR(VLOOKUP($B262,'Woodmac profile - Oil'!$B$498:$AL$526,MATCH(E$225,'Woodmac profile - Oil'!$B$480:$AL$480),FALSE)),0,VLOOKUP($B262,'Woodmac profile - Oil'!$B$498:$AL$526,MATCH(E$225,'Woodmac profile - Oil'!$B$480:$AL$480),FALSE))</f>
        <v>0</v>
      </c>
      <c r="F262" s="115">
        <f>IF(ISERROR(VLOOKUP($B262,'Woodmac profile - Oil'!$B$498:$AL$526,MATCH(F$225,'Woodmac profile - Oil'!$B$480:$AL$480),FALSE)),0,VLOOKUP($B262,'Woodmac profile - Oil'!$B$498:$AL$526,MATCH(F$225,'Woodmac profile - Oil'!$B$480:$AL$480),FALSE))</f>
        <v>0</v>
      </c>
      <c r="G262" s="115">
        <f>IF(ISERROR(VLOOKUP($B262,'Woodmac profile - Oil'!$B$498:$AL$526,MATCH(G$225,'Woodmac profile - Oil'!$B$480:$AL$480),FALSE)),0,VLOOKUP($B262,'Woodmac profile - Oil'!$B$498:$AL$526,MATCH(G$225,'Woodmac profile - Oil'!$B$480:$AL$480),FALSE))</f>
        <v>0</v>
      </c>
      <c r="H262" s="65">
        <f t="shared" si="627"/>
        <v>0</v>
      </c>
      <c r="I262" s="65">
        <f t="shared" si="628"/>
        <v>0</v>
      </c>
      <c r="J262" s="12">
        <f t="shared" si="629"/>
        <v>0</v>
      </c>
      <c r="K262" s="12">
        <f t="shared" si="630"/>
        <v>0</v>
      </c>
      <c r="L262" s="115">
        <f>IF(ISERROR(VLOOKUP($B262,'Woodmac profile - Oil'!$B$498:$AL$526,MATCH(L$225,'Woodmac profile - Oil'!$B$480:$AL$480),FALSE)),0,VLOOKUP($B262,'Woodmac profile - Oil'!$B$498:$AL$526,MATCH(L$225,'Woodmac profile - Oil'!$B$480:$AL$480),FALSE))</f>
        <v>0</v>
      </c>
      <c r="M262" s="65">
        <f t="shared" si="631"/>
        <v>0</v>
      </c>
      <c r="N262" s="65">
        <f t="shared" si="632"/>
        <v>0</v>
      </c>
      <c r="O262" s="12">
        <f t="shared" si="633"/>
        <v>0</v>
      </c>
      <c r="P262" s="12">
        <f t="shared" ref="P262" si="799">Q262</f>
        <v>0</v>
      </c>
      <c r="Q262" s="115">
        <f>IF(ISERROR(VLOOKUP($B262,'Woodmac profile - Oil'!$B$498:$AL$526,MATCH(Q$225,'Woodmac profile - Oil'!$B$480:$AL$480),FALSE)),0,VLOOKUP($B262,'Woodmac profile - Oil'!$B$498:$AL$526,MATCH(Q$225,'Woodmac profile - Oil'!$B$480:$AL$480),FALSE))</f>
        <v>0</v>
      </c>
      <c r="R262" s="65">
        <f t="shared" si="635"/>
        <v>0</v>
      </c>
      <c r="S262" s="65">
        <f t="shared" si="636"/>
        <v>0</v>
      </c>
      <c r="T262" s="12">
        <f t="shared" si="637"/>
        <v>0</v>
      </c>
      <c r="U262" s="12">
        <f t="shared" ref="U262" si="800">V262</f>
        <v>0</v>
      </c>
      <c r="V262" s="115">
        <f>IF(ISERROR(VLOOKUP($B262,'Woodmac profile - Oil'!$B$498:$AL$526,MATCH(V$225,'Woodmac profile - Oil'!$B$480:$AL$480),FALSE)),0,VLOOKUP($B262,'Woodmac profile - Oil'!$B$498:$AL$526,MATCH(V$225,'Woodmac profile - Oil'!$B$480:$AL$480),FALSE))</f>
        <v>0</v>
      </c>
      <c r="W262" s="65">
        <f t="shared" si="639"/>
        <v>0</v>
      </c>
      <c r="X262" s="65">
        <f t="shared" si="640"/>
        <v>0</v>
      </c>
      <c r="Y262" s="12">
        <f t="shared" si="641"/>
        <v>0</v>
      </c>
      <c r="Z262" s="12">
        <f t="shared" ref="Z262" si="801">AA262</f>
        <v>0</v>
      </c>
      <c r="AA262" s="115">
        <f>IF(ISERROR(VLOOKUP($B262,'Woodmac profile - Oil'!$B$498:$AL$526,MATCH(AA$225,'Woodmac profile - Oil'!$B$480:$AL$480),FALSE)),0,VLOOKUP($B262,'Woodmac profile - Oil'!$B$498:$AL$526,MATCH(AA$225,'Woodmac profile - Oil'!$B$480:$AL$480),FALSE))</f>
        <v>0</v>
      </c>
      <c r="AB262" s="65">
        <f t="shared" si="643"/>
        <v>0</v>
      </c>
      <c r="AC262" s="65">
        <f t="shared" si="644"/>
        <v>0</v>
      </c>
      <c r="AD262" s="12">
        <f t="shared" si="645"/>
        <v>0</v>
      </c>
      <c r="AE262" s="12">
        <f t="shared" ref="AE262" si="802">AF262</f>
        <v>0</v>
      </c>
      <c r="AF262" s="115">
        <f>IF(ISERROR(VLOOKUP($B262,'Woodmac profile - Oil'!$B$498:$AL$526,MATCH(AF$225,'Woodmac profile - Oil'!$B$480:$AL$480),FALSE)),0,VLOOKUP($B262,'Woodmac profile - Oil'!$B$498:$AL$526,MATCH(AF$225,'Woodmac profile - Oil'!$B$480:$AL$480),FALSE))</f>
        <v>0</v>
      </c>
      <c r="AG262" s="65">
        <f t="shared" si="647"/>
        <v>0</v>
      </c>
      <c r="AH262" s="65">
        <f t="shared" si="648"/>
        <v>0</v>
      </c>
      <c r="AI262" s="12">
        <f t="shared" si="649"/>
        <v>0</v>
      </c>
      <c r="AJ262" s="12">
        <f t="shared" ref="AJ262" si="803">AK262</f>
        <v>0</v>
      </c>
      <c r="AK262" s="115">
        <f>IF(ISERROR(VLOOKUP($B262,'Woodmac profile - Oil'!$B$498:$AL$526,MATCH(AK$225,'Woodmac profile - Oil'!$B$480:$AL$480),FALSE)),0,VLOOKUP($B262,'Woodmac profile - Oil'!$B$498:$AL$526,MATCH(AK$225,'Woodmac profile - Oil'!$B$480:$AL$480),FALSE))</f>
        <v>0</v>
      </c>
      <c r="AL262" s="65">
        <f t="shared" si="651"/>
        <v>0</v>
      </c>
      <c r="AM262" s="65">
        <f t="shared" si="652"/>
        <v>0</v>
      </c>
      <c r="AN262" s="12">
        <f t="shared" si="653"/>
        <v>0</v>
      </c>
      <c r="AO262" s="12">
        <f t="shared" ref="AO262" si="804">AP262</f>
        <v>0</v>
      </c>
      <c r="AP262" s="115">
        <f>IF(ISERROR(VLOOKUP($B262,'Woodmac profile - Oil'!$B$498:$AL$526,MATCH(AP$225,'Woodmac profile - Oil'!$B$480:$AL$480),FALSE)),0,VLOOKUP($B262,'Woodmac profile - Oil'!$B$498:$AL$526,MATCH(AP$225,'Woodmac profile - Oil'!$B$480:$AL$480),FALSE))</f>
        <v>0</v>
      </c>
      <c r="AQ262" s="65">
        <f t="shared" si="655"/>
        <v>0</v>
      </c>
      <c r="AR262" s="65">
        <f t="shared" si="656"/>
        <v>0</v>
      </c>
      <c r="AS262" s="12">
        <f t="shared" si="657"/>
        <v>0</v>
      </c>
      <c r="AT262" s="12">
        <f t="shared" ref="AT262" si="805">AU262</f>
        <v>0</v>
      </c>
      <c r="AU262" s="115">
        <f>IF(ISERROR(VLOOKUP($B262,'Woodmac profile - Oil'!$B$498:$AL$526,MATCH(AU$225,'Woodmac profile - Oil'!$B$480:$AL$480),FALSE)),0,VLOOKUP($B262,'Woodmac profile - Oil'!$B$498:$AL$526,MATCH(AU$225,'Woodmac profile - Oil'!$B$480:$AL$480),FALSE))</f>
        <v>0</v>
      </c>
      <c r="AV262" s="65">
        <f t="shared" si="659"/>
        <v>0</v>
      </c>
      <c r="AW262" s="65">
        <f t="shared" si="660"/>
        <v>0</v>
      </c>
      <c r="AX262" s="12">
        <f t="shared" si="661"/>
        <v>0</v>
      </c>
      <c r="AY262" s="12">
        <f t="shared" ref="AY262" si="806">AZ262</f>
        <v>0</v>
      </c>
      <c r="AZ262" s="115">
        <f>IF(ISERROR(VLOOKUP($B262,'Woodmac profile - Oil'!$B$498:$AL$526,MATCH(AZ$225,'Woodmac profile - Oil'!$B$480:$AL$480),FALSE)),0,VLOOKUP($B262,'Woodmac profile - Oil'!$B$498:$AL$526,MATCH(AZ$225,'Woodmac profile - Oil'!$B$480:$AL$480),FALSE))</f>
        <v>0</v>
      </c>
      <c r="BA262" s="65">
        <f t="shared" si="663"/>
        <v>0</v>
      </c>
      <c r="BB262" s="65">
        <f t="shared" si="664"/>
        <v>0</v>
      </c>
      <c r="BC262" s="12">
        <f t="shared" si="665"/>
        <v>0</v>
      </c>
      <c r="BD262" s="12">
        <f t="shared" ref="BD262" si="807">BE262</f>
        <v>0</v>
      </c>
      <c r="BE262" s="115">
        <f>IF(ISERROR(VLOOKUP($B262,'Woodmac profile - Oil'!$B$498:$AL$526,MATCH(BE$225,'Woodmac profile - Oil'!$B$480:$AL$480),FALSE)),0,VLOOKUP($B262,'Woodmac profile - Oil'!$B$498:$AL$526,MATCH(BE$225,'Woodmac profile - Oil'!$B$480:$AL$480),FALSE))</f>
        <v>0</v>
      </c>
      <c r="BF262" s="65">
        <f t="shared" si="667"/>
        <v>0</v>
      </c>
      <c r="BG262" s="65">
        <f t="shared" si="668"/>
        <v>0</v>
      </c>
      <c r="BH262" s="65">
        <f t="shared" si="669"/>
        <v>0</v>
      </c>
      <c r="BI262" s="65">
        <f t="shared" ref="BI262" si="808">BJ262</f>
        <v>0</v>
      </c>
      <c r="BJ262" s="115">
        <f>IF(ISERROR(VLOOKUP($B262,'Woodmac profile - Oil'!$B$498:$AL$526,MATCH(BJ$225,'Woodmac profile - Oil'!$B$480:$AL$480),FALSE)),0,VLOOKUP($B262,'Woodmac profile - Oil'!$B$498:$AL$526,MATCH(BJ$225,'Woodmac profile - Oil'!$B$480:$AL$480),FALSE))</f>
        <v>0</v>
      </c>
      <c r="BK262" s="65">
        <f t="shared" si="671"/>
        <v>0</v>
      </c>
      <c r="BL262" s="65">
        <f t="shared" si="672"/>
        <v>0</v>
      </c>
      <c r="BM262" s="65">
        <f t="shared" si="673"/>
        <v>0</v>
      </c>
      <c r="BN262" s="12">
        <f t="shared" ref="BN262" si="809">BO262</f>
        <v>0</v>
      </c>
      <c r="BO262" s="115">
        <f>IF(ISERROR(VLOOKUP($B262,'Woodmac profile - Oil'!$B$498:$AL$526,MATCH(BO$225,'Woodmac profile - Oil'!$B$480:$AL$480),FALSE)),0,VLOOKUP($B262,'Woodmac profile - Oil'!$B$498:$AL$526,MATCH(BO$225,'Woodmac profile - Oil'!$B$480:$AL$480),FALSE))</f>
        <v>0</v>
      </c>
      <c r="BP262" s="65">
        <f t="shared" si="675"/>
        <v>0</v>
      </c>
      <c r="BQ262" s="65">
        <f t="shared" si="676"/>
        <v>0</v>
      </c>
      <c r="BR262" s="12">
        <f t="shared" si="677"/>
        <v>0</v>
      </c>
      <c r="BS262" s="12">
        <f t="shared" ref="BS262" si="810">BT262</f>
        <v>0</v>
      </c>
      <c r="BT262" s="115">
        <f>IF(ISERROR(VLOOKUP($B262,'Woodmac profile - Oil'!$B$498:$AL$526,MATCH(BT$225,'Woodmac profile - Oil'!$B$480:$AL$480),FALSE)),0,VLOOKUP($B262,'Woodmac profile - Oil'!$B$498:$AL$526,MATCH(BT$225,'Woodmac profile - Oil'!$B$480:$AL$480),FALSE))</f>
        <v>0</v>
      </c>
      <c r="BU262" s="65">
        <f t="shared" si="679"/>
        <v>0</v>
      </c>
      <c r="BV262" s="65">
        <f t="shared" si="680"/>
        <v>0</v>
      </c>
      <c r="BW262" s="12">
        <f t="shared" si="681"/>
        <v>0</v>
      </c>
      <c r="BX262" s="12">
        <f t="shared" ref="BX262" si="811">BY262</f>
        <v>0</v>
      </c>
      <c r="BY262" s="115">
        <f>IF(ISERROR(VLOOKUP($B262,'Woodmac profile - Oil'!$B$498:$AL$526,MATCH(BY$225,'Woodmac profile - Oil'!$B$480:$AL$480),FALSE)),0,VLOOKUP($B262,'Woodmac profile - Oil'!$B$498:$AL$526,MATCH(BY$225,'Woodmac profile - Oil'!$B$480:$AL$480),FALSE))</f>
        <v>0</v>
      </c>
      <c r="BZ262" s="65">
        <f t="shared" si="683"/>
        <v>0</v>
      </c>
      <c r="CA262" s="65">
        <f t="shared" si="684"/>
        <v>0</v>
      </c>
      <c r="CB262" s="12">
        <f t="shared" si="685"/>
        <v>0</v>
      </c>
      <c r="CC262" s="12">
        <f t="shared" ref="CC262" si="812">CD262</f>
        <v>0</v>
      </c>
      <c r="CD262" s="115">
        <f>IF(ISERROR(VLOOKUP($B262,'Woodmac profile - Oil'!$B$498:$AL$526,MATCH(CD$225,'Woodmac profile - Oil'!$B$480:$AL$480),FALSE)),0,VLOOKUP($B262,'Woodmac profile - Oil'!$B$498:$AL$526,MATCH(CD$225,'Woodmac profile - Oil'!$B$480:$AL$480),FALSE))</f>
        <v>0</v>
      </c>
    </row>
    <row r="263" spans="1:82">
      <c r="A263" s="11"/>
      <c r="B263" s="11" t="s">
        <v>3399</v>
      </c>
      <c r="C263" s="52"/>
      <c r="D263" s="52"/>
      <c r="E263" s="115">
        <f>IF(ISERROR(VLOOKUP($B263,'Woodmac profile - Oil'!$B$498:$AL$526,MATCH(E$225,'Woodmac profile - Oil'!$B$480:$AL$480),FALSE)),0,VLOOKUP($B263,'Woodmac profile - Oil'!$B$498:$AL$526,MATCH(E$225,'Woodmac profile - Oil'!$B$480:$AL$480),FALSE))</f>
        <v>0</v>
      </c>
      <c r="F263" s="115">
        <f>IF(ISERROR(VLOOKUP($B263,'Woodmac profile - Oil'!$B$498:$AL$526,MATCH(F$225,'Woodmac profile - Oil'!$B$480:$AL$480),FALSE)),0,VLOOKUP($B263,'Woodmac profile - Oil'!$B$498:$AL$526,MATCH(F$225,'Woodmac profile - Oil'!$B$480:$AL$480),FALSE))</f>
        <v>0</v>
      </c>
      <c r="G263" s="115">
        <f>IF(ISERROR(VLOOKUP($B263,'Woodmac profile - Oil'!$B$498:$AL$526,MATCH(G$225,'Woodmac profile - Oil'!$B$480:$AL$480),FALSE)),0,VLOOKUP($B263,'Woodmac profile - Oil'!$B$498:$AL$526,MATCH(G$225,'Woodmac profile - Oil'!$B$480:$AL$480),FALSE))</f>
        <v>0</v>
      </c>
      <c r="H263" s="65">
        <f t="shared" si="627"/>
        <v>0</v>
      </c>
      <c r="I263" s="65">
        <f t="shared" si="628"/>
        <v>0</v>
      </c>
      <c r="J263" s="12">
        <f t="shared" si="629"/>
        <v>0</v>
      </c>
      <c r="K263" s="12">
        <f t="shared" si="630"/>
        <v>0</v>
      </c>
      <c r="L263" s="115">
        <f>IF(ISERROR(VLOOKUP($B263,'Woodmac profile - Oil'!$B$498:$AL$526,MATCH(L$225,'Woodmac profile - Oil'!$B$480:$AL$480),FALSE)),0,VLOOKUP($B263,'Woodmac profile - Oil'!$B$498:$AL$526,MATCH(L$225,'Woodmac profile - Oil'!$B$480:$AL$480),FALSE))</f>
        <v>0</v>
      </c>
      <c r="M263" s="65">
        <f t="shared" si="631"/>
        <v>0</v>
      </c>
      <c r="N263" s="65">
        <f t="shared" si="632"/>
        <v>0</v>
      </c>
      <c r="O263" s="12">
        <f t="shared" si="633"/>
        <v>0</v>
      </c>
      <c r="P263" s="12">
        <f t="shared" ref="P263" si="813">Q263</f>
        <v>0</v>
      </c>
      <c r="Q263" s="115">
        <f>IF(ISERROR(VLOOKUP($B263,'Woodmac profile - Oil'!$B$498:$AL$526,MATCH(Q$225,'Woodmac profile - Oil'!$B$480:$AL$480),FALSE)),0,VLOOKUP($B263,'Woodmac profile - Oil'!$B$498:$AL$526,MATCH(Q$225,'Woodmac profile - Oil'!$B$480:$AL$480),FALSE))</f>
        <v>0</v>
      </c>
      <c r="R263" s="65">
        <f t="shared" si="635"/>
        <v>0</v>
      </c>
      <c r="S263" s="65">
        <f t="shared" si="636"/>
        <v>0</v>
      </c>
      <c r="T263" s="12">
        <f t="shared" si="637"/>
        <v>0</v>
      </c>
      <c r="U263" s="12">
        <f t="shared" ref="U263" si="814">V263</f>
        <v>0</v>
      </c>
      <c r="V263" s="115">
        <f>IF(ISERROR(VLOOKUP($B263,'Woodmac profile - Oil'!$B$498:$AL$526,MATCH(V$225,'Woodmac profile - Oil'!$B$480:$AL$480),FALSE)),0,VLOOKUP($B263,'Woodmac profile - Oil'!$B$498:$AL$526,MATCH(V$225,'Woodmac profile - Oil'!$B$480:$AL$480),FALSE))</f>
        <v>0</v>
      </c>
      <c r="W263" s="65">
        <f t="shared" si="639"/>
        <v>0</v>
      </c>
      <c r="X263" s="65">
        <f t="shared" si="640"/>
        <v>0</v>
      </c>
      <c r="Y263" s="12">
        <f t="shared" si="641"/>
        <v>0</v>
      </c>
      <c r="Z263" s="12">
        <f t="shared" ref="Z263" si="815">AA263</f>
        <v>0</v>
      </c>
      <c r="AA263" s="115">
        <f>IF(ISERROR(VLOOKUP($B263,'Woodmac profile - Oil'!$B$498:$AL$526,MATCH(AA$225,'Woodmac profile - Oil'!$B$480:$AL$480),FALSE)),0,VLOOKUP($B263,'Woodmac profile - Oil'!$B$498:$AL$526,MATCH(AA$225,'Woodmac profile - Oil'!$B$480:$AL$480),FALSE))</f>
        <v>0</v>
      </c>
      <c r="AB263" s="65">
        <f t="shared" si="643"/>
        <v>0</v>
      </c>
      <c r="AC263" s="65">
        <f t="shared" si="644"/>
        <v>0</v>
      </c>
      <c r="AD263" s="12">
        <f t="shared" si="645"/>
        <v>0</v>
      </c>
      <c r="AE263" s="12">
        <f t="shared" ref="AE263" si="816">AF263</f>
        <v>0</v>
      </c>
      <c r="AF263" s="115">
        <f>IF(ISERROR(VLOOKUP($B263,'Woodmac profile - Oil'!$B$498:$AL$526,MATCH(AF$225,'Woodmac profile - Oil'!$B$480:$AL$480),FALSE)),0,VLOOKUP($B263,'Woodmac profile - Oil'!$B$498:$AL$526,MATCH(AF$225,'Woodmac profile - Oil'!$B$480:$AL$480),FALSE))</f>
        <v>0</v>
      </c>
      <c r="AG263" s="65">
        <f t="shared" si="647"/>
        <v>0</v>
      </c>
      <c r="AH263" s="65">
        <f t="shared" si="648"/>
        <v>0</v>
      </c>
      <c r="AI263" s="12">
        <f t="shared" si="649"/>
        <v>0</v>
      </c>
      <c r="AJ263" s="12">
        <f t="shared" ref="AJ263" si="817">AK263</f>
        <v>0</v>
      </c>
      <c r="AK263" s="115">
        <f>IF(ISERROR(VLOOKUP($B263,'Woodmac profile - Oil'!$B$498:$AL$526,MATCH(AK$225,'Woodmac profile - Oil'!$B$480:$AL$480),FALSE)),0,VLOOKUP($B263,'Woodmac profile - Oil'!$B$498:$AL$526,MATCH(AK$225,'Woodmac profile - Oil'!$B$480:$AL$480),FALSE))</f>
        <v>0</v>
      </c>
      <c r="AL263" s="65">
        <f t="shared" si="651"/>
        <v>0</v>
      </c>
      <c r="AM263" s="65">
        <f t="shared" si="652"/>
        <v>0</v>
      </c>
      <c r="AN263" s="12">
        <f t="shared" si="653"/>
        <v>0</v>
      </c>
      <c r="AO263" s="12">
        <f t="shared" ref="AO263" si="818">AP263</f>
        <v>0</v>
      </c>
      <c r="AP263" s="115">
        <f>IF(ISERROR(VLOOKUP($B263,'Woodmac profile - Oil'!$B$498:$AL$526,MATCH(AP$225,'Woodmac profile - Oil'!$B$480:$AL$480),FALSE)),0,VLOOKUP($B263,'Woodmac profile - Oil'!$B$498:$AL$526,MATCH(AP$225,'Woodmac profile - Oil'!$B$480:$AL$480),FALSE))</f>
        <v>0</v>
      </c>
      <c r="AQ263" s="65">
        <f t="shared" si="655"/>
        <v>0</v>
      </c>
      <c r="AR263" s="65">
        <f t="shared" si="656"/>
        <v>0</v>
      </c>
      <c r="AS263" s="12">
        <f t="shared" si="657"/>
        <v>0</v>
      </c>
      <c r="AT263" s="12">
        <f t="shared" ref="AT263" si="819">AU263</f>
        <v>0</v>
      </c>
      <c r="AU263" s="115">
        <f>IF(ISERROR(VLOOKUP($B263,'Woodmac profile - Oil'!$B$498:$AL$526,MATCH(AU$225,'Woodmac profile - Oil'!$B$480:$AL$480),FALSE)),0,VLOOKUP($B263,'Woodmac profile - Oil'!$B$498:$AL$526,MATCH(AU$225,'Woodmac profile - Oil'!$B$480:$AL$480),FALSE))</f>
        <v>0</v>
      </c>
      <c r="AV263" s="65">
        <f t="shared" si="659"/>
        <v>0</v>
      </c>
      <c r="AW263" s="65">
        <f t="shared" si="660"/>
        <v>0</v>
      </c>
      <c r="AX263" s="12">
        <f t="shared" si="661"/>
        <v>0</v>
      </c>
      <c r="AY263" s="12">
        <f t="shared" ref="AY263" si="820">AZ263</f>
        <v>0</v>
      </c>
      <c r="AZ263" s="115">
        <f>IF(ISERROR(VLOOKUP($B263,'Woodmac profile - Oil'!$B$498:$AL$526,MATCH(AZ$225,'Woodmac profile - Oil'!$B$480:$AL$480),FALSE)),0,VLOOKUP($B263,'Woodmac profile - Oil'!$B$498:$AL$526,MATCH(AZ$225,'Woodmac profile - Oil'!$B$480:$AL$480),FALSE))</f>
        <v>0</v>
      </c>
      <c r="BA263" s="65">
        <f t="shared" si="663"/>
        <v>0</v>
      </c>
      <c r="BB263" s="65">
        <f t="shared" si="664"/>
        <v>0</v>
      </c>
      <c r="BC263" s="12">
        <f t="shared" si="665"/>
        <v>0</v>
      </c>
      <c r="BD263" s="12">
        <f t="shared" ref="BD263" si="821">BE263</f>
        <v>0</v>
      </c>
      <c r="BE263" s="115">
        <f>IF(ISERROR(VLOOKUP($B263,'Woodmac profile - Oil'!$B$498:$AL$526,MATCH(BE$225,'Woodmac profile - Oil'!$B$480:$AL$480),FALSE)),0,VLOOKUP($B263,'Woodmac profile - Oil'!$B$498:$AL$526,MATCH(BE$225,'Woodmac profile - Oil'!$B$480:$AL$480),FALSE))</f>
        <v>0</v>
      </c>
      <c r="BF263" s="65">
        <f t="shared" si="667"/>
        <v>0</v>
      </c>
      <c r="BG263" s="65">
        <f t="shared" si="668"/>
        <v>0</v>
      </c>
      <c r="BH263" s="65">
        <f t="shared" si="669"/>
        <v>0</v>
      </c>
      <c r="BI263" s="65">
        <f t="shared" ref="BI263" si="822">BJ263</f>
        <v>0</v>
      </c>
      <c r="BJ263" s="115">
        <f>IF(ISERROR(VLOOKUP($B263,'Woodmac profile - Oil'!$B$498:$AL$526,MATCH(BJ$225,'Woodmac profile - Oil'!$B$480:$AL$480),FALSE)),0,VLOOKUP($B263,'Woodmac profile - Oil'!$B$498:$AL$526,MATCH(BJ$225,'Woodmac profile - Oil'!$B$480:$AL$480),FALSE))</f>
        <v>0</v>
      </c>
      <c r="BK263" s="65">
        <f t="shared" si="671"/>
        <v>0</v>
      </c>
      <c r="BL263" s="65">
        <f t="shared" si="672"/>
        <v>0</v>
      </c>
      <c r="BM263" s="65">
        <f t="shared" si="673"/>
        <v>0</v>
      </c>
      <c r="BN263" s="12">
        <f t="shared" ref="BN263" si="823">BO263</f>
        <v>0</v>
      </c>
      <c r="BO263" s="115">
        <f>IF(ISERROR(VLOOKUP($B263,'Woodmac profile - Oil'!$B$498:$AL$526,MATCH(BO$225,'Woodmac profile - Oil'!$B$480:$AL$480),FALSE)),0,VLOOKUP($B263,'Woodmac profile - Oil'!$B$498:$AL$526,MATCH(BO$225,'Woodmac profile - Oil'!$B$480:$AL$480),FALSE))</f>
        <v>0</v>
      </c>
      <c r="BP263" s="65">
        <f t="shared" si="675"/>
        <v>0</v>
      </c>
      <c r="BQ263" s="65">
        <f t="shared" si="676"/>
        <v>0</v>
      </c>
      <c r="BR263" s="12">
        <f t="shared" si="677"/>
        <v>0</v>
      </c>
      <c r="BS263" s="12">
        <f t="shared" ref="BS263" si="824">BT263</f>
        <v>0</v>
      </c>
      <c r="BT263" s="115">
        <f>IF(ISERROR(VLOOKUP($B263,'Woodmac profile - Oil'!$B$498:$AL$526,MATCH(BT$225,'Woodmac profile - Oil'!$B$480:$AL$480),FALSE)),0,VLOOKUP($B263,'Woodmac profile - Oil'!$B$498:$AL$526,MATCH(BT$225,'Woodmac profile - Oil'!$B$480:$AL$480),FALSE))</f>
        <v>0</v>
      </c>
      <c r="BU263" s="65">
        <f t="shared" si="679"/>
        <v>0</v>
      </c>
      <c r="BV263" s="65">
        <f t="shared" si="680"/>
        <v>0</v>
      </c>
      <c r="BW263" s="12">
        <f t="shared" si="681"/>
        <v>0</v>
      </c>
      <c r="BX263" s="12">
        <f t="shared" ref="BX263" si="825">BY263</f>
        <v>0</v>
      </c>
      <c r="BY263" s="115">
        <f>IF(ISERROR(VLOOKUP($B263,'Woodmac profile - Oil'!$B$498:$AL$526,MATCH(BY$225,'Woodmac profile - Oil'!$B$480:$AL$480),FALSE)),0,VLOOKUP($B263,'Woodmac profile - Oil'!$B$498:$AL$526,MATCH(BY$225,'Woodmac profile - Oil'!$B$480:$AL$480),FALSE))</f>
        <v>0</v>
      </c>
      <c r="BZ263" s="65">
        <f t="shared" si="683"/>
        <v>0</v>
      </c>
      <c r="CA263" s="65">
        <f t="shared" si="684"/>
        <v>0</v>
      </c>
      <c r="CB263" s="12">
        <f t="shared" si="685"/>
        <v>0</v>
      </c>
      <c r="CC263" s="12">
        <f t="shared" ref="CC263" si="826">CD263</f>
        <v>0</v>
      </c>
      <c r="CD263" s="115">
        <f>IF(ISERROR(VLOOKUP($B263,'Woodmac profile - Oil'!$B$498:$AL$526,MATCH(CD$225,'Woodmac profile - Oil'!$B$480:$AL$480),FALSE)),0,VLOOKUP($B263,'Woodmac profile - Oil'!$B$498:$AL$526,MATCH(CD$225,'Woodmac profile - Oil'!$B$480:$AL$480),FALSE))</f>
        <v>0</v>
      </c>
    </row>
    <row r="264" spans="1:82">
      <c r="A264" s="11"/>
      <c r="B264" s="11" t="s">
        <v>3400</v>
      </c>
      <c r="C264" s="52"/>
      <c r="D264" s="52"/>
      <c r="E264" s="115">
        <f>IF(ISERROR(VLOOKUP($B264,'Woodmac profile - Oil'!$B$498:$AL$526,MATCH(E$225,'Woodmac profile - Oil'!$B$480:$AL$480),FALSE)),0,VLOOKUP($B264,'Woodmac profile - Oil'!$B$498:$AL$526,MATCH(E$225,'Woodmac profile - Oil'!$B$480:$AL$480),FALSE))</f>
        <v>18.059999999999999</v>
      </c>
      <c r="F264" s="115">
        <f>IF(ISERROR(VLOOKUP($B264,'Woodmac profile - Oil'!$B$498:$AL$526,MATCH(F$225,'Woodmac profile - Oil'!$B$480:$AL$480),FALSE)),0,VLOOKUP($B264,'Woodmac profile - Oil'!$B$498:$AL$526,MATCH(F$225,'Woodmac profile - Oil'!$B$480:$AL$480),FALSE))</f>
        <v>9.0599999999999987</v>
      </c>
      <c r="G264" s="115">
        <f>IF(ISERROR(VLOOKUP($B264,'Woodmac profile - Oil'!$B$498:$AL$526,MATCH(G$225,'Woodmac profile - Oil'!$B$480:$AL$480),FALSE)),0,VLOOKUP($B264,'Woodmac profile - Oil'!$B$498:$AL$526,MATCH(G$225,'Woodmac profile - Oil'!$B$480:$AL$480),FALSE))</f>
        <v>6.5699999999999985</v>
      </c>
      <c r="H264" s="65">
        <f t="shared" si="627"/>
        <v>6.0399999999999991</v>
      </c>
      <c r="I264" s="65">
        <f t="shared" si="628"/>
        <v>6.0399999999999991</v>
      </c>
      <c r="J264" s="12">
        <f t="shared" si="629"/>
        <v>6.0399999999999991</v>
      </c>
      <c r="K264" s="12">
        <f t="shared" si="630"/>
        <v>6.0399999999999991</v>
      </c>
      <c r="L264" s="115">
        <f>IF(ISERROR(VLOOKUP($B264,'Woodmac profile - Oil'!$B$498:$AL$526,MATCH(L$225,'Woodmac profile - Oil'!$B$480:$AL$480),FALSE)),0,VLOOKUP($B264,'Woodmac profile - Oil'!$B$498:$AL$526,MATCH(L$225,'Woodmac profile - Oil'!$B$480:$AL$480),FALSE))</f>
        <v>6.0399999999999991</v>
      </c>
      <c r="M264" s="65">
        <f t="shared" si="631"/>
        <v>7</v>
      </c>
      <c r="N264" s="65">
        <f t="shared" si="632"/>
        <v>7</v>
      </c>
      <c r="O264" s="12">
        <f t="shared" si="633"/>
        <v>7</v>
      </c>
      <c r="P264" s="12">
        <f t="shared" ref="P264" si="827">Q264</f>
        <v>7</v>
      </c>
      <c r="Q264" s="115">
        <f>IF(ISERROR(VLOOKUP($B264,'Woodmac profile - Oil'!$B$498:$AL$526,MATCH(Q$225,'Woodmac profile - Oil'!$B$480:$AL$480),FALSE)),0,VLOOKUP($B264,'Woodmac profile - Oil'!$B$498:$AL$526,MATCH(Q$225,'Woodmac profile - Oil'!$B$480:$AL$480),FALSE))</f>
        <v>7</v>
      </c>
      <c r="R264" s="65">
        <f t="shared" si="635"/>
        <v>10.030000000000001</v>
      </c>
      <c r="S264" s="65">
        <f t="shared" si="636"/>
        <v>10.030000000000001</v>
      </c>
      <c r="T264" s="12">
        <f t="shared" si="637"/>
        <v>10.030000000000001</v>
      </c>
      <c r="U264" s="12">
        <f t="shared" ref="U264" si="828">V264</f>
        <v>10.030000000000001</v>
      </c>
      <c r="V264" s="115">
        <f>IF(ISERROR(VLOOKUP($B264,'Woodmac profile - Oil'!$B$498:$AL$526,MATCH(V$225,'Woodmac profile - Oil'!$B$480:$AL$480),FALSE)),0,VLOOKUP($B264,'Woodmac profile - Oil'!$B$498:$AL$526,MATCH(V$225,'Woodmac profile - Oil'!$B$480:$AL$480),FALSE))</f>
        <v>10.030000000000001</v>
      </c>
      <c r="W264" s="65">
        <f t="shared" si="639"/>
        <v>10.230000000000002</v>
      </c>
      <c r="X264" s="65">
        <f t="shared" si="640"/>
        <v>10.230000000000002</v>
      </c>
      <c r="Y264" s="12">
        <f t="shared" si="641"/>
        <v>10.230000000000002</v>
      </c>
      <c r="Z264" s="12">
        <f t="shared" ref="Z264" si="829">AA264</f>
        <v>10.230000000000002</v>
      </c>
      <c r="AA264" s="115">
        <f>IF(ISERROR(VLOOKUP($B264,'Woodmac profile - Oil'!$B$498:$AL$526,MATCH(AA$225,'Woodmac profile - Oil'!$B$480:$AL$480),FALSE)),0,VLOOKUP($B264,'Woodmac profile - Oil'!$B$498:$AL$526,MATCH(AA$225,'Woodmac profile - Oil'!$B$480:$AL$480),FALSE))</f>
        <v>10.230000000000002</v>
      </c>
      <c r="AB264" s="65">
        <f t="shared" si="643"/>
        <v>9.2799999999999976</v>
      </c>
      <c r="AC264" s="65">
        <f t="shared" si="644"/>
        <v>9.2799999999999976</v>
      </c>
      <c r="AD264" s="12">
        <f t="shared" si="645"/>
        <v>9.2799999999999976</v>
      </c>
      <c r="AE264" s="12">
        <f t="shared" ref="AE264" si="830">AF264</f>
        <v>9.2799999999999976</v>
      </c>
      <c r="AF264" s="115">
        <f>IF(ISERROR(VLOOKUP($B264,'Woodmac profile - Oil'!$B$498:$AL$526,MATCH(AF$225,'Woodmac profile - Oil'!$B$480:$AL$480),FALSE)),0,VLOOKUP($B264,'Woodmac profile - Oil'!$B$498:$AL$526,MATCH(AF$225,'Woodmac profile - Oil'!$B$480:$AL$480),FALSE))</f>
        <v>9.2799999999999976</v>
      </c>
      <c r="AG264" s="65">
        <f t="shared" si="647"/>
        <v>4.7600000000000007</v>
      </c>
      <c r="AH264" s="65">
        <f t="shared" si="648"/>
        <v>4.7600000000000007</v>
      </c>
      <c r="AI264" s="12">
        <f t="shared" si="649"/>
        <v>4.7600000000000007</v>
      </c>
      <c r="AJ264" s="12">
        <f t="shared" ref="AJ264" si="831">AK264</f>
        <v>4.7600000000000007</v>
      </c>
      <c r="AK264" s="115">
        <f>IF(ISERROR(VLOOKUP($B264,'Woodmac profile - Oil'!$B$498:$AL$526,MATCH(AK$225,'Woodmac profile - Oil'!$B$480:$AL$480),FALSE)),0,VLOOKUP($B264,'Woodmac profile - Oil'!$B$498:$AL$526,MATCH(AK$225,'Woodmac profile - Oil'!$B$480:$AL$480),FALSE))</f>
        <v>4.7600000000000007</v>
      </c>
      <c r="AL264" s="65">
        <f t="shared" si="651"/>
        <v>0.49</v>
      </c>
      <c r="AM264" s="65">
        <f t="shared" si="652"/>
        <v>0.49</v>
      </c>
      <c r="AN264" s="12">
        <f t="shared" si="653"/>
        <v>0.49</v>
      </c>
      <c r="AO264" s="12">
        <f t="shared" ref="AO264" si="832">AP264</f>
        <v>0.49</v>
      </c>
      <c r="AP264" s="115">
        <f>IF(ISERROR(VLOOKUP($B264,'Woodmac profile - Oil'!$B$498:$AL$526,MATCH(AP$225,'Woodmac profile - Oil'!$B$480:$AL$480),FALSE)),0,VLOOKUP($B264,'Woodmac profile - Oil'!$B$498:$AL$526,MATCH(AP$225,'Woodmac profile - Oil'!$B$480:$AL$480),FALSE))</f>
        <v>0.49</v>
      </c>
      <c r="AQ264" s="65">
        <f t="shared" si="655"/>
        <v>0.18</v>
      </c>
      <c r="AR264" s="65">
        <f t="shared" si="656"/>
        <v>0.18</v>
      </c>
      <c r="AS264" s="12">
        <f t="shared" si="657"/>
        <v>0.18</v>
      </c>
      <c r="AT264" s="12">
        <f t="shared" ref="AT264" si="833">AU264</f>
        <v>0.18</v>
      </c>
      <c r="AU264" s="115">
        <f>IF(ISERROR(VLOOKUP($B264,'Woodmac profile - Oil'!$B$498:$AL$526,MATCH(AU$225,'Woodmac profile - Oil'!$B$480:$AL$480),FALSE)),0,VLOOKUP($B264,'Woodmac profile - Oil'!$B$498:$AL$526,MATCH(AU$225,'Woodmac profile - Oil'!$B$480:$AL$480),FALSE))</f>
        <v>0.18</v>
      </c>
      <c r="AV264" s="65">
        <f t="shared" si="659"/>
        <v>0.2</v>
      </c>
      <c r="AW264" s="65">
        <f t="shared" si="660"/>
        <v>0.2</v>
      </c>
      <c r="AX264" s="12">
        <f t="shared" si="661"/>
        <v>0.2</v>
      </c>
      <c r="AY264" s="12">
        <f t="shared" ref="AY264" si="834">AZ264</f>
        <v>0.2</v>
      </c>
      <c r="AZ264" s="115">
        <f>IF(ISERROR(VLOOKUP($B264,'Woodmac profile - Oil'!$B$498:$AL$526,MATCH(AZ$225,'Woodmac profile - Oil'!$B$480:$AL$480),FALSE)),0,VLOOKUP($B264,'Woodmac profile - Oil'!$B$498:$AL$526,MATCH(AZ$225,'Woodmac profile - Oil'!$B$480:$AL$480),FALSE))</f>
        <v>0.2</v>
      </c>
      <c r="BA264" s="65">
        <f t="shared" si="663"/>
        <v>0</v>
      </c>
      <c r="BB264" s="65">
        <f t="shared" si="664"/>
        <v>0</v>
      </c>
      <c r="BC264" s="12">
        <f t="shared" si="665"/>
        <v>0</v>
      </c>
      <c r="BD264" s="12">
        <f t="shared" ref="BD264" si="835">BE264</f>
        <v>0</v>
      </c>
      <c r="BE264" s="115">
        <f>IF(ISERROR(VLOOKUP($B264,'Woodmac profile - Oil'!$B$498:$AL$526,MATCH(BE$225,'Woodmac profile - Oil'!$B$480:$AL$480),FALSE)),0,VLOOKUP($B264,'Woodmac profile - Oil'!$B$498:$AL$526,MATCH(BE$225,'Woodmac profile - Oil'!$B$480:$AL$480),FALSE))</f>
        <v>0</v>
      </c>
      <c r="BF264" s="65">
        <f t="shared" si="667"/>
        <v>0</v>
      </c>
      <c r="BG264" s="65">
        <f t="shared" si="668"/>
        <v>0</v>
      </c>
      <c r="BH264" s="65">
        <f t="shared" si="669"/>
        <v>0</v>
      </c>
      <c r="BI264" s="65">
        <f t="shared" ref="BI264" si="836">BJ264</f>
        <v>0</v>
      </c>
      <c r="BJ264" s="115">
        <f>IF(ISERROR(VLOOKUP($B264,'Woodmac profile - Oil'!$B$498:$AL$526,MATCH(BJ$225,'Woodmac profile - Oil'!$B$480:$AL$480),FALSE)),0,VLOOKUP($B264,'Woodmac profile - Oil'!$B$498:$AL$526,MATCH(BJ$225,'Woodmac profile - Oil'!$B$480:$AL$480),FALSE))</f>
        <v>0</v>
      </c>
      <c r="BK264" s="65">
        <f t="shared" si="671"/>
        <v>1.24</v>
      </c>
      <c r="BL264" s="65">
        <f t="shared" si="672"/>
        <v>1.24</v>
      </c>
      <c r="BM264" s="65">
        <f t="shared" si="673"/>
        <v>1.24</v>
      </c>
      <c r="BN264" s="12">
        <f t="shared" ref="BN264" si="837">BO264</f>
        <v>1.24</v>
      </c>
      <c r="BO264" s="115">
        <f>IF(ISERROR(VLOOKUP($B264,'Woodmac profile - Oil'!$B$498:$AL$526,MATCH(BO$225,'Woodmac profile - Oil'!$B$480:$AL$480),FALSE)),0,VLOOKUP($B264,'Woodmac profile - Oil'!$B$498:$AL$526,MATCH(BO$225,'Woodmac profile - Oil'!$B$480:$AL$480),FALSE))</f>
        <v>1.24</v>
      </c>
      <c r="BP264" s="65">
        <f t="shared" si="675"/>
        <v>10.02</v>
      </c>
      <c r="BQ264" s="65">
        <f t="shared" si="676"/>
        <v>10.02</v>
      </c>
      <c r="BR264" s="12">
        <f t="shared" si="677"/>
        <v>10.02</v>
      </c>
      <c r="BS264" s="12">
        <f t="shared" ref="BS264" si="838">BT264</f>
        <v>10.02</v>
      </c>
      <c r="BT264" s="115">
        <f>IF(ISERROR(VLOOKUP($B264,'Woodmac profile - Oil'!$B$498:$AL$526,MATCH(BT$225,'Woodmac profile - Oil'!$B$480:$AL$480),FALSE)),0,VLOOKUP($B264,'Woodmac profile - Oil'!$B$498:$AL$526,MATCH(BT$225,'Woodmac profile - Oil'!$B$480:$AL$480),FALSE))</f>
        <v>10.02</v>
      </c>
      <c r="BU264" s="65">
        <f t="shared" si="679"/>
        <v>12.94</v>
      </c>
      <c r="BV264" s="65">
        <f t="shared" si="680"/>
        <v>12.94</v>
      </c>
      <c r="BW264" s="12">
        <f t="shared" si="681"/>
        <v>12.94</v>
      </c>
      <c r="BX264" s="12">
        <f t="shared" ref="BX264" si="839">BY264</f>
        <v>12.94</v>
      </c>
      <c r="BY264" s="115">
        <f>IF(ISERROR(VLOOKUP($B264,'Woodmac profile - Oil'!$B$498:$AL$526,MATCH(BY$225,'Woodmac profile - Oil'!$B$480:$AL$480),FALSE)),0,VLOOKUP($B264,'Woodmac profile - Oil'!$B$498:$AL$526,MATCH(BY$225,'Woodmac profile - Oil'!$B$480:$AL$480),FALSE))</f>
        <v>12.94</v>
      </c>
      <c r="BZ264" s="65">
        <f t="shared" si="683"/>
        <v>15.3</v>
      </c>
      <c r="CA264" s="65">
        <f t="shared" si="684"/>
        <v>15.3</v>
      </c>
      <c r="CB264" s="12">
        <f t="shared" si="685"/>
        <v>15.3</v>
      </c>
      <c r="CC264" s="12">
        <f t="shared" ref="CC264" si="840">CD264</f>
        <v>15.3</v>
      </c>
      <c r="CD264" s="115">
        <f>IF(ISERROR(VLOOKUP($B264,'Woodmac profile - Oil'!$B$498:$AL$526,MATCH(CD$225,'Woodmac profile - Oil'!$B$480:$AL$480),FALSE)),0,VLOOKUP($B264,'Woodmac profile - Oil'!$B$498:$AL$526,MATCH(CD$225,'Woodmac profile - Oil'!$B$480:$AL$480),FALSE))</f>
        <v>15.3</v>
      </c>
    </row>
    <row r="265" spans="1:82">
      <c r="A265" s="39" t="s">
        <v>3401</v>
      </c>
      <c r="B265" s="54"/>
      <c r="C265" s="52"/>
      <c r="D265" s="52"/>
      <c r="E265" s="78">
        <f t="shared" ref="E265:L265" si="841">SUM(E253:E264)</f>
        <v>206.11999999999998</v>
      </c>
      <c r="F265" s="78">
        <f t="shared" si="841"/>
        <v>199.89000000000004</v>
      </c>
      <c r="G265" s="78">
        <f t="shared" si="841"/>
        <v>203.33</v>
      </c>
      <c r="H265" s="397">
        <f t="shared" si="841"/>
        <v>224.37</v>
      </c>
      <c r="I265" s="397">
        <f t="shared" si="841"/>
        <v>224.37</v>
      </c>
      <c r="J265" s="397">
        <f t="shared" si="841"/>
        <v>224.37</v>
      </c>
      <c r="K265" s="397">
        <f t="shared" si="841"/>
        <v>224.37</v>
      </c>
      <c r="L265" s="78">
        <f t="shared" si="841"/>
        <v>224.37</v>
      </c>
      <c r="M265" s="397">
        <f t="shared" ref="M265:BX265" si="842">SUM(M253:M264)</f>
        <v>216.05</v>
      </c>
      <c r="N265" s="397">
        <f t="shared" si="842"/>
        <v>216.05</v>
      </c>
      <c r="O265" s="397">
        <f t="shared" si="842"/>
        <v>216.05</v>
      </c>
      <c r="P265" s="397">
        <f t="shared" si="842"/>
        <v>216.05</v>
      </c>
      <c r="Q265" s="571">
        <f t="shared" si="842"/>
        <v>216.05</v>
      </c>
      <c r="R265" s="397">
        <f t="shared" si="842"/>
        <v>225.17000000000002</v>
      </c>
      <c r="S265" s="397">
        <f t="shared" si="842"/>
        <v>225.17000000000002</v>
      </c>
      <c r="T265" s="397">
        <f t="shared" si="842"/>
        <v>225.17000000000002</v>
      </c>
      <c r="U265" s="397">
        <f t="shared" si="842"/>
        <v>225.17000000000002</v>
      </c>
      <c r="V265" s="571">
        <f t="shared" si="842"/>
        <v>225.17000000000002</v>
      </c>
      <c r="W265" s="397">
        <f t="shared" si="842"/>
        <v>195.84</v>
      </c>
      <c r="X265" s="397">
        <f t="shared" si="842"/>
        <v>195.84</v>
      </c>
      <c r="Y265" s="397">
        <f t="shared" si="842"/>
        <v>195.84</v>
      </c>
      <c r="Z265" s="397">
        <f t="shared" si="842"/>
        <v>195.84</v>
      </c>
      <c r="AA265" s="571">
        <f t="shared" si="842"/>
        <v>195.84</v>
      </c>
      <c r="AB265" s="397">
        <f t="shared" si="842"/>
        <v>201.31999999999996</v>
      </c>
      <c r="AC265" s="397">
        <f t="shared" si="842"/>
        <v>201.31999999999996</v>
      </c>
      <c r="AD265" s="397">
        <f t="shared" si="842"/>
        <v>201.31999999999996</v>
      </c>
      <c r="AE265" s="397">
        <f t="shared" si="842"/>
        <v>201.31999999999996</v>
      </c>
      <c r="AF265" s="571">
        <f t="shared" si="842"/>
        <v>201.31999999999996</v>
      </c>
      <c r="AG265" s="397">
        <f t="shared" si="842"/>
        <v>213.92</v>
      </c>
      <c r="AH265" s="397">
        <f t="shared" si="842"/>
        <v>213.92</v>
      </c>
      <c r="AI265" s="397">
        <f t="shared" si="842"/>
        <v>213.92</v>
      </c>
      <c r="AJ265" s="397">
        <f t="shared" si="842"/>
        <v>213.92</v>
      </c>
      <c r="AK265" s="571">
        <f t="shared" si="842"/>
        <v>213.92</v>
      </c>
      <c r="AL265" s="397">
        <f t="shared" si="842"/>
        <v>215.5</v>
      </c>
      <c r="AM265" s="397">
        <f t="shared" si="842"/>
        <v>215.5</v>
      </c>
      <c r="AN265" s="397">
        <f t="shared" si="842"/>
        <v>215.5</v>
      </c>
      <c r="AO265" s="397">
        <f t="shared" si="842"/>
        <v>215.5</v>
      </c>
      <c r="AP265" s="571">
        <f t="shared" si="842"/>
        <v>215.5</v>
      </c>
      <c r="AQ265" s="397">
        <f t="shared" si="842"/>
        <v>825.93981499999995</v>
      </c>
      <c r="AR265" s="397">
        <f t="shared" si="842"/>
        <v>825.93981499999995</v>
      </c>
      <c r="AS265" s="397">
        <f t="shared" si="842"/>
        <v>825.93981499999995</v>
      </c>
      <c r="AT265" s="397">
        <f t="shared" si="842"/>
        <v>825.93981499999995</v>
      </c>
      <c r="AU265" s="571">
        <f t="shared" si="842"/>
        <v>825.93981499999995</v>
      </c>
      <c r="AV265" s="397">
        <f t="shared" si="842"/>
        <v>859.33954250000022</v>
      </c>
      <c r="AW265" s="397">
        <f t="shared" si="842"/>
        <v>859.33954250000022</v>
      </c>
      <c r="AX265" s="397">
        <f t="shared" si="842"/>
        <v>859.33954250000022</v>
      </c>
      <c r="AY265" s="397">
        <f t="shared" si="842"/>
        <v>859.33954250000022</v>
      </c>
      <c r="AZ265" s="571">
        <f t="shared" si="842"/>
        <v>859.33954250000022</v>
      </c>
      <c r="BA265" s="397">
        <f t="shared" si="842"/>
        <v>855.69949500000018</v>
      </c>
      <c r="BB265" s="397">
        <f t="shared" si="842"/>
        <v>855.69949500000018</v>
      </c>
      <c r="BC265" s="397">
        <f t="shared" si="842"/>
        <v>855.69949500000018</v>
      </c>
      <c r="BD265" s="397">
        <f t="shared" si="842"/>
        <v>855.69949500000018</v>
      </c>
      <c r="BE265" s="571">
        <f t="shared" si="842"/>
        <v>855.69949500000018</v>
      </c>
      <c r="BF265" s="397">
        <f t="shared" si="842"/>
        <v>853.17257500000005</v>
      </c>
      <c r="BG265" s="397">
        <f t="shared" si="842"/>
        <v>853.17257500000005</v>
      </c>
      <c r="BH265" s="397">
        <f t="shared" si="842"/>
        <v>853.17257500000005</v>
      </c>
      <c r="BI265" s="397">
        <f t="shared" si="842"/>
        <v>853.17257500000005</v>
      </c>
      <c r="BJ265" s="571">
        <f t="shared" si="842"/>
        <v>853.17257500000005</v>
      </c>
      <c r="BK265" s="397">
        <f t="shared" si="842"/>
        <v>867.28300500000023</v>
      </c>
      <c r="BL265" s="397">
        <f t="shared" si="842"/>
        <v>867.28300500000023</v>
      </c>
      <c r="BM265" s="397">
        <f t="shared" si="842"/>
        <v>867.28300500000023</v>
      </c>
      <c r="BN265" s="397">
        <f t="shared" si="842"/>
        <v>867.28300500000023</v>
      </c>
      <c r="BO265" s="571">
        <f t="shared" si="842"/>
        <v>867.28300500000023</v>
      </c>
      <c r="BP265" s="397">
        <f t="shared" si="842"/>
        <v>794.56934250000018</v>
      </c>
      <c r="BQ265" s="397">
        <f t="shared" si="842"/>
        <v>794.56934250000018</v>
      </c>
      <c r="BR265" s="397">
        <f t="shared" si="842"/>
        <v>794.56934250000018</v>
      </c>
      <c r="BS265" s="397">
        <f t="shared" si="842"/>
        <v>794.56934250000018</v>
      </c>
      <c r="BT265" s="571">
        <f t="shared" si="842"/>
        <v>794.56934250000018</v>
      </c>
      <c r="BU265" s="397">
        <f t="shared" si="842"/>
        <v>821.54266500000006</v>
      </c>
      <c r="BV265" s="397">
        <f t="shared" si="842"/>
        <v>821.54266500000006</v>
      </c>
      <c r="BW265" s="397">
        <f t="shared" si="842"/>
        <v>821.54266500000006</v>
      </c>
      <c r="BX265" s="397">
        <f t="shared" si="842"/>
        <v>821.54266500000006</v>
      </c>
      <c r="BY265" s="571">
        <f t="shared" ref="BY265:CD265" si="843">SUM(BY253:BY264)</f>
        <v>821.54266500000006</v>
      </c>
      <c r="BZ265" s="397">
        <f t="shared" si="843"/>
        <v>855.10802250000017</v>
      </c>
      <c r="CA265" s="397">
        <f t="shared" si="843"/>
        <v>855.10802250000017</v>
      </c>
      <c r="CB265" s="397">
        <f t="shared" si="843"/>
        <v>855.10802250000017</v>
      </c>
      <c r="CC265" s="397">
        <f t="shared" si="843"/>
        <v>855.10802250000017</v>
      </c>
      <c r="CD265" s="571">
        <f t="shared" si="843"/>
        <v>855.10802250000017</v>
      </c>
    </row>
    <row r="266" spans="1:82">
      <c r="A266" s="11"/>
      <c r="B266" s="11"/>
      <c r="C266" s="51"/>
      <c r="D266" s="51"/>
      <c r="E266" s="115"/>
      <c r="F266" s="115"/>
      <c r="G266" s="115"/>
      <c r="H266" s="65"/>
      <c r="I266" s="65"/>
      <c r="J266" s="65"/>
      <c r="K266" s="65"/>
      <c r="L266" s="115"/>
      <c r="M266" s="65"/>
      <c r="N266" s="65"/>
      <c r="O266" s="65"/>
      <c r="P266" s="65"/>
      <c r="Q266" s="115"/>
      <c r="R266" s="65"/>
      <c r="S266" s="65"/>
      <c r="T266" s="65"/>
      <c r="U266" s="65"/>
      <c r="V266" s="115"/>
      <c r="W266" s="65"/>
      <c r="X266" s="65"/>
      <c r="Y266" s="65"/>
      <c r="Z266" s="65"/>
      <c r="AA266" s="115"/>
      <c r="AB266" s="65"/>
      <c r="AC266" s="65"/>
      <c r="AD266" s="65"/>
      <c r="AE266" s="65"/>
      <c r="AF266" s="115"/>
      <c r="AG266" s="65"/>
      <c r="AH266" s="65"/>
      <c r="AI266" s="65"/>
      <c r="AJ266" s="65"/>
      <c r="AK266" s="115"/>
      <c r="AL266" s="65"/>
      <c r="AM266" s="65"/>
      <c r="AN266" s="65"/>
      <c r="AO266" s="65"/>
      <c r="AP266" s="115"/>
      <c r="AQ266" s="65"/>
      <c r="AR266" s="65"/>
      <c r="AS266" s="65"/>
      <c r="AT266" s="65"/>
      <c r="AU266" s="115"/>
      <c r="AV266" s="65"/>
      <c r="AW266" s="65"/>
      <c r="AX266" s="65"/>
      <c r="AY266" s="65"/>
      <c r="AZ266" s="115"/>
      <c r="BA266" s="65"/>
      <c r="BB266" s="65"/>
      <c r="BC266" s="65"/>
      <c r="BD266" s="65"/>
      <c r="BE266" s="115"/>
      <c r="BF266" s="65"/>
      <c r="BG266" s="65"/>
      <c r="BH266" s="65"/>
      <c r="BI266" s="65"/>
      <c r="BJ266" s="115"/>
      <c r="BK266" s="65"/>
      <c r="BL266" s="65"/>
      <c r="BM266" s="65"/>
      <c r="BN266" s="65"/>
      <c r="BO266" s="115"/>
      <c r="BP266" s="65"/>
      <c r="BQ266" s="65"/>
      <c r="BR266" s="65"/>
      <c r="BS266" s="65"/>
      <c r="BT266" s="115"/>
      <c r="BU266" s="65"/>
      <c r="BV266" s="65"/>
      <c r="BW266" s="65"/>
      <c r="BX266" s="65"/>
      <c r="BY266" s="115"/>
      <c r="BZ266" s="65"/>
      <c r="CA266" s="65"/>
      <c r="CB266" s="65"/>
      <c r="CC266" s="65"/>
      <c r="CD266" s="115"/>
    </row>
    <row r="267" spans="1:82">
      <c r="A267" s="39" t="s">
        <v>3402</v>
      </c>
      <c r="B267" s="11"/>
      <c r="C267" s="51"/>
      <c r="D267" s="51"/>
      <c r="E267" s="115"/>
      <c r="F267" s="115"/>
      <c r="G267" s="115"/>
      <c r="H267" s="65"/>
      <c r="I267" s="65"/>
      <c r="J267" s="65"/>
      <c r="K267" s="65"/>
      <c r="L267" s="115"/>
      <c r="M267" s="65"/>
      <c r="N267" s="65"/>
      <c r="O267" s="65"/>
      <c r="P267" s="65"/>
      <c r="Q267" s="115"/>
      <c r="R267" s="65"/>
      <c r="S267" s="65"/>
      <c r="T267" s="65"/>
      <c r="U267" s="65"/>
      <c r="V267" s="115"/>
      <c r="W267" s="65"/>
      <c r="X267" s="65"/>
      <c r="Y267" s="65"/>
      <c r="Z267" s="65"/>
      <c r="AA267" s="115"/>
      <c r="AB267" s="65"/>
      <c r="AC267" s="65"/>
      <c r="AD267" s="65"/>
      <c r="AE267" s="65"/>
      <c r="AF267" s="115"/>
      <c r="AG267" s="65"/>
      <c r="AH267" s="65"/>
      <c r="AI267" s="65"/>
      <c r="AJ267" s="65"/>
      <c r="AK267" s="115"/>
      <c r="AL267" s="65"/>
      <c r="AM267" s="65"/>
      <c r="AN267" s="65"/>
      <c r="AO267" s="65"/>
      <c r="AP267" s="115"/>
      <c r="AQ267" s="65"/>
      <c r="AR267" s="65"/>
      <c r="AS267" s="65"/>
      <c r="AT267" s="65"/>
      <c r="AU267" s="115"/>
      <c r="AV267" s="65"/>
      <c r="AW267" s="65"/>
      <c r="AX267" s="65"/>
      <c r="AY267" s="65"/>
      <c r="AZ267" s="115"/>
      <c r="BA267" s="65"/>
      <c r="BB267" s="65"/>
      <c r="BC267" s="65"/>
      <c r="BD267" s="65"/>
      <c r="BE267" s="115"/>
      <c r="BF267" s="65"/>
      <c r="BG267" s="65"/>
      <c r="BH267" s="65"/>
      <c r="BI267" s="65"/>
      <c r="BJ267" s="115"/>
      <c r="BK267" s="65"/>
      <c r="BL267" s="65"/>
      <c r="BM267" s="65"/>
      <c r="BN267" s="65"/>
      <c r="BO267" s="115"/>
      <c r="BP267" s="65"/>
      <c r="BQ267" s="65"/>
      <c r="BR267" s="65"/>
      <c r="BS267" s="65"/>
      <c r="BT267" s="115"/>
      <c r="BU267" s="65"/>
      <c r="BV267" s="65"/>
      <c r="BW267" s="65"/>
      <c r="BX267" s="65"/>
      <c r="BY267" s="115"/>
      <c r="BZ267" s="65"/>
      <c r="CA267" s="65"/>
      <c r="CB267" s="65"/>
      <c r="CC267" s="65"/>
      <c r="CD267" s="115"/>
    </row>
    <row r="268" spans="1:82">
      <c r="A268" s="11"/>
      <c r="B268" s="11" t="s">
        <v>2965</v>
      </c>
      <c r="C268" s="52"/>
      <c r="D268" s="52"/>
      <c r="E268" s="115">
        <f>IF(ISERROR(VLOOKUP($B268,'Woodmac profile - Oil'!$B$498:$AL$526,MATCH(E$225,'Woodmac profile - Oil'!$B$480:$AL$480),FALSE)),0,VLOOKUP($B268,'Woodmac profile - Oil'!$B$498:$AL$526,MATCH(E$225,'Woodmac profile - Oil'!$B$480:$AL$480),FALSE))</f>
        <v>0</v>
      </c>
      <c r="F268" s="115">
        <f>IF(ISERROR(VLOOKUP($B268,'Woodmac profile - Oil'!$B$498:$AL$526,MATCH(F$225,'Woodmac profile - Oil'!$B$480:$AL$480),FALSE)),0,VLOOKUP($B268,'Woodmac profile - Oil'!$B$498:$AL$526,MATCH(F$225,'Woodmac profile - Oil'!$B$480:$AL$480),FALSE))</f>
        <v>0</v>
      </c>
      <c r="G268" s="115">
        <f>IF(ISERROR(VLOOKUP($B268,'Woodmac profile - Oil'!$B$498:$AL$526,MATCH(G$225,'Woodmac profile - Oil'!$B$480:$AL$480),FALSE)),0,VLOOKUP($B268,'Woodmac profile - Oil'!$B$498:$AL$526,MATCH(G$225,'Woodmac profile - Oil'!$B$480:$AL$480),FALSE))</f>
        <v>0</v>
      </c>
      <c r="H268" s="65">
        <f>L268</f>
        <v>0</v>
      </c>
      <c r="I268" s="65">
        <f>L268</f>
        <v>0</v>
      </c>
      <c r="J268" s="12">
        <f>L268</f>
        <v>0</v>
      </c>
      <c r="K268" s="12">
        <f>L268</f>
        <v>0</v>
      </c>
      <c r="L268" s="115">
        <f>IF(ISERROR(VLOOKUP($B268,'Woodmac profile - Oil'!$B$498:$AL$526,MATCH(L$225,'Woodmac profile - Oil'!$B$480:$AL$480),FALSE)),0,VLOOKUP($B268,'Woodmac profile - Oil'!$B$498:$AL$526,MATCH(L$225,'Woodmac profile - Oil'!$B$480:$AL$480),FALSE))</f>
        <v>0</v>
      </c>
      <c r="M268" s="65">
        <f t="shared" ref="M268:M270" si="844">Q268</f>
        <v>0</v>
      </c>
      <c r="N268" s="65">
        <f t="shared" ref="N268:N270" si="845">Q268</f>
        <v>0</v>
      </c>
      <c r="O268" s="12">
        <f t="shared" ref="O268:O270" si="846">Q268</f>
        <v>0</v>
      </c>
      <c r="P268" s="12">
        <f t="shared" ref="P268" si="847">Q268</f>
        <v>0</v>
      </c>
      <c r="Q268" s="115">
        <f>IF(ISERROR(VLOOKUP($B268,'Woodmac profile - Oil'!$B$498:$AL$526,MATCH(Q$225,'Woodmac profile - Oil'!$B$480:$AL$480),FALSE)),0,VLOOKUP($B268,'Woodmac profile - Oil'!$B$498:$AL$526,MATCH(Q$225,'Woodmac profile - Oil'!$B$480:$AL$480),FALSE))</f>
        <v>0</v>
      </c>
      <c r="R268" s="65">
        <f t="shared" ref="R268:R270" si="848">V268</f>
        <v>0</v>
      </c>
      <c r="S268" s="65">
        <f t="shared" ref="S268:S270" si="849">V268</f>
        <v>0</v>
      </c>
      <c r="T268" s="12">
        <f t="shared" ref="T268:T270" si="850">V268</f>
        <v>0</v>
      </c>
      <c r="U268" s="12">
        <f t="shared" ref="U268" si="851">V268</f>
        <v>0</v>
      </c>
      <c r="V268" s="115">
        <f>IF(ISERROR(VLOOKUP($B268,'Woodmac profile - Oil'!$B$498:$AL$526,MATCH(V$225,'Woodmac profile - Oil'!$B$480:$AL$480),FALSE)),0,VLOOKUP($B268,'Woodmac profile - Oil'!$B$498:$AL$526,MATCH(V$225,'Woodmac profile - Oil'!$B$480:$AL$480),FALSE))</f>
        <v>0</v>
      </c>
      <c r="W268" s="65">
        <f t="shared" ref="W268:W270" si="852">AA268</f>
        <v>0</v>
      </c>
      <c r="X268" s="65">
        <f t="shared" ref="X268:X270" si="853">AA268</f>
        <v>0</v>
      </c>
      <c r="Y268" s="12">
        <f t="shared" ref="Y268:Y270" si="854">AA268</f>
        <v>0</v>
      </c>
      <c r="Z268" s="12">
        <f t="shared" ref="Z268" si="855">AA268</f>
        <v>0</v>
      </c>
      <c r="AA268" s="115">
        <f>IF(ISERROR(VLOOKUP($B268,'Woodmac profile - Oil'!$B$498:$AL$526,MATCH(AA$225,'Woodmac profile - Oil'!$B$480:$AL$480),FALSE)),0,VLOOKUP($B268,'Woodmac profile - Oil'!$B$498:$AL$526,MATCH(AA$225,'Woodmac profile - Oil'!$B$480:$AL$480),FALSE))</f>
        <v>0</v>
      </c>
      <c r="AB268" s="65">
        <f t="shared" ref="AB268:AB270" si="856">AF268</f>
        <v>0</v>
      </c>
      <c r="AC268" s="65">
        <f t="shared" ref="AC268:AC270" si="857">AF268</f>
        <v>0</v>
      </c>
      <c r="AD268" s="12">
        <f t="shared" ref="AD268:AD270" si="858">AF268</f>
        <v>0</v>
      </c>
      <c r="AE268" s="12">
        <f t="shared" ref="AE268" si="859">AF268</f>
        <v>0</v>
      </c>
      <c r="AF268" s="115">
        <f>IF(ISERROR(VLOOKUP($B268,'Woodmac profile - Oil'!$B$498:$AL$526,MATCH(AF$225,'Woodmac profile - Oil'!$B$480:$AL$480),FALSE)),0,VLOOKUP($B268,'Woodmac profile - Oil'!$B$498:$AL$526,MATCH(AF$225,'Woodmac profile - Oil'!$B$480:$AL$480),FALSE))</f>
        <v>0</v>
      </c>
      <c r="AG268" s="65">
        <f t="shared" ref="AG268:AG270" si="860">AK268</f>
        <v>0</v>
      </c>
      <c r="AH268" s="65">
        <f t="shared" ref="AH268:AH270" si="861">AK268</f>
        <v>0</v>
      </c>
      <c r="AI268" s="12">
        <f t="shared" ref="AI268:AI270" si="862">AK268</f>
        <v>0</v>
      </c>
      <c r="AJ268" s="12">
        <f t="shared" ref="AJ268" si="863">AK268</f>
        <v>0</v>
      </c>
      <c r="AK268" s="115">
        <f>IF(ISERROR(VLOOKUP($B268,'Woodmac profile - Oil'!$B$498:$AL$526,MATCH(AK$225,'Woodmac profile - Oil'!$B$480:$AL$480),FALSE)),0,VLOOKUP($B268,'Woodmac profile - Oil'!$B$498:$AL$526,MATCH(AK$225,'Woodmac profile - Oil'!$B$480:$AL$480),FALSE))</f>
        <v>0</v>
      </c>
      <c r="AL268" s="65">
        <f t="shared" ref="AL268:AL270" si="864">AP268</f>
        <v>0</v>
      </c>
      <c r="AM268" s="65">
        <f t="shared" ref="AM268:AM270" si="865">AP268</f>
        <v>0</v>
      </c>
      <c r="AN268" s="12">
        <f t="shared" ref="AN268:AN270" si="866">AP268</f>
        <v>0</v>
      </c>
      <c r="AO268" s="12">
        <f t="shared" ref="AO268" si="867">AP268</f>
        <v>0</v>
      </c>
      <c r="AP268" s="115">
        <f>IF(ISERROR(VLOOKUP($B268,'Woodmac profile - Oil'!$B$498:$AL$526,MATCH(AP$225,'Woodmac profile - Oil'!$B$480:$AL$480),FALSE)),0,VLOOKUP($B268,'Woodmac profile - Oil'!$B$498:$AL$526,MATCH(AP$225,'Woodmac profile - Oil'!$B$480:$AL$480),FALSE))</f>
        <v>0</v>
      </c>
      <c r="AQ268" s="65">
        <f t="shared" ref="AQ268:AQ270" si="868">AU268</f>
        <v>0</v>
      </c>
      <c r="AR268" s="65">
        <f t="shared" ref="AR268:AR270" si="869">AU268</f>
        <v>0</v>
      </c>
      <c r="AS268" s="12">
        <f t="shared" ref="AS268:AS270" si="870">AU268</f>
        <v>0</v>
      </c>
      <c r="AT268" s="12">
        <f t="shared" ref="AT268" si="871">AU268</f>
        <v>0</v>
      </c>
      <c r="AU268" s="115">
        <f>IF(ISERROR(VLOOKUP($B268,'Woodmac profile - Oil'!$B$498:$AL$526,MATCH(AU$225,'Woodmac profile - Oil'!$B$480:$AL$480),FALSE)),0,VLOOKUP($B268,'Woodmac profile - Oil'!$B$498:$AL$526,MATCH(AU$225,'Woodmac profile - Oil'!$B$480:$AL$480),FALSE))</f>
        <v>0</v>
      </c>
      <c r="AV268" s="65">
        <f t="shared" ref="AV268:AV270" si="872">AZ268</f>
        <v>0</v>
      </c>
      <c r="AW268" s="65">
        <f t="shared" ref="AW268:AW270" si="873">AZ268</f>
        <v>0</v>
      </c>
      <c r="AX268" s="12">
        <f t="shared" ref="AX268:AX270" si="874">AZ268</f>
        <v>0</v>
      </c>
      <c r="AY268" s="12">
        <f t="shared" ref="AY268" si="875">AZ268</f>
        <v>0</v>
      </c>
      <c r="AZ268" s="115">
        <f>IF(ISERROR(VLOOKUP($B268,'Woodmac profile - Oil'!$B$498:$AL$526,MATCH(AZ$225,'Woodmac profile - Oil'!$B$480:$AL$480),FALSE)),0,VLOOKUP($B268,'Woodmac profile - Oil'!$B$498:$AL$526,MATCH(AZ$225,'Woodmac profile - Oil'!$B$480:$AL$480),FALSE))</f>
        <v>0</v>
      </c>
      <c r="BA268" s="65">
        <f t="shared" ref="BA268:BA270" si="876">BE268</f>
        <v>0</v>
      </c>
      <c r="BB268" s="65">
        <f t="shared" ref="BB268:BB270" si="877">BE268</f>
        <v>0</v>
      </c>
      <c r="BC268" s="12">
        <f t="shared" ref="BC268:BC270" si="878">BE268</f>
        <v>0</v>
      </c>
      <c r="BD268" s="12">
        <f t="shared" ref="BD268" si="879">BE268</f>
        <v>0</v>
      </c>
      <c r="BE268" s="115">
        <f>IF(ISERROR(VLOOKUP($B268,'Woodmac profile - Oil'!$B$498:$AL$526,MATCH(BE$225,'Woodmac profile - Oil'!$B$480:$AL$480),FALSE)),0,VLOOKUP($B268,'Woodmac profile - Oil'!$B$498:$AL$526,MATCH(BE$225,'Woodmac profile - Oil'!$B$480:$AL$480),FALSE))</f>
        <v>0</v>
      </c>
      <c r="BF268" s="65">
        <f t="shared" ref="BF268:BF270" si="880">BJ268</f>
        <v>0</v>
      </c>
      <c r="BG268" s="65">
        <f t="shared" ref="BG268:BG270" si="881">BJ268</f>
        <v>0</v>
      </c>
      <c r="BH268" s="65">
        <f t="shared" ref="BH268:BH270" si="882">BJ268</f>
        <v>0</v>
      </c>
      <c r="BI268" s="65">
        <f t="shared" ref="BI268" si="883">BJ268</f>
        <v>0</v>
      </c>
      <c r="BJ268" s="115">
        <f>IF(ISERROR(VLOOKUP($B268,'Woodmac profile - Oil'!$B$498:$AL$526,MATCH(BJ$225,'Woodmac profile - Oil'!$B$480:$AL$480),FALSE)),0,VLOOKUP($B268,'Woodmac profile - Oil'!$B$498:$AL$526,MATCH(BJ$225,'Woodmac profile - Oil'!$B$480:$AL$480),FALSE))</f>
        <v>0</v>
      </c>
      <c r="BK268" s="65">
        <f t="shared" ref="BK268:BK270" si="884">BO268</f>
        <v>0</v>
      </c>
      <c r="BL268" s="65">
        <f t="shared" ref="BL268:BL270" si="885">BO268</f>
        <v>0</v>
      </c>
      <c r="BM268" s="65">
        <f t="shared" ref="BM268:BM270" si="886">BO268</f>
        <v>0</v>
      </c>
      <c r="BN268" s="12">
        <f t="shared" ref="BN268" si="887">BO268</f>
        <v>0</v>
      </c>
      <c r="BO268" s="115">
        <f>IF(ISERROR(VLOOKUP($B268,'Woodmac profile - Oil'!$B$498:$AL$526,MATCH(BO$225,'Woodmac profile - Oil'!$B$480:$AL$480),FALSE)),0,VLOOKUP($B268,'Woodmac profile - Oil'!$B$498:$AL$526,MATCH(BO$225,'Woodmac profile - Oil'!$B$480:$AL$480),FALSE))</f>
        <v>0</v>
      </c>
      <c r="BP268" s="65">
        <f t="shared" ref="BP268:BP270" si="888">BT268</f>
        <v>0</v>
      </c>
      <c r="BQ268" s="65">
        <f t="shared" ref="BQ268:BQ270" si="889">BT268</f>
        <v>0</v>
      </c>
      <c r="BR268" s="12">
        <f t="shared" ref="BR268:BR270" si="890">BT268</f>
        <v>0</v>
      </c>
      <c r="BS268" s="12">
        <f t="shared" ref="BS268" si="891">BT268</f>
        <v>0</v>
      </c>
      <c r="BT268" s="115">
        <f>IF(ISERROR(VLOOKUP($B268,'Woodmac profile - Oil'!$B$498:$AL$526,MATCH(BT$225,'Woodmac profile - Oil'!$B$480:$AL$480),FALSE)),0,VLOOKUP($B268,'Woodmac profile - Oil'!$B$498:$AL$526,MATCH(BT$225,'Woodmac profile - Oil'!$B$480:$AL$480),FALSE))</f>
        <v>0</v>
      </c>
      <c r="BU268" s="65">
        <f t="shared" ref="BU268:BU270" si="892">BY268</f>
        <v>0</v>
      </c>
      <c r="BV268" s="65">
        <f t="shared" ref="BV268:BV270" si="893">BY268</f>
        <v>0</v>
      </c>
      <c r="BW268" s="12">
        <f t="shared" ref="BW268:BW270" si="894">BY268</f>
        <v>0</v>
      </c>
      <c r="BX268" s="12">
        <f t="shared" ref="BX268" si="895">BY268</f>
        <v>0</v>
      </c>
      <c r="BY268" s="115">
        <f>IF(ISERROR(VLOOKUP($B268,'Woodmac profile - Oil'!$B$498:$AL$526,MATCH(BY$225,'Woodmac profile - Oil'!$B$480:$AL$480),FALSE)),0,VLOOKUP($B268,'Woodmac profile - Oil'!$B$498:$AL$526,MATCH(BY$225,'Woodmac profile - Oil'!$B$480:$AL$480),FALSE))</f>
        <v>0</v>
      </c>
      <c r="BZ268" s="65">
        <f t="shared" ref="BZ268:BZ270" si="896">CD268</f>
        <v>0</v>
      </c>
      <c r="CA268" s="65">
        <f t="shared" ref="CA268:CA270" si="897">CD268</f>
        <v>0</v>
      </c>
      <c r="CB268" s="12">
        <f t="shared" ref="CB268:CB270" si="898">CD268</f>
        <v>0</v>
      </c>
      <c r="CC268" s="12">
        <f t="shared" ref="CC268" si="899">CD268</f>
        <v>0</v>
      </c>
      <c r="CD268" s="115">
        <f>IF(ISERROR(VLOOKUP($B268,'Woodmac profile - Oil'!$B$498:$AL$526,MATCH(CD$225,'Woodmac profile - Oil'!$B$480:$AL$480),FALSE)),0,VLOOKUP($B268,'Woodmac profile - Oil'!$B$498:$AL$526,MATCH(CD$225,'Woodmac profile - Oil'!$B$480:$AL$480),FALSE))</f>
        <v>0</v>
      </c>
    </row>
    <row r="269" spans="1:82">
      <c r="A269" s="11"/>
      <c r="B269" s="11" t="s">
        <v>3403</v>
      </c>
      <c r="C269" s="52"/>
      <c r="D269" s="52"/>
      <c r="E269" s="115">
        <f>IF(ISERROR(VLOOKUP($B269,'Woodmac profile - Oil'!$B$498:$AL$526,MATCH(E$225,'Woodmac profile - Oil'!$B$480:$AL$480),FALSE)),0,VLOOKUP($B269,'Woodmac profile - Oil'!$B$498:$AL$526,MATCH(E$225,'Woodmac profile - Oil'!$B$480:$AL$480),FALSE))</f>
        <v>0</v>
      </c>
      <c r="F269" s="115">
        <f>IF(ISERROR(VLOOKUP($B269,'Woodmac profile - Oil'!$B$498:$AL$526,MATCH(F$225,'Woodmac profile - Oil'!$B$480:$AL$480),FALSE)),0,VLOOKUP($B269,'Woodmac profile - Oil'!$B$498:$AL$526,MATCH(F$225,'Woodmac profile - Oil'!$B$480:$AL$480),FALSE))</f>
        <v>0</v>
      </c>
      <c r="G269" s="115">
        <f>IF(ISERROR(VLOOKUP($B269,'Woodmac profile - Oil'!$B$498:$AL$526,MATCH(G$225,'Woodmac profile - Oil'!$B$480:$AL$480),FALSE)),0,VLOOKUP($B269,'Woodmac profile - Oil'!$B$498:$AL$526,MATCH(G$225,'Woodmac profile - Oil'!$B$480:$AL$480),FALSE))</f>
        <v>0</v>
      </c>
      <c r="H269" s="65">
        <f>L269</f>
        <v>0</v>
      </c>
      <c r="I269" s="65">
        <f>L269</f>
        <v>0</v>
      </c>
      <c r="J269" s="12">
        <f>L269</f>
        <v>0</v>
      </c>
      <c r="K269" s="12">
        <f>L269</f>
        <v>0</v>
      </c>
      <c r="L269" s="115">
        <f>IF(ISERROR(VLOOKUP($B269,'Woodmac profile - Oil'!$B$498:$AL$526,MATCH(L$225,'Woodmac profile - Oil'!$B$480:$AL$480),FALSE)),0,VLOOKUP($B269,'Woodmac profile - Oil'!$B$498:$AL$526,MATCH(L$225,'Woodmac profile - Oil'!$B$480:$AL$480),FALSE))</f>
        <v>0</v>
      </c>
      <c r="M269" s="65">
        <f t="shared" si="844"/>
        <v>0</v>
      </c>
      <c r="N269" s="65">
        <f t="shared" si="845"/>
        <v>0</v>
      </c>
      <c r="O269" s="12">
        <f t="shared" si="846"/>
        <v>0</v>
      </c>
      <c r="P269" s="12">
        <f t="shared" ref="P269" si="900">Q269</f>
        <v>0</v>
      </c>
      <c r="Q269" s="115">
        <f>IF(ISERROR(VLOOKUP($B269,'Woodmac profile - Oil'!$B$498:$AL$526,MATCH(Q$225,'Woodmac profile - Oil'!$B$480:$AL$480),FALSE)),0,VLOOKUP($B269,'Woodmac profile - Oil'!$B$498:$AL$526,MATCH(Q$225,'Woodmac profile - Oil'!$B$480:$AL$480),FALSE))</f>
        <v>0</v>
      </c>
      <c r="R269" s="65">
        <f t="shared" si="848"/>
        <v>0</v>
      </c>
      <c r="S269" s="65">
        <f t="shared" si="849"/>
        <v>0</v>
      </c>
      <c r="T269" s="12">
        <f t="shared" si="850"/>
        <v>0</v>
      </c>
      <c r="U269" s="12">
        <f t="shared" ref="U269" si="901">V269</f>
        <v>0</v>
      </c>
      <c r="V269" s="115">
        <f>IF(ISERROR(VLOOKUP($B269,'Woodmac profile - Oil'!$B$498:$AL$526,MATCH(V$225,'Woodmac profile - Oil'!$B$480:$AL$480),FALSE)),0,VLOOKUP($B269,'Woodmac profile - Oil'!$B$498:$AL$526,MATCH(V$225,'Woodmac profile - Oil'!$B$480:$AL$480),FALSE))</f>
        <v>0</v>
      </c>
      <c r="W269" s="65">
        <f t="shared" si="852"/>
        <v>0</v>
      </c>
      <c r="X269" s="65">
        <f t="shared" si="853"/>
        <v>0</v>
      </c>
      <c r="Y269" s="12">
        <f t="shared" si="854"/>
        <v>0</v>
      </c>
      <c r="Z269" s="12">
        <f t="shared" ref="Z269" si="902">AA269</f>
        <v>0</v>
      </c>
      <c r="AA269" s="115">
        <f>IF(ISERROR(VLOOKUP($B269,'Woodmac profile - Oil'!$B$498:$AL$526,MATCH(AA$225,'Woodmac profile - Oil'!$B$480:$AL$480),FALSE)),0,VLOOKUP($B269,'Woodmac profile - Oil'!$B$498:$AL$526,MATCH(AA$225,'Woodmac profile - Oil'!$B$480:$AL$480),FALSE))</f>
        <v>0</v>
      </c>
      <c r="AB269" s="65">
        <f t="shared" si="856"/>
        <v>0</v>
      </c>
      <c r="AC269" s="65">
        <f t="shared" si="857"/>
        <v>0</v>
      </c>
      <c r="AD269" s="12">
        <f t="shared" si="858"/>
        <v>0</v>
      </c>
      <c r="AE269" s="12">
        <f t="shared" ref="AE269" si="903">AF269</f>
        <v>0</v>
      </c>
      <c r="AF269" s="115">
        <f>IF(ISERROR(VLOOKUP($B269,'Woodmac profile - Oil'!$B$498:$AL$526,MATCH(AF$225,'Woodmac profile - Oil'!$B$480:$AL$480),FALSE)),0,VLOOKUP($B269,'Woodmac profile - Oil'!$B$498:$AL$526,MATCH(AF$225,'Woodmac profile - Oil'!$B$480:$AL$480),FALSE))</f>
        <v>0</v>
      </c>
      <c r="AG269" s="65">
        <f t="shared" si="860"/>
        <v>0</v>
      </c>
      <c r="AH269" s="65">
        <f t="shared" si="861"/>
        <v>0</v>
      </c>
      <c r="AI269" s="12">
        <f t="shared" si="862"/>
        <v>0</v>
      </c>
      <c r="AJ269" s="12">
        <f t="shared" ref="AJ269" si="904">AK269</f>
        <v>0</v>
      </c>
      <c r="AK269" s="115">
        <f>IF(ISERROR(VLOOKUP($B269,'Woodmac profile - Oil'!$B$498:$AL$526,MATCH(AK$225,'Woodmac profile - Oil'!$B$480:$AL$480),FALSE)),0,VLOOKUP($B269,'Woodmac profile - Oil'!$B$498:$AL$526,MATCH(AK$225,'Woodmac profile - Oil'!$B$480:$AL$480),FALSE))</f>
        <v>0</v>
      </c>
      <c r="AL269" s="65">
        <f t="shared" si="864"/>
        <v>0</v>
      </c>
      <c r="AM269" s="65">
        <f t="shared" si="865"/>
        <v>0</v>
      </c>
      <c r="AN269" s="12">
        <f t="shared" si="866"/>
        <v>0</v>
      </c>
      <c r="AO269" s="12">
        <f t="shared" ref="AO269" si="905">AP269</f>
        <v>0</v>
      </c>
      <c r="AP269" s="115">
        <f>IF(ISERROR(VLOOKUP($B269,'Woodmac profile - Oil'!$B$498:$AL$526,MATCH(AP$225,'Woodmac profile - Oil'!$B$480:$AL$480),FALSE)),0,VLOOKUP($B269,'Woodmac profile - Oil'!$B$498:$AL$526,MATCH(AP$225,'Woodmac profile - Oil'!$B$480:$AL$480),FALSE))</f>
        <v>0</v>
      </c>
      <c r="AQ269" s="65">
        <f t="shared" si="868"/>
        <v>0</v>
      </c>
      <c r="AR269" s="65">
        <f t="shared" si="869"/>
        <v>0</v>
      </c>
      <c r="AS269" s="12">
        <f t="shared" si="870"/>
        <v>0</v>
      </c>
      <c r="AT269" s="12">
        <f t="shared" ref="AT269" si="906">AU269</f>
        <v>0</v>
      </c>
      <c r="AU269" s="115">
        <f>IF(ISERROR(VLOOKUP($B269,'Woodmac profile - Oil'!$B$498:$AL$526,MATCH(AU$225,'Woodmac profile - Oil'!$B$480:$AL$480),FALSE)),0,VLOOKUP($B269,'Woodmac profile - Oil'!$B$498:$AL$526,MATCH(AU$225,'Woodmac profile - Oil'!$B$480:$AL$480),FALSE))</f>
        <v>0</v>
      </c>
      <c r="AV269" s="65">
        <f t="shared" si="872"/>
        <v>0</v>
      </c>
      <c r="AW269" s="65">
        <f t="shared" si="873"/>
        <v>0</v>
      </c>
      <c r="AX269" s="12">
        <f t="shared" si="874"/>
        <v>0</v>
      </c>
      <c r="AY269" s="12">
        <f t="shared" ref="AY269" si="907">AZ269</f>
        <v>0</v>
      </c>
      <c r="AZ269" s="115">
        <f>IF(ISERROR(VLOOKUP($B269,'Woodmac profile - Oil'!$B$498:$AL$526,MATCH(AZ$225,'Woodmac profile - Oil'!$B$480:$AL$480),FALSE)),0,VLOOKUP($B269,'Woodmac profile - Oil'!$B$498:$AL$526,MATCH(AZ$225,'Woodmac profile - Oil'!$B$480:$AL$480),FALSE))</f>
        <v>0</v>
      </c>
      <c r="BA269" s="65">
        <f t="shared" si="876"/>
        <v>0</v>
      </c>
      <c r="BB269" s="65">
        <f t="shared" si="877"/>
        <v>0</v>
      </c>
      <c r="BC269" s="12">
        <f t="shared" si="878"/>
        <v>0</v>
      </c>
      <c r="BD269" s="12">
        <f t="shared" ref="BD269" si="908">BE269</f>
        <v>0</v>
      </c>
      <c r="BE269" s="115">
        <f>IF(ISERROR(VLOOKUP($B269,'Woodmac profile - Oil'!$B$498:$AL$526,MATCH(BE$225,'Woodmac profile - Oil'!$B$480:$AL$480),FALSE)),0,VLOOKUP($B269,'Woodmac profile - Oil'!$B$498:$AL$526,MATCH(BE$225,'Woodmac profile - Oil'!$B$480:$AL$480),FALSE))</f>
        <v>0</v>
      </c>
      <c r="BF269" s="65">
        <f t="shared" si="880"/>
        <v>0</v>
      </c>
      <c r="BG269" s="65">
        <f t="shared" si="881"/>
        <v>0</v>
      </c>
      <c r="BH269" s="65">
        <f t="shared" si="882"/>
        <v>0</v>
      </c>
      <c r="BI269" s="65">
        <f t="shared" ref="BI269" si="909">BJ269</f>
        <v>0</v>
      </c>
      <c r="BJ269" s="115">
        <f>IF(ISERROR(VLOOKUP($B269,'Woodmac profile - Oil'!$B$498:$AL$526,MATCH(BJ$225,'Woodmac profile - Oil'!$B$480:$AL$480),FALSE)),0,VLOOKUP($B269,'Woodmac profile - Oil'!$B$498:$AL$526,MATCH(BJ$225,'Woodmac profile - Oil'!$B$480:$AL$480),FALSE))</f>
        <v>0</v>
      </c>
      <c r="BK269" s="65">
        <f t="shared" si="884"/>
        <v>0</v>
      </c>
      <c r="BL269" s="65">
        <f t="shared" si="885"/>
        <v>0</v>
      </c>
      <c r="BM269" s="65">
        <f t="shared" si="886"/>
        <v>0</v>
      </c>
      <c r="BN269" s="12">
        <f t="shared" ref="BN269" si="910">BO269</f>
        <v>0</v>
      </c>
      <c r="BO269" s="115">
        <f>IF(ISERROR(VLOOKUP($B269,'Woodmac profile - Oil'!$B$498:$AL$526,MATCH(BO$225,'Woodmac profile - Oil'!$B$480:$AL$480),FALSE)),0,VLOOKUP($B269,'Woodmac profile - Oil'!$B$498:$AL$526,MATCH(BO$225,'Woodmac profile - Oil'!$B$480:$AL$480),FALSE))</f>
        <v>0</v>
      </c>
      <c r="BP269" s="65">
        <f t="shared" si="888"/>
        <v>0</v>
      </c>
      <c r="BQ269" s="65">
        <f t="shared" si="889"/>
        <v>0</v>
      </c>
      <c r="BR269" s="12">
        <f t="shared" si="890"/>
        <v>0</v>
      </c>
      <c r="BS269" s="12">
        <f t="shared" ref="BS269" si="911">BT269</f>
        <v>0</v>
      </c>
      <c r="BT269" s="115">
        <f>IF(ISERROR(VLOOKUP($B269,'Woodmac profile - Oil'!$B$498:$AL$526,MATCH(BT$225,'Woodmac profile - Oil'!$B$480:$AL$480),FALSE)),0,VLOOKUP($B269,'Woodmac profile - Oil'!$B$498:$AL$526,MATCH(BT$225,'Woodmac profile - Oil'!$B$480:$AL$480),FALSE))</f>
        <v>0</v>
      </c>
      <c r="BU269" s="65">
        <f t="shared" si="892"/>
        <v>0</v>
      </c>
      <c r="BV269" s="65">
        <f t="shared" si="893"/>
        <v>0</v>
      </c>
      <c r="BW269" s="12">
        <f t="shared" si="894"/>
        <v>0</v>
      </c>
      <c r="BX269" s="12">
        <f t="shared" ref="BX269" si="912">BY269</f>
        <v>0</v>
      </c>
      <c r="BY269" s="115">
        <f>IF(ISERROR(VLOOKUP($B269,'Woodmac profile - Oil'!$B$498:$AL$526,MATCH(BY$225,'Woodmac profile - Oil'!$B$480:$AL$480),FALSE)),0,VLOOKUP($B269,'Woodmac profile - Oil'!$B$498:$AL$526,MATCH(BY$225,'Woodmac profile - Oil'!$B$480:$AL$480),FALSE))</f>
        <v>0</v>
      </c>
      <c r="BZ269" s="65">
        <f t="shared" si="896"/>
        <v>0</v>
      </c>
      <c r="CA269" s="65">
        <f t="shared" si="897"/>
        <v>0</v>
      </c>
      <c r="CB269" s="12">
        <f t="shared" si="898"/>
        <v>0</v>
      </c>
      <c r="CC269" s="12">
        <f t="shared" ref="CC269" si="913">CD269</f>
        <v>0</v>
      </c>
      <c r="CD269" s="115">
        <f>IF(ISERROR(VLOOKUP($B269,'Woodmac profile - Oil'!$B$498:$AL$526,MATCH(CD$225,'Woodmac profile - Oil'!$B$480:$AL$480),FALSE)),0,VLOOKUP($B269,'Woodmac profile - Oil'!$B$498:$AL$526,MATCH(CD$225,'Woodmac profile - Oil'!$B$480:$AL$480),FALSE))</f>
        <v>0</v>
      </c>
    </row>
    <row r="270" spans="1:82">
      <c r="A270" s="39" t="s">
        <v>1935</v>
      </c>
      <c r="B270" s="39"/>
      <c r="C270" s="52"/>
      <c r="D270" s="52"/>
      <c r="E270" s="78">
        <f t="shared" ref="E270:L270" si="914">SUM(E268:E269)</f>
        <v>0</v>
      </c>
      <c r="F270" s="78">
        <f t="shared" si="914"/>
        <v>0</v>
      </c>
      <c r="G270" s="78">
        <f t="shared" si="914"/>
        <v>0</v>
      </c>
      <c r="H270" s="65">
        <f>L270</f>
        <v>0</v>
      </c>
      <c r="I270" s="65">
        <f>L270</f>
        <v>0</v>
      </c>
      <c r="J270" s="12">
        <f>L270</f>
        <v>0</v>
      </c>
      <c r="K270" s="12">
        <f>L270</f>
        <v>0</v>
      </c>
      <c r="L270" s="78">
        <f t="shared" si="914"/>
        <v>0</v>
      </c>
      <c r="M270" s="65">
        <f t="shared" si="844"/>
        <v>0</v>
      </c>
      <c r="N270" s="65">
        <f t="shared" si="845"/>
        <v>0</v>
      </c>
      <c r="O270" s="12">
        <f t="shared" si="846"/>
        <v>0</v>
      </c>
      <c r="P270" s="12">
        <f t="shared" ref="P270" si="915">Q270</f>
        <v>0</v>
      </c>
      <c r="Q270" s="571">
        <f t="shared" ref="Q270" si="916">SUM(Q268:Q269)</f>
        <v>0</v>
      </c>
      <c r="R270" s="65">
        <f t="shared" si="848"/>
        <v>0</v>
      </c>
      <c r="S270" s="65">
        <f t="shared" si="849"/>
        <v>0</v>
      </c>
      <c r="T270" s="12">
        <f t="shared" si="850"/>
        <v>0</v>
      </c>
      <c r="U270" s="12">
        <f t="shared" ref="U270" si="917">V270</f>
        <v>0</v>
      </c>
      <c r="V270" s="571">
        <f t="shared" ref="V270" si="918">SUM(V268:V269)</f>
        <v>0</v>
      </c>
      <c r="W270" s="65">
        <f t="shared" si="852"/>
        <v>0</v>
      </c>
      <c r="X270" s="65">
        <f t="shared" si="853"/>
        <v>0</v>
      </c>
      <c r="Y270" s="12">
        <f t="shared" si="854"/>
        <v>0</v>
      </c>
      <c r="Z270" s="12">
        <f t="shared" ref="Z270" si="919">AA270</f>
        <v>0</v>
      </c>
      <c r="AA270" s="571">
        <f t="shared" ref="AA270" si="920">SUM(AA268:AA269)</f>
        <v>0</v>
      </c>
      <c r="AB270" s="65">
        <f t="shared" si="856"/>
        <v>0</v>
      </c>
      <c r="AC270" s="65">
        <f t="shared" si="857"/>
        <v>0</v>
      </c>
      <c r="AD270" s="12">
        <f t="shared" si="858"/>
        <v>0</v>
      </c>
      <c r="AE270" s="12">
        <f t="shared" ref="AE270" si="921">AF270</f>
        <v>0</v>
      </c>
      <c r="AF270" s="571">
        <f t="shared" ref="AF270" si="922">SUM(AF268:AF269)</f>
        <v>0</v>
      </c>
      <c r="AG270" s="65">
        <f t="shared" si="860"/>
        <v>0</v>
      </c>
      <c r="AH270" s="65">
        <f t="shared" si="861"/>
        <v>0</v>
      </c>
      <c r="AI270" s="12">
        <f t="shared" si="862"/>
        <v>0</v>
      </c>
      <c r="AJ270" s="12">
        <f t="shared" ref="AJ270" si="923">AK270</f>
        <v>0</v>
      </c>
      <c r="AK270" s="571">
        <f t="shared" ref="AK270" si="924">SUM(AK268:AK269)</f>
        <v>0</v>
      </c>
      <c r="AL270" s="65">
        <f t="shared" si="864"/>
        <v>0</v>
      </c>
      <c r="AM270" s="65">
        <f t="shared" si="865"/>
        <v>0</v>
      </c>
      <c r="AN270" s="12">
        <f t="shared" si="866"/>
        <v>0</v>
      </c>
      <c r="AO270" s="12">
        <f t="shared" ref="AO270" si="925">AP270</f>
        <v>0</v>
      </c>
      <c r="AP270" s="571">
        <f t="shared" ref="AP270" si="926">SUM(AP268:AP269)</f>
        <v>0</v>
      </c>
      <c r="AQ270" s="65">
        <f t="shared" si="868"/>
        <v>0</v>
      </c>
      <c r="AR270" s="65">
        <f t="shared" si="869"/>
        <v>0</v>
      </c>
      <c r="AS270" s="12">
        <f t="shared" si="870"/>
        <v>0</v>
      </c>
      <c r="AT270" s="12">
        <f t="shared" ref="AT270" si="927">AU270</f>
        <v>0</v>
      </c>
      <c r="AU270" s="571">
        <f t="shared" ref="AU270" si="928">SUM(AU268:AU269)</f>
        <v>0</v>
      </c>
      <c r="AV270" s="65">
        <f t="shared" si="872"/>
        <v>0</v>
      </c>
      <c r="AW270" s="65">
        <f t="shared" si="873"/>
        <v>0</v>
      </c>
      <c r="AX270" s="12">
        <f t="shared" si="874"/>
        <v>0</v>
      </c>
      <c r="AY270" s="12">
        <f t="shared" ref="AY270" si="929">AZ270</f>
        <v>0</v>
      </c>
      <c r="AZ270" s="571">
        <f t="shared" ref="AZ270" si="930">SUM(AZ268:AZ269)</f>
        <v>0</v>
      </c>
      <c r="BA270" s="65">
        <f t="shared" si="876"/>
        <v>0</v>
      </c>
      <c r="BB270" s="65">
        <f t="shared" si="877"/>
        <v>0</v>
      </c>
      <c r="BC270" s="12">
        <f t="shared" si="878"/>
        <v>0</v>
      </c>
      <c r="BD270" s="12">
        <f t="shared" ref="BD270" si="931">BE270</f>
        <v>0</v>
      </c>
      <c r="BE270" s="571">
        <f t="shared" ref="BE270" si="932">SUM(BE268:BE269)</f>
        <v>0</v>
      </c>
      <c r="BF270" s="65">
        <f t="shared" si="880"/>
        <v>0</v>
      </c>
      <c r="BG270" s="65">
        <f t="shared" si="881"/>
        <v>0</v>
      </c>
      <c r="BH270" s="65">
        <f t="shared" si="882"/>
        <v>0</v>
      </c>
      <c r="BI270" s="65">
        <f t="shared" ref="BI270" si="933">BJ270</f>
        <v>0</v>
      </c>
      <c r="BJ270" s="571">
        <f t="shared" ref="BJ270" si="934">SUM(BJ268:BJ269)</f>
        <v>0</v>
      </c>
      <c r="BK270" s="65">
        <f t="shared" si="884"/>
        <v>0</v>
      </c>
      <c r="BL270" s="65">
        <f t="shared" si="885"/>
        <v>0</v>
      </c>
      <c r="BM270" s="65">
        <f t="shared" si="886"/>
        <v>0</v>
      </c>
      <c r="BN270" s="12">
        <f t="shared" ref="BN270" si="935">BO270</f>
        <v>0</v>
      </c>
      <c r="BO270" s="571">
        <f t="shared" ref="BO270" si="936">SUM(BO268:BO269)</f>
        <v>0</v>
      </c>
      <c r="BP270" s="65">
        <f t="shared" si="888"/>
        <v>0</v>
      </c>
      <c r="BQ270" s="65">
        <f t="shared" si="889"/>
        <v>0</v>
      </c>
      <c r="BR270" s="12">
        <f t="shared" si="890"/>
        <v>0</v>
      </c>
      <c r="BS270" s="12">
        <f t="shared" ref="BS270" si="937">BT270</f>
        <v>0</v>
      </c>
      <c r="BT270" s="571">
        <f t="shared" ref="BT270" si="938">SUM(BT268:BT269)</f>
        <v>0</v>
      </c>
      <c r="BU270" s="65">
        <f t="shared" si="892"/>
        <v>0</v>
      </c>
      <c r="BV270" s="65">
        <f t="shared" si="893"/>
        <v>0</v>
      </c>
      <c r="BW270" s="12">
        <f t="shared" si="894"/>
        <v>0</v>
      </c>
      <c r="BX270" s="12">
        <f t="shared" ref="BX270" si="939">BY270</f>
        <v>0</v>
      </c>
      <c r="BY270" s="571">
        <f t="shared" ref="BY270" si="940">SUM(BY268:BY269)</f>
        <v>0</v>
      </c>
      <c r="BZ270" s="65">
        <f t="shared" si="896"/>
        <v>0</v>
      </c>
      <c r="CA270" s="65">
        <f t="shared" si="897"/>
        <v>0</v>
      </c>
      <c r="CB270" s="12">
        <f t="shared" si="898"/>
        <v>0</v>
      </c>
      <c r="CC270" s="12">
        <f t="shared" ref="CC270" si="941">CD270</f>
        <v>0</v>
      </c>
      <c r="CD270" s="571">
        <f t="shared" ref="CD270" si="942">SUM(CD268:CD269)</f>
        <v>0</v>
      </c>
    </row>
    <row r="271" spans="1:82">
      <c r="A271" s="39"/>
      <c r="B271" s="39"/>
      <c r="C271" s="52"/>
      <c r="D271" s="52"/>
      <c r="E271" s="78"/>
      <c r="F271" s="78"/>
      <c r="G271" s="78"/>
      <c r="H271" s="397"/>
      <c r="I271" s="397"/>
      <c r="J271" s="397"/>
      <c r="K271" s="397"/>
      <c r="L271" s="78"/>
      <c r="M271" s="397"/>
      <c r="N271" s="397"/>
      <c r="O271" s="397"/>
      <c r="P271" s="397"/>
      <c r="Q271" s="571"/>
      <c r="R271" s="397"/>
      <c r="S271" s="397"/>
      <c r="T271" s="397"/>
      <c r="U271" s="397"/>
      <c r="V271" s="571"/>
      <c r="W271" s="397"/>
      <c r="X271" s="397"/>
      <c r="Y271" s="397"/>
      <c r="Z271" s="397"/>
      <c r="AA271" s="571"/>
      <c r="AB271" s="397"/>
      <c r="AC271" s="397"/>
      <c r="AD271" s="397"/>
      <c r="AE271" s="397"/>
      <c r="AF271" s="571"/>
      <c r="AG271" s="397"/>
      <c r="AH271" s="397"/>
      <c r="AI271" s="397"/>
      <c r="AJ271" s="397"/>
      <c r="AK271" s="571"/>
      <c r="AL271" s="397"/>
      <c r="AM271" s="397"/>
      <c r="AN271" s="397"/>
      <c r="AO271" s="397"/>
      <c r="AP271" s="571"/>
      <c r="AQ271" s="397"/>
      <c r="AR271" s="397"/>
      <c r="AS271" s="397"/>
      <c r="AT271" s="397"/>
      <c r="AU271" s="571"/>
      <c r="AV271" s="397"/>
      <c r="AW271" s="397"/>
      <c r="AX271" s="397"/>
      <c r="AY271" s="397"/>
      <c r="AZ271" s="571"/>
      <c r="BA271" s="397"/>
      <c r="BB271" s="397"/>
      <c r="BC271" s="397"/>
      <c r="BD271" s="397"/>
      <c r="BE271" s="571"/>
      <c r="BF271" s="397"/>
      <c r="BG271" s="397"/>
      <c r="BH271" s="397"/>
      <c r="BI271" s="397"/>
      <c r="BJ271" s="571"/>
      <c r="BK271" s="397"/>
      <c r="BL271" s="397"/>
      <c r="BM271" s="397"/>
      <c r="BN271" s="397"/>
      <c r="BO271" s="571"/>
      <c r="BP271" s="397"/>
      <c r="BQ271" s="397"/>
      <c r="BR271" s="397"/>
      <c r="BS271" s="397"/>
      <c r="BT271" s="571"/>
      <c r="BU271" s="397"/>
      <c r="BV271" s="397"/>
      <c r="BW271" s="397"/>
      <c r="BX271" s="397"/>
      <c r="BY271" s="571"/>
      <c r="BZ271" s="397"/>
      <c r="CA271" s="397"/>
      <c r="CB271" s="397"/>
      <c r="CC271" s="397"/>
      <c r="CD271" s="571"/>
    </row>
    <row r="272" spans="1:82">
      <c r="A272" s="46" t="s">
        <v>541</v>
      </c>
      <c r="B272" s="46"/>
      <c r="C272" s="53"/>
      <c r="D272" s="53"/>
      <c r="E272" s="223">
        <f t="shared" ref="E272:L272" si="943">E230+E235+E244+E250+E265+E270</f>
        <v>290.28199999999998</v>
      </c>
      <c r="F272" s="223">
        <f t="shared" si="943"/>
        <v>287.81800000000004</v>
      </c>
      <c r="G272" s="223">
        <f t="shared" si="943"/>
        <v>292.31200000000001</v>
      </c>
      <c r="H272" s="398">
        <f t="shared" si="943"/>
        <v>313.85400000000004</v>
      </c>
      <c r="I272" s="398">
        <f t="shared" si="943"/>
        <v>313.85400000000004</v>
      </c>
      <c r="J272" s="398">
        <f t="shared" si="943"/>
        <v>313.85400000000004</v>
      </c>
      <c r="K272" s="398">
        <f t="shared" si="943"/>
        <v>313.85400000000004</v>
      </c>
      <c r="L272" s="223">
        <f t="shared" si="943"/>
        <v>313.85400000000004</v>
      </c>
      <c r="M272" s="398">
        <f t="shared" ref="M272:BX272" si="944">M230+M235+M244+M250+M265+M270</f>
        <v>291.47000000000003</v>
      </c>
      <c r="N272" s="398">
        <f t="shared" si="944"/>
        <v>291.47000000000003</v>
      </c>
      <c r="O272" s="398">
        <f t="shared" si="944"/>
        <v>291.47000000000003</v>
      </c>
      <c r="P272" s="398">
        <f t="shared" si="944"/>
        <v>291.47000000000003</v>
      </c>
      <c r="Q272" s="223">
        <f t="shared" si="944"/>
        <v>291.47000000000003</v>
      </c>
      <c r="R272" s="398">
        <f t="shared" si="944"/>
        <v>311.33600000000001</v>
      </c>
      <c r="S272" s="398">
        <f t="shared" si="944"/>
        <v>311.33600000000001</v>
      </c>
      <c r="T272" s="398">
        <f t="shared" si="944"/>
        <v>311.33600000000001</v>
      </c>
      <c r="U272" s="398">
        <f t="shared" si="944"/>
        <v>311.33600000000001</v>
      </c>
      <c r="V272" s="223">
        <f t="shared" si="944"/>
        <v>311.33600000000001</v>
      </c>
      <c r="W272" s="398">
        <f t="shared" si="944"/>
        <v>276.63200000000001</v>
      </c>
      <c r="X272" s="398">
        <f t="shared" si="944"/>
        <v>276.63200000000001</v>
      </c>
      <c r="Y272" s="398">
        <f t="shared" si="944"/>
        <v>276.63200000000001</v>
      </c>
      <c r="Z272" s="398">
        <f t="shared" si="944"/>
        <v>276.63200000000001</v>
      </c>
      <c r="AA272" s="223">
        <f t="shared" si="944"/>
        <v>276.63200000000001</v>
      </c>
      <c r="AB272" s="398">
        <f t="shared" si="944"/>
        <v>284.44</v>
      </c>
      <c r="AC272" s="398">
        <f t="shared" si="944"/>
        <v>284.44</v>
      </c>
      <c r="AD272" s="398">
        <f t="shared" si="944"/>
        <v>284.44</v>
      </c>
      <c r="AE272" s="398">
        <f t="shared" si="944"/>
        <v>284.44</v>
      </c>
      <c r="AF272" s="223">
        <f t="shared" si="944"/>
        <v>284.44</v>
      </c>
      <c r="AG272" s="398">
        <f t="shared" si="944"/>
        <v>291.87</v>
      </c>
      <c r="AH272" s="398">
        <f t="shared" si="944"/>
        <v>291.87</v>
      </c>
      <c r="AI272" s="398">
        <f t="shared" si="944"/>
        <v>291.87</v>
      </c>
      <c r="AJ272" s="398">
        <f t="shared" si="944"/>
        <v>291.87</v>
      </c>
      <c r="AK272" s="223">
        <f t="shared" si="944"/>
        <v>291.87</v>
      </c>
      <c r="AL272" s="398">
        <f t="shared" si="944"/>
        <v>280.55200000000002</v>
      </c>
      <c r="AM272" s="398">
        <f t="shared" si="944"/>
        <v>280.55200000000002</v>
      </c>
      <c r="AN272" s="398">
        <f t="shared" si="944"/>
        <v>280.55200000000002</v>
      </c>
      <c r="AO272" s="398">
        <f t="shared" si="944"/>
        <v>280.55200000000002</v>
      </c>
      <c r="AP272" s="223">
        <f t="shared" si="944"/>
        <v>280.55200000000002</v>
      </c>
      <c r="AQ272" s="398">
        <f t="shared" si="944"/>
        <v>889.21581499999991</v>
      </c>
      <c r="AR272" s="398">
        <f t="shared" si="944"/>
        <v>889.21581499999991</v>
      </c>
      <c r="AS272" s="398">
        <f t="shared" si="944"/>
        <v>889.21581499999991</v>
      </c>
      <c r="AT272" s="398">
        <f t="shared" si="944"/>
        <v>889.21581499999991</v>
      </c>
      <c r="AU272" s="223">
        <f t="shared" si="944"/>
        <v>889.21581499999991</v>
      </c>
      <c r="AV272" s="398">
        <f t="shared" si="944"/>
        <v>924.70954250000023</v>
      </c>
      <c r="AW272" s="398">
        <f t="shared" si="944"/>
        <v>924.70954250000023</v>
      </c>
      <c r="AX272" s="398">
        <f t="shared" si="944"/>
        <v>924.70954250000023</v>
      </c>
      <c r="AY272" s="398">
        <f t="shared" si="944"/>
        <v>924.70954250000023</v>
      </c>
      <c r="AZ272" s="223">
        <f t="shared" si="944"/>
        <v>924.70954250000023</v>
      </c>
      <c r="BA272" s="398">
        <f t="shared" si="944"/>
        <v>922.33549500000015</v>
      </c>
      <c r="BB272" s="398">
        <f t="shared" si="944"/>
        <v>922.33549500000015</v>
      </c>
      <c r="BC272" s="398">
        <f t="shared" si="944"/>
        <v>922.33549500000015</v>
      </c>
      <c r="BD272" s="398">
        <f t="shared" si="944"/>
        <v>922.33549500000015</v>
      </c>
      <c r="BE272" s="223">
        <f t="shared" si="944"/>
        <v>922.33549500000015</v>
      </c>
      <c r="BF272" s="398">
        <f t="shared" si="944"/>
        <v>916.73057500000004</v>
      </c>
      <c r="BG272" s="398">
        <f t="shared" si="944"/>
        <v>916.73057500000004</v>
      </c>
      <c r="BH272" s="398">
        <f t="shared" si="944"/>
        <v>916.73057500000004</v>
      </c>
      <c r="BI272" s="398">
        <f t="shared" si="944"/>
        <v>916.73057500000004</v>
      </c>
      <c r="BJ272" s="223">
        <f t="shared" si="944"/>
        <v>916.73057500000004</v>
      </c>
      <c r="BK272" s="398">
        <f t="shared" si="944"/>
        <v>968.81700500000022</v>
      </c>
      <c r="BL272" s="398">
        <f t="shared" si="944"/>
        <v>968.81700500000022</v>
      </c>
      <c r="BM272" s="398">
        <f t="shared" si="944"/>
        <v>968.81700500000022</v>
      </c>
      <c r="BN272" s="398">
        <f t="shared" si="944"/>
        <v>968.81700500000022</v>
      </c>
      <c r="BO272" s="223">
        <f t="shared" si="944"/>
        <v>968.81700500000022</v>
      </c>
      <c r="BP272" s="398">
        <f t="shared" si="944"/>
        <v>889.12334250000015</v>
      </c>
      <c r="BQ272" s="398">
        <f t="shared" si="944"/>
        <v>889.12334250000015</v>
      </c>
      <c r="BR272" s="398">
        <f t="shared" si="944"/>
        <v>889.12334250000015</v>
      </c>
      <c r="BS272" s="398">
        <f t="shared" si="944"/>
        <v>889.12334250000015</v>
      </c>
      <c r="BT272" s="223">
        <f t="shared" si="944"/>
        <v>889.12334250000015</v>
      </c>
      <c r="BU272" s="398">
        <f t="shared" si="944"/>
        <v>914.30266500000005</v>
      </c>
      <c r="BV272" s="398">
        <f t="shared" si="944"/>
        <v>914.30266500000005</v>
      </c>
      <c r="BW272" s="398">
        <f t="shared" si="944"/>
        <v>914.30266500000005</v>
      </c>
      <c r="BX272" s="398">
        <f t="shared" si="944"/>
        <v>914.30266500000005</v>
      </c>
      <c r="BY272" s="223">
        <f t="shared" ref="BY272:CD272" si="945">BY230+BY235+BY244+BY250+BY265+BY270</f>
        <v>914.30266500000005</v>
      </c>
      <c r="BZ272" s="398">
        <f t="shared" si="945"/>
        <v>962.26702250000017</v>
      </c>
      <c r="CA272" s="398">
        <f t="shared" si="945"/>
        <v>962.26702250000017</v>
      </c>
      <c r="CB272" s="398">
        <f t="shared" si="945"/>
        <v>962.26702250000017</v>
      </c>
      <c r="CC272" s="398">
        <f t="shared" si="945"/>
        <v>962.26702250000017</v>
      </c>
      <c r="CD272" s="223">
        <f t="shared" si="945"/>
        <v>962.26702250000017</v>
      </c>
    </row>
    <row r="273" spans="1:82">
      <c r="A273" s="11"/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11"/>
      <c r="AO273" s="11"/>
      <c r="AP273" s="11"/>
      <c r="AQ273" s="11"/>
      <c r="AR273" s="11"/>
      <c r="AS273" s="11"/>
      <c r="AT273" s="11"/>
      <c r="AU273" s="11"/>
      <c r="AV273" s="11"/>
      <c r="AW273" s="11"/>
      <c r="AX273" s="11"/>
      <c r="AY273" s="11"/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  <c r="BM273" s="11"/>
      <c r="BN273" s="11"/>
      <c r="BO273" s="11"/>
      <c r="BP273" s="11"/>
      <c r="BQ273" s="11"/>
      <c r="BR273" s="11"/>
      <c r="BS273" s="11"/>
      <c r="BT273" s="11"/>
      <c r="BU273" s="11"/>
      <c r="BV273" s="11"/>
      <c r="BW273" s="11"/>
      <c r="BX273" s="11"/>
      <c r="BY273" s="11"/>
      <c r="BZ273" s="11"/>
      <c r="CA273" s="11"/>
      <c r="CB273" s="11"/>
      <c r="CC273" s="11"/>
      <c r="CD273" s="11"/>
    </row>
    <row r="274" spans="1:82">
      <c r="A274" s="11"/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  <c r="AL274" s="11"/>
      <c r="AM274" s="11"/>
      <c r="AN274" s="11"/>
      <c r="AO274" s="11"/>
      <c r="AP274" s="11"/>
      <c r="AQ274" s="11"/>
      <c r="AR274" s="11"/>
      <c r="AS274" s="11"/>
      <c r="AT274" s="11"/>
      <c r="AU274" s="11"/>
      <c r="AV274" s="11"/>
      <c r="AW274" s="11"/>
      <c r="AX274" s="11"/>
      <c r="AY274" s="11"/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  <c r="BM274" s="11"/>
      <c r="BN274" s="11"/>
      <c r="BO274" s="11"/>
      <c r="BP274" s="11"/>
      <c r="BQ274" s="11"/>
      <c r="BR274" s="11"/>
      <c r="BS274" s="11"/>
      <c r="BT274" s="11"/>
      <c r="BU274" s="11"/>
      <c r="BV274" s="11"/>
      <c r="BW274" s="11"/>
      <c r="BX274" s="11"/>
      <c r="BY274" s="11"/>
      <c r="BZ274" s="11"/>
      <c r="CA274" s="11"/>
      <c r="CB274" s="11"/>
      <c r="CC274" s="11"/>
      <c r="CD274" s="11"/>
    </row>
    <row r="275" spans="1:82">
      <c r="A275" s="11"/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  <c r="AN275" s="11"/>
      <c r="AO275" s="11"/>
      <c r="AP275" s="11"/>
      <c r="AQ275" s="11"/>
      <c r="AR275" s="11"/>
      <c r="AS275" s="11"/>
      <c r="AT275" s="11"/>
      <c r="AU275" s="11"/>
      <c r="AV275" s="11"/>
      <c r="AW275" s="11"/>
      <c r="AX275" s="11"/>
      <c r="AY275" s="11"/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  <c r="BM275" s="11"/>
      <c r="BN275" s="11"/>
      <c r="BO275" s="11"/>
      <c r="BP275" s="11"/>
      <c r="BQ275" s="11"/>
      <c r="BR275" s="11"/>
      <c r="BS275" s="11"/>
      <c r="BT275" s="11"/>
      <c r="BU275" s="11"/>
      <c r="BV275" s="11"/>
      <c r="BW275" s="11"/>
      <c r="BX275" s="11"/>
      <c r="BY275" s="11"/>
      <c r="BZ275" s="11"/>
      <c r="CA275" s="11"/>
      <c r="CB275" s="11"/>
      <c r="CC275" s="11"/>
      <c r="CD275" s="11"/>
    </row>
    <row r="276" spans="1:82" ht="15.75">
      <c r="A276" s="400" t="s">
        <v>2662</v>
      </c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9"/>
      <c r="AG276" s="39"/>
      <c r="AH276" s="39"/>
      <c r="AI276" s="39"/>
      <c r="AJ276" s="39"/>
      <c r="AK276" s="39"/>
      <c r="AL276" s="39"/>
      <c r="AM276" s="39"/>
      <c r="AN276" s="39"/>
      <c r="AO276" s="39"/>
      <c r="AP276" s="39"/>
      <c r="AQ276" s="39"/>
      <c r="AR276" s="39"/>
      <c r="AS276" s="39"/>
      <c r="AT276" s="39"/>
      <c r="AU276" s="39"/>
      <c r="AV276" s="39"/>
      <c r="AW276" s="39"/>
      <c r="AX276" s="39"/>
      <c r="AY276" s="39"/>
      <c r="AZ276" s="39"/>
      <c r="BA276" s="39"/>
      <c r="BB276" s="39"/>
      <c r="BC276" s="39"/>
      <c r="BD276" s="39"/>
      <c r="BE276" s="39"/>
      <c r="BF276" s="39"/>
      <c r="BG276" s="39"/>
      <c r="BH276" s="39"/>
      <c r="BI276" s="39"/>
      <c r="BJ276" s="39"/>
      <c r="BK276" s="39"/>
      <c r="BL276" s="39"/>
      <c r="BM276" s="39"/>
      <c r="BN276" s="39"/>
      <c r="BO276" s="39"/>
      <c r="BP276" s="39"/>
      <c r="BQ276" s="39"/>
      <c r="BR276" s="39"/>
      <c r="BS276" s="39"/>
      <c r="BT276" s="39"/>
      <c r="BU276" s="39"/>
      <c r="BV276" s="39"/>
      <c r="BW276" s="39"/>
      <c r="BX276" s="39"/>
      <c r="BY276" s="39"/>
      <c r="BZ276" s="39"/>
      <c r="CA276" s="39"/>
      <c r="CB276" s="39"/>
      <c r="CC276" s="39"/>
      <c r="CD276" s="39"/>
    </row>
    <row r="277" spans="1:82">
      <c r="A277" s="11"/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  <c r="AP277" s="11"/>
      <c r="AQ277" s="11"/>
      <c r="AR277" s="11"/>
      <c r="AS277" s="11"/>
      <c r="AT277" s="11"/>
      <c r="AU277" s="11"/>
      <c r="AV277" s="11"/>
      <c r="AW277" s="11"/>
      <c r="AX277" s="11"/>
      <c r="AY277" s="11"/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  <c r="BM277" s="11"/>
      <c r="BN277" s="11"/>
      <c r="BO277" s="11"/>
      <c r="BP277" s="11"/>
      <c r="BQ277" s="11"/>
      <c r="BR277" s="11"/>
      <c r="BS277" s="11"/>
      <c r="BT277" s="11"/>
      <c r="BU277" s="11"/>
      <c r="BV277" s="11"/>
      <c r="BW277" s="11"/>
      <c r="BX277" s="11"/>
      <c r="BY277" s="11"/>
      <c r="BZ277" s="11"/>
      <c r="CA277" s="11"/>
      <c r="CB277" s="11"/>
      <c r="CC277" s="11"/>
      <c r="CD277" s="11"/>
    </row>
    <row r="278" spans="1:82">
      <c r="A278" s="24" t="s">
        <v>304</v>
      </c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11"/>
      <c r="AO278" s="11"/>
      <c r="AP278" s="11"/>
      <c r="AQ278" s="11"/>
      <c r="AR278" s="11"/>
      <c r="AS278" s="11"/>
      <c r="AT278" s="11"/>
      <c r="AU278" s="11"/>
      <c r="AV278" s="11"/>
      <c r="AW278" s="11"/>
      <c r="AX278" s="11"/>
      <c r="AY278" s="11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  <c r="BM278" s="11"/>
      <c r="BN278" s="11"/>
      <c r="BO278" s="11"/>
      <c r="BP278" s="11"/>
      <c r="BQ278" s="11"/>
      <c r="BR278" s="11"/>
      <c r="BS278" s="11"/>
      <c r="BT278" s="11"/>
      <c r="BU278" s="11"/>
      <c r="BV278" s="11"/>
      <c r="BW278" s="11"/>
      <c r="BX278" s="11"/>
      <c r="BY278" s="11"/>
      <c r="BZ278" s="11"/>
      <c r="CA278" s="11"/>
      <c r="CB278" s="11"/>
      <c r="CC278" s="11"/>
      <c r="CD278" s="11"/>
    </row>
    <row r="279" spans="1:82" ht="12.75" customHeight="1">
      <c r="A279" s="10"/>
      <c r="B279" s="10"/>
      <c r="C279" s="31">
        <v>2001</v>
      </c>
      <c r="D279" s="32">
        <v>2002</v>
      </c>
      <c r="E279" s="32">
        <v>2003</v>
      </c>
      <c r="F279" s="32">
        <v>2004</v>
      </c>
      <c r="G279" s="31">
        <v>2005</v>
      </c>
      <c r="H279" s="33" t="s">
        <v>714</v>
      </c>
      <c r="I279" s="33" t="s">
        <v>715</v>
      </c>
      <c r="J279" s="33" t="s">
        <v>716</v>
      </c>
      <c r="K279" s="33" t="s">
        <v>717</v>
      </c>
      <c r="L279" s="31">
        <v>2006</v>
      </c>
      <c r="M279" s="33" t="s">
        <v>718</v>
      </c>
      <c r="N279" s="33" t="s">
        <v>719</v>
      </c>
      <c r="O279" s="33" t="s">
        <v>1970</v>
      </c>
      <c r="P279" s="33" t="s">
        <v>1971</v>
      </c>
      <c r="Q279" s="31">
        <v>2007</v>
      </c>
      <c r="R279" s="33" t="s">
        <v>1972</v>
      </c>
      <c r="S279" s="33" t="s">
        <v>1973</v>
      </c>
      <c r="T279" s="33" t="s">
        <v>1974</v>
      </c>
      <c r="U279" s="33" t="s">
        <v>1975</v>
      </c>
      <c r="V279" s="31">
        <v>2008</v>
      </c>
      <c r="W279" s="33" t="s">
        <v>1976</v>
      </c>
      <c r="X279" s="33" t="s">
        <v>1977</v>
      </c>
      <c r="Y279" s="33" t="s">
        <v>1978</v>
      </c>
      <c r="Z279" s="33" t="s">
        <v>1979</v>
      </c>
      <c r="AA279" s="31">
        <v>2009</v>
      </c>
      <c r="AB279" s="33" t="s">
        <v>1980</v>
      </c>
      <c r="AC279" s="33" t="s">
        <v>1981</v>
      </c>
      <c r="AD279" s="33" t="s">
        <v>1982</v>
      </c>
      <c r="AE279" s="33" t="s">
        <v>2392</v>
      </c>
      <c r="AF279" s="31">
        <v>2010</v>
      </c>
      <c r="AG279" s="33" t="s">
        <v>2393</v>
      </c>
      <c r="AH279" s="33" t="s">
        <v>2394</v>
      </c>
      <c r="AI279" s="33" t="s">
        <v>2395</v>
      </c>
      <c r="AJ279" s="33" t="s">
        <v>2396</v>
      </c>
      <c r="AK279" s="31">
        <v>2011</v>
      </c>
      <c r="AL279" s="33" t="s">
        <v>2397</v>
      </c>
      <c r="AM279" s="33" t="s">
        <v>2398</v>
      </c>
      <c r="AN279" s="33" t="s">
        <v>2399</v>
      </c>
      <c r="AO279" s="368" t="s">
        <v>2400</v>
      </c>
      <c r="AP279" s="369">
        <v>2012</v>
      </c>
      <c r="AQ279" s="368" t="s">
        <v>2401</v>
      </c>
      <c r="AR279" s="368" t="s">
        <v>2402</v>
      </c>
      <c r="AS279" s="368" t="s">
        <v>2403</v>
      </c>
      <c r="AT279" s="368" t="s">
        <v>2404</v>
      </c>
      <c r="AU279" s="369">
        <v>2013</v>
      </c>
      <c r="AV279" s="368" t="s">
        <v>2405</v>
      </c>
      <c r="AW279" s="368" t="s">
        <v>2406</v>
      </c>
      <c r="AX279" s="368" t="s">
        <v>2407</v>
      </c>
      <c r="AY279" s="368" t="s">
        <v>2408</v>
      </c>
      <c r="AZ279" s="369">
        <v>2014</v>
      </c>
      <c r="BA279" s="33" t="s">
        <v>2409</v>
      </c>
      <c r="BB279" s="33" t="s">
        <v>2410</v>
      </c>
      <c r="BC279" s="33" t="s">
        <v>2411</v>
      </c>
      <c r="BD279" s="33" t="s">
        <v>2412</v>
      </c>
      <c r="BE279" s="31">
        <v>2015</v>
      </c>
      <c r="BF279" s="33" t="s">
        <v>2413</v>
      </c>
      <c r="BG279" s="33" t="s">
        <v>2414</v>
      </c>
      <c r="BH279" s="33" t="s">
        <v>2415</v>
      </c>
      <c r="BI279" s="368" t="s">
        <v>2416</v>
      </c>
      <c r="BJ279" s="31">
        <v>2016</v>
      </c>
      <c r="BK279" s="368" t="s">
        <v>2417</v>
      </c>
      <c r="BL279" s="368" t="s">
        <v>2418</v>
      </c>
      <c r="BM279" s="368" t="s">
        <v>2419</v>
      </c>
      <c r="BN279" s="33" t="s">
        <v>2420</v>
      </c>
      <c r="BO279" s="31">
        <v>2017</v>
      </c>
      <c r="BP279" s="33" t="s">
        <v>2244</v>
      </c>
      <c r="BQ279" s="33" t="s">
        <v>2245</v>
      </c>
      <c r="BR279" s="33" t="s">
        <v>2508</v>
      </c>
      <c r="BS279" s="33" t="s">
        <v>2509</v>
      </c>
      <c r="BT279" s="31">
        <v>2018</v>
      </c>
      <c r="BU279" s="33" t="s">
        <v>2510</v>
      </c>
      <c r="BV279" s="33" t="s">
        <v>2511</v>
      </c>
      <c r="BW279" s="33" t="s">
        <v>3125</v>
      </c>
      <c r="BX279" s="33" t="s">
        <v>1405</v>
      </c>
      <c r="BY279" s="31">
        <v>2019</v>
      </c>
      <c r="BZ279" s="33" t="s">
        <v>1406</v>
      </c>
      <c r="CA279" s="33" t="s">
        <v>1407</v>
      </c>
      <c r="CB279" s="33" t="s">
        <v>1408</v>
      </c>
      <c r="CC279" s="33" t="s">
        <v>1409</v>
      </c>
      <c r="CD279" s="31">
        <v>2020</v>
      </c>
    </row>
    <row r="280" spans="1:82">
      <c r="A280" s="39" t="s">
        <v>305</v>
      </c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496"/>
      <c r="AW280" s="496"/>
      <c r="AX280" s="496"/>
      <c r="AY280" s="496"/>
      <c r="AZ280" s="11"/>
      <c r="BA280" s="496"/>
      <c r="BB280" s="496"/>
      <c r="BC280" s="496"/>
      <c r="BD280" s="496"/>
      <c r="BE280" s="496"/>
      <c r="BF280" s="496"/>
      <c r="BG280" s="496"/>
      <c r="BH280" s="496"/>
      <c r="BI280" s="496"/>
      <c r="BJ280" s="496"/>
      <c r="BK280" s="496"/>
      <c r="BL280" s="496"/>
      <c r="BM280" s="496"/>
      <c r="BN280" s="496"/>
      <c r="BO280" s="496"/>
      <c r="BP280" s="496"/>
      <c r="BQ280" s="496"/>
      <c r="BR280" s="496"/>
      <c r="BS280" s="496"/>
      <c r="BT280" s="496"/>
      <c r="BU280" s="496"/>
      <c r="BV280" s="496"/>
      <c r="BW280" s="496"/>
      <c r="BX280" s="496"/>
      <c r="BY280" s="496"/>
      <c r="BZ280" s="496"/>
      <c r="CA280" s="496"/>
      <c r="CB280" s="496"/>
      <c r="CC280" s="496"/>
      <c r="CD280" s="496"/>
    </row>
    <row r="281" spans="1:82">
      <c r="A281" s="11"/>
      <c r="B281" s="11" t="s">
        <v>1281</v>
      </c>
      <c r="C281" s="51"/>
      <c r="D281" s="51"/>
      <c r="E281" s="5">
        <f t="shared" ref="E281:AJ281" si="946">SUM(E173,E227)</f>
        <v>329.49999999999994</v>
      </c>
      <c r="F281" s="5">
        <f t="shared" si="946"/>
        <v>293.5</v>
      </c>
      <c r="G281" s="5">
        <f t="shared" si="946"/>
        <v>243.00000000000009</v>
      </c>
      <c r="H281" s="12">
        <f t="shared" si="946"/>
        <v>222.77000000000004</v>
      </c>
      <c r="I281" s="12">
        <f t="shared" si="946"/>
        <v>222.77000000000004</v>
      </c>
      <c r="J281" s="12">
        <f t="shared" si="946"/>
        <v>222.77000000000004</v>
      </c>
      <c r="K281" s="12">
        <f t="shared" si="946"/>
        <v>222.77000000000004</v>
      </c>
      <c r="L281" s="5">
        <f t="shared" si="946"/>
        <v>222.77000000000004</v>
      </c>
      <c r="M281" s="12">
        <f t="shared" si="946"/>
        <v>171.96999999999997</v>
      </c>
      <c r="N281" s="12">
        <f t="shared" si="946"/>
        <v>171.96999999999997</v>
      </c>
      <c r="O281" s="12">
        <f t="shared" si="946"/>
        <v>171.96999999999997</v>
      </c>
      <c r="P281" s="12">
        <f t="shared" si="946"/>
        <v>171.96999999999997</v>
      </c>
      <c r="Q281" s="5">
        <f t="shared" si="946"/>
        <v>171.96999999999997</v>
      </c>
      <c r="R281" s="12">
        <f t="shared" si="946"/>
        <v>149.5</v>
      </c>
      <c r="S281" s="12">
        <f t="shared" si="946"/>
        <v>149.5</v>
      </c>
      <c r="T281" s="12">
        <f t="shared" si="946"/>
        <v>149.5</v>
      </c>
      <c r="U281" s="12">
        <f t="shared" si="946"/>
        <v>149.5</v>
      </c>
      <c r="V281" s="5">
        <f t="shared" si="946"/>
        <v>149.5</v>
      </c>
      <c r="W281" s="12">
        <f t="shared" si="946"/>
        <v>144.22000000000003</v>
      </c>
      <c r="X281" s="12">
        <f t="shared" si="946"/>
        <v>144.22000000000003</v>
      </c>
      <c r="Y281" s="12">
        <f t="shared" si="946"/>
        <v>144.22000000000003</v>
      </c>
      <c r="Z281" s="12">
        <f t="shared" si="946"/>
        <v>144.22000000000003</v>
      </c>
      <c r="AA281" s="5">
        <f t="shared" si="946"/>
        <v>144.22000000000003</v>
      </c>
      <c r="AB281" s="12">
        <f t="shared" si="946"/>
        <v>116.59</v>
      </c>
      <c r="AC281" s="12">
        <f t="shared" si="946"/>
        <v>116.59</v>
      </c>
      <c r="AD281" s="12">
        <f t="shared" si="946"/>
        <v>116.59</v>
      </c>
      <c r="AE281" s="12">
        <f t="shared" si="946"/>
        <v>116.59</v>
      </c>
      <c r="AF281" s="5">
        <f t="shared" si="946"/>
        <v>116.59</v>
      </c>
      <c r="AG281" s="12">
        <f t="shared" si="946"/>
        <v>95.11</v>
      </c>
      <c r="AH281" s="12">
        <f t="shared" si="946"/>
        <v>95.11</v>
      </c>
      <c r="AI281" s="12">
        <f t="shared" si="946"/>
        <v>95.11</v>
      </c>
      <c r="AJ281" s="12">
        <f t="shared" si="946"/>
        <v>95.11</v>
      </c>
      <c r="AK281" s="5">
        <f t="shared" ref="AK281:BP281" si="947">SUM(AK173,AK227)</f>
        <v>95.11</v>
      </c>
      <c r="AL281" s="12">
        <f t="shared" si="947"/>
        <v>62.44</v>
      </c>
      <c r="AM281" s="12">
        <f t="shared" si="947"/>
        <v>62.44</v>
      </c>
      <c r="AN281" s="12">
        <f t="shared" si="947"/>
        <v>62.44</v>
      </c>
      <c r="AO281" s="12">
        <f t="shared" si="947"/>
        <v>62.44</v>
      </c>
      <c r="AP281" s="5">
        <f t="shared" si="947"/>
        <v>62.44</v>
      </c>
      <c r="AQ281" s="12">
        <f t="shared" si="947"/>
        <v>50.78</v>
      </c>
      <c r="AR281" s="12">
        <f t="shared" si="947"/>
        <v>50.78</v>
      </c>
      <c r="AS281" s="12">
        <f t="shared" si="947"/>
        <v>50.78</v>
      </c>
      <c r="AT281" s="12">
        <f t="shared" si="947"/>
        <v>50.78</v>
      </c>
      <c r="AU281" s="5">
        <f t="shared" si="947"/>
        <v>50.78</v>
      </c>
      <c r="AV281" s="12">
        <f t="shared" si="947"/>
        <v>46.660000000000004</v>
      </c>
      <c r="AW281" s="12">
        <f t="shared" si="947"/>
        <v>46.660000000000004</v>
      </c>
      <c r="AX281" s="12">
        <f t="shared" si="947"/>
        <v>46.660000000000004</v>
      </c>
      <c r="AY281" s="12">
        <f t="shared" si="947"/>
        <v>46.660000000000004</v>
      </c>
      <c r="AZ281" s="5">
        <f t="shared" si="947"/>
        <v>46.660000000000004</v>
      </c>
      <c r="BA281" s="12">
        <f t="shared" si="947"/>
        <v>75.570000000000007</v>
      </c>
      <c r="BB281" s="12">
        <f t="shared" si="947"/>
        <v>75.570000000000007</v>
      </c>
      <c r="BC281" s="12">
        <f t="shared" si="947"/>
        <v>75.570000000000007</v>
      </c>
      <c r="BD281" s="12">
        <f t="shared" si="947"/>
        <v>75.570000000000007</v>
      </c>
      <c r="BE281" s="5">
        <f t="shared" si="947"/>
        <v>75.570000000000007</v>
      </c>
      <c r="BF281" s="12">
        <f t="shared" si="947"/>
        <v>81.16</v>
      </c>
      <c r="BG281" s="12">
        <f t="shared" si="947"/>
        <v>81.16</v>
      </c>
      <c r="BH281" s="12">
        <f t="shared" si="947"/>
        <v>81.16</v>
      </c>
      <c r="BI281" s="12">
        <f t="shared" si="947"/>
        <v>81.16</v>
      </c>
      <c r="BJ281" s="5">
        <f t="shared" si="947"/>
        <v>81.16</v>
      </c>
      <c r="BK281" s="12">
        <f>SUM(BK173,BK227)</f>
        <v>93.41</v>
      </c>
      <c r="BL281" s="12">
        <f t="shared" si="947"/>
        <v>93.41</v>
      </c>
      <c r="BM281" s="12">
        <f t="shared" si="947"/>
        <v>93.41</v>
      </c>
      <c r="BN281" s="12">
        <f t="shared" si="947"/>
        <v>93.41</v>
      </c>
      <c r="BO281" s="5">
        <f t="shared" si="947"/>
        <v>93.41</v>
      </c>
      <c r="BP281" s="12">
        <f t="shared" si="947"/>
        <v>123.06000000000002</v>
      </c>
      <c r="BQ281" s="12">
        <f t="shared" ref="BQ281:CD281" si="948">SUM(BQ173,BQ227)</f>
        <v>123.06000000000002</v>
      </c>
      <c r="BR281" s="12">
        <f t="shared" si="948"/>
        <v>123.06000000000002</v>
      </c>
      <c r="BS281" s="12">
        <f t="shared" si="948"/>
        <v>123.06000000000002</v>
      </c>
      <c r="BT281" s="5">
        <f t="shared" si="948"/>
        <v>123.06000000000002</v>
      </c>
      <c r="BU281" s="12">
        <f t="shared" si="948"/>
        <v>132.1</v>
      </c>
      <c r="BV281" s="12">
        <f t="shared" si="948"/>
        <v>132.1</v>
      </c>
      <c r="BW281" s="12">
        <f t="shared" si="948"/>
        <v>132.1</v>
      </c>
      <c r="BX281" s="12">
        <f t="shared" si="948"/>
        <v>132.1</v>
      </c>
      <c r="BY281" s="5">
        <f t="shared" si="948"/>
        <v>132.1</v>
      </c>
      <c r="BZ281" s="12">
        <f t="shared" si="948"/>
        <v>128.60999999999999</v>
      </c>
      <c r="CA281" s="12">
        <f t="shared" si="948"/>
        <v>128.60999999999999</v>
      </c>
      <c r="CB281" s="12">
        <f t="shared" si="948"/>
        <v>128.60999999999999</v>
      </c>
      <c r="CC281" s="12">
        <f t="shared" si="948"/>
        <v>128.60999999999999</v>
      </c>
      <c r="CD281" s="5">
        <f t="shared" si="948"/>
        <v>128.60999999999999</v>
      </c>
    </row>
    <row r="282" spans="1:82">
      <c r="A282" s="11"/>
      <c r="B282" s="11" t="s">
        <v>306</v>
      </c>
      <c r="C282" s="51"/>
      <c r="D282" s="51"/>
      <c r="E282" s="5">
        <f t="shared" ref="E282:AJ282" si="949">SUM(E174,E228)</f>
        <v>78.13</v>
      </c>
      <c r="F282" s="5">
        <f t="shared" si="949"/>
        <v>76.319999999999993</v>
      </c>
      <c r="G282" s="5">
        <f t="shared" si="949"/>
        <v>74.460000000000008</v>
      </c>
      <c r="H282" s="12">
        <f t="shared" si="949"/>
        <v>61.6</v>
      </c>
      <c r="I282" s="12">
        <f t="shared" si="949"/>
        <v>61.6</v>
      </c>
      <c r="J282" s="12">
        <f t="shared" si="949"/>
        <v>61.6</v>
      </c>
      <c r="K282" s="12">
        <f t="shared" si="949"/>
        <v>61.6</v>
      </c>
      <c r="L282" s="5">
        <f t="shared" si="949"/>
        <v>61.6</v>
      </c>
      <c r="M282" s="12">
        <f t="shared" si="949"/>
        <v>50.79</v>
      </c>
      <c r="N282" s="12">
        <f t="shared" si="949"/>
        <v>50.79</v>
      </c>
      <c r="O282" s="12">
        <f t="shared" si="949"/>
        <v>50.79</v>
      </c>
      <c r="P282" s="12">
        <f t="shared" si="949"/>
        <v>50.79</v>
      </c>
      <c r="Q282" s="5">
        <f t="shared" si="949"/>
        <v>50.79</v>
      </c>
      <c r="R282" s="12">
        <f t="shared" si="949"/>
        <v>42.650000000000006</v>
      </c>
      <c r="S282" s="12">
        <f t="shared" si="949"/>
        <v>42.650000000000006</v>
      </c>
      <c r="T282" s="12">
        <f t="shared" si="949"/>
        <v>42.650000000000006</v>
      </c>
      <c r="U282" s="12">
        <f t="shared" si="949"/>
        <v>42.650000000000006</v>
      </c>
      <c r="V282" s="5">
        <f t="shared" si="949"/>
        <v>42.650000000000006</v>
      </c>
      <c r="W282" s="12">
        <f t="shared" si="949"/>
        <v>37.93</v>
      </c>
      <c r="X282" s="12">
        <f t="shared" si="949"/>
        <v>37.93</v>
      </c>
      <c r="Y282" s="12">
        <f t="shared" si="949"/>
        <v>37.93</v>
      </c>
      <c r="Z282" s="12">
        <f t="shared" si="949"/>
        <v>37.93</v>
      </c>
      <c r="AA282" s="5">
        <f t="shared" si="949"/>
        <v>37.93</v>
      </c>
      <c r="AB282" s="12">
        <f t="shared" si="949"/>
        <v>41.519999999999996</v>
      </c>
      <c r="AC282" s="12">
        <f t="shared" si="949"/>
        <v>41.519999999999996</v>
      </c>
      <c r="AD282" s="12">
        <f t="shared" si="949"/>
        <v>41.519999999999996</v>
      </c>
      <c r="AE282" s="12">
        <f t="shared" si="949"/>
        <v>41.519999999999996</v>
      </c>
      <c r="AF282" s="5">
        <f t="shared" si="949"/>
        <v>41.519999999999996</v>
      </c>
      <c r="AG282" s="12">
        <f t="shared" si="949"/>
        <v>31.82</v>
      </c>
      <c r="AH282" s="12">
        <f t="shared" si="949"/>
        <v>31.82</v>
      </c>
      <c r="AI282" s="12">
        <f t="shared" si="949"/>
        <v>31.82</v>
      </c>
      <c r="AJ282" s="12">
        <f t="shared" si="949"/>
        <v>31.82</v>
      </c>
      <c r="AK282" s="5">
        <f t="shared" ref="AK282:BP282" si="950">SUM(AK174,AK228)</f>
        <v>31.82</v>
      </c>
      <c r="AL282" s="12">
        <f t="shared" si="950"/>
        <v>15.98</v>
      </c>
      <c r="AM282" s="12">
        <f t="shared" si="950"/>
        <v>15.98</v>
      </c>
      <c r="AN282" s="12">
        <f t="shared" si="950"/>
        <v>15.98</v>
      </c>
      <c r="AO282" s="12">
        <f t="shared" si="950"/>
        <v>15.98</v>
      </c>
      <c r="AP282" s="5">
        <f t="shared" si="950"/>
        <v>15.98</v>
      </c>
      <c r="AQ282" s="12">
        <f t="shared" si="950"/>
        <v>32.81</v>
      </c>
      <c r="AR282" s="12">
        <f t="shared" si="950"/>
        <v>32.81</v>
      </c>
      <c r="AS282" s="12">
        <f t="shared" si="950"/>
        <v>32.81</v>
      </c>
      <c r="AT282" s="12">
        <f t="shared" si="950"/>
        <v>32.81</v>
      </c>
      <c r="AU282" s="5">
        <f t="shared" si="950"/>
        <v>32.81</v>
      </c>
      <c r="AV282" s="12">
        <f t="shared" si="950"/>
        <v>44.7</v>
      </c>
      <c r="AW282" s="12">
        <f t="shared" si="950"/>
        <v>44.7</v>
      </c>
      <c r="AX282" s="12">
        <f t="shared" si="950"/>
        <v>44.7</v>
      </c>
      <c r="AY282" s="12">
        <f t="shared" si="950"/>
        <v>44.7</v>
      </c>
      <c r="AZ282" s="5">
        <f>SUM(AZ174,AZ228)</f>
        <v>44.7</v>
      </c>
      <c r="BA282" s="12">
        <f t="shared" si="950"/>
        <v>38.099999999999994</v>
      </c>
      <c r="BB282" s="12">
        <f t="shared" si="950"/>
        <v>38.099999999999994</v>
      </c>
      <c r="BC282" s="12">
        <f t="shared" si="950"/>
        <v>38.099999999999994</v>
      </c>
      <c r="BD282" s="12">
        <f t="shared" si="950"/>
        <v>38.099999999999994</v>
      </c>
      <c r="BE282" s="5">
        <f>SUM(BE174,BE228)</f>
        <v>38.099999999999994</v>
      </c>
      <c r="BF282" s="12">
        <f t="shared" si="950"/>
        <v>27.639000000000003</v>
      </c>
      <c r="BG282" s="12">
        <f t="shared" si="950"/>
        <v>27.639000000000003</v>
      </c>
      <c r="BH282" s="12">
        <f t="shared" si="950"/>
        <v>27.639000000000003</v>
      </c>
      <c r="BI282" s="12">
        <f t="shared" si="950"/>
        <v>27.639000000000003</v>
      </c>
      <c r="BJ282" s="5">
        <f t="shared" si="950"/>
        <v>27.639000000000003</v>
      </c>
      <c r="BK282" s="12">
        <f t="shared" si="950"/>
        <v>40.032000000000004</v>
      </c>
      <c r="BL282" s="12">
        <f t="shared" si="950"/>
        <v>40.032000000000004</v>
      </c>
      <c r="BM282" s="12">
        <f t="shared" si="950"/>
        <v>40.032000000000004</v>
      </c>
      <c r="BN282" s="12">
        <f t="shared" si="950"/>
        <v>40.032000000000004</v>
      </c>
      <c r="BO282" s="5">
        <f t="shared" si="950"/>
        <v>40.032000000000004</v>
      </c>
      <c r="BP282" s="12">
        <f t="shared" si="950"/>
        <v>38.978999999999999</v>
      </c>
      <c r="BQ282" s="12">
        <f t="shared" ref="BQ282:CD282" si="951">SUM(BQ174,BQ228)</f>
        <v>38.978999999999999</v>
      </c>
      <c r="BR282" s="12">
        <f t="shared" si="951"/>
        <v>38.978999999999999</v>
      </c>
      <c r="BS282" s="12">
        <f t="shared" si="951"/>
        <v>38.978999999999999</v>
      </c>
      <c r="BT282" s="5">
        <f t="shared" si="951"/>
        <v>38.978999999999999</v>
      </c>
      <c r="BU282" s="12">
        <f t="shared" si="951"/>
        <v>36.6</v>
      </c>
      <c r="BV282" s="12">
        <f t="shared" si="951"/>
        <v>36.6</v>
      </c>
      <c r="BW282" s="12">
        <f t="shared" si="951"/>
        <v>36.6</v>
      </c>
      <c r="BX282" s="12">
        <f t="shared" si="951"/>
        <v>36.6</v>
      </c>
      <c r="BY282" s="5">
        <f t="shared" si="951"/>
        <v>36.6</v>
      </c>
      <c r="BZ282" s="12">
        <f t="shared" si="951"/>
        <v>50.259000000000007</v>
      </c>
      <c r="CA282" s="12">
        <f t="shared" si="951"/>
        <v>50.259000000000007</v>
      </c>
      <c r="CB282" s="12">
        <f t="shared" si="951"/>
        <v>50.259000000000007</v>
      </c>
      <c r="CC282" s="12">
        <f t="shared" si="951"/>
        <v>50.259000000000007</v>
      </c>
      <c r="CD282" s="5">
        <f t="shared" si="951"/>
        <v>50.259000000000007</v>
      </c>
    </row>
    <row r="283" spans="1:82">
      <c r="A283" s="11"/>
      <c r="B283" s="11" t="s">
        <v>139</v>
      </c>
      <c r="C283" s="51"/>
      <c r="D283" s="51"/>
      <c r="E283" s="5">
        <f t="shared" ref="E283:AJ283" si="952">SUM(E175,E229)</f>
        <v>0.72</v>
      </c>
      <c r="F283" s="5">
        <f t="shared" si="952"/>
        <v>0.79999999999999993</v>
      </c>
      <c r="G283" s="5">
        <f t="shared" si="952"/>
        <v>0.64</v>
      </c>
      <c r="H283" s="12">
        <f t="shared" si="952"/>
        <v>0.4</v>
      </c>
      <c r="I283" s="12">
        <f t="shared" si="952"/>
        <v>0.4</v>
      </c>
      <c r="J283" s="12">
        <f t="shared" si="952"/>
        <v>0.4</v>
      </c>
      <c r="K283" s="12">
        <f t="shared" si="952"/>
        <v>0.4</v>
      </c>
      <c r="L283" s="5">
        <f t="shared" si="952"/>
        <v>0.4</v>
      </c>
      <c r="M283" s="12">
        <f t="shared" si="952"/>
        <v>0</v>
      </c>
      <c r="N283" s="12">
        <f t="shared" si="952"/>
        <v>0</v>
      </c>
      <c r="O283" s="12">
        <f t="shared" si="952"/>
        <v>0</v>
      </c>
      <c r="P283" s="12">
        <f t="shared" si="952"/>
        <v>0</v>
      </c>
      <c r="Q283" s="5">
        <f t="shared" si="952"/>
        <v>0</v>
      </c>
      <c r="R283" s="12">
        <f t="shared" si="952"/>
        <v>0</v>
      </c>
      <c r="S283" s="12">
        <f t="shared" si="952"/>
        <v>0</v>
      </c>
      <c r="T283" s="12">
        <f t="shared" si="952"/>
        <v>0</v>
      </c>
      <c r="U283" s="12">
        <f t="shared" si="952"/>
        <v>0</v>
      </c>
      <c r="V283" s="5">
        <f t="shared" si="952"/>
        <v>0</v>
      </c>
      <c r="W283" s="12">
        <f t="shared" si="952"/>
        <v>0</v>
      </c>
      <c r="X283" s="12">
        <f t="shared" si="952"/>
        <v>0</v>
      </c>
      <c r="Y283" s="12">
        <f t="shared" si="952"/>
        <v>0</v>
      </c>
      <c r="Z283" s="12">
        <f t="shared" si="952"/>
        <v>0</v>
      </c>
      <c r="AA283" s="5">
        <f t="shared" si="952"/>
        <v>0</v>
      </c>
      <c r="AB283" s="12">
        <f t="shared" si="952"/>
        <v>0</v>
      </c>
      <c r="AC283" s="12">
        <f t="shared" si="952"/>
        <v>0</v>
      </c>
      <c r="AD283" s="12">
        <f t="shared" si="952"/>
        <v>0</v>
      </c>
      <c r="AE283" s="12">
        <f t="shared" si="952"/>
        <v>0</v>
      </c>
      <c r="AF283" s="5">
        <f t="shared" si="952"/>
        <v>0</v>
      </c>
      <c r="AG283" s="12">
        <f t="shared" si="952"/>
        <v>0</v>
      </c>
      <c r="AH283" s="12">
        <f t="shared" si="952"/>
        <v>0</v>
      </c>
      <c r="AI283" s="12">
        <f t="shared" si="952"/>
        <v>0</v>
      </c>
      <c r="AJ283" s="12">
        <f t="shared" si="952"/>
        <v>0</v>
      </c>
      <c r="AK283" s="5">
        <f t="shared" ref="AK283:BP283" si="953">SUM(AK175,AK229)</f>
        <v>0</v>
      </c>
      <c r="AL283" s="12">
        <f t="shared" si="953"/>
        <v>0</v>
      </c>
      <c r="AM283" s="12">
        <f t="shared" si="953"/>
        <v>0</v>
      </c>
      <c r="AN283" s="12">
        <f t="shared" si="953"/>
        <v>0</v>
      </c>
      <c r="AO283" s="12">
        <f t="shared" si="953"/>
        <v>0</v>
      </c>
      <c r="AP283" s="5">
        <f t="shared" si="953"/>
        <v>0</v>
      </c>
      <c r="AQ283" s="12">
        <f t="shared" si="953"/>
        <v>0</v>
      </c>
      <c r="AR283" s="12">
        <f t="shared" si="953"/>
        <v>0</v>
      </c>
      <c r="AS283" s="12">
        <f t="shared" si="953"/>
        <v>0</v>
      </c>
      <c r="AT283" s="12">
        <f t="shared" si="953"/>
        <v>0</v>
      </c>
      <c r="AU283" s="5">
        <f t="shared" si="953"/>
        <v>0</v>
      </c>
      <c r="AV283" s="12">
        <f t="shared" si="953"/>
        <v>0</v>
      </c>
      <c r="AW283" s="12">
        <f t="shared" si="953"/>
        <v>0</v>
      </c>
      <c r="AX283" s="12">
        <f t="shared" si="953"/>
        <v>0</v>
      </c>
      <c r="AY283" s="12">
        <f t="shared" si="953"/>
        <v>0</v>
      </c>
      <c r="AZ283" s="5">
        <f>SUM(AZ175,AZ229)</f>
        <v>0</v>
      </c>
      <c r="BA283" s="12">
        <f t="shared" si="953"/>
        <v>0</v>
      </c>
      <c r="BB283" s="12">
        <f t="shared" si="953"/>
        <v>0</v>
      </c>
      <c r="BC283" s="12">
        <f t="shared" si="953"/>
        <v>0</v>
      </c>
      <c r="BD283" s="12">
        <f t="shared" si="953"/>
        <v>0</v>
      </c>
      <c r="BE283" s="5">
        <f>SUM(BE175,BE229)</f>
        <v>0</v>
      </c>
      <c r="BF283" s="12">
        <f t="shared" si="953"/>
        <v>0</v>
      </c>
      <c r="BG283" s="12">
        <f t="shared" si="953"/>
        <v>0</v>
      </c>
      <c r="BH283" s="12">
        <f t="shared" si="953"/>
        <v>0</v>
      </c>
      <c r="BI283" s="12">
        <f t="shared" si="953"/>
        <v>0</v>
      </c>
      <c r="BJ283" s="5">
        <f t="shared" si="953"/>
        <v>0</v>
      </c>
      <c r="BK283" s="12">
        <f t="shared" si="953"/>
        <v>0</v>
      </c>
      <c r="BL283" s="12">
        <f t="shared" si="953"/>
        <v>0</v>
      </c>
      <c r="BM283" s="12">
        <f t="shared" si="953"/>
        <v>0</v>
      </c>
      <c r="BN283" s="12">
        <f t="shared" si="953"/>
        <v>0</v>
      </c>
      <c r="BO283" s="5">
        <f t="shared" si="953"/>
        <v>0</v>
      </c>
      <c r="BP283" s="12">
        <f t="shared" si="953"/>
        <v>0</v>
      </c>
      <c r="BQ283" s="12">
        <f t="shared" ref="BQ283:CD283" si="954">SUM(BQ175,BQ229)</f>
        <v>0</v>
      </c>
      <c r="BR283" s="12">
        <f t="shared" si="954"/>
        <v>0</v>
      </c>
      <c r="BS283" s="12">
        <f t="shared" si="954"/>
        <v>0</v>
      </c>
      <c r="BT283" s="5">
        <f t="shared" si="954"/>
        <v>0</v>
      </c>
      <c r="BU283" s="12">
        <f t="shared" si="954"/>
        <v>0</v>
      </c>
      <c r="BV283" s="12">
        <f t="shared" si="954"/>
        <v>0</v>
      </c>
      <c r="BW283" s="12">
        <f t="shared" si="954"/>
        <v>0</v>
      </c>
      <c r="BX283" s="12">
        <f t="shared" si="954"/>
        <v>0</v>
      </c>
      <c r="BY283" s="5">
        <f t="shared" si="954"/>
        <v>0</v>
      </c>
      <c r="BZ283" s="12">
        <f t="shared" si="954"/>
        <v>0</v>
      </c>
      <c r="CA283" s="12">
        <f t="shared" si="954"/>
        <v>0</v>
      </c>
      <c r="CB283" s="12">
        <f t="shared" si="954"/>
        <v>0</v>
      </c>
      <c r="CC283" s="12">
        <f t="shared" si="954"/>
        <v>0</v>
      </c>
      <c r="CD283" s="5">
        <f t="shared" si="954"/>
        <v>0</v>
      </c>
    </row>
    <row r="284" spans="1:82">
      <c r="A284" s="39" t="s">
        <v>309</v>
      </c>
      <c r="B284" s="39"/>
      <c r="C284" s="52"/>
      <c r="D284" s="52"/>
      <c r="E284" s="8">
        <f t="shared" ref="E284:AJ284" si="955">SUM(E281:E283)</f>
        <v>408.34999999999997</v>
      </c>
      <c r="F284" s="8">
        <f t="shared" si="955"/>
        <v>370.62</v>
      </c>
      <c r="G284" s="8">
        <f t="shared" si="955"/>
        <v>318.10000000000008</v>
      </c>
      <c r="H284" s="66">
        <f t="shared" si="955"/>
        <v>284.77000000000004</v>
      </c>
      <c r="I284" s="66">
        <f t="shared" si="955"/>
        <v>284.77000000000004</v>
      </c>
      <c r="J284" s="66">
        <f t="shared" si="955"/>
        <v>284.77000000000004</v>
      </c>
      <c r="K284" s="66">
        <f t="shared" si="955"/>
        <v>284.77000000000004</v>
      </c>
      <c r="L284" s="8">
        <f t="shared" si="955"/>
        <v>284.77000000000004</v>
      </c>
      <c r="M284" s="66">
        <f t="shared" si="955"/>
        <v>222.75999999999996</v>
      </c>
      <c r="N284" s="66">
        <f t="shared" si="955"/>
        <v>222.75999999999996</v>
      </c>
      <c r="O284" s="66">
        <f t="shared" si="955"/>
        <v>222.75999999999996</v>
      </c>
      <c r="P284" s="66">
        <f t="shared" si="955"/>
        <v>222.75999999999996</v>
      </c>
      <c r="Q284" s="8">
        <f t="shared" si="955"/>
        <v>222.75999999999996</v>
      </c>
      <c r="R284" s="66">
        <f t="shared" si="955"/>
        <v>192.15</v>
      </c>
      <c r="S284" s="66">
        <f t="shared" si="955"/>
        <v>192.15</v>
      </c>
      <c r="T284" s="66">
        <f t="shared" si="955"/>
        <v>192.15</v>
      </c>
      <c r="U284" s="66">
        <f t="shared" si="955"/>
        <v>192.15</v>
      </c>
      <c r="V284" s="8">
        <f t="shared" si="955"/>
        <v>192.15</v>
      </c>
      <c r="W284" s="66">
        <f t="shared" si="955"/>
        <v>182.15000000000003</v>
      </c>
      <c r="X284" s="66">
        <f t="shared" si="955"/>
        <v>182.15000000000003</v>
      </c>
      <c r="Y284" s="66">
        <f t="shared" si="955"/>
        <v>182.15000000000003</v>
      </c>
      <c r="Z284" s="66">
        <f t="shared" si="955"/>
        <v>182.15000000000003</v>
      </c>
      <c r="AA284" s="8">
        <f t="shared" si="955"/>
        <v>182.15000000000003</v>
      </c>
      <c r="AB284" s="66">
        <f t="shared" si="955"/>
        <v>158.11000000000001</v>
      </c>
      <c r="AC284" s="66">
        <f t="shared" si="955"/>
        <v>158.11000000000001</v>
      </c>
      <c r="AD284" s="66">
        <f t="shared" si="955"/>
        <v>158.11000000000001</v>
      </c>
      <c r="AE284" s="66">
        <f t="shared" si="955"/>
        <v>158.11000000000001</v>
      </c>
      <c r="AF284" s="8">
        <f t="shared" si="955"/>
        <v>158.11000000000001</v>
      </c>
      <c r="AG284" s="66">
        <f t="shared" si="955"/>
        <v>126.93</v>
      </c>
      <c r="AH284" s="66">
        <f t="shared" si="955"/>
        <v>126.93</v>
      </c>
      <c r="AI284" s="66">
        <f t="shared" si="955"/>
        <v>126.93</v>
      </c>
      <c r="AJ284" s="66">
        <f t="shared" si="955"/>
        <v>126.93</v>
      </c>
      <c r="AK284" s="8">
        <f t="shared" ref="AK284:BP284" si="956">SUM(AK281:AK283)</f>
        <v>126.93</v>
      </c>
      <c r="AL284" s="66">
        <f t="shared" si="956"/>
        <v>78.42</v>
      </c>
      <c r="AM284" s="66">
        <f t="shared" si="956"/>
        <v>78.42</v>
      </c>
      <c r="AN284" s="66">
        <f t="shared" si="956"/>
        <v>78.42</v>
      </c>
      <c r="AO284" s="66">
        <f t="shared" si="956"/>
        <v>78.42</v>
      </c>
      <c r="AP284" s="8">
        <f t="shared" si="956"/>
        <v>78.42</v>
      </c>
      <c r="AQ284" s="66">
        <f t="shared" si="956"/>
        <v>83.59</v>
      </c>
      <c r="AR284" s="66">
        <f t="shared" si="956"/>
        <v>83.59</v>
      </c>
      <c r="AS284" s="66">
        <f t="shared" si="956"/>
        <v>83.59</v>
      </c>
      <c r="AT284" s="66">
        <f t="shared" si="956"/>
        <v>83.59</v>
      </c>
      <c r="AU284" s="8">
        <f t="shared" si="956"/>
        <v>83.59</v>
      </c>
      <c r="AV284" s="66">
        <f t="shared" si="956"/>
        <v>91.360000000000014</v>
      </c>
      <c r="AW284" s="66">
        <f t="shared" si="956"/>
        <v>91.360000000000014</v>
      </c>
      <c r="AX284" s="66">
        <f t="shared" si="956"/>
        <v>91.360000000000014</v>
      </c>
      <c r="AY284" s="66">
        <f t="shared" si="956"/>
        <v>91.360000000000014</v>
      </c>
      <c r="AZ284" s="8">
        <f>SUM(AZ281:AZ283)</f>
        <v>91.360000000000014</v>
      </c>
      <c r="BA284" s="66">
        <f t="shared" si="956"/>
        <v>113.67</v>
      </c>
      <c r="BB284" s="66">
        <f t="shared" si="956"/>
        <v>113.67</v>
      </c>
      <c r="BC284" s="66">
        <f t="shared" si="956"/>
        <v>113.67</v>
      </c>
      <c r="BD284" s="66">
        <f t="shared" si="956"/>
        <v>113.67</v>
      </c>
      <c r="BE284" s="8">
        <f t="shared" si="956"/>
        <v>113.67</v>
      </c>
      <c r="BF284" s="66">
        <f t="shared" si="956"/>
        <v>108.79900000000001</v>
      </c>
      <c r="BG284" s="66">
        <f t="shared" si="956"/>
        <v>108.79900000000001</v>
      </c>
      <c r="BH284" s="66">
        <f t="shared" si="956"/>
        <v>108.79900000000001</v>
      </c>
      <c r="BI284" s="66">
        <f t="shared" si="956"/>
        <v>108.79900000000001</v>
      </c>
      <c r="BJ284" s="8">
        <f t="shared" si="956"/>
        <v>108.79900000000001</v>
      </c>
      <c r="BK284" s="66">
        <f t="shared" si="956"/>
        <v>133.44200000000001</v>
      </c>
      <c r="BL284" s="66">
        <f t="shared" si="956"/>
        <v>133.44200000000001</v>
      </c>
      <c r="BM284" s="66">
        <f t="shared" si="956"/>
        <v>133.44200000000001</v>
      </c>
      <c r="BN284" s="66">
        <f t="shared" si="956"/>
        <v>133.44200000000001</v>
      </c>
      <c r="BO284" s="8">
        <f t="shared" si="956"/>
        <v>133.44200000000001</v>
      </c>
      <c r="BP284" s="66">
        <f t="shared" si="956"/>
        <v>162.03900000000002</v>
      </c>
      <c r="BQ284" s="66">
        <f t="shared" ref="BQ284:CD284" si="957">SUM(BQ281:BQ283)</f>
        <v>162.03900000000002</v>
      </c>
      <c r="BR284" s="66">
        <f t="shared" si="957"/>
        <v>162.03900000000002</v>
      </c>
      <c r="BS284" s="66">
        <f t="shared" si="957"/>
        <v>162.03900000000002</v>
      </c>
      <c r="BT284" s="8">
        <f t="shared" si="957"/>
        <v>162.03900000000002</v>
      </c>
      <c r="BU284" s="66">
        <f t="shared" si="957"/>
        <v>168.7</v>
      </c>
      <c r="BV284" s="66">
        <f t="shared" si="957"/>
        <v>168.7</v>
      </c>
      <c r="BW284" s="66">
        <f t="shared" si="957"/>
        <v>168.7</v>
      </c>
      <c r="BX284" s="66">
        <f t="shared" si="957"/>
        <v>168.7</v>
      </c>
      <c r="BY284" s="8">
        <f t="shared" si="957"/>
        <v>168.7</v>
      </c>
      <c r="BZ284" s="66">
        <f t="shared" si="957"/>
        <v>178.869</v>
      </c>
      <c r="CA284" s="66">
        <f t="shared" si="957"/>
        <v>178.869</v>
      </c>
      <c r="CB284" s="66">
        <f t="shared" si="957"/>
        <v>178.869</v>
      </c>
      <c r="CC284" s="66">
        <f t="shared" si="957"/>
        <v>178.869</v>
      </c>
      <c r="CD284" s="8">
        <f t="shared" si="957"/>
        <v>178.869</v>
      </c>
    </row>
    <row r="285" spans="1:82">
      <c r="A285" s="11"/>
      <c r="B285" s="11"/>
      <c r="C285" s="51"/>
      <c r="D285" s="51"/>
      <c r="E285" s="5"/>
      <c r="F285" s="5"/>
      <c r="G285" s="5"/>
      <c r="H285" s="12"/>
      <c r="I285" s="12"/>
      <c r="J285" s="12"/>
      <c r="K285" s="12"/>
      <c r="L285" s="5"/>
      <c r="M285" s="12"/>
      <c r="N285" s="12"/>
      <c r="O285" s="12"/>
      <c r="P285" s="12"/>
      <c r="Q285" s="5"/>
      <c r="R285" s="12"/>
      <c r="S285" s="12"/>
      <c r="T285" s="12"/>
      <c r="U285" s="12"/>
      <c r="V285" s="5"/>
      <c r="W285" s="12"/>
      <c r="X285" s="12"/>
      <c r="Y285" s="12"/>
      <c r="Z285" s="12"/>
      <c r="AA285" s="5"/>
      <c r="AB285" s="12"/>
      <c r="AC285" s="12"/>
      <c r="AD285" s="12"/>
      <c r="AE285" s="12"/>
      <c r="AF285" s="5"/>
      <c r="AG285" s="12"/>
      <c r="AH285" s="12"/>
      <c r="AI285" s="12"/>
      <c r="AJ285" s="12"/>
      <c r="AK285" s="5"/>
      <c r="AL285" s="49"/>
      <c r="AM285" s="49"/>
      <c r="AN285" s="49"/>
      <c r="AO285" s="49"/>
      <c r="AP285" s="49"/>
      <c r="AQ285" s="49"/>
      <c r="AR285" s="49"/>
      <c r="AS285" s="49"/>
      <c r="AT285" s="49"/>
      <c r="AU285" s="49"/>
      <c r="AV285" s="49"/>
      <c r="AW285" s="49"/>
      <c r="AX285" s="49"/>
      <c r="AY285" s="49"/>
      <c r="AZ285" s="49"/>
      <c r="BA285" s="49"/>
      <c r="BB285" s="49"/>
      <c r="BC285" s="49"/>
      <c r="BD285" s="49"/>
      <c r="BE285" s="49"/>
      <c r="BF285" s="49"/>
      <c r="BG285" s="49"/>
      <c r="BH285" s="49"/>
      <c r="BI285" s="49"/>
      <c r="BJ285" s="49"/>
      <c r="BK285" s="49"/>
      <c r="BL285" s="49"/>
      <c r="BM285" s="49"/>
      <c r="BN285" s="49"/>
      <c r="BO285" s="49"/>
      <c r="BP285" s="49"/>
      <c r="BQ285" s="49"/>
      <c r="BR285" s="49"/>
      <c r="BS285" s="49"/>
      <c r="BT285" s="49"/>
      <c r="BU285" s="49"/>
      <c r="BV285" s="49"/>
      <c r="BW285" s="49"/>
      <c r="BX285" s="49"/>
      <c r="BY285" s="49"/>
      <c r="BZ285" s="49"/>
      <c r="CA285" s="49"/>
      <c r="CB285" s="49"/>
      <c r="CC285" s="49"/>
      <c r="CD285" s="49"/>
    </row>
    <row r="286" spans="1:82">
      <c r="A286" s="39" t="s">
        <v>310</v>
      </c>
      <c r="B286" s="11"/>
      <c r="C286" s="51"/>
      <c r="D286" s="51"/>
      <c r="E286" s="5"/>
      <c r="F286" s="5"/>
      <c r="G286" s="5"/>
      <c r="H286" s="12"/>
      <c r="I286" s="12"/>
      <c r="J286" s="12"/>
      <c r="K286" s="12"/>
      <c r="L286" s="5"/>
      <c r="M286" s="12"/>
      <c r="N286" s="12"/>
      <c r="O286" s="12"/>
      <c r="P286" s="12"/>
      <c r="Q286" s="5"/>
      <c r="R286" s="12"/>
      <c r="S286" s="12"/>
      <c r="T286" s="12"/>
      <c r="U286" s="12"/>
      <c r="V286" s="5"/>
      <c r="W286" s="12"/>
      <c r="X286" s="12"/>
      <c r="Y286" s="12"/>
      <c r="Z286" s="12"/>
      <c r="AA286" s="5"/>
      <c r="AB286" s="12"/>
      <c r="AC286" s="12"/>
      <c r="AD286" s="12"/>
      <c r="AE286" s="12"/>
      <c r="AF286" s="5"/>
      <c r="AG286" s="12"/>
      <c r="AH286" s="12"/>
      <c r="AI286" s="12"/>
      <c r="AJ286" s="12"/>
      <c r="AK286" s="5"/>
      <c r="AL286" s="12"/>
      <c r="AM286" s="12"/>
      <c r="AN286" s="12"/>
      <c r="AO286" s="12"/>
      <c r="AP286" s="5"/>
      <c r="AQ286" s="12"/>
      <c r="AR286" s="12"/>
      <c r="AS286" s="12"/>
      <c r="AT286" s="12"/>
      <c r="AU286" s="5"/>
      <c r="AV286" s="496"/>
      <c r="AW286" s="496"/>
      <c r="AX286" s="496"/>
      <c r="AY286" s="496"/>
      <c r="AZ286" s="5"/>
      <c r="BA286" s="496"/>
      <c r="BB286" s="496"/>
      <c r="BC286" s="496"/>
      <c r="BD286" s="496"/>
      <c r="BE286" s="5"/>
      <c r="BF286" s="496"/>
      <c r="BG286" s="496"/>
      <c r="BH286" s="496"/>
      <c r="BI286" s="496"/>
      <c r="BJ286" s="496"/>
      <c r="BK286" s="496"/>
      <c r="BL286" s="496"/>
      <c r="BM286" s="496"/>
      <c r="BN286" s="496"/>
      <c r="BO286" s="496"/>
      <c r="BP286" s="496"/>
      <c r="BQ286" s="496"/>
      <c r="BR286" s="496"/>
      <c r="BS286" s="496"/>
      <c r="BT286" s="496"/>
      <c r="BU286" s="496"/>
      <c r="BV286" s="496"/>
      <c r="BW286" s="496"/>
      <c r="BX286" s="496"/>
      <c r="BY286" s="496"/>
      <c r="BZ286" s="496"/>
      <c r="CA286" s="496"/>
      <c r="CB286" s="496"/>
      <c r="CC286" s="496"/>
      <c r="CD286" s="496"/>
    </row>
    <row r="287" spans="1:82">
      <c r="A287" s="11"/>
      <c r="B287" s="11" t="s">
        <v>728</v>
      </c>
      <c r="C287" s="52"/>
      <c r="D287" s="52"/>
      <c r="E287" s="5">
        <f t="shared" ref="E287:AJ287" si="958">SUM(E179,E233)</f>
        <v>709.46999999999991</v>
      </c>
      <c r="F287" s="5">
        <f t="shared" si="958"/>
        <v>650.19999999999993</v>
      </c>
      <c r="G287" s="5">
        <f t="shared" si="958"/>
        <v>580.41999999999996</v>
      </c>
      <c r="H287" s="12">
        <f t="shared" si="958"/>
        <v>526.94999999999982</v>
      </c>
      <c r="I287" s="12">
        <f t="shared" si="958"/>
        <v>526.94999999999982</v>
      </c>
      <c r="J287" s="12">
        <f t="shared" si="958"/>
        <v>526.94999999999982</v>
      </c>
      <c r="K287" s="12">
        <f t="shared" si="958"/>
        <v>526.94999999999982</v>
      </c>
      <c r="L287" s="5">
        <f t="shared" si="958"/>
        <v>526.94999999999982</v>
      </c>
      <c r="M287" s="12">
        <f t="shared" si="958"/>
        <v>497.96999999999997</v>
      </c>
      <c r="N287" s="12">
        <f t="shared" si="958"/>
        <v>497.96999999999997</v>
      </c>
      <c r="O287" s="12">
        <f t="shared" si="958"/>
        <v>497.96999999999997</v>
      </c>
      <c r="P287" s="12">
        <f t="shared" si="958"/>
        <v>497.96999999999997</v>
      </c>
      <c r="Q287" s="5">
        <f t="shared" si="958"/>
        <v>497.96999999999997</v>
      </c>
      <c r="R287" s="12">
        <f t="shared" si="958"/>
        <v>523.6</v>
      </c>
      <c r="S287" s="12">
        <f t="shared" si="958"/>
        <v>523.6</v>
      </c>
      <c r="T287" s="12">
        <f t="shared" si="958"/>
        <v>523.6</v>
      </c>
      <c r="U287" s="12">
        <f t="shared" si="958"/>
        <v>523.6</v>
      </c>
      <c r="V287" s="5">
        <f t="shared" si="958"/>
        <v>523.6</v>
      </c>
      <c r="W287" s="12">
        <f t="shared" si="958"/>
        <v>644.03</v>
      </c>
      <c r="X287" s="12">
        <f t="shared" si="958"/>
        <v>644.03</v>
      </c>
      <c r="Y287" s="12">
        <f t="shared" si="958"/>
        <v>644.03</v>
      </c>
      <c r="Z287" s="12">
        <f t="shared" si="958"/>
        <v>644.03</v>
      </c>
      <c r="AA287" s="5">
        <f t="shared" si="958"/>
        <v>644.03</v>
      </c>
      <c r="AB287" s="12">
        <f t="shared" si="958"/>
        <v>567.92999999999995</v>
      </c>
      <c r="AC287" s="12">
        <f t="shared" si="958"/>
        <v>567.92999999999995</v>
      </c>
      <c r="AD287" s="12">
        <f t="shared" si="958"/>
        <v>567.92999999999995</v>
      </c>
      <c r="AE287" s="12">
        <f t="shared" si="958"/>
        <v>567.92999999999995</v>
      </c>
      <c r="AF287" s="5">
        <f t="shared" si="958"/>
        <v>567.92999999999995</v>
      </c>
      <c r="AG287" s="12">
        <f t="shared" si="958"/>
        <v>439.27</v>
      </c>
      <c r="AH287" s="12">
        <f t="shared" si="958"/>
        <v>439.27</v>
      </c>
      <c r="AI287" s="12">
        <f t="shared" si="958"/>
        <v>439.27</v>
      </c>
      <c r="AJ287" s="12">
        <f t="shared" si="958"/>
        <v>439.27</v>
      </c>
      <c r="AK287" s="5">
        <f t="shared" ref="AK287:BP288" si="959">SUM(AK179,AK233)</f>
        <v>439.27</v>
      </c>
      <c r="AL287" s="12">
        <f t="shared" si="959"/>
        <v>382.91999999999996</v>
      </c>
      <c r="AM287" s="12">
        <f t="shared" si="959"/>
        <v>382.91999999999996</v>
      </c>
      <c r="AN287" s="12">
        <f t="shared" si="959"/>
        <v>382.91999999999996</v>
      </c>
      <c r="AO287" s="12">
        <f t="shared" si="959"/>
        <v>382.91999999999996</v>
      </c>
      <c r="AP287" s="5">
        <f t="shared" si="959"/>
        <v>382.91999999999996</v>
      </c>
      <c r="AQ287" s="12">
        <f t="shared" si="959"/>
        <v>359.31</v>
      </c>
      <c r="AR287" s="12">
        <f t="shared" si="959"/>
        <v>359.31</v>
      </c>
      <c r="AS287" s="12">
        <f t="shared" si="959"/>
        <v>359.31</v>
      </c>
      <c r="AT287" s="12">
        <f t="shared" si="959"/>
        <v>359.31</v>
      </c>
      <c r="AU287" s="5">
        <f t="shared" si="959"/>
        <v>359.31</v>
      </c>
      <c r="AV287" s="12">
        <f t="shared" si="959"/>
        <v>420.51424000000003</v>
      </c>
      <c r="AW287" s="12">
        <f t="shared" si="959"/>
        <v>420.51424000000003</v>
      </c>
      <c r="AX287" s="12">
        <f t="shared" si="959"/>
        <v>420.51424000000003</v>
      </c>
      <c r="AY287" s="12">
        <f t="shared" si="959"/>
        <v>420.51424000000003</v>
      </c>
      <c r="AZ287" s="5">
        <f>SUM(AZ179,AZ233)</f>
        <v>420.51424000000003</v>
      </c>
      <c r="BA287" s="12">
        <f t="shared" si="959"/>
        <v>387.82076000000001</v>
      </c>
      <c r="BB287" s="12">
        <f t="shared" si="959"/>
        <v>387.82076000000001</v>
      </c>
      <c r="BC287" s="12">
        <f t="shared" si="959"/>
        <v>387.82076000000001</v>
      </c>
      <c r="BD287" s="12">
        <f t="shared" si="959"/>
        <v>387.82076000000001</v>
      </c>
      <c r="BE287" s="5">
        <f t="shared" si="959"/>
        <v>387.82076000000001</v>
      </c>
      <c r="BF287" s="12">
        <f t="shared" si="959"/>
        <v>390.71248000000003</v>
      </c>
      <c r="BG287" s="12">
        <f t="shared" si="959"/>
        <v>390.71248000000003</v>
      </c>
      <c r="BH287" s="12">
        <f t="shared" si="959"/>
        <v>390.71248000000003</v>
      </c>
      <c r="BI287" s="12">
        <f t="shared" si="959"/>
        <v>390.71248000000003</v>
      </c>
      <c r="BJ287" s="5">
        <f t="shared" si="959"/>
        <v>390.71248000000003</v>
      </c>
      <c r="BK287" s="12">
        <f t="shared" si="959"/>
        <v>406.32076000000001</v>
      </c>
      <c r="BL287" s="12">
        <f t="shared" si="959"/>
        <v>406.32076000000001</v>
      </c>
      <c r="BM287" s="12">
        <f t="shared" si="959"/>
        <v>406.32076000000001</v>
      </c>
      <c r="BN287" s="12">
        <f t="shared" si="959"/>
        <v>406.32076000000001</v>
      </c>
      <c r="BO287" s="5">
        <f t="shared" si="959"/>
        <v>406.32076000000001</v>
      </c>
      <c r="BP287" s="12">
        <f t="shared" si="959"/>
        <v>421.80932000000001</v>
      </c>
      <c r="BQ287" s="12">
        <f t="shared" ref="BQ287:CD287" si="960">SUM(BQ179,BQ233)</f>
        <v>421.80932000000001</v>
      </c>
      <c r="BR287" s="12">
        <f t="shared" si="960"/>
        <v>421.80932000000001</v>
      </c>
      <c r="BS287" s="12">
        <f t="shared" si="960"/>
        <v>421.80932000000001</v>
      </c>
      <c r="BT287" s="5">
        <f t="shared" si="960"/>
        <v>421.80932000000001</v>
      </c>
      <c r="BU287" s="12">
        <f t="shared" si="960"/>
        <v>420.62279999999998</v>
      </c>
      <c r="BV287" s="12">
        <f t="shared" si="960"/>
        <v>420.62279999999998</v>
      </c>
      <c r="BW287" s="12">
        <f t="shared" si="960"/>
        <v>420.62279999999998</v>
      </c>
      <c r="BX287" s="12">
        <f t="shared" si="960"/>
        <v>420.62279999999998</v>
      </c>
      <c r="BY287" s="5">
        <f t="shared" si="960"/>
        <v>420.62279999999998</v>
      </c>
      <c r="BZ287" s="12">
        <f t="shared" si="960"/>
        <v>399.27024</v>
      </c>
      <c r="CA287" s="12">
        <f t="shared" si="960"/>
        <v>399.27024</v>
      </c>
      <c r="CB287" s="12">
        <f t="shared" si="960"/>
        <v>399.27024</v>
      </c>
      <c r="CC287" s="12">
        <f t="shared" si="960"/>
        <v>399.27024</v>
      </c>
      <c r="CD287" s="5">
        <f t="shared" si="960"/>
        <v>399.27024</v>
      </c>
    </row>
    <row r="288" spans="1:82">
      <c r="A288" s="11"/>
      <c r="B288" s="11" t="s">
        <v>727</v>
      </c>
      <c r="C288" s="52"/>
      <c r="D288" s="52"/>
      <c r="E288" s="5">
        <f t="shared" ref="E288:AJ288" si="961">SUM(E180,E234)</f>
        <v>12.99</v>
      </c>
      <c r="F288" s="5">
        <f t="shared" si="961"/>
        <v>11</v>
      </c>
      <c r="G288" s="5">
        <f t="shared" si="961"/>
        <v>9.99</v>
      </c>
      <c r="H288" s="12">
        <f t="shared" si="961"/>
        <v>8.01</v>
      </c>
      <c r="I288" s="12">
        <f t="shared" si="961"/>
        <v>8.01</v>
      </c>
      <c r="J288" s="12">
        <f t="shared" si="961"/>
        <v>8.01</v>
      </c>
      <c r="K288" s="12">
        <f t="shared" si="961"/>
        <v>8.01</v>
      </c>
      <c r="L288" s="5">
        <f t="shared" si="961"/>
        <v>8.01</v>
      </c>
      <c r="M288" s="12">
        <f t="shared" si="961"/>
        <v>8.1199999999999992</v>
      </c>
      <c r="N288" s="12">
        <f t="shared" si="961"/>
        <v>8.1199999999999992</v>
      </c>
      <c r="O288" s="12">
        <f t="shared" si="961"/>
        <v>8.1199999999999992</v>
      </c>
      <c r="P288" s="12">
        <f t="shared" si="961"/>
        <v>8.1199999999999992</v>
      </c>
      <c r="Q288" s="5">
        <f t="shared" si="961"/>
        <v>8.1199999999999992</v>
      </c>
      <c r="R288" s="12">
        <f t="shared" si="961"/>
        <v>9.01</v>
      </c>
      <c r="S288" s="12">
        <f t="shared" si="961"/>
        <v>9.01</v>
      </c>
      <c r="T288" s="12">
        <f t="shared" si="961"/>
        <v>9.01</v>
      </c>
      <c r="U288" s="12">
        <f t="shared" si="961"/>
        <v>9.01</v>
      </c>
      <c r="V288" s="5">
        <f t="shared" si="961"/>
        <v>9.01</v>
      </c>
      <c r="W288" s="12">
        <f t="shared" si="961"/>
        <v>8.0400000000000009</v>
      </c>
      <c r="X288" s="12">
        <f t="shared" si="961"/>
        <v>8.0400000000000009</v>
      </c>
      <c r="Y288" s="12">
        <f t="shared" si="961"/>
        <v>8.0400000000000009</v>
      </c>
      <c r="Z288" s="12">
        <f t="shared" si="961"/>
        <v>8.0400000000000009</v>
      </c>
      <c r="AA288" s="5">
        <f t="shared" si="961"/>
        <v>8.0400000000000009</v>
      </c>
      <c r="AB288" s="12">
        <f t="shared" si="961"/>
        <v>7.05</v>
      </c>
      <c r="AC288" s="12">
        <f t="shared" si="961"/>
        <v>7.05</v>
      </c>
      <c r="AD288" s="12">
        <f t="shared" si="961"/>
        <v>7.05</v>
      </c>
      <c r="AE288" s="12">
        <f t="shared" si="961"/>
        <v>7.05</v>
      </c>
      <c r="AF288" s="5">
        <f t="shared" si="961"/>
        <v>7.05</v>
      </c>
      <c r="AG288" s="12">
        <f t="shared" si="961"/>
        <v>2</v>
      </c>
      <c r="AH288" s="12">
        <f t="shared" si="961"/>
        <v>2</v>
      </c>
      <c r="AI288" s="12">
        <f t="shared" si="961"/>
        <v>2</v>
      </c>
      <c r="AJ288" s="12">
        <f t="shared" si="961"/>
        <v>2</v>
      </c>
      <c r="AK288" s="5">
        <f t="shared" ref="AK288:BP288" si="962">SUM(AK180,AK234)</f>
        <v>2</v>
      </c>
      <c r="AL288" s="12">
        <f t="shared" si="962"/>
        <v>1</v>
      </c>
      <c r="AM288" s="12">
        <f t="shared" si="962"/>
        <v>1</v>
      </c>
      <c r="AN288" s="12">
        <f t="shared" si="962"/>
        <v>1</v>
      </c>
      <c r="AO288" s="12">
        <f t="shared" si="962"/>
        <v>1</v>
      </c>
      <c r="AP288" s="5">
        <f t="shared" si="962"/>
        <v>1</v>
      </c>
      <c r="AQ288" s="12">
        <f t="shared" si="962"/>
        <v>0.02</v>
      </c>
      <c r="AR288" s="12">
        <f t="shared" si="962"/>
        <v>0.02</v>
      </c>
      <c r="AS288" s="12">
        <f t="shared" si="962"/>
        <v>0.02</v>
      </c>
      <c r="AT288" s="12">
        <f t="shared" si="962"/>
        <v>0.02</v>
      </c>
      <c r="AU288" s="5">
        <f t="shared" si="962"/>
        <v>0.02</v>
      </c>
      <c r="AV288" s="12">
        <f t="shared" si="962"/>
        <v>0</v>
      </c>
      <c r="AW288" s="12">
        <f t="shared" si="962"/>
        <v>0</v>
      </c>
      <c r="AX288" s="12">
        <f t="shared" si="962"/>
        <v>0</v>
      </c>
      <c r="AY288" s="12">
        <f t="shared" si="962"/>
        <v>0</v>
      </c>
      <c r="AZ288" s="5">
        <f>SUM(AZ180,AZ234)</f>
        <v>0</v>
      </c>
      <c r="BA288" s="12">
        <f t="shared" si="962"/>
        <v>3.19</v>
      </c>
      <c r="BB288" s="12">
        <f t="shared" si="962"/>
        <v>3.19</v>
      </c>
      <c r="BC288" s="12">
        <f t="shared" si="962"/>
        <v>3.19</v>
      </c>
      <c r="BD288" s="12">
        <f t="shared" si="962"/>
        <v>3.19</v>
      </c>
      <c r="BE288" s="5">
        <f t="shared" si="959"/>
        <v>3.19</v>
      </c>
      <c r="BF288" s="12">
        <f t="shared" si="962"/>
        <v>12.81</v>
      </c>
      <c r="BG288" s="12">
        <f t="shared" si="962"/>
        <v>12.81</v>
      </c>
      <c r="BH288" s="12">
        <f t="shared" si="962"/>
        <v>12.81</v>
      </c>
      <c r="BI288" s="12">
        <f t="shared" si="962"/>
        <v>12.81</v>
      </c>
      <c r="BJ288" s="5">
        <f t="shared" si="962"/>
        <v>12.81</v>
      </c>
      <c r="BK288" s="12">
        <f t="shared" si="962"/>
        <v>20.6</v>
      </c>
      <c r="BL288" s="12">
        <f t="shared" si="962"/>
        <v>20.6</v>
      </c>
      <c r="BM288" s="12">
        <f t="shared" si="962"/>
        <v>20.6</v>
      </c>
      <c r="BN288" s="12">
        <f t="shared" si="962"/>
        <v>20.6</v>
      </c>
      <c r="BO288" s="5">
        <f t="shared" si="962"/>
        <v>20.6</v>
      </c>
      <c r="BP288" s="12">
        <f t="shared" si="962"/>
        <v>29.34</v>
      </c>
      <c r="BQ288" s="12">
        <f t="shared" ref="BQ288:CD288" si="963">SUM(BQ180,BQ234)</f>
        <v>29.34</v>
      </c>
      <c r="BR288" s="12">
        <f t="shared" si="963"/>
        <v>29.34</v>
      </c>
      <c r="BS288" s="12">
        <f t="shared" si="963"/>
        <v>29.34</v>
      </c>
      <c r="BT288" s="5">
        <f t="shared" si="963"/>
        <v>29.34</v>
      </c>
      <c r="BU288" s="12">
        <f t="shared" si="963"/>
        <v>26.98</v>
      </c>
      <c r="BV288" s="12">
        <f t="shared" si="963"/>
        <v>26.98</v>
      </c>
      <c r="BW288" s="12">
        <f t="shared" si="963"/>
        <v>26.98</v>
      </c>
      <c r="BX288" s="12">
        <f t="shared" si="963"/>
        <v>26.98</v>
      </c>
      <c r="BY288" s="5">
        <f t="shared" si="963"/>
        <v>26.98</v>
      </c>
      <c r="BZ288" s="12">
        <f t="shared" si="963"/>
        <v>29.56</v>
      </c>
      <c r="CA288" s="12">
        <f t="shared" si="963"/>
        <v>29.56</v>
      </c>
      <c r="CB288" s="12">
        <f t="shared" si="963"/>
        <v>29.56</v>
      </c>
      <c r="CC288" s="12">
        <f t="shared" si="963"/>
        <v>29.56</v>
      </c>
      <c r="CD288" s="5">
        <f t="shared" si="963"/>
        <v>29.56</v>
      </c>
    </row>
    <row r="289" spans="1:82">
      <c r="A289" s="39" t="s">
        <v>1993</v>
      </c>
      <c r="B289" s="39"/>
      <c r="C289" s="52"/>
      <c r="D289" s="52"/>
      <c r="E289" s="8">
        <f t="shared" ref="E289:AJ289" si="964">SUM(E287:E288)</f>
        <v>722.45999999999992</v>
      </c>
      <c r="F289" s="8">
        <f t="shared" si="964"/>
        <v>661.19999999999993</v>
      </c>
      <c r="G289" s="8">
        <f t="shared" si="964"/>
        <v>590.41</v>
      </c>
      <c r="H289" s="66">
        <f t="shared" si="964"/>
        <v>534.95999999999981</v>
      </c>
      <c r="I289" s="66">
        <f t="shared" si="964"/>
        <v>534.95999999999981</v>
      </c>
      <c r="J289" s="66">
        <f t="shared" si="964"/>
        <v>534.95999999999981</v>
      </c>
      <c r="K289" s="66">
        <f t="shared" si="964"/>
        <v>534.95999999999981</v>
      </c>
      <c r="L289" s="8">
        <f t="shared" si="964"/>
        <v>534.95999999999981</v>
      </c>
      <c r="M289" s="66">
        <f t="shared" si="964"/>
        <v>506.09</v>
      </c>
      <c r="N289" s="66">
        <f t="shared" si="964"/>
        <v>506.09</v>
      </c>
      <c r="O289" s="66">
        <f t="shared" si="964"/>
        <v>506.09</v>
      </c>
      <c r="P289" s="66">
        <f t="shared" si="964"/>
        <v>506.09</v>
      </c>
      <c r="Q289" s="8">
        <f t="shared" si="964"/>
        <v>506.09</v>
      </c>
      <c r="R289" s="66">
        <f t="shared" si="964"/>
        <v>532.61</v>
      </c>
      <c r="S289" s="66">
        <f t="shared" si="964"/>
        <v>532.61</v>
      </c>
      <c r="T289" s="66">
        <f t="shared" si="964"/>
        <v>532.61</v>
      </c>
      <c r="U289" s="66">
        <f t="shared" si="964"/>
        <v>532.61</v>
      </c>
      <c r="V289" s="8">
        <f t="shared" si="964"/>
        <v>532.61</v>
      </c>
      <c r="W289" s="66">
        <f t="shared" si="964"/>
        <v>652.06999999999994</v>
      </c>
      <c r="X289" s="66">
        <f t="shared" si="964"/>
        <v>652.06999999999994</v>
      </c>
      <c r="Y289" s="66">
        <f t="shared" si="964"/>
        <v>652.06999999999994</v>
      </c>
      <c r="Z289" s="66">
        <f t="shared" si="964"/>
        <v>652.06999999999994</v>
      </c>
      <c r="AA289" s="8">
        <f t="shared" si="964"/>
        <v>652.06999999999994</v>
      </c>
      <c r="AB289" s="66">
        <f t="shared" si="964"/>
        <v>574.9799999999999</v>
      </c>
      <c r="AC289" s="66">
        <f t="shared" si="964"/>
        <v>574.9799999999999</v>
      </c>
      <c r="AD289" s="66">
        <f t="shared" si="964"/>
        <v>574.9799999999999</v>
      </c>
      <c r="AE289" s="66">
        <f t="shared" si="964"/>
        <v>574.9799999999999</v>
      </c>
      <c r="AF289" s="8">
        <f t="shared" si="964"/>
        <v>574.9799999999999</v>
      </c>
      <c r="AG289" s="66">
        <f t="shared" si="964"/>
        <v>441.27</v>
      </c>
      <c r="AH289" s="66">
        <f t="shared" si="964"/>
        <v>441.27</v>
      </c>
      <c r="AI289" s="66">
        <f t="shared" si="964"/>
        <v>441.27</v>
      </c>
      <c r="AJ289" s="66">
        <f t="shared" si="964"/>
        <v>441.27</v>
      </c>
      <c r="AK289" s="8">
        <f t="shared" ref="AK289:BP289" si="965">SUM(AK287:AK288)</f>
        <v>441.27</v>
      </c>
      <c r="AL289" s="66">
        <f t="shared" si="965"/>
        <v>383.91999999999996</v>
      </c>
      <c r="AM289" s="66">
        <f t="shared" si="965"/>
        <v>383.91999999999996</v>
      </c>
      <c r="AN289" s="66">
        <f t="shared" si="965"/>
        <v>383.91999999999996</v>
      </c>
      <c r="AO289" s="66">
        <f t="shared" si="965"/>
        <v>383.91999999999996</v>
      </c>
      <c r="AP289" s="8">
        <f t="shared" si="965"/>
        <v>383.91999999999996</v>
      </c>
      <c r="AQ289" s="66">
        <f t="shared" si="965"/>
        <v>359.33</v>
      </c>
      <c r="AR289" s="66">
        <f t="shared" si="965"/>
        <v>359.33</v>
      </c>
      <c r="AS289" s="66">
        <f t="shared" si="965"/>
        <v>359.33</v>
      </c>
      <c r="AT289" s="66">
        <f t="shared" si="965"/>
        <v>359.33</v>
      </c>
      <c r="AU289" s="8">
        <f t="shared" si="965"/>
        <v>359.33</v>
      </c>
      <c r="AV289" s="66">
        <f t="shared" si="965"/>
        <v>420.51424000000003</v>
      </c>
      <c r="AW289" s="66">
        <f t="shared" si="965"/>
        <v>420.51424000000003</v>
      </c>
      <c r="AX289" s="66">
        <f t="shared" si="965"/>
        <v>420.51424000000003</v>
      </c>
      <c r="AY289" s="66">
        <f t="shared" si="965"/>
        <v>420.51424000000003</v>
      </c>
      <c r="AZ289" s="8">
        <f>SUM(AZ287:AZ288)</f>
        <v>420.51424000000003</v>
      </c>
      <c r="BA289" s="66">
        <f t="shared" si="965"/>
        <v>391.01076</v>
      </c>
      <c r="BB289" s="66">
        <f t="shared" si="965"/>
        <v>391.01076</v>
      </c>
      <c r="BC289" s="66">
        <f t="shared" si="965"/>
        <v>391.01076</v>
      </c>
      <c r="BD289" s="66">
        <f t="shared" si="965"/>
        <v>391.01076</v>
      </c>
      <c r="BE289" s="8">
        <f t="shared" si="965"/>
        <v>391.01076</v>
      </c>
      <c r="BF289" s="66">
        <f t="shared" si="965"/>
        <v>403.52248000000003</v>
      </c>
      <c r="BG289" s="66">
        <f t="shared" si="965"/>
        <v>403.52248000000003</v>
      </c>
      <c r="BH289" s="66">
        <f t="shared" si="965"/>
        <v>403.52248000000003</v>
      </c>
      <c r="BI289" s="66">
        <f t="shared" si="965"/>
        <v>403.52248000000003</v>
      </c>
      <c r="BJ289" s="8">
        <f t="shared" si="965"/>
        <v>403.52248000000003</v>
      </c>
      <c r="BK289" s="66">
        <f t="shared" si="965"/>
        <v>426.92076000000003</v>
      </c>
      <c r="BL289" s="66">
        <f t="shared" si="965"/>
        <v>426.92076000000003</v>
      </c>
      <c r="BM289" s="66">
        <f t="shared" si="965"/>
        <v>426.92076000000003</v>
      </c>
      <c r="BN289" s="66">
        <f t="shared" si="965"/>
        <v>426.92076000000003</v>
      </c>
      <c r="BO289" s="8">
        <f t="shared" si="965"/>
        <v>426.92076000000003</v>
      </c>
      <c r="BP289" s="66">
        <f t="shared" si="965"/>
        <v>451.14931999999999</v>
      </c>
      <c r="BQ289" s="66">
        <f t="shared" ref="BQ289:CD289" si="966">SUM(BQ287:BQ288)</f>
        <v>451.14931999999999</v>
      </c>
      <c r="BR289" s="66">
        <f t="shared" si="966"/>
        <v>451.14931999999999</v>
      </c>
      <c r="BS289" s="66">
        <f t="shared" si="966"/>
        <v>451.14931999999999</v>
      </c>
      <c r="BT289" s="8">
        <f t="shared" si="966"/>
        <v>451.14931999999999</v>
      </c>
      <c r="BU289" s="66">
        <f t="shared" si="966"/>
        <v>447.6028</v>
      </c>
      <c r="BV289" s="66">
        <f t="shared" si="966"/>
        <v>447.6028</v>
      </c>
      <c r="BW289" s="66">
        <f t="shared" si="966"/>
        <v>447.6028</v>
      </c>
      <c r="BX289" s="66">
        <f t="shared" si="966"/>
        <v>447.6028</v>
      </c>
      <c r="BY289" s="8">
        <f t="shared" si="966"/>
        <v>447.6028</v>
      </c>
      <c r="BZ289" s="66">
        <f t="shared" si="966"/>
        <v>428.83024</v>
      </c>
      <c r="CA289" s="66">
        <f t="shared" si="966"/>
        <v>428.83024</v>
      </c>
      <c r="CB289" s="66">
        <f t="shared" si="966"/>
        <v>428.83024</v>
      </c>
      <c r="CC289" s="66">
        <f t="shared" si="966"/>
        <v>428.83024</v>
      </c>
      <c r="CD289" s="8">
        <f t="shared" si="966"/>
        <v>428.83024</v>
      </c>
    </row>
    <row r="290" spans="1:82">
      <c r="A290" s="11"/>
      <c r="B290" s="11"/>
      <c r="C290" s="51"/>
      <c r="D290" s="51"/>
      <c r="E290" s="5"/>
      <c r="F290" s="5"/>
      <c r="G290" s="5"/>
      <c r="H290" s="12"/>
      <c r="I290" s="12"/>
      <c r="J290" s="12"/>
      <c r="K290" s="12"/>
      <c r="L290" s="5"/>
      <c r="M290" s="12"/>
      <c r="N290" s="12"/>
      <c r="O290" s="12"/>
      <c r="P290" s="12"/>
      <c r="Q290" s="5"/>
      <c r="R290" s="12"/>
      <c r="S290" s="12"/>
      <c r="T290" s="12"/>
      <c r="U290" s="12"/>
      <c r="V290" s="5"/>
      <c r="W290" s="12"/>
      <c r="X290" s="12"/>
      <c r="Y290" s="12"/>
      <c r="Z290" s="12"/>
      <c r="AA290" s="5"/>
      <c r="AB290" s="12"/>
      <c r="AC290" s="12"/>
      <c r="AD290" s="12"/>
      <c r="AE290" s="12"/>
      <c r="AF290" s="5"/>
      <c r="AG290" s="12"/>
      <c r="AH290" s="12"/>
      <c r="AI290" s="12"/>
      <c r="AJ290" s="12"/>
      <c r="AK290" s="5"/>
      <c r="AL290" s="49"/>
      <c r="AM290" s="49"/>
      <c r="AN290" s="49"/>
      <c r="AO290" s="49"/>
      <c r="AP290" s="49"/>
      <c r="AQ290" s="49"/>
      <c r="AR290" s="49"/>
      <c r="AS290" s="49"/>
      <c r="AT290" s="49"/>
      <c r="AU290" s="49"/>
      <c r="AV290" s="49"/>
      <c r="AW290" s="49"/>
      <c r="AX290" s="49"/>
      <c r="AY290" s="49"/>
      <c r="AZ290" s="49"/>
      <c r="BA290" s="49"/>
      <c r="BB290" s="49"/>
      <c r="BC290" s="49"/>
      <c r="BD290" s="49"/>
      <c r="BE290" s="49"/>
      <c r="BF290" s="49"/>
      <c r="BG290" s="49"/>
      <c r="BH290" s="49"/>
      <c r="BI290" s="49"/>
      <c r="BJ290" s="49"/>
      <c r="BK290" s="49"/>
      <c r="BL290" s="49"/>
      <c r="BM290" s="49"/>
      <c r="BN290" s="49"/>
      <c r="BO290" s="49"/>
      <c r="BP290" s="49"/>
      <c r="BQ290" s="49"/>
      <c r="BR290" s="49"/>
      <c r="BS290" s="49"/>
      <c r="BT290" s="49"/>
      <c r="BU290" s="49"/>
      <c r="BV290" s="49"/>
      <c r="BW290" s="49"/>
      <c r="BX290" s="49"/>
      <c r="BY290" s="49"/>
      <c r="BZ290" s="49"/>
      <c r="CA290" s="49"/>
      <c r="CB290" s="49"/>
      <c r="CC290" s="49"/>
      <c r="CD290" s="49"/>
    </row>
    <row r="291" spans="1:82">
      <c r="A291" s="39" t="s">
        <v>1994</v>
      </c>
      <c r="B291" s="11"/>
      <c r="C291" s="51"/>
      <c r="D291" s="51"/>
      <c r="E291" s="5"/>
      <c r="F291" s="5"/>
      <c r="G291" s="5"/>
      <c r="H291" s="12"/>
      <c r="I291" s="12"/>
      <c r="J291" s="12"/>
      <c r="K291" s="12"/>
      <c r="L291" s="5"/>
      <c r="M291" s="12"/>
      <c r="N291" s="12"/>
      <c r="O291" s="12"/>
      <c r="P291" s="12"/>
      <c r="Q291" s="5"/>
      <c r="R291" s="12"/>
      <c r="S291" s="12"/>
      <c r="T291" s="12"/>
      <c r="U291" s="12"/>
      <c r="V291" s="5"/>
      <c r="W291" s="12"/>
      <c r="X291" s="12"/>
      <c r="Y291" s="12"/>
      <c r="Z291" s="12"/>
      <c r="AA291" s="5"/>
      <c r="AB291" s="12"/>
      <c r="AC291" s="12"/>
      <c r="AD291" s="12"/>
      <c r="AE291" s="12"/>
      <c r="AF291" s="5"/>
      <c r="AG291" s="12"/>
      <c r="AH291" s="12"/>
      <c r="AI291" s="12"/>
      <c r="AJ291" s="12"/>
      <c r="AK291" s="5"/>
      <c r="AL291" s="12"/>
      <c r="AM291" s="12"/>
      <c r="AN291" s="12"/>
      <c r="AO291" s="12"/>
      <c r="AP291" s="5"/>
      <c r="AQ291" s="12"/>
      <c r="AR291" s="12"/>
      <c r="AS291" s="12"/>
      <c r="AT291" s="12"/>
      <c r="AU291" s="5"/>
      <c r="AV291" s="12"/>
      <c r="AW291" s="12"/>
      <c r="AX291" s="12"/>
      <c r="AY291" s="12"/>
      <c r="AZ291" s="5"/>
      <c r="BA291" s="12"/>
      <c r="BB291" s="12"/>
      <c r="BC291" s="12"/>
      <c r="BD291" s="12"/>
      <c r="BE291" s="5"/>
      <c r="BF291" s="12"/>
      <c r="BG291" s="12"/>
      <c r="BH291" s="12"/>
      <c r="BI291" s="12"/>
      <c r="BJ291" s="5"/>
      <c r="BK291" s="12"/>
      <c r="BL291" s="12"/>
      <c r="BM291" s="12"/>
      <c r="BN291" s="12"/>
      <c r="BO291" s="5"/>
      <c r="BP291" s="12"/>
      <c r="BQ291" s="12"/>
      <c r="BR291" s="12"/>
      <c r="BS291" s="12"/>
      <c r="BT291" s="5"/>
      <c r="BU291" s="12"/>
      <c r="BV291" s="12"/>
      <c r="BW291" s="12"/>
      <c r="BX291" s="12"/>
      <c r="BY291" s="5"/>
      <c r="BZ291" s="12"/>
      <c r="CA291" s="12"/>
      <c r="CB291" s="12"/>
      <c r="CC291" s="12"/>
      <c r="CD291" s="5"/>
    </row>
    <row r="292" spans="1:82">
      <c r="A292" s="39"/>
      <c r="B292" s="11" t="s">
        <v>2921</v>
      </c>
      <c r="C292" s="52"/>
      <c r="D292" s="52"/>
      <c r="E292" s="5">
        <f t="shared" ref="E292:AJ292" si="967">SUM(E184,E238)</f>
        <v>59.291999999999994</v>
      </c>
      <c r="F292" s="5">
        <f t="shared" si="967"/>
        <v>63.21</v>
      </c>
      <c r="G292" s="5">
        <f t="shared" si="967"/>
        <v>65.34</v>
      </c>
      <c r="H292" s="12">
        <f t="shared" si="967"/>
        <v>67.440000000000012</v>
      </c>
      <c r="I292" s="12">
        <f t="shared" si="967"/>
        <v>67.440000000000012</v>
      </c>
      <c r="J292" s="12">
        <f t="shared" si="967"/>
        <v>67.440000000000012</v>
      </c>
      <c r="K292" s="12">
        <f t="shared" si="967"/>
        <v>67.440000000000012</v>
      </c>
      <c r="L292" s="5">
        <f t="shared" si="967"/>
        <v>67.440000000000012</v>
      </c>
      <c r="M292" s="12">
        <f t="shared" si="967"/>
        <v>66.75</v>
      </c>
      <c r="N292" s="12">
        <f t="shared" si="967"/>
        <v>66.75</v>
      </c>
      <c r="O292" s="12">
        <f t="shared" si="967"/>
        <v>66.75</v>
      </c>
      <c r="P292" s="12">
        <f t="shared" si="967"/>
        <v>66.75</v>
      </c>
      <c r="Q292" s="5">
        <f t="shared" si="967"/>
        <v>66.75</v>
      </c>
      <c r="R292" s="12">
        <f t="shared" si="967"/>
        <v>66.114000000000004</v>
      </c>
      <c r="S292" s="12">
        <f t="shared" si="967"/>
        <v>66.114000000000004</v>
      </c>
      <c r="T292" s="12">
        <f t="shared" si="967"/>
        <v>66.114000000000004</v>
      </c>
      <c r="U292" s="12">
        <f t="shared" si="967"/>
        <v>66.114000000000004</v>
      </c>
      <c r="V292" s="5">
        <f t="shared" si="967"/>
        <v>66.114000000000004</v>
      </c>
      <c r="W292" s="12">
        <f t="shared" si="967"/>
        <v>71.063999999999993</v>
      </c>
      <c r="X292" s="12">
        <f t="shared" si="967"/>
        <v>71.063999999999993</v>
      </c>
      <c r="Y292" s="12">
        <f t="shared" si="967"/>
        <v>71.063999999999993</v>
      </c>
      <c r="Z292" s="12">
        <f t="shared" si="967"/>
        <v>71.063999999999993</v>
      </c>
      <c r="AA292" s="5">
        <f t="shared" si="967"/>
        <v>71.063999999999993</v>
      </c>
      <c r="AB292" s="12">
        <f t="shared" si="967"/>
        <v>70.932000000000016</v>
      </c>
      <c r="AC292" s="12">
        <f t="shared" si="967"/>
        <v>70.932000000000016</v>
      </c>
      <c r="AD292" s="12">
        <f t="shared" si="967"/>
        <v>70.932000000000016</v>
      </c>
      <c r="AE292" s="12">
        <f t="shared" si="967"/>
        <v>70.932000000000016</v>
      </c>
      <c r="AF292" s="5">
        <f t="shared" si="967"/>
        <v>70.932000000000016</v>
      </c>
      <c r="AG292" s="12">
        <f t="shared" si="967"/>
        <v>70.698000000000008</v>
      </c>
      <c r="AH292" s="12">
        <f t="shared" si="967"/>
        <v>70.698000000000008</v>
      </c>
      <c r="AI292" s="12">
        <f t="shared" si="967"/>
        <v>70.698000000000008</v>
      </c>
      <c r="AJ292" s="12">
        <f t="shared" si="967"/>
        <v>70.698000000000008</v>
      </c>
      <c r="AK292" s="5">
        <f t="shared" ref="AK292:BP292" si="968">SUM(AK184,AK238)</f>
        <v>70.698000000000008</v>
      </c>
      <c r="AL292" s="12">
        <f t="shared" si="968"/>
        <v>64.266000000000005</v>
      </c>
      <c r="AM292" s="12">
        <f t="shared" si="968"/>
        <v>64.266000000000005</v>
      </c>
      <c r="AN292" s="12">
        <f t="shared" si="968"/>
        <v>64.266000000000005</v>
      </c>
      <c r="AO292" s="12">
        <f t="shared" si="968"/>
        <v>64.266000000000005</v>
      </c>
      <c r="AP292" s="5">
        <f t="shared" si="968"/>
        <v>64.266000000000005</v>
      </c>
      <c r="AQ292" s="12">
        <f t="shared" si="968"/>
        <v>62.069999999999993</v>
      </c>
      <c r="AR292" s="12">
        <f t="shared" si="968"/>
        <v>62.069999999999993</v>
      </c>
      <c r="AS292" s="12">
        <f t="shared" si="968"/>
        <v>62.069999999999993</v>
      </c>
      <c r="AT292" s="12">
        <f t="shared" si="968"/>
        <v>62.069999999999993</v>
      </c>
      <c r="AU292" s="5">
        <f t="shared" si="968"/>
        <v>62.069999999999993</v>
      </c>
      <c r="AV292" s="12">
        <f t="shared" si="968"/>
        <v>63.611999999999995</v>
      </c>
      <c r="AW292" s="12">
        <f t="shared" si="968"/>
        <v>63.611999999999995</v>
      </c>
      <c r="AX292" s="12">
        <f t="shared" si="968"/>
        <v>63.611999999999995</v>
      </c>
      <c r="AY292" s="12">
        <f t="shared" si="968"/>
        <v>63.611999999999995</v>
      </c>
      <c r="AZ292" s="5">
        <f t="shared" si="968"/>
        <v>63.611999999999995</v>
      </c>
      <c r="BA292" s="12">
        <f t="shared" si="968"/>
        <v>64.571999999999989</v>
      </c>
      <c r="BB292" s="12">
        <f t="shared" si="968"/>
        <v>64.571999999999989</v>
      </c>
      <c r="BC292" s="12">
        <f t="shared" si="968"/>
        <v>64.571999999999989</v>
      </c>
      <c r="BD292" s="12">
        <f t="shared" si="968"/>
        <v>64.571999999999989</v>
      </c>
      <c r="BE292" s="5">
        <f t="shared" si="968"/>
        <v>64.571999999999989</v>
      </c>
      <c r="BF292" s="12">
        <f t="shared" si="968"/>
        <v>61.488000000000007</v>
      </c>
      <c r="BG292" s="12">
        <f t="shared" si="968"/>
        <v>61.488000000000007</v>
      </c>
      <c r="BH292" s="12">
        <f t="shared" si="968"/>
        <v>61.488000000000007</v>
      </c>
      <c r="BI292" s="12">
        <f t="shared" si="968"/>
        <v>61.488000000000007</v>
      </c>
      <c r="BJ292" s="5">
        <f t="shared" si="968"/>
        <v>61.488000000000007</v>
      </c>
      <c r="BK292" s="12">
        <f t="shared" si="968"/>
        <v>59.611999999999995</v>
      </c>
      <c r="BL292" s="12">
        <f t="shared" si="968"/>
        <v>59.611999999999995</v>
      </c>
      <c r="BM292" s="12">
        <f t="shared" si="968"/>
        <v>59.611999999999995</v>
      </c>
      <c r="BN292" s="12">
        <f t="shared" si="968"/>
        <v>59.611999999999995</v>
      </c>
      <c r="BO292" s="5">
        <f t="shared" si="968"/>
        <v>59.611999999999995</v>
      </c>
      <c r="BP292" s="12">
        <f t="shared" si="968"/>
        <v>53.980000000000004</v>
      </c>
      <c r="BQ292" s="12">
        <f t="shared" ref="BQ292:CD292" si="969">SUM(BQ184,BQ238)</f>
        <v>53.980000000000004</v>
      </c>
      <c r="BR292" s="12">
        <f t="shared" si="969"/>
        <v>53.980000000000004</v>
      </c>
      <c r="BS292" s="12">
        <f t="shared" si="969"/>
        <v>53.980000000000004</v>
      </c>
      <c r="BT292" s="5">
        <f t="shared" si="969"/>
        <v>53.980000000000004</v>
      </c>
      <c r="BU292" s="12">
        <f t="shared" si="969"/>
        <v>54.410000000000004</v>
      </c>
      <c r="BV292" s="12">
        <f t="shared" si="969"/>
        <v>54.410000000000004</v>
      </c>
      <c r="BW292" s="12">
        <f t="shared" si="969"/>
        <v>54.410000000000004</v>
      </c>
      <c r="BX292" s="12">
        <f t="shared" si="969"/>
        <v>54.410000000000004</v>
      </c>
      <c r="BY292" s="5">
        <f t="shared" si="969"/>
        <v>54.410000000000004</v>
      </c>
      <c r="BZ292" s="12">
        <f t="shared" si="969"/>
        <v>55.105000000000004</v>
      </c>
      <c r="CA292" s="12">
        <f t="shared" si="969"/>
        <v>55.105000000000004</v>
      </c>
      <c r="CB292" s="12">
        <f t="shared" si="969"/>
        <v>55.105000000000004</v>
      </c>
      <c r="CC292" s="12">
        <f t="shared" si="969"/>
        <v>55.105000000000004</v>
      </c>
      <c r="CD292" s="5">
        <f t="shared" si="969"/>
        <v>55.105000000000004</v>
      </c>
    </row>
    <row r="293" spans="1:82">
      <c r="A293" s="39"/>
      <c r="B293" s="11" t="s">
        <v>785</v>
      </c>
      <c r="C293" s="52"/>
      <c r="D293" s="52"/>
      <c r="E293" s="5">
        <f t="shared" ref="E293:AJ293" si="970">SUM(E185,E239)</f>
        <v>0</v>
      </c>
      <c r="F293" s="5">
        <f t="shared" si="970"/>
        <v>1.7999999999999999E-2</v>
      </c>
      <c r="G293" s="5">
        <f t="shared" si="970"/>
        <v>0.40200000000000002</v>
      </c>
      <c r="H293" s="12">
        <f t="shared" si="970"/>
        <v>0.23400000000000001</v>
      </c>
      <c r="I293" s="12">
        <f t="shared" si="970"/>
        <v>0.23400000000000001</v>
      </c>
      <c r="J293" s="12">
        <f t="shared" si="970"/>
        <v>0.23400000000000001</v>
      </c>
      <c r="K293" s="12">
        <f t="shared" si="970"/>
        <v>0.23400000000000001</v>
      </c>
      <c r="L293" s="5">
        <f t="shared" si="970"/>
        <v>0.23400000000000001</v>
      </c>
      <c r="M293" s="12">
        <f t="shared" si="970"/>
        <v>0.33</v>
      </c>
      <c r="N293" s="12">
        <f t="shared" si="970"/>
        <v>0.33</v>
      </c>
      <c r="O293" s="12">
        <f t="shared" si="970"/>
        <v>0.33</v>
      </c>
      <c r="P293" s="12">
        <f t="shared" si="970"/>
        <v>0.33</v>
      </c>
      <c r="Q293" s="5">
        <f t="shared" si="970"/>
        <v>0.33</v>
      </c>
      <c r="R293" s="12">
        <f t="shared" si="970"/>
        <v>0.28199999999999997</v>
      </c>
      <c r="S293" s="12">
        <f t="shared" si="970"/>
        <v>0.28199999999999997</v>
      </c>
      <c r="T293" s="12">
        <f t="shared" si="970"/>
        <v>0.28199999999999997</v>
      </c>
      <c r="U293" s="12">
        <f t="shared" si="970"/>
        <v>0.28199999999999997</v>
      </c>
      <c r="V293" s="5">
        <f t="shared" si="970"/>
        <v>0.28199999999999997</v>
      </c>
      <c r="W293" s="12">
        <f t="shared" si="970"/>
        <v>0.25800000000000001</v>
      </c>
      <c r="X293" s="12">
        <f t="shared" si="970"/>
        <v>0.25800000000000001</v>
      </c>
      <c r="Y293" s="12">
        <f t="shared" si="970"/>
        <v>0.25800000000000001</v>
      </c>
      <c r="Z293" s="12">
        <f t="shared" si="970"/>
        <v>0.25800000000000001</v>
      </c>
      <c r="AA293" s="5">
        <f t="shared" si="970"/>
        <v>0.25800000000000001</v>
      </c>
      <c r="AB293" s="12">
        <f t="shared" si="970"/>
        <v>0.318</v>
      </c>
      <c r="AC293" s="12">
        <f t="shared" si="970"/>
        <v>0.318</v>
      </c>
      <c r="AD293" s="12">
        <f t="shared" si="970"/>
        <v>0.318</v>
      </c>
      <c r="AE293" s="12">
        <f t="shared" si="970"/>
        <v>0.318</v>
      </c>
      <c r="AF293" s="5">
        <f t="shared" si="970"/>
        <v>0.318</v>
      </c>
      <c r="AG293" s="12">
        <f t="shared" si="970"/>
        <v>0.372</v>
      </c>
      <c r="AH293" s="12">
        <f t="shared" si="970"/>
        <v>0.372</v>
      </c>
      <c r="AI293" s="12">
        <f t="shared" si="970"/>
        <v>0.372</v>
      </c>
      <c r="AJ293" s="12">
        <f t="shared" si="970"/>
        <v>0.372</v>
      </c>
      <c r="AK293" s="5">
        <f t="shared" ref="AK293:BP293" si="971">SUM(AK185,AK239)</f>
        <v>0.372</v>
      </c>
      <c r="AL293" s="12">
        <f t="shared" si="971"/>
        <v>0.78600000000000003</v>
      </c>
      <c r="AM293" s="12">
        <f t="shared" si="971"/>
        <v>0.78600000000000003</v>
      </c>
      <c r="AN293" s="12">
        <f t="shared" si="971"/>
        <v>0.78600000000000003</v>
      </c>
      <c r="AO293" s="12">
        <f t="shared" si="971"/>
        <v>0.78600000000000003</v>
      </c>
      <c r="AP293" s="5">
        <f t="shared" si="971"/>
        <v>0.78600000000000003</v>
      </c>
      <c r="AQ293" s="12">
        <f t="shared" si="971"/>
        <v>1.206</v>
      </c>
      <c r="AR293" s="12">
        <f t="shared" si="971"/>
        <v>1.206</v>
      </c>
      <c r="AS293" s="12">
        <f t="shared" si="971"/>
        <v>1.206</v>
      </c>
      <c r="AT293" s="12">
        <f t="shared" si="971"/>
        <v>1.206</v>
      </c>
      <c r="AU293" s="5">
        <f t="shared" si="971"/>
        <v>1.206</v>
      </c>
      <c r="AV293" s="12">
        <f t="shared" si="971"/>
        <v>1.758</v>
      </c>
      <c r="AW293" s="12">
        <f t="shared" si="971"/>
        <v>1.758</v>
      </c>
      <c r="AX293" s="12">
        <f t="shared" si="971"/>
        <v>1.758</v>
      </c>
      <c r="AY293" s="12">
        <f t="shared" si="971"/>
        <v>1.758</v>
      </c>
      <c r="AZ293" s="5">
        <f>SUM(AZ185,AZ239)</f>
        <v>1.758</v>
      </c>
      <c r="BA293" s="12">
        <f t="shared" si="971"/>
        <v>2.0640000000000001</v>
      </c>
      <c r="BB293" s="12">
        <f t="shared" si="971"/>
        <v>2.0640000000000001</v>
      </c>
      <c r="BC293" s="12">
        <f t="shared" si="971"/>
        <v>2.0640000000000001</v>
      </c>
      <c r="BD293" s="12">
        <f t="shared" si="971"/>
        <v>2.0640000000000001</v>
      </c>
      <c r="BE293" s="5">
        <f>SUM(BE185,BE239)</f>
        <v>2.0640000000000001</v>
      </c>
      <c r="BF293" s="12">
        <f t="shared" si="971"/>
        <v>2.0699999999999998</v>
      </c>
      <c r="BG293" s="12">
        <f t="shared" si="971"/>
        <v>2.0699999999999998</v>
      </c>
      <c r="BH293" s="12">
        <f t="shared" si="971"/>
        <v>2.0699999999999998</v>
      </c>
      <c r="BI293" s="12">
        <f t="shared" si="971"/>
        <v>2.0699999999999998</v>
      </c>
      <c r="BJ293" s="5">
        <f t="shared" si="971"/>
        <v>2.0699999999999998</v>
      </c>
      <c r="BK293" s="12">
        <f t="shared" si="971"/>
        <v>1.89</v>
      </c>
      <c r="BL293" s="12">
        <f t="shared" si="971"/>
        <v>1.89</v>
      </c>
      <c r="BM293" s="12">
        <f t="shared" si="971"/>
        <v>1.89</v>
      </c>
      <c r="BN293" s="12">
        <f t="shared" si="971"/>
        <v>1.89</v>
      </c>
      <c r="BO293" s="5">
        <f t="shared" si="971"/>
        <v>1.89</v>
      </c>
      <c r="BP293" s="12">
        <f t="shared" si="971"/>
        <v>1.595</v>
      </c>
      <c r="BQ293" s="12">
        <f t="shared" ref="BQ293:CD293" si="972">SUM(BQ185,BQ239)</f>
        <v>1.595</v>
      </c>
      <c r="BR293" s="12">
        <f t="shared" si="972"/>
        <v>1.595</v>
      </c>
      <c r="BS293" s="12">
        <f t="shared" si="972"/>
        <v>1.595</v>
      </c>
      <c r="BT293" s="5">
        <f t="shared" si="972"/>
        <v>1.595</v>
      </c>
      <c r="BU293" s="12">
        <f t="shared" si="972"/>
        <v>1.75</v>
      </c>
      <c r="BV293" s="12">
        <f t="shared" si="972"/>
        <v>1.75</v>
      </c>
      <c r="BW293" s="12">
        <f t="shared" si="972"/>
        <v>1.75</v>
      </c>
      <c r="BX293" s="12">
        <f t="shared" si="972"/>
        <v>1.75</v>
      </c>
      <c r="BY293" s="5">
        <f t="shared" si="972"/>
        <v>1.75</v>
      </c>
      <c r="BZ293" s="12">
        <f t="shared" si="972"/>
        <v>1.7949999999999999</v>
      </c>
      <c r="CA293" s="12">
        <f t="shared" si="972"/>
        <v>1.7949999999999999</v>
      </c>
      <c r="CB293" s="12">
        <f t="shared" si="972"/>
        <v>1.7949999999999999</v>
      </c>
      <c r="CC293" s="12">
        <f t="shared" si="972"/>
        <v>1.7949999999999999</v>
      </c>
      <c r="CD293" s="5">
        <f t="shared" si="972"/>
        <v>1.7949999999999999</v>
      </c>
    </row>
    <row r="294" spans="1:82">
      <c r="A294" s="39"/>
      <c r="B294" s="11" t="s">
        <v>2428</v>
      </c>
      <c r="C294" s="52"/>
      <c r="D294" s="52"/>
      <c r="E294" s="5">
        <f t="shared" ref="E294:AJ294" si="973">SUM(E186,E240)</f>
        <v>0</v>
      </c>
      <c r="F294" s="5">
        <f t="shared" si="973"/>
        <v>0</v>
      </c>
      <c r="G294" s="5">
        <f t="shared" si="973"/>
        <v>0</v>
      </c>
      <c r="H294" s="12">
        <f t="shared" si="973"/>
        <v>0</v>
      </c>
      <c r="I294" s="12">
        <f t="shared" si="973"/>
        <v>0</v>
      </c>
      <c r="J294" s="12">
        <f t="shared" si="973"/>
        <v>0</v>
      </c>
      <c r="K294" s="12">
        <f t="shared" si="973"/>
        <v>0</v>
      </c>
      <c r="L294" s="5">
        <f t="shared" si="973"/>
        <v>0</v>
      </c>
      <c r="M294" s="12">
        <f t="shared" si="973"/>
        <v>0</v>
      </c>
      <c r="N294" s="12">
        <f t="shared" si="973"/>
        <v>0</v>
      </c>
      <c r="O294" s="12">
        <f t="shared" si="973"/>
        <v>0</v>
      </c>
      <c r="P294" s="12">
        <f t="shared" si="973"/>
        <v>0</v>
      </c>
      <c r="Q294" s="5">
        <f t="shared" si="973"/>
        <v>0</v>
      </c>
      <c r="R294" s="12">
        <f t="shared" si="973"/>
        <v>0</v>
      </c>
      <c r="S294" s="12">
        <f t="shared" si="973"/>
        <v>0</v>
      </c>
      <c r="T294" s="12">
        <f t="shared" si="973"/>
        <v>0</v>
      </c>
      <c r="U294" s="12">
        <f t="shared" si="973"/>
        <v>0</v>
      </c>
      <c r="V294" s="5">
        <f t="shared" si="973"/>
        <v>0</v>
      </c>
      <c r="W294" s="12">
        <f t="shared" si="973"/>
        <v>0</v>
      </c>
      <c r="X294" s="12">
        <f t="shared" si="973"/>
        <v>0</v>
      </c>
      <c r="Y294" s="12">
        <f t="shared" si="973"/>
        <v>0</v>
      </c>
      <c r="Z294" s="12">
        <f t="shared" si="973"/>
        <v>0</v>
      </c>
      <c r="AA294" s="5">
        <f t="shared" si="973"/>
        <v>0</v>
      </c>
      <c r="AB294" s="12">
        <f t="shared" si="973"/>
        <v>0</v>
      </c>
      <c r="AC294" s="12">
        <f t="shared" si="973"/>
        <v>0</v>
      </c>
      <c r="AD294" s="12">
        <f t="shared" si="973"/>
        <v>0</v>
      </c>
      <c r="AE294" s="12">
        <f t="shared" si="973"/>
        <v>0</v>
      </c>
      <c r="AF294" s="5">
        <f t="shared" si="973"/>
        <v>0</v>
      </c>
      <c r="AG294" s="12">
        <f t="shared" si="973"/>
        <v>6.29</v>
      </c>
      <c r="AH294" s="12">
        <f t="shared" si="973"/>
        <v>6.29</v>
      </c>
      <c r="AI294" s="12">
        <f t="shared" si="973"/>
        <v>6.29</v>
      </c>
      <c r="AJ294" s="12">
        <f t="shared" si="973"/>
        <v>6.29</v>
      </c>
      <c r="AK294" s="5">
        <f t="shared" ref="AK294:BP294" si="974">SUM(AK186,AK240)</f>
        <v>6.29</v>
      </c>
      <c r="AL294" s="12">
        <f t="shared" si="974"/>
        <v>7.23</v>
      </c>
      <c r="AM294" s="12">
        <f t="shared" si="974"/>
        <v>7.23</v>
      </c>
      <c r="AN294" s="12">
        <f t="shared" si="974"/>
        <v>7.23</v>
      </c>
      <c r="AO294" s="12">
        <f t="shared" si="974"/>
        <v>7.23</v>
      </c>
      <c r="AP294" s="5">
        <f t="shared" si="974"/>
        <v>7.23</v>
      </c>
      <c r="AQ294" s="12">
        <f t="shared" si="974"/>
        <v>0</v>
      </c>
      <c r="AR294" s="12">
        <f t="shared" si="974"/>
        <v>0</v>
      </c>
      <c r="AS294" s="12">
        <f t="shared" si="974"/>
        <v>0</v>
      </c>
      <c r="AT294" s="12">
        <f t="shared" si="974"/>
        <v>0</v>
      </c>
      <c r="AU294" s="5">
        <f t="shared" si="974"/>
        <v>0</v>
      </c>
      <c r="AV294" s="12">
        <f t="shared" si="974"/>
        <v>0</v>
      </c>
      <c r="AW294" s="12">
        <f t="shared" si="974"/>
        <v>0</v>
      </c>
      <c r="AX294" s="12">
        <f t="shared" si="974"/>
        <v>0</v>
      </c>
      <c r="AY294" s="12">
        <f t="shared" si="974"/>
        <v>0</v>
      </c>
      <c r="AZ294" s="5">
        <f>SUM(AZ186,AZ240)</f>
        <v>0</v>
      </c>
      <c r="BA294" s="12">
        <f t="shared" si="974"/>
        <v>0</v>
      </c>
      <c r="BB294" s="12">
        <f t="shared" si="974"/>
        <v>0</v>
      </c>
      <c r="BC294" s="12">
        <f t="shared" si="974"/>
        <v>0</v>
      </c>
      <c r="BD294" s="12">
        <f t="shared" si="974"/>
        <v>0</v>
      </c>
      <c r="BE294" s="5">
        <f>SUM(BE186,BE240)</f>
        <v>0</v>
      </c>
      <c r="BF294" s="12">
        <f t="shared" si="974"/>
        <v>0</v>
      </c>
      <c r="BG294" s="12">
        <f t="shared" si="974"/>
        <v>0</v>
      </c>
      <c r="BH294" s="12">
        <f t="shared" si="974"/>
        <v>0</v>
      </c>
      <c r="BI294" s="12">
        <f t="shared" si="974"/>
        <v>0</v>
      </c>
      <c r="BJ294" s="5">
        <f t="shared" si="974"/>
        <v>0</v>
      </c>
      <c r="BK294" s="12">
        <f t="shared" si="974"/>
        <v>0</v>
      </c>
      <c r="BL294" s="12">
        <f t="shared" si="974"/>
        <v>0</v>
      </c>
      <c r="BM294" s="12">
        <f t="shared" si="974"/>
        <v>0</v>
      </c>
      <c r="BN294" s="12">
        <f t="shared" si="974"/>
        <v>0</v>
      </c>
      <c r="BO294" s="5">
        <f t="shared" si="974"/>
        <v>0</v>
      </c>
      <c r="BP294" s="12">
        <f t="shared" si="974"/>
        <v>0</v>
      </c>
      <c r="BQ294" s="12">
        <f t="shared" ref="BQ294:CD294" si="975">SUM(BQ186,BQ240)</f>
        <v>0</v>
      </c>
      <c r="BR294" s="12">
        <f t="shared" si="975"/>
        <v>0</v>
      </c>
      <c r="BS294" s="12">
        <f t="shared" si="975"/>
        <v>0</v>
      </c>
      <c r="BT294" s="5">
        <f t="shared" si="975"/>
        <v>0</v>
      </c>
      <c r="BU294" s="12">
        <f t="shared" si="975"/>
        <v>0</v>
      </c>
      <c r="BV294" s="12">
        <f t="shared" si="975"/>
        <v>0</v>
      </c>
      <c r="BW294" s="12">
        <f t="shared" si="975"/>
        <v>0</v>
      </c>
      <c r="BX294" s="12">
        <f t="shared" si="975"/>
        <v>0</v>
      </c>
      <c r="BY294" s="5">
        <f t="shared" si="975"/>
        <v>0</v>
      </c>
      <c r="BZ294" s="12">
        <f t="shared" si="975"/>
        <v>0</v>
      </c>
      <c r="CA294" s="12">
        <f t="shared" si="975"/>
        <v>0</v>
      </c>
      <c r="CB294" s="12">
        <f t="shared" si="975"/>
        <v>0</v>
      </c>
      <c r="CC294" s="12">
        <f t="shared" si="975"/>
        <v>0</v>
      </c>
      <c r="CD294" s="5">
        <f t="shared" si="975"/>
        <v>0</v>
      </c>
    </row>
    <row r="295" spans="1:82">
      <c r="A295" s="11"/>
      <c r="B295" s="11" t="s">
        <v>2247</v>
      </c>
      <c r="C295" s="52"/>
      <c r="D295" s="52"/>
      <c r="E295" s="5">
        <f t="shared" ref="E295:AJ295" si="976">SUM(E187,E241)</f>
        <v>68.540000000000006</v>
      </c>
      <c r="F295" s="5">
        <f t="shared" si="976"/>
        <v>58.339999999999996</v>
      </c>
      <c r="G295" s="5">
        <f t="shared" si="976"/>
        <v>47.160000000000011</v>
      </c>
      <c r="H295" s="12">
        <f t="shared" si="976"/>
        <v>39.049999999999997</v>
      </c>
      <c r="I295" s="12">
        <f t="shared" si="976"/>
        <v>39.049999999999997</v>
      </c>
      <c r="J295" s="12">
        <f t="shared" si="976"/>
        <v>39.049999999999997</v>
      </c>
      <c r="K295" s="12">
        <f t="shared" si="976"/>
        <v>39.049999999999997</v>
      </c>
      <c r="L295" s="5">
        <f t="shared" si="976"/>
        <v>39.049999999999997</v>
      </c>
      <c r="M295" s="12">
        <f t="shared" si="976"/>
        <v>32.03</v>
      </c>
      <c r="N295" s="12">
        <f t="shared" si="976"/>
        <v>32.03</v>
      </c>
      <c r="O295" s="12">
        <f t="shared" si="976"/>
        <v>32.03</v>
      </c>
      <c r="P295" s="12">
        <f t="shared" si="976"/>
        <v>32.03</v>
      </c>
      <c r="Q295" s="5">
        <f t="shared" si="976"/>
        <v>32.03</v>
      </c>
      <c r="R295" s="12">
        <f t="shared" si="976"/>
        <v>30.410000000000004</v>
      </c>
      <c r="S295" s="12">
        <f t="shared" si="976"/>
        <v>30.410000000000004</v>
      </c>
      <c r="T295" s="12">
        <f t="shared" si="976"/>
        <v>30.410000000000004</v>
      </c>
      <c r="U295" s="12">
        <f t="shared" si="976"/>
        <v>30.410000000000004</v>
      </c>
      <c r="V295" s="5">
        <f t="shared" si="976"/>
        <v>30.410000000000004</v>
      </c>
      <c r="W295" s="12">
        <f t="shared" si="976"/>
        <v>28.43</v>
      </c>
      <c r="X295" s="12">
        <f t="shared" si="976"/>
        <v>28.43</v>
      </c>
      <c r="Y295" s="12">
        <f t="shared" si="976"/>
        <v>28.43</v>
      </c>
      <c r="Z295" s="12">
        <f t="shared" si="976"/>
        <v>28.43</v>
      </c>
      <c r="AA295" s="5">
        <f t="shared" si="976"/>
        <v>28.43</v>
      </c>
      <c r="AB295" s="12">
        <f t="shared" si="976"/>
        <v>26.22</v>
      </c>
      <c r="AC295" s="12">
        <f t="shared" si="976"/>
        <v>26.22</v>
      </c>
      <c r="AD295" s="12">
        <f t="shared" si="976"/>
        <v>26.22</v>
      </c>
      <c r="AE295" s="12">
        <f t="shared" si="976"/>
        <v>26.22</v>
      </c>
      <c r="AF295" s="5">
        <f t="shared" si="976"/>
        <v>26.22</v>
      </c>
      <c r="AG295" s="12">
        <f t="shared" si="976"/>
        <v>0</v>
      </c>
      <c r="AH295" s="12">
        <f t="shared" si="976"/>
        <v>0</v>
      </c>
      <c r="AI295" s="12">
        <f t="shared" si="976"/>
        <v>0</v>
      </c>
      <c r="AJ295" s="12">
        <f t="shared" si="976"/>
        <v>0</v>
      </c>
      <c r="AK295" s="5">
        <f t="shared" ref="AK295:BP295" si="977">SUM(AK187,AK241)</f>
        <v>0</v>
      </c>
      <c r="AL295" s="12">
        <f t="shared" si="977"/>
        <v>0</v>
      </c>
      <c r="AM295" s="12">
        <f t="shared" si="977"/>
        <v>0</v>
      </c>
      <c r="AN295" s="12">
        <f t="shared" si="977"/>
        <v>0</v>
      </c>
      <c r="AO295" s="12">
        <f t="shared" si="977"/>
        <v>0</v>
      </c>
      <c r="AP295" s="5">
        <f t="shared" si="977"/>
        <v>0</v>
      </c>
      <c r="AQ295" s="12">
        <f t="shared" si="977"/>
        <v>0</v>
      </c>
      <c r="AR295" s="12">
        <f t="shared" si="977"/>
        <v>0</v>
      </c>
      <c r="AS295" s="12">
        <f t="shared" si="977"/>
        <v>0</v>
      </c>
      <c r="AT295" s="12">
        <f t="shared" si="977"/>
        <v>0</v>
      </c>
      <c r="AU295" s="5">
        <f t="shared" si="977"/>
        <v>0</v>
      </c>
      <c r="AV295" s="12">
        <f t="shared" si="977"/>
        <v>0</v>
      </c>
      <c r="AW295" s="12">
        <f t="shared" si="977"/>
        <v>0</v>
      </c>
      <c r="AX295" s="12">
        <f t="shared" si="977"/>
        <v>0</v>
      </c>
      <c r="AY295" s="12">
        <f t="shared" si="977"/>
        <v>0</v>
      </c>
      <c r="AZ295" s="5">
        <f>SUM(AZ187,AZ241)</f>
        <v>0</v>
      </c>
      <c r="BA295" s="12">
        <f t="shared" si="977"/>
        <v>0</v>
      </c>
      <c r="BB295" s="12">
        <f t="shared" si="977"/>
        <v>0</v>
      </c>
      <c r="BC295" s="12">
        <f t="shared" si="977"/>
        <v>0</v>
      </c>
      <c r="BD295" s="12">
        <f t="shared" si="977"/>
        <v>0</v>
      </c>
      <c r="BE295" s="5">
        <f>SUM(BE187,BE241)</f>
        <v>0</v>
      </c>
      <c r="BF295" s="12">
        <f t="shared" si="977"/>
        <v>0</v>
      </c>
      <c r="BG295" s="12">
        <f t="shared" si="977"/>
        <v>0</v>
      </c>
      <c r="BH295" s="12">
        <f t="shared" si="977"/>
        <v>0</v>
      </c>
      <c r="BI295" s="12">
        <f t="shared" si="977"/>
        <v>0</v>
      </c>
      <c r="BJ295" s="5">
        <f t="shared" si="977"/>
        <v>0</v>
      </c>
      <c r="BK295" s="12">
        <f t="shared" si="977"/>
        <v>0</v>
      </c>
      <c r="BL295" s="12">
        <f t="shared" si="977"/>
        <v>0</v>
      </c>
      <c r="BM295" s="12">
        <f t="shared" si="977"/>
        <v>0</v>
      </c>
      <c r="BN295" s="12">
        <f t="shared" si="977"/>
        <v>0</v>
      </c>
      <c r="BO295" s="5">
        <f t="shared" si="977"/>
        <v>0</v>
      </c>
      <c r="BP295" s="12">
        <f t="shared" si="977"/>
        <v>0</v>
      </c>
      <c r="BQ295" s="12">
        <f t="shared" ref="BQ295:CD295" si="978">SUM(BQ187,BQ241)</f>
        <v>0</v>
      </c>
      <c r="BR295" s="12">
        <f t="shared" si="978"/>
        <v>0</v>
      </c>
      <c r="BS295" s="12">
        <f t="shared" si="978"/>
        <v>0</v>
      </c>
      <c r="BT295" s="5">
        <f t="shared" si="978"/>
        <v>0</v>
      </c>
      <c r="BU295" s="12">
        <f t="shared" si="978"/>
        <v>0</v>
      </c>
      <c r="BV295" s="12">
        <f t="shared" si="978"/>
        <v>0</v>
      </c>
      <c r="BW295" s="12">
        <f t="shared" si="978"/>
        <v>0</v>
      </c>
      <c r="BX295" s="12">
        <f t="shared" si="978"/>
        <v>0</v>
      </c>
      <c r="BY295" s="5">
        <f t="shared" si="978"/>
        <v>0</v>
      </c>
      <c r="BZ295" s="12">
        <f t="shared" si="978"/>
        <v>0</v>
      </c>
      <c r="CA295" s="12">
        <f t="shared" si="978"/>
        <v>0</v>
      </c>
      <c r="CB295" s="12">
        <f t="shared" si="978"/>
        <v>0</v>
      </c>
      <c r="CC295" s="12">
        <f t="shared" si="978"/>
        <v>0</v>
      </c>
      <c r="CD295" s="5">
        <f t="shared" si="978"/>
        <v>0</v>
      </c>
    </row>
    <row r="296" spans="1:82">
      <c r="A296" s="11"/>
      <c r="B296" s="11" t="s">
        <v>1280</v>
      </c>
      <c r="C296" s="52"/>
      <c r="D296" s="52"/>
      <c r="E296" s="5">
        <f t="shared" ref="E296:AJ296" si="979">SUM(E188,E242)</f>
        <v>74.19</v>
      </c>
      <c r="F296" s="5">
        <f t="shared" si="979"/>
        <v>60.19</v>
      </c>
      <c r="G296" s="5">
        <f t="shared" si="979"/>
        <v>37.97</v>
      </c>
      <c r="H296" s="12">
        <f t="shared" si="979"/>
        <v>26.38</v>
      </c>
      <c r="I296" s="12">
        <f t="shared" si="979"/>
        <v>26.38</v>
      </c>
      <c r="J296" s="12">
        <f t="shared" si="979"/>
        <v>26.38</v>
      </c>
      <c r="K296" s="12">
        <f t="shared" si="979"/>
        <v>26.38</v>
      </c>
      <c r="L296" s="5">
        <f t="shared" si="979"/>
        <v>26.38</v>
      </c>
      <c r="M296" s="12">
        <f t="shared" si="979"/>
        <v>20.32</v>
      </c>
      <c r="N296" s="12">
        <f t="shared" si="979"/>
        <v>20.32</v>
      </c>
      <c r="O296" s="12">
        <f t="shared" si="979"/>
        <v>20.32</v>
      </c>
      <c r="P296" s="12">
        <f t="shared" si="979"/>
        <v>20.32</v>
      </c>
      <c r="Q296" s="5">
        <f t="shared" si="979"/>
        <v>20.32</v>
      </c>
      <c r="R296" s="12">
        <f t="shared" si="979"/>
        <v>22.66</v>
      </c>
      <c r="S296" s="12">
        <f t="shared" si="979"/>
        <v>22.66</v>
      </c>
      <c r="T296" s="12">
        <f t="shared" si="979"/>
        <v>22.66</v>
      </c>
      <c r="U296" s="12">
        <f t="shared" si="979"/>
        <v>22.66</v>
      </c>
      <c r="V296" s="5">
        <f t="shared" si="979"/>
        <v>22.66</v>
      </c>
      <c r="W296" s="12">
        <f t="shared" si="979"/>
        <v>26.19</v>
      </c>
      <c r="X296" s="12">
        <f t="shared" si="979"/>
        <v>26.19</v>
      </c>
      <c r="Y296" s="12">
        <f t="shared" si="979"/>
        <v>26.19</v>
      </c>
      <c r="Z296" s="12">
        <f t="shared" si="979"/>
        <v>26.19</v>
      </c>
      <c r="AA296" s="5">
        <f t="shared" si="979"/>
        <v>26.19</v>
      </c>
      <c r="AB296" s="12">
        <f t="shared" si="979"/>
        <v>25.73</v>
      </c>
      <c r="AC296" s="12">
        <f t="shared" si="979"/>
        <v>25.73</v>
      </c>
      <c r="AD296" s="12">
        <f t="shared" si="979"/>
        <v>25.73</v>
      </c>
      <c r="AE296" s="12">
        <f t="shared" si="979"/>
        <v>25.73</v>
      </c>
      <c r="AF296" s="5">
        <f t="shared" si="979"/>
        <v>25.73</v>
      </c>
      <c r="AG296" s="12">
        <f t="shared" si="979"/>
        <v>20.97</v>
      </c>
      <c r="AH296" s="12">
        <f t="shared" si="979"/>
        <v>20.97</v>
      </c>
      <c r="AI296" s="12">
        <f t="shared" si="979"/>
        <v>20.97</v>
      </c>
      <c r="AJ296" s="12">
        <f t="shared" si="979"/>
        <v>20.97</v>
      </c>
      <c r="AK296" s="5">
        <f t="shared" ref="AK296:BP296" si="980">SUM(AK188,AK242)</f>
        <v>20.97</v>
      </c>
      <c r="AL296" s="12">
        <f t="shared" si="980"/>
        <v>14.97</v>
      </c>
      <c r="AM296" s="12">
        <f t="shared" si="980"/>
        <v>14.97</v>
      </c>
      <c r="AN296" s="12">
        <f t="shared" si="980"/>
        <v>14.97</v>
      </c>
      <c r="AO296" s="12">
        <f t="shared" si="980"/>
        <v>14.97</v>
      </c>
      <c r="AP296" s="5">
        <f t="shared" si="980"/>
        <v>14.97</v>
      </c>
      <c r="AQ296" s="12">
        <f t="shared" si="980"/>
        <v>16.18</v>
      </c>
      <c r="AR296" s="12">
        <f t="shared" si="980"/>
        <v>16.18</v>
      </c>
      <c r="AS296" s="12">
        <f t="shared" si="980"/>
        <v>16.18</v>
      </c>
      <c r="AT296" s="12">
        <f t="shared" si="980"/>
        <v>16.18</v>
      </c>
      <c r="AU296" s="5">
        <f t="shared" si="980"/>
        <v>16.18</v>
      </c>
      <c r="AV296" s="12">
        <f t="shared" si="980"/>
        <v>17.239999999999998</v>
      </c>
      <c r="AW296" s="12">
        <f t="shared" si="980"/>
        <v>17.239999999999998</v>
      </c>
      <c r="AX296" s="12">
        <f t="shared" si="980"/>
        <v>17.239999999999998</v>
      </c>
      <c r="AY296" s="12">
        <f t="shared" si="980"/>
        <v>17.239999999999998</v>
      </c>
      <c r="AZ296" s="5">
        <f>SUM(AZ188,AZ242)</f>
        <v>17.239999999999998</v>
      </c>
      <c r="BA296" s="12">
        <f t="shared" si="980"/>
        <v>15.58</v>
      </c>
      <c r="BB296" s="12">
        <f t="shared" si="980"/>
        <v>15.58</v>
      </c>
      <c r="BC296" s="12">
        <f t="shared" si="980"/>
        <v>15.58</v>
      </c>
      <c r="BD296" s="12">
        <f t="shared" si="980"/>
        <v>15.58</v>
      </c>
      <c r="BE296" s="5">
        <f>SUM(BE188,BE242)</f>
        <v>15.58</v>
      </c>
      <c r="BF296" s="12">
        <f t="shared" si="980"/>
        <v>13.51</v>
      </c>
      <c r="BG296" s="12">
        <f t="shared" si="980"/>
        <v>13.51</v>
      </c>
      <c r="BH296" s="12">
        <f t="shared" si="980"/>
        <v>13.51</v>
      </c>
      <c r="BI296" s="12">
        <f t="shared" si="980"/>
        <v>13.51</v>
      </c>
      <c r="BJ296" s="5">
        <f t="shared" si="980"/>
        <v>13.51</v>
      </c>
      <c r="BK296" s="12">
        <f t="shared" si="980"/>
        <v>15.25</v>
      </c>
      <c r="BL296" s="12">
        <f t="shared" si="980"/>
        <v>15.25</v>
      </c>
      <c r="BM296" s="12">
        <f t="shared" si="980"/>
        <v>15.25</v>
      </c>
      <c r="BN296" s="12">
        <f t="shared" si="980"/>
        <v>15.25</v>
      </c>
      <c r="BO296" s="5">
        <f t="shared" si="980"/>
        <v>15.25</v>
      </c>
      <c r="BP296" s="12">
        <f t="shared" si="980"/>
        <v>14.22</v>
      </c>
      <c r="BQ296" s="12">
        <f t="shared" ref="BQ296:CD296" si="981">SUM(BQ188,BQ242)</f>
        <v>14.22</v>
      </c>
      <c r="BR296" s="12">
        <f t="shared" si="981"/>
        <v>14.22</v>
      </c>
      <c r="BS296" s="12">
        <f t="shared" si="981"/>
        <v>14.22</v>
      </c>
      <c r="BT296" s="5">
        <f t="shared" si="981"/>
        <v>14.22</v>
      </c>
      <c r="BU296" s="12">
        <f t="shared" si="981"/>
        <v>14.13</v>
      </c>
      <c r="BV296" s="12">
        <f t="shared" si="981"/>
        <v>14.13</v>
      </c>
      <c r="BW296" s="12">
        <f t="shared" si="981"/>
        <v>14.13</v>
      </c>
      <c r="BX296" s="12">
        <f t="shared" si="981"/>
        <v>14.13</v>
      </c>
      <c r="BY296" s="5">
        <f t="shared" si="981"/>
        <v>14.13</v>
      </c>
      <c r="BZ296" s="12">
        <f t="shared" si="981"/>
        <v>13.01</v>
      </c>
      <c r="CA296" s="12">
        <f t="shared" si="981"/>
        <v>13.01</v>
      </c>
      <c r="CB296" s="12">
        <f t="shared" si="981"/>
        <v>13.01</v>
      </c>
      <c r="CC296" s="12">
        <f t="shared" si="981"/>
        <v>13.01</v>
      </c>
      <c r="CD296" s="5">
        <f t="shared" si="981"/>
        <v>13.01</v>
      </c>
    </row>
    <row r="297" spans="1:82">
      <c r="A297" s="11"/>
      <c r="B297" s="11" t="s">
        <v>1036</v>
      </c>
      <c r="C297" s="52"/>
      <c r="D297" s="52"/>
      <c r="E297" s="5">
        <f t="shared" ref="E297:AJ297" si="982">SUM(E189,E243)</f>
        <v>24.87</v>
      </c>
      <c r="F297" s="5">
        <f t="shared" si="982"/>
        <v>24.7</v>
      </c>
      <c r="G297" s="5">
        <f t="shared" si="982"/>
        <v>23.24</v>
      </c>
      <c r="H297" s="12">
        <f t="shared" si="982"/>
        <v>21.81</v>
      </c>
      <c r="I297" s="12">
        <f t="shared" si="982"/>
        <v>21.81</v>
      </c>
      <c r="J297" s="12">
        <f t="shared" si="982"/>
        <v>21.81</v>
      </c>
      <c r="K297" s="12">
        <f t="shared" si="982"/>
        <v>21.81</v>
      </c>
      <c r="L297" s="5">
        <f t="shared" si="982"/>
        <v>21.81</v>
      </c>
      <c r="M297" s="12">
        <f t="shared" si="982"/>
        <v>8.34</v>
      </c>
      <c r="N297" s="12">
        <f t="shared" si="982"/>
        <v>8.34</v>
      </c>
      <c r="O297" s="12">
        <f t="shared" si="982"/>
        <v>8.34</v>
      </c>
      <c r="P297" s="12">
        <f t="shared" si="982"/>
        <v>8.34</v>
      </c>
      <c r="Q297" s="5">
        <f t="shared" si="982"/>
        <v>8.34</v>
      </c>
      <c r="R297" s="12">
        <f t="shared" si="982"/>
        <v>19.770000000000003</v>
      </c>
      <c r="S297" s="12">
        <f t="shared" si="982"/>
        <v>19.770000000000003</v>
      </c>
      <c r="T297" s="12">
        <f t="shared" si="982"/>
        <v>19.770000000000003</v>
      </c>
      <c r="U297" s="12">
        <f t="shared" si="982"/>
        <v>19.770000000000003</v>
      </c>
      <c r="V297" s="5">
        <f t="shared" si="982"/>
        <v>19.770000000000003</v>
      </c>
      <c r="W297" s="12">
        <f t="shared" si="982"/>
        <v>9.4700000000000006</v>
      </c>
      <c r="X297" s="12">
        <f t="shared" si="982"/>
        <v>9.4700000000000006</v>
      </c>
      <c r="Y297" s="12">
        <f t="shared" si="982"/>
        <v>9.4700000000000006</v>
      </c>
      <c r="Z297" s="12">
        <f t="shared" si="982"/>
        <v>9.4700000000000006</v>
      </c>
      <c r="AA297" s="5">
        <f t="shared" si="982"/>
        <v>9.4700000000000006</v>
      </c>
      <c r="AB297" s="12">
        <f t="shared" si="982"/>
        <v>11.870000000000001</v>
      </c>
      <c r="AC297" s="12">
        <f t="shared" si="982"/>
        <v>11.870000000000001</v>
      </c>
      <c r="AD297" s="12">
        <f t="shared" si="982"/>
        <v>11.870000000000001</v>
      </c>
      <c r="AE297" s="12">
        <f t="shared" si="982"/>
        <v>11.870000000000001</v>
      </c>
      <c r="AF297" s="5">
        <f t="shared" si="982"/>
        <v>11.870000000000001</v>
      </c>
      <c r="AG297" s="12">
        <f t="shared" si="982"/>
        <v>6.88</v>
      </c>
      <c r="AH297" s="12">
        <f t="shared" si="982"/>
        <v>6.88</v>
      </c>
      <c r="AI297" s="12">
        <f t="shared" si="982"/>
        <v>6.88</v>
      </c>
      <c r="AJ297" s="12">
        <f t="shared" si="982"/>
        <v>6.88</v>
      </c>
      <c r="AK297" s="5">
        <f t="shared" ref="AK297:BP297" si="983">SUM(AK189,AK243)</f>
        <v>6.88</v>
      </c>
      <c r="AL297" s="12">
        <f t="shared" si="983"/>
        <v>0</v>
      </c>
      <c r="AM297" s="12">
        <f t="shared" si="983"/>
        <v>0</v>
      </c>
      <c r="AN297" s="12">
        <f t="shared" si="983"/>
        <v>0</v>
      </c>
      <c r="AO297" s="12">
        <f t="shared" si="983"/>
        <v>0</v>
      </c>
      <c r="AP297" s="5">
        <f t="shared" si="983"/>
        <v>0</v>
      </c>
      <c r="AQ297" s="12">
        <f t="shared" si="983"/>
        <v>0</v>
      </c>
      <c r="AR297" s="12">
        <f t="shared" si="983"/>
        <v>0</v>
      </c>
      <c r="AS297" s="12">
        <f t="shared" si="983"/>
        <v>0</v>
      </c>
      <c r="AT297" s="12">
        <f t="shared" si="983"/>
        <v>0</v>
      </c>
      <c r="AU297" s="5">
        <f t="shared" si="983"/>
        <v>0</v>
      </c>
      <c r="AV297" s="12">
        <f t="shared" si="983"/>
        <v>0</v>
      </c>
      <c r="AW297" s="12">
        <f t="shared" si="983"/>
        <v>0</v>
      </c>
      <c r="AX297" s="12">
        <f t="shared" si="983"/>
        <v>0</v>
      </c>
      <c r="AY297" s="12">
        <f t="shared" si="983"/>
        <v>0</v>
      </c>
      <c r="AZ297" s="5">
        <f>SUM(AZ189,AZ243)</f>
        <v>0</v>
      </c>
      <c r="BA297" s="12">
        <f t="shared" si="983"/>
        <v>0</v>
      </c>
      <c r="BB297" s="12">
        <f t="shared" si="983"/>
        <v>0</v>
      </c>
      <c r="BC297" s="12">
        <f t="shared" si="983"/>
        <v>0</v>
      </c>
      <c r="BD297" s="12">
        <f t="shared" si="983"/>
        <v>0</v>
      </c>
      <c r="BE297" s="5">
        <f>SUM(BE189,BE243)</f>
        <v>0</v>
      </c>
      <c r="BF297" s="12">
        <f t="shared" si="983"/>
        <v>0</v>
      </c>
      <c r="BG297" s="12">
        <f t="shared" si="983"/>
        <v>0</v>
      </c>
      <c r="BH297" s="12">
        <f t="shared" si="983"/>
        <v>0</v>
      </c>
      <c r="BI297" s="12">
        <f t="shared" si="983"/>
        <v>0</v>
      </c>
      <c r="BJ297" s="5">
        <f t="shared" si="983"/>
        <v>0</v>
      </c>
      <c r="BK297" s="12">
        <f t="shared" si="983"/>
        <v>0</v>
      </c>
      <c r="BL297" s="12">
        <f t="shared" si="983"/>
        <v>0</v>
      </c>
      <c r="BM297" s="12">
        <f t="shared" si="983"/>
        <v>0</v>
      </c>
      <c r="BN297" s="12">
        <f t="shared" si="983"/>
        <v>0</v>
      </c>
      <c r="BO297" s="5">
        <f t="shared" si="983"/>
        <v>0</v>
      </c>
      <c r="BP297" s="12">
        <f t="shared" si="983"/>
        <v>0</v>
      </c>
      <c r="BQ297" s="12">
        <f t="shared" ref="BQ297:CD297" si="984">SUM(BQ189,BQ243)</f>
        <v>0</v>
      </c>
      <c r="BR297" s="12">
        <f t="shared" si="984"/>
        <v>0</v>
      </c>
      <c r="BS297" s="12">
        <f t="shared" si="984"/>
        <v>0</v>
      </c>
      <c r="BT297" s="5">
        <f t="shared" si="984"/>
        <v>0</v>
      </c>
      <c r="BU297" s="12">
        <f t="shared" si="984"/>
        <v>0</v>
      </c>
      <c r="BV297" s="12">
        <f t="shared" si="984"/>
        <v>0</v>
      </c>
      <c r="BW297" s="12">
        <f t="shared" si="984"/>
        <v>0</v>
      </c>
      <c r="BX297" s="12">
        <f t="shared" si="984"/>
        <v>0</v>
      </c>
      <c r="BY297" s="5">
        <f t="shared" si="984"/>
        <v>0</v>
      </c>
      <c r="BZ297" s="12">
        <f t="shared" si="984"/>
        <v>0</v>
      </c>
      <c r="CA297" s="12">
        <f t="shared" si="984"/>
        <v>0</v>
      </c>
      <c r="CB297" s="12">
        <f t="shared" si="984"/>
        <v>0</v>
      </c>
      <c r="CC297" s="12">
        <f t="shared" si="984"/>
        <v>0</v>
      </c>
      <c r="CD297" s="5">
        <f t="shared" si="984"/>
        <v>0</v>
      </c>
    </row>
    <row r="298" spans="1:82">
      <c r="A298" s="39" t="s">
        <v>119</v>
      </c>
      <c r="B298" s="39"/>
      <c r="C298" s="52"/>
      <c r="D298" s="52"/>
      <c r="E298" s="8">
        <f t="shared" ref="E298:AJ298" si="985">SUM(E292:E297)</f>
        <v>226.892</v>
      </c>
      <c r="F298" s="8">
        <f t="shared" si="985"/>
        <v>206.45799999999997</v>
      </c>
      <c r="G298" s="8">
        <f t="shared" si="985"/>
        <v>174.11200000000002</v>
      </c>
      <c r="H298" s="66">
        <f t="shared" si="985"/>
        <v>154.91400000000002</v>
      </c>
      <c r="I298" s="66">
        <f t="shared" si="985"/>
        <v>154.91400000000002</v>
      </c>
      <c r="J298" s="66">
        <f t="shared" si="985"/>
        <v>154.91400000000002</v>
      </c>
      <c r="K298" s="66">
        <f t="shared" si="985"/>
        <v>154.91400000000002</v>
      </c>
      <c r="L298" s="8">
        <f t="shared" si="985"/>
        <v>154.91400000000002</v>
      </c>
      <c r="M298" s="66">
        <f t="shared" si="985"/>
        <v>127.77000000000001</v>
      </c>
      <c r="N298" s="66">
        <f t="shared" si="985"/>
        <v>127.77000000000001</v>
      </c>
      <c r="O298" s="66">
        <f t="shared" si="985"/>
        <v>127.77000000000001</v>
      </c>
      <c r="P298" s="66">
        <f t="shared" si="985"/>
        <v>127.77000000000001</v>
      </c>
      <c r="Q298" s="8">
        <f t="shared" si="985"/>
        <v>127.77000000000001</v>
      </c>
      <c r="R298" s="66">
        <f t="shared" si="985"/>
        <v>139.23600000000002</v>
      </c>
      <c r="S298" s="66">
        <f t="shared" si="985"/>
        <v>139.23600000000002</v>
      </c>
      <c r="T298" s="66">
        <f t="shared" si="985"/>
        <v>139.23600000000002</v>
      </c>
      <c r="U298" s="66">
        <f t="shared" si="985"/>
        <v>139.23600000000002</v>
      </c>
      <c r="V298" s="8">
        <f t="shared" si="985"/>
        <v>139.23600000000002</v>
      </c>
      <c r="W298" s="66">
        <f t="shared" si="985"/>
        <v>135.41199999999998</v>
      </c>
      <c r="X298" s="66">
        <f t="shared" si="985"/>
        <v>135.41199999999998</v>
      </c>
      <c r="Y298" s="66">
        <f t="shared" si="985"/>
        <v>135.41199999999998</v>
      </c>
      <c r="Z298" s="66">
        <f t="shared" si="985"/>
        <v>135.41199999999998</v>
      </c>
      <c r="AA298" s="8">
        <f t="shared" si="985"/>
        <v>135.41199999999998</v>
      </c>
      <c r="AB298" s="66">
        <f t="shared" si="985"/>
        <v>135.07000000000002</v>
      </c>
      <c r="AC298" s="66">
        <f t="shared" si="985"/>
        <v>135.07000000000002</v>
      </c>
      <c r="AD298" s="66">
        <f t="shared" si="985"/>
        <v>135.07000000000002</v>
      </c>
      <c r="AE298" s="66">
        <f t="shared" si="985"/>
        <v>135.07000000000002</v>
      </c>
      <c r="AF298" s="8">
        <f t="shared" si="985"/>
        <v>135.07000000000002</v>
      </c>
      <c r="AG298" s="66">
        <f t="shared" si="985"/>
        <v>105.21000000000001</v>
      </c>
      <c r="AH298" s="66">
        <f t="shared" si="985"/>
        <v>105.21000000000001</v>
      </c>
      <c r="AI298" s="337">
        <f t="shared" si="985"/>
        <v>105.21000000000001</v>
      </c>
      <c r="AJ298" s="337">
        <f t="shared" si="985"/>
        <v>105.21000000000001</v>
      </c>
      <c r="AK298" s="8">
        <f t="shared" ref="AK298:BP298" si="986">SUM(AK292:AK297)</f>
        <v>105.21000000000001</v>
      </c>
      <c r="AL298" s="66">
        <f t="shared" si="986"/>
        <v>87.25200000000001</v>
      </c>
      <c r="AM298" s="66">
        <f t="shared" si="986"/>
        <v>87.25200000000001</v>
      </c>
      <c r="AN298" s="66">
        <f t="shared" si="986"/>
        <v>87.25200000000001</v>
      </c>
      <c r="AO298" s="66">
        <f t="shared" si="986"/>
        <v>87.25200000000001</v>
      </c>
      <c r="AP298" s="8">
        <f t="shared" si="986"/>
        <v>87.25200000000001</v>
      </c>
      <c r="AQ298" s="66">
        <f t="shared" si="986"/>
        <v>79.455999999999989</v>
      </c>
      <c r="AR298" s="66">
        <f t="shared" si="986"/>
        <v>79.455999999999989</v>
      </c>
      <c r="AS298" s="66">
        <f t="shared" si="986"/>
        <v>79.455999999999989</v>
      </c>
      <c r="AT298" s="66">
        <f t="shared" si="986"/>
        <v>79.455999999999989</v>
      </c>
      <c r="AU298" s="8">
        <f t="shared" si="986"/>
        <v>79.455999999999989</v>
      </c>
      <c r="AV298" s="66">
        <f t="shared" si="986"/>
        <v>82.609999999999985</v>
      </c>
      <c r="AW298" s="66">
        <f t="shared" si="986"/>
        <v>82.609999999999985</v>
      </c>
      <c r="AX298" s="66">
        <f t="shared" si="986"/>
        <v>82.609999999999985</v>
      </c>
      <c r="AY298" s="66">
        <f t="shared" si="986"/>
        <v>82.609999999999985</v>
      </c>
      <c r="AZ298" s="8">
        <f>SUM(AZ292:AZ297)</f>
        <v>82.609999999999985</v>
      </c>
      <c r="BA298" s="66">
        <f t="shared" si="986"/>
        <v>82.215999999999994</v>
      </c>
      <c r="BB298" s="66">
        <f t="shared" si="986"/>
        <v>82.215999999999994</v>
      </c>
      <c r="BC298" s="66">
        <f t="shared" si="986"/>
        <v>82.215999999999994</v>
      </c>
      <c r="BD298" s="66">
        <f t="shared" si="986"/>
        <v>82.215999999999994</v>
      </c>
      <c r="BE298" s="8">
        <f t="shared" si="986"/>
        <v>82.215999999999994</v>
      </c>
      <c r="BF298" s="66">
        <f t="shared" si="986"/>
        <v>77.068000000000012</v>
      </c>
      <c r="BG298" s="66">
        <f t="shared" si="986"/>
        <v>77.068000000000012</v>
      </c>
      <c r="BH298" s="66">
        <f t="shared" si="986"/>
        <v>77.068000000000012</v>
      </c>
      <c r="BI298" s="66">
        <f t="shared" si="986"/>
        <v>77.068000000000012</v>
      </c>
      <c r="BJ298" s="8">
        <f t="shared" si="986"/>
        <v>77.068000000000012</v>
      </c>
      <c r="BK298" s="66">
        <f t="shared" si="986"/>
        <v>76.751999999999995</v>
      </c>
      <c r="BL298" s="66">
        <f t="shared" si="986"/>
        <v>76.751999999999995</v>
      </c>
      <c r="BM298" s="66">
        <f t="shared" si="986"/>
        <v>76.751999999999995</v>
      </c>
      <c r="BN298" s="66">
        <f t="shared" si="986"/>
        <v>76.751999999999995</v>
      </c>
      <c r="BO298" s="8">
        <f t="shared" si="986"/>
        <v>76.751999999999995</v>
      </c>
      <c r="BP298" s="66">
        <f t="shared" si="986"/>
        <v>69.795000000000002</v>
      </c>
      <c r="BQ298" s="66">
        <f t="shared" ref="BQ298:CD298" si="987">SUM(BQ292:BQ297)</f>
        <v>69.795000000000002</v>
      </c>
      <c r="BR298" s="66">
        <f t="shared" si="987"/>
        <v>69.795000000000002</v>
      </c>
      <c r="BS298" s="66">
        <f t="shared" si="987"/>
        <v>69.795000000000002</v>
      </c>
      <c r="BT298" s="8">
        <f t="shared" si="987"/>
        <v>69.795000000000002</v>
      </c>
      <c r="BU298" s="66">
        <f t="shared" si="987"/>
        <v>70.290000000000006</v>
      </c>
      <c r="BV298" s="66">
        <f t="shared" si="987"/>
        <v>70.290000000000006</v>
      </c>
      <c r="BW298" s="66">
        <f t="shared" si="987"/>
        <v>70.290000000000006</v>
      </c>
      <c r="BX298" s="66">
        <f t="shared" si="987"/>
        <v>70.290000000000006</v>
      </c>
      <c r="BY298" s="8">
        <f t="shared" si="987"/>
        <v>70.290000000000006</v>
      </c>
      <c r="BZ298" s="66">
        <f t="shared" si="987"/>
        <v>69.910000000000011</v>
      </c>
      <c r="CA298" s="66">
        <f t="shared" si="987"/>
        <v>69.910000000000011</v>
      </c>
      <c r="CB298" s="66">
        <f t="shared" si="987"/>
        <v>69.910000000000011</v>
      </c>
      <c r="CC298" s="66">
        <f t="shared" si="987"/>
        <v>69.910000000000011</v>
      </c>
      <c r="CD298" s="8">
        <f t="shared" si="987"/>
        <v>69.910000000000011</v>
      </c>
    </row>
    <row r="299" spans="1:82">
      <c r="A299" s="11"/>
      <c r="B299" s="11"/>
      <c r="C299" s="51"/>
      <c r="D299" s="51"/>
      <c r="E299" s="5"/>
      <c r="F299" s="5"/>
      <c r="G299" s="5"/>
      <c r="H299" s="12"/>
      <c r="I299" s="12"/>
      <c r="J299" s="12"/>
      <c r="K299" s="12"/>
      <c r="L299" s="5"/>
      <c r="M299" s="12"/>
      <c r="N299" s="12"/>
      <c r="O299" s="12"/>
      <c r="P299" s="12"/>
      <c r="Q299" s="5"/>
      <c r="R299" s="12"/>
      <c r="S299" s="12"/>
      <c r="T299" s="12"/>
      <c r="U299" s="12"/>
      <c r="V299" s="5"/>
      <c r="W299" s="12"/>
      <c r="X299" s="12"/>
      <c r="Y299" s="12"/>
      <c r="Z299" s="12"/>
      <c r="AA299" s="5"/>
      <c r="AB299" s="12"/>
      <c r="AC299" s="12"/>
      <c r="AD299" s="12"/>
      <c r="AE299" s="12"/>
      <c r="AF299" s="5"/>
      <c r="AG299" s="12"/>
      <c r="AH299" s="12"/>
      <c r="AI299" s="12"/>
      <c r="AJ299" s="12"/>
      <c r="AK299" s="5"/>
      <c r="AL299" s="49"/>
      <c r="AM299" s="49"/>
      <c r="AN299" s="49"/>
      <c r="AO299" s="49"/>
      <c r="AP299" s="49"/>
      <c r="AQ299" s="49"/>
      <c r="AR299" s="49"/>
      <c r="AS299" s="49"/>
      <c r="AT299" s="49"/>
      <c r="AU299" s="49"/>
      <c r="AV299" s="49"/>
      <c r="AW299" s="49"/>
      <c r="AX299" s="49"/>
      <c r="AY299" s="49"/>
      <c r="AZ299" s="49"/>
      <c r="BA299" s="49"/>
      <c r="BB299" s="49"/>
      <c r="BC299" s="49"/>
      <c r="BD299" s="49"/>
      <c r="BE299" s="49"/>
      <c r="BF299" s="49"/>
      <c r="BG299" s="49"/>
      <c r="BH299" s="49"/>
      <c r="BI299" s="49"/>
      <c r="BJ299" s="49"/>
      <c r="BK299" s="49"/>
      <c r="BL299" s="49"/>
      <c r="BM299" s="49"/>
      <c r="BN299" s="49"/>
      <c r="BO299" s="49"/>
      <c r="BP299" s="49"/>
      <c r="BQ299" s="49"/>
      <c r="BR299" s="49"/>
      <c r="BS299" s="49"/>
      <c r="BT299" s="49"/>
      <c r="BU299" s="49"/>
      <c r="BV299" s="49"/>
      <c r="BW299" s="49"/>
      <c r="BX299" s="49"/>
      <c r="BY299" s="49"/>
      <c r="BZ299" s="49"/>
      <c r="CA299" s="49"/>
      <c r="CB299" s="49"/>
      <c r="CC299" s="49"/>
      <c r="CD299" s="49"/>
    </row>
    <row r="300" spans="1:82">
      <c r="A300" s="39" t="s">
        <v>120</v>
      </c>
      <c r="B300" s="11"/>
      <c r="C300" s="51"/>
      <c r="D300" s="51"/>
      <c r="E300" s="5"/>
      <c r="F300" s="5"/>
      <c r="G300" s="5"/>
      <c r="H300" s="12"/>
      <c r="I300" s="12"/>
      <c r="J300" s="12"/>
      <c r="K300" s="12"/>
      <c r="L300" s="5"/>
      <c r="M300" s="12"/>
      <c r="N300" s="12"/>
      <c r="O300" s="12"/>
      <c r="P300" s="12"/>
      <c r="Q300" s="5"/>
      <c r="R300" s="12"/>
      <c r="S300" s="12"/>
      <c r="T300" s="12"/>
      <c r="U300" s="12"/>
      <c r="V300" s="5"/>
      <c r="W300" s="12"/>
      <c r="X300" s="12"/>
      <c r="Y300" s="12"/>
      <c r="Z300" s="12"/>
      <c r="AA300" s="5"/>
      <c r="AB300" s="12"/>
      <c r="AC300" s="12"/>
      <c r="AD300" s="12"/>
      <c r="AE300" s="12"/>
      <c r="AF300" s="5"/>
      <c r="AG300" s="12"/>
      <c r="AH300" s="12"/>
      <c r="AI300" s="12"/>
      <c r="AJ300" s="12"/>
      <c r="AK300" s="5"/>
      <c r="AL300" s="12"/>
      <c r="AM300" s="12"/>
      <c r="AN300" s="12"/>
      <c r="AO300" s="12"/>
      <c r="AP300" s="5"/>
      <c r="AQ300" s="12"/>
      <c r="AR300" s="12"/>
      <c r="AS300" s="12"/>
      <c r="AT300" s="12"/>
      <c r="AU300" s="5"/>
      <c r="AV300" s="12"/>
      <c r="AW300" s="12"/>
      <c r="AX300" s="12"/>
      <c r="AY300" s="12"/>
      <c r="AZ300" s="5"/>
      <c r="BA300" s="12"/>
      <c r="BB300" s="12"/>
      <c r="BC300" s="12"/>
      <c r="BD300" s="12"/>
      <c r="BE300" s="5"/>
      <c r="BF300" s="12"/>
      <c r="BG300" s="12"/>
      <c r="BH300" s="12"/>
      <c r="BI300" s="12"/>
      <c r="BJ300" s="5"/>
      <c r="BK300" s="12"/>
      <c r="BL300" s="12"/>
      <c r="BM300" s="12"/>
      <c r="BN300" s="12"/>
      <c r="BO300" s="5"/>
      <c r="BP300" s="12"/>
      <c r="BQ300" s="12"/>
      <c r="BR300" s="12"/>
      <c r="BS300" s="12"/>
      <c r="BT300" s="5"/>
      <c r="BU300" s="12"/>
      <c r="BV300" s="12"/>
      <c r="BW300" s="12"/>
      <c r="BX300" s="12"/>
      <c r="BY300" s="5"/>
      <c r="BZ300" s="12"/>
      <c r="CA300" s="12"/>
      <c r="CB300" s="12"/>
      <c r="CC300" s="12"/>
      <c r="CD300" s="5"/>
    </row>
    <row r="301" spans="1:82">
      <c r="A301" s="11"/>
      <c r="B301" s="11" t="s">
        <v>1473</v>
      </c>
      <c r="C301" s="52"/>
      <c r="D301" s="52"/>
      <c r="E301" s="5">
        <f t="shared" ref="E301:AJ301" si="988">SUM(E193,E247)</f>
        <v>0</v>
      </c>
      <c r="F301" s="5">
        <f t="shared" si="988"/>
        <v>0</v>
      </c>
      <c r="G301" s="5">
        <f t="shared" si="988"/>
        <v>0</v>
      </c>
      <c r="H301" s="12">
        <f t="shared" si="988"/>
        <v>12.56</v>
      </c>
      <c r="I301" s="12">
        <f t="shared" si="988"/>
        <v>12.56</v>
      </c>
      <c r="J301" s="12">
        <f t="shared" si="988"/>
        <v>12.56</v>
      </c>
      <c r="K301" s="12">
        <f t="shared" si="988"/>
        <v>12.56</v>
      </c>
      <c r="L301" s="5">
        <f t="shared" si="988"/>
        <v>12.56</v>
      </c>
      <c r="M301" s="12">
        <f t="shared" si="988"/>
        <v>16.559999999999999</v>
      </c>
      <c r="N301" s="12">
        <f t="shared" si="988"/>
        <v>16.559999999999999</v>
      </c>
      <c r="O301" s="12">
        <f t="shared" si="988"/>
        <v>16.559999999999999</v>
      </c>
      <c r="P301" s="12">
        <f t="shared" si="988"/>
        <v>16.559999999999999</v>
      </c>
      <c r="Q301" s="5">
        <f t="shared" si="988"/>
        <v>16.559999999999999</v>
      </c>
      <c r="R301" s="12">
        <f t="shared" si="988"/>
        <v>13.83</v>
      </c>
      <c r="S301" s="12">
        <f t="shared" si="988"/>
        <v>13.83</v>
      </c>
      <c r="T301" s="12">
        <f t="shared" si="988"/>
        <v>13.83</v>
      </c>
      <c r="U301" s="12">
        <f t="shared" si="988"/>
        <v>13.83</v>
      </c>
      <c r="V301" s="5">
        <f t="shared" si="988"/>
        <v>13.83</v>
      </c>
      <c r="W301" s="12">
        <f t="shared" si="988"/>
        <v>18.64</v>
      </c>
      <c r="X301" s="12">
        <f t="shared" si="988"/>
        <v>18.64</v>
      </c>
      <c r="Y301" s="12">
        <f t="shared" si="988"/>
        <v>18.64</v>
      </c>
      <c r="Z301" s="12">
        <f t="shared" si="988"/>
        <v>18.64</v>
      </c>
      <c r="AA301" s="5">
        <f t="shared" si="988"/>
        <v>18.64</v>
      </c>
      <c r="AB301" s="12">
        <f t="shared" si="988"/>
        <v>12.43</v>
      </c>
      <c r="AC301" s="12">
        <f t="shared" si="988"/>
        <v>12.43</v>
      </c>
      <c r="AD301" s="12">
        <f t="shared" si="988"/>
        <v>12.43</v>
      </c>
      <c r="AE301" s="12">
        <f t="shared" si="988"/>
        <v>12.43</v>
      </c>
      <c r="AF301" s="5">
        <f t="shared" si="988"/>
        <v>12.43</v>
      </c>
      <c r="AG301" s="12">
        <f t="shared" si="988"/>
        <v>10.07</v>
      </c>
      <c r="AH301" s="12">
        <f t="shared" si="988"/>
        <v>10.07</v>
      </c>
      <c r="AI301" s="12">
        <f t="shared" si="988"/>
        <v>10.07</v>
      </c>
      <c r="AJ301" s="12">
        <f t="shared" si="988"/>
        <v>10.07</v>
      </c>
      <c r="AK301" s="5">
        <f t="shared" ref="AK301:BP301" si="989">SUM(AK193,AK247)</f>
        <v>10.07</v>
      </c>
      <c r="AL301" s="12">
        <f t="shared" si="989"/>
        <v>9.61</v>
      </c>
      <c r="AM301" s="12">
        <f t="shared" si="989"/>
        <v>9.61</v>
      </c>
      <c r="AN301" s="12">
        <f t="shared" si="989"/>
        <v>9.61</v>
      </c>
      <c r="AO301" s="12">
        <f t="shared" si="989"/>
        <v>9.61</v>
      </c>
      <c r="AP301" s="5">
        <f t="shared" si="989"/>
        <v>9.61</v>
      </c>
      <c r="AQ301" s="12">
        <f t="shared" si="989"/>
        <v>6.42</v>
      </c>
      <c r="AR301" s="12">
        <f t="shared" si="989"/>
        <v>6.42</v>
      </c>
      <c r="AS301" s="12">
        <f t="shared" si="989"/>
        <v>6.42</v>
      </c>
      <c r="AT301" s="12">
        <f t="shared" si="989"/>
        <v>6.42</v>
      </c>
      <c r="AU301" s="5">
        <f t="shared" si="989"/>
        <v>6.42</v>
      </c>
      <c r="AV301" s="12">
        <f t="shared" si="989"/>
        <v>8.99</v>
      </c>
      <c r="AW301" s="12">
        <f t="shared" si="989"/>
        <v>8.99</v>
      </c>
      <c r="AX301" s="12">
        <f t="shared" si="989"/>
        <v>8.99</v>
      </c>
      <c r="AY301" s="12">
        <f t="shared" si="989"/>
        <v>8.99</v>
      </c>
      <c r="AZ301" s="5">
        <f t="shared" si="989"/>
        <v>8.99</v>
      </c>
      <c r="BA301" s="12">
        <f t="shared" si="989"/>
        <v>13.33</v>
      </c>
      <c r="BB301" s="12">
        <f t="shared" si="989"/>
        <v>13.33</v>
      </c>
      <c r="BC301" s="12">
        <f t="shared" si="989"/>
        <v>13.33</v>
      </c>
      <c r="BD301" s="12">
        <f t="shared" si="989"/>
        <v>13.33</v>
      </c>
      <c r="BE301" s="5">
        <f t="shared" si="989"/>
        <v>13.33</v>
      </c>
      <c r="BF301" s="12">
        <f t="shared" si="989"/>
        <v>12.77</v>
      </c>
      <c r="BG301" s="12">
        <f t="shared" si="989"/>
        <v>12.77</v>
      </c>
      <c r="BH301" s="12">
        <f t="shared" si="989"/>
        <v>12.77</v>
      </c>
      <c r="BI301" s="12">
        <f t="shared" si="989"/>
        <v>12.77</v>
      </c>
      <c r="BJ301" s="5">
        <f t="shared" si="989"/>
        <v>12.77</v>
      </c>
      <c r="BK301" s="12">
        <f t="shared" si="989"/>
        <v>18.14</v>
      </c>
      <c r="BL301" s="12">
        <f t="shared" si="989"/>
        <v>18.14</v>
      </c>
      <c r="BM301" s="12">
        <f t="shared" si="989"/>
        <v>18.14</v>
      </c>
      <c r="BN301" s="12">
        <f t="shared" si="989"/>
        <v>18.14</v>
      </c>
      <c r="BO301" s="5">
        <f t="shared" si="989"/>
        <v>18.14</v>
      </c>
      <c r="BP301" s="12">
        <f t="shared" si="989"/>
        <v>18.18</v>
      </c>
      <c r="BQ301" s="12">
        <f t="shared" ref="BQ301:CD301" si="990">SUM(BQ193,BQ247)</f>
        <v>18.18</v>
      </c>
      <c r="BR301" s="12">
        <f t="shared" si="990"/>
        <v>18.18</v>
      </c>
      <c r="BS301" s="12">
        <f t="shared" si="990"/>
        <v>18.18</v>
      </c>
      <c r="BT301" s="5">
        <f t="shared" si="990"/>
        <v>18.18</v>
      </c>
      <c r="BU301" s="12">
        <f t="shared" si="990"/>
        <v>18.239999999999998</v>
      </c>
      <c r="BV301" s="12">
        <f t="shared" si="990"/>
        <v>18.239999999999998</v>
      </c>
      <c r="BW301" s="12">
        <f t="shared" si="990"/>
        <v>18.239999999999998</v>
      </c>
      <c r="BX301" s="12">
        <f t="shared" si="990"/>
        <v>18.239999999999998</v>
      </c>
      <c r="BY301" s="5">
        <f t="shared" si="990"/>
        <v>18.239999999999998</v>
      </c>
      <c r="BZ301" s="12">
        <f t="shared" si="990"/>
        <v>17.940000000000001</v>
      </c>
      <c r="CA301" s="12">
        <f t="shared" si="990"/>
        <v>17.940000000000001</v>
      </c>
      <c r="CB301" s="12">
        <f t="shared" si="990"/>
        <v>17.940000000000001</v>
      </c>
      <c r="CC301" s="12">
        <f t="shared" si="990"/>
        <v>17.940000000000001</v>
      </c>
      <c r="CD301" s="5">
        <f t="shared" si="990"/>
        <v>17.940000000000001</v>
      </c>
    </row>
    <row r="302" spans="1:82">
      <c r="A302" s="11"/>
      <c r="B302" s="11" t="s">
        <v>1934</v>
      </c>
      <c r="C302" s="52"/>
      <c r="D302" s="52"/>
      <c r="E302" s="5">
        <f t="shared" ref="E302:AJ302" si="991">SUM(E194,E248)</f>
        <v>31.29</v>
      </c>
      <c r="F302" s="5">
        <f t="shared" si="991"/>
        <v>50.449999999999996</v>
      </c>
      <c r="G302" s="5">
        <f t="shared" si="991"/>
        <v>115.1</v>
      </c>
      <c r="H302" s="12">
        <f t="shared" si="991"/>
        <v>124.82999999999998</v>
      </c>
      <c r="I302" s="12">
        <f t="shared" si="991"/>
        <v>124.82999999999998</v>
      </c>
      <c r="J302" s="12">
        <f t="shared" si="991"/>
        <v>124.82999999999998</v>
      </c>
      <c r="K302" s="12">
        <f t="shared" si="991"/>
        <v>124.82999999999998</v>
      </c>
      <c r="L302" s="5">
        <f t="shared" si="991"/>
        <v>124.82999999999998</v>
      </c>
      <c r="M302" s="12">
        <f t="shared" si="991"/>
        <v>163.27999999999997</v>
      </c>
      <c r="N302" s="12">
        <f t="shared" si="991"/>
        <v>163.27999999999997</v>
      </c>
      <c r="O302" s="12">
        <f t="shared" si="991"/>
        <v>163.27999999999997</v>
      </c>
      <c r="P302" s="12">
        <f t="shared" si="991"/>
        <v>163.27999999999997</v>
      </c>
      <c r="Q302" s="5">
        <f t="shared" si="991"/>
        <v>163.27999999999997</v>
      </c>
      <c r="R302" s="12">
        <f t="shared" si="991"/>
        <v>200.28</v>
      </c>
      <c r="S302" s="12">
        <f t="shared" si="991"/>
        <v>200.28</v>
      </c>
      <c r="T302" s="12">
        <f t="shared" si="991"/>
        <v>200.28</v>
      </c>
      <c r="U302" s="12">
        <f t="shared" si="991"/>
        <v>200.28</v>
      </c>
      <c r="V302" s="5">
        <f t="shared" si="991"/>
        <v>200.28</v>
      </c>
      <c r="W302" s="12">
        <f t="shared" si="991"/>
        <v>211.08999999999997</v>
      </c>
      <c r="X302" s="12">
        <f t="shared" si="991"/>
        <v>211.08999999999997</v>
      </c>
      <c r="Y302" s="12">
        <f t="shared" si="991"/>
        <v>211.08999999999997</v>
      </c>
      <c r="Z302" s="12">
        <f t="shared" si="991"/>
        <v>211.08999999999997</v>
      </c>
      <c r="AA302" s="5">
        <f t="shared" si="991"/>
        <v>211.08999999999997</v>
      </c>
      <c r="AB302" s="12">
        <f t="shared" si="991"/>
        <v>164.73</v>
      </c>
      <c r="AC302" s="12">
        <f t="shared" si="991"/>
        <v>164.73</v>
      </c>
      <c r="AD302" s="12">
        <f t="shared" si="991"/>
        <v>164.73</v>
      </c>
      <c r="AE302" s="12">
        <f t="shared" si="991"/>
        <v>164.73</v>
      </c>
      <c r="AF302" s="5">
        <f t="shared" si="991"/>
        <v>164.73</v>
      </c>
      <c r="AG302" s="12">
        <f t="shared" si="991"/>
        <v>123.45</v>
      </c>
      <c r="AH302" s="12">
        <f t="shared" si="991"/>
        <v>123.45</v>
      </c>
      <c r="AI302" s="12">
        <f t="shared" si="991"/>
        <v>123.45</v>
      </c>
      <c r="AJ302" s="12">
        <f t="shared" si="991"/>
        <v>123.45</v>
      </c>
      <c r="AK302" s="5">
        <f t="shared" ref="AK302:BP302" si="992">SUM(AK194,AK248)</f>
        <v>123.45</v>
      </c>
      <c r="AL302" s="12">
        <f t="shared" si="992"/>
        <v>155</v>
      </c>
      <c r="AM302" s="12">
        <f t="shared" si="992"/>
        <v>155</v>
      </c>
      <c r="AN302" s="12">
        <f t="shared" si="992"/>
        <v>155</v>
      </c>
      <c r="AO302" s="12">
        <f t="shared" si="992"/>
        <v>155</v>
      </c>
      <c r="AP302" s="5">
        <f t="shared" si="992"/>
        <v>155</v>
      </c>
      <c r="AQ302" s="12">
        <f t="shared" si="992"/>
        <v>190.09</v>
      </c>
      <c r="AR302" s="12">
        <f t="shared" si="992"/>
        <v>190.09</v>
      </c>
      <c r="AS302" s="12">
        <f t="shared" si="992"/>
        <v>190.09</v>
      </c>
      <c r="AT302" s="12">
        <f t="shared" si="992"/>
        <v>190.09</v>
      </c>
      <c r="AU302" s="5">
        <f t="shared" si="992"/>
        <v>190.09</v>
      </c>
      <c r="AV302" s="12">
        <f t="shared" si="992"/>
        <v>194.70999999999995</v>
      </c>
      <c r="AW302" s="12">
        <f t="shared" si="992"/>
        <v>194.70999999999995</v>
      </c>
      <c r="AX302" s="12">
        <f t="shared" si="992"/>
        <v>194.70999999999995</v>
      </c>
      <c r="AY302" s="12">
        <f t="shared" si="992"/>
        <v>194.70999999999995</v>
      </c>
      <c r="AZ302" s="5">
        <f>SUM(AZ194,AZ248)</f>
        <v>194.70999999999995</v>
      </c>
      <c r="BA302" s="12">
        <f t="shared" si="992"/>
        <v>219.66999999999996</v>
      </c>
      <c r="BB302" s="12">
        <f t="shared" si="992"/>
        <v>219.66999999999996</v>
      </c>
      <c r="BC302" s="12">
        <f t="shared" si="992"/>
        <v>219.66999999999996</v>
      </c>
      <c r="BD302" s="12">
        <f t="shared" si="992"/>
        <v>219.66999999999996</v>
      </c>
      <c r="BE302" s="5">
        <f>SUM(BE194,BE248)</f>
        <v>219.66999999999996</v>
      </c>
      <c r="BF302" s="12">
        <f t="shared" si="992"/>
        <v>210.61999999999998</v>
      </c>
      <c r="BG302" s="12">
        <f t="shared" si="992"/>
        <v>210.61999999999998</v>
      </c>
      <c r="BH302" s="12">
        <f t="shared" si="992"/>
        <v>210.61999999999998</v>
      </c>
      <c r="BI302" s="12">
        <f t="shared" si="992"/>
        <v>210.61999999999998</v>
      </c>
      <c r="BJ302" s="5">
        <f t="shared" si="992"/>
        <v>210.61999999999998</v>
      </c>
      <c r="BK302" s="12">
        <f t="shared" si="992"/>
        <v>187.63</v>
      </c>
      <c r="BL302" s="12">
        <f t="shared" si="992"/>
        <v>187.63</v>
      </c>
      <c r="BM302" s="12">
        <f t="shared" si="992"/>
        <v>187.63</v>
      </c>
      <c r="BN302" s="12">
        <f t="shared" si="992"/>
        <v>187.63</v>
      </c>
      <c r="BO302" s="5">
        <f t="shared" si="992"/>
        <v>187.63</v>
      </c>
      <c r="BP302" s="12">
        <f t="shared" si="992"/>
        <v>170.45</v>
      </c>
      <c r="BQ302" s="12">
        <f t="shared" ref="BQ302:CD302" si="993">SUM(BQ194,BQ248)</f>
        <v>170.45</v>
      </c>
      <c r="BR302" s="12">
        <f t="shared" si="993"/>
        <v>170.45</v>
      </c>
      <c r="BS302" s="12">
        <f t="shared" si="993"/>
        <v>170.45</v>
      </c>
      <c r="BT302" s="5">
        <f t="shared" si="993"/>
        <v>170.45</v>
      </c>
      <c r="BU302" s="12">
        <f t="shared" si="993"/>
        <v>148.31000000000006</v>
      </c>
      <c r="BV302" s="12">
        <f t="shared" si="993"/>
        <v>148.31000000000006</v>
      </c>
      <c r="BW302" s="12">
        <f t="shared" si="993"/>
        <v>148.31000000000006</v>
      </c>
      <c r="BX302" s="12">
        <f t="shared" si="993"/>
        <v>148.31000000000006</v>
      </c>
      <c r="BY302" s="5">
        <f t="shared" si="993"/>
        <v>148.31000000000006</v>
      </c>
      <c r="BZ302" s="12">
        <f t="shared" si="993"/>
        <v>133.56</v>
      </c>
      <c r="CA302" s="12">
        <f t="shared" si="993"/>
        <v>133.56</v>
      </c>
      <c r="CB302" s="12">
        <f t="shared" si="993"/>
        <v>133.56</v>
      </c>
      <c r="CC302" s="12">
        <f t="shared" si="993"/>
        <v>133.56</v>
      </c>
      <c r="CD302" s="5">
        <f t="shared" si="993"/>
        <v>133.56</v>
      </c>
    </row>
    <row r="303" spans="1:82">
      <c r="A303" s="11"/>
      <c r="B303" s="11" t="s">
        <v>2251</v>
      </c>
      <c r="C303" s="52"/>
      <c r="D303" s="52"/>
      <c r="E303" s="5">
        <f t="shared" ref="E303:AJ303" si="994">SUM(E195,E249)</f>
        <v>83.089999999999989</v>
      </c>
      <c r="F303" s="5">
        <f t="shared" si="994"/>
        <v>71.97</v>
      </c>
      <c r="G303" s="5">
        <f t="shared" si="994"/>
        <v>67.739999999999995</v>
      </c>
      <c r="H303" s="12">
        <f t="shared" si="994"/>
        <v>46.17</v>
      </c>
      <c r="I303" s="12">
        <f t="shared" si="994"/>
        <v>46.17</v>
      </c>
      <c r="J303" s="12">
        <f t="shared" si="994"/>
        <v>46.17</v>
      </c>
      <c r="K303" s="12">
        <f t="shared" si="994"/>
        <v>46.17</v>
      </c>
      <c r="L303" s="5">
        <f t="shared" si="994"/>
        <v>46.17</v>
      </c>
      <c r="M303" s="12">
        <f t="shared" si="994"/>
        <v>52.019999999999996</v>
      </c>
      <c r="N303" s="12">
        <f t="shared" si="994"/>
        <v>52.019999999999996</v>
      </c>
      <c r="O303" s="12">
        <f t="shared" si="994"/>
        <v>52.019999999999996</v>
      </c>
      <c r="P303" s="12">
        <f t="shared" si="994"/>
        <v>52.019999999999996</v>
      </c>
      <c r="Q303" s="5">
        <f t="shared" si="994"/>
        <v>52.019999999999996</v>
      </c>
      <c r="R303" s="12">
        <f t="shared" si="994"/>
        <v>41.37</v>
      </c>
      <c r="S303" s="12">
        <f t="shared" si="994"/>
        <v>41.37</v>
      </c>
      <c r="T303" s="12">
        <f t="shared" si="994"/>
        <v>41.37</v>
      </c>
      <c r="U303" s="12">
        <f t="shared" si="994"/>
        <v>41.37</v>
      </c>
      <c r="V303" s="5">
        <f t="shared" si="994"/>
        <v>41.37</v>
      </c>
      <c r="W303" s="12">
        <f t="shared" si="994"/>
        <v>48.51</v>
      </c>
      <c r="X303" s="12">
        <f t="shared" si="994"/>
        <v>48.51</v>
      </c>
      <c r="Y303" s="12">
        <f t="shared" si="994"/>
        <v>48.51</v>
      </c>
      <c r="Z303" s="12">
        <f t="shared" si="994"/>
        <v>48.51</v>
      </c>
      <c r="AA303" s="5">
        <f t="shared" si="994"/>
        <v>48.51</v>
      </c>
      <c r="AB303" s="12">
        <f t="shared" si="994"/>
        <v>41.820000000000007</v>
      </c>
      <c r="AC303" s="12">
        <f t="shared" si="994"/>
        <v>41.820000000000007</v>
      </c>
      <c r="AD303" s="12">
        <f t="shared" si="994"/>
        <v>41.820000000000007</v>
      </c>
      <c r="AE303" s="12">
        <f t="shared" si="994"/>
        <v>41.820000000000007</v>
      </c>
      <c r="AF303" s="5">
        <f t="shared" si="994"/>
        <v>41.820000000000007</v>
      </c>
      <c r="AG303" s="12">
        <f t="shared" si="994"/>
        <v>33.690000000000005</v>
      </c>
      <c r="AH303" s="12">
        <f t="shared" si="994"/>
        <v>33.690000000000005</v>
      </c>
      <c r="AI303" s="12">
        <f t="shared" si="994"/>
        <v>33.690000000000005</v>
      </c>
      <c r="AJ303" s="12">
        <f t="shared" si="994"/>
        <v>33.690000000000005</v>
      </c>
      <c r="AK303" s="5">
        <f t="shared" ref="AK303:BP303" si="995">SUM(AK195,AK249)</f>
        <v>33.690000000000005</v>
      </c>
      <c r="AL303" s="12">
        <f t="shared" si="995"/>
        <v>31.419999999999995</v>
      </c>
      <c r="AM303" s="12">
        <f t="shared" si="995"/>
        <v>31.419999999999995</v>
      </c>
      <c r="AN303" s="12">
        <f t="shared" si="995"/>
        <v>31.419999999999995</v>
      </c>
      <c r="AO303" s="12">
        <f t="shared" si="995"/>
        <v>31.419999999999995</v>
      </c>
      <c r="AP303" s="5">
        <f t="shared" si="995"/>
        <v>31.419999999999995</v>
      </c>
      <c r="AQ303" s="12">
        <f t="shared" si="995"/>
        <v>28.880000000000003</v>
      </c>
      <c r="AR303" s="12">
        <f t="shared" si="995"/>
        <v>28.880000000000003</v>
      </c>
      <c r="AS303" s="12">
        <f t="shared" si="995"/>
        <v>28.880000000000003</v>
      </c>
      <c r="AT303" s="12">
        <f t="shared" si="995"/>
        <v>28.880000000000003</v>
      </c>
      <c r="AU303" s="5">
        <f t="shared" si="995"/>
        <v>28.880000000000003</v>
      </c>
      <c r="AV303" s="12">
        <f t="shared" si="995"/>
        <v>37.169999999999995</v>
      </c>
      <c r="AW303" s="12">
        <f t="shared" si="995"/>
        <v>37.169999999999995</v>
      </c>
      <c r="AX303" s="12">
        <f t="shared" si="995"/>
        <v>37.169999999999995</v>
      </c>
      <c r="AY303" s="12">
        <f t="shared" si="995"/>
        <v>37.169999999999995</v>
      </c>
      <c r="AZ303" s="5">
        <f>SUM(AZ195,AZ249)</f>
        <v>37.169999999999995</v>
      </c>
      <c r="BA303" s="12">
        <f t="shared" si="995"/>
        <v>44.87</v>
      </c>
      <c r="BB303" s="12">
        <f t="shared" si="995"/>
        <v>44.87</v>
      </c>
      <c r="BC303" s="12">
        <f t="shared" si="995"/>
        <v>44.87</v>
      </c>
      <c r="BD303" s="12">
        <f t="shared" si="995"/>
        <v>44.87</v>
      </c>
      <c r="BE303" s="5">
        <f>SUM(BE195,BE249)</f>
        <v>44.87</v>
      </c>
      <c r="BF303" s="12">
        <f t="shared" si="995"/>
        <v>46.7</v>
      </c>
      <c r="BG303" s="12">
        <f t="shared" si="995"/>
        <v>46.7</v>
      </c>
      <c r="BH303" s="12">
        <f t="shared" si="995"/>
        <v>46.7</v>
      </c>
      <c r="BI303" s="12">
        <f t="shared" si="995"/>
        <v>46.7</v>
      </c>
      <c r="BJ303" s="5">
        <f t="shared" si="995"/>
        <v>46.7</v>
      </c>
      <c r="BK303" s="12">
        <f t="shared" si="995"/>
        <v>44.47</v>
      </c>
      <c r="BL303" s="12">
        <f t="shared" si="995"/>
        <v>44.47</v>
      </c>
      <c r="BM303" s="12">
        <f t="shared" si="995"/>
        <v>44.47</v>
      </c>
      <c r="BN303" s="12">
        <f t="shared" si="995"/>
        <v>44.47</v>
      </c>
      <c r="BO303" s="5">
        <f t="shared" si="995"/>
        <v>44.47</v>
      </c>
      <c r="BP303" s="12">
        <f t="shared" si="995"/>
        <v>44.06</v>
      </c>
      <c r="BQ303" s="12">
        <f t="shared" ref="BQ303:CD303" si="996">SUM(BQ195,BQ249)</f>
        <v>44.06</v>
      </c>
      <c r="BR303" s="12">
        <f t="shared" si="996"/>
        <v>44.06</v>
      </c>
      <c r="BS303" s="12">
        <f t="shared" si="996"/>
        <v>44.06</v>
      </c>
      <c r="BT303" s="5">
        <f t="shared" si="996"/>
        <v>44.06</v>
      </c>
      <c r="BU303" s="12">
        <f t="shared" si="996"/>
        <v>46.94</v>
      </c>
      <c r="BV303" s="12">
        <f t="shared" si="996"/>
        <v>46.94</v>
      </c>
      <c r="BW303" s="12">
        <f t="shared" si="996"/>
        <v>46.94</v>
      </c>
      <c r="BX303" s="12">
        <f t="shared" si="996"/>
        <v>46.94</v>
      </c>
      <c r="BY303" s="5">
        <f t="shared" si="996"/>
        <v>46.94</v>
      </c>
      <c r="BZ303" s="12">
        <f t="shared" si="996"/>
        <v>49.70000000000001</v>
      </c>
      <c r="CA303" s="12">
        <f t="shared" si="996"/>
        <v>49.70000000000001</v>
      </c>
      <c r="CB303" s="12">
        <f t="shared" si="996"/>
        <v>49.70000000000001</v>
      </c>
      <c r="CC303" s="12">
        <f t="shared" si="996"/>
        <v>49.70000000000001</v>
      </c>
      <c r="CD303" s="5">
        <f t="shared" si="996"/>
        <v>49.70000000000001</v>
      </c>
    </row>
    <row r="304" spans="1:82">
      <c r="A304" s="39" t="s">
        <v>2461</v>
      </c>
      <c r="B304" s="39"/>
      <c r="C304" s="52"/>
      <c r="D304" s="52"/>
      <c r="E304" s="8">
        <f t="shared" ref="E304:AJ304" si="997">SUM(E301:E303)</f>
        <v>114.38</v>
      </c>
      <c r="F304" s="8">
        <f t="shared" si="997"/>
        <v>122.41999999999999</v>
      </c>
      <c r="G304" s="8">
        <f t="shared" si="997"/>
        <v>182.83999999999997</v>
      </c>
      <c r="H304" s="66">
        <f t="shared" si="997"/>
        <v>183.56</v>
      </c>
      <c r="I304" s="66">
        <f t="shared" si="997"/>
        <v>183.56</v>
      </c>
      <c r="J304" s="66">
        <f t="shared" si="997"/>
        <v>183.56</v>
      </c>
      <c r="K304" s="66">
        <f t="shared" si="997"/>
        <v>183.56</v>
      </c>
      <c r="L304" s="8">
        <f t="shared" si="997"/>
        <v>183.56</v>
      </c>
      <c r="M304" s="66">
        <f t="shared" si="997"/>
        <v>231.85999999999996</v>
      </c>
      <c r="N304" s="66">
        <f t="shared" si="997"/>
        <v>231.85999999999996</v>
      </c>
      <c r="O304" s="66">
        <f t="shared" si="997"/>
        <v>231.85999999999996</v>
      </c>
      <c r="P304" s="66">
        <f t="shared" si="997"/>
        <v>231.85999999999996</v>
      </c>
      <c r="Q304" s="8">
        <f t="shared" si="997"/>
        <v>231.85999999999996</v>
      </c>
      <c r="R304" s="66">
        <f t="shared" si="997"/>
        <v>255.48000000000002</v>
      </c>
      <c r="S304" s="66">
        <f t="shared" si="997"/>
        <v>255.48000000000002</v>
      </c>
      <c r="T304" s="66">
        <f t="shared" si="997"/>
        <v>255.48000000000002</v>
      </c>
      <c r="U304" s="66">
        <f t="shared" si="997"/>
        <v>255.48000000000002</v>
      </c>
      <c r="V304" s="8">
        <f t="shared" si="997"/>
        <v>255.48000000000002</v>
      </c>
      <c r="W304" s="66">
        <f t="shared" si="997"/>
        <v>278.23999999999995</v>
      </c>
      <c r="X304" s="66">
        <f t="shared" si="997"/>
        <v>278.23999999999995</v>
      </c>
      <c r="Y304" s="66">
        <f t="shared" si="997"/>
        <v>278.23999999999995</v>
      </c>
      <c r="Z304" s="66">
        <f t="shared" si="997"/>
        <v>278.23999999999995</v>
      </c>
      <c r="AA304" s="8">
        <f t="shared" si="997"/>
        <v>278.23999999999995</v>
      </c>
      <c r="AB304" s="66">
        <f t="shared" si="997"/>
        <v>218.98000000000002</v>
      </c>
      <c r="AC304" s="66">
        <f t="shared" si="997"/>
        <v>218.98000000000002</v>
      </c>
      <c r="AD304" s="66">
        <f t="shared" si="997"/>
        <v>218.98000000000002</v>
      </c>
      <c r="AE304" s="66">
        <f t="shared" si="997"/>
        <v>218.98000000000002</v>
      </c>
      <c r="AF304" s="8">
        <f t="shared" si="997"/>
        <v>218.98000000000002</v>
      </c>
      <c r="AG304" s="66">
        <f t="shared" si="997"/>
        <v>167.21</v>
      </c>
      <c r="AH304" s="66">
        <f t="shared" si="997"/>
        <v>167.21</v>
      </c>
      <c r="AI304" s="66">
        <f t="shared" si="997"/>
        <v>167.21</v>
      </c>
      <c r="AJ304" s="66">
        <f t="shared" si="997"/>
        <v>167.21</v>
      </c>
      <c r="AK304" s="8">
        <f t="shared" ref="AK304:BP304" si="998">SUM(AK301:AK303)</f>
        <v>167.21</v>
      </c>
      <c r="AL304" s="66">
        <f t="shared" si="998"/>
        <v>196.03</v>
      </c>
      <c r="AM304" s="66">
        <f t="shared" si="998"/>
        <v>196.03</v>
      </c>
      <c r="AN304" s="66">
        <f t="shared" si="998"/>
        <v>196.03</v>
      </c>
      <c r="AO304" s="66">
        <f t="shared" si="998"/>
        <v>196.03</v>
      </c>
      <c r="AP304" s="8">
        <f t="shared" si="998"/>
        <v>196.03</v>
      </c>
      <c r="AQ304" s="66">
        <f t="shared" si="998"/>
        <v>225.39</v>
      </c>
      <c r="AR304" s="66">
        <f t="shared" si="998"/>
        <v>225.39</v>
      </c>
      <c r="AS304" s="66">
        <f t="shared" si="998"/>
        <v>225.39</v>
      </c>
      <c r="AT304" s="66">
        <f t="shared" si="998"/>
        <v>225.39</v>
      </c>
      <c r="AU304" s="8">
        <f t="shared" si="998"/>
        <v>225.39</v>
      </c>
      <c r="AV304" s="66">
        <f t="shared" si="998"/>
        <v>240.86999999999995</v>
      </c>
      <c r="AW304" s="66">
        <f t="shared" si="998"/>
        <v>240.86999999999995</v>
      </c>
      <c r="AX304" s="66">
        <f t="shared" si="998"/>
        <v>240.86999999999995</v>
      </c>
      <c r="AY304" s="66">
        <f t="shared" si="998"/>
        <v>240.86999999999995</v>
      </c>
      <c r="AZ304" s="8">
        <f>SUM(AZ301:AZ303)</f>
        <v>240.86999999999995</v>
      </c>
      <c r="BA304" s="66">
        <f t="shared" si="998"/>
        <v>277.86999999999995</v>
      </c>
      <c r="BB304" s="66">
        <f t="shared" si="998"/>
        <v>277.86999999999995</v>
      </c>
      <c r="BC304" s="66">
        <f t="shared" si="998"/>
        <v>277.86999999999995</v>
      </c>
      <c r="BD304" s="66">
        <f t="shared" si="998"/>
        <v>277.86999999999995</v>
      </c>
      <c r="BE304" s="8">
        <f t="shared" si="998"/>
        <v>277.86999999999995</v>
      </c>
      <c r="BF304" s="66">
        <f t="shared" si="998"/>
        <v>270.08999999999997</v>
      </c>
      <c r="BG304" s="66">
        <f t="shared" si="998"/>
        <v>270.08999999999997</v>
      </c>
      <c r="BH304" s="66">
        <f t="shared" si="998"/>
        <v>270.08999999999997</v>
      </c>
      <c r="BI304" s="66">
        <f t="shared" si="998"/>
        <v>270.08999999999997</v>
      </c>
      <c r="BJ304" s="8">
        <f t="shared" si="998"/>
        <v>270.08999999999997</v>
      </c>
      <c r="BK304" s="66">
        <f t="shared" si="998"/>
        <v>250.23999999999998</v>
      </c>
      <c r="BL304" s="66">
        <f t="shared" si="998"/>
        <v>250.23999999999998</v>
      </c>
      <c r="BM304" s="66">
        <f t="shared" si="998"/>
        <v>250.23999999999998</v>
      </c>
      <c r="BN304" s="66">
        <f t="shared" si="998"/>
        <v>250.23999999999998</v>
      </c>
      <c r="BO304" s="8">
        <f t="shared" si="998"/>
        <v>250.23999999999998</v>
      </c>
      <c r="BP304" s="66">
        <f t="shared" si="998"/>
        <v>232.69</v>
      </c>
      <c r="BQ304" s="66">
        <f t="shared" ref="BQ304:CD304" si="999">SUM(BQ301:BQ303)</f>
        <v>232.69</v>
      </c>
      <c r="BR304" s="66">
        <f t="shared" si="999"/>
        <v>232.69</v>
      </c>
      <c r="BS304" s="66">
        <f t="shared" si="999"/>
        <v>232.69</v>
      </c>
      <c r="BT304" s="8">
        <f t="shared" si="999"/>
        <v>232.69</v>
      </c>
      <c r="BU304" s="66">
        <f t="shared" si="999"/>
        <v>213.49000000000007</v>
      </c>
      <c r="BV304" s="66">
        <f t="shared" si="999"/>
        <v>213.49000000000007</v>
      </c>
      <c r="BW304" s="66">
        <f t="shared" si="999"/>
        <v>213.49000000000007</v>
      </c>
      <c r="BX304" s="66">
        <f t="shared" si="999"/>
        <v>213.49000000000007</v>
      </c>
      <c r="BY304" s="8">
        <f t="shared" si="999"/>
        <v>213.49000000000007</v>
      </c>
      <c r="BZ304" s="66">
        <f t="shared" si="999"/>
        <v>201.20000000000002</v>
      </c>
      <c r="CA304" s="66">
        <f t="shared" si="999"/>
        <v>201.20000000000002</v>
      </c>
      <c r="CB304" s="66">
        <f t="shared" si="999"/>
        <v>201.20000000000002</v>
      </c>
      <c r="CC304" s="66">
        <f t="shared" si="999"/>
        <v>201.20000000000002</v>
      </c>
      <c r="CD304" s="8">
        <f t="shared" si="999"/>
        <v>201.20000000000002</v>
      </c>
    </row>
    <row r="305" spans="1:82">
      <c r="A305" s="11"/>
      <c r="B305" s="11"/>
      <c r="C305" s="51"/>
      <c r="D305" s="51"/>
      <c r="E305" s="5"/>
      <c r="F305" s="5"/>
      <c r="G305" s="5"/>
      <c r="H305" s="12"/>
      <c r="I305" s="12"/>
      <c r="J305" s="12"/>
      <c r="K305" s="12"/>
      <c r="L305" s="5"/>
      <c r="M305" s="12"/>
      <c r="N305" s="12"/>
      <c r="O305" s="12"/>
      <c r="P305" s="12"/>
      <c r="Q305" s="5"/>
      <c r="R305" s="12"/>
      <c r="S305" s="12"/>
      <c r="T305" s="12"/>
      <c r="U305" s="12"/>
      <c r="V305" s="5"/>
      <c r="W305" s="12"/>
      <c r="X305" s="12"/>
      <c r="Y305" s="12"/>
      <c r="Z305" s="12"/>
      <c r="AA305" s="5"/>
      <c r="AB305" s="12"/>
      <c r="AC305" s="12"/>
      <c r="AD305" s="12"/>
      <c r="AE305" s="12"/>
      <c r="AF305" s="5"/>
      <c r="AG305" s="12"/>
      <c r="AH305" s="12"/>
      <c r="AI305" s="12"/>
      <c r="AJ305" s="12"/>
      <c r="AK305" s="5"/>
      <c r="AL305" s="49"/>
      <c r="AM305" s="49"/>
      <c r="AN305" s="49"/>
      <c r="AO305" s="49"/>
      <c r="AP305" s="49"/>
      <c r="AQ305" s="49"/>
      <c r="AR305" s="49"/>
      <c r="AS305" s="49"/>
      <c r="AT305" s="49"/>
      <c r="AU305" s="49"/>
      <c r="AV305" s="49"/>
      <c r="AW305" s="49"/>
      <c r="AX305" s="49"/>
      <c r="AY305" s="49"/>
      <c r="AZ305" s="49"/>
      <c r="BA305" s="49"/>
      <c r="BB305" s="49"/>
      <c r="BC305" s="49"/>
      <c r="BD305" s="49"/>
      <c r="BE305" s="49"/>
      <c r="BF305" s="49"/>
      <c r="BG305" s="49"/>
      <c r="BH305" s="49"/>
      <c r="BI305" s="49"/>
      <c r="BJ305" s="49"/>
      <c r="BK305" s="49"/>
      <c r="BL305" s="49"/>
      <c r="BM305" s="49"/>
      <c r="BN305" s="49"/>
      <c r="BO305" s="49"/>
      <c r="BP305" s="49"/>
      <c r="BQ305" s="49"/>
      <c r="BR305" s="49"/>
      <c r="BS305" s="49"/>
      <c r="BT305" s="49"/>
      <c r="BU305" s="49"/>
      <c r="BV305" s="49"/>
      <c r="BW305" s="49"/>
      <c r="BX305" s="49"/>
      <c r="BY305" s="49"/>
      <c r="BZ305" s="49"/>
      <c r="CA305" s="49"/>
      <c r="CB305" s="49"/>
      <c r="CC305" s="49"/>
      <c r="CD305" s="49"/>
    </row>
    <row r="306" spans="1:82">
      <c r="A306" s="39" t="s">
        <v>2462</v>
      </c>
      <c r="B306" s="11"/>
      <c r="C306" s="51"/>
      <c r="D306" s="51"/>
      <c r="E306" s="5"/>
      <c r="F306" s="5"/>
      <c r="G306" s="5"/>
      <c r="H306" s="12"/>
      <c r="I306" s="12"/>
      <c r="J306" s="12"/>
      <c r="K306" s="12"/>
      <c r="L306" s="5"/>
      <c r="M306" s="12"/>
      <c r="N306" s="12"/>
      <c r="O306" s="12"/>
      <c r="P306" s="12"/>
      <c r="Q306" s="5"/>
      <c r="R306" s="12"/>
      <c r="S306" s="12"/>
      <c r="T306" s="12"/>
      <c r="U306" s="12"/>
      <c r="V306" s="5"/>
      <c r="W306" s="12"/>
      <c r="X306" s="12"/>
      <c r="Y306" s="12"/>
      <c r="Z306" s="12"/>
      <c r="AA306" s="5"/>
      <c r="AB306" s="12"/>
      <c r="AC306" s="12"/>
      <c r="AD306" s="12"/>
      <c r="AE306" s="12"/>
      <c r="AF306" s="5"/>
      <c r="AG306" s="12"/>
      <c r="AH306" s="12"/>
      <c r="AI306" s="12"/>
      <c r="AJ306" s="12"/>
      <c r="AK306" s="5"/>
      <c r="AL306" s="12"/>
      <c r="AM306" s="12"/>
      <c r="AN306" s="12"/>
      <c r="AO306" s="12"/>
      <c r="AP306" s="5"/>
      <c r="AQ306" s="12"/>
      <c r="AR306" s="12"/>
      <c r="AS306" s="12"/>
      <c r="AT306" s="12"/>
      <c r="AU306" s="5"/>
      <c r="AV306" s="12"/>
      <c r="AW306" s="12"/>
      <c r="AX306" s="12"/>
      <c r="AY306" s="12"/>
      <c r="AZ306" s="5"/>
      <c r="BA306" s="12"/>
      <c r="BB306" s="12"/>
      <c r="BC306" s="12"/>
      <c r="BD306" s="12"/>
      <c r="BE306" s="5"/>
      <c r="BF306" s="12"/>
      <c r="BG306" s="12"/>
      <c r="BH306" s="12"/>
      <c r="BI306" s="12"/>
      <c r="BJ306" s="5"/>
      <c r="BK306" s="12"/>
      <c r="BL306" s="12"/>
      <c r="BM306" s="12"/>
      <c r="BN306" s="12"/>
      <c r="BO306" s="5"/>
      <c r="BP306" s="12"/>
      <c r="BQ306" s="12"/>
      <c r="BR306" s="12"/>
      <c r="BS306" s="12"/>
      <c r="BT306" s="5"/>
      <c r="BU306" s="12"/>
      <c r="BV306" s="12"/>
      <c r="BW306" s="12"/>
      <c r="BX306" s="12"/>
      <c r="BY306" s="5"/>
      <c r="BZ306" s="12"/>
      <c r="CA306" s="12"/>
      <c r="CB306" s="12"/>
      <c r="CC306" s="12"/>
      <c r="CD306" s="5"/>
    </row>
    <row r="307" spans="1:82">
      <c r="A307" s="11"/>
      <c r="B307" s="11" t="s">
        <v>2502</v>
      </c>
      <c r="C307" s="52"/>
      <c r="D307" s="52"/>
      <c r="E307" s="5">
        <f t="shared" ref="E307:AJ307" si="1000">SUM(E199,E253)</f>
        <v>184.17</v>
      </c>
      <c r="F307" s="5">
        <f t="shared" si="1000"/>
        <v>190.83000000000004</v>
      </c>
      <c r="G307" s="5">
        <f t="shared" si="1000"/>
        <v>196.76000000000002</v>
      </c>
      <c r="H307" s="12">
        <f t="shared" si="1000"/>
        <v>218.33</v>
      </c>
      <c r="I307" s="12">
        <f t="shared" si="1000"/>
        <v>218.33</v>
      </c>
      <c r="J307" s="12">
        <f t="shared" si="1000"/>
        <v>218.33</v>
      </c>
      <c r="K307" s="12">
        <f t="shared" si="1000"/>
        <v>218.33</v>
      </c>
      <c r="L307" s="5">
        <f t="shared" si="1000"/>
        <v>218.33</v>
      </c>
      <c r="M307" s="12">
        <f t="shared" si="1000"/>
        <v>209.05</v>
      </c>
      <c r="N307" s="12">
        <f t="shared" si="1000"/>
        <v>209.05</v>
      </c>
      <c r="O307" s="12">
        <f t="shared" si="1000"/>
        <v>209.05</v>
      </c>
      <c r="P307" s="12">
        <f t="shared" si="1000"/>
        <v>209.05</v>
      </c>
      <c r="Q307" s="5">
        <f t="shared" si="1000"/>
        <v>209.05</v>
      </c>
      <c r="R307" s="12">
        <f t="shared" si="1000"/>
        <v>215.14000000000001</v>
      </c>
      <c r="S307" s="12">
        <f t="shared" si="1000"/>
        <v>215.14000000000001</v>
      </c>
      <c r="T307" s="12">
        <f t="shared" si="1000"/>
        <v>215.14000000000001</v>
      </c>
      <c r="U307" s="12">
        <f t="shared" si="1000"/>
        <v>215.14000000000001</v>
      </c>
      <c r="V307" s="5">
        <f t="shared" si="1000"/>
        <v>215.14000000000001</v>
      </c>
      <c r="W307" s="12">
        <f t="shared" si="1000"/>
        <v>185.61</v>
      </c>
      <c r="X307" s="12">
        <f t="shared" si="1000"/>
        <v>185.61</v>
      </c>
      <c r="Y307" s="12">
        <f t="shared" si="1000"/>
        <v>185.61</v>
      </c>
      <c r="Z307" s="12">
        <f t="shared" si="1000"/>
        <v>185.61</v>
      </c>
      <c r="AA307" s="5">
        <f t="shared" si="1000"/>
        <v>185.61</v>
      </c>
      <c r="AB307" s="12">
        <f t="shared" si="1000"/>
        <v>192.03999999999996</v>
      </c>
      <c r="AC307" s="12">
        <f t="shared" si="1000"/>
        <v>192.03999999999996</v>
      </c>
      <c r="AD307" s="12">
        <f t="shared" si="1000"/>
        <v>192.03999999999996</v>
      </c>
      <c r="AE307" s="12">
        <f t="shared" si="1000"/>
        <v>192.03999999999996</v>
      </c>
      <c r="AF307" s="5">
        <f t="shared" si="1000"/>
        <v>192.03999999999996</v>
      </c>
      <c r="AG307" s="12">
        <f t="shared" si="1000"/>
        <v>209.16</v>
      </c>
      <c r="AH307" s="12">
        <f t="shared" si="1000"/>
        <v>209.16</v>
      </c>
      <c r="AI307" s="12">
        <f t="shared" si="1000"/>
        <v>209.16</v>
      </c>
      <c r="AJ307" s="12">
        <f t="shared" si="1000"/>
        <v>209.16</v>
      </c>
      <c r="AK307" s="5">
        <f t="shared" ref="AK307:BP307" si="1001">SUM(AK199,AK253)</f>
        <v>209.16</v>
      </c>
      <c r="AL307" s="12">
        <f t="shared" si="1001"/>
        <v>215.01</v>
      </c>
      <c r="AM307" s="12">
        <f t="shared" si="1001"/>
        <v>215.01</v>
      </c>
      <c r="AN307" s="12">
        <f t="shared" si="1001"/>
        <v>215.01</v>
      </c>
      <c r="AO307" s="12">
        <f t="shared" si="1001"/>
        <v>215.01</v>
      </c>
      <c r="AP307" s="5">
        <f t="shared" si="1001"/>
        <v>215.01</v>
      </c>
      <c r="AQ307" s="12">
        <f t="shared" si="1001"/>
        <v>228.6</v>
      </c>
      <c r="AR307" s="12">
        <f t="shared" si="1001"/>
        <v>228.6</v>
      </c>
      <c r="AS307" s="12">
        <f t="shared" si="1001"/>
        <v>228.6</v>
      </c>
      <c r="AT307" s="12">
        <f t="shared" si="1001"/>
        <v>228.6</v>
      </c>
      <c r="AU307" s="5">
        <f t="shared" si="1001"/>
        <v>228.6</v>
      </c>
      <c r="AV307" s="12">
        <f t="shared" si="1001"/>
        <v>102.71000000000001</v>
      </c>
      <c r="AW307" s="12">
        <f t="shared" si="1001"/>
        <v>102.71000000000001</v>
      </c>
      <c r="AX307" s="12">
        <f t="shared" si="1001"/>
        <v>102.71000000000001</v>
      </c>
      <c r="AY307" s="12">
        <f t="shared" si="1001"/>
        <v>102.71000000000001</v>
      </c>
      <c r="AZ307" s="5">
        <f t="shared" si="1001"/>
        <v>102.71000000000001</v>
      </c>
      <c r="BA307" s="12">
        <f t="shared" si="1001"/>
        <v>253.89</v>
      </c>
      <c r="BB307" s="12">
        <f t="shared" si="1001"/>
        <v>253.89</v>
      </c>
      <c r="BC307" s="12">
        <f t="shared" si="1001"/>
        <v>253.89</v>
      </c>
      <c r="BD307" s="12">
        <f t="shared" si="1001"/>
        <v>253.89</v>
      </c>
      <c r="BE307" s="5">
        <f t="shared" si="1001"/>
        <v>253.89</v>
      </c>
      <c r="BF307" s="12">
        <f t="shared" si="1001"/>
        <v>266.45</v>
      </c>
      <c r="BG307" s="12">
        <f t="shared" si="1001"/>
        <v>266.45</v>
      </c>
      <c r="BH307" s="12">
        <f t="shared" si="1001"/>
        <v>266.45</v>
      </c>
      <c r="BI307" s="12">
        <f t="shared" si="1001"/>
        <v>266.45</v>
      </c>
      <c r="BJ307" s="5">
        <f t="shared" si="1001"/>
        <v>266.45</v>
      </c>
      <c r="BK307" s="12">
        <f t="shared" si="1001"/>
        <v>269.72000000000003</v>
      </c>
      <c r="BL307" s="12">
        <f t="shared" si="1001"/>
        <v>269.72000000000003</v>
      </c>
      <c r="BM307" s="12">
        <f t="shared" si="1001"/>
        <v>269.72000000000003</v>
      </c>
      <c r="BN307" s="12">
        <f t="shared" si="1001"/>
        <v>269.72000000000003</v>
      </c>
      <c r="BO307" s="5">
        <f t="shared" si="1001"/>
        <v>269.72000000000003</v>
      </c>
      <c r="BP307" s="12">
        <f t="shared" si="1001"/>
        <v>188.87</v>
      </c>
      <c r="BQ307" s="12">
        <f t="shared" ref="BQ307:CD307" si="1002">SUM(BQ199,BQ253)</f>
        <v>188.87</v>
      </c>
      <c r="BR307" s="12">
        <f t="shared" si="1002"/>
        <v>188.87</v>
      </c>
      <c r="BS307" s="12">
        <f t="shared" si="1002"/>
        <v>188.87</v>
      </c>
      <c r="BT307" s="5">
        <f t="shared" si="1002"/>
        <v>188.87</v>
      </c>
      <c r="BU307" s="12">
        <f t="shared" si="1002"/>
        <v>169.34</v>
      </c>
      <c r="BV307" s="12">
        <f t="shared" si="1002"/>
        <v>169.34</v>
      </c>
      <c r="BW307" s="12">
        <f t="shared" si="1002"/>
        <v>169.34</v>
      </c>
      <c r="BX307" s="12">
        <f t="shared" si="1002"/>
        <v>169.34</v>
      </c>
      <c r="BY307" s="5">
        <f t="shared" si="1002"/>
        <v>169.34</v>
      </c>
      <c r="BZ307" s="12">
        <f t="shared" si="1002"/>
        <v>170.17</v>
      </c>
      <c r="CA307" s="12">
        <f t="shared" si="1002"/>
        <v>170.17</v>
      </c>
      <c r="CB307" s="12">
        <f t="shared" si="1002"/>
        <v>170.17</v>
      </c>
      <c r="CC307" s="12">
        <f t="shared" si="1002"/>
        <v>170.17</v>
      </c>
      <c r="CD307" s="5">
        <f t="shared" si="1002"/>
        <v>170.17</v>
      </c>
    </row>
    <row r="308" spans="1:82">
      <c r="A308" s="11"/>
      <c r="B308" s="11" t="s">
        <v>726</v>
      </c>
      <c r="C308" s="52"/>
      <c r="D308" s="52"/>
      <c r="E308" s="5">
        <f t="shared" ref="E308:AJ308" si="1003">SUM(E200,E254)</f>
        <v>39.01</v>
      </c>
      <c r="F308" s="5">
        <f t="shared" si="1003"/>
        <v>39.090000000000003</v>
      </c>
      <c r="G308" s="5">
        <f t="shared" si="1003"/>
        <v>75.37</v>
      </c>
      <c r="H308" s="12">
        <f t="shared" si="1003"/>
        <v>143.1</v>
      </c>
      <c r="I308" s="12">
        <f t="shared" si="1003"/>
        <v>143.1</v>
      </c>
      <c r="J308" s="12">
        <f t="shared" si="1003"/>
        <v>143.1</v>
      </c>
      <c r="K308" s="12">
        <f t="shared" si="1003"/>
        <v>143.1</v>
      </c>
      <c r="L308" s="5">
        <f t="shared" si="1003"/>
        <v>143.1</v>
      </c>
      <c r="M308" s="12">
        <f t="shared" si="1003"/>
        <v>205.18</v>
      </c>
      <c r="N308" s="12">
        <f t="shared" si="1003"/>
        <v>205.18</v>
      </c>
      <c r="O308" s="12">
        <f t="shared" si="1003"/>
        <v>205.18</v>
      </c>
      <c r="P308" s="12">
        <f t="shared" si="1003"/>
        <v>205.18</v>
      </c>
      <c r="Q308" s="5">
        <f t="shared" si="1003"/>
        <v>205.18</v>
      </c>
      <c r="R308" s="12">
        <f t="shared" si="1003"/>
        <v>95.58</v>
      </c>
      <c r="S308" s="12">
        <f t="shared" si="1003"/>
        <v>95.58</v>
      </c>
      <c r="T308" s="12">
        <f t="shared" si="1003"/>
        <v>95.58</v>
      </c>
      <c r="U308" s="12">
        <f t="shared" si="1003"/>
        <v>95.58</v>
      </c>
      <c r="V308" s="5">
        <f t="shared" si="1003"/>
        <v>95.58</v>
      </c>
      <c r="W308" s="12">
        <f t="shared" si="1003"/>
        <v>115.8</v>
      </c>
      <c r="X308" s="12">
        <f t="shared" si="1003"/>
        <v>115.8</v>
      </c>
      <c r="Y308" s="12">
        <f t="shared" si="1003"/>
        <v>115.8</v>
      </c>
      <c r="Z308" s="12">
        <f t="shared" si="1003"/>
        <v>115.8</v>
      </c>
      <c r="AA308" s="5">
        <f t="shared" si="1003"/>
        <v>115.8</v>
      </c>
      <c r="AB308" s="12">
        <f t="shared" si="1003"/>
        <v>124.39</v>
      </c>
      <c r="AC308" s="12">
        <f t="shared" si="1003"/>
        <v>124.39</v>
      </c>
      <c r="AD308" s="12">
        <f t="shared" si="1003"/>
        <v>124.39</v>
      </c>
      <c r="AE308" s="12">
        <f t="shared" si="1003"/>
        <v>124.39</v>
      </c>
      <c r="AF308" s="5">
        <f t="shared" si="1003"/>
        <v>124.39</v>
      </c>
      <c r="AG308" s="12">
        <f t="shared" si="1003"/>
        <v>100.44999999999999</v>
      </c>
      <c r="AH308" s="12">
        <f t="shared" si="1003"/>
        <v>100.44999999999999</v>
      </c>
      <c r="AI308" s="12">
        <f t="shared" si="1003"/>
        <v>100.44999999999999</v>
      </c>
      <c r="AJ308" s="12">
        <f t="shared" si="1003"/>
        <v>100.44999999999999</v>
      </c>
      <c r="AK308" s="5">
        <f t="shared" ref="AK308:BP308" si="1004">SUM(AK200,AK254)</f>
        <v>100.44999999999999</v>
      </c>
      <c r="AL308" s="12">
        <f t="shared" si="1004"/>
        <v>97.76</v>
      </c>
      <c r="AM308" s="12">
        <f t="shared" si="1004"/>
        <v>97.76</v>
      </c>
      <c r="AN308" s="12">
        <f t="shared" si="1004"/>
        <v>97.76</v>
      </c>
      <c r="AO308" s="12">
        <f t="shared" si="1004"/>
        <v>97.76</v>
      </c>
      <c r="AP308" s="5">
        <f t="shared" si="1004"/>
        <v>97.76</v>
      </c>
      <c r="AQ308" s="12">
        <f t="shared" si="1004"/>
        <v>102.42999999999999</v>
      </c>
      <c r="AR308" s="12">
        <f t="shared" si="1004"/>
        <v>102.42999999999999</v>
      </c>
      <c r="AS308" s="12">
        <f t="shared" si="1004"/>
        <v>102.42999999999999</v>
      </c>
      <c r="AT308" s="12">
        <f t="shared" si="1004"/>
        <v>102.42999999999999</v>
      </c>
      <c r="AU308" s="5">
        <f t="shared" si="1004"/>
        <v>102.42999999999999</v>
      </c>
      <c r="AV308" s="12">
        <f t="shared" si="1004"/>
        <v>104.36999999999999</v>
      </c>
      <c r="AW308" s="12">
        <f t="shared" si="1004"/>
        <v>104.36999999999999</v>
      </c>
      <c r="AX308" s="12">
        <f t="shared" si="1004"/>
        <v>104.36999999999999</v>
      </c>
      <c r="AY308" s="12">
        <f t="shared" si="1004"/>
        <v>104.36999999999999</v>
      </c>
      <c r="AZ308" s="5">
        <f t="shared" ref="AZ308:AZ318" si="1005">SUM(AZ200,AZ254)</f>
        <v>104.36999999999999</v>
      </c>
      <c r="BA308" s="12">
        <f t="shared" si="1004"/>
        <v>127.1</v>
      </c>
      <c r="BB308" s="12">
        <f t="shared" si="1004"/>
        <v>127.1</v>
      </c>
      <c r="BC308" s="12">
        <f t="shared" si="1004"/>
        <v>127.1</v>
      </c>
      <c r="BD308" s="12">
        <f t="shared" si="1004"/>
        <v>127.1</v>
      </c>
      <c r="BE308" s="5">
        <f t="shared" ref="BE308:BE318" si="1006">SUM(BE200,BE254)</f>
        <v>127.1</v>
      </c>
      <c r="BF308" s="12">
        <f t="shared" si="1004"/>
        <v>123.38</v>
      </c>
      <c r="BG308" s="12">
        <f t="shared" si="1004"/>
        <v>123.38</v>
      </c>
      <c r="BH308" s="12">
        <f t="shared" si="1004"/>
        <v>123.38</v>
      </c>
      <c r="BI308" s="12">
        <f t="shared" si="1004"/>
        <v>123.38</v>
      </c>
      <c r="BJ308" s="5">
        <f t="shared" si="1004"/>
        <v>123.38</v>
      </c>
      <c r="BK308" s="12">
        <f t="shared" si="1004"/>
        <v>91.240000000000009</v>
      </c>
      <c r="BL308" s="12">
        <f t="shared" si="1004"/>
        <v>91.240000000000009</v>
      </c>
      <c r="BM308" s="12">
        <f t="shared" si="1004"/>
        <v>91.240000000000009</v>
      </c>
      <c r="BN308" s="12">
        <f t="shared" si="1004"/>
        <v>91.240000000000009</v>
      </c>
      <c r="BO308" s="5">
        <f t="shared" si="1004"/>
        <v>91.240000000000009</v>
      </c>
      <c r="BP308" s="12">
        <f t="shared" si="1004"/>
        <v>88.53</v>
      </c>
      <c r="BQ308" s="12">
        <f t="shared" ref="BQ308:CD308" si="1007">SUM(BQ200,BQ254)</f>
        <v>88.53</v>
      </c>
      <c r="BR308" s="12">
        <f t="shared" si="1007"/>
        <v>88.53</v>
      </c>
      <c r="BS308" s="12">
        <f t="shared" si="1007"/>
        <v>88.53</v>
      </c>
      <c r="BT308" s="5">
        <f t="shared" si="1007"/>
        <v>88.53</v>
      </c>
      <c r="BU308" s="12">
        <f t="shared" si="1007"/>
        <v>94.929999999999993</v>
      </c>
      <c r="BV308" s="12">
        <f t="shared" si="1007"/>
        <v>94.929999999999993</v>
      </c>
      <c r="BW308" s="12">
        <f t="shared" si="1007"/>
        <v>94.929999999999993</v>
      </c>
      <c r="BX308" s="12">
        <f t="shared" si="1007"/>
        <v>94.929999999999993</v>
      </c>
      <c r="BY308" s="5">
        <f t="shared" si="1007"/>
        <v>94.929999999999993</v>
      </c>
      <c r="BZ308" s="12">
        <f t="shared" si="1007"/>
        <v>99.330000000000013</v>
      </c>
      <c r="CA308" s="12">
        <f t="shared" si="1007"/>
        <v>99.330000000000013</v>
      </c>
      <c r="CB308" s="12">
        <f t="shared" si="1007"/>
        <v>99.330000000000013</v>
      </c>
      <c r="CC308" s="12">
        <f t="shared" si="1007"/>
        <v>99.330000000000013</v>
      </c>
      <c r="CD308" s="5">
        <f t="shared" si="1007"/>
        <v>99.330000000000013</v>
      </c>
    </row>
    <row r="309" spans="1:82">
      <c r="A309" s="11"/>
      <c r="B309" s="11" t="s">
        <v>216</v>
      </c>
      <c r="C309" s="52"/>
      <c r="D309" s="52"/>
      <c r="E309" s="5">
        <f t="shared" ref="E309:AJ309" si="1008">SUM(E201,E255)</f>
        <v>0</v>
      </c>
      <c r="F309" s="5">
        <f t="shared" si="1008"/>
        <v>0</v>
      </c>
      <c r="G309" s="5">
        <f t="shared" si="1008"/>
        <v>0</v>
      </c>
      <c r="H309" s="12">
        <f t="shared" si="1008"/>
        <v>0</v>
      </c>
      <c r="I309" s="12">
        <f t="shared" si="1008"/>
        <v>0</v>
      </c>
      <c r="J309" s="12">
        <f t="shared" si="1008"/>
        <v>0</v>
      </c>
      <c r="K309" s="12">
        <f t="shared" si="1008"/>
        <v>0</v>
      </c>
      <c r="L309" s="5">
        <f t="shared" si="1008"/>
        <v>0</v>
      </c>
      <c r="M309" s="12">
        <f t="shared" si="1008"/>
        <v>0</v>
      </c>
      <c r="N309" s="12">
        <f t="shared" si="1008"/>
        <v>0</v>
      </c>
      <c r="O309" s="12">
        <f t="shared" si="1008"/>
        <v>0</v>
      </c>
      <c r="P309" s="12">
        <f t="shared" si="1008"/>
        <v>0</v>
      </c>
      <c r="Q309" s="5">
        <f t="shared" si="1008"/>
        <v>0</v>
      </c>
      <c r="R309" s="12">
        <f t="shared" si="1008"/>
        <v>0</v>
      </c>
      <c r="S309" s="12">
        <f t="shared" si="1008"/>
        <v>0</v>
      </c>
      <c r="T309" s="12">
        <f t="shared" si="1008"/>
        <v>0</v>
      </c>
      <c r="U309" s="12">
        <f t="shared" si="1008"/>
        <v>0</v>
      </c>
      <c r="V309" s="5">
        <f t="shared" si="1008"/>
        <v>0</v>
      </c>
      <c r="W309" s="12">
        <f t="shared" si="1008"/>
        <v>0</v>
      </c>
      <c r="X309" s="12">
        <f t="shared" si="1008"/>
        <v>0</v>
      </c>
      <c r="Y309" s="12">
        <f t="shared" si="1008"/>
        <v>0</v>
      </c>
      <c r="Z309" s="12">
        <f t="shared" si="1008"/>
        <v>0</v>
      </c>
      <c r="AA309" s="5">
        <f t="shared" si="1008"/>
        <v>0</v>
      </c>
      <c r="AB309" s="12">
        <f t="shared" si="1008"/>
        <v>0</v>
      </c>
      <c r="AC309" s="12">
        <f t="shared" si="1008"/>
        <v>0</v>
      </c>
      <c r="AD309" s="12">
        <f t="shared" si="1008"/>
        <v>0</v>
      </c>
      <c r="AE309" s="12">
        <f t="shared" si="1008"/>
        <v>0</v>
      </c>
      <c r="AF309" s="5">
        <f t="shared" si="1008"/>
        <v>0</v>
      </c>
      <c r="AG309" s="12">
        <f t="shared" si="1008"/>
        <v>0</v>
      </c>
      <c r="AH309" s="12">
        <f t="shared" si="1008"/>
        <v>0</v>
      </c>
      <c r="AI309" s="12">
        <f t="shared" si="1008"/>
        <v>0</v>
      </c>
      <c r="AJ309" s="12">
        <f t="shared" si="1008"/>
        <v>0</v>
      </c>
      <c r="AK309" s="5">
        <f t="shared" ref="AK309:BP309" si="1009">SUM(AK201,AK255)</f>
        <v>0</v>
      </c>
      <c r="AL309" s="12">
        <f t="shared" si="1009"/>
        <v>0</v>
      </c>
      <c r="AM309" s="12">
        <f t="shared" si="1009"/>
        <v>0</v>
      </c>
      <c r="AN309" s="12">
        <f t="shared" si="1009"/>
        <v>0</v>
      </c>
      <c r="AO309" s="12">
        <f t="shared" si="1009"/>
        <v>0</v>
      </c>
      <c r="AP309" s="5">
        <f t="shared" si="1009"/>
        <v>0</v>
      </c>
      <c r="AQ309" s="12">
        <f t="shared" si="1009"/>
        <v>0</v>
      </c>
      <c r="AR309" s="12">
        <f t="shared" si="1009"/>
        <v>0</v>
      </c>
      <c r="AS309" s="12">
        <f t="shared" si="1009"/>
        <v>0</v>
      </c>
      <c r="AT309" s="12">
        <f t="shared" si="1009"/>
        <v>0</v>
      </c>
      <c r="AU309" s="5">
        <f t="shared" si="1009"/>
        <v>0</v>
      </c>
      <c r="AV309" s="12">
        <f t="shared" si="1009"/>
        <v>0</v>
      </c>
      <c r="AW309" s="12">
        <f t="shared" si="1009"/>
        <v>0</v>
      </c>
      <c r="AX309" s="12">
        <f t="shared" si="1009"/>
        <v>0</v>
      </c>
      <c r="AY309" s="12">
        <f t="shared" si="1009"/>
        <v>0</v>
      </c>
      <c r="AZ309" s="5">
        <f t="shared" si="1005"/>
        <v>0</v>
      </c>
      <c r="BA309" s="12">
        <f t="shared" si="1009"/>
        <v>0</v>
      </c>
      <c r="BB309" s="12">
        <f t="shared" si="1009"/>
        <v>0</v>
      </c>
      <c r="BC309" s="12">
        <f t="shared" si="1009"/>
        <v>0</v>
      </c>
      <c r="BD309" s="12">
        <f t="shared" si="1009"/>
        <v>0</v>
      </c>
      <c r="BE309" s="5">
        <f t="shared" si="1006"/>
        <v>0</v>
      </c>
      <c r="BF309" s="12">
        <f t="shared" si="1009"/>
        <v>0</v>
      </c>
      <c r="BG309" s="12">
        <f t="shared" si="1009"/>
        <v>0</v>
      </c>
      <c r="BH309" s="12">
        <f t="shared" si="1009"/>
        <v>0</v>
      </c>
      <c r="BI309" s="12">
        <f t="shared" si="1009"/>
        <v>0</v>
      </c>
      <c r="BJ309" s="5">
        <f t="shared" si="1009"/>
        <v>0</v>
      </c>
      <c r="BK309" s="12">
        <f t="shared" si="1009"/>
        <v>0</v>
      </c>
      <c r="BL309" s="12">
        <f t="shared" si="1009"/>
        <v>0</v>
      </c>
      <c r="BM309" s="12">
        <f t="shared" si="1009"/>
        <v>0</v>
      </c>
      <c r="BN309" s="12">
        <f t="shared" si="1009"/>
        <v>0</v>
      </c>
      <c r="BO309" s="5">
        <f t="shared" si="1009"/>
        <v>0</v>
      </c>
      <c r="BP309" s="12">
        <f t="shared" si="1009"/>
        <v>0</v>
      </c>
      <c r="BQ309" s="12">
        <f t="shared" ref="BQ309:CD309" si="1010">SUM(BQ201,BQ255)</f>
        <v>0</v>
      </c>
      <c r="BR309" s="12">
        <f t="shared" si="1010"/>
        <v>0</v>
      </c>
      <c r="BS309" s="12">
        <f t="shared" si="1010"/>
        <v>0</v>
      </c>
      <c r="BT309" s="5">
        <f t="shared" si="1010"/>
        <v>0</v>
      </c>
      <c r="BU309" s="12">
        <f t="shared" si="1010"/>
        <v>0</v>
      </c>
      <c r="BV309" s="12">
        <f t="shared" si="1010"/>
        <v>0</v>
      </c>
      <c r="BW309" s="12">
        <f t="shared" si="1010"/>
        <v>0</v>
      </c>
      <c r="BX309" s="12">
        <f t="shared" si="1010"/>
        <v>0</v>
      </c>
      <c r="BY309" s="5">
        <f t="shared" si="1010"/>
        <v>0</v>
      </c>
      <c r="BZ309" s="12">
        <f t="shared" si="1010"/>
        <v>0</v>
      </c>
      <c r="CA309" s="12">
        <f t="shared" si="1010"/>
        <v>0</v>
      </c>
      <c r="CB309" s="12">
        <f t="shared" si="1010"/>
        <v>0</v>
      </c>
      <c r="CC309" s="12">
        <f t="shared" si="1010"/>
        <v>0</v>
      </c>
      <c r="CD309" s="5">
        <f t="shared" si="1010"/>
        <v>0</v>
      </c>
    </row>
    <row r="310" spans="1:82">
      <c r="A310" s="11"/>
      <c r="B310" s="11" t="s">
        <v>138</v>
      </c>
      <c r="C310" s="52"/>
      <c r="D310" s="52"/>
      <c r="E310" s="5">
        <f t="shared" ref="E310:AJ310" si="1011">SUM(E202,E256)</f>
        <v>0</v>
      </c>
      <c r="F310" s="5">
        <f t="shared" si="1011"/>
        <v>0</v>
      </c>
      <c r="G310" s="5">
        <f t="shared" si="1011"/>
        <v>0</v>
      </c>
      <c r="H310" s="12">
        <f t="shared" si="1011"/>
        <v>0</v>
      </c>
      <c r="I310" s="12">
        <f t="shared" si="1011"/>
        <v>0</v>
      </c>
      <c r="J310" s="12">
        <f t="shared" si="1011"/>
        <v>0</v>
      </c>
      <c r="K310" s="12">
        <f t="shared" si="1011"/>
        <v>0</v>
      </c>
      <c r="L310" s="5">
        <f t="shared" si="1011"/>
        <v>0</v>
      </c>
      <c r="M310" s="12">
        <f t="shared" si="1011"/>
        <v>0</v>
      </c>
      <c r="N310" s="12">
        <f t="shared" si="1011"/>
        <v>0</v>
      </c>
      <c r="O310" s="12">
        <f t="shared" si="1011"/>
        <v>0</v>
      </c>
      <c r="P310" s="12">
        <f t="shared" si="1011"/>
        <v>0</v>
      </c>
      <c r="Q310" s="5">
        <f t="shared" si="1011"/>
        <v>0</v>
      </c>
      <c r="R310" s="12">
        <f t="shared" si="1011"/>
        <v>0</v>
      </c>
      <c r="S310" s="12">
        <f t="shared" si="1011"/>
        <v>0</v>
      </c>
      <c r="T310" s="12">
        <f t="shared" si="1011"/>
        <v>0</v>
      </c>
      <c r="U310" s="12">
        <f t="shared" si="1011"/>
        <v>0</v>
      </c>
      <c r="V310" s="5">
        <f t="shared" si="1011"/>
        <v>0</v>
      </c>
      <c r="W310" s="12">
        <f t="shared" si="1011"/>
        <v>0</v>
      </c>
      <c r="X310" s="12">
        <f t="shared" si="1011"/>
        <v>0</v>
      </c>
      <c r="Y310" s="12">
        <f t="shared" si="1011"/>
        <v>0</v>
      </c>
      <c r="Z310" s="12">
        <f t="shared" si="1011"/>
        <v>0</v>
      </c>
      <c r="AA310" s="5">
        <f t="shared" si="1011"/>
        <v>0</v>
      </c>
      <c r="AB310" s="12">
        <f t="shared" si="1011"/>
        <v>0</v>
      </c>
      <c r="AC310" s="12">
        <f t="shared" si="1011"/>
        <v>0</v>
      </c>
      <c r="AD310" s="12">
        <f t="shared" si="1011"/>
        <v>0</v>
      </c>
      <c r="AE310" s="12">
        <f t="shared" si="1011"/>
        <v>0</v>
      </c>
      <c r="AF310" s="5">
        <f t="shared" si="1011"/>
        <v>0</v>
      </c>
      <c r="AG310" s="12">
        <f t="shared" si="1011"/>
        <v>34.25</v>
      </c>
      <c r="AH310" s="12">
        <f t="shared" si="1011"/>
        <v>34.25</v>
      </c>
      <c r="AI310" s="12">
        <f t="shared" si="1011"/>
        <v>34.25</v>
      </c>
      <c r="AJ310" s="12">
        <f t="shared" si="1011"/>
        <v>34.25</v>
      </c>
      <c r="AK310" s="5">
        <f t="shared" ref="AK310:BP310" si="1012">SUM(AK202,AK256)</f>
        <v>34.25</v>
      </c>
      <c r="AL310" s="12">
        <f t="shared" si="1012"/>
        <v>39.47</v>
      </c>
      <c r="AM310" s="12">
        <f t="shared" si="1012"/>
        <v>39.47</v>
      </c>
      <c r="AN310" s="12">
        <f t="shared" si="1012"/>
        <v>39.47</v>
      </c>
      <c r="AO310" s="12">
        <f t="shared" si="1012"/>
        <v>39.47</v>
      </c>
      <c r="AP310" s="5">
        <f t="shared" si="1012"/>
        <v>39.47</v>
      </c>
      <c r="AQ310" s="12">
        <f t="shared" si="1012"/>
        <v>40.81</v>
      </c>
      <c r="AR310" s="12">
        <f t="shared" si="1012"/>
        <v>40.81</v>
      </c>
      <c r="AS310" s="12">
        <f t="shared" si="1012"/>
        <v>40.81</v>
      </c>
      <c r="AT310" s="12">
        <f t="shared" si="1012"/>
        <v>40.81</v>
      </c>
      <c r="AU310" s="5">
        <f t="shared" si="1012"/>
        <v>40.81</v>
      </c>
      <c r="AV310" s="12">
        <f t="shared" si="1012"/>
        <v>49.7</v>
      </c>
      <c r="AW310" s="12">
        <f t="shared" si="1012"/>
        <v>49.7</v>
      </c>
      <c r="AX310" s="12">
        <f t="shared" si="1012"/>
        <v>49.7</v>
      </c>
      <c r="AY310" s="12">
        <f t="shared" si="1012"/>
        <v>49.7</v>
      </c>
      <c r="AZ310" s="5">
        <f t="shared" si="1005"/>
        <v>49.7</v>
      </c>
      <c r="BA310" s="12">
        <f t="shared" si="1012"/>
        <v>82.36</v>
      </c>
      <c r="BB310" s="12">
        <f t="shared" si="1012"/>
        <v>82.36</v>
      </c>
      <c r="BC310" s="12">
        <f t="shared" si="1012"/>
        <v>82.36</v>
      </c>
      <c r="BD310" s="12">
        <f t="shared" si="1012"/>
        <v>82.36</v>
      </c>
      <c r="BE310" s="5">
        <f t="shared" si="1006"/>
        <v>82.36</v>
      </c>
      <c r="BF310" s="12">
        <f t="shared" si="1012"/>
        <v>95.86</v>
      </c>
      <c r="BG310" s="12">
        <f t="shared" si="1012"/>
        <v>95.86</v>
      </c>
      <c r="BH310" s="12">
        <f t="shared" si="1012"/>
        <v>95.86</v>
      </c>
      <c r="BI310" s="12">
        <f t="shared" si="1012"/>
        <v>95.86</v>
      </c>
      <c r="BJ310" s="5">
        <f t="shared" si="1012"/>
        <v>95.86</v>
      </c>
      <c r="BK310" s="12">
        <f t="shared" si="1012"/>
        <v>71.95</v>
      </c>
      <c r="BL310" s="12">
        <f t="shared" si="1012"/>
        <v>71.95</v>
      </c>
      <c r="BM310" s="12">
        <f t="shared" si="1012"/>
        <v>71.95</v>
      </c>
      <c r="BN310" s="12">
        <f t="shared" si="1012"/>
        <v>71.95</v>
      </c>
      <c r="BO310" s="5">
        <f t="shared" si="1012"/>
        <v>71.95</v>
      </c>
      <c r="BP310" s="12">
        <f t="shared" si="1012"/>
        <v>67.2</v>
      </c>
      <c r="BQ310" s="12">
        <f t="shared" ref="BQ310:CD310" si="1013">SUM(BQ202,BQ256)</f>
        <v>67.2</v>
      </c>
      <c r="BR310" s="12">
        <f t="shared" si="1013"/>
        <v>67.2</v>
      </c>
      <c r="BS310" s="12">
        <f t="shared" si="1013"/>
        <v>67.2</v>
      </c>
      <c r="BT310" s="5">
        <f t="shared" si="1013"/>
        <v>67.2</v>
      </c>
      <c r="BU310" s="12">
        <f t="shared" si="1013"/>
        <v>67.87</v>
      </c>
      <c r="BV310" s="12">
        <f t="shared" si="1013"/>
        <v>67.87</v>
      </c>
      <c r="BW310" s="12">
        <f t="shared" si="1013"/>
        <v>67.87</v>
      </c>
      <c r="BX310" s="12">
        <f t="shared" si="1013"/>
        <v>67.87</v>
      </c>
      <c r="BY310" s="5">
        <f t="shared" si="1013"/>
        <v>67.87</v>
      </c>
      <c r="BZ310" s="12">
        <f t="shared" si="1013"/>
        <v>65.489999999999995</v>
      </c>
      <c r="CA310" s="12">
        <f t="shared" si="1013"/>
        <v>65.489999999999995</v>
      </c>
      <c r="CB310" s="12">
        <f t="shared" si="1013"/>
        <v>65.489999999999995</v>
      </c>
      <c r="CC310" s="12">
        <f t="shared" si="1013"/>
        <v>65.489999999999995</v>
      </c>
      <c r="CD310" s="5">
        <f t="shared" si="1013"/>
        <v>65.489999999999995</v>
      </c>
    </row>
    <row r="311" spans="1:82">
      <c r="A311" s="11"/>
      <c r="B311" s="11" t="s">
        <v>816</v>
      </c>
      <c r="C311" s="52"/>
      <c r="D311" s="52"/>
      <c r="E311" s="5">
        <f t="shared" ref="E311:AJ311" si="1014">SUM(E203,E257)</f>
        <v>0</v>
      </c>
      <c r="F311" s="5">
        <f t="shared" si="1014"/>
        <v>0</v>
      </c>
      <c r="G311" s="5">
        <f t="shared" si="1014"/>
        <v>0</v>
      </c>
      <c r="H311" s="12">
        <f t="shared" si="1014"/>
        <v>0</v>
      </c>
      <c r="I311" s="12">
        <f t="shared" si="1014"/>
        <v>0</v>
      </c>
      <c r="J311" s="12">
        <f t="shared" si="1014"/>
        <v>0</v>
      </c>
      <c r="K311" s="12">
        <f t="shared" si="1014"/>
        <v>0</v>
      </c>
      <c r="L311" s="5">
        <f t="shared" si="1014"/>
        <v>0</v>
      </c>
      <c r="M311" s="12">
        <f t="shared" si="1014"/>
        <v>0</v>
      </c>
      <c r="N311" s="12">
        <f t="shared" si="1014"/>
        <v>0</v>
      </c>
      <c r="O311" s="12">
        <f t="shared" si="1014"/>
        <v>0</v>
      </c>
      <c r="P311" s="12">
        <f t="shared" si="1014"/>
        <v>0</v>
      </c>
      <c r="Q311" s="5">
        <f t="shared" si="1014"/>
        <v>0</v>
      </c>
      <c r="R311" s="12">
        <f t="shared" si="1014"/>
        <v>0</v>
      </c>
      <c r="S311" s="12">
        <f t="shared" si="1014"/>
        <v>0</v>
      </c>
      <c r="T311" s="12">
        <f t="shared" si="1014"/>
        <v>0</v>
      </c>
      <c r="U311" s="12">
        <f t="shared" si="1014"/>
        <v>0</v>
      </c>
      <c r="V311" s="5">
        <f t="shared" si="1014"/>
        <v>0</v>
      </c>
      <c r="W311" s="12">
        <f t="shared" si="1014"/>
        <v>0</v>
      </c>
      <c r="X311" s="12">
        <f t="shared" si="1014"/>
        <v>0</v>
      </c>
      <c r="Y311" s="12">
        <f t="shared" si="1014"/>
        <v>0</v>
      </c>
      <c r="Z311" s="12">
        <f t="shared" si="1014"/>
        <v>0</v>
      </c>
      <c r="AA311" s="5">
        <f t="shared" si="1014"/>
        <v>0</v>
      </c>
      <c r="AB311" s="12">
        <f t="shared" si="1014"/>
        <v>0</v>
      </c>
      <c r="AC311" s="12">
        <f t="shared" si="1014"/>
        <v>0</v>
      </c>
      <c r="AD311" s="12">
        <f t="shared" si="1014"/>
        <v>0</v>
      </c>
      <c r="AE311" s="12">
        <f t="shared" si="1014"/>
        <v>0</v>
      </c>
      <c r="AF311" s="5">
        <f t="shared" si="1014"/>
        <v>0</v>
      </c>
      <c r="AG311" s="12">
        <f t="shared" si="1014"/>
        <v>0</v>
      </c>
      <c r="AH311" s="12">
        <f t="shared" si="1014"/>
        <v>0</v>
      </c>
      <c r="AI311" s="12">
        <f t="shared" si="1014"/>
        <v>0</v>
      </c>
      <c r="AJ311" s="12">
        <f t="shared" si="1014"/>
        <v>0</v>
      </c>
      <c r="AK311" s="5">
        <f t="shared" ref="AK311:BP311" si="1015">SUM(AK203,AK257)</f>
        <v>0</v>
      </c>
      <c r="AL311" s="12">
        <f t="shared" si="1015"/>
        <v>0</v>
      </c>
      <c r="AM311" s="12">
        <f t="shared" si="1015"/>
        <v>0</v>
      </c>
      <c r="AN311" s="12">
        <f t="shared" si="1015"/>
        <v>0</v>
      </c>
      <c r="AO311" s="12">
        <f t="shared" si="1015"/>
        <v>0</v>
      </c>
      <c r="AP311" s="5">
        <f t="shared" si="1015"/>
        <v>0</v>
      </c>
      <c r="AQ311" s="12">
        <f t="shared" si="1015"/>
        <v>0</v>
      </c>
      <c r="AR311" s="12">
        <f t="shared" si="1015"/>
        <v>0</v>
      </c>
      <c r="AS311" s="12">
        <f t="shared" si="1015"/>
        <v>0</v>
      </c>
      <c r="AT311" s="12">
        <f t="shared" si="1015"/>
        <v>0</v>
      </c>
      <c r="AU311" s="5">
        <f t="shared" si="1015"/>
        <v>0</v>
      </c>
      <c r="AV311" s="12">
        <f t="shared" si="1015"/>
        <v>0</v>
      </c>
      <c r="AW311" s="12">
        <f t="shared" si="1015"/>
        <v>0</v>
      </c>
      <c r="AX311" s="12">
        <f t="shared" si="1015"/>
        <v>0</v>
      </c>
      <c r="AY311" s="12">
        <f t="shared" si="1015"/>
        <v>0</v>
      </c>
      <c r="AZ311" s="5">
        <f t="shared" si="1005"/>
        <v>0</v>
      </c>
      <c r="BA311" s="12">
        <f t="shared" si="1015"/>
        <v>0</v>
      </c>
      <c r="BB311" s="12">
        <f t="shared" si="1015"/>
        <v>0</v>
      </c>
      <c r="BC311" s="12">
        <f t="shared" si="1015"/>
        <v>0</v>
      </c>
      <c r="BD311" s="12">
        <f t="shared" si="1015"/>
        <v>0</v>
      </c>
      <c r="BE311" s="5">
        <f t="shared" si="1006"/>
        <v>0</v>
      </c>
      <c r="BF311" s="12">
        <f t="shared" si="1015"/>
        <v>0</v>
      </c>
      <c r="BG311" s="12">
        <f t="shared" si="1015"/>
        <v>0</v>
      </c>
      <c r="BH311" s="12">
        <f t="shared" si="1015"/>
        <v>0</v>
      </c>
      <c r="BI311" s="12">
        <f t="shared" si="1015"/>
        <v>0</v>
      </c>
      <c r="BJ311" s="5">
        <f t="shared" si="1015"/>
        <v>0</v>
      </c>
      <c r="BK311" s="12">
        <f t="shared" si="1015"/>
        <v>0</v>
      </c>
      <c r="BL311" s="12">
        <f t="shared" si="1015"/>
        <v>0</v>
      </c>
      <c r="BM311" s="12">
        <f t="shared" si="1015"/>
        <v>0</v>
      </c>
      <c r="BN311" s="12">
        <f t="shared" si="1015"/>
        <v>0</v>
      </c>
      <c r="BO311" s="5">
        <f t="shared" si="1015"/>
        <v>0</v>
      </c>
      <c r="BP311" s="12">
        <f t="shared" si="1015"/>
        <v>0</v>
      </c>
      <c r="BQ311" s="12">
        <f t="shared" ref="BQ311:CD311" si="1016">SUM(BQ203,BQ257)</f>
        <v>0</v>
      </c>
      <c r="BR311" s="12">
        <f t="shared" si="1016"/>
        <v>0</v>
      </c>
      <c r="BS311" s="12">
        <f t="shared" si="1016"/>
        <v>0</v>
      </c>
      <c r="BT311" s="5">
        <f t="shared" si="1016"/>
        <v>0</v>
      </c>
      <c r="BU311" s="12">
        <f t="shared" si="1016"/>
        <v>0</v>
      </c>
      <c r="BV311" s="12">
        <f t="shared" si="1016"/>
        <v>0</v>
      </c>
      <c r="BW311" s="12">
        <f t="shared" si="1016"/>
        <v>0</v>
      </c>
      <c r="BX311" s="12">
        <f t="shared" si="1016"/>
        <v>0</v>
      </c>
      <c r="BY311" s="5">
        <f t="shared" si="1016"/>
        <v>0</v>
      </c>
      <c r="BZ311" s="12">
        <f t="shared" si="1016"/>
        <v>0</v>
      </c>
      <c r="CA311" s="12">
        <f t="shared" si="1016"/>
        <v>0</v>
      </c>
      <c r="CB311" s="12">
        <f t="shared" si="1016"/>
        <v>0</v>
      </c>
      <c r="CC311" s="12">
        <f t="shared" si="1016"/>
        <v>0</v>
      </c>
      <c r="CD311" s="5">
        <f t="shared" si="1016"/>
        <v>0</v>
      </c>
    </row>
    <row r="312" spans="1:82">
      <c r="A312" s="11"/>
      <c r="B312" s="11" t="s">
        <v>1962</v>
      </c>
      <c r="C312" s="52"/>
      <c r="D312" s="52"/>
      <c r="E312" s="5">
        <f t="shared" ref="E312:AJ312" si="1017">SUM(E204,E258)</f>
        <v>0</v>
      </c>
      <c r="F312" s="5">
        <f t="shared" si="1017"/>
        <v>0</v>
      </c>
      <c r="G312" s="5">
        <f t="shared" si="1017"/>
        <v>0</v>
      </c>
      <c r="H312" s="12">
        <f t="shared" si="1017"/>
        <v>0</v>
      </c>
      <c r="I312" s="12">
        <f t="shared" si="1017"/>
        <v>0</v>
      </c>
      <c r="J312" s="12">
        <f t="shared" si="1017"/>
        <v>0</v>
      </c>
      <c r="K312" s="12">
        <f t="shared" si="1017"/>
        <v>0</v>
      </c>
      <c r="L312" s="5">
        <f t="shared" si="1017"/>
        <v>0</v>
      </c>
      <c r="M312" s="12">
        <f t="shared" si="1017"/>
        <v>0</v>
      </c>
      <c r="N312" s="12">
        <f t="shared" si="1017"/>
        <v>0</v>
      </c>
      <c r="O312" s="12">
        <f t="shared" si="1017"/>
        <v>0</v>
      </c>
      <c r="P312" s="12">
        <f t="shared" si="1017"/>
        <v>0</v>
      </c>
      <c r="Q312" s="5">
        <f t="shared" si="1017"/>
        <v>0</v>
      </c>
      <c r="R312" s="12">
        <f t="shared" si="1017"/>
        <v>0</v>
      </c>
      <c r="S312" s="12">
        <f t="shared" si="1017"/>
        <v>0</v>
      </c>
      <c r="T312" s="12">
        <f t="shared" si="1017"/>
        <v>0</v>
      </c>
      <c r="U312" s="12">
        <f t="shared" si="1017"/>
        <v>0</v>
      </c>
      <c r="V312" s="5">
        <f t="shared" si="1017"/>
        <v>0</v>
      </c>
      <c r="W312" s="12">
        <f t="shared" si="1017"/>
        <v>0</v>
      </c>
      <c r="X312" s="12">
        <f t="shared" si="1017"/>
        <v>0</v>
      </c>
      <c r="Y312" s="12">
        <f t="shared" si="1017"/>
        <v>0</v>
      </c>
      <c r="Z312" s="12">
        <f t="shared" si="1017"/>
        <v>0</v>
      </c>
      <c r="AA312" s="5">
        <f t="shared" si="1017"/>
        <v>0</v>
      </c>
      <c r="AB312" s="12">
        <f t="shared" si="1017"/>
        <v>0</v>
      </c>
      <c r="AC312" s="12">
        <f t="shared" si="1017"/>
        <v>0</v>
      </c>
      <c r="AD312" s="12">
        <f t="shared" si="1017"/>
        <v>0</v>
      </c>
      <c r="AE312" s="12">
        <f t="shared" si="1017"/>
        <v>0</v>
      </c>
      <c r="AF312" s="5">
        <f t="shared" si="1017"/>
        <v>0</v>
      </c>
      <c r="AG312" s="12">
        <f t="shared" si="1017"/>
        <v>0</v>
      </c>
      <c r="AH312" s="12">
        <f t="shared" si="1017"/>
        <v>0</v>
      </c>
      <c r="AI312" s="12">
        <f t="shared" si="1017"/>
        <v>0</v>
      </c>
      <c r="AJ312" s="12">
        <f t="shared" si="1017"/>
        <v>0</v>
      </c>
      <c r="AK312" s="5">
        <f t="shared" ref="AK312:BP312" si="1018">SUM(AK204,AK258)</f>
        <v>0</v>
      </c>
      <c r="AL312" s="12">
        <f t="shared" si="1018"/>
        <v>0</v>
      </c>
      <c r="AM312" s="12">
        <f t="shared" si="1018"/>
        <v>0</v>
      </c>
      <c r="AN312" s="12">
        <f t="shared" si="1018"/>
        <v>0</v>
      </c>
      <c r="AO312" s="12">
        <f t="shared" si="1018"/>
        <v>0</v>
      </c>
      <c r="AP312" s="5">
        <f t="shared" si="1018"/>
        <v>0</v>
      </c>
      <c r="AQ312" s="12">
        <f t="shared" si="1018"/>
        <v>0</v>
      </c>
      <c r="AR312" s="12">
        <f t="shared" si="1018"/>
        <v>0</v>
      </c>
      <c r="AS312" s="12">
        <f t="shared" si="1018"/>
        <v>0</v>
      </c>
      <c r="AT312" s="12">
        <f t="shared" si="1018"/>
        <v>0</v>
      </c>
      <c r="AU312" s="5">
        <f t="shared" si="1018"/>
        <v>0</v>
      </c>
      <c r="AV312" s="12">
        <f t="shared" si="1018"/>
        <v>0</v>
      </c>
      <c r="AW312" s="12">
        <f t="shared" si="1018"/>
        <v>0</v>
      </c>
      <c r="AX312" s="12">
        <f t="shared" si="1018"/>
        <v>0</v>
      </c>
      <c r="AY312" s="12">
        <f t="shared" si="1018"/>
        <v>0</v>
      </c>
      <c r="AZ312" s="5">
        <f t="shared" si="1005"/>
        <v>0</v>
      </c>
      <c r="BA312" s="12">
        <f t="shared" si="1018"/>
        <v>0</v>
      </c>
      <c r="BB312" s="12">
        <f t="shared" si="1018"/>
        <v>0</v>
      </c>
      <c r="BC312" s="12">
        <f t="shared" si="1018"/>
        <v>0</v>
      </c>
      <c r="BD312" s="12">
        <f t="shared" si="1018"/>
        <v>0</v>
      </c>
      <c r="BE312" s="5">
        <f t="shared" si="1006"/>
        <v>0</v>
      </c>
      <c r="BF312" s="12">
        <f t="shared" si="1018"/>
        <v>0</v>
      </c>
      <c r="BG312" s="12">
        <f t="shared" si="1018"/>
        <v>0</v>
      </c>
      <c r="BH312" s="12">
        <f t="shared" si="1018"/>
        <v>0</v>
      </c>
      <c r="BI312" s="12">
        <f t="shared" si="1018"/>
        <v>0</v>
      </c>
      <c r="BJ312" s="5">
        <f t="shared" si="1018"/>
        <v>0</v>
      </c>
      <c r="BK312" s="12">
        <f t="shared" si="1018"/>
        <v>0</v>
      </c>
      <c r="BL312" s="12">
        <f t="shared" si="1018"/>
        <v>0</v>
      </c>
      <c r="BM312" s="12">
        <f t="shared" si="1018"/>
        <v>0</v>
      </c>
      <c r="BN312" s="12">
        <f t="shared" si="1018"/>
        <v>0</v>
      </c>
      <c r="BO312" s="5">
        <f t="shared" si="1018"/>
        <v>0</v>
      </c>
      <c r="BP312" s="12">
        <f t="shared" si="1018"/>
        <v>0</v>
      </c>
      <c r="BQ312" s="12">
        <f t="shared" ref="BQ312:CD312" si="1019">SUM(BQ204,BQ258)</f>
        <v>0</v>
      </c>
      <c r="BR312" s="12">
        <f t="shared" si="1019"/>
        <v>0</v>
      </c>
      <c r="BS312" s="12">
        <f t="shared" si="1019"/>
        <v>0</v>
      </c>
      <c r="BT312" s="5">
        <f t="shared" si="1019"/>
        <v>0</v>
      </c>
      <c r="BU312" s="12">
        <f t="shared" si="1019"/>
        <v>0</v>
      </c>
      <c r="BV312" s="12">
        <f t="shared" si="1019"/>
        <v>0</v>
      </c>
      <c r="BW312" s="12">
        <f t="shared" si="1019"/>
        <v>0</v>
      </c>
      <c r="BX312" s="12">
        <f t="shared" si="1019"/>
        <v>0</v>
      </c>
      <c r="BY312" s="5">
        <f t="shared" si="1019"/>
        <v>0</v>
      </c>
      <c r="BZ312" s="12">
        <f t="shared" si="1019"/>
        <v>0</v>
      </c>
      <c r="CA312" s="12">
        <f t="shared" si="1019"/>
        <v>0</v>
      </c>
      <c r="CB312" s="12">
        <f t="shared" si="1019"/>
        <v>0</v>
      </c>
      <c r="CC312" s="12">
        <f t="shared" si="1019"/>
        <v>0</v>
      </c>
      <c r="CD312" s="5">
        <f t="shared" si="1019"/>
        <v>0</v>
      </c>
    </row>
    <row r="313" spans="1:82">
      <c r="A313" s="11"/>
      <c r="B313" s="11" t="s">
        <v>3277</v>
      </c>
      <c r="C313" s="52"/>
      <c r="D313" s="52"/>
      <c r="E313" s="5">
        <f t="shared" ref="E313:AJ313" si="1020">SUM(E205,E259)</f>
        <v>0</v>
      </c>
      <c r="F313" s="5">
        <f t="shared" si="1020"/>
        <v>0</v>
      </c>
      <c r="G313" s="5">
        <f t="shared" si="1020"/>
        <v>0</v>
      </c>
      <c r="H313" s="12">
        <f t="shared" si="1020"/>
        <v>0</v>
      </c>
      <c r="I313" s="12">
        <f t="shared" si="1020"/>
        <v>0</v>
      </c>
      <c r="J313" s="12">
        <f t="shared" si="1020"/>
        <v>0</v>
      </c>
      <c r="K313" s="12">
        <f t="shared" si="1020"/>
        <v>0</v>
      </c>
      <c r="L313" s="5">
        <f t="shared" si="1020"/>
        <v>0</v>
      </c>
      <c r="M313" s="12">
        <f t="shared" si="1020"/>
        <v>0</v>
      </c>
      <c r="N313" s="12">
        <f t="shared" si="1020"/>
        <v>0</v>
      </c>
      <c r="O313" s="12">
        <f t="shared" si="1020"/>
        <v>0</v>
      </c>
      <c r="P313" s="12">
        <f t="shared" si="1020"/>
        <v>0</v>
      </c>
      <c r="Q313" s="5">
        <f t="shared" si="1020"/>
        <v>0</v>
      </c>
      <c r="R313" s="12">
        <f t="shared" si="1020"/>
        <v>0</v>
      </c>
      <c r="S313" s="12">
        <f t="shared" si="1020"/>
        <v>0</v>
      </c>
      <c r="T313" s="12">
        <f t="shared" si="1020"/>
        <v>0</v>
      </c>
      <c r="U313" s="12">
        <f t="shared" si="1020"/>
        <v>0</v>
      </c>
      <c r="V313" s="5">
        <f t="shared" si="1020"/>
        <v>0</v>
      </c>
      <c r="W313" s="12">
        <f t="shared" si="1020"/>
        <v>0</v>
      </c>
      <c r="X313" s="12">
        <f t="shared" si="1020"/>
        <v>0</v>
      </c>
      <c r="Y313" s="12">
        <f t="shared" si="1020"/>
        <v>0</v>
      </c>
      <c r="Z313" s="12">
        <f t="shared" si="1020"/>
        <v>0</v>
      </c>
      <c r="AA313" s="5">
        <f t="shared" si="1020"/>
        <v>0</v>
      </c>
      <c r="AB313" s="12">
        <f t="shared" si="1020"/>
        <v>0</v>
      </c>
      <c r="AC313" s="12">
        <f t="shared" si="1020"/>
        <v>0</v>
      </c>
      <c r="AD313" s="12">
        <f t="shared" si="1020"/>
        <v>0</v>
      </c>
      <c r="AE313" s="12">
        <f t="shared" si="1020"/>
        <v>0</v>
      </c>
      <c r="AF313" s="5">
        <f t="shared" si="1020"/>
        <v>0</v>
      </c>
      <c r="AG313" s="12">
        <f t="shared" si="1020"/>
        <v>0</v>
      </c>
      <c r="AH313" s="12">
        <f t="shared" si="1020"/>
        <v>0</v>
      </c>
      <c r="AI313" s="12">
        <f t="shared" si="1020"/>
        <v>0</v>
      </c>
      <c r="AJ313" s="12">
        <f t="shared" si="1020"/>
        <v>0</v>
      </c>
      <c r="AK313" s="5">
        <f t="shared" ref="AK313:BP313" si="1021">SUM(AK205,AK259)</f>
        <v>0</v>
      </c>
      <c r="AL313" s="12">
        <f t="shared" si="1021"/>
        <v>0</v>
      </c>
      <c r="AM313" s="12">
        <f t="shared" si="1021"/>
        <v>0</v>
      </c>
      <c r="AN313" s="12">
        <f t="shared" si="1021"/>
        <v>0</v>
      </c>
      <c r="AO313" s="12">
        <f t="shared" si="1021"/>
        <v>0</v>
      </c>
      <c r="AP313" s="5">
        <f t="shared" si="1021"/>
        <v>0</v>
      </c>
      <c r="AQ313" s="12">
        <f t="shared" si="1021"/>
        <v>0</v>
      </c>
      <c r="AR313" s="12">
        <f t="shared" si="1021"/>
        <v>0</v>
      </c>
      <c r="AS313" s="12">
        <f t="shared" si="1021"/>
        <v>0</v>
      </c>
      <c r="AT313" s="12">
        <f t="shared" si="1021"/>
        <v>0</v>
      </c>
      <c r="AU313" s="5">
        <f t="shared" si="1021"/>
        <v>0</v>
      </c>
      <c r="AV313" s="12">
        <f t="shared" si="1021"/>
        <v>0</v>
      </c>
      <c r="AW313" s="12">
        <f t="shared" si="1021"/>
        <v>0</v>
      </c>
      <c r="AX313" s="12">
        <f t="shared" si="1021"/>
        <v>0</v>
      </c>
      <c r="AY313" s="12">
        <f t="shared" si="1021"/>
        <v>0</v>
      </c>
      <c r="AZ313" s="5">
        <f t="shared" si="1005"/>
        <v>0</v>
      </c>
      <c r="BA313" s="12">
        <f t="shared" si="1021"/>
        <v>0</v>
      </c>
      <c r="BB313" s="12">
        <f t="shared" si="1021"/>
        <v>0</v>
      </c>
      <c r="BC313" s="12">
        <f t="shared" si="1021"/>
        <v>0</v>
      </c>
      <c r="BD313" s="12">
        <f t="shared" si="1021"/>
        <v>0</v>
      </c>
      <c r="BE313" s="5">
        <f t="shared" si="1006"/>
        <v>0</v>
      </c>
      <c r="BF313" s="12">
        <f t="shared" si="1021"/>
        <v>0</v>
      </c>
      <c r="BG313" s="12">
        <f t="shared" si="1021"/>
        <v>0</v>
      </c>
      <c r="BH313" s="12">
        <f t="shared" si="1021"/>
        <v>0</v>
      </c>
      <c r="BI313" s="12">
        <f t="shared" si="1021"/>
        <v>0</v>
      </c>
      <c r="BJ313" s="5">
        <f t="shared" si="1021"/>
        <v>0</v>
      </c>
      <c r="BK313" s="12">
        <f t="shared" si="1021"/>
        <v>0</v>
      </c>
      <c r="BL313" s="12">
        <f t="shared" si="1021"/>
        <v>0</v>
      </c>
      <c r="BM313" s="12">
        <f t="shared" si="1021"/>
        <v>0</v>
      </c>
      <c r="BN313" s="12">
        <f t="shared" si="1021"/>
        <v>0</v>
      </c>
      <c r="BO313" s="5">
        <f t="shared" si="1021"/>
        <v>0</v>
      </c>
      <c r="BP313" s="12">
        <f t="shared" si="1021"/>
        <v>0</v>
      </c>
      <c r="BQ313" s="12">
        <f t="shared" ref="BQ313:CD313" si="1022">SUM(BQ205,BQ259)</f>
        <v>0</v>
      </c>
      <c r="BR313" s="12">
        <f t="shared" si="1022"/>
        <v>0</v>
      </c>
      <c r="BS313" s="12">
        <f t="shared" si="1022"/>
        <v>0</v>
      </c>
      <c r="BT313" s="5">
        <f t="shared" si="1022"/>
        <v>0</v>
      </c>
      <c r="BU313" s="12">
        <f t="shared" si="1022"/>
        <v>0</v>
      </c>
      <c r="BV313" s="12">
        <f t="shared" si="1022"/>
        <v>0</v>
      </c>
      <c r="BW313" s="12">
        <f t="shared" si="1022"/>
        <v>0</v>
      </c>
      <c r="BX313" s="12">
        <f t="shared" si="1022"/>
        <v>0</v>
      </c>
      <c r="BY313" s="5">
        <f t="shared" si="1022"/>
        <v>0</v>
      </c>
      <c r="BZ313" s="12">
        <f t="shared" si="1022"/>
        <v>0</v>
      </c>
      <c r="CA313" s="12">
        <f t="shared" si="1022"/>
        <v>0</v>
      </c>
      <c r="CB313" s="12">
        <f t="shared" si="1022"/>
        <v>0</v>
      </c>
      <c r="CC313" s="12">
        <f t="shared" si="1022"/>
        <v>0</v>
      </c>
      <c r="CD313" s="5">
        <f t="shared" si="1022"/>
        <v>0</v>
      </c>
    </row>
    <row r="314" spans="1:82">
      <c r="A314" s="11"/>
      <c r="B314" s="11" t="s">
        <v>3278</v>
      </c>
      <c r="C314" s="52"/>
      <c r="D314" s="52"/>
      <c r="E314" s="5">
        <f t="shared" ref="E314:AJ314" si="1023">SUM(E206,E260)</f>
        <v>0</v>
      </c>
      <c r="F314" s="5">
        <f t="shared" si="1023"/>
        <v>0</v>
      </c>
      <c r="G314" s="5">
        <f t="shared" si="1023"/>
        <v>0</v>
      </c>
      <c r="H314" s="12">
        <f t="shared" si="1023"/>
        <v>0</v>
      </c>
      <c r="I314" s="12">
        <f t="shared" si="1023"/>
        <v>0</v>
      </c>
      <c r="J314" s="12">
        <f t="shared" si="1023"/>
        <v>0</v>
      </c>
      <c r="K314" s="12">
        <f t="shared" si="1023"/>
        <v>0</v>
      </c>
      <c r="L314" s="5">
        <f t="shared" si="1023"/>
        <v>0</v>
      </c>
      <c r="M314" s="12">
        <f t="shared" si="1023"/>
        <v>0</v>
      </c>
      <c r="N314" s="12">
        <f t="shared" si="1023"/>
        <v>0</v>
      </c>
      <c r="O314" s="12">
        <f t="shared" si="1023"/>
        <v>0</v>
      </c>
      <c r="P314" s="12">
        <f t="shared" si="1023"/>
        <v>0</v>
      </c>
      <c r="Q314" s="5">
        <f t="shared" si="1023"/>
        <v>0</v>
      </c>
      <c r="R314" s="12">
        <f t="shared" si="1023"/>
        <v>0</v>
      </c>
      <c r="S314" s="12">
        <f t="shared" si="1023"/>
        <v>0</v>
      </c>
      <c r="T314" s="12">
        <f t="shared" si="1023"/>
        <v>0</v>
      </c>
      <c r="U314" s="12">
        <f t="shared" si="1023"/>
        <v>0</v>
      </c>
      <c r="V314" s="5">
        <f t="shared" si="1023"/>
        <v>0</v>
      </c>
      <c r="W314" s="12">
        <f t="shared" si="1023"/>
        <v>0</v>
      </c>
      <c r="X314" s="12">
        <f t="shared" si="1023"/>
        <v>0</v>
      </c>
      <c r="Y314" s="12">
        <f t="shared" si="1023"/>
        <v>0</v>
      </c>
      <c r="Z314" s="12">
        <f t="shared" si="1023"/>
        <v>0</v>
      </c>
      <c r="AA314" s="5">
        <f t="shared" si="1023"/>
        <v>0</v>
      </c>
      <c r="AB314" s="12">
        <f t="shared" si="1023"/>
        <v>0</v>
      </c>
      <c r="AC314" s="12">
        <f t="shared" si="1023"/>
        <v>0</v>
      </c>
      <c r="AD314" s="12">
        <f t="shared" si="1023"/>
        <v>0</v>
      </c>
      <c r="AE314" s="12">
        <f t="shared" si="1023"/>
        <v>0</v>
      </c>
      <c r="AF314" s="5">
        <f t="shared" si="1023"/>
        <v>0</v>
      </c>
      <c r="AG314" s="12">
        <f t="shared" si="1023"/>
        <v>0</v>
      </c>
      <c r="AH314" s="12">
        <f t="shared" si="1023"/>
        <v>0</v>
      </c>
      <c r="AI314" s="12">
        <f t="shared" si="1023"/>
        <v>0</v>
      </c>
      <c r="AJ314" s="12">
        <f t="shared" si="1023"/>
        <v>0</v>
      </c>
      <c r="AK314" s="5">
        <f t="shared" ref="AK314:BP314" si="1024">SUM(AK206,AK260)</f>
        <v>0</v>
      </c>
      <c r="AL314" s="12">
        <f t="shared" si="1024"/>
        <v>0</v>
      </c>
      <c r="AM314" s="12">
        <f t="shared" si="1024"/>
        <v>0</v>
      </c>
      <c r="AN314" s="12">
        <f t="shared" si="1024"/>
        <v>0</v>
      </c>
      <c r="AO314" s="12">
        <f t="shared" si="1024"/>
        <v>0</v>
      </c>
      <c r="AP314" s="5">
        <f t="shared" si="1024"/>
        <v>0</v>
      </c>
      <c r="AQ314" s="12">
        <f t="shared" si="1024"/>
        <v>0</v>
      </c>
      <c r="AR314" s="12">
        <f t="shared" si="1024"/>
        <v>0</v>
      </c>
      <c r="AS314" s="12">
        <f t="shared" si="1024"/>
        <v>0</v>
      </c>
      <c r="AT314" s="12">
        <f t="shared" si="1024"/>
        <v>0</v>
      </c>
      <c r="AU314" s="5">
        <f t="shared" si="1024"/>
        <v>0</v>
      </c>
      <c r="AV314" s="12">
        <f t="shared" si="1024"/>
        <v>0</v>
      </c>
      <c r="AW314" s="12">
        <f t="shared" si="1024"/>
        <v>0</v>
      </c>
      <c r="AX314" s="12">
        <f t="shared" si="1024"/>
        <v>0</v>
      </c>
      <c r="AY314" s="12">
        <f t="shared" si="1024"/>
        <v>0</v>
      </c>
      <c r="AZ314" s="5">
        <f t="shared" si="1005"/>
        <v>0</v>
      </c>
      <c r="BA314" s="12">
        <f t="shared" si="1024"/>
        <v>0</v>
      </c>
      <c r="BB314" s="12">
        <f t="shared" si="1024"/>
        <v>0</v>
      </c>
      <c r="BC314" s="12">
        <f t="shared" si="1024"/>
        <v>0</v>
      </c>
      <c r="BD314" s="12">
        <f t="shared" si="1024"/>
        <v>0</v>
      </c>
      <c r="BE314" s="5">
        <f t="shared" si="1006"/>
        <v>0</v>
      </c>
      <c r="BF314" s="12">
        <f t="shared" si="1024"/>
        <v>0</v>
      </c>
      <c r="BG314" s="12">
        <f t="shared" si="1024"/>
        <v>0</v>
      </c>
      <c r="BH314" s="12">
        <f t="shared" si="1024"/>
        <v>0</v>
      </c>
      <c r="BI314" s="12">
        <f t="shared" si="1024"/>
        <v>0</v>
      </c>
      <c r="BJ314" s="5">
        <f t="shared" si="1024"/>
        <v>0</v>
      </c>
      <c r="BK314" s="12">
        <f t="shared" si="1024"/>
        <v>0</v>
      </c>
      <c r="BL314" s="12">
        <f t="shared" si="1024"/>
        <v>0</v>
      </c>
      <c r="BM314" s="12">
        <f t="shared" si="1024"/>
        <v>0</v>
      </c>
      <c r="BN314" s="12">
        <f t="shared" si="1024"/>
        <v>0</v>
      </c>
      <c r="BO314" s="5">
        <f t="shared" si="1024"/>
        <v>0</v>
      </c>
      <c r="BP314" s="12">
        <f t="shared" si="1024"/>
        <v>0</v>
      </c>
      <c r="BQ314" s="12">
        <f t="shared" ref="BQ314:CD314" si="1025">SUM(BQ206,BQ260)</f>
        <v>0</v>
      </c>
      <c r="BR314" s="12">
        <f t="shared" si="1025"/>
        <v>0</v>
      </c>
      <c r="BS314" s="12">
        <f t="shared" si="1025"/>
        <v>0</v>
      </c>
      <c r="BT314" s="5">
        <f t="shared" si="1025"/>
        <v>0</v>
      </c>
      <c r="BU314" s="12">
        <f t="shared" si="1025"/>
        <v>0</v>
      </c>
      <c r="BV314" s="12">
        <f t="shared" si="1025"/>
        <v>0</v>
      </c>
      <c r="BW314" s="12">
        <f t="shared" si="1025"/>
        <v>0</v>
      </c>
      <c r="BX314" s="12">
        <f t="shared" si="1025"/>
        <v>0</v>
      </c>
      <c r="BY314" s="5">
        <f t="shared" si="1025"/>
        <v>0</v>
      </c>
      <c r="BZ314" s="12">
        <f t="shared" si="1025"/>
        <v>0</v>
      </c>
      <c r="CA314" s="12">
        <f t="shared" si="1025"/>
        <v>0</v>
      </c>
      <c r="CB314" s="12">
        <f t="shared" si="1025"/>
        <v>0</v>
      </c>
      <c r="CC314" s="12">
        <f t="shared" si="1025"/>
        <v>0</v>
      </c>
      <c r="CD314" s="5">
        <f t="shared" si="1025"/>
        <v>0</v>
      </c>
    </row>
    <row r="315" spans="1:82">
      <c r="A315" s="47"/>
      <c r="B315" s="47" t="s">
        <v>1703</v>
      </c>
      <c r="C315" s="52"/>
      <c r="D315" s="52"/>
      <c r="E315" s="5">
        <f t="shared" ref="E315:AJ315" si="1026">SUM(E207,E261)</f>
        <v>3.89</v>
      </c>
      <c r="F315" s="5">
        <f t="shared" si="1026"/>
        <v>0</v>
      </c>
      <c r="G315" s="5">
        <f t="shared" si="1026"/>
        <v>0</v>
      </c>
      <c r="H315" s="12">
        <f t="shared" si="1026"/>
        <v>0</v>
      </c>
      <c r="I315" s="12">
        <f t="shared" si="1026"/>
        <v>0</v>
      </c>
      <c r="J315" s="12">
        <f t="shared" si="1026"/>
        <v>0</v>
      </c>
      <c r="K315" s="12">
        <f t="shared" si="1026"/>
        <v>0</v>
      </c>
      <c r="L315" s="5">
        <f t="shared" si="1026"/>
        <v>0</v>
      </c>
      <c r="M315" s="12">
        <f t="shared" si="1026"/>
        <v>0</v>
      </c>
      <c r="N315" s="12">
        <f t="shared" si="1026"/>
        <v>0</v>
      </c>
      <c r="O315" s="12">
        <f t="shared" si="1026"/>
        <v>0</v>
      </c>
      <c r="P315" s="12">
        <f t="shared" si="1026"/>
        <v>0</v>
      </c>
      <c r="Q315" s="5">
        <f t="shared" si="1026"/>
        <v>0</v>
      </c>
      <c r="R315" s="12">
        <f t="shared" si="1026"/>
        <v>0</v>
      </c>
      <c r="S315" s="12">
        <f t="shared" si="1026"/>
        <v>0</v>
      </c>
      <c r="T315" s="12">
        <f t="shared" si="1026"/>
        <v>0</v>
      </c>
      <c r="U315" s="12">
        <f t="shared" si="1026"/>
        <v>0</v>
      </c>
      <c r="V315" s="5">
        <f t="shared" si="1026"/>
        <v>0</v>
      </c>
      <c r="W315" s="12">
        <f t="shared" si="1026"/>
        <v>0</v>
      </c>
      <c r="X315" s="12">
        <f t="shared" si="1026"/>
        <v>0</v>
      </c>
      <c r="Y315" s="12">
        <f t="shared" si="1026"/>
        <v>0</v>
      </c>
      <c r="Z315" s="12">
        <f t="shared" si="1026"/>
        <v>0</v>
      </c>
      <c r="AA315" s="5">
        <f t="shared" si="1026"/>
        <v>0</v>
      </c>
      <c r="AB315" s="12">
        <f t="shared" si="1026"/>
        <v>0</v>
      </c>
      <c r="AC315" s="12">
        <f t="shared" si="1026"/>
        <v>0</v>
      </c>
      <c r="AD315" s="12">
        <f t="shared" si="1026"/>
        <v>0</v>
      </c>
      <c r="AE315" s="12">
        <f t="shared" si="1026"/>
        <v>0</v>
      </c>
      <c r="AF315" s="5">
        <f t="shared" si="1026"/>
        <v>0</v>
      </c>
      <c r="AG315" s="12">
        <f t="shared" si="1026"/>
        <v>0</v>
      </c>
      <c r="AH315" s="12">
        <f t="shared" si="1026"/>
        <v>0</v>
      </c>
      <c r="AI315" s="12">
        <f t="shared" si="1026"/>
        <v>0</v>
      </c>
      <c r="AJ315" s="12">
        <f t="shared" si="1026"/>
        <v>0</v>
      </c>
      <c r="AK315" s="5">
        <f t="shared" ref="AK315:BP315" si="1027">SUM(AK207,AK261)</f>
        <v>0</v>
      </c>
      <c r="AL315" s="12">
        <f t="shared" si="1027"/>
        <v>0</v>
      </c>
      <c r="AM315" s="12">
        <f t="shared" si="1027"/>
        <v>0</v>
      </c>
      <c r="AN315" s="12">
        <f t="shared" si="1027"/>
        <v>0</v>
      </c>
      <c r="AO315" s="12">
        <f t="shared" si="1027"/>
        <v>0</v>
      </c>
      <c r="AP315" s="5">
        <f t="shared" si="1027"/>
        <v>0</v>
      </c>
      <c r="AQ315" s="12">
        <f t="shared" si="1027"/>
        <v>597.15981499999998</v>
      </c>
      <c r="AR315" s="12">
        <f>SUM(AR207,AR261)</f>
        <v>597.15981499999998</v>
      </c>
      <c r="AS315" s="12">
        <f t="shared" si="1027"/>
        <v>597.15981499999998</v>
      </c>
      <c r="AT315" s="12">
        <f t="shared" si="1027"/>
        <v>597.15981499999998</v>
      </c>
      <c r="AU315" s="5">
        <f t="shared" si="1027"/>
        <v>597.15981499999998</v>
      </c>
      <c r="AV315" s="12">
        <f t="shared" si="1027"/>
        <v>756.42954250000014</v>
      </c>
      <c r="AW315" s="12">
        <f t="shared" si="1027"/>
        <v>756.42954250000014</v>
      </c>
      <c r="AX315" s="12">
        <f t="shared" si="1027"/>
        <v>756.42954250000014</v>
      </c>
      <c r="AY315" s="12">
        <f t="shared" si="1027"/>
        <v>756.42954250000014</v>
      </c>
      <c r="AZ315" s="5">
        <f t="shared" si="1005"/>
        <v>756.42954250000014</v>
      </c>
      <c r="BA315" s="12">
        <f t="shared" si="1027"/>
        <v>760.20949500000017</v>
      </c>
      <c r="BB315" s="12">
        <f t="shared" si="1027"/>
        <v>760.20949500000017</v>
      </c>
      <c r="BC315" s="12">
        <f t="shared" si="1027"/>
        <v>760.20949500000017</v>
      </c>
      <c r="BD315" s="12">
        <f t="shared" si="1027"/>
        <v>760.20949500000017</v>
      </c>
      <c r="BE315" s="5">
        <f t="shared" si="1006"/>
        <v>760.20949500000017</v>
      </c>
      <c r="BF315" s="12">
        <f t="shared" si="1027"/>
        <v>751.82257500000003</v>
      </c>
      <c r="BG315" s="12">
        <f t="shared" si="1027"/>
        <v>751.82257500000003</v>
      </c>
      <c r="BH315" s="12">
        <f t="shared" si="1027"/>
        <v>751.82257500000003</v>
      </c>
      <c r="BI315" s="12">
        <f t="shared" si="1027"/>
        <v>751.82257500000003</v>
      </c>
      <c r="BJ315" s="5">
        <f t="shared" si="1027"/>
        <v>751.82257500000003</v>
      </c>
      <c r="BK315" s="12">
        <f t="shared" si="1027"/>
        <v>763.39300500000024</v>
      </c>
      <c r="BL315" s="12">
        <f t="shared" si="1027"/>
        <v>763.39300500000024</v>
      </c>
      <c r="BM315" s="12">
        <f t="shared" si="1027"/>
        <v>763.39300500000024</v>
      </c>
      <c r="BN315" s="12">
        <f t="shared" si="1027"/>
        <v>763.39300500000024</v>
      </c>
      <c r="BO315" s="5">
        <f t="shared" si="1027"/>
        <v>763.39300500000024</v>
      </c>
      <c r="BP315" s="12">
        <f t="shared" si="1027"/>
        <v>764.74934250000024</v>
      </c>
      <c r="BQ315" s="12">
        <f t="shared" ref="BQ315:CD315" si="1028">SUM(BQ207,BQ261)</f>
        <v>764.74934250000024</v>
      </c>
      <c r="BR315" s="12">
        <f t="shared" si="1028"/>
        <v>764.74934250000024</v>
      </c>
      <c r="BS315" s="12">
        <f t="shared" si="1028"/>
        <v>764.74934250000024</v>
      </c>
      <c r="BT315" s="5">
        <f t="shared" si="1028"/>
        <v>764.74934250000024</v>
      </c>
      <c r="BU315" s="12">
        <f t="shared" si="1028"/>
        <v>808.602665</v>
      </c>
      <c r="BV315" s="12">
        <f t="shared" si="1028"/>
        <v>808.602665</v>
      </c>
      <c r="BW315" s="12">
        <f t="shared" si="1028"/>
        <v>808.602665</v>
      </c>
      <c r="BX315" s="12">
        <f t="shared" si="1028"/>
        <v>808.602665</v>
      </c>
      <c r="BY315" s="5">
        <f t="shared" si="1028"/>
        <v>808.602665</v>
      </c>
      <c r="BZ315" s="12">
        <f t="shared" si="1028"/>
        <v>839.80802250000022</v>
      </c>
      <c r="CA315" s="12">
        <f t="shared" si="1028"/>
        <v>839.80802250000022</v>
      </c>
      <c r="CB315" s="12">
        <f t="shared" si="1028"/>
        <v>839.80802250000022</v>
      </c>
      <c r="CC315" s="12">
        <f t="shared" si="1028"/>
        <v>839.80802250000022</v>
      </c>
      <c r="CD315" s="5">
        <f t="shared" si="1028"/>
        <v>839.80802250000022</v>
      </c>
    </row>
    <row r="316" spans="1:82">
      <c r="A316" s="47"/>
      <c r="B316" s="47" t="s">
        <v>1961</v>
      </c>
      <c r="C316" s="52"/>
      <c r="D316" s="52"/>
      <c r="E316" s="5">
        <f t="shared" ref="E316:AJ316" si="1029">SUM(E208,E262)</f>
        <v>0</v>
      </c>
      <c r="F316" s="5">
        <f t="shared" si="1029"/>
        <v>0</v>
      </c>
      <c r="G316" s="5">
        <f t="shared" si="1029"/>
        <v>0</v>
      </c>
      <c r="H316" s="12">
        <f t="shared" si="1029"/>
        <v>0</v>
      </c>
      <c r="I316" s="12">
        <f t="shared" si="1029"/>
        <v>0</v>
      </c>
      <c r="J316" s="12">
        <f t="shared" si="1029"/>
        <v>0</v>
      </c>
      <c r="K316" s="12">
        <f t="shared" si="1029"/>
        <v>0</v>
      </c>
      <c r="L316" s="5">
        <f t="shared" si="1029"/>
        <v>0</v>
      </c>
      <c r="M316" s="12">
        <f t="shared" si="1029"/>
        <v>0</v>
      </c>
      <c r="N316" s="12">
        <f t="shared" si="1029"/>
        <v>0</v>
      </c>
      <c r="O316" s="12">
        <f t="shared" si="1029"/>
        <v>0</v>
      </c>
      <c r="P316" s="12">
        <f t="shared" si="1029"/>
        <v>0</v>
      </c>
      <c r="Q316" s="5">
        <f t="shared" si="1029"/>
        <v>0</v>
      </c>
      <c r="R316" s="12">
        <f t="shared" si="1029"/>
        <v>0</v>
      </c>
      <c r="S316" s="12">
        <f t="shared" si="1029"/>
        <v>0</v>
      </c>
      <c r="T316" s="12">
        <f t="shared" si="1029"/>
        <v>0</v>
      </c>
      <c r="U316" s="12">
        <f t="shared" si="1029"/>
        <v>0</v>
      </c>
      <c r="V316" s="5">
        <f t="shared" si="1029"/>
        <v>0</v>
      </c>
      <c r="W316" s="12">
        <f t="shared" si="1029"/>
        <v>0</v>
      </c>
      <c r="X316" s="12">
        <f t="shared" si="1029"/>
        <v>0</v>
      </c>
      <c r="Y316" s="12">
        <f t="shared" si="1029"/>
        <v>0</v>
      </c>
      <c r="Z316" s="12">
        <f t="shared" si="1029"/>
        <v>0</v>
      </c>
      <c r="AA316" s="5">
        <f t="shared" si="1029"/>
        <v>0</v>
      </c>
      <c r="AB316" s="12">
        <f t="shared" si="1029"/>
        <v>0</v>
      </c>
      <c r="AC316" s="12">
        <f t="shared" si="1029"/>
        <v>0</v>
      </c>
      <c r="AD316" s="12">
        <f t="shared" si="1029"/>
        <v>0</v>
      </c>
      <c r="AE316" s="12">
        <f t="shared" si="1029"/>
        <v>0</v>
      </c>
      <c r="AF316" s="5">
        <f t="shared" si="1029"/>
        <v>0</v>
      </c>
      <c r="AG316" s="12">
        <f t="shared" si="1029"/>
        <v>0</v>
      </c>
      <c r="AH316" s="12">
        <f t="shared" si="1029"/>
        <v>0</v>
      </c>
      <c r="AI316" s="12">
        <f t="shared" si="1029"/>
        <v>0</v>
      </c>
      <c r="AJ316" s="12">
        <f t="shared" si="1029"/>
        <v>0</v>
      </c>
      <c r="AK316" s="5">
        <f t="shared" ref="AK316:BP316" si="1030">SUM(AK208,AK262)</f>
        <v>0</v>
      </c>
      <c r="AL316" s="12">
        <f t="shared" si="1030"/>
        <v>0</v>
      </c>
      <c r="AM316" s="12">
        <f t="shared" si="1030"/>
        <v>0</v>
      </c>
      <c r="AN316" s="12">
        <f t="shared" si="1030"/>
        <v>0</v>
      </c>
      <c r="AO316" s="12">
        <f t="shared" si="1030"/>
        <v>0</v>
      </c>
      <c r="AP316" s="5">
        <f t="shared" si="1030"/>
        <v>0</v>
      </c>
      <c r="AQ316" s="12">
        <f t="shared" si="1030"/>
        <v>0</v>
      </c>
      <c r="AR316" s="12">
        <f t="shared" si="1030"/>
        <v>0</v>
      </c>
      <c r="AS316" s="12">
        <f t="shared" si="1030"/>
        <v>0</v>
      </c>
      <c r="AT316" s="12">
        <f t="shared" si="1030"/>
        <v>0</v>
      </c>
      <c r="AU316" s="5">
        <f t="shared" si="1030"/>
        <v>0</v>
      </c>
      <c r="AV316" s="12">
        <f t="shared" si="1030"/>
        <v>0</v>
      </c>
      <c r="AW316" s="12">
        <f t="shared" si="1030"/>
        <v>0</v>
      </c>
      <c r="AX316" s="12">
        <f t="shared" si="1030"/>
        <v>0</v>
      </c>
      <c r="AY316" s="12">
        <f t="shared" si="1030"/>
        <v>0</v>
      </c>
      <c r="AZ316" s="5">
        <f t="shared" si="1005"/>
        <v>0</v>
      </c>
      <c r="BA316" s="12">
        <f t="shared" si="1030"/>
        <v>0</v>
      </c>
      <c r="BB316" s="12">
        <f t="shared" si="1030"/>
        <v>0</v>
      </c>
      <c r="BC316" s="12">
        <f t="shared" si="1030"/>
        <v>0</v>
      </c>
      <c r="BD316" s="12">
        <f t="shared" si="1030"/>
        <v>0</v>
      </c>
      <c r="BE316" s="5">
        <f t="shared" si="1006"/>
        <v>0</v>
      </c>
      <c r="BF316" s="12">
        <f t="shared" si="1030"/>
        <v>0</v>
      </c>
      <c r="BG316" s="12">
        <f t="shared" si="1030"/>
        <v>0</v>
      </c>
      <c r="BH316" s="12">
        <f t="shared" si="1030"/>
        <v>0</v>
      </c>
      <c r="BI316" s="12">
        <f t="shared" si="1030"/>
        <v>0</v>
      </c>
      <c r="BJ316" s="5">
        <f t="shared" si="1030"/>
        <v>0</v>
      </c>
      <c r="BK316" s="12">
        <f t="shared" si="1030"/>
        <v>0</v>
      </c>
      <c r="BL316" s="12">
        <f t="shared" si="1030"/>
        <v>0</v>
      </c>
      <c r="BM316" s="12">
        <f t="shared" si="1030"/>
        <v>0</v>
      </c>
      <c r="BN316" s="12">
        <f t="shared" si="1030"/>
        <v>0</v>
      </c>
      <c r="BO316" s="5">
        <f t="shared" si="1030"/>
        <v>0</v>
      </c>
      <c r="BP316" s="12">
        <f t="shared" si="1030"/>
        <v>0</v>
      </c>
      <c r="BQ316" s="12">
        <f t="shared" ref="BQ316:CD316" si="1031">SUM(BQ208,BQ262)</f>
        <v>0</v>
      </c>
      <c r="BR316" s="12">
        <f t="shared" si="1031"/>
        <v>0</v>
      </c>
      <c r="BS316" s="12">
        <f t="shared" si="1031"/>
        <v>0</v>
      </c>
      <c r="BT316" s="5">
        <f t="shared" si="1031"/>
        <v>0</v>
      </c>
      <c r="BU316" s="12">
        <f t="shared" si="1031"/>
        <v>0</v>
      </c>
      <c r="BV316" s="12">
        <f t="shared" si="1031"/>
        <v>0</v>
      </c>
      <c r="BW316" s="12">
        <f t="shared" si="1031"/>
        <v>0</v>
      </c>
      <c r="BX316" s="12">
        <f t="shared" si="1031"/>
        <v>0</v>
      </c>
      <c r="BY316" s="5">
        <f t="shared" si="1031"/>
        <v>0</v>
      </c>
      <c r="BZ316" s="12">
        <f t="shared" si="1031"/>
        <v>0</v>
      </c>
      <c r="CA316" s="12">
        <f t="shared" si="1031"/>
        <v>0</v>
      </c>
      <c r="CB316" s="12">
        <f t="shared" si="1031"/>
        <v>0</v>
      </c>
      <c r="CC316" s="12">
        <f t="shared" si="1031"/>
        <v>0</v>
      </c>
      <c r="CD316" s="5">
        <f t="shared" si="1031"/>
        <v>0</v>
      </c>
    </row>
    <row r="317" spans="1:82">
      <c r="A317" s="11"/>
      <c r="B317" s="11" t="s">
        <v>3399</v>
      </c>
      <c r="C317" s="52"/>
      <c r="D317" s="52"/>
      <c r="E317" s="5">
        <f t="shared" ref="E317:AJ317" si="1032">SUM(E209,E263)</f>
        <v>12.77</v>
      </c>
      <c r="F317" s="5">
        <f t="shared" si="1032"/>
        <v>9.86</v>
      </c>
      <c r="G317" s="5">
        <f t="shared" si="1032"/>
        <v>7.9</v>
      </c>
      <c r="H317" s="12">
        <f t="shared" si="1032"/>
        <v>7.55</v>
      </c>
      <c r="I317" s="12">
        <f t="shared" si="1032"/>
        <v>7.55</v>
      </c>
      <c r="J317" s="12">
        <f t="shared" si="1032"/>
        <v>7.55</v>
      </c>
      <c r="K317" s="12">
        <f t="shared" si="1032"/>
        <v>7.55</v>
      </c>
      <c r="L317" s="5">
        <f t="shared" si="1032"/>
        <v>7.55</v>
      </c>
      <c r="M317" s="12">
        <f t="shared" si="1032"/>
        <v>6.67</v>
      </c>
      <c r="N317" s="12">
        <f t="shared" si="1032"/>
        <v>6.67</v>
      </c>
      <c r="O317" s="12">
        <f t="shared" si="1032"/>
        <v>6.67</v>
      </c>
      <c r="P317" s="12">
        <f t="shared" si="1032"/>
        <v>6.67</v>
      </c>
      <c r="Q317" s="5">
        <f t="shared" si="1032"/>
        <v>6.67</v>
      </c>
      <c r="R317" s="12">
        <f t="shared" si="1032"/>
        <v>6.79</v>
      </c>
      <c r="S317" s="12">
        <f t="shared" si="1032"/>
        <v>6.79</v>
      </c>
      <c r="T317" s="12">
        <f t="shared" si="1032"/>
        <v>6.79</v>
      </c>
      <c r="U317" s="12">
        <f t="shared" si="1032"/>
        <v>6.79</v>
      </c>
      <c r="V317" s="5">
        <f t="shared" si="1032"/>
        <v>6.79</v>
      </c>
      <c r="W317" s="12">
        <f t="shared" si="1032"/>
        <v>4.7799999999999994</v>
      </c>
      <c r="X317" s="12">
        <f t="shared" si="1032"/>
        <v>4.7799999999999994</v>
      </c>
      <c r="Y317" s="12">
        <f t="shared" si="1032"/>
        <v>4.7799999999999994</v>
      </c>
      <c r="Z317" s="12">
        <f t="shared" si="1032"/>
        <v>4.7799999999999994</v>
      </c>
      <c r="AA317" s="5">
        <f t="shared" si="1032"/>
        <v>4.7799999999999994</v>
      </c>
      <c r="AB317" s="12">
        <f t="shared" si="1032"/>
        <v>1.96</v>
      </c>
      <c r="AC317" s="12">
        <f t="shared" si="1032"/>
        <v>1.96</v>
      </c>
      <c r="AD317" s="12">
        <f t="shared" si="1032"/>
        <v>1.96</v>
      </c>
      <c r="AE317" s="12">
        <f t="shared" si="1032"/>
        <v>1.96</v>
      </c>
      <c r="AF317" s="5">
        <f t="shared" si="1032"/>
        <v>1.96</v>
      </c>
      <c r="AG317" s="12">
        <f t="shared" si="1032"/>
        <v>1.54</v>
      </c>
      <c r="AH317" s="12">
        <f t="shared" si="1032"/>
        <v>1.54</v>
      </c>
      <c r="AI317" s="12">
        <f t="shared" si="1032"/>
        <v>1.54</v>
      </c>
      <c r="AJ317" s="12">
        <f t="shared" si="1032"/>
        <v>1.54</v>
      </c>
      <c r="AK317" s="5">
        <f t="shared" ref="AK317:BP317" si="1033">SUM(AK209,AK263)</f>
        <v>1.54</v>
      </c>
      <c r="AL317" s="12">
        <f t="shared" si="1033"/>
        <v>1.6</v>
      </c>
      <c r="AM317" s="12">
        <f t="shared" si="1033"/>
        <v>1.6</v>
      </c>
      <c r="AN317" s="12">
        <f t="shared" si="1033"/>
        <v>1.6</v>
      </c>
      <c r="AO317" s="12">
        <f t="shared" si="1033"/>
        <v>1.6</v>
      </c>
      <c r="AP317" s="5">
        <f t="shared" si="1033"/>
        <v>1.6</v>
      </c>
      <c r="AQ317" s="12">
        <f t="shared" si="1033"/>
        <v>1.5</v>
      </c>
      <c r="AR317" s="12">
        <f t="shared" si="1033"/>
        <v>1.5</v>
      </c>
      <c r="AS317" s="12">
        <f t="shared" si="1033"/>
        <v>1.5</v>
      </c>
      <c r="AT317" s="12">
        <f t="shared" si="1033"/>
        <v>1.5</v>
      </c>
      <c r="AU317" s="5">
        <f t="shared" si="1033"/>
        <v>1.5</v>
      </c>
      <c r="AV317" s="12">
        <f t="shared" si="1033"/>
        <v>1.54</v>
      </c>
      <c r="AW317" s="12">
        <f t="shared" si="1033"/>
        <v>1.54</v>
      </c>
      <c r="AX317" s="12">
        <f t="shared" si="1033"/>
        <v>1.54</v>
      </c>
      <c r="AY317" s="12">
        <f t="shared" si="1033"/>
        <v>1.54</v>
      </c>
      <c r="AZ317" s="5">
        <f t="shared" si="1005"/>
        <v>1.54</v>
      </c>
      <c r="BA317" s="12">
        <f t="shared" si="1033"/>
        <v>2.0499999999999998</v>
      </c>
      <c r="BB317" s="12">
        <f t="shared" si="1033"/>
        <v>2.0499999999999998</v>
      </c>
      <c r="BC317" s="12">
        <f t="shared" si="1033"/>
        <v>2.0499999999999998</v>
      </c>
      <c r="BD317" s="12">
        <f t="shared" si="1033"/>
        <v>2.0499999999999998</v>
      </c>
      <c r="BE317" s="5">
        <f t="shared" si="1006"/>
        <v>2.0499999999999998</v>
      </c>
      <c r="BF317" s="12">
        <f t="shared" si="1033"/>
        <v>1.51</v>
      </c>
      <c r="BG317" s="12">
        <f t="shared" si="1033"/>
        <v>1.51</v>
      </c>
      <c r="BH317" s="12">
        <f t="shared" si="1033"/>
        <v>1.51</v>
      </c>
      <c r="BI317" s="12">
        <f t="shared" si="1033"/>
        <v>1.51</v>
      </c>
      <c r="BJ317" s="5">
        <f t="shared" si="1033"/>
        <v>1.51</v>
      </c>
      <c r="BK317" s="12">
        <f t="shared" si="1033"/>
        <v>0</v>
      </c>
      <c r="BL317" s="12">
        <f t="shared" si="1033"/>
        <v>0</v>
      </c>
      <c r="BM317" s="12">
        <f t="shared" si="1033"/>
        <v>0</v>
      </c>
      <c r="BN317" s="12">
        <f t="shared" si="1033"/>
        <v>0</v>
      </c>
      <c r="BO317" s="5">
        <f t="shared" si="1033"/>
        <v>0</v>
      </c>
      <c r="BP317" s="12">
        <f t="shared" si="1033"/>
        <v>0</v>
      </c>
      <c r="BQ317" s="12">
        <f t="shared" ref="BQ317:CD317" si="1034">SUM(BQ209,BQ263)</f>
        <v>0</v>
      </c>
      <c r="BR317" s="12">
        <f t="shared" si="1034"/>
        <v>0</v>
      </c>
      <c r="BS317" s="12">
        <f t="shared" si="1034"/>
        <v>0</v>
      </c>
      <c r="BT317" s="5">
        <f t="shared" si="1034"/>
        <v>0</v>
      </c>
      <c r="BU317" s="12">
        <f t="shared" si="1034"/>
        <v>0</v>
      </c>
      <c r="BV317" s="12">
        <f t="shared" si="1034"/>
        <v>0</v>
      </c>
      <c r="BW317" s="12">
        <f t="shared" si="1034"/>
        <v>0</v>
      </c>
      <c r="BX317" s="12">
        <f t="shared" si="1034"/>
        <v>0</v>
      </c>
      <c r="BY317" s="5">
        <f t="shared" si="1034"/>
        <v>0</v>
      </c>
      <c r="BZ317" s="12">
        <f t="shared" si="1034"/>
        <v>0</v>
      </c>
      <c r="CA317" s="12">
        <f t="shared" si="1034"/>
        <v>0</v>
      </c>
      <c r="CB317" s="12">
        <f t="shared" si="1034"/>
        <v>0</v>
      </c>
      <c r="CC317" s="12">
        <f t="shared" si="1034"/>
        <v>0</v>
      </c>
      <c r="CD317" s="5">
        <f t="shared" si="1034"/>
        <v>0</v>
      </c>
    </row>
    <row r="318" spans="1:82">
      <c r="A318" s="11"/>
      <c r="B318" s="11" t="s">
        <v>3400</v>
      </c>
      <c r="C318" s="52"/>
      <c r="D318" s="52"/>
      <c r="E318" s="5">
        <f t="shared" ref="E318:AJ318" si="1035">SUM(E210,E264)</f>
        <v>18.059999999999999</v>
      </c>
      <c r="F318" s="5">
        <f t="shared" si="1035"/>
        <v>9.0599999999999987</v>
      </c>
      <c r="G318" s="5">
        <f t="shared" si="1035"/>
        <v>6.5699999999999985</v>
      </c>
      <c r="H318" s="12">
        <f t="shared" si="1035"/>
        <v>6.0399999999999991</v>
      </c>
      <c r="I318" s="12">
        <f t="shared" si="1035"/>
        <v>6.0399999999999991</v>
      </c>
      <c r="J318" s="12">
        <f t="shared" si="1035"/>
        <v>6.0399999999999991</v>
      </c>
      <c r="K318" s="12">
        <f t="shared" si="1035"/>
        <v>6.0399999999999991</v>
      </c>
      <c r="L318" s="5">
        <f t="shared" si="1035"/>
        <v>6.0399999999999991</v>
      </c>
      <c r="M318" s="12">
        <f t="shared" si="1035"/>
        <v>7</v>
      </c>
      <c r="N318" s="12">
        <f t="shared" si="1035"/>
        <v>7</v>
      </c>
      <c r="O318" s="12">
        <f t="shared" si="1035"/>
        <v>7</v>
      </c>
      <c r="P318" s="12">
        <f t="shared" si="1035"/>
        <v>7</v>
      </c>
      <c r="Q318" s="5">
        <f t="shared" si="1035"/>
        <v>7</v>
      </c>
      <c r="R318" s="12">
        <f t="shared" si="1035"/>
        <v>10.030000000000001</v>
      </c>
      <c r="S318" s="12">
        <f t="shared" si="1035"/>
        <v>10.030000000000001</v>
      </c>
      <c r="T318" s="12">
        <f t="shared" si="1035"/>
        <v>10.030000000000001</v>
      </c>
      <c r="U318" s="12">
        <f t="shared" si="1035"/>
        <v>10.030000000000001</v>
      </c>
      <c r="V318" s="5">
        <f t="shared" si="1035"/>
        <v>10.030000000000001</v>
      </c>
      <c r="W318" s="12">
        <f t="shared" si="1035"/>
        <v>10.230000000000002</v>
      </c>
      <c r="X318" s="12">
        <f t="shared" si="1035"/>
        <v>10.230000000000002</v>
      </c>
      <c r="Y318" s="12">
        <f t="shared" si="1035"/>
        <v>10.230000000000002</v>
      </c>
      <c r="Z318" s="12">
        <f t="shared" si="1035"/>
        <v>10.230000000000002</v>
      </c>
      <c r="AA318" s="5">
        <f t="shared" si="1035"/>
        <v>10.230000000000002</v>
      </c>
      <c r="AB318" s="12">
        <f t="shared" si="1035"/>
        <v>9.2799999999999976</v>
      </c>
      <c r="AC318" s="12">
        <f t="shared" si="1035"/>
        <v>9.2799999999999976</v>
      </c>
      <c r="AD318" s="12">
        <f t="shared" si="1035"/>
        <v>9.2799999999999976</v>
      </c>
      <c r="AE318" s="12">
        <f t="shared" si="1035"/>
        <v>9.2799999999999976</v>
      </c>
      <c r="AF318" s="5">
        <f t="shared" si="1035"/>
        <v>9.2799999999999976</v>
      </c>
      <c r="AG318" s="12">
        <f t="shared" si="1035"/>
        <v>6.3400000000000007</v>
      </c>
      <c r="AH318" s="12">
        <f t="shared" si="1035"/>
        <v>6.3400000000000007</v>
      </c>
      <c r="AI318" s="12">
        <f t="shared" si="1035"/>
        <v>6.3400000000000007</v>
      </c>
      <c r="AJ318" s="12">
        <f t="shared" si="1035"/>
        <v>6.3400000000000007</v>
      </c>
      <c r="AK318" s="5">
        <f t="shared" ref="AK318:BP318" si="1036">SUM(AK210,AK264)</f>
        <v>6.3400000000000007</v>
      </c>
      <c r="AL318" s="12">
        <f t="shared" si="1036"/>
        <v>3.1500000000000004</v>
      </c>
      <c r="AM318" s="12">
        <f t="shared" si="1036"/>
        <v>3.1500000000000004</v>
      </c>
      <c r="AN318" s="12">
        <f t="shared" si="1036"/>
        <v>3.1500000000000004</v>
      </c>
      <c r="AO318" s="12">
        <f t="shared" si="1036"/>
        <v>3.1500000000000004</v>
      </c>
      <c r="AP318" s="5">
        <f t="shared" si="1036"/>
        <v>3.1500000000000004</v>
      </c>
      <c r="AQ318" s="12">
        <f t="shared" si="1036"/>
        <v>2.1800000000000002</v>
      </c>
      <c r="AR318" s="12">
        <f t="shared" si="1036"/>
        <v>2.1800000000000002</v>
      </c>
      <c r="AS318" s="12">
        <f t="shared" si="1036"/>
        <v>2.1800000000000002</v>
      </c>
      <c r="AT318" s="12">
        <f t="shared" si="1036"/>
        <v>2.1800000000000002</v>
      </c>
      <c r="AU318" s="5">
        <f t="shared" si="1036"/>
        <v>2.1800000000000002</v>
      </c>
      <c r="AV318" s="12">
        <f t="shared" si="1036"/>
        <v>2.06</v>
      </c>
      <c r="AW318" s="12">
        <f t="shared" si="1036"/>
        <v>2.06</v>
      </c>
      <c r="AX318" s="12">
        <f t="shared" si="1036"/>
        <v>2.06</v>
      </c>
      <c r="AY318" s="12">
        <f t="shared" si="1036"/>
        <v>2.06</v>
      </c>
      <c r="AZ318" s="5">
        <f t="shared" si="1005"/>
        <v>2.06</v>
      </c>
      <c r="BA318" s="12">
        <f t="shared" si="1036"/>
        <v>1.54</v>
      </c>
      <c r="BB318" s="12">
        <f t="shared" si="1036"/>
        <v>1.54</v>
      </c>
      <c r="BC318" s="12">
        <f t="shared" si="1036"/>
        <v>1.54</v>
      </c>
      <c r="BD318" s="12">
        <f t="shared" si="1036"/>
        <v>1.54</v>
      </c>
      <c r="BE318" s="5">
        <f t="shared" si="1006"/>
        <v>1.54</v>
      </c>
      <c r="BF318" s="12">
        <f t="shared" si="1036"/>
        <v>1.05</v>
      </c>
      <c r="BG318" s="12">
        <f t="shared" si="1036"/>
        <v>1.05</v>
      </c>
      <c r="BH318" s="12">
        <f t="shared" si="1036"/>
        <v>1.05</v>
      </c>
      <c r="BI318" s="12">
        <f t="shared" si="1036"/>
        <v>1.05</v>
      </c>
      <c r="BJ318" s="5">
        <f t="shared" si="1036"/>
        <v>1.05</v>
      </c>
      <c r="BK318" s="12">
        <f t="shared" si="1036"/>
        <v>2.0300000000000002</v>
      </c>
      <c r="BL318" s="12">
        <f t="shared" si="1036"/>
        <v>2.0300000000000002</v>
      </c>
      <c r="BM318" s="12">
        <f t="shared" si="1036"/>
        <v>2.0300000000000002</v>
      </c>
      <c r="BN318" s="12">
        <f t="shared" si="1036"/>
        <v>2.0300000000000002</v>
      </c>
      <c r="BO318" s="5">
        <f t="shared" si="1036"/>
        <v>2.0300000000000002</v>
      </c>
      <c r="BP318" s="12">
        <f t="shared" si="1036"/>
        <v>10.61</v>
      </c>
      <c r="BQ318" s="12">
        <f t="shared" ref="BQ318:CD318" si="1037">SUM(BQ210,BQ264)</f>
        <v>10.61</v>
      </c>
      <c r="BR318" s="12">
        <f t="shared" si="1037"/>
        <v>10.61</v>
      </c>
      <c r="BS318" s="12">
        <f t="shared" si="1037"/>
        <v>10.61</v>
      </c>
      <c r="BT318" s="5">
        <f t="shared" si="1037"/>
        <v>10.61</v>
      </c>
      <c r="BU318" s="12">
        <f t="shared" si="1037"/>
        <v>13.379999999999999</v>
      </c>
      <c r="BV318" s="12">
        <f t="shared" si="1037"/>
        <v>13.379999999999999</v>
      </c>
      <c r="BW318" s="12">
        <f t="shared" si="1037"/>
        <v>13.379999999999999</v>
      </c>
      <c r="BX318" s="12">
        <f t="shared" si="1037"/>
        <v>13.379999999999999</v>
      </c>
      <c r="BY318" s="5">
        <f t="shared" si="1037"/>
        <v>13.379999999999999</v>
      </c>
      <c r="BZ318" s="12">
        <f t="shared" si="1037"/>
        <v>15.65</v>
      </c>
      <c r="CA318" s="12">
        <f t="shared" si="1037"/>
        <v>15.65</v>
      </c>
      <c r="CB318" s="12">
        <f t="shared" si="1037"/>
        <v>15.65</v>
      </c>
      <c r="CC318" s="12">
        <f t="shared" si="1037"/>
        <v>15.65</v>
      </c>
      <c r="CD318" s="5">
        <f t="shared" si="1037"/>
        <v>15.65</v>
      </c>
    </row>
    <row r="319" spans="1:82">
      <c r="A319" s="39" t="s">
        <v>3401</v>
      </c>
      <c r="B319" s="39"/>
      <c r="C319" s="52"/>
      <c r="D319" s="52"/>
      <c r="E319" s="8">
        <f t="shared" ref="E319:AF319" si="1038">SUM(E307:E318)</f>
        <v>257.89999999999998</v>
      </c>
      <c r="F319" s="8">
        <f t="shared" si="1038"/>
        <v>248.84000000000003</v>
      </c>
      <c r="G319" s="8">
        <f t="shared" si="1038"/>
        <v>286.59999999999997</v>
      </c>
      <c r="H319" s="66">
        <f t="shared" si="1038"/>
        <v>375.02000000000004</v>
      </c>
      <c r="I319" s="66">
        <f t="shared" si="1038"/>
        <v>375.02000000000004</v>
      </c>
      <c r="J319" s="66">
        <f t="shared" si="1038"/>
        <v>375.02000000000004</v>
      </c>
      <c r="K319" s="66">
        <f t="shared" si="1038"/>
        <v>375.02000000000004</v>
      </c>
      <c r="L319" s="8">
        <f t="shared" si="1038"/>
        <v>375.02000000000004</v>
      </c>
      <c r="M319" s="66">
        <f t="shared" si="1038"/>
        <v>427.90000000000003</v>
      </c>
      <c r="N319" s="66">
        <f t="shared" si="1038"/>
        <v>427.90000000000003</v>
      </c>
      <c r="O319" s="66">
        <f t="shared" si="1038"/>
        <v>427.90000000000003</v>
      </c>
      <c r="P319" s="66">
        <f t="shared" si="1038"/>
        <v>427.90000000000003</v>
      </c>
      <c r="Q319" s="8">
        <f t="shared" si="1038"/>
        <v>427.90000000000003</v>
      </c>
      <c r="R319" s="66">
        <f t="shared" si="1038"/>
        <v>327.54000000000008</v>
      </c>
      <c r="S319" s="66">
        <f t="shared" si="1038"/>
        <v>327.54000000000008</v>
      </c>
      <c r="T319" s="66">
        <f t="shared" si="1038"/>
        <v>327.54000000000008</v>
      </c>
      <c r="U319" s="66">
        <f t="shared" si="1038"/>
        <v>327.54000000000008</v>
      </c>
      <c r="V319" s="8">
        <f t="shared" si="1038"/>
        <v>327.54000000000008</v>
      </c>
      <c r="W319" s="66">
        <f t="shared" si="1038"/>
        <v>316.42</v>
      </c>
      <c r="X319" s="66">
        <f t="shared" si="1038"/>
        <v>316.42</v>
      </c>
      <c r="Y319" s="66">
        <f t="shared" si="1038"/>
        <v>316.42</v>
      </c>
      <c r="Z319" s="66">
        <f t="shared" si="1038"/>
        <v>316.42</v>
      </c>
      <c r="AA319" s="8">
        <f t="shared" si="1038"/>
        <v>316.42</v>
      </c>
      <c r="AB319" s="66">
        <f t="shared" si="1038"/>
        <v>327.6699999999999</v>
      </c>
      <c r="AC319" s="66">
        <f t="shared" si="1038"/>
        <v>327.6699999999999</v>
      </c>
      <c r="AD319" s="66">
        <f t="shared" si="1038"/>
        <v>327.6699999999999</v>
      </c>
      <c r="AE319" s="66">
        <f t="shared" si="1038"/>
        <v>327.6699999999999</v>
      </c>
      <c r="AF319" s="8">
        <f t="shared" si="1038"/>
        <v>327.6699999999999</v>
      </c>
      <c r="AG319" s="66">
        <f t="shared" ref="AG319:CD319" si="1039">SUM(AG307:AG318)</f>
        <v>351.74</v>
      </c>
      <c r="AH319" s="66">
        <f t="shared" si="1039"/>
        <v>351.74</v>
      </c>
      <c r="AI319" s="66">
        <f t="shared" si="1039"/>
        <v>351.74</v>
      </c>
      <c r="AJ319" s="66">
        <f t="shared" si="1039"/>
        <v>351.74</v>
      </c>
      <c r="AK319" s="8">
        <f t="shared" si="1039"/>
        <v>351.74</v>
      </c>
      <c r="AL319" s="66">
        <f t="shared" si="1039"/>
        <v>356.99</v>
      </c>
      <c r="AM319" s="66">
        <f t="shared" si="1039"/>
        <v>356.99</v>
      </c>
      <c r="AN319" s="66">
        <f t="shared" si="1039"/>
        <v>356.99</v>
      </c>
      <c r="AO319" s="66">
        <f t="shared" si="1039"/>
        <v>356.99</v>
      </c>
      <c r="AP319" s="8">
        <f t="shared" si="1039"/>
        <v>356.99</v>
      </c>
      <c r="AQ319" s="66">
        <f t="shared" si="1039"/>
        <v>972.67981499999985</v>
      </c>
      <c r="AR319" s="66">
        <f t="shared" si="1039"/>
        <v>972.67981499999985</v>
      </c>
      <c r="AS319" s="66">
        <f t="shared" si="1039"/>
        <v>972.67981499999985</v>
      </c>
      <c r="AT319" s="66">
        <f t="shared" si="1039"/>
        <v>972.67981499999985</v>
      </c>
      <c r="AU319" s="8">
        <f t="shared" si="1039"/>
        <v>972.67981499999985</v>
      </c>
      <c r="AV319" s="66">
        <f t="shared" si="1039"/>
        <v>1016.8095425</v>
      </c>
      <c r="AW319" s="66">
        <f t="shared" si="1039"/>
        <v>1016.8095425</v>
      </c>
      <c r="AX319" s="66">
        <f t="shared" si="1039"/>
        <v>1016.8095425</v>
      </c>
      <c r="AY319" s="66">
        <f t="shared" si="1039"/>
        <v>1016.8095425</v>
      </c>
      <c r="AZ319" s="8">
        <f>SUM(AZ307:AZ318)</f>
        <v>1016.8095425</v>
      </c>
      <c r="BA319" s="66">
        <f t="shared" si="1039"/>
        <v>1227.1494950000001</v>
      </c>
      <c r="BB319" s="66">
        <f t="shared" si="1039"/>
        <v>1227.1494950000001</v>
      </c>
      <c r="BC319" s="66">
        <f t="shared" si="1039"/>
        <v>1227.1494950000001</v>
      </c>
      <c r="BD319" s="66">
        <f t="shared" si="1039"/>
        <v>1227.1494950000001</v>
      </c>
      <c r="BE319" s="8">
        <f t="shared" si="1039"/>
        <v>1227.1494950000001</v>
      </c>
      <c r="BF319" s="66">
        <f t="shared" si="1039"/>
        <v>1240.0725749999999</v>
      </c>
      <c r="BG319" s="66">
        <f t="shared" si="1039"/>
        <v>1240.0725749999999</v>
      </c>
      <c r="BH319" s="66">
        <f t="shared" si="1039"/>
        <v>1240.0725749999999</v>
      </c>
      <c r="BI319" s="66">
        <f t="shared" si="1039"/>
        <v>1240.0725749999999</v>
      </c>
      <c r="BJ319" s="8">
        <f t="shared" si="1039"/>
        <v>1240.0725749999999</v>
      </c>
      <c r="BK319" s="66">
        <f t="shared" si="1039"/>
        <v>1198.3330050000002</v>
      </c>
      <c r="BL319" s="66">
        <f t="shared" si="1039"/>
        <v>1198.3330050000002</v>
      </c>
      <c r="BM319" s="66">
        <f t="shared" si="1039"/>
        <v>1198.3330050000002</v>
      </c>
      <c r="BN319" s="66">
        <f t="shared" si="1039"/>
        <v>1198.3330050000002</v>
      </c>
      <c r="BO319" s="8">
        <f t="shared" si="1039"/>
        <v>1198.3330050000002</v>
      </c>
      <c r="BP319" s="66">
        <f t="shared" si="1039"/>
        <v>1119.9593425</v>
      </c>
      <c r="BQ319" s="66">
        <f t="shared" si="1039"/>
        <v>1119.9593425</v>
      </c>
      <c r="BR319" s="66">
        <f t="shared" si="1039"/>
        <v>1119.9593425</v>
      </c>
      <c r="BS319" s="66">
        <f t="shared" si="1039"/>
        <v>1119.9593425</v>
      </c>
      <c r="BT319" s="8">
        <f t="shared" si="1039"/>
        <v>1119.9593425</v>
      </c>
      <c r="BU319" s="66">
        <f t="shared" si="1039"/>
        <v>1154.1226650000001</v>
      </c>
      <c r="BV319" s="66">
        <f t="shared" si="1039"/>
        <v>1154.1226650000001</v>
      </c>
      <c r="BW319" s="66">
        <f t="shared" si="1039"/>
        <v>1154.1226650000001</v>
      </c>
      <c r="BX319" s="66">
        <f t="shared" si="1039"/>
        <v>1154.1226650000001</v>
      </c>
      <c r="BY319" s="8">
        <f t="shared" si="1039"/>
        <v>1154.1226650000001</v>
      </c>
      <c r="BZ319" s="66">
        <f t="shared" si="1039"/>
        <v>1190.4480225000002</v>
      </c>
      <c r="CA319" s="66">
        <f t="shared" si="1039"/>
        <v>1190.4480225000002</v>
      </c>
      <c r="CB319" s="66">
        <f t="shared" si="1039"/>
        <v>1190.4480225000002</v>
      </c>
      <c r="CC319" s="66">
        <f t="shared" si="1039"/>
        <v>1190.4480225000002</v>
      </c>
      <c r="CD319" s="8">
        <f t="shared" si="1039"/>
        <v>1190.4480225000002</v>
      </c>
    </row>
    <row r="320" spans="1:82">
      <c r="A320" s="11"/>
      <c r="B320" s="11"/>
      <c r="C320" s="51"/>
      <c r="D320" s="51"/>
      <c r="E320" s="5"/>
      <c r="F320" s="5"/>
      <c r="G320" s="5"/>
      <c r="H320" s="12"/>
      <c r="I320" s="12"/>
      <c r="J320" s="12"/>
      <c r="K320" s="12"/>
      <c r="L320" s="5"/>
      <c r="M320" s="12"/>
      <c r="N320" s="12"/>
      <c r="O320" s="12"/>
      <c r="P320" s="12"/>
      <c r="Q320" s="5"/>
      <c r="R320" s="12"/>
      <c r="S320" s="12"/>
      <c r="T320" s="12"/>
      <c r="U320" s="12"/>
      <c r="V320" s="5"/>
      <c r="W320" s="12"/>
      <c r="X320" s="12"/>
      <c r="Y320" s="12"/>
      <c r="Z320" s="12"/>
      <c r="AA320" s="5"/>
      <c r="AB320" s="12"/>
      <c r="AC320" s="12"/>
      <c r="AD320" s="12"/>
      <c r="AE320" s="12"/>
      <c r="AF320" s="5"/>
      <c r="AG320" s="12"/>
      <c r="AH320" s="12"/>
      <c r="AI320" s="12"/>
      <c r="AJ320" s="12"/>
      <c r="AK320" s="5"/>
      <c r="AL320" s="49"/>
      <c r="AM320" s="49"/>
      <c r="AN320" s="49"/>
      <c r="AO320" s="49"/>
      <c r="AP320" s="49"/>
      <c r="AQ320" s="49"/>
      <c r="AR320" s="49"/>
      <c r="AS320" s="49"/>
      <c r="AT320" s="49"/>
      <c r="AU320" s="49"/>
      <c r="AV320" s="49"/>
      <c r="AW320" s="49"/>
      <c r="AX320" s="49"/>
      <c r="AY320" s="49"/>
      <c r="AZ320" s="49"/>
      <c r="BA320" s="49"/>
      <c r="BB320" s="49"/>
      <c r="BC320" s="49"/>
      <c r="BD320" s="49"/>
      <c r="BE320" s="49"/>
      <c r="BF320" s="49"/>
      <c r="BG320" s="49"/>
      <c r="BH320" s="49"/>
      <c r="BI320" s="49"/>
      <c r="BJ320" s="49"/>
      <c r="BK320" s="49"/>
      <c r="BL320" s="49"/>
      <c r="BM320" s="49"/>
      <c r="BN320" s="49"/>
      <c r="BO320" s="49"/>
      <c r="BP320" s="49"/>
      <c r="BQ320" s="49"/>
      <c r="BR320" s="49"/>
      <c r="BS320" s="49"/>
      <c r="BT320" s="49"/>
      <c r="BU320" s="49"/>
      <c r="BV320" s="49"/>
      <c r="BW320" s="49"/>
      <c r="BX320" s="49"/>
      <c r="BY320" s="49"/>
      <c r="BZ320" s="49"/>
      <c r="CA320" s="49"/>
      <c r="CB320" s="49"/>
      <c r="CC320" s="49"/>
      <c r="CD320" s="49"/>
    </row>
    <row r="321" spans="1:88">
      <c r="A321" s="39" t="s">
        <v>3402</v>
      </c>
      <c r="B321" s="11"/>
      <c r="C321" s="51"/>
      <c r="D321" s="51"/>
      <c r="E321" s="5"/>
      <c r="F321" s="5"/>
      <c r="G321" s="5"/>
      <c r="H321" s="12"/>
      <c r="I321" s="12"/>
      <c r="J321" s="12"/>
      <c r="K321" s="12"/>
      <c r="L321" s="5"/>
      <c r="M321" s="12"/>
      <c r="N321" s="12"/>
      <c r="O321" s="12"/>
      <c r="P321" s="12"/>
      <c r="Q321" s="5"/>
      <c r="R321" s="12"/>
      <c r="S321" s="12"/>
      <c r="T321" s="12"/>
      <c r="U321" s="12"/>
      <c r="V321" s="5"/>
      <c r="W321" s="12"/>
      <c r="X321" s="12"/>
      <c r="Y321" s="12"/>
      <c r="Z321" s="12"/>
      <c r="AA321" s="5"/>
      <c r="AB321" s="12"/>
      <c r="AC321" s="12"/>
      <c r="AD321" s="12"/>
      <c r="AE321" s="12"/>
      <c r="AF321" s="5"/>
      <c r="AG321" s="12"/>
      <c r="AH321" s="12"/>
      <c r="AI321" s="12"/>
      <c r="AJ321" s="12"/>
      <c r="AK321" s="5"/>
      <c r="AL321" s="12"/>
      <c r="AM321" s="12"/>
      <c r="AN321" s="12"/>
      <c r="AO321" s="12"/>
      <c r="AP321" s="5"/>
      <c r="AQ321" s="12"/>
      <c r="AR321" s="12"/>
      <c r="AS321" s="12"/>
      <c r="AT321" s="12"/>
      <c r="AU321" s="5"/>
      <c r="AV321" s="12"/>
      <c r="AW321" s="12"/>
      <c r="AX321" s="12"/>
      <c r="AY321" s="12"/>
      <c r="AZ321" s="5"/>
      <c r="BA321" s="12"/>
      <c r="BB321" s="12"/>
      <c r="BC321" s="12"/>
      <c r="BD321" s="12"/>
      <c r="BE321" s="5"/>
      <c r="BF321" s="12"/>
      <c r="BG321" s="12"/>
      <c r="BH321" s="12"/>
      <c r="BI321" s="12"/>
      <c r="BJ321" s="5"/>
      <c r="BK321" s="12"/>
      <c r="BL321" s="12"/>
      <c r="BM321" s="12"/>
      <c r="BN321" s="12"/>
      <c r="BO321" s="5"/>
      <c r="BP321" s="12"/>
      <c r="BQ321" s="12"/>
      <c r="BR321" s="12"/>
      <c r="BS321" s="12"/>
      <c r="BT321" s="5"/>
      <c r="BU321" s="12"/>
      <c r="BV321" s="12"/>
      <c r="BW321" s="12"/>
      <c r="BX321" s="12"/>
      <c r="BY321" s="5"/>
      <c r="BZ321" s="12"/>
      <c r="CA321" s="12"/>
      <c r="CB321" s="12"/>
      <c r="CC321" s="12"/>
      <c r="CD321" s="5"/>
    </row>
    <row r="322" spans="1:88">
      <c r="A322" s="11"/>
      <c r="B322" s="11" t="s">
        <v>2965</v>
      </c>
      <c r="C322" s="52"/>
      <c r="D322" s="52"/>
      <c r="E322" s="5">
        <f t="shared" ref="E322:AJ322" si="1040">SUM(E214,E268)</f>
        <v>36.17</v>
      </c>
      <c r="F322" s="5">
        <f t="shared" si="1040"/>
        <v>30.78</v>
      </c>
      <c r="G322" s="5">
        <f t="shared" si="1040"/>
        <v>31.119999999999997</v>
      </c>
      <c r="H322" s="12">
        <f t="shared" si="1040"/>
        <v>28.39</v>
      </c>
      <c r="I322" s="12">
        <f t="shared" si="1040"/>
        <v>28.39</v>
      </c>
      <c r="J322" s="12">
        <f t="shared" si="1040"/>
        <v>28.39</v>
      </c>
      <c r="K322" s="12">
        <f t="shared" si="1040"/>
        <v>28.39</v>
      </c>
      <c r="L322" s="5">
        <f t="shared" si="1040"/>
        <v>28.39</v>
      </c>
      <c r="M322" s="12">
        <f t="shared" si="1040"/>
        <v>28.99</v>
      </c>
      <c r="N322" s="12">
        <f t="shared" si="1040"/>
        <v>28.99</v>
      </c>
      <c r="O322" s="12">
        <f t="shared" si="1040"/>
        <v>28.99</v>
      </c>
      <c r="P322" s="12">
        <f t="shared" si="1040"/>
        <v>28.99</v>
      </c>
      <c r="Q322" s="5">
        <f t="shared" si="1040"/>
        <v>28.99</v>
      </c>
      <c r="R322" s="12">
        <f t="shared" si="1040"/>
        <v>25.01</v>
      </c>
      <c r="S322" s="12">
        <f t="shared" si="1040"/>
        <v>25.01</v>
      </c>
      <c r="T322" s="12">
        <f t="shared" si="1040"/>
        <v>25.01</v>
      </c>
      <c r="U322" s="12">
        <f t="shared" si="1040"/>
        <v>25.01</v>
      </c>
      <c r="V322" s="5">
        <f t="shared" si="1040"/>
        <v>25.01</v>
      </c>
      <c r="W322" s="12">
        <f t="shared" si="1040"/>
        <v>25.86</v>
      </c>
      <c r="X322" s="12">
        <f t="shared" si="1040"/>
        <v>25.86</v>
      </c>
      <c r="Y322" s="12">
        <f t="shared" si="1040"/>
        <v>25.86</v>
      </c>
      <c r="Z322" s="12">
        <f t="shared" si="1040"/>
        <v>25.86</v>
      </c>
      <c r="AA322" s="5">
        <f t="shared" si="1040"/>
        <v>25.86</v>
      </c>
      <c r="AB322" s="12">
        <f t="shared" si="1040"/>
        <v>25.269999999999996</v>
      </c>
      <c r="AC322" s="12">
        <f t="shared" si="1040"/>
        <v>25.269999999999996</v>
      </c>
      <c r="AD322" s="12">
        <f t="shared" si="1040"/>
        <v>25.269999999999996</v>
      </c>
      <c r="AE322" s="12">
        <f t="shared" si="1040"/>
        <v>25.269999999999996</v>
      </c>
      <c r="AF322" s="5">
        <f t="shared" si="1040"/>
        <v>25.269999999999996</v>
      </c>
      <c r="AG322" s="12">
        <f t="shared" si="1040"/>
        <v>18.3</v>
      </c>
      <c r="AH322" s="12">
        <f t="shared" si="1040"/>
        <v>18.3</v>
      </c>
      <c r="AI322" s="12">
        <f t="shared" si="1040"/>
        <v>18.3</v>
      </c>
      <c r="AJ322" s="12">
        <f t="shared" si="1040"/>
        <v>18.3</v>
      </c>
      <c r="AK322" s="5">
        <f t="shared" ref="AK322:BP323" si="1041">SUM(AK214,AK268)</f>
        <v>18.3</v>
      </c>
      <c r="AL322" s="12">
        <f t="shared" si="1041"/>
        <v>20.14</v>
      </c>
      <c r="AM322" s="12">
        <f t="shared" si="1041"/>
        <v>20.14</v>
      </c>
      <c r="AN322" s="12">
        <f t="shared" si="1041"/>
        <v>20.14</v>
      </c>
      <c r="AO322" s="12">
        <f t="shared" si="1041"/>
        <v>20.14</v>
      </c>
      <c r="AP322" s="5">
        <f t="shared" si="1041"/>
        <v>20.14</v>
      </c>
      <c r="AQ322" s="12">
        <f t="shared" si="1041"/>
        <v>19</v>
      </c>
      <c r="AR322" s="12">
        <f t="shared" si="1041"/>
        <v>19</v>
      </c>
      <c r="AS322" s="12">
        <f t="shared" si="1041"/>
        <v>19</v>
      </c>
      <c r="AT322" s="12">
        <f t="shared" si="1041"/>
        <v>19</v>
      </c>
      <c r="AU322" s="5">
        <f t="shared" si="1041"/>
        <v>19</v>
      </c>
      <c r="AV322" s="12">
        <f t="shared" si="1041"/>
        <v>16.989999999999998</v>
      </c>
      <c r="AW322" s="12">
        <f t="shared" si="1041"/>
        <v>16.989999999999998</v>
      </c>
      <c r="AX322" s="12">
        <f t="shared" si="1041"/>
        <v>16.989999999999998</v>
      </c>
      <c r="AY322" s="12">
        <f t="shared" si="1041"/>
        <v>16.989999999999998</v>
      </c>
      <c r="AZ322" s="5">
        <f>SUM(AZ214,AZ268)</f>
        <v>16.989999999999998</v>
      </c>
      <c r="BA322" s="12">
        <f t="shared" si="1041"/>
        <v>15.26</v>
      </c>
      <c r="BB322" s="12">
        <f t="shared" si="1041"/>
        <v>15.26</v>
      </c>
      <c r="BC322" s="12">
        <f t="shared" si="1041"/>
        <v>15.26</v>
      </c>
      <c r="BD322" s="12">
        <f t="shared" si="1041"/>
        <v>15.26</v>
      </c>
      <c r="BE322" s="5">
        <f t="shared" si="1041"/>
        <v>15.26</v>
      </c>
      <c r="BF322" s="12">
        <f t="shared" si="1041"/>
        <v>15.809999999999999</v>
      </c>
      <c r="BG322" s="12">
        <f t="shared" si="1041"/>
        <v>15.809999999999999</v>
      </c>
      <c r="BH322" s="12">
        <f t="shared" si="1041"/>
        <v>15.809999999999999</v>
      </c>
      <c r="BI322" s="12">
        <f t="shared" si="1041"/>
        <v>15.809999999999999</v>
      </c>
      <c r="BJ322" s="5">
        <f t="shared" si="1041"/>
        <v>15.809999999999999</v>
      </c>
      <c r="BK322" s="12">
        <f t="shared" si="1041"/>
        <v>15.75</v>
      </c>
      <c r="BL322" s="12">
        <f t="shared" si="1041"/>
        <v>15.75</v>
      </c>
      <c r="BM322" s="12">
        <f t="shared" si="1041"/>
        <v>15.75</v>
      </c>
      <c r="BN322" s="12">
        <f t="shared" si="1041"/>
        <v>15.75</v>
      </c>
      <c r="BO322" s="5">
        <f t="shared" si="1041"/>
        <v>15.75</v>
      </c>
      <c r="BP322" s="12">
        <f t="shared" si="1041"/>
        <v>14.35</v>
      </c>
      <c r="BQ322" s="12">
        <f t="shared" ref="BQ322:CD322" si="1042">SUM(BQ214,BQ268)</f>
        <v>14.35</v>
      </c>
      <c r="BR322" s="12">
        <f t="shared" si="1042"/>
        <v>14.35</v>
      </c>
      <c r="BS322" s="12">
        <f t="shared" si="1042"/>
        <v>14.35</v>
      </c>
      <c r="BT322" s="5">
        <f t="shared" si="1042"/>
        <v>14.35</v>
      </c>
      <c r="BU322" s="12">
        <f t="shared" si="1042"/>
        <v>12.899999999999999</v>
      </c>
      <c r="BV322" s="12">
        <f t="shared" si="1042"/>
        <v>12.899999999999999</v>
      </c>
      <c r="BW322" s="12">
        <f t="shared" si="1042"/>
        <v>12.899999999999999</v>
      </c>
      <c r="BX322" s="12">
        <f t="shared" si="1042"/>
        <v>12.899999999999999</v>
      </c>
      <c r="BY322" s="5">
        <f t="shared" si="1042"/>
        <v>12.899999999999999</v>
      </c>
      <c r="BZ322" s="12">
        <f t="shared" si="1042"/>
        <v>12.290000000000001</v>
      </c>
      <c r="CA322" s="12">
        <f t="shared" si="1042"/>
        <v>12.290000000000001</v>
      </c>
      <c r="CB322" s="12">
        <f t="shared" si="1042"/>
        <v>12.290000000000001</v>
      </c>
      <c r="CC322" s="12">
        <f t="shared" si="1042"/>
        <v>12.290000000000001</v>
      </c>
      <c r="CD322" s="5">
        <f t="shared" si="1042"/>
        <v>12.290000000000001</v>
      </c>
    </row>
    <row r="323" spans="1:88">
      <c r="A323" s="11"/>
      <c r="B323" s="11" t="s">
        <v>3403</v>
      </c>
      <c r="C323" s="52"/>
      <c r="D323" s="52"/>
      <c r="E323" s="5">
        <f t="shared" ref="E323:AJ323" si="1043">SUM(E215,E269)</f>
        <v>0</v>
      </c>
      <c r="F323" s="5">
        <f t="shared" si="1043"/>
        <v>0</v>
      </c>
      <c r="G323" s="5">
        <f t="shared" si="1043"/>
        <v>0</v>
      </c>
      <c r="H323" s="12">
        <f t="shared" si="1043"/>
        <v>0</v>
      </c>
      <c r="I323" s="12">
        <f t="shared" si="1043"/>
        <v>0</v>
      </c>
      <c r="J323" s="12">
        <f t="shared" si="1043"/>
        <v>0</v>
      </c>
      <c r="K323" s="12">
        <f t="shared" si="1043"/>
        <v>0</v>
      </c>
      <c r="L323" s="5">
        <f t="shared" si="1043"/>
        <v>0</v>
      </c>
      <c r="M323" s="12">
        <f t="shared" si="1043"/>
        <v>0</v>
      </c>
      <c r="N323" s="12">
        <f t="shared" si="1043"/>
        <v>0</v>
      </c>
      <c r="O323" s="12">
        <f t="shared" si="1043"/>
        <v>0</v>
      </c>
      <c r="P323" s="12">
        <f t="shared" si="1043"/>
        <v>0</v>
      </c>
      <c r="Q323" s="5">
        <f t="shared" si="1043"/>
        <v>0</v>
      </c>
      <c r="R323" s="12">
        <f t="shared" si="1043"/>
        <v>0</v>
      </c>
      <c r="S323" s="12">
        <f t="shared" si="1043"/>
        <v>0</v>
      </c>
      <c r="T323" s="12">
        <f t="shared" si="1043"/>
        <v>0</v>
      </c>
      <c r="U323" s="12">
        <f t="shared" si="1043"/>
        <v>0</v>
      </c>
      <c r="V323" s="5">
        <f t="shared" si="1043"/>
        <v>0</v>
      </c>
      <c r="W323" s="12">
        <f t="shared" si="1043"/>
        <v>0.24</v>
      </c>
      <c r="X323" s="12">
        <f t="shared" si="1043"/>
        <v>0.24</v>
      </c>
      <c r="Y323" s="12">
        <f t="shared" si="1043"/>
        <v>0.24</v>
      </c>
      <c r="Z323" s="12">
        <f t="shared" si="1043"/>
        <v>0.24</v>
      </c>
      <c r="AA323" s="5">
        <f t="shared" si="1043"/>
        <v>0.24</v>
      </c>
      <c r="AB323" s="12">
        <f t="shared" si="1043"/>
        <v>1.59</v>
      </c>
      <c r="AC323" s="12">
        <f t="shared" si="1043"/>
        <v>1.59</v>
      </c>
      <c r="AD323" s="12">
        <f t="shared" si="1043"/>
        <v>1.59</v>
      </c>
      <c r="AE323" s="12">
        <f t="shared" si="1043"/>
        <v>1.59</v>
      </c>
      <c r="AF323" s="5">
        <f t="shared" si="1043"/>
        <v>1.59</v>
      </c>
      <c r="AG323" s="12">
        <f t="shared" si="1043"/>
        <v>1.35</v>
      </c>
      <c r="AH323" s="12">
        <f t="shared" si="1043"/>
        <v>1.35</v>
      </c>
      <c r="AI323" s="12">
        <f t="shared" si="1043"/>
        <v>1.35</v>
      </c>
      <c r="AJ323" s="12">
        <f t="shared" si="1043"/>
        <v>1.35</v>
      </c>
      <c r="AK323" s="5">
        <f t="shared" ref="AK323:BP323" si="1044">SUM(AK215,AK269)</f>
        <v>1.35</v>
      </c>
      <c r="AL323" s="12">
        <f t="shared" si="1044"/>
        <v>1.5</v>
      </c>
      <c r="AM323" s="12">
        <f t="shared" si="1044"/>
        <v>1.5</v>
      </c>
      <c r="AN323" s="12">
        <f t="shared" si="1044"/>
        <v>1.5</v>
      </c>
      <c r="AO323" s="12">
        <f t="shared" si="1044"/>
        <v>1.5</v>
      </c>
      <c r="AP323" s="5">
        <f t="shared" si="1044"/>
        <v>1.5</v>
      </c>
      <c r="AQ323" s="12">
        <f t="shared" si="1044"/>
        <v>1.5</v>
      </c>
      <c r="AR323" s="12">
        <f t="shared" si="1044"/>
        <v>1.5</v>
      </c>
      <c r="AS323" s="12">
        <f t="shared" si="1044"/>
        <v>1.5</v>
      </c>
      <c r="AT323" s="12">
        <f t="shared" si="1044"/>
        <v>1.5</v>
      </c>
      <c r="AU323" s="5">
        <f t="shared" si="1044"/>
        <v>1.5</v>
      </c>
      <c r="AV323" s="12">
        <f t="shared" si="1044"/>
        <v>1.55</v>
      </c>
      <c r="AW323" s="12">
        <f t="shared" si="1044"/>
        <v>1.55</v>
      </c>
      <c r="AX323" s="12">
        <f t="shared" si="1044"/>
        <v>1.55</v>
      </c>
      <c r="AY323" s="12">
        <f t="shared" si="1044"/>
        <v>1.55</v>
      </c>
      <c r="AZ323" s="5">
        <f>SUM(AZ215,AZ269)</f>
        <v>1.55</v>
      </c>
      <c r="BA323" s="12">
        <f t="shared" si="1044"/>
        <v>1.58</v>
      </c>
      <c r="BB323" s="12">
        <f t="shared" si="1044"/>
        <v>1.58</v>
      </c>
      <c r="BC323" s="12">
        <f t="shared" si="1044"/>
        <v>1.58</v>
      </c>
      <c r="BD323" s="12">
        <f t="shared" si="1044"/>
        <v>1.58</v>
      </c>
      <c r="BE323" s="5">
        <f t="shared" si="1041"/>
        <v>1.58</v>
      </c>
      <c r="BF323" s="12">
        <f t="shared" si="1044"/>
        <v>1.63</v>
      </c>
      <c r="BG323" s="12">
        <f t="shared" si="1044"/>
        <v>1.63</v>
      </c>
      <c r="BH323" s="12">
        <f t="shared" si="1044"/>
        <v>1.63</v>
      </c>
      <c r="BI323" s="12">
        <f t="shared" si="1044"/>
        <v>1.63</v>
      </c>
      <c r="BJ323" s="5">
        <f t="shared" si="1044"/>
        <v>1.63</v>
      </c>
      <c r="BK323" s="12">
        <f t="shared" si="1044"/>
        <v>1.67</v>
      </c>
      <c r="BL323" s="12">
        <f t="shared" si="1044"/>
        <v>1.67</v>
      </c>
      <c r="BM323" s="12">
        <f t="shared" si="1044"/>
        <v>1.67</v>
      </c>
      <c r="BN323" s="12">
        <f t="shared" si="1044"/>
        <v>1.67</v>
      </c>
      <c r="BO323" s="5">
        <f t="shared" si="1044"/>
        <v>1.67</v>
      </c>
      <c r="BP323" s="12">
        <f t="shared" si="1044"/>
        <v>1.69</v>
      </c>
      <c r="BQ323" s="12">
        <f t="shared" ref="BQ323:CD323" si="1045">SUM(BQ215,BQ269)</f>
        <v>1.69</v>
      </c>
      <c r="BR323" s="12">
        <f t="shared" si="1045"/>
        <v>1.69</v>
      </c>
      <c r="BS323" s="12">
        <f t="shared" si="1045"/>
        <v>1.69</v>
      </c>
      <c r="BT323" s="5">
        <f t="shared" si="1045"/>
        <v>1.69</v>
      </c>
      <c r="BU323" s="12">
        <f t="shared" si="1045"/>
        <v>1.67</v>
      </c>
      <c r="BV323" s="12">
        <f t="shared" si="1045"/>
        <v>1.67</v>
      </c>
      <c r="BW323" s="12">
        <f t="shared" si="1045"/>
        <v>1.67</v>
      </c>
      <c r="BX323" s="12">
        <f t="shared" si="1045"/>
        <v>1.67</v>
      </c>
      <c r="BY323" s="5">
        <f t="shared" si="1045"/>
        <v>1.67</v>
      </c>
      <c r="BZ323" s="12">
        <f t="shared" si="1045"/>
        <v>1.65</v>
      </c>
      <c r="CA323" s="12">
        <f t="shared" si="1045"/>
        <v>1.65</v>
      </c>
      <c r="CB323" s="12">
        <f t="shared" si="1045"/>
        <v>1.65</v>
      </c>
      <c r="CC323" s="12">
        <f t="shared" si="1045"/>
        <v>1.65</v>
      </c>
      <c r="CD323" s="5">
        <f t="shared" si="1045"/>
        <v>1.65</v>
      </c>
    </row>
    <row r="324" spans="1:88">
      <c r="A324" s="39" t="s">
        <v>1935</v>
      </c>
      <c r="B324" s="39"/>
      <c r="C324" s="52"/>
      <c r="D324" s="52"/>
      <c r="E324" s="8">
        <f t="shared" ref="E324:AJ324" si="1046">SUM(E322:E323)</f>
        <v>36.17</v>
      </c>
      <c r="F324" s="8">
        <f t="shared" si="1046"/>
        <v>30.78</v>
      </c>
      <c r="G324" s="8">
        <f t="shared" si="1046"/>
        <v>31.119999999999997</v>
      </c>
      <c r="H324" s="66">
        <f t="shared" si="1046"/>
        <v>28.39</v>
      </c>
      <c r="I324" s="66">
        <f t="shared" si="1046"/>
        <v>28.39</v>
      </c>
      <c r="J324" s="66">
        <f t="shared" si="1046"/>
        <v>28.39</v>
      </c>
      <c r="K324" s="66">
        <f t="shared" si="1046"/>
        <v>28.39</v>
      </c>
      <c r="L324" s="8">
        <f t="shared" si="1046"/>
        <v>28.39</v>
      </c>
      <c r="M324" s="66">
        <f t="shared" si="1046"/>
        <v>28.99</v>
      </c>
      <c r="N324" s="66">
        <f t="shared" si="1046"/>
        <v>28.99</v>
      </c>
      <c r="O324" s="66">
        <f t="shared" si="1046"/>
        <v>28.99</v>
      </c>
      <c r="P324" s="66">
        <f t="shared" si="1046"/>
        <v>28.99</v>
      </c>
      <c r="Q324" s="8">
        <f t="shared" si="1046"/>
        <v>28.99</v>
      </c>
      <c r="R324" s="66">
        <f t="shared" si="1046"/>
        <v>25.01</v>
      </c>
      <c r="S324" s="66">
        <f t="shared" si="1046"/>
        <v>25.01</v>
      </c>
      <c r="T324" s="66">
        <f t="shared" si="1046"/>
        <v>25.01</v>
      </c>
      <c r="U324" s="66">
        <f t="shared" si="1046"/>
        <v>25.01</v>
      </c>
      <c r="V324" s="8">
        <f t="shared" si="1046"/>
        <v>25.01</v>
      </c>
      <c r="W324" s="66">
        <f t="shared" si="1046"/>
        <v>26.099999999999998</v>
      </c>
      <c r="X324" s="66">
        <f t="shared" si="1046"/>
        <v>26.099999999999998</v>
      </c>
      <c r="Y324" s="66">
        <f t="shared" si="1046"/>
        <v>26.099999999999998</v>
      </c>
      <c r="Z324" s="66">
        <f t="shared" si="1046"/>
        <v>26.099999999999998</v>
      </c>
      <c r="AA324" s="8">
        <f t="shared" si="1046"/>
        <v>26.099999999999998</v>
      </c>
      <c r="AB324" s="66">
        <f t="shared" si="1046"/>
        <v>26.859999999999996</v>
      </c>
      <c r="AC324" s="66">
        <f t="shared" si="1046"/>
        <v>26.859999999999996</v>
      </c>
      <c r="AD324" s="66">
        <f t="shared" si="1046"/>
        <v>26.859999999999996</v>
      </c>
      <c r="AE324" s="66">
        <f t="shared" si="1046"/>
        <v>26.859999999999996</v>
      </c>
      <c r="AF324" s="8">
        <f t="shared" si="1046"/>
        <v>26.859999999999996</v>
      </c>
      <c r="AG324" s="66">
        <f t="shared" si="1046"/>
        <v>19.650000000000002</v>
      </c>
      <c r="AH324" s="66">
        <f t="shared" si="1046"/>
        <v>19.650000000000002</v>
      </c>
      <c r="AI324" s="66">
        <f t="shared" si="1046"/>
        <v>19.650000000000002</v>
      </c>
      <c r="AJ324" s="66">
        <f t="shared" si="1046"/>
        <v>19.650000000000002</v>
      </c>
      <c r="AK324" s="8">
        <f t="shared" ref="AK324:BP324" si="1047">SUM(AK322:AK323)</f>
        <v>19.650000000000002</v>
      </c>
      <c r="AL324" s="66">
        <f t="shared" si="1047"/>
        <v>21.64</v>
      </c>
      <c r="AM324" s="66">
        <f t="shared" si="1047"/>
        <v>21.64</v>
      </c>
      <c r="AN324" s="66">
        <f t="shared" si="1047"/>
        <v>21.64</v>
      </c>
      <c r="AO324" s="66">
        <f t="shared" si="1047"/>
        <v>21.64</v>
      </c>
      <c r="AP324" s="8">
        <f t="shared" si="1047"/>
        <v>21.64</v>
      </c>
      <c r="AQ324" s="66">
        <f t="shared" si="1047"/>
        <v>20.5</v>
      </c>
      <c r="AR324" s="66">
        <f t="shared" si="1047"/>
        <v>20.5</v>
      </c>
      <c r="AS324" s="66">
        <f t="shared" si="1047"/>
        <v>20.5</v>
      </c>
      <c r="AT324" s="66">
        <f t="shared" si="1047"/>
        <v>20.5</v>
      </c>
      <c r="AU324" s="8">
        <f t="shared" si="1047"/>
        <v>20.5</v>
      </c>
      <c r="AV324" s="66">
        <f t="shared" si="1047"/>
        <v>18.54</v>
      </c>
      <c r="AW324" s="66">
        <f t="shared" si="1047"/>
        <v>18.54</v>
      </c>
      <c r="AX324" s="66">
        <f t="shared" si="1047"/>
        <v>18.54</v>
      </c>
      <c r="AY324" s="66">
        <f t="shared" si="1047"/>
        <v>18.54</v>
      </c>
      <c r="AZ324" s="8">
        <f>SUM(AZ322:AZ323)</f>
        <v>18.54</v>
      </c>
      <c r="BA324" s="66">
        <f t="shared" si="1047"/>
        <v>16.84</v>
      </c>
      <c r="BB324" s="66">
        <f t="shared" si="1047"/>
        <v>16.84</v>
      </c>
      <c r="BC324" s="66">
        <f t="shared" si="1047"/>
        <v>16.84</v>
      </c>
      <c r="BD324" s="66">
        <f t="shared" si="1047"/>
        <v>16.84</v>
      </c>
      <c r="BE324" s="8">
        <f t="shared" si="1047"/>
        <v>16.84</v>
      </c>
      <c r="BF324" s="66">
        <f t="shared" si="1047"/>
        <v>17.439999999999998</v>
      </c>
      <c r="BG324" s="66">
        <f t="shared" si="1047"/>
        <v>17.439999999999998</v>
      </c>
      <c r="BH324" s="66">
        <f t="shared" si="1047"/>
        <v>17.439999999999998</v>
      </c>
      <c r="BI324" s="66">
        <f t="shared" si="1047"/>
        <v>17.439999999999998</v>
      </c>
      <c r="BJ324" s="8">
        <f t="shared" si="1047"/>
        <v>17.439999999999998</v>
      </c>
      <c r="BK324" s="66">
        <f t="shared" si="1047"/>
        <v>17.420000000000002</v>
      </c>
      <c r="BL324" s="66">
        <f t="shared" si="1047"/>
        <v>17.420000000000002</v>
      </c>
      <c r="BM324" s="66">
        <f t="shared" si="1047"/>
        <v>17.420000000000002</v>
      </c>
      <c r="BN324" s="66">
        <f t="shared" si="1047"/>
        <v>17.420000000000002</v>
      </c>
      <c r="BO324" s="8">
        <f t="shared" si="1047"/>
        <v>17.420000000000002</v>
      </c>
      <c r="BP324" s="66">
        <f t="shared" si="1047"/>
        <v>16.04</v>
      </c>
      <c r="BQ324" s="66">
        <f t="shared" ref="BQ324:CD324" si="1048">SUM(BQ322:BQ323)</f>
        <v>16.04</v>
      </c>
      <c r="BR324" s="66">
        <f t="shared" si="1048"/>
        <v>16.04</v>
      </c>
      <c r="BS324" s="66">
        <f t="shared" si="1048"/>
        <v>16.04</v>
      </c>
      <c r="BT324" s="8">
        <f t="shared" si="1048"/>
        <v>16.04</v>
      </c>
      <c r="BU324" s="66">
        <f t="shared" si="1048"/>
        <v>14.569999999999999</v>
      </c>
      <c r="BV324" s="66">
        <f t="shared" si="1048"/>
        <v>14.569999999999999</v>
      </c>
      <c r="BW324" s="66">
        <f t="shared" si="1048"/>
        <v>14.569999999999999</v>
      </c>
      <c r="BX324" s="66">
        <f t="shared" si="1048"/>
        <v>14.569999999999999</v>
      </c>
      <c r="BY324" s="8">
        <f t="shared" si="1048"/>
        <v>14.569999999999999</v>
      </c>
      <c r="BZ324" s="66">
        <f t="shared" si="1048"/>
        <v>13.940000000000001</v>
      </c>
      <c r="CA324" s="66">
        <f t="shared" si="1048"/>
        <v>13.940000000000001</v>
      </c>
      <c r="CB324" s="66">
        <f t="shared" si="1048"/>
        <v>13.940000000000001</v>
      </c>
      <c r="CC324" s="66">
        <f t="shared" si="1048"/>
        <v>13.940000000000001</v>
      </c>
      <c r="CD324" s="8">
        <f t="shared" si="1048"/>
        <v>13.940000000000001</v>
      </c>
    </row>
    <row r="325" spans="1:88">
      <c r="A325" s="39"/>
      <c r="B325" s="39"/>
      <c r="C325" s="52"/>
      <c r="D325" s="52"/>
      <c r="E325" s="8"/>
      <c r="F325" s="8"/>
      <c r="G325" s="8"/>
      <c r="H325" s="66"/>
      <c r="I325" s="66"/>
      <c r="J325" s="66"/>
      <c r="K325" s="66"/>
      <c r="L325" s="8"/>
      <c r="M325" s="66"/>
      <c r="N325" s="66"/>
      <c r="O325" s="66"/>
      <c r="P325" s="66"/>
      <c r="Q325" s="8"/>
      <c r="R325" s="66"/>
      <c r="S325" s="66"/>
      <c r="T325" s="66"/>
      <c r="U325" s="66"/>
      <c r="V325" s="8"/>
      <c r="W325" s="66"/>
      <c r="X325" s="66"/>
      <c r="Y325" s="66"/>
      <c r="Z325" s="66"/>
      <c r="AA325" s="8"/>
      <c r="AB325" s="66"/>
      <c r="AC325" s="66"/>
      <c r="AD325" s="66"/>
      <c r="AE325" s="66"/>
      <c r="AF325" s="8"/>
      <c r="AG325" s="66"/>
      <c r="AH325" s="66"/>
      <c r="AI325" s="66"/>
      <c r="AJ325" s="66"/>
      <c r="AK325" s="8"/>
      <c r="AL325" s="375"/>
      <c r="AM325" s="375"/>
      <c r="AN325" s="375"/>
      <c r="AO325" s="375"/>
      <c r="AP325" s="375"/>
      <c r="AQ325" s="375"/>
      <c r="AR325" s="375"/>
      <c r="AS325" s="375"/>
      <c r="AT325" s="375"/>
      <c r="AU325" s="375"/>
      <c r="AV325" s="375"/>
      <c r="AW325" s="375"/>
      <c r="AX325" s="375"/>
      <c r="AY325" s="375"/>
      <c r="AZ325" s="375"/>
      <c r="BA325" s="375"/>
      <c r="BB325" s="375"/>
      <c r="BC325" s="375"/>
      <c r="BD325" s="375"/>
      <c r="BE325" s="375"/>
      <c r="BF325" s="375"/>
      <c r="BG325" s="375"/>
      <c r="BH325" s="375"/>
      <c r="BI325" s="375"/>
      <c r="BJ325" s="375"/>
      <c r="BK325" s="375"/>
      <c r="BL325" s="375"/>
      <c r="BM325" s="375"/>
      <c r="BN325" s="375"/>
      <c r="BO325" s="375"/>
      <c r="BP325" s="375"/>
      <c r="BQ325" s="375"/>
      <c r="BR325" s="375"/>
      <c r="BS325" s="375"/>
      <c r="BT325" s="375"/>
      <c r="BU325" s="375"/>
      <c r="BV325" s="375"/>
      <c r="BW325" s="375"/>
      <c r="BX325" s="375"/>
      <c r="BY325" s="375"/>
      <c r="BZ325" s="375"/>
      <c r="CA325" s="375"/>
      <c r="CB325" s="375"/>
      <c r="CC325" s="375"/>
      <c r="CD325" s="375"/>
    </row>
    <row r="326" spans="1:88">
      <c r="A326" s="46" t="s">
        <v>541</v>
      </c>
      <c r="B326" s="46"/>
      <c r="C326" s="53"/>
      <c r="D326" s="53"/>
      <c r="E326" s="15">
        <f t="shared" ref="E326:AJ326" si="1049">E284+E289+E298+E304+E319+E324</f>
        <v>1766.152</v>
      </c>
      <c r="F326" s="15">
        <f t="shared" si="1049"/>
        <v>1640.318</v>
      </c>
      <c r="G326" s="15">
        <f t="shared" si="1049"/>
        <v>1583.1819999999998</v>
      </c>
      <c r="H326" s="67">
        <f t="shared" si="1049"/>
        <v>1561.6139999999998</v>
      </c>
      <c r="I326" s="67">
        <f t="shared" si="1049"/>
        <v>1561.6139999999998</v>
      </c>
      <c r="J326" s="67">
        <f t="shared" si="1049"/>
        <v>1561.6139999999998</v>
      </c>
      <c r="K326" s="67">
        <f t="shared" si="1049"/>
        <v>1561.6139999999998</v>
      </c>
      <c r="L326" s="15">
        <f t="shared" si="1049"/>
        <v>1561.6139999999998</v>
      </c>
      <c r="M326" s="67">
        <f t="shared" si="1049"/>
        <v>1545.37</v>
      </c>
      <c r="N326" s="67">
        <f t="shared" si="1049"/>
        <v>1545.37</v>
      </c>
      <c r="O326" s="67">
        <f t="shared" si="1049"/>
        <v>1545.37</v>
      </c>
      <c r="P326" s="67">
        <f t="shared" si="1049"/>
        <v>1545.37</v>
      </c>
      <c r="Q326" s="15">
        <f t="shared" si="1049"/>
        <v>1545.37</v>
      </c>
      <c r="R326" s="67">
        <f t="shared" si="1049"/>
        <v>1472.0260000000001</v>
      </c>
      <c r="S326" s="67">
        <f t="shared" si="1049"/>
        <v>1472.0260000000001</v>
      </c>
      <c r="T326" s="67">
        <f t="shared" si="1049"/>
        <v>1472.0260000000001</v>
      </c>
      <c r="U326" s="67">
        <f t="shared" si="1049"/>
        <v>1472.0260000000001</v>
      </c>
      <c r="V326" s="15">
        <f t="shared" si="1049"/>
        <v>1472.0260000000001</v>
      </c>
      <c r="W326" s="67">
        <f t="shared" si="1049"/>
        <v>1590.3920000000001</v>
      </c>
      <c r="X326" s="67">
        <f t="shared" si="1049"/>
        <v>1590.3920000000001</v>
      </c>
      <c r="Y326" s="67">
        <f t="shared" si="1049"/>
        <v>1590.3920000000001</v>
      </c>
      <c r="Z326" s="67">
        <f t="shared" si="1049"/>
        <v>1590.3920000000001</v>
      </c>
      <c r="AA326" s="15">
        <f t="shared" si="1049"/>
        <v>1590.3920000000001</v>
      </c>
      <c r="AB326" s="67">
        <f t="shared" si="1049"/>
        <v>1441.6699999999996</v>
      </c>
      <c r="AC326" s="67">
        <f t="shared" si="1049"/>
        <v>1441.6699999999996</v>
      </c>
      <c r="AD326" s="67">
        <f t="shared" si="1049"/>
        <v>1441.6699999999996</v>
      </c>
      <c r="AE326" s="67">
        <f t="shared" si="1049"/>
        <v>1441.6699999999996</v>
      </c>
      <c r="AF326" s="15">
        <f t="shared" si="1049"/>
        <v>1441.6699999999996</v>
      </c>
      <c r="AG326" s="67">
        <f t="shared" si="1049"/>
        <v>1212.0100000000002</v>
      </c>
      <c r="AH326" s="67">
        <f t="shared" si="1049"/>
        <v>1212.0100000000002</v>
      </c>
      <c r="AI326" s="67">
        <f t="shared" si="1049"/>
        <v>1212.0100000000002</v>
      </c>
      <c r="AJ326" s="67">
        <f t="shared" si="1049"/>
        <v>1212.0100000000002</v>
      </c>
      <c r="AK326" s="15">
        <f t="shared" ref="AK326:BP326" si="1050">AK284+AK289+AK298+AK304+AK319+AK324</f>
        <v>1212.0100000000002</v>
      </c>
      <c r="AL326" s="67">
        <f t="shared" si="1050"/>
        <v>1124.2520000000002</v>
      </c>
      <c r="AM326" s="67">
        <f t="shared" si="1050"/>
        <v>1124.2520000000002</v>
      </c>
      <c r="AN326" s="67">
        <f t="shared" si="1050"/>
        <v>1124.2520000000002</v>
      </c>
      <c r="AO326" s="67">
        <f t="shared" si="1050"/>
        <v>1124.2520000000002</v>
      </c>
      <c r="AP326" s="15">
        <f t="shared" si="1050"/>
        <v>1124.2520000000002</v>
      </c>
      <c r="AQ326" s="67">
        <f t="shared" si="1050"/>
        <v>1740.9458149999998</v>
      </c>
      <c r="AR326" s="67">
        <f t="shared" si="1050"/>
        <v>1740.9458149999998</v>
      </c>
      <c r="AS326" s="67">
        <f t="shared" si="1050"/>
        <v>1740.9458149999998</v>
      </c>
      <c r="AT326" s="67">
        <f t="shared" si="1050"/>
        <v>1740.9458149999998</v>
      </c>
      <c r="AU326" s="15">
        <f t="shared" si="1050"/>
        <v>1740.9458149999998</v>
      </c>
      <c r="AV326" s="67">
        <f t="shared" si="1050"/>
        <v>1870.7037824999998</v>
      </c>
      <c r="AW326" s="67">
        <f t="shared" si="1050"/>
        <v>1870.7037824999998</v>
      </c>
      <c r="AX326" s="67">
        <f t="shared" si="1050"/>
        <v>1870.7037824999998</v>
      </c>
      <c r="AY326" s="67">
        <f t="shared" si="1050"/>
        <v>1870.7037824999998</v>
      </c>
      <c r="AZ326" s="15">
        <f>AZ284+AZ289+AZ298+AZ304+AZ319+AZ324</f>
        <v>1870.7037824999998</v>
      </c>
      <c r="BA326" s="67">
        <f t="shared" si="1050"/>
        <v>2108.7562550000002</v>
      </c>
      <c r="BB326" s="67">
        <f t="shared" si="1050"/>
        <v>2108.7562550000002</v>
      </c>
      <c r="BC326" s="67">
        <f t="shared" si="1050"/>
        <v>2108.7562550000002</v>
      </c>
      <c r="BD326" s="67">
        <f t="shared" si="1050"/>
        <v>2108.7562550000002</v>
      </c>
      <c r="BE326" s="15">
        <f t="shared" si="1050"/>
        <v>2108.7562550000002</v>
      </c>
      <c r="BF326" s="67">
        <f t="shared" si="1050"/>
        <v>2116.9920550000002</v>
      </c>
      <c r="BG326" s="67">
        <f t="shared" si="1050"/>
        <v>2116.9920550000002</v>
      </c>
      <c r="BH326" s="67">
        <f t="shared" si="1050"/>
        <v>2116.9920550000002</v>
      </c>
      <c r="BI326" s="67">
        <f t="shared" si="1050"/>
        <v>2116.9920550000002</v>
      </c>
      <c r="BJ326" s="15">
        <f t="shared" si="1050"/>
        <v>2116.9920550000002</v>
      </c>
      <c r="BK326" s="67">
        <f t="shared" si="1050"/>
        <v>2103.1077650000002</v>
      </c>
      <c r="BL326" s="67">
        <f t="shared" si="1050"/>
        <v>2103.1077650000002</v>
      </c>
      <c r="BM326" s="67">
        <f t="shared" si="1050"/>
        <v>2103.1077650000002</v>
      </c>
      <c r="BN326" s="67">
        <f t="shared" si="1050"/>
        <v>2103.1077650000002</v>
      </c>
      <c r="BO326" s="15">
        <f t="shared" si="1050"/>
        <v>2103.1077650000002</v>
      </c>
      <c r="BP326" s="67">
        <f t="shared" si="1050"/>
        <v>2051.6726625000001</v>
      </c>
      <c r="BQ326" s="67">
        <f t="shared" ref="BQ326:CD326" si="1051">BQ284+BQ289+BQ298+BQ304+BQ319+BQ324</f>
        <v>2051.6726625000001</v>
      </c>
      <c r="BR326" s="67">
        <f t="shared" si="1051"/>
        <v>2051.6726625000001</v>
      </c>
      <c r="BS326" s="67">
        <f t="shared" si="1051"/>
        <v>2051.6726625000001</v>
      </c>
      <c r="BT326" s="15">
        <f t="shared" si="1051"/>
        <v>2051.6726625000001</v>
      </c>
      <c r="BU326" s="67">
        <f t="shared" si="1051"/>
        <v>2068.7754650000002</v>
      </c>
      <c r="BV326" s="67">
        <f t="shared" si="1051"/>
        <v>2068.7754650000002</v>
      </c>
      <c r="BW326" s="67">
        <f t="shared" si="1051"/>
        <v>2068.7754650000002</v>
      </c>
      <c r="BX326" s="67">
        <f t="shared" si="1051"/>
        <v>2068.7754650000002</v>
      </c>
      <c r="BY326" s="15">
        <f t="shared" si="1051"/>
        <v>2068.7754650000002</v>
      </c>
      <c r="BZ326" s="67">
        <f t="shared" si="1051"/>
        <v>2083.1972625000003</v>
      </c>
      <c r="CA326" s="67">
        <f t="shared" si="1051"/>
        <v>2083.1972625000003</v>
      </c>
      <c r="CB326" s="67">
        <f t="shared" si="1051"/>
        <v>2083.1972625000003</v>
      </c>
      <c r="CC326" s="67">
        <f t="shared" si="1051"/>
        <v>2083.1972625000003</v>
      </c>
      <c r="CD326" s="15">
        <f t="shared" si="1051"/>
        <v>2083.1972625000003</v>
      </c>
    </row>
    <row r="327" spans="1:88">
      <c r="A327" s="101"/>
      <c r="B327" s="101" t="s">
        <v>897</v>
      </c>
      <c r="C327" s="101"/>
      <c r="D327" s="101"/>
      <c r="E327" s="101">
        <f>E326-'Woodmac profile - Oil'!K530</f>
        <v>0</v>
      </c>
      <c r="F327" s="101">
        <f>F326-'Woodmac profile - Oil'!L530</f>
        <v>0</v>
      </c>
      <c r="G327" s="101">
        <f>G326-'Woodmac profile - Oil'!M530</f>
        <v>0</v>
      </c>
      <c r="H327" s="101"/>
      <c r="I327" s="101"/>
      <c r="J327" s="101"/>
      <c r="K327" s="101"/>
      <c r="L327" s="101">
        <f>L326-'Woodmac profile - Oil'!N530</f>
        <v>0</v>
      </c>
      <c r="M327" s="101"/>
      <c r="N327" s="101"/>
      <c r="O327" s="101"/>
      <c r="P327" s="101"/>
      <c r="Q327" s="101">
        <f>Q326-'Woodmac profile - Oil'!O530</f>
        <v>0</v>
      </c>
      <c r="R327" s="101"/>
      <c r="S327" s="101"/>
      <c r="T327" s="101"/>
      <c r="U327" s="101"/>
      <c r="V327" s="101">
        <f>V326-'Woodmac profile - Oil'!P530</f>
        <v>0</v>
      </c>
      <c r="W327" s="101"/>
      <c r="X327" s="101"/>
      <c r="Y327" s="101"/>
      <c r="Z327" s="101"/>
      <c r="AA327" s="101">
        <f>AA326-'Woodmac profile - Oil'!Q530</f>
        <v>0</v>
      </c>
      <c r="AB327" s="101"/>
      <c r="AC327" s="101"/>
      <c r="AD327" s="101"/>
      <c r="AE327" s="101"/>
      <c r="AF327" s="101">
        <f>AF326-'Woodmac profile - Oil'!R530</f>
        <v>0</v>
      </c>
      <c r="AG327" s="101"/>
      <c r="AH327" s="101"/>
      <c r="AI327" s="101"/>
      <c r="AJ327" s="101"/>
      <c r="AK327" s="101">
        <f>AK326-'Woodmac profile - Oil'!S530</f>
        <v>0</v>
      </c>
      <c r="AL327" s="101"/>
      <c r="AM327" s="101"/>
      <c r="AN327" s="101"/>
      <c r="AO327" s="101"/>
      <c r="AP327" s="101">
        <f>'Woodmac profile - Oil'!T530-AP326</f>
        <v>0</v>
      </c>
      <c r="AQ327" s="101"/>
      <c r="AR327" s="101"/>
      <c r="AS327" s="101"/>
      <c r="AT327" s="101"/>
      <c r="AU327" s="101"/>
      <c r="AV327" s="101"/>
      <c r="AW327" s="101"/>
      <c r="AX327" s="101"/>
      <c r="AY327" s="101"/>
      <c r="AZ327" s="101">
        <f>AZ326-'Woodmac profile - Oil'!V530</f>
        <v>0</v>
      </c>
      <c r="BA327" s="101"/>
      <c r="BB327" s="101"/>
      <c r="BC327" s="101"/>
      <c r="BD327" s="101"/>
      <c r="BE327" s="101">
        <f>BE326-'Woodmac profile - Oil'!AA530</f>
        <v>39.98079000000007</v>
      </c>
      <c r="BF327" s="101"/>
      <c r="BG327" s="101"/>
      <c r="BH327" s="101"/>
      <c r="BI327" s="101"/>
      <c r="BJ327" s="101">
        <f>BJ326-'Woodmac profile - Oil'!X530</f>
        <v>0</v>
      </c>
      <c r="BK327" s="101"/>
      <c r="BL327" s="101"/>
      <c r="BM327" s="101"/>
      <c r="BN327" s="101"/>
      <c r="BO327" s="101">
        <f>BO326-'Woodmac profile - Oil'!Y530</f>
        <v>0</v>
      </c>
      <c r="BP327" s="101"/>
      <c r="BQ327" s="101"/>
      <c r="BR327" s="101"/>
      <c r="BS327" s="101"/>
      <c r="BT327" s="101">
        <f>BT326-'Woodmac profile - Oil'!Z530</f>
        <v>0</v>
      </c>
      <c r="BU327" s="101"/>
      <c r="BV327" s="101"/>
      <c r="BW327" s="101"/>
      <c r="BX327" s="101"/>
      <c r="BY327" s="101">
        <f>BY326-'Woodmac profile - Oil'!AA530</f>
        <v>0</v>
      </c>
      <c r="BZ327" s="101"/>
      <c r="CA327" s="101"/>
      <c r="CB327" s="101"/>
      <c r="CC327" s="101"/>
      <c r="CD327" s="101">
        <f>CD326-'Woodmac profile - Oil'!AB530</f>
        <v>0</v>
      </c>
    </row>
    <row r="328" spans="1:88">
      <c r="A328" s="11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11"/>
      <c r="AO328" s="11"/>
      <c r="AP328" s="115"/>
      <c r="AQ328" s="115"/>
      <c r="AR328" s="115"/>
      <c r="AS328" s="115"/>
      <c r="AT328" s="115"/>
      <c r="AU328" s="115"/>
      <c r="AV328" s="115"/>
      <c r="AW328" s="115"/>
      <c r="AX328" s="115"/>
      <c r="AY328" s="115"/>
      <c r="AZ328" s="115"/>
      <c r="BA328" s="115"/>
      <c r="BB328" s="115"/>
      <c r="BC328" s="115"/>
      <c r="BD328" s="115"/>
      <c r="BE328" s="115"/>
      <c r="BF328" s="115"/>
      <c r="BG328" s="115"/>
      <c r="BH328" s="115"/>
      <c r="BI328" s="115"/>
      <c r="BJ328" s="115"/>
      <c r="BK328" s="115"/>
      <c r="BL328" s="115"/>
      <c r="BM328" s="115"/>
      <c r="BN328" s="115"/>
      <c r="BO328" s="115"/>
      <c r="BP328" s="115"/>
      <c r="BQ328" s="115"/>
      <c r="BR328" s="115"/>
      <c r="BS328" s="115"/>
      <c r="BT328" s="115"/>
      <c r="BU328" s="115"/>
      <c r="BV328" s="115"/>
      <c r="BW328" s="115"/>
      <c r="BX328" s="115"/>
      <c r="BY328" s="115"/>
      <c r="BZ328" s="115"/>
      <c r="CA328" s="115"/>
      <c r="CB328" s="115"/>
      <c r="CC328" s="115"/>
      <c r="CD328" s="115"/>
    </row>
    <row r="329" spans="1:88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1"/>
      <c r="AB329" s="11"/>
      <c r="AC329" s="11"/>
      <c r="AD329" s="11"/>
      <c r="AE329" s="11"/>
      <c r="AF329" s="11"/>
      <c r="AG329" s="11"/>
      <c r="AH329" s="11"/>
      <c r="AI329" s="11"/>
      <c r="AJ329" s="11"/>
      <c r="AK329" s="11"/>
      <c r="AL329" s="48"/>
      <c r="AM329" s="48"/>
      <c r="AN329" s="48"/>
      <c r="AO329" s="48"/>
      <c r="AP329" s="48"/>
      <c r="AQ329" s="48"/>
      <c r="AR329" s="48"/>
      <c r="AS329" s="48"/>
      <c r="AT329" s="48"/>
      <c r="AU329" s="48"/>
      <c r="AV329" s="48"/>
      <c r="AW329" s="48"/>
      <c r="AX329" s="48"/>
      <c r="AY329" s="48"/>
      <c r="AZ329" s="48"/>
      <c r="BA329" s="48"/>
      <c r="BB329" s="48"/>
      <c r="BC329" s="48"/>
      <c r="BD329" s="48"/>
      <c r="BE329" s="48"/>
      <c r="BF329" s="11"/>
      <c r="BG329" s="11"/>
      <c r="BH329" s="11"/>
      <c r="BI329" s="11"/>
      <c r="BJ329" s="11"/>
      <c r="BK329" s="11"/>
      <c r="BL329" s="11"/>
      <c r="BM329" s="11"/>
      <c r="BN329" s="498"/>
      <c r="BO329" s="498"/>
      <c r="BP329" s="498"/>
      <c r="BQ329" s="498"/>
      <c r="BR329" s="498"/>
      <c r="BS329" s="498"/>
      <c r="BT329" s="498"/>
      <c r="BU329" s="498"/>
      <c r="BV329" s="498"/>
      <c r="BW329" s="498"/>
      <c r="BX329" s="498"/>
      <c r="BY329" s="498"/>
      <c r="BZ329" s="498"/>
      <c r="CA329" s="498"/>
      <c r="CB329" s="498"/>
      <c r="CC329" s="498"/>
      <c r="CD329" s="498"/>
      <c r="CE329" s="391"/>
    </row>
    <row r="330" spans="1:88" ht="15.75">
      <c r="A330" s="400" t="s">
        <v>392</v>
      </c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9"/>
      <c r="AG330" s="39"/>
      <c r="AH330" s="39"/>
      <c r="AI330" s="39"/>
      <c r="AJ330" s="39"/>
      <c r="AK330" s="39"/>
      <c r="AL330" s="39"/>
      <c r="AM330" s="39"/>
      <c r="AN330" s="39"/>
      <c r="AO330" s="39"/>
      <c r="AP330" s="39"/>
      <c r="AQ330" s="39"/>
      <c r="AR330" s="39"/>
      <c r="AS330" s="39"/>
      <c r="AT330" s="39"/>
      <c r="AU330" s="39"/>
      <c r="AV330" s="39"/>
      <c r="AW330" s="39"/>
      <c r="AX330" s="39"/>
      <c r="AY330" s="39"/>
      <c r="AZ330" s="39"/>
      <c r="BA330" s="39"/>
      <c r="BB330" s="39"/>
      <c r="BC330" s="39"/>
      <c r="BD330" s="39"/>
      <c r="BE330" s="39"/>
      <c r="BF330" s="11"/>
      <c r="BG330" s="11"/>
      <c r="BH330" s="11"/>
      <c r="BI330" s="11"/>
      <c r="BJ330" s="11"/>
      <c r="BK330" s="11"/>
      <c r="BL330" s="11"/>
      <c r="BM330" s="11"/>
      <c r="BN330" s="68"/>
      <c r="BO330">
        <f>BO127-BO128</f>
        <v>446</v>
      </c>
      <c r="BT330">
        <f>BT127-BT128</f>
        <v>471.14931999999999</v>
      </c>
      <c r="BY330">
        <f>BY127-BY128</f>
        <v>467.6028</v>
      </c>
      <c r="CD330">
        <f>CD127-CD128</f>
        <v>448.83024</v>
      </c>
      <c r="CE330" s="391"/>
    </row>
    <row r="331" spans="1:88">
      <c r="A331" s="11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  <c r="BL331" s="11"/>
      <c r="BM331" s="11"/>
      <c r="BN331" s="11">
        <f>$BN$166</f>
        <v>0</v>
      </c>
      <c r="BO331" s="11"/>
      <c r="BP331" s="11"/>
      <c r="BQ331" s="11"/>
      <c r="BR331" s="11"/>
      <c r="BS331" s="11"/>
      <c r="BT331" s="11"/>
      <c r="BU331" s="11"/>
      <c r="BV331" s="11"/>
      <c r="BW331" s="11"/>
      <c r="BX331" s="11"/>
      <c r="BY331" s="11"/>
      <c r="BZ331" s="11"/>
      <c r="CA331" s="11"/>
      <c r="CB331" s="11"/>
      <c r="CC331" s="11"/>
      <c r="CD331" s="11"/>
      <c r="CE331" s="391"/>
    </row>
    <row r="332" spans="1:88">
      <c r="A332" s="24" t="s">
        <v>304</v>
      </c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  <c r="BL332" s="11"/>
      <c r="BM332" s="11"/>
      <c r="BN332" s="11"/>
      <c r="BO332" s="11"/>
      <c r="BP332" s="11"/>
      <c r="BQ332" s="11"/>
      <c r="BR332" s="11"/>
      <c r="BS332" s="11"/>
      <c r="BT332" s="11"/>
      <c r="BU332" s="11"/>
      <c r="BV332" s="11"/>
      <c r="BW332" s="11"/>
      <c r="BX332" s="11"/>
      <c r="BY332" s="11"/>
      <c r="BZ332" s="11"/>
      <c r="CA332" s="11"/>
      <c r="CB332" s="11"/>
      <c r="CC332" s="11"/>
      <c r="CD332" s="11"/>
      <c r="CG332" s="376" t="s">
        <v>2316</v>
      </c>
    </row>
    <row r="333" spans="1:88" ht="12.75" customHeight="1">
      <c r="A333" s="10"/>
      <c r="B333" s="10"/>
      <c r="C333" s="31">
        <v>2001</v>
      </c>
      <c r="D333" s="32">
        <v>2002</v>
      </c>
      <c r="E333" s="32">
        <v>2003</v>
      </c>
      <c r="F333" s="32">
        <v>2004</v>
      </c>
      <c r="G333" s="31">
        <v>2005</v>
      </c>
      <c r="H333" s="33" t="s">
        <v>714</v>
      </c>
      <c r="I333" s="33" t="s">
        <v>715</v>
      </c>
      <c r="J333" s="33" t="s">
        <v>716</v>
      </c>
      <c r="K333" s="33" t="s">
        <v>717</v>
      </c>
      <c r="L333" s="31">
        <v>2006</v>
      </c>
      <c r="M333" s="33" t="s">
        <v>718</v>
      </c>
      <c r="N333" s="33" t="s">
        <v>719</v>
      </c>
      <c r="O333" s="33" t="s">
        <v>1970</v>
      </c>
      <c r="P333" s="33" t="s">
        <v>1971</v>
      </c>
      <c r="Q333" s="31">
        <v>2007</v>
      </c>
      <c r="R333" s="33" t="s">
        <v>1972</v>
      </c>
      <c r="S333" s="33" t="s">
        <v>1973</v>
      </c>
      <c r="T333" s="33" t="s">
        <v>1974</v>
      </c>
      <c r="U333" s="33" t="s">
        <v>1975</v>
      </c>
      <c r="V333" s="31">
        <v>2008</v>
      </c>
      <c r="W333" s="33" t="s">
        <v>1976</v>
      </c>
      <c r="X333" s="33" t="s">
        <v>1977</v>
      </c>
      <c r="Y333" s="33" t="s">
        <v>1978</v>
      </c>
      <c r="Z333" s="33" t="s">
        <v>1979</v>
      </c>
      <c r="AA333" s="31">
        <v>2009</v>
      </c>
      <c r="AB333" s="33" t="s">
        <v>1980</v>
      </c>
      <c r="AC333" s="33" t="s">
        <v>1981</v>
      </c>
      <c r="AD333" s="33" t="s">
        <v>1982</v>
      </c>
      <c r="AE333" s="33" t="s">
        <v>2392</v>
      </c>
      <c r="AF333" s="31">
        <v>2010</v>
      </c>
      <c r="AG333" s="33" t="s">
        <v>2393</v>
      </c>
      <c r="AH333" s="33" t="s">
        <v>2394</v>
      </c>
      <c r="AI333" s="33" t="s">
        <v>2395</v>
      </c>
      <c r="AJ333" s="33" t="s">
        <v>2396</v>
      </c>
      <c r="AK333" s="31">
        <v>2011</v>
      </c>
      <c r="AL333" s="33" t="s">
        <v>2397</v>
      </c>
      <c r="AM333" s="33" t="s">
        <v>2398</v>
      </c>
      <c r="AN333" s="33" t="s">
        <v>2399</v>
      </c>
      <c r="AO333" s="368" t="s">
        <v>2400</v>
      </c>
      <c r="AP333" s="369">
        <v>2012</v>
      </c>
      <c r="AQ333" s="368" t="s">
        <v>2401</v>
      </c>
      <c r="AR333" s="368" t="s">
        <v>2402</v>
      </c>
      <c r="AS333" s="368" t="s">
        <v>2403</v>
      </c>
      <c r="AT333" s="368" t="s">
        <v>2404</v>
      </c>
      <c r="AU333" s="369">
        <v>2013</v>
      </c>
      <c r="AV333" s="368" t="s">
        <v>2405</v>
      </c>
      <c r="AW333" s="368" t="s">
        <v>2406</v>
      </c>
      <c r="AX333" s="368" t="s">
        <v>2407</v>
      </c>
      <c r="AY333" s="368" t="s">
        <v>2408</v>
      </c>
      <c r="AZ333" s="369">
        <v>2014</v>
      </c>
      <c r="BA333" s="33" t="s">
        <v>2409</v>
      </c>
      <c r="BB333" s="33" t="s">
        <v>2410</v>
      </c>
      <c r="BC333" s="33" t="s">
        <v>2411</v>
      </c>
      <c r="BD333" s="33" t="s">
        <v>2412</v>
      </c>
      <c r="BE333" s="31">
        <v>2015</v>
      </c>
      <c r="BF333" s="33" t="s">
        <v>2413</v>
      </c>
      <c r="BG333" s="33" t="s">
        <v>2414</v>
      </c>
      <c r="BH333" s="33" t="s">
        <v>2415</v>
      </c>
      <c r="BI333" s="368" t="s">
        <v>2416</v>
      </c>
      <c r="BJ333" s="31">
        <v>2016</v>
      </c>
      <c r="BK333" s="368" t="s">
        <v>2417</v>
      </c>
      <c r="BL333" s="368" t="s">
        <v>2418</v>
      </c>
      <c r="BM333" s="368" t="s">
        <v>2419</v>
      </c>
      <c r="BN333" s="33" t="s">
        <v>2420</v>
      </c>
      <c r="BO333" s="31">
        <v>2017</v>
      </c>
      <c r="BP333" s="33" t="s">
        <v>2244</v>
      </c>
      <c r="BQ333" s="33" t="s">
        <v>2245</v>
      </c>
      <c r="BR333" s="33" t="s">
        <v>2508</v>
      </c>
      <c r="BS333" s="33" t="s">
        <v>2509</v>
      </c>
      <c r="BT333" s="31">
        <v>2018</v>
      </c>
      <c r="BU333" s="33" t="s">
        <v>2510</v>
      </c>
      <c r="BV333" s="33" t="s">
        <v>2511</v>
      </c>
      <c r="BW333" s="33" t="s">
        <v>3125</v>
      </c>
      <c r="BX333" s="33" t="s">
        <v>1405</v>
      </c>
      <c r="BY333" s="31">
        <v>2019</v>
      </c>
      <c r="BZ333" s="33" t="s">
        <v>1406</v>
      </c>
      <c r="CA333" s="33" t="s">
        <v>1407</v>
      </c>
      <c r="CB333" s="33" t="s">
        <v>1408</v>
      </c>
      <c r="CC333" s="33" t="s">
        <v>1409</v>
      </c>
      <c r="CD333" s="31">
        <v>2020</v>
      </c>
      <c r="CG333" s="31" t="s">
        <v>320</v>
      </c>
      <c r="CH333" s="31" t="s">
        <v>321</v>
      </c>
      <c r="CI333" s="31" t="s">
        <v>322</v>
      </c>
      <c r="CJ333" s="31" t="s">
        <v>2663</v>
      </c>
    </row>
    <row r="334" spans="1:88">
      <c r="A334" s="39" t="s">
        <v>305</v>
      </c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11"/>
      <c r="AO334" s="11"/>
      <c r="AP334" s="11"/>
      <c r="AQ334" s="11"/>
      <c r="AR334" s="11"/>
      <c r="AS334" s="11"/>
      <c r="AT334" s="11"/>
      <c r="AU334" s="11"/>
      <c r="AV334" s="11"/>
      <c r="AW334" s="11"/>
      <c r="AX334" s="11"/>
      <c r="AY334" s="11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  <c r="BL334" s="11"/>
      <c r="BM334" s="11"/>
      <c r="BN334" s="11"/>
      <c r="BO334" s="11"/>
      <c r="BP334" s="11"/>
      <c r="BQ334" s="11"/>
      <c r="BR334" s="11"/>
      <c r="BS334" s="11"/>
      <c r="BT334" s="11"/>
      <c r="BU334" s="11"/>
      <c r="BV334" s="11"/>
      <c r="BW334" s="11"/>
      <c r="BX334" s="11"/>
      <c r="BY334" s="11"/>
      <c r="BZ334" s="11"/>
      <c r="CA334" s="11"/>
      <c r="CB334" s="11"/>
      <c r="CC334" s="11"/>
      <c r="CD334" s="11"/>
    </row>
    <row r="335" spans="1:88">
      <c r="A335" s="11"/>
      <c r="B335" s="11" t="s">
        <v>1281</v>
      </c>
      <c r="C335" s="51"/>
      <c r="D335" s="51"/>
      <c r="E335" s="115">
        <f t="shared" ref="E335:G338" si="1052">E119-E281</f>
        <v>47.500000000000057</v>
      </c>
      <c r="F335" s="115">
        <f t="shared" si="1052"/>
        <v>36.5</v>
      </c>
      <c r="G335" s="115">
        <f t="shared" si="1052"/>
        <v>33.999999999999915</v>
      </c>
      <c r="H335" s="143"/>
      <c r="I335" s="143"/>
      <c r="J335" s="143"/>
      <c r="K335" s="143"/>
      <c r="L335" s="115">
        <f>L119-L281</f>
        <v>30.229999999999961</v>
      </c>
      <c r="M335" s="143"/>
      <c r="N335" s="143"/>
      <c r="O335" s="143"/>
      <c r="P335" s="143"/>
      <c r="Q335" s="115">
        <f>Q119-Q281</f>
        <v>29.03000000000003</v>
      </c>
      <c r="R335" s="143"/>
      <c r="S335" s="143"/>
      <c r="T335" s="143"/>
      <c r="U335" s="143"/>
      <c r="V335" s="115">
        <f>V119-V281</f>
        <v>23.5</v>
      </c>
      <c r="W335" s="143"/>
      <c r="X335" s="143"/>
      <c r="Y335" s="143"/>
      <c r="Z335" s="143"/>
      <c r="AA335" s="115">
        <f>AA119-AA281</f>
        <v>23.779999999999973</v>
      </c>
      <c r="AB335" s="143"/>
      <c r="AC335" s="143"/>
      <c r="AD335" s="143"/>
      <c r="AE335" s="143"/>
      <c r="AF335" s="115">
        <f>AF119-AF281</f>
        <v>20.409999999999997</v>
      </c>
      <c r="AG335" s="143"/>
      <c r="AH335" s="143"/>
      <c r="AI335" s="143"/>
      <c r="AJ335" s="143"/>
      <c r="AK335" s="115">
        <f>AK119-AK281</f>
        <v>17.89</v>
      </c>
      <c r="AL335" s="143"/>
      <c r="AM335" s="143"/>
      <c r="AN335" s="143"/>
      <c r="AO335" s="143"/>
      <c r="AP335" s="115">
        <f>AP119-AP281</f>
        <v>23.560000000000002</v>
      </c>
      <c r="AQ335" s="143"/>
      <c r="AR335" s="143"/>
      <c r="AS335" s="143"/>
      <c r="AT335" s="143"/>
      <c r="AU335" s="115">
        <f>AU119-AU281</f>
        <v>10.219999999999999</v>
      </c>
      <c r="AV335" s="143"/>
      <c r="AW335" s="143"/>
      <c r="AX335" s="143"/>
      <c r="AY335" s="143"/>
      <c r="AZ335" s="115">
        <f>AZ119-AZ281</f>
        <v>1.3399999999999963</v>
      </c>
      <c r="BA335" s="143"/>
      <c r="BB335" s="143"/>
      <c r="BC335" s="143"/>
      <c r="BD335" s="143"/>
      <c r="BE335" s="115">
        <f>BE119-BE281</f>
        <v>3.4299999999999926</v>
      </c>
      <c r="BF335" s="143"/>
      <c r="BG335" s="143"/>
      <c r="BH335" s="143"/>
      <c r="BI335" s="143"/>
      <c r="BJ335" s="115">
        <f>BJ119-BJ281</f>
        <v>3.8400000000000034</v>
      </c>
      <c r="BK335" s="143"/>
      <c r="BL335" s="143"/>
      <c r="BM335" s="143"/>
      <c r="BN335" s="143"/>
      <c r="BO335" s="115">
        <f>BO119-BO281</f>
        <v>-7.4099999999999966</v>
      </c>
      <c r="BP335" s="143"/>
      <c r="BQ335" s="143"/>
      <c r="BR335" s="143"/>
      <c r="BS335" s="143"/>
      <c r="BT335" s="143"/>
      <c r="BU335" s="143"/>
      <c r="BV335" s="143"/>
      <c r="BW335" s="143"/>
      <c r="BX335" s="143"/>
      <c r="BY335" s="143"/>
      <c r="BZ335" s="143"/>
      <c r="CA335" s="143"/>
      <c r="CB335" s="143"/>
      <c r="CC335" s="143"/>
      <c r="CD335" s="143"/>
    </row>
    <row r="336" spans="1:88">
      <c r="A336" s="11"/>
      <c r="B336" s="11" t="s">
        <v>306</v>
      </c>
      <c r="C336" s="51"/>
      <c r="D336" s="51"/>
      <c r="E336" s="115">
        <f t="shared" si="1052"/>
        <v>4.8700000000000045</v>
      </c>
      <c r="F336" s="115">
        <f t="shared" si="1052"/>
        <v>-0.31999999999999318</v>
      </c>
      <c r="G336" s="115">
        <f t="shared" si="1052"/>
        <v>-0.46000000000000796</v>
      </c>
      <c r="H336" s="143"/>
      <c r="I336" s="143"/>
      <c r="J336" s="143"/>
      <c r="K336" s="143"/>
      <c r="L336" s="115">
        <f>L120-L282</f>
        <v>-1.6000000000000014</v>
      </c>
      <c r="M336" s="143"/>
      <c r="N336" s="143"/>
      <c r="O336" s="143"/>
      <c r="P336" s="143"/>
      <c r="Q336" s="115">
        <f>Q120-Q282</f>
        <v>0.21000000000000085</v>
      </c>
      <c r="R336" s="143"/>
      <c r="S336" s="143"/>
      <c r="T336" s="143"/>
      <c r="U336" s="143"/>
      <c r="V336" s="115">
        <f>V120-V282</f>
        <v>0.34999999999999432</v>
      </c>
      <c r="W336" s="143"/>
      <c r="X336" s="143"/>
      <c r="Y336" s="143"/>
      <c r="Z336" s="143"/>
      <c r="AA336" s="115">
        <f>AA120-AA282</f>
        <v>2.0700000000000003</v>
      </c>
      <c r="AB336" s="143"/>
      <c r="AC336" s="143"/>
      <c r="AD336" s="143"/>
      <c r="AE336" s="143"/>
      <c r="AF336" s="115">
        <f>AF120-AF282</f>
        <v>-1.519999999999996</v>
      </c>
      <c r="AG336" s="143"/>
      <c r="AH336" s="143"/>
      <c r="AI336" s="143"/>
      <c r="AJ336" s="143"/>
      <c r="AK336" s="115">
        <f>AK120-AK282</f>
        <v>0.17999999999999972</v>
      </c>
      <c r="AL336" s="143"/>
      <c r="AM336" s="143"/>
      <c r="AN336" s="143"/>
      <c r="AO336" s="143"/>
      <c r="AP336" s="115">
        <f>AP120-AP282</f>
        <v>7.02</v>
      </c>
      <c r="AQ336" s="143"/>
      <c r="AR336" s="143"/>
      <c r="AS336" s="143"/>
      <c r="AT336" s="143"/>
      <c r="AU336" s="115">
        <f>AU120-AU282</f>
        <v>1.1899999999999977</v>
      </c>
      <c r="AV336" s="143"/>
      <c r="AW336" s="143"/>
      <c r="AX336" s="143"/>
      <c r="AY336" s="143"/>
      <c r="AZ336" s="115">
        <f>AZ120-AZ282</f>
        <v>1.2999999999999972</v>
      </c>
      <c r="BA336" s="143"/>
      <c r="BB336" s="143"/>
      <c r="BC336" s="143"/>
      <c r="BD336" s="143"/>
      <c r="BE336" s="115">
        <f>BE120-BE282</f>
        <v>4.9000000000000057</v>
      </c>
      <c r="BF336" s="143"/>
      <c r="BG336" s="143"/>
      <c r="BH336" s="143"/>
      <c r="BI336" s="143"/>
      <c r="BJ336" s="115">
        <f>BJ120-BJ282</f>
        <v>7.3609999999999971</v>
      </c>
      <c r="BK336" s="143"/>
      <c r="BL336" s="143"/>
      <c r="BM336" s="143"/>
      <c r="BN336" s="143"/>
      <c r="BO336" s="115">
        <f>BO120-BO282</f>
        <v>-7.0320000000000036</v>
      </c>
      <c r="BP336" s="143"/>
      <c r="BQ336" s="143"/>
      <c r="BR336" s="143"/>
      <c r="BS336" s="143"/>
      <c r="BT336" s="143"/>
      <c r="BU336" s="143"/>
      <c r="BV336" s="143"/>
      <c r="BW336" s="143"/>
      <c r="BX336" s="143"/>
      <c r="BY336" s="143"/>
      <c r="BZ336" s="143"/>
      <c r="CA336" s="143"/>
      <c r="CB336" s="143"/>
      <c r="CC336" s="143"/>
      <c r="CD336" s="143"/>
      <c r="CF336" s="376"/>
      <c r="CG336" s="376"/>
      <c r="CH336" s="376"/>
      <c r="CI336" s="376"/>
      <c r="CJ336" s="376"/>
    </row>
    <row r="337" spans="1:91">
      <c r="A337" s="11"/>
      <c r="B337" s="11" t="s">
        <v>139</v>
      </c>
      <c r="C337" s="51"/>
      <c r="D337" s="51"/>
      <c r="E337" s="115">
        <f t="shared" si="1052"/>
        <v>0.28000000000000003</v>
      </c>
      <c r="F337" s="115">
        <f t="shared" si="1052"/>
        <v>0.20000000000000007</v>
      </c>
      <c r="G337" s="115">
        <f t="shared" si="1052"/>
        <v>0.36</v>
      </c>
      <c r="H337" s="143"/>
      <c r="I337" s="143"/>
      <c r="J337" s="143"/>
      <c r="K337" s="143"/>
      <c r="L337" s="115">
        <f>L121-L283</f>
        <v>0.6</v>
      </c>
      <c r="M337" s="143"/>
      <c r="N337" s="143"/>
      <c r="O337" s="143"/>
      <c r="P337" s="143"/>
      <c r="Q337" s="115">
        <f>Q121-Q283</f>
        <v>0</v>
      </c>
      <c r="R337" s="143"/>
      <c r="S337" s="143"/>
      <c r="T337" s="143"/>
      <c r="U337" s="143"/>
      <c r="V337" s="115">
        <f>V121-V283</f>
        <v>0</v>
      </c>
      <c r="W337" s="143"/>
      <c r="X337" s="143"/>
      <c r="Y337" s="143"/>
      <c r="Z337" s="143"/>
      <c r="AA337" s="115">
        <f>AA121-AA283</f>
        <v>0</v>
      </c>
      <c r="AB337" s="143"/>
      <c r="AC337" s="143"/>
      <c r="AD337" s="143"/>
      <c r="AE337" s="143"/>
      <c r="AF337" s="115">
        <f>AF121-AF283</f>
        <v>0</v>
      </c>
      <c r="AG337" s="143"/>
      <c r="AH337" s="143"/>
      <c r="AI337" s="143"/>
      <c r="AJ337" s="143"/>
      <c r="AK337" s="115">
        <f>AK121-AK283</f>
        <v>0</v>
      </c>
      <c r="AL337" s="143"/>
      <c r="AM337" s="143"/>
      <c r="AN337" s="143"/>
      <c r="AO337" s="143"/>
      <c r="AP337" s="115">
        <f>AP121-AP283</f>
        <v>0</v>
      </c>
      <c r="AQ337" s="143"/>
      <c r="AR337" s="143"/>
      <c r="AS337" s="143"/>
      <c r="AT337" s="143"/>
      <c r="AU337" s="115">
        <f>AU121-AU283</f>
        <v>0</v>
      </c>
      <c r="AV337" s="143"/>
      <c r="AW337" s="143"/>
      <c r="AX337" s="143"/>
      <c r="AY337" s="143"/>
      <c r="AZ337" s="115">
        <f>AZ121-AZ283</f>
        <v>0</v>
      </c>
      <c r="BA337" s="143"/>
      <c r="BB337" s="143"/>
      <c r="BC337" s="143"/>
      <c r="BD337" s="143"/>
      <c r="BE337" s="115">
        <f>BE121-BE283</f>
        <v>0</v>
      </c>
      <c r="BF337" s="143"/>
      <c r="BG337" s="143"/>
      <c r="BH337" s="143"/>
      <c r="BI337" s="143"/>
      <c r="BJ337" s="115">
        <f>BJ121-BJ283</f>
        <v>0</v>
      </c>
      <c r="BK337" s="143"/>
      <c r="BL337" s="143"/>
      <c r="BM337" s="143"/>
      <c r="BN337" s="143"/>
      <c r="BO337" s="115">
        <f>BO121-BO283</f>
        <v>0</v>
      </c>
      <c r="BP337" s="143"/>
      <c r="BQ337" s="143"/>
      <c r="BR337" s="143"/>
      <c r="BS337" s="143"/>
      <c r="BT337" s="143"/>
      <c r="BU337" s="143"/>
      <c r="BV337" s="143"/>
      <c r="BW337" s="143"/>
      <c r="BX337" s="143"/>
      <c r="BY337" s="143"/>
      <c r="BZ337" s="143"/>
      <c r="CA337" s="143"/>
      <c r="CB337" s="143"/>
      <c r="CC337" s="143"/>
      <c r="CD337" s="143"/>
      <c r="CF337" s="581"/>
      <c r="CG337" s="582"/>
      <c r="CH337" s="582"/>
      <c r="CI337" s="582"/>
      <c r="CJ337" s="582"/>
      <c r="CK337" s="581"/>
      <c r="CL337" s="581"/>
      <c r="CM337" s="581"/>
    </row>
    <row r="338" spans="1:91">
      <c r="A338" s="39" t="s">
        <v>309</v>
      </c>
      <c r="B338" s="39"/>
      <c r="C338" s="52"/>
      <c r="D338" s="52"/>
      <c r="E338" s="78">
        <f t="shared" si="1052"/>
        <v>52.650000000000034</v>
      </c>
      <c r="F338" s="78">
        <f t="shared" si="1052"/>
        <v>36.379999999999995</v>
      </c>
      <c r="G338" s="78">
        <f t="shared" si="1052"/>
        <v>33.89999999999992</v>
      </c>
      <c r="H338" s="140"/>
      <c r="I338" s="140"/>
      <c r="J338" s="140"/>
      <c r="K338" s="140"/>
      <c r="L338" s="78">
        <f>L122-L284</f>
        <v>29.229999999999961</v>
      </c>
      <c r="M338" s="415">
        <f>M122-M284</f>
        <v>72.240000000000038</v>
      </c>
      <c r="N338" s="415">
        <f>N122-N284</f>
        <v>38.240000000000038</v>
      </c>
      <c r="O338" s="415">
        <f>O122-O284</f>
        <v>-19.759999999999962</v>
      </c>
      <c r="P338" s="415">
        <f>P122-P284</f>
        <v>26.240000000000038</v>
      </c>
      <c r="Q338" s="78">
        <f>Q122-Q284</f>
        <v>29.240000000000038</v>
      </c>
      <c r="R338" s="415">
        <f>R122-R284</f>
        <v>42.849999999999994</v>
      </c>
      <c r="S338" s="415">
        <f>S122-S284</f>
        <v>33.849999999999994</v>
      </c>
      <c r="T338" s="415">
        <f>T122-T284</f>
        <v>-2.1500000000000057</v>
      </c>
      <c r="U338" s="415">
        <f>U122-U284</f>
        <v>23.849999999999994</v>
      </c>
      <c r="V338" s="78">
        <f>V122-V284</f>
        <v>23.849999999999994</v>
      </c>
      <c r="W338" s="415">
        <f>W122-W284</f>
        <v>29.849999999999966</v>
      </c>
      <c r="X338" s="415">
        <f>X122-X284</f>
        <v>18.849999999999966</v>
      </c>
      <c r="Y338" s="415">
        <f>Y122-Y284</f>
        <v>16.849999999999966</v>
      </c>
      <c r="Z338" s="415">
        <f>Z122-Z284</f>
        <v>36.849999999999966</v>
      </c>
      <c r="AA338" s="78">
        <f>AA122-AA284</f>
        <v>25.849999999999966</v>
      </c>
      <c r="AB338" s="415">
        <f>AB122-AB284</f>
        <v>56.889999999999986</v>
      </c>
      <c r="AC338" s="415">
        <f>AC122-AC284</f>
        <v>25.889999999999986</v>
      </c>
      <c r="AD338" s="415">
        <f>AD122-AD284</f>
        <v>-3.1100000000000136</v>
      </c>
      <c r="AE338" s="415">
        <f>AE122-AE284</f>
        <v>-3.1100000000000136</v>
      </c>
      <c r="AF338" s="78">
        <f>AF122-AF284</f>
        <v>18.889999999999986</v>
      </c>
      <c r="AG338" s="415">
        <f>AG122-AG284</f>
        <v>39.069999999999993</v>
      </c>
      <c r="AH338" s="415">
        <f>AH122-AH284</f>
        <v>24.069999999999993</v>
      </c>
      <c r="AI338" s="415">
        <f>AI122-AI284</f>
        <v>-6.9300000000000068</v>
      </c>
      <c r="AJ338" s="415">
        <f>AJ122-AJ284</f>
        <v>18.069999999999993</v>
      </c>
      <c r="AK338" s="78">
        <f>AK122-AK284</f>
        <v>18.069999999999993</v>
      </c>
      <c r="AL338" s="415">
        <f>AL122-AL284</f>
        <v>44.58</v>
      </c>
      <c r="AM338" s="415">
        <f>AM122-AM284</f>
        <v>40.58</v>
      </c>
      <c r="AN338" s="415">
        <f>AN122-AN284</f>
        <v>16.579999999999998</v>
      </c>
      <c r="AO338" s="415">
        <f>AO122-AO284</f>
        <v>21.58</v>
      </c>
      <c r="AP338" s="78">
        <f>AP122-AP284</f>
        <v>30.58</v>
      </c>
      <c r="AQ338" s="415">
        <f>AQ122-AQ284</f>
        <v>31.409999999999997</v>
      </c>
      <c r="AR338" s="415">
        <f>AR122-AR284</f>
        <v>13.409999999999997</v>
      </c>
      <c r="AS338" s="415">
        <f>AS122-AS284</f>
        <v>-8.5900000000000034</v>
      </c>
      <c r="AT338" s="415">
        <f>AT122-AT284</f>
        <v>13.409999999999997</v>
      </c>
      <c r="AU338" s="78">
        <f>AU122-AU284</f>
        <v>11.409999999999997</v>
      </c>
      <c r="AV338" s="415">
        <f>AV122-AV284</f>
        <v>14.639999999999986</v>
      </c>
      <c r="AW338" s="415">
        <f>AW122-AW284</f>
        <v>0.63999999999998636</v>
      </c>
      <c r="AX338" s="415">
        <f>AX122-AX284</f>
        <v>-0.36000000000001364</v>
      </c>
      <c r="AY338" s="415">
        <f>AY122-AY284</f>
        <v>-6.3600000000000136</v>
      </c>
      <c r="AZ338" s="571">
        <f>AZ122-AZ284</f>
        <v>2.6399999999999864</v>
      </c>
      <c r="BA338" s="415">
        <f>BA122-BA284</f>
        <v>-1.6700000000000017</v>
      </c>
      <c r="BB338" s="415">
        <f>BB122-BB284</f>
        <v>33.33</v>
      </c>
      <c r="BC338" s="415">
        <f>BC122-BC284</f>
        <v>-19.670000000000002</v>
      </c>
      <c r="BD338" s="415">
        <f>BD122-BD284</f>
        <v>17.329999999999998</v>
      </c>
      <c r="BE338" s="571">
        <f>BE122-BE284</f>
        <v>8.3299999999999983</v>
      </c>
      <c r="BF338" s="415">
        <f>BF122-BF284</f>
        <v>19.200999999999993</v>
      </c>
      <c r="BG338" s="415">
        <f>BG122-BG284</f>
        <v>8.2009999999999934</v>
      </c>
      <c r="BH338" s="415">
        <f>BH122-BH284</f>
        <v>3.2009999999999934</v>
      </c>
      <c r="BI338" s="415">
        <f>BI122-BI284</f>
        <v>13.200999999999993</v>
      </c>
      <c r="BJ338" s="571">
        <f>BJ122-BJ284</f>
        <v>11.200999999999993</v>
      </c>
      <c r="BK338" s="415">
        <f>BK122-BK284</f>
        <v>-18.442000000000007</v>
      </c>
      <c r="BL338" s="415">
        <f>BL122-BL284</f>
        <v>-11.442000000000007</v>
      </c>
      <c r="BM338" s="415">
        <f>BM122-BM284</f>
        <v>-10.442000000000007</v>
      </c>
      <c r="BN338" s="415">
        <f>BN122-BN284</f>
        <v>-16.442000000000007</v>
      </c>
      <c r="BO338" s="571">
        <f>BO122-BO284</f>
        <v>-14.442000000000007</v>
      </c>
      <c r="BP338" s="570">
        <v>-20</v>
      </c>
      <c r="BQ338" s="570">
        <v>-20</v>
      </c>
      <c r="BR338" s="570">
        <v>-20</v>
      </c>
      <c r="BS338" s="570">
        <v>-20</v>
      </c>
      <c r="BT338" s="571">
        <f t="shared" ref="BT338" si="1053">AVERAGE(BP338:BS338)</f>
        <v>-20</v>
      </c>
      <c r="BU338" s="570">
        <v>-20</v>
      </c>
      <c r="BV338" s="570">
        <v>-20</v>
      </c>
      <c r="BW338" s="570">
        <v>-20</v>
      </c>
      <c r="BX338" s="570">
        <v>-20</v>
      </c>
      <c r="BY338" s="571">
        <f t="shared" ref="BY338" si="1054">AVERAGE(BU338:BX338)</f>
        <v>-20</v>
      </c>
      <c r="BZ338" s="570">
        <v>-20</v>
      </c>
      <c r="CA338" s="570">
        <v>-20</v>
      </c>
      <c r="CB338" s="570">
        <v>-20</v>
      </c>
      <c r="CC338" s="570">
        <v>-20</v>
      </c>
      <c r="CD338" s="571">
        <f t="shared" ref="CD338" si="1055">AVERAGE(BZ338:CC338)</f>
        <v>-20</v>
      </c>
    </row>
    <row r="339" spans="1:91">
      <c r="E339" s="348"/>
      <c r="F339" s="348"/>
      <c r="G339" s="348"/>
      <c r="H339" s="348"/>
      <c r="I339" s="348"/>
      <c r="J339" s="348"/>
      <c r="K339" s="348"/>
      <c r="L339" s="348"/>
      <c r="M339" s="348"/>
      <c r="N339" s="348"/>
      <c r="O339" s="348"/>
      <c r="P339" s="348"/>
      <c r="Q339" s="348"/>
      <c r="R339" s="348"/>
      <c r="S339" s="348"/>
      <c r="T339" s="348"/>
      <c r="U339" s="348"/>
      <c r="V339" s="348"/>
      <c r="W339" s="348"/>
      <c r="X339" s="348"/>
      <c r="Y339" s="348"/>
      <c r="Z339" s="348"/>
      <c r="AA339" s="348"/>
      <c r="AB339" s="348"/>
      <c r="AC339" s="348"/>
      <c r="AD339" s="348"/>
      <c r="AE339" s="348"/>
      <c r="AF339" s="348"/>
      <c r="AG339" s="348"/>
      <c r="AH339" s="348"/>
      <c r="AI339" s="348"/>
      <c r="AJ339" s="348"/>
      <c r="AK339" s="348"/>
      <c r="AL339" s="348"/>
      <c r="AM339" s="348"/>
      <c r="AN339" s="348"/>
      <c r="AO339" s="348"/>
      <c r="AP339" s="348"/>
      <c r="AQ339" s="348"/>
      <c r="AR339" s="348"/>
      <c r="AS339" s="348"/>
      <c r="AT339" s="348"/>
      <c r="AU339" s="348"/>
      <c r="AV339" s="348"/>
      <c r="AW339" s="348"/>
      <c r="AX339" s="348"/>
      <c r="AY339" s="348"/>
      <c r="AZ339" s="348"/>
      <c r="BA339" s="348"/>
      <c r="BB339" s="348"/>
      <c r="BC339" s="348"/>
      <c r="BD339" s="348"/>
      <c r="BE339" s="348"/>
      <c r="BF339" s="348"/>
      <c r="BG339" s="348"/>
      <c r="BH339" s="348"/>
      <c r="BI339" s="348"/>
      <c r="BJ339" s="348"/>
      <c r="BK339" s="348"/>
      <c r="BL339" s="348"/>
      <c r="BM339" s="348"/>
      <c r="BN339" s="348"/>
      <c r="BO339" s="348"/>
      <c r="BP339" s="348"/>
      <c r="BQ339" s="348"/>
      <c r="BR339" s="348"/>
      <c r="BS339" s="348"/>
      <c r="BT339" s="348"/>
      <c r="BU339" s="348"/>
      <c r="BV339" s="348"/>
      <c r="BW339" s="348"/>
      <c r="BX339" s="348"/>
      <c r="BY339" s="348"/>
      <c r="BZ339" s="348"/>
      <c r="CA339" s="348"/>
      <c r="CB339" s="348"/>
      <c r="CC339" s="348"/>
      <c r="CD339" s="348"/>
    </row>
    <row r="340" spans="1:91">
      <c r="A340" s="39" t="s">
        <v>310</v>
      </c>
      <c r="B340" s="11"/>
      <c r="C340" s="51"/>
      <c r="D340" s="51"/>
      <c r="E340" s="115"/>
      <c r="F340" s="115"/>
      <c r="G340" s="115"/>
      <c r="H340" s="143"/>
      <c r="I340" s="143"/>
      <c r="J340" s="143"/>
      <c r="K340" s="143"/>
      <c r="L340" s="115"/>
      <c r="M340" s="115"/>
      <c r="N340" s="115"/>
      <c r="O340" s="115"/>
      <c r="P340" s="115"/>
      <c r="Q340" s="115"/>
      <c r="R340" s="115"/>
      <c r="S340" s="115"/>
      <c r="T340" s="115"/>
      <c r="U340" s="115"/>
      <c r="V340" s="115"/>
      <c r="W340" s="115"/>
      <c r="X340" s="115"/>
      <c r="Y340" s="115"/>
      <c r="Z340" s="115"/>
      <c r="AA340" s="115"/>
      <c r="AB340" s="115"/>
      <c r="AC340" s="115"/>
      <c r="AD340" s="115"/>
      <c r="AE340" s="115"/>
      <c r="AF340" s="115"/>
      <c r="AG340" s="115"/>
      <c r="AH340" s="115"/>
      <c r="AI340" s="115"/>
      <c r="AJ340" s="115"/>
      <c r="AK340" s="115"/>
      <c r="AL340" s="115"/>
      <c r="AM340" s="115"/>
      <c r="AN340" s="115"/>
      <c r="AO340" s="115"/>
      <c r="AP340" s="115"/>
      <c r="AQ340" s="115"/>
      <c r="AR340" s="115"/>
      <c r="AS340" s="115"/>
      <c r="AT340" s="115"/>
      <c r="AU340" s="115"/>
      <c r="AV340" s="115"/>
      <c r="AW340" s="115"/>
      <c r="AX340" s="115"/>
      <c r="AY340" s="115"/>
      <c r="AZ340" s="115"/>
      <c r="BA340" s="115"/>
      <c r="BB340" s="115"/>
      <c r="BC340" s="115"/>
      <c r="BD340" s="115"/>
      <c r="BE340" s="115"/>
      <c r="BF340" s="115"/>
      <c r="BG340" s="115"/>
      <c r="BH340" s="115"/>
      <c r="BI340" s="115"/>
      <c r="BJ340" s="115"/>
      <c r="BK340" s="115"/>
      <c r="BL340" s="115"/>
      <c r="BM340" s="115"/>
      <c r="BN340" s="115"/>
      <c r="BO340" s="115"/>
      <c r="BP340" s="115"/>
      <c r="BQ340" s="115"/>
      <c r="BR340" s="115"/>
      <c r="BS340" s="115"/>
      <c r="BT340" s="115"/>
      <c r="BU340" s="115"/>
      <c r="BV340" s="115"/>
      <c r="BW340" s="115"/>
      <c r="BX340" s="115"/>
      <c r="BY340" s="115"/>
      <c r="BZ340" s="115"/>
      <c r="CA340" s="115"/>
      <c r="CB340" s="115"/>
      <c r="CC340" s="115"/>
      <c r="CD340" s="115"/>
    </row>
    <row r="341" spans="1:91">
      <c r="A341" s="11"/>
      <c r="B341" s="11" t="s">
        <v>728</v>
      </c>
      <c r="C341" s="52"/>
      <c r="D341" s="52"/>
      <c r="E341" s="115">
        <f t="shared" ref="E341:G342" si="1056">E125-E287</f>
        <v>16.530000000000086</v>
      </c>
      <c r="F341" s="115">
        <f t="shared" si="1056"/>
        <v>15.800000000000068</v>
      </c>
      <c r="G341" s="115">
        <f t="shared" si="1056"/>
        <v>31.580000000000041</v>
      </c>
      <c r="H341" s="143"/>
      <c r="I341" s="143"/>
      <c r="J341" s="143"/>
      <c r="K341" s="143"/>
      <c r="L341" s="115">
        <f t="shared" ref="L341:AO341" si="1057">L125-L287</f>
        <v>20.050000000000182</v>
      </c>
      <c r="M341" s="401">
        <f t="shared" si="1057"/>
        <v>28.03000000000003</v>
      </c>
      <c r="N341" s="401">
        <f t="shared" si="1057"/>
        <v>34.03000000000003</v>
      </c>
      <c r="O341" s="401">
        <f t="shared" si="1057"/>
        <v>-22.96999999999997</v>
      </c>
      <c r="P341" s="401">
        <f t="shared" si="1057"/>
        <v>25.03000000000003</v>
      </c>
      <c r="Q341" s="115">
        <f t="shared" si="1057"/>
        <v>15.03000000000003</v>
      </c>
      <c r="R341" s="401">
        <f t="shared" si="1057"/>
        <v>30.399999999999977</v>
      </c>
      <c r="S341" s="401">
        <f t="shared" si="1057"/>
        <v>10.399999999999977</v>
      </c>
      <c r="T341" s="401">
        <f t="shared" si="1057"/>
        <v>-50.600000000000023</v>
      </c>
      <c r="U341" s="401">
        <f t="shared" si="1057"/>
        <v>66.399999999999977</v>
      </c>
      <c r="V341" s="115">
        <f t="shared" si="1057"/>
        <v>14.399999999999977</v>
      </c>
      <c r="W341" s="401">
        <f t="shared" si="1057"/>
        <v>-1.0299999999999727</v>
      </c>
      <c r="X341" s="401">
        <f t="shared" si="1057"/>
        <v>16.970000000000027</v>
      </c>
      <c r="Y341" s="401">
        <f t="shared" si="1057"/>
        <v>24.970000000000027</v>
      </c>
      <c r="Z341" s="401">
        <f t="shared" si="1057"/>
        <v>42.970000000000027</v>
      </c>
      <c r="AA341" s="115">
        <f t="shared" si="1057"/>
        <v>20.970000000000027</v>
      </c>
      <c r="AB341" s="401">
        <f t="shared" si="1057"/>
        <v>97.07000000000005</v>
      </c>
      <c r="AC341" s="401">
        <f t="shared" si="1057"/>
        <v>13.07000000000005</v>
      </c>
      <c r="AD341" s="401">
        <f t="shared" si="1057"/>
        <v>-3.92999999999995</v>
      </c>
      <c r="AE341" s="401">
        <f t="shared" si="1057"/>
        <v>-0.92999999999994998</v>
      </c>
      <c r="AF341" s="115">
        <f t="shared" si="1057"/>
        <v>26.07000000000005</v>
      </c>
      <c r="AG341" s="401">
        <f t="shared" si="1057"/>
        <v>83.730000000000018</v>
      </c>
      <c r="AH341" s="401">
        <f t="shared" si="1057"/>
        <v>25.730000000000018</v>
      </c>
      <c r="AI341" s="401">
        <f t="shared" si="1057"/>
        <v>-51.269999999999982</v>
      </c>
      <c r="AJ341" s="401">
        <f t="shared" si="1057"/>
        <v>-0.26999999999998181</v>
      </c>
      <c r="AK341" s="115">
        <f t="shared" si="1057"/>
        <v>13.730000000000018</v>
      </c>
      <c r="AL341" s="401">
        <f t="shared" si="1057"/>
        <v>71.080000000000041</v>
      </c>
      <c r="AM341" s="401">
        <f t="shared" si="1057"/>
        <v>-32.919999999999959</v>
      </c>
      <c r="AN341" s="401">
        <f t="shared" si="1057"/>
        <v>-26.919999999999959</v>
      </c>
      <c r="AO341" s="401">
        <f t="shared" si="1057"/>
        <v>19.080000000000041</v>
      </c>
      <c r="AP341" s="115">
        <f t="shared" ref="AP341:AY341" si="1058">AP125-AP287</f>
        <v>7.0800000000000409</v>
      </c>
      <c r="AQ341" s="401">
        <f t="shared" si="1058"/>
        <v>6.6899999999999977</v>
      </c>
      <c r="AR341" s="401">
        <f t="shared" si="1058"/>
        <v>-24.310000000000002</v>
      </c>
      <c r="AS341" s="401">
        <f t="shared" si="1058"/>
        <v>-3.3100000000000023</v>
      </c>
      <c r="AT341" s="401">
        <f t="shared" si="1058"/>
        <v>32.69</v>
      </c>
      <c r="AU341" s="115">
        <f t="shared" si="1058"/>
        <v>3.6899999999999977</v>
      </c>
      <c r="AV341" s="401">
        <f t="shared" si="1058"/>
        <v>-24.514240000000029</v>
      </c>
      <c r="AW341" s="401">
        <f t="shared" si="1058"/>
        <v>8.4857599999999707</v>
      </c>
      <c r="AX341" s="401">
        <f t="shared" si="1058"/>
        <v>-10.514240000000029</v>
      </c>
      <c r="AY341" s="401">
        <f t="shared" si="1058"/>
        <v>-13.514240000000029</v>
      </c>
      <c r="AZ341" s="115">
        <f t="shared" ref="AZ341:BI341" si="1059">AZ125-AZ287</f>
        <v>-10.514240000000029</v>
      </c>
      <c r="BA341" s="401">
        <f t="shared" si="1059"/>
        <v>4.179239999999993</v>
      </c>
      <c r="BB341" s="401">
        <f t="shared" si="1059"/>
        <v>-53.820760000000007</v>
      </c>
      <c r="BC341" s="401">
        <f t="shared" si="1059"/>
        <v>2.179239999999993</v>
      </c>
      <c r="BD341" s="401">
        <f t="shared" si="1059"/>
        <v>13.179239999999993</v>
      </c>
      <c r="BE341" s="115">
        <f t="shared" si="1059"/>
        <v>-8.820760000000007</v>
      </c>
      <c r="BF341" s="401">
        <f t="shared" si="1059"/>
        <v>12.287519999999972</v>
      </c>
      <c r="BG341" s="401">
        <f t="shared" si="1059"/>
        <v>10.287519999999972</v>
      </c>
      <c r="BH341" s="401">
        <f t="shared" si="1059"/>
        <v>-37.712480000000028</v>
      </c>
      <c r="BI341" s="401">
        <f t="shared" si="1059"/>
        <v>15.287519999999972</v>
      </c>
      <c r="BJ341" s="115">
        <f t="shared" ref="BJ341:BN341" si="1060">BJ125-BJ287</f>
        <v>0.28751999999997224</v>
      </c>
      <c r="BK341" s="401">
        <f t="shared" si="1060"/>
        <v>41.679239999999993</v>
      </c>
      <c r="BL341" s="401">
        <f t="shared" si="1060"/>
        <v>11.679239999999993</v>
      </c>
      <c r="BM341" s="401">
        <f t="shared" si="1060"/>
        <v>1.679239999999993</v>
      </c>
      <c r="BN341" s="401">
        <f t="shared" si="1060"/>
        <v>23.679239999999993</v>
      </c>
      <c r="BO341" s="115">
        <f t="shared" ref="BO341" si="1061">BO125-BO287</f>
        <v>19.679239999999993</v>
      </c>
      <c r="BP341" s="87">
        <v>20</v>
      </c>
      <c r="BQ341" s="87">
        <v>20</v>
      </c>
      <c r="BR341" s="87">
        <v>20</v>
      </c>
      <c r="BS341" s="87">
        <v>20</v>
      </c>
      <c r="BT341" s="88">
        <f>AVERAGE(BP341:BS341)</f>
        <v>20</v>
      </c>
      <c r="BU341" s="87">
        <v>20</v>
      </c>
      <c r="BV341" s="87">
        <v>20</v>
      </c>
      <c r="BW341" s="87">
        <v>20</v>
      </c>
      <c r="BX341" s="87">
        <v>20</v>
      </c>
      <c r="BY341" s="88">
        <f t="shared" ref="BY341" si="1062">AVERAGE(BU341:BX341)</f>
        <v>20</v>
      </c>
      <c r="BZ341" s="87">
        <v>20</v>
      </c>
      <c r="CA341" s="87">
        <v>20</v>
      </c>
      <c r="CB341" s="87">
        <v>20</v>
      </c>
      <c r="CC341" s="87">
        <v>20</v>
      </c>
      <c r="CD341" s="88">
        <f t="shared" ref="CD341" si="1063">AVERAGE(BZ341:CC341)</f>
        <v>20</v>
      </c>
    </row>
    <row r="342" spans="1:91">
      <c r="A342" s="11"/>
      <c r="B342" s="11" t="s">
        <v>727</v>
      </c>
      <c r="C342" s="52"/>
      <c r="D342" s="52"/>
      <c r="E342" s="115">
        <f t="shared" si="1056"/>
        <v>9.9999999999997868E-3</v>
      </c>
      <c r="F342" s="115">
        <f t="shared" si="1056"/>
        <v>0</v>
      </c>
      <c r="G342" s="115">
        <f t="shared" si="1056"/>
        <v>9.9999999999997868E-3</v>
      </c>
      <c r="H342" s="143"/>
      <c r="I342" s="143"/>
      <c r="J342" s="143"/>
      <c r="K342" s="143"/>
      <c r="L342" s="115">
        <f>L126-L288</f>
        <v>-9.9999999999997868E-3</v>
      </c>
      <c r="M342" s="143"/>
      <c r="N342" s="143"/>
      <c r="O342" s="143"/>
      <c r="P342" s="143"/>
      <c r="Q342" s="115">
        <f>Q126-Q288</f>
        <v>-0.11999999999999922</v>
      </c>
      <c r="R342" s="143"/>
      <c r="S342" s="143"/>
      <c r="T342" s="143"/>
      <c r="U342" s="143"/>
      <c r="V342" s="115">
        <f>V126-V288</f>
        <v>-9.9999999999997868E-3</v>
      </c>
      <c r="W342" s="143"/>
      <c r="X342" s="143"/>
      <c r="Y342" s="143"/>
      <c r="Z342" s="143"/>
      <c r="AA342" s="115">
        <f>AA126-AA288</f>
        <v>-4.0000000000000924E-2</v>
      </c>
      <c r="AB342" s="143"/>
      <c r="AC342" s="143"/>
      <c r="AD342" s="143"/>
      <c r="AE342" s="143"/>
      <c r="AF342" s="115">
        <f>AF126-AF288</f>
        <v>-4.9999999999999822E-2</v>
      </c>
      <c r="AG342" s="143"/>
      <c r="AH342" s="143"/>
      <c r="AI342" s="143"/>
      <c r="AJ342" s="143"/>
      <c r="AK342" s="115">
        <f>AK126-AK288</f>
        <v>0</v>
      </c>
      <c r="AL342" s="143"/>
      <c r="AM342" s="143"/>
      <c r="AN342" s="143"/>
      <c r="AO342" s="143"/>
      <c r="AP342" s="115">
        <f>AP126-AP288</f>
        <v>0</v>
      </c>
      <c r="AQ342" s="143"/>
      <c r="AR342" s="143"/>
      <c r="AS342" s="143"/>
      <c r="AT342" s="143"/>
      <c r="AU342" s="115">
        <f>AU126-AU288</f>
        <v>-0.02</v>
      </c>
      <c r="AV342" s="143"/>
      <c r="AW342" s="143"/>
      <c r="AX342" s="143"/>
      <c r="AY342" s="143"/>
      <c r="AZ342" s="115">
        <f>AZ126-AZ288</f>
        <v>0</v>
      </c>
      <c r="BA342" s="143"/>
      <c r="BB342" s="143"/>
      <c r="BC342" s="143"/>
      <c r="BD342" s="143"/>
      <c r="BE342" s="115">
        <f>BE126-BE288</f>
        <v>-0.18999999999999995</v>
      </c>
      <c r="BF342" s="143"/>
      <c r="BG342" s="143"/>
      <c r="BH342" s="143"/>
      <c r="BI342" s="143"/>
      <c r="BJ342" s="115">
        <f>BJ126-BJ288</f>
        <v>0.1899999999999995</v>
      </c>
      <c r="BK342" s="143"/>
      <c r="BL342" s="143"/>
      <c r="BM342" s="143"/>
      <c r="BN342" s="143"/>
      <c r="BO342" s="115">
        <f>BO126-BO288</f>
        <v>-0.60000000000000142</v>
      </c>
      <c r="BP342" s="87">
        <v>0</v>
      </c>
      <c r="BQ342" s="87">
        <v>0</v>
      </c>
      <c r="BR342" s="87">
        <v>0</v>
      </c>
      <c r="BS342" s="87">
        <v>0</v>
      </c>
      <c r="BT342" s="88">
        <f>AVERAGE(BP342:BS342)</f>
        <v>0</v>
      </c>
      <c r="BU342" s="87">
        <v>0</v>
      </c>
      <c r="BV342" s="87">
        <v>0</v>
      </c>
      <c r="BW342" s="87">
        <v>0</v>
      </c>
      <c r="BX342" s="87">
        <v>0</v>
      </c>
      <c r="BY342" s="88">
        <f>AVERAGE(BU342:BX342)</f>
        <v>0</v>
      </c>
      <c r="BZ342" s="87">
        <v>0</v>
      </c>
      <c r="CA342" s="87">
        <v>0</v>
      </c>
      <c r="CB342" s="87">
        <v>0</v>
      </c>
      <c r="CC342" s="87">
        <v>0</v>
      </c>
      <c r="CD342" s="88">
        <f>AVERAGE(BZ342:CC342)</f>
        <v>0</v>
      </c>
      <c r="CE342" s="391"/>
      <c r="CG342" s="376"/>
      <c r="CH342" s="376"/>
      <c r="CI342" s="376"/>
      <c r="CJ342" s="376"/>
    </row>
    <row r="343" spans="1:91">
      <c r="A343" s="39" t="s">
        <v>1993</v>
      </c>
      <c r="B343" s="39"/>
      <c r="C343" s="52"/>
      <c r="D343" s="52"/>
      <c r="E343" s="78">
        <f>SUM(E341:E342)</f>
        <v>16.540000000000084</v>
      </c>
      <c r="F343" s="78">
        <f>SUM(F341:F342)</f>
        <v>15.800000000000068</v>
      </c>
      <c r="G343" s="78">
        <f>SUM(G341:G342)</f>
        <v>31.590000000000039</v>
      </c>
      <c r="H343" s="140"/>
      <c r="I343" s="140"/>
      <c r="J343" s="140"/>
      <c r="K343" s="140"/>
      <c r="L343" s="78">
        <f>SUM(L341:L342)</f>
        <v>20.040000000000184</v>
      </c>
      <c r="M343" s="143"/>
      <c r="N343" s="143"/>
      <c r="O343" s="143"/>
      <c r="P343" s="143"/>
      <c r="Q343" s="78">
        <f>SUM(Q341:Q342)</f>
        <v>14.91000000000003</v>
      </c>
      <c r="R343" s="143"/>
      <c r="S343" s="143"/>
      <c r="T343" s="143"/>
      <c r="U343" s="143"/>
      <c r="V343" s="78">
        <f>SUM(V341:V342)</f>
        <v>14.389999999999977</v>
      </c>
      <c r="W343" s="143"/>
      <c r="X343" s="143"/>
      <c r="Y343" s="143"/>
      <c r="Z343" s="143"/>
      <c r="AA343" s="78">
        <f>SUM(AA341:AA342)</f>
        <v>20.930000000000028</v>
      </c>
      <c r="AB343" s="143"/>
      <c r="AC343" s="143"/>
      <c r="AD343" s="143"/>
      <c r="AE343" s="143"/>
      <c r="AF343" s="78">
        <f>SUM(AF341:AF342)</f>
        <v>26.020000000000049</v>
      </c>
      <c r="AG343" s="143"/>
      <c r="AH343" s="143"/>
      <c r="AI343" s="143"/>
      <c r="AJ343" s="143"/>
      <c r="AK343" s="78">
        <f>SUM(AK341:AK342)</f>
        <v>13.730000000000018</v>
      </c>
      <c r="AL343" s="143"/>
      <c r="AM343" s="143"/>
      <c r="AN343" s="143"/>
      <c r="AO343" s="143"/>
      <c r="AP343" s="78">
        <f>SUM(AP341:AP342)</f>
        <v>7.0800000000000409</v>
      </c>
      <c r="AQ343" s="143"/>
      <c r="AR343" s="143"/>
      <c r="AS343" s="143"/>
      <c r="AT343" s="143"/>
      <c r="AU343" s="78">
        <f>SUM(AU341:AU342)</f>
        <v>3.6699999999999977</v>
      </c>
      <c r="AV343" s="143"/>
      <c r="AW343" s="143"/>
      <c r="AX343" s="143"/>
      <c r="AY343" s="143"/>
      <c r="AZ343" s="571">
        <f>SUM(AZ341:AZ342)</f>
        <v>-10.514240000000029</v>
      </c>
      <c r="BA343" s="143"/>
      <c r="BB343" s="143"/>
      <c r="BC343" s="143"/>
      <c r="BD343" s="143"/>
      <c r="BE343" s="571">
        <f>SUM(BE341:BE342)</f>
        <v>-9.0107600000000065</v>
      </c>
      <c r="BF343" s="143"/>
      <c r="BG343" s="143"/>
      <c r="BH343" s="143"/>
      <c r="BI343" s="143"/>
      <c r="BJ343" s="571">
        <f>SUM(BJ341:BJ342)</f>
        <v>0.47751999999997174</v>
      </c>
      <c r="BK343" s="143"/>
      <c r="BL343" s="143"/>
      <c r="BM343" s="143"/>
      <c r="BN343" s="143"/>
      <c r="BO343" s="571">
        <f>SUM(BO341:BO342)</f>
        <v>19.079239999999992</v>
      </c>
      <c r="BP343" s="415">
        <f>BP341+BP342</f>
        <v>20</v>
      </c>
      <c r="BQ343" s="415">
        <f>BQ341+BQ342</f>
        <v>20</v>
      </c>
      <c r="BR343" s="415">
        <f>BR341+BR342</f>
        <v>20</v>
      </c>
      <c r="BS343" s="415">
        <f>BS341+BS342</f>
        <v>20</v>
      </c>
      <c r="BT343" s="78">
        <f>SUM(BT341:BT342)</f>
        <v>20</v>
      </c>
      <c r="BU343" s="415">
        <f>BU341+BU342</f>
        <v>20</v>
      </c>
      <c r="BV343" s="415">
        <f>BV341+BV342</f>
        <v>20</v>
      </c>
      <c r="BW343" s="415">
        <f>BW341+BW342</f>
        <v>20</v>
      </c>
      <c r="BX343" s="415">
        <f>BX341+BX342</f>
        <v>20</v>
      </c>
      <c r="BY343" s="78">
        <f>SUM(BY341:BY342)</f>
        <v>20</v>
      </c>
      <c r="BZ343" s="415">
        <f>BZ341+BZ342</f>
        <v>20</v>
      </c>
      <c r="CA343" s="415">
        <f>CA341+CA342</f>
        <v>20</v>
      </c>
      <c r="CB343" s="415">
        <f>CB341+CB342</f>
        <v>20</v>
      </c>
      <c r="CC343" s="415">
        <f>CC341+CC342</f>
        <v>20</v>
      </c>
      <c r="CD343" s="78">
        <f>SUM(CD341:CD342)</f>
        <v>20</v>
      </c>
      <c r="CG343" s="376"/>
      <c r="CH343" s="376"/>
      <c r="CI343" s="376"/>
      <c r="CJ343" s="376"/>
    </row>
    <row r="344" spans="1:91">
      <c r="E344" s="348"/>
      <c r="F344" s="348"/>
      <c r="G344" s="348"/>
      <c r="H344" s="348"/>
      <c r="I344" s="348"/>
      <c r="J344" s="348"/>
      <c r="K344" s="348"/>
      <c r="L344" s="348"/>
      <c r="M344" s="348"/>
      <c r="N344" s="348"/>
      <c r="O344" s="348"/>
      <c r="P344" s="348"/>
      <c r="Q344" s="348"/>
      <c r="R344" s="348"/>
      <c r="S344" s="348"/>
      <c r="T344" s="348"/>
      <c r="U344" s="348"/>
      <c r="V344" s="348"/>
      <c r="W344" s="348"/>
      <c r="X344" s="348"/>
      <c r="Y344" s="348"/>
      <c r="Z344" s="348"/>
      <c r="AA344" s="348"/>
      <c r="AB344" s="348"/>
      <c r="AC344" s="348"/>
      <c r="AD344" s="348"/>
      <c r="AE344" s="348"/>
      <c r="AF344" s="348"/>
      <c r="AG344" s="348"/>
      <c r="AH344" s="348"/>
      <c r="AI344" s="348"/>
      <c r="AJ344" s="348"/>
      <c r="AK344" s="348"/>
      <c r="AL344" s="348"/>
      <c r="AM344" s="348"/>
      <c r="AN344" s="348"/>
      <c r="AO344" s="348"/>
      <c r="AP344" s="348"/>
      <c r="AQ344" s="348"/>
      <c r="AR344" s="348"/>
      <c r="AS344" s="348"/>
      <c r="AT344" s="348"/>
      <c r="AU344" s="348"/>
      <c r="AV344" s="348"/>
      <c r="AW344" s="348"/>
      <c r="AX344" s="348"/>
      <c r="AY344" s="348"/>
      <c r="AZ344" s="348"/>
      <c r="BA344" s="348"/>
      <c r="BB344" s="348"/>
      <c r="BC344" s="348"/>
      <c r="BD344" s="348"/>
      <c r="BE344" s="348"/>
      <c r="BF344" s="348"/>
      <c r="BG344" s="348"/>
      <c r="BH344" s="348"/>
      <c r="BI344" s="348"/>
      <c r="BJ344" s="348"/>
      <c r="BK344" s="348"/>
      <c r="BL344" s="348"/>
      <c r="BM344" s="348"/>
      <c r="BN344" s="348"/>
      <c r="BO344" s="348"/>
      <c r="BP344" s="348"/>
      <c r="BQ344" s="348"/>
      <c r="BR344" s="348"/>
      <c r="BS344" s="348"/>
      <c r="BT344" s="348"/>
      <c r="BU344" s="348"/>
      <c r="BV344" s="348"/>
      <c r="BW344" s="348"/>
      <c r="BX344" s="348"/>
      <c r="BY344" s="348"/>
      <c r="BZ344" s="348"/>
      <c r="CA344" s="348"/>
      <c r="CB344" s="348"/>
      <c r="CC344" s="348"/>
      <c r="CD344" s="348"/>
    </row>
    <row r="345" spans="1:91">
      <c r="A345" s="39" t="s">
        <v>1994</v>
      </c>
      <c r="B345" s="11"/>
      <c r="C345" s="51"/>
      <c r="D345" s="51"/>
      <c r="E345" s="115"/>
      <c r="F345" s="115"/>
      <c r="G345" s="115"/>
      <c r="H345" s="143"/>
      <c r="I345" s="143"/>
      <c r="J345" s="143"/>
      <c r="K345" s="143"/>
      <c r="L345" s="115"/>
      <c r="M345" s="115"/>
      <c r="N345" s="115"/>
      <c r="O345" s="115"/>
      <c r="P345" s="115"/>
      <c r="Q345" s="115"/>
      <c r="R345" s="115"/>
      <c r="S345" s="115"/>
      <c r="T345" s="115"/>
      <c r="U345" s="115"/>
      <c r="V345" s="115"/>
      <c r="W345" s="115"/>
      <c r="X345" s="115"/>
      <c r="Y345" s="115"/>
      <c r="Z345" s="115"/>
      <c r="AA345" s="115"/>
      <c r="AB345" s="115"/>
      <c r="AC345" s="115"/>
      <c r="AD345" s="115"/>
      <c r="AE345" s="115"/>
      <c r="AF345" s="115"/>
      <c r="AG345" s="115"/>
      <c r="AH345" s="115"/>
      <c r="AI345" s="115"/>
      <c r="AJ345" s="115"/>
      <c r="AK345" s="115"/>
      <c r="AL345" s="115"/>
      <c r="AM345" s="115"/>
      <c r="AN345" s="115"/>
      <c r="AO345" s="115"/>
      <c r="AP345" s="115"/>
      <c r="AQ345" s="115"/>
      <c r="AR345" s="115"/>
      <c r="AS345" s="115"/>
      <c r="AT345" s="115"/>
      <c r="AU345" s="115"/>
      <c r="AV345" s="115"/>
      <c r="AW345" s="115"/>
      <c r="AX345" s="115"/>
      <c r="AY345" s="115"/>
      <c r="AZ345" s="115"/>
      <c r="BA345" s="115"/>
      <c r="BB345" s="115"/>
      <c r="BC345" s="115"/>
      <c r="BD345" s="115"/>
      <c r="BE345" s="115"/>
      <c r="BF345" s="115"/>
      <c r="BG345" s="115"/>
      <c r="BH345" s="115"/>
      <c r="BI345" s="115"/>
      <c r="BJ345" s="115"/>
      <c r="BK345" s="115"/>
      <c r="BL345" s="115"/>
      <c r="BM345" s="115"/>
      <c r="BN345" s="115"/>
      <c r="BO345" s="115"/>
      <c r="BP345" s="115"/>
      <c r="BQ345" s="115"/>
      <c r="BR345" s="115"/>
      <c r="BS345" s="115"/>
      <c r="BT345" s="115"/>
      <c r="BU345" s="115"/>
      <c r="BV345" s="115"/>
      <c r="BW345" s="115"/>
      <c r="BX345" s="115"/>
      <c r="BY345" s="115"/>
      <c r="BZ345" s="115"/>
      <c r="CA345" s="115"/>
      <c r="CB345" s="115"/>
      <c r="CC345" s="115"/>
      <c r="CD345" s="115"/>
    </row>
    <row r="346" spans="1:91">
      <c r="A346" s="39"/>
      <c r="B346" s="11" t="s">
        <v>2921</v>
      </c>
      <c r="C346" s="52"/>
      <c r="D346" s="52"/>
      <c r="E346" s="115">
        <f t="shared" ref="E346:G351" si="1064">E130-E292</f>
        <v>0.70800000000000551</v>
      </c>
      <c r="F346" s="115">
        <f t="shared" si="1064"/>
        <v>0.78999999999999915</v>
      </c>
      <c r="G346" s="115">
        <f t="shared" si="1064"/>
        <v>1.6599999999999966</v>
      </c>
      <c r="H346" s="143"/>
      <c r="I346" s="143"/>
      <c r="J346" s="143"/>
      <c r="K346" s="143"/>
      <c r="L346" s="115">
        <f t="shared" ref="L346:L351" si="1065">L130-L292</f>
        <v>1.5599999999999881</v>
      </c>
      <c r="M346" s="143"/>
      <c r="N346" s="143"/>
      <c r="O346" s="143"/>
      <c r="P346" s="143"/>
      <c r="Q346" s="115">
        <f t="shared" ref="Q346:Q351" si="1066">Q130-Q292</f>
        <v>2.25</v>
      </c>
      <c r="R346" s="143"/>
      <c r="S346" s="143"/>
      <c r="T346" s="143"/>
      <c r="U346" s="143"/>
      <c r="V346" s="115">
        <f t="shared" ref="V346:V351" si="1067">V130-V292</f>
        <v>3.8859999999999957</v>
      </c>
      <c r="W346" s="143"/>
      <c r="X346" s="143"/>
      <c r="Y346" s="143"/>
      <c r="Z346" s="143"/>
      <c r="AA346" s="115">
        <f t="shared" ref="AA346:AA351" si="1068">AA130-AA292</f>
        <v>3.936000000000007</v>
      </c>
      <c r="AB346" s="143"/>
      <c r="AC346" s="143"/>
      <c r="AD346" s="143"/>
      <c r="AE346" s="143"/>
      <c r="AF346" s="115">
        <f t="shared" ref="AF346:AF351" si="1069">AF130-AF292</f>
        <v>4.0679999999999836</v>
      </c>
      <c r="AG346" s="143"/>
      <c r="AH346" s="143"/>
      <c r="AI346" s="143"/>
      <c r="AJ346" s="143"/>
      <c r="AK346" s="115">
        <f t="shared" ref="AK346:AK351" si="1070">AK130-AK292</f>
        <v>3.3019999999999925</v>
      </c>
      <c r="AL346" s="143"/>
      <c r="AM346" s="143"/>
      <c r="AN346" s="143"/>
      <c r="AO346" s="143"/>
      <c r="AP346" s="115">
        <f t="shared" ref="AP346:AP351" si="1071">AP130-AP292</f>
        <v>0.73399999999999466</v>
      </c>
      <c r="AQ346" s="143"/>
      <c r="AR346" s="143"/>
      <c r="AS346" s="143"/>
      <c r="AT346" s="143"/>
      <c r="AU346" s="115">
        <f t="shared" ref="AU346:AU351" si="1072">AU130-AU292</f>
        <v>0.93000000000000682</v>
      </c>
      <c r="AV346" s="143"/>
      <c r="AW346" s="143"/>
      <c r="AX346" s="143"/>
      <c r="AY346" s="143"/>
      <c r="AZ346" s="115">
        <f t="shared" ref="AZ346:AZ351" si="1073">AZ130-AZ292</f>
        <v>1.3880000000000052</v>
      </c>
      <c r="BA346" s="143"/>
      <c r="BB346" s="143"/>
      <c r="BC346" s="143"/>
      <c r="BD346" s="143"/>
      <c r="BE346" s="115">
        <f t="shared" ref="BE346:BE351" si="1074">BE130-BE292</f>
        <v>3.4280000000000115</v>
      </c>
      <c r="BF346" s="143"/>
      <c r="BG346" s="143"/>
      <c r="BH346" s="143"/>
      <c r="BI346" s="143"/>
      <c r="BJ346" s="115">
        <f t="shared" ref="BJ346:BJ351" si="1075">BJ130-BJ292</f>
        <v>1.5119999999999933</v>
      </c>
      <c r="BK346" s="143"/>
      <c r="BL346" s="143"/>
      <c r="BM346" s="143"/>
      <c r="BN346" s="143"/>
      <c r="BO346" s="115">
        <f t="shared" ref="BO346:BO351" si="1076">BO130-BO292</f>
        <v>0.38800000000000523</v>
      </c>
      <c r="BP346" s="143"/>
      <c r="BQ346" s="143"/>
      <c r="BR346" s="143"/>
      <c r="BS346" s="143"/>
      <c r="BT346" s="143"/>
      <c r="BU346" s="143"/>
      <c r="BV346" s="143"/>
      <c r="BW346" s="143"/>
      <c r="BX346" s="143"/>
      <c r="BY346" s="143"/>
      <c r="BZ346" s="143"/>
      <c r="CA346" s="143"/>
      <c r="CB346" s="143"/>
      <c r="CC346" s="143"/>
      <c r="CD346" s="143"/>
    </row>
    <row r="347" spans="1:91">
      <c r="A347" s="39"/>
      <c r="B347" s="11" t="s">
        <v>785</v>
      </c>
      <c r="C347" s="52"/>
      <c r="D347" s="52"/>
      <c r="E347" s="115">
        <f t="shared" si="1064"/>
        <v>0</v>
      </c>
      <c r="F347" s="115">
        <f t="shared" si="1064"/>
        <v>-1.7999999999999999E-2</v>
      </c>
      <c r="G347" s="115">
        <f t="shared" si="1064"/>
        <v>-0.40200000000000002</v>
      </c>
      <c r="H347" s="143"/>
      <c r="I347" s="143"/>
      <c r="J347" s="143"/>
      <c r="K347" s="143"/>
      <c r="L347" s="115">
        <f t="shared" si="1065"/>
        <v>3.766</v>
      </c>
      <c r="M347" s="143"/>
      <c r="N347" s="143"/>
      <c r="O347" s="143"/>
      <c r="P347" s="143"/>
      <c r="Q347" s="115">
        <f t="shared" si="1066"/>
        <v>1.67</v>
      </c>
      <c r="R347" s="143"/>
      <c r="S347" s="143"/>
      <c r="T347" s="143"/>
      <c r="U347" s="143"/>
      <c r="V347" s="115">
        <f t="shared" si="1067"/>
        <v>2.718</v>
      </c>
      <c r="W347" s="143"/>
      <c r="X347" s="143"/>
      <c r="Y347" s="143"/>
      <c r="Z347" s="143"/>
      <c r="AA347" s="115">
        <f t="shared" si="1068"/>
        <v>0.74199999999999999</v>
      </c>
      <c r="AB347" s="143"/>
      <c r="AC347" s="143"/>
      <c r="AD347" s="143"/>
      <c r="AE347" s="143"/>
      <c r="AF347" s="115">
        <f t="shared" si="1069"/>
        <v>-0.318</v>
      </c>
      <c r="AG347" s="143"/>
      <c r="AH347" s="143"/>
      <c r="AI347" s="143"/>
      <c r="AJ347" s="143"/>
      <c r="AK347" s="115">
        <f t="shared" si="1070"/>
        <v>-0.372</v>
      </c>
      <c r="AL347" s="143"/>
      <c r="AM347" s="143"/>
      <c r="AN347" s="143"/>
      <c r="AO347" s="143"/>
      <c r="AP347" s="115">
        <f t="shared" si="1071"/>
        <v>0.21399999999999997</v>
      </c>
      <c r="AQ347" s="143"/>
      <c r="AR347" s="143"/>
      <c r="AS347" s="143"/>
      <c r="AT347" s="143"/>
      <c r="AU347" s="115">
        <f t="shared" si="1072"/>
        <v>0.79400000000000004</v>
      </c>
      <c r="AV347" s="143"/>
      <c r="AW347" s="143"/>
      <c r="AX347" s="143"/>
      <c r="AY347" s="143"/>
      <c r="AZ347" s="115">
        <f t="shared" si="1073"/>
        <v>1.242</v>
      </c>
      <c r="BA347" s="143"/>
      <c r="BB347" s="143"/>
      <c r="BC347" s="143"/>
      <c r="BD347" s="143"/>
      <c r="BE347" s="115">
        <f t="shared" si="1074"/>
        <v>1.9359999999999999</v>
      </c>
      <c r="BF347" s="143"/>
      <c r="BG347" s="143"/>
      <c r="BH347" s="143"/>
      <c r="BI347" s="143"/>
      <c r="BJ347" s="115">
        <f t="shared" si="1075"/>
        <v>1.9300000000000002</v>
      </c>
      <c r="BK347" s="143"/>
      <c r="BL347" s="143"/>
      <c r="BM347" s="143"/>
      <c r="BN347" s="143"/>
      <c r="BO347" s="115">
        <f t="shared" si="1076"/>
        <v>1.1100000000000001</v>
      </c>
      <c r="BP347" s="143"/>
      <c r="BQ347" s="143"/>
      <c r="BR347" s="143"/>
      <c r="BS347" s="143"/>
      <c r="BT347" s="143"/>
      <c r="BU347" s="143"/>
      <c r="BV347" s="143"/>
      <c r="BW347" s="143"/>
      <c r="BX347" s="143"/>
      <c r="BY347" s="143"/>
      <c r="BZ347" s="143"/>
      <c r="CA347" s="143"/>
      <c r="CB347" s="143"/>
      <c r="CC347" s="143"/>
      <c r="CD347" s="143"/>
    </row>
    <row r="348" spans="1:91">
      <c r="A348" s="39"/>
      <c r="B348" s="11" t="s">
        <v>2428</v>
      </c>
      <c r="C348" s="52"/>
      <c r="D348" s="52"/>
      <c r="E348" s="115">
        <f t="shared" si="1064"/>
        <v>0</v>
      </c>
      <c r="F348" s="115">
        <f t="shared" si="1064"/>
        <v>0</v>
      </c>
      <c r="G348" s="115">
        <f t="shared" si="1064"/>
        <v>0</v>
      </c>
      <c r="H348" s="143"/>
      <c r="I348" s="143"/>
      <c r="J348" s="143"/>
      <c r="K348" s="143"/>
      <c r="L348" s="115">
        <f t="shared" si="1065"/>
        <v>0</v>
      </c>
      <c r="M348" s="143"/>
      <c r="N348" s="143"/>
      <c r="O348" s="143"/>
      <c r="P348" s="143"/>
      <c r="Q348" s="115">
        <f t="shared" si="1066"/>
        <v>0</v>
      </c>
      <c r="R348" s="143"/>
      <c r="S348" s="143"/>
      <c r="T348" s="143"/>
      <c r="U348" s="143"/>
      <c r="V348" s="115">
        <f t="shared" si="1067"/>
        <v>0</v>
      </c>
      <c r="W348" s="143"/>
      <c r="X348" s="143"/>
      <c r="Y348" s="143"/>
      <c r="Z348" s="143"/>
      <c r="AA348" s="115">
        <f t="shared" si="1068"/>
        <v>0</v>
      </c>
      <c r="AB348" s="143"/>
      <c r="AC348" s="143"/>
      <c r="AD348" s="143"/>
      <c r="AE348" s="143"/>
      <c r="AF348" s="115">
        <f t="shared" si="1069"/>
        <v>0</v>
      </c>
      <c r="AG348" s="143"/>
      <c r="AH348" s="143"/>
      <c r="AI348" s="143"/>
      <c r="AJ348" s="143"/>
      <c r="AK348" s="115">
        <f t="shared" si="1070"/>
        <v>0.71</v>
      </c>
      <c r="AL348" s="143"/>
      <c r="AM348" s="143"/>
      <c r="AN348" s="143"/>
      <c r="AO348" s="143"/>
      <c r="AP348" s="115">
        <f t="shared" si="1071"/>
        <v>-0.23000000000000043</v>
      </c>
      <c r="AQ348" s="143"/>
      <c r="AR348" s="143"/>
      <c r="AS348" s="143"/>
      <c r="AT348" s="143"/>
      <c r="AU348" s="115">
        <f t="shared" si="1072"/>
        <v>7</v>
      </c>
      <c r="AV348" s="143"/>
      <c r="AW348" s="143"/>
      <c r="AX348" s="143"/>
      <c r="AY348" s="143"/>
      <c r="AZ348" s="115">
        <f t="shared" si="1073"/>
        <v>0</v>
      </c>
      <c r="BA348" s="143"/>
      <c r="BB348" s="143"/>
      <c r="BC348" s="143"/>
      <c r="BD348" s="143"/>
      <c r="BE348" s="115">
        <f t="shared" si="1074"/>
        <v>0</v>
      </c>
      <c r="BF348" s="143"/>
      <c r="BG348" s="143"/>
      <c r="BH348" s="143"/>
      <c r="BI348" s="143"/>
      <c r="BJ348" s="115">
        <f t="shared" si="1075"/>
        <v>0</v>
      </c>
      <c r="BK348" s="143"/>
      <c r="BL348" s="143"/>
      <c r="BM348" s="143"/>
      <c r="BN348" s="143"/>
      <c r="BO348" s="115">
        <f t="shared" si="1076"/>
        <v>0</v>
      </c>
      <c r="BP348" s="143"/>
      <c r="BQ348" s="143"/>
      <c r="BR348" s="143"/>
      <c r="BS348" s="143"/>
      <c r="BT348" s="143"/>
      <c r="BU348" s="143"/>
      <c r="BV348" s="143"/>
      <c r="BW348" s="143"/>
      <c r="BX348" s="143"/>
      <c r="BY348" s="143"/>
      <c r="BZ348" s="143"/>
      <c r="CA348" s="143"/>
      <c r="CB348" s="143"/>
      <c r="CC348" s="143"/>
      <c r="CD348" s="143"/>
    </row>
    <row r="349" spans="1:91">
      <c r="A349" s="11"/>
      <c r="B349" s="11" t="s">
        <v>2247</v>
      </c>
      <c r="C349" s="52"/>
      <c r="D349" s="52"/>
      <c r="E349" s="115">
        <f t="shared" si="1064"/>
        <v>-15.540000000000006</v>
      </c>
      <c r="F349" s="115">
        <f t="shared" si="1064"/>
        <v>-10.339999999999996</v>
      </c>
      <c r="G349" s="115">
        <f t="shared" si="1064"/>
        <v>-6.1600000000000108</v>
      </c>
      <c r="H349" s="143"/>
      <c r="I349" s="143"/>
      <c r="J349" s="143"/>
      <c r="K349" s="143"/>
      <c r="L349" s="115">
        <f t="shared" si="1065"/>
        <v>-5.0499999999999972</v>
      </c>
      <c r="M349" s="143"/>
      <c r="N349" s="143"/>
      <c r="O349" s="143"/>
      <c r="P349" s="143"/>
      <c r="Q349" s="115">
        <f t="shared" si="1066"/>
        <v>-4.0300000000000011</v>
      </c>
      <c r="R349" s="143"/>
      <c r="S349" s="143"/>
      <c r="T349" s="143"/>
      <c r="U349" s="143"/>
      <c r="V349" s="115">
        <f t="shared" si="1067"/>
        <v>-6.4100000000000037</v>
      </c>
      <c r="W349" s="143"/>
      <c r="X349" s="143"/>
      <c r="Y349" s="143"/>
      <c r="Z349" s="143"/>
      <c r="AA349" s="115">
        <f t="shared" si="1068"/>
        <v>-5.43</v>
      </c>
      <c r="AB349" s="143"/>
      <c r="AC349" s="143"/>
      <c r="AD349" s="143"/>
      <c r="AE349" s="143"/>
      <c r="AF349" s="115">
        <f t="shared" si="1069"/>
        <v>-8.2199999999999989</v>
      </c>
      <c r="AG349" s="143"/>
      <c r="AH349" s="143"/>
      <c r="AI349" s="143"/>
      <c r="AJ349" s="143"/>
      <c r="AK349" s="115">
        <f t="shared" si="1070"/>
        <v>1</v>
      </c>
      <c r="AL349" s="143"/>
      <c r="AM349" s="143"/>
      <c r="AN349" s="143"/>
      <c r="AO349" s="143"/>
      <c r="AP349" s="115">
        <f t="shared" si="1071"/>
        <v>0</v>
      </c>
      <c r="AQ349" s="143"/>
      <c r="AR349" s="143"/>
      <c r="AS349" s="143"/>
      <c r="AT349" s="143"/>
      <c r="AU349" s="115">
        <f t="shared" si="1072"/>
        <v>0</v>
      </c>
      <c r="AV349" s="143"/>
      <c r="AW349" s="143"/>
      <c r="AX349" s="143"/>
      <c r="AY349" s="143"/>
      <c r="AZ349" s="115">
        <f t="shared" si="1073"/>
        <v>0</v>
      </c>
      <c r="BA349" s="143"/>
      <c r="BB349" s="143"/>
      <c r="BC349" s="143"/>
      <c r="BD349" s="143"/>
      <c r="BE349" s="115">
        <f t="shared" si="1074"/>
        <v>0</v>
      </c>
      <c r="BF349" s="143"/>
      <c r="BG349" s="143"/>
      <c r="BH349" s="143"/>
      <c r="BI349" s="143"/>
      <c r="BJ349" s="115">
        <f t="shared" si="1075"/>
        <v>0</v>
      </c>
      <c r="BK349" s="143"/>
      <c r="BL349" s="143"/>
      <c r="BM349" s="143"/>
      <c r="BN349" s="143"/>
      <c r="BO349" s="115">
        <f t="shared" si="1076"/>
        <v>0</v>
      </c>
      <c r="BP349" s="143"/>
      <c r="BQ349" s="143"/>
      <c r="BR349" s="143"/>
      <c r="BS349" s="143"/>
      <c r="BT349" s="143"/>
      <c r="BU349" s="143"/>
      <c r="BV349" s="143"/>
      <c r="BW349" s="143"/>
      <c r="BX349" s="143"/>
      <c r="BY349" s="143"/>
      <c r="BZ349" s="143"/>
      <c r="CA349" s="143"/>
      <c r="CB349" s="143"/>
      <c r="CC349" s="143"/>
      <c r="CD349" s="143"/>
    </row>
    <row r="350" spans="1:91">
      <c r="A350" s="11"/>
      <c r="B350" s="11" t="s">
        <v>1280</v>
      </c>
      <c r="C350" s="52"/>
      <c r="D350" s="52"/>
      <c r="E350" s="115">
        <f t="shared" si="1064"/>
        <v>-0.18999999999999773</v>
      </c>
      <c r="F350" s="115">
        <f t="shared" si="1064"/>
        <v>-1.1899999999999977</v>
      </c>
      <c r="G350" s="115">
        <f t="shared" si="1064"/>
        <v>2.0300000000000011</v>
      </c>
      <c r="H350" s="143"/>
      <c r="I350" s="143"/>
      <c r="J350" s="143"/>
      <c r="K350" s="143"/>
      <c r="L350" s="115">
        <f t="shared" si="1065"/>
        <v>13.620000000000001</v>
      </c>
      <c r="M350" s="143"/>
      <c r="N350" s="143"/>
      <c r="O350" s="143"/>
      <c r="P350" s="143"/>
      <c r="Q350" s="115">
        <f t="shared" si="1066"/>
        <v>9.68</v>
      </c>
      <c r="R350" s="143"/>
      <c r="S350" s="143"/>
      <c r="T350" s="143"/>
      <c r="U350" s="143"/>
      <c r="V350" s="115">
        <f t="shared" si="1067"/>
        <v>15.34</v>
      </c>
      <c r="W350" s="143"/>
      <c r="X350" s="143"/>
      <c r="Y350" s="143"/>
      <c r="Z350" s="143"/>
      <c r="AA350" s="115">
        <f t="shared" si="1068"/>
        <v>11.809999999999999</v>
      </c>
      <c r="AB350" s="143"/>
      <c r="AC350" s="143"/>
      <c r="AD350" s="143"/>
      <c r="AE350" s="143"/>
      <c r="AF350" s="115">
        <f t="shared" si="1069"/>
        <v>10.27</v>
      </c>
      <c r="AG350" s="143"/>
      <c r="AH350" s="143"/>
      <c r="AI350" s="143"/>
      <c r="AJ350" s="143"/>
      <c r="AK350" s="115">
        <f t="shared" si="1070"/>
        <v>10.030000000000001</v>
      </c>
      <c r="AL350" s="143"/>
      <c r="AM350" s="143"/>
      <c r="AN350" s="143"/>
      <c r="AO350" s="143"/>
      <c r="AP350" s="115">
        <f t="shared" si="1071"/>
        <v>6.0299999999999994</v>
      </c>
      <c r="AQ350" s="143"/>
      <c r="AR350" s="143"/>
      <c r="AS350" s="143"/>
      <c r="AT350" s="143"/>
      <c r="AU350" s="115">
        <f t="shared" si="1072"/>
        <v>6.82</v>
      </c>
      <c r="AV350" s="143"/>
      <c r="AW350" s="143"/>
      <c r="AX350" s="143"/>
      <c r="AY350" s="143"/>
      <c r="AZ350" s="115">
        <f t="shared" si="1073"/>
        <v>7.7600000000000016</v>
      </c>
      <c r="BA350" s="143"/>
      <c r="BB350" s="143"/>
      <c r="BC350" s="143"/>
      <c r="BD350" s="143"/>
      <c r="BE350" s="115">
        <f t="shared" si="1074"/>
        <v>7.42</v>
      </c>
      <c r="BF350" s="143"/>
      <c r="BG350" s="143"/>
      <c r="BH350" s="143"/>
      <c r="BI350" s="143"/>
      <c r="BJ350" s="115">
        <f t="shared" si="1075"/>
        <v>4.49</v>
      </c>
      <c r="BK350" s="143"/>
      <c r="BL350" s="143"/>
      <c r="BM350" s="143"/>
      <c r="BN350" s="143"/>
      <c r="BO350" s="115">
        <f t="shared" si="1076"/>
        <v>6.75</v>
      </c>
      <c r="BP350" s="143"/>
      <c r="BQ350" s="143"/>
      <c r="BR350" s="143"/>
      <c r="BS350" s="143"/>
      <c r="BT350" s="143"/>
      <c r="BU350" s="143"/>
      <c r="BV350" s="143"/>
      <c r="BW350" s="143"/>
      <c r="BX350" s="143"/>
      <c r="BY350" s="143"/>
      <c r="BZ350" s="143"/>
      <c r="CA350" s="143"/>
      <c r="CB350" s="143"/>
      <c r="CC350" s="143"/>
      <c r="CD350" s="143"/>
    </row>
    <row r="351" spans="1:91">
      <c r="A351" s="11"/>
      <c r="B351" s="11" t="s">
        <v>1036</v>
      </c>
      <c r="C351" s="52"/>
      <c r="D351" s="52"/>
      <c r="E351" s="115">
        <f t="shared" si="1064"/>
        <v>28.13</v>
      </c>
      <c r="F351" s="115">
        <f t="shared" si="1064"/>
        <v>30.3</v>
      </c>
      <c r="G351" s="115">
        <f t="shared" si="1064"/>
        <v>31.76</v>
      </c>
      <c r="H351" s="143"/>
      <c r="I351" s="143"/>
      <c r="J351" s="143"/>
      <c r="K351" s="143"/>
      <c r="L351" s="115">
        <f t="shared" si="1065"/>
        <v>8.1900000000000013</v>
      </c>
      <c r="M351" s="143"/>
      <c r="N351" s="143"/>
      <c r="O351" s="143"/>
      <c r="P351" s="143"/>
      <c r="Q351" s="115">
        <f t="shared" si="1066"/>
        <v>13.66</v>
      </c>
      <c r="R351" s="143"/>
      <c r="S351" s="143"/>
      <c r="T351" s="143"/>
      <c r="U351" s="143"/>
      <c r="V351" s="115">
        <f t="shared" si="1067"/>
        <v>3.2299999999999969</v>
      </c>
      <c r="W351" s="143"/>
      <c r="X351" s="143"/>
      <c r="Y351" s="143"/>
      <c r="Z351" s="143"/>
      <c r="AA351" s="115">
        <f t="shared" si="1068"/>
        <v>15.53</v>
      </c>
      <c r="AB351" s="143"/>
      <c r="AC351" s="143"/>
      <c r="AD351" s="143"/>
      <c r="AE351" s="143"/>
      <c r="AF351" s="115">
        <f t="shared" si="1069"/>
        <v>11.129999999999999</v>
      </c>
      <c r="AG351" s="143"/>
      <c r="AH351" s="143"/>
      <c r="AI351" s="143"/>
      <c r="AJ351" s="143"/>
      <c r="AK351" s="115">
        <f t="shared" si="1070"/>
        <v>9.120000000000001</v>
      </c>
      <c r="AL351" s="143"/>
      <c r="AM351" s="143"/>
      <c r="AN351" s="143"/>
      <c r="AO351" s="143"/>
      <c r="AP351" s="115">
        <f t="shared" si="1071"/>
        <v>14</v>
      </c>
      <c r="AQ351" s="143"/>
      <c r="AR351" s="143"/>
      <c r="AS351" s="143"/>
      <c r="AT351" s="143"/>
      <c r="AU351" s="115">
        <f t="shared" si="1072"/>
        <v>0</v>
      </c>
      <c r="AV351" s="143"/>
      <c r="AW351" s="143"/>
      <c r="AX351" s="143"/>
      <c r="AY351" s="143"/>
      <c r="AZ351" s="115">
        <f t="shared" si="1073"/>
        <v>0</v>
      </c>
      <c r="BA351" s="143"/>
      <c r="BB351" s="143"/>
      <c r="BC351" s="143"/>
      <c r="BD351" s="143"/>
      <c r="BE351" s="115">
        <f t="shared" si="1074"/>
        <v>0</v>
      </c>
      <c r="BF351" s="143"/>
      <c r="BG351" s="143"/>
      <c r="BH351" s="143"/>
      <c r="BI351" s="143"/>
      <c r="BJ351" s="115">
        <f t="shared" si="1075"/>
        <v>0</v>
      </c>
      <c r="BK351" s="143"/>
      <c r="BL351" s="143"/>
      <c r="BM351" s="143"/>
      <c r="BN351" s="143"/>
      <c r="BO351" s="115">
        <f t="shared" si="1076"/>
        <v>0</v>
      </c>
      <c r="BP351" s="143"/>
      <c r="BQ351" s="143"/>
      <c r="BR351" s="143"/>
      <c r="BS351" s="143"/>
      <c r="BT351" s="143"/>
      <c r="BU351" s="143"/>
      <c r="BV351" s="143"/>
      <c r="BW351" s="143"/>
      <c r="BX351" s="143"/>
      <c r="BY351" s="143"/>
      <c r="BZ351" s="143"/>
      <c r="CA351" s="143"/>
      <c r="CB351" s="143"/>
      <c r="CC351" s="143"/>
      <c r="CD351" s="143"/>
    </row>
    <row r="352" spans="1:91">
      <c r="A352" s="39" t="s">
        <v>119</v>
      </c>
      <c r="B352" s="39"/>
      <c r="C352" s="52"/>
      <c r="D352" s="52"/>
      <c r="E352" s="78">
        <f>SUM(E346:E351)</f>
        <v>13.108000000000001</v>
      </c>
      <c r="F352" s="78">
        <f>SUM(F346:F351)</f>
        <v>19.542000000000005</v>
      </c>
      <c r="G352" s="78">
        <f>SUM(G346:G351)</f>
        <v>28.887999999999987</v>
      </c>
      <c r="H352" s="140"/>
      <c r="I352" s="140"/>
      <c r="J352" s="140"/>
      <c r="K352" s="140"/>
      <c r="L352" s="78">
        <f>SUM(L346:L351)</f>
        <v>22.085999999999991</v>
      </c>
      <c r="M352" s="143"/>
      <c r="N352" s="143"/>
      <c r="O352" s="143"/>
      <c r="P352" s="143"/>
      <c r="Q352" s="78">
        <f>SUM(Q346:Q351)</f>
        <v>23.229999999999997</v>
      </c>
      <c r="R352" s="143"/>
      <c r="S352" s="143"/>
      <c r="T352" s="143"/>
      <c r="U352" s="143"/>
      <c r="V352" s="78">
        <f>SUM(V346:V351)</f>
        <v>18.763999999999989</v>
      </c>
      <c r="W352" s="143"/>
      <c r="X352" s="143"/>
      <c r="Y352" s="143"/>
      <c r="Z352" s="143"/>
      <c r="AA352" s="78">
        <f>SUM(AA346:AA351)</f>
        <v>26.588000000000008</v>
      </c>
      <c r="AB352" s="143"/>
      <c r="AC352" s="143"/>
      <c r="AD352" s="143"/>
      <c r="AE352" s="143"/>
      <c r="AF352" s="78">
        <f>SUM(AF346:AF351)</f>
        <v>16.929999999999986</v>
      </c>
      <c r="AG352" s="143"/>
      <c r="AH352" s="143"/>
      <c r="AI352" s="143"/>
      <c r="AJ352" s="143"/>
      <c r="AK352" s="78">
        <f>SUM(AK346:AK351)</f>
        <v>23.789999999999996</v>
      </c>
      <c r="AL352" s="143"/>
      <c r="AM352" s="143"/>
      <c r="AN352" s="143"/>
      <c r="AO352" s="143"/>
      <c r="AP352" s="78">
        <f>SUM(AP346:AP351)</f>
        <v>20.747999999999994</v>
      </c>
      <c r="AQ352" s="143"/>
      <c r="AR352" s="143"/>
      <c r="AS352" s="143"/>
      <c r="AT352" s="143"/>
      <c r="AU352" s="78">
        <f>SUM(AU346:AU351)</f>
        <v>15.544000000000008</v>
      </c>
      <c r="AV352" s="143"/>
      <c r="AW352" s="143"/>
      <c r="AX352" s="143"/>
      <c r="AY352" s="143"/>
      <c r="AZ352" s="571">
        <f>SUM(AZ346:AZ351)</f>
        <v>10.390000000000008</v>
      </c>
      <c r="BA352" s="143"/>
      <c r="BB352" s="143"/>
      <c r="BC352" s="143"/>
      <c r="BD352" s="143"/>
      <c r="BE352" s="571">
        <f>SUM(BE346:BE351)</f>
        <v>12.784000000000011</v>
      </c>
      <c r="BF352" s="143"/>
      <c r="BG352" s="143"/>
      <c r="BH352" s="143"/>
      <c r="BI352" s="143"/>
      <c r="BJ352" s="571">
        <f>SUM(BJ346:BJ351)</f>
        <v>7.9319999999999933</v>
      </c>
      <c r="BK352" s="143"/>
      <c r="BL352" s="143"/>
      <c r="BM352" s="143"/>
      <c r="BN352" s="143"/>
      <c r="BO352" s="571">
        <f>SUM(BO346:BO351)</f>
        <v>8.2480000000000047</v>
      </c>
      <c r="BP352" s="570">
        <v>10</v>
      </c>
      <c r="BQ352" s="570">
        <v>5</v>
      </c>
      <c r="BR352" s="570">
        <v>5</v>
      </c>
      <c r="BS352" s="570">
        <v>5</v>
      </c>
      <c r="BT352" s="571">
        <f t="shared" ref="BT352" si="1077">AVERAGE(BP352:BS352)</f>
        <v>6.25</v>
      </c>
      <c r="BU352" s="570">
        <v>5</v>
      </c>
      <c r="BV352" s="570">
        <v>5</v>
      </c>
      <c r="BW352" s="570">
        <v>5</v>
      </c>
      <c r="BX352" s="570">
        <v>5</v>
      </c>
      <c r="BY352" s="571">
        <f t="shared" ref="BY352" si="1078">AVERAGE(BU352:BX352)</f>
        <v>5</v>
      </c>
      <c r="BZ352" s="570">
        <v>5</v>
      </c>
      <c r="CA352" s="570">
        <v>5</v>
      </c>
      <c r="CB352" s="570">
        <v>5</v>
      </c>
      <c r="CC352" s="570">
        <v>5</v>
      </c>
      <c r="CD352" s="571">
        <f t="shared" ref="CD352" si="1079">AVERAGE(BZ352:CC352)</f>
        <v>5</v>
      </c>
      <c r="CE352" s="391"/>
    </row>
    <row r="353" spans="1:83">
      <c r="E353" s="348"/>
      <c r="F353" s="348"/>
      <c r="G353" s="348"/>
      <c r="H353" s="348"/>
      <c r="I353" s="348"/>
      <c r="J353" s="348"/>
      <c r="K353" s="348"/>
      <c r="L353" s="348"/>
      <c r="M353" s="348"/>
      <c r="N353" s="348"/>
      <c r="O353" s="348"/>
      <c r="P353" s="348"/>
      <c r="Q353" s="348"/>
      <c r="R353" s="348"/>
      <c r="S353" s="348"/>
      <c r="T353" s="348"/>
      <c r="U353" s="348"/>
      <c r="V353" s="348"/>
      <c r="W353" s="348"/>
      <c r="X353" s="348"/>
      <c r="Y353" s="348"/>
      <c r="Z353" s="348"/>
      <c r="AA353" s="348"/>
      <c r="AB353" s="348"/>
      <c r="AC353" s="348"/>
      <c r="AD353" s="348"/>
      <c r="AE353" s="348"/>
      <c r="AF353" s="348"/>
      <c r="AG353" s="348"/>
      <c r="AH353" s="348"/>
      <c r="AI353" s="348"/>
      <c r="AJ353" s="348"/>
      <c r="AK353" s="348"/>
      <c r="AL353" s="348"/>
      <c r="AM353" s="348"/>
      <c r="AN353" s="348"/>
      <c r="AO353" s="348"/>
      <c r="AP353" s="348"/>
      <c r="AQ353" s="348"/>
      <c r="AR353" s="348"/>
      <c r="AS353" s="348"/>
      <c r="AT353" s="348"/>
      <c r="AU353" s="348"/>
      <c r="AV353" s="348"/>
      <c r="AW353" s="348"/>
      <c r="AX353" s="348"/>
      <c r="AY353" s="348"/>
      <c r="AZ353" s="348"/>
      <c r="BA353" s="348"/>
      <c r="BB353" s="348"/>
      <c r="BC353" s="348"/>
      <c r="BD353" s="348"/>
      <c r="BE353" s="348"/>
      <c r="BF353" s="348"/>
      <c r="BG353" s="348"/>
      <c r="BH353" s="348"/>
      <c r="BI353" s="348"/>
      <c r="BJ353" s="348"/>
      <c r="BK353" s="348"/>
      <c r="BL353" s="348"/>
      <c r="BM353" s="348"/>
      <c r="BN353" s="348"/>
      <c r="BO353" s="348"/>
      <c r="BP353" s="348"/>
      <c r="BQ353" s="348"/>
      <c r="BR353" s="348"/>
      <c r="BS353" s="348"/>
      <c r="BT353" s="348"/>
      <c r="BU353" s="348"/>
      <c r="BV353" s="348"/>
      <c r="BW353" s="348"/>
      <c r="BX353" s="348"/>
      <c r="BY353" s="348"/>
      <c r="BZ353" s="348"/>
      <c r="CA353" s="348"/>
      <c r="CB353" s="348"/>
      <c r="CC353" s="348"/>
      <c r="CD353" s="348"/>
    </row>
    <row r="354" spans="1:83">
      <c r="A354" s="39" t="s">
        <v>120</v>
      </c>
      <c r="B354" s="11"/>
      <c r="C354" s="51"/>
      <c r="D354" s="51"/>
      <c r="E354" s="115"/>
      <c r="F354" s="115"/>
      <c r="G354" s="115"/>
      <c r="H354" s="143"/>
      <c r="I354" s="143"/>
      <c r="J354" s="143"/>
      <c r="K354" s="143"/>
      <c r="L354" s="115"/>
      <c r="M354" s="115"/>
      <c r="N354" s="115"/>
      <c r="O354" s="115"/>
      <c r="P354" s="115"/>
      <c r="Q354" s="115"/>
      <c r="R354" s="115"/>
      <c r="S354" s="115"/>
      <c r="T354" s="115"/>
      <c r="U354" s="115"/>
      <c r="V354" s="115"/>
      <c r="W354" s="115"/>
      <c r="X354" s="115"/>
      <c r="Y354" s="115"/>
      <c r="Z354" s="115"/>
      <c r="AA354" s="115"/>
      <c r="AB354" s="115"/>
      <c r="AC354" s="115"/>
      <c r="AD354" s="115"/>
      <c r="AE354" s="115"/>
      <c r="AF354" s="115"/>
      <c r="AG354" s="115"/>
      <c r="AH354" s="115"/>
      <c r="AI354" s="115"/>
      <c r="AJ354" s="115"/>
      <c r="AK354" s="115"/>
      <c r="AL354" s="115"/>
      <c r="AM354" s="115"/>
      <c r="AN354" s="115"/>
      <c r="AO354" s="115"/>
      <c r="AP354" s="115"/>
      <c r="AQ354" s="115"/>
      <c r="AR354" s="115"/>
      <c r="AS354" s="115"/>
      <c r="AT354" s="115"/>
      <c r="AU354" s="115"/>
      <c r="AV354" s="115"/>
      <c r="AW354" s="115"/>
      <c r="AX354" s="115"/>
      <c r="AY354" s="115"/>
      <c r="AZ354" s="115"/>
      <c r="BA354" s="115"/>
      <c r="BB354" s="115"/>
      <c r="BC354" s="115"/>
      <c r="BD354" s="115"/>
      <c r="BE354" s="115"/>
      <c r="BF354" s="115"/>
      <c r="BG354" s="115"/>
      <c r="BH354" s="115"/>
      <c r="BI354" s="115"/>
      <c r="BJ354" s="115"/>
      <c r="BK354" s="115"/>
      <c r="BL354" s="115"/>
      <c r="BM354" s="115"/>
      <c r="BN354" s="115"/>
      <c r="BO354" s="115"/>
      <c r="BP354" s="115"/>
      <c r="BQ354" s="115"/>
      <c r="BR354" s="115"/>
      <c r="BS354" s="115"/>
      <c r="BT354" s="115"/>
      <c r="BU354" s="115"/>
      <c r="BV354" s="115"/>
      <c r="BW354" s="115"/>
      <c r="BX354" s="115"/>
      <c r="BY354" s="115"/>
      <c r="BZ354" s="115"/>
      <c r="CA354" s="115"/>
      <c r="CB354" s="115"/>
      <c r="CC354" s="115"/>
      <c r="CD354" s="115"/>
    </row>
    <row r="355" spans="1:83">
      <c r="A355" s="11"/>
      <c r="B355" s="11" t="s">
        <v>1473</v>
      </c>
      <c r="C355" s="52"/>
      <c r="D355" s="52"/>
      <c r="E355" s="115">
        <f t="shared" ref="E355:G357" si="1080">E139-E301</f>
        <v>0</v>
      </c>
      <c r="F355" s="115">
        <f t="shared" si="1080"/>
        <v>0</v>
      </c>
      <c r="G355" s="115">
        <f t="shared" si="1080"/>
        <v>0</v>
      </c>
      <c r="H355" s="143"/>
      <c r="I355" s="143"/>
      <c r="J355" s="143"/>
      <c r="K355" s="143"/>
      <c r="L355" s="115">
        <f>L139-L301</f>
        <v>-9.56</v>
      </c>
      <c r="M355" s="143"/>
      <c r="N355" s="143"/>
      <c r="O355" s="143"/>
      <c r="P355" s="143"/>
      <c r="Q355" s="115">
        <f>Q139-Q301</f>
        <v>-4.5599999999999987</v>
      </c>
      <c r="R355" s="143"/>
      <c r="S355" s="143"/>
      <c r="T355" s="143"/>
      <c r="U355" s="143"/>
      <c r="V355" s="115">
        <f>V139-V301</f>
        <v>5.17</v>
      </c>
      <c r="W355" s="143"/>
      <c r="X355" s="143"/>
      <c r="Y355" s="143"/>
      <c r="Z355" s="143"/>
      <c r="AA355" s="115">
        <f>AA139-AA301</f>
        <v>3.3599999999999994</v>
      </c>
      <c r="AB355" s="143"/>
      <c r="AC355" s="143"/>
      <c r="AD355" s="143"/>
      <c r="AE355" s="143"/>
      <c r="AF355" s="115">
        <f>AF139-AF301</f>
        <v>4.57</v>
      </c>
      <c r="AG355" s="143"/>
      <c r="AH355" s="143"/>
      <c r="AI355" s="143"/>
      <c r="AJ355" s="143"/>
      <c r="AK355" s="115">
        <f>AK139-AK301</f>
        <v>11.93</v>
      </c>
      <c r="AL355" s="143"/>
      <c r="AM355" s="143"/>
      <c r="AN355" s="143"/>
      <c r="AO355" s="143"/>
      <c r="AP355" s="115">
        <f>AP139-AP301</f>
        <v>2.3900000000000006</v>
      </c>
      <c r="AQ355" s="143"/>
      <c r="AR355" s="143"/>
      <c r="AS355" s="143"/>
      <c r="AT355" s="143"/>
      <c r="AU355" s="115">
        <f>AU139-AU301</f>
        <v>0.58000000000000007</v>
      </c>
      <c r="AV355" s="143"/>
      <c r="AW355" s="143"/>
      <c r="AX355" s="143"/>
      <c r="AY355" s="143"/>
      <c r="AZ355" s="115">
        <f>AZ139-AZ301</f>
        <v>1.0099999999999998</v>
      </c>
      <c r="BA355" s="143"/>
      <c r="BB355" s="143"/>
      <c r="BC355" s="143"/>
      <c r="BD355" s="143"/>
      <c r="BE355" s="115">
        <f>BE139-BE301</f>
        <v>-0.33000000000000007</v>
      </c>
      <c r="BF355" s="143"/>
      <c r="BG355" s="143"/>
      <c r="BH355" s="143"/>
      <c r="BI355" s="143"/>
      <c r="BJ355" s="115">
        <f>BJ139-BJ301</f>
        <v>-2.7699999999999996</v>
      </c>
      <c r="BK355" s="143"/>
      <c r="BL355" s="143"/>
      <c r="BM355" s="143"/>
      <c r="BN355" s="143"/>
      <c r="BO355" s="115">
        <f>BO139-BO301</f>
        <v>0.85999999999999943</v>
      </c>
      <c r="BP355" s="143"/>
      <c r="BQ355" s="143"/>
      <c r="BR355" s="143"/>
      <c r="BS355" s="143"/>
      <c r="BT355" s="143"/>
      <c r="BU355" s="143"/>
      <c r="BV355" s="143"/>
      <c r="BW355" s="143"/>
      <c r="BX355" s="143"/>
      <c r="BY355" s="143"/>
      <c r="BZ355" s="143"/>
      <c r="CA355" s="143"/>
      <c r="CB355" s="143"/>
      <c r="CC355" s="143"/>
      <c r="CD355" s="143"/>
    </row>
    <row r="356" spans="1:83">
      <c r="A356" s="11"/>
      <c r="B356" s="11" t="s">
        <v>1934</v>
      </c>
      <c r="C356" s="52"/>
      <c r="D356" s="52"/>
      <c r="E356" s="115">
        <f t="shared" si="1080"/>
        <v>3.7100000000000009</v>
      </c>
      <c r="F356" s="115">
        <f t="shared" si="1080"/>
        <v>20.550000000000004</v>
      </c>
      <c r="G356" s="115">
        <f t="shared" si="1080"/>
        <v>12.900000000000006</v>
      </c>
      <c r="H356" s="143"/>
      <c r="I356" s="143"/>
      <c r="J356" s="143"/>
      <c r="K356" s="143"/>
      <c r="L356" s="115">
        <f>L140-L302</f>
        <v>8.1700000000000159</v>
      </c>
      <c r="M356" s="143"/>
      <c r="N356" s="143"/>
      <c r="O356" s="143"/>
      <c r="P356" s="143"/>
      <c r="Q356" s="115">
        <f>Q140-Q302</f>
        <v>-23.279999999999973</v>
      </c>
      <c r="R356" s="143"/>
      <c r="S356" s="143"/>
      <c r="T356" s="143"/>
      <c r="U356" s="143"/>
      <c r="V356" s="115">
        <f>V140-V302</f>
        <v>0.71999999999999886</v>
      </c>
      <c r="W356" s="143"/>
      <c r="X356" s="143"/>
      <c r="Y356" s="143"/>
      <c r="Z356" s="143"/>
      <c r="AA356" s="115">
        <f>AA140-AA302</f>
        <v>-8.9999999999974989E-2</v>
      </c>
      <c r="AB356" s="143"/>
      <c r="AC356" s="143"/>
      <c r="AD356" s="143"/>
      <c r="AE356" s="143"/>
      <c r="AF356" s="115">
        <f>AF140-AF302</f>
        <v>5.2700000000000102</v>
      </c>
      <c r="AG356" s="143"/>
      <c r="AH356" s="143"/>
      <c r="AI356" s="143"/>
      <c r="AJ356" s="143"/>
      <c r="AK356" s="115">
        <f>AK140-AK302</f>
        <v>-0.45000000000000284</v>
      </c>
      <c r="AL356" s="143"/>
      <c r="AM356" s="143"/>
      <c r="AN356" s="143"/>
      <c r="AO356" s="143"/>
      <c r="AP356" s="115">
        <f>AP140-AP302</f>
        <v>-6</v>
      </c>
      <c r="AQ356" s="143"/>
      <c r="AR356" s="143"/>
      <c r="AS356" s="143"/>
      <c r="AT356" s="143"/>
      <c r="AU356" s="115">
        <f>AU140-AU302</f>
        <v>-10.090000000000003</v>
      </c>
      <c r="AV356" s="143"/>
      <c r="AW356" s="143"/>
      <c r="AX356" s="143"/>
      <c r="AY356" s="143"/>
      <c r="AZ356" s="115">
        <f>AZ140-AZ302</f>
        <v>-13.709999999999951</v>
      </c>
      <c r="BA356" s="143"/>
      <c r="BB356" s="143"/>
      <c r="BC356" s="143"/>
      <c r="BD356" s="143"/>
      <c r="BE356" s="115">
        <f>BE140-BE302</f>
        <v>1.3300000000000409</v>
      </c>
      <c r="BF356" s="143"/>
      <c r="BG356" s="143"/>
      <c r="BH356" s="143"/>
      <c r="BI356" s="143"/>
      <c r="BJ356" s="115">
        <f>BJ140-BJ302</f>
        <v>9.3800000000000239</v>
      </c>
      <c r="BK356" s="143"/>
      <c r="BL356" s="143"/>
      <c r="BM356" s="143"/>
      <c r="BN356" s="143"/>
      <c r="BO356" s="115">
        <f>BO140-BO302</f>
        <v>9.3700000000000045</v>
      </c>
      <c r="BP356" s="143"/>
      <c r="BQ356" s="143"/>
      <c r="BR356" s="143"/>
      <c r="BS356" s="143"/>
      <c r="BT356" s="143"/>
      <c r="BU356" s="143"/>
      <c r="BV356" s="143"/>
      <c r="BW356" s="143"/>
      <c r="BX356" s="143"/>
      <c r="BY356" s="143"/>
      <c r="BZ356" s="143"/>
      <c r="CA356" s="143"/>
      <c r="CB356" s="143"/>
      <c r="CC356" s="143"/>
      <c r="CD356" s="143"/>
    </row>
    <row r="357" spans="1:83">
      <c r="A357" s="11"/>
      <c r="B357" s="11" t="s">
        <v>2251</v>
      </c>
      <c r="C357" s="52"/>
      <c r="D357" s="52"/>
      <c r="E357" s="115">
        <f t="shared" si="1080"/>
        <v>-10.089999999999989</v>
      </c>
      <c r="F357" s="115">
        <f t="shared" si="1080"/>
        <v>-14.969999999999999</v>
      </c>
      <c r="G357" s="115">
        <f t="shared" si="1080"/>
        <v>-20.739999999999995</v>
      </c>
      <c r="H357" s="143"/>
      <c r="I357" s="143"/>
      <c r="J357" s="143"/>
      <c r="K357" s="143"/>
      <c r="L357" s="115">
        <f>L141-L303</f>
        <v>-4.1700000000000017</v>
      </c>
      <c r="M357" s="143"/>
      <c r="N357" s="143"/>
      <c r="O357" s="143"/>
      <c r="P357" s="143"/>
      <c r="Q357" s="115">
        <f>Q141-Q303</f>
        <v>-9.019999999999996</v>
      </c>
      <c r="R357" s="143"/>
      <c r="S357" s="143"/>
      <c r="T357" s="143"/>
      <c r="U357" s="143"/>
      <c r="V357" s="115">
        <f>V141-V303</f>
        <v>15.630000000000003</v>
      </c>
      <c r="W357" s="143"/>
      <c r="X357" s="143"/>
      <c r="Y357" s="143"/>
      <c r="Z357" s="143"/>
      <c r="AA357" s="115">
        <f>AA141-AA303</f>
        <v>22.490000000000002</v>
      </c>
      <c r="AB357" s="143"/>
      <c r="AC357" s="143"/>
      <c r="AD357" s="143"/>
      <c r="AE357" s="143"/>
      <c r="AF357" s="115">
        <f>AF141-AF303</f>
        <v>17.179999999999993</v>
      </c>
      <c r="AG357" s="143"/>
      <c r="AH357" s="143"/>
      <c r="AI357" s="143"/>
      <c r="AJ357" s="143"/>
      <c r="AK357" s="115">
        <f>AK141-AK303</f>
        <v>11.309999999999995</v>
      </c>
      <c r="AL357" s="143"/>
      <c r="AM357" s="143"/>
      <c r="AN357" s="143"/>
      <c r="AO357" s="143"/>
      <c r="AP357" s="115">
        <f>AP141-AP303</f>
        <v>9.5800000000000054</v>
      </c>
      <c r="AQ357" s="143"/>
      <c r="AR357" s="143"/>
      <c r="AS357" s="143"/>
      <c r="AT357" s="143"/>
      <c r="AU357" s="115">
        <f>AU141-AU303</f>
        <v>9.1199999999999974</v>
      </c>
      <c r="AV357" s="143"/>
      <c r="AW357" s="143"/>
      <c r="AX357" s="143"/>
      <c r="AY357" s="143"/>
      <c r="AZ357" s="115">
        <f>AZ141-AZ303</f>
        <v>3.8300000000000054</v>
      </c>
      <c r="BA357" s="143"/>
      <c r="BB357" s="143"/>
      <c r="BC357" s="143"/>
      <c r="BD357" s="143"/>
      <c r="BE357" s="115">
        <f>BE141-BE303</f>
        <v>0.13000000000000256</v>
      </c>
      <c r="BF357" s="143"/>
      <c r="BG357" s="143"/>
      <c r="BH357" s="143"/>
      <c r="BI357" s="143"/>
      <c r="BJ357" s="115">
        <f>BJ141-BJ303</f>
        <v>-4.7000000000000028</v>
      </c>
      <c r="BK357" s="143"/>
      <c r="BL357" s="143"/>
      <c r="BM357" s="143"/>
      <c r="BN357" s="143"/>
      <c r="BO357" s="115">
        <f>BO141-BO303</f>
        <v>-2.4699999999999989</v>
      </c>
      <c r="BP357" s="143"/>
      <c r="BQ357" s="143"/>
      <c r="BR357" s="143"/>
      <c r="BS357" s="143"/>
      <c r="BT357" s="143"/>
      <c r="BU357" s="143"/>
      <c r="BV357" s="143"/>
      <c r="BW357" s="143"/>
      <c r="BX357" s="143"/>
      <c r="BY357" s="143"/>
      <c r="BZ357" s="143"/>
      <c r="CA357" s="143"/>
      <c r="CB357" s="143"/>
      <c r="CC357" s="143"/>
      <c r="CD357" s="143"/>
    </row>
    <row r="358" spans="1:83">
      <c r="A358" s="39" t="s">
        <v>2461</v>
      </c>
      <c r="B358" s="39"/>
      <c r="C358" s="52"/>
      <c r="D358" s="52"/>
      <c r="E358" s="78">
        <f>SUM(E355:E357)</f>
        <v>-6.3799999999999883</v>
      </c>
      <c r="F358" s="78">
        <f>SUM(F355:F357)</f>
        <v>5.5800000000000054</v>
      </c>
      <c r="G358" s="78">
        <f>SUM(G355:G357)</f>
        <v>-7.8399999999999892</v>
      </c>
      <c r="H358" s="140"/>
      <c r="I358" s="140"/>
      <c r="J358" s="140"/>
      <c r="K358" s="140"/>
      <c r="L358" s="78">
        <f>SUM(L355:L357)</f>
        <v>-5.5599999999999863</v>
      </c>
      <c r="M358" s="143"/>
      <c r="N358" s="143"/>
      <c r="O358" s="143"/>
      <c r="P358" s="143"/>
      <c r="Q358" s="78">
        <f>SUM(Q355:Q357)</f>
        <v>-36.859999999999971</v>
      </c>
      <c r="R358" s="143"/>
      <c r="S358" s="143"/>
      <c r="T358" s="143"/>
      <c r="U358" s="143"/>
      <c r="V358" s="78">
        <f>SUM(V355:V357)</f>
        <v>21.520000000000003</v>
      </c>
      <c r="W358" s="143"/>
      <c r="X358" s="143"/>
      <c r="Y358" s="143"/>
      <c r="Z358" s="143"/>
      <c r="AA358" s="78">
        <f>SUM(AA355:AA357)</f>
        <v>25.760000000000026</v>
      </c>
      <c r="AB358" s="143"/>
      <c r="AC358" s="143"/>
      <c r="AD358" s="143"/>
      <c r="AE358" s="143"/>
      <c r="AF358" s="78">
        <f>SUM(AF355:AF357)</f>
        <v>27.020000000000003</v>
      </c>
      <c r="AG358" s="143"/>
      <c r="AH358" s="143"/>
      <c r="AI358" s="143"/>
      <c r="AJ358" s="143"/>
      <c r="AK358" s="78">
        <f>SUM(AK355:AK357)</f>
        <v>22.789999999999992</v>
      </c>
      <c r="AL358" s="143"/>
      <c r="AM358" s="143"/>
      <c r="AN358" s="143"/>
      <c r="AO358" s="143"/>
      <c r="AP358" s="78">
        <f>SUM(AP355:AP357)</f>
        <v>5.970000000000006</v>
      </c>
      <c r="AQ358" s="143"/>
      <c r="AR358" s="143"/>
      <c r="AS358" s="143"/>
      <c r="AT358" s="143"/>
      <c r="AU358" s="78">
        <f>SUM(AU355:AU357)</f>
        <v>-0.3900000000000059</v>
      </c>
      <c r="AV358" s="143"/>
      <c r="AW358" s="143"/>
      <c r="AX358" s="143"/>
      <c r="AY358" s="143"/>
      <c r="AZ358" s="571">
        <f>SUM(AZ355:AZ357)</f>
        <v>-8.8699999999999459</v>
      </c>
      <c r="BA358" s="143"/>
      <c r="BB358" s="143"/>
      <c r="BC358" s="143"/>
      <c r="BD358" s="143"/>
      <c r="BE358" s="571">
        <f>SUM(BE355:BE357)</f>
        <v>1.1300000000000434</v>
      </c>
      <c r="BF358" s="143"/>
      <c r="BG358" s="143"/>
      <c r="BH358" s="143"/>
      <c r="BI358" s="143"/>
      <c r="BJ358" s="571">
        <f>SUM(BJ355:BJ357)</f>
        <v>1.9100000000000215</v>
      </c>
      <c r="BK358" s="143"/>
      <c r="BL358" s="143"/>
      <c r="BM358" s="143"/>
      <c r="BN358" s="143"/>
      <c r="BO358" s="571">
        <f>SUM(BO355:BO357)</f>
        <v>7.7600000000000051</v>
      </c>
      <c r="BP358" s="570">
        <v>10</v>
      </c>
      <c r="BQ358" s="570">
        <v>10</v>
      </c>
      <c r="BR358" s="570">
        <v>10</v>
      </c>
      <c r="BS358" s="570">
        <v>10</v>
      </c>
      <c r="BT358" s="571">
        <f t="shared" ref="BT358" si="1081">AVERAGE(BP358:BS358)</f>
        <v>10</v>
      </c>
      <c r="BU358" s="570">
        <v>10</v>
      </c>
      <c r="BV358" s="570">
        <v>10</v>
      </c>
      <c r="BW358" s="570">
        <v>10</v>
      </c>
      <c r="BX358" s="570">
        <v>10</v>
      </c>
      <c r="BY358" s="571">
        <f t="shared" ref="BY358" si="1082">AVERAGE(BU358:BX358)</f>
        <v>10</v>
      </c>
      <c r="BZ358" s="570">
        <v>10</v>
      </c>
      <c r="CA358" s="570">
        <v>10</v>
      </c>
      <c r="CB358" s="570">
        <v>10</v>
      </c>
      <c r="CC358" s="570">
        <v>10</v>
      </c>
      <c r="CD358" s="571">
        <f t="shared" ref="CD358" si="1083">AVERAGE(BZ358:CC358)</f>
        <v>10</v>
      </c>
      <c r="CE358" s="391"/>
    </row>
    <row r="359" spans="1:83">
      <c r="E359" s="348"/>
      <c r="F359" s="348"/>
      <c r="G359" s="348"/>
      <c r="H359" s="348"/>
      <c r="I359" s="348"/>
      <c r="J359" s="348"/>
      <c r="K359" s="348"/>
      <c r="L359" s="348"/>
      <c r="M359" s="348"/>
      <c r="N359" s="348"/>
      <c r="O359" s="348"/>
      <c r="P359" s="348"/>
      <c r="Q359" s="348"/>
      <c r="R359" s="348"/>
      <c r="S359" s="348"/>
      <c r="T359" s="348"/>
      <c r="U359" s="348"/>
      <c r="V359" s="348"/>
      <c r="W359" s="348"/>
      <c r="X359" s="348"/>
      <c r="Y359" s="348"/>
      <c r="Z359" s="348"/>
      <c r="AA359" s="348"/>
      <c r="AB359" s="348"/>
      <c r="AC359" s="348"/>
      <c r="AD359" s="348"/>
      <c r="AE359" s="348"/>
      <c r="AF359" s="348"/>
      <c r="AG359" s="348"/>
      <c r="AH359" s="348"/>
      <c r="AI359" s="348"/>
      <c r="AJ359" s="348"/>
      <c r="AK359" s="348"/>
      <c r="AL359" s="348"/>
      <c r="AM359" s="348"/>
      <c r="AN359" s="348"/>
      <c r="AO359" s="348"/>
      <c r="AP359" s="348"/>
      <c r="AQ359" s="348"/>
      <c r="AR359" s="348"/>
      <c r="AS359" s="348"/>
      <c r="AT359" s="348"/>
      <c r="AU359" s="348"/>
      <c r="AV359" s="348"/>
      <c r="AW359" s="348"/>
      <c r="AX359" s="348"/>
      <c r="AY359" s="348"/>
      <c r="AZ359" s="348"/>
      <c r="BA359" s="348"/>
      <c r="BB359" s="348"/>
      <c r="BC359" s="348"/>
      <c r="BD359" s="348"/>
      <c r="BE359" s="348"/>
      <c r="BF359" s="348"/>
      <c r="BG359" s="348"/>
      <c r="BH359" s="348"/>
      <c r="BI359" s="348"/>
      <c r="BJ359" s="348"/>
      <c r="BK359" s="348"/>
      <c r="BL359" s="348"/>
      <c r="BM359" s="348"/>
      <c r="BN359" s="348"/>
      <c r="BO359" s="348"/>
      <c r="BP359" s="348"/>
      <c r="BQ359" s="348"/>
      <c r="BR359" s="348"/>
      <c r="BS359" s="348"/>
      <c r="BT359" s="348"/>
      <c r="BU359" s="348"/>
      <c r="BV359" s="348"/>
      <c r="BW359" s="348"/>
      <c r="BX359" s="348"/>
      <c r="BY359" s="348"/>
      <c r="BZ359" s="348"/>
      <c r="CA359" s="348"/>
      <c r="CB359" s="348"/>
      <c r="CC359" s="348"/>
      <c r="CD359" s="348"/>
    </row>
    <row r="360" spans="1:83">
      <c r="A360" s="39" t="s">
        <v>2462</v>
      </c>
      <c r="B360" s="11"/>
      <c r="C360" s="51"/>
      <c r="D360" s="51"/>
      <c r="E360" s="115"/>
      <c r="F360" s="115"/>
      <c r="G360" s="115"/>
      <c r="H360" s="143"/>
      <c r="I360" s="143"/>
      <c r="J360" s="143"/>
      <c r="K360" s="143"/>
      <c r="L360" s="115"/>
      <c r="M360" s="115"/>
      <c r="N360" s="115"/>
      <c r="O360" s="115"/>
      <c r="P360" s="115"/>
      <c r="Q360" s="115"/>
      <c r="R360" s="115"/>
      <c r="S360" s="115"/>
      <c r="T360" s="115"/>
      <c r="U360" s="115"/>
      <c r="V360" s="115"/>
      <c r="W360" s="115"/>
      <c r="X360" s="115"/>
      <c r="Y360" s="115"/>
      <c r="Z360" s="115"/>
      <c r="AA360" s="115"/>
      <c r="AB360" s="115"/>
      <c r="AC360" s="115"/>
      <c r="AD360" s="115"/>
      <c r="AE360" s="115"/>
      <c r="AF360" s="115"/>
      <c r="AG360" s="115"/>
      <c r="AH360" s="115"/>
      <c r="AI360" s="115"/>
      <c r="AJ360" s="115"/>
      <c r="AK360" s="115"/>
      <c r="AL360" s="115"/>
      <c r="AM360" s="115"/>
      <c r="AN360" s="115"/>
      <c r="AO360" s="115"/>
      <c r="AP360" s="115"/>
      <c r="AQ360" s="115"/>
      <c r="AR360" s="115"/>
      <c r="AS360" s="115"/>
      <c r="AT360" s="115"/>
      <c r="AU360" s="115"/>
      <c r="AV360" s="115"/>
      <c r="AW360" s="115"/>
      <c r="AX360" s="115"/>
      <c r="AY360" s="115"/>
      <c r="AZ360" s="115"/>
      <c r="BA360" s="115"/>
      <c r="BB360" s="115"/>
      <c r="BC360" s="115"/>
      <c r="BD360" s="115"/>
      <c r="BE360" s="115"/>
      <c r="BF360" s="115"/>
      <c r="BG360" s="115"/>
      <c r="BH360" s="115"/>
      <c r="BI360" s="115"/>
      <c r="BJ360" s="115"/>
      <c r="BK360" s="115"/>
      <c r="BL360" s="115"/>
      <c r="BM360" s="115"/>
      <c r="BN360" s="115"/>
      <c r="BO360" s="115"/>
      <c r="BP360" s="115"/>
      <c r="BQ360" s="115"/>
      <c r="BR360" s="115"/>
      <c r="BS360" s="115"/>
      <c r="BT360" s="115"/>
      <c r="BU360" s="115"/>
      <c r="BV360" s="115"/>
      <c r="BW360" s="115"/>
      <c r="BX360" s="115"/>
      <c r="BY360" s="115"/>
      <c r="BZ360" s="115"/>
      <c r="CA360" s="115"/>
      <c r="CB360" s="115"/>
      <c r="CC360" s="115"/>
      <c r="CD360" s="115"/>
    </row>
    <row r="361" spans="1:83">
      <c r="A361" s="39"/>
      <c r="B361" s="11" t="s">
        <v>2502</v>
      </c>
      <c r="C361" s="52"/>
      <c r="D361" s="52"/>
      <c r="E361" s="115">
        <f t="shared" ref="E361:G372" si="1084">E145-E307</f>
        <v>-46.169999999999987</v>
      </c>
      <c r="F361" s="115">
        <f t="shared" si="1084"/>
        <v>-48.830000000000041</v>
      </c>
      <c r="G361" s="115">
        <f t="shared" si="1084"/>
        <v>-48.760000000000019</v>
      </c>
      <c r="H361" s="143"/>
      <c r="I361" s="143"/>
      <c r="J361" s="143"/>
      <c r="K361" s="143"/>
      <c r="L361" s="115">
        <f t="shared" ref="L361:L372" si="1085">L145-L307</f>
        <v>-55.330000000000013</v>
      </c>
      <c r="M361" s="143"/>
      <c r="N361" s="143"/>
      <c r="O361" s="143"/>
      <c r="P361" s="143"/>
      <c r="Q361" s="115">
        <f t="shared" ref="Q361:Q372" si="1086">Q145-Q307</f>
        <v>-17.050000000000011</v>
      </c>
      <c r="R361" s="143"/>
      <c r="S361" s="143"/>
      <c r="T361" s="143"/>
      <c r="U361" s="143"/>
      <c r="V361" s="115">
        <f t="shared" ref="V361:V372" si="1087">V145-V307</f>
        <v>-5.1400000000000148</v>
      </c>
      <c r="W361" s="143"/>
      <c r="X361" s="143"/>
      <c r="Y361" s="143"/>
      <c r="Z361" s="143"/>
      <c r="AA361" s="115">
        <f t="shared" ref="AA361:AA372" si="1088">AA145-AA307</f>
        <v>-3.6100000000000136</v>
      </c>
      <c r="AB361" s="143"/>
      <c r="AC361" s="143"/>
      <c r="AD361" s="143"/>
      <c r="AE361" s="143"/>
      <c r="AF361" s="115">
        <f t="shared" ref="AF361:AF372" si="1089">AF145-AF307</f>
        <v>-2.0399999999999636</v>
      </c>
      <c r="AG361" s="143"/>
      <c r="AH361" s="143"/>
      <c r="AI361" s="143"/>
      <c r="AJ361" s="143"/>
      <c r="AK361" s="115">
        <f t="shared" ref="AK361:AK372" si="1090">AK145-AK307</f>
        <v>-0.15999999999999659</v>
      </c>
      <c r="AL361" s="143"/>
      <c r="AM361" s="143"/>
      <c r="AN361" s="143"/>
      <c r="AO361" s="143"/>
      <c r="AP361" s="115">
        <f t="shared" ref="AP361:AP372" si="1091">AP145-AP307</f>
        <v>0.99000000000000909</v>
      </c>
      <c r="AQ361" s="143"/>
      <c r="AR361" s="143"/>
      <c r="AS361" s="143"/>
      <c r="AT361" s="143"/>
      <c r="AU361" s="115">
        <f t="shared" ref="AU361:AU372" si="1092">AU145-AU307</f>
        <v>2.4000000000000057</v>
      </c>
      <c r="AV361" s="143"/>
      <c r="AW361" s="143"/>
      <c r="AX361" s="143"/>
      <c r="AY361" s="143"/>
      <c r="AZ361" s="115">
        <f t="shared" ref="AZ361:AZ372" si="1093">AZ145-AZ307</f>
        <v>-5.710000000000008</v>
      </c>
      <c r="BA361" s="143"/>
      <c r="BB361" s="143"/>
      <c r="BC361" s="143"/>
      <c r="BD361" s="143"/>
      <c r="BE361" s="115">
        <f t="shared" ref="BE361:BE372" si="1094">BE145-BE307</f>
        <v>-157.88999999999999</v>
      </c>
      <c r="BF361" s="143"/>
      <c r="BG361" s="143"/>
      <c r="BH361" s="143"/>
      <c r="BI361" s="143"/>
      <c r="BJ361" s="115">
        <f t="shared" ref="BJ361:BJ372" si="1095">BJ145-BJ307</f>
        <v>-165.45</v>
      </c>
      <c r="BK361" s="143"/>
      <c r="BL361" s="143"/>
      <c r="BM361" s="143"/>
      <c r="BN361" s="143"/>
      <c r="BO361" s="115">
        <f t="shared" ref="BO361:BO372" si="1096">BO145-BO307</f>
        <v>-12.720000000000027</v>
      </c>
      <c r="BP361" s="87">
        <v>0</v>
      </c>
      <c r="BQ361" s="87">
        <v>0</v>
      </c>
      <c r="BR361" s="87">
        <v>0</v>
      </c>
      <c r="BS361" s="87">
        <v>0</v>
      </c>
      <c r="BT361" s="88">
        <f>AVERAGE(BP361:BS361)</f>
        <v>0</v>
      </c>
      <c r="BU361" s="87">
        <v>0</v>
      </c>
      <c r="BV361" s="87">
        <v>0</v>
      </c>
      <c r="BW361" s="87">
        <v>0</v>
      </c>
      <c r="BX361" s="87">
        <v>0</v>
      </c>
      <c r="BY361" s="88">
        <f>AVERAGE(BU361:BX361)</f>
        <v>0</v>
      </c>
      <c r="BZ361" s="87">
        <v>0</v>
      </c>
      <c r="CA361" s="87">
        <v>0</v>
      </c>
      <c r="CB361" s="87">
        <v>0</v>
      </c>
      <c r="CC361" s="87">
        <v>0</v>
      </c>
      <c r="CD361" s="88">
        <f>AVERAGE(BZ361:CC361)</f>
        <v>0</v>
      </c>
    </row>
    <row r="362" spans="1:83">
      <c r="A362" s="11"/>
      <c r="B362" s="11" t="s">
        <v>726</v>
      </c>
      <c r="C362" s="52"/>
      <c r="D362" s="52"/>
      <c r="E362" s="115">
        <f t="shared" si="1084"/>
        <v>-1.009999999999998</v>
      </c>
      <c r="F362" s="115">
        <f t="shared" si="1084"/>
        <v>-9.0000000000003411E-2</v>
      </c>
      <c r="G362" s="115">
        <f t="shared" si="1084"/>
        <v>0.62999999999999545</v>
      </c>
      <c r="H362" s="143"/>
      <c r="I362" s="143"/>
      <c r="J362" s="143"/>
      <c r="K362" s="143"/>
      <c r="L362" s="115">
        <f t="shared" si="1085"/>
        <v>1.9000000000000057</v>
      </c>
      <c r="M362" s="143"/>
      <c r="N362" s="143"/>
      <c r="O362" s="143"/>
      <c r="P362" s="143"/>
      <c r="Q362" s="115">
        <f t="shared" si="1086"/>
        <v>-0.18000000000000682</v>
      </c>
      <c r="R362" s="143"/>
      <c r="S362" s="143"/>
      <c r="T362" s="143"/>
      <c r="U362" s="143"/>
      <c r="V362" s="115">
        <f t="shared" si="1087"/>
        <v>9.4200000000000017</v>
      </c>
      <c r="W362" s="143"/>
      <c r="X362" s="143"/>
      <c r="Y362" s="143"/>
      <c r="Z362" s="143"/>
      <c r="AA362" s="115">
        <f t="shared" si="1088"/>
        <v>-14.799999999999997</v>
      </c>
      <c r="AB362" s="143"/>
      <c r="AC362" s="143"/>
      <c r="AD362" s="143"/>
      <c r="AE362" s="143"/>
      <c r="AF362" s="115">
        <f t="shared" si="1089"/>
        <v>-21.39</v>
      </c>
      <c r="AG362" s="143"/>
      <c r="AH362" s="143"/>
      <c r="AI362" s="143"/>
      <c r="AJ362" s="143"/>
      <c r="AK362" s="115">
        <f t="shared" si="1090"/>
        <v>-6.4499999999999886</v>
      </c>
      <c r="AL362" s="143"/>
      <c r="AM362" s="143"/>
      <c r="AN362" s="143"/>
      <c r="AO362" s="143"/>
      <c r="AP362" s="115">
        <f t="shared" si="1091"/>
        <v>-5.7600000000000051</v>
      </c>
      <c r="AQ362" s="143"/>
      <c r="AR362" s="143"/>
      <c r="AS362" s="143"/>
      <c r="AT362" s="143"/>
      <c r="AU362" s="115">
        <f t="shared" si="1092"/>
        <v>-6.4299999999999926</v>
      </c>
      <c r="AV362" s="143"/>
      <c r="AW362" s="143"/>
      <c r="AX362" s="143"/>
      <c r="AY362" s="143"/>
      <c r="AZ362" s="115">
        <f t="shared" si="1093"/>
        <v>-6.3699999999999903</v>
      </c>
      <c r="BA362" s="143"/>
      <c r="BB362" s="143"/>
      <c r="BC362" s="143"/>
      <c r="BD362" s="143"/>
      <c r="BE362" s="115">
        <f t="shared" si="1094"/>
        <v>-16.099999999999994</v>
      </c>
      <c r="BF362" s="143"/>
      <c r="BG362" s="143"/>
      <c r="BH362" s="143"/>
      <c r="BI362" s="143"/>
      <c r="BJ362" s="115">
        <f t="shared" si="1095"/>
        <v>-18.379999999999995</v>
      </c>
      <c r="BK362" s="143"/>
      <c r="BL362" s="143"/>
      <c r="BM362" s="143"/>
      <c r="BN362" s="143"/>
      <c r="BO362" s="115">
        <f t="shared" si="1096"/>
        <v>-1.2400000000000091</v>
      </c>
      <c r="BP362" s="87">
        <v>0</v>
      </c>
      <c r="BQ362" s="87">
        <v>0</v>
      </c>
      <c r="BR362" s="87">
        <v>0</v>
      </c>
      <c r="BS362" s="87">
        <v>0</v>
      </c>
      <c r="BT362" s="88">
        <f t="shared" ref="BT362:BT363" si="1097">AVERAGE(BP362:BS362)</f>
        <v>0</v>
      </c>
      <c r="BU362" s="87">
        <v>0</v>
      </c>
      <c r="BV362" s="87">
        <v>0</v>
      </c>
      <c r="BW362" s="87">
        <v>0</v>
      </c>
      <c r="BX362" s="87">
        <v>0</v>
      </c>
      <c r="BY362" s="88">
        <f t="shared" ref="BY362:BY364" si="1098">AVERAGE(BU362:BX362)</f>
        <v>0</v>
      </c>
      <c r="BZ362" s="87">
        <v>0</v>
      </c>
      <c r="CA362" s="87">
        <v>0</v>
      </c>
      <c r="CB362" s="87">
        <v>0</v>
      </c>
      <c r="CC362" s="87">
        <v>0</v>
      </c>
      <c r="CD362" s="88">
        <f t="shared" ref="CD362:CD364" si="1099">AVERAGE(BZ362:CC362)</f>
        <v>0</v>
      </c>
    </row>
    <row r="363" spans="1:83">
      <c r="A363" s="11"/>
      <c r="B363" s="11" t="s">
        <v>216</v>
      </c>
      <c r="C363" s="52"/>
      <c r="D363" s="52"/>
      <c r="E363" s="115">
        <f t="shared" si="1084"/>
        <v>0</v>
      </c>
      <c r="F363" s="115">
        <f t="shared" si="1084"/>
        <v>0</v>
      </c>
      <c r="G363" s="115">
        <f t="shared" si="1084"/>
        <v>0</v>
      </c>
      <c r="H363" s="143"/>
      <c r="I363" s="143"/>
      <c r="J363" s="143"/>
      <c r="K363" s="143"/>
      <c r="L363" s="115">
        <f t="shared" si="1085"/>
        <v>0</v>
      </c>
      <c r="M363" s="143"/>
      <c r="N363" s="143"/>
      <c r="O363" s="143"/>
      <c r="P363" s="143"/>
      <c r="Q363" s="115">
        <f t="shared" si="1086"/>
        <v>0</v>
      </c>
      <c r="R363" s="143"/>
      <c r="S363" s="143"/>
      <c r="T363" s="143"/>
      <c r="U363" s="143"/>
      <c r="V363" s="115">
        <f t="shared" si="1087"/>
        <v>0</v>
      </c>
      <c r="W363" s="143"/>
      <c r="X363" s="143"/>
      <c r="Y363" s="143"/>
      <c r="Z363" s="143"/>
      <c r="AA363" s="115">
        <f t="shared" si="1088"/>
        <v>0</v>
      </c>
      <c r="AB363" s="143"/>
      <c r="AC363" s="143"/>
      <c r="AD363" s="143"/>
      <c r="AE363" s="143"/>
      <c r="AF363" s="115">
        <f t="shared" si="1089"/>
        <v>0</v>
      </c>
      <c r="AG363" s="143"/>
      <c r="AH363" s="143"/>
      <c r="AI363" s="143"/>
      <c r="AJ363" s="143"/>
      <c r="AK363" s="115">
        <f t="shared" si="1090"/>
        <v>0</v>
      </c>
      <c r="AL363" s="143"/>
      <c r="AM363" s="143"/>
      <c r="AN363" s="143"/>
      <c r="AO363" s="143"/>
      <c r="AP363" s="115">
        <f t="shared" si="1091"/>
        <v>0</v>
      </c>
      <c r="AQ363" s="143"/>
      <c r="AR363" s="143"/>
      <c r="AS363" s="143"/>
      <c r="AT363" s="143"/>
      <c r="AU363" s="115">
        <f t="shared" si="1092"/>
        <v>0</v>
      </c>
      <c r="AV363" s="143"/>
      <c r="AW363" s="143"/>
      <c r="AX363" s="143"/>
      <c r="AY363" s="143"/>
      <c r="AZ363" s="115">
        <f t="shared" si="1093"/>
        <v>0</v>
      </c>
      <c r="BA363" s="143"/>
      <c r="BB363" s="143"/>
      <c r="BC363" s="143"/>
      <c r="BD363" s="143"/>
      <c r="BE363" s="115">
        <f t="shared" si="1094"/>
        <v>0</v>
      </c>
      <c r="BF363" s="143"/>
      <c r="BG363" s="143"/>
      <c r="BH363" s="143"/>
      <c r="BI363" s="143"/>
      <c r="BJ363" s="115">
        <f t="shared" si="1095"/>
        <v>0</v>
      </c>
      <c r="BK363" s="143"/>
      <c r="BL363" s="143"/>
      <c r="BM363" s="143"/>
      <c r="BN363" s="143"/>
      <c r="BO363" s="115">
        <f t="shared" si="1096"/>
        <v>0</v>
      </c>
      <c r="BP363" s="87">
        <v>0</v>
      </c>
      <c r="BQ363" s="87">
        <v>0</v>
      </c>
      <c r="BR363" s="87">
        <v>0</v>
      </c>
      <c r="BS363" s="87">
        <v>0</v>
      </c>
      <c r="BT363" s="88">
        <f t="shared" si="1097"/>
        <v>0</v>
      </c>
      <c r="BU363" s="87">
        <v>0</v>
      </c>
      <c r="BV363" s="87">
        <v>0</v>
      </c>
      <c r="BW363" s="87">
        <v>0</v>
      </c>
      <c r="BX363" s="87">
        <v>0</v>
      </c>
      <c r="BY363" s="88">
        <f t="shared" si="1098"/>
        <v>0</v>
      </c>
      <c r="BZ363" s="87">
        <v>0</v>
      </c>
      <c r="CA363" s="87">
        <v>0</v>
      </c>
      <c r="CB363" s="87">
        <v>0</v>
      </c>
      <c r="CC363" s="87">
        <v>0</v>
      </c>
      <c r="CD363" s="88">
        <f t="shared" si="1099"/>
        <v>0</v>
      </c>
    </row>
    <row r="364" spans="1:83">
      <c r="A364" s="11"/>
      <c r="B364" s="11" t="s">
        <v>138</v>
      </c>
      <c r="C364" s="52"/>
      <c r="D364" s="52"/>
      <c r="E364" s="115">
        <f t="shared" si="1084"/>
        <v>0</v>
      </c>
      <c r="F364" s="115">
        <f t="shared" si="1084"/>
        <v>0</v>
      </c>
      <c r="G364" s="115">
        <f t="shared" si="1084"/>
        <v>0</v>
      </c>
      <c r="H364" s="143"/>
      <c r="I364" s="143"/>
      <c r="J364" s="143"/>
      <c r="K364" s="143"/>
      <c r="L364" s="115">
        <f t="shared" si="1085"/>
        <v>0</v>
      </c>
      <c r="M364" s="143"/>
      <c r="N364" s="143"/>
      <c r="O364" s="143"/>
      <c r="P364" s="143"/>
      <c r="Q364" s="115">
        <f t="shared" si="1086"/>
        <v>0</v>
      </c>
      <c r="R364" s="143"/>
      <c r="S364" s="143"/>
      <c r="T364" s="143"/>
      <c r="U364" s="143"/>
      <c r="V364" s="115">
        <f t="shared" si="1087"/>
        <v>0</v>
      </c>
      <c r="W364" s="143"/>
      <c r="X364" s="143"/>
      <c r="Y364" s="143"/>
      <c r="Z364" s="143"/>
      <c r="AA364" s="115">
        <f t="shared" si="1088"/>
        <v>0</v>
      </c>
      <c r="AB364" s="143"/>
      <c r="AC364" s="143"/>
      <c r="AD364" s="143"/>
      <c r="AE364" s="143"/>
      <c r="AF364" s="115">
        <f t="shared" si="1089"/>
        <v>0</v>
      </c>
      <c r="AG364" s="143"/>
      <c r="AH364" s="143"/>
      <c r="AI364" s="143"/>
      <c r="AJ364" s="143"/>
      <c r="AK364" s="115">
        <f t="shared" si="1090"/>
        <v>-3.25</v>
      </c>
      <c r="AL364" s="143"/>
      <c r="AM364" s="143"/>
      <c r="AN364" s="143"/>
      <c r="AO364" s="143"/>
      <c r="AP364" s="115">
        <f t="shared" si="1091"/>
        <v>-0.46999999999999886</v>
      </c>
      <c r="AQ364" s="143"/>
      <c r="AR364" s="143"/>
      <c r="AS364" s="143"/>
      <c r="AT364" s="143"/>
      <c r="AU364" s="115">
        <f t="shared" si="1092"/>
        <v>-1.8100000000000023</v>
      </c>
      <c r="AV364" s="143"/>
      <c r="AW364" s="143"/>
      <c r="AX364" s="143"/>
      <c r="AY364" s="143"/>
      <c r="AZ364" s="115">
        <f t="shared" si="1093"/>
        <v>-3.7000000000000028</v>
      </c>
      <c r="BA364" s="143"/>
      <c r="BB364" s="143"/>
      <c r="BC364" s="143"/>
      <c r="BD364" s="143"/>
      <c r="BE364" s="115">
        <f t="shared" si="1094"/>
        <v>2.6400000000000006</v>
      </c>
      <c r="BF364" s="143"/>
      <c r="BG364" s="143"/>
      <c r="BH364" s="143"/>
      <c r="BI364" s="143"/>
      <c r="BJ364" s="115">
        <f t="shared" si="1095"/>
        <v>0.14000000000000057</v>
      </c>
      <c r="BK364" s="143"/>
      <c r="BL364" s="143"/>
      <c r="BM364" s="143"/>
      <c r="BN364" s="143"/>
      <c r="BO364" s="115">
        <f t="shared" si="1096"/>
        <v>1.0499999999999972</v>
      </c>
      <c r="BP364" s="87">
        <v>20</v>
      </c>
      <c r="BQ364" s="87">
        <v>20</v>
      </c>
      <c r="BR364" s="87">
        <v>20</v>
      </c>
      <c r="BS364" s="87">
        <v>20</v>
      </c>
      <c r="BT364" s="88">
        <f t="shared" ref="BT364:BT368" si="1100">AVERAGE(BP364:BS364)</f>
        <v>20</v>
      </c>
      <c r="BU364" s="87">
        <v>40</v>
      </c>
      <c r="BV364" s="87">
        <v>40</v>
      </c>
      <c r="BW364" s="87">
        <v>40</v>
      </c>
      <c r="BX364" s="87">
        <v>40</v>
      </c>
      <c r="BY364" s="88">
        <f t="shared" si="1098"/>
        <v>40</v>
      </c>
      <c r="BZ364" s="87">
        <v>40</v>
      </c>
      <c r="CA364" s="87">
        <v>40</v>
      </c>
      <c r="CB364" s="87">
        <v>40</v>
      </c>
      <c r="CC364" s="87">
        <v>40</v>
      </c>
      <c r="CD364" s="88">
        <f t="shared" si="1099"/>
        <v>40</v>
      </c>
    </row>
    <row r="365" spans="1:83">
      <c r="A365" s="11"/>
      <c r="B365" s="11" t="s">
        <v>816</v>
      </c>
      <c r="C365" s="52"/>
      <c r="D365" s="52"/>
      <c r="E365" s="115">
        <f t="shared" si="1084"/>
        <v>0</v>
      </c>
      <c r="F365" s="115">
        <f t="shared" si="1084"/>
        <v>0</v>
      </c>
      <c r="G365" s="115">
        <f t="shared" si="1084"/>
        <v>0</v>
      </c>
      <c r="H365" s="143"/>
      <c r="I365" s="143"/>
      <c r="J365" s="143"/>
      <c r="K365" s="143"/>
      <c r="L365" s="115">
        <f t="shared" si="1085"/>
        <v>0</v>
      </c>
      <c r="M365" s="143"/>
      <c r="N365" s="143"/>
      <c r="O365" s="143"/>
      <c r="P365" s="143"/>
      <c r="Q365" s="115">
        <f t="shared" si="1086"/>
        <v>0</v>
      </c>
      <c r="R365" s="143"/>
      <c r="S365" s="143"/>
      <c r="T365" s="143"/>
      <c r="U365" s="143"/>
      <c r="V365" s="115">
        <f t="shared" si="1087"/>
        <v>0</v>
      </c>
      <c r="W365" s="143"/>
      <c r="X365" s="143"/>
      <c r="Y365" s="143"/>
      <c r="Z365" s="143"/>
      <c r="AA365" s="115">
        <f t="shared" si="1088"/>
        <v>0</v>
      </c>
      <c r="AB365" s="143"/>
      <c r="AC365" s="143"/>
      <c r="AD365" s="143"/>
      <c r="AE365" s="143"/>
      <c r="AF365" s="115">
        <f t="shared" si="1089"/>
        <v>0</v>
      </c>
      <c r="AG365" s="143"/>
      <c r="AH365" s="143"/>
      <c r="AI365" s="143"/>
      <c r="AJ365" s="143"/>
      <c r="AK365" s="115">
        <f t="shared" si="1090"/>
        <v>0</v>
      </c>
      <c r="AL365" s="143"/>
      <c r="AM365" s="143"/>
      <c r="AN365" s="143"/>
      <c r="AO365" s="143"/>
      <c r="AP365" s="115">
        <f t="shared" si="1091"/>
        <v>0</v>
      </c>
      <c r="AQ365" s="143"/>
      <c r="AR365" s="143"/>
      <c r="AS365" s="143"/>
      <c r="AT365" s="143"/>
      <c r="AU365" s="115">
        <f t="shared" si="1092"/>
        <v>0</v>
      </c>
      <c r="AV365" s="143"/>
      <c r="AW365" s="143"/>
      <c r="AX365" s="143"/>
      <c r="AY365" s="143"/>
      <c r="AZ365" s="115">
        <f t="shared" si="1093"/>
        <v>0</v>
      </c>
      <c r="BA365" s="143"/>
      <c r="BB365" s="143"/>
      <c r="BC365" s="143"/>
      <c r="BD365" s="143"/>
      <c r="BE365" s="115">
        <f t="shared" si="1094"/>
        <v>0</v>
      </c>
      <c r="BF365" s="143"/>
      <c r="BG365" s="143"/>
      <c r="BH365" s="143"/>
      <c r="BI365" s="143"/>
      <c r="BJ365" s="115">
        <f t="shared" si="1095"/>
        <v>0</v>
      </c>
      <c r="BK365" s="143"/>
      <c r="BL365" s="143"/>
      <c r="BM365" s="143"/>
      <c r="BN365" s="143"/>
      <c r="BO365" s="115">
        <f t="shared" si="1096"/>
        <v>0</v>
      </c>
      <c r="BP365" s="87">
        <v>0</v>
      </c>
      <c r="BQ365" s="87">
        <v>0</v>
      </c>
      <c r="BR365" s="87">
        <v>0</v>
      </c>
      <c r="BS365" s="87">
        <v>0</v>
      </c>
      <c r="BT365" s="88">
        <f t="shared" si="1100"/>
        <v>0</v>
      </c>
      <c r="BU365" s="87">
        <v>0</v>
      </c>
      <c r="BV365" s="87">
        <v>0</v>
      </c>
      <c r="BW365" s="87">
        <v>0</v>
      </c>
      <c r="BX365" s="87">
        <v>0</v>
      </c>
      <c r="BY365" s="88">
        <f t="shared" ref="BY365:BY368" si="1101">AVERAGE(BU365:BX365)</f>
        <v>0</v>
      </c>
      <c r="BZ365" s="87">
        <v>0</v>
      </c>
      <c r="CA365" s="87">
        <v>0</v>
      </c>
      <c r="CB365" s="87">
        <v>0</v>
      </c>
      <c r="CC365" s="87">
        <v>0</v>
      </c>
      <c r="CD365" s="88">
        <f t="shared" ref="CD365:CD368" si="1102">AVERAGE(BZ365:CC365)</f>
        <v>0</v>
      </c>
    </row>
    <row r="366" spans="1:83">
      <c r="A366" s="11"/>
      <c r="B366" s="11" t="s">
        <v>1962</v>
      </c>
      <c r="C366" s="52"/>
      <c r="D366" s="52"/>
      <c r="E366" s="115">
        <f t="shared" si="1084"/>
        <v>0</v>
      </c>
      <c r="F366" s="115">
        <f t="shared" si="1084"/>
        <v>0</v>
      </c>
      <c r="G366" s="115">
        <f t="shared" si="1084"/>
        <v>0</v>
      </c>
      <c r="H366" s="143"/>
      <c r="I366" s="143"/>
      <c r="J366" s="143"/>
      <c r="K366" s="143"/>
      <c r="L366" s="115">
        <f t="shared" si="1085"/>
        <v>0</v>
      </c>
      <c r="M366" s="143"/>
      <c r="N366" s="143"/>
      <c r="O366" s="143"/>
      <c r="P366" s="143"/>
      <c r="Q366" s="115">
        <f t="shared" si="1086"/>
        <v>0</v>
      </c>
      <c r="R366" s="143"/>
      <c r="S366" s="143"/>
      <c r="T366" s="143"/>
      <c r="U366" s="143"/>
      <c r="V366" s="115">
        <f t="shared" si="1087"/>
        <v>0</v>
      </c>
      <c r="W366" s="143"/>
      <c r="X366" s="143"/>
      <c r="Y366" s="143"/>
      <c r="Z366" s="143"/>
      <c r="AA366" s="115">
        <f t="shared" si="1088"/>
        <v>0</v>
      </c>
      <c r="AB366" s="143"/>
      <c r="AC366" s="143"/>
      <c r="AD366" s="143"/>
      <c r="AE366" s="143"/>
      <c r="AF366" s="115">
        <f t="shared" si="1089"/>
        <v>0</v>
      </c>
      <c r="AG366" s="143"/>
      <c r="AH366" s="143"/>
      <c r="AI366" s="143"/>
      <c r="AJ366" s="143"/>
      <c r="AK366" s="115">
        <f t="shared" si="1090"/>
        <v>0</v>
      </c>
      <c r="AL366" s="143"/>
      <c r="AM366" s="143"/>
      <c r="AN366" s="143"/>
      <c r="AO366" s="143"/>
      <c r="AP366" s="115">
        <f t="shared" si="1091"/>
        <v>0</v>
      </c>
      <c r="AQ366" s="143"/>
      <c r="AR366" s="143"/>
      <c r="AS366" s="143"/>
      <c r="AT366" s="143"/>
      <c r="AU366" s="115">
        <f t="shared" si="1092"/>
        <v>0</v>
      </c>
      <c r="AV366" s="143"/>
      <c r="AW366" s="143"/>
      <c r="AX366" s="143"/>
      <c r="AY366" s="143"/>
      <c r="AZ366" s="115">
        <f t="shared" si="1093"/>
        <v>0</v>
      </c>
      <c r="BA366" s="143"/>
      <c r="BB366" s="143"/>
      <c r="BC366" s="143"/>
      <c r="BD366" s="143"/>
      <c r="BE366" s="115">
        <f t="shared" si="1094"/>
        <v>0</v>
      </c>
      <c r="BF366" s="143"/>
      <c r="BG366" s="143"/>
      <c r="BH366" s="143"/>
      <c r="BI366" s="143"/>
      <c r="BJ366" s="115">
        <f t="shared" si="1095"/>
        <v>0</v>
      </c>
      <c r="BK366" s="143"/>
      <c r="BL366" s="143"/>
      <c r="BM366" s="143"/>
      <c r="BN366" s="143"/>
      <c r="BO366" s="115">
        <f t="shared" si="1096"/>
        <v>0</v>
      </c>
      <c r="BP366" s="87">
        <v>0</v>
      </c>
      <c r="BQ366" s="87">
        <v>0</v>
      </c>
      <c r="BR366" s="87">
        <v>0</v>
      </c>
      <c r="BS366" s="87">
        <v>0</v>
      </c>
      <c r="BT366" s="88">
        <f t="shared" si="1100"/>
        <v>0</v>
      </c>
      <c r="BU366" s="87">
        <v>0</v>
      </c>
      <c r="BV366" s="87">
        <v>0</v>
      </c>
      <c r="BW366" s="87">
        <v>0</v>
      </c>
      <c r="BX366" s="87">
        <v>0</v>
      </c>
      <c r="BY366" s="88">
        <f t="shared" si="1101"/>
        <v>0</v>
      </c>
      <c r="BZ366" s="87">
        <v>0</v>
      </c>
      <c r="CA366" s="87">
        <v>0</v>
      </c>
      <c r="CB366" s="87">
        <v>0</v>
      </c>
      <c r="CC366" s="87">
        <v>0</v>
      </c>
      <c r="CD366" s="88">
        <f t="shared" si="1102"/>
        <v>0</v>
      </c>
    </row>
    <row r="367" spans="1:83">
      <c r="A367" s="11"/>
      <c r="B367" s="11" t="s">
        <v>3277</v>
      </c>
      <c r="C367" s="52"/>
      <c r="D367" s="52"/>
      <c r="E367" s="115">
        <f t="shared" si="1084"/>
        <v>0</v>
      </c>
      <c r="F367" s="115">
        <f t="shared" si="1084"/>
        <v>0</v>
      </c>
      <c r="G367" s="115">
        <f t="shared" si="1084"/>
        <v>0</v>
      </c>
      <c r="H367" s="143"/>
      <c r="I367" s="143"/>
      <c r="J367" s="143"/>
      <c r="K367" s="143"/>
      <c r="L367" s="115">
        <f t="shared" si="1085"/>
        <v>0</v>
      </c>
      <c r="M367" s="143"/>
      <c r="N367" s="143"/>
      <c r="O367" s="143"/>
      <c r="P367" s="143"/>
      <c r="Q367" s="115">
        <f t="shared" si="1086"/>
        <v>0</v>
      </c>
      <c r="R367" s="143"/>
      <c r="S367" s="143"/>
      <c r="T367" s="143"/>
      <c r="U367" s="143"/>
      <c r="V367" s="115">
        <f t="shared" si="1087"/>
        <v>0</v>
      </c>
      <c r="W367" s="143"/>
      <c r="X367" s="143"/>
      <c r="Y367" s="143"/>
      <c r="Z367" s="143"/>
      <c r="AA367" s="115">
        <f t="shared" si="1088"/>
        <v>0</v>
      </c>
      <c r="AB367" s="143"/>
      <c r="AC367" s="143"/>
      <c r="AD367" s="143"/>
      <c r="AE367" s="143"/>
      <c r="AF367" s="115">
        <f t="shared" si="1089"/>
        <v>0</v>
      </c>
      <c r="AG367" s="143"/>
      <c r="AH367" s="143"/>
      <c r="AI367" s="143"/>
      <c r="AJ367" s="143"/>
      <c r="AK367" s="115">
        <f t="shared" si="1090"/>
        <v>0</v>
      </c>
      <c r="AL367" s="143"/>
      <c r="AM367" s="143"/>
      <c r="AN367" s="143"/>
      <c r="AO367" s="143"/>
      <c r="AP367" s="115">
        <f t="shared" si="1091"/>
        <v>0</v>
      </c>
      <c r="AQ367" s="143"/>
      <c r="AR367" s="143"/>
      <c r="AS367" s="143"/>
      <c r="AT367" s="143"/>
      <c r="AU367" s="115">
        <f t="shared" si="1092"/>
        <v>0</v>
      </c>
      <c r="AV367" s="143"/>
      <c r="AW367" s="143"/>
      <c r="AX367" s="143"/>
      <c r="AY367" s="143"/>
      <c r="AZ367" s="115">
        <f t="shared" si="1093"/>
        <v>0</v>
      </c>
      <c r="BA367" s="143"/>
      <c r="BB367" s="143"/>
      <c r="BC367" s="143"/>
      <c r="BD367" s="143"/>
      <c r="BE367" s="115">
        <f t="shared" si="1094"/>
        <v>0</v>
      </c>
      <c r="BF367" s="143"/>
      <c r="BG367" s="143"/>
      <c r="BH367" s="143"/>
      <c r="BI367" s="143"/>
      <c r="BJ367" s="115">
        <f t="shared" si="1095"/>
        <v>0</v>
      </c>
      <c r="BK367" s="143"/>
      <c r="BL367" s="143"/>
      <c r="BM367" s="143"/>
      <c r="BN367" s="143"/>
      <c r="BO367" s="115">
        <f t="shared" si="1096"/>
        <v>2</v>
      </c>
      <c r="BP367" s="87">
        <v>0</v>
      </c>
      <c r="BQ367" s="87">
        <v>0</v>
      </c>
      <c r="BR367" s="87">
        <v>0</v>
      </c>
      <c r="BS367" s="87">
        <v>0</v>
      </c>
      <c r="BT367" s="88">
        <f t="shared" si="1100"/>
        <v>0</v>
      </c>
      <c r="BU367" s="87">
        <v>0</v>
      </c>
      <c r="BV367" s="87">
        <v>0</v>
      </c>
      <c r="BW367" s="87">
        <v>0</v>
      </c>
      <c r="BX367" s="87">
        <v>0</v>
      </c>
      <c r="BY367" s="88">
        <f t="shared" si="1101"/>
        <v>0</v>
      </c>
      <c r="BZ367" s="87">
        <v>0</v>
      </c>
      <c r="CA367" s="87">
        <v>0</v>
      </c>
      <c r="CB367" s="87">
        <v>0</v>
      </c>
      <c r="CC367" s="87">
        <v>0</v>
      </c>
      <c r="CD367" s="88">
        <f t="shared" si="1102"/>
        <v>0</v>
      </c>
    </row>
    <row r="368" spans="1:83">
      <c r="A368" s="11"/>
      <c r="B368" s="11" t="s">
        <v>3278</v>
      </c>
      <c r="C368" s="52"/>
      <c r="D368" s="52"/>
      <c r="E368" s="115">
        <f t="shared" si="1084"/>
        <v>0</v>
      </c>
      <c r="F368" s="115">
        <f t="shared" si="1084"/>
        <v>0</v>
      </c>
      <c r="G368" s="115">
        <f t="shared" si="1084"/>
        <v>0</v>
      </c>
      <c r="H368" s="143"/>
      <c r="I368" s="143"/>
      <c r="J368" s="143"/>
      <c r="K368" s="143"/>
      <c r="L368" s="115">
        <f t="shared" si="1085"/>
        <v>0</v>
      </c>
      <c r="M368" s="143"/>
      <c r="N368" s="143"/>
      <c r="O368" s="143"/>
      <c r="P368" s="143"/>
      <c r="Q368" s="115">
        <f t="shared" si="1086"/>
        <v>0</v>
      </c>
      <c r="R368" s="143"/>
      <c r="S368" s="143"/>
      <c r="T368" s="143"/>
      <c r="U368" s="143"/>
      <c r="V368" s="115">
        <f t="shared" si="1087"/>
        <v>0</v>
      </c>
      <c r="W368" s="143"/>
      <c r="X368" s="143"/>
      <c r="Y368" s="143"/>
      <c r="Z368" s="143"/>
      <c r="AA368" s="115">
        <f t="shared" si="1088"/>
        <v>0</v>
      </c>
      <c r="AB368" s="143"/>
      <c r="AC368" s="143"/>
      <c r="AD368" s="143"/>
      <c r="AE368" s="143"/>
      <c r="AF368" s="115">
        <f t="shared" si="1089"/>
        <v>0</v>
      </c>
      <c r="AG368" s="143"/>
      <c r="AH368" s="143"/>
      <c r="AI368" s="143"/>
      <c r="AJ368" s="143"/>
      <c r="AK368" s="115">
        <f t="shared" si="1090"/>
        <v>0</v>
      </c>
      <c r="AL368" s="143"/>
      <c r="AM368" s="143"/>
      <c r="AN368" s="143"/>
      <c r="AO368" s="143"/>
      <c r="AP368" s="115">
        <f t="shared" si="1091"/>
        <v>0</v>
      </c>
      <c r="AQ368" s="143"/>
      <c r="AR368" s="143"/>
      <c r="AS368" s="143"/>
      <c r="AT368" s="143"/>
      <c r="AU368" s="115">
        <f t="shared" si="1092"/>
        <v>0</v>
      </c>
      <c r="AV368" s="143"/>
      <c r="AW368" s="143"/>
      <c r="AX368" s="143"/>
      <c r="AY368" s="143"/>
      <c r="AZ368" s="115">
        <f t="shared" si="1093"/>
        <v>0</v>
      </c>
      <c r="BA368" s="143"/>
      <c r="BB368" s="143"/>
      <c r="BC368" s="143"/>
      <c r="BD368" s="143"/>
      <c r="BE368" s="115">
        <f t="shared" si="1094"/>
        <v>0</v>
      </c>
      <c r="BF368" s="143"/>
      <c r="BG368" s="143"/>
      <c r="BH368" s="143"/>
      <c r="BI368" s="143"/>
      <c r="BJ368" s="115">
        <f t="shared" si="1095"/>
        <v>0</v>
      </c>
      <c r="BK368" s="143"/>
      <c r="BL368" s="143"/>
      <c r="BM368" s="143"/>
      <c r="BN368" s="143"/>
      <c r="BO368" s="115">
        <f t="shared" si="1096"/>
        <v>0</v>
      </c>
      <c r="BP368" s="87">
        <v>0</v>
      </c>
      <c r="BQ368" s="87">
        <v>0</v>
      </c>
      <c r="BR368" s="87">
        <v>0</v>
      </c>
      <c r="BS368" s="87">
        <v>0</v>
      </c>
      <c r="BT368" s="88">
        <f t="shared" si="1100"/>
        <v>0</v>
      </c>
      <c r="BU368" s="87">
        <v>0</v>
      </c>
      <c r="BV368" s="87">
        <v>0</v>
      </c>
      <c r="BW368" s="87">
        <v>0</v>
      </c>
      <c r="BX368" s="87">
        <v>0</v>
      </c>
      <c r="BY368" s="88">
        <f t="shared" si="1101"/>
        <v>0</v>
      </c>
      <c r="BZ368" s="87">
        <v>0</v>
      </c>
      <c r="CA368" s="87">
        <v>0</v>
      </c>
      <c r="CB368" s="87">
        <v>0</v>
      </c>
      <c r="CC368" s="87">
        <v>0</v>
      </c>
      <c r="CD368" s="88">
        <f t="shared" si="1102"/>
        <v>0</v>
      </c>
    </row>
    <row r="369" spans="1:88">
      <c r="A369" s="47"/>
      <c r="B369" s="47" t="s">
        <v>1703</v>
      </c>
      <c r="C369" s="52"/>
      <c r="D369" s="52"/>
      <c r="E369" s="115">
        <f t="shared" si="1084"/>
        <v>292.11</v>
      </c>
      <c r="F369" s="115">
        <f t="shared" si="1084"/>
        <v>831</v>
      </c>
      <c r="G369" s="115">
        <f t="shared" si="1084"/>
        <v>911</v>
      </c>
      <c r="H369" s="143"/>
      <c r="I369" s="143"/>
      <c r="J369" s="143"/>
      <c r="K369" s="143"/>
      <c r="L369" s="115">
        <f t="shared" si="1085"/>
        <v>876</v>
      </c>
      <c r="M369" s="401">
        <f t="shared" ref="M369:P370" si="1103">M153-M315</f>
        <v>832</v>
      </c>
      <c r="N369" s="401">
        <f t="shared" si="1103"/>
        <v>837</v>
      </c>
      <c r="O369" s="401">
        <f t="shared" si="1103"/>
        <v>830</v>
      </c>
      <c r="P369" s="401">
        <f t="shared" si="1103"/>
        <v>829</v>
      </c>
      <c r="Q369" s="115">
        <f t="shared" si="1086"/>
        <v>832</v>
      </c>
      <c r="R369" s="401">
        <f t="shared" ref="R369:U370" si="1104">R153-R315</f>
        <v>818</v>
      </c>
      <c r="S369" s="401">
        <f t="shared" si="1104"/>
        <v>825</v>
      </c>
      <c r="T369" s="401">
        <f t="shared" si="1104"/>
        <v>833</v>
      </c>
      <c r="U369" s="401">
        <f t="shared" si="1104"/>
        <v>827</v>
      </c>
      <c r="V369" s="115">
        <f t="shared" si="1087"/>
        <v>826</v>
      </c>
      <c r="W369" s="401">
        <f t="shared" ref="W369:Z370" si="1105">W153-W315</f>
        <v>822</v>
      </c>
      <c r="X369" s="401">
        <f t="shared" si="1105"/>
        <v>837</v>
      </c>
      <c r="Y369" s="401">
        <f t="shared" si="1105"/>
        <v>850</v>
      </c>
      <c r="Z369" s="401">
        <f t="shared" si="1105"/>
        <v>852</v>
      </c>
      <c r="AA369" s="115">
        <f t="shared" si="1088"/>
        <v>840</v>
      </c>
      <c r="AB369" s="401">
        <f t="shared" ref="AB369:AE370" si="1106">AB153-AB315</f>
        <v>849</v>
      </c>
      <c r="AC369" s="401">
        <f t="shared" si="1106"/>
        <v>859</v>
      </c>
      <c r="AD369" s="401">
        <f t="shared" si="1106"/>
        <v>859</v>
      </c>
      <c r="AE369" s="401">
        <f t="shared" si="1106"/>
        <v>858</v>
      </c>
      <c r="AF369" s="115">
        <f t="shared" si="1089"/>
        <v>856</v>
      </c>
      <c r="AG369" s="401">
        <f>AG153-AG315</f>
        <v>856</v>
      </c>
      <c r="AH369" s="401">
        <f>AH153-AH315</f>
        <v>860</v>
      </c>
      <c r="AI369" s="401">
        <f>AI153-AI315</f>
        <v>883</v>
      </c>
      <c r="AJ369" s="401">
        <f>AJ153-AJ315</f>
        <v>874</v>
      </c>
      <c r="AK369" s="115">
        <f t="shared" si="1090"/>
        <v>865</v>
      </c>
      <c r="AL369" s="401">
        <f>AL153-AL315</f>
        <v>879</v>
      </c>
      <c r="AM369" s="401">
        <f>AM153-AM315</f>
        <v>881</v>
      </c>
      <c r="AN369" s="401">
        <f>AN153-AN315</f>
        <v>876</v>
      </c>
      <c r="AO369" s="401">
        <f>AO153-AO315</f>
        <v>870</v>
      </c>
      <c r="AP369" s="115">
        <f t="shared" si="1091"/>
        <v>863</v>
      </c>
      <c r="AQ369" s="401">
        <f>AQ153-AQ315</f>
        <v>262.84018500000002</v>
      </c>
      <c r="AR369" s="401">
        <f>AR153-AR315</f>
        <v>228.84018500000002</v>
      </c>
      <c r="AS369" s="401">
        <f>AS153-AS315</f>
        <v>230.84018500000002</v>
      </c>
      <c r="AT369" s="401">
        <f>AT153-AT315</f>
        <v>235.84018500000002</v>
      </c>
      <c r="AU369" s="115">
        <f t="shared" si="1092"/>
        <v>239.84018500000002</v>
      </c>
      <c r="AV369" s="401">
        <f>AV153-AV315</f>
        <v>70.570457499999861</v>
      </c>
      <c r="AW369" s="401">
        <f>AW153-AW315</f>
        <v>59.570457499999861</v>
      </c>
      <c r="AX369" s="401">
        <f>AX153-AX315</f>
        <v>60.570457499999861</v>
      </c>
      <c r="AY369" s="401">
        <f>AY153-AY315</f>
        <v>62.570457499999861</v>
      </c>
      <c r="AZ369" s="115">
        <f t="shared" si="1093"/>
        <v>64.570457499999861</v>
      </c>
      <c r="BA369" s="401">
        <f>BA153-BA315</f>
        <v>55.790504999999825</v>
      </c>
      <c r="BB369" s="401">
        <f>BB153-BB315</f>
        <v>54.790504999999825</v>
      </c>
      <c r="BC369" s="401">
        <f>BC153-BC315</f>
        <v>49.790504999999825</v>
      </c>
      <c r="BD369" s="401">
        <f>BD153-BD315</f>
        <v>50.790504999999825</v>
      </c>
      <c r="BE369" s="115">
        <f t="shared" si="1094"/>
        <v>52.790504999999825</v>
      </c>
      <c r="BF369" s="401">
        <f>BF153-BF315</f>
        <v>56.177424999999971</v>
      </c>
      <c r="BG369" s="401">
        <f>BG153-BG315</f>
        <v>60.177424999999971</v>
      </c>
      <c r="BH369" s="401">
        <f>BH153-BH315</f>
        <v>68.177424999999971</v>
      </c>
      <c r="BI369" s="401">
        <f>BI153-BI315</f>
        <v>167.17742499999997</v>
      </c>
      <c r="BJ369" s="115">
        <f t="shared" si="1095"/>
        <v>88.177424999999971</v>
      </c>
      <c r="BK369" s="401">
        <f>BK153-BK315</f>
        <v>148.60699499999976</v>
      </c>
      <c r="BL369" s="401">
        <f>BL153-BL315</f>
        <v>138.60699499999976</v>
      </c>
      <c r="BM369" s="401">
        <f>BM153-BM315</f>
        <v>139.60699499999976</v>
      </c>
      <c r="BN369" s="401">
        <f>BN153-BN315</f>
        <v>135.60699499999976</v>
      </c>
      <c r="BO369" s="115">
        <f t="shared" si="1096"/>
        <v>140.60699499999976</v>
      </c>
      <c r="BP369" s="87">
        <v>110</v>
      </c>
      <c r="BQ369" s="87">
        <v>110</v>
      </c>
      <c r="BR369" s="87">
        <v>110</v>
      </c>
      <c r="BS369" s="87">
        <v>110</v>
      </c>
      <c r="BT369" s="88">
        <f>AVERAGE(BP369:BS369)</f>
        <v>110</v>
      </c>
      <c r="BU369" s="87">
        <v>100</v>
      </c>
      <c r="BV369" s="87">
        <v>100</v>
      </c>
      <c r="BW369" s="87">
        <v>100</v>
      </c>
      <c r="BX369" s="87">
        <v>100</v>
      </c>
      <c r="BY369" s="88">
        <f>AVERAGE(BU369:BX369)</f>
        <v>100</v>
      </c>
      <c r="BZ369" s="87">
        <v>80</v>
      </c>
      <c r="CA369" s="87">
        <v>80</v>
      </c>
      <c r="CB369" s="87">
        <v>80</v>
      </c>
      <c r="CC369" s="87">
        <v>80</v>
      </c>
      <c r="CD369" s="88">
        <f>AVERAGE(BZ369:CC369)</f>
        <v>80</v>
      </c>
      <c r="CG369">
        <f>AVERAGE(M369,R369,W369,AB369,AG369,AL369,AQ369)</f>
        <v>759.83431214285713</v>
      </c>
      <c r="CH369">
        <f>AVERAGE(N369,S369,X369,AC369,AH369,AM369,AR369)</f>
        <v>761.12002642857146</v>
      </c>
      <c r="CI369">
        <f>AVERAGE(O369,T369,Y369,AD369,AI369,AN369,AS369)</f>
        <v>765.97716928571424</v>
      </c>
      <c r="CJ369">
        <f>AVERAGE(P369,U369,Z369,AE369,AJ369,AO369,AT369)</f>
        <v>763.69145500000002</v>
      </c>
    </row>
    <row r="370" spans="1:88">
      <c r="A370" s="47"/>
      <c r="B370" s="47" t="s">
        <v>1961</v>
      </c>
      <c r="C370" s="52"/>
      <c r="D370" s="52"/>
      <c r="E370" s="115">
        <f t="shared" si="1084"/>
        <v>0</v>
      </c>
      <c r="F370" s="115">
        <f t="shared" si="1084"/>
        <v>0</v>
      </c>
      <c r="G370" s="115">
        <f t="shared" si="1084"/>
        <v>0</v>
      </c>
      <c r="H370" s="143"/>
      <c r="I370" s="143"/>
      <c r="J370" s="143"/>
      <c r="K370" s="143"/>
      <c r="L370" s="115">
        <f t="shared" si="1085"/>
        <v>0</v>
      </c>
      <c r="M370" s="401">
        <f t="shared" si="1103"/>
        <v>0</v>
      </c>
      <c r="N370" s="401">
        <f t="shared" si="1103"/>
        <v>0</v>
      </c>
      <c r="O370" s="401">
        <f t="shared" si="1103"/>
        <v>0</v>
      </c>
      <c r="P370" s="401">
        <f t="shared" si="1103"/>
        <v>0</v>
      </c>
      <c r="Q370" s="115">
        <f t="shared" si="1086"/>
        <v>0</v>
      </c>
      <c r="R370" s="401">
        <f t="shared" si="1104"/>
        <v>0</v>
      </c>
      <c r="S370" s="401">
        <f t="shared" si="1104"/>
        <v>0</v>
      </c>
      <c r="T370" s="401">
        <f t="shared" si="1104"/>
        <v>0</v>
      </c>
      <c r="U370" s="401">
        <f t="shared" si="1104"/>
        <v>0</v>
      </c>
      <c r="V370" s="115">
        <f t="shared" si="1087"/>
        <v>0</v>
      </c>
      <c r="W370" s="401">
        <f t="shared" si="1105"/>
        <v>0</v>
      </c>
      <c r="X370" s="401">
        <f t="shared" si="1105"/>
        <v>0</v>
      </c>
      <c r="Y370" s="401">
        <f t="shared" si="1105"/>
        <v>0</v>
      </c>
      <c r="Z370" s="401">
        <f t="shared" si="1105"/>
        <v>0</v>
      </c>
      <c r="AA370" s="115">
        <f t="shared" si="1088"/>
        <v>0</v>
      </c>
      <c r="AB370" s="401">
        <f t="shared" si="1106"/>
        <v>0</v>
      </c>
      <c r="AC370" s="401">
        <f t="shared" si="1106"/>
        <v>0</v>
      </c>
      <c r="AD370" s="401">
        <f t="shared" si="1106"/>
        <v>0</v>
      </c>
      <c r="AE370" s="401">
        <f t="shared" si="1106"/>
        <v>0</v>
      </c>
      <c r="AF370" s="115">
        <f t="shared" si="1089"/>
        <v>0</v>
      </c>
      <c r="AG370" s="143"/>
      <c r="AH370" s="143"/>
      <c r="AI370" s="143"/>
      <c r="AJ370" s="143"/>
      <c r="AK370" s="115">
        <f t="shared" si="1090"/>
        <v>0</v>
      </c>
      <c r="AL370" s="143"/>
      <c r="AM370" s="143"/>
      <c r="AN370" s="143"/>
      <c r="AO370" s="143"/>
      <c r="AP370" s="115">
        <f t="shared" si="1091"/>
        <v>0</v>
      </c>
      <c r="AQ370" s="143"/>
      <c r="AR370" s="143"/>
      <c r="AS370" s="143"/>
      <c r="AT370" s="143"/>
      <c r="AU370" s="115">
        <f t="shared" si="1092"/>
        <v>0</v>
      </c>
      <c r="AV370" s="143"/>
      <c r="AW370" s="143"/>
      <c r="AX370" s="143"/>
      <c r="AY370" s="143"/>
      <c r="AZ370" s="115">
        <f t="shared" si="1093"/>
        <v>0</v>
      </c>
      <c r="BA370" s="143"/>
      <c r="BB370" s="143"/>
      <c r="BC370" s="143"/>
      <c r="BD370" s="143"/>
      <c r="BE370" s="115">
        <f t="shared" si="1094"/>
        <v>0</v>
      </c>
      <c r="BF370" s="143"/>
      <c r="BG370" s="143"/>
      <c r="BH370" s="143"/>
      <c r="BI370" s="143"/>
      <c r="BJ370" s="115">
        <f t="shared" si="1095"/>
        <v>0</v>
      </c>
      <c r="BK370" s="143"/>
      <c r="BL370" s="143"/>
      <c r="BM370" s="143"/>
      <c r="BN370" s="143"/>
      <c r="BO370" s="115">
        <f t="shared" si="1096"/>
        <v>0</v>
      </c>
      <c r="BP370" s="87">
        <v>0</v>
      </c>
      <c r="BQ370" s="87">
        <v>0</v>
      </c>
      <c r="BR370" s="87">
        <v>0</v>
      </c>
      <c r="BS370" s="87">
        <v>0</v>
      </c>
      <c r="BT370" s="88">
        <f t="shared" ref="BT370" si="1107">AVERAGE(BP370:BS370)</f>
        <v>0</v>
      </c>
      <c r="BU370" s="87">
        <v>0</v>
      </c>
      <c r="BV370" s="87">
        <v>0</v>
      </c>
      <c r="BW370" s="87">
        <v>0</v>
      </c>
      <c r="BX370" s="87">
        <v>0</v>
      </c>
      <c r="BY370" s="88">
        <f t="shared" ref="BY370" si="1108">AVERAGE(BU370:BX370)</f>
        <v>0</v>
      </c>
      <c r="BZ370" s="87">
        <v>0</v>
      </c>
      <c r="CA370" s="87">
        <v>0</v>
      </c>
      <c r="CB370" s="87">
        <v>0</v>
      </c>
      <c r="CC370" s="87">
        <v>0</v>
      </c>
      <c r="CD370" s="88">
        <f t="shared" ref="CD370" si="1109">AVERAGE(BZ370:CC370)</f>
        <v>0</v>
      </c>
    </row>
    <row r="371" spans="1:88">
      <c r="A371" s="11"/>
      <c r="B371" s="11" t="s">
        <v>3399</v>
      </c>
      <c r="C371" s="52"/>
      <c r="D371" s="52"/>
      <c r="E371" s="115">
        <f t="shared" si="1084"/>
        <v>-12.77</v>
      </c>
      <c r="F371" s="115">
        <f t="shared" si="1084"/>
        <v>-9.86</v>
      </c>
      <c r="G371" s="115">
        <f t="shared" si="1084"/>
        <v>-7.9</v>
      </c>
      <c r="H371" s="143"/>
      <c r="I371" s="143"/>
      <c r="J371" s="143"/>
      <c r="K371" s="143"/>
      <c r="L371" s="115">
        <f t="shared" si="1085"/>
        <v>0.45000000000000018</v>
      </c>
      <c r="M371" s="143"/>
      <c r="N371" s="143"/>
      <c r="O371" s="143"/>
      <c r="P371" s="143"/>
      <c r="Q371" s="115">
        <f t="shared" si="1086"/>
        <v>0.33000000000000007</v>
      </c>
      <c r="R371" s="143"/>
      <c r="S371" s="143"/>
      <c r="T371" s="143"/>
      <c r="U371" s="143"/>
      <c r="V371" s="115">
        <f t="shared" si="1087"/>
        <v>0.20999999999999996</v>
      </c>
      <c r="W371" s="143"/>
      <c r="X371" s="143"/>
      <c r="Y371" s="143"/>
      <c r="Z371" s="143"/>
      <c r="AA371" s="115">
        <f t="shared" si="1088"/>
        <v>0.22000000000000064</v>
      </c>
      <c r="AB371" s="143"/>
      <c r="AC371" s="143"/>
      <c r="AD371" s="143"/>
      <c r="AE371" s="143"/>
      <c r="AF371" s="115">
        <f t="shared" si="1089"/>
        <v>4.0000000000000036E-2</v>
      </c>
      <c r="AG371" s="143"/>
      <c r="AH371" s="143"/>
      <c r="AI371" s="143"/>
      <c r="AJ371" s="143"/>
      <c r="AK371" s="115">
        <f t="shared" si="1090"/>
        <v>0.45999999999999996</v>
      </c>
      <c r="AL371" s="143"/>
      <c r="AM371" s="143"/>
      <c r="AN371" s="143"/>
      <c r="AO371" s="143"/>
      <c r="AP371" s="115">
        <f t="shared" si="1091"/>
        <v>-0.60000000000000009</v>
      </c>
      <c r="AQ371" s="143"/>
      <c r="AR371" s="143"/>
      <c r="AS371" s="143"/>
      <c r="AT371" s="143"/>
      <c r="AU371" s="115">
        <f t="shared" si="1092"/>
        <v>-0.5</v>
      </c>
      <c r="AV371" s="143"/>
      <c r="AW371" s="143"/>
      <c r="AX371" s="143"/>
      <c r="AY371" s="143"/>
      <c r="AZ371" s="115">
        <f t="shared" si="1093"/>
        <v>0.45999999999999996</v>
      </c>
      <c r="BA371" s="143"/>
      <c r="BB371" s="143"/>
      <c r="BC371" s="143"/>
      <c r="BD371" s="143"/>
      <c r="BE371" s="115">
        <f t="shared" si="1094"/>
        <v>-4.9999999999999822E-2</v>
      </c>
      <c r="BF371" s="143"/>
      <c r="BG371" s="143"/>
      <c r="BH371" s="143"/>
      <c r="BI371" s="143"/>
      <c r="BJ371" s="115">
        <f t="shared" si="1095"/>
        <v>0.49</v>
      </c>
      <c r="BK371" s="143"/>
      <c r="BL371" s="143"/>
      <c r="BM371" s="143"/>
      <c r="BN371" s="143"/>
      <c r="BO371" s="115">
        <f t="shared" si="1096"/>
        <v>0</v>
      </c>
      <c r="BP371" s="87">
        <v>0</v>
      </c>
      <c r="BQ371" s="87">
        <v>0</v>
      </c>
      <c r="BR371" s="87">
        <v>0</v>
      </c>
      <c r="BS371" s="87">
        <v>0</v>
      </c>
      <c r="BT371" s="88">
        <f>AVERAGE(BP371:BS371)</f>
        <v>0</v>
      </c>
      <c r="BU371" s="87">
        <v>0</v>
      </c>
      <c r="BV371" s="87">
        <v>0</v>
      </c>
      <c r="BW371" s="87">
        <v>0</v>
      </c>
      <c r="BX371" s="87">
        <v>0</v>
      </c>
      <c r="BY371" s="88">
        <f>AVERAGE(BU371:BX371)</f>
        <v>0</v>
      </c>
      <c r="BZ371" s="87">
        <v>0</v>
      </c>
      <c r="CA371" s="87">
        <v>0</v>
      </c>
      <c r="CB371" s="87">
        <v>0</v>
      </c>
      <c r="CC371" s="87">
        <v>0</v>
      </c>
      <c r="CD371" s="88">
        <f>AVERAGE(BZ371:CC371)</f>
        <v>0</v>
      </c>
    </row>
    <row r="372" spans="1:88">
      <c r="A372" s="11"/>
      <c r="B372" s="11" t="s">
        <v>3400</v>
      </c>
      <c r="C372" s="52"/>
      <c r="D372" s="52"/>
      <c r="E372" s="115">
        <f t="shared" si="1084"/>
        <v>42.94</v>
      </c>
      <c r="F372" s="115">
        <f t="shared" si="1084"/>
        <v>35.94</v>
      </c>
      <c r="G372" s="115">
        <f t="shared" si="1084"/>
        <v>32.43</v>
      </c>
      <c r="H372" s="143"/>
      <c r="I372" s="143"/>
      <c r="J372" s="143"/>
      <c r="K372" s="143"/>
      <c r="L372" s="115">
        <f t="shared" si="1085"/>
        <v>18.96</v>
      </c>
      <c r="M372" s="143"/>
      <c r="N372" s="143"/>
      <c r="O372" s="143"/>
      <c r="P372" s="143"/>
      <c r="Q372" s="115">
        <f t="shared" si="1086"/>
        <v>18</v>
      </c>
      <c r="R372" s="143"/>
      <c r="S372" s="143"/>
      <c r="T372" s="143"/>
      <c r="U372" s="143"/>
      <c r="V372" s="115">
        <f t="shared" si="1087"/>
        <v>15.969999999999999</v>
      </c>
      <c r="W372" s="143"/>
      <c r="X372" s="143"/>
      <c r="Y372" s="143"/>
      <c r="Z372" s="143"/>
      <c r="AA372" s="115">
        <f t="shared" si="1088"/>
        <v>18.769999999999996</v>
      </c>
      <c r="AB372" s="143"/>
      <c r="AC372" s="143"/>
      <c r="AD372" s="143"/>
      <c r="AE372" s="143"/>
      <c r="AF372" s="115">
        <f t="shared" si="1089"/>
        <v>5.7200000000000024</v>
      </c>
      <c r="AG372" s="143"/>
      <c r="AH372" s="143"/>
      <c r="AI372" s="143"/>
      <c r="AJ372" s="143"/>
      <c r="AK372" s="115">
        <f t="shared" si="1090"/>
        <v>5.6599999999999993</v>
      </c>
      <c r="AL372" s="143"/>
      <c r="AM372" s="143"/>
      <c r="AN372" s="143"/>
      <c r="AO372" s="143"/>
      <c r="AP372" s="115">
        <f t="shared" si="1091"/>
        <v>4.8499999999999996</v>
      </c>
      <c r="AQ372" s="143"/>
      <c r="AR372" s="143"/>
      <c r="AS372" s="143"/>
      <c r="AT372" s="143"/>
      <c r="AU372" s="115">
        <f t="shared" si="1092"/>
        <v>3.82</v>
      </c>
      <c r="AV372" s="143"/>
      <c r="AW372" s="143"/>
      <c r="AX372" s="143"/>
      <c r="AY372" s="143"/>
      <c r="AZ372" s="115">
        <f t="shared" si="1093"/>
        <v>0.94</v>
      </c>
      <c r="BA372" s="143"/>
      <c r="BB372" s="143"/>
      <c r="BC372" s="143"/>
      <c r="BD372" s="143"/>
      <c r="BE372" s="115">
        <f t="shared" si="1094"/>
        <v>0.45999999999999996</v>
      </c>
      <c r="BF372" s="143"/>
      <c r="BG372" s="143"/>
      <c r="BH372" s="143"/>
      <c r="BI372" s="143"/>
      <c r="BJ372" s="115">
        <f t="shared" si="1095"/>
        <v>3.95</v>
      </c>
      <c r="BK372" s="143"/>
      <c r="BL372" s="143"/>
      <c r="BM372" s="143"/>
      <c r="BN372" s="143"/>
      <c r="BO372" s="115">
        <f t="shared" si="1096"/>
        <v>3.9699999999999998</v>
      </c>
      <c r="BP372" s="87">
        <v>0</v>
      </c>
      <c r="BQ372" s="87">
        <v>0</v>
      </c>
      <c r="BR372" s="87">
        <v>0</v>
      </c>
      <c r="BS372" s="87">
        <v>0</v>
      </c>
      <c r="BT372" s="88">
        <f>AVERAGE(BP372:BS372)</f>
        <v>0</v>
      </c>
      <c r="BU372" s="87">
        <v>0</v>
      </c>
      <c r="BV372" s="87">
        <v>0</v>
      </c>
      <c r="BW372" s="87">
        <v>0</v>
      </c>
      <c r="BX372" s="87">
        <v>0</v>
      </c>
      <c r="BY372" s="88">
        <f>AVERAGE(BU372:BX372)</f>
        <v>0</v>
      </c>
      <c r="BZ372" s="87">
        <v>0</v>
      </c>
      <c r="CA372" s="87">
        <v>0</v>
      </c>
      <c r="CB372" s="87">
        <v>0</v>
      </c>
      <c r="CC372" s="87">
        <v>0</v>
      </c>
      <c r="CD372" s="88">
        <f>AVERAGE(BZ372:CC372)</f>
        <v>0</v>
      </c>
    </row>
    <row r="373" spans="1:88">
      <c r="A373" s="39" t="s">
        <v>3401</v>
      </c>
      <c r="B373" s="39"/>
      <c r="C373" s="52"/>
      <c r="D373" s="52"/>
      <c r="E373" s="78">
        <f>SUM(E361:E372)</f>
        <v>275.10000000000002</v>
      </c>
      <c r="F373" s="78">
        <f>SUM(F361:F372)</f>
        <v>808.15999999999985</v>
      </c>
      <c r="G373" s="78">
        <f>SUM(G361:G372)</f>
        <v>887.4</v>
      </c>
      <c r="H373" s="140"/>
      <c r="I373" s="140"/>
      <c r="J373" s="140"/>
      <c r="K373" s="140"/>
      <c r="L373" s="78">
        <f>SUM(L361:L372)</f>
        <v>841.98</v>
      </c>
      <c r="M373" s="143"/>
      <c r="N373" s="143"/>
      <c r="O373" s="143"/>
      <c r="P373" s="143"/>
      <c r="Q373" s="78">
        <f>SUM(Q361:Q372)</f>
        <v>833.1</v>
      </c>
      <c r="R373" s="143"/>
      <c r="S373" s="143"/>
      <c r="T373" s="143"/>
      <c r="U373" s="143"/>
      <c r="V373" s="78">
        <f>SUM(V361:V372)</f>
        <v>846.46</v>
      </c>
      <c r="W373" s="143"/>
      <c r="X373" s="143"/>
      <c r="Y373" s="143"/>
      <c r="Z373" s="143"/>
      <c r="AA373" s="78">
        <f>SUM(AA361:AA372)</f>
        <v>840.58</v>
      </c>
      <c r="AB373" s="143"/>
      <c r="AC373" s="143"/>
      <c r="AD373" s="143"/>
      <c r="AE373" s="143"/>
      <c r="AF373" s="78">
        <f>SUM(AF361:AF372)</f>
        <v>838.33</v>
      </c>
      <c r="AG373" s="143"/>
      <c r="AH373" s="143"/>
      <c r="AI373" s="143"/>
      <c r="AJ373" s="143"/>
      <c r="AK373" s="78">
        <f>SUM(AK361:AK372)</f>
        <v>861.26</v>
      </c>
      <c r="AL373" s="143"/>
      <c r="AM373" s="143"/>
      <c r="AN373" s="143"/>
      <c r="AO373" s="143"/>
      <c r="AP373" s="78">
        <f>SUM(AP361:AP372)</f>
        <v>862.01</v>
      </c>
      <c r="AQ373" s="143"/>
      <c r="AR373" s="143"/>
      <c r="AS373" s="143"/>
      <c r="AT373" s="143"/>
      <c r="AU373" s="78">
        <f t="shared" ref="AU373:BW373" si="1110">SUM(AU361:AU372)</f>
        <v>237.32018500000004</v>
      </c>
      <c r="AV373" s="143"/>
      <c r="AW373" s="143"/>
      <c r="AX373" s="143"/>
      <c r="AY373" s="143"/>
      <c r="AZ373" s="571">
        <f>SUM(AZ361:AZ372)</f>
        <v>50.190457499999859</v>
      </c>
      <c r="BA373" s="143"/>
      <c r="BB373" s="143"/>
      <c r="BC373" s="143"/>
      <c r="BD373" s="143"/>
      <c r="BE373" s="571">
        <f t="shared" si="1110"/>
        <v>-118.14949500000014</v>
      </c>
      <c r="BF373" s="143"/>
      <c r="BG373" s="143"/>
      <c r="BH373" s="143"/>
      <c r="BI373" s="143"/>
      <c r="BJ373" s="571">
        <f t="shared" ref="BJ373" si="1111">SUM(BJ361:BJ372)</f>
        <v>-91.072575000000029</v>
      </c>
      <c r="BK373" s="143"/>
      <c r="BL373" s="143"/>
      <c r="BM373" s="143"/>
      <c r="BN373" s="143"/>
      <c r="BO373" s="571">
        <f t="shared" ref="BO373" si="1112">SUM(BO361:BO372)</f>
        <v>133.66699499999973</v>
      </c>
      <c r="BP373" s="415">
        <f t="shared" si="1110"/>
        <v>130</v>
      </c>
      <c r="BQ373" s="415">
        <f t="shared" si="1110"/>
        <v>130</v>
      </c>
      <c r="BR373" s="415">
        <f t="shared" si="1110"/>
        <v>130</v>
      </c>
      <c r="BS373" s="415">
        <f t="shared" si="1110"/>
        <v>130</v>
      </c>
      <c r="BT373" s="78">
        <f t="shared" si="1110"/>
        <v>130</v>
      </c>
      <c r="BU373" s="415">
        <f t="shared" si="1110"/>
        <v>140</v>
      </c>
      <c r="BV373" s="415">
        <f t="shared" si="1110"/>
        <v>140</v>
      </c>
      <c r="BW373" s="415">
        <f t="shared" si="1110"/>
        <v>140</v>
      </c>
      <c r="BX373" s="415">
        <f t="shared" ref="BX373:CD373" si="1113">SUM(BX361:BX372)</f>
        <v>140</v>
      </c>
      <c r="BY373" s="78">
        <f t="shared" si="1113"/>
        <v>140</v>
      </c>
      <c r="BZ373" s="415">
        <f t="shared" si="1113"/>
        <v>120</v>
      </c>
      <c r="CA373" s="415">
        <f t="shared" si="1113"/>
        <v>120</v>
      </c>
      <c r="CB373" s="415">
        <f t="shared" si="1113"/>
        <v>120</v>
      </c>
      <c r="CC373" s="415">
        <f t="shared" si="1113"/>
        <v>120</v>
      </c>
      <c r="CD373" s="78">
        <f t="shared" si="1113"/>
        <v>120</v>
      </c>
    </row>
    <row r="374" spans="1:88">
      <c r="E374" s="348"/>
      <c r="F374" s="348"/>
      <c r="G374" s="348"/>
      <c r="H374" s="348"/>
      <c r="I374" s="348"/>
      <c r="J374" s="348"/>
      <c r="K374" s="348"/>
      <c r="L374" s="348"/>
      <c r="M374" s="348"/>
      <c r="N374" s="348"/>
      <c r="O374" s="348"/>
      <c r="P374" s="348"/>
      <c r="Q374" s="348"/>
      <c r="R374" s="348"/>
      <c r="S374" s="348"/>
      <c r="T374" s="348"/>
      <c r="U374" s="348"/>
      <c r="V374" s="348"/>
      <c r="W374" s="348"/>
      <c r="X374" s="348"/>
      <c r="Y374" s="348"/>
      <c r="Z374" s="348"/>
      <c r="AA374" s="348"/>
      <c r="AB374" s="348"/>
      <c r="AC374" s="348"/>
      <c r="AD374" s="348"/>
      <c r="AE374" s="348"/>
      <c r="AF374" s="348"/>
      <c r="AG374" s="348"/>
      <c r="AH374" s="348"/>
      <c r="AI374" s="348"/>
      <c r="AJ374" s="348"/>
      <c r="AK374" s="348"/>
      <c r="AL374" s="348"/>
      <c r="AM374" s="348"/>
      <c r="AN374" s="348"/>
      <c r="AO374" s="348"/>
      <c r="AP374" s="348"/>
      <c r="AQ374" s="348"/>
      <c r="AR374" s="348"/>
      <c r="AS374" s="348"/>
      <c r="AT374" s="348"/>
      <c r="AU374" s="348"/>
      <c r="AV374" s="348"/>
      <c r="AW374" s="348"/>
      <c r="AX374" s="348"/>
      <c r="AY374" s="348"/>
      <c r="AZ374" s="348"/>
      <c r="BA374" s="348"/>
      <c r="BB374" s="348"/>
      <c r="BC374" s="348"/>
      <c r="BD374" s="348"/>
      <c r="BE374" s="348"/>
      <c r="BF374" s="348"/>
      <c r="BG374" s="348"/>
      <c r="BH374" s="348"/>
      <c r="BI374" s="348"/>
      <c r="BJ374" s="348"/>
      <c r="BK374" s="348"/>
      <c r="BL374" s="348"/>
      <c r="BM374" s="348"/>
      <c r="BN374" s="348"/>
      <c r="BO374" s="348"/>
      <c r="BP374" s="348"/>
      <c r="BQ374" s="348"/>
      <c r="BR374" s="348"/>
      <c r="BS374" s="348"/>
      <c r="BT374" s="348"/>
      <c r="BU374" s="348"/>
      <c r="BV374" s="348"/>
      <c r="BW374" s="348"/>
      <c r="BX374" s="348"/>
      <c r="BY374" s="348"/>
      <c r="BZ374" s="348"/>
      <c r="CA374" s="348"/>
      <c r="CB374" s="348"/>
      <c r="CC374" s="348"/>
      <c r="CD374" s="348"/>
    </row>
    <row r="375" spans="1:88">
      <c r="A375" s="39" t="s">
        <v>3402</v>
      </c>
      <c r="B375" s="11"/>
      <c r="C375" s="51"/>
      <c r="D375" s="51"/>
      <c r="E375" s="115"/>
      <c r="F375" s="115"/>
      <c r="G375" s="115"/>
      <c r="H375" s="143"/>
      <c r="I375" s="143"/>
      <c r="J375" s="143"/>
      <c r="K375" s="143"/>
      <c r="L375" s="115"/>
      <c r="M375" s="115"/>
      <c r="N375" s="115"/>
      <c r="O375" s="115"/>
      <c r="P375" s="115"/>
      <c r="Q375" s="115"/>
      <c r="R375" s="115"/>
      <c r="S375" s="115"/>
      <c r="T375" s="115"/>
      <c r="U375" s="115"/>
      <c r="V375" s="115"/>
      <c r="W375" s="115"/>
      <c r="X375" s="115"/>
      <c r="Y375" s="115"/>
      <c r="Z375" s="115"/>
      <c r="AA375" s="115"/>
      <c r="AB375" s="115"/>
      <c r="AC375" s="115"/>
      <c r="AD375" s="115"/>
      <c r="AE375" s="115"/>
      <c r="AF375" s="115"/>
      <c r="AG375" s="115"/>
      <c r="AH375" s="115"/>
      <c r="AI375" s="115"/>
      <c r="AJ375" s="115"/>
      <c r="AK375" s="115"/>
      <c r="AL375" s="115"/>
      <c r="AM375" s="115"/>
      <c r="AN375" s="115"/>
      <c r="AO375" s="115"/>
      <c r="AP375" s="115"/>
      <c r="AQ375" s="115"/>
      <c r="AR375" s="115"/>
      <c r="AS375" s="115"/>
      <c r="AT375" s="115"/>
      <c r="AU375" s="115"/>
      <c r="AV375" s="115"/>
      <c r="AW375" s="115"/>
      <c r="AX375" s="115"/>
      <c r="AY375" s="115"/>
      <c r="AZ375" s="115"/>
      <c r="BA375" s="115"/>
      <c r="BB375" s="115"/>
      <c r="BC375" s="115"/>
      <c r="BD375" s="115"/>
      <c r="BE375" s="115"/>
      <c r="BF375" s="115"/>
      <c r="BG375" s="115"/>
      <c r="BH375" s="115"/>
      <c r="BI375" s="115"/>
      <c r="BJ375" s="115"/>
      <c r="BK375" s="115"/>
      <c r="BL375" s="115"/>
      <c r="BM375" s="115"/>
      <c r="BN375" s="115"/>
      <c r="BO375" s="115"/>
      <c r="BP375" s="115"/>
      <c r="BQ375" s="115"/>
      <c r="BR375" s="115"/>
      <c r="BS375" s="115"/>
      <c r="BT375" s="115"/>
      <c r="BU375" s="115"/>
      <c r="BV375" s="115"/>
      <c r="BW375" s="115"/>
      <c r="BX375" s="115"/>
      <c r="BY375" s="115"/>
      <c r="BZ375" s="115"/>
      <c r="CA375" s="115"/>
      <c r="CB375" s="115"/>
      <c r="CC375" s="115"/>
      <c r="CD375" s="115"/>
    </row>
    <row r="376" spans="1:88">
      <c r="A376" s="11"/>
      <c r="B376" s="11" t="s">
        <v>2965</v>
      </c>
      <c r="C376" s="52"/>
      <c r="D376" s="52"/>
      <c r="E376" s="115">
        <f t="shared" ref="E376:G377" si="1114">E160-E322</f>
        <v>3.8299999999999983</v>
      </c>
      <c r="F376" s="115">
        <f t="shared" si="1114"/>
        <v>5.2199999999999989</v>
      </c>
      <c r="G376" s="115">
        <f t="shared" si="1114"/>
        <v>4.8800000000000026</v>
      </c>
      <c r="H376" s="143"/>
      <c r="I376" s="143"/>
      <c r="J376" s="143"/>
      <c r="K376" s="143"/>
      <c r="L376" s="115">
        <f>L160-L322</f>
        <v>5.6099999999999994</v>
      </c>
      <c r="M376" s="143"/>
      <c r="N376" s="143"/>
      <c r="O376" s="143"/>
      <c r="P376" s="143"/>
      <c r="Q376" s="115">
        <f>Q160-Q322</f>
        <v>5.0100000000000016</v>
      </c>
      <c r="R376" s="143"/>
      <c r="S376" s="143"/>
      <c r="T376" s="143"/>
      <c r="U376" s="143"/>
      <c r="V376" s="115">
        <f>V160-V322</f>
        <v>3.9899999999999984</v>
      </c>
      <c r="W376" s="143"/>
      <c r="X376" s="143"/>
      <c r="Y376" s="143"/>
      <c r="Z376" s="143"/>
      <c r="AA376" s="115">
        <f>AA160-AA322</f>
        <v>5.1400000000000006</v>
      </c>
      <c r="AB376" s="143"/>
      <c r="AC376" s="143"/>
      <c r="AD376" s="143"/>
      <c r="AE376" s="143"/>
      <c r="AF376" s="115">
        <f>AF160-AF322</f>
        <v>4.730000000000004</v>
      </c>
      <c r="AG376" s="143"/>
      <c r="AH376" s="143"/>
      <c r="AI376" s="143"/>
      <c r="AJ376" s="143"/>
      <c r="AK376" s="115">
        <f>AK160-AK322</f>
        <v>4.6999999999999993</v>
      </c>
      <c r="AL376" s="143"/>
      <c r="AM376" s="143"/>
      <c r="AN376" s="143"/>
      <c r="AO376" s="143"/>
      <c r="AP376" s="115">
        <f>AP160-AP322</f>
        <v>3.8599999999999994</v>
      </c>
      <c r="AQ376" s="143"/>
      <c r="AR376" s="143"/>
      <c r="AS376" s="143"/>
      <c r="AT376" s="143"/>
      <c r="AU376" s="115">
        <f>AU160-AU322</f>
        <v>4</v>
      </c>
      <c r="AV376" s="143"/>
      <c r="AW376" s="143"/>
      <c r="AX376" s="143"/>
      <c r="AY376" s="143"/>
      <c r="AZ376" s="115">
        <f>AZ160-AZ322</f>
        <v>3.0100000000000016</v>
      </c>
      <c r="BA376" s="143"/>
      <c r="BB376" s="143"/>
      <c r="BC376" s="143"/>
      <c r="BD376" s="143"/>
      <c r="BE376" s="115">
        <f>BE160-BE322</f>
        <v>2.74</v>
      </c>
      <c r="BF376" s="143"/>
      <c r="BG376" s="143"/>
      <c r="BH376" s="143"/>
      <c r="BI376" s="143"/>
      <c r="BJ376" s="115">
        <f>BJ160-BJ322</f>
        <v>2.1900000000000013</v>
      </c>
      <c r="BK376" s="143"/>
      <c r="BL376" s="143"/>
      <c r="BM376" s="143"/>
      <c r="BN376" s="143"/>
      <c r="BO376" s="115">
        <f>BO160-BO322</f>
        <v>1.25</v>
      </c>
      <c r="BP376" s="143"/>
      <c r="BQ376" s="143"/>
      <c r="BR376" s="143"/>
      <c r="BS376" s="143"/>
      <c r="BT376" s="143"/>
      <c r="BU376" s="143"/>
      <c r="BV376" s="143"/>
      <c r="BW376" s="143"/>
      <c r="BX376" s="143"/>
      <c r="BY376" s="143"/>
      <c r="BZ376" s="143"/>
      <c r="CA376" s="143"/>
      <c r="CB376" s="143"/>
      <c r="CC376" s="143"/>
      <c r="CD376" s="143"/>
    </row>
    <row r="377" spans="1:88">
      <c r="A377" s="11"/>
      <c r="B377" s="11" t="s">
        <v>3403</v>
      </c>
      <c r="C377" s="52"/>
      <c r="D377" s="52"/>
      <c r="E377" s="115">
        <f t="shared" si="1114"/>
        <v>0</v>
      </c>
      <c r="F377" s="115">
        <f t="shared" si="1114"/>
        <v>0</v>
      </c>
      <c r="G377" s="115">
        <f t="shared" si="1114"/>
        <v>0</v>
      </c>
      <c r="H377" s="143"/>
      <c r="I377" s="143"/>
      <c r="J377" s="143"/>
      <c r="K377" s="143"/>
      <c r="L377" s="115">
        <f>L161-L323</f>
        <v>0</v>
      </c>
      <c r="M377" s="143"/>
      <c r="N377" s="143"/>
      <c r="O377" s="143"/>
      <c r="P377" s="143"/>
      <c r="Q377" s="115">
        <f>Q161-Q323</f>
        <v>0</v>
      </c>
      <c r="R377" s="143"/>
      <c r="S377" s="143"/>
      <c r="T377" s="143"/>
      <c r="U377" s="143"/>
      <c r="V377" s="115">
        <f>V161-V323</f>
        <v>0</v>
      </c>
      <c r="W377" s="143"/>
      <c r="X377" s="143"/>
      <c r="Y377" s="143"/>
      <c r="Z377" s="143"/>
      <c r="AA377" s="115">
        <f>AA161-AA323</f>
        <v>-0.24</v>
      </c>
      <c r="AB377" s="143"/>
      <c r="AC377" s="143"/>
      <c r="AD377" s="143"/>
      <c r="AE377" s="143"/>
      <c r="AF377" s="115">
        <f>AF161-AF323</f>
        <v>0.40999999999999992</v>
      </c>
      <c r="AG377" s="143"/>
      <c r="AH377" s="143"/>
      <c r="AI377" s="143"/>
      <c r="AJ377" s="143"/>
      <c r="AK377" s="115">
        <f>AK161-AK323</f>
        <v>0.64999999999999991</v>
      </c>
      <c r="AL377" s="143"/>
      <c r="AM377" s="143"/>
      <c r="AN377" s="143"/>
      <c r="AO377" s="143"/>
      <c r="AP377" s="115">
        <f>AP161-AP323</f>
        <v>1.5</v>
      </c>
      <c r="AQ377" s="143"/>
      <c r="AR377" s="143"/>
      <c r="AS377" s="143"/>
      <c r="AT377" s="143"/>
      <c r="AU377" s="115">
        <f>AU161-AU323</f>
        <v>0.5</v>
      </c>
      <c r="AV377" s="143"/>
      <c r="AW377" s="143"/>
      <c r="AX377" s="143"/>
      <c r="AY377" s="143"/>
      <c r="AZ377" s="115">
        <f>AZ161-AZ323</f>
        <v>0.44999999999999996</v>
      </c>
      <c r="BA377" s="143"/>
      <c r="BB377" s="143"/>
      <c r="BC377" s="143"/>
      <c r="BD377" s="143"/>
      <c r="BE377" s="115">
        <f>BE161-BE323</f>
        <v>0.41999999999999993</v>
      </c>
      <c r="BF377" s="143"/>
      <c r="BG377" s="143"/>
      <c r="BH377" s="143"/>
      <c r="BI377" s="143"/>
      <c r="BJ377" s="115">
        <f>BJ161-BJ323</f>
        <v>0.37000000000000011</v>
      </c>
      <c r="BK377" s="143"/>
      <c r="BL377" s="143"/>
      <c r="BM377" s="143"/>
      <c r="BN377" s="143"/>
      <c r="BO377" s="115">
        <f>BO161-BO323</f>
        <v>-0.66999999999999993</v>
      </c>
      <c r="BP377" s="143"/>
      <c r="BQ377" s="143"/>
      <c r="BR377" s="143"/>
      <c r="BS377" s="143"/>
      <c r="BT377" s="143"/>
      <c r="BU377" s="143"/>
      <c r="BV377" s="143"/>
      <c r="BW377" s="143"/>
      <c r="BX377" s="143"/>
      <c r="BY377" s="143"/>
      <c r="BZ377" s="143"/>
      <c r="CA377" s="143"/>
      <c r="CB377" s="143"/>
      <c r="CC377" s="143"/>
      <c r="CD377" s="143"/>
    </row>
    <row r="378" spans="1:88">
      <c r="A378" s="39" t="s">
        <v>1935</v>
      </c>
      <c r="B378" s="39"/>
      <c r="C378" s="52"/>
      <c r="D378" s="52"/>
      <c r="E378" s="78">
        <f>SUM(E376:E377)</f>
        <v>3.8299999999999983</v>
      </c>
      <c r="F378" s="78">
        <f>SUM(F376:F377)</f>
        <v>5.2199999999999989</v>
      </c>
      <c r="G378" s="78">
        <f>SUM(G376:G377)</f>
        <v>4.8800000000000026</v>
      </c>
      <c r="H378" s="140"/>
      <c r="I378" s="140"/>
      <c r="J378" s="140"/>
      <c r="K378" s="140"/>
      <c r="L378" s="78">
        <f>SUM(L376:L377)</f>
        <v>5.6099999999999994</v>
      </c>
      <c r="M378" s="143"/>
      <c r="N378" s="143"/>
      <c r="O378" s="143"/>
      <c r="P378" s="143"/>
      <c r="Q378" s="78">
        <f>SUM(Q376:Q377)</f>
        <v>5.0100000000000016</v>
      </c>
      <c r="R378" s="143"/>
      <c r="S378" s="143"/>
      <c r="T378" s="143"/>
      <c r="U378" s="143"/>
      <c r="V378" s="78">
        <f>SUM(V376:V377)</f>
        <v>3.9899999999999984</v>
      </c>
      <c r="W378" s="143"/>
      <c r="X378" s="143"/>
      <c r="Y378" s="143"/>
      <c r="Z378" s="143"/>
      <c r="AA378" s="78">
        <f>SUM(AA376:AA377)</f>
        <v>4.9000000000000004</v>
      </c>
      <c r="AB378" s="143"/>
      <c r="AC378" s="143"/>
      <c r="AD378" s="143"/>
      <c r="AE378" s="143"/>
      <c r="AF378" s="78">
        <f>SUM(AF376:AF377)</f>
        <v>5.1400000000000041</v>
      </c>
      <c r="AG378" s="143"/>
      <c r="AH378" s="143"/>
      <c r="AI378" s="143"/>
      <c r="AJ378" s="143"/>
      <c r="AK378" s="78">
        <f>SUM(AK376:AK377)</f>
        <v>5.35</v>
      </c>
      <c r="AL378" s="143"/>
      <c r="AM378" s="143"/>
      <c r="AN378" s="143"/>
      <c r="AO378" s="143"/>
      <c r="AP378" s="78">
        <f>SUM(AP376:AP377)</f>
        <v>5.3599999999999994</v>
      </c>
      <c r="AQ378" s="143"/>
      <c r="AR378" s="143"/>
      <c r="AS378" s="143"/>
      <c r="AT378" s="143"/>
      <c r="AU378" s="78">
        <f>SUM(AU376:AU377)</f>
        <v>4.5</v>
      </c>
      <c r="AV378" s="143"/>
      <c r="AW378" s="143"/>
      <c r="AX378" s="143"/>
      <c r="AY378" s="143"/>
      <c r="AZ378" s="571">
        <f>SUM(AZ376:AZ377)</f>
        <v>3.4600000000000017</v>
      </c>
      <c r="BA378" s="143"/>
      <c r="BB378" s="143"/>
      <c r="BC378" s="143"/>
      <c r="BD378" s="143"/>
      <c r="BE378" s="571">
        <f>SUM(BE376:BE377)</f>
        <v>3.16</v>
      </c>
      <c r="BF378" s="143"/>
      <c r="BG378" s="143"/>
      <c r="BH378" s="143"/>
      <c r="BI378" s="143"/>
      <c r="BJ378" s="571">
        <f>SUM(BJ376:BJ377)</f>
        <v>2.5600000000000014</v>
      </c>
      <c r="BK378" s="143"/>
      <c r="BL378" s="143"/>
      <c r="BM378" s="143"/>
      <c r="BN378" s="143"/>
      <c r="BO378" s="571">
        <f>SUM(BO376:BO377)</f>
        <v>0.58000000000000007</v>
      </c>
      <c r="BP378" s="87">
        <v>5</v>
      </c>
      <c r="BQ378" s="87">
        <v>5</v>
      </c>
      <c r="BR378" s="87">
        <v>5</v>
      </c>
      <c r="BS378" s="87">
        <v>5</v>
      </c>
      <c r="BT378" s="88">
        <f>AVERAGE(BP378:BS378)</f>
        <v>5</v>
      </c>
      <c r="BU378" s="87">
        <v>5</v>
      </c>
      <c r="BV378" s="87">
        <v>5</v>
      </c>
      <c r="BW378" s="87">
        <v>5</v>
      </c>
      <c r="BX378" s="87">
        <v>5</v>
      </c>
      <c r="BY378" s="88">
        <f>AVERAGE(BU378:BX378)</f>
        <v>5</v>
      </c>
      <c r="BZ378" s="87">
        <v>5</v>
      </c>
      <c r="CA378" s="87">
        <v>5</v>
      </c>
      <c r="CB378" s="87">
        <v>5</v>
      </c>
      <c r="CC378" s="87">
        <v>5</v>
      </c>
      <c r="CD378" s="88">
        <f>AVERAGE(BZ378:CC378)</f>
        <v>5</v>
      </c>
      <c r="CE378" s="391"/>
    </row>
    <row r="379" spans="1:88">
      <c r="E379" s="348"/>
      <c r="F379" s="348"/>
      <c r="G379" s="348"/>
      <c r="H379" s="348"/>
      <c r="I379" s="348"/>
      <c r="J379" s="348"/>
      <c r="K379" s="348"/>
      <c r="L379" s="348"/>
      <c r="M379" s="348"/>
      <c r="N379" s="348"/>
      <c r="O379" s="348"/>
      <c r="P379" s="348"/>
      <c r="Q379" s="348"/>
      <c r="R379" s="348"/>
      <c r="S379" s="348"/>
      <c r="T379" s="348"/>
      <c r="U379" s="348"/>
      <c r="V379" s="348"/>
      <c r="W379" s="348"/>
      <c r="X379" s="348"/>
      <c r="Y379" s="348"/>
      <c r="Z379" s="348"/>
      <c r="AA379" s="348"/>
      <c r="AB379" s="348"/>
      <c r="AC379" s="348"/>
      <c r="AD379" s="348"/>
      <c r="AE379" s="348"/>
      <c r="AF379" s="348"/>
      <c r="AG379" s="348"/>
      <c r="AH379" s="348"/>
      <c r="AI379" s="348"/>
      <c r="AJ379" s="348"/>
      <c r="AK379" s="348"/>
      <c r="AL379" s="348"/>
      <c r="AM379" s="348"/>
      <c r="AN379" s="348"/>
      <c r="AO379" s="348"/>
      <c r="AP379" s="348"/>
      <c r="AQ379" s="348"/>
      <c r="AR379" s="348"/>
      <c r="AS379" s="348"/>
      <c r="AT379" s="348"/>
      <c r="AU379" s="348"/>
      <c r="AV379" s="348"/>
      <c r="AW379" s="348"/>
      <c r="AX379" s="348"/>
      <c r="AY379" s="348"/>
      <c r="AZ379" s="348"/>
      <c r="BA379" s="348"/>
      <c r="BB379" s="348"/>
      <c r="BC379" s="348"/>
      <c r="BD379" s="348"/>
      <c r="BE379" s="348"/>
      <c r="BF379" s="348"/>
      <c r="BG379" s="348"/>
      <c r="BH379" s="348"/>
      <c r="BI379" s="348"/>
      <c r="BJ379" s="348"/>
      <c r="BK379" s="348"/>
      <c r="BL379" s="348"/>
      <c r="BM379" s="348"/>
      <c r="BN379" s="348"/>
      <c r="BO379" s="348"/>
      <c r="BP379" s="348"/>
      <c r="BQ379" s="348"/>
      <c r="BR379" s="348"/>
      <c r="BS379" s="348"/>
      <c r="BT379" s="348"/>
      <c r="BU379" s="348"/>
      <c r="BV379" s="348"/>
      <c r="BW379" s="348"/>
      <c r="BX379" s="348"/>
      <c r="BY379" s="348"/>
      <c r="BZ379" s="348"/>
      <c r="CA379" s="348"/>
      <c r="CB379" s="348"/>
      <c r="CC379" s="348"/>
      <c r="CD379" s="348"/>
    </row>
    <row r="380" spans="1:88">
      <c r="A380" s="46" t="s">
        <v>541</v>
      </c>
      <c r="B380" s="46"/>
      <c r="C380" s="53"/>
      <c r="D380" s="53"/>
      <c r="E380" s="223">
        <f>E338+E343+E352+E358+E373+E378</f>
        <v>354.84800000000013</v>
      </c>
      <c r="F380" s="223">
        <f>F338+F343+F352+F358+F373+F378</f>
        <v>890.68200000000002</v>
      </c>
      <c r="G380" s="223">
        <f>G338+G343+G352+G358+G373+G378</f>
        <v>978.81799999999987</v>
      </c>
      <c r="H380" s="416"/>
      <c r="I380" s="416"/>
      <c r="J380" s="416"/>
      <c r="K380" s="416"/>
      <c r="L380" s="223">
        <f>L338+L343+L352+L358+L373+L378</f>
        <v>913.38600000000019</v>
      </c>
      <c r="M380" s="417">
        <f>M164-M326</f>
        <v>900.63000000000011</v>
      </c>
      <c r="N380" s="417">
        <f>N164-N326</f>
        <v>903.63000000000011</v>
      </c>
      <c r="O380" s="417">
        <f>O164-O326</f>
        <v>746.63000000000011</v>
      </c>
      <c r="P380" s="417">
        <f>P164-P326</f>
        <v>923.63000000000011</v>
      </c>
      <c r="Q380" s="223">
        <f>Q338+Q343+Q352+Q358+Q373+Q378</f>
        <v>868.63000000000011</v>
      </c>
      <c r="R380" s="417">
        <f>R164-R326</f>
        <v>980.97399999999993</v>
      </c>
      <c r="S380" s="417">
        <f>S164-S326</f>
        <v>935.97399999999993</v>
      </c>
      <c r="T380" s="417">
        <f>T164-T326</f>
        <v>810.97399999999993</v>
      </c>
      <c r="U380" s="417">
        <f>U164-U326</f>
        <v>987.97399999999993</v>
      </c>
      <c r="V380" s="223">
        <f>V338+V343+V352+V358+V373+V378</f>
        <v>928.97400000000005</v>
      </c>
      <c r="W380" s="417">
        <f>W164-W326</f>
        <v>913.60799999999995</v>
      </c>
      <c r="X380" s="417">
        <f>X164-X326</f>
        <v>935.60799999999995</v>
      </c>
      <c r="Y380" s="417">
        <f>Y164-Y326</f>
        <v>941.60799999999995</v>
      </c>
      <c r="Z380" s="417">
        <f>Z164-Z326</f>
        <v>986.60799999999995</v>
      </c>
      <c r="AA380" s="223">
        <f>AA338+AA343+AA352+AA358+AA373+AA378</f>
        <v>944.60800000000006</v>
      </c>
      <c r="AB380" s="417">
        <f>AB164-AB326</f>
        <v>1085.3300000000004</v>
      </c>
      <c r="AC380" s="417">
        <f>AC164-AC326</f>
        <v>941.33000000000038</v>
      </c>
      <c r="AD380" s="417">
        <f>AD164-AD326</f>
        <v>879.33000000000038</v>
      </c>
      <c r="AE380" s="417">
        <f>AE164-AE326</f>
        <v>824.33000000000038</v>
      </c>
      <c r="AF380" s="223">
        <f>AF338+AF343+AF352+AF358+AF373+AF378</f>
        <v>932.33</v>
      </c>
      <c r="AG380" s="417">
        <f>AG164-AG326</f>
        <v>1057.9899999999998</v>
      </c>
      <c r="AH380" s="417">
        <f t="shared" ref="AH380:AK380" si="1115">AH338+AH343+AH352+AH358+AH373+AH378</f>
        <v>24.069999999999993</v>
      </c>
      <c r="AI380" s="417">
        <f t="shared" si="1115"/>
        <v>-6.9300000000000068</v>
      </c>
      <c r="AJ380" s="417">
        <f t="shared" si="1115"/>
        <v>18.069999999999993</v>
      </c>
      <c r="AK380" s="223">
        <f t="shared" si="1115"/>
        <v>944.99</v>
      </c>
      <c r="AL380" s="417">
        <f>AL164-AL326</f>
        <v>1002.7479999999998</v>
      </c>
      <c r="AM380" s="417">
        <f>AM164-AM326</f>
        <v>906.74799999999982</v>
      </c>
      <c r="AN380" s="417">
        <f>AN164-AN326</f>
        <v>899.74799999999982</v>
      </c>
      <c r="AO380" s="417">
        <f>AO164-AO326</f>
        <v>917.74799999999982</v>
      </c>
      <c r="AP380" s="223">
        <f>AP338+AP343+AP352+AP358+AP373+AP378</f>
        <v>931.74800000000005</v>
      </c>
      <c r="AQ380" s="417">
        <f>AQ164-AQ326</f>
        <v>312.05418500000019</v>
      </c>
      <c r="AR380" s="417">
        <f>AR164-AR326</f>
        <v>250.05418500000019</v>
      </c>
      <c r="AS380" s="417">
        <f>AS164-AS326</f>
        <v>234.05418500000019</v>
      </c>
      <c r="AT380" s="417">
        <f>AT164-AT326</f>
        <v>293.05418500000019</v>
      </c>
      <c r="AU380" s="223">
        <f>AU338+AU343+AU352+AU358+AU373+AU378</f>
        <v>272.05418500000002</v>
      </c>
      <c r="AV380" s="417">
        <f>AV164-AV326</f>
        <v>41.296217500000239</v>
      </c>
      <c r="AW380" s="417">
        <f>AW164-AW326</f>
        <v>28.296217500000239</v>
      </c>
      <c r="AX380" s="417">
        <f>AX164-AX326</f>
        <v>52.296217500000239</v>
      </c>
      <c r="AY380" s="417">
        <f>AY164-AY326</f>
        <v>97.296217500000239</v>
      </c>
      <c r="AZ380" s="223">
        <f>AZ338+AZ343+AZ352+AZ358+AZ373+AZ378</f>
        <v>47.296217499999877</v>
      </c>
      <c r="BA380" s="417">
        <f t="shared" ref="BA380:BD380" si="1116">BA164-BA326</f>
        <v>-34.930005404224175</v>
      </c>
      <c r="BB380" s="417">
        <f t="shared" si="1116"/>
        <v>-182.80097180140797</v>
      </c>
      <c r="BC380" s="417">
        <f t="shared" si="1116"/>
        <v>-67.353333398591985</v>
      </c>
      <c r="BD380" s="417">
        <f t="shared" si="1116"/>
        <v>28.452909804223509</v>
      </c>
      <c r="BE380" s="223">
        <f>BE338+BE343+BE352+BE358+BE373+BE378</f>
        <v>-101.7562550000001</v>
      </c>
      <c r="BF380" s="417">
        <f t="shared" ref="BF380:BI380" si="1117">BF164-BF326</f>
        <v>100.00794499999984</v>
      </c>
      <c r="BG380" s="417">
        <f t="shared" si="1117"/>
        <v>-202.99205500000016</v>
      </c>
      <c r="BH380" s="417">
        <f t="shared" si="1117"/>
        <v>-168.99205500000016</v>
      </c>
      <c r="BI380" s="417">
        <f t="shared" si="1117"/>
        <v>-19.992055000000164</v>
      </c>
      <c r="BJ380" s="223">
        <f>BJ338+BJ343+BJ352+BJ358+BJ373+BJ378</f>
        <v>-66.99205500000005</v>
      </c>
      <c r="BK380" s="417">
        <f t="shared" ref="BK380:BN380" si="1118">BK164-BK326</f>
        <v>197.8922349999998</v>
      </c>
      <c r="BL380" s="417">
        <f t="shared" si="1118"/>
        <v>150.8922349999998</v>
      </c>
      <c r="BM380" s="417">
        <f t="shared" si="1118"/>
        <v>140.8922349999998</v>
      </c>
      <c r="BN380" s="417">
        <f t="shared" si="1118"/>
        <v>139.8922349999998</v>
      </c>
      <c r="BO380" s="223">
        <f>BO338+BO343+BO352+BO358+BO373+BO378</f>
        <v>154.89223499999974</v>
      </c>
      <c r="BP380" s="417">
        <f t="shared" ref="BP380:CD380" si="1119">BP338+BP343+BP352+BP358+BP373+BP378</f>
        <v>155</v>
      </c>
      <c r="BQ380" s="417">
        <f t="shared" si="1119"/>
        <v>150</v>
      </c>
      <c r="BR380" s="417">
        <f t="shared" si="1119"/>
        <v>150</v>
      </c>
      <c r="BS380" s="417">
        <f t="shared" si="1119"/>
        <v>150</v>
      </c>
      <c r="BT380" s="223">
        <f t="shared" si="1119"/>
        <v>151.25</v>
      </c>
      <c r="BU380" s="417">
        <f t="shared" si="1119"/>
        <v>160</v>
      </c>
      <c r="BV380" s="417">
        <f t="shared" si="1119"/>
        <v>160</v>
      </c>
      <c r="BW380" s="417">
        <f t="shared" si="1119"/>
        <v>160</v>
      </c>
      <c r="BX380" s="417">
        <f t="shared" si="1119"/>
        <v>160</v>
      </c>
      <c r="BY380" s="223">
        <f t="shared" si="1119"/>
        <v>160</v>
      </c>
      <c r="BZ380" s="417">
        <f t="shared" si="1119"/>
        <v>140</v>
      </c>
      <c r="CA380" s="417">
        <f t="shared" si="1119"/>
        <v>140</v>
      </c>
      <c r="CB380" s="417">
        <f t="shared" si="1119"/>
        <v>140</v>
      </c>
      <c r="CC380" s="417">
        <f t="shared" si="1119"/>
        <v>140</v>
      </c>
      <c r="CD380" s="223">
        <f t="shared" si="1119"/>
        <v>140</v>
      </c>
      <c r="CG380">
        <f>AVERAGE(M380,R380,W380,AB380,AG380,AL380,AQ380)</f>
        <v>893.33345499999996</v>
      </c>
      <c r="CH380">
        <f>AVERAGE(N380,S380,X380,AC380,AH380,AM380,AR380)</f>
        <v>699.6305978571429</v>
      </c>
      <c r="CI380">
        <f>AVERAGE(O380,T380,Y380,AD380,AI380,AN380,AS380)</f>
        <v>643.6305978571429</v>
      </c>
      <c r="CJ380">
        <f>AVERAGE(P380,U380,Z380,AE380,AJ380,AO380,AT380)</f>
        <v>707.34488357142868</v>
      </c>
    </row>
    <row r="381" spans="1:88">
      <c r="A381" s="446" t="s">
        <v>611</v>
      </c>
      <c r="B381" s="343"/>
      <c r="C381" s="445"/>
      <c r="D381" s="445"/>
      <c r="E381" s="345">
        <f>E380-E369</f>
        <v>62.738000000000113</v>
      </c>
      <c r="F381" s="345">
        <f>F380-F369</f>
        <v>59.682000000000016</v>
      </c>
      <c r="G381" s="345">
        <f>G380-G369</f>
        <v>67.81799999999987</v>
      </c>
      <c r="H381" s="345"/>
      <c r="I381" s="345"/>
      <c r="J381" s="345"/>
      <c r="K381" s="345"/>
      <c r="L381" s="345">
        <f>L380-L369</f>
        <v>37.386000000000195</v>
      </c>
      <c r="M381" s="345"/>
      <c r="N381" s="345"/>
      <c r="O381" s="345"/>
      <c r="P381" s="345"/>
      <c r="Q381" s="345">
        <f>Q380-Q369</f>
        <v>36.630000000000109</v>
      </c>
      <c r="R381" s="345"/>
      <c r="S381" s="345"/>
      <c r="T381" s="345"/>
      <c r="U381" s="345"/>
      <c r="V381" s="345">
        <f>V380-V369</f>
        <v>102.97400000000005</v>
      </c>
      <c r="W381" s="345"/>
      <c r="X381" s="345"/>
      <c r="Y381" s="345"/>
      <c r="Z381" s="345"/>
      <c r="AA381" s="345">
        <f>AA380-AA369</f>
        <v>104.60800000000006</v>
      </c>
      <c r="AB381" s="345"/>
      <c r="AC381" s="345"/>
      <c r="AD381" s="345"/>
      <c r="AE381" s="345"/>
      <c r="AF381" s="345">
        <f>AF380-AF369</f>
        <v>76.330000000000041</v>
      </c>
      <c r="AG381" s="345"/>
      <c r="AH381" s="345"/>
      <c r="AI381" s="345"/>
      <c r="AJ381" s="345"/>
      <c r="AK381" s="345">
        <f t="shared" ref="AK381:AU381" si="1120">AK380-AK369</f>
        <v>79.990000000000009</v>
      </c>
      <c r="AL381" s="345"/>
      <c r="AM381" s="345"/>
      <c r="AN381" s="345"/>
      <c r="AO381" s="345"/>
      <c r="AP381" s="345">
        <f t="shared" si="1120"/>
        <v>68.748000000000047</v>
      </c>
      <c r="AQ381" s="107">
        <f t="shared" si="1120"/>
        <v>49.214000000000169</v>
      </c>
      <c r="AR381" s="107">
        <f t="shared" si="1120"/>
        <v>21.214000000000169</v>
      </c>
      <c r="AS381" s="107">
        <f t="shared" si="1120"/>
        <v>3.2140000000001692</v>
      </c>
      <c r="AT381" s="107">
        <f t="shared" si="1120"/>
        <v>57.214000000000169</v>
      </c>
      <c r="AU381" s="345">
        <f t="shared" si="1120"/>
        <v>32.213999999999999</v>
      </c>
      <c r="AV381" s="107">
        <f>AV380-AV369</f>
        <v>-29.274239999999622</v>
      </c>
      <c r="AW381" s="107">
        <f>AW380-AW369</f>
        <v>-31.274239999999622</v>
      </c>
      <c r="AX381" s="107">
        <f>AX380-AX369</f>
        <v>-8.2742399999996223</v>
      </c>
      <c r="AY381" s="107">
        <f>AY380-AY369</f>
        <v>34.725760000000378</v>
      </c>
      <c r="AZ381" s="345">
        <f>AZ380-AZ369</f>
        <v>-17.274239999999985</v>
      </c>
      <c r="BA381" s="107">
        <f t="shared" ref="BA381:CD381" si="1121">BA380-BA369</f>
        <v>-90.720510404224001</v>
      </c>
      <c r="BB381" s="107">
        <f t="shared" si="1121"/>
        <v>-237.59147680140779</v>
      </c>
      <c r="BC381" s="107">
        <f t="shared" si="1121"/>
        <v>-117.14383839859181</v>
      </c>
      <c r="BD381" s="107">
        <f t="shared" si="1121"/>
        <v>-22.337595195776316</v>
      </c>
      <c r="BE381" s="345">
        <f t="shared" si="1121"/>
        <v>-154.54675999999992</v>
      </c>
      <c r="BF381" s="107">
        <f t="shared" si="1121"/>
        <v>43.830519999999865</v>
      </c>
      <c r="BG381" s="107">
        <f t="shared" si="1121"/>
        <v>-263.16948000000014</v>
      </c>
      <c r="BH381" s="107">
        <f t="shared" si="1121"/>
        <v>-237.16948000000014</v>
      </c>
      <c r="BI381" s="107">
        <f t="shared" si="1121"/>
        <v>-187.16948000000014</v>
      </c>
      <c r="BJ381" s="345">
        <f t="shared" si="1121"/>
        <v>-155.16948000000002</v>
      </c>
      <c r="BK381" s="107">
        <f t="shared" ref="BK381:BO381" si="1122">BK380-BK369</f>
        <v>49.285240000000044</v>
      </c>
      <c r="BL381" s="107">
        <f t="shared" si="1122"/>
        <v>12.285240000000044</v>
      </c>
      <c r="BM381" s="107">
        <f t="shared" si="1122"/>
        <v>1.2852400000000443</v>
      </c>
      <c r="BN381" s="107">
        <f t="shared" si="1122"/>
        <v>4.2852400000000443</v>
      </c>
      <c r="BO381" s="345">
        <f t="shared" si="1122"/>
        <v>14.285239999999988</v>
      </c>
      <c r="BP381" s="107">
        <f t="shared" si="1121"/>
        <v>45</v>
      </c>
      <c r="BQ381" s="107">
        <f t="shared" si="1121"/>
        <v>40</v>
      </c>
      <c r="BR381" s="107">
        <f t="shared" si="1121"/>
        <v>40</v>
      </c>
      <c r="BS381" s="107">
        <f t="shared" si="1121"/>
        <v>40</v>
      </c>
      <c r="BT381" s="345">
        <f t="shared" si="1121"/>
        <v>41.25</v>
      </c>
      <c r="BU381" s="107">
        <f t="shared" si="1121"/>
        <v>60</v>
      </c>
      <c r="BV381" s="13">
        <f t="shared" si="1121"/>
        <v>60</v>
      </c>
      <c r="BW381" s="107">
        <f t="shared" si="1121"/>
        <v>60</v>
      </c>
      <c r="BX381" s="107">
        <f t="shared" si="1121"/>
        <v>60</v>
      </c>
      <c r="BY381" s="345">
        <f t="shared" si="1121"/>
        <v>60</v>
      </c>
      <c r="BZ381" s="107">
        <f t="shared" si="1121"/>
        <v>60</v>
      </c>
      <c r="CA381" s="107">
        <f t="shared" si="1121"/>
        <v>60</v>
      </c>
      <c r="CB381" s="107">
        <f t="shared" si="1121"/>
        <v>60</v>
      </c>
      <c r="CC381" s="107">
        <f t="shared" si="1121"/>
        <v>60</v>
      </c>
      <c r="CD381" s="345">
        <f t="shared" si="1121"/>
        <v>60</v>
      </c>
    </row>
    <row r="382" spans="1:88">
      <c r="A382" s="376" t="s">
        <v>897</v>
      </c>
      <c r="B382" s="376"/>
      <c r="C382" s="376"/>
      <c r="D382" s="376"/>
      <c r="E382" s="376">
        <f>E164-E326-E380</f>
        <v>0</v>
      </c>
      <c r="F382" s="376">
        <f>F164-F326-F380</f>
        <v>0</v>
      </c>
      <c r="G382" s="376">
        <f>G164-G326-G380</f>
        <v>0</v>
      </c>
      <c r="H382" s="376"/>
      <c r="I382" s="376"/>
      <c r="J382" s="376"/>
      <c r="K382" s="376"/>
      <c r="L382" s="376">
        <f>L164-L326-L380</f>
        <v>0</v>
      </c>
      <c r="M382" s="376"/>
      <c r="N382" s="376"/>
      <c r="O382" s="376"/>
      <c r="P382" s="376"/>
      <c r="Q382" s="376">
        <f>Q164-Q326-Q380</f>
        <v>0</v>
      </c>
      <c r="R382" s="376"/>
      <c r="S382" s="376"/>
      <c r="T382" s="376"/>
      <c r="U382" s="376"/>
      <c r="V382" s="376">
        <f>V164-V326-V380</f>
        <v>0</v>
      </c>
      <c r="W382" s="376"/>
      <c r="X382" s="376"/>
      <c r="Y382" s="376"/>
      <c r="Z382" s="376"/>
      <c r="AA382" s="376">
        <f>AA164-AA326-AA380</f>
        <v>0</v>
      </c>
      <c r="AB382" s="376"/>
      <c r="AC382" s="376"/>
      <c r="AD382" s="376"/>
      <c r="AE382" s="376"/>
      <c r="AF382" s="376">
        <f>AF164-AF326-AF380</f>
        <v>0</v>
      </c>
      <c r="AG382" s="376"/>
      <c r="AH382" s="376"/>
      <c r="AI382" s="376"/>
      <c r="AJ382" s="376"/>
      <c r="AK382" s="376">
        <f>AK164-AK326-AK380</f>
        <v>0</v>
      </c>
      <c r="AL382" s="376"/>
      <c r="AM382" s="376"/>
      <c r="AN382" s="376"/>
      <c r="AO382" s="376"/>
      <c r="AP382" s="376">
        <f>AP164-AP326-AP380</f>
        <v>0</v>
      </c>
      <c r="AQ382" s="92">
        <f t="shared" ref="AQ382:CD382" si="1123">AQ164-AQ326-AQ380</f>
        <v>0</v>
      </c>
      <c r="AR382" s="92">
        <f t="shared" si="1123"/>
        <v>0</v>
      </c>
      <c r="AS382" s="92">
        <f t="shared" si="1123"/>
        <v>0</v>
      </c>
      <c r="AT382" s="92">
        <f t="shared" si="1123"/>
        <v>0</v>
      </c>
      <c r="AU382" s="376">
        <f t="shared" ref="AU382:AZ382" si="1124">AU164-AU326-AU380</f>
        <v>0</v>
      </c>
      <c r="AV382" s="92">
        <f t="shared" si="1124"/>
        <v>0</v>
      </c>
      <c r="AW382" s="92">
        <f t="shared" si="1124"/>
        <v>0</v>
      </c>
      <c r="AX382" s="92">
        <f t="shared" si="1124"/>
        <v>0</v>
      </c>
      <c r="AY382" s="92">
        <f t="shared" si="1124"/>
        <v>0</v>
      </c>
      <c r="AZ382" s="376">
        <f t="shared" si="1124"/>
        <v>3.6237679523765109E-13</v>
      </c>
      <c r="BA382" s="92">
        <f t="shared" si="1123"/>
        <v>0</v>
      </c>
      <c r="BB382" s="92">
        <f t="shared" si="1123"/>
        <v>0</v>
      </c>
      <c r="BC382" s="92">
        <f t="shared" si="1123"/>
        <v>0</v>
      </c>
      <c r="BD382" s="92">
        <f t="shared" si="1123"/>
        <v>0</v>
      </c>
      <c r="BE382" s="376">
        <f>BE164-BE326-BE380</f>
        <v>-1.4210854715202004E-13</v>
      </c>
      <c r="BF382" s="92">
        <f t="shared" si="1123"/>
        <v>0</v>
      </c>
      <c r="BG382" s="92">
        <f t="shared" si="1123"/>
        <v>0</v>
      </c>
      <c r="BH382" s="92">
        <f t="shared" si="1123"/>
        <v>0</v>
      </c>
      <c r="BI382" s="92">
        <f t="shared" si="1123"/>
        <v>0</v>
      </c>
      <c r="BJ382" s="376">
        <f t="shared" si="1123"/>
        <v>-1.1368683772161603E-13</v>
      </c>
      <c r="BK382" s="92">
        <f t="shared" ref="BK382:BO382" si="1125">BK164-BK326-BK380</f>
        <v>0</v>
      </c>
      <c r="BL382" s="92">
        <f t="shared" si="1125"/>
        <v>0</v>
      </c>
      <c r="BM382" s="92">
        <f t="shared" si="1125"/>
        <v>0</v>
      </c>
      <c r="BN382" s="92">
        <f t="shared" si="1125"/>
        <v>0</v>
      </c>
      <c r="BO382" s="376">
        <f t="shared" si="1125"/>
        <v>2.0000000000000568</v>
      </c>
      <c r="BP382" s="92">
        <f t="shared" si="1123"/>
        <v>0</v>
      </c>
      <c r="BQ382" s="92">
        <f t="shared" si="1123"/>
        <v>0</v>
      </c>
      <c r="BR382" s="92">
        <f t="shared" si="1123"/>
        <v>0</v>
      </c>
      <c r="BS382" s="92">
        <f t="shared" si="1123"/>
        <v>0</v>
      </c>
      <c r="BT382" s="376">
        <f t="shared" si="1123"/>
        <v>0</v>
      </c>
      <c r="BU382" s="92">
        <f t="shared" si="1123"/>
        <v>0</v>
      </c>
      <c r="BV382" s="92">
        <f t="shared" si="1123"/>
        <v>0</v>
      </c>
      <c r="BW382" s="92">
        <f t="shared" si="1123"/>
        <v>0</v>
      </c>
      <c r="BX382" s="92">
        <f t="shared" si="1123"/>
        <v>0</v>
      </c>
      <c r="BY382" s="376">
        <f t="shared" si="1123"/>
        <v>0</v>
      </c>
      <c r="BZ382" s="92">
        <f t="shared" si="1123"/>
        <v>0</v>
      </c>
      <c r="CA382" s="92">
        <f t="shared" si="1123"/>
        <v>0</v>
      </c>
      <c r="CB382" s="92">
        <f t="shared" si="1123"/>
        <v>0</v>
      </c>
      <c r="CC382" s="92">
        <f t="shared" si="1123"/>
        <v>0</v>
      </c>
      <c r="CD382" s="376">
        <f t="shared" si="1123"/>
        <v>0</v>
      </c>
    </row>
    <row r="384" spans="1:88">
      <c r="A384" s="289" t="s">
        <v>410</v>
      </c>
    </row>
    <row r="385" spans="1:82">
      <c r="A385" s="11"/>
      <c r="B385" s="22" t="s">
        <v>305</v>
      </c>
      <c r="C385" s="51"/>
      <c r="D385" s="51"/>
      <c r="E385" s="373">
        <f>(E122-E284)/E284</f>
        <v>0.12893351291784019</v>
      </c>
      <c r="F385" s="373">
        <f>(F122-F284)/F284</f>
        <v>9.8159840267659587E-2</v>
      </c>
      <c r="G385" s="373">
        <f>(G122-G284)/G284</f>
        <v>0.10657026092423738</v>
      </c>
      <c r="H385" s="374"/>
      <c r="I385" s="374"/>
      <c r="J385" s="374"/>
      <c r="K385" s="374"/>
      <c r="L385" s="373">
        <f t="shared" ref="L385:AO385" si="1126">(L122-L284)/L284</f>
        <v>0.10264423921059085</v>
      </c>
      <c r="M385" s="146">
        <f t="shared" si="1126"/>
        <v>0.32429520560244229</v>
      </c>
      <c r="N385" s="146">
        <f t="shared" si="1126"/>
        <v>0.17166457173639812</v>
      </c>
      <c r="O385" s="146">
        <f t="shared" si="1126"/>
        <v>-8.8705333093912583E-2</v>
      </c>
      <c r="P385" s="146">
        <f t="shared" si="1126"/>
        <v>0.11779493625426486</v>
      </c>
      <c r="Q385" s="373">
        <f t="shared" si="1126"/>
        <v>0.13126234512479817</v>
      </c>
      <c r="R385" s="146">
        <f t="shared" si="1126"/>
        <v>0.2230028623471246</v>
      </c>
      <c r="S385" s="146">
        <f t="shared" si="1126"/>
        <v>0.17616445485297941</v>
      </c>
      <c r="T385" s="146">
        <f t="shared" si="1126"/>
        <v>-1.1189175123601382E-2</v>
      </c>
      <c r="U385" s="146">
        <f t="shared" si="1126"/>
        <v>0.12412177985948475</v>
      </c>
      <c r="V385" s="373">
        <f t="shared" si="1126"/>
        <v>0.12412177985948475</v>
      </c>
      <c r="W385" s="146">
        <f t="shared" si="1126"/>
        <v>0.16387592643425727</v>
      </c>
      <c r="X385" s="146">
        <f t="shared" si="1126"/>
        <v>0.10348613779851749</v>
      </c>
      <c r="Y385" s="146">
        <f t="shared" si="1126"/>
        <v>9.2506176228383002E-2</v>
      </c>
      <c r="Z385" s="146">
        <f t="shared" si="1126"/>
        <v>0.20230579192972803</v>
      </c>
      <c r="AA385" s="373">
        <f t="shared" si="1126"/>
        <v>0.14191600329398826</v>
      </c>
      <c r="AB385" s="146">
        <f t="shared" si="1126"/>
        <v>0.35981278856492305</v>
      </c>
      <c r="AC385" s="146">
        <f t="shared" si="1126"/>
        <v>0.1637467585857946</v>
      </c>
      <c r="AD385" s="146">
        <f t="shared" si="1126"/>
        <v>-1.966985010435781E-2</v>
      </c>
      <c r="AE385" s="146">
        <f t="shared" si="1126"/>
        <v>-1.966985010435781E-2</v>
      </c>
      <c r="AF385" s="373">
        <f t="shared" si="1126"/>
        <v>0.1194737840743785</v>
      </c>
      <c r="AG385" s="146">
        <f t="shared" si="1126"/>
        <v>0.30780745292681</v>
      </c>
      <c r="AH385" s="146">
        <f t="shared" si="1126"/>
        <v>0.18963208067438739</v>
      </c>
      <c r="AI385" s="146">
        <f t="shared" si="1126"/>
        <v>-5.459702198061929E-2</v>
      </c>
      <c r="AJ385" s="146">
        <f t="shared" si="1126"/>
        <v>0.14236193177341835</v>
      </c>
      <c r="AK385" s="373">
        <f t="shared" si="1126"/>
        <v>0.14236193177341835</v>
      </c>
      <c r="AL385" s="146">
        <f t="shared" si="1126"/>
        <v>0.56847742922723787</v>
      </c>
      <c r="AM385" s="146">
        <f t="shared" si="1126"/>
        <v>0.51747003315480744</v>
      </c>
      <c r="AN385" s="146">
        <f t="shared" si="1126"/>
        <v>0.2114256567202244</v>
      </c>
      <c r="AO385" s="146">
        <f t="shared" si="1126"/>
        <v>0.27518490181076255</v>
      </c>
      <c r="AP385" s="373">
        <f>(AP122-AP284)/AP284</f>
        <v>0.38995154297373114</v>
      </c>
      <c r="AQ385" s="146">
        <f>(AQ122-AQ284)/AQ284</f>
        <v>0.37576265103481271</v>
      </c>
      <c r="AR385" s="146">
        <f>(AR122-AR284)/AR284</f>
        <v>0.16042588826414639</v>
      </c>
      <c r="AS385" s="146">
        <f>(AS122-AS284)/AS284</f>
        <v>-0.10276348845555693</v>
      </c>
      <c r="AT385" s="146">
        <f>(AT122-AT284)/AT284</f>
        <v>0.16042588826414639</v>
      </c>
      <c r="AU385" s="373">
        <f t="shared" ref="AU385:BW385" si="1127">(AU122-AU284)/AU284</f>
        <v>0.13649958128962789</v>
      </c>
      <c r="AV385" s="146">
        <f>(AV122-AV284)/AV284</f>
        <v>0.16024518388791575</v>
      </c>
      <c r="AW385" s="146">
        <f>(AW122-AW284)/AW284</f>
        <v>7.0052539404551915E-3</v>
      </c>
      <c r="AX385" s="146">
        <f>(AX122-AX284)/AX284</f>
        <v>-3.9404553415062779E-3</v>
      </c>
      <c r="AY385" s="146">
        <f>(AY122-AY284)/AY284</f>
        <v>-6.9614711033275101E-2</v>
      </c>
      <c r="AZ385" s="373">
        <f>(AZ122-AZ284)/AZ284</f>
        <v>2.8896672504378131E-2</v>
      </c>
      <c r="BA385" s="146">
        <f t="shared" si="1127"/>
        <v>-1.4691651271223733E-2</v>
      </c>
      <c r="BB385" s="146">
        <f t="shared" si="1127"/>
        <v>0.29321720770651888</v>
      </c>
      <c r="BC385" s="146">
        <f t="shared" si="1127"/>
        <v>-0.17304477874549135</v>
      </c>
      <c r="BD385" s="146">
        <f t="shared" si="1127"/>
        <v>0.15245887217383652</v>
      </c>
      <c r="BE385" s="373">
        <f t="shared" si="1127"/>
        <v>7.328230843670272E-2</v>
      </c>
      <c r="BF385" s="146">
        <f t="shared" ref="BF385:BI385" si="1128">(BF122-BF284)/BF284</f>
        <v>0.17648140148346944</v>
      </c>
      <c r="BG385" s="146">
        <f t="shared" si="1128"/>
        <v>7.5377531043483784E-2</v>
      </c>
      <c r="BH385" s="146">
        <f t="shared" si="1128"/>
        <v>2.9421226298035764E-2</v>
      </c>
      <c r="BI385" s="146">
        <f t="shared" si="1128"/>
        <v>0.12133383578893181</v>
      </c>
      <c r="BJ385" s="373">
        <f t="shared" si="1127"/>
        <v>0.1029513138907526</v>
      </c>
      <c r="BK385" s="146">
        <f t="shared" si="1127"/>
        <v>-0.138202365072466</v>
      </c>
      <c r="BL385" s="146">
        <f t="shared" si="1127"/>
        <v>-8.5745117729050871E-2</v>
      </c>
      <c r="BM385" s="146">
        <f t="shared" si="1127"/>
        <v>-7.8251225251420142E-2</v>
      </c>
      <c r="BN385" s="146">
        <f t="shared" si="1127"/>
        <v>-0.12321458011720453</v>
      </c>
      <c r="BO385" s="373">
        <f t="shared" si="1127"/>
        <v>-0.10822679516194307</v>
      </c>
      <c r="BP385" s="146">
        <f t="shared" si="1127"/>
        <v>-0.12342707619770547</v>
      </c>
      <c r="BQ385" s="146">
        <f t="shared" si="1127"/>
        <v>-0.12342707619770547</v>
      </c>
      <c r="BR385" s="146">
        <f t="shared" si="1127"/>
        <v>-0.12342707619770547</v>
      </c>
      <c r="BS385" s="146">
        <f t="shared" si="1127"/>
        <v>-0.12342707619770547</v>
      </c>
      <c r="BT385" s="373">
        <f t="shared" si="1127"/>
        <v>-0.12342707619770547</v>
      </c>
      <c r="BU385" s="146">
        <f t="shared" si="1127"/>
        <v>-0.11855364552459989</v>
      </c>
      <c r="BV385" s="146">
        <f t="shared" si="1127"/>
        <v>-0.11855364552459989</v>
      </c>
      <c r="BW385" s="146">
        <f t="shared" si="1127"/>
        <v>-0.11855364552459989</v>
      </c>
      <c r="BX385" s="146">
        <f t="shared" ref="BX385:CD385" si="1129">(BX122-BX284)/BX284</f>
        <v>-0.11855364552459989</v>
      </c>
      <c r="BY385" s="373">
        <f t="shared" si="1129"/>
        <v>-0.11855364552459989</v>
      </c>
      <c r="BZ385" s="146">
        <f t="shared" si="1129"/>
        <v>-0.11181367369415605</v>
      </c>
      <c r="CA385" s="146">
        <f t="shared" si="1129"/>
        <v>-0.11181367369415605</v>
      </c>
      <c r="CB385" s="146">
        <f t="shared" si="1129"/>
        <v>-0.11181367369415605</v>
      </c>
      <c r="CC385" s="146">
        <f t="shared" si="1129"/>
        <v>-0.11181367369415605</v>
      </c>
      <c r="CD385" s="373">
        <f t="shared" si="1129"/>
        <v>-0.11181367369415605</v>
      </c>
    </row>
    <row r="386" spans="1:82">
      <c r="A386" s="11"/>
      <c r="B386" s="98" t="s">
        <v>310</v>
      </c>
      <c r="C386" s="51"/>
      <c r="D386" s="51"/>
      <c r="E386" s="373">
        <f>(E127-E289)/E289</f>
        <v>2.2894001051961464E-2</v>
      </c>
      <c r="F386" s="373">
        <f>(F127-F289)/F289</f>
        <v>2.389594676346048E-2</v>
      </c>
      <c r="G386" s="373">
        <f>(G127-G289)/G289</f>
        <v>5.3505191307735359E-2</v>
      </c>
      <c r="H386" s="374"/>
      <c r="I386" s="374"/>
      <c r="J386" s="374"/>
      <c r="K386" s="374"/>
      <c r="L386" s="373">
        <f>(L127-L289)/L289</f>
        <v>3.7460744728578209E-2</v>
      </c>
      <c r="M386" s="374"/>
      <c r="N386" s="374"/>
      <c r="O386" s="374"/>
      <c r="P386" s="374"/>
      <c r="Q386" s="373">
        <f>(Q127-Q289)/Q289</f>
        <v>2.9461163034242972E-2</v>
      </c>
      <c r="R386" s="374"/>
      <c r="S386" s="374"/>
      <c r="T386" s="374"/>
      <c r="U386" s="374"/>
      <c r="V386" s="373">
        <f>(V127-V289)/V289</f>
        <v>2.7017893017404829E-2</v>
      </c>
      <c r="W386" s="374"/>
      <c r="X386" s="374"/>
      <c r="Y386" s="374"/>
      <c r="Z386" s="374"/>
      <c r="AA386" s="373">
        <f>(AA127-AA289)/AA289</f>
        <v>3.2097780913092254E-2</v>
      </c>
      <c r="AB386" s="374"/>
      <c r="AC386" s="374"/>
      <c r="AD386" s="374"/>
      <c r="AE386" s="374"/>
      <c r="AF386" s="373">
        <f>(AF127-AF289)/AF289</f>
        <v>4.5253747956450832E-2</v>
      </c>
      <c r="AG386" s="374"/>
      <c r="AH386" s="374"/>
      <c r="AI386" s="374"/>
      <c r="AJ386" s="374"/>
      <c r="AK386" s="373">
        <f t="shared" ref="AK386:CD386" si="1130">(AK127-AK289)/AK289</f>
        <v>3.1114737009087449E-2</v>
      </c>
      <c r="AL386" s="374"/>
      <c r="AM386" s="374"/>
      <c r="AN386" s="374"/>
      <c r="AO386" s="374"/>
      <c r="AP386" s="373">
        <f>(AP127-AP289)/AP289</f>
        <v>1.8441341946238907E-2</v>
      </c>
      <c r="AQ386" s="374"/>
      <c r="AR386" s="374"/>
      <c r="AS386" s="374"/>
      <c r="AT386" s="374"/>
      <c r="AU386" s="373">
        <f t="shared" si="1130"/>
        <v>1.0213452814961223E-2</v>
      </c>
      <c r="AV386" s="374"/>
      <c r="AW386" s="374"/>
      <c r="AX386" s="374"/>
      <c r="AY386" s="374"/>
      <c r="AZ386" s="373">
        <f>(AZ127-AZ289)/AZ289</f>
        <v>-2.5003291208402428E-2</v>
      </c>
      <c r="BA386" s="374"/>
      <c r="BB386" s="374"/>
      <c r="BC386" s="374"/>
      <c r="BD386" s="374"/>
      <c r="BE386" s="373">
        <f t="shared" si="1130"/>
        <v>-2.3044787821184267E-2</v>
      </c>
      <c r="BF386" s="374"/>
      <c r="BG386" s="374"/>
      <c r="BH386" s="374"/>
      <c r="BI386" s="374"/>
      <c r="BJ386" s="373">
        <f t="shared" si="1130"/>
        <v>1.1833789284799447E-3</v>
      </c>
      <c r="BK386" s="374"/>
      <c r="BL386" s="374"/>
      <c r="BM386" s="374"/>
      <c r="BN386" s="374"/>
      <c r="BO386" s="373">
        <f t="shared" si="1130"/>
        <v>4.4690354247471989E-2</v>
      </c>
      <c r="BP386" s="146">
        <f t="shared" si="1130"/>
        <v>4.4331220536916689E-2</v>
      </c>
      <c r="BQ386" s="146">
        <f t="shared" si="1130"/>
        <v>4.4331220536916689E-2</v>
      </c>
      <c r="BR386" s="146">
        <f t="shared" si="1130"/>
        <v>4.4331220536916689E-2</v>
      </c>
      <c r="BS386" s="146">
        <f t="shared" si="1130"/>
        <v>4.4331220536916689E-2</v>
      </c>
      <c r="BT386" s="373">
        <f t="shared" si="1130"/>
        <v>4.4331220536916689E-2</v>
      </c>
      <c r="BU386" s="146">
        <f t="shared" si="1130"/>
        <v>4.4682472942528507E-2</v>
      </c>
      <c r="BV386" s="146">
        <f t="shared" si="1130"/>
        <v>4.4682472942528507E-2</v>
      </c>
      <c r="BW386" s="146">
        <f t="shared" si="1130"/>
        <v>4.4682472942528507E-2</v>
      </c>
      <c r="BX386" s="146">
        <f t="shared" si="1130"/>
        <v>4.4682472942528507E-2</v>
      </c>
      <c r="BY386" s="373">
        <f t="shared" si="1130"/>
        <v>4.4682472942528507E-2</v>
      </c>
      <c r="BZ386" s="146">
        <f t="shared" si="1130"/>
        <v>4.6638501986240526E-2</v>
      </c>
      <c r="CA386" s="146">
        <f t="shared" si="1130"/>
        <v>4.6638501986240526E-2</v>
      </c>
      <c r="CB386" s="146">
        <f t="shared" si="1130"/>
        <v>4.6638501986240526E-2</v>
      </c>
      <c r="CC386" s="146">
        <f t="shared" si="1130"/>
        <v>4.6638501986240526E-2</v>
      </c>
      <c r="CD386" s="373">
        <f t="shared" si="1130"/>
        <v>4.6638501986240526E-2</v>
      </c>
    </row>
    <row r="387" spans="1:82">
      <c r="A387" s="11"/>
      <c r="B387" s="98" t="s">
        <v>1994</v>
      </c>
      <c r="C387" s="51"/>
      <c r="D387" s="51"/>
      <c r="E387" s="373">
        <f>(E136-E298)/E298</f>
        <v>5.7771979620259879E-2</v>
      </c>
      <c r="F387" s="373">
        <f>(F136-F298)/F298</f>
        <v>9.4653634153193542E-2</v>
      </c>
      <c r="G387" s="373">
        <f>(G136-G298)/G298</f>
        <v>0.16591619187649315</v>
      </c>
      <c r="H387" s="374"/>
      <c r="I387" s="374"/>
      <c r="J387" s="374"/>
      <c r="K387" s="374"/>
      <c r="L387" s="373">
        <f>(L136-L298)/L298</f>
        <v>0.14256942561679373</v>
      </c>
      <c r="M387" s="374"/>
      <c r="N387" s="374"/>
      <c r="O387" s="374"/>
      <c r="P387" s="374"/>
      <c r="Q387" s="373">
        <f>(Q136-Q298)/Q298</f>
        <v>0.18181106676058534</v>
      </c>
      <c r="R387" s="374"/>
      <c r="S387" s="374"/>
      <c r="T387" s="374"/>
      <c r="U387" s="374"/>
      <c r="V387" s="373">
        <f>(V136-V298)/V298</f>
        <v>0.13476399781665646</v>
      </c>
      <c r="W387" s="374"/>
      <c r="X387" s="374"/>
      <c r="Y387" s="374"/>
      <c r="Z387" s="374"/>
      <c r="AA387" s="373">
        <f>(AA136-AA298)/AA298</f>
        <v>0.19634892033202395</v>
      </c>
      <c r="AB387" s="374"/>
      <c r="AC387" s="374"/>
      <c r="AD387" s="374"/>
      <c r="AE387" s="374"/>
      <c r="AF387" s="373">
        <f>(AF136-AF298)/AF298</f>
        <v>0.12534241504405105</v>
      </c>
      <c r="AG387" s="374"/>
      <c r="AH387" s="374"/>
      <c r="AI387" s="374"/>
      <c r="AJ387" s="374"/>
      <c r="AK387" s="373">
        <f t="shared" ref="AK387:CD387" si="1131">(AK136-AK298)/AK298</f>
        <v>0.2261191901910464</v>
      </c>
      <c r="AL387" s="374"/>
      <c r="AM387" s="374"/>
      <c r="AN387" s="374"/>
      <c r="AO387" s="374"/>
      <c r="AP387" s="373">
        <f>(AP136-AP298)/AP298</f>
        <v>0.23779397606931632</v>
      </c>
      <c r="AQ387" s="374"/>
      <c r="AR387" s="374"/>
      <c r="AS387" s="374"/>
      <c r="AT387" s="374"/>
      <c r="AU387" s="373">
        <f t="shared" si="1131"/>
        <v>0.19563028594442225</v>
      </c>
      <c r="AV387" s="374"/>
      <c r="AW387" s="374"/>
      <c r="AX387" s="374"/>
      <c r="AY387" s="374"/>
      <c r="AZ387" s="373">
        <f>(AZ136-AZ298)/AZ298</f>
        <v>0.12577169834160534</v>
      </c>
      <c r="BA387" s="374"/>
      <c r="BB387" s="374"/>
      <c r="BC387" s="374"/>
      <c r="BD387" s="374"/>
      <c r="BE387" s="373">
        <f t="shared" si="1131"/>
        <v>0.15549284810742442</v>
      </c>
      <c r="BF387" s="374"/>
      <c r="BG387" s="374"/>
      <c r="BH387" s="374"/>
      <c r="BI387" s="374"/>
      <c r="BJ387" s="373">
        <f t="shared" si="1131"/>
        <v>0.10292209477344666</v>
      </c>
      <c r="BK387" s="374"/>
      <c r="BL387" s="374"/>
      <c r="BM387" s="374"/>
      <c r="BN387" s="374"/>
      <c r="BO387" s="373">
        <f t="shared" si="1131"/>
        <v>0.10746299770690021</v>
      </c>
      <c r="BP387" s="146">
        <f t="shared" si="1131"/>
        <v>0.14327673902141988</v>
      </c>
      <c r="BQ387" s="146">
        <f t="shared" si="1131"/>
        <v>7.163836951070994E-2</v>
      </c>
      <c r="BR387" s="146">
        <f t="shared" si="1131"/>
        <v>7.163836951070994E-2</v>
      </c>
      <c r="BS387" s="146">
        <f t="shared" si="1131"/>
        <v>7.163836951070994E-2</v>
      </c>
      <c r="BT387" s="373">
        <f t="shared" si="1131"/>
        <v>8.9547961888387415E-2</v>
      </c>
      <c r="BU387" s="146">
        <f t="shared" si="1131"/>
        <v>7.1133873950775348E-2</v>
      </c>
      <c r="BV387" s="146">
        <f t="shared" si="1131"/>
        <v>7.1133873950775348E-2</v>
      </c>
      <c r="BW387" s="146">
        <f t="shared" si="1131"/>
        <v>7.1133873950775348E-2</v>
      </c>
      <c r="BX387" s="146">
        <f t="shared" si="1131"/>
        <v>7.1133873950775348E-2</v>
      </c>
      <c r="BY387" s="373">
        <f t="shared" si="1131"/>
        <v>7.1133873950775348E-2</v>
      </c>
      <c r="BZ387" s="146">
        <f t="shared" si="1131"/>
        <v>7.1520526391074229E-2</v>
      </c>
      <c r="CA387" s="146">
        <f t="shared" si="1131"/>
        <v>7.1520526391074229E-2</v>
      </c>
      <c r="CB387" s="146">
        <f t="shared" si="1131"/>
        <v>7.1520526391074229E-2</v>
      </c>
      <c r="CC387" s="146">
        <f t="shared" si="1131"/>
        <v>7.1520526391074229E-2</v>
      </c>
      <c r="CD387" s="373">
        <f t="shared" si="1131"/>
        <v>7.1520526391074229E-2</v>
      </c>
    </row>
    <row r="388" spans="1:82">
      <c r="A388" s="11"/>
      <c r="B388" s="98" t="s">
        <v>120</v>
      </c>
      <c r="C388" s="51"/>
      <c r="D388" s="51"/>
      <c r="E388" s="373">
        <f>(E142-E304)/E304</f>
        <v>-5.5778982339569814E-2</v>
      </c>
      <c r="F388" s="373">
        <f>(F142-F304)/F304</f>
        <v>4.5580787453030659E-2</v>
      </c>
      <c r="G388" s="373">
        <f>(G142-G304)/G304</f>
        <v>-4.2879019908116253E-2</v>
      </c>
      <c r="H388" s="374"/>
      <c r="I388" s="374"/>
      <c r="J388" s="374"/>
      <c r="K388" s="374"/>
      <c r="L388" s="373">
        <f>(L142-L304)/L304</f>
        <v>-3.0289823490956647E-2</v>
      </c>
      <c r="M388" s="374"/>
      <c r="N388" s="374"/>
      <c r="O388" s="374"/>
      <c r="P388" s="374"/>
      <c r="Q388" s="373">
        <f>(Q142-Q304)/Q304</f>
        <v>-0.15897524368153179</v>
      </c>
      <c r="R388" s="374"/>
      <c r="S388" s="374"/>
      <c r="T388" s="374"/>
      <c r="U388" s="374"/>
      <c r="V388" s="373">
        <f>(V142-V304)/V304</f>
        <v>8.4233599498982237E-2</v>
      </c>
      <c r="W388" s="374"/>
      <c r="X388" s="374"/>
      <c r="Y388" s="374"/>
      <c r="Z388" s="374"/>
      <c r="AA388" s="373">
        <f>(AA142-AA304)/AA304</f>
        <v>9.2581943645773615E-2</v>
      </c>
      <c r="AB388" s="374"/>
      <c r="AC388" s="374"/>
      <c r="AD388" s="374"/>
      <c r="AE388" s="374"/>
      <c r="AF388" s="373">
        <f>(AF142-AF304)/AF304</f>
        <v>0.12339026395104566</v>
      </c>
      <c r="AG388" s="374"/>
      <c r="AH388" s="374"/>
      <c r="AI388" s="374"/>
      <c r="AJ388" s="374"/>
      <c r="AK388" s="373">
        <f t="shared" ref="AK388:CD388" si="1132">(AK142-AK304)/AK304</f>
        <v>0.13629567609592722</v>
      </c>
      <c r="AL388" s="374"/>
      <c r="AM388" s="374"/>
      <c r="AN388" s="374"/>
      <c r="AO388" s="374"/>
      <c r="AP388" s="373">
        <f>(AP142-AP304)/AP304</f>
        <v>3.0454522266999944E-2</v>
      </c>
      <c r="AQ388" s="374"/>
      <c r="AR388" s="374"/>
      <c r="AS388" s="374"/>
      <c r="AT388" s="374"/>
      <c r="AU388" s="373">
        <f t="shared" si="1132"/>
        <v>-1.7303340875814649E-3</v>
      </c>
      <c r="AV388" s="374"/>
      <c r="AW388" s="374"/>
      <c r="AX388" s="374"/>
      <c r="AY388" s="374"/>
      <c r="AZ388" s="373">
        <f>(AZ142-AZ304)/AZ304</f>
        <v>-3.6824843276455972E-2</v>
      </c>
      <c r="BA388" s="374"/>
      <c r="BB388" s="374"/>
      <c r="BC388" s="374"/>
      <c r="BD388" s="374"/>
      <c r="BE388" s="373">
        <f t="shared" si="1132"/>
        <v>4.0666498722426048E-3</v>
      </c>
      <c r="BF388" s="374"/>
      <c r="BG388" s="374"/>
      <c r="BH388" s="374"/>
      <c r="BI388" s="374"/>
      <c r="BJ388" s="373">
        <f t="shared" si="1132"/>
        <v>7.0717168351291243E-3</v>
      </c>
      <c r="BK388" s="374"/>
      <c r="BL388" s="374"/>
      <c r="BM388" s="374"/>
      <c r="BN388" s="374"/>
      <c r="BO388" s="373">
        <f t="shared" si="1132"/>
        <v>3.1010230179028212E-2</v>
      </c>
      <c r="BP388" s="146">
        <f t="shared" si="1132"/>
        <v>4.2975632816193217E-2</v>
      </c>
      <c r="BQ388" s="146">
        <f t="shared" si="1132"/>
        <v>4.2975632816193217E-2</v>
      </c>
      <c r="BR388" s="146">
        <f t="shared" si="1132"/>
        <v>4.2975632816193217E-2</v>
      </c>
      <c r="BS388" s="146">
        <f t="shared" si="1132"/>
        <v>4.2975632816193217E-2</v>
      </c>
      <c r="BT388" s="373">
        <f t="shared" si="1132"/>
        <v>4.2975632816193217E-2</v>
      </c>
      <c r="BU388" s="146">
        <f t="shared" si="1132"/>
        <v>4.6840601433322387E-2</v>
      </c>
      <c r="BV388" s="146">
        <f t="shared" si="1132"/>
        <v>4.6840601433322387E-2</v>
      </c>
      <c r="BW388" s="146">
        <f t="shared" si="1132"/>
        <v>4.6840601433322387E-2</v>
      </c>
      <c r="BX388" s="146">
        <f t="shared" si="1132"/>
        <v>4.6840601433322387E-2</v>
      </c>
      <c r="BY388" s="373">
        <f t="shared" si="1132"/>
        <v>4.6840601433322387E-2</v>
      </c>
      <c r="BZ388" s="146">
        <f t="shared" si="1132"/>
        <v>4.9701789264413515E-2</v>
      </c>
      <c r="CA388" s="146">
        <f t="shared" si="1132"/>
        <v>4.9701789264413515E-2</v>
      </c>
      <c r="CB388" s="146">
        <f t="shared" si="1132"/>
        <v>4.9701789264413515E-2</v>
      </c>
      <c r="CC388" s="146">
        <f t="shared" si="1132"/>
        <v>4.9701789264413515E-2</v>
      </c>
      <c r="CD388" s="373">
        <f t="shared" si="1132"/>
        <v>4.9701789264413515E-2</v>
      </c>
    </row>
    <row r="389" spans="1:82">
      <c r="A389" s="11"/>
      <c r="B389" s="98" t="s">
        <v>2462</v>
      </c>
      <c r="C389" s="51"/>
      <c r="D389" s="51"/>
      <c r="E389" s="373">
        <f>(E157-E319)/E319</f>
        <v>1.0666925164792558</v>
      </c>
      <c r="F389" s="373">
        <f>(F157-F319)/F319</f>
        <v>3.2477093714836838</v>
      </c>
      <c r="G389" s="373">
        <f>(G157-G319)/G319</f>
        <v>3.0963014654570835</v>
      </c>
      <c r="H389" s="374"/>
      <c r="I389" s="374"/>
      <c r="J389" s="374"/>
      <c r="K389" s="374"/>
      <c r="L389" s="373">
        <f>(L157-L319)/L319</f>
        <v>2.2451602581195669</v>
      </c>
      <c r="M389" s="374"/>
      <c r="N389" s="374"/>
      <c r="O389" s="374"/>
      <c r="P389" s="374"/>
      <c r="Q389" s="373">
        <f>(Q157-Q319)/Q319</f>
        <v>1.946950222014489</v>
      </c>
      <c r="R389" s="374"/>
      <c r="S389" s="374"/>
      <c r="T389" s="374"/>
      <c r="U389" s="374"/>
      <c r="V389" s="373">
        <f>(V157-V319)/V319</f>
        <v>2.5842950479330762</v>
      </c>
      <c r="W389" s="374"/>
      <c r="X389" s="374"/>
      <c r="Y389" s="374"/>
      <c r="Z389" s="374"/>
      <c r="AA389" s="373">
        <f>(AA157-AA319)/AA319</f>
        <v>2.6565324568611337</v>
      </c>
      <c r="AB389" s="374"/>
      <c r="AC389" s="374"/>
      <c r="AD389" s="374"/>
      <c r="AE389" s="374"/>
      <c r="AF389" s="373">
        <f>(AF157-AF319)/AF319</f>
        <v>2.5584582049012741</v>
      </c>
      <c r="AG389" s="374"/>
      <c r="AH389" s="374"/>
      <c r="AI389" s="374"/>
      <c r="AJ389" s="374"/>
      <c r="AK389" s="373">
        <f t="shared" ref="AK389:CD389" si="1133">(AK157-AK319)/AK319</f>
        <v>2.4485699664524931</v>
      </c>
      <c r="AL389" s="374"/>
      <c r="AM389" s="374"/>
      <c r="AN389" s="374"/>
      <c r="AO389" s="374"/>
      <c r="AP389" s="373">
        <f>(AP157-AP319)/AP319</f>
        <v>2.4146614751113478</v>
      </c>
      <c r="AQ389" s="374"/>
      <c r="AR389" s="374"/>
      <c r="AS389" s="374"/>
      <c r="AT389" s="374"/>
      <c r="AU389" s="373">
        <f t="shared" si="1133"/>
        <v>0.24398592562548466</v>
      </c>
      <c r="AV389" s="374"/>
      <c r="AW389" s="374"/>
      <c r="AX389" s="374"/>
      <c r="AY389" s="374"/>
      <c r="AZ389" s="373">
        <f>(AZ157-AZ319)/AZ319</f>
        <v>4.9360726273868519E-2</v>
      </c>
      <c r="BA389" s="374"/>
      <c r="BB389" s="374"/>
      <c r="BC389" s="374"/>
      <c r="BD389" s="374"/>
      <c r="BE389" s="373">
        <f t="shared" si="1133"/>
        <v>-9.6279626468819185E-2</v>
      </c>
      <c r="BF389" s="374"/>
      <c r="BG389" s="374"/>
      <c r="BH389" s="374"/>
      <c r="BI389" s="374"/>
      <c r="BJ389" s="373">
        <f t="shared" si="1133"/>
        <v>-7.3441326609452615E-2</v>
      </c>
      <c r="BK389" s="374"/>
      <c r="BL389" s="374"/>
      <c r="BM389" s="374"/>
      <c r="BN389" s="374"/>
      <c r="BO389" s="373">
        <f t="shared" si="1133"/>
        <v>0.11237860798134304</v>
      </c>
      <c r="BP389" s="146">
        <f t="shared" si="1133"/>
        <v>0.11607564227270152</v>
      </c>
      <c r="BQ389" s="146">
        <f t="shared" si="1133"/>
        <v>0.11607564227270152</v>
      </c>
      <c r="BR389" s="146">
        <f t="shared" si="1133"/>
        <v>0.11607564227270152</v>
      </c>
      <c r="BS389" s="146">
        <f t="shared" si="1133"/>
        <v>0.11607564227270152</v>
      </c>
      <c r="BT389" s="373">
        <f t="shared" si="1133"/>
        <v>0.11607564227270152</v>
      </c>
      <c r="BU389" s="146">
        <f t="shared" si="1133"/>
        <v>0.12130426361568766</v>
      </c>
      <c r="BV389" s="146">
        <f t="shared" si="1133"/>
        <v>0.12130426361568766</v>
      </c>
      <c r="BW389" s="146">
        <f t="shared" si="1133"/>
        <v>0.12130426361568766</v>
      </c>
      <c r="BX389" s="146">
        <f t="shared" si="1133"/>
        <v>0.12130426361568766</v>
      </c>
      <c r="BY389" s="373">
        <f t="shared" si="1133"/>
        <v>0.12130426361568766</v>
      </c>
      <c r="BZ389" s="146">
        <f t="shared" si="1133"/>
        <v>0.10080238509531396</v>
      </c>
      <c r="CA389" s="146">
        <f t="shared" si="1133"/>
        <v>0.10080238509531396</v>
      </c>
      <c r="CB389" s="146">
        <f t="shared" si="1133"/>
        <v>0.10080238509531396</v>
      </c>
      <c r="CC389" s="146">
        <f t="shared" si="1133"/>
        <v>0.10080238509531396</v>
      </c>
      <c r="CD389" s="373">
        <f t="shared" si="1133"/>
        <v>0.10080238509531396</v>
      </c>
    </row>
    <row r="390" spans="1:82">
      <c r="A390" s="11"/>
      <c r="B390" s="98" t="s">
        <v>3402</v>
      </c>
      <c r="C390" s="51"/>
      <c r="D390" s="51"/>
      <c r="E390" s="373">
        <f>(E162-E324)/E324</f>
        <v>0.10588885816975389</v>
      </c>
      <c r="F390" s="373">
        <f>(F162-F324)/F324</f>
        <v>0.16959064327485376</v>
      </c>
      <c r="G390" s="373">
        <f>(G162-G324)/G324</f>
        <v>0.15681233933161964</v>
      </c>
      <c r="H390" s="374"/>
      <c r="I390" s="374"/>
      <c r="J390" s="374"/>
      <c r="K390" s="374"/>
      <c r="L390" s="373">
        <f>(L162-L324)/L324</f>
        <v>0.19760479041916165</v>
      </c>
      <c r="M390" s="374"/>
      <c r="N390" s="374"/>
      <c r="O390" s="374"/>
      <c r="P390" s="374"/>
      <c r="Q390" s="373">
        <f>(Q162-Q324)/Q324</f>
        <v>0.17281821317695764</v>
      </c>
      <c r="R390" s="374"/>
      <c r="S390" s="374"/>
      <c r="T390" s="374"/>
      <c r="U390" s="374"/>
      <c r="V390" s="373">
        <f>(V162-V324)/V324</f>
        <v>0.1595361855257896</v>
      </c>
      <c r="W390" s="374"/>
      <c r="X390" s="374"/>
      <c r="Y390" s="374"/>
      <c r="Z390" s="374"/>
      <c r="AA390" s="373">
        <f>(AA162-AA324)/AA324</f>
        <v>0.18773946360153265</v>
      </c>
      <c r="AB390" s="374"/>
      <c r="AC390" s="374"/>
      <c r="AD390" s="374"/>
      <c r="AE390" s="374"/>
      <c r="AF390" s="373">
        <f>(AF162-AF324)/AF324</f>
        <v>0.19136262099776638</v>
      </c>
      <c r="AG390" s="374"/>
      <c r="AH390" s="374"/>
      <c r="AI390" s="374"/>
      <c r="AJ390" s="374"/>
      <c r="AK390" s="373">
        <f t="shared" ref="AK390:CD390" si="1134">(AK162-AK324)/AK324</f>
        <v>0.27226463104325688</v>
      </c>
      <c r="AL390" s="374"/>
      <c r="AM390" s="374"/>
      <c r="AN390" s="374"/>
      <c r="AO390" s="374"/>
      <c r="AP390" s="373">
        <f>(AP162-AP324)/AP324</f>
        <v>0.24768946395563768</v>
      </c>
      <c r="AQ390" s="374"/>
      <c r="AR390" s="374"/>
      <c r="AS390" s="374"/>
      <c r="AT390" s="374"/>
      <c r="AU390" s="373">
        <f t="shared" si="1134"/>
        <v>0.21951219512195122</v>
      </c>
      <c r="AV390" s="374"/>
      <c r="AW390" s="374"/>
      <c r="AX390" s="374"/>
      <c r="AY390" s="374"/>
      <c r="AZ390" s="373">
        <f>(AZ162-AZ324)/AZ324</f>
        <v>0.18662351672060415</v>
      </c>
      <c r="BA390" s="374"/>
      <c r="BB390" s="374"/>
      <c r="BC390" s="374"/>
      <c r="BD390" s="374"/>
      <c r="BE390" s="373">
        <f t="shared" si="1134"/>
        <v>0.18764845605700714</v>
      </c>
      <c r="BF390" s="374"/>
      <c r="BG390" s="374"/>
      <c r="BH390" s="374"/>
      <c r="BI390" s="374"/>
      <c r="BJ390" s="373">
        <f t="shared" si="1134"/>
        <v>0.14678899082568822</v>
      </c>
      <c r="BK390" s="374"/>
      <c r="BL390" s="374"/>
      <c r="BM390" s="374"/>
      <c r="BN390" s="374"/>
      <c r="BO390" s="373">
        <f t="shared" si="1134"/>
        <v>9.0700344431687605E-2</v>
      </c>
      <c r="BP390" s="146">
        <f t="shared" si="1134"/>
        <v>0.3117206982543641</v>
      </c>
      <c r="BQ390" s="146">
        <f t="shared" si="1134"/>
        <v>0.3117206982543641</v>
      </c>
      <c r="BR390" s="146">
        <f t="shared" si="1134"/>
        <v>0.3117206982543641</v>
      </c>
      <c r="BS390" s="146">
        <f t="shared" si="1134"/>
        <v>0.3117206982543641</v>
      </c>
      <c r="BT390" s="373">
        <f t="shared" si="1134"/>
        <v>0.3117206982543641</v>
      </c>
      <c r="BU390" s="146">
        <f t="shared" si="1134"/>
        <v>0.34317089910775583</v>
      </c>
      <c r="BV390" s="146">
        <f t="shared" si="1134"/>
        <v>0.34317089910775583</v>
      </c>
      <c r="BW390" s="146">
        <f t="shared" si="1134"/>
        <v>0.34317089910775583</v>
      </c>
      <c r="BX390" s="146">
        <f t="shared" si="1134"/>
        <v>0.34317089910775583</v>
      </c>
      <c r="BY390" s="373">
        <f t="shared" si="1134"/>
        <v>0.34317089910775583</v>
      </c>
      <c r="BZ390" s="146">
        <f t="shared" si="1134"/>
        <v>0.35868005738880915</v>
      </c>
      <c r="CA390" s="146">
        <f t="shared" si="1134"/>
        <v>0.35868005738880915</v>
      </c>
      <c r="CB390" s="146">
        <f t="shared" si="1134"/>
        <v>0.35868005738880915</v>
      </c>
      <c r="CC390" s="146">
        <f t="shared" si="1134"/>
        <v>0.35868005738880915</v>
      </c>
      <c r="CD390" s="373">
        <f t="shared" si="1134"/>
        <v>0.35868005738880915</v>
      </c>
    </row>
    <row r="393" spans="1:82">
      <c r="AW393" s="48"/>
      <c r="AX393" s="48"/>
      <c r="AY393" s="48"/>
      <c r="BA393" s="422"/>
      <c r="BB393" s="422"/>
      <c r="BC393" s="422"/>
      <c r="BD393" s="422"/>
      <c r="BE393" s="48"/>
      <c r="BJ393" s="48"/>
    </row>
  </sheetData>
  <phoneticPr fontId="14" type="noConversion"/>
  <pageMargins left="0.75" right="0.75" top="1" bottom="1" header="0.5" footer="0.5"/>
  <pageSetup paperSize="9" scale="47" fitToHeight="0" orientation="landscape" r:id="rId1"/>
  <headerFooter alignWithMargins="0"/>
  <rowBreaks count="6" manualBreakCount="6">
    <brk id="59" max="16383" man="1"/>
    <brk id="113" max="16383" man="1"/>
    <brk id="167" max="16383" man="1"/>
    <brk id="221" max="16383" man="1"/>
    <brk id="275" max="16383" man="1"/>
    <brk id="329" max="16383" man="1"/>
  </row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indexed="24"/>
    <pageSetUpPr fitToPage="1"/>
  </sheetPr>
  <dimension ref="A1:CL400"/>
  <sheetViews>
    <sheetView zoomScale="85" zoomScaleNormal="85" workbookViewId="0">
      <pane xSplit="2" ySplit="9" topLeftCell="AF10" activePane="bottomRight" state="frozen"/>
      <selection sqref="A1:IV65536"/>
      <selection pane="topRight" sqref="A1:IV65536"/>
      <selection pane="bottomLeft" sqref="A1:IV65536"/>
      <selection pane="bottomRight" sqref="A1:XFD1048576"/>
    </sheetView>
  </sheetViews>
  <sheetFormatPr defaultColWidth="9.7109375" defaultRowHeight="12.75" outlineLevelCol="1"/>
  <cols>
    <col min="1" max="1" width="3.7109375" customWidth="1"/>
    <col min="2" max="2" width="35.7109375" customWidth="1"/>
    <col min="3" max="7" width="9.7109375" customWidth="1"/>
    <col min="8" max="11" width="9.7109375" hidden="1" customWidth="1" outlineLevel="1"/>
    <col min="12" max="12" width="9.7109375" customWidth="1" collapsed="1"/>
    <col min="13" max="16" width="9.7109375" hidden="1" customWidth="1" outlineLevel="1"/>
    <col min="17" max="17" width="9.7109375" customWidth="1" collapsed="1"/>
    <col min="18" max="21" width="9.7109375" hidden="1" customWidth="1" outlineLevel="1"/>
    <col min="22" max="22" width="9.7109375" customWidth="1" collapsed="1"/>
    <col min="23" max="26" width="9.7109375" hidden="1" customWidth="1" outlineLevel="1"/>
    <col min="27" max="27" width="9.7109375" customWidth="1" collapsed="1"/>
    <col min="28" max="31" width="9.7109375" hidden="1" customWidth="1" outlineLevel="1"/>
    <col min="32" max="32" width="9.7109375" customWidth="1" collapsed="1"/>
    <col min="33" max="36" width="9.7109375" hidden="1" customWidth="1" outlineLevel="1"/>
    <col min="37" max="37" width="9.7109375" customWidth="1" collapsed="1"/>
    <col min="38" max="41" width="9.7109375" hidden="1" customWidth="1" outlineLevel="1"/>
    <col min="42" max="42" width="9.7109375" customWidth="1" collapsed="1"/>
    <col min="43" max="46" width="9.7109375" hidden="1" customWidth="1" outlineLevel="1"/>
    <col min="47" max="47" width="9.7109375" customWidth="1" collapsed="1"/>
    <col min="48" max="51" width="9.7109375" hidden="1" customWidth="1" outlineLevel="1"/>
    <col min="52" max="52" width="9.7109375" customWidth="1" collapsed="1"/>
    <col min="53" max="56" width="9.7109375" hidden="1" customWidth="1" outlineLevel="1"/>
    <col min="57" max="57" width="9.7109375" customWidth="1" collapsed="1"/>
    <col min="58" max="61" width="9.7109375" hidden="1" customWidth="1" outlineLevel="1"/>
    <col min="62" max="62" width="9.7109375" customWidth="1" collapsed="1"/>
    <col min="63" max="66" width="9.7109375" hidden="1" customWidth="1" outlineLevel="1"/>
    <col min="67" max="67" width="9.7109375" customWidth="1" collapsed="1"/>
    <col min="68" max="71" width="9.7109375" customWidth="1" outlineLevel="1"/>
    <col min="72" max="72" width="9.7109375" customWidth="1"/>
    <col min="73" max="76" width="9.7109375" hidden="1" customWidth="1" outlineLevel="1"/>
    <col min="77" max="77" width="9.7109375" customWidth="1" collapsed="1"/>
    <col min="78" max="81" width="9.7109375" hidden="1" customWidth="1" outlineLevel="1"/>
    <col min="82" max="82" width="9.7109375" customWidth="1" collapsed="1"/>
    <col min="84" max="84" width="0" hidden="1" customWidth="1"/>
    <col min="85" max="88" width="9.7109375" hidden="1" customWidth="1"/>
  </cols>
  <sheetData>
    <row r="1" spans="1:90" ht="12.75" customHeight="1">
      <c r="A1" s="1"/>
      <c r="B1" s="1"/>
      <c r="C1" s="1"/>
      <c r="D1" s="2"/>
      <c r="E1" s="2"/>
      <c r="F1" s="2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3"/>
      <c r="T1" s="3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 t="s">
        <v>3421</v>
      </c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</row>
    <row r="2" spans="1:90" ht="18" customHeight="1">
      <c r="A2" s="1"/>
      <c r="B2" s="20" t="s">
        <v>3369</v>
      </c>
      <c r="C2" s="1"/>
      <c r="D2" s="2"/>
      <c r="E2" s="2"/>
      <c r="F2" s="2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3"/>
      <c r="T2" s="3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 t="s">
        <v>3421</v>
      </c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</row>
    <row r="3" spans="1:90" ht="12.75" customHeight="1">
      <c r="A3" s="1"/>
      <c r="B3" s="21" t="s">
        <v>2849</v>
      </c>
      <c r="C3" s="1"/>
      <c r="D3" s="2"/>
      <c r="E3" s="2"/>
      <c r="F3" s="2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3"/>
      <c r="T3" s="3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 t="s">
        <v>3421</v>
      </c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</row>
    <row r="4" spans="1:90" ht="12.75" customHeight="1">
      <c r="A4" s="1"/>
      <c r="B4" s="1"/>
      <c r="C4" s="1"/>
      <c r="D4" s="2"/>
      <c r="E4" s="2"/>
      <c r="F4" s="2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3"/>
      <c r="T4" s="3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 t="s">
        <v>3421</v>
      </c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</row>
    <row r="5" spans="1:90" ht="12.75" customHeight="1">
      <c r="A5" s="4"/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</row>
    <row r="6" spans="1:90" ht="12.75" customHeight="1">
      <c r="A6" s="42" t="s">
        <v>303</v>
      </c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421"/>
      <c r="AW6" s="421"/>
      <c r="AX6" s="421"/>
      <c r="AY6" s="421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</row>
    <row r="7" spans="1:90" ht="12.75" customHeight="1">
      <c r="A7" s="5"/>
      <c r="B7" s="4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</row>
    <row r="8" spans="1:90" ht="12.75" customHeight="1">
      <c r="A8" s="24" t="s">
        <v>1960</v>
      </c>
      <c r="B8" s="4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</row>
    <row r="9" spans="1:90" ht="12.75" customHeight="1">
      <c r="A9" s="10"/>
      <c r="B9" s="10"/>
      <c r="C9" s="31">
        <v>2001</v>
      </c>
      <c r="D9" s="32">
        <v>2002</v>
      </c>
      <c r="E9" s="32">
        <v>2003</v>
      </c>
      <c r="F9" s="32">
        <v>2004</v>
      </c>
      <c r="G9" s="31">
        <v>2005</v>
      </c>
      <c r="H9" s="33" t="s">
        <v>714</v>
      </c>
      <c r="I9" s="33" t="s">
        <v>715</v>
      </c>
      <c r="J9" s="33" t="s">
        <v>716</v>
      </c>
      <c r="K9" s="33" t="s">
        <v>717</v>
      </c>
      <c r="L9" s="31">
        <v>2006</v>
      </c>
      <c r="M9" s="33" t="s">
        <v>718</v>
      </c>
      <c r="N9" s="33" t="s">
        <v>719</v>
      </c>
      <c r="O9" s="33" t="s">
        <v>1970</v>
      </c>
      <c r="P9" s="33" t="s">
        <v>1971</v>
      </c>
      <c r="Q9" s="31">
        <v>2007</v>
      </c>
      <c r="R9" s="33" t="s">
        <v>1972</v>
      </c>
      <c r="S9" s="33" t="s">
        <v>1973</v>
      </c>
      <c r="T9" s="33" t="s">
        <v>1974</v>
      </c>
      <c r="U9" s="33" t="s">
        <v>1975</v>
      </c>
      <c r="V9" s="31">
        <v>2008</v>
      </c>
      <c r="W9" s="33" t="s">
        <v>1976</v>
      </c>
      <c r="X9" s="33" t="s">
        <v>1977</v>
      </c>
      <c r="Y9" s="33" t="s">
        <v>1978</v>
      </c>
      <c r="Z9" s="33" t="s">
        <v>1979</v>
      </c>
      <c r="AA9" s="31">
        <v>2009</v>
      </c>
      <c r="AB9" s="33" t="s">
        <v>1980</v>
      </c>
      <c r="AC9" s="33" t="s">
        <v>1981</v>
      </c>
      <c r="AD9" s="33" t="s">
        <v>1982</v>
      </c>
      <c r="AE9" s="33" t="s">
        <v>2392</v>
      </c>
      <c r="AF9" s="31">
        <v>2010</v>
      </c>
      <c r="AG9" s="33" t="s">
        <v>2393</v>
      </c>
      <c r="AH9" s="33" t="s">
        <v>2394</v>
      </c>
      <c r="AI9" s="33" t="s">
        <v>2395</v>
      </c>
      <c r="AJ9" s="368" t="s">
        <v>2396</v>
      </c>
      <c r="AK9" s="369">
        <v>2011</v>
      </c>
      <c r="AL9" s="33" t="s">
        <v>2397</v>
      </c>
      <c r="AM9" s="33" t="s">
        <v>2398</v>
      </c>
      <c r="AN9" s="33" t="s">
        <v>2399</v>
      </c>
      <c r="AO9" s="368" t="s">
        <v>2400</v>
      </c>
      <c r="AP9" s="369">
        <v>2012</v>
      </c>
      <c r="AQ9" s="368" t="s">
        <v>2401</v>
      </c>
      <c r="AR9" s="368" t="s">
        <v>2402</v>
      </c>
      <c r="AS9" s="368" t="s">
        <v>2403</v>
      </c>
      <c r="AT9" s="368" t="s">
        <v>2404</v>
      </c>
      <c r="AU9" s="369">
        <v>2013</v>
      </c>
      <c r="AV9" s="368" t="s">
        <v>2405</v>
      </c>
      <c r="AW9" s="368" t="s">
        <v>2406</v>
      </c>
      <c r="AX9" s="368" t="s">
        <v>2407</v>
      </c>
      <c r="AY9" s="368" t="s">
        <v>2408</v>
      </c>
      <c r="AZ9" s="369">
        <v>2014</v>
      </c>
      <c r="BA9" s="368" t="s">
        <v>2409</v>
      </c>
      <c r="BB9" s="368" t="s">
        <v>2410</v>
      </c>
      <c r="BC9" s="368" t="s">
        <v>2411</v>
      </c>
      <c r="BD9" s="368" t="s">
        <v>2412</v>
      </c>
      <c r="BE9" s="31">
        <v>2015</v>
      </c>
      <c r="BF9" s="368" t="s">
        <v>2413</v>
      </c>
      <c r="BG9" s="368" t="s">
        <v>2414</v>
      </c>
      <c r="BH9" s="368" t="s">
        <v>2415</v>
      </c>
      <c r="BI9" s="368" t="s">
        <v>2416</v>
      </c>
      <c r="BJ9" s="31">
        <v>2016</v>
      </c>
      <c r="BK9" s="368" t="s">
        <v>2417</v>
      </c>
      <c r="BL9" s="368" t="s">
        <v>2418</v>
      </c>
      <c r="BM9" s="368" t="s">
        <v>2419</v>
      </c>
      <c r="BN9" s="363" t="s">
        <v>2420</v>
      </c>
      <c r="BO9" s="31">
        <v>2017</v>
      </c>
      <c r="BP9" s="363" t="s">
        <v>2244</v>
      </c>
      <c r="BQ9" s="363" t="s">
        <v>2245</v>
      </c>
      <c r="BR9" s="363" t="s">
        <v>2508</v>
      </c>
      <c r="BS9" s="363" t="s">
        <v>2509</v>
      </c>
      <c r="BT9" s="364">
        <v>2018</v>
      </c>
      <c r="BU9" s="363" t="s">
        <v>2510</v>
      </c>
      <c r="BV9" s="363" t="s">
        <v>2511</v>
      </c>
      <c r="BW9" s="363" t="s">
        <v>3125</v>
      </c>
      <c r="BX9" s="363" t="s">
        <v>1405</v>
      </c>
      <c r="BY9" s="364">
        <v>2019</v>
      </c>
      <c r="BZ9" s="363" t="s">
        <v>1406</v>
      </c>
      <c r="CA9" s="363" t="s">
        <v>1407</v>
      </c>
      <c r="CB9" s="363" t="s">
        <v>1408</v>
      </c>
      <c r="CC9" s="363" t="s">
        <v>1409</v>
      </c>
      <c r="CD9" s="364">
        <v>2020</v>
      </c>
      <c r="CE9" s="11"/>
      <c r="CF9" s="11"/>
      <c r="CG9" s="11"/>
      <c r="CH9" s="11"/>
      <c r="CI9" s="11"/>
    </row>
    <row r="10" spans="1:90" ht="12.75" customHeight="1">
      <c r="A10" s="39" t="s">
        <v>305</v>
      </c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5"/>
      <c r="CF10" s="5"/>
      <c r="CG10" s="5"/>
      <c r="CH10" s="5"/>
      <c r="CI10" s="5"/>
    </row>
    <row r="11" spans="1:90" ht="12.75" customHeight="1">
      <c r="A11" s="11"/>
      <c r="B11" s="11" t="s">
        <v>1281</v>
      </c>
      <c r="C11" s="11">
        <v>1713</v>
      </c>
      <c r="D11" s="11">
        <v>1550</v>
      </c>
      <c r="E11" s="11">
        <v>1446</v>
      </c>
      <c r="F11" s="11">
        <v>1174</v>
      </c>
      <c r="G11" s="11">
        <v>1090</v>
      </c>
      <c r="H11" s="51"/>
      <c r="I11" s="51"/>
      <c r="J11" s="51"/>
      <c r="K11" s="51"/>
      <c r="L11" s="11">
        <v>936</v>
      </c>
      <c r="M11" s="51"/>
      <c r="N11" s="51"/>
      <c r="O11" s="51"/>
      <c r="P11" s="51"/>
      <c r="Q11" s="11">
        <v>768</v>
      </c>
      <c r="R11" s="51"/>
      <c r="S11" s="51"/>
      <c r="T11" s="51"/>
      <c r="U11" s="51"/>
      <c r="V11" s="11">
        <v>759</v>
      </c>
      <c r="W11" s="51"/>
      <c r="X11" s="51"/>
      <c r="Y11" s="51"/>
      <c r="Z11" s="51"/>
      <c r="AA11" s="11">
        <v>618</v>
      </c>
      <c r="AB11" s="51"/>
      <c r="AC11" s="51"/>
      <c r="AD11" s="51"/>
      <c r="AE11" s="51"/>
      <c r="AF11" s="11">
        <v>472</v>
      </c>
      <c r="AG11" s="51"/>
      <c r="AH11" s="51"/>
      <c r="AI11" s="51"/>
      <c r="AJ11" s="51"/>
      <c r="AK11" s="11">
        <v>355</v>
      </c>
      <c r="AL11" s="51"/>
      <c r="AM11" s="51"/>
      <c r="AN11" s="51"/>
      <c r="AO11" s="51"/>
      <c r="AP11" s="11">
        <v>414</v>
      </c>
      <c r="AQ11" s="51"/>
      <c r="AR11" s="51"/>
      <c r="AS11" s="51"/>
      <c r="AT11" s="51"/>
      <c r="AU11" s="11">
        <v>157</v>
      </c>
      <c r="AV11" s="51"/>
      <c r="AW11" s="51"/>
      <c r="AX11" s="51"/>
      <c r="AY11" s="51"/>
      <c r="AZ11" s="11">
        <v>71</v>
      </c>
      <c r="BA11" s="51"/>
      <c r="BB11" s="51"/>
      <c r="BC11" s="51"/>
      <c r="BD11" s="51"/>
      <c r="BE11" s="11">
        <v>155</v>
      </c>
      <c r="BF11" s="51"/>
      <c r="BG11" s="51"/>
      <c r="BH11" s="51"/>
      <c r="BI11" s="51"/>
      <c r="BJ11" s="11">
        <v>170</v>
      </c>
      <c r="BK11" s="51"/>
      <c r="BL11" s="51"/>
      <c r="BM11" s="51"/>
      <c r="BN11" s="51"/>
      <c r="BO11" s="11">
        <v>182</v>
      </c>
      <c r="BP11" s="51"/>
      <c r="BQ11" s="51"/>
      <c r="BR11" s="51"/>
      <c r="BS11" s="51"/>
      <c r="BT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"/>
      <c r="CF11" s="5"/>
      <c r="CG11" s="5"/>
      <c r="CH11" s="5"/>
      <c r="CI11" s="5"/>
    </row>
    <row r="12" spans="1:90" ht="12.75" customHeight="1">
      <c r="A12" s="11"/>
      <c r="B12" s="11" t="s">
        <v>306</v>
      </c>
      <c r="C12" s="11">
        <v>48</v>
      </c>
      <c r="D12" s="11">
        <v>60</v>
      </c>
      <c r="E12" s="11">
        <v>52</v>
      </c>
      <c r="F12" s="11">
        <v>45</v>
      </c>
      <c r="G12" s="11">
        <v>46</v>
      </c>
      <c r="H12" s="51"/>
      <c r="I12" s="51"/>
      <c r="J12" s="51"/>
      <c r="K12" s="51"/>
      <c r="L12" s="11">
        <v>35</v>
      </c>
      <c r="M12" s="51"/>
      <c r="N12" s="51"/>
      <c r="O12" s="51"/>
      <c r="P12" s="51"/>
      <c r="Q12" s="11">
        <v>26</v>
      </c>
      <c r="R12" s="51"/>
      <c r="S12" s="51"/>
      <c r="T12" s="51"/>
      <c r="U12" s="51"/>
      <c r="V12" s="11">
        <v>23</v>
      </c>
      <c r="W12" s="51"/>
      <c r="X12" s="51"/>
      <c r="Y12" s="51"/>
      <c r="Z12" s="51"/>
      <c r="AA12" s="11">
        <v>16</v>
      </c>
      <c r="AB12" s="51"/>
      <c r="AC12" s="51"/>
      <c r="AD12" s="51"/>
      <c r="AE12" s="51"/>
      <c r="AF12" s="11">
        <v>15</v>
      </c>
      <c r="AG12" s="51"/>
      <c r="AH12" s="51"/>
      <c r="AI12" s="51"/>
      <c r="AJ12" s="51"/>
      <c r="AK12" s="11">
        <v>13</v>
      </c>
      <c r="AL12" s="51"/>
      <c r="AM12" s="51"/>
      <c r="AN12" s="51"/>
      <c r="AO12" s="51"/>
      <c r="AP12" s="11">
        <v>8</v>
      </c>
      <c r="AQ12" s="51"/>
      <c r="AR12" s="51"/>
      <c r="AS12" s="51"/>
      <c r="AT12" s="51"/>
      <c r="AU12" s="11">
        <v>80</v>
      </c>
      <c r="AV12" s="51"/>
      <c r="AW12" s="51"/>
      <c r="AX12" s="51"/>
      <c r="AY12" s="51"/>
      <c r="AZ12" s="11">
        <v>102</v>
      </c>
      <c r="BA12" s="51"/>
      <c r="BB12" s="51"/>
      <c r="BC12" s="51"/>
      <c r="BD12" s="51"/>
      <c r="BE12" s="11">
        <v>111</v>
      </c>
      <c r="BF12" s="51"/>
      <c r="BG12" s="51"/>
      <c r="BH12" s="51"/>
      <c r="BI12" s="51"/>
      <c r="BJ12" s="11">
        <v>82</v>
      </c>
      <c r="BK12" s="51"/>
      <c r="BL12" s="51"/>
      <c r="BM12" s="51"/>
      <c r="BN12" s="51"/>
      <c r="BO12" s="11">
        <v>0</v>
      </c>
      <c r="BP12" s="51"/>
      <c r="BQ12" s="51"/>
      <c r="BR12" s="51"/>
      <c r="BS12" s="51"/>
      <c r="BT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"/>
      <c r="CF12" s="5"/>
      <c r="CG12" s="5"/>
      <c r="CH12" s="5"/>
      <c r="CI12" s="5"/>
    </row>
    <row r="13" spans="1:90" ht="12.75" customHeight="1">
      <c r="A13" s="11"/>
      <c r="B13" s="11" t="s">
        <v>139</v>
      </c>
      <c r="C13" s="11">
        <f>47+52</f>
        <v>99</v>
      </c>
      <c r="D13" s="11">
        <f>41+46</f>
        <v>87</v>
      </c>
      <c r="E13" s="11">
        <f>30+37</f>
        <v>67</v>
      </c>
      <c r="F13" s="11">
        <f>34+46</f>
        <v>80</v>
      </c>
      <c r="G13" s="11">
        <f>25+37</f>
        <v>62</v>
      </c>
      <c r="H13" s="51"/>
      <c r="I13" s="51"/>
      <c r="J13" s="51"/>
      <c r="K13" s="51"/>
      <c r="L13" s="11">
        <v>56</v>
      </c>
      <c r="M13" s="51"/>
      <c r="N13" s="51"/>
      <c r="O13" s="51"/>
      <c r="P13" s="51"/>
      <c r="Q13" s="11">
        <v>3</v>
      </c>
      <c r="R13" s="51"/>
      <c r="S13" s="51"/>
      <c r="T13" s="51"/>
      <c r="U13" s="51"/>
      <c r="V13" s="11">
        <v>0</v>
      </c>
      <c r="W13" s="51"/>
      <c r="X13" s="51"/>
      <c r="Y13" s="51"/>
      <c r="Z13" s="51"/>
      <c r="AA13" s="11">
        <v>0</v>
      </c>
      <c r="AB13" s="51"/>
      <c r="AC13" s="51"/>
      <c r="AD13" s="51"/>
      <c r="AE13" s="51"/>
      <c r="AF13" s="11">
        <v>0</v>
      </c>
      <c r="AG13" s="51"/>
      <c r="AH13" s="51"/>
      <c r="AI13" s="51"/>
      <c r="AJ13" s="51"/>
      <c r="AK13" s="11">
        <v>0</v>
      </c>
      <c r="AL13" s="51"/>
      <c r="AM13" s="51"/>
      <c r="AN13" s="51"/>
      <c r="AO13" s="51"/>
      <c r="AP13" s="11">
        <v>0</v>
      </c>
      <c r="AQ13" s="51"/>
      <c r="AR13" s="51"/>
      <c r="AS13" s="51"/>
      <c r="AT13" s="51"/>
      <c r="AU13" s="11">
        <v>0</v>
      </c>
      <c r="AV13" s="51"/>
      <c r="AW13" s="51"/>
      <c r="AX13" s="51"/>
      <c r="AY13" s="51"/>
      <c r="AZ13" s="11">
        <v>0</v>
      </c>
      <c r="BA13" s="51"/>
      <c r="BB13" s="51"/>
      <c r="BC13" s="51"/>
      <c r="BD13" s="51"/>
      <c r="BE13" s="11">
        <v>0</v>
      </c>
      <c r="BF13" s="51"/>
      <c r="BG13" s="51"/>
      <c r="BH13" s="51"/>
      <c r="BI13" s="51"/>
      <c r="BJ13" s="11">
        <v>0</v>
      </c>
      <c r="BK13" s="51"/>
      <c r="BL13" s="51"/>
      <c r="BM13" s="51"/>
      <c r="BN13" s="51"/>
      <c r="BO13" s="11">
        <v>0</v>
      </c>
      <c r="BP13" s="51"/>
      <c r="BQ13" s="51"/>
      <c r="BR13" s="51"/>
      <c r="BS13" s="51"/>
      <c r="BT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"/>
      <c r="CF13" s="5"/>
      <c r="CG13" s="5"/>
      <c r="CH13" s="5"/>
      <c r="CI13" s="5"/>
    </row>
    <row r="14" spans="1:90" ht="12.75" customHeight="1">
      <c r="A14" s="39" t="s">
        <v>309</v>
      </c>
      <c r="B14" s="39"/>
      <c r="C14" s="39">
        <f>SUM(C11:C13)</f>
        <v>1860</v>
      </c>
      <c r="D14" s="39">
        <f>SUM(D11:D13)</f>
        <v>1697</v>
      </c>
      <c r="E14" s="39">
        <f>SUM(E11:E13)</f>
        <v>1565</v>
      </c>
      <c r="F14" s="39">
        <f>SUM(F11:F13)</f>
        <v>1299</v>
      </c>
      <c r="G14" s="39">
        <f>SUM(G11:G13)</f>
        <v>1198</v>
      </c>
      <c r="H14" s="52"/>
      <c r="I14" s="52"/>
      <c r="J14" s="52"/>
      <c r="K14" s="52"/>
      <c r="L14" s="39">
        <f>SUM(L11:L13)</f>
        <v>1027</v>
      </c>
      <c r="M14" s="52"/>
      <c r="N14" s="52"/>
      <c r="O14" s="52"/>
      <c r="P14" s="52"/>
      <c r="Q14" s="39">
        <f>SUM(Q11:Q13)</f>
        <v>797</v>
      </c>
      <c r="R14" s="52"/>
      <c r="S14" s="52"/>
      <c r="T14" s="52"/>
      <c r="U14" s="52"/>
      <c r="V14" s="39">
        <f>SUM(V11:V13)</f>
        <v>782</v>
      </c>
      <c r="W14" s="52"/>
      <c r="X14" s="52"/>
      <c r="Y14" s="52"/>
      <c r="Z14" s="52"/>
      <c r="AA14" s="39">
        <f>SUM(AA11:AA13)</f>
        <v>634</v>
      </c>
      <c r="AB14" s="52"/>
      <c r="AC14" s="52"/>
      <c r="AD14" s="52"/>
      <c r="AE14" s="52"/>
      <c r="AF14" s="39">
        <f>SUM(AF11:AF13)</f>
        <v>487</v>
      </c>
      <c r="AG14" s="52"/>
      <c r="AH14" s="52"/>
      <c r="AI14" s="52"/>
      <c r="AJ14" s="52"/>
      <c r="AK14" s="39">
        <f>SUM(AK11:AK13)</f>
        <v>368</v>
      </c>
      <c r="AL14" s="52"/>
      <c r="AM14" s="52"/>
      <c r="AN14" s="52"/>
      <c r="AO14" s="52"/>
      <c r="AP14" s="39">
        <f>SUM(AP11:AP13)</f>
        <v>422</v>
      </c>
      <c r="AQ14" s="52"/>
      <c r="AR14" s="52"/>
      <c r="AS14" s="52"/>
      <c r="AT14" s="52"/>
      <c r="AU14" s="39">
        <f>SUM(AU11:AU13)</f>
        <v>237</v>
      </c>
      <c r="AV14" s="52"/>
      <c r="AW14" s="52"/>
      <c r="AX14" s="52"/>
      <c r="AY14" s="52"/>
      <c r="AZ14" s="39">
        <v>173</v>
      </c>
      <c r="BA14" s="52"/>
      <c r="BB14" s="52"/>
      <c r="BC14" s="52"/>
      <c r="BD14" s="52"/>
      <c r="BE14" s="39">
        <f>SUM(BE11:BE13)</f>
        <v>266</v>
      </c>
      <c r="BF14" s="52"/>
      <c r="BG14" s="52"/>
      <c r="BH14" s="52"/>
      <c r="BI14" s="52"/>
      <c r="BJ14" s="39">
        <f>SUM(BJ11:BJ13)</f>
        <v>252</v>
      </c>
      <c r="BK14" s="52"/>
      <c r="BL14" s="52"/>
      <c r="BM14" s="52"/>
      <c r="BN14" s="52"/>
      <c r="BO14" s="39">
        <f>SUM(BO11:BO13)</f>
        <v>182</v>
      </c>
      <c r="BP14" s="79">
        <f>BP122-BP68</f>
        <v>188.85608681127471</v>
      </c>
      <c r="BQ14" s="79">
        <f>BQ122-BQ68</f>
        <v>134.35359472235857</v>
      </c>
      <c r="BR14" s="79">
        <f>BR122-BR68</f>
        <v>81.090442472340499</v>
      </c>
      <c r="BS14" s="79">
        <f>BS122-BS68</f>
        <v>122.45987599402622</v>
      </c>
      <c r="BT14" s="39">
        <f>AVERAGE(BP14:BS14)</f>
        <v>131.69</v>
      </c>
      <c r="BU14" s="79">
        <f>BU122-BU68</f>
        <v>213.22436950539594</v>
      </c>
      <c r="BV14" s="79">
        <f>BV122-BV68</f>
        <v>176.91128160252001</v>
      </c>
      <c r="BW14" s="79">
        <f>BW122-BW68</f>
        <v>111.35242902118793</v>
      </c>
      <c r="BX14" s="79">
        <f>BX122-BX68</f>
        <v>162.27191987089611</v>
      </c>
      <c r="BY14" s="39">
        <f>AVERAGE(BU14:BX14)</f>
        <v>165.94</v>
      </c>
      <c r="BZ14" s="79">
        <f>BZ122-BZ68</f>
        <v>326.07660683432789</v>
      </c>
      <c r="CA14" s="79">
        <f>CA122-CA68</f>
        <v>274.19500138931875</v>
      </c>
      <c r="CB14" s="79">
        <f>CB122-CB68</f>
        <v>180.52908864321995</v>
      </c>
      <c r="CC14" s="79">
        <f>CC122-CC68</f>
        <v>253.27930313313368</v>
      </c>
      <c r="CD14" s="39">
        <f>AVERAGE(BZ14:CC14)</f>
        <v>258.52000000000004</v>
      </c>
      <c r="CE14" s="8"/>
      <c r="CF14" s="8"/>
      <c r="CG14" s="8"/>
      <c r="CH14" s="8"/>
      <c r="CI14" s="8"/>
    </row>
    <row r="15" spans="1:90" ht="12.75" customHeight="1">
      <c r="A15" s="11"/>
      <c r="B15" s="11"/>
      <c r="C15" s="11"/>
      <c r="D15" s="11"/>
      <c r="E15" s="11"/>
      <c r="F15" s="11"/>
      <c r="G15" s="11"/>
      <c r="H15" s="51"/>
      <c r="I15" s="51"/>
      <c r="J15" s="51"/>
      <c r="K15" s="51"/>
      <c r="L15" s="11"/>
      <c r="M15" s="51"/>
      <c r="N15" s="51"/>
      <c r="O15" s="51"/>
      <c r="P15" s="51"/>
      <c r="Q15" s="11"/>
      <c r="R15" s="51"/>
      <c r="S15" s="51"/>
      <c r="T15" s="51"/>
      <c r="U15" s="51"/>
      <c r="V15" s="11"/>
      <c r="W15" s="51"/>
      <c r="X15" s="51"/>
      <c r="Y15" s="51"/>
      <c r="Z15" s="51"/>
      <c r="AA15" s="11"/>
      <c r="AB15" s="51"/>
      <c r="AC15" s="51"/>
      <c r="AD15" s="51"/>
      <c r="AE15" s="5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5"/>
      <c r="CF15" s="5"/>
      <c r="CG15" s="5"/>
      <c r="CH15" s="5"/>
      <c r="CI15" s="5"/>
    </row>
    <row r="16" spans="1:90" ht="12.75" customHeight="1">
      <c r="A16" s="39" t="s">
        <v>310</v>
      </c>
      <c r="B16" s="11"/>
      <c r="C16" s="11"/>
      <c r="D16" s="11"/>
      <c r="E16" s="11"/>
      <c r="F16" s="11"/>
      <c r="G16" s="11"/>
      <c r="H16" s="51"/>
      <c r="I16" s="51"/>
      <c r="J16" s="51"/>
      <c r="K16" s="51"/>
      <c r="L16" s="5"/>
      <c r="M16" s="51"/>
      <c r="N16" s="51"/>
      <c r="O16" s="51"/>
      <c r="P16" s="51"/>
      <c r="Q16" s="5"/>
      <c r="R16" s="51"/>
      <c r="S16" s="51"/>
      <c r="T16" s="51"/>
      <c r="U16" s="51"/>
      <c r="V16" s="5"/>
      <c r="W16" s="51"/>
      <c r="X16" s="51"/>
      <c r="Y16" s="51"/>
      <c r="Z16" s="51"/>
      <c r="AA16" s="5"/>
      <c r="AB16" s="51"/>
      <c r="AC16" s="51"/>
      <c r="AD16" s="51"/>
      <c r="AE16" s="51"/>
      <c r="AF16" s="5"/>
      <c r="AG16" s="51"/>
      <c r="AH16" s="51"/>
      <c r="AI16" s="51"/>
      <c r="AJ16" s="51"/>
      <c r="AK16" s="11"/>
      <c r="AL16" s="51"/>
      <c r="AM16" s="51"/>
      <c r="AN16" s="51"/>
      <c r="AO16" s="5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5"/>
      <c r="CF16" s="5"/>
      <c r="CG16" s="5"/>
      <c r="CH16" s="5"/>
      <c r="CI16" s="5"/>
    </row>
    <row r="17" spans="1:87">
      <c r="A17" s="11"/>
      <c r="B17" s="11" t="s">
        <v>728</v>
      </c>
      <c r="C17" s="11">
        <v>3554</v>
      </c>
      <c r="D17" s="11">
        <v>3483</v>
      </c>
      <c r="E17" s="11">
        <v>3128</v>
      </c>
      <c r="F17" s="11">
        <v>2749</v>
      </c>
      <c r="G17" s="11">
        <v>2546</v>
      </c>
      <c r="H17" s="51"/>
      <c r="I17" s="51"/>
      <c r="J17" s="51"/>
      <c r="K17" s="51"/>
      <c r="L17" s="11">
        <v>2376</v>
      </c>
      <c r="M17" s="51"/>
      <c r="N17" s="51"/>
      <c r="O17" s="51"/>
      <c r="P17" s="51"/>
      <c r="Q17" s="11">
        <v>2174</v>
      </c>
      <c r="R17" s="51"/>
      <c r="S17" s="51"/>
      <c r="T17" s="51"/>
      <c r="U17" s="51"/>
      <c r="V17" s="11">
        <v>2157</v>
      </c>
      <c r="W17" s="51"/>
      <c r="X17" s="51"/>
      <c r="Y17" s="51"/>
      <c r="Z17" s="51"/>
      <c r="AA17" s="11">
        <v>2316</v>
      </c>
      <c r="AB17" s="51"/>
      <c r="AC17" s="51"/>
      <c r="AD17" s="51"/>
      <c r="AE17" s="51"/>
      <c r="AF17" s="11">
        <v>2184</v>
      </c>
      <c r="AG17" s="51"/>
      <c r="AH17" s="51"/>
      <c r="AI17" s="51"/>
      <c r="AJ17" s="51"/>
      <c r="AK17" s="11">
        <v>1843</v>
      </c>
      <c r="AL17" s="51"/>
      <c r="AM17" s="51"/>
      <c r="AN17" s="51"/>
      <c r="AO17" s="51"/>
      <c r="AP17" s="11">
        <v>1651</v>
      </c>
      <c r="AQ17" s="51"/>
      <c r="AR17" s="51"/>
      <c r="AS17" s="51"/>
      <c r="AT17" s="51"/>
      <c r="AU17" s="11">
        <v>1539</v>
      </c>
      <c r="AV17" s="51"/>
      <c r="AW17" s="51"/>
      <c r="AX17" s="51"/>
      <c r="AY17" s="51"/>
      <c r="AZ17" s="11">
        <v>1519</v>
      </c>
      <c r="BA17" s="51"/>
      <c r="BB17" s="51"/>
      <c r="BC17" s="51"/>
      <c r="BD17" s="51"/>
      <c r="BE17" s="11">
        <v>1528</v>
      </c>
      <c r="BF17" s="51"/>
      <c r="BG17" s="51"/>
      <c r="BH17" s="51"/>
      <c r="BI17" s="51"/>
      <c r="BJ17" s="11">
        <v>1656</v>
      </c>
      <c r="BK17" s="51"/>
      <c r="BL17" s="51"/>
      <c r="BM17" s="51"/>
      <c r="BN17" s="51"/>
      <c r="BO17" s="11">
        <v>1659</v>
      </c>
      <c r="BP17" s="68">
        <f t="shared" ref="BP17:BS18" si="0">BP125-BP71</f>
        <v>1701.0479188102017</v>
      </c>
      <c r="BQ17" s="68">
        <f t="shared" si="0"/>
        <v>1685.090180171404</v>
      </c>
      <c r="BR17" s="68">
        <f t="shared" si="0"/>
        <v>1657.7245917008368</v>
      </c>
      <c r="BS17" s="68">
        <f t="shared" si="0"/>
        <v>1662.0573093175572</v>
      </c>
      <c r="BT17" s="11">
        <f>AVERAGE(BP17:BS17)</f>
        <v>1676.48</v>
      </c>
      <c r="BU17" s="68">
        <f t="shared" ref="BU17:BX18" si="1">BU125-BU71</f>
        <v>1852.4305218131071</v>
      </c>
      <c r="BV17" s="68">
        <f t="shared" si="1"/>
        <v>1835.0096372621531</v>
      </c>
      <c r="BW17" s="68">
        <f t="shared" si="1"/>
        <v>1805.1349308137344</v>
      </c>
      <c r="BX17" s="68">
        <f t="shared" si="1"/>
        <v>1809.8649101110059</v>
      </c>
      <c r="BY17" s="11">
        <f>AVERAGE(BU17:BX17)</f>
        <v>1825.6100000000001</v>
      </c>
      <c r="BZ17" s="68">
        <f t="shared" ref="BZ17:CC18" si="2">BZ125-BZ71</f>
        <v>1905.0535630500854</v>
      </c>
      <c r="CA17" s="68">
        <f t="shared" si="2"/>
        <v>1887.1240653154246</v>
      </c>
      <c r="CB17" s="68">
        <f t="shared" si="2"/>
        <v>1856.3771488759123</v>
      </c>
      <c r="CC17" s="68">
        <f t="shared" si="2"/>
        <v>1861.2452227585773</v>
      </c>
      <c r="CD17" s="11">
        <f>AVERAGE(BZ17:CC17)</f>
        <v>1877.4499999999998</v>
      </c>
      <c r="CE17" s="5"/>
      <c r="CF17" s="5"/>
      <c r="CG17" s="5"/>
      <c r="CH17" s="5"/>
      <c r="CI17" s="5"/>
    </row>
    <row r="18" spans="1:87">
      <c r="A18" s="11"/>
      <c r="B18" s="11" t="s">
        <v>727</v>
      </c>
      <c r="C18" s="11">
        <v>584</v>
      </c>
      <c r="D18" s="11">
        <v>514</v>
      </c>
      <c r="E18" s="11">
        <v>422</v>
      </c>
      <c r="F18" s="11">
        <v>349</v>
      </c>
      <c r="G18" s="11">
        <v>307</v>
      </c>
      <c r="H18" s="51"/>
      <c r="I18" s="51"/>
      <c r="J18" s="51"/>
      <c r="K18" s="51"/>
      <c r="L18" s="11">
        <v>282</v>
      </c>
      <c r="M18" s="51"/>
      <c r="N18" s="51"/>
      <c r="O18" s="51"/>
      <c r="P18" s="51"/>
      <c r="Q18" s="11">
        <v>255</v>
      </c>
      <c r="R18" s="51"/>
      <c r="S18" s="51"/>
      <c r="T18" s="51"/>
      <c r="U18" s="51"/>
      <c r="V18" s="11">
        <v>245</v>
      </c>
      <c r="W18" s="51"/>
      <c r="X18" s="51"/>
      <c r="Y18" s="51"/>
      <c r="Z18" s="51"/>
      <c r="AA18" s="11">
        <v>263</v>
      </c>
      <c r="AB18" s="51"/>
      <c r="AC18" s="51"/>
      <c r="AD18" s="51"/>
      <c r="AE18" s="51"/>
      <c r="AF18" s="11">
        <v>202</v>
      </c>
      <c r="AG18" s="51"/>
      <c r="AH18" s="51"/>
      <c r="AI18" s="51"/>
      <c r="AJ18" s="51"/>
      <c r="AK18" s="11">
        <v>14</v>
      </c>
      <c r="AL18" s="51"/>
      <c r="AM18" s="51"/>
      <c r="AN18" s="51"/>
      <c r="AO18" s="51"/>
      <c r="AP18" s="11">
        <v>13</v>
      </c>
      <c r="AQ18" s="51"/>
      <c r="AR18" s="51"/>
      <c r="AS18" s="51"/>
      <c r="AT18" s="51"/>
      <c r="AU18" s="11">
        <v>11</v>
      </c>
      <c r="AV18" s="51"/>
      <c r="AW18" s="51"/>
      <c r="AX18" s="51"/>
      <c r="AY18" s="51"/>
      <c r="AZ18" s="11">
        <v>10</v>
      </c>
      <c r="BA18" s="51"/>
      <c r="BB18" s="51"/>
      <c r="BC18" s="51"/>
      <c r="BD18" s="51"/>
      <c r="BE18" s="11">
        <v>10</v>
      </c>
      <c r="BF18" s="51"/>
      <c r="BG18" s="51"/>
      <c r="BH18" s="51"/>
      <c r="BI18" s="51"/>
      <c r="BJ18" s="11">
        <v>10</v>
      </c>
      <c r="BK18" s="51"/>
      <c r="BL18" s="51"/>
      <c r="BM18" s="51"/>
      <c r="BN18" s="51"/>
      <c r="BO18" s="11">
        <v>9</v>
      </c>
      <c r="BP18" s="68">
        <f t="shared" si="0"/>
        <v>7.6627118237245622</v>
      </c>
      <c r="BQ18" s="68">
        <f t="shared" si="0"/>
        <v>7.4604336534619433</v>
      </c>
      <c r="BR18" s="68">
        <f t="shared" si="0"/>
        <v>7.5131449337974825</v>
      </c>
      <c r="BS18" s="68">
        <f t="shared" si="0"/>
        <v>7.6037095890160096</v>
      </c>
      <c r="BT18" s="11">
        <f>AVERAGE(BP18:BS18)</f>
        <v>7.56</v>
      </c>
      <c r="BU18" s="68">
        <f t="shared" si="1"/>
        <v>7.064695953883624</v>
      </c>
      <c r="BV18" s="68">
        <f t="shared" si="1"/>
        <v>6.8782040429404425</v>
      </c>
      <c r="BW18" s="68">
        <f t="shared" si="1"/>
        <v>6.9268016122445042</v>
      </c>
      <c r="BX18" s="68">
        <f t="shared" si="1"/>
        <v>7.0102983909314283</v>
      </c>
      <c r="BY18" s="11">
        <f>AVERAGE(BU18:BX18)</f>
        <v>6.97</v>
      </c>
      <c r="BZ18" s="68">
        <f t="shared" si="2"/>
        <v>6.5579028438489306</v>
      </c>
      <c r="CA18" s="68">
        <f t="shared" si="2"/>
        <v>6.384789118769679</v>
      </c>
      <c r="CB18" s="68">
        <f t="shared" si="2"/>
        <v>6.4299004922843528</v>
      </c>
      <c r="CC18" s="68">
        <f t="shared" si="2"/>
        <v>6.5074075450970348</v>
      </c>
      <c r="CD18" s="11">
        <f>AVERAGE(BZ18:CC18)</f>
        <v>6.47</v>
      </c>
      <c r="CE18" s="5"/>
      <c r="CF18" s="5"/>
      <c r="CG18" s="5"/>
      <c r="CH18" s="5"/>
      <c r="CI18" s="5"/>
    </row>
    <row r="19" spans="1:87">
      <c r="A19" s="39" t="s">
        <v>1993</v>
      </c>
      <c r="B19" s="39"/>
      <c r="C19" s="39">
        <f>SUM(C17:C18)</f>
        <v>4138</v>
      </c>
      <c r="D19" s="39">
        <f>SUM(D17:D18)</f>
        <v>3997</v>
      </c>
      <c r="E19" s="39">
        <f>SUM(E17:E18)</f>
        <v>3550</v>
      </c>
      <c r="F19" s="39">
        <f>SUM(F17:F18)</f>
        <v>3098</v>
      </c>
      <c r="G19" s="39">
        <f>SUM(G17:G18)</f>
        <v>2853</v>
      </c>
      <c r="H19" s="52"/>
      <c r="I19" s="52"/>
      <c r="J19" s="52"/>
      <c r="K19" s="52"/>
      <c r="L19" s="39">
        <f>SUM(L17:L18)</f>
        <v>2658</v>
      </c>
      <c r="M19" s="52"/>
      <c r="N19" s="52"/>
      <c r="O19" s="52"/>
      <c r="P19" s="52"/>
      <c r="Q19" s="39">
        <f>SUM(Q17:Q18)</f>
        <v>2429</v>
      </c>
      <c r="R19" s="52"/>
      <c r="S19" s="52"/>
      <c r="T19" s="52"/>
      <c r="U19" s="52"/>
      <c r="V19" s="39">
        <f>SUM(V17:V18)</f>
        <v>2402</v>
      </c>
      <c r="W19" s="52"/>
      <c r="X19" s="52"/>
      <c r="Y19" s="52"/>
      <c r="Z19" s="52"/>
      <c r="AA19" s="39">
        <f>SUM(AA17:AA18)</f>
        <v>2579</v>
      </c>
      <c r="AB19" s="52"/>
      <c r="AC19" s="52"/>
      <c r="AD19" s="52"/>
      <c r="AE19" s="52"/>
      <c r="AF19" s="39">
        <f>SUM(AF17:AF18)</f>
        <v>2386</v>
      </c>
      <c r="AG19" s="52"/>
      <c r="AH19" s="52"/>
      <c r="AI19" s="52"/>
      <c r="AJ19" s="52"/>
      <c r="AK19" s="39">
        <f>SUM(AK17:AK18)</f>
        <v>1857</v>
      </c>
      <c r="AL19" s="52"/>
      <c r="AM19" s="52"/>
      <c r="AN19" s="52"/>
      <c r="AO19" s="52"/>
      <c r="AP19" s="39">
        <f>SUM(AP17:AP18)</f>
        <v>1664</v>
      </c>
      <c r="AQ19" s="52"/>
      <c r="AR19" s="52"/>
      <c r="AS19" s="52"/>
      <c r="AT19" s="52"/>
      <c r="AU19" s="39">
        <v>1551</v>
      </c>
      <c r="AV19" s="52"/>
      <c r="AW19" s="52"/>
      <c r="AX19" s="52"/>
      <c r="AY19" s="52"/>
      <c r="AZ19" s="39">
        <f t="shared" ref="AZ19:CD19" si="3">SUM(AZ17:AZ18)</f>
        <v>1529</v>
      </c>
      <c r="BA19" s="52"/>
      <c r="BB19" s="52"/>
      <c r="BC19" s="52"/>
      <c r="BD19" s="52"/>
      <c r="BE19" s="39">
        <f t="shared" si="3"/>
        <v>1538</v>
      </c>
      <c r="BF19" s="52"/>
      <c r="BG19" s="52"/>
      <c r="BH19" s="52"/>
      <c r="BI19" s="52"/>
      <c r="BJ19" s="39">
        <f t="shared" si="3"/>
        <v>1666</v>
      </c>
      <c r="BK19" s="52"/>
      <c r="BL19" s="52"/>
      <c r="BM19" s="52"/>
      <c r="BN19" s="52"/>
      <c r="BO19" s="39">
        <v>1667</v>
      </c>
      <c r="BP19" s="79">
        <f t="shared" si="3"/>
        <v>1708.7106306339263</v>
      </c>
      <c r="BQ19" s="79">
        <f t="shared" si="3"/>
        <v>1692.5506138248659</v>
      </c>
      <c r="BR19" s="79">
        <f t="shared" si="3"/>
        <v>1665.2377366346343</v>
      </c>
      <c r="BS19" s="79">
        <f t="shared" si="3"/>
        <v>1669.6610189065732</v>
      </c>
      <c r="BT19" s="39">
        <f t="shared" si="3"/>
        <v>1684.04</v>
      </c>
      <c r="BU19" s="79">
        <f t="shared" si="3"/>
        <v>1859.4952177669907</v>
      </c>
      <c r="BV19" s="79">
        <f t="shared" si="3"/>
        <v>1841.8878413050936</v>
      </c>
      <c r="BW19" s="79">
        <f t="shared" si="3"/>
        <v>1812.061732425979</v>
      </c>
      <c r="BX19" s="79">
        <f t="shared" si="3"/>
        <v>1816.8752085019373</v>
      </c>
      <c r="BY19" s="39">
        <f t="shared" si="3"/>
        <v>1832.5800000000002</v>
      </c>
      <c r="BZ19" s="79">
        <f t="shared" si="3"/>
        <v>1911.6114658939343</v>
      </c>
      <c r="CA19" s="79">
        <f t="shared" si="3"/>
        <v>1893.5088544341943</v>
      </c>
      <c r="CB19" s="79">
        <f t="shared" si="3"/>
        <v>1862.8070493681967</v>
      </c>
      <c r="CC19" s="79">
        <f t="shared" si="3"/>
        <v>1867.7526303036743</v>
      </c>
      <c r="CD19" s="39">
        <f t="shared" si="3"/>
        <v>1883.9199999999998</v>
      </c>
      <c r="CE19" s="5"/>
      <c r="CF19" s="5"/>
      <c r="CG19" s="5"/>
      <c r="CH19" s="5"/>
      <c r="CI19" s="5"/>
    </row>
    <row r="20" spans="1:87">
      <c r="A20" s="11"/>
      <c r="B20" s="11"/>
      <c r="C20" s="11"/>
      <c r="D20" s="11"/>
      <c r="E20" s="11"/>
      <c r="F20" s="11"/>
      <c r="G20" s="11"/>
      <c r="H20" s="51"/>
      <c r="I20" s="51"/>
      <c r="J20" s="51"/>
      <c r="K20" s="51"/>
      <c r="L20" s="11"/>
      <c r="M20" s="51"/>
      <c r="N20" s="51"/>
      <c r="O20" s="51"/>
      <c r="P20" s="51"/>
      <c r="Q20" s="11"/>
      <c r="R20" s="51"/>
      <c r="S20" s="51"/>
      <c r="T20" s="51"/>
      <c r="U20" s="51"/>
      <c r="V20" s="11"/>
      <c r="W20" s="51"/>
      <c r="X20" s="51"/>
      <c r="Y20" s="51"/>
      <c r="Z20" s="51"/>
      <c r="AA20" s="11"/>
      <c r="AB20" s="51"/>
      <c r="AC20" s="51"/>
      <c r="AD20" s="51"/>
      <c r="AE20" s="5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5"/>
      <c r="CF20" s="5"/>
      <c r="CG20" s="5"/>
      <c r="CH20" s="5"/>
      <c r="CI20" s="5"/>
    </row>
    <row r="21" spans="1:87">
      <c r="A21" s="39" t="s">
        <v>1994</v>
      </c>
      <c r="B21" s="11"/>
      <c r="C21" s="11"/>
      <c r="D21" s="11"/>
      <c r="E21" s="11"/>
      <c r="F21" s="11"/>
      <c r="G21" s="11"/>
      <c r="H21" s="51"/>
      <c r="I21" s="51"/>
      <c r="J21" s="51"/>
      <c r="K21" s="51"/>
      <c r="L21" s="11"/>
      <c r="M21" s="51"/>
      <c r="N21" s="51"/>
      <c r="O21" s="51"/>
      <c r="P21" s="51"/>
      <c r="Q21" s="11"/>
      <c r="R21" s="51"/>
      <c r="S21" s="51"/>
      <c r="T21" s="51"/>
      <c r="U21" s="51"/>
      <c r="V21" s="11"/>
      <c r="W21" s="51"/>
      <c r="X21" s="51"/>
      <c r="Y21" s="51"/>
      <c r="Z21" s="51"/>
      <c r="AA21" s="11"/>
      <c r="AB21" s="51"/>
      <c r="AC21" s="51"/>
      <c r="AD21" s="51"/>
      <c r="AE21" s="51"/>
      <c r="AF21" s="11"/>
      <c r="AG21" s="51"/>
      <c r="AH21" s="51"/>
      <c r="AI21" s="51"/>
      <c r="AJ21" s="51"/>
      <c r="AK21" s="11"/>
      <c r="AL21" s="51"/>
      <c r="AM21" s="51"/>
      <c r="AN21" s="51"/>
      <c r="AO21" s="5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5"/>
      <c r="CF21" s="5"/>
      <c r="CG21" s="5"/>
      <c r="CH21" s="5"/>
      <c r="CI21" s="5"/>
    </row>
    <row r="22" spans="1:87">
      <c r="A22" s="39"/>
      <c r="B22" s="11" t="s">
        <v>2921</v>
      </c>
      <c r="C22" s="11">
        <v>0</v>
      </c>
      <c r="D22" s="11">
        <v>0</v>
      </c>
      <c r="E22" s="11">
        <v>0</v>
      </c>
      <c r="F22" s="11">
        <v>0</v>
      </c>
      <c r="G22" s="11">
        <v>0</v>
      </c>
      <c r="H22" s="51"/>
      <c r="I22" s="51"/>
      <c r="J22" s="51"/>
      <c r="K22" s="51"/>
      <c r="L22" s="11">
        <v>0</v>
      </c>
      <c r="M22" s="51"/>
      <c r="N22" s="51"/>
      <c r="O22" s="51"/>
      <c r="P22" s="51"/>
      <c r="Q22" s="11">
        <v>0</v>
      </c>
      <c r="R22" s="51"/>
      <c r="S22" s="51"/>
      <c r="T22" s="51"/>
      <c r="U22" s="51"/>
      <c r="V22" s="11">
        <v>0</v>
      </c>
      <c r="W22" s="51"/>
      <c r="X22" s="51"/>
      <c r="Y22" s="51"/>
      <c r="Z22" s="51"/>
      <c r="AA22" s="11">
        <v>0</v>
      </c>
      <c r="AB22" s="51"/>
      <c r="AC22" s="51"/>
      <c r="AD22" s="51"/>
      <c r="AE22" s="51"/>
      <c r="AF22" s="11">
        <v>0</v>
      </c>
      <c r="AG22" s="51"/>
      <c r="AH22" s="51"/>
      <c r="AI22" s="51"/>
      <c r="AJ22" s="51"/>
      <c r="AK22" s="11">
        <v>0</v>
      </c>
      <c r="AL22" s="51"/>
      <c r="AM22" s="51"/>
      <c r="AN22" s="51"/>
      <c r="AO22" s="51"/>
      <c r="AP22" s="11">
        <v>0</v>
      </c>
      <c r="AQ22" s="51"/>
      <c r="AR22" s="51"/>
      <c r="AS22" s="51"/>
      <c r="AT22" s="51"/>
      <c r="AU22" s="11">
        <v>0</v>
      </c>
      <c r="AV22" s="51"/>
      <c r="AW22" s="51"/>
      <c r="AX22" s="51"/>
      <c r="AY22" s="51"/>
      <c r="AZ22" s="11">
        <v>0</v>
      </c>
      <c r="BA22" s="51"/>
      <c r="BB22" s="51"/>
      <c r="BC22" s="51"/>
      <c r="BD22" s="51"/>
      <c r="BE22" s="11">
        <v>0</v>
      </c>
      <c r="BF22" s="51"/>
      <c r="BG22" s="51"/>
      <c r="BH22" s="51"/>
      <c r="BI22" s="51"/>
      <c r="BJ22" s="11">
        <v>0</v>
      </c>
      <c r="BK22" s="51"/>
      <c r="BL22" s="51"/>
      <c r="BM22" s="51"/>
      <c r="BN22" s="51"/>
      <c r="BO22" s="11">
        <v>0</v>
      </c>
      <c r="BP22" s="51"/>
      <c r="BQ22" s="51"/>
      <c r="BR22" s="51"/>
      <c r="BS22" s="51"/>
      <c r="BT22" s="51"/>
      <c r="BU22" s="51"/>
      <c r="BV22" s="51"/>
      <c r="BW22" s="51"/>
      <c r="BX22" s="51"/>
      <c r="BY22" s="51"/>
      <c r="BZ22" s="51"/>
      <c r="CA22" s="51"/>
      <c r="CB22" s="51"/>
      <c r="CC22" s="51"/>
      <c r="CD22" s="51"/>
      <c r="CE22" s="5"/>
      <c r="CF22" s="5"/>
      <c r="CG22" s="5"/>
      <c r="CH22" s="5"/>
      <c r="CI22" s="5"/>
    </row>
    <row r="23" spans="1:87">
      <c r="A23" s="39"/>
      <c r="B23" s="11" t="s">
        <v>785</v>
      </c>
      <c r="C23" s="11">
        <v>0</v>
      </c>
      <c r="D23" s="11">
        <v>0</v>
      </c>
      <c r="E23" s="11">
        <v>0</v>
      </c>
      <c r="F23" s="11">
        <v>0</v>
      </c>
      <c r="G23" s="11">
        <v>0</v>
      </c>
      <c r="H23" s="51"/>
      <c r="I23" s="51"/>
      <c r="J23" s="51"/>
      <c r="K23" s="51"/>
      <c r="L23" s="11">
        <v>0</v>
      </c>
      <c r="M23" s="51"/>
      <c r="N23" s="51"/>
      <c r="O23" s="51"/>
      <c r="P23" s="51"/>
      <c r="Q23" s="11">
        <v>0</v>
      </c>
      <c r="R23" s="51"/>
      <c r="S23" s="51"/>
      <c r="T23" s="51"/>
      <c r="U23" s="51"/>
      <c r="V23" s="11">
        <v>0</v>
      </c>
      <c r="W23" s="51"/>
      <c r="X23" s="51"/>
      <c r="Y23" s="51"/>
      <c r="Z23" s="51"/>
      <c r="AA23" s="11">
        <v>0</v>
      </c>
      <c r="AB23" s="51"/>
      <c r="AC23" s="51"/>
      <c r="AD23" s="51"/>
      <c r="AE23" s="51"/>
      <c r="AF23" s="11">
        <v>0</v>
      </c>
      <c r="AG23" s="51"/>
      <c r="AH23" s="51"/>
      <c r="AI23" s="51"/>
      <c r="AJ23" s="51"/>
      <c r="AK23" s="11">
        <v>0</v>
      </c>
      <c r="AL23" s="51"/>
      <c r="AM23" s="51"/>
      <c r="AN23" s="51"/>
      <c r="AO23" s="51"/>
      <c r="AP23" s="11">
        <v>0</v>
      </c>
      <c r="AQ23" s="51"/>
      <c r="AR23" s="51"/>
      <c r="AS23" s="51"/>
      <c r="AT23" s="51"/>
      <c r="AU23" s="11">
        <v>0</v>
      </c>
      <c r="AV23" s="51"/>
      <c r="AW23" s="51"/>
      <c r="AX23" s="51"/>
      <c r="AY23" s="51"/>
      <c r="AZ23" s="11">
        <v>0</v>
      </c>
      <c r="BA23" s="51"/>
      <c r="BB23" s="51"/>
      <c r="BC23" s="51"/>
      <c r="BD23" s="51"/>
      <c r="BE23" s="11">
        <v>0</v>
      </c>
      <c r="BF23" s="51"/>
      <c r="BG23" s="51"/>
      <c r="BH23" s="51"/>
      <c r="BI23" s="51"/>
      <c r="BJ23" s="11">
        <v>0</v>
      </c>
      <c r="BK23" s="51"/>
      <c r="BL23" s="51"/>
      <c r="BM23" s="51"/>
      <c r="BN23" s="51"/>
      <c r="BO23" s="11">
        <v>0</v>
      </c>
      <c r="BP23" s="51"/>
      <c r="BQ23" s="51"/>
      <c r="BR23" s="51"/>
      <c r="BS23" s="51"/>
      <c r="BT23" s="51"/>
      <c r="BU23" s="51"/>
      <c r="BV23" s="51"/>
      <c r="BW23" s="51"/>
      <c r="BX23" s="51"/>
      <c r="BY23" s="51"/>
      <c r="BZ23" s="51"/>
      <c r="CA23" s="51"/>
      <c r="CB23" s="51"/>
      <c r="CC23" s="51"/>
      <c r="CD23" s="51"/>
      <c r="CE23" s="5"/>
      <c r="CF23" s="5"/>
      <c r="CG23" s="5"/>
      <c r="CH23" s="5"/>
      <c r="CI23" s="5"/>
    </row>
    <row r="24" spans="1:87">
      <c r="A24" s="39"/>
      <c r="B24" s="11" t="s">
        <v>2428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51"/>
      <c r="I24" s="51"/>
      <c r="J24" s="51"/>
      <c r="K24" s="51"/>
      <c r="L24" s="11">
        <v>0</v>
      </c>
      <c r="M24" s="51"/>
      <c r="N24" s="51"/>
      <c r="O24" s="51"/>
      <c r="P24" s="51"/>
      <c r="Q24" s="11">
        <v>0</v>
      </c>
      <c r="R24" s="51"/>
      <c r="S24" s="51"/>
      <c r="T24" s="51"/>
      <c r="U24" s="51"/>
      <c r="V24" s="11">
        <v>0</v>
      </c>
      <c r="W24" s="51"/>
      <c r="X24" s="51"/>
      <c r="Y24" s="51"/>
      <c r="Z24" s="51"/>
      <c r="AA24" s="11">
        <v>0</v>
      </c>
      <c r="AB24" s="51"/>
      <c r="AC24" s="51"/>
      <c r="AD24" s="51"/>
      <c r="AE24" s="51"/>
      <c r="AF24" s="11">
        <v>0</v>
      </c>
      <c r="AG24" s="51"/>
      <c r="AH24" s="51"/>
      <c r="AI24" s="51"/>
      <c r="AJ24" s="51"/>
      <c r="AK24" s="11">
        <v>0</v>
      </c>
      <c r="AL24" s="51"/>
      <c r="AM24" s="51"/>
      <c r="AN24" s="51"/>
      <c r="AO24" s="51"/>
      <c r="AP24" s="11">
        <v>0</v>
      </c>
      <c r="AQ24" s="51"/>
      <c r="AR24" s="51"/>
      <c r="AS24" s="51"/>
      <c r="AT24" s="51"/>
      <c r="AU24" s="11">
        <v>0</v>
      </c>
      <c r="AV24" s="51"/>
      <c r="AW24" s="51"/>
      <c r="AX24" s="51"/>
      <c r="AY24" s="51"/>
      <c r="AZ24" s="11">
        <v>0</v>
      </c>
      <c r="BA24" s="51"/>
      <c r="BB24" s="51"/>
      <c r="BC24" s="51"/>
      <c r="BD24" s="51"/>
      <c r="BE24" s="11">
        <v>0</v>
      </c>
      <c r="BF24" s="51"/>
      <c r="BG24" s="51"/>
      <c r="BH24" s="51"/>
      <c r="BI24" s="51"/>
      <c r="BJ24" s="11">
        <v>0</v>
      </c>
      <c r="BK24" s="51"/>
      <c r="BL24" s="51"/>
      <c r="BM24" s="51"/>
      <c r="BN24" s="51"/>
      <c r="BO24" s="11">
        <v>0</v>
      </c>
      <c r="BP24" s="51"/>
      <c r="BQ24" s="51"/>
      <c r="BR24" s="51"/>
      <c r="BS24" s="51"/>
      <c r="BT24" s="51"/>
      <c r="BU24" s="51"/>
      <c r="BV24" s="51"/>
      <c r="BW24" s="51"/>
      <c r="BX24" s="51"/>
      <c r="BY24" s="51"/>
      <c r="BZ24" s="51"/>
      <c r="CA24" s="51"/>
      <c r="CB24" s="51"/>
      <c r="CC24" s="51"/>
      <c r="CD24" s="51"/>
      <c r="CE24" s="5"/>
      <c r="CF24" s="5"/>
      <c r="CG24" s="5"/>
      <c r="CH24" s="5"/>
      <c r="CI24" s="5"/>
    </row>
    <row r="25" spans="1:87">
      <c r="A25" s="11"/>
      <c r="B25" s="11" t="s">
        <v>2247</v>
      </c>
      <c r="C25" s="55">
        <f>C194</f>
        <v>0</v>
      </c>
      <c r="D25" s="55">
        <f>D194</f>
        <v>0</v>
      </c>
      <c r="E25" s="55">
        <f>E194</f>
        <v>0</v>
      </c>
      <c r="F25" s="55">
        <f>F194</f>
        <v>4</v>
      </c>
      <c r="G25" s="55">
        <f>G194</f>
        <v>2.5</v>
      </c>
      <c r="H25" s="51"/>
      <c r="I25" s="51"/>
      <c r="J25" s="51"/>
      <c r="K25" s="51"/>
      <c r="L25" s="11">
        <v>92</v>
      </c>
      <c r="M25" s="51"/>
      <c r="N25" s="51"/>
      <c r="O25" s="51"/>
      <c r="P25" s="51"/>
      <c r="Q25" s="11">
        <v>104</v>
      </c>
      <c r="R25" s="51"/>
      <c r="S25" s="51"/>
      <c r="T25" s="51"/>
      <c r="U25" s="51"/>
      <c r="V25" s="11">
        <v>84</v>
      </c>
      <c r="W25" s="51"/>
      <c r="X25" s="51"/>
      <c r="Y25" s="51"/>
      <c r="Z25" s="51"/>
      <c r="AA25" s="11">
        <v>62</v>
      </c>
      <c r="AB25" s="51"/>
      <c r="AC25" s="51"/>
      <c r="AD25" s="51"/>
      <c r="AE25" s="51"/>
      <c r="AF25" s="11">
        <v>71</v>
      </c>
      <c r="AG25" s="51"/>
      <c r="AH25" s="51"/>
      <c r="AI25" s="51"/>
      <c r="AJ25" s="51"/>
      <c r="AK25" s="11">
        <v>4</v>
      </c>
      <c r="AL25" s="51"/>
      <c r="AM25" s="51"/>
      <c r="AN25" s="51"/>
      <c r="AO25" s="51"/>
      <c r="AP25" s="11">
        <v>0</v>
      </c>
      <c r="AQ25" s="51"/>
      <c r="AR25" s="51"/>
      <c r="AS25" s="51"/>
      <c r="AT25" s="51"/>
      <c r="AU25" s="11">
        <v>0</v>
      </c>
      <c r="AV25" s="51"/>
      <c r="AW25" s="51"/>
      <c r="AX25" s="51"/>
      <c r="AY25" s="51"/>
      <c r="AZ25" s="11">
        <v>0</v>
      </c>
      <c r="BA25" s="51"/>
      <c r="BB25" s="51"/>
      <c r="BC25" s="51"/>
      <c r="BD25" s="51"/>
      <c r="BE25" s="11">
        <v>0</v>
      </c>
      <c r="BF25" s="51"/>
      <c r="BG25" s="51"/>
      <c r="BH25" s="51"/>
      <c r="BI25" s="51"/>
      <c r="BJ25" s="11">
        <v>0</v>
      </c>
      <c r="BK25" s="51"/>
      <c r="BL25" s="51"/>
      <c r="BM25" s="51"/>
      <c r="BN25" s="51"/>
      <c r="BO25" s="11">
        <v>0</v>
      </c>
      <c r="BP25" s="51"/>
      <c r="BQ25" s="51"/>
      <c r="BR25" s="51"/>
      <c r="BS25" s="51"/>
      <c r="BT25" s="51"/>
      <c r="BU25" s="51"/>
      <c r="BV25" s="51"/>
      <c r="BW25" s="51"/>
      <c r="BX25" s="51"/>
      <c r="BY25" s="51"/>
      <c r="BZ25" s="51"/>
      <c r="CA25" s="51"/>
      <c r="CB25" s="51"/>
      <c r="CC25" s="51"/>
      <c r="CD25" s="51"/>
      <c r="CE25" s="5"/>
      <c r="CF25" s="5"/>
      <c r="CG25" s="5"/>
      <c r="CH25" s="5"/>
      <c r="CI25" s="5"/>
    </row>
    <row r="26" spans="1:87">
      <c r="A26" s="11"/>
      <c r="B26" s="11" t="s">
        <v>1280</v>
      </c>
      <c r="C26" s="55">
        <f>529+244+128+110</f>
        <v>1011</v>
      </c>
      <c r="D26" s="55">
        <f>521+492+154+71</f>
        <v>1238</v>
      </c>
      <c r="E26" s="55">
        <f>79+503+624+152+235+30+71</f>
        <v>1694</v>
      </c>
      <c r="F26" s="55">
        <f>553+453+408+137+172+85+111</f>
        <v>1919</v>
      </c>
      <c r="G26" s="55">
        <f>1005+303+289+154+132+83+21</f>
        <v>1987</v>
      </c>
      <c r="H26" s="51"/>
      <c r="I26" s="51"/>
      <c r="J26" s="51"/>
      <c r="K26" s="51"/>
      <c r="L26" s="11">
        <v>2265</v>
      </c>
      <c r="M26" s="51"/>
      <c r="N26" s="51"/>
      <c r="O26" s="51"/>
      <c r="P26" s="51"/>
      <c r="Q26" s="11">
        <v>2433</v>
      </c>
      <c r="R26" s="51"/>
      <c r="S26" s="51"/>
      <c r="T26" s="51"/>
      <c r="U26" s="51"/>
      <c r="V26" s="11">
        <v>2446</v>
      </c>
      <c r="W26" s="51"/>
      <c r="X26" s="51"/>
      <c r="Y26" s="51"/>
      <c r="Z26" s="51"/>
      <c r="AA26" s="11">
        <v>2430</v>
      </c>
      <c r="AB26" s="51"/>
      <c r="AC26" s="51"/>
      <c r="AD26" s="51"/>
      <c r="AE26" s="51"/>
      <c r="AF26" s="11">
        <v>2473</v>
      </c>
      <c r="AG26" s="51"/>
      <c r="AH26" s="51"/>
      <c r="AI26" s="51"/>
      <c r="AJ26" s="51"/>
      <c r="AK26" s="11">
        <v>2193</v>
      </c>
      <c r="AL26" s="51"/>
      <c r="AM26" s="51"/>
      <c r="AN26" s="51"/>
      <c r="AO26" s="51"/>
      <c r="AP26" s="11">
        <v>2097</v>
      </c>
      <c r="AQ26" s="51"/>
      <c r="AR26" s="51"/>
      <c r="AS26" s="51"/>
      <c r="AT26" s="51"/>
      <c r="AU26" s="11">
        <v>2221</v>
      </c>
      <c r="AV26" s="51"/>
      <c r="AW26" s="51"/>
      <c r="AX26" s="51"/>
      <c r="AY26" s="51"/>
      <c r="AZ26" s="11">
        <v>2147</v>
      </c>
      <c r="BA26" s="51"/>
      <c r="BB26" s="51"/>
      <c r="BC26" s="51"/>
      <c r="BD26" s="51"/>
      <c r="BE26" s="11">
        <v>1922</v>
      </c>
      <c r="BF26" s="51"/>
      <c r="BG26" s="51"/>
      <c r="BH26" s="51"/>
      <c r="BI26" s="51"/>
      <c r="BJ26" s="11">
        <v>1689</v>
      </c>
      <c r="BK26" s="51"/>
      <c r="BL26" s="51"/>
      <c r="BM26" s="51"/>
      <c r="BN26" s="51"/>
      <c r="BO26" s="11">
        <v>1936</v>
      </c>
      <c r="BP26" s="51"/>
      <c r="BQ26" s="51"/>
      <c r="BR26" s="51"/>
      <c r="BS26" s="51"/>
      <c r="BT26" s="51"/>
      <c r="BU26" s="51"/>
      <c r="BV26" s="51"/>
      <c r="BW26" s="51"/>
      <c r="BX26" s="51"/>
      <c r="BY26" s="51"/>
      <c r="BZ26" s="51"/>
      <c r="CA26" s="51"/>
      <c r="CB26" s="51"/>
      <c r="CC26" s="51"/>
      <c r="CD26" s="51"/>
      <c r="CE26" s="5"/>
      <c r="CF26" s="5"/>
      <c r="CG26" s="5"/>
      <c r="CH26" s="5"/>
      <c r="CI26" s="5"/>
    </row>
    <row r="27" spans="1:87">
      <c r="A27" s="11"/>
      <c r="B27" s="11" t="s">
        <v>1036</v>
      </c>
      <c r="C27" s="11">
        <v>0</v>
      </c>
      <c r="D27" s="11">
        <v>0</v>
      </c>
      <c r="E27" s="11">
        <v>0</v>
      </c>
      <c r="F27" s="11">
        <v>0</v>
      </c>
      <c r="G27" s="11">
        <v>0</v>
      </c>
      <c r="H27" s="51"/>
      <c r="I27" s="51"/>
      <c r="J27" s="51"/>
      <c r="K27" s="51"/>
      <c r="L27" s="11">
        <v>5</v>
      </c>
      <c r="M27" s="51"/>
      <c r="N27" s="51"/>
      <c r="O27" s="51"/>
      <c r="P27" s="51"/>
      <c r="Q27" s="11">
        <v>6</v>
      </c>
      <c r="R27" s="51"/>
      <c r="S27" s="51"/>
      <c r="T27" s="51"/>
      <c r="U27" s="51"/>
      <c r="V27" s="11">
        <v>2</v>
      </c>
      <c r="W27" s="51"/>
      <c r="X27" s="51"/>
      <c r="Y27" s="51"/>
      <c r="Z27" s="51"/>
      <c r="AA27" s="11">
        <v>0</v>
      </c>
      <c r="AB27" s="51"/>
      <c r="AC27" s="51"/>
      <c r="AD27" s="51"/>
      <c r="AE27" s="51"/>
      <c r="AF27" s="11">
        <v>0</v>
      </c>
      <c r="AG27" s="51"/>
      <c r="AH27" s="51"/>
      <c r="AI27" s="51"/>
      <c r="AJ27" s="51"/>
      <c r="AK27" s="11">
        <v>0</v>
      </c>
      <c r="AL27" s="51"/>
      <c r="AM27" s="51"/>
      <c r="AN27" s="51"/>
      <c r="AO27" s="51"/>
      <c r="AP27" s="11">
        <v>0</v>
      </c>
      <c r="AQ27" s="51"/>
      <c r="AR27" s="51"/>
      <c r="AS27" s="51"/>
      <c r="AT27" s="51"/>
      <c r="AU27" s="11">
        <v>0</v>
      </c>
      <c r="AV27" s="51"/>
      <c r="AW27" s="51"/>
      <c r="AX27" s="51"/>
      <c r="AY27" s="51"/>
      <c r="AZ27" s="11">
        <v>0</v>
      </c>
      <c r="BA27" s="51"/>
      <c r="BB27" s="51"/>
      <c r="BC27" s="51"/>
      <c r="BD27" s="51"/>
      <c r="BE27" s="11">
        <v>0</v>
      </c>
      <c r="BF27" s="51"/>
      <c r="BG27" s="51"/>
      <c r="BH27" s="51"/>
      <c r="BI27" s="51"/>
      <c r="BJ27" s="11">
        <v>0</v>
      </c>
      <c r="BK27" s="51"/>
      <c r="BL27" s="51"/>
      <c r="BM27" s="51"/>
      <c r="BN27" s="51"/>
      <c r="BO27" s="11">
        <v>0</v>
      </c>
      <c r="BP27" s="51"/>
      <c r="BQ27" s="51"/>
      <c r="BR27" s="51"/>
      <c r="BS27" s="51"/>
      <c r="BT27" s="51"/>
      <c r="BU27" s="51"/>
      <c r="BV27" s="51"/>
      <c r="BW27" s="51"/>
      <c r="BX27" s="51"/>
      <c r="BY27" s="51"/>
      <c r="BZ27" s="51"/>
      <c r="CA27" s="51"/>
      <c r="CB27" s="51"/>
      <c r="CC27" s="51"/>
      <c r="CD27" s="51"/>
      <c r="CE27" s="5"/>
      <c r="CF27" s="5"/>
      <c r="CG27" s="5"/>
      <c r="CH27" s="5"/>
      <c r="CI27" s="5"/>
    </row>
    <row r="28" spans="1:87">
      <c r="A28" s="39" t="s">
        <v>119</v>
      </c>
      <c r="B28" s="39"/>
      <c r="C28" s="54">
        <f>SUM(C22:C27)</f>
        <v>1011</v>
      </c>
      <c r="D28" s="54">
        <f>SUM(D22:D27)</f>
        <v>1238</v>
      </c>
      <c r="E28" s="54">
        <f>SUM(E22:E27)</f>
        <v>1694</v>
      </c>
      <c r="F28" s="54">
        <f>SUM(F22:F27)</f>
        <v>1923</v>
      </c>
      <c r="G28" s="54">
        <f>SUM(G22:G27)</f>
        <v>1989.5</v>
      </c>
      <c r="H28" s="52"/>
      <c r="I28" s="52"/>
      <c r="J28" s="52"/>
      <c r="K28" s="52"/>
      <c r="L28" s="39">
        <f>SUM(L22:L27)</f>
        <v>2362</v>
      </c>
      <c r="M28" s="52"/>
      <c r="N28" s="52"/>
      <c r="O28" s="52"/>
      <c r="P28" s="52"/>
      <c r="Q28" s="39">
        <f>SUM(Q22:Q27)</f>
        <v>2543</v>
      </c>
      <c r="R28" s="52"/>
      <c r="S28" s="52"/>
      <c r="T28" s="52"/>
      <c r="U28" s="52"/>
      <c r="V28" s="39">
        <f>SUM(V22:V27)</f>
        <v>2532</v>
      </c>
      <c r="W28" s="52"/>
      <c r="X28" s="52"/>
      <c r="Y28" s="52"/>
      <c r="Z28" s="52"/>
      <c r="AA28" s="39">
        <f>SUM(AA22:AA27)</f>
        <v>2492</v>
      </c>
      <c r="AB28" s="52"/>
      <c r="AC28" s="52"/>
      <c r="AD28" s="52"/>
      <c r="AE28" s="52"/>
      <c r="AF28" s="39">
        <f>SUM(AF22:AF27)</f>
        <v>2544</v>
      </c>
      <c r="AG28" s="80"/>
      <c r="AH28" s="80"/>
      <c r="AI28" s="80"/>
      <c r="AJ28" s="80"/>
      <c r="AK28" s="39">
        <f>SUM(AK22:AK27)</f>
        <v>2197</v>
      </c>
      <c r="AL28" s="80"/>
      <c r="AM28" s="80"/>
      <c r="AN28" s="80"/>
      <c r="AO28" s="80"/>
      <c r="AP28" s="39">
        <f>SUM(AP22:AP27)</f>
        <v>2097</v>
      </c>
      <c r="AQ28" s="80"/>
      <c r="AR28" s="80"/>
      <c r="AS28" s="80"/>
      <c r="AT28" s="80"/>
      <c r="AU28" s="39">
        <f>SUM(AU22:AU27)</f>
        <v>2221</v>
      </c>
      <c r="AV28" s="80"/>
      <c r="AW28" s="80"/>
      <c r="AX28" s="80"/>
      <c r="AY28" s="80"/>
      <c r="AZ28" s="39">
        <v>2147</v>
      </c>
      <c r="BA28" s="80"/>
      <c r="BB28" s="80"/>
      <c r="BC28" s="80"/>
      <c r="BD28" s="80"/>
      <c r="BE28" s="39">
        <f>SUM(BE22:BE27)</f>
        <v>1922</v>
      </c>
      <c r="BF28" s="80"/>
      <c r="BG28" s="80"/>
      <c r="BH28" s="80"/>
      <c r="BI28" s="80"/>
      <c r="BJ28" s="39">
        <f>SUM(BJ22:BJ27)</f>
        <v>1689</v>
      </c>
      <c r="BK28" s="80"/>
      <c r="BL28" s="80"/>
      <c r="BM28" s="80"/>
      <c r="BN28" s="80"/>
      <c r="BO28" s="39">
        <f>SUM(BO22:BO27)</f>
        <v>1936</v>
      </c>
      <c r="BP28" s="79">
        <f>BP136-BP82</f>
        <v>2020.976929501875</v>
      </c>
      <c r="BQ28" s="79">
        <f>BQ136-BQ82</f>
        <v>1983.4663692854372</v>
      </c>
      <c r="BR28" s="79">
        <f>BR136-BR82</f>
        <v>1993.2411742114689</v>
      </c>
      <c r="BS28" s="79">
        <f>BS136-BS82</f>
        <v>2010.0355270012187</v>
      </c>
      <c r="BT28" s="39">
        <f>AVERAGE(BP28:BS28)</f>
        <v>2001.93</v>
      </c>
      <c r="BU28" s="79">
        <f>BU136-BU82</f>
        <v>2131.7015046543006</v>
      </c>
      <c r="BV28" s="79">
        <f>BV136-BV82</f>
        <v>2088.6282947556406</v>
      </c>
      <c r="BW28" s="79">
        <f>BW136-BW82</f>
        <v>2099.8526598908998</v>
      </c>
      <c r="BX28" s="79">
        <f>BX136-BX82</f>
        <v>2119.1375406991592</v>
      </c>
      <c r="BY28" s="39">
        <f>AVERAGE(BU28:BX28)</f>
        <v>2109.83</v>
      </c>
      <c r="BZ28" s="79">
        <f>BZ136-BZ82</f>
        <v>2093.85419519691</v>
      </c>
      <c r="CA28" s="79">
        <f>CA136-CA82</f>
        <v>2051.7800682185675</v>
      </c>
      <c r="CB28" s="79">
        <f>CB136-CB82</f>
        <v>2062.7440842522756</v>
      </c>
      <c r="CC28" s="79">
        <f>CC136-CC82</f>
        <v>2081.5816523322469</v>
      </c>
      <c r="CD28" s="39">
        <f>AVERAGE(BZ28:CC28)</f>
        <v>2072.4899999999998</v>
      </c>
      <c r="CE28" s="5"/>
      <c r="CF28" s="5"/>
      <c r="CG28" s="5"/>
      <c r="CH28" s="5"/>
      <c r="CI28" s="5"/>
    </row>
    <row r="29" spans="1:87">
      <c r="A29" s="11"/>
      <c r="B29" s="11"/>
      <c r="C29" s="55"/>
      <c r="D29" s="55"/>
      <c r="E29" s="55"/>
      <c r="F29" s="55"/>
      <c r="G29" s="55"/>
      <c r="H29" s="51"/>
      <c r="I29" s="51"/>
      <c r="J29" s="51"/>
      <c r="K29" s="51"/>
      <c r="L29" s="11"/>
      <c r="M29" s="51"/>
      <c r="N29" s="51"/>
      <c r="O29" s="51"/>
      <c r="P29" s="51"/>
      <c r="Q29" s="11"/>
      <c r="R29" s="51"/>
      <c r="S29" s="51"/>
      <c r="T29" s="51"/>
      <c r="U29" s="51"/>
      <c r="V29" s="11"/>
      <c r="W29" s="51"/>
      <c r="X29" s="51"/>
      <c r="Y29" s="51"/>
      <c r="Z29" s="51"/>
      <c r="AA29" s="11"/>
      <c r="AB29" s="51"/>
      <c r="AC29" s="51"/>
      <c r="AD29" s="51"/>
      <c r="AE29" s="5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5"/>
      <c r="CF29" s="5"/>
      <c r="CG29" s="5"/>
      <c r="CH29" s="5"/>
      <c r="CI29" s="5"/>
    </row>
    <row r="30" spans="1:87">
      <c r="A30" s="39" t="s">
        <v>120</v>
      </c>
      <c r="B30" s="11"/>
      <c r="C30" s="55"/>
      <c r="D30" s="55"/>
      <c r="E30" s="55"/>
      <c r="F30" s="55"/>
      <c r="G30" s="55"/>
      <c r="H30" s="51"/>
      <c r="I30" s="51"/>
      <c r="J30" s="51"/>
      <c r="K30" s="51"/>
      <c r="L30" s="11"/>
      <c r="M30" s="51"/>
      <c r="N30" s="51"/>
      <c r="O30" s="51"/>
      <c r="P30" s="51"/>
      <c r="Q30" s="11"/>
      <c r="R30" s="51"/>
      <c r="S30" s="51"/>
      <c r="T30" s="51"/>
      <c r="U30" s="51"/>
      <c r="V30" s="11"/>
      <c r="W30" s="51"/>
      <c r="X30" s="51"/>
      <c r="Y30" s="51"/>
      <c r="Z30" s="51"/>
      <c r="AA30" s="11"/>
      <c r="AB30" s="51"/>
      <c r="AC30" s="51"/>
      <c r="AD30" s="51"/>
      <c r="AE30" s="51"/>
      <c r="AF30" s="11"/>
      <c r="AG30" s="51"/>
      <c r="AH30" s="51"/>
      <c r="AI30" s="51"/>
      <c r="AJ30" s="51"/>
      <c r="AK30" s="11"/>
      <c r="AL30" s="51"/>
      <c r="AM30" s="51"/>
      <c r="AN30" s="51"/>
      <c r="AO30" s="5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5"/>
      <c r="CF30" s="5"/>
      <c r="CG30" s="5"/>
      <c r="CH30" s="5"/>
      <c r="CI30" s="5"/>
    </row>
    <row r="31" spans="1:87">
      <c r="A31" s="11"/>
      <c r="B31" s="11" t="s">
        <v>1473</v>
      </c>
      <c r="C31" s="55">
        <f>C200</f>
        <v>0</v>
      </c>
      <c r="D31" s="55">
        <f>D200</f>
        <v>0</v>
      </c>
      <c r="E31" s="55">
        <f>E200</f>
        <v>0</v>
      </c>
      <c r="F31" s="55">
        <f>F200</f>
        <v>78.84</v>
      </c>
      <c r="G31" s="55">
        <f>G200</f>
        <v>174.51</v>
      </c>
      <c r="H31" s="51"/>
      <c r="I31" s="51"/>
      <c r="J31" s="51"/>
      <c r="K31" s="51"/>
      <c r="L31" s="11">
        <v>159</v>
      </c>
      <c r="M31" s="51"/>
      <c r="N31" s="51"/>
      <c r="O31" s="51"/>
      <c r="P31" s="51"/>
      <c r="Q31" s="11">
        <v>153</v>
      </c>
      <c r="R31" s="51"/>
      <c r="S31" s="51"/>
      <c r="T31" s="51"/>
      <c r="U31" s="51"/>
      <c r="V31" s="11">
        <v>112</v>
      </c>
      <c r="W31" s="51"/>
      <c r="X31" s="51"/>
      <c r="Y31" s="51"/>
      <c r="Z31" s="51"/>
      <c r="AA31" s="11">
        <v>159</v>
      </c>
      <c r="AB31" s="51"/>
      <c r="AC31" s="51"/>
      <c r="AD31" s="51"/>
      <c r="AE31" s="51"/>
      <c r="AF31" s="11">
        <v>126</v>
      </c>
      <c r="AG31" s="51"/>
      <c r="AH31" s="51"/>
      <c r="AI31" s="51"/>
      <c r="AJ31" s="51"/>
      <c r="AK31" s="11">
        <v>114</v>
      </c>
      <c r="AL31" s="51"/>
      <c r="AM31" s="51"/>
      <c r="AN31" s="51"/>
      <c r="AO31" s="51"/>
      <c r="AP31" s="11">
        <v>120</v>
      </c>
      <c r="AQ31" s="51"/>
      <c r="AR31" s="51"/>
      <c r="AS31" s="51"/>
      <c r="AT31" s="51"/>
      <c r="AU31" s="11">
        <v>117</v>
      </c>
      <c r="AV31" s="51"/>
      <c r="AW31" s="51"/>
      <c r="AX31" s="51"/>
      <c r="AY31" s="51"/>
      <c r="AZ31" s="11">
        <v>107</v>
      </c>
      <c r="BA31" s="51"/>
      <c r="BB31" s="51"/>
      <c r="BC31" s="51"/>
      <c r="BD31" s="51"/>
      <c r="BE31" s="11">
        <v>187</v>
      </c>
      <c r="BF31" s="51"/>
      <c r="BG31" s="51"/>
      <c r="BH31" s="51"/>
      <c r="BI31" s="51"/>
      <c r="BJ31" s="11">
        <v>208</v>
      </c>
      <c r="BK31" s="51"/>
      <c r="BL31" s="51"/>
      <c r="BM31" s="51"/>
      <c r="BN31" s="51"/>
      <c r="BO31" s="11">
        <v>205</v>
      </c>
      <c r="BP31" s="51"/>
      <c r="BQ31" s="51"/>
      <c r="BR31" s="51"/>
      <c r="BS31" s="51"/>
      <c r="BT31" s="51"/>
      <c r="BU31" s="51"/>
      <c r="BV31" s="51"/>
      <c r="BW31" s="51"/>
      <c r="BX31" s="51"/>
      <c r="BY31" s="51"/>
      <c r="BZ31" s="51"/>
      <c r="CA31" s="51"/>
      <c r="CB31" s="51"/>
      <c r="CC31" s="51"/>
      <c r="CD31" s="51"/>
      <c r="CE31" s="5"/>
      <c r="CF31" s="5"/>
      <c r="CG31" s="5"/>
      <c r="CH31" s="5"/>
      <c r="CI31" s="5"/>
    </row>
    <row r="32" spans="1:87">
      <c r="A32" s="11"/>
      <c r="B32" s="11" t="s">
        <v>1934</v>
      </c>
      <c r="C32" s="55">
        <v>0</v>
      </c>
      <c r="D32" s="55">
        <v>0</v>
      </c>
      <c r="E32" s="55">
        <v>0</v>
      </c>
      <c r="F32" s="55">
        <v>0</v>
      </c>
      <c r="G32" s="55">
        <v>0</v>
      </c>
      <c r="H32" s="51"/>
      <c r="I32" s="51"/>
      <c r="J32" s="51"/>
      <c r="K32" s="51"/>
      <c r="L32" s="11">
        <v>0</v>
      </c>
      <c r="M32" s="51"/>
      <c r="N32" s="51"/>
      <c r="O32" s="51"/>
      <c r="P32" s="51"/>
      <c r="Q32" s="11">
        <v>0</v>
      </c>
      <c r="R32" s="51"/>
      <c r="S32" s="51"/>
      <c r="T32" s="51"/>
      <c r="U32" s="51"/>
      <c r="V32" s="11">
        <v>0</v>
      </c>
      <c r="W32" s="51"/>
      <c r="X32" s="51"/>
      <c r="Y32" s="51"/>
      <c r="Z32" s="51"/>
      <c r="AA32" s="11">
        <v>0</v>
      </c>
      <c r="AB32" s="51"/>
      <c r="AC32" s="51"/>
      <c r="AD32" s="51"/>
      <c r="AE32" s="51"/>
      <c r="AF32" s="11">
        <v>0</v>
      </c>
      <c r="AG32" s="51"/>
      <c r="AH32" s="51"/>
      <c r="AI32" s="51"/>
      <c r="AJ32" s="51"/>
      <c r="AK32" s="11">
        <v>0</v>
      </c>
      <c r="AL32" s="51"/>
      <c r="AM32" s="51"/>
      <c r="AN32" s="51"/>
      <c r="AO32" s="51"/>
      <c r="AP32" s="11">
        <v>0</v>
      </c>
      <c r="AQ32" s="51"/>
      <c r="AR32" s="51"/>
      <c r="AS32" s="51"/>
      <c r="AT32" s="51"/>
      <c r="AU32" s="11">
        <v>0</v>
      </c>
      <c r="AV32" s="51"/>
      <c r="AW32" s="51"/>
      <c r="AX32" s="51"/>
      <c r="AY32" s="51"/>
      <c r="AZ32" s="11">
        <v>0</v>
      </c>
      <c r="BA32" s="51"/>
      <c r="BB32" s="51"/>
      <c r="BC32" s="51"/>
      <c r="BD32" s="51"/>
      <c r="BE32" s="11">
        <v>0</v>
      </c>
      <c r="BF32" s="51"/>
      <c r="BG32" s="51"/>
      <c r="BH32" s="51"/>
      <c r="BI32" s="51"/>
      <c r="BJ32" s="11">
        <v>0</v>
      </c>
      <c r="BK32" s="51"/>
      <c r="BL32" s="51"/>
      <c r="BM32" s="51"/>
      <c r="BN32" s="51"/>
      <c r="BO32" s="11">
        <v>0</v>
      </c>
      <c r="BP32" s="51"/>
      <c r="BQ32" s="51"/>
      <c r="BR32" s="51"/>
      <c r="BS32" s="51"/>
      <c r="BT32" s="51"/>
      <c r="BU32" s="51"/>
      <c r="BV32" s="51"/>
      <c r="BW32" s="51"/>
      <c r="BX32" s="51"/>
      <c r="BY32" s="51"/>
      <c r="BZ32" s="51"/>
      <c r="CA32" s="51"/>
      <c r="CB32" s="51"/>
      <c r="CC32" s="51"/>
      <c r="CD32" s="51"/>
      <c r="CE32" s="5"/>
      <c r="CF32" s="5"/>
      <c r="CG32" s="5"/>
      <c r="CH32" s="5"/>
      <c r="CI32" s="5"/>
    </row>
    <row r="33" spans="1:87">
      <c r="A33" s="11"/>
      <c r="B33" s="11" t="s">
        <v>2251</v>
      </c>
      <c r="C33" s="55">
        <f>66+124</f>
        <v>190</v>
      </c>
      <c r="D33" s="55">
        <f>74+182</f>
        <v>256</v>
      </c>
      <c r="E33" s="55">
        <f>83+170</f>
        <v>253</v>
      </c>
      <c r="F33" s="55">
        <f>80+115</f>
        <v>195</v>
      </c>
      <c r="G33" s="55">
        <f>106+83</f>
        <v>189</v>
      </c>
      <c r="H33" s="51"/>
      <c r="I33" s="51"/>
      <c r="J33" s="51"/>
      <c r="K33" s="51"/>
      <c r="L33" s="11">
        <v>271</v>
      </c>
      <c r="M33" s="51"/>
      <c r="N33" s="51"/>
      <c r="O33" s="51"/>
      <c r="P33" s="51"/>
      <c r="Q33" s="11">
        <v>315</v>
      </c>
      <c r="R33" s="51"/>
      <c r="S33" s="51"/>
      <c r="T33" s="51"/>
      <c r="U33" s="51"/>
      <c r="V33" s="11">
        <v>372</v>
      </c>
      <c r="W33" s="51"/>
      <c r="X33" s="51"/>
      <c r="Y33" s="51"/>
      <c r="Z33" s="51"/>
      <c r="AA33" s="11">
        <v>462</v>
      </c>
      <c r="AB33" s="51"/>
      <c r="AC33" s="51"/>
      <c r="AD33" s="51"/>
      <c r="AE33" s="51"/>
      <c r="AF33" s="11">
        <v>430</v>
      </c>
      <c r="AG33" s="51"/>
      <c r="AH33" s="51"/>
      <c r="AI33" s="51"/>
      <c r="AJ33" s="51"/>
      <c r="AK33" s="11">
        <v>444</v>
      </c>
      <c r="AL33" s="51"/>
      <c r="AM33" s="51"/>
      <c r="AN33" s="51"/>
      <c r="AO33" s="51"/>
      <c r="AP33" s="11">
        <v>470</v>
      </c>
      <c r="AQ33" s="51"/>
      <c r="AR33" s="51"/>
      <c r="AS33" s="51"/>
      <c r="AT33" s="51"/>
      <c r="AU33" s="11">
        <v>444</v>
      </c>
      <c r="AV33" s="51"/>
      <c r="AW33" s="51"/>
      <c r="AX33" s="51"/>
      <c r="AY33" s="51"/>
      <c r="AZ33" s="11">
        <v>406</v>
      </c>
      <c r="BA33" s="51"/>
      <c r="BB33" s="51"/>
      <c r="BC33" s="51"/>
      <c r="BD33" s="51"/>
      <c r="BE33" s="11">
        <v>402</v>
      </c>
      <c r="BF33" s="51"/>
      <c r="BG33" s="51"/>
      <c r="BH33" s="51"/>
      <c r="BI33" s="51"/>
      <c r="BJ33" s="11">
        <v>305</v>
      </c>
      <c r="BK33" s="51"/>
      <c r="BL33" s="51"/>
      <c r="BM33" s="51"/>
      <c r="BN33" s="51"/>
      <c r="BO33" s="11">
        <v>745</v>
      </c>
      <c r="BP33" s="51"/>
      <c r="BQ33" s="51"/>
      <c r="BR33" s="51"/>
      <c r="BS33" s="51"/>
      <c r="BT33" s="51"/>
      <c r="BU33" s="51"/>
      <c r="BV33" s="51"/>
      <c r="BW33" s="51"/>
      <c r="BX33" s="51"/>
      <c r="BY33" s="51"/>
      <c r="BZ33" s="51"/>
      <c r="CA33" s="51"/>
      <c r="CB33" s="51"/>
      <c r="CC33" s="51"/>
      <c r="CD33" s="51"/>
      <c r="CE33" s="5"/>
      <c r="CF33" s="5"/>
      <c r="CG33" s="5"/>
      <c r="CH33" s="5"/>
      <c r="CI33" s="5"/>
    </row>
    <row r="34" spans="1:87">
      <c r="A34" s="39" t="s">
        <v>2461</v>
      </c>
      <c r="B34" s="39"/>
      <c r="C34" s="54">
        <f>SUM(C31:C33)</f>
        <v>190</v>
      </c>
      <c r="D34" s="54">
        <f>SUM(D31:D33)</f>
        <v>256</v>
      </c>
      <c r="E34" s="54">
        <f>SUM(E31:E33)</f>
        <v>253</v>
      </c>
      <c r="F34" s="54">
        <f>SUM(F31:F33)</f>
        <v>273.84000000000003</v>
      </c>
      <c r="G34" s="54">
        <f>SUM(G31:G33)</f>
        <v>363.51</v>
      </c>
      <c r="H34" s="52"/>
      <c r="I34" s="52"/>
      <c r="J34" s="52"/>
      <c r="K34" s="52"/>
      <c r="L34" s="54">
        <f>SUM(L31:L33)</f>
        <v>430</v>
      </c>
      <c r="M34" s="52"/>
      <c r="N34" s="52"/>
      <c r="O34" s="52"/>
      <c r="P34" s="52"/>
      <c r="Q34" s="54">
        <f>SUM(Q31:Q33)</f>
        <v>468</v>
      </c>
      <c r="R34" s="52"/>
      <c r="S34" s="52"/>
      <c r="T34" s="52"/>
      <c r="U34" s="52"/>
      <c r="V34" s="54">
        <f>SUM(V31:V33)</f>
        <v>484</v>
      </c>
      <c r="W34" s="52"/>
      <c r="X34" s="52"/>
      <c r="Y34" s="52"/>
      <c r="Z34" s="52"/>
      <c r="AA34" s="54">
        <f>SUM(AA31:AA33)</f>
        <v>621</v>
      </c>
      <c r="AB34" s="52"/>
      <c r="AC34" s="52"/>
      <c r="AD34" s="52"/>
      <c r="AE34" s="52"/>
      <c r="AF34" s="54">
        <f>SUM(AF31:AF33)</f>
        <v>556</v>
      </c>
      <c r="AG34" s="52"/>
      <c r="AH34" s="52"/>
      <c r="AI34" s="52"/>
      <c r="AJ34" s="52"/>
      <c r="AK34" s="54">
        <f>SUM(AK31:AK33)</f>
        <v>558</v>
      </c>
      <c r="AL34" s="52"/>
      <c r="AM34" s="52"/>
      <c r="AN34" s="52"/>
      <c r="AO34" s="52"/>
      <c r="AP34" s="54">
        <f>SUM(AP31:AP33)</f>
        <v>590</v>
      </c>
      <c r="AQ34" s="52"/>
      <c r="AR34" s="52"/>
      <c r="AS34" s="52"/>
      <c r="AT34" s="52"/>
      <c r="AU34" s="54">
        <f>SUM(AU31:AU33)</f>
        <v>561</v>
      </c>
      <c r="AV34" s="52"/>
      <c r="AW34" s="52"/>
      <c r="AX34" s="52"/>
      <c r="AY34" s="52"/>
      <c r="AZ34" s="54">
        <v>513</v>
      </c>
      <c r="BA34" s="52"/>
      <c r="BB34" s="52"/>
      <c r="BC34" s="52"/>
      <c r="BD34" s="52"/>
      <c r="BE34" s="54">
        <f>SUM(BE31:BE33)</f>
        <v>589</v>
      </c>
      <c r="BF34" s="52"/>
      <c r="BG34" s="52"/>
      <c r="BH34" s="52"/>
      <c r="BI34" s="52"/>
      <c r="BJ34" s="54">
        <f>SUM(BJ31:BJ33)</f>
        <v>513</v>
      </c>
      <c r="BK34" s="52"/>
      <c r="BL34" s="52"/>
      <c r="BM34" s="52"/>
      <c r="BN34" s="52"/>
      <c r="BO34" s="54">
        <f>SUM(BO31:BO33)</f>
        <v>950</v>
      </c>
      <c r="BP34" s="79">
        <f>BP142-BP88</f>
        <v>1331.9232442065786</v>
      </c>
      <c r="BQ34" s="79">
        <f>BQ142-BQ88</f>
        <v>1296.7634988101504</v>
      </c>
      <c r="BR34" s="79">
        <f>BR142-BR88</f>
        <v>1305.925709412071</v>
      </c>
      <c r="BS34" s="79">
        <f>BS142-BS88</f>
        <v>1321.6675475712</v>
      </c>
      <c r="BT34" s="39">
        <f>AVERAGE(BP34:BS34)</f>
        <v>1314.07</v>
      </c>
      <c r="BU34" s="79">
        <f>BU142-BU88</f>
        <v>1628.1336811596566</v>
      </c>
      <c r="BV34" s="79">
        <f>BV142-BV88</f>
        <v>1585.1546536894784</v>
      </c>
      <c r="BW34" s="79">
        <f>BW142-BW88</f>
        <v>1596.3544760063805</v>
      </c>
      <c r="BX34" s="79">
        <f>BX142-BX88</f>
        <v>1615.597189144486</v>
      </c>
      <c r="BY34" s="39">
        <f>AVERAGE(BU34:BX34)</f>
        <v>1606.3100000000004</v>
      </c>
      <c r="BZ34" s="79">
        <f>BZ142-BZ88</f>
        <v>1926.0063995136477</v>
      </c>
      <c r="CA34" s="79">
        <f>CA142-CA88</f>
        <v>1875.1642095200864</v>
      </c>
      <c r="CB34" s="79">
        <f>CB142-CB88</f>
        <v>1888.4130782741586</v>
      </c>
      <c r="CC34" s="79">
        <f>CC142-CC88</f>
        <v>1911.176312692108</v>
      </c>
      <c r="CD34" s="39">
        <f>AVERAGE(BZ34:CC34)</f>
        <v>1900.19</v>
      </c>
      <c r="CE34" s="5"/>
      <c r="CF34" s="5"/>
      <c r="CG34" s="5"/>
      <c r="CH34" s="5"/>
      <c r="CI34" s="5"/>
    </row>
    <row r="35" spans="1:87">
      <c r="A35" s="11"/>
      <c r="B35" s="11"/>
      <c r="C35" s="55"/>
      <c r="D35" s="55"/>
      <c r="E35" s="55"/>
      <c r="F35" s="55"/>
      <c r="G35" s="55"/>
      <c r="H35" s="51"/>
      <c r="I35" s="51"/>
      <c r="J35" s="51"/>
      <c r="K35" s="51"/>
      <c r="L35" s="11"/>
      <c r="M35" s="51"/>
      <c r="N35" s="51"/>
      <c r="O35" s="51"/>
      <c r="P35" s="51"/>
      <c r="Q35" s="11"/>
      <c r="R35" s="51"/>
      <c r="S35" s="51"/>
      <c r="T35" s="51"/>
      <c r="U35" s="51"/>
      <c r="V35" s="11"/>
      <c r="W35" s="51"/>
      <c r="X35" s="51"/>
      <c r="Y35" s="51"/>
      <c r="Z35" s="51"/>
      <c r="AA35" s="11"/>
      <c r="AB35" s="51"/>
      <c r="AC35" s="51"/>
      <c r="AD35" s="51"/>
      <c r="AE35" s="5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5"/>
      <c r="CF35" s="5"/>
      <c r="CG35" s="5"/>
      <c r="CH35" s="5"/>
      <c r="CI35" s="5"/>
    </row>
    <row r="36" spans="1:87">
      <c r="A36" s="39" t="s">
        <v>2462</v>
      </c>
      <c r="B36" s="11"/>
      <c r="C36" s="55"/>
      <c r="D36" s="55"/>
      <c r="E36" s="55"/>
      <c r="F36" s="55"/>
      <c r="G36" s="55"/>
      <c r="H36" s="51"/>
      <c r="I36" s="51"/>
      <c r="J36" s="51"/>
      <c r="K36" s="51"/>
      <c r="L36" s="11"/>
      <c r="M36" s="51"/>
      <c r="N36" s="51"/>
      <c r="O36" s="51"/>
      <c r="P36" s="51"/>
      <c r="Q36" s="11"/>
      <c r="R36" s="51"/>
      <c r="S36" s="51"/>
      <c r="T36" s="51"/>
      <c r="U36" s="51"/>
      <c r="V36" s="11"/>
      <c r="W36" s="51"/>
      <c r="X36" s="51"/>
      <c r="Y36" s="51"/>
      <c r="Z36" s="51"/>
      <c r="AA36" s="11"/>
      <c r="AB36" s="51"/>
      <c r="AC36" s="51"/>
      <c r="AD36" s="51"/>
      <c r="AE36" s="51"/>
      <c r="AF36" s="11"/>
      <c r="AG36" s="51"/>
      <c r="AH36" s="51"/>
      <c r="AI36" s="51"/>
      <c r="AJ36" s="51"/>
      <c r="AK36" s="11"/>
      <c r="AL36" s="51"/>
      <c r="AM36" s="51"/>
      <c r="AN36" s="51"/>
      <c r="AO36" s="5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5"/>
      <c r="CF36" s="5"/>
      <c r="CG36" s="5"/>
      <c r="CH36" s="5"/>
      <c r="CI36" s="5"/>
    </row>
    <row r="37" spans="1:87">
      <c r="A37" s="39"/>
      <c r="B37" s="11" t="s">
        <v>2502</v>
      </c>
      <c r="C37" s="55">
        <v>0</v>
      </c>
      <c r="D37" s="55">
        <v>0</v>
      </c>
      <c r="E37" s="55">
        <v>0</v>
      </c>
      <c r="F37" s="55">
        <v>0</v>
      </c>
      <c r="G37" s="55">
        <v>0</v>
      </c>
      <c r="H37" s="51"/>
      <c r="I37" s="51"/>
      <c r="J37" s="51"/>
      <c r="K37" s="51"/>
      <c r="L37" s="11">
        <v>0</v>
      </c>
      <c r="M37" s="51"/>
      <c r="N37" s="51"/>
      <c r="O37" s="51"/>
      <c r="P37" s="51"/>
      <c r="Q37" s="11">
        <v>0</v>
      </c>
      <c r="R37" s="51"/>
      <c r="S37" s="51"/>
      <c r="T37" s="51"/>
      <c r="U37" s="51"/>
      <c r="V37" s="11">
        <v>0</v>
      </c>
      <c r="W37" s="51"/>
      <c r="X37" s="51"/>
      <c r="Y37" s="51"/>
      <c r="Z37" s="51"/>
      <c r="AA37" s="11">
        <v>0</v>
      </c>
      <c r="AB37" s="51"/>
      <c r="AC37" s="51"/>
      <c r="AD37" s="51"/>
      <c r="AE37" s="51"/>
      <c r="AF37" s="11">
        <v>0</v>
      </c>
      <c r="AG37" s="51"/>
      <c r="AH37" s="51"/>
      <c r="AI37" s="51"/>
      <c r="AJ37" s="51"/>
      <c r="AK37" s="11">
        <v>0</v>
      </c>
      <c r="AL37" s="51"/>
      <c r="AM37" s="51"/>
      <c r="AN37" s="51"/>
      <c r="AO37" s="51"/>
      <c r="AP37" s="11">
        <v>0</v>
      </c>
      <c r="AQ37" s="51"/>
      <c r="AR37" s="51"/>
      <c r="AS37" s="51"/>
      <c r="AT37" s="51"/>
      <c r="AU37" s="11">
        <v>0</v>
      </c>
      <c r="AV37" s="51"/>
      <c r="AW37" s="51"/>
      <c r="AX37" s="51"/>
      <c r="AY37" s="51"/>
      <c r="AZ37" s="11">
        <v>0</v>
      </c>
      <c r="BA37" s="51"/>
      <c r="BB37" s="51"/>
      <c r="BC37" s="51"/>
      <c r="BD37" s="51"/>
      <c r="BE37" s="11">
        <v>0</v>
      </c>
      <c r="BF37" s="51"/>
      <c r="BG37" s="51"/>
      <c r="BH37" s="51"/>
      <c r="BI37" s="51"/>
      <c r="BJ37" s="11">
        <v>0</v>
      </c>
      <c r="BK37" s="51"/>
      <c r="BL37" s="51"/>
      <c r="BM37" s="51"/>
      <c r="BN37" s="51"/>
      <c r="BO37" s="11">
        <v>0</v>
      </c>
      <c r="BP37" s="51"/>
      <c r="BQ37" s="51"/>
      <c r="BR37" s="51"/>
      <c r="BS37" s="51"/>
      <c r="BT37" s="51"/>
      <c r="BU37" s="51"/>
      <c r="BV37" s="51"/>
      <c r="BW37" s="51"/>
      <c r="BX37" s="51"/>
      <c r="BY37" s="51"/>
      <c r="BZ37" s="51"/>
      <c r="CA37" s="51"/>
      <c r="CB37" s="51"/>
      <c r="CC37" s="51"/>
      <c r="CD37" s="51"/>
      <c r="CE37" s="5"/>
      <c r="CF37" s="5"/>
      <c r="CG37" s="5"/>
      <c r="CH37" s="5"/>
      <c r="CI37" s="5"/>
    </row>
    <row r="38" spans="1:87">
      <c r="A38" s="11"/>
      <c r="B38" s="11" t="s">
        <v>726</v>
      </c>
      <c r="C38" s="55">
        <v>0</v>
      </c>
      <c r="D38" s="55">
        <v>0</v>
      </c>
      <c r="E38" s="55">
        <v>0</v>
      </c>
      <c r="F38" s="55">
        <v>0</v>
      </c>
      <c r="G38" s="55">
        <v>0</v>
      </c>
      <c r="H38" s="51"/>
      <c r="I38" s="51"/>
      <c r="J38" s="51"/>
      <c r="K38" s="51"/>
      <c r="L38" s="11">
        <v>0</v>
      </c>
      <c r="M38" s="51"/>
      <c r="N38" s="51"/>
      <c r="O38" s="51"/>
      <c r="P38" s="51"/>
      <c r="Q38" s="11">
        <v>73</v>
      </c>
      <c r="R38" s="51"/>
      <c r="S38" s="51"/>
      <c r="T38" s="51"/>
      <c r="U38" s="51"/>
      <c r="V38" s="11">
        <v>143</v>
      </c>
      <c r="W38" s="51"/>
      <c r="X38" s="51"/>
      <c r="Y38" s="51"/>
      <c r="Z38" s="51"/>
      <c r="AA38" s="11">
        <v>126</v>
      </c>
      <c r="AB38" s="51"/>
      <c r="AC38" s="51"/>
      <c r="AD38" s="51"/>
      <c r="AE38" s="51"/>
      <c r="AF38" s="11">
        <v>132</v>
      </c>
      <c r="AG38" s="51"/>
      <c r="AH38" s="51"/>
      <c r="AI38" s="51"/>
      <c r="AJ38" s="51"/>
      <c r="AK38" s="11">
        <v>140</v>
      </c>
      <c r="AL38" s="51"/>
      <c r="AM38" s="51"/>
      <c r="AN38" s="51"/>
      <c r="AO38" s="51"/>
      <c r="AP38" s="11">
        <v>158</v>
      </c>
      <c r="AQ38" s="51"/>
      <c r="AR38" s="51"/>
      <c r="AS38" s="51"/>
      <c r="AT38" s="51"/>
      <c r="AU38" s="11">
        <v>203</v>
      </c>
      <c r="AV38" s="51"/>
      <c r="AW38" s="51"/>
      <c r="AX38" s="51"/>
      <c r="AY38" s="51"/>
      <c r="AZ38" s="11">
        <v>230</v>
      </c>
      <c r="BA38" s="51"/>
      <c r="BB38" s="51"/>
      <c r="BC38" s="51"/>
      <c r="BD38" s="51"/>
      <c r="BE38" s="11">
        <v>219</v>
      </c>
      <c r="BF38" s="51"/>
      <c r="BG38" s="51"/>
      <c r="BH38" s="51"/>
      <c r="BI38" s="51"/>
      <c r="BJ38" s="11">
        <v>245</v>
      </c>
      <c r="BK38" s="51"/>
      <c r="BL38" s="51"/>
      <c r="BM38" s="51"/>
      <c r="BN38" s="51"/>
      <c r="BO38" s="11">
        <v>232</v>
      </c>
      <c r="BP38" s="51"/>
      <c r="BQ38" s="51"/>
      <c r="BR38" s="51"/>
      <c r="BS38" s="51"/>
      <c r="BT38" s="51"/>
      <c r="BU38" s="51"/>
      <c r="BV38" s="51"/>
      <c r="BW38" s="51"/>
      <c r="BX38" s="51"/>
      <c r="BY38" s="51"/>
      <c r="BZ38" s="51"/>
      <c r="CA38" s="51"/>
      <c r="CB38" s="51"/>
      <c r="CC38" s="51"/>
      <c r="CD38" s="51"/>
      <c r="CE38" s="5"/>
      <c r="CF38" s="5"/>
      <c r="CG38" s="5"/>
      <c r="CH38" s="5"/>
      <c r="CI38" s="5"/>
    </row>
    <row r="39" spans="1:87">
      <c r="A39" s="11"/>
      <c r="B39" s="11" t="s">
        <v>216</v>
      </c>
      <c r="C39" s="55">
        <v>108</v>
      </c>
      <c r="D39" s="55">
        <v>102</v>
      </c>
      <c r="E39" s="55">
        <v>74</v>
      </c>
      <c r="F39" s="55">
        <v>99</v>
      </c>
      <c r="G39" s="55">
        <v>98</v>
      </c>
      <c r="H39" s="51"/>
      <c r="I39" s="51"/>
      <c r="J39" s="51"/>
      <c r="K39" s="51"/>
      <c r="L39" s="11">
        <v>102</v>
      </c>
      <c r="M39" s="51"/>
      <c r="N39" s="51"/>
      <c r="O39" s="51"/>
      <c r="P39" s="51"/>
      <c r="Q39" s="11">
        <v>85</v>
      </c>
      <c r="R39" s="51"/>
      <c r="S39" s="51"/>
      <c r="T39" s="51"/>
      <c r="U39" s="51"/>
      <c r="V39" s="11">
        <v>91</v>
      </c>
      <c r="W39" s="51"/>
      <c r="X39" s="51"/>
      <c r="Y39" s="51"/>
      <c r="Z39" s="51"/>
      <c r="AA39" s="11">
        <v>83</v>
      </c>
      <c r="AB39" s="51"/>
      <c r="AC39" s="51"/>
      <c r="AD39" s="51"/>
      <c r="AE39" s="51"/>
      <c r="AF39" s="11">
        <v>95</v>
      </c>
      <c r="AG39" s="51"/>
      <c r="AH39" s="51"/>
      <c r="AI39" s="51"/>
      <c r="AJ39" s="51"/>
      <c r="AK39" s="11">
        <v>70</v>
      </c>
      <c r="AL39" s="51"/>
      <c r="AM39" s="51"/>
      <c r="AN39" s="51"/>
      <c r="AO39" s="51"/>
      <c r="AP39" s="11">
        <v>54</v>
      </c>
      <c r="AQ39" s="51"/>
      <c r="AR39" s="51"/>
      <c r="AS39" s="51"/>
      <c r="AT39" s="51"/>
      <c r="AU39" s="11">
        <v>34</v>
      </c>
      <c r="AV39" s="51"/>
      <c r="AW39" s="51"/>
      <c r="AX39" s="51"/>
      <c r="AY39" s="51"/>
      <c r="AZ39" s="11">
        <v>0</v>
      </c>
      <c r="BA39" s="51"/>
      <c r="BB39" s="51"/>
      <c r="BC39" s="51"/>
      <c r="BD39" s="51"/>
      <c r="BE39" s="11">
        <v>0</v>
      </c>
      <c r="BF39" s="51"/>
      <c r="BG39" s="51"/>
      <c r="BH39" s="51"/>
      <c r="BI39" s="51"/>
      <c r="BJ39" s="11">
        <v>0</v>
      </c>
      <c r="BK39" s="51"/>
      <c r="BL39" s="51"/>
      <c r="BM39" s="51"/>
      <c r="BN39" s="51"/>
      <c r="BO39" s="11">
        <v>0</v>
      </c>
      <c r="BP39" s="51"/>
      <c r="BQ39" s="51"/>
      <c r="BR39" s="51"/>
      <c r="BS39" s="51"/>
      <c r="BT39" s="51"/>
      <c r="BU39" s="51"/>
      <c r="BV39" s="51"/>
      <c r="BW39" s="51"/>
      <c r="BX39" s="51"/>
      <c r="BY39" s="51"/>
      <c r="BZ39" s="51"/>
      <c r="CA39" s="51"/>
      <c r="CB39" s="51"/>
      <c r="CC39" s="51"/>
      <c r="CD39" s="51"/>
      <c r="CE39" s="5"/>
      <c r="CF39" s="5"/>
      <c r="CG39" s="5"/>
      <c r="CH39" s="5"/>
      <c r="CI39" s="5"/>
    </row>
    <row r="40" spans="1:87">
      <c r="A40" s="11"/>
      <c r="B40" s="11" t="s">
        <v>138</v>
      </c>
      <c r="C40" s="55">
        <v>0</v>
      </c>
      <c r="D40" s="55">
        <v>0</v>
      </c>
      <c r="E40" s="55">
        <v>0</v>
      </c>
      <c r="F40" s="55">
        <v>0</v>
      </c>
      <c r="G40" s="55">
        <v>0</v>
      </c>
      <c r="H40" s="51"/>
      <c r="I40" s="51"/>
      <c r="J40" s="51"/>
      <c r="K40" s="51"/>
      <c r="L40" s="11">
        <v>0</v>
      </c>
      <c r="M40" s="51"/>
      <c r="N40" s="51"/>
      <c r="O40" s="51"/>
      <c r="P40" s="51"/>
      <c r="Q40" s="11">
        <v>0</v>
      </c>
      <c r="R40" s="51"/>
      <c r="S40" s="51"/>
      <c r="T40" s="51"/>
      <c r="U40" s="51"/>
      <c r="V40" s="11">
        <v>0</v>
      </c>
      <c r="W40" s="51"/>
      <c r="X40" s="51"/>
      <c r="Y40" s="51"/>
      <c r="Z40" s="51"/>
      <c r="AA40" s="11">
        <v>0</v>
      </c>
      <c r="AB40" s="51"/>
      <c r="AC40" s="51"/>
      <c r="AD40" s="51"/>
      <c r="AE40" s="51"/>
      <c r="AF40" s="11">
        <v>0</v>
      </c>
      <c r="AG40" s="51"/>
      <c r="AH40" s="51"/>
      <c r="AI40" s="51"/>
      <c r="AJ40" s="51"/>
      <c r="AK40" s="11">
        <v>0</v>
      </c>
      <c r="AL40" s="51"/>
      <c r="AM40" s="51"/>
      <c r="AN40" s="51"/>
      <c r="AO40" s="51"/>
      <c r="AP40" s="11">
        <v>0</v>
      </c>
      <c r="AQ40" s="51"/>
      <c r="AR40" s="51"/>
      <c r="AS40" s="51"/>
      <c r="AT40" s="51"/>
      <c r="AU40" s="11">
        <v>0</v>
      </c>
      <c r="AV40" s="51"/>
      <c r="AW40" s="51"/>
      <c r="AX40" s="51"/>
      <c r="AY40" s="51"/>
      <c r="AZ40" s="11">
        <v>0</v>
      </c>
      <c r="BA40" s="51"/>
      <c r="BB40" s="51"/>
      <c r="BC40" s="51"/>
      <c r="BD40" s="51"/>
      <c r="BE40" s="11">
        <v>0</v>
      </c>
      <c r="BF40" s="51"/>
      <c r="BG40" s="51"/>
      <c r="BH40" s="51"/>
      <c r="BI40" s="51"/>
      <c r="BJ40" s="11">
        <v>0</v>
      </c>
      <c r="BK40" s="51"/>
      <c r="BL40" s="51"/>
      <c r="BM40" s="51"/>
      <c r="BN40" s="51"/>
      <c r="BO40" s="11">
        <v>0</v>
      </c>
      <c r="BP40" s="51"/>
      <c r="BQ40" s="51"/>
      <c r="BR40" s="51"/>
      <c r="BS40" s="51"/>
      <c r="BT40" s="51"/>
      <c r="BU40" s="51"/>
      <c r="BV40" s="51"/>
      <c r="BW40" s="51"/>
      <c r="BX40" s="51"/>
      <c r="BY40" s="51"/>
      <c r="BZ40" s="51"/>
      <c r="CA40" s="51"/>
      <c r="CB40" s="51"/>
      <c r="CC40" s="51"/>
      <c r="CD40" s="51"/>
      <c r="CE40" s="5"/>
      <c r="CF40" s="5"/>
      <c r="CG40" s="5"/>
      <c r="CH40" s="5"/>
      <c r="CI40" s="5"/>
    </row>
    <row r="41" spans="1:87">
      <c r="A41" s="11"/>
      <c r="B41" s="11" t="s">
        <v>816</v>
      </c>
      <c r="C41" s="55">
        <v>0</v>
      </c>
      <c r="D41" s="55">
        <v>0</v>
      </c>
      <c r="E41" s="55">
        <v>0</v>
      </c>
      <c r="F41" s="55">
        <v>0</v>
      </c>
      <c r="G41" s="55">
        <v>0</v>
      </c>
      <c r="H41" s="51"/>
      <c r="I41" s="51"/>
      <c r="J41" s="51"/>
      <c r="K41" s="51"/>
      <c r="L41" s="11">
        <v>0</v>
      </c>
      <c r="M41" s="51"/>
      <c r="N41" s="51"/>
      <c r="O41" s="51"/>
      <c r="P41" s="51"/>
      <c r="Q41" s="11">
        <v>0</v>
      </c>
      <c r="R41" s="51"/>
      <c r="S41" s="51"/>
      <c r="T41" s="51"/>
      <c r="U41" s="51"/>
      <c r="V41" s="11">
        <v>0</v>
      </c>
      <c r="W41" s="51"/>
      <c r="X41" s="51"/>
      <c r="Y41" s="51"/>
      <c r="Z41" s="51"/>
      <c r="AA41" s="11">
        <v>0</v>
      </c>
      <c r="AB41" s="51"/>
      <c r="AC41" s="51"/>
      <c r="AD41" s="51"/>
      <c r="AE41" s="51"/>
      <c r="AF41" s="11">
        <v>0</v>
      </c>
      <c r="AG41" s="51"/>
      <c r="AH41" s="51"/>
      <c r="AI41" s="51"/>
      <c r="AJ41" s="51"/>
      <c r="AK41" s="11">
        <v>0</v>
      </c>
      <c r="AL41" s="51"/>
      <c r="AM41" s="51"/>
      <c r="AN41" s="51"/>
      <c r="AO41" s="51"/>
      <c r="AP41" s="11">
        <v>0</v>
      </c>
      <c r="AQ41" s="51"/>
      <c r="AR41" s="51"/>
      <c r="AS41" s="51"/>
      <c r="AT41" s="51"/>
      <c r="AU41" s="11">
        <v>0</v>
      </c>
      <c r="AV41" s="51"/>
      <c r="AW41" s="51"/>
      <c r="AX41" s="51"/>
      <c r="AY41" s="51"/>
      <c r="AZ41" s="11">
        <v>0</v>
      </c>
      <c r="BA41" s="51"/>
      <c r="BB41" s="51"/>
      <c r="BC41" s="51"/>
      <c r="BD41" s="51"/>
      <c r="BE41" s="11">
        <v>0</v>
      </c>
      <c r="BF41" s="51"/>
      <c r="BG41" s="51"/>
      <c r="BH41" s="51"/>
      <c r="BI41" s="51"/>
      <c r="BJ41" s="11">
        <v>0</v>
      </c>
      <c r="BK41" s="51"/>
      <c r="BL41" s="51"/>
      <c r="BM41" s="51"/>
      <c r="BN41" s="51"/>
      <c r="BO41" s="11">
        <v>0</v>
      </c>
      <c r="BP41" s="51"/>
      <c r="BQ41" s="51"/>
      <c r="BR41" s="51"/>
      <c r="BS41" s="51"/>
      <c r="BT41" s="51"/>
      <c r="BU41" s="51"/>
      <c r="BV41" s="51"/>
      <c r="BW41" s="51"/>
      <c r="BX41" s="51"/>
      <c r="BY41" s="51"/>
      <c r="BZ41" s="51"/>
      <c r="CA41" s="51"/>
      <c r="CB41" s="51"/>
      <c r="CC41" s="51"/>
      <c r="CD41" s="51"/>
      <c r="CE41" s="5"/>
      <c r="CF41" s="5"/>
      <c r="CG41" s="5"/>
      <c r="CH41" s="5"/>
      <c r="CI41" s="5"/>
    </row>
    <row r="42" spans="1:87">
      <c r="A42" s="11"/>
      <c r="B42" s="11" t="s">
        <v>1962</v>
      </c>
      <c r="C42" s="55">
        <v>0</v>
      </c>
      <c r="D42" s="55">
        <v>0</v>
      </c>
      <c r="E42" s="55">
        <v>0</v>
      </c>
      <c r="F42" s="55">
        <v>0</v>
      </c>
      <c r="G42" s="55">
        <v>0</v>
      </c>
      <c r="H42" s="51"/>
      <c r="I42" s="51"/>
      <c r="J42" s="51"/>
      <c r="K42" s="51"/>
      <c r="L42" s="11">
        <v>0</v>
      </c>
      <c r="M42" s="51"/>
      <c r="N42" s="51"/>
      <c r="O42" s="51"/>
      <c r="P42" s="51"/>
      <c r="Q42" s="11">
        <v>0</v>
      </c>
      <c r="R42" s="51"/>
      <c r="S42" s="51"/>
      <c r="T42" s="51"/>
      <c r="U42" s="51"/>
      <c r="V42" s="11">
        <v>0</v>
      </c>
      <c r="W42" s="51"/>
      <c r="X42" s="51"/>
      <c r="Y42" s="51"/>
      <c r="Z42" s="51"/>
      <c r="AA42" s="11">
        <v>0</v>
      </c>
      <c r="AB42" s="51"/>
      <c r="AC42" s="51"/>
      <c r="AD42" s="51"/>
      <c r="AE42" s="51"/>
      <c r="AF42" s="11">
        <v>0</v>
      </c>
      <c r="AG42" s="51"/>
      <c r="AH42" s="51"/>
      <c r="AI42" s="51"/>
      <c r="AJ42" s="51"/>
      <c r="AK42" s="11">
        <v>0</v>
      </c>
      <c r="AL42" s="51"/>
      <c r="AM42" s="51"/>
      <c r="AN42" s="51"/>
      <c r="AO42" s="51"/>
      <c r="AP42" s="11">
        <v>0</v>
      </c>
      <c r="AQ42" s="51"/>
      <c r="AR42" s="51"/>
      <c r="AS42" s="51"/>
      <c r="AT42" s="51"/>
      <c r="AU42" s="11">
        <v>0</v>
      </c>
      <c r="AV42" s="51"/>
      <c r="AW42" s="51"/>
      <c r="AX42" s="51"/>
      <c r="AY42" s="51"/>
      <c r="AZ42" s="11">
        <v>0</v>
      </c>
      <c r="BA42" s="51"/>
      <c r="BB42" s="51"/>
      <c r="BC42" s="51"/>
      <c r="BD42" s="51"/>
      <c r="BE42" s="11">
        <v>0</v>
      </c>
      <c r="BF42" s="51"/>
      <c r="BG42" s="51"/>
      <c r="BH42" s="51"/>
      <c r="BI42" s="51"/>
      <c r="BJ42" s="11">
        <v>0</v>
      </c>
      <c r="BK42" s="51"/>
      <c r="BL42" s="51"/>
      <c r="BM42" s="51"/>
      <c r="BN42" s="51"/>
      <c r="BO42" s="11">
        <v>0</v>
      </c>
      <c r="BP42" s="51"/>
      <c r="BQ42" s="51"/>
      <c r="BR42" s="51"/>
      <c r="BS42" s="51"/>
      <c r="BT42" s="51"/>
      <c r="BU42" s="51"/>
      <c r="BV42" s="51"/>
      <c r="BW42" s="51"/>
      <c r="BX42" s="51"/>
      <c r="BY42" s="51"/>
      <c r="BZ42" s="51"/>
      <c r="CA42" s="51"/>
      <c r="CB42" s="51"/>
      <c r="CC42" s="51"/>
      <c r="CD42" s="51"/>
      <c r="CE42" s="5"/>
      <c r="CF42" s="5"/>
      <c r="CG42" s="5"/>
      <c r="CH42" s="5"/>
      <c r="CI42" s="5"/>
    </row>
    <row r="43" spans="1:87">
      <c r="A43" s="11"/>
      <c r="B43" s="11" t="s">
        <v>3277</v>
      </c>
      <c r="C43" s="55">
        <v>0</v>
      </c>
      <c r="D43" s="55">
        <v>0</v>
      </c>
      <c r="E43" s="55">
        <v>0</v>
      </c>
      <c r="F43" s="55">
        <v>0</v>
      </c>
      <c r="G43" s="55">
        <v>0</v>
      </c>
      <c r="H43" s="51"/>
      <c r="I43" s="51"/>
      <c r="J43" s="51"/>
      <c r="K43" s="51"/>
      <c r="L43" s="11">
        <v>0</v>
      </c>
      <c r="M43" s="51"/>
      <c r="N43" s="51"/>
      <c r="O43" s="51"/>
      <c r="P43" s="51"/>
      <c r="Q43" s="11">
        <v>0</v>
      </c>
      <c r="R43" s="51"/>
      <c r="S43" s="51"/>
      <c r="T43" s="51"/>
      <c r="U43" s="51"/>
      <c r="V43" s="11">
        <v>0</v>
      </c>
      <c r="W43" s="51"/>
      <c r="X43" s="51"/>
      <c r="Y43" s="51"/>
      <c r="Z43" s="51"/>
      <c r="AA43" s="11">
        <v>0</v>
      </c>
      <c r="AB43" s="51"/>
      <c r="AC43" s="51"/>
      <c r="AD43" s="51"/>
      <c r="AE43" s="51"/>
      <c r="AF43" s="11">
        <v>0</v>
      </c>
      <c r="AG43" s="51"/>
      <c r="AH43" s="51"/>
      <c r="AI43" s="51"/>
      <c r="AJ43" s="51"/>
      <c r="AK43" s="11">
        <v>20</v>
      </c>
      <c r="AL43" s="51"/>
      <c r="AM43" s="51"/>
      <c r="AN43" s="51"/>
      <c r="AO43" s="51"/>
      <c r="AP43" s="11">
        <v>14</v>
      </c>
      <c r="AQ43" s="51"/>
      <c r="AR43" s="51"/>
      <c r="AS43" s="51"/>
      <c r="AT43" s="51"/>
      <c r="AU43" s="11">
        <v>22</v>
      </c>
      <c r="AV43" s="51"/>
      <c r="AW43" s="51"/>
      <c r="AX43" s="51"/>
      <c r="AY43" s="51"/>
      <c r="AZ43" s="11">
        <v>0</v>
      </c>
      <c r="BA43" s="51"/>
      <c r="BB43" s="51"/>
      <c r="BC43" s="51"/>
      <c r="BD43" s="51"/>
      <c r="BE43" s="11">
        <v>0</v>
      </c>
      <c r="BF43" s="51"/>
      <c r="BG43" s="51"/>
      <c r="BH43" s="51"/>
      <c r="BI43" s="51"/>
      <c r="BJ43" s="11">
        <v>0</v>
      </c>
      <c r="BK43" s="51"/>
      <c r="BL43" s="51"/>
      <c r="BM43" s="51"/>
      <c r="BN43" s="51"/>
      <c r="BO43" s="11">
        <v>79</v>
      </c>
      <c r="BP43" s="51"/>
      <c r="BQ43" s="51"/>
      <c r="BR43" s="51"/>
      <c r="BS43" s="51"/>
      <c r="BT43" s="51"/>
      <c r="BU43" s="51"/>
      <c r="BV43" s="51"/>
      <c r="BW43" s="51"/>
      <c r="BX43" s="51"/>
      <c r="BY43" s="51"/>
      <c r="BZ43" s="51"/>
      <c r="CA43" s="51"/>
      <c r="CB43" s="51"/>
      <c r="CC43" s="51"/>
      <c r="CD43" s="51"/>
      <c r="CE43" s="5"/>
      <c r="CF43" s="5"/>
      <c r="CG43" s="5"/>
      <c r="CH43" s="5"/>
      <c r="CI43" s="5"/>
    </row>
    <row r="44" spans="1:87">
      <c r="A44" s="11"/>
      <c r="B44" s="11" t="s">
        <v>3278</v>
      </c>
      <c r="C44" s="55">
        <f>C213</f>
        <v>0</v>
      </c>
      <c r="D44" s="55">
        <f>D213</f>
        <v>0</v>
      </c>
      <c r="E44" s="55">
        <f>E213</f>
        <v>91.38</v>
      </c>
      <c r="F44" s="55">
        <f>F213</f>
        <v>93.06</v>
      </c>
      <c r="G44" s="55">
        <f>G213</f>
        <v>99.66</v>
      </c>
      <c r="H44" s="51"/>
      <c r="I44" s="51"/>
      <c r="J44" s="51"/>
      <c r="K44" s="51"/>
      <c r="L44" s="11">
        <v>88</v>
      </c>
      <c r="M44" s="51"/>
      <c r="N44" s="51"/>
      <c r="O44" s="51"/>
      <c r="P44" s="51"/>
      <c r="Q44" s="11">
        <v>121</v>
      </c>
      <c r="R44" s="51"/>
      <c r="S44" s="51"/>
      <c r="T44" s="51"/>
      <c r="U44" s="51"/>
      <c r="V44" s="11">
        <v>162</v>
      </c>
      <c r="W44" s="51"/>
      <c r="X44" s="51"/>
      <c r="Y44" s="51"/>
      <c r="Z44" s="51"/>
      <c r="AA44" s="11">
        <v>173</v>
      </c>
      <c r="AB44" s="51"/>
      <c r="AC44" s="51"/>
      <c r="AD44" s="51"/>
      <c r="AE44" s="51"/>
      <c r="AF44" s="11">
        <v>150</v>
      </c>
      <c r="AG44" s="51"/>
      <c r="AH44" s="51"/>
      <c r="AI44" s="51"/>
      <c r="AJ44" s="51"/>
      <c r="AK44" s="11">
        <v>73</v>
      </c>
      <c r="AL44" s="51"/>
      <c r="AM44" s="51"/>
      <c r="AN44" s="51"/>
      <c r="AO44" s="51"/>
      <c r="AP44" s="11">
        <v>0</v>
      </c>
      <c r="AQ44" s="51"/>
      <c r="AR44" s="51"/>
      <c r="AS44" s="51"/>
      <c r="AT44" s="51"/>
      <c r="AU44" s="11">
        <v>0</v>
      </c>
      <c r="AV44" s="51"/>
      <c r="AW44" s="51"/>
      <c r="AX44" s="51"/>
      <c r="AY44" s="51"/>
      <c r="AZ44" s="11">
        <v>0</v>
      </c>
      <c r="BA44" s="51"/>
      <c r="BB44" s="51"/>
      <c r="BC44" s="51"/>
      <c r="BD44" s="51"/>
      <c r="BE44" s="11">
        <v>0</v>
      </c>
      <c r="BF44" s="51"/>
      <c r="BG44" s="51"/>
      <c r="BH44" s="51"/>
      <c r="BI44" s="51"/>
      <c r="BJ44" s="11">
        <v>0</v>
      </c>
      <c r="BK44" s="51"/>
      <c r="BL44" s="51"/>
      <c r="BM44" s="51"/>
      <c r="BN44" s="51"/>
      <c r="BO44" s="11">
        <v>0</v>
      </c>
      <c r="BP44" s="51"/>
      <c r="BQ44" s="51"/>
      <c r="BR44" s="51"/>
      <c r="BS44" s="51"/>
      <c r="BT44" s="51"/>
      <c r="BU44" s="51"/>
      <c r="BV44" s="51"/>
      <c r="BW44" s="51"/>
      <c r="BX44" s="51"/>
      <c r="BY44" s="51"/>
      <c r="BZ44" s="51"/>
      <c r="CA44" s="51"/>
      <c r="CB44" s="51"/>
      <c r="CC44" s="51"/>
      <c r="CD44" s="51"/>
      <c r="CE44" s="5"/>
      <c r="CF44" s="5"/>
      <c r="CG44" s="5"/>
      <c r="CH44" s="5"/>
      <c r="CI44" s="5"/>
    </row>
    <row r="45" spans="1:87">
      <c r="A45" s="47"/>
      <c r="B45" s="47" t="s">
        <v>1703</v>
      </c>
      <c r="C45" s="55">
        <v>0</v>
      </c>
      <c r="D45" s="55">
        <v>0</v>
      </c>
      <c r="E45" s="55">
        <v>0</v>
      </c>
      <c r="F45" s="55">
        <v>0</v>
      </c>
      <c r="G45" s="55">
        <v>0</v>
      </c>
      <c r="H45" s="64"/>
      <c r="I45" s="64"/>
      <c r="J45" s="64"/>
      <c r="K45" s="64"/>
      <c r="L45" s="11">
        <v>0</v>
      </c>
      <c r="M45" s="64"/>
      <c r="N45" s="64"/>
      <c r="O45" s="64"/>
      <c r="P45" s="64"/>
      <c r="Q45" s="11">
        <v>0</v>
      </c>
      <c r="R45" s="64"/>
      <c r="S45" s="64"/>
      <c r="T45" s="64"/>
      <c r="U45" s="64"/>
      <c r="V45" s="11">
        <v>0</v>
      </c>
      <c r="W45" s="64"/>
      <c r="X45" s="64"/>
      <c r="Y45" s="64"/>
      <c r="Z45" s="64"/>
      <c r="AA45" s="11">
        <v>0</v>
      </c>
      <c r="AB45" s="64"/>
      <c r="AC45" s="64"/>
      <c r="AD45" s="64"/>
      <c r="AE45" s="64"/>
      <c r="AF45" s="11">
        <v>0</v>
      </c>
      <c r="AG45" s="64"/>
      <c r="AH45" s="64"/>
      <c r="AI45" s="64"/>
      <c r="AJ45" s="64"/>
      <c r="AK45" s="11">
        <v>0</v>
      </c>
      <c r="AL45" s="64"/>
      <c r="AM45" s="64"/>
      <c r="AN45" s="64"/>
      <c r="AO45" s="64"/>
      <c r="AP45" s="11">
        <v>0</v>
      </c>
      <c r="AQ45" s="64"/>
      <c r="AR45" s="64"/>
      <c r="AS45" s="64"/>
      <c r="AT45" s="64"/>
      <c r="AU45" s="11">
        <v>0</v>
      </c>
      <c r="AV45" s="64"/>
      <c r="AW45" s="64"/>
      <c r="AX45" s="64"/>
      <c r="AY45" s="64"/>
      <c r="AZ45" s="11">
        <v>0</v>
      </c>
      <c r="BA45" s="64"/>
      <c r="BB45" s="64"/>
      <c r="BC45" s="64"/>
      <c r="BD45" s="64"/>
      <c r="BE45" s="11">
        <v>0</v>
      </c>
      <c r="BF45" s="64"/>
      <c r="BG45" s="64"/>
      <c r="BH45" s="64"/>
      <c r="BI45" s="64"/>
      <c r="BJ45" s="11">
        <v>0</v>
      </c>
      <c r="BK45" s="64"/>
      <c r="BL45" s="64"/>
      <c r="BM45" s="64"/>
      <c r="BN45" s="64"/>
      <c r="BO45" s="11">
        <v>0</v>
      </c>
      <c r="BP45" s="51"/>
      <c r="BQ45" s="51"/>
      <c r="BR45" s="51"/>
      <c r="BS45" s="51"/>
      <c r="BT45" s="51"/>
      <c r="BU45" s="51"/>
      <c r="BV45" s="51"/>
      <c r="BW45" s="51"/>
      <c r="BX45" s="51"/>
      <c r="BY45" s="51"/>
      <c r="BZ45" s="51"/>
      <c r="CA45" s="51"/>
      <c r="CB45" s="51"/>
      <c r="CC45" s="51"/>
      <c r="CD45" s="51"/>
      <c r="CE45" s="5"/>
      <c r="CF45" s="5"/>
      <c r="CG45" s="5"/>
      <c r="CH45" s="5"/>
      <c r="CI45" s="5"/>
    </row>
    <row r="46" spans="1:87">
      <c r="A46" s="47"/>
      <c r="B46" s="47" t="s">
        <v>1961</v>
      </c>
      <c r="C46" s="56">
        <f>125+35</f>
        <v>160</v>
      </c>
      <c r="D46" s="56">
        <f>110+24</f>
        <v>134</v>
      </c>
      <c r="E46" s="56">
        <f>101+19</f>
        <v>120</v>
      </c>
      <c r="F46" s="56">
        <f>103+14</f>
        <v>117</v>
      </c>
      <c r="G46" s="56">
        <f>113+10</f>
        <v>123</v>
      </c>
      <c r="H46" s="64"/>
      <c r="I46" s="64"/>
      <c r="J46" s="64"/>
      <c r="K46" s="64"/>
      <c r="L46" s="47">
        <v>120</v>
      </c>
      <c r="M46" s="64"/>
      <c r="N46" s="64"/>
      <c r="O46" s="64"/>
      <c r="P46" s="64"/>
      <c r="Q46" s="47">
        <v>92</v>
      </c>
      <c r="R46" s="64"/>
      <c r="S46" s="64"/>
      <c r="T46" s="64"/>
      <c r="U46" s="64"/>
      <c r="V46" s="47">
        <v>73</v>
      </c>
      <c r="W46" s="64"/>
      <c r="X46" s="64"/>
      <c r="Y46" s="64"/>
      <c r="Z46" s="64"/>
      <c r="AA46" s="47">
        <v>59</v>
      </c>
      <c r="AB46" s="64"/>
      <c r="AC46" s="64"/>
      <c r="AD46" s="64"/>
      <c r="AE46" s="64"/>
      <c r="AF46" s="47">
        <v>50</v>
      </c>
      <c r="AG46" s="64"/>
      <c r="AH46" s="64"/>
      <c r="AI46" s="64"/>
      <c r="AJ46" s="64"/>
      <c r="AK46" s="11">
        <v>41</v>
      </c>
      <c r="AL46" s="64"/>
      <c r="AM46" s="64"/>
      <c r="AN46" s="64"/>
      <c r="AO46" s="64"/>
      <c r="AP46" s="11">
        <v>35</v>
      </c>
      <c r="AQ46" s="64"/>
      <c r="AR46" s="64"/>
      <c r="AS46" s="64"/>
      <c r="AT46" s="64"/>
      <c r="AU46" s="11">
        <v>25</v>
      </c>
      <c r="AV46" s="64"/>
      <c r="AW46" s="64"/>
      <c r="AX46" s="64"/>
      <c r="AY46" s="64"/>
      <c r="AZ46" s="11">
        <v>0</v>
      </c>
      <c r="BA46" s="64"/>
      <c r="BB46" s="64"/>
      <c r="BC46" s="64"/>
      <c r="BD46" s="64"/>
      <c r="BE46" s="11">
        <v>0</v>
      </c>
      <c r="BF46" s="64"/>
      <c r="BG46" s="64"/>
      <c r="BH46" s="64"/>
      <c r="BI46" s="64"/>
      <c r="BJ46" s="11">
        <v>0</v>
      </c>
      <c r="BK46" s="64"/>
      <c r="BL46" s="64"/>
      <c r="BM46" s="64"/>
      <c r="BN46" s="64"/>
      <c r="BO46" s="11">
        <v>0</v>
      </c>
      <c r="BP46" s="51"/>
      <c r="BQ46" s="51"/>
      <c r="BR46" s="51"/>
      <c r="BS46" s="51"/>
      <c r="BT46" s="51"/>
      <c r="BU46" s="51"/>
      <c r="BV46" s="51"/>
      <c r="BW46" s="51"/>
      <c r="BX46" s="51"/>
      <c r="BY46" s="51"/>
      <c r="BZ46" s="51"/>
      <c r="CA46" s="51"/>
      <c r="CB46" s="51"/>
      <c r="CC46" s="51"/>
      <c r="CD46" s="51"/>
      <c r="CE46" s="5"/>
      <c r="CF46" s="5"/>
      <c r="CG46" s="5"/>
      <c r="CH46" s="5"/>
      <c r="CI46" s="5"/>
    </row>
    <row r="47" spans="1:87">
      <c r="A47" s="11"/>
      <c r="B47" s="11" t="s">
        <v>3399</v>
      </c>
      <c r="C47" s="55">
        <f>164+337</f>
        <v>501</v>
      </c>
      <c r="D47" s="55">
        <f>174+283</f>
        <v>457</v>
      </c>
      <c r="E47" s="55">
        <f>165+218</f>
        <v>383</v>
      </c>
      <c r="F47" s="55">
        <f>137+144</f>
        <v>281</v>
      </c>
      <c r="G47" s="55">
        <f>110+128</f>
        <v>238</v>
      </c>
      <c r="H47" s="51"/>
      <c r="I47" s="51"/>
      <c r="J47" s="51"/>
      <c r="K47" s="51"/>
      <c r="L47" s="11">
        <v>164</v>
      </c>
      <c r="M47" s="51"/>
      <c r="N47" s="51"/>
      <c r="O47" s="51"/>
      <c r="P47" s="51"/>
      <c r="Q47" s="11">
        <v>156</v>
      </c>
      <c r="R47" s="51"/>
      <c r="S47" s="51"/>
      <c r="T47" s="51"/>
      <c r="U47" s="51"/>
      <c r="V47" s="11">
        <v>166</v>
      </c>
      <c r="W47" s="51"/>
      <c r="X47" s="51"/>
      <c r="Y47" s="51"/>
      <c r="Z47" s="51"/>
      <c r="AA47" s="11">
        <v>106</v>
      </c>
      <c r="AB47" s="51"/>
      <c r="AC47" s="51"/>
      <c r="AD47" s="51"/>
      <c r="AE47" s="51"/>
      <c r="AF47" s="11">
        <v>70</v>
      </c>
      <c r="AG47" s="51"/>
      <c r="AH47" s="51"/>
      <c r="AI47" s="51"/>
      <c r="AJ47" s="51"/>
      <c r="AK47" s="11">
        <v>59</v>
      </c>
      <c r="AL47" s="51"/>
      <c r="AM47" s="51"/>
      <c r="AN47" s="51"/>
      <c r="AO47" s="51"/>
      <c r="AP47" s="11">
        <v>59</v>
      </c>
      <c r="AQ47" s="51"/>
      <c r="AR47" s="51"/>
      <c r="AS47" s="51"/>
      <c r="AT47" s="51"/>
      <c r="AU47" s="11">
        <v>55</v>
      </c>
      <c r="AV47" s="51"/>
      <c r="AW47" s="51"/>
      <c r="AX47" s="51"/>
      <c r="AY47" s="51"/>
      <c r="AZ47" s="11">
        <v>47</v>
      </c>
      <c r="BA47" s="51"/>
      <c r="BB47" s="51"/>
      <c r="BC47" s="51"/>
      <c r="BD47" s="51"/>
      <c r="BE47" s="11">
        <v>48</v>
      </c>
      <c r="BF47" s="51"/>
      <c r="BG47" s="51"/>
      <c r="BH47" s="51"/>
      <c r="BI47" s="51"/>
      <c r="BJ47" s="11">
        <v>35</v>
      </c>
      <c r="BK47" s="51"/>
      <c r="BL47" s="51"/>
      <c r="BM47" s="51"/>
      <c r="BN47" s="51"/>
      <c r="BO47" s="11">
        <v>0</v>
      </c>
      <c r="BP47" s="51"/>
      <c r="BQ47" s="51"/>
      <c r="BR47" s="51"/>
      <c r="BS47" s="51"/>
      <c r="BT47" s="51"/>
      <c r="BU47" s="51"/>
      <c r="BV47" s="51"/>
      <c r="BW47" s="51"/>
      <c r="BX47" s="51"/>
      <c r="BY47" s="51"/>
      <c r="BZ47" s="51"/>
      <c r="CA47" s="51"/>
      <c r="CB47" s="51"/>
      <c r="CC47" s="51"/>
      <c r="CD47" s="51"/>
      <c r="CE47" s="5"/>
      <c r="CF47" s="5"/>
      <c r="CG47" s="5"/>
      <c r="CH47" s="5"/>
      <c r="CI47" s="5"/>
    </row>
    <row r="48" spans="1:87">
      <c r="A48" s="11"/>
      <c r="B48" s="11" t="s">
        <v>3400</v>
      </c>
      <c r="C48" s="55">
        <f>82-C25-C31-C44</f>
        <v>82</v>
      </c>
      <c r="D48" s="55">
        <f>148-D25-D31-D44</f>
        <v>148</v>
      </c>
      <c r="E48" s="55">
        <f>168-E25-E31-E44</f>
        <v>76.62</v>
      </c>
      <c r="F48" s="55">
        <f>308-F25-F31-F44</f>
        <v>132.1</v>
      </c>
      <c r="G48" s="55">
        <f>459-G25-G31-G44</f>
        <v>182.33</v>
      </c>
      <c r="H48" s="51"/>
      <c r="I48" s="51"/>
      <c r="J48" s="51"/>
      <c r="K48" s="51"/>
      <c r="L48" s="11">
        <v>97</v>
      </c>
      <c r="M48" s="51"/>
      <c r="N48" s="51"/>
      <c r="O48" s="51"/>
      <c r="P48" s="51"/>
      <c r="Q48" s="11">
        <v>82</v>
      </c>
      <c r="R48" s="51"/>
      <c r="S48" s="51"/>
      <c r="T48" s="51"/>
      <c r="U48" s="51"/>
      <c r="V48" s="11">
        <v>61</v>
      </c>
      <c r="W48" s="51"/>
      <c r="X48" s="51"/>
      <c r="Y48" s="51"/>
      <c r="Z48" s="51"/>
      <c r="AA48" s="11">
        <v>63</v>
      </c>
      <c r="AB48" s="51"/>
      <c r="AC48" s="51"/>
      <c r="AD48" s="51"/>
      <c r="AE48" s="51"/>
      <c r="AF48" s="11">
        <v>77</v>
      </c>
      <c r="AG48" s="51"/>
      <c r="AH48" s="51"/>
      <c r="AI48" s="51"/>
      <c r="AJ48" s="51"/>
      <c r="AK48" s="11">
        <f>146+69</f>
        <v>215</v>
      </c>
      <c r="AL48" s="51"/>
      <c r="AM48" s="51"/>
      <c r="AN48" s="51"/>
      <c r="AO48" s="51"/>
      <c r="AP48" s="11">
        <v>313</v>
      </c>
      <c r="AQ48" s="51"/>
      <c r="AR48" s="51"/>
      <c r="AS48" s="51"/>
      <c r="AT48" s="51"/>
      <c r="AU48" s="11">
        <v>156</v>
      </c>
      <c r="AV48" s="51"/>
      <c r="AW48" s="51"/>
      <c r="AX48" s="51"/>
      <c r="AY48" s="51"/>
      <c r="AZ48" s="11">
        <v>131</v>
      </c>
      <c r="BA48" s="51"/>
      <c r="BB48" s="51"/>
      <c r="BC48" s="51"/>
      <c r="BD48" s="51"/>
      <c r="BE48" s="11">
        <v>113</v>
      </c>
      <c r="BF48" s="51"/>
      <c r="BG48" s="51"/>
      <c r="BH48" s="51"/>
      <c r="BI48" s="51"/>
      <c r="BJ48" s="11">
        <v>84</v>
      </c>
      <c r="BK48" s="51"/>
      <c r="BL48" s="51"/>
      <c r="BM48" s="51"/>
      <c r="BN48" s="51"/>
      <c r="BO48" s="11">
        <v>60</v>
      </c>
      <c r="BP48" s="51"/>
      <c r="BQ48" s="51"/>
      <c r="BR48" s="51"/>
      <c r="BS48" s="51"/>
      <c r="BT48" s="51"/>
      <c r="BU48" s="51"/>
      <c r="BV48" s="51"/>
      <c r="BW48" s="51"/>
      <c r="BX48" s="51"/>
      <c r="BY48" s="51"/>
      <c r="BZ48" s="51"/>
      <c r="CA48" s="51"/>
      <c r="CB48" s="51"/>
      <c r="CC48" s="51"/>
      <c r="CD48" s="51"/>
      <c r="CE48" s="5"/>
      <c r="CF48" s="5"/>
      <c r="CG48" s="5"/>
      <c r="CH48" s="5"/>
      <c r="CI48" s="5"/>
    </row>
    <row r="49" spans="1:87">
      <c r="A49" s="39" t="s">
        <v>3401</v>
      </c>
      <c r="B49" s="39"/>
      <c r="C49" s="54">
        <f>SUM(C38:C48)</f>
        <v>851</v>
      </c>
      <c r="D49" s="54">
        <f>SUM(D38:D48)</f>
        <v>841</v>
      </c>
      <c r="E49" s="54">
        <f>SUM(E38:E48)</f>
        <v>745</v>
      </c>
      <c r="F49" s="54">
        <f>SUM(F38:F48)</f>
        <v>722.16</v>
      </c>
      <c r="G49" s="54">
        <f>SUM(G38:G48)</f>
        <v>740.99</v>
      </c>
      <c r="H49" s="52"/>
      <c r="I49" s="52"/>
      <c r="J49" s="52"/>
      <c r="K49" s="52"/>
      <c r="L49" s="39">
        <f>SUM(L38:L48)</f>
        <v>571</v>
      </c>
      <c r="M49" s="52"/>
      <c r="N49" s="52"/>
      <c r="O49" s="52"/>
      <c r="P49" s="52"/>
      <c r="Q49" s="39">
        <f>SUM(Q38:Q48)</f>
        <v>609</v>
      </c>
      <c r="R49" s="52"/>
      <c r="S49" s="52"/>
      <c r="T49" s="52"/>
      <c r="U49" s="52"/>
      <c r="V49" s="39">
        <f>SUM(V38:V48)</f>
        <v>696</v>
      </c>
      <c r="W49" s="52"/>
      <c r="X49" s="52"/>
      <c r="Y49" s="52"/>
      <c r="Z49" s="52"/>
      <c r="AA49" s="39">
        <f>SUM(AA38:AA48)</f>
        <v>610</v>
      </c>
      <c r="AB49" s="52"/>
      <c r="AC49" s="52"/>
      <c r="AD49" s="52"/>
      <c r="AE49" s="52"/>
      <c r="AF49" s="39">
        <f>SUM(AF38:AF48)</f>
        <v>574</v>
      </c>
      <c r="AG49" s="80"/>
      <c r="AH49" s="80"/>
      <c r="AI49" s="80"/>
      <c r="AJ49" s="80"/>
      <c r="AK49" s="39">
        <f>SUM(AK38:AK48)</f>
        <v>618</v>
      </c>
      <c r="AL49" s="80"/>
      <c r="AM49" s="80"/>
      <c r="AN49" s="80"/>
      <c r="AO49" s="80"/>
      <c r="AP49" s="39">
        <f>SUM(AP38:AP48)</f>
        <v>633</v>
      </c>
      <c r="AQ49" s="80"/>
      <c r="AR49" s="80"/>
      <c r="AS49" s="80"/>
      <c r="AT49" s="80"/>
      <c r="AU49" s="39">
        <v>494</v>
      </c>
      <c r="AV49" s="80"/>
      <c r="AW49" s="80"/>
      <c r="AX49" s="80"/>
      <c r="AY49" s="80"/>
      <c r="AZ49" s="39">
        <v>408</v>
      </c>
      <c r="BA49" s="80"/>
      <c r="BB49" s="80"/>
      <c r="BC49" s="80"/>
      <c r="BD49" s="80"/>
      <c r="BE49" s="39">
        <f>SUM(BE38:BE48)</f>
        <v>380</v>
      </c>
      <c r="BF49" s="80"/>
      <c r="BG49" s="80"/>
      <c r="BH49" s="80"/>
      <c r="BI49" s="80"/>
      <c r="BJ49" s="39">
        <v>363</v>
      </c>
      <c r="BK49" s="80"/>
      <c r="BL49" s="80"/>
      <c r="BM49" s="80"/>
      <c r="BN49" s="80"/>
      <c r="BO49" s="39">
        <v>371</v>
      </c>
      <c r="BP49" s="79">
        <f>BP157-BP103</f>
        <v>817.17348234434098</v>
      </c>
      <c r="BQ49" s="79">
        <f>BQ157-BQ103</f>
        <v>795.60196032990598</v>
      </c>
      <c r="BR49" s="79">
        <f>BR157-BR103</f>
        <v>801.22324186854576</v>
      </c>
      <c r="BS49" s="79">
        <f>BS157-BS103</f>
        <v>810.88131545720717</v>
      </c>
      <c r="BT49" s="39">
        <f>AVERAGE(BP49:BS49)</f>
        <v>806.22</v>
      </c>
      <c r="BU49" s="79">
        <f>BU157-BU103</f>
        <v>909.56186630366574</v>
      </c>
      <c r="BV49" s="79">
        <f>BV157-BV103</f>
        <v>885.55150100623587</v>
      </c>
      <c r="BW49" s="79">
        <f>BW157-BW103</f>
        <v>891.8083160372812</v>
      </c>
      <c r="BX49" s="79">
        <f>BX157-BX103</f>
        <v>902.55831665281721</v>
      </c>
      <c r="BY49" s="39">
        <f>AVERAGE(BU49:BX49)</f>
        <v>897.37</v>
      </c>
      <c r="BZ49" s="79">
        <f>BZ157-BZ103</f>
        <v>1147.5316390515563</v>
      </c>
      <c r="CA49" s="79">
        <f>CA157-CA103</f>
        <v>1117.2394127998596</v>
      </c>
      <c r="CB49" s="79">
        <f>CB157-CB103</f>
        <v>1125.1332059257702</v>
      </c>
      <c r="CC49" s="79">
        <f>CC157-CC103</f>
        <v>1138.6957422228147</v>
      </c>
      <c r="CD49" s="39">
        <f>AVERAGE(BZ49:CC49)</f>
        <v>1132.1500000000001</v>
      </c>
      <c r="CE49" s="5"/>
      <c r="CF49" s="5"/>
      <c r="CG49" s="5"/>
      <c r="CH49" s="5"/>
      <c r="CI49" s="5"/>
    </row>
    <row r="50" spans="1:87">
      <c r="A50" s="11"/>
      <c r="B50" s="11"/>
      <c r="C50" s="11"/>
      <c r="D50" s="11"/>
      <c r="E50" s="11"/>
      <c r="F50" s="11"/>
      <c r="G50" s="11"/>
      <c r="H50" s="51"/>
      <c r="I50" s="51"/>
      <c r="J50" s="51"/>
      <c r="K50" s="51"/>
      <c r="L50" s="11"/>
      <c r="M50" s="51"/>
      <c r="N50" s="51"/>
      <c r="O50" s="51"/>
      <c r="P50" s="51"/>
      <c r="Q50" s="11"/>
      <c r="R50" s="51"/>
      <c r="S50" s="51"/>
      <c r="T50" s="51"/>
      <c r="U50" s="51"/>
      <c r="V50" s="11"/>
      <c r="W50" s="51"/>
      <c r="X50" s="51"/>
      <c r="Y50" s="51"/>
      <c r="Z50" s="51"/>
      <c r="AA50" s="11"/>
      <c r="AB50" s="51"/>
      <c r="AC50" s="51"/>
      <c r="AD50" s="51"/>
      <c r="AE50" s="5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68"/>
      <c r="BQ50" s="68"/>
      <c r="BR50" s="68"/>
      <c r="BS50" s="68"/>
      <c r="BT50" s="11"/>
      <c r="BU50" s="68"/>
      <c r="BV50" s="68"/>
      <c r="BW50" s="68"/>
      <c r="BX50" s="68"/>
      <c r="BY50" s="11"/>
      <c r="BZ50" s="68"/>
      <c r="CA50" s="68"/>
      <c r="CB50" s="68"/>
      <c r="CC50" s="68"/>
      <c r="CD50" s="11"/>
      <c r="CE50" s="5"/>
      <c r="CF50" s="5"/>
      <c r="CG50" s="5"/>
      <c r="CH50" s="5"/>
      <c r="CI50" s="5"/>
    </row>
    <row r="51" spans="1:87">
      <c r="A51" s="39" t="s">
        <v>3402</v>
      </c>
      <c r="B51" s="11"/>
      <c r="C51" s="11"/>
      <c r="D51" s="11"/>
      <c r="E51" s="11"/>
      <c r="F51" s="11"/>
      <c r="G51" s="11"/>
      <c r="H51" s="51"/>
      <c r="I51" s="51"/>
      <c r="J51" s="51"/>
      <c r="K51" s="51"/>
      <c r="L51" s="11"/>
      <c r="M51" s="51"/>
      <c r="N51" s="51"/>
      <c r="O51" s="51"/>
      <c r="P51" s="51"/>
      <c r="Q51" s="11"/>
      <c r="R51" s="51"/>
      <c r="S51" s="51"/>
      <c r="T51" s="51"/>
      <c r="U51" s="51"/>
      <c r="V51" s="11"/>
      <c r="W51" s="51"/>
      <c r="X51" s="51"/>
      <c r="Y51" s="51"/>
      <c r="Z51" s="51"/>
      <c r="AA51" s="11"/>
      <c r="AB51" s="51"/>
      <c r="AC51" s="51"/>
      <c r="AD51" s="51"/>
      <c r="AE51" s="51"/>
      <c r="AF51" s="11"/>
      <c r="AG51" s="51"/>
      <c r="AH51" s="51"/>
      <c r="AI51" s="51"/>
      <c r="AJ51" s="51"/>
      <c r="AK51" s="11"/>
      <c r="AL51" s="51"/>
      <c r="AM51" s="51"/>
      <c r="AN51" s="51"/>
      <c r="AO51" s="5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68"/>
      <c r="BQ51" s="68"/>
      <c r="BR51" s="68"/>
      <c r="BS51" s="68"/>
      <c r="BT51" s="11"/>
      <c r="BU51" s="68"/>
      <c r="BV51" s="68"/>
      <c r="BW51" s="68"/>
      <c r="BX51" s="68"/>
      <c r="BY51" s="11"/>
      <c r="BZ51" s="68"/>
      <c r="CA51" s="68"/>
      <c r="CB51" s="68"/>
      <c r="CC51" s="68"/>
      <c r="CD51" s="11"/>
      <c r="CE51" s="5"/>
      <c r="CF51" s="5"/>
      <c r="CG51" s="5"/>
      <c r="CH51" s="5"/>
      <c r="CI51" s="5"/>
    </row>
    <row r="52" spans="1:87">
      <c r="A52" s="11"/>
      <c r="B52" s="11" t="s">
        <v>2965</v>
      </c>
      <c r="C52" s="11">
        <v>237</v>
      </c>
      <c r="D52" s="11">
        <v>295</v>
      </c>
      <c r="E52" s="11">
        <v>285</v>
      </c>
      <c r="F52" s="11">
        <v>308</v>
      </c>
      <c r="G52" s="11">
        <v>367</v>
      </c>
      <c r="H52" s="51"/>
      <c r="I52" s="51"/>
      <c r="J52" s="51"/>
      <c r="K52" s="51"/>
      <c r="L52" s="11">
        <v>364</v>
      </c>
      <c r="M52" s="51"/>
      <c r="N52" s="51"/>
      <c r="O52" s="51"/>
      <c r="P52" s="51"/>
      <c r="Q52" s="11">
        <v>376</v>
      </c>
      <c r="R52" s="51"/>
      <c r="S52" s="51"/>
      <c r="T52" s="51"/>
      <c r="U52" s="51"/>
      <c r="V52" s="11">
        <v>380</v>
      </c>
      <c r="W52" s="51"/>
      <c r="X52" s="51"/>
      <c r="Y52" s="51"/>
      <c r="Z52" s="51"/>
      <c r="AA52" s="11">
        <v>440</v>
      </c>
      <c r="AB52" s="51"/>
      <c r="AC52" s="51"/>
      <c r="AD52" s="51"/>
      <c r="AE52" s="51"/>
      <c r="AF52" s="11">
        <v>462</v>
      </c>
      <c r="AG52" s="51"/>
      <c r="AH52" s="51"/>
      <c r="AI52" s="51"/>
      <c r="AJ52" s="51"/>
      <c r="AK52" s="11">
        <v>455</v>
      </c>
      <c r="AL52" s="51"/>
      <c r="AM52" s="51"/>
      <c r="AN52" s="51"/>
      <c r="AO52" s="51"/>
      <c r="AP52" s="11">
        <v>435</v>
      </c>
      <c r="AQ52" s="51"/>
      <c r="AR52" s="51"/>
      <c r="AS52" s="51"/>
      <c r="AT52" s="51"/>
      <c r="AU52" s="11">
        <v>431</v>
      </c>
      <c r="AV52" s="51"/>
      <c r="AW52" s="51"/>
      <c r="AX52" s="51"/>
      <c r="AY52" s="51"/>
      <c r="AZ52" s="11">
        <v>450</v>
      </c>
      <c r="BA52" s="51"/>
      <c r="BB52" s="51"/>
      <c r="BC52" s="51"/>
      <c r="BD52" s="51"/>
      <c r="BE52" s="11">
        <v>447</v>
      </c>
      <c r="BF52" s="51"/>
      <c r="BG52" s="51"/>
      <c r="BH52" s="51"/>
      <c r="BI52" s="51"/>
      <c r="BJ52" s="11">
        <v>451</v>
      </c>
      <c r="BK52" s="51"/>
      <c r="BL52" s="51"/>
      <c r="BM52" s="51"/>
      <c r="BN52" s="51"/>
      <c r="BO52" s="11">
        <v>426</v>
      </c>
      <c r="BP52" s="82"/>
      <c r="BQ52" s="82"/>
      <c r="BR52" s="82"/>
      <c r="BS52" s="82"/>
      <c r="BT52" s="51"/>
      <c r="BU52" s="82"/>
      <c r="BV52" s="82"/>
      <c r="BW52" s="82"/>
      <c r="BX52" s="82"/>
      <c r="BY52" s="51"/>
      <c r="BZ52" s="82"/>
      <c r="CA52" s="82"/>
      <c r="CB52" s="82"/>
      <c r="CC52" s="82"/>
      <c r="CD52" s="51"/>
      <c r="CE52" s="5"/>
      <c r="CF52" s="5"/>
      <c r="CG52" s="5"/>
      <c r="CH52" s="5"/>
      <c r="CI52" s="5"/>
    </row>
    <row r="53" spans="1:87">
      <c r="A53" s="11"/>
      <c r="B53" s="11" t="s">
        <v>3403</v>
      </c>
      <c r="C53" s="11">
        <v>0</v>
      </c>
      <c r="D53" s="11">
        <v>0</v>
      </c>
      <c r="E53" s="11">
        <v>0</v>
      </c>
      <c r="F53" s="11">
        <v>0</v>
      </c>
      <c r="G53" s="11">
        <v>0</v>
      </c>
      <c r="H53" s="51"/>
      <c r="I53" s="51"/>
      <c r="J53" s="51"/>
      <c r="K53" s="51"/>
      <c r="L53" s="11">
        <v>0</v>
      </c>
      <c r="M53" s="51"/>
      <c r="N53" s="51"/>
      <c r="O53" s="51"/>
      <c r="P53" s="51"/>
      <c r="Q53" s="11">
        <v>0</v>
      </c>
      <c r="R53" s="51"/>
      <c r="S53" s="51"/>
      <c r="T53" s="51"/>
      <c r="U53" s="51"/>
      <c r="V53" s="11">
        <v>1</v>
      </c>
      <c r="W53" s="51"/>
      <c r="X53" s="51"/>
      <c r="Y53" s="51"/>
      <c r="Z53" s="51"/>
      <c r="AA53" s="11">
        <v>74</v>
      </c>
      <c r="AB53" s="51"/>
      <c r="AC53" s="51"/>
      <c r="AD53" s="51"/>
      <c r="AE53" s="51"/>
      <c r="AF53" s="11">
        <v>323</v>
      </c>
      <c r="AG53" s="51"/>
      <c r="AH53" s="51"/>
      <c r="AI53" s="51"/>
      <c r="AJ53" s="51"/>
      <c r="AK53" s="11">
        <v>340</v>
      </c>
      <c r="AL53" s="51"/>
      <c r="AM53" s="51"/>
      <c r="AN53" s="51"/>
      <c r="AO53" s="51"/>
      <c r="AP53" s="11">
        <v>352</v>
      </c>
      <c r="AQ53" s="51"/>
      <c r="AR53" s="51"/>
      <c r="AS53" s="51"/>
      <c r="AT53" s="51"/>
      <c r="AU53" s="11">
        <v>349</v>
      </c>
      <c r="AV53" s="51"/>
      <c r="AW53" s="51"/>
      <c r="AX53" s="51"/>
      <c r="AY53" s="51"/>
      <c r="AZ53" s="11">
        <v>364</v>
      </c>
      <c r="BA53" s="51"/>
      <c r="BB53" s="51"/>
      <c r="BC53" s="51"/>
      <c r="BD53" s="51"/>
      <c r="BE53" s="11">
        <v>354</v>
      </c>
      <c r="BF53" s="51"/>
      <c r="BG53" s="51"/>
      <c r="BH53" s="51"/>
      <c r="BI53" s="51"/>
      <c r="BJ53" s="11">
        <v>369</v>
      </c>
      <c r="BK53" s="51"/>
      <c r="BL53" s="51"/>
      <c r="BM53" s="51"/>
      <c r="BN53" s="51"/>
      <c r="BO53" s="11">
        <v>357</v>
      </c>
      <c r="BP53" s="82"/>
      <c r="BQ53" s="82"/>
      <c r="BR53" s="82"/>
      <c r="BS53" s="82"/>
      <c r="BT53" s="51"/>
      <c r="BU53" s="82"/>
      <c r="BV53" s="82"/>
      <c r="BW53" s="82"/>
      <c r="BX53" s="82"/>
      <c r="BY53" s="51"/>
      <c r="BZ53" s="82"/>
      <c r="CA53" s="82"/>
      <c r="CB53" s="82"/>
      <c r="CC53" s="82"/>
      <c r="CD53" s="51"/>
      <c r="CE53" s="5"/>
      <c r="CF53" s="5"/>
      <c r="CG53" s="5"/>
      <c r="CH53" s="5"/>
      <c r="CI53" s="5"/>
    </row>
    <row r="54" spans="1:87">
      <c r="A54" s="39" t="s">
        <v>1935</v>
      </c>
      <c r="B54" s="39"/>
      <c r="C54" s="39">
        <f>SUM(C52:C53)</f>
        <v>237</v>
      </c>
      <c r="D54" s="39">
        <f>SUM(D52:D53)</f>
        <v>295</v>
      </c>
      <c r="E54" s="39">
        <f>SUM(E52:E53)</f>
        <v>285</v>
      </c>
      <c r="F54" s="39">
        <f>SUM(F52:F53)</f>
        <v>308</v>
      </c>
      <c r="G54" s="39">
        <f>SUM(G52:G53)</f>
        <v>367</v>
      </c>
      <c r="H54" s="52"/>
      <c r="I54" s="52"/>
      <c r="J54" s="52"/>
      <c r="K54" s="52"/>
      <c r="L54" s="39">
        <f>SUM(L52:L53)</f>
        <v>364</v>
      </c>
      <c r="M54" s="52"/>
      <c r="N54" s="52"/>
      <c r="O54" s="52"/>
      <c r="P54" s="52"/>
      <c r="Q54" s="39">
        <f>SUM(Q52:Q53)</f>
        <v>376</v>
      </c>
      <c r="R54" s="52"/>
      <c r="S54" s="52"/>
      <c r="T54" s="52"/>
      <c r="U54" s="52"/>
      <c r="V54" s="39">
        <f>SUM(V52:V53)</f>
        <v>381</v>
      </c>
      <c r="W54" s="52"/>
      <c r="X54" s="52"/>
      <c r="Y54" s="52"/>
      <c r="Z54" s="52"/>
      <c r="AA54" s="39">
        <f>SUM(AA52:AA53)</f>
        <v>514</v>
      </c>
      <c r="AB54" s="52"/>
      <c r="AC54" s="52"/>
      <c r="AD54" s="52"/>
      <c r="AE54" s="52"/>
      <c r="AF54" s="39">
        <f>SUM(AF52:AF53)</f>
        <v>785</v>
      </c>
      <c r="AG54" s="52"/>
      <c r="AH54" s="52"/>
      <c r="AI54" s="52"/>
      <c r="AJ54" s="52"/>
      <c r="AK54" s="39">
        <f>SUM(AK52:AK53)</f>
        <v>795</v>
      </c>
      <c r="AL54" s="52"/>
      <c r="AM54" s="52"/>
      <c r="AN54" s="52"/>
      <c r="AO54" s="52"/>
      <c r="AP54" s="39">
        <f>SUM(AP52:AP53)</f>
        <v>787</v>
      </c>
      <c r="AQ54" s="52"/>
      <c r="AR54" s="52"/>
      <c r="AS54" s="52"/>
      <c r="AT54" s="52"/>
      <c r="AU54" s="39">
        <f>SUM(AU52:AU53)</f>
        <v>780</v>
      </c>
      <c r="AV54" s="52"/>
      <c r="AW54" s="52"/>
      <c r="AX54" s="52"/>
      <c r="AY54" s="52"/>
      <c r="AZ54" s="39">
        <v>814</v>
      </c>
      <c r="BA54" s="52"/>
      <c r="BB54" s="52"/>
      <c r="BC54" s="52"/>
      <c r="BD54" s="52"/>
      <c r="BE54" s="39">
        <f>SUM(BE52:BE53)</f>
        <v>801</v>
      </c>
      <c r="BF54" s="52"/>
      <c r="BG54" s="52"/>
      <c r="BH54" s="52"/>
      <c r="BI54" s="52"/>
      <c r="BJ54" s="39">
        <f>SUM(BJ52:BJ53)</f>
        <v>820</v>
      </c>
      <c r="BK54" s="52"/>
      <c r="BL54" s="52"/>
      <c r="BM54" s="52"/>
      <c r="BN54" s="52"/>
      <c r="BO54" s="39">
        <v>783</v>
      </c>
      <c r="BP54" s="80">
        <f>BP162-BP108</f>
        <v>803.74863697753335</v>
      </c>
      <c r="BQ54" s="80">
        <f>BQ162-BQ108</f>
        <v>781.87155719796624</v>
      </c>
      <c r="BR54" s="80">
        <f>BR162-BR108</f>
        <v>787.57246344843566</v>
      </c>
      <c r="BS54" s="80">
        <f>BS162-BS108</f>
        <v>797.36734237606515</v>
      </c>
      <c r="BT54" s="39">
        <f>AVERAGE(BP54:BS54)</f>
        <v>792.6400000000001</v>
      </c>
      <c r="BU54" s="80">
        <f>BU162-BU108</f>
        <v>803.44456111151248</v>
      </c>
      <c r="BV54" s="80">
        <f>BV162-BV108</f>
        <v>781.57550824346367</v>
      </c>
      <c r="BW54" s="80">
        <f>BW162-BW108</f>
        <v>787.2743227764596</v>
      </c>
      <c r="BX54" s="80">
        <f>BX162-BX108</f>
        <v>797.06560786856448</v>
      </c>
      <c r="BY54" s="39">
        <f>AVERAGE(BU54:BX54)</f>
        <v>792.34000000000015</v>
      </c>
      <c r="BZ54" s="80">
        <f>BZ162-BZ108</f>
        <v>776.96968904330015</v>
      </c>
      <c r="CA54" s="80">
        <f>CA162-CA108</f>
        <v>755.79951260478299</v>
      </c>
      <c r="CB54" s="80">
        <f>CB162-CB108</f>
        <v>761.31620826974131</v>
      </c>
      <c r="CC54" s="80">
        <f>CC162-CC108</f>
        <v>770.79459008217577</v>
      </c>
      <c r="CD54" s="39">
        <f>AVERAGE(BZ54:CC54)</f>
        <v>766.22</v>
      </c>
      <c r="CE54" s="5"/>
      <c r="CF54" s="5"/>
      <c r="CG54" s="5"/>
      <c r="CH54" s="5"/>
      <c r="CI54" s="5"/>
    </row>
    <row r="55" spans="1:87">
      <c r="A55" s="39"/>
      <c r="B55" s="39"/>
      <c r="C55" s="39"/>
      <c r="D55" s="39"/>
      <c r="E55" s="39"/>
      <c r="F55" s="39"/>
      <c r="G55" s="39"/>
      <c r="H55" s="52"/>
      <c r="I55" s="52"/>
      <c r="J55" s="52"/>
      <c r="K55" s="52"/>
      <c r="L55" s="39"/>
      <c r="M55" s="52"/>
      <c r="N55" s="52"/>
      <c r="O55" s="52"/>
      <c r="P55" s="52"/>
      <c r="Q55" s="39"/>
      <c r="R55" s="52"/>
      <c r="S55" s="52"/>
      <c r="T55" s="52"/>
      <c r="U55" s="52"/>
      <c r="V55" s="39"/>
      <c r="W55" s="52"/>
      <c r="X55" s="52"/>
      <c r="Y55" s="52"/>
      <c r="Z55" s="52"/>
      <c r="AA55" s="39"/>
      <c r="AB55" s="52"/>
      <c r="AC55" s="52"/>
      <c r="AD55" s="52"/>
      <c r="AE55" s="52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  <c r="BA55" s="39"/>
      <c r="BB55" s="39"/>
      <c r="BC55" s="39"/>
      <c r="BD55" s="39"/>
      <c r="BE55" s="39"/>
      <c r="BF55" s="39"/>
      <c r="BG55" s="39"/>
      <c r="BH55" s="39"/>
      <c r="BI55" s="39"/>
      <c r="BJ55" s="39"/>
      <c r="BK55" s="39"/>
      <c r="BL55" s="39"/>
      <c r="BM55" s="39"/>
      <c r="BN55" s="39"/>
      <c r="BO55" s="39"/>
      <c r="BP55" s="80"/>
      <c r="BQ55" s="80"/>
      <c r="BR55" s="80"/>
      <c r="BS55" s="80"/>
      <c r="BT55" s="39"/>
      <c r="BU55" s="80"/>
      <c r="BV55" s="80"/>
      <c r="BW55" s="80"/>
      <c r="BX55" s="80"/>
      <c r="BY55" s="39"/>
      <c r="BZ55" s="80"/>
      <c r="CA55" s="80"/>
      <c r="CB55" s="80"/>
      <c r="CC55" s="80"/>
      <c r="CD55" s="39"/>
      <c r="CE55" s="5"/>
      <c r="CF55" s="5"/>
      <c r="CG55" s="5"/>
      <c r="CH55" s="5"/>
      <c r="CI55" s="5"/>
    </row>
    <row r="56" spans="1:87">
      <c r="A56" s="46" t="s">
        <v>2096</v>
      </c>
      <c r="B56" s="46"/>
      <c r="C56" s="46">
        <f>C14+C19+C28+C34+C49+C54</f>
        <v>8287</v>
      </c>
      <c r="D56" s="46">
        <f>D14+D19+D28+D34+D49+D54</f>
        <v>8324</v>
      </c>
      <c r="E56" s="46">
        <f>E14+E19+E28+E34+E49+E54</f>
        <v>8092</v>
      </c>
      <c r="F56" s="46">
        <f>F14+F19+F28+F34+F49+F54</f>
        <v>7624</v>
      </c>
      <c r="G56" s="46">
        <f>G14+G19+G28+G34+G49+G54</f>
        <v>7512</v>
      </c>
      <c r="H56" s="53"/>
      <c r="I56" s="53"/>
      <c r="J56" s="53"/>
      <c r="K56" s="53"/>
      <c r="L56" s="46">
        <f>L14+L19+L28+L34+L49+L54</f>
        <v>7412</v>
      </c>
      <c r="M56" s="53"/>
      <c r="N56" s="53"/>
      <c r="O56" s="53"/>
      <c r="P56" s="53"/>
      <c r="Q56" s="46">
        <f>Q14+Q19+Q28+Q34+Q49+Q54</f>
        <v>7222</v>
      </c>
      <c r="R56" s="53"/>
      <c r="S56" s="53"/>
      <c r="T56" s="53"/>
      <c r="U56" s="53"/>
      <c r="V56" s="46">
        <f>V14+V19+V28+V34+V49+V54</f>
        <v>7277</v>
      </c>
      <c r="W56" s="53"/>
      <c r="X56" s="53"/>
      <c r="Y56" s="53"/>
      <c r="Z56" s="53"/>
      <c r="AA56" s="46">
        <f>AA14+AA19+AA28+AA34+AA49+AA54</f>
        <v>7450</v>
      </c>
      <c r="AB56" s="53"/>
      <c r="AC56" s="53"/>
      <c r="AD56" s="53"/>
      <c r="AE56" s="53"/>
      <c r="AF56" s="46">
        <f>AF14+AF19+AF28+AF34+AF49+AF54</f>
        <v>7332</v>
      </c>
      <c r="AG56" s="81"/>
      <c r="AH56" s="81"/>
      <c r="AI56" s="81"/>
      <c r="AJ56" s="81"/>
      <c r="AK56" s="46">
        <f t="shared" ref="AK56:CD56" si="4">AK14+AK19+AK28+AK34+AK49+AK54</f>
        <v>6393</v>
      </c>
      <c r="AL56" s="53"/>
      <c r="AM56" s="53"/>
      <c r="AN56" s="53"/>
      <c r="AO56" s="53"/>
      <c r="AP56" s="46">
        <f t="shared" si="4"/>
        <v>6193</v>
      </c>
      <c r="AQ56" s="53"/>
      <c r="AR56" s="53"/>
      <c r="AS56" s="53"/>
      <c r="AT56" s="53"/>
      <c r="AU56" s="46">
        <v>5844</v>
      </c>
      <c r="AV56" s="53"/>
      <c r="AW56" s="53"/>
      <c r="AX56" s="53"/>
      <c r="AY56" s="53"/>
      <c r="AZ56" s="46">
        <v>5585</v>
      </c>
      <c r="BA56" s="53"/>
      <c r="BB56" s="53"/>
      <c r="BC56" s="53"/>
      <c r="BD56" s="53"/>
      <c r="BE56" s="46">
        <f t="shared" si="4"/>
        <v>5496</v>
      </c>
      <c r="BF56" s="53"/>
      <c r="BG56" s="53"/>
      <c r="BH56" s="53"/>
      <c r="BI56" s="53"/>
      <c r="BJ56" s="46">
        <f t="shared" si="4"/>
        <v>5303</v>
      </c>
      <c r="BK56" s="53"/>
      <c r="BL56" s="53"/>
      <c r="BM56" s="53"/>
      <c r="BN56" s="53"/>
      <c r="BO56" s="46">
        <f t="shared" si="4"/>
        <v>5889</v>
      </c>
      <c r="BP56" s="81">
        <f t="shared" si="4"/>
        <v>6871.3890104755292</v>
      </c>
      <c r="BQ56" s="81">
        <f t="shared" si="4"/>
        <v>6684.607594170684</v>
      </c>
      <c r="BR56" s="81">
        <f t="shared" si="4"/>
        <v>6634.2907680474964</v>
      </c>
      <c r="BS56" s="81">
        <f t="shared" si="4"/>
        <v>6732.0726273062901</v>
      </c>
      <c r="BT56" s="46">
        <f t="shared" si="4"/>
        <v>6730.59</v>
      </c>
      <c r="BU56" s="81">
        <f t="shared" si="4"/>
        <v>7545.5612005015219</v>
      </c>
      <c r="BV56" s="81">
        <f t="shared" si="4"/>
        <v>7359.7090806024326</v>
      </c>
      <c r="BW56" s="81">
        <f t="shared" si="4"/>
        <v>7298.7039361581874</v>
      </c>
      <c r="BX56" s="81">
        <f t="shared" si="4"/>
        <v>7413.5057827378605</v>
      </c>
      <c r="BY56" s="46">
        <f t="shared" si="4"/>
        <v>7404.3700000000008</v>
      </c>
      <c r="BZ56" s="81">
        <f t="shared" si="4"/>
        <v>8182.0499955336763</v>
      </c>
      <c r="CA56" s="81">
        <f t="shared" si="4"/>
        <v>7967.6870589668088</v>
      </c>
      <c r="CB56" s="81">
        <f t="shared" si="4"/>
        <v>7880.9427147333627</v>
      </c>
      <c r="CC56" s="81">
        <f t="shared" si="4"/>
        <v>8023.2802307661532</v>
      </c>
      <c r="CD56" s="46">
        <f t="shared" si="4"/>
        <v>8013.4900000000007</v>
      </c>
      <c r="CE56" s="5"/>
      <c r="CF56" s="5"/>
      <c r="CG56" s="5"/>
      <c r="CH56" s="5"/>
      <c r="CI56" s="5"/>
    </row>
    <row r="57" spans="1:87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107"/>
      <c r="AH57" s="107"/>
      <c r="AI57" s="107"/>
      <c r="AJ57" s="107"/>
      <c r="AK57" s="5"/>
      <c r="AL57" s="12"/>
      <c r="AM57" s="12"/>
      <c r="AN57" s="12"/>
      <c r="AO57" s="12"/>
      <c r="AP57" s="5"/>
      <c r="AQ57" s="12"/>
      <c r="AR57" s="12"/>
      <c r="AS57" s="12"/>
      <c r="AT57" s="12"/>
      <c r="AU57" s="5"/>
      <c r="AV57" s="12"/>
      <c r="AW57" s="12"/>
      <c r="AX57" s="12"/>
      <c r="AY57" s="12"/>
      <c r="AZ57" s="5"/>
      <c r="BA57" s="12"/>
      <c r="BB57" s="12"/>
      <c r="BC57" s="12"/>
      <c r="BD57" s="12"/>
      <c r="BE57" s="5"/>
      <c r="BF57" s="12"/>
      <c r="BG57" s="12"/>
      <c r="BH57" s="12"/>
      <c r="BI57" s="12"/>
      <c r="BJ57" s="5"/>
      <c r="BK57" s="12"/>
      <c r="BL57" s="12"/>
      <c r="BM57" s="12"/>
      <c r="BN57" s="12"/>
      <c r="BO57" s="5"/>
      <c r="BP57" s="12"/>
      <c r="BQ57" s="12"/>
      <c r="BR57" s="12"/>
      <c r="BS57" s="12"/>
      <c r="BT57" s="5"/>
      <c r="BU57" s="12"/>
      <c r="BV57" s="12"/>
      <c r="BW57" s="12"/>
      <c r="BX57" s="12"/>
      <c r="BY57" s="5"/>
      <c r="BZ57" s="12"/>
      <c r="CA57" s="12"/>
      <c r="CB57" s="12"/>
      <c r="CC57" s="12"/>
      <c r="CD57" s="5"/>
      <c r="CE57" s="5"/>
      <c r="CF57" s="5"/>
      <c r="CG57" s="5"/>
      <c r="CH57" s="5"/>
      <c r="CI57" s="5"/>
    </row>
    <row r="58" spans="1:87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12"/>
      <c r="AM58" s="12"/>
      <c r="AN58" s="12"/>
      <c r="AO58" s="12"/>
      <c r="AP58" s="5"/>
      <c r="AQ58" s="12"/>
      <c r="AR58" s="12"/>
      <c r="AS58" s="12"/>
      <c r="AT58" s="12"/>
      <c r="AU58" s="5"/>
      <c r="AV58" s="12"/>
      <c r="AW58" s="12"/>
      <c r="AX58" s="12"/>
      <c r="AY58" s="12"/>
      <c r="AZ58" s="5"/>
      <c r="BA58" s="12"/>
      <c r="BB58" s="12"/>
      <c r="BC58" s="12"/>
      <c r="BD58" s="12"/>
      <c r="BE58" s="5"/>
      <c r="BF58" s="12"/>
      <c r="BG58" s="12"/>
      <c r="BH58" s="12"/>
      <c r="BI58" s="12"/>
      <c r="BJ58" s="5"/>
      <c r="BK58" s="12"/>
      <c r="BL58" s="12"/>
      <c r="BM58" s="12"/>
      <c r="BN58" s="12"/>
      <c r="BO58" s="5"/>
      <c r="BP58" s="5"/>
      <c r="BQ58" s="5"/>
      <c r="BR58" s="5"/>
      <c r="BS58" s="5"/>
      <c r="BT58" s="5"/>
      <c r="BU58" s="12"/>
      <c r="BV58" s="12"/>
      <c r="BW58" s="12"/>
      <c r="BX58" s="12"/>
      <c r="BY58" s="5"/>
      <c r="BZ58" s="12"/>
      <c r="CA58" s="12"/>
      <c r="CB58" s="12"/>
      <c r="CC58" s="12"/>
      <c r="CD58" s="5"/>
      <c r="CE58" s="5"/>
      <c r="CF58" s="5"/>
      <c r="CG58" s="5"/>
      <c r="CH58" s="5"/>
      <c r="CI58" s="5"/>
    </row>
    <row r="59" spans="1:87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116"/>
      <c r="M59" s="5"/>
      <c r="N59" s="5"/>
      <c r="O59" s="5"/>
      <c r="P59" s="5"/>
      <c r="Q59" s="116"/>
      <c r="R59" s="5"/>
      <c r="S59" s="5"/>
      <c r="T59" s="5"/>
      <c r="U59" s="5"/>
      <c r="V59" s="116"/>
      <c r="W59" s="5"/>
      <c r="X59" s="5"/>
      <c r="Y59" s="5"/>
      <c r="Z59" s="5"/>
      <c r="AA59" s="116"/>
      <c r="AB59" s="5"/>
      <c r="AC59" s="5"/>
      <c r="AD59" s="5"/>
      <c r="AE59" s="5"/>
      <c r="AF59" s="116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12"/>
      <c r="AR59" s="12"/>
      <c r="AS59" s="12"/>
      <c r="AT59" s="12"/>
      <c r="AU59" s="5"/>
      <c r="AV59" s="12"/>
      <c r="AW59" s="12"/>
      <c r="AX59" s="12"/>
      <c r="AY59" s="12"/>
      <c r="AZ59" s="5"/>
      <c r="BA59" s="12"/>
      <c r="BB59" s="12"/>
      <c r="BC59" s="12"/>
      <c r="BD59" s="12"/>
      <c r="BE59" s="5"/>
      <c r="BF59" s="5"/>
      <c r="BG59" s="5"/>
      <c r="BH59" s="5"/>
      <c r="BI59" s="5"/>
      <c r="BJ59" s="5"/>
      <c r="BK59" s="12"/>
      <c r="BL59" s="12"/>
      <c r="BM59" s="12"/>
      <c r="BN59" s="12"/>
      <c r="BO59" s="5"/>
      <c r="BP59" s="5"/>
      <c r="BQ59" s="5"/>
      <c r="BR59" s="5"/>
      <c r="BS59" s="5"/>
      <c r="BT59" s="5"/>
      <c r="BU59" s="12"/>
      <c r="BV59" s="12"/>
      <c r="BW59" s="12"/>
      <c r="BX59" s="12"/>
      <c r="BY59" s="5"/>
      <c r="BZ59" s="12"/>
      <c r="CA59" s="12"/>
      <c r="CB59" s="12"/>
      <c r="CC59" s="12"/>
      <c r="CD59" s="5"/>
      <c r="CE59" s="5"/>
      <c r="CF59" s="5"/>
      <c r="CG59" s="5"/>
      <c r="CH59" s="5"/>
      <c r="CI59" s="5"/>
    </row>
    <row r="60" spans="1:87" ht="15.75">
      <c r="A60" s="42" t="s">
        <v>1792</v>
      </c>
      <c r="B60" s="7"/>
      <c r="C60" s="8"/>
      <c r="D60" s="8"/>
      <c r="E60" s="8"/>
      <c r="F60" s="8"/>
      <c r="G60" s="8"/>
      <c r="H60" s="8"/>
      <c r="I60" s="8"/>
      <c r="J60" s="8"/>
      <c r="K60" s="8"/>
      <c r="L60" s="172"/>
      <c r="M60" s="8"/>
      <c r="N60" s="8"/>
      <c r="O60" s="8"/>
      <c r="P60" s="8"/>
      <c r="Q60" s="172"/>
      <c r="R60" s="8"/>
      <c r="S60" s="8"/>
      <c r="T60" s="8"/>
      <c r="U60" s="8"/>
      <c r="V60" s="172"/>
      <c r="W60" s="8"/>
      <c r="X60" s="8"/>
      <c r="Y60" s="8"/>
      <c r="Z60" s="8"/>
      <c r="AA60" s="172"/>
      <c r="AB60" s="8"/>
      <c r="AC60" s="8"/>
      <c r="AD60" s="8"/>
      <c r="AE60" s="8"/>
      <c r="AF60" s="172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66"/>
      <c r="AR60" s="66"/>
      <c r="AS60" s="66"/>
      <c r="AT60" s="66"/>
      <c r="AU60" s="8"/>
      <c r="AV60" s="66"/>
      <c r="AW60" s="66"/>
      <c r="AX60" s="66"/>
      <c r="AY60" s="66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66"/>
      <c r="BL60" s="66"/>
      <c r="BM60" s="66"/>
      <c r="BN60" s="66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66"/>
      <c r="CA60" s="66"/>
      <c r="CB60" s="66"/>
      <c r="CC60" s="66"/>
      <c r="CD60" s="8"/>
      <c r="CE60" s="5"/>
      <c r="CF60" s="5"/>
      <c r="CG60" s="5"/>
      <c r="CH60" s="5"/>
      <c r="CI60" s="5"/>
    </row>
    <row r="61" spans="1:87">
      <c r="A61" s="5"/>
      <c r="B61" s="4"/>
      <c r="C61" s="5"/>
      <c r="D61" s="5"/>
      <c r="E61" s="5"/>
      <c r="F61" s="5"/>
      <c r="G61" s="5"/>
      <c r="H61" s="5"/>
      <c r="I61" s="5"/>
      <c r="J61" s="5"/>
      <c r="K61" s="5"/>
      <c r="L61" s="116"/>
      <c r="M61" s="5"/>
      <c r="N61" s="5"/>
      <c r="O61" s="5"/>
      <c r="P61" s="5"/>
      <c r="Q61" s="116"/>
      <c r="R61" s="5"/>
      <c r="S61" s="5"/>
      <c r="T61" s="5"/>
      <c r="U61" s="5"/>
      <c r="V61" s="116"/>
      <c r="W61" s="5"/>
      <c r="X61" s="5"/>
      <c r="Y61" s="5"/>
      <c r="Z61" s="5"/>
      <c r="AA61" s="116"/>
      <c r="AB61" s="5"/>
      <c r="AC61" s="5"/>
      <c r="AD61" s="5"/>
      <c r="AE61" s="5"/>
      <c r="AF61" s="116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12"/>
      <c r="AR61" s="12"/>
      <c r="AS61" s="12"/>
      <c r="AT61" s="12"/>
      <c r="AU61" s="5"/>
      <c r="AV61" s="5"/>
      <c r="AW61" s="5"/>
      <c r="AX61" s="12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12"/>
      <c r="CA61" s="12"/>
      <c r="CB61" s="12"/>
      <c r="CC61" s="12"/>
      <c r="CD61" s="5"/>
      <c r="CE61" s="5"/>
      <c r="CF61" s="5"/>
      <c r="CG61" s="5"/>
      <c r="CH61" s="5"/>
      <c r="CI61" s="5"/>
    </row>
    <row r="62" spans="1:87">
      <c r="A62" s="24" t="s">
        <v>1960</v>
      </c>
      <c r="B62" s="4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</row>
    <row r="63" spans="1:87">
      <c r="A63" s="10"/>
      <c r="B63" s="10"/>
      <c r="C63" s="31">
        <v>2001</v>
      </c>
      <c r="D63" s="32">
        <v>2002</v>
      </c>
      <c r="E63" s="32">
        <v>2003</v>
      </c>
      <c r="F63" s="32">
        <v>2004</v>
      </c>
      <c r="G63" s="31">
        <v>2005</v>
      </c>
      <c r="H63" s="33" t="s">
        <v>714</v>
      </c>
      <c r="I63" s="33" t="s">
        <v>715</v>
      </c>
      <c r="J63" s="33" t="s">
        <v>716</v>
      </c>
      <c r="K63" s="33" t="s">
        <v>717</v>
      </c>
      <c r="L63" s="31">
        <v>2006</v>
      </c>
      <c r="M63" s="33" t="s">
        <v>718</v>
      </c>
      <c r="N63" s="33" t="s">
        <v>719</v>
      </c>
      <c r="O63" s="33" t="s">
        <v>1970</v>
      </c>
      <c r="P63" s="33" t="s">
        <v>1971</v>
      </c>
      <c r="Q63" s="31">
        <v>2007</v>
      </c>
      <c r="R63" s="33" t="s">
        <v>1972</v>
      </c>
      <c r="S63" s="33" t="s">
        <v>1973</v>
      </c>
      <c r="T63" s="33" t="s">
        <v>1974</v>
      </c>
      <c r="U63" s="33" t="s">
        <v>1975</v>
      </c>
      <c r="V63" s="31">
        <v>2008</v>
      </c>
      <c r="W63" s="33" t="s">
        <v>1976</v>
      </c>
      <c r="X63" s="33" t="s">
        <v>1977</v>
      </c>
      <c r="Y63" s="33" t="s">
        <v>1978</v>
      </c>
      <c r="Z63" s="33" t="s">
        <v>1979</v>
      </c>
      <c r="AA63" s="31">
        <v>2009</v>
      </c>
      <c r="AB63" s="33" t="s">
        <v>1980</v>
      </c>
      <c r="AC63" s="33" t="s">
        <v>1981</v>
      </c>
      <c r="AD63" s="33" t="s">
        <v>1982</v>
      </c>
      <c r="AE63" s="33" t="s">
        <v>2392</v>
      </c>
      <c r="AF63" s="31">
        <v>2010</v>
      </c>
      <c r="AG63" s="33" t="s">
        <v>2393</v>
      </c>
      <c r="AH63" s="33" t="s">
        <v>2394</v>
      </c>
      <c r="AI63" s="33" t="s">
        <v>2395</v>
      </c>
      <c r="AJ63" s="33" t="s">
        <v>2396</v>
      </c>
      <c r="AK63" s="31">
        <v>2011</v>
      </c>
      <c r="AL63" s="33" t="s">
        <v>2397</v>
      </c>
      <c r="AM63" s="33" t="s">
        <v>2398</v>
      </c>
      <c r="AN63" s="33" t="s">
        <v>2399</v>
      </c>
      <c r="AO63" s="368" t="s">
        <v>2400</v>
      </c>
      <c r="AP63" s="369">
        <v>2012</v>
      </c>
      <c r="AQ63" s="368" t="s">
        <v>2401</v>
      </c>
      <c r="AR63" s="368" t="s">
        <v>2402</v>
      </c>
      <c r="AS63" s="368" t="s">
        <v>2403</v>
      </c>
      <c r="AT63" s="368" t="s">
        <v>2404</v>
      </c>
      <c r="AU63" s="369">
        <v>2013</v>
      </c>
      <c r="AV63" s="368" t="s">
        <v>2405</v>
      </c>
      <c r="AW63" s="368" t="s">
        <v>2406</v>
      </c>
      <c r="AX63" s="368" t="s">
        <v>2407</v>
      </c>
      <c r="AY63" s="368" t="s">
        <v>2408</v>
      </c>
      <c r="AZ63" s="369">
        <v>2014</v>
      </c>
      <c r="BA63" s="368" t="s">
        <v>2409</v>
      </c>
      <c r="BB63" s="368" t="s">
        <v>2410</v>
      </c>
      <c r="BC63" s="368" t="s">
        <v>2411</v>
      </c>
      <c r="BD63" s="368" t="s">
        <v>2412</v>
      </c>
      <c r="BE63" s="31">
        <v>2015</v>
      </c>
      <c r="BF63" s="368" t="s">
        <v>2413</v>
      </c>
      <c r="BG63" s="368" t="s">
        <v>2414</v>
      </c>
      <c r="BH63" s="368" t="s">
        <v>2415</v>
      </c>
      <c r="BI63" s="368" t="s">
        <v>2416</v>
      </c>
      <c r="BJ63" s="31">
        <v>2016</v>
      </c>
      <c r="BK63" s="368" t="s">
        <v>2417</v>
      </c>
      <c r="BL63" s="368" t="s">
        <v>2418</v>
      </c>
      <c r="BM63" s="368" t="s">
        <v>2419</v>
      </c>
      <c r="BN63" s="363" t="s">
        <v>2420</v>
      </c>
      <c r="BO63" s="31">
        <v>2017</v>
      </c>
      <c r="BP63" s="363" t="s">
        <v>2244</v>
      </c>
      <c r="BQ63" s="363" t="s">
        <v>2245</v>
      </c>
      <c r="BR63" s="363" t="s">
        <v>2508</v>
      </c>
      <c r="BS63" s="363" t="s">
        <v>2509</v>
      </c>
      <c r="BT63" s="364">
        <v>2018</v>
      </c>
      <c r="BU63" s="363" t="s">
        <v>2510</v>
      </c>
      <c r="BV63" s="363" t="s">
        <v>2511</v>
      </c>
      <c r="BW63" s="363" t="s">
        <v>3125</v>
      </c>
      <c r="BX63" s="363" t="s">
        <v>1405</v>
      </c>
      <c r="BY63" s="364">
        <v>2019</v>
      </c>
      <c r="BZ63" s="363" t="s">
        <v>1406</v>
      </c>
      <c r="CA63" s="363" t="s">
        <v>1407</v>
      </c>
      <c r="CB63" s="363" t="s">
        <v>1408</v>
      </c>
      <c r="CC63" s="363" t="s">
        <v>1409</v>
      </c>
      <c r="CD63" s="364">
        <v>2020</v>
      </c>
      <c r="CE63" s="5"/>
      <c r="CF63" s="5"/>
      <c r="CG63" s="5"/>
      <c r="CH63" s="5"/>
      <c r="CI63" s="5"/>
    </row>
    <row r="64" spans="1:87">
      <c r="A64" s="39" t="s">
        <v>305</v>
      </c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5"/>
      <c r="CF64" s="5"/>
      <c r="CG64" s="5"/>
      <c r="CH64" s="5"/>
      <c r="CI64" s="5"/>
    </row>
    <row r="65" spans="1:87">
      <c r="A65" s="11"/>
      <c r="B65" s="11" t="s">
        <v>1281</v>
      </c>
      <c r="C65" s="11">
        <v>0</v>
      </c>
      <c r="D65" s="11">
        <v>0</v>
      </c>
      <c r="E65" s="11">
        <v>0</v>
      </c>
      <c r="F65" s="11">
        <v>0</v>
      </c>
      <c r="G65" s="11">
        <v>0</v>
      </c>
      <c r="H65" s="51"/>
      <c r="I65" s="51"/>
      <c r="J65" s="51"/>
      <c r="K65" s="51"/>
      <c r="L65" s="11">
        <v>0</v>
      </c>
      <c r="M65" s="51"/>
      <c r="N65" s="51"/>
      <c r="O65" s="51"/>
      <c r="P65" s="51"/>
      <c r="Q65" s="11">
        <v>0</v>
      </c>
      <c r="R65" s="51"/>
      <c r="S65" s="51"/>
      <c r="T65" s="51"/>
      <c r="U65" s="51"/>
      <c r="V65" s="11">
        <v>0</v>
      </c>
      <c r="W65" s="51"/>
      <c r="X65" s="51"/>
      <c r="Y65" s="51"/>
      <c r="Z65" s="51"/>
      <c r="AA65" s="11">
        <v>0</v>
      </c>
      <c r="AB65" s="51"/>
      <c r="AC65" s="51"/>
      <c r="AD65" s="51"/>
      <c r="AE65" s="51"/>
      <c r="AF65" s="11">
        <v>0</v>
      </c>
      <c r="AG65" s="51"/>
      <c r="AH65" s="51"/>
      <c r="AI65" s="51"/>
      <c r="AJ65" s="51"/>
      <c r="AK65" s="11">
        <v>0</v>
      </c>
      <c r="AL65" s="51"/>
      <c r="AM65" s="51"/>
      <c r="AN65" s="51"/>
      <c r="AO65" s="51"/>
      <c r="AP65" s="11">
        <v>0</v>
      </c>
      <c r="AQ65" s="51"/>
      <c r="AR65" s="51"/>
      <c r="AS65" s="51"/>
      <c r="AT65" s="51"/>
      <c r="AU65" s="11">
        <v>0</v>
      </c>
      <c r="AV65" s="51"/>
      <c r="AW65" s="51"/>
      <c r="AX65" s="51"/>
      <c r="AY65" s="51"/>
      <c r="AZ65" s="11">
        <v>0</v>
      </c>
      <c r="BA65" s="51"/>
      <c r="BB65" s="51"/>
      <c r="BC65" s="51"/>
      <c r="BD65" s="51"/>
      <c r="BE65" s="11">
        <v>0</v>
      </c>
      <c r="BF65" s="51"/>
      <c r="BG65" s="51"/>
      <c r="BH65" s="51"/>
      <c r="BI65" s="51"/>
      <c r="BJ65" s="11">
        <v>0</v>
      </c>
      <c r="BK65" s="51"/>
      <c r="BL65" s="51"/>
      <c r="BM65" s="51"/>
      <c r="BN65" s="51"/>
      <c r="BO65" s="11">
        <v>0</v>
      </c>
      <c r="BP65" s="51"/>
      <c r="BQ65" s="51"/>
      <c r="BR65" s="51"/>
      <c r="BS65" s="51"/>
      <c r="BT65" s="11">
        <v>0</v>
      </c>
      <c r="BU65" s="51"/>
      <c r="BV65" s="51"/>
      <c r="BW65" s="51"/>
      <c r="BX65" s="51"/>
      <c r="BY65" s="11">
        <v>0</v>
      </c>
      <c r="BZ65" s="51"/>
      <c r="CA65" s="51"/>
      <c r="CB65" s="51"/>
      <c r="CC65" s="51"/>
      <c r="CD65" s="11">
        <v>0</v>
      </c>
      <c r="CE65" s="5"/>
      <c r="CF65" s="5"/>
      <c r="CG65" s="5"/>
      <c r="CH65" s="5"/>
      <c r="CI65" s="5"/>
    </row>
    <row r="66" spans="1:87">
      <c r="A66" s="11"/>
      <c r="B66" s="11" t="s">
        <v>1745</v>
      </c>
      <c r="C66" s="11">
        <v>0</v>
      </c>
      <c r="D66" s="11">
        <v>0</v>
      </c>
      <c r="E66" s="11">
        <v>0</v>
      </c>
      <c r="F66" s="11">
        <v>0</v>
      </c>
      <c r="G66" s="11">
        <v>0</v>
      </c>
      <c r="H66" s="51"/>
      <c r="I66" s="51"/>
      <c r="J66" s="51"/>
      <c r="K66" s="51"/>
      <c r="L66" s="11">
        <v>0</v>
      </c>
      <c r="M66" s="51"/>
      <c r="N66" s="51"/>
      <c r="O66" s="51"/>
      <c r="P66" s="51"/>
      <c r="Q66" s="11">
        <v>0</v>
      </c>
      <c r="R66" s="51"/>
      <c r="S66" s="51"/>
      <c r="T66" s="51"/>
      <c r="U66" s="51"/>
      <c r="V66" s="11">
        <v>0</v>
      </c>
      <c r="W66" s="51"/>
      <c r="X66" s="51"/>
      <c r="Y66" s="51"/>
      <c r="Z66" s="51"/>
      <c r="AA66" s="11">
        <v>0</v>
      </c>
      <c r="AB66" s="51"/>
      <c r="AC66" s="51"/>
      <c r="AD66" s="51"/>
      <c r="AE66" s="51"/>
      <c r="AF66" s="11">
        <v>0</v>
      </c>
      <c r="AG66" s="51"/>
      <c r="AH66" s="51"/>
      <c r="AI66" s="51"/>
      <c r="AJ66" s="51"/>
      <c r="AK66" s="11">
        <v>0</v>
      </c>
      <c r="AL66" s="51"/>
      <c r="AM66" s="51"/>
      <c r="AN66" s="51"/>
      <c r="AO66" s="51"/>
      <c r="AP66" s="11">
        <v>0</v>
      </c>
      <c r="AQ66" s="51"/>
      <c r="AR66" s="51"/>
      <c r="AS66" s="51"/>
      <c r="AT66" s="51"/>
      <c r="AU66" s="11">
        <v>0</v>
      </c>
      <c r="AV66" s="51"/>
      <c r="AW66" s="51"/>
      <c r="AX66" s="51"/>
      <c r="AY66" s="51"/>
      <c r="AZ66" s="11">
        <v>0</v>
      </c>
      <c r="BA66" s="51"/>
      <c r="BB66" s="51"/>
      <c r="BC66" s="51"/>
      <c r="BD66" s="51"/>
      <c r="BE66" s="11">
        <v>0</v>
      </c>
      <c r="BF66" s="51"/>
      <c r="BG66" s="51"/>
      <c r="BH66" s="51"/>
      <c r="BI66" s="51"/>
      <c r="BJ66" s="11">
        <v>12</v>
      </c>
      <c r="BK66" s="51"/>
      <c r="BL66" s="51"/>
      <c r="BM66" s="51"/>
      <c r="BN66" s="51"/>
      <c r="BO66" s="11">
        <v>53</v>
      </c>
      <c r="BP66" s="51">
        <f t="shared" ref="BP66:CD66" si="5">BP235</f>
        <v>67.385877422560867</v>
      </c>
      <c r="BQ66" s="51">
        <f t="shared" si="5"/>
        <v>58.089666380795173</v>
      </c>
      <c r="BR66" s="51">
        <f t="shared" si="5"/>
        <v>41.306490824860099</v>
      </c>
      <c r="BS66" s="51">
        <f t="shared" si="5"/>
        <v>54.341965371783857</v>
      </c>
      <c r="BT66" s="11">
        <f t="shared" si="5"/>
        <v>55.280999999999999</v>
      </c>
      <c r="BU66" s="51">
        <f t="shared" si="5"/>
        <v>55.599657043068085</v>
      </c>
      <c r="BV66" s="51">
        <f t="shared" si="5"/>
        <v>47.929412690812939</v>
      </c>
      <c r="BW66" s="51">
        <f t="shared" si="5"/>
        <v>34.081721739901944</v>
      </c>
      <c r="BX66" s="51">
        <f t="shared" si="5"/>
        <v>44.837208526217069</v>
      </c>
      <c r="BY66" s="11">
        <f t="shared" si="5"/>
        <v>45.612000000000009</v>
      </c>
      <c r="BZ66" s="51">
        <f t="shared" si="5"/>
        <v>55.80444399350295</v>
      </c>
      <c r="CA66" s="51">
        <f t="shared" si="5"/>
        <v>48.10594828083434</v>
      </c>
      <c r="CB66" s="51">
        <f t="shared" si="5"/>
        <v>34.207252943363827</v>
      </c>
      <c r="CC66" s="51">
        <f t="shared" si="5"/>
        <v>45.00235478229888</v>
      </c>
      <c r="CD66" s="11">
        <f t="shared" si="5"/>
        <v>45.78</v>
      </c>
      <c r="CE66" s="5"/>
      <c r="CF66" s="5"/>
      <c r="CG66" s="5"/>
      <c r="CH66" s="5"/>
      <c r="CI66" s="5"/>
    </row>
    <row r="67" spans="1:87">
      <c r="A67" s="11"/>
      <c r="B67" s="11" t="s">
        <v>139</v>
      </c>
      <c r="C67" s="11">
        <v>0</v>
      </c>
      <c r="D67" s="11">
        <v>0</v>
      </c>
      <c r="E67" s="11">
        <v>0</v>
      </c>
      <c r="F67" s="11">
        <v>0</v>
      </c>
      <c r="G67" s="11">
        <v>0</v>
      </c>
      <c r="H67" s="51"/>
      <c r="I67" s="51"/>
      <c r="J67" s="51"/>
      <c r="K67" s="51"/>
      <c r="L67" s="11">
        <v>0</v>
      </c>
      <c r="M67" s="51"/>
      <c r="N67" s="51"/>
      <c r="O67" s="51"/>
      <c r="P67" s="51"/>
      <c r="Q67" s="11">
        <v>0</v>
      </c>
      <c r="R67" s="51"/>
      <c r="S67" s="51"/>
      <c r="T67" s="51"/>
      <c r="U67" s="51"/>
      <c r="V67" s="11">
        <v>0</v>
      </c>
      <c r="W67" s="51"/>
      <c r="X67" s="51"/>
      <c r="Y67" s="51"/>
      <c r="Z67" s="51"/>
      <c r="AA67" s="11">
        <v>0</v>
      </c>
      <c r="AB67" s="51"/>
      <c r="AC67" s="51"/>
      <c r="AD67" s="51"/>
      <c r="AE67" s="51"/>
      <c r="AF67" s="11">
        <v>0</v>
      </c>
      <c r="AG67" s="51"/>
      <c r="AH67" s="51"/>
      <c r="AI67" s="51"/>
      <c r="AJ67" s="51"/>
      <c r="AK67" s="11">
        <v>0</v>
      </c>
      <c r="AL67" s="51"/>
      <c r="AM67" s="51"/>
      <c r="AN67" s="51"/>
      <c r="AO67" s="51"/>
      <c r="AP67" s="11">
        <v>0</v>
      </c>
      <c r="AQ67" s="51"/>
      <c r="AR67" s="51"/>
      <c r="AS67" s="51"/>
      <c r="AT67" s="51"/>
      <c r="AU67" s="11">
        <v>0</v>
      </c>
      <c r="AV67" s="51"/>
      <c r="AW67" s="51"/>
      <c r="AX67" s="51"/>
      <c r="AY67" s="51"/>
      <c r="AZ67" s="11">
        <v>0</v>
      </c>
      <c r="BA67" s="51"/>
      <c r="BB67" s="51"/>
      <c r="BC67" s="51"/>
      <c r="BD67" s="51"/>
      <c r="BE67" s="11">
        <v>0</v>
      </c>
      <c r="BF67" s="51"/>
      <c r="BG67" s="51"/>
      <c r="BH67" s="51"/>
      <c r="BI67" s="51"/>
      <c r="BJ67" s="11">
        <v>0</v>
      </c>
      <c r="BK67" s="51"/>
      <c r="BL67" s="51"/>
      <c r="BM67" s="51"/>
      <c r="BN67" s="51"/>
      <c r="BO67" s="11">
        <v>0</v>
      </c>
      <c r="BP67" s="51"/>
      <c r="BQ67" s="51"/>
      <c r="BR67" s="51"/>
      <c r="BS67" s="51"/>
      <c r="BT67" s="11">
        <v>0</v>
      </c>
      <c r="BU67" s="51"/>
      <c r="BV67" s="51"/>
      <c r="BW67" s="51"/>
      <c r="BX67" s="51"/>
      <c r="BY67" s="11">
        <v>0</v>
      </c>
      <c r="BZ67" s="51"/>
      <c r="CA67" s="51"/>
      <c r="CB67" s="51"/>
      <c r="CC67" s="51"/>
      <c r="CD67" s="11">
        <v>0</v>
      </c>
      <c r="CE67" s="5"/>
      <c r="CF67" s="5"/>
      <c r="CG67" s="5"/>
      <c r="CH67" s="5"/>
      <c r="CI67" s="5"/>
    </row>
    <row r="68" spans="1:87">
      <c r="A68" s="39" t="s">
        <v>309</v>
      </c>
      <c r="B68" s="39"/>
      <c r="C68" s="39">
        <f>SUM(C65:C67)</f>
        <v>0</v>
      </c>
      <c r="D68" s="39">
        <f>SUM(D65:D67)</f>
        <v>0</v>
      </c>
      <c r="E68" s="39">
        <f>SUM(E65:E67)</f>
        <v>0</v>
      </c>
      <c r="F68" s="39">
        <f>SUM(F65:F67)</f>
        <v>0</v>
      </c>
      <c r="G68" s="39">
        <f>SUM(G65:G67)</f>
        <v>0</v>
      </c>
      <c r="H68" s="52"/>
      <c r="I68" s="52"/>
      <c r="J68" s="52"/>
      <c r="K68" s="52"/>
      <c r="L68" s="39">
        <f>SUM(L65:L67)</f>
        <v>0</v>
      </c>
      <c r="M68" s="52"/>
      <c r="N68" s="52"/>
      <c r="O68" s="52"/>
      <c r="P68" s="52"/>
      <c r="Q68" s="39">
        <f>SUM(Q65:Q67)</f>
        <v>0</v>
      </c>
      <c r="R68" s="52"/>
      <c r="S68" s="52"/>
      <c r="T68" s="52"/>
      <c r="U68" s="52"/>
      <c r="V68" s="39">
        <f>SUM(V65:V67)</f>
        <v>0</v>
      </c>
      <c r="W68" s="52"/>
      <c r="X68" s="52"/>
      <c r="Y68" s="52"/>
      <c r="Z68" s="52"/>
      <c r="AA68" s="39">
        <f>SUM(AA65:AA67)</f>
        <v>0</v>
      </c>
      <c r="AB68" s="52"/>
      <c r="AC68" s="52"/>
      <c r="AD68" s="52"/>
      <c r="AE68" s="52"/>
      <c r="AF68" s="39">
        <f>SUM(AF65:AF67)</f>
        <v>0</v>
      </c>
      <c r="AG68" s="52"/>
      <c r="AH68" s="52"/>
      <c r="AI68" s="52"/>
      <c r="AJ68" s="52"/>
      <c r="AK68" s="39">
        <f t="shared" ref="AK68:CD68" si="6">SUM(AK65:AK67)</f>
        <v>0</v>
      </c>
      <c r="AL68" s="52"/>
      <c r="AM68" s="52"/>
      <c r="AN68" s="52"/>
      <c r="AO68" s="52"/>
      <c r="AP68" s="39">
        <f t="shared" si="6"/>
        <v>0</v>
      </c>
      <c r="AQ68" s="52"/>
      <c r="AR68" s="52"/>
      <c r="AS68" s="52"/>
      <c r="AT68" s="52"/>
      <c r="AU68" s="39">
        <f t="shared" si="6"/>
        <v>0</v>
      </c>
      <c r="AV68" s="52"/>
      <c r="AW68" s="52"/>
      <c r="AX68" s="52"/>
      <c r="AY68" s="52"/>
      <c r="AZ68" s="39">
        <f t="shared" si="6"/>
        <v>0</v>
      </c>
      <c r="BA68" s="52"/>
      <c r="BB68" s="52"/>
      <c r="BC68" s="52"/>
      <c r="BD68" s="52"/>
      <c r="BE68" s="39">
        <f t="shared" si="6"/>
        <v>0</v>
      </c>
      <c r="BF68" s="52"/>
      <c r="BG68" s="52"/>
      <c r="BH68" s="52"/>
      <c r="BI68" s="52"/>
      <c r="BJ68" s="39">
        <f>SUM(BJ65:BJ67)</f>
        <v>12</v>
      </c>
      <c r="BK68" s="52"/>
      <c r="BL68" s="52"/>
      <c r="BM68" s="52"/>
      <c r="BN68" s="52"/>
      <c r="BO68" s="39">
        <f t="shared" si="6"/>
        <v>53</v>
      </c>
      <c r="BP68" s="52">
        <f t="shared" si="6"/>
        <v>67.385877422560867</v>
      </c>
      <c r="BQ68" s="52">
        <f t="shared" si="6"/>
        <v>58.089666380795173</v>
      </c>
      <c r="BR68" s="52">
        <f t="shared" si="6"/>
        <v>41.306490824860099</v>
      </c>
      <c r="BS68" s="52">
        <f t="shared" si="6"/>
        <v>54.341965371783857</v>
      </c>
      <c r="BT68" s="39">
        <f t="shared" si="6"/>
        <v>55.280999999999999</v>
      </c>
      <c r="BU68" s="52">
        <f t="shared" si="6"/>
        <v>55.599657043068085</v>
      </c>
      <c r="BV68" s="52">
        <f t="shared" si="6"/>
        <v>47.929412690812939</v>
      </c>
      <c r="BW68" s="52">
        <f t="shared" si="6"/>
        <v>34.081721739901944</v>
      </c>
      <c r="BX68" s="52">
        <f t="shared" si="6"/>
        <v>44.837208526217069</v>
      </c>
      <c r="BY68" s="39">
        <f t="shared" si="6"/>
        <v>45.612000000000009</v>
      </c>
      <c r="BZ68" s="52">
        <f t="shared" si="6"/>
        <v>55.80444399350295</v>
      </c>
      <c r="CA68" s="52">
        <f t="shared" si="6"/>
        <v>48.10594828083434</v>
      </c>
      <c r="CB68" s="52">
        <f t="shared" si="6"/>
        <v>34.207252943363827</v>
      </c>
      <c r="CC68" s="52">
        <f t="shared" si="6"/>
        <v>45.00235478229888</v>
      </c>
      <c r="CD68" s="39">
        <f t="shared" si="6"/>
        <v>45.78</v>
      </c>
      <c r="CE68" s="5"/>
      <c r="CF68" s="5"/>
      <c r="CG68" s="5"/>
      <c r="CH68" s="5"/>
      <c r="CI68" s="5"/>
    </row>
    <row r="69" spans="1:87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  <c r="BU69" s="11"/>
      <c r="BV69" s="11"/>
      <c r="BW69" s="11"/>
      <c r="BX69" s="11"/>
      <c r="BY69" s="11"/>
      <c r="BZ69" s="11"/>
      <c r="CA69" s="11"/>
      <c r="CB69" s="11"/>
      <c r="CC69" s="11"/>
      <c r="CD69" s="11"/>
      <c r="CE69" s="11"/>
      <c r="CF69" s="11"/>
      <c r="CG69" s="11"/>
      <c r="CH69" s="11"/>
      <c r="CI69" s="11"/>
    </row>
    <row r="70" spans="1:87">
      <c r="A70" s="39" t="s">
        <v>310</v>
      </c>
      <c r="B70" s="11"/>
      <c r="C70" s="11"/>
      <c r="D70" s="11"/>
      <c r="E70" s="11"/>
      <c r="F70" s="11"/>
      <c r="G70" s="11"/>
      <c r="H70" s="51"/>
      <c r="I70" s="51"/>
      <c r="J70" s="51"/>
      <c r="K70" s="51"/>
      <c r="L70" s="5"/>
      <c r="M70" s="51"/>
      <c r="N70" s="51"/>
      <c r="O70" s="51"/>
      <c r="P70" s="51"/>
      <c r="Q70" s="5"/>
      <c r="R70" s="51"/>
      <c r="S70" s="51"/>
      <c r="T70" s="51"/>
      <c r="U70" s="51"/>
      <c r="V70" s="5"/>
      <c r="W70" s="51"/>
      <c r="X70" s="51"/>
      <c r="Y70" s="51"/>
      <c r="Z70" s="51"/>
      <c r="AA70" s="5"/>
      <c r="AB70" s="51"/>
      <c r="AC70" s="51"/>
      <c r="AD70" s="51"/>
      <c r="AE70" s="51"/>
      <c r="AF70" s="5"/>
      <c r="AG70" s="51"/>
      <c r="AH70" s="51"/>
      <c r="AI70" s="51"/>
      <c r="AJ70" s="51"/>
      <c r="AK70" s="5"/>
      <c r="AL70" s="51"/>
      <c r="AM70" s="51"/>
      <c r="AN70" s="51"/>
      <c r="AO70" s="51"/>
      <c r="AP70" s="5"/>
      <c r="AQ70" s="11"/>
      <c r="AR70" s="11"/>
      <c r="AS70" s="11"/>
      <c r="AT70" s="11"/>
      <c r="AU70" s="5"/>
      <c r="AV70" s="11"/>
      <c r="AW70" s="11"/>
      <c r="AX70" s="11"/>
      <c r="AY70" s="11"/>
      <c r="AZ70" s="5"/>
      <c r="BA70" s="11"/>
      <c r="BB70" s="11"/>
      <c r="BC70" s="11"/>
      <c r="BD70" s="11"/>
      <c r="BE70" s="5"/>
      <c r="BF70" s="11"/>
      <c r="BG70" s="11"/>
      <c r="BH70" s="11"/>
      <c r="BI70" s="11"/>
      <c r="BJ70" s="5"/>
      <c r="BK70" s="11"/>
      <c r="BL70" s="11"/>
      <c r="BM70" s="11"/>
      <c r="BN70" s="11"/>
      <c r="BO70" s="5"/>
      <c r="BP70" s="11"/>
      <c r="BQ70" s="11"/>
      <c r="BR70" s="11"/>
      <c r="BS70" s="11"/>
      <c r="BT70" s="5"/>
      <c r="BU70" s="11"/>
      <c r="BV70" s="11"/>
      <c r="BW70" s="11"/>
      <c r="BX70" s="11"/>
      <c r="BY70" s="5"/>
      <c r="BZ70" s="11"/>
      <c r="CA70" s="11"/>
      <c r="CB70" s="11"/>
      <c r="CC70" s="11"/>
      <c r="CD70" s="5"/>
      <c r="CE70" s="5"/>
      <c r="CF70" s="5"/>
      <c r="CG70" s="5"/>
      <c r="CH70" s="5"/>
      <c r="CI70" s="5"/>
    </row>
    <row r="71" spans="1:87">
      <c r="A71" s="11"/>
      <c r="B71" s="11" t="s">
        <v>728</v>
      </c>
      <c r="C71" s="11">
        <v>0</v>
      </c>
      <c r="D71" s="11">
        <v>0</v>
      </c>
      <c r="E71" s="11">
        <v>0</v>
      </c>
      <c r="F71" s="11">
        <v>0</v>
      </c>
      <c r="G71" s="11">
        <v>0</v>
      </c>
      <c r="H71" s="51"/>
      <c r="I71" s="51"/>
      <c r="J71" s="51"/>
      <c r="K71" s="51"/>
      <c r="L71" s="11">
        <v>0</v>
      </c>
      <c r="M71" s="51"/>
      <c r="N71" s="51"/>
      <c r="O71" s="51"/>
      <c r="P71" s="51"/>
      <c r="Q71" s="11">
        <v>0</v>
      </c>
      <c r="R71" s="51"/>
      <c r="S71" s="51"/>
      <c r="T71" s="51"/>
      <c r="U71" s="51"/>
      <c r="V71" s="11">
        <v>0</v>
      </c>
      <c r="W71" s="51"/>
      <c r="X71" s="51"/>
      <c r="Y71" s="51"/>
      <c r="Z71" s="51"/>
      <c r="AA71" s="11">
        <v>0</v>
      </c>
      <c r="AB71" s="51"/>
      <c r="AC71" s="51"/>
      <c r="AD71" s="51"/>
      <c r="AE71" s="51"/>
      <c r="AF71" s="11">
        <v>0</v>
      </c>
      <c r="AG71" s="51"/>
      <c r="AH71" s="51"/>
      <c r="AI71" s="51"/>
      <c r="AJ71" s="51"/>
      <c r="AK71" s="11">
        <v>0</v>
      </c>
      <c r="AL71" s="51"/>
      <c r="AM71" s="51"/>
      <c r="AN71" s="51"/>
      <c r="AO71" s="51"/>
      <c r="AP71" s="11">
        <v>0</v>
      </c>
      <c r="AQ71" s="51"/>
      <c r="AR71" s="51"/>
      <c r="AS71" s="51"/>
      <c r="AT71" s="51"/>
      <c r="AU71" s="11">
        <v>0</v>
      </c>
      <c r="AV71" s="51"/>
      <c r="AW71" s="51"/>
      <c r="AX71" s="51"/>
      <c r="AY71" s="51"/>
      <c r="AZ71" s="11">
        <v>0</v>
      </c>
      <c r="BA71" s="51"/>
      <c r="BB71" s="51"/>
      <c r="BC71" s="51"/>
      <c r="BD71" s="51"/>
      <c r="BE71" s="11">
        <v>0</v>
      </c>
      <c r="BF71" s="51"/>
      <c r="BG71" s="51"/>
      <c r="BH71" s="51"/>
      <c r="BI71" s="51"/>
      <c r="BJ71" s="11">
        <v>0</v>
      </c>
      <c r="BK71" s="51"/>
      <c r="BL71" s="51"/>
      <c r="BM71" s="51"/>
      <c r="BN71" s="51"/>
      <c r="BO71" s="11">
        <v>0</v>
      </c>
      <c r="BP71" s="51"/>
      <c r="BQ71" s="51"/>
      <c r="BR71" s="51"/>
      <c r="BS71" s="51"/>
      <c r="BT71" s="11">
        <v>0</v>
      </c>
      <c r="BU71" s="51"/>
      <c r="BV71" s="51"/>
      <c r="BW71" s="51"/>
      <c r="BX71" s="51"/>
      <c r="BY71" s="11">
        <v>0</v>
      </c>
      <c r="BZ71" s="51"/>
      <c r="CA71" s="51"/>
      <c r="CB71" s="51"/>
      <c r="CC71" s="51"/>
      <c r="CD71" s="11">
        <v>0</v>
      </c>
      <c r="CE71" s="5"/>
      <c r="CF71" s="5"/>
      <c r="CG71" s="5"/>
      <c r="CH71" s="5"/>
      <c r="CI71" s="5"/>
    </row>
    <row r="72" spans="1:87">
      <c r="A72" s="11"/>
      <c r="B72" s="11" t="s">
        <v>727</v>
      </c>
      <c r="C72" s="11">
        <v>0</v>
      </c>
      <c r="D72" s="11">
        <v>0</v>
      </c>
      <c r="E72" s="11">
        <v>0</v>
      </c>
      <c r="F72" s="11">
        <v>0</v>
      </c>
      <c r="G72" s="11">
        <v>0</v>
      </c>
      <c r="H72" s="51"/>
      <c r="I72" s="51"/>
      <c r="J72" s="51"/>
      <c r="K72" s="51"/>
      <c r="L72" s="11">
        <v>0</v>
      </c>
      <c r="M72" s="51"/>
      <c r="N72" s="51"/>
      <c r="O72" s="51"/>
      <c r="P72" s="51"/>
      <c r="Q72" s="11">
        <v>0</v>
      </c>
      <c r="R72" s="51"/>
      <c r="S72" s="51"/>
      <c r="T72" s="51"/>
      <c r="U72" s="51"/>
      <c r="V72" s="11">
        <v>0</v>
      </c>
      <c r="W72" s="51"/>
      <c r="X72" s="51"/>
      <c r="Y72" s="51"/>
      <c r="Z72" s="51"/>
      <c r="AA72" s="11">
        <v>0</v>
      </c>
      <c r="AB72" s="51"/>
      <c r="AC72" s="51"/>
      <c r="AD72" s="51"/>
      <c r="AE72" s="51"/>
      <c r="AF72" s="11">
        <v>0</v>
      </c>
      <c r="AG72" s="51"/>
      <c r="AH72" s="51"/>
      <c r="AI72" s="51"/>
      <c r="AJ72" s="51"/>
      <c r="AK72" s="11">
        <v>0</v>
      </c>
      <c r="AL72" s="51"/>
      <c r="AM72" s="51"/>
      <c r="AN72" s="51"/>
      <c r="AO72" s="51"/>
      <c r="AP72" s="11">
        <v>0</v>
      </c>
      <c r="AQ72" s="51"/>
      <c r="AR72" s="51"/>
      <c r="AS72" s="51"/>
      <c r="AT72" s="51"/>
      <c r="AU72" s="11">
        <v>0</v>
      </c>
      <c r="AV72" s="51"/>
      <c r="AW72" s="51"/>
      <c r="AX72" s="51"/>
      <c r="AY72" s="51"/>
      <c r="AZ72" s="11">
        <v>0</v>
      </c>
      <c r="BA72" s="51"/>
      <c r="BB72" s="51"/>
      <c r="BC72" s="51"/>
      <c r="BD72" s="51"/>
      <c r="BE72" s="11">
        <v>0</v>
      </c>
      <c r="BF72" s="51"/>
      <c r="BG72" s="51"/>
      <c r="BH72" s="51"/>
      <c r="BI72" s="51"/>
      <c r="BJ72" s="11">
        <v>0</v>
      </c>
      <c r="BK72" s="51"/>
      <c r="BL72" s="51"/>
      <c r="BM72" s="51"/>
      <c r="BN72" s="51"/>
      <c r="BO72" s="11">
        <v>0</v>
      </c>
      <c r="BP72" s="51"/>
      <c r="BQ72" s="51"/>
      <c r="BR72" s="51"/>
      <c r="BS72" s="51"/>
      <c r="BT72" s="11">
        <v>0</v>
      </c>
      <c r="BU72" s="51"/>
      <c r="BV72" s="51"/>
      <c r="BW72" s="51"/>
      <c r="BX72" s="51"/>
      <c r="BY72" s="11">
        <v>0</v>
      </c>
      <c r="BZ72" s="51"/>
      <c r="CA72" s="51"/>
      <c r="CB72" s="51"/>
      <c r="CC72" s="51"/>
      <c r="CD72" s="11">
        <v>0</v>
      </c>
      <c r="CE72" s="5"/>
      <c r="CF72" s="5"/>
      <c r="CG72" s="5"/>
      <c r="CH72" s="5"/>
      <c r="CI72" s="5"/>
    </row>
    <row r="73" spans="1:87">
      <c r="A73" s="39" t="s">
        <v>1993</v>
      </c>
      <c r="B73" s="39"/>
      <c r="C73" s="39">
        <f>SUM(C71:C72)</f>
        <v>0</v>
      </c>
      <c r="D73" s="39">
        <f>SUM(D71:D72)</f>
        <v>0</v>
      </c>
      <c r="E73" s="39">
        <f>SUM(E71:E72)</f>
        <v>0</v>
      </c>
      <c r="F73" s="39">
        <f>SUM(F71:F72)</f>
        <v>0</v>
      </c>
      <c r="G73" s="39">
        <f>SUM(G71:G72)</f>
        <v>0</v>
      </c>
      <c r="H73" s="52"/>
      <c r="I73" s="52"/>
      <c r="J73" s="52"/>
      <c r="K73" s="52"/>
      <c r="L73" s="39">
        <f>SUM(L71:L72)</f>
        <v>0</v>
      </c>
      <c r="M73" s="52"/>
      <c r="N73" s="52"/>
      <c r="O73" s="52"/>
      <c r="P73" s="52"/>
      <c r="Q73" s="39">
        <f>SUM(Q71:Q72)</f>
        <v>0</v>
      </c>
      <c r="R73" s="52"/>
      <c r="S73" s="52"/>
      <c r="T73" s="52"/>
      <c r="U73" s="52"/>
      <c r="V73" s="39">
        <f>SUM(V71:V72)</f>
        <v>0</v>
      </c>
      <c r="W73" s="52"/>
      <c r="X73" s="52"/>
      <c r="Y73" s="52"/>
      <c r="Z73" s="52"/>
      <c r="AA73" s="39">
        <f>SUM(AA71:AA72)</f>
        <v>0</v>
      </c>
      <c r="AB73" s="52"/>
      <c r="AC73" s="52"/>
      <c r="AD73" s="52"/>
      <c r="AE73" s="52"/>
      <c r="AF73" s="39">
        <f>SUM(AF71:AF72)</f>
        <v>0</v>
      </c>
      <c r="AG73" s="52"/>
      <c r="AH73" s="52"/>
      <c r="AI73" s="52"/>
      <c r="AJ73" s="52"/>
      <c r="AK73" s="39">
        <f t="shared" ref="AK73:CD73" si="7">SUM(AK71:AK72)</f>
        <v>0</v>
      </c>
      <c r="AL73" s="52"/>
      <c r="AM73" s="52"/>
      <c r="AN73" s="52"/>
      <c r="AO73" s="52"/>
      <c r="AP73" s="39">
        <f t="shared" si="7"/>
        <v>0</v>
      </c>
      <c r="AQ73" s="52"/>
      <c r="AR73" s="52"/>
      <c r="AS73" s="52"/>
      <c r="AT73" s="52"/>
      <c r="AU73" s="39">
        <f t="shared" si="7"/>
        <v>0</v>
      </c>
      <c r="AV73" s="52"/>
      <c r="AW73" s="52"/>
      <c r="AX73" s="52"/>
      <c r="AY73" s="52"/>
      <c r="AZ73" s="39">
        <f t="shared" si="7"/>
        <v>0</v>
      </c>
      <c r="BA73" s="52"/>
      <c r="BB73" s="52"/>
      <c r="BC73" s="52"/>
      <c r="BD73" s="52"/>
      <c r="BE73" s="39">
        <f t="shared" si="7"/>
        <v>0</v>
      </c>
      <c r="BF73" s="52"/>
      <c r="BG73" s="52"/>
      <c r="BH73" s="52"/>
      <c r="BI73" s="52"/>
      <c r="BJ73" s="39">
        <f t="shared" si="7"/>
        <v>0</v>
      </c>
      <c r="BK73" s="52"/>
      <c r="BL73" s="52"/>
      <c r="BM73" s="52"/>
      <c r="BN73" s="52"/>
      <c r="BO73" s="39">
        <f t="shared" si="7"/>
        <v>0</v>
      </c>
      <c r="BP73" s="52">
        <f t="shared" si="7"/>
        <v>0</v>
      </c>
      <c r="BQ73" s="52">
        <f t="shared" si="7"/>
        <v>0</v>
      </c>
      <c r="BR73" s="52">
        <f t="shared" si="7"/>
        <v>0</v>
      </c>
      <c r="BS73" s="52">
        <f t="shared" si="7"/>
        <v>0</v>
      </c>
      <c r="BT73" s="39">
        <f t="shared" si="7"/>
        <v>0</v>
      </c>
      <c r="BU73" s="52">
        <f t="shared" si="7"/>
        <v>0</v>
      </c>
      <c r="BV73" s="52">
        <f t="shared" si="7"/>
        <v>0</v>
      </c>
      <c r="BW73" s="52">
        <f t="shared" si="7"/>
        <v>0</v>
      </c>
      <c r="BX73" s="52">
        <f t="shared" si="7"/>
        <v>0</v>
      </c>
      <c r="BY73" s="39">
        <f t="shared" si="7"/>
        <v>0</v>
      </c>
      <c r="BZ73" s="52">
        <f t="shared" si="7"/>
        <v>0</v>
      </c>
      <c r="CA73" s="52">
        <f t="shared" si="7"/>
        <v>0</v>
      </c>
      <c r="CB73" s="52">
        <f t="shared" si="7"/>
        <v>0</v>
      </c>
      <c r="CC73" s="52">
        <f t="shared" si="7"/>
        <v>0</v>
      </c>
      <c r="CD73" s="39">
        <f t="shared" si="7"/>
        <v>0</v>
      </c>
      <c r="CE73" s="5"/>
      <c r="CF73" s="5"/>
      <c r="CG73" s="5"/>
      <c r="CH73" s="5"/>
      <c r="CI73" s="5"/>
    </row>
    <row r="74" spans="1:87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  <c r="BU74" s="11"/>
      <c r="BV74" s="11"/>
      <c r="BW74" s="11"/>
      <c r="BX74" s="11"/>
      <c r="BY74" s="11"/>
      <c r="BZ74" s="11"/>
      <c r="CA74" s="11"/>
      <c r="CB74" s="11"/>
      <c r="CC74" s="11"/>
      <c r="CD74" s="11"/>
      <c r="CE74" s="11"/>
      <c r="CF74" s="11"/>
      <c r="CG74" s="11"/>
      <c r="CH74" s="11"/>
      <c r="CI74" s="11"/>
    </row>
    <row r="75" spans="1:87">
      <c r="A75" s="39" t="s">
        <v>1994</v>
      </c>
      <c r="B75" s="11"/>
      <c r="C75" s="11"/>
      <c r="D75" s="11"/>
      <c r="E75" s="11"/>
      <c r="F75" s="11"/>
      <c r="G75" s="11"/>
      <c r="H75" s="51"/>
      <c r="I75" s="51"/>
      <c r="J75" s="51"/>
      <c r="K75" s="51"/>
      <c r="L75" s="11"/>
      <c r="M75" s="51"/>
      <c r="N75" s="51"/>
      <c r="O75" s="51"/>
      <c r="P75" s="51"/>
      <c r="Q75" s="11"/>
      <c r="R75" s="51"/>
      <c r="S75" s="51"/>
      <c r="T75" s="51"/>
      <c r="U75" s="51"/>
      <c r="V75" s="11"/>
      <c r="W75" s="51"/>
      <c r="X75" s="51"/>
      <c r="Y75" s="51"/>
      <c r="Z75" s="51"/>
      <c r="AA75" s="11"/>
      <c r="AB75" s="51"/>
      <c r="AC75" s="51"/>
      <c r="AD75" s="51"/>
      <c r="AE75" s="51"/>
      <c r="AF75" s="11"/>
      <c r="AG75" s="51"/>
      <c r="AH75" s="51"/>
      <c r="AI75" s="51"/>
      <c r="AJ75" s="51"/>
      <c r="AK75" s="11"/>
      <c r="AL75" s="51"/>
      <c r="AM75" s="51"/>
      <c r="AN75" s="51"/>
      <c r="AO75" s="5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  <c r="BS75" s="11"/>
      <c r="BT75" s="11"/>
      <c r="BU75" s="11"/>
      <c r="BV75" s="11"/>
      <c r="BW75" s="11"/>
      <c r="BX75" s="11"/>
      <c r="BY75" s="11"/>
      <c r="BZ75" s="11"/>
      <c r="CA75" s="11"/>
      <c r="CB75" s="11"/>
      <c r="CC75" s="11"/>
      <c r="CD75" s="11"/>
      <c r="CE75" s="5"/>
      <c r="CF75" s="5"/>
      <c r="CG75" s="5"/>
      <c r="CH75" s="5"/>
      <c r="CI75" s="5"/>
    </row>
    <row r="76" spans="1:87">
      <c r="A76" s="39"/>
      <c r="B76" s="11" t="s">
        <v>2921</v>
      </c>
      <c r="C76" s="11">
        <v>236</v>
      </c>
      <c r="D76" s="11">
        <v>251</v>
      </c>
      <c r="E76" s="11">
        <v>281</v>
      </c>
      <c r="F76" s="11">
        <v>317</v>
      </c>
      <c r="G76" s="11">
        <v>343</v>
      </c>
      <c r="H76" s="51"/>
      <c r="I76" s="51"/>
      <c r="J76" s="51"/>
      <c r="K76" s="51"/>
      <c r="L76" s="11">
        <v>370</v>
      </c>
      <c r="M76" s="51"/>
      <c r="N76" s="51"/>
      <c r="O76" s="51"/>
      <c r="P76" s="51"/>
      <c r="Q76" s="11">
        <v>369</v>
      </c>
      <c r="R76" s="51"/>
      <c r="S76" s="51"/>
      <c r="T76" s="51"/>
      <c r="U76" s="51"/>
      <c r="V76" s="11">
        <v>385</v>
      </c>
      <c r="W76" s="51"/>
      <c r="X76" s="51"/>
      <c r="Y76" s="51"/>
      <c r="Z76" s="51"/>
      <c r="AA76" s="11">
        <v>378</v>
      </c>
      <c r="AB76" s="51"/>
      <c r="AC76" s="51"/>
      <c r="AD76" s="51"/>
      <c r="AE76" s="51"/>
      <c r="AF76" s="11">
        <v>379</v>
      </c>
      <c r="AG76" s="51"/>
      <c r="AH76" s="51"/>
      <c r="AI76" s="51"/>
      <c r="AJ76" s="51"/>
      <c r="AK76" s="11">
        <v>371</v>
      </c>
      <c r="AL76" s="51"/>
      <c r="AM76" s="51"/>
      <c r="AN76" s="51"/>
      <c r="AO76" s="51"/>
      <c r="AP76" s="11">
        <v>355</v>
      </c>
      <c r="AQ76" s="51"/>
      <c r="AR76" s="51"/>
      <c r="AS76" s="51"/>
      <c r="AT76" s="51"/>
      <c r="AU76" s="11">
        <v>329</v>
      </c>
      <c r="AV76" s="51"/>
      <c r="AW76" s="51"/>
      <c r="AX76" s="51"/>
      <c r="AY76" s="51"/>
      <c r="AZ76" s="11">
        <v>323</v>
      </c>
      <c r="BA76" s="51"/>
      <c r="BB76" s="51"/>
      <c r="BC76" s="51"/>
      <c r="BD76" s="51"/>
      <c r="BE76" s="11">
        <v>341</v>
      </c>
      <c r="BF76" s="51"/>
      <c r="BG76" s="51"/>
      <c r="BH76" s="51"/>
      <c r="BI76" s="51"/>
      <c r="BJ76" s="11">
        <v>354</v>
      </c>
      <c r="BK76" s="51"/>
      <c r="BL76" s="51"/>
      <c r="BM76" s="51"/>
      <c r="BN76" s="51"/>
      <c r="BO76" s="11">
        <v>329</v>
      </c>
      <c r="BP76" s="68">
        <f t="shared" ref="BP76:CD76" si="8">BP245</f>
        <v>277.12460842917102</v>
      </c>
      <c r="BQ76" s="68">
        <f t="shared" si="8"/>
        <v>269.80914883505693</v>
      </c>
      <c r="BR76" s="68">
        <f t="shared" si="8"/>
        <v>271.71547041660978</v>
      </c>
      <c r="BS76" s="68">
        <f t="shared" si="8"/>
        <v>274.99077231916226</v>
      </c>
      <c r="BT76" s="11">
        <f t="shared" si="8"/>
        <v>273.41000000000003</v>
      </c>
      <c r="BU76" s="68">
        <f t="shared" si="8"/>
        <v>288.45143443844637</v>
      </c>
      <c r="BV76" s="68">
        <f t="shared" si="8"/>
        <v>280.83697239027344</v>
      </c>
      <c r="BW76" s="68">
        <f t="shared" si="8"/>
        <v>282.82121044771912</v>
      </c>
      <c r="BX76" s="68">
        <f t="shared" si="8"/>
        <v>286.23038272356098</v>
      </c>
      <c r="BY76" s="11">
        <f t="shared" si="8"/>
        <v>284.58499999999998</v>
      </c>
      <c r="BZ76" s="68">
        <f t="shared" si="8"/>
        <v>304.4154174045392</v>
      </c>
      <c r="CA76" s="68">
        <f t="shared" si="8"/>
        <v>296.37954250165251</v>
      </c>
      <c r="CB76" s="68">
        <f t="shared" si="8"/>
        <v>298.47359572646388</v>
      </c>
      <c r="CC76" s="68">
        <f t="shared" si="8"/>
        <v>302.07144436734438</v>
      </c>
      <c r="CD76" s="11">
        <f t="shared" si="8"/>
        <v>300.33499999999998</v>
      </c>
      <c r="CE76" s="5"/>
      <c r="CF76" s="5"/>
      <c r="CG76" s="5"/>
      <c r="CH76" s="5"/>
      <c r="CI76" s="5"/>
    </row>
    <row r="77" spans="1:87">
      <c r="A77" s="39"/>
      <c r="B77" s="11" t="s">
        <v>785</v>
      </c>
      <c r="C77" s="11">
        <v>0</v>
      </c>
      <c r="D77" s="11">
        <v>0</v>
      </c>
      <c r="E77" s="11">
        <v>0</v>
      </c>
      <c r="F77" s="11">
        <v>0</v>
      </c>
      <c r="G77" s="11">
        <v>15.94</v>
      </c>
      <c r="H77" s="51"/>
      <c r="I77" s="51"/>
      <c r="J77" s="51"/>
      <c r="K77" s="51"/>
      <c r="L77" s="11">
        <v>46</v>
      </c>
      <c r="M77" s="51"/>
      <c r="N77" s="51"/>
      <c r="O77" s="51"/>
      <c r="P77" s="51"/>
      <c r="Q77" s="11">
        <v>60</v>
      </c>
      <c r="R77" s="51"/>
      <c r="S77" s="51"/>
      <c r="T77" s="51"/>
      <c r="U77" s="51"/>
      <c r="V77" s="11">
        <v>63</v>
      </c>
      <c r="W77" s="51"/>
      <c r="X77" s="51"/>
      <c r="Y77" s="51"/>
      <c r="Z77" s="51"/>
      <c r="AA77" s="11">
        <v>11</v>
      </c>
      <c r="AB77" s="51"/>
      <c r="AC77" s="51"/>
      <c r="AD77" s="51"/>
      <c r="AE77" s="51"/>
      <c r="AF77" s="11">
        <v>11</v>
      </c>
      <c r="AG77" s="51"/>
      <c r="AH77" s="51"/>
      <c r="AI77" s="51"/>
      <c r="AJ77" s="51"/>
      <c r="AK77" s="11">
        <v>14</v>
      </c>
      <c r="AL77" s="51"/>
      <c r="AM77" s="51"/>
      <c r="AN77" s="51"/>
      <c r="AO77" s="51"/>
      <c r="AP77" s="11">
        <v>34</v>
      </c>
      <c r="AQ77" s="51"/>
      <c r="AR77" s="51"/>
      <c r="AS77" s="51"/>
      <c r="AT77" s="51"/>
      <c r="AU77" s="11">
        <v>55</v>
      </c>
      <c r="AV77" s="51"/>
      <c r="AW77" s="51"/>
      <c r="AX77" s="51"/>
      <c r="AY77" s="51"/>
      <c r="AZ77" s="11">
        <v>80</v>
      </c>
      <c r="BA77" s="51"/>
      <c r="BB77" s="51"/>
      <c r="BC77" s="51"/>
      <c r="BD77" s="51"/>
      <c r="BE77" s="11">
        <v>93</v>
      </c>
      <c r="BF77" s="51"/>
      <c r="BG77" s="51"/>
      <c r="BH77" s="51"/>
      <c r="BI77" s="51"/>
      <c r="BJ77" s="11">
        <v>95</v>
      </c>
      <c r="BK77" s="51"/>
      <c r="BL77" s="51"/>
      <c r="BM77" s="51"/>
      <c r="BN77" s="51"/>
      <c r="BO77" s="11">
        <v>89</v>
      </c>
      <c r="BP77" s="68">
        <f t="shared" ref="BP77:CD77" si="9">BP246</f>
        <v>37.44694290046349</v>
      </c>
      <c r="BQ77" s="68">
        <f t="shared" si="9"/>
        <v>36.458428746977717</v>
      </c>
      <c r="BR77" s="68">
        <f t="shared" si="9"/>
        <v>36.716023753855552</v>
      </c>
      <c r="BS77" s="68">
        <f t="shared" si="9"/>
        <v>37.158604598703249</v>
      </c>
      <c r="BT77" s="11">
        <f t="shared" si="9"/>
        <v>36.945</v>
      </c>
      <c r="BU77" s="68">
        <f t="shared" si="9"/>
        <v>41.511423642941729</v>
      </c>
      <c r="BV77" s="68">
        <f t="shared" si="9"/>
        <v>40.415616438827236</v>
      </c>
      <c r="BW77" s="68">
        <f t="shared" si="9"/>
        <v>40.70117073593596</v>
      </c>
      <c r="BX77" s="68">
        <f t="shared" si="9"/>
        <v>41.191789182295068</v>
      </c>
      <c r="BY77" s="11">
        <f t="shared" si="9"/>
        <v>40.954999999999998</v>
      </c>
      <c r="BZ77" s="68">
        <f t="shared" si="9"/>
        <v>42.7074553826236</v>
      </c>
      <c r="CA77" s="68">
        <f t="shared" si="9"/>
        <v>41.580075659870239</v>
      </c>
      <c r="CB77" s="68">
        <f t="shared" si="9"/>
        <v>41.873857379041922</v>
      </c>
      <c r="CC77" s="68">
        <f t="shared" si="9"/>
        <v>42.378611578464231</v>
      </c>
      <c r="CD77" s="11">
        <f t="shared" si="9"/>
        <v>42.134999999999998</v>
      </c>
      <c r="CE77" s="5"/>
      <c r="CF77" s="5"/>
      <c r="CG77" s="5"/>
      <c r="CH77" s="5"/>
      <c r="CI77" s="5"/>
    </row>
    <row r="78" spans="1:87">
      <c r="A78" s="39"/>
      <c r="B78" s="11" t="s">
        <v>2428</v>
      </c>
      <c r="C78" s="11">
        <v>0</v>
      </c>
      <c r="D78" s="11">
        <v>0</v>
      </c>
      <c r="E78" s="11">
        <v>0</v>
      </c>
      <c r="F78" s="11">
        <v>0</v>
      </c>
      <c r="G78" s="11">
        <v>0</v>
      </c>
      <c r="H78" s="51"/>
      <c r="I78" s="51"/>
      <c r="J78" s="51"/>
      <c r="K78" s="51"/>
      <c r="L78" s="11">
        <v>0</v>
      </c>
      <c r="M78" s="51"/>
      <c r="N78" s="51"/>
      <c r="O78" s="51"/>
      <c r="P78" s="51"/>
      <c r="Q78" s="11">
        <v>0</v>
      </c>
      <c r="R78" s="51"/>
      <c r="S78" s="51"/>
      <c r="T78" s="51"/>
      <c r="U78" s="51"/>
      <c r="V78" s="11">
        <v>0</v>
      </c>
      <c r="W78" s="51"/>
      <c r="X78" s="51"/>
      <c r="Y78" s="51"/>
      <c r="Z78" s="51"/>
      <c r="AA78" s="11">
        <v>0</v>
      </c>
      <c r="AB78" s="51"/>
      <c r="AC78" s="51"/>
      <c r="AD78" s="51"/>
      <c r="AE78" s="51"/>
      <c r="AF78" s="11">
        <v>0</v>
      </c>
      <c r="AG78" s="51"/>
      <c r="AH78" s="51"/>
      <c r="AI78" s="51"/>
      <c r="AJ78" s="51"/>
      <c r="AK78" s="11">
        <v>0</v>
      </c>
      <c r="AL78" s="51"/>
      <c r="AM78" s="51"/>
      <c r="AN78" s="51"/>
      <c r="AO78" s="51"/>
      <c r="AP78" s="11">
        <v>0</v>
      </c>
      <c r="AQ78" s="51"/>
      <c r="AR78" s="51"/>
      <c r="AS78" s="51"/>
      <c r="AT78" s="51"/>
      <c r="AU78" s="11">
        <v>0</v>
      </c>
      <c r="AV78" s="51"/>
      <c r="AW78" s="51"/>
      <c r="AX78" s="51"/>
      <c r="AY78" s="51"/>
      <c r="AZ78" s="11">
        <v>0</v>
      </c>
      <c r="BA78" s="51"/>
      <c r="BB78" s="51"/>
      <c r="BC78" s="51"/>
      <c r="BD78" s="51"/>
      <c r="BE78" s="11">
        <f t="shared" ref="BE78:CD78" si="10">BE247</f>
        <v>0</v>
      </c>
      <c r="BF78" s="51"/>
      <c r="BG78" s="51"/>
      <c r="BH78" s="51"/>
      <c r="BI78" s="51"/>
      <c r="BJ78" s="11">
        <v>0</v>
      </c>
      <c r="BK78" s="51"/>
      <c r="BL78" s="51"/>
      <c r="BM78" s="51"/>
      <c r="BN78" s="51"/>
      <c r="BO78" s="11">
        <v>0</v>
      </c>
      <c r="BP78" s="68">
        <f t="shared" si="10"/>
        <v>0</v>
      </c>
      <c r="BQ78" s="68">
        <f t="shared" si="10"/>
        <v>0</v>
      </c>
      <c r="BR78" s="68">
        <f t="shared" si="10"/>
        <v>0</v>
      </c>
      <c r="BS78" s="68">
        <f t="shared" si="10"/>
        <v>0</v>
      </c>
      <c r="BT78" s="11">
        <f t="shared" si="10"/>
        <v>0</v>
      </c>
      <c r="BU78" s="68">
        <f t="shared" si="10"/>
        <v>0</v>
      </c>
      <c r="BV78" s="68">
        <f t="shared" si="10"/>
        <v>0</v>
      </c>
      <c r="BW78" s="68">
        <f t="shared" si="10"/>
        <v>0</v>
      </c>
      <c r="BX78" s="68">
        <f t="shared" si="10"/>
        <v>0</v>
      </c>
      <c r="BY78" s="11">
        <f t="shared" si="10"/>
        <v>0</v>
      </c>
      <c r="BZ78" s="68">
        <f t="shared" si="10"/>
        <v>0</v>
      </c>
      <c r="CA78" s="68">
        <f t="shared" si="10"/>
        <v>0</v>
      </c>
      <c r="CB78" s="68">
        <f t="shared" si="10"/>
        <v>0</v>
      </c>
      <c r="CC78" s="68">
        <f t="shared" si="10"/>
        <v>0</v>
      </c>
      <c r="CD78" s="11">
        <f t="shared" si="10"/>
        <v>0</v>
      </c>
      <c r="CE78" s="5"/>
      <c r="CF78" s="5"/>
      <c r="CG78" s="5"/>
      <c r="CH78" s="5"/>
      <c r="CI78" s="5"/>
    </row>
    <row r="79" spans="1:87">
      <c r="A79" s="11"/>
      <c r="B79" s="11" t="s">
        <v>2247</v>
      </c>
      <c r="C79" s="11">
        <v>0</v>
      </c>
      <c r="D79" s="11">
        <v>0</v>
      </c>
      <c r="E79" s="11">
        <v>0</v>
      </c>
      <c r="F79" s="11">
        <v>0</v>
      </c>
      <c r="G79" s="11">
        <v>0</v>
      </c>
      <c r="H79" s="51"/>
      <c r="I79" s="51"/>
      <c r="J79" s="51"/>
      <c r="K79" s="51"/>
      <c r="L79" s="11">
        <v>0</v>
      </c>
      <c r="M79" s="51"/>
      <c r="N79" s="51"/>
      <c r="O79" s="51"/>
      <c r="P79" s="51"/>
      <c r="Q79" s="11">
        <v>0</v>
      </c>
      <c r="R79" s="51"/>
      <c r="S79" s="51"/>
      <c r="T79" s="51"/>
      <c r="U79" s="51"/>
      <c r="V79" s="11">
        <v>0</v>
      </c>
      <c r="W79" s="51"/>
      <c r="X79" s="51"/>
      <c r="Y79" s="51"/>
      <c r="Z79" s="51"/>
      <c r="AA79" s="11">
        <v>0</v>
      </c>
      <c r="AB79" s="51"/>
      <c r="AC79" s="51"/>
      <c r="AD79" s="51"/>
      <c r="AE79" s="51"/>
      <c r="AF79" s="11">
        <v>0</v>
      </c>
      <c r="AG79" s="51"/>
      <c r="AH79" s="51"/>
      <c r="AI79" s="51"/>
      <c r="AJ79" s="51"/>
      <c r="AK79" s="11">
        <v>0</v>
      </c>
      <c r="AL79" s="51"/>
      <c r="AM79" s="51"/>
      <c r="AN79" s="51"/>
      <c r="AO79" s="51"/>
      <c r="AP79" s="11">
        <v>0</v>
      </c>
      <c r="AQ79" s="51"/>
      <c r="AR79" s="51"/>
      <c r="AS79" s="51"/>
      <c r="AT79" s="51"/>
      <c r="AU79" s="11">
        <v>0</v>
      </c>
      <c r="AV79" s="51"/>
      <c r="AW79" s="51"/>
      <c r="AX79" s="51"/>
      <c r="AY79" s="51"/>
      <c r="AZ79" s="11">
        <v>0</v>
      </c>
      <c r="BA79" s="51"/>
      <c r="BB79" s="51"/>
      <c r="BC79" s="51"/>
      <c r="BD79" s="51"/>
      <c r="BE79" s="11">
        <v>0</v>
      </c>
      <c r="BF79" s="51"/>
      <c r="BG79" s="51"/>
      <c r="BH79" s="51"/>
      <c r="BI79" s="51"/>
      <c r="BJ79" s="11">
        <v>0</v>
      </c>
      <c r="BK79" s="51"/>
      <c r="BL79" s="51"/>
      <c r="BM79" s="51"/>
      <c r="BN79" s="51"/>
      <c r="BO79" s="11">
        <v>0</v>
      </c>
      <c r="BP79" s="51"/>
      <c r="BQ79" s="51"/>
      <c r="BR79" s="51"/>
      <c r="BS79" s="51"/>
      <c r="BT79" s="11">
        <v>0</v>
      </c>
      <c r="BU79" s="51"/>
      <c r="BV79" s="51"/>
      <c r="BW79" s="51"/>
      <c r="BX79" s="51"/>
      <c r="BY79" s="11">
        <v>0</v>
      </c>
      <c r="BZ79" s="51"/>
      <c r="CA79" s="51"/>
      <c r="CB79" s="51"/>
      <c r="CC79" s="51"/>
      <c r="CD79" s="11">
        <v>0</v>
      </c>
      <c r="CE79" s="5"/>
      <c r="CF79" s="5"/>
      <c r="CG79" s="5"/>
      <c r="CH79" s="5"/>
      <c r="CI79" s="5"/>
    </row>
    <row r="80" spans="1:87">
      <c r="A80" s="11"/>
      <c r="B80" s="11" t="s">
        <v>1280</v>
      </c>
      <c r="C80" s="11">
        <v>0</v>
      </c>
      <c r="D80" s="11">
        <v>0</v>
      </c>
      <c r="E80" s="11">
        <v>0</v>
      </c>
      <c r="F80" s="11">
        <v>0</v>
      </c>
      <c r="G80" s="11">
        <v>0</v>
      </c>
      <c r="H80" s="51"/>
      <c r="I80" s="51"/>
      <c r="J80" s="51"/>
      <c r="K80" s="51"/>
      <c r="L80" s="11">
        <v>0</v>
      </c>
      <c r="M80" s="51"/>
      <c r="N80" s="51"/>
      <c r="O80" s="51"/>
      <c r="P80" s="51"/>
      <c r="Q80" s="11">
        <v>0</v>
      </c>
      <c r="R80" s="51"/>
      <c r="S80" s="51"/>
      <c r="T80" s="51"/>
      <c r="U80" s="51"/>
      <c r="V80" s="11">
        <v>0</v>
      </c>
      <c r="W80" s="51"/>
      <c r="X80" s="51"/>
      <c r="Y80" s="51"/>
      <c r="Z80" s="51"/>
      <c r="AA80" s="11">
        <v>0</v>
      </c>
      <c r="AB80" s="51"/>
      <c r="AC80" s="51"/>
      <c r="AD80" s="51"/>
      <c r="AE80" s="51"/>
      <c r="AF80" s="11">
        <v>0</v>
      </c>
      <c r="AG80" s="51"/>
      <c r="AH80" s="51"/>
      <c r="AI80" s="51"/>
      <c r="AJ80" s="51"/>
      <c r="AK80" s="11">
        <v>0</v>
      </c>
      <c r="AL80" s="51"/>
      <c r="AM80" s="51"/>
      <c r="AN80" s="51"/>
      <c r="AO80" s="51"/>
      <c r="AP80" s="11">
        <v>0</v>
      </c>
      <c r="AQ80" s="51"/>
      <c r="AR80" s="51"/>
      <c r="AS80" s="51"/>
      <c r="AT80" s="51"/>
      <c r="AU80" s="11">
        <v>0</v>
      </c>
      <c r="AV80" s="51"/>
      <c r="AW80" s="51"/>
      <c r="AX80" s="51"/>
      <c r="AY80" s="51"/>
      <c r="AZ80" s="11">
        <v>0</v>
      </c>
      <c r="BA80" s="51"/>
      <c r="BB80" s="51"/>
      <c r="BC80" s="51"/>
      <c r="BD80" s="51"/>
      <c r="BE80" s="11">
        <v>0</v>
      </c>
      <c r="BF80" s="51"/>
      <c r="BG80" s="51"/>
      <c r="BH80" s="51"/>
      <c r="BI80" s="51"/>
      <c r="BJ80" s="11">
        <v>0</v>
      </c>
      <c r="BK80" s="51"/>
      <c r="BL80" s="51"/>
      <c r="BM80" s="51"/>
      <c r="BN80" s="51"/>
      <c r="BO80" s="11">
        <v>0</v>
      </c>
      <c r="BP80" s="51"/>
      <c r="BQ80" s="51"/>
      <c r="BR80" s="51"/>
      <c r="BS80" s="51"/>
      <c r="BT80" s="11">
        <v>0</v>
      </c>
      <c r="BU80" s="51"/>
      <c r="BV80" s="51"/>
      <c r="BW80" s="51"/>
      <c r="BX80" s="51"/>
      <c r="BY80" s="11">
        <v>0</v>
      </c>
      <c r="BZ80" s="51"/>
      <c r="CA80" s="51"/>
      <c r="CB80" s="51"/>
      <c r="CC80" s="51"/>
      <c r="CD80" s="11">
        <v>0</v>
      </c>
      <c r="CE80" s="5"/>
      <c r="CF80" s="5"/>
      <c r="CG80" s="5"/>
      <c r="CH80" s="5"/>
      <c r="CI80" s="5"/>
    </row>
    <row r="81" spans="1:87">
      <c r="A81" s="11"/>
      <c r="B81" s="11" t="s">
        <v>1036</v>
      </c>
      <c r="C81" s="11">
        <v>0</v>
      </c>
      <c r="D81" s="11">
        <v>0</v>
      </c>
      <c r="E81" s="11">
        <v>0</v>
      </c>
      <c r="F81" s="11">
        <v>0</v>
      </c>
      <c r="G81" s="11">
        <v>0</v>
      </c>
      <c r="H81" s="51"/>
      <c r="I81" s="51"/>
      <c r="J81" s="51"/>
      <c r="K81" s="51"/>
      <c r="L81" s="11">
        <v>0</v>
      </c>
      <c r="M81" s="51"/>
      <c r="N81" s="51"/>
      <c r="O81" s="51"/>
      <c r="P81" s="51"/>
      <c r="Q81" s="11">
        <v>0</v>
      </c>
      <c r="R81" s="51"/>
      <c r="S81" s="51"/>
      <c r="T81" s="51"/>
      <c r="U81" s="51"/>
      <c r="V81" s="11">
        <v>6</v>
      </c>
      <c r="W81" s="51"/>
      <c r="X81" s="51"/>
      <c r="Y81" s="51"/>
      <c r="Z81" s="51"/>
      <c r="AA81" s="11">
        <v>3</v>
      </c>
      <c r="AB81" s="51"/>
      <c r="AC81" s="51"/>
      <c r="AD81" s="51"/>
      <c r="AE81" s="51"/>
      <c r="AF81" s="11">
        <v>9</v>
      </c>
      <c r="AG81" s="51"/>
      <c r="AH81" s="51"/>
      <c r="AI81" s="51"/>
      <c r="AJ81" s="51"/>
      <c r="AK81" s="11">
        <v>7</v>
      </c>
      <c r="AL81" s="51"/>
      <c r="AM81" s="51"/>
      <c r="AN81" s="51"/>
      <c r="AO81" s="51"/>
      <c r="AP81" s="11">
        <v>5</v>
      </c>
      <c r="AQ81" s="51"/>
      <c r="AR81" s="51"/>
      <c r="AS81" s="51"/>
      <c r="AT81" s="51"/>
      <c r="AU81" s="11">
        <v>0</v>
      </c>
      <c r="AV81" s="51"/>
      <c r="AW81" s="51"/>
      <c r="AX81" s="51"/>
      <c r="AY81" s="51"/>
      <c r="AZ81" s="11">
        <v>0</v>
      </c>
      <c r="BA81" s="51"/>
      <c r="BB81" s="51"/>
      <c r="BC81" s="51"/>
      <c r="BD81" s="51"/>
      <c r="BE81" s="11">
        <v>0</v>
      </c>
      <c r="BF81" s="51"/>
      <c r="BG81" s="51"/>
      <c r="BH81" s="51"/>
      <c r="BI81" s="51"/>
      <c r="BJ81" s="11">
        <v>0</v>
      </c>
      <c r="BK81" s="51"/>
      <c r="BL81" s="51"/>
      <c r="BM81" s="51"/>
      <c r="BN81" s="51"/>
      <c r="BO81" s="11">
        <v>0</v>
      </c>
      <c r="BP81" s="68">
        <f t="shared" ref="BP81:CD81" si="11">BP250</f>
        <v>0</v>
      </c>
      <c r="BQ81" s="68">
        <f t="shared" si="11"/>
        <v>0</v>
      </c>
      <c r="BR81" s="68">
        <f t="shared" si="11"/>
        <v>0</v>
      </c>
      <c r="BS81" s="68">
        <f t="shared" si="11"/>
        <v>0</v>
      </c>
      <c r="BT81" s="11">
        <f t="shared" si="11"/>
        <v>0</v>
      </c>
      <c r="BU81" s="68">
        <f t="shared" si="11"/>
        <v>0</v>
      </c>
      <c r="BV81" s="68">
        <f t="shared" si="11"/>
        <v>0</v>
      </c>
      <c r="BW81" s="68">
        <f t="shared" si="11"/>
        <v>0</v>
      </c>
      <c r="BX81" s="68">
        <f t="shared" si="11"/>
        <v>0</v>
      </c>
      <c r="BY81" s="11">
        <f t="shared" si="11"/>
        <v>0</v>
      </c>
      <c r="BZ81" s="68">
        <f t="shared" si="11"/>
        <v>0</v>
      </c>
      <c r="CA81" s="68">
        <f t="shared" si="11"/>
        <v>0</v>
      </c>
      <c r="CB81" s="68">
        <f t="shared" si="11"/>
        <v>0</v>
      </c>
      <c r="CC81" s="68">
        <f t="shared" si="11"/>
        <v>0</v>
      </c>
      <c r="CD81" s="11">
        <f t="shared" si="11"/>
        <v>0</v>
      </c>
      <c r="CE81" s="5"/>
      <c r="CF81" s="5"/>
      <c r="CG81" s="5"/>
      <c r="CH81" s="5"/>
      <c r="CI81" s="5"/>
    </row>
    <row r="82" spans="1:87">
      <c r="A82" s="39" t="s">
        <v>119</v>
      </c>
      <c r="B82" s="39"/>
      <c r="C82" s="39">
        <f>SUM(C76:C81)</f>
        <v>236</v>
      </c>
      <c r="D82" s="39">
        <f>SUM(D76:D81)</f>
        <v>251</v>
      </c>
      <c r="E82" s="39">
        <f>SUM(E76:E81)</f>
        <v>281</v>
      </c>
      <c r="F82" s="39">
        <f>SUM(F76:F81)</f>
        <v>317</v>
      </c>
      <c r="G82" s="39">
        <f>SUM(G76:G81)</f>
        <v>358.94</v>
      </c>
      <c r="H82" s="83"/>
      <c r="I82" s="83"/>
      <c r="J82" s="83"/>
      <c r="K82" s="83"/>
      <c r="L82" s="39">
        <f>SUM(L76:L81)</f>
        <v>416</v>
      </c>
      <c r="M82" s="80"/>
      <c r="N82" s="80"/>
      <c r="O82" s="80"/>
      <c r="P82" s="80"/>
      <c r="Q82" s="39">
        <f>SUM(Q76:Q81)</f>
        <v>429</v>
      </c>
      <c r="R82" s="80"/>
      <c r="S82" s="80"/>
      <c r="T82" s="80"/>
      <c r="U82" s="80"/>
      <c r="V82" s="39">
        <f>SUM(V76:V81)</f>
        <v>454</v>
      </c>
      <c r="W82" s="80"/>
      <c r="X82" s="80"/>
      <c r="Y82" s="80"/>
      <c r="Z82" s="80"/>
      <c r="AA82" s="39">
        <f>SUM(AA76:AA81)</f>
        <v>392</v>
      </c>
      <c r="AB82" s="80"/>
      <c r="AC82" s="80"/>
      <c r="AD82" s="80"/>
      <c r="AE82" s="80"/>
      <c r="AF82" s="39">
        <f>SUM(AF76:AF81)</f>
        <v>399</v>
      </c>
      <c r="AG82" s="80"/>
      <c r="AH82" s="80"/>
      <c r="AI82" s="80"/>
      <c r="AJ82" s="80"/>
      <c r="AK82" s="39">
        <f t="shared" ref="AK82:CD82" si="12">SUM(AK76:AK81)</f>
        <v>392</v>
      </c>
      <c r="AL82" s="80"/>
      <c r="AM82" s="80"/>
      <c r="AN82" s="80"/>
      <c r="AO82" s="80"/>
      <c r="AP82" s="39">
        <f t="shared" si="12"/>
        <v>394</v>
      </c>
      <c r="AQ82" s="80"/>
      <c r="AR82" s="80"/>
      <c r="AS82" s="80"/>
      <c r="AT82" s="80"/>
      <c r="AU82" s="39">
        <f t="shared" si="12"/>
        <v>384</v>
      </c>
      <c r="AV82" s="80"/>
      <c r="AW82" s="80"/>
      <c r="AX82" s="80"/>
      <c r="AY82" s="80"/>
      <c r="AZ82" s="39">
        <f t="shared" si="12"/>
        <v>403</v>
      </c>
      <c r="BA82" s="80"/>
      <c r="BB82" s="80"/>
      <c r="BC82" s="80"/>
      <c r="BD82" s="80"/>
      <c r="BE82" s="39">
        <f t="shared" si="12"/>
        <v>434</v>
      </c>
      <c r="BF82" s="80"/>
      <c r="BG82" s="80"/>
      <c r="BH82" s="80"/>
      <c r="BI82" s="80"/>
      <c r="BJ82" s="39">
        <f t="shared" si="12"/>
        <v>449</v>
      </c>
      <c r="BK82" s="80"/>
      <c r="BL82" s="80"/>
      <c r="BM82" s="80"/>
      <c r="BN82" s="80"/>
      <c r="BO82" s="39">
        <f t="shared" si="12"/>
        <v>418</v>
      </c>
      <c r="BP82" s="80">
        <f t="shared" si="12"/>
        <v>314.57155132963453</v>
      </c>
      <c r="BQ82" s="80">
        <f t="shared" si="12"/>
        <v>306.26757758203462</v>
      </c>
      <c r="BR82" s="80">
        <f t="shared" si="12"/>
        <v>308.43149417046533</v>
      </c>
      <c r="BS82" s="80">
        <f t="shared" si="12"/>
        <v>312.14937691786554</v>
      </c>
      <c r="BT82" s="39">
        <f t="shared" si="12"/>
        <v>310.35500000000002</v>
      </c>
      <c r="BU82" s="80">
        <f t="shared" si="12"/>
        <v>329.96285808138811</v>
      </c>
      <c r="BV82" s="80">
        <f t="shared" si="12"/>
        <v>321.25258882910066</v>
      </c>
      <c r="BW82" s="80">
        <f t="shared" si="12"/>
        <v>323.52238118365506</v>
      </c>
      <c r="BX82" s="80">
        <f t="shared" si="12"/>
        <v>327.42217190585603</v>
      </c>
      <c r="BY82" s="39">
        <f t="shared" si="12"/>
        <v>325.53999999999996</v>
      </c>
      <c r="BZ82" s="80">
        <f t="shared" si="12"/>
        <v>347.12287278716281</v>
      </c>
      <c r="CA82" s="80">
        <f t="shared" si="12"/>
        <v>337.95961816152277</v>
      </c>
      <c r="CB82" s="80">
        <f t="shared" si="12"/>
        <v>340.34745310550579</v>
      </c>
      <c r="CC82" s="80">
        <f t="shared" si="12"/>
        <v>344.45005594580863</v>
      </c>
      <c r="CD82" s="39">
        <f t="shared" si="12"/>
        <v>342.46999999999997</v>
      </c>
      <c r="CE82" s="5"/>
      <c r="CF82" s="5"/>
      <c r="CG82" s="5"/>
      <c r="CH82" s="5"/>
      <c r="CI82" s="5"/>
    </row>
    <row r="83" spans="1:87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  <c r="BU83" s="11"/>
      <c r="BV83" s="11"/>
      <c r="BW83" s="11"/>
      <c r="BX83" s="11"/>
      <c r="BY83" s="11"/>
      <c r="BZ83" s="11"/>
      <c r="CA83" s="11"/>
      <c r="CB83" s="11"/>
      <c r="CC83" s="11"/>
      <c r="CD83" s="11"/>
      <c r="CE83" s="11"/>
      <c r="CF83" s="11"/>
      <c r="CG83" s="11"/>
      <c r="CH83" s="11"/>
      <c r="CI83" s="11"/>
    </row>
    <row r="84" spans="1:87">
      <c r="A84" s="39" t="s">
        <v>120</v>
      </c>
      <c r="B84" s="11"/>
      <c r="C84" s="11"/>
      <c r="D84" s="11"/>
      <c r="E84" s="11"/>
      <c r="F84" s="11"/>
      <c r="G84" s="11"/>
      <c r="H84" s="51"/>
      <c r="I84" s="51"/>
      <c r="J84" s="51"/>
      <c r="K84" s="51"/>
      <c r="L84" s="11"/>
      <c r="M84" s="51"/>
      <c r="N84" s="51"/>
      <c r="O84" s="51"/>
      <c r="P84" s="51"/>
      <c r="Q84" s="11"/>
      <c r="R84" s="51"/>
      <c r="S84" s="51"/>
      <c r="T84" s="51"/>
      <c r="U84" s="51"/>
      <c r="V84" s="11"/>
      <c r="W84" s="51"/>
      <c r="X84" s="51"/>
      <c r="Y84" s="51"/>
      <c r="Z84" s="51"/>
      <c r="AA84" s="11"/>
      <c r="AB84" s="51"/>
      <c r="AC84" s="51"/>
      <c r="AD84" s="51"/>
      <c r="AE84" s="51"/>
      <c r="AF84" s="11"/>
      <c r="AG84" s="51"/>
      <c r="AH84" s="51"/>
      <c r="AI84" s="51"/>
      <c r="AJ84" s="51"/>
      <c r="AK84" s="11"/>
      <c r="AL84" s="51"/>
      <c r="AM84" s="51"/>
      <c r="AN84" s="51"/>
      <c r="AO84" s="5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5"/>
      <c r="CF84" s="5"/>
      <c r="CG84" s="5"/>
      <c r="CH84" s="5"/>
      <c r="CI84" s="5"/>
    </row>
    <row r="85" spans="1:87">
      <c r="A85" s="11"/>
      <c r="B85" s="11" t="s">
        <v>1473</v>
      </c>
      <c r="C85" s="11">
        <v>0</v>
      </c>
      <c r="D85" s="11">
        <v>0</v>
      </c>
      <c r="E85" s="11">
        <v>0</v>
      </c>
      <c r="F85" s="11">
        <v>0</v>
      </c>
      <c r="G85" s="11">
        <v>0</v>
      </c>
      <c r="H85" s="51"/>
      <c r="I85" s="51"/>
      <c r="J85" s="51"/>
      <c r="K85" s="51"/>
      <c r="L85" s="11">
        <v>0</v>
      </c>
      <c r="M85" s="51"/>
      <c r="N85" s="51"/>
      <c r="O85" s="51"/>
      <c r="P85" s="51"/>
      <c r="Q85" s="11">
        <v>0</v>
      </c>
      <c r="R85" s="51"/>
      <c r="S85" s="51"/>
      <c r="T85" s="51"/>
      <c r="U85" s="51"/>
      <c r="V85" s="11">
        <v>0</v>
      </c>
      <c r="W85" s="51"/>
      <c r="X85" s="51"/>
      <c r="Y85" s="51"/>
      <c r="Z85" s="51"/>
      <c r="AA85" s="11">
        <v>0</v>
      </c>
      <c r="AB85" s="51"/>
      <c r="AC85" s="51"/>
      <c r="AD85" s="51"/>
      <c r="AE85" s="51"/>
      <c r="AF85" s="11">
        <v>0</v>
      </c>
      <c r="AG85" s="51"/>
      <c r="AH85" s="51"/>
      <c r="AI85" s="51"/>
      <c r="AJ85" s="51"/>
      <c r="AK85" s="11">
        <v>0</v>
      </c>
      <c r="AL85" s="51"/>
      <c r="AM85" s="51"/>
      <c r="AN85" s="51"/>
      <c r="AO85" s="51"/>
      <c r="AP85" s="11">
        <v>0</v>
      </c>
      <c r="AQ85" s="51"/>
      <c r="AR85" s="51"/>
      <c r="AS85" s="51"/>
      <c r="AT85" s="51"/>
      <c r="AU85" s="11">
        <v>0</v>
      </c>
      <c r="AV85" s="51"/>
      <c r="AW85" s="51"/>
      <c r="AX85" s="51"/>
      <c r="AY85" s="51"/>
      <c r="AZ85" s="11">
        <v>0</v>
      </c>
      <c r="BA85" s="51"/>
      <c r="BB85" s="51"/>
      <c r="BC85" s="51"/>
      <c r="BD85" s="51"/>
      <c r="BE85" s="11">
        <v>0</v>
      </c>
      <c r="BF85" s="51"/>
      <c r="BG85" s="51"/>
      <c r="BH85" s="51"/>
      <c r="BI85" s="51"/>
      <c r="BJ85" s="11">
        <v>0</v>
      </c>
      <c r="BK85" s="51"/>
      <c r="BL85" s="51"/>
      <c r="BM85" s="51"/>
      <c r="BN85" s="51"/>
      <c r="BO85" s="11">
        <v>0</v>
      </c>
      <c r="BP85" s="51"/>
      <c r="BQ85" s="51"/>
      <c r="BR85" s="51"/>
      <c r="BS85" s="51"/>
      <c r="BT85" s="11">
        <v>0</v>
      </c>
      <c r="BU85" s="51"/>
      <c r="BV85" s="51"/>
      <c r="BW85" s="51"/>
      <c r="BX85" s="51"/>
      <c r="BY85" s="11">
        <v>0</v>
      </c>
      <c r="BZ85" s="51"/>
      <c r="CA85" s="51"/>
      <c r="CB85" s="51"/>
      <c r="CC85" s="51"/>
      <c r="CD85" s="11">
        <v>0</v>
      </c>
      <c r="CE85" s="5"/>
      <c r="CF85" s="5"/>
      <c r="CG85" s="5"/>
      <c r="CH85" s="5"/>
      <c r="CI85" s="5"/>
    </row>
    <row r="86" spans="1:87">
      <c r="A86" s="11"/>
      <c r="B86" s="11" t="s">
        <v>1934</v>
      </c>
      <c r="C86" s="11">
        <v>0</v>
      </c>
      <c r="D86" s="11">
        <v>0</v>
      </c>
      <c r="E86" s="11">
        <v>0</v>
      </c>
      <c r="F86" s="11">
        <v>0</v>
      </c>
      <c r="G86" s="11">
        <v>0</v>
      </c>
      <c r="H86" s="51"/>
      <c r="I86" s="51"/>
      <c r="J86" s="51"/>
      <c r="K86" s="51"/>
      <c r="L86" s="11">
        <v>0</v>
      </c>
      <c r="M86" s="51"/>
      <c r="N86" s="51"/>
      <c r="O86" s="51"/>
      <c r="P86" s="51"/>
      <c r="Q86" s="11">
        <v>0</v>
      </c>
      <c r="R86" s="51"/>
      <c r="S86" s="51"/>
      <c r="T86" s="51"/>
      <c r="U86" s="51"/>
      <c r="V86" s="11">
        <v>0</v>
      </c>
      <c r="W86" s="51"/>
      <c r="X86" s="51"/>
      <c r="Y86" s="51"/>
      <c r="Z86" s="51"/>
      <c r="AA86" s="11">
        <v>0</v>
      </c>
      <c r="AB86" s="51"/>
      <c r="AC86" s="51"/>
      <c r="AD86" s="51"/>
      <c r="AE86" s="51"/>
      <c r="AF86" s="11">
        <v>0</v>
      </c>
      <c r="AG86" s="51"/>
      <c r="AH86" s="51"/>
      <c r="AI86" s="51"/>
      <c r="AJ86" s="51"/>
      <c r="AK86" s="11">
        <v>0</v>
      </c>
      <c r="AL86" s="51"/>
      <c r="AM86" s="51"/>
      <c r="AN86" s="51"/>
      <c r="AO86" s="51"/>
      <c r="AP86" s="11">
        <v>0</v>
      </c>
      <c r="AQ86" s="51"/>
      <c r="AR86" s="51"/>
      <c r="AS86" s="51"/>
      <c r="AT86" s="51"/>
      <c r="AU86" s="11">
        <v>8</v>
      </c>
      <c r="AV86" s="51"/>
      <c r="AW86" s="51"/>
      <c r="AX86" s="51"/>
      <c r="AY86" s="51"/>
      <c r="AZ86" s="11">
        <v>0</v>
      </c>
      <c r="BA86" s="51"/>
      <c r="BB86" s="51"/>
      <c r="BC86" s="51"/>
      <c r="BD86" s="51"/>
      <c r="BE86" s="11">
        <v>0</v>
      </c>
      <c r="BF86" s="51"/>
      <c r="BG86" s="51"/>
      <c r="BH86" s="51"/>
      <c r="BI86" s="51"/>
      <c r="BJ86" s="11">
        <v>18</v>
      </c>
      <c r="BK86" s="51"/>
      <c r="BL86" s="51"/>
      <c r="BM86" s="51"/>
      <c r="BN86" s="51"/>
      <c r="BO86" s="11">
        <v>77</v>
      </c>
      <c r="BP86" s="51"/>
      <c r="BQ86" s="51"/>
      <c r="BR86" s="51"/>
      <c r="BS86" s="51"/>
      <c r="BT86" s="11">
        <v>0</v>
      </c>
      <c r="BU86" s="51"/>
      <c r="BV86" s="51"/>
      <c r="BW86" s="51"/>
      <c r="BX86" s="51"/>
      <c r="BY86" s="11">
        <v>0</v>
      </c>
      <c r="BZ86" s="51"/>
      <c r="CA86" s="51"/>
      <c r="CB86" s="51"/>
      <c r="CC86" s="51"/>
      <c r="CD86" s="11">
        <v>0</v>
      </c>
      <c r="CE86" s="5"/>
      <c r="CF86" s="5"/>
      <c r="CG86" s="5"/>
      <c r="CH86" s="5"/>
      <c r="CI86" s="5"/>
    </row>
    <row r="87" spans="1:87">
      <c r="A87" s="11"/>
      <c r="B87" s="11" t="s">
        <v>2251</v>
      </c>
      <c r="C87" s="11">
        <v>0</v>
      </c>
      <c r="D87" s="11">
        <v>0</v>
      </c>
      <c r="E87" s="11">
        <v>0</v>
      </c>
      <c r="F87" s="11">
        <v>0</v>
      </c>
      <c r="G87" s="11">
        <v>0</v>
      </c>
      <c r="H87" s="51"/>
      <c r="I87" s="51"/>
      <c r="J87" s="51"/>
      <c r="K87" s="51"/>
      <c r="L87" s="11">
        <v>0</v>
      </c>
      <c r="M87" s="51"/>
      <c r="N87" s="51"/>
      <c r="O87" s="51"/>
      <c r="P87" s="51"/>
      <c r="Q87" s="11">
        <v>0</v>
      </c>
      <c r="R87" s="51"/>
      <c r="S87" s="51"/>
      <c r="T87" s="51"/>
      <c r="U87" s="51"/>
      <c r="V87" s="11">
        <v>0</v>
      </c>
      <c r="W87" s="51"/>
      <c r="X87" s="51"/>
      <c r="Y87" s="51"/>
      <c r="Z87" s="51"/>
      <c r="AA87" s="11">
        <v>0</v>
      </c>
      <c r="AB87" s="51"/>
      <c r="AC87" s="51"/>
      <c r="AD87" s="51"/>
      <c r="AE87" s="51"/>
      <c r="AF87" s="11">
        <v>0</v>
      </c>
      <c r="AG87" s="51"/>
      <c r="AH87" s="51"/>
      <c r="AI87" s="51"/>
      <c r="AJ87" s="51"/>
      <c r="AK87" s="11">
        <v>0</v>
      </c>
      <c r="AL87" s="51"/>
      <c r="AM87" s="51"/>
      <c r="AN87" s="51"/>
      <c r="AO87" s="51"/>
      <c r="AP87" s="11">
        <v>0</v>
      </c>
      <c r="AQ87" s="51"/>
      <c r="AR87" s="51"/>
      <c r="AS87" s="51"/>
      <c r="AT87" s="51"/>
      <c r="AU87" s="11">
        <v>0</v>
      </c>
      <c r="AV87" s="51"/>
      <c r="AW87" s="51"/>
      <c r="AX87" s="51"/>
      <c r="AY87" s="51"/>
      <c r="AZ87" s="11">
        <v>0</v>
      </c>
      <c r="BA87" s="51"/>
      <c r="BB87" s="51"/>
      <c r="BC87" s="51"/>
      <c r="BD87" s="51"/>
      <c r="BE87" s="11">
        <v>0</v>
      </c>
      <c r="BF87" s="51"/>
      <c r="BG87" s="51"/>
      <c r="BH87" s="51"/>
      <c r="BI87" s="51"/>
      <c r="BJ87" s="11">
        <v>0</v>
      </c>
      <c r="BK87" s="51"/>
      <c r="BL87" s="51"/>
      <c r="BM87" s="51"/>
      <c r="BN87" s="51"/>
      <c r="BO87" s="11">
        <v>0</v>
      </c>
      <c r="BP87" s="51"/>
      <c r="BQ87" s="51"/>
      <c r="BR87" s="51"/>
      <c r="BS87" s="51"/>
      <c r="BT87" s="11">
        <v>0</v>
      </c>
      <c r="BU87" s="51"/>
      <c r="BV87" s="51"/>
      <c r="BW87" s="51"/>
      <c r="BX87" s="51"/>
      <c r="BY87" s="11">
        <v>0</v>
      </c>
      <c r="BZ87" s="51"/>
      <c r="CA87" s="51"/>
      <c r="CB87" s="51"/>
      <c r="CC87" s="51"/>
      <c r="CD87" s="11">
        <v>0</v>
      </c>
      <c r="CE87" s="5"/>
      <c r="CF87" s="5"/>
      <c r="CG87" s="5"/>
      <c r="CH87" s="5"/>
      <c r="CI87" s="5"/>
    </row>
    <row r="88" spans="1:87">
      <c r="A88" s="39" t="s">
        <v>2461</v>
      </c>
      <c r="B88" s="39"/>
      <c r="C88" s="39">
        <f>SUM(C85:C87)</f>
        <v>0</v>
      </c>
      <c r="D88" s="39">
        <f>SUM(D85:D87)</f>
        <v>0</v>
      </c>
      <c r="E88" s="39">
        <f>SUM(E85:E87)</f>
        <v>0</v>
      </c>
      <c r="F88" s="39">
        <f>SUM(F85:F87)</f>
        <v>0</v>
      </c>
      <c r="G88" s="39">
        <f>SUM(G85:G87)</f>
        <v>0</v>
      </c>
      <c r="H88" s="52"/>
      <c r="I88" s="52"/>
      <c r="J88" s="52"/>
      <c r="K88" s="52"/>
      <c r="L88" s="39">
        <f>SUM(L85:L87)</f>
        <v>0</v>
      </c>
      <c r="M88" s="52"/>
      <c r="N88" s="52"/>
      <c r="O88" s="52"/>
      <c r="P88" s="52"/>
      <c r="Q88" s="39">
        <f>SUM(Q85:Q87)</f>
        <v>0</v>
      </c>
      <c r="R88" s="52"/>
      <c r="S88" s="52"/>
      <c r="T88" s="52"/>
      <c r="U88" s="52"/>
      <c r="V88" s="39">
        <f>SUM(V85:V87)</f>
        <v>0</v>
      </c>
      <c r="W88" s="52"/>
      <c r="X88" s="52"/>
      <c r="Y88" s="52"/>
      <c r="Z88" s="52"/>
      <c r="AA88" s="39">
        <f>SUM(AA85:AA87)</f>
        <v>0</v>
      </c>
      <c r="AB88" s="52"/>
      <c r="AC88" s="52"/>
      <c r="AD88" s="52"/>
      <c r="AE88" s="52"/>
      <c r="AF88" s="39">
        <f>SUM(AF85:AF87)</f>
        <v>0</v>
      </c>
      <c r="AG88" s="52"/>
      <c r="AH88" s="52"/>
      <c r="AI88" s="52"/>
      <c r="AJ88" s="52"/>
      <c r="AK88" s="39">
        <f t="shared" ref="AK88:CD88" si="13">SUM(AK85:AK87)</f>
        <v>0</v>
      </c>
      <c r="AL88" s="52"/>
      <c r="AM88" s="52"/>
      <c r="AN88" s="52"/>
      <c r="AO88" s="52"/>
      <c r="AP88" s="39">
        <v>0</v>
      </c>
      <c r="AQ88" s="52"/>
      <c r="AR88" s="52"/>
      <c r="AS88" s="52"/>
      <c r="AT88" s="52"/>
      <c r="AU88" s="39">
        <v>8</v>
      </c>
      <c r="AV88" s="52"/>
      <c r="AW88" s="52"/>
      <c r="AX88" s="52"/>
      <c r="AY88" s="52"/>
      <c r="AZ88" s="39">
        <f t="shared" si="13"/>
        <v>0</v>
      </c>
      <c r="BA88" s="52"/>
      <c r="BB88" s="52"/>
      <c r="BC88" s="52"/>
      <c r="BD88" s="52"/>
      <c r="BE88" s="39">
        <f t="shared" si="13"/>
        <v>0</v>
      </c>
      <c r="BF88" s="52"/>
      <c r="BG88" s="52"/>
      <c r="BH88" s="52"/>
      <c r="BI88" s="52"/>
      <c r="BJ88" s="39">
        <f t="shared" si="13"/>
        <v>18</v>
      </c>
      <c r="BK88" s="52"/>
      <c r="BL88" s="52"/>
      <c r="BM88" s="52"/>
      <c r="BN88" s="52"/>
      <c r="BO88" s="39">
        <f t="shared" si="13"/>
        <v>77</v>
      </c>
      <c r="BP88" s="52">
        <f t="shared" si="13"/>
        <v>0</v>
      </c>
      <c r="BQ88" s="52">
        <f t="shared" si="13"/>
        <v>0</v>
      </c>
      <c r="BR88" s="52">
        <f t="shared" si="13"/>
        <v>0</v>
      </c>
      <c r="BS88" s="52">
        <f t="shared" si="13"/>
        <v>0</v>
      </c>
      <c r="BT88" s="39">
        <f t="shared" si="13"/>
        <v>0</v>
      </c>
      <c r="BU88" s="52">
        <f t="shared" si="13"/>
        <v>0</v>
      </c>
      <c r="BV88" s="52">
        <f t="shared" si="13"/>
        <v>0</v>
      </c>
      <c r="BW88" s="52">
        <f t="shared" si="13"/>
        <v>0</v>
      </c>
      <c r="BX88" s="52">
        <f t="shared" si="13"/>
        <v>0</v>
      </c>
      <c r="BY88" s="39">
        <f t="shared" si="13"/>
        <v>0</v>
      </c>
      <c r="BZ88" s="52">
        <f t="shared" si="13"/>
        <v>0</v>
      </c>
      <c r="CA88" s="52">
        <f t="shared" si="13"/>
        <v>0</v>
      </c>
      <c r="CB88" s="52">
        <f t="shared" si="13"/>
        <v>0</v>
      </c>
      <c r="CC88" s="52">
        <f t="shared" si="13"/>
        <v>0</v>
      </c>
      <c r="CD88" s="39">
        <f t="shared" si="13"/>
        <v>0</v>
      </c>
      <c r="CE88" s="5"/>
      <c r="CF88" s="5"/>
      <c r="CG88" s="5"/>
      <c r="CH88" s="5"/>
      <c r="CI88" s="5"/>
    </row>
    <row r="89" spans="1:87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11"/>
      <c r="BY89" s="11"/>
      <c r="BZ89" s="11"/>
      <c r="CA89" s="11"/>
      <c r="CB89" s="11"/>
      <c r="CC89" s="11"/>
      <c r="CD89" s="11"/>
      <c r="CE89" s="11"/>
      <c r="CF89" s="11"/>
      <c r="CG89" s="11"/>
      <c r="CH89" s="11"/>
      <c r="CI89" s="11"/>
    </row>
    <row r="90" spans="1:87">
      <c r="A90" s="39" t="s">
        <v>2462</v>
      </c>
      <c r="B90" s="11"/>
      <c r="C90" s="11"/>
      <c r="D90" s="11"/>
      <c r="E90" s="11"/>
      <c r="F90" s="11"/>
      <c r="G90" s="11"/>
      <c r="H90" s="51"/>
      <c r="I90" s="51"/>
      <c r="J90" s="51"/>
      <c r="K90" s="51"/>
      <c r="L90" s="11"/>
      <c r="M90" s="51"/>
      <c r="N90" s="51"/>
      <c r="O90" s="51"/>
      <c r="P90" s="51"/>
      <c r="Q90" s="11"/>
      <c r="R90" s="51"/>
      <c r="S90" s="51"/>
      <c r="T90" s="51"/>
      <c r="U90" s="51"/>
      <c r="V90" s="11"/>
      <c r="W90" s="51"/>
      <c r="X90" s="51"/>
      <c r="Y90" s="51"/>
      <c r="Z90" s="51"/>
      <c r="AA90" s="11"/>
      <c r="AB90" s="51"/>
      <c r="AC90" s="51"/>
      <c r="AD90" s="51"/>
      <c r="AE90" s="51"/>
      <c r="AF90" s="11"/>
      <c r="AG90" s="51"/>
      <c r="AH90" s="51"/>
      <c r="AI90" s="51"/>
      <c r="AJ90" s="51"/>
      <c r="AK90" s="11"/>
      <c r="AL90" s="51"/>
      <c r="AM90" s="51"/>
      <c r="AN90" s="51"/>
      <c r="AO90" s="5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  <c r="BU90" s="11"/>
      <c r="BV90" s="11"/>
      <c r="BW90" s="11"/>
      <c r="BX90" s="11"/>
      <c r="BY90" s="11"/>
      <c r="BZ90" s="11"/>
      <c r="CA90" s="11"/>
      <c r="CB90" s="11"/>
      <c r="CC90" s="11"/>
      <c r="CD90" s="11"/>
      <c r="CE90" s="5"/>
      <c r="CF90" s="5"/>
      <c r="CG90" s="5"/>
      <c r="CH90" s="5"/>
      <c r="CI90" s="5"/>
    </row>
    <row r="91" spans="1:87">
      <c r="A91" s="39"/>
      <c r="B91" s="11" t="s">
        <v>2502</v>
      </c>
      <c r="C91" s="11">
        <v>0</v>
      </c>
      <c r="D91" s="11">
        <v>0</v>
      </c>
      <c r="E91" s="11">
        <v>0</v>
      </c>
      <c r="F91" s="11">
        <v>0</v>
      </c>
      <c r="G91" s="11">
        <v>0</v>
      </c>
      <c r="H91" s="51"/>
      <c r="I91" s="51"/>
      <c r="J91" s="51"/>
      <c r="K91" s="51"/>
      <c r="L91" s="11">
        <v>0</v>
      </c>
      <c r="M91" s="51"/>
      <c r="N91" s="51"/>
      <c r="O91" s="51"/>
      <c r="P91" s="51"/>
      <c r="Q91" s="11">
        <v>0</v>
      </c>
      <c r="R91" s="51"/>
      <c r="S91" s="51"/>
      <c r="T91" s="51"/>
      <c r="U91" s="51"/>
      <c r="V91" s="11">
        <v>0</v>
      </c>
      <c r="W91" s="51"/>
      <c r="X91" s="51"/>
      <c r="Y91" s="51"/>
      <c r="Z91" s="51"/>
      <c r="AA91" s="11">
        <v>0</v>
      </c>
      <c r="AB91" s="51"/>
      <c r="AC91" s="51"/>
      <c r="AD91" s="51"/>
      <c r="AE91" s="51"/>
      <c r="AF91" s="11">
        <v>0</v>
      </c>
      <c r="AG91" s="51"/>
      <c r="AH91" s="51"/>
      <c r="AI91" s="51"/>
      <c r="AJ91" s="51"/>
      <c r="AK91" s="11">
        <v>0</v>
      </c>
      <c r="AL91" s="51"/>
      <c r="AM91" s="51"/>
      <c r="AN91" s="51"/>
      <c r="AO91" s="51"/>
      <c r="AP91" s="11">
        <v>0</v>
      </c>
      <c r="AQ91" s="51"/>
      <c r="AR91" s="51"/>
      <c r="AS91" s="51"/>
      <c r="AT91" s="51"/>
      <c r="AU91" s="11">
        <v>0</v>
      </c>
      <c r="AV91" s="51"/>
      <c r="AW91" s="51"/>
      <c r="AX91" s="51"/>
      <c r="AY91" s="51"/>
      <c r="AZ91" s="11">
        <v>0</v>
      </c>
      <c r="BA91" s="51"/>
      <c r="BB91" s="51"/>
      <c r="BC91" s="51"/>
      <c r="BD91" s="51"/>
      <c r="BE91" s="11">
        <v>0</v>
      </c>
      <c r="BF91" s="51"/>
      <c r="BG91" s="51"/>
      <c r="BH91" s="51"/>
      <c r="BI91" s="51"/>
      <c r="BJ91" s="11">
        <v>0</v>
      </c>
      <c r="BK91" s="51"/>
      <c r="BL91" s="51"/>
      <c r="BM91" s="51"/>
      <c r="BN91" s="51"/>
      <c r="BO91" s="11">
        <v>0</v>
      </c>
      <c r="BP91" s="51"/>
      <c r="BQ91" s="51"/>
      <c r="BR91" s="51"/>
      <c r="BS91" s="51"/>
      <c r="BT91" s="11">
        <v>0</v>
      </c>
      <c r="BU91" s="51"/>
      <c r="BV91" s="51"/>
      <c r="BW91" s="51"/>
      <c r="BX91" s="51"/>
      <c r="BY91" s="11">
        <v>0</v>
      </c>
      <c r="BZ91" s="51"/>
      <c r="CA91" s="51"/>
      <c r="CB91" s="51"/>
      <c r="CC91" s="51"/>
      <c r="CD91" s="11">
        <v>0</v>
      </c>
      <c r="CE91" s="5"/>
      <c r="CF91" s="5"/>
      <c r="CG91" s="5"/>
      <c r="CH91" s="5"/>
      <c r="CI91" s="5"/>
    </row>
    <row r="92" spans="1:87">
      <c r="A92" s="11"/>
      <c r="B92" s="11" t="s">
        <v>726</v>
      </c>
      <c r="C92" s="11">
        <v>0</v>
      </c>
      <c r="D92" s="11">
        <v>0</v>
      </c>
      <c r="E92" s="11">
        <v>0</v>
      </c>
      <c r="F92" s="11">
        <v>0</v>
      </c>
      <c r="G92" s="11">
        <v>0</v>
      </c>
      <c r="H92" s="51"/>
      <c r="I92" s="51"/>
      <c r="J92" s="51"/>
      <c r="K92" s="51"/>
      <c r="L92" s="11">
        <v>0</v>
      </c>
      <c r="M92" s="51"/>
      <c r="N92" s="51"/>
      <c r="O92" s="51"/>
      <c r="P92" s="51"/>
      <c r="Q92" s="11">
        <v>0</v>
      </c>
      <c r="R92" s="51"/>
      <c r="S92" s="51"/>
      <c r="T92" s="51"/>
      <c r="U92" s="51"/>
      <c r="V92" s="11">
        <v>0</v>
      </c>
      <c r="W92" s="51"/>
      <c r="X92" s="51"/>
      <c r="Y92" s="51"/>
      <c r="Z92" s="51"/>
      <c r="AA92" s="11">
        <v>0</v>
      </c>
      <c r="AB92" s="51"/>
      <c r="AC92" s="51"/>
      <c r="AD92" s="51"/>
      <c r="AE92" s="51"/>
      <c r="AF92" s="11">
        <v>0</v>
      </c>
      <c r="AG92" s="51"/>
      <c r="AH92" s="51"/>
      <c r="AI92" s="51"/>
      <c r="AJ92" s="51"/>
      <c r="AK92" s="11">
        <v>0</v>
      </c>
      <c r="AL92" s="51"/>
      <c r="AM92" s="51"/>
      <c r="AN92" s="51"/>
      <c r="AO92" s="51"/>
      <c r="AP92" s="11">
        <v>0</v>
      </c>
      <c r="AQ92" s="51"/>
      <c r="AR92" s="51"/>
      <c r="AS92" s="51"/>
      <c r="AT92" s="51"/>
      <c r="AU92" s="11">
        <v>0</v>
      </c>
      <c r="AV92" s="51"/>
      <c r="AW92" s="51"/>
      <c r="AX92" s="51"/>
      <c r="AY92" s="51"/>
      <c r="AZ92" s="11">
        <v>0</v>
      </c>
      <c r="BA92" s="51"/>
      <c r="BB92" s="51"/>
      <c r="BC92" s="51"/>
      <c r="BD92" s="51"/>
      <c r="BE92" s="11">
        <v>0</v>
      </c>
      <c r="BF92" s="51"/>
      <c r="BG92" s="51"/>
      <c r="BH92" s="51"/>
      <c r="BI92" s="51"/>
      <c r="BJ92" s="11">
        <v>0</v>
      </c>
      <c r="BK92" s="51"/>
      <c r="BL92" s="51"/>
      <c r="BM92" s="51"/>
      <c r="BN92" s="51"/>
      <c r="BO92" s="11">
        <v>0</v>
      </c>
      <c r="BP92" s="51"/>
      <c r="BQ92" s="51"/>
      <c r="BR92" s="51"/>
      <c r="BS92" s="51"/>
      <c r="BT92" s="11">
        <v>0</v>
      </c>
      <c r="BU92" s="51"/>
      <c r="BV92" s="51"/>
      <c r="BW92" s="51"/>
      <c r="BX92" s="51"/>
      <c r="BY92" s="11">
        <v>0</v>
      </c>
      <c r="BZ92" s="51"/>
      <c r="CA92" s="51"/>
      <c r="CB92" s="51"/>
      <c r="CC92" s="51"/>
      <c r="CD92" s="11">
        <v>0</v>
      </c>
      <c r="CE92" s="5"/>
      <c r="CF92" s="5"/>
      <c r="CG92" s="5"/>
      <c r="CH92" s="5"/>
      <c r="CI92" s="5"/>
    </row>
    <row r="93" spans="1:87">
      <c r="A93" s="11"/>
      <c r="B93" s="11" t="s">
        <v>216</v>
      </c>
      <c r="C93" s="11">
        <v>0</v>
      </c>
      <c r="D93" s="11">
        <v>0</v>
      </c>
      <c r="E93" s="11">
        <v>0</v>
      </c>
      <c r="F93" s="11">
        <v>0</v>
      </c>
      <c r="G93" s="11">
        <v>0</v>
      </c>
      <c r="H93" s="51"/>
      <c r="I93" s="51"/>
      <c r="J93" s="51"/>
      <c r="K93" s="51"/>
      <c r="L93" s="11">
        <v>0</v>
      </c>
      <c r="M93" s="51"/>
      <c r="N93" s="51"/>
      <c r="O93" s="51"/>
      <c r="P93" s="51"/>
      <c r="Q93" s="11">
        <v>0</v>
      </c>
      <c r="R93" s="51"/>
      <c r="S93" s="51"/>
      <c r="T93" s="51"/>
      <c r="U93" s="51"/>
      <c r="V93" s="11">
        <v>0</v>
      </c>
      <c r="W93" s="51"/>
      <c r="X93" s="51"/>
      <c r="Y93" s="51"/>
      <c r="Z93" s="51"/>
      <c r="AA93" s="11">
        <v>0</v>
      </c>
      <c r="AB93" s="51"/>
      <c r="AC93" s="51"/>
      <c r="AD93" s="51"/>
      <c r="AE93" s="51"/>
      <c r="AF93" s="11">
        <v>0</v>
      </c>
      <c r="AG93" s="51"/>
      <c r="AH93" s="51"/>
      <c r="AI93" s="51"/>
      <c r="AJ93" s="51"/>
      <c r="AK93" s="11">
        <v>0</v>
      </c>
      <c r="AL93" s="51"/>
      <c r="AM93" s="51"/>
      <c r="AN93" s="51"/>
      <c r="AO93" s="51"/>
      <c r="AP93" s="11">
        <v>0</v>
      </c>
      <c r="AQ93" s="51"/>
      <c r="AR93" s="51"/>
      <c r="AS93" s="51"/>
      <c r="AT93" s="51"/>
      <c r="AU93" s="11">
        <v>0</v>
      </c>
      <c r="AV93" s="51"/>
      <c r="AW93" s="51"/>
      <c r="AX93" s="51"/>
      <c r="AY93" s="51"/>
      <c r="AZ93" s="11">
        <v>0</v>
      </c>
      <c r="BA93" s="51"/>
      <c r="BB93" s="51"/>
      <c r="BC93" s="51"/>
      <c r="BD93" s="51"/>
      <c r="BE93" s="11">
        <v>0</v>
      </c>
      <c r="BF93" s="51"/>
      <c r="BG93" s="51"/>
      <c r="BH93" s="51"/>
      <c r="BI93" s="51"/>
      <c r="BJ93" s="11">
        <v>0</v>
      </c>
      <c r="BK93" s="51"/>
      <c r="BL93" s="51"/>
      <c r="BM93" s="51"/>
      <c r="BN93" s="51"/>
      <c r="BO93" s="11">
        <v>0</v>
      </c>
      <c r="BP93" s="51"/>
      <c r="BQ93" s="51"/>
      <c r="BR93" s="51"/>
      <c r="BS93" s="51"/>
      <c r="BT93" s="11">
        <v>0</v>
      </c>
      <c r="BU93" s="51"/>
      <c r="BV93" s="51"/>
      <c r="BW93" s="51"/>
      <c r="BX93" s="51"/>
      <c r="BY93" s="11">
        <v>0</v>
      </c>
      <c r="BZ93" s="51"/>
      <c r="CA93" s="51"/>
      <c r="CB93" s="51"/>
      <c r="CC93" s="51"/>
      <c r="CD93" s="11">
        <v>0</v>
      </c>
      <c r="CE93" s="5"/>
      <c r="CF93" s="5"/>
      <c r="CG93" s="5"/>
      <c r="CH93" s="5"/>
      <c r="CI93" s="5"/>
    </row>
    <row r="94" spans="1:87">
      <c r="A94" s="11"/>
      <c r="B94" s="11" t="s">
        <v>138</v>
      </c>
      <c r="C94" s="11">
        <v>0</v>
      </c>
      <c r="D94" s="11">
        <v>0</v>
      </c>
      <c r="E94" s="11">
        <v>0</v>
      </c>
      <c r="F94" s="11">
        <v>0</v>
      </c>
      <c r="G94" s="11">
        <v>0</v>
      </c>
      <c r="H94" s="51"/>
      <c r="I94" s="51"/>
      <c r="J94" s="51"/>
      <c r="K94" s="51"/>
      <c r="L94" s="11">
        <v>0</v>
      </c>
      <c r="M94" s="51"/>
      <c r="N94" s="51"/>
      <c r="O94" s="51"/>
      <c r="P94" s="51"/>
      <c r="Q94" s="11">
        <v>0</v>
      </c>
      <c r="R94" s="51"/>
      <c r="S94" s="51"/>
      <c r="T94" s="51"/>
      <c r="U94" s="51"/>
      <c r="V94" s="11">
        <v>0</v>
      </c>
      <c r="W94" s="51"/>
      <c r="X94" s="51"/>
      <c r="Y94" s="51"/>
      <c r="Z94" s="51"/>
      <c r="AA94" s="11">
        <v>0</v>
      </c>
      <c r="AB94" s="51"/>
      <c r="AC94" s="51"/>
      <c r="AD94" s="51"/>
      <c r="AE94" s="51"/>
      <c r="AF94" s="11">
        <v>0</v>
      </c>
      <c r="AG94" s="51"/>
      <c r="AH94" s="51"/>
      <c r="AI94" s="51"/>
      <c r="AJ94" s="51"/>
      <c r="AK94" s="11">
        <v>0</v>
      </c>
      <c r="AL94" s="51"/>
      <c r="AM94" s="51"/>
      <c r="AN94" s="51"/>
      <c r="AO94" s="51"/>
      <c r="AP94" s="11">
        <v>0</v>
      </c>
      <c r="AQ94" s="51"/>
      <c r="AR94" s="51"/>
      <c r="AS94" s="51"/>
      <c r="AT94" s="51"/>
      <c r="AU94" s="11">
        <v>0</v>
      </c>
      <c r="AV94" s="51"/>
      <c r="AW94" s="51"/>
      <c r="AX94" s="51"/>
      <c r="AY94" s="51"/>
      <c r="AZ94" s="11">
        <v>0</v>
      </c>
      <c r="BA94" s="51"/>
      <c r="BB94" s="51"/>
      <c r="BC94" s="51"/>
      <c r="BD94" s="51"/>
      <c r="BE94" s="11">
        <v>0</v>
      </c>
      <c r="BF94" s="51"/>
      <c r="BG94" s="51"/>
      <c r="BH94" s="51"/>
      <c r="BI94" s="51"/>
      <c r="BJ94" s="11">
        <v>0</v>
      </c>
      <c r="BK94" s="51"/>
      <c r="BL94" s="51"/>
      <c r="BM94" s="51"/>
      <c r="BN94" s="51"/>
      <c r="BO94" s="11">
        <v>0</v>
      </c>
      <c r="BP94" s="51"/>
      <c r="BQ94" s="51"/>
      <c r="BR94" s="51"/>
      <c r="BS94" s="51"/>
      <c r="BT94" s="11">
        <v>0</v>
      </c>
      <c r="BU94" s="51"/>
      <c r="BV94" s="51"/>
      <c r="BW94" s="51"/>
      <c r="BX94" s="51"/>
      <c r="BY94" s="11">
        <v>0</v>
      </c>
      <c r="BZ94" s="51"/>
      <c r="CA94" s="51"/>
      <c r="CB94" s="51"/>
      <c r="CC94" s="51"/>
      <c r="CD94" s="11">
        <v>0</v>
      </c>
      <c r="CE94" s="5"/>
      <c r="CF94" s="5"/>
      <c r="CG94" s="5"/>
      <c r="CH94" s="5"/>
      <c r="CI94" s="5"/>
    </row>
    <row r="95" spans="1:87">
      <c r="A95" s="11"/>
      <c r="B95" s="11" t="s">
        <v>816</v>
      </c>
      <c r="C95" s="11">
        <v>0</v>
      </c>
      <c r="D95" s="11">
        <v>0</v>
      </c>
      <c r="E95" s="11">
        <v>0</v>
      </c>
      <c r="F95" s="11">
        <v>0</v>
      </c>
      <c r="G95" s="11">
        <v>0</v>
      </c>
      <c r="H95" s="51"/>
      <c r="I95" s="51"/>
      <c r="J95" s="51"/>
      <c r="K95" s="51"/>
      <c r="L95" s="11">
        <v>0</v>
      </c>
      <c r="M95" s="51"/>
      <c r="N95" s="51"/>
      <c r="O95" s="51"/>
      <c r="P95" s="51"/>
      <c r="Q95" s="11">
        <v>0</v>
      </c>
      <c r="R95" s="51"/>
      <c r="S95" s="51"/>
      <c r="T95" s="51"/>
      <c r="U95" s="51"/>
      <c r="V95" s="11">
        <v>0</v>
      </c>
      <c r="W95" s="51"/>
      <c r="X95" s="51"/>
      <c r="Y95" s="51"/>
      <c r="Z95" s="51"/>
      <c r="AA95" s="11">
        <v>0</v>
      </c>
      <c r="AB95" s="51"/>
      <c r="AC95" s="51"/>
      <c r="AD95" s="51"/>
      <c r="AE95" s="51"/>
      <c r="AF95" s="11">
        <v>0</v>
      </c>
      <c r="AG95" s="51"/>
      <c r="AH95" s="51"/>
      <c r="AI95" s="51"/>
      <c r="AJ95" s="51"/>
      <c r="AK95" s="11">
        <v>0</v>
      </c>
      <c r="AL95" s="51"/>
      <c r="AM95" s="51"/>
      <c r="AN95" s="51"/>
      <c r="AO95" s="51"/>
      <c r="AP95" s="11">
        <v>0</v>
      </c>
      <c r="AQ95" s="51"/>
      <c r="AR95" s="51"/>
      <c r="AS95" s="51"/>
      <c r="AT95" s="51"/>
      <c r="AU95" s="11">
        <v>0</v>
      </c>
      <c r="AV95" s="51"/>
      <c r="AW95" s="51"/>
      <c r="AX95" s="51"/>
      <c r="AY95" s="51"/>
      <c r="AZ95" s="11">
        <v>0</v>
      </c>
      <c r="BA95" s="51"/>
      <c r="BB95" s="51"/>
      <c r="BC95" s="51"/>
      <c r="BD95" s="51"/>
      <c r="BE95" s="11">
        <v>0</v>
      </c>
      <c r="BF95" s="51"/>
      <c r="BG95" s="51"/>
      <c r="BH95" s="51"/>
      <c r="BI95" s="51"/>
      <c r="BJ95" s="11">
        <v>0</v>
      </c>
      <c r="BK95" s="51"/>
      <c r="BL95" s="51"/>
      <c r="BM95" s="51"/>
      <c r="BN95" s="51"/>
      <c r="BO95" s="11">
        <v>0</v>
      </c>
      <c r="BP95" s="68">
        <f t="shared" ref="BP95:CD95" si="14">BP264+BP372</f>
        <v>0</v>
      </c>
      <c r="BQ95" s="68">
        <f t="shared" si="14"/>
        <v>0</v>
      </c>
      <c r="BR95" s="68">
        <f t="shared" si="14"/>
        <v>0</v>
      </c>
      <c r="BS95" s="68">
        <f t="shared" si="14"/>
        <v>0</v>
      </c>
      <c r="BT95" s="11">
        <f t="shared" si="14"/>
        <v>0</v>
      </c>
      <c r="BU95" s="68">
        <f t="shared" si="14"/>
        <v>0</v>
      </c>
      <c r="BV95" s="68">
        <f t="shared" si="14"/>
        <v>0</v>
      </c>
      <c r="BW95" s="68">
        <f t="shared" si="14"/>
        <v>0</v>
      </c>
      <c r="BX95" s="68">
        <f t="shared" si="14"/>
        <v>0</v>
      </c>
      <c r="BY95" s="11">
        <f t="shared" si="14"/>
        <v>0</v>
      </c>
      <c r="BZ95" s="68">
        <f t="shared" si="14"/>
        <v>0</v>
      </c>
      <c r="CA95" s="68">
        <f t="shared" si="14"/>
        <v>0</v>
      </c>
      <c r="CB95" s="68">
        <f t="shared" si="14"/>
        <v>0</v>
      </c>
      <c r="CC95" s="68">
        <f t="shared" si="14"/>
        <v>0</v>
      </c>
      <c r="CD95" s="11">
        <f t="shared" si="14"/>
        <v>0</v>
      </c>
      <c r="CE95" s="5"/>
      <c r="CF95" s="5"/>
      <c r="CG95" s="5"/>
      <c r="CH95" s="5"/>
      <c r="CI95" s="5"/>
    </row>
    <row r="96" spans="1:87">
      <c r="A96" s="11"/>
      <c r="B96" s="11" t="s">
        <v>1962</v>
      </c>
      <c r="C96" s="11">
        <v>0</v>
      </c>
      <c r="D96" s="11">
        <v>0</v>
      </c>
      <c r="E96" s="11">
        <v>0</v>
      </c>
      <c r="F96" s="11">
        <v>0</v>
      </c>
      <c r="G96" s="11">
        <v>0</v>
      </c>
      <c r="H96" s="51"/>
      <c r="I96" s="51"/>
      <c r="J96" s="51"/>
      <c r="K96" s="51"/>
      <c r="L96" s="11">
        <v>8</v>
      </c>
      <c r="M96" s="51"/>
      <c r="N96" s="51"/>
      <c r="O96" s="51"/>
      <c r="P96" s="51"/>
      <c r="Q96" s="11">
        <v>8</v>
      </c>
      <c r="R96" s="51"/>
      <c r="S96" s="51"/>
      <c r="T96" s="51"/>
      <c r="U96" s="51"/>
      <c r="V96" s="11">
        <v>8</v>
      </c>
      <c r="W96" s="51"/>
      <c r="X96" s="51"/>
      <c r="Y96" s="51"/>
      <c r="Z96" s="51"/>
      <c r="AA96" s="11">
        <v>11</v>
      </c>
      <c r="AB96" s="51"/>
      <c r="AC96" s="51"/>
      <c r="AD96" s="51"/>
      <c r="AE96" s="51"/>
      <c r="AF96" s="11">
        <v>0</v>
      </c>
      <c r="AG96" s="51"/>
      <c r="AH96" s="51"/>
      <c r="AI96" s="51"/>
      <c r="AJ96" s="51"/>
      <c r="AK96" s="11">
        <v>0</v>
      </c>
      <c r="AL96" s="51"/>
      <c r="AM96" s="51"/>
      <c r="AN96" s="51"/>
      <c r="AO96" s="51"/>
      <c r="AP96" s="11">
        <v>0</v>
      </c>
      <c r="AQ96" s="51"/>
      <c r="AR96" s="51"/>
      <c r="AS96" s="51"/>
      <c r="AT96" s="51"/>
      <c r="AU96" s="11">
        <v>0</v>
      </c>
      <c r="AV96" s="51"/>
      <c r="AW96" s="51"/>
      <c r="AX96" s="51"/>
      <c r="AY96" s="51"/>
      <c r="AZ96" s="11">
        <v>0</v>
      </c>
      <c r="BA96" s="51"/>
      <c r="BB96" s="51"/>
      <c r="BC96" s="51"/>
      <c r="BD96" s="51"/>
      <c r="BE96" s="11">
        <v>0</v>
      </c>
      <c r="BF96" s="51"/>
      <c r="BG96" s="51"/>
      <c r="BH96" s="51"/>
      <c r="BI96" s="51"/>
      <c r="BJ96" s="11">
        <v>0</v>
      </c>
      <c r="BK96" s="51"/>
      <c r="BL96" s="51"/>
      <c r="BM96" s="51"/>
      <c r="BN96" s="51"/>
      <c r="BO96" s="11">
        <v>0</v>
      </c>
      <c r="BP96" s="51"/>
      <c r="BQ96" s="51"/>
      <c r="BR96" s="51"/>
      <c r="BS96" s="51"/>
      <c r="BT96" s="11">
        <v>0</v>
      </c>
      <c r="BU96" s="51"/>
      <c r="BV96" s="51"/>
      <c r="BW96" s="51"/>
      <c r="BX96" s="51"/>
      <c r="BY96" s="11">
        <v>0</v>
      </c>
      <c r="BZ96" s="51"/>
      <c r="CA96" s="51"/>
      <c r="CB96" s="51"/>
      <c r="CC96" s="51"/>
      <c r="CD96" s="11">
        <v>0</v>
      </c>
      <c r="CE96" s="5"/>
      <c r="CF96" s="5"/>
      <c r="CG96" s="5"/>
      <c r="CH96" s="5"/>
      <c r="CI96" s="5"/>
    </row>
    <row r="97" spans="1:87">
      <c r="A97" s="11"/>
      <c r="B97" s="11" t="s">
        <v>3277</v>
      </c>
      <c r="C97" s="11">
        <v>0</v>
      </c>
      <c r="D97" s="11">
        <v>0</v>
      </c>
      <c r="E97" s="11">
        <v>0</v>
      </c>
      <c r="F97" s="11">
        <v>0</v>
      </c>
      <c r="G97" s="11">
        <v>0</v>
      </c>
      <c r="H97" s="51"/>
      <c r="I97" s="51"/>
      <c r="J97" s="51"/>
      <c r="K97" s="51"/>
      <c r="L97" s="11">
        <v>0</v>
      </c>
      <c r="M97" s="51"/>
      <c r="N97" s="51"/>
      <c r="O97" s="51"/>
      <c r="P97" s="51"/>
      <c r="Q97" s="11">
        <v>0</v>
      </c>
      <c r="R97" s="51"/>
      <c r="S97" s="51"/>
      <c r="T97" s="51"/>
      <c r="U97" s="51"/>
      <c r="V97" s="11">
        <v>0</v>
      </c>
      <c r="W97" s="51"/>
      <c r="X97" s="51"/>
      <c r="Y97" s="51"/>
      <c r="Z97" s="51"/>
      <c r="AA97" s="11">
        <v>0</v>
      </c>
      <c r="AB97" s="51"/>
      <c r="AC97" s="51"/>
      <c r="AD97" s="51"/>
      <c r="AE97" s="51"/>
      <c r="AF97" s="11">
        <v>0</v>
      </c>
      <c r="AG97" s="51"/>
      <c r="AH97" s="51"/>
      <c r="AI97" s="51"/>
      <c r="AJ97" s="51"/>
      <c r="AK97" s="11">
        <f>AK266</f>
        <v>0</v>
      </c>
      <c r="AL97" s="51"/>
      <c r="AM97" s="51"/>
      <c r="AN97" s="51"/>
      <c r="AO97" s="51"/>
      <c r="AP97" s="11">
        <v>0</v>
      </c>
      <c r="AQ97" s="51"/>
      <c r="AR97" s="51"/>
      <c r="AS97" s="51"/>
      <c r="AT97" s="51"/>
      <c r="AU97" s="11">
        <v>0</v>
      </c>
      <c r="AV97" s="51"/>
      <c r="AW97" s="51"/>
      <c r="AX97" s="51"/>
      <c r="AY97" s="51"/>
      <c r="AZ97" s="11">
        <f t="shared" ref="AZ97:CD97" si="15">AZ266</f>
        <v>0</v>
      </c>
      <c r="BA97" s="51"/>
      <c r="BB97" s="51"/>
      <c r="BC97" s="51"/>
      <c r="BD97" s="51"/>
      <c r="BE97" s="11">
        <f t="shared" si="15"/>
        <v>0</v>
      </c>
      <c r="BF97" s="51"/>
      <c r="BG97" s="51"/>
      <c r="BH97" s="51"/>
      <c r="BI97" s="51"/>
      <c r="BJ97" s="11">
        <v>0</v>
      </c>
      <c r="BK97" s="51"/>
      <c r="BL97" s="51"/>
      <c r="BM97" s="51"/>
      <c r="BN97" s="51"/>
      <c r="BO97" s="11">
        <v>0</v>
      </c>
      <c r="BP97" s="68">
        <f t="shared" si="15"/>
        <v>0</v>
      </c>
      <c r="BQ97" s="68">
        <f t="shared" si="15"/>
        <v>0</v>
      </c>
      <c r="BR97" s="68">
        <f t="shared" si="15"/>
        <v>0</v>
      </c>
      <c r="BS97" s="68">
        <f t="shared" si="15"/>
        <v>0</v>
      </c>
      <c r="BT97" s="11">
        <f t="shared" si="15"/>
        <v>0</v>
      </c>
      <c r="BU97" s="68">
        <f t="shared" si="15"/>
        <v>0</v>
      </c>
      <c r="BV97" s="68">
        <f t="shared" si="15"/>
        <v>0</v>
      </c>
      <c r="BW97" s="68">
        <f t="shared" si="15"/>
        <v>0</v>
      </c>
      <c r="BX97" s="68">
        <f t="shared" si="15"/>
        <v>0</v>
      </c>
      <c r="BY97" s="11">
        <f t="shared" si="15"/>
        <v>0</v>
      </c>
      <c r="BZ97" s="68">
        <f t="shared" si="15"/>
        <v>0</v>
      </c>
      <c r="CA97" s="68">
        <f t="shared" si="15"/>
        <v>0</v>
      </c>
      <c r="CB97" s="68">
        <f t="shared" si="15"/>
        <v>0</v>
      </c>
      <c r="CC97" s="68">
        <f t="shared" si="15"/>
        <v>0</v>
      </c>
      <c r="CD97" s="11">
        <f t="shared" si="15"/>
        <v>0</v>
      </c>
      <c r="CE97" s="5"/>
      <c r="CF97" s="5"/>
      <c r="CG97" s="5"/>
      <c r="CH97" s="5"/>
      <c r="CI97" s="5"/>
    </row>
    <row r="98" spans="1:87">
      <c r="A98" s="11"/>
      <c r="B98" s="11" t="s">
        <v>3278</v>
      </c>
      <c r="C98" s="11">
        <v>0</v>
      </c>
      <c r="D98" s="11">
        <v>0</v>
      </c>
      <c r="E98" s="11">
        <v>0</v>
      </c>
      <c r="F98" s="11">
        <v>0</v>
      </c>
      <c r="G98" s="11">
        <v>0</v>
      </c>
      <c r="H98" s="51"/>
      <c r="I98" s="51"/>
      <c r="J98" s="51"/>
      <c r="K98" s="51"/>
      <c r="L98" s="11">
        <v>0</v>
      </c>
      <c r="M98" s="51"/>
      <c r="N98" s="51"/>
      <c r="O98" s="51"/>
      <c r="P98" s="51"/>
      <c r="Q98" s="11">
        <v>0</v>
      </c>
      <c r="R98" s="51"/>
      <c r="S98" s="51"/>
      <c r="T98" s="51"/>
      <c r="U98" s="51"/>
      <c r="V98" s="11">
        <v>0</v>
      </c>
      <c r="W98" s="51"/>
      <c r="X98" s="51"/>
      <c r="Y98" s="51"/>
      <c r="Z98" s="51"/>
      <c r="AA98" s="11">
        <v>0</v>
      </c>
      <c r="AB98" s="51"/>
      <c r="AC98" s="51"/>
      <c r="AD98" s="51"/>
      <c r="AE98" s="51"/>
      <c r="AF98" s="11">
        <v>0</v>
      </c>
      <c r="AG98" s="51"/>
      <c r="AH98" s="51"/>
      <c r="AI98" s="51"/>
      <c r="AJ98" s="51"/>
      <c r="AK98" s="11">
        <v>0</v>
      </c>
      <c r="AL98" s="51"/>
      <c r="AM98" s="51"/>
      <c r="AN98" s="51"/>
      <c r="AO98" s="51"/>
      <c r="AP98" s="11">
        <v>0</v>
      </c>
      <c r="AQ98" s="51"/>
      <c r="AR98" s="51"/>
      <c r="AS98" s="51"/>
      <c r="AT98" s="51"/>
      <c r="AU98" s="11">
        <v>0</v>
      </c>
      <c r="AV98" s="51"/>
      <c r="AW98" s="51"/>
      <c r="AX98" s="51"/>
      <c r="AY98" s="51"/>
      <c r="AZ98" s="11">
        <v>0</v>
      </c>
      <c r="BA98" s="51"/>
      <c r="BB98" s="51"/>
      <c r="BC98" s="51"/>
      <c r="BD98" s="51"/>
      <c r="BE98" s="11">
        <v>0</v>
      </c>
      <c r="BF98" s="51"/>
      <c r="BG98" s="51"/>
      <c r="BH98" s="51"/>
      <c r="BI98" s="51"/>
      <c r="BJ98" s="11">
        <v>0</v>
      </c>
      <c r="BK98" s="51"/>
      <c r="BL98" s="51"/>
      <c r="BM98" s="51"/>
      <c r="BN98" s="51"/>
      <c r="BO98" s="11">
        <v>0</v>
      </c>
      <c r="BP98" s="51"/>
      <c r="BQ98" s="51"/>
      <c r="BR98" s="51"/>
      <c r="BS98" s="51"/>
      <c r="BT98" s="11">
        <v>0</v>
      </c>
      <c r="BU98" s="51"/>
      <c r="BV98" s="51"/>
      <c r="BW98" s="51"/>
      <c r="BX98" s="51"/>
      <c r="BY98" s="11">
        <v>0</v>
      </c>
      <c r="BZ98" s="51"/>
      <c r="CA98" s="51"/>
      <c r="CB98" s="51"/>
      <c r="CC98" s="51"/>
      <c r="CD98" s="11">
        <v>0</v>
      </c>
      <c r="CE98" s="5"/>
      <c r="CF98" s="5"/>
      <c r="CG98" s="5"/>
      <c r="CH98" s="5"/>
      <c r="CI98" s="5"/>
    </row>
    <row r="99" spans="1:87">
      <c r="A99" s="47"/>
      <c r="B99" s="47" t="s">
        <v>1703</v>
      </c>
      <c r="C99" s="11">
        <v>0</v>
      </c>
      <c r="D99" s="47">
        <v>6</v>
      </c>
      <c r="E99" s="47">
        <v>129</v>
      </c>
      <c r="F99" s="47">
        <v>458</v>
      </c>
      <c r="G99" s="47">
        <v>482</v>
      </c>
      <c r="H99" s="64"/>
      <c r="I99" s="64"/>
      <c r="J99" s="64"/>
      <c r="K99" s="64"/>
      <c r="L99" s="47">
        <v>544</v>
      </c>
      <c r="M99" s="64"/>
      <c r="N99" s="64"/>
      <c r="O99" s="64"/>
      <c r="P99" s="64"/>
      <c r="Q99" s="47">
        <v>451</v>
      </c>
      <c r="R99" s="64"/>
      <c r="S99" s="64"/>
      <c r="T99" s="64"/>
      <c r="U99" s="64"/>
      <c r="V99" s="47">
        <v>564</v>
      </c>
      <c r="W99" s="64"/>
      <c r="X99" s="64"/>
      <c r="Y99" s="64"/>
      <c r="Z99" s="64"/>
      <c r="AA99" s="47">
        <v>601</v>
      </c>
      <c r="AB99" s="64"/>
      <c r="AC99" s="64"/>
      <c r="AD99" s="64"/>
      <c r="AE99" s="64"/>
      <c r="AF99" s="47">
        <v>640</v>
      </c>
      <c r="AG99" s="64"/>
      <c r="AH99" s="64"/>
      <c r="AI99" s="64"/>
      <c r="AJ99" s="64"/>
      <c r="AK99" s="47">
        <v>699</v>
      </c>
      <c r="AL99" s="64"/>
      <c r="AM99" s="64"/>
      <c r="AN99" s="64"/>
      <c r="AO99" s="64"/>
      <c r="AP99" s="47">
        <v>734</v>
      </c>
      <c r="AQ99" s="64"/>
      <c r="AR99" s="64"/>
      <c r="AS99" s="64"/>
      <c r="AT99" s="64"/>
      <c r="AU99" s="47">
        <f>184+617</f>
        <v>801</v>
      </c>
      <c r="AV99" s="64"/>
      <c r="AW99" s="64"/>
      <c r="AX99" s="64"/>
      <c r="AY99" s="64"/>
      <c r="AZ99" s="47">
        <v>1084</v>
      </c>
      <c r="BA99" s="64"/>
      <c r="BB99" s="64"/>
      <c r="BC99" s="64"/>
      <c r="BD99" s="64"/>
      <c r="BE99" s="47">
        <v>1195</v>
      </c>
      <c r="BF99" s="64"/>
      <c r="BG99" s="64"/>
      <c r="BH99" s="64"/>
      <c r="BI99" s="64"/>
      <c r="BJ99" s="11">
        <v>1279</v>
      </c>
      <c r="BK99" s="64"/>
      <c r="BL99" s="64"/>
      <c r="BM99" s="64"/>
      <c r="BN99" s="64"/>
      <c r="BO99" s="11">
        <v>1308</v>
      </c>
      <c r="BP99" s="68">
        <f t="shared" ref="BP99:CD99" si="16">BP153</f>
        <v>1499.6012158914721</v>
      </c>
      <c r="BQ99" s="68">
        <f t="shared" si="16"/>
        <v>1398.0030281992513</v>
      </c>
      <c r="BR99" s="68">
        <f t="shared" si="16"/>
        <v>1372.975332143244</v>
      </c>
      <c r="BS99" s="68">
        <f t="shared" si="16"/>
        <v>1506.566223766034</v>
      </c>
      <c r="BT99" s="11">
        <f t="shared" si="16"/>
        <v>1444.2864500000005</v>
      </c>
      <c r="BU99" s="68">
        <f t="shared" si="16"/>
        <v>1654.1921009218258</v>
      </c>
      <c r="BV99" s="68">
        <f t="shared" si="16"/>
        <v>1540.0249803948082</v>
      </c>
      <c r="BW99" s="68">
        <f t="shared" si="16"/>
        <v>1511.9010536098572</v>
      </c>
      <c r="BX99" s="68">
        <f t="shared" si="16"/>
        <v>1662.0187650735093</v>
      </c>
      <c r="BY99" s="11">
        <f t="shared" si="16"/>
        <v>1592.0342250000003</v>
      </c>
      <c r="BZ99" s="68">
        <f t="shared" si="16"/>
        <v>1766.9120812149822</v>
      </c>
      <c r="CA99" s="68">
        <f t="shared" si="16"/>
        <v>1643.5803203460314</v>
      </c>
      <c r="CB99" s="68">
        <f t="shared" si="16"/>
        <v>1613.1987761945643</v>
      </c>
      <c r="CC99" s="68">
        <f t="shared" si="16"/>
        <v>1775.3670222444225</v>
      </c>
      <c r="CD99" s="11">
        <f t="shared" si="16"/>
        <v>1699.7645500000001</v>
      </c>
      <c r="CE99" s="5"/>
      <c r="CF99" s="5"/>
      <c r="CG99" s="5"/>
      <c r="CH99" s="5"/>
      <c r="CI99" s="5"/>
    </row>
    <row r="100" spans="1:87">
      <c r="A100" s="47"/>
      <c r="B100" s="47" t="s">
        <v>1961</v>
      </c>
      <c r="C100" s="11">
        <v>0</v>
      </c>
      <c r="D100" s="11">
        <v>0</v>
      </c>
      <c r="E100" s="11">
        <v>0</v>
      </c>
      <c r="F100" s="11">
        <v>0</v>
      </c>
      <c r="G100" s="11">
        <v>0</v>
      </c>
      <c r="H100" s="64"/>
      <c r="I100" s="64"/>
      <c r="J100" s="64"/>
      <c r="K100" s="64"/>
      <c r="L100" s="11">
        <v>0</v>
      </c>
      <c r="M100" s="64"/>
      <c r="N100" s="64"/>
      <c r="O100" s="64"/>
      <c r="P100" s="64"/>
      <c r="Q100" s="11">
        <v>0</v>
      </c>
      <c r="R100" s="64"/>
      <c r="S100" s="64"/>
      <c r="T100" s="64"/>
      <c r="U100" s="64"/>
      <c r="V100" s="11">
        <v>0</v>
      </c>
      <c r="W100" s="64"/>
      <c r="X100" s="64"/>
      <c r="Y100" s="64"/>
      <c r="Z100" s="64"/>
      <c r="AA100" s="11">
        <v>0</v>
      </c>
      <c r="AB100" s="64"/>
      <c r="AC100" s="64"/>
      <c r="AD100" s="64"/>
      <c r="AE100" s="64"/>
      <c r="AF100" s="11">
        <v>0</v>
      </c>
      <c r="AG100" s="64"/>
      <c r="AH100" s="64"/>
      <c r="AI100" s="64"/>
      <c r="AJ100" s="64"/>
      <c r="AK100" s="11">
        <v>0</v>
      </c>
      <c r="AL100" s="64"/>
      <c r="AM100" s="64"/>
      <c r="AN100" s="64"/>
      <c r="AO100" s="64"/>
      <c r="AP100" s="11">
        <v>0</v>
      </c>
      <c r="AQ100" s="64"/>
      <c r="AR100" s="64"/>
      <c r="AS100" s="64"/>
      <c r="AT100" s="64"/>
      <c r="AU100" s="11">
        <v>0</v>
      </c>
      <c r="AV100" s="64"/>
      <c r="AW100" s="64"/>
      <c r="AX100" s="64"/>
      <c r="AY100" s="64"/>
      <c r="AZ100" s="11">
        <v>0</v>
      </c>
      <c r="BA100" s="64"/>
      <c r="BB100" s="64"/>
      <c r="BC100" s="64"/>
      <c r="BD100" s="64"/>
      <c r="BE100" s="11">
        <v>0</v>
      </c>
      <c r="BF100" s="64"/>
      <c r="BG100" s="64"/>
      <c r="BH100" s="64"/>
      <c r="BI100" s="64"/>
      <c r="BJ100" s="11">
        <v>0</v>
      </c>
      <c r="BK100" s="64"/>
      <c r="BL100" s="64"/>
      <c r="BM100" s="64"/>
      <c r="BN100" s="64"/>
      <c r="BO100" s="11">
        <v>0</v>
      </c>
      <c r="BP100" s="51"/>
      <c r="BQ100" s="51"/>
      <c r="BR100" s="51"/>
      <c r="BS100" s="51"/>
      <c r="BT100" s="11">
        <v>0</v>
      </c>
      <c r="BU100" s="51"/>
      <c r="BV100" s="51"/>
      <c r="BW100" s="51"/>
      <c r="BX100" s="51"/>
      <c r="BY100" s="11">
        <v>0</v>
      </c>
      <c r="BZ100" s="51"/>
      <c r="CA100" s="51"/>
      <c r="CB100" s="51"/>
      <c r="CC100" s="51"/>
      <c r="CD100" s="11">
        <v>0</v>
      </c>
      <c r="CE100" s="5"/>
      <c r="CF100" s="5"/>
      <c r="CG100" s="5"/>
      <c r="CH100" s="5"/>
      <c r="CI100" s="5"/>
    </row>
    <row r="101" spans="1:87">
      <c r="A101" s="11"/>
      <c r="B101" s="55" t="s">
        <v>3399</v>
      </c>
      <c r="C101" s="11">
        <f>109-C77</f>
        <v>109</v>
      </c>
      <c r="D101" s="11">
        <f>126-D77</f>
        <v>126</v>
      </c>
      <c r="E101" s="11">
        <f>111-E77</f>
        <v>111</v>
      </c>
      <c r="F101" s="11">
        <f>104-F77</f>
        <v>104</v>
      </c>
      <c r="G101" s="11">
        <f>87-G77</f>
        <v>71.06</v>
      </c>
      <c r="H101" s="51"/>
      <c r="I101" s="51"/>
      <c r="J101" s="51"/>
      <c r="K101" s="51"/>
      <c r="L101" s="11">
        <v>37</v>
      </c>
      <c r="M101" s="51"/>
      <c r="N101" s="51"/>
      <c r="O101" s="51"/>
      <c r="P101" s="51"/>
      <c r="Q101" s="11">
        <v>33</v>
      </c>
      <c r="R101" s="51"/>
      <c r="S101" s="51"/>
      <c r="T101" s="51"/>
      <c r="U101" s="51"/>
      <c r="V101" s="11">
        <v>31</v>
      </c>
      <c r="W101" s="51"/>
      <c r="X101" s="51"/>
      <c r="Y101" s="51"/>
      <c r="Z101" s="51"/>
      <c r="AA101" s="11">
        <v>31</v>
      </c>
      <c r="AB101" s="51"/>
      <c r="AC101" s="51"/>
      <c r="AD101" s="51"/>
      <c r="AE101" s="51"/>
      <c r="AF101" s="11">
        <v>30</v>
      </c>
      <c r="AG101" s="51"/>
      <c r="AH101" s="51"/>
      <c r="AI101" s="51"/>
      <c r="AJ101" s="51"/>
      <c r="AK101" s="11">
        <v>26</v>
      </c>
      <c r="AL101" s="51"/>
      <c r="AM101" s="51"/>
      <c r="AN101" s="51"/>
      <c r="AO101" s="51"/>
      <c r="AP101" s="11">
        <v>26</v>
      </c>
      <c r="AQ101" s="51"/>
      <c r="AR101" s="51"/>
      <c r="AS101" s="51"/>
      <c r="AT101" s="51"/>
      <c r="AU101" s="11">
        <v>22</v>
      </c>
      <c r="AV101" s="51"/>
      <c r="AW101" s="51"/>
      <c r="AX101" s="51"/>
      <c r="AY101" s="51"/>
      <c r="AZ101" s="11">
        <f t="shared" ref="AZ101:CD101" si="17">AZ270</f>
        <v>0</v>
      </c>
      <c r="BA101" s="51"/>
      <c r="BB101" s="51"/>
      <c r="BC101" s="51"/>
      <c r="BD101" s="51"/>
      <c r="BE101" s="11">
        <f t="shared" si="17"/>
        <v>0</v>
      </c>
      <c r="BF101" s="51"/>
      <c r="BG101" s="51"/>
      <c r="BH101" s="51"/>
      <c r="BI101" s="51"/>
      <c r="BJ101" s="55">
        <v>0</v>
      </c>
      <c r="BK101" s="51"/>
      <c r="BL101" s="51"/>
      <c r="BM101" s="51"/>
      <c r="BN101" s="51"/>
      <c r="BO101" s="55">
        <v>0</v>
      </c>
      <c r="BP101" s="239">
        <f t="shared" si="17"/>
        <v>0</v>
      </c>
      <c r="BQ101" s="239">
        <f t="shared" si="17"/>
        <v>0</v>
      </c>
      <c r="BR101" s="239">
        <f t="shared" si="17"/>
        <v>0</v>
      </c>
      <c r="BS101" s="239">
        <f t="shared" si="17"/>
        <v>0</v>
      </c>
      <c r="BT101" s="55">
        <f t="shared" si="17"/>
        <v>0</v>
      </c>
      <c r="BU101" s="239">
        <f t="shared" si="17"/>
        <v>0</v>
      </c>
      <c r="BV101" s="239">
        <f t="shared" si="17"/>
        <v>0</v>
      </c>
      <c r="BW101" s="239">
        <f t="shared" si="17"/>
        <v>0</v>
      </c>
      <c r="BX101" s="239">
        <f t="shared" si="17"/>
        <v>0</v>
      </c>
      <c r="BY101" s="55">
        <f t="shared" si="17"/>
        <v>0</v>
      </c>
      <c r="BZ101" s="239">
        <f t="shared" si="17"/>
        <v>0</v>
      </c>
      <c r="CA101" s="239">
        <f t="shared" si="17"/>
        <v>0</v>
      </c>
      <c r="CB101" s="239">
        <f t="shared" si="17"/>
        <v>0</v>
      </c>
      <c r="CC101" s="239">
        <f t="shared" si="17"/>
        <v>0</v>
      </c>
      <c r="CD101" s="55">
        <f t="shared" si="17"/>
        <v>0</v>
      </c>
      <c r="CE101" s="5"/>
      <c r="CF101" s="5"/>
      <c r="CG101" s="5"/>
      <c r="CH101" s="5"/>
      <c r="CI101" s="5"/>
    </row>
    <row r="102" spans="1:87">
      <c r="A102" s="11"/>
      <c r="B102" s="11" t="s">
        <v>3400</v>
      </c>
      <c r="C102" s="11"/>
      <c r="D102" s="11"/>
      <c r="E102" s="11"/>
      <c r="F102" s="11"/>
      <c r="G102" s="11"/>
      <c r="H102" s="51"/>
      <c r="I102" s="51"/>
      <c r="J102" s="51"/>
      <c r="K102" s="51"/>
      <c r="L102" s="11">
        <v>0</v>
      </c>
      <c r="M102" s="51"/>
      <c r="N102" s="51"/>
      <c r="O102" s="51"/>
      <c r="P102" s="51"/>
      <c r="Q102" s="11">
        <v>0</v>
      </c>
      <c r="R102" s="51"/>
      <c r="S102" s="51"/>
      <c r="T102" s="51"/>
      <c r="U102" s="51"/>
      <c r="V102" s="11">
        <v>0</v>
      </c>
      <c r="W102" s="51"/>
      <c r="X102" s="51"/>
      <c r="Y102" s="51"/>
      <c r="Z102" s="51"/>
      <c r="AA102" s="11">
        <v>0</v>
      </c>
      <c r="AB102" s="51"/>
      <c r="AC102" s="51"/>
      <c r="AD102" s="51"/>
      <c r="AE102" s="51"/>
      <c r="AF102" s="11">
        <v>0</v>
      </c>
      <c r="AG102" s="51"/>
      <c r="AH102" s="51"/>
      <c r="AI102" s="51"/>
      <c r="AJ102" s="51"/>
      <c r="AK102" s="11">
        <v>8</v>
      </c>
      <c r="AL102" s="51"/>
      <c r="AM102" s="51"/>
      <c r="AN102" s="51"/>
      <c r="AO102" s="51"/>
      <c r="AP102" s="11">
        <v>46</v>
      </c>
      <c r="AQ102" s="51"/>
      <c r="AR102" s="51"/>
      <c r="AS102" s="51"/>
      <c r="AT102" s="51"/>
      <c r="AU102" s="11">
        <v>0</v>
      </c>
      <c r="AV102" s="51"/>
      <c r="AW102" s="51"/>
      <c r="AX102" s="51"/>
      <c r="AY102" s="51"/>
      <c r="AZ102" s="11">
        <v>28</v>
      </c>
      <c r="BA102" s="51"/>
      <c r="BB102" s="51"/>
      <c r="BC102" s="51"/>
      <c r="BD102" s="51"/>
      <c r="BE102" s="11">
        <v>21</v>
      </c>
      <c r="BF102" s="51"/>
      <c r="BG102" s="51"/>
      <c r="BH102" s="51"/>
      <c r="BI102" s="51"/>
      <c r="BJ102" s="11">
        <v>15</v>
      </c>
      <c r="BK102" s="51"/>
      <c r="BL102" s="51"/>
      <c r="BM102" s="51"/>
      <c r="BN102" s="51"/>
      <c r="BO102" s="11">
        <v>0</v>
      </c>
      <c r="BP102" s="51"/>
      <c r="BQ102" s="51"/>
      <c r="BR102" s="51"/>
      <c r="BS102" s="51"/>
      <c r="BT102" s="11">
        <v>0</v>
      </c>
      <c r="BU102" s="51"/>
      <c r="BV102" s="51"/>
      <c r="BW102" s="51"/>
      <c r="BX102" s="51"/>
      <c r="BY102" s="11">
        <v>0</v>
      </c>
      <c r="BZ102" s="51"/>
      <c r="CA102" s="51"/>
      <c r="CB102" s="51"/>
      <c r="CC102" s="51"/>
      <c r="CD102" s="11">
        <v>0</v>
      </c>
      <c r="CE102" s="5"/>
      <c r="CF102" s="5"/>
      <c r="CG102" s="5"/>
      <c r="CH102" s="5"/>
      <c r="CI102" s="5"/>
    </row>
    <row r="103" spans="1:87">
      <c r="A103" s="39" t="s">
        <v>3401</v>
      </c>
      <c r="B103" s="39"/>
      <c r="C103" s="39">
        <f>SUM(C92:C102)</f>
        <v>109</v>
      </c>
      <c r="D103" s="39">
        <f>SUM(D92:D102)</f>
        <v>132</v>
      </c>
      <c r="E103" s="39">
        <f>SUM(E92:E102)</f>
        <v>240</v>
      </c>
      <c r="F103" s="39">
        <f>SUM(F92:F102)</f>
        <v>562</v>
      </c>
      <c r="G103" s="39">
        <f>SUM(G92:G102)</f>
        <v>553.05999999999995</v>
      </c>
      <c r="H103" s="83"/>
      <c r="I103" s="83"/>
      <c r="J103" s="83"/>
      <c r="K103" s="83"/>
      <c r="L103" s="39">
        <f>SUM(L92:L102)</f>
        <v>589</v>
      </c>
      <c r="M103" s="80"/>
      <c r="N103" s="80"/>
      <c r="O103" s="80"/>
      <c r="P103" s="80"/>
      <c r="Q103" s="39">
        <f>SUM(Q92:Q102)</f>
        <v>492</v>
      </c>
      <c r="R103" s="80"/>
      <c r="S103" s="80"/>
      <c r="T103" s="80"/>
      <c r="U103" s="80"/>
      <c r="V103" s="39">
        <f>SUM(V92:V102)</f>
        <v>603</v>
      </c>
      <c r="W103" s="80"/>
      <c r="X103" s="80"/>
      <c r="Y103" s="80"/>
      <c r="Z103" s="80"/>
      <c r="AA103" s="39">
        <f>SUM(AA92:AA102)</f>
        <v>643</v>
      </c>
      <c r="AB103" s="80"/>
      <c r="AC103" s="80"/>
      <c r="AD103" s="80"/>
      <c r="AE103" s="80"/>
      <c r="AF103" s="39">
        <f>SUM(AF92:AF102)</f>
        <v>670</v>
      </c>
      <c r="AG103" s="80"/>
      <c r="AH103" s="80"/>
      <c r="AI103" s="80"/>
      <c r="AJ103" s="80"/>
      <c r="AK103" s="39">
        <f t="shared" ref="AK103:CD103" si="18">SUM(AK92:AK102)</f>
        <v>733</v>
      </c>
      <c r="AL103" s="80"/>
      <c r="AM103" s="80"/>
      <c r="AN103" s="80"/>
      <c r="AO103" s="80"/>
      <c r="AP103" s="39">
        <f t="shared" si="18"/>
        <v>806</v>
      </c>
      <c r="AQ103" s="80"/>
      <c r="AR103" s="80"/>
      <c r="AS103" s="80"/>
      <c r="AT103" s="80"/>
      <c r="AU103" s="39">
        <f t="shared" si="18"/>
        <v>823</v>
      </c>
      <c r="AV103" s="80"/>
      <c r="AW103" s="80"/>
      <c r="AX103" s="80"/>
      <c r="AY103" s="80"/>
      <c r="AZ103" s="39">
        <f t="shared" si="18"/>
        <v>1112</v>
      </c>
      <c r="BA103" s="80"/>
      <c r="BB103" s="80"/>
      <c r="BC103" s="80"/>
      <c r="BD103" s="80"/>
      <c r="BE103" s="39">
        <f t="shared" si="18"/>
        <v>1216</v>
      </c>
      <c r="BF103" s="80"/>
      <c r="BG103" s="80"/>
      <c r="BH103" s="80"/>
      <c r="BI103" s="80"/>
      <c r="BJ103" s="39">
        <f t="shared" si="18"/>
        <v>1294</v>
      </c>
      <c r="BK103" s="80"/>
      <c r="BL103" s="80"/>
      <c r="BM103" s="80"/>
      <c r="BN103" s="80"/>
      <c r="BO103" s="39">
        <f t="shared" si="18"/>
        <v>1308</v>
      </c>
      <c r="BP103" s="80">
        <f t="shared" si="18"/>
        <v>1499.6012158914721</v>
      </c>
      <c r="BQ103" s="80">
        <f t="shared" si="18"/>
        <v>1398.0030281992513</v>
      </c>
      <c r="BR103" s="80">
        <f t="shared" si="18"/>
        <v>1372.975332143244</v>
      </c>
      <c r="BS103" s="80">
        <f t="shared" si="18"/>
        <v>1506.566223766034</v>
      </c>
      <c r="BT103" s="39">
        <f t="shared" si="18"/>
        <v>1444.2864500000005</v>
      </c>
      <c r="BU103" s="80">
        <f t="shared" si="18"/>
        <v>1654.1921009218258</v>
      </c>
      <c r="BV103" s="80">
        <f t="shared" si="18"/>
        <v>1540.0249803948082</v>
      </c>
      <c r="BW103" s="80">
        <f t="shared" si="18"/>
        <v>1511.9010536098572</v>
      </c>
      <c r="BX103" s="80">
        <f t="shared" si="18"/>
        <v>1662.0187650735093</v>
      </c>
      <c r="BY103" s="39">
        <f t="shared" si="18"/>
        <v>1592.0342250000003</v>
      </c>
      <c r="BZ103" s="80">
        <f t="shared" si="18"/>
        <v>1766.9120812149822</v>
      </c>
      <c r="CA103" s="80">
        <f t="shared" si="18"/>
        <v>1643.5803203460314</v>
      </c>
      <c r="CB103" s="80">
        <f t="shared" si="18"/>
        <v>1613.1987761945643</v>
      </c>
      <c r="CC103" s="80">
        <f t="shared" si="18"/>
        <v>1775.3670222444225</v>
      </c>
      <c r="CD103" s="39">
        <f t="shared" si="18"/>
        <v>1699.7645500000001</v>
      </c>
      <c r="CE103" s="5"/>
      <c r="CF103" s="5"/>
      <c r="CG103" s="5"/>
      <c r="CH103" s="5"/>
      <c r="CI103" s="5"/>
    </row>
    <row r="104" spans="1:87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  <c r="BS104" s="11"/>
      <c r="BT104" s="11"/>
      <c r="BU104" s="11"/>
      <c r="BV104" s="11"/>
      <c r="BW104" s="11"/>
      <c r="BX104" s="11"/>
      <c r="BY104" s="11"/>
      <c r="BZ104" s="11"/>
      <c r="CA104" s="11"/>
      <c r="CB104" s="11"/>
      <c r="CC104" s="11"/>
      <c r="CD104" s="11"/>
      <c r="CE104" s="11"/>
      <c r="CF104" s="11"/>
      <c r="CG104" s="11"/>
      <c r="CH104" s="11"/>
      <c r="CI104" s="11"/>
    </row>
    <row r="105" spans="1:87">
      <c r="A105" s="39" t="s">
        <v>3402</v>
      </c>
      <c r="B105" s="11"/>
      <c r="C105" s="11"/>
      <c r="D105" s="11"/>
      <c r="E105" s="11"/>
      <c r="F105" s="11"/>
      <c r="G105" s="11"/>
      <c r="H105" s="51"/>
      <c r="I105" s="51"/>
      <c r="J105" s="51"/>
      <c r="K105" s="51"/>
      <c r="L105" s="11"/>
      <c r="M105" s="51"/>
      <c r="N105" s="51"/>
      <c r="O105" s="51"/>
      <c r="P105" s="51"/>
      <c r="Q105" s="11"/>
      <c r="R105" s="51"/>
      <c r="S105" s="51"/>
      <c r="T105" s="51"/>
      <c r="U105" s="51"/>
      <c r="V105" s="11"/>
      <c r="W105" s="51"/>
      <c r="X105" s="51"/>
      <c r="Y105" s="51"/>
      <c r="Z105" s="51"/>
      <c r="AA105" s="11"/>
      <c r="AB105" s="51"/>
      <c r="AC105" s="51"/>
      <c r="AD105" s="51"/>
      <c r="AE105" s="51"/>
      <c r="AF105" s="11"/>
      <c r="AG105" s="51"/>
      <c r="AH105" s="51"/>
      <c r="AI105" s="51"/>
      <c r="AJ105" s="51"/>
      <c r="AK105" s="11"/>
      <c r="AL105" s="51"/>
      <c r="AM105" s="51"/>
      <c r="AN105" s="51"/>
      <c r="AO105" s="5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  <c r="BS105" s="11"/>
      <c r="BT105" s="11"/>
      <c r="BU105" s="11"/>
      <c r="BV105" s="11"/>
      <c r="BW105" s="11"/>
      <c r="BX105" s="11"/>
      <c r="BY105" s="11"/>
      <c r="BZ105" s="11"/>
      <c r="CA105" s="11"/>
      <c r="CB105" s="11"/>
      <c r="CC105" s="11"/>
      <c r="CD105" s="11"/>
      <c r="CE105" s="5"/>
      <c r="CF105" s="5"/>
      <c r="CG105" s="5"/>
      <c r="CH105" s="5"/>
      <c r="CI105" s="5"/>
    </row>
    <row r="106" spans="1:87">
      <c r="A106" s="11"/>
      <c r="B106" s="11" t="s">
        <v>2965</v>
      </c>
      <c r="C106" s="11">
        <v>0</v>
      </c>
      <c r="D106" s="11">
        <v>0</v>
      </c>
      <c r="E106" s="11">
        <v>0</v>
      </c>
      <c r="F106" s="11">
        <v>0</v>
      </c>
      <c r="G106" s="11">
        <v>0</v>
      </c>
      <c r="H106" s="51"/>
      <c r="I106" s="51"/>
      <c r="J106" s="51"/>
      <c r="K106" s="51"/>
      <c r="L106" s="11">
        <v>0</v>
      </c>
      <c r="M106" s="51"/>
      <c r="N106" s="51"/>
      <c r="O106" s="51"/>
      <c r="P106" s="51"/>
      <c r="Q106" s="11">
        <v>0</v>
      </c>
      <c r="R106" s="51"/>
      <c r="S106" s="51"/>
      <c r="T106" s="51"/>
      <c r="U106" s="51"/>
      <c r="V106" s="11">
        <v>0</v>
      </c>
      <c r="W106" s="51"/>
      <c r="X106" s="51"/>
      <c r="Y106" s="51"/>
      <c r="Z106" s="51"/>
      <c r="AA106" s="11">
        <v>0</v>
      </c>
      <c r="AB106" s="51"/>
      <c r="AC106" s="51"/>
      <c r="AD106" s="51"/>
      <c r="AE106" s="51"/>
      <c r="AF106" s="11">
        <v>0</v>
      </c>
      <c r="AG106" s="51"/>
      <c r="AH106" s="51"/>
      <c r="AI106" s="51"/>
      <c r="AJ106" s="51"/>
      <c r="AK106" s="11">
        <v>0</v>
      </c>
      <c r="AL106" s="51"/>
      <c r="AM106" s="51"/>
      <c r="AN106" s="51"/>
      <c r="AO106" s="51"/>
      <c r="AP106" s="11">
        <v>0</v>
      </c>
      <c r="AQ106" s="51"/>
      <c r="AR106" s="51"/>
      <c r="AS106" s="51"/>
      <c r="AT106" s="51"/>
      <c r="AU106" s="11">
        <v>0</v>
      </c>
      <c r="AV106" s="51"/>
      <c r="AW106" s="51"/>
      <c r="AX106" s="51"/>
      <c r="AY106" s="51"/>
      <c r="AZ106" s="11">
        <v>0</v>
      </c>
      <c r="BA106" s="51"/>
      <c r="BB106" s="51"/>
      <c r="BC106" s="51"/>
      <c r="BD106" s="51"/>
      <c r="BE106" s="11">
        <v>0</v>
      </c>
      <c r="BF106" s="51"/>
      <c r="BG106" s="51"/>
      <c r="BH106" s="51"/>
      <c r="BI106" s="51"/>
      <c r="BJ106" s="11">
        <v>0</v>
      </c>
      <c r="BK106" s="51"/>
      <c r="BL106" s="51"/>
      <c r="BM106" s="51"/>
      <c r="BN106" s="51"/>
      <c r="BO106" s="11">
        <v>0</v>
      </c>
      <c r="BP106" s="51"/>
      <c r="BQ106" s="51"/>
      <c r="BR106" s="51"/>
      <c r="BS106" s="51"/>
      <c r="BT106" s="11">
        <v>0</v>
      </c>
      <c r="BU106" s="51"/>
      <c r="BV106" s="51"/>
      <c r="BW106" s="51"/>
      <c r="BX106" s="51"/>
      <c r="BY106" s="11">
        <v>0</v>
      </c>
      <c r="BZ106" s="51"/>
      <c r="CA106" s="51"/>
      <c r="CB106" s="51"/>
      <c r="CC106" s="51"/>
      <c r="CD106" s="11">
        <v>0</v>
      </c>
      <c r="CE106" s="5"/>
      <c r="CF106" s="5"/>
      <c r="CG106" s="5"/>
      <c r="CH106" s="5"/>
      <c r="CI106" s="5"/>
    </row>
    <row r="107" spans="1:87">
      <c r="A107" s="11"/>
      <c r="B107" s="11" t="s">
        <v>3403</v>
      </c>
      <c r="C107" s="11">
        <v>0</v>
      </c>
      <c r="D107" s="11">
        <v>0</v>
      </c>
      <c r="E107" s="11">
        <v>0</v>
      </c>
      <c r="F107" s="11">
        <v>0</v>
      </c>
      <c r="G107" s="11">
        <v>0</v>
      </c>
      <c r="H107" s="51"/>
      <c r="I107" s="51"/>
      <c r="J107" s="51"/>
      <c r="K107" s="51"/>
      <c r="L107" s="11">
        <v>0</v>
      </c>
      <c r="M107" s="51"/>
      <c r="N107" s="51"/>
      <c r="O107" s="51"/>
      <c r="P107" s="51"/>
      <c r="Q107" s="11">
        <v>0</v>
      </c>
      <c r="R107" s="51"/>
      <c r="S107" s="51"/>
      <c r="T107" s="51"/>
      <c r="U107" s="51"/>
      <c r="V107" s="11">
        <v>0</v>
      </c>
      <c r="W107" s="51"/>
      <c r="X107" s="51"/>
      <c r="Y107" s="51"/>
      <c r="Z107" s="51"/>
      <c r="AA107" s="11">
        <v>0</v>
      </c>
      <c r="AB107" s="51"/>
      <c r="AC107" s="51"/>
      <c r="AD107" s="51"/>
      <c r="AE107" s="51"/>
      <c r="AF107" s="11">
        <v>0</v>
      </c>
      <c r="AG107" s="51"/>
      <c r="AH107" s="51"/>
      <c r="AI107" s="51"/>
      <c r="AJ107" s="51"/>
      <c r="AK107" s="11">
        <v>0</v>
      </c>
      <c r="AL107" s="51"/>
      <c r="AM107" s="51"/>
      <c r="AN107" s="51"/>
      <c r="AO107" s="51"/>
      <c r="AP107" s="11">
        <v>0</v>
      </c>
      <c r="AQ107" s="51"/>
      <c r="AR107" s="51"/>
      <c r="AS107" s="51"/>
      <c r="AT107" s="51"/>
      <c r="AU107" s="11">
        <v>0</v>
      </c>
      <c r="AV107" s="51"/>
      <c r="AW107" s="51"/>
      <c r="AX107" s="51"/>
      <c r="AY107" s="51"/>
      <c r="AZ107" s="11">
        <v>0</v>
      </c>
      <c r="BA107" s="51"/>
      <c r="BB107" s="51"/>
      <c r="BC107" s="51"/>
      <c r="BD107" s="51"/>
      <c r="BE107" s="11">
        <v>0</v>
      </c>
      <c r="BF107" s="51"/>
      <c r="BG107" s="51"/>
      <c r="BH107" s="51"/>
      <c r="BI107" s="51"/>
      <c r="BJ107" s="11">
        <v>0</v>
      </c>
      <c r="BK107" s="51"/>
      <c r="BL107" s="51"/>
      <c r="BM107" s="51"/>
      <c r="BN107" s="51"/>
      <c r="BO107" s="11">
        <v>0</v>
      </c>
      <c r="BP107" s="51"/>
      <c r="BQ107" s="51"/>
      <c r="BR107" s="51"/>
      <c r="BS107" s="51"/>
      <c r="BT107" s="11">
        <v>0</v>
      </c>
      <c r="BU107" s="51"/>
      <c r="BV107" s="51"/>
      <c r="BW107" s="51"/>
      <c r="BX107" s="51"/>
      <c r="BY107" s="11">
        <v>0</v>
      </c>
      <c r="BZ107" s="51"/>
      <c r="CA107" s="51"/>
      <c r="CB107" s="51"/>
      <c r="CC107" s="51"/>
      <c r="CD107" s="11">
        <v>0</v>
      </c>
      <c r="CE107" s="5"/>
      <c r="CF107" s="5"/>
      <c r="CG107" s="5"/>
      <c r="CH107" s="5"/>
      <c r="CI107" s="5"/>
    </row>
    <row r="108" spans="1:87">
      <c r="A108" s="39" t="s">
        <v>1935</v>
      </c>
      <c r="B108" s="39"/>
      <c r="C108" s="39">
        <f>SUM(C106:C107)</f>
        <v>0</v>
      </c>
      <c r="D108" s="39">
        <f>SUM(D106:D107)</f>
        <v>0</v>
      </c>
      <c r="E108" s="39">
        <f>SUM(E106:E107)</f>
        <v>0</v>
      </c>
      <c r="F108" s="39">
        <f>SUM(F106:F107)</f>
        <v>0</v>
      </c>
      <c r="G108" s="39">
        <f>SUM(G106:G107)</f>
        <v>0</v>
      </c>
      <c r="H108" s="52"/>
      <c r="I108" s="52"/>
      <c r="J108" s="52"/>
      <c r="K108" s="52"/>
      <c r="L108" s="39">
        <f>SUM(L106:L107)</f>
        <v>0</v>
      </c>
      <c r="M108" s="52"/>
      <c r="N108" s="52"/>
      <c r="O108" s="52"/>
      <c r="P108" s="52"/>
      <c r="Q108" s="39">
        <f>SUM(Q106:Q107)</f>
        <v>0</v>
      </c>
      <c r="R108" s="52"/>
      <c r="S108" s="52"/>
      <c r="T108" s="52"/>
      <c r="U108" s="52"/>
      <c r="V108" s="39">
        <f>SUM(V106:V107)</f>
        <v>0</v>
      </c>
      <c r="W108" s="52"/>
      <c r="X108" s="52"/>
      <c r="Y108" s="52"/>
      <c r="Z108" s="52"/>
      <c r="AA108" s="39">
        <f>SUM(AA106:AA107)</f>
        <v>0</v>
      </c>
      <c r="AB108" s="52"/>
      <c r="AC108" s="52"/>
      <c r="AD108" s="52"/>
      <c r="AE108" s="52"/>
      <c r="AF108" s="39">
        <f>SUM(AF106:AF107)</f>
        <v>0</v>
      </c>
      <c r="AG108" s="52"/>
      <c r="AH108" s="52"/>
      <c r="AI108" s="52"/>
      <c r="AJ108" s="52"/>
      <c r="AK108" s="39">
        <f>SUM(AK106:AK107)</f>
        <v>0</v>
      </c>
      <c r="AL108" s="52"/>
      <c r="AM108" s="52"/>
      <c r="AN108" s="52"/>
      <c r="AO108" s="52"/>
      <c r="AP108" s="39">
        <v>0</v>
      </c>
      <c r="AQ108" s="52"/>
      <c r="AR108" s="52"/>
      <c r="AS108" s="52"/>
      <c r="AT108" s="52"/>
      <c r="AU108" s="39">
        <v>0</v>
      </c>
      <c r="AV108" s="52"/>
      <c r="AW108" s="52"/>
      <c r="AX108" s="52"/>
      <c r="AY108" s="52"/>
      <c r="AZ108" s="39">
        <f>SUM(AZ106:AZ107)</f>
        <v>0</v>
      </c>
      <c r="BA108" s="51"/>
      <c r="BB108" s="51"/>
      <c r="BC108" s="51"/>
      <c r="BD108" s="51"/>
      <c r="BE108" s="39">
        <f>SUM(BE106:BE107)</f>
        <v>0</v>
      </c>
      <c r="BF108" s="51"/>
      <c r="BG108" s="51"/>
      <c r="BH108" s="51"/>
      <c r="BI108" s="51"/>
      <c r="BJ108" s="39">
        <f>SUM(BJ106:BJ107)</f>
        <v>0</v>
      </c>
      <c r="BK108" s="51"/>
      <c r="BL108" s="51"/>
      <c r="BM108" s="51"/>
      <c r="BN108" s="51"/>
      <c r="BO108" s="39">
        <f>SUM(BO106:BO107)</f>
        <v>0</v>
      </c>
      <c r="BP108" s="51"/>
      <c r="BQ108" s="51"/>
      <c r="BR108" s="51"/>
      <c r="BS108" s="51"/>
      <c r="BT108" s="39">
        <f>SUM(BT106:BT107)</f>
        <v>0</v>
      </c>
      <c r="BU108" s="51"/>
      <c r="BV108" s="51"/>
      <c r="BW108" s="51"/>
      <c r="BX108" s="51"/>
      <c r="BY108" s="39">
        <f>SUM(BY106:BY107)</f>
        <v>0</v>
      </c>
      <c r="BZ108" s="51"/>
      <c r="CA108" s="51"/>
      <c r="CB108" s="51"/>
      <c r="CC108" s="51"/>
      <c r="CD108" s="39">
        <f>SUM(CD106:CD107)</f>
        <v>0</v>
      </c>
      <c r="CE108" s="5"/>
      <c r="CF108" s="5"/>
      <c r="CG108" s="5"/>
      <c r="CH108" s="5"/>
      <c r="CI108" s="5"/>
    </row>
    <row r="109" spans="1:87">
      <c r="A109" s="39"/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  <c r="BA109" s="39"/>
      <c r="BB109" s="39"/>
      <c r="BC109" s="39"/>
      <c r="BD109" s="39"/>
      <c r="BE109" s="39"/>
      <c r="BF109" s="39"/>
      <c r="BG109" s="39"/>
      <c r="BH109" s="39"/>
      <c r="BI109" s="39"/>
      <c r="BJ109" s="39"/>
      <c r="BK109" s="39"/>
      <c r="BL109" s="39"/>
      <c r="BM109" s="39"/>
      <c r="BN109" s="39"/>
      <c r="BO109" s="39"/>
      <c r="BP109" s="39"/>
      <c r="BQ109" s="39"/>
      <c r="BR109" s="39"/>
      <c r="BS109" s="39"/>
      <c r="BT109" s="39"/>
      <c r="BU109" s="39"/>
      <c r="BV109" s="39"/>
      <c r="BW109" s="39"/>
      <c r="BX109" s="39"/>
      <c r="BY109" s="39"/>
      <c r="BZ109" s="39"/>
      <c r="CA109" s="39"/>
      <c r="CB109" s="39"/>
      <c r="CC109" s="39"/>
      <c r="CD109" s="39"/>
      <c r="CE109" s="39"/>
      <c r="CF109" s="39"/>
      <c r="CG109" s="39"/>
      <c r="CH109" s="39"/>
      <c r="CI109" s="39"/>
    </row>
    <row r="110" spans="1:87">
      <c r="A110" s="46" t="s">
        <v>1488</v>
      </c>
      <c r="B110" s="46"/>
      <c r="C110" s="46">
        <f>C68+C73+C82+C88+C103+C108</f>
        <v>345</v>
      </c>
      <c r="D110" s="46">
        <f>D68+D73+D82+D88+D103+D108</f>
        <v>383</v>
      </c>
      <c r="E110" s="46">
        <f>E68+E73+E82+E88+E103+E108</f>
        <v>521</v>
      </c>
      <c r="F110" s="46">
        <f>F68+F73+F82+F88+F103+F108</f>
        <v>879</v>
      </c>
      <c r="G110" s="46">
        <f>G68+G73+G82+G88+G103+G108</f>
        <v>912</v>
      </c>
      <c r="H110" s="84"/>
      <c r="I110" s="84"/>
      <c r="J110" s="84"/>
      <c r="K110" s="84"/>
      <c r="L110" s="46">
        <f>L68+L73+L82+L88+L103+L108</f>
        <v>1005</v>
      </c>
      <c r="M110" s="81"/>
      <c r="N110" s="81"/>
      <c r="O110" s="81"/>
      <c r="P110" s="81"/>
      <c r="Q110" s="46">
        <f>Q68+Q73+Q82+Q88+Q103+Q108</f>
        <v>921</v>
      </c>
      <c r="R110" s="81"/>
      <c r="S110" s="81"/>
      <c r="T110" s="81"/>
      <c r="U110" s="81"/>
      <c r="V110" s="46">
        <f>V68+V73+V82+V88+V103+V108</f>
        <v>1057</v>
      </c>
      <c r="W110" s="81"/>
      <c r="X110" s="81"/>
      <c r="Y110" s="81"/>
      <c r="Z110" s="81"/>
      <c r="AA110" s="46">
        <f>AA68+AA73+AA82+AA88+AA103+AA108</f>
        <v>1035</v>
      </c>
      <c r="AB110" s="81"/>
      <c r="AC110" s="81"/>
      <c r="AD110" s="81"/>
      <c r="AE110" s="81"/>
      <c r="AF110" s="46">
        <f>AF68+AF73+AF82+AF88+AF103+AF108</f>
        <v>1069</v>
      </c>
      <c r="AG110" s="81"/>
      <c r="AH110" s="81"/>
      <c r="AI110" s="81"/>
      <c r="AJ110" s="81"/>
      <c r="AK110" s="46">
        <f t="shared" ref="AK110:CD110" si="19">AK68+AK73+AK82+AK88+AK103+AK108</f>
        <v>1125</v>
      </c>
      <c r="AL110" s="53"/>
      <c r="AM110" s="53"/>
      <c r="AN110" s="53"/>
      <c r="AO110" s="53"/>
      <c r="AP110" s="46">
        <f t="shared" si="19"/>
        <v>1200</v>
      </c>
      <c r="AQ110" s="53"/>
      <c r="AR110" s="53"/>
      <c r="AS110" s="53"/>
      <c r="AT110" s="53"/>
      <c r="AU110" s="46">
        <v>1216</v>
      </c>
      <c r="AV110" s="53"/>
      <c r="AW110" s="53"/>
      <c r="AX110" s="53"/>
      <c r="AY110" s="53"/>
      <c r="AZ110" s="46">
        <v>1515</v>
      </c>
      <c r="BA110" s="53"/>
      <c r="BB110" s="53"/>
      <c r="BC110" s="53"/>
      <c r="BD110" s="53"/>
      <c r="BE110" s="46">
        <f t="shared" si="19"/>
        <v>1650</v>
      </c>
      <c r="BF110" s="53"/>
      <c r="BG110" s="53"/>
      <c r="BH110" s="53"/>
      <c r="BI110" s="53"/>
      <c r="BJ110" s="46">
        <f t="shared" si="19"/>
        <v>1773</v>
      </c>
      <c r="BK110" s="53"/>
      <c r="BL110" s="53"/>
      <c r="BM110" s="53"/>
      <c r="BN110" s="53"/>
      <c r="BO110" s="46">
        <v>1855</v>
      </c>
      <c r="BP110" s="81">
        <f t="shared" si="19"/>
        <v>1881.5586446436673</v>
      </c>
      <c r="BQ110" s="81">
        <f t="shared" si="19"/>
        <v>1762.3602721620809</v>
      </c>
      <c r="BR110" s="81">
        <f t="shared" si="19"/>
        <v>1722.7133171385694</v>
      </c>
      <c r="BS110" s="81">
        <f t="shared" si="19"/>
        <v>1873.0575660556833</v>
      </c>
      <c r="BT110" s="46">
        <f t="shared" si="19"/>
        <v>1809.9224500000005</v>
      </c>
      <c r="BU110" s="81">
        <f t="shared" si="19"/>
        <v>2039.7546160462821</v>
      </c>
      <c r="BV110" s="81">
        <f t="shared" si="19"/>
        <v>1909.2069819147218</v>
      </c>
      <c r="BW110" s="81">
        <f t="shared" si="19"/>
        <v>1869.5051565334143</v>
      </c>
      <c r="BX110" s="81">
        <f t="shared" si="19"/>
        <v>2034.2781455055824</v>
      </c>
      <c r="BY110" s="46">
        <f t="shared" si="19"/>
        <v>1963.1862250000004</v>
      </c>
      <c r="BZ110" s="81">
        <f t="shared" si="19"/>
        <v>2169.8393979956481</v>
      </c>
      <c r="CA110" s="81">
        <f t="shared" si="19"/>
        <v>2029.6458867883885</v>
      </c>
      <c r="CB110" s="81">
        <f t="shared" si="19"/>
        <v>1987.7534822434338</v>
      </c>
      <c r="CC110" s="81">
        <f t="shared" si="19"/>
        <v>2164.8194329725302</v>
      </c>
      <c r="CD110" s="46">
        <f t="shared" si="19"/>
        <v>2088.0145499999999</v>
      </c>
      <c r="CE110" s="5"/>
      <c r="CF110" s="5"/>
      <c r="CG110" s="5"/>
      <c r="CH110" s="5"/>
      <c r="CI110" s="5"/>
    </row>
    <row r="111" spans="1:87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</row>
    <row r="112" spans="1:87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116"/>
      <c r="M112" s="5"/>
      <c r="N112" s="5"/>
      <c r="O112" s="5"/>
      <c r="P112" s="5"/>
      <c r="Q112" s="116"/>
      <c r="R112" s="5"/>
      <c r="S112" s="5"/>
      <c r="T112" s="5"/>
      <c r="U112" s="5"/>
      <c r="V112" s="116"/>
      <c r="W112" s="5"/>
      <c r="X112" s="5"/>
      <c r="Y112" s="5"/>
      <c r="Z112" s="5"/>
      <c r="AA112" s="116"/>
      <c r="AB112" s="5"/>
      <c r="AC112" s="5"/>
      <c r="AD112" s="5"/>
      <c r="AE112" s="5"/>
      <c r="AF112" s="116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</row>
    <row r="113" spans="1:87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</row>
    <row r="114" spans="1:87" ht="15.75">
      <c r="A114" s="42" t="s">
        <v>1821</v>
      </c>
      <c r="B114" s="7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5"/>
      <c r="CF114" s="5"/>
      <c r="CG114" s="5"/>
      <c r="CH114" s="5"/>
      <c r="CI114" s="5"/>
    </row>
    <row r="115" spans="1:87">
      <c r="A115" s="5"/>
      <c r="B115" s="4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</row>
    <row r="116" spans="1:87">
      <c r="A116" s="24" t="s">
        <v>1960</v>
      </c>
      <c r="B116" s="4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</row>
    <row r="117" spans="1:87">
      <c r="A117" s="10"/>
      <c r="B117" s="10"/>
      <c r="C117" s="31">
        <v>2001</v>
      </c>
      <c r="D117" s="32">
        <v>2002</v>
      </c>
      <c r="E117" s="32">
        <v>2003</v>
      </c>
      <c r="F117" s="32">
        <v>2004</v>
      </c>
      <c r="G117" s="31">
        <v>2005</v>
      </c>
      <c r="H117" s="33" t="s">
        <v>714</v>
      </c>
      <c r="I117" s="33" t="s">
        <v>715</v>
      </c>
      <c r="J117" s="33" t="s">
        <v>716</v>
      </c>
      <c r="K117" s="33" t="s">
        <v>717</v>
      </c>
      <c r="L117" s="31">
        <v>2006</v>
      </c>
      <c r="M117" s="33" t="s">
        <v>718</v>
      </c>
      <c r="N117" s="33" t="s">
        <v>719</v>
      </c>
      <c r="O117" s="33" t="s">
        <v>1970</v>
      </c>
      <c r="P117" s="33" t="s">
        <v>1971</v>
      </c>
      <c r="Q117" s="31">
        <v>2007</v>
      </c>
      <c r="R117" s="33" t="s">
        <v>1972</v>
      </c>
      <c r="S117" s="33" t="s">
        <v>1973</v>
      </c>
      <c r="T117" s="33" t="s">
        <v>1974</v>
      </c>
      <c r="U117" s="33" t="s">
        <v>1975</v>
      </c>
      <c r="V117" s="31">
        <v>2008</v>
      </c>
      <c r="W117" s="33" t="s">
        <v>1976</v>
      </c>
      <c r="X117" s="33" t="s">
        <v>1977</v>
      </c>
      <c r="Y117" s="33" t="s">
        <v>1978</v>
      </c>
      <c r="Z117" s="33" t="s">
        <v>1979</v>
      </c>
      <c r="AA117" s="31">
        <v>2009</v>
      </c>
      <c r="AB117" s="33" t="s">
        <v>1980</v>
      </c>
      <c r="AC117" s="33" t="s">
        <v>1981</v>
      </c>
      <c r="AD117" s="33" t="s">
        <v>1982</v>
      </c>
      <c r="AE117" s="33" t="s">
        <v>2392</v>
      </c>
      <c r="AF117" s="31">
        <v>2010</v>
      </c>
      <c r="AG117" s="33" t="s">
        <v>2393</v>
      </c>
      <c r="AH117" s="33" t="s">
        <v>2394</v>
      </c>
      <c r="AI117" s="33" t="s">
        <v>2395</v>
      </c>
      <c r="AJ117" s="33" t="s">
        <v>2396</v>
      </c>
      <c r="AK117" s="31">
        <v>2011</v>
      </c>
      <c r="AL117" s="33" t="s">
        <v>2397</v>
      </c>
      <c r="AM117" s="33" t="s">
        <v>2398</v>
      </c>
      <c r="AN117" s="33" t="s">
        <v>2399</v>
      </c>
      <c r="AO117" s="368" t="s">
        <v>2400</v>
      </c>
      <c r="AP117" s="369">
        <v>2012</v>
      </c>
      <c r="AQ117" s="368" t="s">
        <v>2401</v>
      </c>
      <c r="AR117" s="368" t="s">
        <v>2402</v>
      </c>
      <c r="AS117" s="368" t="s">
        <v>2403</v>
      </c>
      <c r="AT117" s="368" t="s">
        <v>2404</v>
      </c>
      <c r="AU117" s="369">
        <v>2013</v>
      </c>
      <c r="AV117" s="368" t="s">
        <v>2405</v>
      </c>
      <c r="AW117" s="368" t="s">
        <v>2406</v>
      </c>
      <c r="AX117" s="368" t="s">
        <v>2407</v>
      </c>
      <c r="AY117" s="368" t="s">
        <v>2408</v>
      </c>
      <c r="AZ117" s="369">
        <v>2014</v>
      </c>
      <c r="BA117" s="368" t="s">
        <v>2409</v>
      </c>
      <c r="BB117" s="368" t="s">
        <v>2410</v>
      </c>
      <c r="BC117" s="368" t="s">
        <v>2411</v>
      </c>
      <c r="BD117" s="363" t="s">
        <v>2412</v>
      </c>
      <c r="BE117" s="31">
        <v>2015</v>
      </c>
      <c r="BF117" s="363" t="s">
        <v>2413</v>
      </c>
      <c r="BG117" s="363" t="s">
        <v>2414</v>
      </c>
      <c r="BH117" s="363" t="s">
        <v>2415</v>
      </c>
      <c r="BI117" s="368" t="s">
        <v>2416</v>
      </c>
      <c r="BJ117" s="31">
        <v>2016</v>
      </c>
      <c r="BK117" s="368" t="s">
        <v>2417</v>
      </c>
      <c r="BL117" s="368" t="s">
        <v>2418</v>
      </c>
      <c r="BM117" s="368" t="s">
        <v>2419</v>
      </c>
      <c r="BN117" s="363" t="s">
        <v>2420</v>
      </c>
      <c r="BO117" s="31">
        <v>2017</v>
      </c>
      <c r="BP117" s="363" t="s">
        <v>2244</v>
      </c>
      <c r="BQ117" s="363" t="s">
        <v>2245</v>
      </c>
      <c r="BR117" s="363" t="s">
        <v>2508</v>
      </c>
      <c r="BS117" s="363" t="s">
        <v>2509</v>
      </c>
      <c r="BT117" s="364">
        <v>2018</v>
      </c>
      <c r="BU117" s="363" t="s">
        <v>2510</v>
      </c>
      <c r="BV117" s="363" t="s">
        <v>2511</v>
      </c>
      <c r="BW117" s="363" t="s">
        <v>3125</v>
      </c>
      <c r="BX117" s="363" t="s">
        <v>1405</v>
      </c>
      <c r="BY117" s="364">
        <v>2019</v>
      </c>
      <c r="BZ117" s="363" t="s">
        <v>1406</v>
      </c>
      <c r="CA117" s="363" t="s">
        <v>1407</v>
      </c>
      <c r="CB117" s="363" t="s">
        <v>1408</v>
      </c>
      <c r="CC117" s="363" t="s">
        <v>1409</v>
      </c>
      <c r="CD117" s="364">
        <v>2020</v>
      </c>
      <c r="CE117" s="5"/>
      <c r="CF117" s="5"/>
      <c r="CG117" s="5"/>
      <c r="CH117" s="5"/>
      <c r="CI117" s="5"/>
    </row>
    <row r="118" spans="1:87">
      <c r="A118" s="39" t="s">
        <v>305</v>
      </c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  <c r="BM118" s="11"/>
      <c r="BN118" s="11"/>
      <c r="BO118" s="11"/>
      <c r="BP118" s="11"/>
      <c r="BQ118" s="11"/>
      <c r="BR118" s="11"/>
      <c r="BS118" s="11"/>
      <c r="BT118" s="11"/>
      <c r="BU118" s="11"/>
      <c r="BV118" s="11"/>
      <c r="BW118" s="11"/>
      <c r="BX118" s="11"/>
      <c r="BY118" s="11"/>
      <c r="BZ118" s="11"/>
      <c r="CA118" s="11"/>
      <c r="CB118" s="11"/>
      <c r="CC118" s="11"/>
      <c r="CD118" s="11"/>
      <c r="CE118" s="5"/>
      <c r="CF118" s="5"/>
      <c r="CG118" s="5"/>
      <c r="CH118" s="5"/>
      <c r="CI118" s="5"/>
    </row>
    <row r="119" spans="1:87">
      <c r="A119" s="11"/>
      <c r="B119" s="11" t="s">
        <v>1281</v>
      </c>
      <c r="C119" s="11">
        <f t="shared" ref="C119:G121" si="20">SUM(C11,C65)</f>
        <v>1713</v>
      </c>
      <c r="D119" s="11">
        <f t="shared" si="20"/>
        <v>1550</v>
      </c>
      <c r="E119" s="11">
        <f t="shared" si="20"/>
        <v>1446</v>
      </c>
      <c r="F119" s="11">
        <f t="shared" si="20"/>
        <v>1174</v>
      </c>
      <c r="G119" s="11">
        <f t="shared" si="20"/>
        <v>1090</v>
      </c>
      <c r="H119" s="82"/>
      <c r="I119" s="82"/>
      <c r="J119" s="82"/>
      <c r="K119" s="82"/>
      <c r="L119" s="11">
        <f>SUM(L11,L65)</f>
        <v>936</v>
      </c>
      <c r="M119" s="82"/>
      <c r="N119" s="82"/>
      <c r="O119" s="82"/>
      <c r="P119" s="82"/>
      <c r="Q119" s="11">
        <f>SUM(Q11,Q65)</f>
        <v>768</v>
      </c>
      <c r="R119" s="82"/>
      <c r="S119" s="82"/>
      <c r="T119" s="82"/>
      <c r="U119" s="82"/>
      <c r="V119" s="11">
        <f>SUM(V11,V65)</f>
        <v>759</v>
      </c>
      <c r="W119" s="82"/>
      <c r="X119" s="82"/>
      <c r="Y119" s="82"/>
      <c r="Z119" s="82"/>
      <c r="AA119" s="11">
        <f>SUM(AA11,AA65)</f>
        <v>618</v>
      </c>
      <c r="AB119" s="82"/>
      <c r="AC119" s="82"/>
      <c r="AD119" s="82"/>
      <c r="AE119" s="82"/>
      <c r="AF119" s="11">
        <f>SUM(AF11,AF65)</f>
        <v>472</v>
      </c>
      <c r="AG119" s="82"/>
      <c r="AH119" s="82"/>
      <c r="AI119" s="82"/>
      <c r="AJ119" s="82"/>
      <c r="AK119" s="11">
        <f>SUM(AK11,AK65)</f>
        <v>355</v>
      </c>
      <c r="AL119" s="82"/>
      <c r="AM119" s="82"/>
      <c r="AN119" s="82"/>
      <c r="AO119" s="82"/>
      <c r="AP119" s="11">
        <f>SUM(AP11,AP65)</f>
        <v>414</v>
      </c>
      <c r="AQ119" s="82"/>
      <c r="AR119" s="82"/>
      <c r="AS119" s="82"/>
      <c r="AT119" s="82"/>
      <c r="AU119" s="11">
        <f>SUM(AU11,AU65)</f>
        <v>157</v>
      </c>
      <c r="AV119" s="82"/>
      <c r="AW119" s="82"/>
      <c r="AX119" s="82"/>
      <c r="AY119" s="82"/>
      <c r="AZ119" s="11">
        <f>SUM(AZ11,AZ65)</f>
        <v>71</v>
      </c>
      <c r="BA119" s="82"/>
      <c r="BB119" s="82"/>
      <c r="BC119" s="82"/>
      <c r="BD119" s="82"/>
      <c r="BE119" s="11">
        <f>SUM(BE11,BE65)</f>
        <v>155</v>
      </c>
      <c r="BF119" s="82"/>
      <c r="BG119" s="82"/>
      <c r="BH119" s="82"/>
      <c r="BI119" s="82"/>
      <c r="BJ119" s="11">
        <f>SUM(BJ11,BJ65)</f>
        <v>170</v>
      </c>
      <c r="BK119" s="82"/>
      <c r="BL119" s="82"/>
      <c r="BM119" s="82"/>
      <c r="BN119" s="82"/>
      <c r="BO119" s="11">
        <f>SUM(BO11,BO65)</f>
        <v>182</v>
      </c>
      <c r="BP119" s="82"/>
      <c r="BQ119" s="82"/>
      <c r="BR119" s="82"/>
      <c r="BS119" s="82"/>
      <c r="BT119" s="82"/>
      <c r="BU119" s="82"/>
      <c r="BV119" s="82"/>
      <c r="BW119" s="82"/>
      <c r="BX119" s="82"/>
      <c r="BY119" s="82"/>
      <c r="BZ119" s="82"/>
      <c r="CA119" s="82"/>
      <c r="CB119" s="82"/>
      <c r="CC119" s="82"/>
      <c r="CD119" s="82"/>
      <c r="CE119" s="5"/>
      <c r="CF119" s="5"/>
      <c r="CG119" s="5"/>
      <c r="CH119" s="5"/>
      <c r="CI119" s="5"/>
    </row>
    <row r="120" spans="1:87">
      <c r="A120" s="11"/>
      <c r="B120" s="11" t="s">
        <v>1745</v>
      </c>
      <c r="C120" s="11">
        <f t="shared" si="20"/>
        <v>48</v>
      </c>
      <c r="D120" s="11">
        <f t="shared" si="20"/>
        <v>60</v>
      </c>
      <c r="E120" s="11">
        <f t="shared" si="20"/>
        <v>52</v>
      </c>
      <c r="F120" s="11">
        <f t="shared" si="20"/>
        <v>45</v>
      </c>
      <c r="G120" s="11">
        <f t="shared" si="20"/>
        <v>46</v>
      </c>
      <c r="H120" s="82"/>
      <c r="I120" s="82"/>
      <c r="J120" s="82"/>
      <c r="K120" s="82"/>
      <c r="L120" s="11">
        <f>SUM(L12,L66)</f>
        <v>35</v>
      </c>
      <c r="M120" s="82"/>
      <c r="N120" s="82"/>
      <c r="O120" s="82"/>
      <c r="P120" s="82"/>
      <c r="Q120" s="11">
        <f>SUM(Q12,Q66)</f>
        <v>26</v>
      </c>
      <c r="R120" s="82"/>
      <c r="S120" s="82"/>
      <c r="T120" s="82"/>
      <c r="U120" s="82"/>
      <c r="V120" s="11">
        <f>SUM(V12,V66)</f>
        <v>23</v>
      </c>
      <c r="W120" s="82"/>
      <c r="X120" s="82"/>
      <c r="Y120" s="82"/>
      <c r="Z120" s="82"/>
      <c r="AA120" s="11">
        <f>SUM(AA12,AA66)</f>
        <v>16</v>
      </c>
      <c r="AB120" s="82"/>
      <c r="AC120" s="82"/>
      <c r="AD120" s="82"/>
      <c r="AE120" s="82"/>
      <c r="AF120" s="11">
        <f>SUM(AF12,AF66)</f>
        <v>15</v>
      </c>
      <c r="AG120" s="82"/>
      <c r="AH120" s="82"/>
      <c r="AI120" s="82"/>
      <c r="AJ120" s="82"/>
      <c r="AK120" s="11">
        <f>SUM(AK12,AK66)</f>
        <v>13</v>
      </c>
      <c r="AL120" s="82"/>
      <c r="AM120" s="82"/>
      <c r="AN120" s="82"/>
      <c r="AO120" s="82"/>
      <c r="AP120" s="11">
        <f>SUM(AP12,AP66)</f>
        <v>8</v>
      </c>
      <c r="AQ120" s="82"/>
      <c r="AR120" s="82"/>
      <c r="AS120" s="82"/>
      <c r="AT120" s="82"/>
      <c r="AU120" s="11">
        <f>SUM(AU12,AU66)</f>
        <v>80</v>
      </c>
      <c r="AV120" s="82"/>
      <c r="AW120" s="82"/>
      <c r="AX120" s="82"/>
      <c r="AY120" s="82"/>
      <c r="AZ120" s="11">
        <f>SUM(AZ12,AZ66)</f>
        <v>102</v>
      </c>
      <c r="BA120" s="82"/>
      <c r="BB120" s="82"/>
      <c r="BC120" s="82"/>
      <c r="BD120" s="82"/>
      <c r="BE120" s="11">
        <f>SUM(BE12,BE66)</f>
        <v>111</v>
      </c>
      <c r="BF120" s="82"/>
      <c r="BG120" s="82"/>
      <c r="BH120" s="82"/>
      <c r="BI120" s="82"/>
      <c r="BJ120" s="11">
        <f>SUM(BJ12,BJ66)</f>
        <v>94</v>
      </c>
      <c r="BK120" s="82"/>
      <c r="BL120" s="82"/>
      <c r="BM120" s="82"/>
      <c r="BN120" s="82"/>
      <c r="BO120" s="11">
        <f>SUM(BO12,BO66)</f>
        <v>53</v>
      </c>
      <c r="BP120" s="82"/>
      <c r="BQ120" s="82"/>
      <c r="BR120" s="82"/>
      <c r="BS120" s="82"/>
      <c r="BT120" s="82"/>
      <c r="BU120" s="82"/>
      <c r="BV120" s="82"/>
      <c r="BW120" s="82"/>
      <c r="BX120" s="82"/>
      <c r="BY120" s="82"/>
      <c r="BZ120" s="82"/>
      <c r="CA120" s="82"/>
      <c r="CB120" s="82"/>
      <c r="CC120" s="82"/>
      <c r="CD120" s="82"/>
      <c r="CE120" s="5"/>
      <c r="CF120" s="5"/>
      <c r="CG120" s="5"/>
      <c r="CH120" s="5"/>
      <c r="CI120" s="5"/>
    </row>
    <row r="121" spans="1:87">
      <c r="A121" s="11"/>
      <c r="B121" s="11" t="s">
        <v>139</v>
      </c>
      <c r="C121" s="11">
        <f t="shared" si="20"/>
        <v>99</v>
      </c>
      <c r="D121" s="11">
        <f t="shared" si="20"/>
        <v>87</v>
      </c>
      <c r="E121" s="11">
        <f t="shared" si="20"/>
        <v>67</v>
      </c>
      <c r="F121" s="11">
        <f t="shared" si="20"/>
        <v>80</v>
      </c>
      <c r="G121" s="11">
        <f t="shared" si="20"/>
        <v>62</v>
      </c>
      <c r="H121" s="82"/>
      <c r="I121" s="82"/>
      <c r="J121" s="82"/>
      <c r="K121" s="82"/>
      <c r="L121" s="11">
        <f>SUM(L13,L67)</f>
        <v>56</v>
      </c>
      <c r="M121" s="82"/>
      <c r="N121" s="82"/>
      <c r="O121" s="82"/>
      <c r="P121" s="82"/>
      <c r="Q121" s="11">
        <f>SUM(Q13,Q67)</f>
        <v>3</v>
      </c>
      <c r="R121" s="82"/>
      <c r="S121" s="82"/>
      <c r="T121" s="82"/>
      <c r="U121" s="82"/>
      <c r="V121" s="11">
        <f>SUM(V13,V67)</f>
        <v>0</v>
      </c>
      <c r="W121" s="82"/>
      <c r="X121" s="82"/>
      <c r="Y121" s="82"/>
      <c r="Z121" s="82"/>
      <c r="AA121" s="11">
        <f>SUM(AA13,AA67)</f>
        <v>0</v>
      </c>
      <c r="AB121" s="82"/>
      <c r="AC121" s="82"/>
      <c r="AD121" s="82"/>
      <c r="AE121" s="82"/>
      <c r="AF121" s="11">
        <f>SUM(AF13,AF67)</f>
        <v>0</v>
      </c>
      <c r="AG121" s="82"/>
      <c r="AH121" s="82"/>
      <c r="AI121" s="82"/>
      <c r="AJ121" s="82"/>
      <c r="AK121" s="11">
        <f>SUM(AK13,AK67)</f>
        <v>0</v>
      </c>
      <c r="AL121" s="82"/>
      <c r="AM121" s="82"/>
      <c r="AN121" s="82"/>
      <c r="AO121" s="82"/>
      <c r="AP121" s="11">
        <f>SUM(AP13,AP67)</f>
        <v>0</v>
      </c>
      <c r="AQ121" s="82"/>
      <c r="AR121" s="82"/>
      <c r="AS121" s="82"/>
      <c r="AT121" s="82"/>
      <c r="AU121" s="11">
        <f>SUM(AU13,AU67)</f>
        <v>0</v>
      </c>
      <c r="AV121" s="82"/>
      <c r="AW121" s="82"/>
      <c r="AX121" s="82"/>
      <c r="AY121" s="82"/>
      <c r="AZ121" s="11">
        <f>SUM(AZ13,AZ67)</f>
        <v>0</v>
      </c>
      <c r="BA121" s="82"/>
      <c r="BB121" s="82"/>
      <c r="BC121" s="82"/>
      <c r="BD121" s="82"/>
      <c r="BE121" s="11">
        <f>SUM(BE13,BE67)</f>
        <v>0</v>
      </c>
      <c r="BF121" s="82"/>
      <c r="BG121" s="82"/>
      <c r="BH121" s="82"/>
      <c r="BI121" s="82"/>
      <c r="BJ121" s="11">
        <f>SUM(BJ13,BJ67)</f>
        <v>0</v>
      </c>
      <c r="BK121" s="82"/>
      <c r="BL121" s="82"/>
      <c r="BM121" s="82"/>
      <c r="BN121" s="82"/>
      <c r="BO121" s="11">
        <f>SUM(BO13,BO67)</f>
        <v>0</v>
      </c>
      <c r="BP121" s="82"/>
      <c r="BQ121" s="82"/>
      <c r="BR121" s="82"/>
      <c r="BS121" s="82"/>
      <c r="BT121" s="82"/>
      <c r="BU121" s="82"/>
      <c r="BV121" s="82"/>
      <c r="BW121" s="82"/>
      <c r="BX121" s="82"/>
      <c r="BY121" s="82"/>
      <c r="BZ121" s="82"/>
      <c r="CA121" s="82"/>
      <c r="CB121" s="82"/>
      <c r="CC121" s="82"/>
      <c r="CD121" s="82"/>
      <c r="CE121" s="5"/>
      <c r="CF121" s="5"/>
      <c r="CG121" s="5"/>
      <c r="CH121" s="5"/>
      <c r="CI121" s="5"/>
    </row>
    <row r="122" spans="1:87">
      <c r="A122" s="39" t="s">
        <v>309</v>
      </c>
      <c r="B122" s="39"/>
      <c r="C122" s="39">
        <f t="shared" ref="C122:L122" si="21">SUM(C119:C121)</f>
        <v>1860</v>
      </c>
      <c r="D122" s="39">
        <f t="shared" si="21"/>
        <v>1697</v>
      </c>
      <c r="E122" s="39">
        <f t="shared" si="21"/>
        <v>1565</v>
      </c>
      <c r="F122" s="39">
        <f t="shared" si="21"/>
        <v>1299</v>
      </c>
      <c r="G122" s="39">
        <f t="shared" si="21"/>
        <v>1198</v>
      </c>
      <c r="H122" s="83"/>
      <c r="I122" s="83"/>
      <c r="J122" s="83"/>
      <c r="K122" s="83"/>
      <c r="L122" s="39">
        <f t="shared" si="21"/>
        <v>1027</v>
      </c>
      <c r="M122" s="80">
        <v>948</v>
      </c>
      <c r="N122" s="80">
        <v>753</v>
      </c>
      <c r="O122" s="80">
        <v>608</v>
      </c>
      <c r="P122" s="80">
        <v>879</v>
      </c>
      <c r="Q122" s="39">
        <v>797</v>
      </c>
      <c r="R122" s="80">
        <v>996</v>
      </c>
      <c r="S122" s="80">
        <v>744</v>
      </c>
      <c r="T122" s="80">
        <v>527</v>
      </c>
      <c r="U122" s="80">
        <v>858</v>
      </c>
      <c r="V122" s="39">
        <v>782</v>
      </c>
      <c r="W122" s="80">
        <v>838</v>
      </c>
      <c r="X122" s="80">
        <v>645</v>
      </c>
      <c r="Y122" s="80">
        <v>473</v>
      </c>
      <c r="Z122" s="80">
        <v>583</v>
      </c>
      <c r="AA122" s="39">
        <v>634</v>
      </c>
      <c r="AB122" s="80">
        <v>599</v>
      </c>
      <c r="AC122" s="80">
        <v>551</v>
      </c>
      <c r="AD122" s="80">
        <v>412</v>
      </c>
      <c r="AE122" s="80">
        <v>390</v>
      </c>
      <c r="AF122" s="39">
        <v>487</v>
      </c>
      <c r="AG122" s="80">
        <v>373</v>
      </c>
      <c r="AH122" s="80">
        <v>391</v>
      </c>
      <c r="AI122" s="357">
        <v>214</v>
      </c>
      <c r="AJ122" s="80">
        <v>497</v>
      </c>
      <c r="AK122" s="39">
        <f>+SUM(AK119:AK121)</f>
        <v>368</v>
      </c>
      <c r="AL122" s="80">
        <v>500</v>
      </c>
      <c r="AM122" s="80">
        <v>478</v>
      </c>
      <c r="AN122" s="80">
        <v>339</v>
      </c>
      <c r="AO122" s="80">
        <v>371</v>
      </c>
      <c r="AP122" s="39">
        <f>+SUM(AP119:AP121)</f>
        <v>422</v>
      </c>
      <c r="AQ122" s="80">
        <v>329</v>
      </c>
      <c r="AR122" s="80">
        <v>286</v>
      </c>
      <c r="AS122" s="80">
        <v>146</v>
      </c>
      <c r="AT122" s="80">
        <v>190</v>
      </c>
      <c r="AU122" s="39">
        <f>+SUM(AU119:AU121)</f>
        <v>237</v>
      </c>
      <c r="AV122" s="80">
        <v>199</v>
      </c>
      <c r="AW122" s="80">
        <v>166</v>
      </c>
      <c r="AX122" s="80">
        <v>164</v>
      </c>
      <c r="AY122" s="80">
        <v>163</v>
      </c>
      <c r="AZ122" s="39">
        <f>+SUM(AZ119:AZ121)</f>
        <v>173</v>
      </c>
      <c r="BA122" s="80">
        <v>264</v>
      </c>
      <c r="BB122" s="80">
        <v>281</v>
      </c>
      <c r="BC122" s="80">
        <v>232</v>
      </c>
      <c r="BD122" s="80">
        <v>287</v>
      </c>
      <c r="BE122" s="39">
        <f>+SUM(BE119:BE121)</f>
        <v>266</v>
      </c>
      <c r="BF122" s="80">
        <v>289</v>
      </c>
      <c r="BG122" s="80">
        <v>238</v>
      </c>
      <c r="BH122" s="80">
        <v>262</v>
      </c>
      <c r="BI122" s="68">
        <v>268</v>
      </c>
      <c r="BJ122" s="39">
        <f>+SUM(BJ119:BJ121)</f>
        <v>264</v>
      </c>
      <c r="BK122" s="357">
        <v>263</v>
      </c>
      <c r="BL122" s="357">
        <v>274</v>
      </c>
      <c r="BM122" s="357">
        <v>217</v>
      </c>
      <c r="BN122" s="357">
        <v>186</v>
      </c>
      <c r="BO122" s="39">
        <f>SUM(BO14,BO68)</f>
        <v>235</v>
      </c>
      <c r="BP122" s="357">
        <f>BP291+BP345</f>
        <v>256.24196423383557</v>
      </c>
      <c r="BQ122" s="357">
        <f>BQ291+BQ345</f>
        <v>192.44326110315373</v>
      </c>
      <c r="BR122" s="357">
        <f>BR291+BR345</f>
        <v>122.3969332972006</v>
      </c>
      <c r="BS122" s="357">
        <f>BS291+BS345</f>
        <v>176.80184136581008</v>
      </c>
      <c r="BT122" s="54">
        <f>AVERAGE(BP122:BS122)</f>
        <v>186.971</v>
      </c>
      <c r="BU122" s="80">
        <f>BU291+BU345</f>
        <v>268.82402654846402</v>
      </c>
      <c r="BV122" s="80">
        <f>BV291+BV345</f>
        <v>224.84069429333294</v>
      </c>
      <c r="BW122" s="80">
        <f>BW291+BW345</f>
        <v>145.43415076108988</v>
      </c>
      <c r="BX122" s="80">
        <f>BX291+BX345</f>
        <v>207.10912839711318</v>
      </c>
      <c r="BY122" s="39">
        <f>AVERAGE(BU122:BX122)</f>
        <v>211.55200000000002</v>
      </c>
      <c r="BZ122" s="80">
        <f>BZ291+BZ345</f>
        <v>381.88105082783085</v>
      </c>
      <c r="CA122" s="80">
        <f>CA291+CA345</f>
        <v>322.3009496701531</v>
      </c>
      <c r="CB122" s="80">
        <f>CB291+CB345</f>
        <v>214.73634158658376</v>
      </c>
      <c r="CC122" s="80">
        <f>CC291+CC345</f>
        <v>298.28165791543256</v>
      </c>
      <c r="CD122" s="39">
        <f>AVERAGE(BZ122:CC122)</f>
        <v>304.30000000000007</v>
      </c>
      <c r="CE122" s="5"/>
      <c r="CG122" s="5"/>
      <c r="CH122" s="5"/>
      <c r="CI122" s="5"/>
    </row>
    <row r="123" spans="1:87">
      <c r="A123" s="11"/>
      <c r="B123" s="11"/>
      <c r="C123" s="11"/>
      <c r="D123" s="11"/>
      <c r="E123" s="11"/>
      <c r="F123" s="11"/>
      <c r="G123" s="11"/>
      <c r="H123" s="82"/>
      <c r="I123" s="82"/>
      <c r="J123" s="82"/>
      <c r="K123" s="82"/>
      <c r="L123" s="11"/>
      <c r="M123" s="68"/>
      <c r="N123" s="68"/>
      <c r="O123" s="68"/>
      <c r="P123" s="68"/>
      <c r="Q123" s="11"/>
      <c r="R123" s="68"/>
      <c r="S123" s="68"/>
      <c r="T123" s="68"/>
      <c r="U123" s="68"/>
      <c r="V123" s="11"/>
      <c r="W123" s="68"/>
      <c r="X123" s="68"/>
      <c r="Y123" s="68"/>
      <c r="Z123" s="68"/>
      <c r="AA123" s="11"/>
      <c r="AB123" s="68"/>
      <c r="AC123" s="68"/>
      <c r="AD123" s="68"/>
      <c r="AE123" s="68"/>
      <c r="AF123" s="11"/>
      <c r="AG123" s="68"/>
      <c r="AH123" s="68"/>
      <c r="AI123" s="239"/>
      <c r="AJ123" s="68"/>
      <c r="AK123" s="11"/>
      <c r="AL123" s="68"/>
      <c r="AM123" s="68"/>
      <c r="AN123" s="68"/>
      <c r="AO123" s="68"/>
      <c r="AP123" s="11"/>
      <c r="AQ123" s="68"/>
      <c r="AR123" s="498"/>
      <c r="AS123" s="68"/>
      <c r="AT123" s="68"/>
      <c r="AU123" s="11"/>
      <c r="AV123" s="68"/>
      <c r="AW123" s="68"/>
      <c r="AX123" s="68"/>
      <c r="AY123" s="68"/>
      <c r="AZ123" s="11"/>
      <c r="BA123" s="68"/>
      <c r="BB123" s="68"/>
      <c r="BC123" s="68"/>
      <c r="BD123" s="68"/>
      <c r="BE123" s="11"/>
      <c r="BF123" s="498"/>
      <c r="BG123" s="498"/>
      <c r="BH123" s="498"/>
      <c r="BI123" s="498"/>
      <c r="BJ123" s="11"/>
      <c r="BK123" s="748"/>
      <c r="BL123" s="748"/>
      <c r="BM123" s="748"/>
      <c r="BN123" s="748"/>
      <c r="BO123" s="11"/>
      <c r="BP123" s="748"/>
      <c r="BQ123" s="748"/>
      <c r="BR123" s="748"/>
      <c r="BS123" s="748"/>
      <c r="BT123" s="748"/>
      <c r="BU123" s="498"/>
      <c r="BV123" s="498"/>
      <c r="BW123" s="498"/>
      <c r="BX123" s="498"/>
      <c r="BY123" s="498"/>
      <c r="BZ123" s="498"/>
      <c r="CA123" s="498"/>
      <c r="CB123" s="498"/>
      <c r="CC123" s="498"/>
      <c r="CD123" s="498"/>
      <c r="CE123" s="5"/>
      <c r="CF123" s="5"/>
      <c r="CG123" s="5"/>
      <c r="CH123" s="5"/>
      <c r="CI123" s="5"/>
    </row>
    <row r="124" spans="1:87">
      <c r="A124" s="39" t="s">
        <v>310</v>
      </c>
      <c r="B124" s="11"/>
      <c r="C124" s="5"/>
      <c r="D124" s="5"/>
      <c r="E124" s="5"/>
      <c r="F124" s="5"/>
      <c r="G124" s="5"/>
      <c r="H124" s="82"/>
      <c r="I124" s="82"/>
      <c r="J124" s="82"/>
      <c r="K124" s="82"/>
      <c r="L124" s="5"/>
      <c r="M124" s="68"/>
      <c r="N124" s="68"/>
      <c r="O124" s="68"/>
      <c r="P124" s="68"/>
      <c r="Q124" s="5"/>
      <c r="R124" s="68"/>
      <c r="S124" s="68"/>
      <c r="T124" s="68"/>
      <c r="U124" s="68"/>
      <c r="V124" s="5"/>
      <c r="W124" s="68"/>
      <c r="X124" s="68"/>
      <c r="Y124" s="68"/>
      <c r="Z124" s="68"/>
      <c r="AA124" s="5"/>
      <c r="AB124" s="68"/>
      <c r="AC124" s="68"/>
      <c r="AD124" s="68"/>
      <c r="AE124" s="68"/>
      <c r="AF124" s="5"/>
      <c r="AG124" s="68"/>
      <c r="AH124" s="68"/>
      <c r="AI124" s="239"/>
      <c r="AJ124" s="68"/>
      <c r="AK124" s="11"/>
      <c r="AL124" s="68"/>
      <c r="AM124" s="68"/>
      <c r="AN124" s="68"/>
      <c r="AO124" s="68"/>
      <c r="AP124" s="11"/>
      <c r="AQ124" s="68"/>
      <c r="AR124" s="498"/>
      <c r="AS124" s="68"/>
      <c r="AT124" s="68"/>
      <c r="AU124" s="11"/>
      <c r="AV124" s="68"/>
      <c r="AW124" s="68"/>
      <c r="AX124" s="68"/>
      <c r="AY124" s="68"/>
      <c r="AZ124" s="11"/>
      <c r="BA124" s="68"/>
      <c r="BB124" s="68"/>
      <c r="BC124" s="68"/>
      <c r="BD124" s="68"/>
      <c r="BE124" s="11"/>
      <c r="BF124" s="68"/>
      <c r="BG124" s="68"/>
      <c r="BH124" s="68"/>
      <c r="BI124" s="68"/>
      <c r="BJ124" s="11"/>
      <c r="BK124" s="239"/>
      <c r="BL124" s="239"/>
      <c r="BM124" s="239"/>
      <c r="BN124" s="239"/>
      <c r="BO124" s="11"/>
      <c r="BP124" s="239"/>
      <c r="BQ124" s="239"/>
      <c r="BR124" s="239"/>
      <c r="BS124" s="239"/>
      <c r="BT124" s="55"/>
      <c r="BU124" s="68"/>
      <c r="BV124" s="68"/>
      <c r="BW124" s="68"/>
      <c r="BX124" s="68"/>
      <c r="BY124" s="11"/>
      <c r="BZ124" s="68"/>
      <c r="CA124" s="68"/>
      <c r="CB124" s="68"/>
      <c r="CC124" s="68"/>
      <c r="CD124" s="11"/>
      <c r="CE124" s="5"/>
      <c r="CF124" s="5"/>
      <c r="CG124" s="5"/>
      <c r="CH124" s="5"/>
      <c r="CI124" s="5"/>
    </row>
    <row r="125" spans="1:87">
      <c r="A125" s="11"/>
      <c r="B125" s="11" t="s">
        <v>728</v>
      </c>
      <c r="C125" s="11">
        <f t="shared" ref="C125:G126" si="22">SUM(C17,C71)</f>
        <v>3554</v>
      </c>
      <c r="D125" s="11">
        <f t="shared" si="22"/>
        <v>3483</v>
      </c>
      <c r="E125" s="11">
        <f t="shared" si="22"/>
        <v>3128</v>
      </c>
      <c r="F125" s="11">
        <f t="shared" si="22"/>
        <v>2749</v>
      </c>
      <c r="G125" s="11">
        <f t="shared" si="22"/>
        <v>2546</v>
      </c>
      <c r="H125" s="82"/>
      <c r="I125" s="82"/>
      <c r="J125" s="82"/>
      <c r="K125" s="82"/>
      <c r="L125" s="11">
        <f>SUM(L17,L71)</f>
        <v>2376</v>
      </c>
      <c r="M125" s="68">
        <v>2163</v>
      </c>
      <c r="N125" s="68">
        <v>2165</v>
      </c>
      <c r="O125" s="68">
        <v>2186</v>
      </c>
      <c r="P125" s="68">
        <v>2183</v>
      </c>
      <c r="Q125" s="11">
        <v>2174</v>
      </c>
      <c r="R125" s="68">
        <v>2149</v>
      </c>
      <c r="S125" s="68">
        <v>2140</v>
      </c>
      <c r="T125" s="68">
        <v>2094</v>
      </c>
      <c r="U125" s="68">
        <v>2243</v>
      </c>
      <c r="V125" s="11">
        <v>2157</v>
      </c>
      <c r="W125" s="68">
        <v>2335</v>
      </c>
      <c r="X125" s="68">
        <v>2339</v>
      </c>
      <c r="Y125" s="68">
        <v>2278</v>
      </c>
      <c r="Z125" s="68">
        <v>2313</v>
      </c>
      <c r="AA125" s="11">
        <v>2316</v>
      </c>
      <c r="AB125" s="68">
        <v>2221</v>
      </c>
      <c r="AC125" s="68">
        <v>2240</v>
      </c>
      <c r="AD125" s="68">
        <v>2190</v>
      </c>
      <c r="AE125" s="68">
        <v>2085</v>
      </c>
      <c r="AF125" s="11">
        <v>2184</v>
      </c>
      <c r="AG125" s="68">
        <v>1905</v>
      </c>
      <c r="AH125" s="68">
        <v>1833</v>
      </c>
      <c r="AI125" s="239">
        <v>1819</v>
      </c>
      <c r="AJ125" s="68">
        <v>1817</v>
      </c>
      <c r="AK125" s="11">
        <f>SUM(AK17,AK71)</f>
        <v>1843</v>
      </c>
      <c r="AL125" s="68">
        <v>1820</v>
      </c>
      <c r="AM125" s="68">
        <v>1648</v>
      </c>
      <c r="AN125" s="68">
        <v>1545</v>
      </c>
      <c r="AO125" s="68">
        <v>1593</v>
      </c>
      <c r="AP125" s="11">
        <f>SUM(AP17,AP71)</f>
        <v>1651</v>
      </c>
      <c r="AQ125" s="68">
        <v>1532</v>
      </c>
      <c r="AR125" s="68">
        <v>1573</v>
      </c>
      <c r="AS125" s="68">
        <v>1546</v>
      </c>
      <c r="AT125" s="68">
        <v>1507</v>
      </c>
      <c r="AU125" s="11">
        <f>SUM(AU17,AU71)</f>
        <v>1539</v>
      </c>
      <c r="AV125" s="68">
        <v>1478</v>
      </c>
      <c r="AW125" s="68">
        <v>1525</v>
      </c>
      <c r="AX125" s="68">
        <v>1546</v>
      </c>
      <c r="AY125" s="68">
        <v>1526</v>
      </c>
      <c r="AZ125" s="11">
        <f>SUM(AZ17,AZ71)</f>
        <v>1519</v>
      </c>
      <c r="BA125" s="68">
        <v>1517</v>
      </c>
      <c r="BB125" s="68">
        <v>1477</v>
      </c>
      <c r="BC125" s="68">
        <v>1569</v>
      </c>
      <c r="BD125" s="68">
        <v>1547</v>
      </c>
      <c r="BE125" s="11">
        <f>SUM(BE17,BE71)</f>
        <v>1528</v>
      </c>
      <c r="BF125" s="68">
        <v>1603</v>
      </c>
      <c r="BG125" s="68">
        <v>1666</v>
      </c>
      <c r="BH125" s="68">
        <v>1679</v>
      </c>
      <c r="BI125" s="68">
        <v>1675</v>
      </c>
      <c r="BJ125" s="11">
        <f>SUM(BJ17,BJ71)</f>
        <v>1656</v>
      </c>
      <c r="BK125" s="239">
        <v>1594</v>
      </c>
      <c r="BL125" s="239">
        <v>1576</v>
      </c>
      <c r="BM125" s="239">
        <v>1703</v>
      </c>
      <c r="BN125" s="239">
        <v>1759</v>
      </c>
      <c r="BO125" s="11">
        <f>SUM(BO17,BO71)</f>
        <v>1659</v>
      </c>
      <c r="BP125" s="239">
        <f t="shared" ref="BP125:BS126" si="23">BP294+BP348</f>
        <v>1701.0479188102017</v>
      </c>
      <c r="BQ125" s="239">
        <f t="shared" si="23"/>
        <v>1685.090180171404</v>
      </c>
      <c r="BR125" s="239">
        <f t="shared" si="23"/>
        <v>1657.7245917008368</v>
      </c>
      <c r="BS125" s="239">
        <f t="shared" si="23"/>
        <v>1662.0573093175572</v>
      </c>
      <c r="BT125" s="55">
        <f>AVERAGE(BP125:BS125)</f>
        <v>1676.48</v>
      </c>
      <c r="BU125" s="68">
        <f t="shared" ref="BU125:BX126" si="24">BU294+BU348</f>
        <v>1852.4305218131071</v>
      </c>
      <c r="BV125" s="68">
        <f t="shared" si="24"/>
        <v>1835.0096372621531</v>
      </c>
      <c r="BW125" s="68">
        <f t="shared" si="24"/>
        <v>1805.1349308137344</v>
      </c>
      <c r="BX125" s="68">
        <f t="shared" si="24"/>
        <v>1809.8649101110059</v>
      </c>
      <c r="BY125" s="11">
        <f>AVERAGE(BU125:BX125)</f>
        <v>1825.6100000000001</v>
      </c>
      <c r="BZ125" s="68">
        <f t="shared" ref="BZ125:CC126" si="25">BZ294+BZ348</f>
        <v>1905.0535630500854</v>
      </c>
      <c r="CA125" s="68">
        <f t="shared" si="25"/>
        <v>1887.1240653154246</v>
      </c>
      <c r="CB125" s="68">
        <f t="shared" si="25"/>
        <v>1856.3771488759123</v>
      </c>
      <c r="CC125" s="68">
        <f t="shared" si="25"/>
        <v>1861.2452227585773</v>
      </c>
      <c r="CD125" s="11">
        <f>AVERAGE(BZ125:CC125)</f>
        <v>1877.4499999999998</v>
      </c>
      <c r="CE125" s="5"/>
      <c r="CF125" s="5"/>
      <c r="CG125" s="5"/>
      <c r="CH125" s="5"/>
      <c r="CI125" s="5"/>
    </row>
    <row r="126" spans="1:87">
      <c r="A126" s="11"/>
      <c r="B126" s="11" t="s">
        <v>727</v>
      </c>
      <c r="C126" s="11">
        <f t="shared" si="22"/>
        <v>584</v>
      </c>
      <c r="D126" s="11">
        <f t="shared" si="22"/>
        <v>514</v>
      </c>
      <c r="E126" s="11">
        <f t="shared" si="22"/>
        <v>422</v>
      </c>
      <c r="F126" s="11">
        <f t="shared" si="22"/>
        <v>349</v>
      </c>
      <c r="G126" s="11">
        <f t="shared" si="22"/>
        <v>307</v>
      </c>
      <c r="H126" s="82"/>
      <c r="I126" s="82"/>
      <c r="J126" s="82"/>
      <c r="K126" s="82"/>
      <c r="L126" s="11">
        <f>SUM(L18,L72)</f>
        <v>282</v>
      </c>
      <c r="M126" s="82"/>
      <c r="N126" s="82"/>
      <c r="O126" s="82"/>
      <c r="P126" s="82"/>
      <c r="Q126" s="11">
        <f>SUM(Q18,Q72)</f>
        <v>255</v>
      </c>
      <c r="R126" s="82"/>
      <c r="S126" s="82"/>
      <c r="T126" s="82"/>
      <c r="U126" s="82"/>
      <c r="V126" s="11">
        <f>SUM(V18,V72)</f>
        <v>245</v>
      </c>
      <c r="W126" s="82"/>
      <c r="X126" s="82"/>
      <c r="Y126" s="82"/>
      <c r="Z126" s="82"/>
      <c r="AA126" s="11">
        <f>SUM(AA18,AA72)</f>
        <v>263</v>
      </c>
      <c r="AB126" s="82"/>
      <c r="AC126" s="82"/>
      <c r="AD126" s="82"/>
      <c r="AE126" s="82"/>
      <c r="AF126" s="11">
        <f>SUM(AF18,AF72)</f>
        <v>202</v>
      </c>
      <c r="AG126" s="82"/>
      <c r="AH126" s="82"/>
      <c r="AI126" s="82"/>
      <c r="AJ126" s="82"/>
      <c r="AK126" s="11">
        <f>SUM(AK18,AK72)</f>
        <v>14</v>
      </c>
      <c r="AL126" s="82"/>
      <c r="AM126" s="82"/>
      <c r="AN126" s="82"/>
      <c r="AO126" s="82"/>
      <c r="AP126" s="11">
        <f>SUM(AP18,AP72)</f>
        <v>13</v>
      </c>
      <c r="AQ126" s="82"/>
      <c r="AR126" s="82"/>
      <c r="AS126" s="82"/>
      <c r="AT126" s="82"/>
      <c r="AU126" s="11">
        <f>SUM(AU18,AU72)</f>
        <v>11</v>
      </c>
      <c r="AV126" s="82"/>
      <c r="AW126" s="82"/>
      <c r="AX126" s="82"/>
      <c r="AY126" s="82"/>
      <c r="AZ126" s="11">
        <f>SUM(AZ18,AZ72)</f>
        <v>10</v>
      </c>
      <c r="BA126" s="82"/>
      <c r="BB126" s="82"/>
      <c r="BC126" s="82"/>
      <c r="BD126" s="82"/>
      <c r="BE126" s="11">
        <f>SUM(BE18,BE72)</f>
        <v>10</v>
      </c>
      <c r="BF126" s="82"/>
      <c r="BG126" s="82"/>
      <c r="BH126" s="82"/>
      <c r="BI126" s="82"/>
      <c r="BJ126" s="11">
        <f>SUM(BJ18,BJ72)</f>
        <v>10</v>
      </c>
      <c r="BK126" s="82"/>
      <c r="BL126" s="82"/>
      <c r="BM126" s="82"/>
      <c r="BN126" s="82"/>
      <c r="BO126" s="11">
        <f>SUM(BO18,BO72)</f>
        <v>9</v>
      </c>
      <c r="BP126" s="239">
        <f t="shared" si="23"/>
        <v>7.6627118237245622</v>
      </c>
      <c r="BQ126" s="239">
        <f t="shared" si="23"/>
        <v>7.4604336534619433</v>
      </c>
      <c r="BR126" s="239">
        <f t="shared" si="23"/>
        <v>7.5131449337974825</v>
      </c>
      <c r="BS126" s="239">
        <f t="shared" si="23"/>
        <v>7.6037095890160096</v>
      </c>
      <c r="BT126" s="55">
        <f>AVERAGE(BP126:BS126)</f>
        <v>7.56</v>
      </c>
      <c r="BU126" s="68">
        <f t="shared" si="24"/>
        <v>7.064695953883624</v>
      </c>
      <c r="BV126" s="68">
        <f t="shared" si="24"/>
        <v>6.8782040429404425</v>
      </c>
      <c r="BW126" s="68">
        <f t="shared" si="24"/>
        <v>6.9268016122445042</v>
      </c>
      <c r="BX126" s="68">
        <f t="shared" si="24"/>
        <v>7.0102983909314283</v>
      </c>
      <c r="BY126" s="11">
        <f>AVERAGE(BU126:BX126)</f>
        <v>6.97</v>
      </c>
      <c r="BZ126" s="68">
        <f t="shared" si="25"/>
        <v>6.5579028438489306</v>
      </c>
      <c r="CA126" s="68">
        <f t="shared" si="25"/>
        <v>6.384789118769679</v>
      </c>
      <c r="CB126" s="68">
        <f t="shared" si="25"/>
        <v>6.4299004922843528</v>
      </c>
      <c r="CC126" s="68">
        <f t="shared" si="25"/>
        <v>6.5074075450970348</v>
      </c>
      <c r="CD126" s="11">
        <f>AVERAGE(BZ126:CC126)</f>
        <v>6.47</v>
      </c>
      <c r="CE126" s="5"/>
      <c r="CF126" s="5"/>
      <c r="CG126" s="5"/>
      <c r="CH126" s="5"/>
      <c r="CI126" s="5"/>
    </row>
    <row r="127" spans="1:87">
      <c r="A127" s="39" t="s">
        <v>1993</v>
      </c>
      <c r="B127" s="39"/>
      <c r="C127" s="39">
        <f>SUM(C125:C126)</f>
        <v>4138</v>
      </c>
      <c r="D127" s="39">
        <f>SUM(D125:D126)</f>
        <v>3997</v>
      </c>
      <c r="E127" s="39">
        <f>SUM(E125:E126)</f>
        <v>3550</v>
      </c>
      <c r="F127" s="39">
        <f>SUM(F125:F126)</f>
        <v>3098</v>
      </c>
      <c r="G127" s="39">
        <f>SUM(G125:G126)</f>
        <v>2853</v>
      </c>
      <c r="H127" s="83"/>
      <c r="I127" s="83"/>
      <c r="J127" s="83"/>
      <c r="K127" s="83"/>
      <c r="L127" s="39">
        <f>SUM(L125:L126)</f>
        <v>2658</v>
      </c>
      <c r="M127" s="83"/>
      <c r="N127" s="83"/>
      <c r="O127" s="83"/>
      <c r="P127" s="83"/>
      <c r="Q127" s="39">
        <f>SUM(Q125:Q126)</f>
        <v>2429</v>
      </c>
      <c r="R127" s="83"/>
      <c r="S127" s="83"/>
      <c r="T127" s="83"/>
      <c r="U127" s="83"/>
      <c r="V127" s="39">
        <f>SUM(V125:V126)</f>
        <v>2402</v>
      </c>
      <c r="W127" s="83"/>
      <c r="X127" s="83"/>
      <c r="Y127" s="83"/>
      <c r="Z127" s="83"/>
      <c r="AA127" s="39">
        <f>SUM(AA125:AA126)</f>
        <v>2579</v>
      </c>
      <c r="AB127" s="83"/>
      <c r="AC127" s="83"/>
      <c r="AD127" s="83"/>
      <c r="AE127" s="83"/>
      <c r="AF127" s="39">
        <f>SUM(AF125:AF126)</f>
        <v>2386</v>
      </c>
      <c r="AG127" s="83"/>
      <c r="AH127" s="83"/>
      <c r="AI127" s="83"/>
      <c r="AJ127" s="83"/>
      <c r="AK127" s="39">
        <f>SUM(AK125:AK126)</f>
        <v>1857</v>
      </c>
      <c r="AL127" s="83"/>
      <c r="AM127" s="83"/>
      <c r="AN127" s="83"/>
      <c r="AO127" s="83"/>
      <c r="AP127" s="39">
        <f>SUM(AP125:AP126)</f>
        <v>1664</v>
      </c>
      <c r="AQ127" s="83"/>
      <c r="AR127" s="83"/>
      <c r="AS127" s="83"/>
      <c r="AT127" s="83"/>
      <c r="AU127" s="39">
        <f>SUM(AU125:AU126)</f>
        <v>1550</v>
      </c>
      <c r="AV127" s="83"/>
      <c r="AW127" s="83"/>
      <c r="AX127" s="83"/>
      <c r="AY127" s="83"/>
      <c r="AZ127" s="39">
        <f>SUM(AZ125:AZ126)</f>
        <v>1529</v>
      </c>
      <c r="BA127" s="83"/>
      <c r="BB127" s="83"/>
      <c r="BC127" s="83"/>
      <c r="BD127" s="83"/>
      <c r="BE127" s="39">
        <f>SUM(BE125:BE126)</f>
        <v>1538</v>
      </c>
      <c r="BF127" s="83"/>
      <c r="BG127" s="83"/>
      <c r="BH127" s="83"/>
      <c r="BI127" s="83"/>
      <c r="BJ127" s="39">
        <f>SUM(BJ125:BJ126)</f>
        <v>1666</v>
      </c>
      <c r="BK127" s="83"/>
      <c r="BL127" s="83"/>
      <c r="BM127" s="83"/>
      <c r="BN127" s="83"/>
      <c r="BO127" s="39">
        <f>SUM(BO19,BO73)</f>
        <v>1667</v>
      </c>
      <c r="BP127" s="335">
        <f>SUM(BP125:BP126)</f>
        <v>1708.7106306339263</v>
      </c>
      <c r="BQ127" s="335">
        <f>SUM(BQ125:BQ126)</f>
        <v>1692.5506138248659</v>
      </c>
      <c r="BR127" s="335">
        <f>SUM(BR125:BR126)</f>
        <v>1665.2377366346343</v>
      </c>
      <c r="BS127" s="335">
        <f>SUM(BS125:BS126)</f>
        <v>1669.6610189065732</v>
      </c>
      <c r="BT127" s="54">
        <f>AVERAGE(BP127:BS127)</f>
        <v>1684.04</v>
      </c>
      <c r="BU127" s="79">
        <f>SUM(BU125:BU126)</f>
        <v>1859.4952177669907</v>
      </c>
      <c r="BV127" s="79">
        <f>SUM(BV125:BV126)</f>
        <v>1841.8878413050936</v>
      </c>
      <c r="BW127" s="79">
        <f>SUM(BW125:BW126)</f>
        <v>1812.061732425979</v>
      </c>
      <c r="BX127" s="79">
        <f>SUM(BX125:BX126)</f>
        <v>1816.8752085019373</v>
      </c>
      <c r="BY127" s="39">
        <f>AVERAGE(BU127:BX127)</f>
        <v>1832.5800000000004</v>
      </c>
      <c r="BZ127" s="79">
        <f>SUM(BZ125:BZ126)</f>
        <v>1911.6114658939343</v>
      </c>
      <c r="CA127" s="79">
        <f>SUM(CA125:CA126)</f>
        <v>1893.5088544341943</v>
      </c>
      <c r="CB127" s="79">
        <f>SUM(CB125:CB126)</f>
        <v>1862.8070493681967</v>
      </c>
      <c r="CC127" s="79">
        <f>SUM(CC125:CC126)</f>
        <v>1867.7526303036743</v>
      </c>
      <c r="CD127" s="39">
        <f>AVERAGE(BZ127:CC127)</f>
        <v>1883.9199999999996</v>
      </c>
      <c r="CE127" s="5"/>
      <c r="CF127" s="5"/>
      <c r="CG127" s="5"/>
      <c r="CH127" s="5"/>
      <c r="CI127" s="5"/>
    </row>
    <row r="128" spans="1:87">
      <c r="A128" s="11"/>
      <c r="B128" s="11"/>
      <c r="C128" s="11"/>
      <c r="D128" s="11"/>
      <c r="E128" s="11"/>
      <c r="F128" s="11"/>
      <c r="G128" s="11"/>
      <c r="H128" s="82"/>
      <c r="I128" s="82"/>
      <c r="J128" s="82"/>
      <c r="K128" s="82"/>
      <c r="L128" s="11"/>
      <c r="M128" s="68"/>
      <c r="N128" s="68"/>
      <c r="O128" s="68"/>
      <c r="P128" s="68"/>
      <c r="Q128" s="11"/>
      <c r="R128" s="68"/>
      <c r="S128" s="68"/>
      <c r="T128" s="68"/>
      <c r="U128" s="68"/>
      <c r="V128" s="11"/>
      <c r="W128" s="68"/>
      <c r="X128" s="68"/>
      <c r="Y128" s="68"/>
      <c r="Z128" s="68"/>
      <c r="AA128" s="11"/>
      <c r="AB128" s="68"/>
      <c r="AC128" s="68"/>
      <c r="AD128" s="68"/>
      <c r="AE128" s="68"/>
      <c r="AF128" s="11"/>
      <c r="AG128" s="68"/>
      <c r="AH128" s="68"/>
      <c r="AI128" s="68"/>
      <c r="AJ128" s="68"/>
      <c r="AK128" s="11"/>
      <c r="AL128" s="68"/>
      <c r="AM128" s="68"/>
      <c r="AN128" s="68"/>
      <c r="AO128" s="68"/>
      <c r="AP128" s="11"/>
      <c r="AQ128" s="68"/>
      <c r="AR128" s="68"/>
      <c r="AS128" s="68"/>
      <c r="AT128" s="68"/>
      <c r="AU128" s="11"/>
      <c r="AV128" s="68"/>
      <c r="AW128" s="68"/>
      <c r="AX128" s="68"/>
      <c r="AY128" s="68"/>
      <c r="AZ128" s="11"/>
      <c r="BA128" s="68"/>
      <c r="BB128" s="68"/>
      <c r="BC128" s="68"/>
      <c r="BD128" s="68"/>
      <c r="BE128" s="11"/>
      <c r="BF128" s="68"/>
      <c r="BG128" s="68"/>
      <c r="BH128" s="68"/>
      <c r="BI128" s="68"/>
      <c r="BJ128" s="11"/>
      <c r="BK128" s="68"/>
      <c r="BL128" s="68"/>
      <c r="BM128" s="68"/>
      <c r="BN128" s="68"/>
      <c r="BO128" s="11"/>
      <c r="BP128" s="748"/>
      <c r="BQ128" s="748"/>
      <c r="BR128" s="748"/>
      <c r="BS128" s="748"/>
      <c r="BT128" s="748"/>
      <c r="BU128" s="498"/>
      <c r="BV128" s="498"/>
      <c r="BW128" s="498"/>
      <c r="BX128" s="498"/>
      <c r="BY128" s="498"/>
      <c r="BZ128" s="498"/>
      <c r="CA128" s="498"/>
      <c r="CB128" s="498"/>
      <c r="CC128" s="498"/>
      <c r="CD128" s="498"/>
      <c r="CE128" s="5"/>
      <c r="CF128" s="5"/>
      <c r="CG128" s="5"/>
      <c r="CH128" s="5"/>
      <c r="CI128" s="5"/>
    </row>
    <row r="129" spans="1:87">
      <c r="A129" s="39" t="s">
        <v>1994</v>
      </c>
      <c r="B129" s="11"/>
      <c r="C129" s="11"/>
      <c r="D129" s="11"/>
      <c r="E129" s="11"/>
      <c r="F129" s="11"/>
      <c r="G129" s="11"/>
      <c r="H129" s="82"/>
      <c r="I129" s="82"/>
      <c r="J129" s="82"/>
      <c r="K129" s="82"/>
      <c r="L129" s="11"/>
      <c r="M129" s="68"/>
      <c r="N129" s="68"/>
      <c r="O129" s="68"/>
      <c r="P129" s="68"/>
      <c r="Q129" s="11"/>
      <c r="R129" s="68"/>
      <c r="S129" s="68"/>
      <c r="T129" s="68"/>
      <c r="U129" s="68"/>
      <c r="V129" s="11"/>
      <c r="W129" s="68"/>
      <c r="X129" s="68"/>
      <c r="Y129" s="68"/>
      <c r="Z129" s="68"/>
      <c r="AA129" s="11"/>
      <c r="AB129" s="68"/>
      <c r="AC129" s="68"/>
      <c r="AD129" s="68"/>
      <c r="AE129" s="68"/>
      <c r="AF129" s="11"/>
      <c r="AG129" s="68"/>
      <c r="AH129" s="68"/>
      <c r="AI129" s="68"/>
      <c r="AJ129" s="68"/>
      <c r="AK129" s="11"/>
      <c r="AL129" s="68"/>
      <c r="AM129" s="68"/>
      <c r="AN129" s="68"/>
      <c r="AO129" s="68"/>
      <c r="AP129" s="11"/>
      <c r="AQ129" s="68"/>
      <c r="AR129" s="68"/>
      <c r="AS129" s="68"/>
      <c r="AT129" s="68"/>
      <c r="AU129" s="11"/>
      <c r="AV129" s="68"/>
      <c r="AW129" s="68"/>
      <c r="AX129" s="68"/>
      <c r="AY129" s="68"/>
      <c r="AZ129" s="11"/>
      <c r="BA129" s="68"/>
      <c r="BB129" s="68"/>
      <c r="BC129" s="68"/>
      <c r="BD129" s="68"/>
      <c r="BE129" s="11"/>
      <c r="BF129" s="68"/>
      <c r="BG129" s="68"/>
      <c r="BH129" s="68"/>
      <c r="BI129" s="68"/>
      <c r="BJ129" s="11"/>
      <c r="BK129" s="68"/>
      <c r="BL129" s="68"/>
      <c r="BM129" s="68"/>
      <c r="BN129" s="68"/>
      <c r="BO129" s="11"/>
      <c r="BP129" s="239"/>
      <c r="BQ129" s="239"/>
      <c r="BR129" s="239"/>
      <c r="BS129" s="239"/>
      <c r="BT129" s="55"/>
      <c r="BU129" s="68"/>
      <c r="BV129" s="68"/>
      <c r="BW129" s="68"/>
      <c r="BX129" s="68"/>
      <c r="BY129" s="11"/>
      <c r="BZ129" s="68"/>
      <c r="CA129" s="68"/>
      <c r="CB129" s="68"/>
      <c r="CC129" s="68"/>
      <c r="CD129" s="11"/>
      <c r="CE129" s="5"/>
      <c r="CF129" s="5"/>
      <c r="CG129" s="5"/>
      <c r="CH129" s="5"/>
      <c r="CI129" s="5"/>
    </row>
    <row r="130" spans="1:87">
      <c r="A130" s="39"/>
      <c r="B130" s="11" t="s">
        <v>2921</v>
      </c>
      <c r="C130" s="11">
        <f t="shared" ref="C130:G131" si="26">SUM(C22,C76)</f>
        <v>236</v>
      </c>
      <c r="D130" s="11">
        <f t="shared" si="26"/>
        <v>251</v>
      </c>
      <c r="E130" s="11">
        <f t="shared" si="26"/>
        <v>281</v>
      </c>
      <c r="F130" s="11">
        <f t="shared" si="26"/>
        <v>317</v>
      </c>
      <c r="G130" s="11">
        <f t="shared" si="26"/>
        <v>343</v>
      </c>
      <c r="H130" s="82"/>
      <c r="I130" s="82"/>
      <c r="J130" s="82"/>
      <c r="K130" s="82"/>
      <c r="L130" s="11">
        <f>SUM(L22,L76)</f>
        <v>370</v>
      </c>
      <c r="M130" s="82"/>
      <c r="N130" s="82"/>
      <c r="O130" s="82"/>
      <c r="P130" s="82"/>
      <c r="Q130" s="11">
        <f>SUM(Q22,Q76)</f>
        <v>369</v>
      </c>
      <c r="R130" s="82"/>
      <c r="S130" s="82"/>
      <c r="T130" s="82"/>
      <c r="U130" s="82"/>
      <c r="V130" s="11">
        <f>SUM(V22,V76)</f>
        <v>385</v>
      </c>
      <c r="W130" s="82"/>
      <c r="X130" s="82"/>
      <c r="Y130" s="82"/>
      <c r="Z130" s="82"/>
      <c r="AA130" s="11">
        <f>SUM(AA22,AA76)</f>
        <v>378</v>
      </c>
      <c r="AB130" s="82"/>
      <c r="AC130" s="82"/>
      <c r="AD130" s="82"/>
      <c r="AE130" s="82"/>
      <c r="AF130" s="11">
        <f>SUM(AF22,AF76)</f>
        <v>379</v>
      </c>
      <c r="AG130" s="82"/>
      <c r="AH130" s="82"/>
      <c r="AI130" s="82"/>
      <c r="AJ130" s="82"/>
      <c r="AK130" s="11">
        <f>SUM(AK22,AK76)</f>
        <v>371</v>
      </c>
      <c r="AL130" s="82"/>
      <c r="AM130" s="82"/>
      <c r="AN130" s="82"/>
      <c r="AO130" s="82"/>
      <c r="AP130" s="11">
        <f>SUM(AP22,AP76)</f>
        <v>355</v>
      </c>
      <c r="AQ130" s="82"/>
      <c r="AR130" s="82"/>
      <c r="AS130" s="82"/>
      <c r="AT130" s="82"/>
      <c r="AU130" s="11">
        <f>SUM(AU22,AU76)</f>
        <v>329</v>
      </c>
      <c r="AV130" s="82"/>
      <c r="AW130" s="82"/>
      <c r="AX130" s="82"/>
      <c r="AY130" s="82"/>
      <c r="AZ130" s="11">
        <f>SUM(AZ22,AZ76)</f>
        <v>323</v>
      </c>
      <c r="BA130" s="82"/>
      <c r="BB130" s="82"/>
      <c r="BC130" s="82"/>
      <c r="BD130" s="82"/>
      <c r="BE130" s="11">
        <f>SUM(BE22,BE76)</f>
        <v>341</v>
      </c>
      <c r="BF130" s="82"/>
      <c r="BG130" s="82"/>
      <c r="BH130" s="82"/>
      <c r="BI130" s="82"/>
      <c r="BJ130" s="11">
        <f>SUM(BJ22,BJ76)</f>
        <v>354</v>
      </c>
      <c r="BK130" s="82"/>
      <c r="BL130" s="82"/>
      <c r="BM130" s="82"/>
      <c r="BN130" s="82"/>
      <c r="BO130" s="11">
        <f>SUM(BO22,BO76)</f>
        <v>329</v>
      </c>
      <c r="BP130" s="82"/>
      <c r="BQ130" s="82"/>
      <c r="BR130" s="82"/>
      <c r="BS130" s="82"/>
      <c r="BT130" s="82"/>
      <c r="BU130" s="82"/>
      <c r="BV130" s="82"/>
      <c r="BW130" s="82"/>
      <c r="BX130" s="82"/>
      <c r="BY130" s="82"/>
      <c r="BZ130" s="82"/>
      <c r="CA130" s="82"/>
      <c r="CB130" s="82"/>
      <c r="CC130" s="82"/>
      <c r="CD130" s="82"/>
      <c r="CE130" s="5"/>
      <c r="CF130" s="5"/>
      <c r="CG130" s="5"/>
      <c r="CH130" s="5"/>
      <c r="CI130" s="5"/>
    </row>
    <row r="131" spans="1:87">
      <c r="A131" s="39"/>
      <c r="B131" s="11" t="s">
        <v>785</v>
      </c>
      <c r="C131" s="11">
        <f t="shared" si="26"/>
        <v>0</v>
      </c>
      <c r="D131" s="11">
        <f t="shared" si="26"/>
        <v>0</v>
      </c>
      <c r="E131" s="11">
        <f t="shared" si="26"/>
        <v>0</v>
      </c>
      <c r="F131" s="11">
        <f t="shared" si="26"/>
        <v>0</v>
      </c>
      <c r="G131" s="11">
        <f t="shared" si="26"/>
        <v>15.94</v>
      </c>
      <c r="H131" s="82"/>
      <c r="I131" s="82"/>
      <c r="J131" s="82"/>
      <c r="K131" s="82"/>
      <c r="L131" s="11">
        <f>SUM(L23,L77)</f>
        <v>46</v>
      </c>
      <c r="M131" s="82"/>
      <c r="N131" s="82"/>
      <c r="O131" s="82"/>
      <c r="P131" s="82"/>
      <c r="Q131" s="11">
        <f>SUM(Q23,Q77)</f>
        <v>60</v>
      </c>
      <c r="R131" s="82"/>
      <c r="S131" s="82"/>
      <c r="T131" s="82"/>
      <c r="U131" s="82"/>
      <c r="V131" s="11">
        <f>SUM(V23,V77)</f>
        <v>63</v>
      </c>
      <c r="W131" s="82"/>
      <c r="X131" s="82"/>
      <c r="Y131" s="82"/>
      <c r="Z131" s="82"/>
      <c r="AA131" s="11">
        <f>SUM(AA23,AA77)</f>
        <v>11</v>
      </c>
      <c r="AB131" s="82"/>
      <c r="AC131" s="82"/>
      <c r="AD131" s="82"/>
      <c r="AE131" s="82"/>
      <c r="AF131" s="11">
        <f>SUM(AF23,AF77)</f>
        <v>11</v>
      </c>
      <c r="AG131" s="82"/>
      <c r="AH131" s="82"/>
      <c r="AI131" s="82"/>
      <c r="AJ131" s="82"/>
      <c r="AK131" s="11">
        <f>SUM(AK23,AK77)</f>
        <v>14</v>
      </c>
      <c r="AL131" s="82"/>
      <c r="AM131" s="82"/>
      <c r="AN131" s="82"/>
      <c r="AO131" s="82"/>
      <c r="AP131" s="11">
        <f>SUM(AP23,AP77)</f>
        <v>34</v>
      </c>
      <c r="AQ131" s="82"/>
      <c r="AR131" s="82"/>
      <c r="AS131" s="82"/>
      <c r="AT131" s="82"/>
      <c r="AU131" s="11">
        <f>SUM(AU23,AU77)</f>
        <v>55</v>
      </c>
      <c r="AV131" s="82"/>
      <c r="AW131" s="82"/>
      <c r="AX131" s="82"/>
      <c r="AY131" s="82"/>
      <c r="AZ131" s="11">
        <f>SUM(AZ23,AZ77)</f>
        <v>80</v>
      </c>
      <c r="BA131" s="82"/>
      <c r="BB131" s="82"/>
      <c r="BC131" s="82"/>
      <c r="BD131" s="82"/>
      <c r="BE131" s="11">
        <f>SUM(BE23,BE77)</f>
        <v>93</v>
      </c>
      <c r="BF131" s="82"/>
      <c r="BG131" s="82"/>
      <c r="BH131" s="82"/>
      <c r="BI131" s="82"/>
      <c r="BJ131" s="11">
        <f>SUM(BJ23,BJ77)</f>
        <v>95</v>
      </c>
      <c r="BK131" s="82"/>
      <c r="BL131" s="82"/>
      <c r="BM131" s="82"/>
      <c r="BN131" s="82"/>
      <c r="BO131" s="11">
        <f>SUM(BO23,BO77)</f>
        <v>89</v>
      </c>
      <c r="BP131" s="82"/>
      <c r="BQ131" s="82"/>
      <c r="BR131" s="82"/>
      <c r="BS131" s="82"/>
      <c r="BT131" s="82"/>
      <c r="BU131" s="82"/>
      <c r="BV131" s="82"/>
      <c r="BW131" s="82"/>
      <c r="BX131" s="82"/>
      <c r="BY131" s="82"/>
      <c r="BZ131" s="82"/>
      <c r="CA131" s="82"/>
      <c r="CB131" s="82"/>
      <c r="CC131" s="82"/>
      <c r="CD131" s="82"/>
      <c r="CE131" s="5"/>
      <c r="CF131" s="5"/>
      <c r="CG131" s="5"/>
      <c r="CH131" s="5"/>
      <c r="CI131" s="5"/>
    </row>
    <row r="132" spans="1:87" ht="15">
      <c r="A132" s="39"/>
      <c r="B132" s="11" t="s">
        <v>2428</v>
      </c>
      <c r="C132" s="11">
        <v>0</v>
      </c>
      <c r="D132" s="11">
        <v>0</v>
      </c>
      <c r="E132" s="11">
        <v>0</v>
      </c>
      <c r="F132" s="11">
        <v>0</v>
      </c>
      <c r="G132" s="11">
        <v>0</v>
      </c>
      <c r="H132" s="51"/>
      <c r="I132" s="51"/>
      <c r="J132" s="51"/>
      <c r="K132" s="51"/>
      <c r="L132" s="11">
        <v>0</v>
      </c>
      <c r="M132" s="51"/>
      <c r="N132" s="51"/>
      <c r="O132" s="51"/>
      <c r="P132" s="51"/>
      <c r="Q132" s="11">
        <v>0</v>
      </c>
      <c r="R132" s="51"/>
      <c r="S132" s="51"/>
      <c r="T132" s="51"/>
      <c r="U132" s="51"/>
      <c r="V132" s="11">
        <v>0</v>
      </c>
      <c r="W132" s="51"/>
      <c r="X132" s="51"/>
      <c r="Y132" s="51"/>
      <c r="Z132" s="51"/>
      <c r="AA132" s="11">
        <v>0</v>
      </c>
      <c r="AB132" s="51"/>
      <c r="AC132" s="51"/>
      <c r="AD132" s="51"/>
      <c r="AE132" s="51"/>
      <c r="AF132" s="11">
        <v>0</v>
      </c>
      <c r="AG132" s="82"/>
      <c r="AH132" s="82"/>
      <c r="AI132" s="82"/>
      <c r="AJ132" s="82"/>
      <c r="AK132" s="11">
        <v>0</v>
      </c>
      <c r="AL132" s="82"/>
      <c r="AM132" s="82"/>
      <c r="AN132" s="82"/>
      <c r="AO132" s="82"/>
      <c r="AP132" s="11">
        <v>0</v>
      </c>
      <c r="AQ132" s="82"/>
      <c r="AR132" s="82"/>
      <c r="AS132" s="82"/>
      <c r="AT132" s="82"/>
      <c r="AU132" s="11">
        <v>0</v>
      </c>
      <c r="AV132" s="82"/>
      <c r="AW132" s="82"/>
      <c r="AX132" s="82"/>
      <c r="AY132" s="82"/>
      <c r="AZ132" s="11">
        <v>0</v>
      </c>
      <c r="BA132" s="82"/>
      <c r="BB132" s="82"/>
      <c r="BC132" s="82"/>
      <c r="BD132" s="82"/>
      <c r="BE132" s="629">
        <v>0</v>
      </c>
      <c r="BF132" s="82"/>
      <c r="BG132" s="82"/>
      <c r="BH132" s="82"/>
      <c r="BI132" s="82"/>
      <c r="BJ132" s="629">
        <v>0</v>
      </c>
      <c r="BK132" s="82"/>
      <c r="BL132" s="82"/>
      <c r="BM132" s="82"/>
      <c r="BN132" s="82"/>
      <c r="BO132" s="629">
        <v>0</v>
      </c>
      <c r="BP132" s="82"/>
      <c r="BQ132" s="82"/>
      <c r="BR132" s="82"/>
      <c r="BS132" s="82"/>
      <c r="BT132" s="82"/>
      <c r="BU132" s="82"/>
      <c r="BV132" s="82"/>
      <c r="BW132" s="82"/>
      <c r="BX132" s="82"/>
      <c r="BY132" s="82"/>
      <c r="BZ132" s="82"/>
      <c r="CA132" s="82"/>
      <c r="CB132" s="82"/>
      <c r="CC132" s="82"/>
      <c r="CD132" s="82"/>
      <c r="CE132" s="5"/>
      <c r="CF132" s="5"/>
      <c r="CG132" s="5"/>
      <c r="CH132" s="5"/>
      <c r="CI132" s="5"/>
    </row>
    <row r="133" spans="1:87">
      <c r="A133" s="11"/>
      <c r="B133" s="11" t="s">
        <v>2247</v>
      </c>
      <c r="C133" s="11">
        <f t="shared" ref="C133:G135" si="27">SUM(C25,C79)</f>
        <v>0</v>
      </c>
      <c r="D133" s="11">
        <f t="shared" si="27"/>
        <v>0</v>
      </c>
      <c r="E133" s="11">
        <f t="shared" si="27"/>
        <v>0</v>
      </c>
      <c r="F133" s="11">
        <f t="shared" si="27"/>
        <v>4</v>
      </c>
      <c r="G133" s="11">
        <f t="shared" si="27"/>
        <v>2.5</v>
      </c>
      <c r="H133" s="82"/>
      <c r="I133" s="82"/>
      <c r="J133" s="82"/>
      <c r="K133" s="82"/>
      <c r="L133" s="11">
        <f>SUM(L25,L79)</f>
        <v>92</v>
      </c>
      <c r="M133" s="82"/>
      <c r="N133" s="82"/>
      <c r="O133" s="82"/>
      <c r="P133" s="82"/>
      <c r="Q133" s="11">
        <f>SUM(Q25,Q79)</f>
        <v>104</v>
      </c>
      <c r="R133" s="82"/>
      <c r="S133" s="82"/>
      <c r="T133" s="82"/>
      <c r="U133" s="82"/>
      <c r="V133" s="11">
        <f>SUM(V25,V79)</f>
        <v>84</v>
      </c>
      <c r="W133" s="82"/>
      <c r="X133" s="82"/>
      <c r="Y133" s="82"/>
      <c r="Z133" s="82"/>
      <c r="AA133" s="11">
        <f>SUM(AA25,AA79)</f>
        <v>62</v>
      </c>
      <c r="AB133" s="82"/>
      <c r="AC133" s="82"/>
      <c r="AD133" s="82"/>
      <c r="AE133" s="82"/>
      <c r="AF133" s="11">
        <f>SUM(AF25,AF79)</f>
        <v>71</v>
      </c>
      <c r="AG133" s="82"/>
      <c r="AH133" s="82"/>
      <c r="AI133" s="82"/>
      <c r="AJ133" s="82"/>
      <c r="AK133" s="11">
        <f>SUM(AK25,AK79)</f>
        <v>4</v>
      </c>
      <c r="AL133" s="82"/>
      <c r="AM133" s="82"/>
      <c r="AN133" s="82"/>
      <c r="AO133" s="82"/>
      <c r="AP133" s="11">
        <f>SUM(AP25,AP79)</f>
        <v>0</v>
      </c>
      <c r="AQ133" s="82"/>
      <c r="AR133" s="82"/>
      <c r="AS133" s="82"/>
      <c r="AT133" s="82"/>
      <c r="AU133" s="11">
        <f>SUM(AU25,AU79)</f>
        <v>0</v>
      </c>
      <c r="AV133" s="82"/>
      <c r="AW133" s="82"/>
      <c r="AX133" s="82"/>
      <c r="AY133" s="82"/>
      <c r="AZ133" s="11">
        <f>SUM(AZ25,AZ79)</f>
        <v>0</v>
      </c>
      <c r="BA133" s="82"/>
      <c r="BB133" s="82"/>
      <c r="BC133" s="82"/>
      <c r="BD133" s="82"/>
      <c r="BE133" s="11">
        <f>SUM(BE25,BE79)</f>
        <v>0</v>
      </c>
      <c r="BF133" s="82"/>
      <c r="BG133" s="82"/>
      <c r="BH133" s="82"/>
      <c r="BI133" s="82"/>
      <c r="BJ133" s="11">
        <f>SUM(BJ25,BJ79)</f>
        <v>0</v>
      </c>
      <c r="BK133" s="82"/>
      <c r="BL133" s="82"/>
      <c r="BM133" s="82"/>
      <c r="BN133" s="82"/>
      <c r="BO133" s="11">
        <f>SUM(BO25,BO79)</f>
        <v>0</v>
      </c>
      <c r="BP133" s="82"/>
      <c r="BQ133" s="82"/>
      <c r="BR133" s="82"/>
      <c r="BS133" s="82"/>
      <c r="BT133" s="82"/>
      <c r="BU133" s="82"/>
      <c r="BV133" s="82"/>
      <c r="BW133" s="82"/>
      <c r="BX133" s="82"/>
      <c r="BY133" s="82"/>
      <c r="BZ133" s="82"/>
      <c r="CA133" s="82"/>
      <c r="CB133" s="82"/>
      <c r="CC133" s="82"/>
      <c r="CD133" s="82"/>
      <c r="CE133" s="5"/>
      <c r="CF133" s="5"/>
      <c r="CG133" s="5"/>
      <c r="CH133" s="5"/>
      <c r="CI133" s="5"/>
    </row>
    <row r="134" spans="1:87">
      <c r="A134" s="11"/>
      <c r="B134" s="11" t="s">
        <v>1280</v>
      </c>
      <c r="C134" s="11">
        <f t="shared" si="27"/>
        <v>1011</v>
      </c>
      <c r="D134" s="11">
        <f t="shared" si="27"/>
        <v>1238</v>
      </c>
      <c r="E134" s="11">
        <f t="shared" si="27"/>
        <v>1694</v>
      </c>
      <c r="F134" s="11">
        <f t="shared" si="27"/>
        <v>1919</v>
      </c>
      <c r="G134" s="11">
        <f t="shared" si="27"/>
        <v>1987</v>
      </c>
      <c r="H134" s="82"/>
      <c r="I134" s="82"/>
      <c r="J134" s="82"/>
      <c r="K134" s="82"/>
      <c r="L134" s="11">
        <f>SUM(L26,L80)</f>
        <v>2265</v>
      </c>
      <c r="M134" s="82"/>
      <c r="N134" s="82"/>
      <c r="O134" s="82"/>
      <c r="P134" s="82"/>
      <c r="Q134" s="11">
        <f>SUM(Q26,Q80)</f>
        <v>2433</v>
      </c>
      <c r="R134" s="82"/>
      <c r="S134" s="82"/>
      <c r="T134" s="82"/>
      <c r="U134" s="82"/>
      <c r="V134" s="11">
        <f>SUM(V26,V80)</f>
        <v>2446</v>
      </c>
      <c r="W134" s="82"/>
      <c r="X134" s="82"/>
      <c r="Y134" s="82"/>
      <c r="Z134" s="82"/>
      <c r="AA134" s="11">
        <f>SUM(AA26,AA80)</f>
        <v>2430</v>
      </c>
      <c r="AB134" s="82"/>
      <c r="AC134" s="82"/>
      <c r="AD134" s="82"/>
      <c r="AE134" s="82"/>
      <c r="AF134" s="11">
        <f>SUM(AF26,AF80)</f>
        <v>2473</v>
      </c>
      <c r="AG134" s="82"/>
      <c r="AH134" s="82"/>
      <c r="AI134" s="82"/>
      <c r="AJ134" s="82"/>
      <c r="AK134" s="11">
        <f>SUM(AK26,AK80)</f>
        <v>2193</v>
      </c>
      <c r="AL134" s="82"/>
      <c r="AM134" s="82"/>
      <c r="AN134" s="82"/>
      <c r="AO134" s="82"/>
      <c r="AP134" s="11">
        <f>SUM(AP26,AP80)</f>
        <v>2097</v>
      </c>
      <c r="AQ134" s="82"/>
      <c r="AR134" s="82"/>
      <c r="AS134" s="82"/>
      <c r="AT134" s="82"/>
      <c r="AU134" s="11">
        <f>SUM(AU26,AU80)</f>
        <v>2221</v>
      </c>
      <c r="AV134" s="82"/>
      <c r="AW134" s="82"/>
      <c r="AX134" s="82"/>
      <c r="AY134" s="82"/>
      <c r="AZ134" s="11">
        <f>SUM(AZ26,AZ80)</f>
        <v>2147</v>
      </c>
      <c r="BA134" s="82"/>
      <c r="BB134" s="82"/>
      <c r="BC134" s="82"/>
      <c r="BD134" s="82"/>
      <c r="BE134" s="11">
        <f>SUM(BE26,BE80)</f>
        <v>1922</v>
      </c>
      <c r="BF134" s="82"/>
      <c r="BG134" s="82"/>
      <c r="BH134" s="82"/>
      <c r="BI134" s="82"/>
      <c r="BJ134" s="11">
        <f>SUM(BJ26,BJ80)</f>
        <v>1689</v>
      </c>
      <c r="BK134" s="82"/>
      <c r="BL134" s="82"/>
      <c r="BM134" s="82"/>
      <c r="BN134" s="82"/>
      <c r="BO134" s="11">
        <f>SUM(BO26,BO80)</f>
        <v>1936</v>
      </c>
      <c r="BP134" s="82"/>
      <c r="BQ134" s="82"/>
      <c r="BR134" s="82"/>
      <c r="BS134" s="82"/>
      <c r="BT134" s="82"/>
      <c r="BU134" s="82"/>
      <c r="BV134" s="82"/>
      <c r="BW134" s="82"/>
      <c r="BX134" s="82"/>
      <c r="BY134" s="82"/>
      <c r="BZ134" s="82"/>
      <c r="CA134" s="82"/>
      <c r="CB134" s="82"/>
      <c r="CC134" s="82"/>
      <c r="CD134" s="82"/>
      <c r="CE134" s="5"/>
      <c r="CF134" s="5"/>
      <c r="CG134" s="5"/>
      <c r="CH134" s="5"/>
      <c r="CI134" s="5"/>
    </row>
    <row r="135" spans="1:87">
      <c r="A135" s="11"/>
      <c r="B135" s="11" t="s">
        <v>1036</v>
      </c>
      <c r="C135" s="11">
        <f t="shared" si="27"/>
        <v>0</v>
      </c>
      <c r="D135" s="11">
        <f t="shared" si="27"/>
        <v>0</v>
      </c>
      <c r="E135" s="11">
        <f t="shared" si="27"/>
        <v>0</v>
      </c>
      <c r="F135" s="11">
        <f t="shared" si="27"/>
        <v>0</v>
      </c>
      <c r="G135" s="11">
        <f t="shared" si="27"/>
        <v>0</v>
      </c>
      <c r="H135" s="82"/>
      <c r="I135" s="82"/>
      <c r="J135" s="82"/>
      <c r="K135" s="82"/>
      <c r="L135" s="11">
        <f>SUM(L27,L81)</f>
        <v>5</v>
      </c>
      <c r="M135" s="82"/>
      <c r="N135" s="82"/>
      <c r="O135" s="82"/>
      <c r="P135" s="82"/>
      <c r="Q135" s="11">
        <f>SUM(Q27,Q81)</f>
        <v>6</v>
      </c>
      <c r="R135" s="82"/>
      <c r="S135" s="82"/>
      <c r="T135" s="82"/>
      <c r="U135" s="82"/>
      <c r="V135" s="11">
        <f>SUM(V27,V81)</f>
        <v>8</v>
      </c>
      <c r="W135" s="82"/>
      <c r="X135" s="82"/>
      <c r="Y135" s="82"/>
      <c r="Z135" s="82"/>
      <c r="AA135" s="11">
        <f>SUM(AA27,AA81)</f>
        <v>3</v>
      </c>
      <c r="AB135" s="82"/>
      <c r="AC135" s="82"/>
      <c r="AD135" s="82"/>
      <c r="AE135" s="82"/>
      <c r="AF135" s="11">
        <f>SUM(AF27,AF81)</f>
        <v>9</v>
      </c>
      <c r="AG135" s="82"/>
      <c r="AH135" s="82"/>
      <c r="AI135" s="82"/>
      <c r="AJ135" s="82"/>
      <c r="AK135" s="11">
        <f>SUM(AK27,AK81)</f>
        <v>7</v>
      </c>
      <c r="AL135" s="82"/>
      <c r="AM135" s="82"/>
      <c r="AN135" s="82"/>
      <c r="AO135" s="82"/>
      <c r="AP135" s="11">
        <f>SUM(AP27,AP81)</f>
        <v>5</v>
      </c>
      <c r="AQ135" s="82"/>
      <c r="AR135" s="82"/>
      <c r="AS135" s="82"/>
      <c r="AT135" s="82"/>
      <c r="AU135" s="11">
        <f>SUM(AU27,AU81)</f>
        <v>0</v>
      </c>
      <c r="AV135" s="82"/>
      <c r="AW135" s="82"/>
      <c r="AX135" s="82"/>
      <c r="AY135" s="82"/>
      <c r="AZ135" s="11">
        <f>SUM(AZ27,AZ81)</f>
        <v>0</v>
      </c>
      <c r="BA135" s="82"/>
      <c r="BB135" s="82"/>
      <c r="BC135" s="82"/>
      <c r="BD135" s="82"/>
      <c r="BE135" s="11">
        <f>SUM(BE27,BE81)</f>
        <v>0</v>
      </c>
      <c r="BF135" s="82"/>
      <c r="BG135" s="82"/>
      <c r="BH135" s="82"/>
      <c r="BI135" s="82"/>
      <c r="BJ135" s="11">
        <f>SUM(BJ27,BJ81)</f>
        <v>0</v>
      </c>
      <c r="BK135" s="82"/>
      <c r="BL135" s="82"/>
      <c r="BM135" s="82"/>
      <c r="BN135" s="82"/>
      <c r="BO135" s="11">
        <f>SUM(BO27,BO81)</f>
        <v>0</v>
      </c>
      <c r="BP135" s="82"/>
      <c r="BQ135" s="82"/>
      <c r="BR135" s="82"/>
      <c r="BS135" s="82"/>
      <c r="BT135" s="82"/>
      <c r="BU135" s="82"/>
      <c r="BV135" s="82"/>
      <c r="BW135" s="82"/>
      <c r="BX135" s="82"/>
      <c r="BY135" s="82"/>
      <c r="BZ135" s="82"/>
      <c r="CA135" s="82"/>
      <c r="CB135" s="82"/>
      <c r="CC135" s="82"/>
      <c r="CD135" s="82"/>
      <c r="CE135" s="5"/>
      <c r="CF135" s="5"/>
      <c r="CG135" s="5"/>
      <c r="CH135" s="5"/>
      <c r="CI135" s="5"/>
    </row>
    <row r="136" spans="1:87">
      <c r="A136" s="39" t="s">
        <v>119</v>
      </c>
      <c r="B136" s="39"/>
      <c r="C136" s="39">
        <f t="shared" ref="C136:L136" si="28">SUM(C130:C135)</f>
        <v>1247</v>
      </c>
      <c r="D136" s="39">
        <f t="shared" si="28"/>
        <v>1489</v>
      </c>
      <c r="E136" s="39">
        <f t="shared" si="28"/>
        <v>1975</v>
      </c>
      <c r="F136" s="39">
        <f t="shared" si="28"/>
        <v>2240</v>
      </c>
      <c r="G136" s="39">
        <f t="shared" si="28"/>
        <v>2348.44</v>
      </c>
      <c r="H136" s="83"/>
      <c r="I136" s="83"/>
      <c r="J136" s="83"/>
      <c r="K136" s="83"/>
      <c r="L136" s="39">
        <f t="shared" si="28"/>
        <v>2778</v>
      </c>
      <c r="M136" s="83"/>
      <c r="N136" s="83"/>
      <c r="O136" s="83"/>
      <c r="P136" s="83"/>
      <c r="Q136" s="39">
        <f>SUM(Q130:Q135)</f>
        <v>2972</v>
      </c>
      <c r="R136" s="83"/>
      <c r="S136" s="83"/>
      <c r="T136" s="83"/>
      <c r="U136" s="83"/>
      <c r="V136" s="39">
        <f>SUM(V130:V135)</f>
        <v>2986</v>
      </c>
      <c r="W136" s="83"/>
      <c r="X136" s="83"/>
      <c r="Y136" s="83"/>
      <c r="Z136" s="83"/>
      <c r="AA136" s="39">
        <f>SUM(AA130:AA135)</f>
        <v>2884</v>
      </c>
      <c r="AB136" s="83"/>
      <c r="AC136" s="83"/>
      <c r="AD136" s="83"/>
      <c r="AE136" s="83"/>
      <c r="AF136" s="39">
        <f>SUM(AF130:AF135)</f>
        <v>2943</v>
      </c>
      <c r="AG136" s="83"/>
      <c r="AH136" s="83"/>
      <c r="AI136" s="83"/>
      <c r="AJ136" s="83"/>
      <c r="AK136" s="39">
        <f>SUM(AK130:AK135)</f>
        <v>2589</v>
      </c>
      <c r="AL136" s="83"/>
      <c r="AM136" s="83"/>
      <c r="AN136" s="83"/>
      <c r="AO136" s="83"/>
      <c r="AP136" s="39">
        <f>SUM(AP130:AP135)</f>
        <v>2491</v>
      </c>
      <c r="AQ136" s="83"/>
      <c r="AR136" s="83"/>
      <c r="AS136" s="83"/>
      <c r="AT136" s="83"/>
      <c r="AU136" s="39">
        <f>SUM(AU130:AU135)</f>
        <v>2605</v>
      </c>
      <c r="AV136" s="83"/>
      <c r="AW136" s="83"/>
      <c r="AX136" s="83"/>
      <c r="AY136" s="83"/>
      <c r="AZ136" s="39">
        <f>SUM(AZ130:AZ135)</f>
        <v>2550</v>
      </c>
      <c r="BA136" s="83"/>
      <c r="BB136" s="83"/>
      <c r="BC136" s="83"/>
      <c r="BD136" s="83"/>
      <c r="BE136" s="39">
        <f>SUM(BE130:BE135)</f>
        <v>2356</v>
      </c>
      <c r="BF136" s="83"/>
      <c r="BG136" s="83"/>
      <c r="BH136" s="83"/>
      <c r="BI136" s="83"/>
      <c r="BJ136" s="39">
        <f>SUM(BJ130:BJ135)</f>
        <v>2138</v>
      </c>
      <c r="BK136" s="83"/>
      <c r="BL136" s="83"/>
      <c r="BM136" s="83"/>
      <c r="BN136" s="83"/>
      <c r="BO136" s="39">
        <f>SUM(BO28,BO82)</f>
        <v>2354</v>
      </c>
      <c r="BP136" s="80">
        <f>BP305+BP359</f>
        <v>2335.5484808315096</v>
      </c>
      <c r="BQ136" s="80">
        <f>BQ305+BQ359</f>
        <v>2289.7339468674718</v>
      </c>
      <c r="BR136" s="80">
        <f>BR305+BR359</f>
        <v>2301.6726683819343</v>
      </c>
      <c r="BS136" s="80">
        <f>BS305+BS359</f>
        <v>2322.1849039190843</v>
      </c>
      <c r="BT136" s="39">
        <f>AVERAGE(BP136:BS136)</f>
        <v>2312.2849999999999</v>
      </c>
      <c r="BU136" s="80">
        <f>BU305+BU359</f>
        <v>2461.6643627356889</v>
      </c>
      <c r="BV136" s="80">
        <f>BV305+BV359</f>
        <v>2409.8808835847412</v>
      </c>
      <c r="BW136" s="80">
        <f>BW305+BW359</f>
        <v>2423.3750410745547</v>
      </c>
      <c r="BX136" s="80">
        <f>BX305+BX359</f>
        <v>2446.5597126050152</v>
      </c>
      <c r="BY136" s="39">
        <f>AVERAGE(BU136:BX136)</f>
        <v>2435.37</v>
      </c>
      <c r="BZ136" s="80">
        <f>BZ305+BZ359</f>
        <v>2440.9770679840726</v>
      </c>
      <c r="CA136" s="80">
        <f>CA305+CA359</f>
        <v>2389.7396863800905</v>
      </c>
      <c r="CB136" s="80">
        <f>CB305+CB359</f>
        <v>2403.0915373577814</v>
      </c>
      <c r="CC136" s="80">
        <f>CC305+CC359</f>
        <v>2426.0317082780557</v>
      </c>
      <c r="CD136" s="39">
        <f>AVERAGE(BZ136:CC136)</f>
        <v>2414.96</v>
      </c>
      <c r="CE136" s="5"/>
      <c r="CF136" s="5"/>
      <c r="CG136" s="5"/>
      <c r="CH136" s="5"/>
      <c r="CI136" s="5"/>
    </row>
    <row r="137" spans="1:87">
      <c r="A137" s="11"/>
      <c r="B137" s="11"/>
      <c r="C137" s="11"/>
      <c r="D137" s="11"/>
      <c r="E137" s="11"/>
      <c r="F137" s="11"/>
      <c r="G137" s="11"/>
      <c r="H137" s="82"/>
      <c r="I137" s="82"/>
      <c r="J137" s="82"/>
      <c r="K137" s="82"/>
      <c r="L137" s="11"/>
      <c r="M137" s="68"/>
      <c r="N137" s="68"/>
      <c r="O137" s="68"/>
      <c r="P137" s="68"/>
      <c r="Q137" s="11"/>
      <c r="R137" s="68"/>
      <c r="S137" s="68"/>
      <c r="T137" s="68"/>
      <c r="U137" s="68"/>
      <c r="V137" s="11"/>
      <c r="W137" s="68"/>
      <c r="X137" s="68"/>
      <c r="Y137" s="68"/>
      <c r="Z137" s="68"/>
      <c r="AA137" s="11"/>
      <c r="AB137" s="68"/>
      <c r="AC137" s="68"/>
      <c r="AD137" s="68"/>
      <c r="AE137" s="68"/>
      <c r="AF137" s="11"/>
      <c r="AG137" s="68"/>
      <c r="AH137" s="68"/>
      <c r="AI137" s="68"/>
      <c r="AJ137" s="68"/>
      <c r="AK137" s="11"/>
      <c r="AL137" s="68"/>
      <c r="AM137" s="68"/>
      <c r="AN137" s="68"/>
      <c r="AO137" s="68"/>
      <c r="AP137" s="11"/>
      <c r="AQ137" s="68"/>
      <c r="AR137" s="68"/>
      <c r="AS137" s="68"/>
      <c r="AT137" s="68"/>
      <c r="AU137" s="11"/>
      <c r="AV137" s="68"/>
      <c r="AW137" s="68"/>
      <c r="AX137" s="68"/>
      <c r="AY137" s="68"/>
      <c r="AZ137" s="11"/>
      <c r="BA137" s="68"/>
      <c r="BB137" s="68"/>
      <c r="BC137" s="68"/>
      <c r="BD137" s="68"/>
      <c r="BE137" s="11"/>
      <c r="BF137" s="68"/>
      <c r="BG137" s="68"/>
      <c r="BH137" s="68"/>
      <c r="BI137" s="68"/>
      <c r="BJ137" s="11"/>
      <c r="BK137" s="68"/>
      <c r="BL137" s="68"/>
      <c r="BM137" s="68"/>
      <c r="BN137" s="68"/>
      <c r="BO137" s="11"/>
      <c r="BP137" s="48"/>
      <c r="BQ137" s="48"/>
      <c r="BR137" s="48"/>
      <c r="BS137" s="48"/>
      <c r="BT137" s="48"/>
      <c r="BU137" s="48"/>
      <c r="BV137" s="48"/>
      <c r="BW137" s="48"/>
      <c r="BX137" s="48"/>
      <c r="BY137" s="48"/>
      <c r="BZ137" s="48"/>
      <c r="CA137" s="48"/>
      <c r="CB137" s="48"/>
      <c r="CC137" s="48"/>
      <c r="CD137" s="48"/>
      <c r="CE137" s="5"/>
      <c r="CF137" s="5"/>
      <c r="CG137" s="5"/>
      <c r="CH137" s="5"/>
      <c r="CI137" s="5"/>
    </row>
    <row r="138" spans="1:87">
      <c r="A138" s="39" t="s">
        <v>120</v>
      </c>
      <c r="B138" s="11"/>
      <c r="C138" s="11"/>
      <c r="D138" s="11"/>
      <c r="E138" s="11"/>
      <c r="F138" s="11"/>
      <c r="G138" s="11"/>
      <c r="H138" s="82"/>
      <c r="I138" s="82"/>
      <c r="J138" s="82"/>
      <c r="K138" s="82"/>
      <c r="L138" s="11"/>
      <c r="M138" s="68"/>
      <c r="N138" s="68"/>
      <c r="O138" s="68"/>
      <c r="P138" s="68"/>
      <c r="Q138" s="11"/>
      <c r="R138" s="68"/>
      <c r="S138" s="68"/>
      <c r="T138" s="68"/>
      <c r="U138" s="68"/>
      <c r="V138" s="11"/>
      <c r="W138" s="68"/>
      <c r="X138" s="68"/>
      <c r="Y138" s="68"/>
      <c r="Z138" s="68"/>
      <c r="AA138" s="11"/>
      <c r="AB138" s="68"/>
      <c r="AC138" s="68"/>
      <c r="AD138" s="68"/>
      <c r="AE138" s="68"/>
      <c r="AF138" s="11"/>
      <c r="AG138" s="68"/>
      <c r="AH138" s="68"/>
      <c r="AI138" s="68"/>
      <c r="AJ138" s="68"/>
      <c r="AK138" s="11"/>
      <c r="AL138" s="68"/>
      <c r="AM138" s="68"/>
      <c r="AN138" s="68"/>
      <c r="AO138" s="68"/>
      <c r="AP138" s="11"/>
      <c r="AQ138" s="68"/>
      <c r="AR138" s="68"/>
      <c r="AS138" s="68"/>
      <c r="AT138" s="68"/>
      <c r="AU138" s="11"/>
      <c r="AV138" s="68"/>
      <c r="AW138" s="68"/>
      <c r="AX138" s="68"/>
      <c r="AY138" s="68"/>
      <c r="AZ138" s="11"/>
      <c r="BA138" s="68"/>
      <c r="BB138" s="68"/>
      <c r="BC138" s="68"/>
      <c r="BD138" s="68"/>
      <c r="BE138" s="11"/>
      <c r="BF138" s="68"/>
      <c r="BG138" s="68"/>
      <c r="BH138" s="68"/>
      <c r="BI138" s="68"/>
      <c r="BJ138" s="11"/>
      <c r="BK138" s="68"/>
      <c r="BL138" s="68"/>
      <c r="BM138" s="68"/>
      <c r="BN138" s="68"/>
      <c r="BO138" s="11"/>
      <c r="BP138" s="48"/>
      <c r="BQ138" s="48"/>
      <c r="BR138" s="48"/>
      <c r="BS138" s="48"/>
      <c r="BT138" s="48"/>
      <c r="BU138" s="48"/>
      <c r="BV138" s="48"/>
      <c r="BW138" s="48"/>
      <c r="BX138" s="48"/>
      <c r="BY138" s="48"/>
      <c r="BZ138" s="48"/>
      <c r="CA138" s="48"/>
      <c r="CB138" s="48"/>
      <c r="CC138" s="48"/>
      <c r="CD138" s="48"/>
      <c r="CE138" s="5"/>
      <c r="CF138" s="5"/>
      <c r="CG138" s="5"/>
      <c r="CH138" s="5"/>
      <c r="CI138" s="5"/>
    </row>
    <row r="139" spans="1:87">
      <c r="A139" s="11"/>
      <c r="B139" s="11" t="s">
        <v>1473</v>
      </c>
      <c r="C139" s="11">
        <f t="shared" ref="C139:G141" si="29">SUM(C31,C85)</f>
        <v>0</v>
      </c>
      <c r="D139" s="11">
        <f t="shared" si="29"/>
        <v>0</v>
      </c>
      <c r="E139" s="11">
        <f t="shared" si="29"/>
        <v>0</v>
      </c>
      <c r="F139" s="11">
        <f t="shared" si="29"/>
        <v>78.84</v>
      </c>
      <c r="G139" s="11">
        <f t="shared" si="29"/>
        <v>174.51</v>
      </c>
      <c r="H139" s="82"/>
      <c r="I139" s="82"/>
      <c r="J139" s="82"/>
      <c r="K139" s="82"/>
      <c r="L139" s="11">
        <f>SUM(L31,L85)</f>
        <v>159</v>
      </c>
      <c r="M139" s="82"/>
      <c r="N139" s="82"/>
      <c r="O139" s="82"/>
      <c r="P139" s="82"/>
      <c r="Q139" s="11">
        <f>SUM(Q31,Q85)</f>
        <v>153</v>
      </c>
      <c r="R139" s="82"/>
      <c r="S139" s="82"/>
      <c r="T139" s="82"/>
      <c r="U139" s="82"/>
      <c r="V139" s="11">
        <f>SUM(V31,V85)</f>
        <v>112</v>
      </c>
      <c r="W139" s="82"/>
      <c r="X139" s="82"/>
      <c r="Y139" s="82"/>
      <c r="Z139" s="82"/>
      <c r="AA139" s="11">
        <f>SUM(AA31,AA85)</f>
        <v>159</v>
      </c>
      <c r="AB139" s="82"/>
      <c r="AC139" s="82"/>
      <c r="AD139" s="82"/>
      <c r="AE139" s="82"/>
      <c r="AF139" s="11">
        <f>SUM(AF31,AF85)</f>
        <v>126</v>
      </c>
      <c r="AG139" s="82"/>
      <c r="AH139" s="82"/>
      <c r="AI139" s="82"/>
      <c r="AJ139" s="82"/>
      <c r="AK139" s="11">
        <f>SUM(AK31,AK85)</f>
        <v>114</v>
      </c>
      <c r="AL139" s="82"/>
      <c r="AM139" s="82"/>
      <c r="AN139" s="82"/>
      <c r="AO139" s="82"/>
      <c r="AP139" s="11">
        <f>SUM(AP31,AP85)</f>
        <v>120</v>
      </c>
      <c r="AQ139" s="82"/>
      <c r="AR139" s="82"/>
      <c r="AS139" s="82"/>
      <c r="AT139" s="82"/>
      <c r="AU139" s="11">
        <f>SUM(AU31,AU85)</f>
        <v>117</v>
      </c>
      <c r="AV139" s="82"/>
      <c r="AW139" s="82"/>
      <c r="AX139" s="82"/>
      <c r="AY139" s="82"/>
      <c r="AZ139" s="11">
        <f>SUM(AZ31,AZ85)</f>
        <v>107</v>
      </c>
      <c r="BA139" s="82"/>
      <c r="BB139" s="82"/>
      <c r="BC139" s="82"/>
      <c r="BD139" s="82"/>
      <c r="BE139" s="11">
        <f>SUM(BE31,BE85)</f>
        <v>187</v>
      </c>
      <c r="BF139" s="82"/>
      <c r="BG139" s="82"/>
      <c r="BH139" s="82"/>
      <c r="BI139" s="82"/>
      <c r="BJ139" s="11">
        <f>SUM(BJ31,BJ85)</f>
        <v>208</v>
      </c>
      <c r="BK139" s="82"/>
      <c r="BL139" s="82"/>
      <c r="BM139" s="82"/>
      <c r="BN139" s="82"/>
      <c r="BO139" s="11">
        <f>SUM(BO31,BO85)</f>
        <v>205</v>
      </c>
      <c r="BP139" s="82"/>
      <c r="BQ139" s="82"/>
      <c r="BR139" s="82"/>
      <c r="BS139" s="82"/>
      <c r="BT139" s="82"/>
      <c r="BU139" s="82"/>
      <c r="BV139" s="82"/>
      <c r="BW139" s="82"/>
      <c r="BX139" s="82"/>
      <c r="BY139" s="82"/>
      <c r="BZ139" s="82"/>
      <c r="CA139" s="82"/>
      <c r="CB139" s="82"/>
      <c r="CC139" s="82"/>
      <c r="CD139" s="82"/>
      <c r="CE139" s="5"/>
      <c r="CF139" s="5"/>
      <c r="CG139" s="5"/>
      <c r="CH139" s="5"/>
      <c r="CI139" s="5"/>
    </row>
    <row r="140" spans="1:87">
      <c r="A140" s="11"/>
      <c r="B140" s="11" t="s">
        <v>1934</v>
      </c>
      <c r="C140" s="11">
        <f t="shared" si="29"/>
        <v>0</v>
      </c>
      <c r="D140" s="11">
        <f t="shared" si="29"/>
        <v>0</v>
      </c>
      <c r="E140" s="11">
        <f t="shared" si="29"/>
        <v>0</v>
      </c>
      <c r="F140" s="11">
        <f t="shared" si="29"/>
        <v>0</v>
      </c>
      <c r="G140" s="11">
        <f t="shared" si="29"/>
        <v>0</v>
      </c>
      <c r="H140" s="82"/>
      <c r="I140" s="82"/>
      <c r="J140" s="82"/>
      <c r="K140" s="82"/>
      <c r="L140" s="11">
        <f>SUM(L32,L86)</f>
        <v>0</v>
      </c>
      <c r="M140" s="82"/>
      <c r="N140" s="82"/>
      <c r="O140" s="82"/>
      <c r="P140" s="82"/>
      <c r="Q140" s="11">
        <f>SUM(Q32,Q86)</f>
        <v>0</v>
      </c>
      <c r="R140" s="82"/>
      <c r="S140" s="82"/>
      <c r="T140" s="82"/>
      <c r="U140" s="82"/>
      <c r="V140" s="11">
        <f>SUM(V32,V86)</f>
        <v>0</v>
      </c>
      <c r="W140" s="82"/>
      <c r="X140" s="82"/>
      <c r="Y140" s="82"/>
      <c r="Z140" s="82"/>
      <c r="AA140" s="11">
        <f>SUM(AA32,AA86)</f>
        <v>0</v>
      </c>
      <c r="AB140" s="82"/>
      <c r="AC140" s="82"/>
      <c r="AD140" s="82"/>
      <c r="AE140" s="82"/>
      <c r="AF140" s="11">
        <f>SUM(AF32,AF86)</f>
        <v>0</v>
      </c>
      <c r="AG140" s="82"/>
      <c r="AH140" s="82"/>
      <c r="AI140" s="82"/>
      <c r="AJ140" s="82"/>
      <c r="AK140" s="11">
        <f>SUM(AK32,AK86)</f>
        <v>0</v>
      </c>
      <c r="AL140" s="82"/>
      <c r="AM140" s="82"/>
      <c r="AN140" s="82"/>
      <c r="AO140" s="82"/>
      <c r="AP140" s="11">
        <f>SUM(AP32,AP86)</f>
        <v>0</v>
      </c>
      <c r="AQ140" s="82"/>
      <c r="AR140" s="82"/>
      <c r="AS140" s="82"/>
      <c r="AT140" s="82"/>
      <c r="AU140" s="11">
        <f>SUM(AU32,AU86)</f>
        <v>8</v>
      </c>
      <c r="AV140" s="82"/>
      <c r="AW140" s="82"/>
      <c r="AX140" s="82"/>
      <c r="AY140" s="82"/>
      <c r="AZ140" s="11">
        <f>SUM(AZ32,AZ86)</f>
        <v>0</v>
      </c>
      <c r="BA140" s="82"/>
      <c r="BB140" s="82"/>
      <c r="BC140" s="82"/>
      <c r="BD140" s="82"/>
      <c r="BE140" s="11">
        <f>SUM(BE32,BE86)</f>
        <v>0</v>
      </c>
      <c r="BF140" s="82"/>
      <c r="BG140" s="82"/>
      <c r="BH140" s="82"/>
      <c r="BI140" s="82"/>
      <c r="BJ140" s="11">
        <f>SUM(BJ32,BJ86)</f>
        <v>18</v>
      </c>
      <c r="BK140" s="82"/>
      <c r="BL140" s="82"/>
      <c r="BM140" s="82"/>
      <c r="BN140" s="82"/>
      <c r="BO140" s="11">
        <f>SUM(BO32,BO86)</f>
        <v>77</v>
      </c>
      <c r="BP140" s="82"/>
      <c r="BQ140" s="82"/>
      <c r="BR140" s="82"/>
      <c r="BS140" s="82"/>
      <c r="BT140" s="82"/>
      <c r="BU140" s="82"/>
      <c r="BV140" s="82"/>
      <c r="BW140" s="82"/>
      <c r="BX140" s="82"/>
      <c r="BY140" s="82"/>
      <c r="BZ140" s="82"/>
      <c r="CA140" s="82"/>
      <c r="CB140" s="82"/>
      <c r="CC140" s="82"/>
      <c r="CD140" s="82"/>
      <c r="CE140" s="5"/>
      <c r="CF140" s="5"/>
      <c r="CG140" s="5"/>
      <c r="CH140" s="5"/>
      <c r="CI140" s="5"/>
    </row>
    <row r="141" spans="1:87">
      <c r="A141" s="11"/>
      <c r="B141" s="11" t="s">
        <v>2251</v>
      </c>
      <c r="C141" s="11">
        <f t="shared" si="29"/>
        <v>190</v>
      </c>
      <c r="D141" s="11">
        <f t="shared" si="29"/>
        <v>256</v>
      </c>
      <c r="E141" s="11">
        <f t="shared" si="29"/>
        <v>253</v>
      </c>
      <c r="F141" s="11">
        <f t="shared" si="29"/>
        <v>195</v>
      </c>
      <c r="G141" s="11">
        <f t="shared" si="29"/>
        <v>189</v>
      </c>
      <c r="H141" s="82"/>
      <c r="I141" s="82"/>
      <c r="J141" s="82"/>
      <c r="K141" s="82"/>
      <c r="L141" s="11">
        <f>SUM(L33,L87)</f>
        <v>271</v>
      </c>
      <c r="M141" s="82"/>
      <c r="N141" s="82"/>
      <c r="O141" s="82"/>
      <c r="P141" s="82"/>
      <c r="Q141" s="11">
        <f>SUM(Q33,Q87)</f>
        <v>315</v>
      </c>
      <c r="R141" s="82"/>
      <c r="S141" s="82"/>
      <c r="T141" s="82"/>
      <c r="U141" s="82"/>
      <c r="V141" s="11">
        <f>SUM(V33,V87)</f>
        <v>372</v>
      </c>
      <c r="W141" s="82"/>
      <c r="X141" s="82"/>
      <c r="Y141" s="82"/>
      <c r="Z141" s="82"/>
      <c r="AA141" s="11">
        <f>SUM(AA33,AA87)</f>
        <v>462</v>
      </c>
      <c r="AB141" s="82"/>
      <c r="AC141" s="82"/>
      <c r="AD141" s="82"/>
      <c r="AE141" s="82"/>
      <c r="AF141" s="11">
        <f>SUM(AF33,AF87)</f>
        <v>430</v>
      </c>
      <c r="AG141" s="82"/>
      <c r="AH141" s="82"/>
      <c r="AI141" s="82"/>
      <c r="AJ141" s="82"/>
      <c r="AK141" s="11">
        <f>SUM(AK33,AK87)</f>
        <v>444</v>
      </c>
      <c r="AL141" s="82"/>
      <c r="AM141" s="82"/>
      <c r="AN141" s="82"/>
      <c r="AO141" s="82"/>
      <c r="AP141" s="11">
        <f>SUM(AP33,AP87)</f>
        <v>470</v>
      </c>
      <c r="AQ141" s="82"/>
      <c r="AR141" s="82"/>
      <c r="AS141" s="82"/>
      <c r="AT141" s="82"/>
      <c r="AU141" s="11">
        <f>SUM(AU33,AU87)</f>
        <v>444</v>
      </c>
      <c r="AV141" s="82"/>
      <c r="AW141" s="82"/>
      <c r="AX141" s="82"/>
      <c r="AY141" s="82"/>
      <c r="AZ141" s="11">
        <f>SUM(AZ33,AZ87)</f>
        <v>406</v>
      </c>
      <c r="BA141" s="82"/>
      <c r="BB141" s="82"/>
      <c r="BC141" s="82"/>
      <c r="BD141" s="82"/>
      <c r="BE141" s="11">
        <f>SUM(BE33,BE87)</f>
        <v>402</v>
      </c>
      <c r="BF141" s="82"/>
      <c r="BG141" s="82"/>
      <c r="BH141" s="82"/>
      <c r="BI141" s="82"/>
      <c r="BJ141" s="11">
        <f>SUM(BJ33,BJ87)</f>
        <v>305</v>
      </c>
      <c r="BK141" s="82"/>
      <c r="BL141" s="82"/>
      <c r="BM141" s="82"/>
      <c r="BN141" s="82"/>
      <c r="BO141" s="11">
        <f>SUM(BO33,BO87)</f>
        <v>745</v>
      </c>
      <c r="BP141" s="82"/>
      <c r="BQ141" s="82"/>
      <c r="BR141" s="82"/>
      <c r="BS141" s="82"/>
      <c r="BT141" s="82"/>
      <c r="BU141" s="82"/>
      <c r="BV141" s="82"/>
      <c r="BW141" s="82"/>
      <c r="BX141" s="82"/>
      <c r="BY141" s="82"/>
      <c r="BZ141" s="82"/>
      <c r="CA141" s="82"/>
      <c r="CB141" s="82"/>
      <c r="CC141" s="82"/>
      <c r="CD141" s="82"/>
      <c r="CE141" s="5"/>
      <c r="CF141" s="5"/>
      <c r="CG141" s="5"/>
      <c r="CH141" s="5"/>
      <c r="CI141" s="5"/>
    </row>
    <row r="142" spans="1:87">
      <c r="A142" s="39" t="s">
        <v>2461</v>
      </c>
      <c r="B142" s="39"/>
      <c r="C142" s="39">
        <f>SUM(C139:C141)</f>
        <v>190</v>
      </c>
      <c r="D142" s="39">
        <f>SUM(D139:D141)</f>
        <v>256</v>
      </c>
      <c r="E142" s="39">
        <f>SUM(E139:E141)</f>
        <v>253</v>
      </c>
      <c r="F142" s="39">
        <f>SUM(F139:F141)</f>
        <v>273.84000000000003</v>
      </c>
      <c r="G142" s="39">
        <f>SUM(G139:G141)</f>
        <v>363.51</v>
      </c>
      <c r="H142" s="83"/>
      <c r="I142" s="83"/>
      <c r="J142" s="83"/>
      <c r="K142" s="83"/>
      <c r="L142" s="39">
        <f>SUM(L139:L141)</f>
        <v>430</v>
      </c>
      <c r="M142" s="83"/>
      <c r="N142" s="83"/>
      <c r="O142" s="83"/>
      <c r="P142" s="83"/>
      <c r="Q142" s="39">
        <f>SUM(Q139:Q141)</f>
        <v>468</v>
      </c>
      <c r="R142" s="83"/>
      <c r="S142" s="83"/>
      <c r="T142" s="83"/>
      <c r="U142" s="83"/>
      <c r="V142" s="39">
        <f>SUM(V139:V141)</f>
        <v>484</v>
      </c>
      <c r="W142" s="83"/>
      <c r="X142" s="83"/>
      <c r="Y142" s="83"/>
      <c r="Z142" s="83"/>
      <c r="AA142" s="39">
        <f>SUM(AA139:AA141)</f>
        <v>621</v>
      </c>
      <c r="AB142" s="83"/>
      <c r="AC142" s="83"/>
      <c r="AD142" s="83"/>
      <c r="AE142" s="83"/>
      <c r="AF142" s="39">
        <f>SUM(AF139:AF141)</f>
        <v>556</v>
      </c>
      <c r="AG142" s="83"/>
      <c r="AH142" s="83"/>
      <c r="AI142" s="83"/>
      <c r="AJ142" s="83"/>
      <c r="AK142" s="39">
        <f>SUM(AK139:AK141)</f>
        <v>558</v>
      </c>
      <c r="AL142" s="83"/>
      <c r="AM142" s="83"/>
      <c r="AN142" s="83"/>
      <c r="AO142" s="83"/>
      <c r="AP142" s="39">
        <f>SUM(AP139:AP141)</f>
        <v>590</v>
      </c>
      <c r="AQ142" s="83"/>
      <c r="AR142" s="83"/>
      <c r="AS142" s="83"/>
      <c r="AT142" s="83"/>
      <c r="AU142" s="39">
        <f>SUM(AU139:AU141)</f>
        <v>569</v>
      </c>
      <c r="AV142" s="83"/>
      <c r="AW142" s="83"/>
      <c r="AX142" s="83"/>
      <c r="AY142" s="83"/>
      <c r="AZ142" s="39">
        <f>SUM(AZ139:AZ141)</f>
        <v>513</v>
      </c>
      <c r="BA142" s="83"/>
      <c r="BB142" s="83"/>
      <c r="BC142" s="83"/>
      <c r="BD142" s="83"/>
      <c r="BE142" s="39">
        <f>SUM(BE139:BE141)</f>
        <v>589</v>
      </c>
      <c r="BF142" s="83"/>
      <c r="BG142" s="83"/>
      <c r="BH142" s="83"/>
      <c r="BI142" s="83"/>
      <c r="BJ142" s="39">
        <f>SUM(BJ139:BJ141)</f>
        <v>531</v>
      </c>
      <c r="BK142" s="83"/>
      <c r="BL142" s="83"/>
      <c r="BM142" s="83"/>
      <c r="BN142" s="83"/>
      <c r="BO142" s="39">
        <f>SUM(BO34,BO88)</f>
        <v>1027</v>
      </c>
      <c r="BP142" s="80">
        <f>BP311+BP365</f>
        <v>1331.9232442065786</v>
      </c>
      <c r="BQ142" s="80">
        <f>BQ311+BQ365</f>
        <v>1296.7634988101504</v>
      </c>
      <c r="BR142" s="80">
        <f>BR311+BR365</f>
        <v>1305.925709412071</v>
      </c>
      <c r="BS142" s="80">
        <f>BS311+BS365</f>
        <v>1321.6675475712</v>
      </c>
      <c r="BT142" s="39">
        <f>AVERAGE(BP142:BS142)</f>
        <v>1314.07</v>
      </c>
      <c r="BU142" s="80">
        <f>BU311+BU365</f>
        <v>1628.1336811596566</v>
      </c>
      <c r="BV142" s="80">
        <f>BV311+BV365</f>
        <v>1585.1546536894784</v>
      </c>
      <c r="BW142" s="80">
        <f>BW311+BW365</f>
        <v>1596.3544760063805</v>
      </c>
      <c r="BX142" s="80">
        <f>BX311+BX365</f>
        <v>1615.597189144486</v>
      </c>
      <c r="BY142" s="39">
        <f>AVERAGE(BU142:BX142)</f>
        <v>1606.3100000000004</v>
      </c>
      <c r="BZ142" s="80">
        <f>BZ311+BZ365</f>
        <v>1926.0063995136477</v>
      </c>
      <c r="CA142" s="80">
        <f>CA311+CA365</f>
        <v>1875.1642095200864</v>
      </c>
      <c r="CB142" s="80">
        <f>CB311+CB365</f>
        <v>1888.4130782741586</v>
      </c>
      <c r="CC142" s="80">
        <f>CC311+CC365</f>
        <v>1911.176312692108</v>
      </c>
      <c r="CD142" s="39">
        <f>AVERAGE(BZ142:CC142)</f>
        <v>1900.19</v>
      </c>
      <c r="CE142" s="5"/>
      <c r="CF142" s="5"/>
      <c r="CG142" s="5"/>
      <c r="CH142" s="5"/>
      <c r="CI142" s="5"/>
    </row>
    <row r="143" spans="1:87">
      <c r="A143" s="11"/>
      <c r="B143" s="11"/>
      <c r="C143" s="11"/>
      <c r="D143" s="11"/>
      <c r="E143" s="11"/>
      <c r="F143" s="11"/>
      <c r="G143" s="11"/>
      <c r="H143" s="82"/>
      <c r="I143" s="82"/>
      <c r="J143" s="82"/>
      <c r="K143" s="82"/>
      <c r="L143" s="11"/>
      <c r="M143" s="68"/>
      <c r="N143" s="68"/>
      <c r="O143" s="68"/>
      <c r="P143" s="68"/>
      <c r="Q143" s="11"/>
      <c r="R143" s="68"/>
      <c r="S143" s="68"/>
      <c r="T143" s="68"/>
      <c r="U143" s="68"/>
      <c r="V143" s="11"/>
      <c r="W143" s="68"/>
      <c r="X143" s="68"/>
      <c r="Y143" s="68"/>
      <c r="Z143" s="68"/>
      <c r="AA143" s="11"/>
      <c r="AB143" s="68"/>
      <c r="AC143" s="68"/>
      <c r="AD143" s="68"/>
      <c r="AE143" s="68"/>
      <c r="AF143" s="11"/>
      <c r="AG143" s="68"/>
      <c r="AH143" s="68"/>
      <c r="AI143" s="68"/>
      <c r="AJ143" s="68"/>
      <c r="AK143" s="11"/>
      <c r="AL143" s="68"/>
      <c r="AM143" s="68"/>
      <c r="AN143" s="68"/>
      <c r="AO143" s="68"/>
      <c r="AP143" s="11"/>
      <c r="AQ143" s="68"/>
      <c r="AR143" s="68"/>
      <c r="AS143" s="68"/>
      <c r="AT143" s="68"/>
      <c r="AU143" s="11"/>
      <c r="AV143" s="68"/>
      <c r="AW143" s="68"/>
      <c r="AX143" s="68"/>
      <c r="AY143" s="68"/>
      <c r="AZ143" s="11"/>
      <c r="BA143" s="68"/>
      <c r="BB143" s="68"/>
      <c r="BC143" s="68"/>
      <c r="BD143" s="68"/>
      <c r="BE143" s="11"/>
      <c r="BF143" s="68"/>
      <c r="BG143" s="68"/>
      <c r="BH143" s="68"/>
      <c r="BI143" s="68"/>
      <c r="BJ143" s="11"/>
      <c r="BK143" s="68"/>
      <c r="BL143" s="68"/>
      <c r="BM143" s="68"/>
      <c r="BN143" s="68"/>
      <c r="BO143" s="11"/>
      <c r="BP143" s="48"/>
      <c r="BQ143" s="48"/>
      <c r="BR143" s="48"/>
      <c r="BS143" s="48"/>
      <c r="BT143" s="48"/>
      <c r="BU143" s="48"/>
      <c r="BV143" s="48"/>
      <c r="BW143" s="48"/>
      <c r="BX143" s="48"/>
      <c r="BY143" s="48"/>
      <c r="BZ143" s="48"/>
      <c r="CA143" s="48"/>
      <c r="CB143" s="48"/>
      <c r="CC143" s="48"/>
      <c r="CD143" s="48"/>
      <c r="CE143" s="5"/>
      <c r="CF143" s="5"/>
      <c r="CG143" s="5"/>
      <c r="CH143" s="5"/>
      <c r="CI143" s="5"/>
    </row>
    <row r="144" spans="1:87">
      <c r="A144" s="39" t="s">
        <v>2462</v>
      </c>
      <c r="B144" s="11"/>
      <c r="C144" s="11"/>
      <c r="D144" s="11"/>
      <c r="E144" s="11"/>
      <c r="F144" s="11"/>
      <c r="G144" s="11"/>
      <c r="H144" s="82"/>
      <c r="I144" s="82"/>
      <c r="J144" s="82"/>
      <c r="K144" s="82"/>
      <c r="L144" s="11"/>
      <c r="M144" s="68"/>
      <c r="N144" s="68"/>
      <c r="O144" s="68"/>
      <c r="P144" s="68"/>
      <c r="Q144" s="11"/>
      <c r="R144" s="68"/>
      <c r="S144" s="68"/>
      <c r="T144" s="68"/>
      <c r="U144" s="68"/>
      <c r="V144" s="11"/>
      <c r="W144" s="68"/>
      <c r="X144" s="68"/>
      <c r="Y144" s="68"/>
      <c r="Z144" s="68"/>
      <c r="AA144" s="11"/>
      <c r="AB144" s="68"/>
      <c r="AC144" s="68"/>
      <c r="AD144" s="68"/>
      <c r="AE144" s="68"/>
      <c r="AF144" s="11"/>
      <c r="AG144" s="68"/>
      <c r="AH144" s="68"/>
      <c r="AI144" s="68"/>
      <c r="AJ144" s="68"/>
      <c r="AK144" s="11"/>
      <c r="AL144" s="68"/>
      <c r="AM144" s="68"/>
      <c r="AN144" s="68"/>
      <c r="AO144" s="68"/>
      <c r="AP144" s="11"/>
      <c r="AQ144" s="68"/>
      <c r="AR144" s="68"/>
      <c r="AS144" s="68"/>
      <c r="AT144" s="68"/>
      <c r="AU144" s="11"/>
      <c r="AV144" s="68"/>
      <c r="AW144" s="68"/>
      <c r="AX144" s="68"/>
      <c r="AY144" s="68"/>
      <c r="AZ144" s="11"/>
      <c r="BA144" s="68"/>
      <c r="BB144" s="68"/>
      <c r="BC144" s="68"/>
      <c r="BD144" s="68"/>
      <c r="BE144" s="11"/>
      <c r="BF144" s="68"/>
      <c r="BG144" s="68"/>
      <c r="BH144" s="68"/>
      <c r="BI144" s="68"/>
      <c r="BJ144" s="11"/>
      <c r="BK144" s="68"/>
      <c r="BL144" s="68"/>
      <c r="BM144" s="68"/>
      <c r="BN144" s="68"/>
      <c r="BO144" s="11"/>
      <c r="BP144" s="48"/>
      <c r="BQ144" s="48"/>
      <c r="BR144" s="48"/>
      <c r="BS144" s="48"/>
      <c r="BT144" s="48"/>
      <c r="BU144" s="48"/>
      <c r="BV144" s="48"/>
      <c r="BW144" s="48"/>
      <c r="BX144" s="48"/>
      <c r="BY144" s="48"/>
      <c r="BZ144" s="48"/>
      <c r="CA144" s="48"/>
      <c r="CB144" s="48"/>
      <c r="CC144" s="48"/>
      <c r="CD144" s="48"/>
      <c r="CE144" s="5"/>
      <c r="CF144" s="5"/>
      <c r="CG144" s="5"/>
      <c r="CH144" s="5"/>
      <c r="CI144" s="5"/>
    </row>
    <row r="145" spans="1:87">
      <c r="A145" s="39"/>
      <c r="B145" s="11" t="s">
        <v>2502</v>
      </c>
      <c r="C145" s="11">
        <f t="shared" ref="C145:G147" si="30">SUM(C37,C91)</f>
        <v>0</v>
      </c>
      <c r="D145" s="11">
        <f t="shared" si="30"/>
        <v>0</v>
      </c>
      <c r="E145" s="11">
        <f t="shared" si="30"/>
        <v>0</v>
      </c>
      <c r="F145" s="11">
        <f t="shared" si="30"/>
        <v>0</v>
      </c>
      <c r="G145" s="11">
        <f t="shared" si="30"/>
        <v>0</v>
      </c>
      <c r="H145" s="82"/>
      <c r="I145" s="82"/>
      <c r="J145" s="82"/>
      <c r="K145" s="82"/>
      <c r="L145" s="11">
        <f>SUM(L37,L91)</f>
        <v>0</v>
      </c>
      <c r="M145" s="82"/>
      <c r="N145" s="82"/>
      <c r="O145" s="82"/>
      <c r="P145" s="82"/>
      <c r="Q145" s="11">
        <f>SUM(Q37,Q91)</f>
        <v>0</v>
      </c>
      <c r="R145" s="82"/>
      <c r="S145" s="82"/>
      <c r="T145" s="82"/>
      <c r="U145" s="82"/>
      <c r="V145" s="11">
        <f>SUM(V37,V91)</f>
        <v>0</v>
      </c>
      <c r="W145" s="82"/>
      <c r="X145" s="82"/>
      <c r="Y145" s="82"/>
      <c r="Z145" s="82"/>
      <c r="AA145" s="11">
        <f>SUM(AA37,AA91)</f>
        <v>0</v>
      </c>
      <c r="AB145" s="82"/>
      <c r="AC145" s="82"/>
      <c r="AD145" s="82"/>
      <c r="AE145" s="82"/>
      <c r="AF145" s="11">
        <f>SUM(AF37,AF91)</f>
        <v>0</v>
      </c>
      <c r="AG145" s="83"/>
      <c r="AH145" s="83"/>
      <c r="AI145" s="83"/>
      <c r="AJ145" s="83"/>
      <c r="AK145" s="11">
        <f>SUM(AK37,AK91)</f>
        <v>0</v>
      </c>
      <c r="AL145" s="83"/>
      <c r="AM145" s="83"/>
      <c r="AN145" s="83"/>
      <c r="AO145" s="83"/>
      <c r="AP145" s="11">
        <f>SUM(AP37,AP91)</f>
        <v>0</v>
      </c>
      <c r="AQ145" s="83"/>
      <c r="AR145" s="83"/>
      <c r="AS145" s="83"/>
      <c r="AT145" s="83"/>
      <c r="AU145" s="11">
        <f>SUM(AU37,AU91)</f>
        <v>0</v>
      </c>
      <c r="AV145" s="83"/>
      <c r="AW145" s="83"/>
      <c r="AX145" s="83"/>
      <c r="AY145" s="83"/>
      <c r="AZ145" s="11">
        <f>SUM(AZ37,AZ91)</f>
        <v>0</v>
      </c>
      <c r="BA145" s="83"/>
      <c r="BB145" s="83"/>
      <c r="BC145" s="83"/>
      <c r="BD145" s="83"/>
      <c r="BE145" s="11">
        <f>SUM(BE37,BE91)</f>
        <v>0</v>
      </c>
      <c r="BF145" s="83"/>
      <c r="BG145" s="83"/>
      <c r="BH145" s="83"/>
      <c r="BI145" s="83"/>
      <c r="BJ145" s="11">
        <f>SUM(BJ37,BJ91)</f>
        <v>0</v>
      </c>
      <c r="BK145" s="83"/>
      <c r="BL145" s="83"/>
      <c r="BM145" s="83"/>
      <c r="BN145" s="83"/>
      <c r="BO145" s="11">
        <f>SUM(BO37,BO91)</f>
        <v>0</v>
      </c>
      <c r="BP145" s="68">
        <f t="shared" ref="BP145:BS147" si="31">BP314+BP368</f>
        <v>0</v>
      </c>
      <c r="BQ145" s="68">
        <f t="shared" si="31"/>
        <v>0</v>
      </c>
      <c r="BR145" s="68">
        <f t="shared" si="31"/>
        <v>0</v>
      </c>
      <c r="BS145" s="68">
        <f t="shared" si="31"/>
        <v>0</v>
      </c>
      <c r="BT145" s="47">
        <f>AVERAGE(BP145:BS145)</f>
        <v>0</v>
      </c>
      <c r="BU145" s="68">
        <f t="shared" ref="BU145:BX147" si="32">BU314+BU368</f>
        <v>0</v>
      </c>
      <c r="BV145" s="68">
        <f t="shared" si="32"/>
        <v>0</v>
      </c>
      <c r="BW145" s="68">
        <f t="shared" si="32"/>
        <v>0</v>
      </c>
      <c r="BX145" s="68">
        <f t="shared" si="32"/>
        <v>0</v>
      </c>
      <c r="BY145" s="47">
        <f>AVERAGE(BU145:BX145)</f>
        <v>0</v>
      </c>
      <c r="BZ145" s="68">
        <f t="shared" ref="BZ145:CC147" si="33">BZ314+BZ368</f>
        <v>0</v>
      </c>
      <c r="CA145" s="68">
        <f t="shared" si="33"/>
        <v>0</v>
      </c>
      <c r="CB145" s="68">
        <f t="shared" si="33"/>
        <v>0</v>
      </c>
      <c r="CC145" s="68">
        <f t="shared" si="33"/>
        <v>0</v>
      </c>
      <c r="CD145" s="47">
        <f>AVERAGE(BZ145:CC145)</f>
        <v>0</v>
      </c>
      <c r="CE145" s="5"/>
      <c r="CF145" s="5"/>
      <c r="CG145" s="5"/>
      <c r="CH145" s="5"/>
      <c r="CI145" s="5"/>
    </row>
    <row r="146" spans="1:87">
      <c r="A146" s="11"/>
      <c r="B146" s="11" t="s">
        <v>726</v>
      </c>
      <c r="C146" s="11">
        <f t="shared" si="30"/>
        <v>0</v>
      </c>
      <c r="D146" s="11">
        <f t="shared" si="30"/>
        <v>0</v>
      </c>
      <c r="E146" s="11">
        <f t="shared" si="30"/>
        <v>0</v>
      </c>
      <c r="F146" s="11">
        <f t="shared" si="30"/>
        <v>0</v>
      </c>
      <c r="G146" s="11">
        <f t="shared" si="30"/>
        <v>0</v>
      </c>
      <c r="H146" s="82"/>
      <c r="I146" s="82"/>
      <c r="J146" s="82"/>
      <c r="K146" s="82"/>
      <c r="L146" s="11">
        <f>SUM(L38,L92)</f>
        <v>0</v>
      </c>
      <c r="M146" s="82"/>
      <c r="N146" s="82"/>
      <c r="O146" s="82"/>
      <c r="P146" s="82"/>
      <c r="Q146" s="11">
        <f>SUM(Q38,Q92)</f>
        <v>73</v>
      </c>
      <c r="R146" s="82"/>
      <c r="S146" s="82"/>
      <c r="T146" s="82"/>
      <c r="U146" s="82"/>
      <c r="V146" s="11">
        <f>SUM(V38,V92)</f>
        <v>143</v>
      </c>
      <c r="W146" s="82"/>
      <c r="X146" s="82"/>
      <c r="Y146" s="82"/>
      <c r="Z146" s="82"/>
      <c r="AA146" s="11">
        <f>SUM(AA38,AA92)</f>
        <v>126</v>
      </c>
      <c r="AB146" s="82"/>
      <c r="AC146" s="82"/>
      <c r="AD146" s="82"/>
      <c r="AE146" s="82"/>
      <c r="AF146" s="11">
        <f>SUM(AF38,AF92)</f>
        <v>132</v>
      </c>
      <c r="AG146" s="83"/>
      <c r="AH146" s="83"/>
      <c r="AI146" s="83"/>
      <c r="AJ146" s="83"/>
      <c r="AK146" s="11">
        <f>SUM(AK38,AK92)</f>
        <v>140</v>
      </c>
      <c r="AL146" s="83"/>
      <c r="AM146" s="83"/>
      <c r="AN146" s="83"/>
      <c r="AO146" s="83"/>
      <c r="AP146" s="11">
        <f>SUM(AP38,AP92)</f>
        <v>158</v>
      </c>
      <c r="AQ146" s="83"/>
      <c r="AR146" s="83"/>
      <c r="AS146" s="83"/>
      <c r="AT146" s="83"/>
      <c r="AU146" s="11">
        <f>SUM(AU38,AU92)</f>
        <v>203</v>
      </c>
      <c r="AV146" s="83"/>
      <c r="AW146" s="83"/>
      <c r="AX146" s="83"/>
      <c r="AY146" s="83"/>
      <c r="AZ146" s="11">
        <f>SUM(AZ38,AZ92)</f>
        <v>230</v>
      </c>
      <c r="BA146" s="83"/>
      <c r="BB146" s="83"/>
      <c r="BC146" s="83"/>
      <c r="BD146" s="83"/>
      <c r="BE146" s="11">
        <f>SUM(BE38,BE92)</f>
        <v>219</v>
      </c>
      <c r="BF146" s="83"/>
      <c r="BG146" s="83"/>
      <c r="BH146" s="83"/>
      <c r="BI146" s="83"/>
      <c r="BJ146" s="11">
        <f>SUM(BJ38,BJ92)</f>
        <v>245</v>
      </c>
      <c r="BK146" s="83"/>
      <c r="BL146" s="83"/>
      <c r="BM146" s="83"/>
      <c r="BN146" s="83"/>
      <c r="BO146" s="11">
        <f>SUM(BO38,BO92)</f>
        <v>232</v>
      </c>
      <c r="BP146" s="68">
        <f t="shared" si="31"/>
        <v>272.23912284843652</v>
      </c>
      <c r="BQ146" s="68">
        <f t="shared" si="31"/>
        <v>265.05262896605069</v>
      </c>
      <c r="BR146" s="68">
        <f t="shared" si="31"/>
        <v>266.92534362019387</v>
      </c>
      <c r="BS146" s="68">
        <f t="shared" si="31"/>
        <v>270.14290456531876</v>
      </c>
      <c r="BT146" s="47">
        <f t="shared" ref="BT146:BT156" si="34">AVERAGE(BP146:BS146)</f>
        <v>268.58999999999997</v>
      </c>
      <c r="BU146" s="68">
        <f t="shared" si="32"/>
        <v>308.95121573934972</v>
      </c>
      <c r="BV146" s="68">
        <f t="shared" si="32"/>
        <v>300.79560607298083</v>
      </c>
      <c r="BW146" s="68">
        <f t="shared" si="32"/>
        <v>302.92086075010724</v>
      </c>
      <c r="BX146" s="68">
        <f t="shared" si="32"/>
        <v>306.57231743756211</v>
      </c>
      <c r="BY146" s="47">
        <f t="shared" ref="BY146:BY156" si="35">AVERAGE(BU146:BX146)</f>
        <v>304.81</v>
      </c>
      <c r="BZ146" s="68">
        <f t="shared" si="33"/>
        <v>455.66782109439345</v>
      </c>
      <c r="CA146" s="68">
        <f t="shared" si="33"/>
        <v>443.63922662041688</v>
      </c>
      <c r="CB146" s="68">
        <f t="shared" si="33"/>
        <v>446.77373497857093</v>
      </c>
      <c r="CC146" s="68">
        <f t="shared" si="33"/>
        <v>452.15921730661876</v>
      </c>
      <c r="CD146" s="47">
        <f t="shared" ref="CD146:CD156" si="36">AVERAGE(BZ146:CC146)</f>
        <v>449.56</v>
      </c>
      <c r="CE146" s="5"/>
      <c r="CF146" s="5"/>
      <c r="CG146" s="5"/>
      <c r="CH146" s="5"/>
      <c r="CI146" s="5"/>
    </row>
    <row r="147" spans="1:87">
      <c r="A147" s="11"/>
      <c r="B147" s="11" t="s">
        <v>216</v>
      </c>
      <c r="C147" s="11">
        <f t="shared" si="30"/>
        <v>108</v>
      </c>
      <c r="D147" s="11">
        <f t="shared" si="30"/>
        <v>102</v>
      </c>
      <c r="E147" s="11">
        <f t="shared" si="30"/>
        <v>74</v>
      </c>
      <c r="F147" s="11">
        <f t="shared" si="30"/>
        <v>99</v>
      </c>
      <c r="G147" s="11">
        <f t="shared" si="30"/>
        <v>98</v>
      </c>
      <c r="H147" s="82"/>
      <c r="I147" s="82"/>
      <c r="J147" s="82"/>
      <c r="K147" s="82"/>
      <c r="L147" s="11">
        <f>SUM(L39,L93)</f>
        <v>102</v>
      </c>
      <c r="M147" s="82"/>
      <c r="N147" s="82"/>
      <c r="O147" s="82"/>
      <c r="P147" s="82"/>
      <c r="Q147" s="11">
        <f>SUM(Q39,Q93)</f>
        <v>85</v>
      </c>
      <c r="R147" s="82"/>
      <c r="S147" s="82"/>
      <c r="T147" s="82"/>
      <c r="U147" s="82"/>
      <c r="V147" s="11">
        <f>SUM(V39,V93)</f>
        <v>91</v>
      </c>
      <c r="W147" s="82"/>
      <c r="X147" s="82"/>
      <c r="Y147" s="82"/>
      <c r="Z147" s="82"/>
      <c r="AA147" s="11">
        <f>SUM(AA39,AA93)</f>
        <v>83</v>
      </c>
      <c r="AB147" s="82"/>
      <c r="AC147" s="82"/>
      <c r="AD147" s="82"/>
      <c r="AE147" s="82"/>
      <c r="AF147" s="11">
        <f>SUM(AF39,AF93)</f>
        <v>95</v>
      </c>
      <c r="AG147" s="83"/>
      <c r="AH147" s="83"/>
      <c r="AI147" s="83"/>
      <c r="AJ147" s="83"/>
      <c r="AK147" s="11">
        <f>SUM(AK39,AK93)</f>
        <v>70</v>
      </c>
      <c r="AL147" s="83"/>
      <c r="AM147" s="83"/>
      <c r="AN147" s="83"/>
      <c r="AO147" s="83"/>
      <c r="AP147" s="11">
        <f>SUM(AP39,AP93)</f>
        <v>54</v>
      </c>
      <c r="AQ147" s="83"/>
      <c r="AR147" s="83"/>
      <c r="AS147" s="83"/>
      <c r="AT147" s="83"/>
      <c r="AU147" s="11">
        <f>SUM(AU39,AU93)</f>
        <v>34</v>
      </c>
      <c r="AV147" s="83"/>
      <c r="AW147" s="83"/>
      <c r="AX147" s="83"/>
      <c r="AY147" s="83"/>
      <c r="AZ147" s="11">
        <f>SUM(AZ39,AZ93)</f>
        <v>0</v>
      </c>
      <c r="BA147" s="83"/>
      <c r="BB147" s="83"/>
      <c r="BC147" s="83"/>
      <c r="BD147" s="83"/>
      <c r="BE147" s="11">
        <f>SUM(BE39,BE93)</f>
        <v>0</v>
      </c>
      <c r="BF147" s="83"/>
      <c r="BG147" s="83"/>
      <c r="BH147" s="83"/>
      <c r="BI147" s="83"/>
      <c r="BJ147" s="11">
        <f>SUM(BJ39,BJ93)</f>
        <v>0</v>
      </c>
      <c r="BK147" s="83"/>
      <c r="BL147" s="83"/>
      <c r="BM147" s="83"/>
      <c r="BN147" s="83"/>
      <c r="BO147" s="11">
        <f>SUM(BO39,BO93)</f>
        <v>0</v>
      </c>
      <c r="BP147" s="68">
        <f t="shared" si="31"/>
        <v>0</v>
      </c>
      <c r="BQ147" s="68">
        <f t="shared" si="31"/>
        <v>0</v>
      </c>
      <c r="BR147" s="68">
        <f t="shared" si="31"/>
        <v>0</v>
      </c>
      <c r="BS147" s="68">
        <f t="shared" si="31"/>
        <v>0</v>
      </c>
      <c r="BT147" s="47">
        <f t="shared" si="34"/>
        <v>0</v>
      </c>
      <c r="BU147" s="68">
        <f t="shared" si="32"/>
        <v>0</v>
      </c>
      <c r="BV147" s="68">
        <f t="shared" si="32"/>
        <v>0</v>
      </c>
      <c r="BW147" s="68">
        <f t="shared" si="32"/>
        <v>0</v>
      </c>
      <c r="BX147" s="68">
        <f t="shared" si="32"/>
        <v>0</v>
      </c>
      <c r="BY147" s="47">
        <f t="shared" si="35"/>
        <v>0</v>
      </c>
      <c r="BZ147" s="68">
        <f t="shared" si="33"/>
        <v>0</v>
      </c>
      <c r="CA147" s="68">
        <f t="shared" si="33"/>
        <v>0</v>
      </c>
      <c r="CB147" s="68">
        <f t="shared" si="33"/>
        <v>0</v>
      </c>
      <c r="CC147" s="68">
        <f t="shared" si="33"/>
        <v>0</v>
      </c>
      <c r="CD147" s="47">
        <f t="shared" si="36"/>
        <v>0</v>
      </c>
      <c r="CE147" s="5"/>
      <c r="CF147" s="5"/>
      <c r="CG147" s="5"/>
      <c r="CH147" s="5"/>
      <c r="CI147" s="5"/>
    </row>
    <row r="148" spans="1:87">
      <c r="A148" s="11"/>
      <c r="B148" s="11" t="s">
        <v>138</v>
      </c>
      <c r="C148" s="11"/>
      <c r="D148" s="11"/>
      <c r="E148" s="11"/>
      <c r="F148" s="11"/>
      <c r="G148" s="11"/>
      <c r="H148" s="82"/>
      <c r="I148" s="82"/>
      <c r="J148" s="82"/>
      <c r="K148" s="82"/>
      <c r="L148" s="11"/>
      <c r="M148" s="82"/>
      <c r="N148" s="82"/>
      <c r="O148" s="82"/>
      <c r="P148" s="82"/>
      <c r="Q148" s="11"/>
      <c r="R148" s="82"/>
      <c r="S148" s="82"/>
      <c r="T148" s="82"/>
      <c r="U148" s="82"/>
      <c r="V148" s="11"/>
      <c r="W148" s="82"/>
      <c r="X148" s="82"/>
      <c r="Y148" s="82"/>
      <c r="Z148" s="82"/>
      <c r="AA148" s="11"/>
      <c r="AB148" s="82"/>
      <c r="AC148" s="82"/>
      <c r="AD148" s="82"/>
      <c r="AE148" s="82"/>
      <c r="AF148" s="11"/>
      <c r="AG148" s="83"/>
      <c r="AH148" s="83"/>
      <c r="AI148" s="83"/>
      <c r="AJ148" s="83"/>
      <c r="AK148" s="11"/>
      <c r="AL148" s="83"/>
      <c r="AM148" s="83"/>
      <c r="AN148" s="83"/>
      <c r="AO148" s="83"/>
      <c r="AP148" s="11"/>
      <c r="AQ148" s="83"/>
      <c r="AR148" s="83"/>
      <c r="AS148" s="83"/>
      <c r="AT148" s="83"/>
      <c r="AU148" s="11"/>
      <c r="AV148" s="83"/>
      <c r="AW148" s="83"/>
      <c r="AX148" s="83"/>
      <c r="AY148" s="83"/>
      <c r="AZ148" s="11"/>
      <c r="BA148" s="83"/>
      <c r="BB148" s="83"/>
      <c r="BC148" s="83"/>
      <c r="BD148" s="83"/>
      <c r="BE148" s="11"/>
      <c r="BF148" s="83"/>
      <c r="BG148" s="83"/>
      <c r="BH148" s="83"/>
      <c r="BI148" s="83"/>
      <c r="BJ148" s="11"/>
      <c r="BK148" s="83"/>
      <c r="BL148" s="83"/>
      <c r="BM148" s="83"/>
      <c r="BN148" s="83"/>
      <c r="BO148" s="11"/>
      <c r="BP148" s="68"/>
      <c r="BQ148" s="68"/>
      <c r="BR148" s="68"/>
      <c r="BS148" s="68"/>
      <c r="BT148" s="47"/>
      <c r="BU148" s="68"/>
      <c r="BV148" s="68"/>
      <c r="BW148" s="68"/>
      <c r="BX148" s="68"/>
      <c r="BY148" s="47"/>
      <c r="BZ148" s="68"/>
      <c r="CA148" s="68"/>
      <c r="CB148" s="68"/>
      <c r="CC148" s="68"/>
      <c r="CD148" s="47"/>
      <c r="CE148" s="5"/>
      <c r="CF148" s="5"/>
      <c r="CG148" s="5"/>
      <c r="CH148" s="5"/>
      <c r="CI148" s="5"/>
    </row>
    <row r="149" spans="1:87">
      <c r="A149" s="11"/>
      <c r="B149" s="11" t="s">
        <v>816</v>
      </c>
      <c r="C149" s="11">
        <f t="shared" ref="C149:G156" si="37">SUM(C41,C95)</f>
        <v>0</v>
      </c>
      <c r="D149" s="11">
        <f t="shared" si="37"/>
        <v>0</v>
      </c>
      <c r="E149" s="11">
        <f t="shared" si="37"/>
        <v>0</v>
      </c>
      <c r="F149" s="11">
        <f t="shared" si="37"/>
        <v>0</v>
      </c>
      <c r="G149" s="11">
        <f t="shared" si="37"/>
        <v>0</v>
      </c>
      <c r="H149" s="82"/>
      <c r="I149" s="82"/>
      <c r="J149" s="82"/>
      <c r="K149" s="82"/>
      <c r="L149" s="11">
        <f t="shared" ref="L149:L156" si="38">SUM(L41,L95)</f>
        <v>0</v>
      </c>
      <c r="M149" s="82"/>
      <c r="N149" s="82"/>
      <c r="O149" s="82"/>
      <c r="P149" s="82"/>
      <c r="Q149" s="11">
        <f>SUM(Q41,Q95)</f>
        <v>0</v>
      </c>
      <c r="R149" s="82"/>
      <c r="S149" s="82"/>
      <c r="T149" s="82"/>
      <c r="U149" s="82"/>
      <c r="V149" s="11">
        <f>SUM(V41,V95)</f>
        <v>0</v>
      </c>
      <c r="W149" s="82"/>
      <c r="X149" s="82"/>
      <c r="Y149" s="82"/>
      <c r="Z149" s="82"/>
      <c r="AA149" s="11">
        <f>SUM(AA41,AA95)</f>
        <v>0</v>
      </c>
      <c r="AB149" s="82"/>
      <c r="AC149" s="82"/>
      <c r="AD149" s="82"/>
      <c r="AE149" s="82"/>
      <c r="AF149" s="11">
        <f>SUM(AF41,AF95)</f>
        <v>0</v>
      </c>
      <c r="AG149" s="83"/>
      <c r="AH149" s="83"/>
      <c r="AI149" s="83"/>
      <c r="AJ149" s="83"/>
      <c r="AK149" s="11">
        <f t="shared" ref="AK149:AK156" si="39">SUM(AK41,AK95)</f>
        <v>0</v>
      </c>
      <c r="AL149" s="83"/>
      <c r="AM149" s="83"/>
      <c r="AN149" s="83"/>
      <c r="AO149" s="83"/>
      <c r="AP149" s="11">
        <f t="shared" ref="AP149:AP156" si="40">SUM(AP41,AP95)</f>
        <v>0</v>
      </c>
      <c r="AQ149" s="83"/>
      <c r="AR149" s="83"/>
      <c r="AS149" s="83"/>
      <c r="AT149" s="83"/>
      <c r="AU149" s="11">
        <f t="shared" ref="AU149:AU156" si="41">SUM(AU41,AU95)</f>
        <v>0</v>
      </c>
      <c r="AV149" s="83"/>
      <c r="AW149" s="83"/>
      <c r="AX149" s="83"/>
      <c r="AY149" s="83"/>
      <c r="AZ149" s="11">
        <f t="shared" ref="AZ149:AZ156" si="42">SUM(AZ41,AZ95)</f>
        <v>0</v>
      </c>
      <c r="BA149" s="83"/>
      <c r="BB149" s="83"/>
      <c r="BC149" s="83"/>
      <c r="BD149" s="83"/>
      <c r="BE149" s="11">
        <f t="shared" ref="BE149:BE156" si="43">SUM(BE41,BE95)</f>
        <v>0</v>
      </c>
      <c r="BF149" s="83"/>
      <c r="BG149" s="83"/>
      <c r="BH149" s="83"/>
      <c r="BI149" s="83"/>
      <c r="BJ149" s="11">
        <f t="shared" ref="BJ149:BJ156" si="44">SUM(BJ41,BJ95)</f>
        <v>0</v>
      </c>
      <c r="BK149" s="83"/>
      <c r="BL149" s="83"/>
      <c r="BM149" s="83"/>
      <c r="BN149" s="83"/>
      <c r="BO149" s="11">
        <f t="shared" ref="BO149:BO156" si="45">SUM(BO41,BO95)</f>
        <v>0</v>
      </c>
      <c r="BP149" s="68">
        <f t="shared" ref="BP149:BS156" si="46">BP318+BP372</f>
        <v>0</v>
      </c>
      <c r="BQ149" s="68">
        <f t="shared" si="46"/>
        <v>0</v>
      </c>
      <c r="BR149" s="68">
        <f t="shared" si="46"/>
        <v>0</v>
      </c>
      <c r="BS149" s="68">
        <f t="shared" si="46"/>
        <v>0</v>
      </c>
      <c r="BT149" s="47">
        <f>AVERAGE(BP149:BS149)</f>
        <v>0</v>
      </c>
      <c r="BU149" s="68">
        <f t="shared" ref="BU149:BX156" si="47">BU318+BU372</f>
        <v>0</v>
      </c>
      <c r="BV149" s="68">
        <f t="shared" si="47"/>
        <v>0</v>
      </c>
      <c r="BW149" s="68">
        <f t="shared" si="47"/>
        <v>0</v>
      </c>
      <c r="BX149" s="68">
        <f t="shared" si="47"/>
        <v>0</v>
      </c>
      <c r="BY149" s="47">
        <f>AVERAGE(BU149:BX149)</f>
        <v>0</v>
      </c>
      <c r="BZ149" s="68">
        <f t="shared" ref="BZ149:CC156" si="48">BZ318+BZ372</f>
        <v>0</v>
      </c>
      <c r="CA149" s="68">
        <f t="shared" si="48"/>
        <v>0</v>
      </c>
      <c r="CB149" s="68">
        <f t="shared" si="48"/>
        <v>0</v>
      </c>
      <c r="CC149" s="68">
        <f t="shared" si="48"/>
        <v>0</v>
      </c>
      <c r="CD149" s="47">
        <f>AVERAGE(BZ149:CC149)</f>
        <v>0</v>
      </c>
      <c r="CE149" s="5"/>
      <c r="CF149" s="5"/>
      <c r="CG149" s="5"/>
      <c r="CH149" s="5"/>
      <c r="CI149" s="5"/>
    </row>
    <row r="150" spans="1:87">
      <c r="A150" s="11"/>
      <c r="B150" s="11" t="s">
        <v>1962</v>
      </c>
      <c r="C150" s="11">
        <f t="shared" si="37"/>
        <v>0</v>
      </c>
      <c r="D150" s="11">
        <f t="shared" si="37"/>
        <v>0</v>
      </c>
      <c r="E150" s="11">
        <f t="shared" si="37"/>
        <v>0</v>
      </c>
      <c r="F150" s="11">
        <f t="shared" si="37"/>
        <v>0</v>
      </c>
      <c r="G150" s="11">
        <f t="shared" si="37"/>
        <v>0</v>
      </c>
      <c r="H150" s="82"/>
      <c r="I150" s="82"/>
      <c r="J150" s="82"/>
      <c r="K150" s="82"/>
      <c r="L150" s="11">
        <f t="shared" si="38"/>
        <v>8</v>
      </c>
      <c r="M150" s="82"/>
      <c r="N150" s="82"/>
      <c r="O150" s="82"/>
      <c r="P150" s="82"/>
      <c r="Q150" s="11">
        <f>SUM(Q42,Q96)</f>
        <v>8</v>
      </c>
      <c r="R150" s="82"/>
      <c r="S150" s="82"/>
      <c r="T150" s="82"/>
      <c r="U150" s="82"/>
      <c r="V150" s="11">
        <f>SUM(V42,V96)</f>
        <v>8</v>
      </c>
      <c r="W150" s="82"/>
      <c r="X150" s="82"/>
      <c r="Y150" s="82"/>
      <c r="Z150" s="82"/>
      <c r="AA150" s="11">
        <f>SUM(AA42,AA96)</f>
        <v>11</v>
      </c>
      <c r="AB150" s="82"/>
      <c r="AC150" s="82"/>
      <c r="AD150" s="82"/>
      <c r="AE150" s="82"/>
      <c r="AF150" s="11">
        <f>SUM(AF42,AF96)</f>
        <v>0</v>
      </c>
      <c r="AG150" s="83"/>
      <c r="AH150" s="83"/>
      <c r="AI150" s="83"/>
      <c r="AJ150" s="83"/>
      <c r="AK150" s="11">
        <f t="shared" si="39"/>
        <v>0</v>
      </c>
      <c r="AL150" s="83"/>
      <c r="AM150" s="83"/>
      <c r="AN150" s="83"/>
      <c r="AO150" s="83"/>
      <c r="AP150" s="11">
        <f t="shared" si="40"/>
        <v>0</v>
      </c>
      <c r="AQ150" s="83"/>
      <c r="AR150" s="83"/>
      <c r="AS150" s="83"/>
      <c r="AT150" s="83"/>
      <c r="AU150" s="11">
        <f t="shared" si="41"/>
        <v>0</v>
      </c>
      <c r="AV150" s="83"/>
      <c r="AW150" s="83"/>
      <c r="AX150" s="83"/>
      <c r="AY150" s="83"/>
      <c r="AZ150" s="11">
        <f t="shared" si="42"/>
        <v>0</v>
      </c>
      <c r="BA150" s="83"/>
      <c r="BB150" s="83"/>
      <c r="BC150" s="83"/>
      <c r="BD150" s="83"/>
      <c r="BE150" s="11">
        <f t="shared" si="43"/>
        <v>0</v>
      </c>
      <c r="BF150" s="83"/>
      <c r="BG150" s="83"/>
      <c r="BH150" s="83"/>
      <c r="BI150" s="83"/>
      <c r="BJ150" s="11">
        <f t="shared" si="44"/>
        <v>0</v>
      </c>
      <c r="BK150" s="83"/>
      <c r="BL150" s="83"/>
      <c r="BM150" s="83"/>
      <c r="BN150" s="83"/>
      <c r="BO150" s="11">
        <f t="shared" si="45"/>
        <v>0</v>
      </c>
      <c r="BP150" s="68">
        <f t="shared" si="46"/>
        <v>0</v>
      </c>
      <c r="BQ150" s="68">
        <f t="shared" si="46"/>
        <v>0</v>
      </c>
      <c r="BR150" s="68">
        <f t="shared" si="46"/>
        <v>0</v>
      </c>
      <c r="BS150" s="68">
        <f t="shared" si="46"/>
        <v>0</v>
      </c>
      <c r="BT150" s="47">
        <f t="shared" si="34"/>
        <v>0</v>
      </c>
      <c r="BU150" s="68">
        <f t="shared" si="47"/>
        <v>0</v>
      </c>
      <c r="BV150" s="68">
        <f t="shared" si="47"/>
        <v>0</v>
      </c>
      <c r="BW150" s="68">
        <f t="shared" si="47"/>
        <v>0</v>
      </c>
      <c r="BX150" s="68">
        <f t="shared" si="47"/>
        <v>0</v>
      </c>
      <c r="BY150" s="47">
        <f t="shared" si="35"/>
        <v>0</v>
      </c>
      <c r="BZ150" s="68">
        <f t="shared" si="48"/>
        <v>0</v>
      </c>
      <c r="CA150" s="68">
        <f t="shared" si="48"/>
        <v>0</v>
      </c>
      <c r="CB150" s="68">
        <f t="shared" si="48"/>
        <v>0</v>
      </c>
      <c r="CC150" s="68">
        <f t="shared" si="48"/>
        <v>0</v>
      </c>
      <c r="CD150" s="47">
        <f t="shared" si="36"/>
        <v>0</v>
      </c>
      <c r="CE150" s="5"/>
      <c r="CF150" s="5"/>
      <c r="CG150" s="5"/>
      <c r="CH150" s="5"/>
      <c r="CI150" s="5"/>
    </row>
    <row r="151" spans="1:87">
      <c r="A151" s="11"/>
      <c r="B151" s="11" t="s">
        <v>3277</v>
      </c>
      <c r="C151" s="11">
        <f t="shared" si="37"/>
        <v>0</v>
      </c>
      <c r="D151" s="11">
        <f t="shared" si="37"/>
        <v>0</v>
      </c>
      <c r="E151" s="11">
        <f t="shared" si="37"/>
        <v>0</v>
      </c>
      <c r="F151" s="11">
        <f t="shared" si="37"/>
        <v>0</v>
      </c>
      <c r="G151" s="11">
        <f t="shared" si="37"/>
        <v>0</v>
      </c>
      <c r="H151" s="82"/>
      <c r="I151" s="82"/>
      <c r="J151" s="82"/>
      <c r="K151" s="82"/>
      <c r="L151" s="11">
        <f t="shared" si="38"/>
        <v>0</v>
      </c>
      <c r="M151" s="82"/>
      <c r="N151" s="82"/>
      <c r="O151" s="82"/>
      <c r="P151" s="82"/>
      <c r="Q151" s="11">
        <f>SUM(Q43,Q97)</f>
        <v>0</v>
      </c>
      <c r="R151" s="82"/>
      <c r="S151" s="82"/>
      <c r="T151" s="82"/>
      <c r="U151" s="82"/>
      <c r="V151" s="11">
        <f>SUM(V43,V97)</f>
        <v>0</v>
      </c>
      <c r="W151" s="82"/>
      <c r="X151" s="82"/>
      <c r="Y151" s="82"/>
      <c r="Z151" s="82"/>
      <c r="AA151" s="11">
        <f>SUM(AA43,AA97)</f>
        <v>0</v>
      </c>
      <c r="AB151" s="82"/>
      <c r="AC151" s="82"/>
      <c r="AD151" s="82"/>
      <c r="AE151" s="82"/>
      <c r="AF151" s="11">
        <f>SUM(AF43,AF97)</f>
        <v>0</v>
      </c>
      <c r="AG151" s="83"/>
      <c r="AH151" s="83"/>
      <c r="AI151" s="83"/>
      <c r="AJ151" s="83"/>
      <c r="AK151" s="11">
        <f t="shared" si="39"/>
        <v>20</v>
      </c>
      <c r="AL151" s="83"/>
      <c r="AM151" s="83"/>
      <c r="AN151" s="83"/>
      <c r="AO151" s="83"/>
      <c r="AP151" s="11">
        <f t="shared" si="40"/>
        <v>14</v>
      </c>
      <c r="AQ151" s="83"/>
      <c r="AR151" s="83"/>
      <c r="AS151" s="83"/>
      <c r="AT151" s="83"/>
      <c r="AU151" s="11">
        <f t="shared" si="41"/>
        <v>22</v>
      </c>
      <c r="AV151" s="83"/>
      <c r="AW151" s="83"/>
      <c r="AX151" s="83"/>
      <c r="AY151" s="83"/>
      <c r="AZ151" s="11">
        <f t="shared" si="42"/>
        <v>0</v>
      </c>
      <c r="BA151" s="83"/>
      <c r="BB151" s="83"/>
      <c r="BC151" s="83"/>
      <c r="BD151" s="83"/>
      <c r="BE151" s="11">
        <f t="shared" si="43"/>
        <v>0</v>
      </c>
      <c r="BF151" s="83"/>
      <c r="BG151" s="83"/>
      <c r="BH151" s="83"/>
      <c r="BI151" s="83"/>
      <c r="BJ151" s="11">
        <f>SUM(BJ43,BJ97)</f>
        <v>0</v>
      </c>
      <c r="BK151" s="83"/>
      <c r="BL151" s="83"/>
      <c r="BM151" s="83"/>
      <c r="BN151" s="83"/>
      <c r="BO151" s="11">
        <f>SUM(BO43,BO97)</f>
        <v>79</v>
      </c>
      <c r="BP151" s="68">
        <f t="shared" si="46"/>
        <v>461.58716461959864</v>
      </c>
      <c r="BQ151" s="68">
        <f t="shared" si="46"/>
        <v>449.40231293473136</v>
      </c>
      <c r="BR151" s="68">
        <f t="shared" si="46"/>
        <v>452.57754005970548</v>
      </c>
      <c r="BS151" s="68">
        <f t="shared" si="46"/>
        <v>458.03298238596426</v>
      </c>
      <c r="BT151" s="47">
        <f>AVERAGE(BP151:BS151)</f>
        <v>455.4</v>
      </c>
      <c r="BU151" s="68">
        <f t="shared" si="47"/>
        <v>524.53086888590758</v>
      </c>
      <c r="BV151" s="68">
        <f t="shared" si="47"/>
        <v>510.68444651674019</v>
      </c>
      <c r="BW151" s="68">
        <f t="shared" si="47"/>
        <v>514.29265915875624</v>
      </c>
      <c r="BX151" s="68">
        <f t="shared" si="47"/>
        <v>520.4920254385961</v>
      </c>
      <c r="BY151" s="47">
        <f>AVERAGE(BU151:BX151)</f>
        <v>517.5</v>
      </c>
      <c r="BZ151" s="68">
        <f t="shared" si="48"/>
        <v>624.1968019053304</v>
      </c>
      <c r="CA151" s="68">
        <f t="shared" si="48"/>
        <v>607.71942550416259</v>
      </c>
      <c r="CB151" s="68">
        <f t="shared" si="48"/>
        <v>612.0132334101196</v>
      </c>
      <c r="CC151" s="68">
        <f t="shared" si="48"/>
        <v>619.3905391803878</v>
      </c>
      <c r="CD151" s="47">
        <f>AVERAGE(BZ151:CC151)</f>
        <v>615.83000000000004</v>
      </c>
      <c r="CE151" s="5"/>
      <c r="CF151" s="5"/>
      <c r="CG151" s="5"/>
      <c r="CH151" s="5"/>
      <c r="CI151" s="5"/>
    </row>
    <row r="152" spans="1:87">
      <c r="A152" s="11"/>
      <c r="B152" s="11" t="s">
        <v>3278</v>
      </c>
      <c r="C152" s="11">
        <f t="shared" si="37"/>
        <v>0</v>
      </c>
      <c r="D152" s="11">
        <f t="shared" si="37"/>
        <v>0</v>
      </c>
      <c r="E152" s="11">
        <f t="shared" si="37"/>
        <v>91.38</v>
      </c>
      <c r="F152" s="11">
        <f t="shared" si="37"/>
        <v>93.06</v>
      </c>
      <c r="G152" s="11">
        <f t="shared" si="37"/>
        <v>99.66</v>
      </c>
      <c r="H152" s="82"/>
      <c r="I152" s="82"/>
      <c r="J152" s="82"/>
      <c r="K152" s="82"/>
      <c r="L152" s="11">
        <f t="shared" si="38"/>
        <v>88</v>
      </c>
      <c r="M152" s="82"/>
      <c r="N152" s="82"/>
      <c r="O152" s="82"/>
      <c r="P152" s="82"/>
      <c r="Q152" s="11">
        <f>SUM(Q44,Q98)</f>
        <v>121</v>
      </c>
      <c r="R152" s="82"/>
      <c r="S152" s="82"/>
      <c r="T152" s="82"/>
      <c r="U152" s="82"/>
      <c r="V152" s="11">
        <f>SUM(V44,V98)</f>
        <v>162</v>
      </c>
      <c r="W152" s="82"/>
      <c r="X152" s="82"/>
      <c r="Y152" s="82"/>
      <c r="Z152" s="82"/>
      <c r="AA152" s="11">
        <f>SUM(AA44,AA98)</f>
        <v>173</v>
      </c>
      <c r="AB152" s="82"/>
      <c r="AC152" s="82"/>
      <c r="AD152" s="82"/>
      <c r="AE152" s="82"/>
      <c r="AF152" s="11">
        <f>SUM(AF44,AF98)</f>
        <v>150</v>
      </c>
      <c r="AG152" s="83"/>
      <c r="AH152" s="83"/>
      <c r="AI152" s="83"/>
      <c r="AJ152" s="83"/>
      <c r="AK152" s="11">
        <f t="shared" si="39"/>
        <v>73</v>
      </c>
      <c r="AL152" s="83"/>
      <c r="AM152" s="83"/>
      <c r="AN152" s="83"/>
      <c r="AO152" s="83"/>
      <c r="AP152" s="11">
        <f t="shared" si="40"/>
        <v>0</v>
      </c>
      <c r="AQ152" s="83"/>
      <c r="AR152" s="83"/>
      <c r="AS152" s="83"/>
      <c r="AT152" s="83"/>
      <c r="AU152" s="11">
        <f t="shared" si="41"/>
        <v>0</v>
      </c>
      <c r="AV152" s="83"/>
      <c r="AW152" s="83"/>
      <c r="AX152" s="83"/>
      <c r="AY152" s="83"/>
      <c r="AZ152" s="11">
        <f t="shared" si="42"/>
        <v>0</v>
      </c>
      <c r="BA152" s="83"/>
      <c r="BB152" s="83"/>
      <c r="BC152" s="83"/>
      <c r="BD152" s="83"/>
      <c r="BE152" s="11">
        <f t="shared" si="43"/>
        <v>0</v>
      </c>
      <c r="BF152" s="83"/>
      <c r="BG152" s="83"/>
      <c r="BH152" s="83"/>
      <c r="BI152" s="83"/>
      <c r="BJ152" s="11">
        <f t="shared" si="44"/>
        <v>0</v>
      </c>
      <c r="BK152" s="83"/>
      <c r="BL152" s="83"/>
      <c r="BM152" s="83"/>
      <c r="BN152" s="83"/>
      <c r="BO152" s="11">
        <f t="shared" si="45"/>
        <v>0</v>
      </c>
      <c r="BP152" s="68">
        <f t="shared" si="46"/>
        <v>0</v>
      </c>
      <c r="BQ152" s="68">
        <f t="shared" si="46"/>
        <v>0</v>
      </c>
      <c r="BR152" s="68">
        <f t="shared" si="46"/>
        <v>0</v>
      </c>
      <c r="BS152" s="68">
        <f t="shared" si="46"/>
        <v>0</v>
      </c>
      <c r="BT152" s="47">
        <f t="shared" si="34"/>
        <v>0</v>
      </c>
      <c r="BU152" s="68">
        <f t="shared" si="47"/>
        <v>0</v>
      </c>
      <c r="BV152" s="68">
        <f t="shared" si="47"/>
        <v>0</v>
      </c>
      <c r="BW152" s="68">
        <f t="shared" si="47"/>
        <v>0</v>
      </c>
      <c r="BX152" s="68">
        <f t="shared" si="47"/>
        <v>0</v>
      </c>
      <c r="BY152" s="47">
        <f t="shared" si="35"/>
        <v>0</v>
      </c>
      <c r="BZ152" s="68">
        <f t="shared" si="48"/>
        <v>0</v>
      </c>
      <c r="CA152" s="68">
        <f t="shared" si="48"/>
        <v>0</v>
      </c>
      <c r="CB152" s="68">
        <f t="shared" si="48"/>
        <v>0</v>
      </c>
      <c r="CC152" s="68">
        <f t="shared" si="48"/>
        <v>0</v>
      </c>
      <c r="CD152" s="47">
        <f t="shared" si="36"/>
        <v>0</v>
      </c>
      <c r="CE152" s="5"/>
      <c r="CF152" s="5"/>
      <c r="CG152" s="5"/>
      <c r="CH152" s="5"/>
      <c r="CI152" s="5"/>
    </row>
    <row r="153" spans="1:87">
      <c r="A153" s="47"/>
      <c r="B153" s="47" t="s">
        <v>1703</v>
      </c>
      <c r="C153" s="11">
        <f t="shared" si="37"/>
        <v>0</v>
      </c>
      <c r="D153" s="11">
        <f t="shared" si="37"/>
        <v>6</v>
      </c>
      <c r="E153" s="11">
        <f t="shared" si="37"/>
        <v>129</v>
      </c>
      <c r="F153" s="11">
        <f t="shared" si="37"/>
        <v>458</v>
      </c>
      <c r="G153" s="11">
        <f t="shared" si="37"/>
        <v>482</v>
      </c>
      <c r="H153" s="82"/>
      <c r="I153" s="82"/>
      <c r="J153" s="82"/>
      <c r="K153" s="82"/>
      <c r="L153" s="11">
        <f t="shared" si="38"/>
        <v>544</v>
      </c>
      <c r="M153" s="68">
        <v>566</v>
      </c>
      <c r="N153" s="68">
        <v>441</v>
      </c>
      <c r="O153" s="68">
        <v>364</v>
      </c>
      <c r="P153" s="68">
        <v>437</v>
      </c>
      <c r="Q153" s="11">
        <v>451</v>
      </c>
      <c r="R153" s="68">
        <v>512</v>
      </c>
      <c r="S153" s="68">
        <v>546</v>
      </c>
      <c r="T153" s="68">
        <v>579</v>
      </c>
      <c r="U153" s="68">
        <v>621</v>
      </c>
      <c r="V153" s="11">
        <v>564</v>
      </c>
      <c r="W153" s="68">
        <v>642</v>
      </c>
      <c r="X153" s="68">
        <v>555</v>
      </c>
      <c r="Y153" s="68">
        <v>553</v>
      </c>
      <c r="Z153" s="68">
        <v>654</v>
      </c>
      <c r="AA153" s="11">
        <v>601</v>
      </c>
      <c r="AB153" s="68">
        <v>673</v>
      </c>
      <c r="AC153" s="68">
        <v>647</v>
      </c>
      <c r="AD153" s="68">
        <v>542</v>
      </c>
      <c r="AE153" s="68">
        <v>698</v>
      </c>
      <c r="AF153" s="11">
        <v>640</v>
      </c>
      <c r="AG153" s="68">
        <v>719</v>
      </c>
      <c r="AH153" s="68">
        <v>675</v>
      </c>
      <c r="AI153" s="239">
        <v>664</v>
      </c>
      <c r="AJ153" s="68">
        <v>744</v>
      </c>
      <c r="AK153" s="11">
        <f t="shared" si="39"/>
        <v>699</v>
      </c>
      <c r="AL153" s="68">
        <v>813</v>
      </c>
      <c r="AM153" s="68">
        <v>779</v>
      </c>
      <c r="AN153" s="68">
        <v>728</v>
      </c>
      <c r="AO153" s="68">
        <v>818</v>
      </c>
      <c r="AP153" s="11">
        <f t="shared" si="40"/>
        <v>734</v>
      </c>
      <c r="AQ153" s="68">
        <f>745+89</f>
        <v>834</v>
      </c>
      <c r="AR153" s="68">
        <v>689</v>
      </c>
      <c r="AS153" s="68">
        <v>793</v>
      </c>
      <c r="AT153" s="68">
        <v>884</v>
      </c>
      <c r="AU153" s="11">
        <f t="shared" si="41"/>
        <v>801</v>
      </c>
      <c r="AV153" s="68">
        <v>987</v>
      </c>
      <c r="AW153" s="68">
        <v>1000</v>
      </c>
      <c r="AX153" s="68">
        <v>1073</v>
      </c>
      <c r="AY153" s="68">
        <v>1203</v>
      </c>
      <c r="AZ153" s="11">
        <f t="shared" si="42"/>
        <v>1084</v>
      </c>
      <c r="BA153" s="68">
        <v>1225</v>
      </c>
      <c r="BB153" s="68">
        <v>1172</v>
      </c>
      <c r="BC153" s="68">
        <v>1125</v>
      </c>
      <c r="BD153" s="68">
        <v>1261</v>
      </c>
      <c r="BE153" s="11">
        <f t="shared" si="43"/>
        <v>1195</v>
      </c>
      <c r="BF153" s="68">
        <v>1282</v>
      </c>
      <c r="BG153" s="68">
        <v>1266</v>
      </c>
      <c r="BH153" s="68">
        <v>1221</v>
      </c>
      <c r="BI153" s="68">
        <v>1347</v>
      </c>
      <c r="BJ153" s="11">
        <f t="shared" si="44"/>
        <v>1279</v>
      </c>
      <c r="BK153" s="68">
        <v>1334</v>
      </c>
      <c r="BL153" s="68">
        <v>1302</v>
      </c>
      <c r="BM153" s="68">
        <v>1263</v>
      </c>
      <c r="BN153" s="68">
        <v>1333</v>
      </c>
      <c r="BO153" s="11">
        <f t="shared" si="45"/>
        <v>1308</v>
      </c>
      <c r="BP153" s="68">
        <f t="shared" si="46"/>
        <v>1499.6012158914721</v>
      </c>
      <c r="BQ153" s="68">
        <f t="shared" si="46"/>
        <v>1398.0030281992513</v>
      </c>
      <c r="BR153" s="68">
        <f t="shared" si="46"/>
        <v>1372.975332143244</v>
      </c>
      <c r="BS153" s="68">
        <f t="shared" si="46"/>
        <v>1506.566223766034</v>
      </c>
      <c r="BT153" s="47">
        <f t="shared" si="34"/>
        <v>1444.2864500000005</v>
      </c>
      <c r="BU153" s="68">
        <f t="shared" si="47"/>
        <v>1654.1921009218258</v>
      </c>
      <c r="BV153" s="68">
        <f t="shared" si="47"/>
        <v>1540.0249803948082</v>
      </c>
      <c r="BW153" s="68">
        <f t="shared" si="47"/>
        <v>1511.9010536098572</v>
      </c>
      <c r="BX153" s="68">
        <f t="shared" si="47"/>
        <v>1662.0187650735093</v>
      </c>
      <c r="BY153" s="47">
        <f t="shared" si="35"/>
        <v>1592.0342250000003</v>
      </c>
      <c r="BZ153" s="68">
        <f t="shared" si="48"/>
        <v>1766.9120812149822</v>
      </c>
      <c r="CA153" s="68">
        <f t="shared" si="48"/>
        <v>1643.5803203460314</v>
      </c>
      <c r="CB153" s="68">
        <f t="shared" si="48"/>
        <v>1613.1987761945643</v>
      </c>
      <c r="CC153" s="68">
        <f t="shared" si="48"/>
        <v>1775.3670222444225</v>
      </c>
      <c r="CD153" s="47">
        <f t="shared" si="36"/>
        <v>1699.7645500000001</v>
      </c>
      <c r="CE153" s="5"/>
      <c r="CF153" s="5"/>
      <c r="CG153" s="5"/>
      <c r="CH153" s="5"/>
      <c r="CI153" s="5"/>
    </row>
    <row r="154" spans="1:87">
      <c r="A154" s="47"/>
      <c r="B154" s="47" t="s">
        <v>1961</v>
      </c>
      <c r="C154" s="11">
        <f t="shared" si="37"/>
        <v>160</v>
      </c>
      <c r="D154" s="11">
        <f t="shared" si="37"/>
        <v>134</v>
      </c>
      <c r="E154" s="11">
        <f t="shared" si="37"/>
        <v>120</v>
      </c>
      <c r="F154" s="11">
        <f t="shared" si="37"/>
        <v>117</v>
      </c>
      <c r="G154" s="11">
        <f t="shared" si="37"/>
        <v>123</v>
      </c>
      <c r="H154" s="82"/>
      <c r="I154" s="82"/>
      <c r="J154" s="82"/>
      <c r="K154" s="82"/>
      <c r="L154" s="11">
        <f t="shared" si="38"/>
        <v>120</v>
      </c>
      <c r="M154" s="82"/>
      <c r="N154" s="82"/>
      <c r="O154" s="82"/>
      <c r="P154" s="82"/>
      <c r="Q154" s="11">
        <f>SUM(Q46,Q100)</f>
        <v>92</v>
      </c>
      <c r="R154" s="82"/>
      <c r="S154" s="82"/>
      <c r="T154" s="82"/>
      <c r="U154" s="82"/>
      <c r="V154" s="11">
        <f>SUM(V46,V100)</f>
        <v>73</v>
      </c>
      <c r="W154" s="82"/>
      <c r="X154" s="82"/>
      <c r="Y154" s="82"/>
      <c r="Z154" s="82"/>
      <c r="AA154" s="11">
        <f>SUM(AA46,AA100)</f>
        <v>59</v>
      </c>
      <c r="AB154" s="82"/>
      <c r="AC154" s="82"/>
      <c r="AD154" s="82"/>
      <c r="AE154" s="82"/>
      <c r="AF154" s="11">
        <f>SUM(AF46,AF100)</f>
        <v>50</v>
      </c>
      <c r="AG154" s="83"/>
      <c r="AH154" s="83"/>
      <c r="AI154" s="83"/>
      <c r="AJ154" s="83"/>
      <c r="AK154" s="11">
        <f t="shared" si="39"/>
        <v>41</v>
      </c>
      <c r="AL154" s="83"/>
      <c r="AM154" s="83"/>
      <c r="AN154" s="83"/>
      <c r="AO154" s="83"/>
      <c r="AP154" s="11">
        <f t="shared" si="40"/>
        <v>35</v>
      </c>
      <c r="AQ154" s="83"/>
      <c r="AR154" s="83"/>
      <c r="AS154" s="83"/>
      <c r="AT154" s="83"/>
      <c r="AU154" s="11">
        <f t="shared" si="41"/>
        <v>25</v>
      </c>
      <c r="AV154" s="83"/>
      <c r="AW154" s="83"/>
      <c r="AX154" s="83"/>
      <c r="AY154" s="83"/>
      <c r="AZ154" s="11">
        <f t="shared" si="42"/>
        <v>0</v>
      </c>
      <c r="BA154" s="83"/>
      <c r="BB154" s="83"/>
      <c r="BC154" s="83"/>
      <c r="BD154" s="83"/>
      <c r="BE154" s="11">
        <f t="shared" si="43"/>
        <v>0</v>
      </c>
      <c r="BF154" s="83"/>
      <c r="BG154" s="83"/>
      <c r="BH154" s="83"/>
      <c r="BI154" s="83"/>
      <c r="BJ154" s="11">
        <f t="shared" si="44"/>
        <v>0</v>
      </c>
      <c r="BK154" s="83"/>
      <c r="BL154" s="83"/>
      <c r="BM154" s="83"/>
      <c r="BN154" s="83"/>
      <c r="BO154" s="11">
        <f t="shared" si="45"/>
        <v>0</v>
      </c>
      <c r="BP154" s="68">
        <f t="shared" si="46"/>
        <v>0</v>
      </c>
      <c r="BQ154" s="68">
        <f t="shared" si="46"/>
        <v>0</v>
      </c>
      <c r="BR154" s="68">
        <f t="shared" si="46"/>
        <v>0</v>
      </c>
      <c r="BS154" s="68">
        <f t="shared" si="46"/>
        <v>0</v>
      </c>
      <c r="BT154" s="47">
        <f t="shared" si="34"/>
        <v>0</v>
      </c>
      <c r="BU154" s="68">
        <f t="shared" si="47"/>
        <v>0</v>
      </c>
      <c r="BV154" s="68">
        <f t="shared" si="47"/>
        <v>0</v>
      </c>
      <c r="BW154" s="68">
        <f t="shared" si="47"/>
        <v>0</v>
      </c>
      <c r="BX154" s="68">
        <f t="shared" si="47"/>
        <v>0</v>
      </c>
      <c r="BY154" s="47">
        <f t="shared" si="35"/>
        <v>0</v>
      </c>
      <c r="BZ154" s="68">
        <f t="shared" si="48"/>
        <v>0</v>
      </c>
      <c r="CA154" s="68">
        <f t="shared" si="48"/>
        <v>0</v>
      </c>
      <c r="CB154" s="68">
        <f t="shared" si="48"/>
        <v>0</v>
      </c>
      <c r="CC154" s="68">
        <f t="shared" si="48"/>
        <v>0</v>
      </c>
      <c r="CD154" s="47">
        <f t="shared" si="36"/>
        <v>0</v>
      </c>
      <c r="CE154" s="5"/>
      <c r="CF154" s="5"/>
      <c r="CG154" s="5"/>
      <c r="CH154" s="5"/>
      <c r="CI154" s="5"/>
    </row>
    <row r="155" spans="1:87">
      <c r="A155" s="11"/>
      <c r="B155" s="11" t="s">
        <v>3399</v>
      </c>
      <c r="C155" s="11">
        <f t="shared" si="37"/>
        <v>610</v>
      </c>
      <c r="D155" s="11">
        <f t="shared" si="37"/>
        <v>583</v>
      </c>
      <c r="E155" s="11">
        <f t="shared" si="37"/>
        <v>494</v>
      </c>
      <c r="F155" s="11">
        <f t="shared" si="37"/>
        <v>385</v>
      </c>
      <c r="G155" s="11">
        <f t="shared" si="37"/>
        <v>309.06</v>
      </c>
      <c r="H155" s="82"/>
      <c r="I155" s="82"/>
      <c r="J155" s="82"/>
      <c r="K155" s="82"/>
      <c r="L155" s="11">
        <f t="shared" si="38"/>
        <v>201</v>
      </c>
      <c r="M155" s="82"/>
      <c r="N155" s="82"/>
      <c r="O155" s="82"/>
      <c r="P155" s="82"/>
      <c r="Q155" s="11">
        <f>SUM(Q47,Q101)</f>
        <v>189</v>
      </c>
      <c r="R155" s="82"/>
      <c r="S155" s="82"/>
      <c r="T155" s="82"/>
      <c r="U155" s="82"/>
      <c r="V155" s="11">
        <f>SUM(V47,V101)</f>
        <v>197</v>
      </c>
      <c r="W155" s="82"/>
      <c r="X155" s="82"/>
      <c r="Y155" s="82"/>
      <c r="Z155" s="82"/>
      <c r="AA155" s="11">
        <f>SUM(AA47,AA101)</f>
        <v>137</v>
      </c>
      <c r="AB155" s="82"/>
      <c r="AC155" s="82"/>
      <c r="AD155" s="82"/>
      <c r="AE155" s="82"/>
      <c r="AF155" s="11">
        <f>SUM(AF47,AF101)</f>
        <v>100</v>
      </c>
      <c r="AG155" s="83"/>
      <c r="AH155" s="83"/>
      <c r="AI155" s="83"/>
      <c r="AJ155" s="83"/>
      <c r="AK155" s="11">
        <f t="shared" si="39"/>
        <v>85</v>
      </c>
      <c r="AL155" s="83"/>
      <c r="AM155" s="83"/>
      <c r="AN155" s="83"/>
      <c r="AO155" s="83"/>
      <c r="AP155" s="11">
        <f t="shared" si="40"/>
        <v>85</v>
      </c>
      <c r="AQ155" s="83"/>
      <c r="AR155" s="83"/>
      <c r="AS155" s="83"/>
      <c r="AT155" s="83"/>
      <c r="AU155" s="11">
        <f t="shared" si="41"/>
        <v>77</v>
      </c>
      <c r="AV155" s="83"/>
      <c r="AW155" s="83"/>
      <c r="AX155" s="83"/>
      <c r="AY155" s="83"/>
      <c r="AZ155" s="11">
        <f t="shared" si="42"/>
        <v>47</v>
      </c>
      <c r="BA155" s="83"/>
      <c r="BB155" s="83"/>
      <c r="BC155" s="83"/>
      <c r="BD155" s="83"/>
      <c r="BE155" s="11">
        <f t="shared" si="43"/>
        <v>48</v>
      </c>
      <c r="BF155" s="83"/>
      <c r="BG155" s="83"/>
      <c r="BH155" s="83"/>
      <c r="BI155" s="83"/>
      <c r="BJ155" s="11">
        <f t="shared" si="44"/>
        <v>35</v>
      </c>
      <c r="BK155" s="83"/>
      <c r="BL155" s="83"/>
      <c r="BM155" s="83"/>
      <c r="BN155" s="83"/>
      <c r="BO155" s="11">
        <f t="shared" si="45"/>
        <v>0</v>
      </c>
      <c r="BP155" s="68">
        <f t="shared" si="46"/>
        <v>0</v>
      </c>
      <c r="BQ155" s="68">
        <f t="shared" si="46"/>
        <v>0</v>
      </c>
      <c r="BR155" s="68">
        <f t="shared" si="46"/>
        <v>0</v>
      </c>
      <c r="BS155" s="68">
        <f t="shared" si="46"/>
        <v>0</v>
      </c>
      <c r="BT155" s="47">
        <f t="shared" si="34"/>
        <v>0</v>
      </c>
      <c r="BU155" s="68">
        <f t="shared" si="47"/>
        <v>0</v>
      </c>
      <c r="BV155" s="68">
        <f t="shared" si="47"/>
        <v>0</v>
      </c>
      <c r="BW155" s="68">
        <f t="shared" si="47"/>
        <v>0</v>
      </c>
      <c r="BX155" s="68">
        <f t="shared" si="47"/>
        <v>0</v>
      </c>
      <c r="BY155" s="47">
        <f t="shared" si="35"/>
        <v>0</v>
      </c>
      <c r="BZ155" s="68">
        <f t="shared" si="48"/>
        <v>0</v>
      </c>
      <c r="CA155" s="68">
        <f t="shared" si="48"/>
        <v>0</v>
      </c>
      <c r="CB155" s="68">
        <f t="shared" si="48"/>
        <v>0</v>
      </c>
      <c r="CC155" s="68">
        <f t="shared" si="48"/>
        <v>0</v>
      </c>
      <c r="CD155" s="47">
        <f t="shared" si="36"/>
        <v>0</v>
      </c>
      <c r="CE155" s="5"/>
      <c r="CF155" s="5"/>
      <c r="CG155" s="5"/>
      <c r="CH155" s="5"/>
      <c r="CI155" s="5"/>
    </row>
    <row r="156" spans="1:87">
      <c r="A156" s="11"/>
      <c r="B156" s="11" t="s">
        <v>3400</v>
      </c>
      <c r="C156" s="11">
        <f t="shared" si="37"/>
        <v>82</v>
      </c>
      <c r="D156" s="11">
        <f t="shared" si="37"/>
        <v>148</v>
      </c>
      <c r="E156" s="11">
        <f t="shared" si="37"/>
        <v>76.62</v>
      </c>
      <c r="F156" s="11">
        <f t="shared" si="37"/>
        <v>132.1</v>
      </c>
      <c r="G156" s="11">
        <f t="shared" si="37"/>
        <v>182.33</v>
      </c>
      <c r="H156" s="82"/>
      <c r="I156" s="82"/>
      <c r="J156" s="82"/>
      <c r="K156" s="82"/>
      <c r="L156" s="11">
        <f t="shared" si="38"/>
        <v>97</v>
      </c>
      <c r="M156" s="82"/>
      <c r="N156" s="82"/>
      <c r="O156" s="82"/>
      <c r="P156" s="82"/>
      <c r="Q156" s="11">
        <f>SUM(Q48,Q102)</f>
        <v>82</v>
      </c>
      <c r="R156" s="82"/>
      <c r="S156" s="82"/>
      <c r="T156" s="82"/>
      <c r="U156" s="82"/>
      <c r="V156" s="11">
        <f>SUM(V48,V102)</f>
        <v>61</v>
      </c>
      <c r="W156" s="82"/>
      <c r="X156" s="82"/>
      <c r="Y156" s="82"/>
      <c r="Z156" s="82"/>
      <c r="AA156" s="11">
        <f>SUM(AA48,AA102)</f>
        <v>63</v>
      </c>
      <c r="AB156" s="82"/>
      <c r="AC156" s="82"/>
      <c r="AD156" s="82"/>
      <c r="AE156" s="82"/>
      <c r="AF156" s="11">
        <f>SUM(AF48,AF102)</f>
        <v>77</v>
      </c>
      <c r="AG156" s="83"/>
      <c r="AH156" s="83"/>
      <c r="AI156" s="83"/>
      <c r="AJ156" s="83"/>
      <c r="AK156" s="11">
        <f t="shared" si="39"/>
        <v>223</v>
      </c>
      <c r="AL156" s="83"/>
      <c r="AM156" s="83"/>
      <c r="AN156" s="83"/>
      <c r="AO156" s="83"/>
      <c r="AP156" s="11">
        <f t="shared" si="40"/>
        <v>359</v>
      </c>
      <c r="AQ156" s="83"/>
      <c r="AR156" s="83"/>
      <c r="AS156" s="83"/>
      <c r="AT156" s="83"/>
      <c r="AU156" s="11">
        <f t="shared" si="41"/>
        <v>156</v>
      </c>
      <c r="AV156" s="83"/>
      <c r="AW156" s="83"/>
      <c r="AX156" s="83"/>
      <c r="AY156" s="83"/>
      <c r="AZ156" s="11">
        <f t="shared" si="42"/>
        <v>159</v>
      </c>
      <c r="BA156" s="83"/>
      <c r="BB156" s="83"/>
      <c r="BC156" s="83"/>
      <c r="BD156" s="83"/>
      <c r="BE156" s="11">
        <f t="shared" si="43"/>
        <v>134</v>
      </c>
      <c r="BF156" s="83"/>
      <c r="BG156" s="83"/>
      <c r="BH156" s="83"/>
      <c r="BI156" s="83"/>
      <c r="BJ156" s="11">
        <f t="shared" si="44"/>
        <v>99</v>
      </c>
      <c r="BK156" s="83"/>
      <c r="BL156" s="83"/>
      <c r="BM156" s="83"/>
      <c r="BN156" s="83"/>
      <c r="BO156" s="11">
        <f t="shared" si="45"/>
        <v>60</v>
      </c>
      <c r="BP156" s="68">
        <f t="shared" si="46"/>
        <v>83.347194876305664</v>
      </c>
      <c r="BQ156" s="68">
        <f t="shared" si="46"/>
        <v>81.147018429123762</v>
      </c>
      <c r="BR156" s="68">
        <f t="shared" si="46"/>
        <v>81.720358188646429</v>
      </c>
      <c r="BS156" s="68">
        <f t="shared" si="46"/>
        <v>82.705428505924175</v>
      </c>
      <c r="BT156" s="47">
        <f t="shared" si="34"/>
        <v>82.23</v>
      </c>
      <c r="BU156" s="68">
        <f t="shared" si="47"/>
        <v>76.079781678408153</v>
      </c>
      <c r="BV156" s="68">
        <f t="shared" si="47"/>
        <v>74.071448416515011</v>
      </c>
      <c r="BW156" s="68">
        <f t="shared" si="47"/>
        <v>74.594796128417869</v>
      </c>
      <c r="BX156" s="68">
        <f t="shared" si="47"/>
        <v>75.493973776658976</v>
      </c>
      <c r="BY156" s="47">
        <f t="shared" si="35"/>
        <v>75.06</v>
      </c>
      <c r="BZ156" s="68">
        <f t="shared" si="48"/>
        <v>67.667016051832249</v>
      </c>
      <c r="CA156" s="68">
        <f t="shared" si="48"/>
        <v>65.880760675280342</v>
      </c>
      <c r="CB156" s="68">
        <f t="shared" si="48"/>
        <v>66.346237537079361</v>
      </c>
      <c r="CC156" s="68">
        <f t="shared" si="48"/>
        <v>67.145985735808068</v>
      </c>
      <c r="CD156" s="47">
        <f t="shared" si="36"/>
        <v>66.760000000000005</v>
      </c>
      <c r="CE156" s="5"/>
      <c r="CF156" s="5"/>
      <c r="CG156" s="5"/>
      <c r="CH156" s="5"/>
      <c r="CI156" s="5"/>
    </row>
    <row r="157" spans="1:87">
      <c r="A157" s="39" t="s">
        <v>3401</v>
      </c>
      <c r="B157" s="39"/>
      <c r="C157" s="39">
        <f t="shared" ref="C157:L157" si="49">SUM(C146:C156)</f>
        <v>960</v>
      </c>
      <c r="D157" s="39">
        <f t="shared" si="49"/>
        <v>973</v>
      </c>
      <c r="E157" s="39">
        <f t="shared" si="49"/>
        <v>985</v>
      </c>
      <c r="F157" s="39">
        <f t="shared" si="49"/>
        <v>1284.1599999999999</v>
      </c>
      <c r="G157" s="39">
        <f t="shared" si="49"/>
        <v>1294.05</v>
      </c>
      <c r="H157" s="83"/>
      <c r="I157" s="83"/>
      <c r="J157" s="83"/>
      <c r="K157" s="83"/>
      <c r="L157" s="39">
        <f t="shared" si="49"/>
        <v>1160</v>
      </c>
      <c r="M157" s="83"/>
      <c r="N157" s="83"/>
      <c r="O157" s="83"/>
      <c r="P157" s="83"/>
      <c r="Q157" s="39">
        <f>SUM(Q146:Q156)</f>
        <v>1101</v>
      </c>
      <c r="R157" s="83"/>
      <c r="S157" s="83"/>
      <c r="T157" s="83"/>
      <c r="U157" s="83"/>
      <c r="V157" s="39">
        <f>SUM(V146:V156)</f>
        <v>1299</v>
      </c>
      <c r="W157" s="83"/>
      <c r="X157" s="83"/>
      <c r="Y157" s="83"/>
      <c r="Z157" s="83"/>
      <c r="AA157" s="39">
        <f>SUM(AA146:AA156)</f>
        <v>1253</v>
      </c>
      <c r="AB157" s="83"/>
      <c r="AC157" s="83"/>
      <c r="AD157" s="83"/>
      <c r="AE157" s="83"/>
      <c r="AF157" s="39">
        <f>SUM(AF146:AF156)</f>
        <v>1244</v>
      </c>
      <c r="AG157" s="83"/>
      <c r="AH157" s="83"/>
      <c r="AI157" s="83"/>
      <c r="AJ157" s="83"/>
      <c r="AK157" s="39">
        <f>SUM(AK146:AK156)</f>
        <v>1351</v>
      </c>
      <c r="AL157" s="83"/>
      <c r="AM157" s="83"/>
      <c r="AN157" s="83"/>
      <c r="AO157" s="83"/>
      <c r="AP157" s="39">
        <f>SUM(AP146:AP156)</f>
        <v>1439</v>
      </c>
      <c r="AQ157" s="83"/>
      <c r="AR157" s="83"/>
      <c r="AS157" s="83"/>
      <c r="AT157" s="83"/>
      <c r="AU157" s="39">
        <f>SUM(AU146:AU156)</f>
        <v>1318</v>
      </c>
      <c r="AV157" s="83"/>
      <c r="AW157" s="83"/>
      <c r="AX157" s="83"/>
      <c r="AY157" s="83"/>
      <c r="AZ157" s="39">
        <f>SUM(AZ146:AZ156)</f>
        <v>1520</v>
      </c>
      <c r="BA157" s="83"/>
      <c r="BB157" s="83"/>
      <c r="BC157" s="83"/>
      <c r="BD157" s="83"/>
      <c r="BE157" s="39">
        <f t="shared" ref="BE157" si="50">SUM(BE146:BE156)</f>
        <v>1596</v>
      </c>
      <c r="BF157" s="83"/>
      <c r="BG157" s="83"/>
      <c r="BH157" s="83"/>
      <c r="BI157" s="83"/>
      <c r="BJ157" s="39">
        <f t="shared" ref="BJ157" si="51">SUM(BJ146:BJ156)</f>
        <v>1658</v>
      </c>
      <c r="BK157" s="83"/>
      <c r="BL157" s="83"/>
      <c r="BM157" s="83"/>
      <c r="BN157" s="83"/>
      <c r="BO157" s="39">
        <f>SUM(BO49,BO103)</f>
        <v>1679</v>
      </c>
      <c r="BP157" s="80">
        <f t="shared" ref="BP157:CD157" si="52">SUM(BP146:BP156)</f>
        <v>2316.774698235813</v>
      </c>
      <c r="BQ157" s="80">
        <f t="shared" si="52"/>
        <v>2193.6049885291573</v>
      </c>
      <c r="BR157" s="80">
        <f t="shared" si="52"/>
        <v>2174.1985740117898</v>
      </c>
      <c r="BS157" s="80">
        <f t="shared" si="52"/>
        <v>2317.4475392232412</v>
      </c>
      <c r="BT157" s="39">
        <f t="shared" si="52"/>
        <v>2250.5064500000003</v>
      </c>
      <c r="BU157" s="80">
        <f t="shared" si="52"/>
        <v>2563.7539672254916</v>
      </c>
      <c r="BV157" s="80">
        <f t="shared" si="52"/>
        <v>2425.576481401044</v>
      </c>
      <c r="BW157" s="80">
        <f t="shared" si="52"/>
        <v>2403.7093696471384</v>
      </c>
      <c r="BX157" s="80">
        <f t="shared" si="52"/>
        <v>2564.5770817263265</v>
      </c>
      <c r="BY157" s="39">
        <f t="shared" si="52"/>
        <v>2489.4042250000002</v>
      </c>
      <c r="BZ157" s="80">
        <f t="shared" si="52"/>
        <v>2914.4437202665385</v>
      </c>
      <c r="CA157" s="80">
        <f t="shared" si="52"/>
        <v>2760.819733145891</v>
      </c>
      <c r="CB157" s="80">
        <f t="shared" si="52"/>
        <v>2738.3319821203345</v>
      </c>
      <c r="CC157" s="80">
        <f t="shared" si="52"/>
        <v>2914.0627644672372</v>
      </c>
      <c r="CD157" s="39">
        <f t="shared" si="52"/>
        <v>2831.9145500000004</v>
      </c>
      <c r="CE157" s="5"/>
      <c r="CF157" s="5"/>
      <c r="CG157" s="5"/>
      <c r="CH157" s="5"/>
      <c r="CI157" s="5"/>
    </row>
    <row r="158" spans="1:87">
      <c r="A158" s="11"/>
      <c r="B158" s="11"/>
      <c r="C158" s="11"/>
      <c r="D158" s="11"/>
      <c r="E158" s="11"/>
      <c r="F158" s="11"/>
      <c r="G158" s="11"/>
      <c r="H158" s="82"/>
      <c r="I158" s="82"/>
      <c r="J158" s="82"/>
      <c r="K158" s="82"/>
      <c r="L158" s="11"/>
      <c r="M158" s="68"/>
      <c r="N158" s="68"/>
      <c r="O158" s="68"/>
      <c r="P158" s="68"/>
      <c r="Q158" s="11"/>
      <c r="R158" s="68"/>
      <c r="S158" s="68"/>
      <c r="T158" s="68"/>
      <c r="U158" s="68"/>
      <c r="V158" s="11"/>
      <c r="W158" s="68"/>
      <c r="X158" s="68"/>
      <c r="Y158" s="68"/>
      <c r="Z158" s="68"/>
      <c r="AA158" s="11"/>
      <c r="AB158" s="68"/>
      <c r="AC158" s="68"/>
      <c r="AD158" s="68"/>
      <c r="AE158" s="68"/>
      <c r="AF158" s="11"/>
      <c r="AG158" s="68"/>
      <c r="AH158" s="68"/>
      <c r="AI158" s="68"/>
      <c r="AJ158" s="68"/>
      <c r="AK158" s="11"/>
      <c r="AL158" s="68"/>
      <c r="AM158" s="68"/>
      <c r="AN158" s="68"/>
      <c r="AO158" s="68"/>
      <c r="AP158" s="11"/>
      <c r="AQ158" s="68"/>
      <c r="AR158" s="68"/>
      <c r="AS158" s="68"/>
      <c r="AT158" s="68"/>
      <c r="AU158" s="11"/>
      <c r="AV158" s="68"/>
      <c r="AW158" s="68"/>
      <c r="AX158" s="68"/>
      <c r="AY158" s="68"/>
      <c r="AZ158" s="11"/>
      <c r="BA158" s="68"/>
      <c r="BB158" s="68"/>
      <c r="BC158" s="68"/>
      <c r="BD158" s="68"/>
      <c r="BE158" s="11"/>
      <c r="BF158" s="68"/>
      <c r="BG158" s="68"/>
      <c r="BH158" s="68"/>
      <c r="BI158" s="68"/>
      <c r="BJ158" s="11"/>
      <c r="BK158" s="68"/>
      <c r="BL158" s="68"/>
      <c r="BM158" s="68"/>
      <c r="BN158" s="68"/>
      <c r="BO158" s="11"/>
      <c r="BP158" s="68"/>
      <c r="BQ158" s="68"/>
      <c r="BR158" s="68"/>
      <c r="BS158" s="68"/>
      <c r="BT158" s="11"/>
      <c r="BU158" s="68"/>
      <c r="BV158" s="68"/>
      <c r="BW158" s="68"/>
      <c r="BX158" s="68"/>
      <c r="BY158" s="11"/>
      <c r="BZ158" s="68"/>
      <c r="CA158" s="68"/>
      <c r="CB158" s="68"/>
      <c r="CC158" s="68"/>
      <c r="CD158" s="11"/>
      <c r="CE158" s="5"/>
      <c r="CF158" s="5"/>
      <c r="CG158" s="5"/>
      <c r="CH158" s="5"/>
      <c r="CI158" s="5"/>
    </row>
    <row r="159" spans="1:87">
      <c r="A159" s="39" t="s">
        <v>3402</v>
      </c>
      <c r="B159" s="11"/>
      <c r="C159" s="11"/>
      <c r="D159" s="11"/>
      <c r="E159" s="11"/>
      <c r="F159" s="11"/>
      <c r="G159" s="11"/>
      <c r="H159" s="82"/>
      <c r="I159" s="82"/>
      <c r="J159" s="82"/>
      <c r="K159" s="82"/>
      <c r="L159" s="11"/>
      <c r="M159" s="68"/>
      <c r="N159" s="68"/>
      <c r="O159" s="68"/>
      <c r="P159" s="68"/>
      <c r="Q159" s="11"/>
      <c r="R159" s="68"/>
      <c r="S159" s="68"/>
      <c r="T159" s="68"/>
      <c r="U159" s="68"/>
      <c r="V159" s="11"/>
      <c r="W159" s="68"/>
      <c r="X159" s="68"/>
      <c r="Y159" s="68"/>
      <c r="Z159" s="68"/>
      <c r="AA159" s="11"/>
      <c r="AB159" s="68"/>
      <c r="AC159" s="68"/>
      <c r="AD159" s="68"/>
      <c r="AE159" s="68"/>
      <c r="AF159" s="11"/>
      <c r="AG159" s="68"/>
      <c r="AH159" s="68"/>
      <c r="AI159" s="68"/>
      <c r="AJ159" s="68"/>
      <c r="AK159" s="11"/>
      <c r="AL159" s="68"/>
      <c r="AM159" s="68"/>
      <c r="AN159" s="68"/>
      <c r="AO159" s="68"/>
      <c r="AP159" s="11"/>
      <c r="AQ159" s="68"/>
      <c r="AR159" s="68"/>
      <c r="AS159" s="68"/>
      <c r="AT159" s="68"/>
      <c r="AU159" s="11"/>
      <c r="AV159" s="68"/>
      <c r="AW159" s="68"/>
      <c r="AX159" s="68"/>
      <c r="AY159" s="68"/>
      <c r="AZ159" s="11"/>
      <c r="BA159" s="68"/>
      <c r="BB159" s="68"/>
      <c r="BC159" s="68"/>
      <c r="BD159" s="68"/>
      <c r="BE159" s="11"/>
      <c r="BF159" s="68"/>
      <c r="BG159" s="68"/>
      <c r="BH159" s="68"/>
      <c r="BI159" s="68"/>
      <c r="BJ159" s="11"/>
      <c r="BK159" s="68"/>
      <c r="BL159" s="68"/>
      <c r="BM159" s="68"/>
      <c r="BN159" s="68"/>
      <c r="BO159" s="11"/>
      <c r="BP159" s="68"/>
      <c r="BQ159" s="68"/>
      <c r="BR159" s="68"/>
      <c r="BS159" s="68"/>
      <c r="BT159" s="11"/>
      <c r="BU159" s="68"/>
      <c r="BV159" s="68"/>
      <c r="BW159" s="68"/>
      <c r="BX159" s="68"/>
      <c r="BY159" s="11"/>
      <c r="BZ159" s="68"/>
      <c r="CA159" s="68"/>
      <c r="CB159" s="68"/>
      <c r="CC159" s="68"/>
      <c r="CD159" s="11"/>
      <c r="CE159" s="5"/>
      <c r="CF159" s="5"/>
      <c r="CG159" s="5"/>
      <c r="CH159" s="5"/>
      <c r="CI159" s="5"/>
    </row>
    <row r="160" spans="1:87">
      <c r="A160" s="11"/>
      <c r="B160" s="11" t="s">
        <v>2965</v>
      </c>
      <c r="C160" s="11">
        <f t="shared" ref="C160:G161" si="53">SUM(C52,C106)</f>
        <v>237</v>
      </c>
      <c r="D160" s="11">
        <f t="shared" si="53"/>
        <v>295</v>
      </c>
      <c r="E160" s="11">
        <f t="shared" si="53"/>
        <v>285</v>
      </c>
      <c r="F160" s="11">
        <f t="shared" si="53"/>
        <v>308</v>
      </c>
      <c r="G160" s="11">
        <f t="shared" si="53"/>
        <v>367</v>
      </c>
      <c r="H160" s="82"/>
      <c r="I160" s="82"/>
      <c r="J160" s="82"/>
      <c r="K160" s="82"/>
      <c r="L160" s="11">
        <f>SUM(L52,L106)</f>
        <v>364</v>
      </c>
      <c r="M160" s="82"/>
      <c r="N160" s="82"/>
      <c r="O160" s="82"/>
      <c r="P160" s="82"/>
      <c r="Q160" s="11">
        <f>SUM(Q52,Q106)</f>
        <v>376</v>
      </c>
      <c r="R160" s="82"/>
      <c r="S160" s="82"/>
      <c r="T160" s="82"/>
      <c r="U160" s="82"/>
      <c r="V160" s="11">
        <f>SUM(V52,V106)</f>
        <v>380</v>
      </c>
      <c r="W160" s="82"/>
      <c r="X160" s="82"/>
      <c r="Y160" s="82"/>
      <c r="Z160" s="82"/>
      <c r="AA160" s="11">
        <f>SUM(AA52,AA106)</f>
        <v>440</v>
      </c>
      <c r="AB160" s="82"/>
      <c r="AC160" s="82"/>
      <c r="AD160" s="82"/>
      <c r="AE160" s="82"/>
      <c r="AF160" s="11">
        <f>SUM(AF52,AF106)</f>
        <v>462</v>
      </c>
      <c r="AG160" s="82"/>
      <c r="AH160" s="82"/>
      <c r="AI160" s="82"/>
      <c r="AJ160" s="82"/>
      <c r="AK160" s="11">
        <f>SUM(AK52,AK106)</f>
        <v>455</v>
      </c>
      <c r="AL160" s="82"/>
      <c r="AM160" s="82"/>
      <c r="AN160" s="82"/>
      <c r="AO160" s="82"/>
      <c r="AP160" s="11">
        <f>SUM(AP52,AP106)</f>
        <v>435</v>
      </c>
      <c r="AQ160" s="82"/>
      <c r="AR160" s="82"/>
      <c r="AS160" s="82"/>
      <c r="AT160" s="82"/>
      <c r="AU160" s="11">
        <f>SUM(AU52,AU106)</f>
        <v>431</v>
      </c>
      <c r="AV160" s="82"/>
      <c r="AW160" s="82"/>
      <c r="AX160" s="82"/>
      <c r="AY160" s="82"/>
      <c r="AZ160" s="11">
        <f>SUM(AZ52,AZ106)</f>
        <v>450</v>
      </c>
      <c r="BA160" s="82"/>
      <c r="BB160" s="82"/>
      <c r="BC160" s="82"/>
      <c r="BD160" s="82"/>
      <c r="BE160" s="11">
        <f>SUM(BE52,BE106)</f>
        <v>447</v>
      </c>
      <c r="BF160" s="82"/>
      <c r="BG160" s="82"/>
      <c r="BH160" s="82"/>
      <c r="BI160" s="82"/>
      <c r="BJ160" s="11">
        <f>SUM(BJ52,BJ106)</f>
        <v>451</v>
      </c>
      <c r="BK160" s="82"/>
      <c r="BL160" s="82"/>
      <c r="BM160" s="82"/>
      <c r="BN160" s="82"/>
      <c r="BO160" s="11">
        <f>SUM(BO52,BO106)</f>
        <v>426</v>
      </c>
      <c r="BP160" s="82"/>
      <c r="BQ160" s="82"/>
      <c r="BR160" s="82"/>
      <c r="BS160" s="82"/>
      <c r="BT160" s="82"/>
      <c r="BU160" s="82"/>
      <c r="BV160" s="82"/>
      <c r="BW160" s="82"/>
      <c r="BX160" s="82"/>
      <c r="BY160" s="82"/>
      <c r="BZ160" s="82"/>
      <c r="CA160" s="82"/>
      <c r="CB160" s="82"/>
      <c r="CC160" s="82"/>
      <c r="CD160" s="82"/>
      <c r="CE160" s="5"/>
      <c r="CF160" s="5"/>
      <c r="CG160" s="5"/>
      <c r="CH160" s="5"/>
      <c r="CI160" s="5"/>
    </row>
    <row r="161" spans="1:87">
      <c r="A161" s="11"/>
      <c r="B161" s="11" t="s">
        <v>3403</v>
      </c>
      <c r="C161" s="11">
        <f t="shared" si="53"/>
        <v>0</v>
      </c>
      <c r="D161" s="11">
        <f t="shared" si="53"/>
        <v>0</v>
      </c>
      <c r="E161" s="11">
        <f t="shared" si="53"/>
        <v>0</v>
      </c>
      <c r="F161" s="11">
        <f t="shared" si="53"/>
        <v>0</v>
      </c>
      <c r="G161" s="11">
        <f t="shared" si="53"/>
        <v>0</v>
      </c>
      <c r="H161" s="82"/>
      <c r="I161" s="82"/>
      <c r="J161" s="82"/>
      <c r="K161" s="82"/>
      <c r="L161" s="11">
        <f>SUM(L53,L107)</f>
        <v>0</v>
      </c>
      <c r="M161" s="82"/>
      <c r="N161" s="82"/>
      <c r="O161" s="82"/>
      <c r="P161" s="82"/>
      <c r="Q161" s="11">
        <f>SUM(Q53,Q107)</f>
        <v>0</v>
      </c>
      <c r="R161" s="82"/>
      <c r="S161" s="82"/>
      <c r="T161" s="82"/>
      <c r="U161" s="82"/>
      <c r="V161" s="11">
        <f>SUM(V53,V107)</f>
        <v>1</v>
      </c>
      <c r="W161" s="82"/>
      <c r="X161" s="82"/>
      <c r="Y161" s="82"/>
      <c r="Z161" s="82"/>
      <c r="AA161" s="11">
        <f>SUM(AA53,AA107)</f>
        <v>74</v>
      </c>
      <c r="AB161" s="82"/>
      <c r="AC161" s="82"/>
      <c r="AD161" s="82"/>
      <c r="AE161" s="82"/>
      <c r="AF161" s="11">
        <f>SUM(AF53,AF107)</f>
        <v>323</v>
      </c>
      <c r="AG161" s="82"/>
      <c r="AH161" s="82"/>
      <c r="AI161" s="82"/>
      <c r="AJ161" s="82"/>
      <c r="AK161" s="11">
        <f>SUM(AK53,AK107)</f>
        <v>340</v>
      </c>
      <c r="AL161" s="82"/>
      <c r="AM161" s="82"/>
      <c r="AN161" s="82"/>
      <c r="AO161" s="82"/>
      <c r="AP161" s="11">
        <f>SUM(AP53,AP107)</f>
        <v>352</v>
      </c>
      <c r="AQ161" s="82"/>
      <c r="AR161" s="82"/>
      <c r="AS161" s="82"/>
      <c r="AT161" s="82"/>
      <c r="AU161" s="11">
        <f>SUM(AU53,AU107)</f>
        <v>349</v>
      </c>
      <c r="AV161" s="82"/>
      <c r="AW161" s="82"/>
      <c r="AX161" s="82"/>
      <c r="AY161" s="82"/>
      <c r="AZ161" s="11">
        <f>SUM(AZ53,AZ107)</f>
        <v>364</v>
      </c>
      <c r="BA161" s="82"/>
      <c r="BB161" s="82"/>
      <c r="BC161" s="82"/>
      <c r="BD161" s="82"/>
      <c r="BE161" s="11">
        <f>SUM(BE53,BE107)</f>
        <v>354</v>
      </c>
      <c r="BF161" s="82"/>
      <c r="BG161" s="82"/>
      <c r="BH161" s="82"/>
      <c r="BI161" s="82"/>
      <c r="BJ161" s="11">
        <f>SUM(BJ53,BJ107)</f>
        <v>369</v>
      </c>
      <c r="BK161" s="82"/>
      <c r="BL161" s="82"/>
      <c r="BM161" s="82"/>
      <c r="BN161" s="82"/>
      <c r="BO161" s="11">
        <f>SUM(BO53,BO107)</f>
        <v>357</v>
      </c>
      <c r="BP161" s="82"/>
      <c r="BQ161" s="82"/>
      <c r="BR161" s="82"/>
      <c r="BS161" s="82"/>
      <c r="BT161" s="82"/>
      <c r="BU161" s="82"/>
      <c r="BV161" s="82"/>
      <c r="BW161" s="82"/>
      <c r="BX161" s="82"/>
      <c r="BY161" s="82"/>
      <c r="BZ161" s="82"/>
      <c r="CA161" s="82"/>
      <c r="CB161" s="82"/>
      <c r="CC161" s="82"/>
      <c r="CD161" s="82"/>
      <c r="CE161" s="5"/>
      <c r="CF161" s="5"/>
      <c r="CG161" s="5"/>
      <c r="CH161" s="5"/>
      <c r="CI161" s="5"/>
    </row>
    <row r="162" spans="1:87">
      <c r="A162" s="39" t="s">
        <v>1935</v>
      </c>
      <c r="B162" s="39"/>
      <c r="C162" s="39">
        <f t="shared" ref="C162:L162" si="54">SUM(C160:C161)</f>
        <v>237</v>
      </c>
      <c r="D162" s="39">
        <f t="shared" si="54"/>
        <v>295</v>
      </c>
      <c r="E162" s="39">
        <f t="shared" si="54"/>
        <v>285</v>
      </c>
      <c r="F162" s="39">
        <f t="shared" si="54"/>
        <v>308</v>
      </c>
      <c r="G162" s="39">
        <f t="shared" si="54"/>
        <v>367</v>
      </c>
      <c r="H162" s="83"/>
      <c r="I162" s="83"/>
      <c r="J162" s="83"/>
      <c r="K162" s="83"/>
      <c r="L162" s="39">
        <f t="shared" si="54"/>
        <v>364</v>
      </c>
      <c r="M162" s="83"/>
      <c r="N162" s="83"/>
      <c r="O162" s="83"/>
      <c r="P162" s="83"/>
      <c r="Q162" s="39">
        <f>SUM(Q160:Q161)</f>
        <v>376</v>
      </c>
      <c r="R162" s="83"/>
      <c r="S162" s="83"/>
      <c r="T162" s="83"/>
      <c r="U162" s="83"/>
      <c r="V162" s="39">
        <f>SUM(V160:V161)</f>
        <v>381</v>
      </c>
      <c r="W162" s="83"/>
      <c r="X162" s="83"/>
      <c r="Y162" s="83"/>
      <c r="Z162" s="83"/>
      <c r="AA162" s="39">
        <f>SUM(AA160:AA161)</f>
        <v>514</v>
      </c>
      <c r="AB162" s="83"/>
      <c r="AC162" s="83"/>
      <c r="AD162" s="83"/>
      <c r="AE162" s="83"/>
      <c r="AF162" s="39">
        <f>SUM(AF160:AF161)</f>
        <v>785</v>
      </c>
      <c r="AG162" s="83"/>
      <c r="AH162" s="83"/>
      <c r="AI162" s="83"/>
      <c r="AJ162" s="83"/>
      <c r="AK162" s="39">
        <f>SUM(AK160:AK161)</f>
        <v>795</v>
      </c>
      <c r="AL162" s="83"/>
      <c r="AM162" s="83"/>
      <c r="AN162" s="83"/>
      <c r="AO162" s="83"/>
      <c r="AP162" s="39">
        <f>SUM(AP160:AP161)</f>
        <v>787</v>
      </c>
      <c r="AQ162" s="83"/>
      <c r="AR162" s="83"/>
      <c r="AS162" s="83"/>
      <c r="AT162" s="83"/>
      <c r="AU162" s="39">
        <f>SUM(AU160:AU161)</f>
        <v>780</v>
      </c>
      <c r="AV162" s="83"/>
      <c r="AW162" s="83"/>
      <c r="AX162" s="83"/>
      <c r="AY162" s="83"/>
      <c r="AZ162" s="39">
        <f>SUM(AZ160:AZ161)</f>
        <v>814</v>
      </c>
      <c r="BA162" s="83"/>
      <c r="BB162" s="83"/>
      <c r="BC162" s="83"/>
      <c r="BD162" s="83"/>
      <c r="BE162" s="39">
        <f>SUM(BE160:BE161)</f>
        <v>801</v>
      </c>
      <c r="BF162" s="83"/>
      <c r="BG162" s="83"/>
      <c r="BH162" s="83"/>
      <c r="BI162" s="83"/>
      <c r="BJ162" s="39">
        <f>SUM(BJ160:BJ161)</f>
        <v>820</v>
      </c>
      <c r="BK162" s="83"/>
      <c r="BL162" s="83"/>
      <c r="BM162" s="83"/>
      <c r="BN162" s="83"/>
      <c r="BO162" s="39">
        <f>SUM(BO54,BO108)</f>
        <v>783</v>
      </c>
      <c r="BP162" s="80">
        <f>BP331+BP385</f>
        <v>803.74863697753335</v>
      </c>
      <c r="BQ162" s="80">
        <f>BQ331+BQ385</f>
        <v>781.87155719796624</v>
      </c>
      <c r="BR162" s="80">
        <f>BR331+BR385</f>
        <v>787.57246344843566</v>
      </c>
      <c r="BS162" s="80">
        <f>BS331+BS385</f>
        <v>797.36734237606515</v>
      </c>
      <c r="BT162" s="39">
        <f>AVERAGE(BP162:BS162)</f>
        <v>792.6400000000001</v>
      </c>
      <c r="BU162" s="80">
        <f>BU331+BU385</f>
        <v>803.44456111151248</v>
      </c>
      <c r="BV162" s="80">
        <f>BV331+BV385</f>
        <v>781.57550824346367</v>
      </c>
      <c r="BW162" s="80">
        <f>BW331+BW385</f>
        <v>787.2743227764596</v>
      </c>
      <c r="BX162" s="80">
        <f>BX331+BX385</f>
        <v>797.06560786856448</v>
      </c>
      <c r="BY162" s="39">
        <f>AVERAGE(BU162:BX162)</f>
        <v>792.34000000000015</v>
      </c>
      <c r="BZ162" s="80">
        <f>BZ331+BZ385</f>
        <v>776.96968904330015</v>
      </c>
      <c r="CA162" s="80">
        <f>CA331+CA385</f>
        <v>755.79951260478299</v>
      </c>
      <c r="CB162" s="80">
        <f>CB331+CB385</f>
        <v>761.31620826974131</v>
      </c>
      <c r="CC162" s="80">
        <f>CC331+CC385</f>
        <v>770.79459008217577</v>
      </c>
      <c r="CD162" s="39">
        <f>AVERAGE(BZ162:CC162)</f>
        <v>766.22</v>
      </c>
      <c r="CE162" s="5"/>
      <c r="CF162" s="5"/>
      <c r="CG162" s="5"/>
      <c r="CH162" s="5"/>
      <c r="CI162" s="5"/>
    </row>
    <row r="163" spans="1:87">
      <c r="A163" s="39"/>
      <c r="B163" s="39"/>
      <c r="C163" s="39"/>
      <c r="D163" s="39"/>
      <c r="E163" s="39"/>
      <c r="F163" s="39"/>
      <c r="G163" s="39"/>
      <c r="H163" s="83"/>
      <c r="I163" s="83"/>
      <c r="J163" s="83"/>
      <c r="K163" s="83"/>
      <c r="L163" s="39"/>
      <c r="M163" s="80"/>
      <c r="N163" s="80"/>
      <c r="O163" s="80"/>
      <c r="P163" s="80"/>
      <c r="Q163" s="39"/>
      <c r="R163" s="80"/>
      <c r="S163" s="80"/>
      <c r="T163" s="80"/>
      <c r="U163" s="80"/>
      <c r="V163" s="39"/>
      <c r="W163" s="80"/>
      <c r="X163" s="80"/>
      <c r="Y163" s="80"/>
      <c r="Z163" s="80"/>
      <c r="AA163" s="39"/>
      <c r="AB163" s="80"/>
      <c r="AC163" s="80"/>
      <c r="AD163" s="80"/>
      <c r="AE163" s="80"/>
      <c r="AF163" s="39"/>
      <c r="AG163" s="80"/>
      <c r="AH163" s="80"/>
      <c r="AI163" s="80"/>
      <c r="AJ163" s="80"/>
      <c r="AK163" s="39"/>
      <c r="AL163" s="80"/>
      <c r="AM163" s="80"/>
      <c r="AN163" s="80"/>
      <c r="AO163" s="80"/>
      <c r="AP163" s="39"/>
      <c r="AQ163" s="80"/>
      <c r="AR163" s="80"/>
      <c r="AS163" s="80"/>
      <c r="AT163" s="80"/>
      <c r="AU163" s="39"/>
      <c r="AV163" s="80"/>
      <c r="AW163" s="80"/>
      <c r="AX163" s="80"/>
      <c r="AY163" s="80"/>
      <c r="AZ163" s="39"/>
      <c r="BA163" s="79"/>
      <c r="BB163" s="80"/>
      <c r="BC163" s="80"/>
      <c r="BD163" s="80"/>
      <c r="BE163" s="39"/>
      <c r="BF163" s="657"/>
      <c r="BG163" s="657"/>
      <c r="BH163" s="657"/>
      <c r="BI163" s="657"/>
      <c r="BJ163" s="39"/>
      <c r="BK163" s="657"/>
      <c r="BL163" s="657"/>
      <c r="BM163" s="657"/>
      <c r="BN163" s="657"/>
      <c r="BO163" s="39"/>
      <c r="BP163" s="657"/>
      <c r="BQ163" s="657"/>
      <c r="BR163" s="657"/>
      <c r="BS163" s="657"/>
      <c r="BT163" s="657"/>
      <c r="BU163" s="657"/>
      <c r="BV163" s="657"/>
      <c r="BW163" s="657"/>
      <c r="BX163" s="657"/>
      <c r="BY163" s="657"/>
      <c r="BZ163" s="657"/>
      <c r="CA163" s="657"/>
      <c r="CB163" s="657"/>
      <c r="CC163" s="657"/>
      <c r="CD163" s="657"/>
      <c r="CE163" s="5"/>
      <c r="CF163" s="5"/>
      <c r="CG163" s="5"/>
      <c r="CH163" s="5"/>
      <c r="CI163" s="5"/>
    </row>
    <row r="164" spans="1:87">
      <c r="A164" s="46" t="s">
        <v>1489</v>
      </c>
      <c r="B164" s="46"/>
      <c r="C164" s="46">
        <f>C122+C127+C136+C142+C157+C162</f>
        <v>8632</v>
      </c>
      <c r="D164" s="46">
        <f>D122+D127+D136+D142+D157+D162</f>
        <v>8707</v>
      </c>
      <c r="E164" s="46">
        <f>E122+E127+E136+E142+E157+E162</f>
        <v>8613</v>
      </c>
      <c r="F164" s="46">
        <f>F122+F127+F136+F142+F157+F162</f>
        <v>8503</v>
      </c>
      <c r="G164" s="46">
        <f>G122+G127+G136+G142+G157+G162</f>
        <v>8424</v>
      </c>
      <c r="H164" s="84"/>
      <c r="I164" s="84"/>
      <c r="J164" s="84"/>
      <c r="K164" s="84"/>
      <c r="L164" s="46">
        <f>L122+L127+L136+L142+L157+L162</f>
        <v>8417</v>
      </c>
      <c r="M164" s="81">
        <v>8502</v>
      </c>
      <c r="N164" s="81">
        <v>7859</v>
      </c>
      <c r="O164" s="81">
        <v>7879</v>
      </c>
      <c r="P164" s="81">
        <v>8337</v>
      </c>
      <c r="Q164" s="46">
        <v>8143</v>
      </c>
      <c r="R164" s="81">
        <v>8464</v>
      </c>
      <c r="S164" s="81">
        <v>8248</v>
      </c>
      <c r="T164" s="81">
        <v>8011</v>
      </c>
      <c r="U164" s="81">
        <v>8613</v>
      </c>
      <c r="V164" s="46">
        <v>8334</v>
      </c>
      <c r="W164" s="81">
        <v>8767</v>
      </c>
      <c r="X164" s="81">
        <v>8580</v>
      </c>
      <c r="Y164" s="81">
        <v>8031</v>
      </c>
      <c r="Z164" s="81">
        <v>8568</v>
      </c>
      <c r="AA164" s="46">
        <v>8485</v>
      </c>
      <c r="AB164" s="81">
        <v>8600</v>
      </c>
      <c r="AC164" s="81">
        <v>8484</v>
      </c>
      <c r="AD164" s="81">
        <v>8364</v>
      </c>
      <c r="AE164" s="81">
        <v>8160</v>
      </c>
      <c r="AF164" s="46">
        <v>8401</v>
      </c>
      <c r="AG164" s="81">
        <v>7586</v>
      </c>
      <c r="AH164" s="81">
        <v>7563</v>
      </c>
      <c r="AI164" s="81">
        <v>7213</v>
      </c>
      <c r="AJ164" s="81">
        <v>7714</v>
      </c>
      <c r="AK164" s="46">
        <f t="shared" ref="AK164:CD164" si="55">AK122+AK127+AK136+AK142+AK157+AK162</f>
        <v>7518</v>
      </c>
      <c r="AL164" s="81">
        <v>7798</v>
      </c>
      <c r="AM164" s="81">
        <v>7304</v>
      </c>
      <c r="AN164" s="81">
        <v>7171</v>
      </c>
      <c r="AO164" s="81">
        <v>7302</v>
      </c>
      <c r="AP164" s="46">
        <f>AP122+AP127+AP136+AP142+AP157+AP162</f>
        <v>7393</v>
      </c>
      <c r="AQ164" s="81">
        <f>6593+745+89</f>
        <v>7427</v>
      </c>
      <c r="AR164" s="81">
        <f>689+6244</f>
        <v>6933</v>
      </c>
      <c r="AS164" s="81">
        <f>793+6150</f>
        <v>6943</v>
      </c>
      <c r="AT164" s="81">
        <f>884+6057</f>
        <v>6941</v>
      </c>
      <c r="AU164" s="46">
        <f>AU122+AU127+AU136+AU142+AU157+AU162</f>
        <v>7059</v>
      </c>
      <c r="AV164" s="81">
        <v>7055.1246865031035</v>
      </c>
      <c r="AW164" s="81">
        <v>6933.4435801479785</v>
      </c>
      <c r="AX164" s="81">
        <v>7115.4192884234681</v>
      </c>
      <c r="AY164" s="81">
        <v>7221.0488449254499</v>
      </c>
      <c r="AZ164" s="46">
        <f>AZ122+AZ127+AZ136+AZ142+AZ157+AZ162</f>
        <v>7099</v>
      </c>
      <c r="BA164" s="81">
        <v>7313.3641231184793</v>
      </c>
      <c r="BB164" s="81">
        <v>6977.4810823872667</v>
      </c>
      <c r="BC164" s="81">
        <v>6989.2064719464961</v>
      </c>
      <c r="BD164" s="81">
        <v>7308.6878225477576</v>
      </c>
      <c r="BE164" s="46">
        <f>BE122+BE127+BE136+BE142+BE157+BE162</f>
        <v>7146</v>
      </c>
      <c r="BF164" s="81">
        <f>5910+BF153</f>
        <v>7192</v>
      </c>
      <c r="BG164" s="81">
        <f>5733+BG153</f>
        <v>6999</v>
      </c>
      <c r="BH164" s="81">
        <f>5695+BH153</f>
        <v>6916</v>
      </c>
      <c r="BI164" s="81">
        <f>5846+BI153</f>
        <v>7193</v>
      </c>
      <c r="BJ164" s="46">
        <f>AVERAGE(BF164:BI164)</f>
        <v>7075</v>
      </c>
      <c r="BK164" s="81">
        <f>5791+BK153</f>
        <v>7125</v>
      </c>
      <c r="BL164" s="81">
        <f>6260+BL153</f>
        <v>7562</v>
      </c>
      <c r="BM164" s="81">
        <f>6502+BM153</f>
        <v>7765</v>
      </c>
      <c r="BN164" s="81">
        <f>7176+BN153</f>
        <v>8509</v>
      </c>
      <c r="BO164" s="46">
        <f t="shared" si="55"/>
        <v>7745</v>
      </c>
      <c r="BP164" s="81">
        <f t="shared" si="55"/>
        <v>8752.9476551191965</v>
      </c>
      <c r="BQ164" s="81">
        <f t="shared" si="55"/>
        <v>8446.9678663327668</v>
      </c>
      <c r="BR164" s="81">
        <f t="shared" si="55"/>
        <v>8357.0040851860649</v>
      </c>
      <c r="BS164" s="81">
        <f t="shared" si="55"/>
        <v>8605.1301933619743</v>
      </c>
      <c r="BT164" s="46">
        <f t="shared" si="55"/>
        <v>8540.5124500000002</v>
      </c>
      <c r="BU164" s="81">
        <f t="shared" si="55"/>
        <v>9585.3158165478053</v>
      </c>
      <c r="BV164" s="81">
        <f t="shared" si="55"/>
        <v>9268.9160625171553</v>
      </c>
      <c r="BW164" s="81">
        <f t="shared" si="55"/>
        <v>9168.2090926916044</v>
      </c>
      <c r="BX164" s="81">
        <f t="shared" si="55"/>
        <v>9447.7839282434434</v>
      </c>
      <c r="BY164" s="46">
        <f t="shared" si="55"/>
        <v>9367.5562250000003</v>
      </c>
      <c r="BZ164" s="81">
        <f t="shared" si="55"/>
        <v>10351.889393529324</v>
      </c>
      <c r="CA164" s="81">
        <f t="shared" si="55"/>
        <v>9997.3329457551972</v>
      </c>
      <c r="CB164" s="81">
        <f t="shared" si="55"/>
        <v>9868.6961969767963</v>
      </c>
      <c r="CC164" s="81">
        <f t="shared" si="55"/>
        <v>10188.099663738683</v>
      </c>
      <c r="CD164" s="46">
        <f t="shared" si="55"/>
        <v>10101.50455</v>
      </c>
      <c r="CE164" s="5"/>
      <c r="CF164" s="5"/>
      <c r="CG164" s="5"/>
      <c r="CH164" s="5"/>
      <c r="CI164" s="5"/>
    </row>
    <row r="165" spans="1:87">
      <c r="A165" s="605" t="s">
        <v>3554</v>
      </c>
      <c r="B165" s="24"/>
      <c r="C165" s="24">
        <f t="shared" ref="C165:AH165" si="56">C164-C153</f>
        <v>8632</v>
      </c>
      <c r="D165" s="24">
        <f t="shared" si="56"/>
        <v>8701</v>
      </c>
      <c r="E165" s="24">
        <f t="shared" si="56"/>
        <v>8484</v>
      </c>
      <c r="F165" s="24">
        <f t="shared" si="56"/>
        <v>8045</v>
      </c>
      <c r="G165" s="24">
        <f t="shared" si="56"/>
        <v>7942</v>
      </c>
      <c r="H165" s="606">
        <f t="shared" si="56"/>
        <v>0</v>
      </c>
      <c r="I165" s="606">
        <f t="shared" si="56"/>
        <v>0</v>
      </c>
      <c r="J165" s="606">
        <f t="shared" si="56"/>
        <v>0</v>
      </c>
      <c r="K165" s="606">
        <f t="shared" si="56"/>
        <v>0</v>
      </c>
      <c r="L165" s="24">
        <f t="shared" si="56"/>
        <v>7873</v>
      </c>
      <c r="M165" s="359">
        <f t="shared" si="56"/>
        <v>7936</v>
      </c>
      <c r="N165" s="359">
        <f t="shared" si="56"/>
        <v>7418</v>
      </c>
      <c r="O165" s="359">
        <f t="shared" si="56"/>
        <v>7515</v>
      </c>
      <c r="P165" s="359">
        <f t="shared" si="56"/>
        <v>7900</v>
      </c>
      <c r="Q165" s="24">
        <f t="shared" si="56"/>
        <v>7692</v>
      </c>
      <c r="R165" s="359">
        <f t="shared" si="56"/>
        <v>7952</v>
      </c>
      <c r="S165" s="359">
        <f t="shared" si="56"/>
        <v>7702</v>
      </c>
      <c r="T165" s="359">
        <f t="shared" si="56"/>
        <v>7432</v>
      </c>
      <c r="U165" s="359">
        <f t="shared" si="56"/>
        <v>7992</v>
      </c>
      <c r="V165" s="24">
        <f t="shared" si="56"/>
        <v>7770</v>
      </c>
      <c r="W165" s="359">
        <f t="shared" si="56"/>
        <v>8125</v>
      </c>
      <c r="X165" s="359">
        <f t="shared" si="56"/>
        <v>8025</v>
      </c>
      <c r="Y165" s="359">
        <f t="shared" si="56"/>
        <v>7478</v>
      </c>
      <c r="Z165" s="359">
        <f t="shared" si="56"/>
        <v>7914</v>
      </c>
      <c r="AA165" s="24">
        <f t="shared" si="56"/>
        <v>7884</v>
      </c>
      <c r="AB165" s="359">
        <f t="shared" si="56"/>
        <v>7927</v>
      </c>
      <c r="AC165" s="359">
        <f t="shared" si="56"/>
        <v>7837</v>
      </c>
      <c r="AD165" s="359">
        <f t="shared" si="56"/>
        <v>7822</v>
      </c>
      <c r="AE165" s="359">
        <f t="shared" si="56"/>
        <v>7462</v>
      </c>
      <c r="AF165" s="24">
        <f t="shared" si="56"/>
        <v>7761</v>
      </c>
      <c r="AG165" s="359">
        <f t="shared" si="56"/>
        <v>6867</v>
      </c>
      <c r="AH165" s="359">
        <f t="shared" si="56"/>
        <v>6888</v>
      </c>
      <c r="AI165" s="607">
        <f t="shared" ref="AI165:BN165" si="57">AI164-AI153</f>
        <v>6549</v>
      </c>
      <c r="AJ165" s="359">
        <f t="shared" si="57"/>
        <v>6970</v>
      </c>
      <c r="AK165" s="24">
        <f t="shared" si="57"/>
        <v>6819</v>
      </c>
      <c r="AL165" s="359">
        <f t="shared" si="57"/>
        <v>6985</v>
      </c>
      <c r="AM165" s="359">
        <f t="shared" si="57"/>
        <v>6525</v>
      </c>
      <c r="AN165" s="359">
        <f t="shared" si="57"/>
        <v>6443</v>
      </c>
      <c r="AO165" s="359">
        <f t="shared" si="57"/>
        <v>6484</v>
      </c>
      <c r="AP165" s="24">
        <f t="shared" si="57"/>
        <v>6659</v>
      </c>
      <c r="AQ165" s="359">
        <f t="shared" si="57"/>
        <v>6593</v>
      </c>
      <c r="AR165" s="359">
        <f t="shared" si="57"/>
        <v>6244</v>
      </c>
      <c r="AS165" s="359">
        <f t="shared" si="57"/>
        <v>6150</v>
      </c>
      <c r="AT165" s="359">
        <f t="shared" si="57"/>
        <v>6057</v>
      </c>
      <c r="AU165" s="24">
        <f t="shared" si="57"/>
        <v>6258</v>
      </c>
      <c r="AV165" s="359">
        <f t="shared" si="57"/>
        <v>6068.1246865031035</v>
      </c>
      <c r="AW165" s="359">
        <f t="shared" si="57"/>
        <v>5933.4435801479785</v>
      </c>
      <c r="AX165" s="359">
        <f t="shared" si="57"/>
        <v>6042.4192884234681</v>
      </c>
      <c r="AY165" s="359">
        <f t="shared" si="57"/>
        <v>6018.0488449254499</v>
      </c>
      <c r="AZ165" s="24">
        <f t="shared" si="57"/>
        <v>6015</v>
      </c>
      <c r="BA165" s="359">
        <f t="shared" si="57"/>
        <v>6088.3641231184793</v>
      </c>
      <c r="BB165" s="359">
        <f t="shared" si="57"/>
        <v>5805.4810823872667</v>
      </c>
      <c r="BC165" s="359">
        <f t="shared" si="57"/>
        <v>5864.2064719464961</v>
      </c>
      <c r="BD165" s="359">
        <f t="shared" si="57"/>
        <v>6047.6878225477576</v>
      </c>
      <c r="BE165" s="24">
        <f>BE164-BE153</f>
        <v>5951</v>
      </c>
      <c r="BF165" s="359">
        <f t="shared" si="57"/>
        <v>5910</v>
      </c>
      <c r="BG165" s="359">
        <f t="shared" si="57"/>
        <v>5733</v>
      </c>
      <c r="BH165" s="359">
        <f t="shared" si="57"/>
        <v>5695</v>
      </c>
      <c r="BI165" s="359">
        <f t="shared" si="57"/>
        <v>5846</v>
      </c>
      <c r="BJ165" s="24">
        <f>BJ164-BJ153</f>
        <v>5796</v>
      </c>
      <c r="BK165" s="359">
        <f t="shared" si="57"/>
        <v>5791</v>
      </c>
      <c r="BL165" s="359">
        <f t="shared" si="57"/>
        <v>6260</v>
      </c>
      <c r="BM165" s="359">
        <f t="shared" si="57"/>
        <v>6502</v>
      </c>
      <c r="BN165" s="359">
        <f t="shared" si="57"/>
        <v>7176</v>
      </c>
      <c r="BO165" s="24">
        <f t="shared" ref="BO165:CD165" si="58">BO164-BO153</f>
        <v>6437</v>
      </c>
      <c r="BP165" s="359">
        <f t="shared" si="58"/>
        <v>7253.3464392277247</v>
      </c>
      <c r="BQ165" s="359">
        <f t="shared" si="58"/>
        <v>7048.9648381335155</v>
      </c>
      <c r="BR165" s="359">
        <f t="shared" si="58"/>
        <v>6984.0287530428213</v>
      </c>
      <c r="BS165" s="359">
        <f t="shared" si="58"/>
        <v>7098.5639695959399</v>
      </c>
      <c r="BT165" s="24">
        <f t="shared" si="58"/>
        <v>7096.2259999999997</v>
      </c>
      <c r="BU165" s="359">
        <f t="shared" si="58"/>
        <v>7931.1237156259795</v>
      </c>
      <c r="BV165" s="359">
        <f t="shared" si="58"/>
        <v>7728.8910821223471</v>
      </c>
      <c r="BW165" s="359">
        <f t="shared" si="58"/>
        <v>7656.3080390817468</v>
      </c>
      <c r="BX165" s="359">
        <f t="shared" si="58"/>
        <v>7785.7651631699337</v>
      </c>
      <c r="BY165" s="24">
        <f t="shared" si="58"/>
        <v>7775.5219999999999</v>
      </c>
      <c r="BZ165" s="359">
        <f t="shared" si="58"/>
        <v>8584.9773123143423</v>
      </c>
      <c r="CA165" s="359">
        <f t="shared" si="58"/>
        <v>8353.7526254091663</v>
      </c>
      <c r="CB165" s="359">
        <f t="shared" si="58"/>
        <v>8255.4974207822324</v>
      </c>
      <c r="CC165" s="359">
        <f t="shared" si="58"/>
        <v>8412.7326414942618</v>
      </c>
      <c r="CD165" s="24">
        <f t="shared" si="58"/>
        <v>8401.74</v>
      </c>
    </row>
    <row r="166" spans="1:87">
      <c r="A166" s="605" t="s">
        <v>897</v>
      </c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48"/>
      <c r="AL166" s="48"/>
      <c r="AM166" s="48"/>
      <c r="AN166" s="48"/>
      <c r="AO166" s="48"/>
      <c r="AP166" s="48"/>
      <c r="AQ166" s="48"/>
      <c r="AR166" s="48"/>
      <c r="AS166" s="48"/>
      <c r="AT166" s="48"/>
      <c r="AU166" s="48"/>
      <c r="AV166" s="48"/>
      <c r="AW166" s="48"/>
      <c r="AX166" s="48"/>
      <c r="AY166" s="48"/>
      <c r="AZ166" s="48"/>
      <c r="BA166">
        <f>ROUND(BA165-6088,0)</f>
        <v>0</v>
      </c>
      <c r="BB166">
        <f>ROUND(BB165-5805,0)</f>
        <v>0</v>
      </c>
      <c r="BC166">
        <f>ROUND(BC165-5864,0)</f>
        <v>0</v>
      </c>
      <c r="BD166">
        <f>ROUND(BD165-6048,0)</f>
        <v>0</v>
      </c>
      <c r="BE166" s="48"/>
      <c r="BP166" s="48"/>
      <c r="BQ166" s="48"/>
      <c r="BR166" s="48"/>
      <c r="BS166" s="48"/>
      <c r="BT166" s="48"/>
      <c r="BU166" s="48"/>
      <c r="BV166" s="48"/>
      <c r="BW166" s="48"/>
      <c r="BX166" s="48"/>
      <c r="BY166" s="48"/>
      <c r="BZ166" s="48"/>
      <c r="CA166" s="48"/>
      <c r="CB166" s="48"/>
      <c r="CC166" s="48"/>
      <c r="CD166" s="48"/>
    </row>
    <row r="167" spans="1:87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29"/>
      <c r="U167" s="5"/>
      <c r="V167" s="5"/>
      <c r="W167" s="5"/>
      <c r="X167" s="5"/>
      <c r="Y167" s="29"/>
      <c r="Z167" s="5"/>
      <c r="AA167" s="5"/>
      <c r="AB167" s="5"/>
      <c r="AC167" s="5"/>
      <c r="AD167" s="29"/>
      <c r="AE167" s="5"/>
      <c r="AF167" s="5"/>
      <c r="AG167" s="5"/>
      <c r="AH167" s="5"/>
      <c r="AI167" s="29"/>
      <c r="AJ167" s="5"/>
      <c r="AK167" s="5"/>
      <c r="AL167" s="5"/>
      <c r="AM167" s="5"/>
      <c r="AN167" s="29"/>
      <c r="AO167" s="5"/>
      <c r="AP167" s="5"/>
      <c r="AQ167" s="421"/>
      <c r="AR167" s="421"/>
      <c r="AS167" s="421"/>
      <c r="AT167" s="421"/>
      <c r="AU167" s="421"/>
      <c r="AV167" s="421"/>
      <c r="AW167" s="421"/>
      <c r="AX167" s="421"/>
      <c r="AY167" s="421"/>
      <c r="AZ167" s="421"/>
      <c r="BA167" s="421"/>
      <c r="BB167" s="421"/>
      <c r="BC167" s="421"/>
      <c r="BD167" s="421"/>
      <c r="BE167" s="421"/>
      <c r="BJ167" s="421"/>
      <c r="BK167" s="421"/>
      <c r="BL167" s="421"/>
      <c r="BM167" s="421"/>
      <c r="BN167" s="421"/>
      <c r="BO167" s="421"/>
      <c r="BP167" s="421"/>
      <c r="BQ167" s="421"/>
      <c r="BR167" s="421"/>
      <c r="BS167" s="421"/>
      <c r="BT167" s="421"/>
      <c r="BU167" s="421"/>
      <c r="BV167" s="421"/>
      <c r="BW167" s="421"/>
      <c r="BX167" s="421"/>
      <c r="BY167" s="421"/>
      <c r="BZ167" s="421"/>
      <c r="CA167" s="421"/>
      <c r="CB167" s="421"/>
      <c r="CC167" s="421"/>
      <c r="CD167" s="421"/>
      <c r="CE167" s="5"/>
      <c r="CF167" s="24" t="s">
        <v>319</v>
      </c>
      <c r="CG167" s="24"/>
      <c r="CH167" s="24"/>
      <c r="CI167" s="24"/>
    </row>
    <row r="168" spans="1:87">
      <c r="A168" s="39" t="s">
        <v>318</v>
      </c>
      <c r="B168" s="24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105" t="s">
        <v>320</v>
      </c>
      <c r="CG168" s="105" t="s">
        <v>321</v>
      </c>
      <c r="CH168" s="105" t="s">
        <v>322</v>
      </c>
      <c r="CI168" s="105" t="s">
        <v>2663</v>
      </c>
    </row>
    <row r="169" spans="1:87">
      <c r="A169" s="47"/>
      <c r="B169" s="47" t="s">
        <v>305</v>
      </c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85">
        <f>M122/Q122</f>
        <v>1.1894604767879549</v>
      </c>
      <c r="N169" s="85">
        <f>N122/Q122</f>
        <v>0.94479297365119197</v>
      </c>
      <c r="O169" s="85">
        <f>O122/Q122</f>
        <v>0.76286072772898372</v>
      </c>
      <c r="P169" s="85">
        <f>P122/Q122</f>
        <v>1.1028858218318696</v>
      </c>
      <c r="Q169" s="12"/>
      <c r="R169" s="85">
        <f>R122/V122</f>
        <v>1.2736572890025575</v>
      </c>
      <c r="S169" s="85">
        <f>S122/V122</f>
        <v>0.95140664961636834</v>
      </c>
      <c r="T169" s="85">
        <f>T122/V122</f>
        <v>0.67391304347826086</v>
      </c>
      <c r="U169" s="85">
        <f>U122/V122</f>
        <v>1.0971867007672633</v>
      </c>
      <c r="V169" s="12"/>
      <c r="W169" s="85">
        <f>W122/AA122</f>
        <v>1.3217665615141956</v>
      </c>
      <c r="X169" s="85">
        <f>X122/AA122</f>
        <v>1.0173501577287065</v>
      </c>
      <c r="Y169" s="85">
        <f>Y122/AA122</f>
        <v>0.74605678233438488</v>
      </c>
      <c r="Z169" s="85">
        <f>Z122/AA122</f>
        <v>0.91955835962145105</v>
      </c>
      <c r="AA169" s="12"/>
      <c r="AB169" s="85">
        <f>AB122/AF122</f>
        <v>1.2299794661190966</v>
      </c>
      <c r="AC169" s="85">
        <f>AC122/AF122</f>
        <v>1.1314168377823408</v>
      </c>
      <c r="AD169" s="85">
        <f>AD122/AF122</f>
        <v>0.8459958932238193</v>
      </c>
      <c r="AE169" s="85">
        <f>AE122/AF122</f>
        <v>0.80082135523613962</v>
      </c>
      <c r="AF169" s="12"/>
      <c r="AG169" s="85">
        <f>AG122/AK122</f>
        <v>1.013586956521739</v>
      </c>
      <c r="AH169" s="85">
        <f>AH122/AK122</f>
        <v>1.0625</v>
      </c>
      <c r="AI169" s="85">
        <f>AI122/AK122</f>
        <v>0.58152173913043481</v>
      </c>
      <c r="AJ169" s="85">
        <f>AJ122/AK122</f>
        <v>1.3505434782608696</v>
      </c>
      <c r="AK169" s="5"/>
      <c r="AL169" s="85">
        <f>AL122/AP122</f>
        <v>1.1848341232227488</v>
      </c>
      <c r="AM169" s="85">
        <f>AM122/AP122</f>
        <v>1.1327014218009479</v>
      </c>
      <c r="AN169" s="85">
        <f>AN122/AP122</f>
        <v>0.80331753554502372</v>
      </c>
      <c r="AO169" s="85">
        <f>AO122/AP122</f>
        <v>0.87914691943127965</v>
      </c>
      <c r="AP169" s="5"/>
      <c r="AQ169" s="85">
        <f>AQ122/AU122</f>
        <v>1.3881856540084387</v>
      </c>
      <c r="AR169" s="85">
        <f>AR122/AU122</f>
        <v>1.2067510548523206</v>
      </c>
      <c r="AS169" s="85">
        <f>AS122/AU122</f>
        <v>0.61603375527426163</v>
      </c>
      <c r="AT169" s="85">
        <f>AT122/AU122</f>
        <v>0.80168776371308015</v>
      </c>
      <c r="AU169" s="5"/>
      <c r="AV169" s="85">
        <f>AV122/AZ122</f>
        <v>1.1502890173410405</v>
      </c>
      <c r="AW169" s="85">
        <f>AW122/AZ122</f>
        <v>0.95953757225433522</v>
      </c>
      <c r="AX169" s="85">
        <f>AX122/AZ122</f>
        <v>0.94797687861271673</v>
      </c>
      <c r="AY169" s="85">
        <f>AY122/AZ122</f>
        <v>0.94219653179190754</v>
      </c>
      <c r="AZ169" s="5"/>
      <c r="BA169" s="85">
        <f>BA122/BE122</f>
        <v>0.99248120300751874</v>
      </c>
      <c r="BB169" s="85">
        <f>BB122/BE122</f>
        <v>1.0563909774436091</v>
      </c>
      <c r="BC169" s="85">
        <f>BC122/BE122</f>
        <v>0.8721804511278195</v>
      </c>
      <c r="BD169" s="85">
        <f>BD122/BE122</f>
        <v>1.0789473684210527</v>
      </c>
      <c r="BE169" s="5"/>
      <c r="BF169" s="85">
        <f>BF122/BJ122</f>
        <v>1.0946969696969697</v>
      </c>
      <c r="BG169" s="633">
        <f>BG122/BJ122</f>
        <v>0.90151515151515149</v>
      </c>
      <c r="BH169" s="633">
        <f>BH122/BJ122</f>
        <v>0.99242424242424243</v>
      </c>
      <c r="BI169" s="633">
        <f>BI122/BJ122</f>
        <v>1.0151515151515151</v>
      </c>
      <c r="BJ169" s="5"/>
      <c r="BK169" s="85">
        <f>BK122/BO122</f>
        <v>1.1191489361702127</v>
      </c>
      <c r="BL169" s="633">
        <f>BL122/BO122</f>
        <v>1.1659574468085105</v>
      </c>
      <c r="BM169" s="633">
        <f>BM122/BO122</f>
        <v>0.92340425531914894</v>
      </c>
      <c r="BN169" s="85">
        <f>BN122/BO122</f>
        <v>0.79148936170212769</v>
      </c>
      <c r="BO169" s="5"/>
      <c r="BP169" s="85">
        <f>BP122/BT122</f>
        <v>1.3704904195508156</v>
      </c>
      <c r="BQ169" s="85">
        <f>BQ122/BT122</f>
        <v>1.0292679672417313</v>
      </c>
      <c r="BR169" s="85">
        <f>BR122/BT122</f>
        <v>0.65463057531489166</v>
      </c>
      <c r="BS169" s="85">
        <f>BS122/BT122</f>
        <v>0.94561103789256129</v>
      </c>
      <c r="BT169" s="5"/>
      <c r="BU169" s="85">
        <f>BU122/BY122</f>
        <v>1.2707231628557707</v>
      </c>
      <c r="BV169" s="85">
        <f>BV122/BY122</f>
        <v>1.0628152619371736</v>
      </c>
      <c r="BW169" s="85">
        <f>BW122/BY122</f>
        <v>0.68746289688156981</v>
      </c>
      <c r="BX169" s="85">
        <f>BX122/BY122</f>
        <v>0.97899867832548571</v>
      </c>
      <c r="BY169" s="5"/>
      <c r="BZ169" s="85">
        <f>BZ122/CD122</f>
        <v>1.25494923045623</v>
      </c>
      <c r="CA169" s="85">
        <f>CA122/CD122</f>
        <v>1.0591552733163097</v>
      </c>
      <c r="CB169" s="85">
        <f>CB122/CD122</f>
        <v>0.70567315670911501</v>
      </c>
      <c r="CC169" s="85">
        <f>CC122/CD122</f>
        <v>0.98022233951834536</v>
      </c>
      <c r="CD169" s="5"/>
      <c r="CE169" s="5"/>
      <c r="CF169" s="106">
        <f t="shared" ref="CF169:CI172" si="59">AVERAGE(M169,R169,W169,AB169,AG169,AL169,AQ169,AV169)</f>
        <v>1.2189699430647214</v>
      </c>
      <c r="CG169" s="106">
        <f t="shared" si="59"/>
        <v>1.0508070834607763</v>
      </c>
      <c r="CH169" s="106">
        <f t="shared" si="59"/>
        <v>0.74720954441598564</v>
      </c>
      <c r="CI169" s="106">
        <f t="shared" si="59"/>
        <v>0.9867533663317325</v>
      </c>
    </row>
    <row r="170" spans="1:87" ht="12" customHeight="1">
      <c r="A170" s="47"/>
      <c r="B170" s="47" t="s">
        <v>728</v>
      </c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85">
        <f>M125/Q125</f>
        <v>0.99494020239190428</v>
      </c>
      <c r="N170" s="85">
        <f>N125/Q125</f>
        <v>0.99586016559337631</v>
      </c>
      <c r="O170" s="85">
        <f>O125/Q125</f>
        <v>1.0055197792088317</v>
      </c>
      <c r="P170" s="85">
        <f>P125/Q125</f>
        <v>1.0041398344066237</v>
      </c>
      <c r="Q170" s="12"/>
      <c r="R170" s="85">
        <f>R125/V125</f>
        <v>0.99629114510894756</v>
      </c>
      <c r="S170" s="85">
        <f>S125/V125</f>
        <v>0.99211868335651365</v>
      </c>
      <c r="T170" s="85">
        <f>T125/V125</f>
        <v>0.97079276773296241</v>
      </c>
      <c r="U170" s="85">
        <f>U125/V125</f>
        <v>1.0398701900788132</v>
      </c>
      <c r="V170" s="12"/>
      <c r="W170" s="85">
        <f>W125/AA125</f>
        <v>1.008203799654577</v>
      </c>
      <c r="X170" s="85">
        <f>X125/AA125</f>
        <v>1.0099309153713298</v>
      </c>
      <c r="Y170" s="85">
        <f>Y125/AA125</f>
        <v>0.9835924006908463</v>
      </c>
      <c r="Z170" s="85">
        <f>Z125/AA125</f>
        <v>0.99870466321243523</v>
      </c>
      <c r="AA170" s="12"/>
      <c r="AB170" s="85">
        <f>AB125/AF125</f>
        <v>1.0169413919413919</v>
      </c>
      <c r="AC170" s="85">
        <f>AC125/AF125</f>
        <v>1.0256410256410255</v>
      </c>
      <c r="AD170" s="85">
        <f>AD125/AF125</f>
        <v>1.0027472527472527</v>
      </c>
      <c r="AE170" s="85">
        <f>AE125/AF125</f>
        <v>0.95467032967032972</v>
      </c>
      <c r="AF170" s="12"/>
      <c r="AG170" s="85">
        <f>AG125/AK125</f>
        <v>1.0336408030385242</v>
      </c>
      <c r="AH170" s="85">
        <f>AH125/AK125</f>
        <v>0.99457406402604454</v>
      </c>
      <c r="AI170" s="85">
        <f>AI125/AK125</f>
        <v>0.98697775366250673</v>
      </c>
      <c r="AJ170" s="85">
        <f>AJ125/AK125</f>
        <v>0.98589256646771573</v>
      </c>
      <c r="AK170" s="5"/>
      <c r="AL170" s="85">
        <f>AL125/AP125</f>
        <v>1.1023622047244095</v>
      </c>
      <c r="AM170" s="85">
        <f>AM125/AP125</f>
        <v>0.99818291944276194</v>
      </c>
      <c r="AN170" s="85">
        <f>AN125/AP125</f>
        <v>0.93579648697758933</v>
      </c>
      <c r="AO170" s="85">
        <f>AO125/AP125</f>
        <v>0.96486977589339795</v>
      </c>
      <c r="AP170" s="5"/>
      <c r="AQ170" s="85">
        <f>AQ125/AU125</f>
        <v>0.99545159194281996</v>
      </c>
      <c r="AR170" s="85">
        <f>AR125/AU125</f>
        <v>1.0220922677063029</v>
      </c>
      <c r="AS170" s="85">
        <f>AS125/AU125</f>
        <v>1.00454840805718</v>
      </c>
      <c r="AT170" s="85">
        <f>AT125/AU125</f>
        <v>0.97920727745289149</v>
      </c>
      <c r="AU170" s="5"/>
      <c r="AV170" s="85">
        <f>AV125/AZ125</f>
        <v>0.97300855826201449</v>
      </c>
      <c r="AW170" s="85">
        <f>AW125/AZ125</f>
        <v>1.0039499670836076</v>
      </c>
      <c r="AX170" s="85">
        <f>AX125/AZ125</f>
        <v>1.0177748518762344</v>
      </c>
      <c r="AY170" s="85">
        <f>AY125/AZ125</f>
        <v>1.0046082949308757</v>
      </c>
      <c r="AZ170" s="5"/>
      <c r="BA170" s="85">
        <f>BA125/BE125</f>
        <v>0.99280104712041883</v>
      </c>
      <c r="BB170" s="85">
        <f>BB125/BE125</f>
        <v>0.96662303664921467</v>
      </c>
      <c r="BC170" s="85">
        <f>BC125/BE125</f>
        <v>1.0268324607329844</v>
      </c>
      <c r="BD170" s="85">
        <f>BD125/BE125</f>
        <v>1.0124345549738221</v>
      </c>
      <c r="BE170" s="5"/>
      <c r="BF170" s="85">
        <f>BF125/BJ125</f>
        <v>0.96799516908212557</v>
      </c>
      <c r="BG170" s="633">
        <f>BG125/BJ125</f>
        <v>1.0060386473429952</v>
      </c>
      <c r="BH170" s="633">
        <f>BH125/BJ125</f>
        <v>1.0138888888888888</v>
      </c>
      <c r="BI170" s="633">
        <f>BI125/BJ125</f>
        <v>1.0114734299516908</v>
      </c>
      <c r="BJ170" s="5"/>
      <c r="BK170" s="85">
        <f>BK125/BO125</f>
        <v>0.96081977094635318</v>
      </c>
      <c r="BL170" s="633">
        <f>BL125/BO125</f>
        <v>0.94996986136226647</v>
      </c>
      <c r="BM170" s="633">
        <f>BM125/BO125</f>
        <v>1.0265220012055456</v>
      </c>
      <c r="BN170" s="85">
        <f>BN125/BO125</f>
        <v>1.0602772754671488</v>
      </c>
      <c r="BO170" s="5"/>
      <c r="BP170" s="85">
        <f>BP125/BT125</f>
        <v>1.0146544657915404</v>
      </c>
      <c r="BQ170" s="85">
        <f>BQ125/BT125</f>
        <v>1.0051358681114024</v>
      </c>
      <c r="BR170" s="85">
        <f>BR125/BT125</f>
        <v>0.98881262627698319</v>
      </c>
      <c r="BS170" s="85">
        <f>BS125/BT125</f>
        <v>0.99139703982007366</v>
      </c>
      <c r="BT170" s="5"/>
      <c r="BU170" s="85">
        <f>BU125/BY125</f>
        <v>1.0146912658306577</v>
      </c>
      <c r="BV170" s="85">
        <f>BV125/BY125</f>
        <v>1.0051487652139028</v>
      </c>
      <c r="BW170" s="85">
        <f>BW125/BY125</f>
        <v>0.98878453273904843</v>
      </c>
      <c r="BX170" s="85">
        <f>BX125/BY125</f>
        <v>0.99137543621639113</v>
      </c>
      <c r="BY170" s="5"/>
      <c r="BZ170" s="85">
        <f>BZ125/CD125</f>
        <v>1.0147026887800397</v>
      </c>
      <c r="CA170" s="85">
        <f>CA125/CD125</f>
        <v>1.0051527685506536</v>
      </c>
      <c r="CB170" s="85">
        <f>CB125/CD125</f>
        <v>0.98877581233903034</v>
      </c>
      <c r="CC170" s="85">
        <f>CC125/CD125</f>
        <v>0.99136873033027639</v>
      </c>
      <c r="CD170" s="5"/>
      <c r="CE170" s="5"/>
      <c r="CF170" s="106">
        <f t="shared" si="59"/>
        <v>1.0151049621330737</v>
      </c>
      <c r="CG170" s="106">
        <f t="shared" si="59"/>
        <v>1.0052937510276203</v>
      </c>
      <c r="CH170" s="106">
        <f t="shared" si="59"/>
        <v>0.98846871261917557</v>
      </c>
      <c r="CI170" s="106">
        <f t="shared" si="59"/>
        <v>0.99149536651413528</v>
      </c>
    </row>
    <row r="171" spans="1:87">
      <c r="A171" s="47"/>
      <c r="B171" s="47" t="s">
        <v>539</v>
      </c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85">
        <f>M153/Q153</f>
        <v>1.2549889135254988</v>
      </c>
      <c r="N171" s="85">
        <f>N153/Q153</f>
        <v>0.97782705099778267</v>
      </c>
      <c r="O171" s="85">
        <f>O153/Q153</f>
        <v>0.80709534368070956</v>
      </c>
      <c r="P171" s="85">
        <f>P153/Q153</f>
        <v>0.96895787139689582</v>
      </c>
      <c r="Q171" s="12"/>
      <c r="R171" s="85">
        <f>R153/V153</f>
        <v>0.90780141843971629</v>
      </c>
      <c r="S171" s="85">
        <f>S153/V153</f>
        <v>0.96808510638297873</v>
      </c>
      <c r="T171" s="85">
        <f>T153/V153</f>
        <v>1.0265957446808511</v>
      </c>
      <c r="U171" s="85">
        <f>U153/V153</f>
        <v>1.1010638297872339</v>
      </c>
      <c r="V171" s="12"/>
      <c r="W171" s="85">
        <f>W153/AA153</f>
        <v>1.0682196339434276</v>
      </c>
      <c r="X171" s="85">
        <f>X153/AA153</f>
        <v>0.9234608985024958</v>
      </c>
      <c r="Y171" s="85">
        <f>Y153/AA153</f>
        <v>0.92013311148086518</v>
      </c>
      <c r="Z171" s="85">
        <f>Z153/AA153</f>
        <v>1.0881863560732112</v>
      </c>
      <c r="AA171" s="12"/>
      <c r="AB171" s="85">
        <f>AB153/AF153</f>
        <v>1.0515625</v>
      </c>
      <c r="AC171" s="85">
        <f>AC153/AF153</f>
        <v>1.0109375</v>
      </c>
      <c r="AD171" s="85">
        <f>AD153/AF153</f>
        <v>0.84687500000000004</v>
      </c>
      <c r="AE171" s="85">
        <f>AE153/AF153</f>
        <v>1.090625</v>
      </c>
      <c r="AF171" s="12"/>
      <c r="AG171" s="85">
        <f>AG153/AK153</f>
        <v>1.0286123032904149</v>
      </c>
      <c r="AH171" s="85">
        <f>AH153/AK153</f>
        <v>0.96566523605150212</v>
      </c>
      <c r="AI171" s="85">
        <f>AI153/AK153</f>
        <v>0.94992846924177399</v>
      </c>
      <c r="AJ171" s="85">
        <f>AJ153/AK153</f>
        <v>1.0643776824034334</v>
      </c>
      <c r="AK171" s="5"/>
      <c r="AL171" s="85">
        <f>AL153/AP153</f>
        <v>1.1076294277929155</v>
      </c>
      <c r="AM171" s="85">
        <f>AM153/AP153</f>
        <v>1.061307901907357</v>
      </c>
      <c r="AN171" s="85">
        <f>AN153/AP153</f>
        <v>0.99182561307901906</v>
      </c>
      <c r="AO171" s="85">
        <f>AO153/AP153</f>
        <v>1.1144414168937329</v>
      </c>
      <c r="AP171" s="5"/>
      <c r="AQ171" s="85">
        <f>AQ153/AU153</f>
        <v>1.0411985018726593</v>
      </c>
      <c r="AR171" s="85">
        <f>AR153/AU153</f>
        <v>0.86017478152309612</v>
      </c>
      <c r="AS171" s="85">
        <f>AS153/AU153</f>
        <v>0.99001248439450684</v>
      </c>
      <c r="AT171" s="85">
        <f>AT153/AU153</f>
        <v>1.1036204744069913</v>
      </c>
      <c r="AU171" s="5"/>
      <c r="AV171" s="85">
        <f>AV153/AZ153</f>
        <v>0.91051660516605171</v>
      </c>
      <c r="AW171" s="85">
        <f>AW153/AZ153</f>
        <v>0.92250922509225097</v>
      </c>
      <c r="AX171" s="85">
        <f>AX153/AZ153</f>
        <v>0.98985239852398521</v>
      </c>
      <c r="AY171" s="85">
        <f>AY153/AZ153</f>
        <v>1.1097785977859778</v>
      </c>
      <c r="AZ171" s="5"/>
      <c r="BA171" s="85">
        <f>BA153/BE153</f>
        <v>1.0251046025104602</v>
      </c>
      <c r="BB171" s="85">
        <f>BB153/BE153</f>
        <v>0.98075313807531384</v>
      </c>
      <c r="BC171" s="85">
        <f>BC153/BE153</f>
        <v>0.94142259414225937</v>
      </c>
      <c r="BD171" s="85">
        <f>BD153/BE153</f>
        <v>1.0552301255230125</v>
      </c>
      <c r="BE171" s="5"/>
      <c r="BF171" s="85">
        <f>BF153/BJ153</f>
        <v>1.0023455824863174</v>
      </c>
      <c r="BG171" s="633">
        <f>BG153/BJ153</f>
        <v>0.98983580922595782</v>
      </c>
      <c r="BH171" s="633">
        <f>BH153/BJ153</f>
        <v>0.95465207193119628</v>
      </c>
      <c r="BI171" s="633">
        <f>BI153/BJ153</f>
        <v>1.0531665363565286</v>
      </c>
      <c r="BJ171" s="5"/>
      <c r="BK171" s="85">
        <f>BK153/BO153</f>
        <v>1.0198776758409787</v>
      </c>
      <c r="BL171" s="633">
        <f>BL153/BO153</f>
        <v>0.99541284403669728</v>
      </c>
      <c r="BM171" s="633">
        <f>BM153/BO153</f>
        <v>0.9655963302752294</v>
      </c>
      <c r="BN171" s="85">
        <f>BN153/BO153</f>
        <v>1.0191131498470949</v>
      </c>
      <c r="BO171" s="5"/>
      <c r="BP171" s="85">
        <f>BP153/BT153</f>
        <v>1.0382990271019101</v>
      </c>
      <c r="BQ171" s="85">
        <f>BQ153/BT153</f>
        <v>0.96795412585865548</v>
      </c>
      <c r="BR171" s="85">
        <f>BR153/BT153</f>
        <v>0.95062536392503272</v>
      </c>
      <c r="BS171" s="85">
        <f>BS153/BT153</f>
        <v>1.0431214831144011</v>
      </c>
      <c r="BT171" s="5"/>
      <c r="BU171" s="85">
        <f>BU153/BY153</f>
        <v>1.039043052558638</v>
      </c>
      <c r="BV171" s="85">
        <f>BV153/BY153</f>
        <v>0.96733157881377063</v>
      </c>
      <c r="BW171" s="85">
        <f>BW153/BY153</f>
        <v>0.94966617543027809</v>
      </c>
      <c r="BX171" s="85">
        <f>BX153/BY153</f>
        <v>1.0439591931973127</v>
      </c>
      <c r="BY171" s="5"/>
      <c r="BZ171" s="85">
        <f>BZ153/CD153</f>
        <v>1.0395040190801614</v>
      </c>
      <c r="CA171" s="85">
        <f>CA153/CD153</f>
        <v>0.96694587514843233</v>
      </c>
      <c r="CB171" s="85">
        <f>CB153/CD153</f>
        <v>0.94907190304360933</v>
      </c>
      <c r="CC171" s="85">
        <f>CC153/CD153</f>
        <v>1.0444782027277968</v>
      </c>
      <c r="CD171" s="5"/>
      <c r="CE171" s="5"/>
      <c r="CF171" s="106">
        <f t="shared" si="59"/>
        <v>1.0463161630038353</v>
      </c>
      <c r="CG171" s="106">
        <f t="shared" si="59"/>
        <v>0.96124596255718298</v>
      </c>
      <c r="CH171" s="106">
        <f t="shared" si="59"/>
        <v>0.94028977063521391</v>
      </c>
      <c r="CI171" s="106">
        <f t="shared" si="59"/>
        <v>1.0801314035934346</v>
      </c>
    </row>
    <row r="172" spans="1:87">
      <c r="A172" s="47"/>
      <c r="B172" s="47" t="s">
        <v>2098</v>
      </c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85">
        <f>(M164-M122-M125-M153)/(Q164-Q122-Q125-Q153)</f>
        <v>1.0220292310951069</v>
      </c>
      <c r="N172" s="85">
        <f>(N164-N122-N125-N153)/(Q164-Q122-Q125-Q153)</f>
        <v>0.95318788392289766</v>
      </c>
      <c r="O172" s="85">
        <f>(O164-O122-O125-O153)/(Q164-Q122-Q125-Q153)</f>
        <v>1</v>
      </c>
      <c r="P172" s="85">
        <f>(P164-P122-P125-P153)/(Q164-Q122-Q125-Q153)</f>
        <v>1.0247828849819953</v>
      </c>
      <c r="Q172" s="12"/>
      <c r="R172" s="85">
        <f>(R164-R122-R125-R153)/(V164-V122-V125-V153)</f>
        <v>0.99503208445456426</v>
      </c>
      <c r="S172" s="85">
        <f>(S164-S122-S125-S153)/(V164-V122-V125-V153)</f>
        <v>0.99730904574622237</v>
      </c>
      <c r="T172" s="85">
        <f>(T164-T122-T125-T153)/(V164-V122-V125-V153)</f>
        <v>0.99586007037880353</v>
      </c>
      <c r="U172" s="85">
        <f>(U164-U122-U125-U153)/(V164-V122-V125-V153)</f>
        <v>1.0124197888635893</v>
      </c>
      <c r="V172" s="12"/>
      <c r="W172" s="85">
        <f>(W164-W122-W125-W153)/(AA164-AA122-AA125-AA153)</f>
        <v>1.0036481556546413</v>
      </c>
      <c r="X172" s="85">
        <f>(X164-X122-X125-X153)/(AA164-AA122-AA125-AA153)</f>
        <v>1.0216862586137008</v>
      </c>
      <c r="Y172" s="85">
        <f>(Y164-Y122-Y125-Y153)/(AA164-AA122-AA125-AA153)</f>
        <v>0.95804620997162548</v>
      </c>
      <c r="Z172" s="85">
        <f>(Z164-Z122-Z125-Z153)/(AA164-AA122-AA125-AA153)</f>
        <v>1.0170247263883259</v>
      </c>
      <c r="AA172" s="12"/>
      <c r="AB172" s="85">
        <f>(AB164-AB122-AB125-AB153)/(AF164-AF122-AF125-AF153)</f>
        <v>1.0033398821218074</v>
      </c>
      <c r="AC172" s="85">
        <f>(AC164-AC122-AC125-AC153)/(AF164-AF122-AF125-AF153)</f>
        <v>0.9913555992141454</v>
      </c>
      <c r="AD172" s="85">
        <f>(AD164-AD122-AD125-AD153)/(AF164-AF122-AF125-AF153)</f>
        <v>1.0255402750491158</v>
      </c>
      <c r="AE172" s="85">
        <f>(AE164-AE122-AE125-AE153)/(AF164-AF122-AF125-AF153)</f>
        <v>0.9797642436149312</v>
      </c>
      <c r="AF172" s="12"/>
      <c r="AG172" s="85">
        <f>(AG164-AG122-AG125-AG153)/(AK164-AK122-AK125-AK153)</f>
        <v>0.99587673611111116</v>
      </c>
      <c r="AH172" s="85">
        <f>(AH164-AH122-AH125-AH153)/(AK164-AK122-AK125-AK153)</f>
        <v>1.0121527777777777</v>
      </c>
      <c r="AI172" s="85">
        <f>(AI164-AI122-AI125-AI153)/(AK164-AK122-AK125-AK153)</f>
        <v>0.98003472222222221</v>
      </c>
      <c r="AJ172" s="85">
        <f>(AJ164-AJ122-AJ125-AJ153)/(AK164-AK122-AK125-AK153)</f>
        <v>1.0104166666666667</v>
      </c>
      <c r="AK172" s="5"/>
      <c r="AL172" s="85">
        <f>(AL164-AL122-AL125-AL153)/(AP164-AP122-AP125-AP153)</f>
        <v>1.0172263410379416</v>
      </c>
      <c r="AM172" s="85">
        <f>(AM164-AM122-AM125-AM153)/(AP164-AP122-AP125-AP153)</f>
        <v>0.95922372437854342</v>
      </c>
      <c r="AN172" s="85">
        <f>(AN164-AN122-AN125-AN153)/(AP164-AP122-AP125-AP153)</f>
        <v>0.99411251635412123</v>
      </c>
      <c r="AO172" s="85">
        <f>(AO164-AO122-AO125-AO153)/(AP164-AP122-AP125-AP153)</f>
        <v>0.98560837331007412</v>
      </c>
      <c r="AP172" s="5"/>
      <c r="AQ172" s="85">
        <f>(AQ164-AQ122-AQ125-AQ153)/(AU164-AU122-AU125-AU153)</f>
        <v>1.0557786702365015</v>
      </c>
      <c r="AR172" s="85">
        <f>(AR164-AR122-AR125-AR153)/(AU164-AU122-AU125-AU153)</f>
        <v>0.97835787594823742</v>
      </c>
      <c r="AS172" s="85">
        <f>(AS164-AS122-AS125-AS153)/(AU164-AU122-AU125-AU153)</f>
        <v>0.99464524765729589</v>
      </c>
      <c r="AT172" s="85">
        <f>(AT164-AT122-AT125-AT153)/(AU164-AU122-AU125-AU153)</f>
        <v>0.97278000892458727</v>
      </c>
      <c r="AU172" s="5"/>
      <c r="AV172" s="85">
        <f>(AV164-AV122-AV125-AV153)/(AZ164-AZ122-AZ125-AZ153)</f>
        <v>1.0157586598434196</v>
      </c>
      <c r="AW172" s="85">
        <f>(AW164-AW122-AW125-AW153)/(AZ164-AZ122-AZ125-AZ153)</f>
        <v>0.98136562113069126</v>
      </c>
      <c r="AX172" s="85">
        <f>(AX164-AX122-AX125-AX153)/(AZ164-AZ122-AZ125-AZ153)</f>
        <v>1.0021788777292315</v>
      </c>
      <c r="AY172" s="85">
        <f>(AY164-AY122-AY125-AY153)/(AZ164-AZ122-AZ125-AZ153)</f>
        <v>1.0013992239013301</v>
      </c>
      <c r="AZ172" s="5"/>
      <c r="BA172" s="85">
        <f>(BA164-BA122-BA125-BA153)/(BE164-BE122-BE125-BE153)</f>
        <v>1.03617130698063</v>
      </c>
      <c r="BB172" s="85">
        <f>(BB164-BB122-BB125-BB153)/(BE164-BE122-BE125-BE153)</f>
        <v>0.97365433783672517</v>
      </c>
      <c r="BC172" s="85">
        <f>(BC164-BC122-BC125-BC153)/(BE164-BE122-BE125-BE153)</f>
        <v>0.97743720758876496</v>
      </c>
      <c r="BD172" s="85">
        <f>(BD164-BD122-BD125-BD153)/(BE164-BE122-BE125-BE153)</f>
        <v>1.013636714589309</v>
      </c>
      <c r="BE172" s="5"/>
      <c r="BF172" s="85">
        <f>(BF164-BF122-BF125-BF153)/(BJ164-BJ122-BJ125-BJ153)</f>
        <v>1.0366357069143446</v>
      </c>
      <c r="BG172" s="633">
        <f>(BG164-BG122-BG125-BG153)/(BJ164-BJ122-BJ125-BJ153)</f>
        <v>0.98787409700722395</v>
      </c>
      <c r="BH172" s="633">
        <f>(BH164-BH122-BH125-BH153)/(BJ164-BJ122-BJ125-BJ153)</f>
        <v>0.96852425180598556</v>
      </c>
      <c r="BI172" s="633">
        <f>(BI164-BI122-BI125-BI153)/(BJ164-BJ122-BJ125-BJ153)</f>
        <v>1.0069659442724459</v>
      </c>
      <c r="BJ172" s="5"/>
      <c r="BK172" s="85">
        <f>(BK164-BK122-BK125-BK153)/(BO164-BO122-BO125-BO153)</f>
        <v>0.86594761171032353</v>
      </c>
      <c r="BL172" s="633">
        <f>(BL164-BL122-BL125-BL153)/(BO164-BO122-BO125-BO153)</f>
        <v>0.97072419106317409</v>
      </c>
      <c r="BM172" s="633">
        <f>(BM164-BM122-BM125-BM153)/(BO164-BO122-BO125-BO153)</f>
        <v>1.0085846357032797</v>
      </c>
      <c r="BN172" s="85">
        <f>(BN164-BN122-BN125-BN153)/(BO164-BO122-BO125-BO153)</f>
        <v>1.1514417785604227</v>
      </c>
      <c r="BO172" s="5"/>
      <c r="BP172" s="85">
        <f>(BP164-BP122-BP125-BP153)/(BT164-BT122-BT125-BT153)</f>
        <v>1.0120933073147014</v>
      </c>
      <c r="BQ172" s="85">
        <f>(BQ164-BQ122-BQ125-BQ153)/(BT164-BT122-BT125-BT153)</f>
        <v>0.98827704169565045</v>
      </c>
      <c r="BR172" s="85">
        <f>(BR164-BR122-BR125-BR153)/(BT164-BT122-BT125-BT153)</f>
        <v>0.99448327666387015</v>
      </c>
      <c r="BS172" s="85">
        <f>(BS164-BS122-BS125-BS153)/(BT164-BT122-BT125-BT153)</f>
        <v>1.0051463743257778</v>
      </c>
      <c r="BT172" s="5"/>
      <c r="BU172" s="85">
        <f>(BU164-BU122-BU125-BU153)/(BY164-BY122-BY125-BY153)</f>
        <v>1.0124616035355762</v>
      </c>
      <c r="BV172" s="85">
        <f>(BV164-BV122-BV125-BV153)/(BY164-BY122-BY125-BY153)</f>
        <v>0.98792002428688019</v>
      </c>
      <c r="BW172" s="85">
        <f>(BW164-BW122-BW125-BW153)/(BY164-BY122-BY125-BY153)</f>
        <v>0.99431526734239806</v>
      </c>
      <c r="BX172" s="85">
        <f>(BX164-BX122-BX125-BX153)/(BY164-BY122-BY125-BY153)</f>
        <v>1.0053031048351473</v>
      </c>
      <c r="BY172" s="5"/>
      <c r="BZ172" s="85">
        <f>(BZ164-BZ122-BZ125-BZ153)/(CD164-CD122-CD125-CD153)</f>
        <v>1.0125486855182122</v>
      </c>
      <c r="CA172" s="85">
        <f>(CA164-CA122-CA125-CA153)/(CD164-CD122-CD125-CD153)</f>
        <v>0.98783560912856572</v>
      </c>
      <c r="CB172" s="85">
        <f>(CB164-CB122-CB125-CB153)/(CD164-CD122-CD125-CD153)</f>
        <v>0.99427554229504156</v>
      </c>
      <c r="CC172" s="85">
        <f>(CC164-CC122-CC125-CC153)/(CD164-CD122-CD125-CD153)</f>
        <v>1.0053401630581802</v>
      </c>
      <c r="CD172" s="5"/>
      <c r="CE172" s="5"/>
      <c r="CF172" s="106">
        <f t="shared" si="59"/>
        <v>1.0135862200693866</v>
      </c>
      <c r="CG172" s="106">
        <f t="shared" si="59"/>
        <v>0.98682984834152698</v>
      </c>
      <c r="CH172" s="106">
        <f t="shared" si="59"/>
        <v>0.99380223992030192</v>
      </c>
      <c r="CI172" s="106">
        <f t="shared" si="59"/>
        <v>1.0005244895814376</v>
      </c>
    </row>
    <row r="173" spans="1:87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</row>
    <row r="174" spans="1:87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414"/>
      <c r="N174" s="414"/>
      <c r="O174" s="414"/>
      <c r="P174" s="414"/>
      <c r="Q174" s="414"/>
      <c r="R174" s="414"/>
      <c r="S174" s="414"/>
      <c r="T174" s="414"/>
      <c r="U174" s="414"/>
      <c r="V174" s="414"/>
      <c r="W174" s="414"/>
      <c r="X174" s="414"/>
      <c r="Y174" s="414"/>
      <c r="Z174" s="414"/>
      <c r="AA174" s="414"/>
      <c r="AB174" s="414"/>
      <c r="AC174" s="414"/>
      <c r="AD174" s="414"/>
      <c r="AE174" s="414"/>
      <c r="AF174" s="414"/>
      <c r="AG174" s="414"/>
      <c r="AH174" s="414"/>
      <c r="AI174" s="414"/>
      <c r="AJ174" s="414"/>
      <c r="AK174" s="421"/>
      <c r="AL174" s="421"/>
      <c r="AM174" s="421"/>
      <c r="AN174" s="421"/>
      <c r="AO174" s="421"/>
      <c r="AP174" s="421"/>
      <c r="BN174" s="632"/>
      <c r="BP174" s="632"/>
      <c r="BQ174" s="632"/>
      <c r="BR174" s="632"/>
      <c r="BS174" s="632"/>
      <c r="BT174" s="632"/>
      <c r="BU174" s="632"/>
      <c r="BV174" s="632"/>
      <c r="BW174" s="632"/>
      <c r="BX174" s="632"/>
      <c r="BY174" s="632"/>
      <c r="BZ174" s="632"/>
      <c r="CA174" s="632"/>
      <c r="CB174" s="632"/>
      <c r="CC174" s="632"/>
      <c r="CD174" s="632"/>
      <c r="CE174" s="5"/>
      <c r="CF174" s="5"/>
      <c r="CG174" s="5"/>
      <c r="CH174" s="5"/>
      <c r="CI174" s="5"/>
    </row>
    <row r="175" spans="1:87" ht="15.75">
      <c r="A175" s="42" t="s">
        <v>2660</v>
      </c>
      <c r="B175" s="7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414"/>
      <c r="N175" s="414"/>
      <c r="O175" s="414"/>
      <c r="P175" s="414"/>
      <c r="Q175" s="414"/>
      <c r="R175" s="414"/>
      <c r="S175" s="414"/>
      <c r="T175" s="414"/>
      <c r="U175" s="414"/>
      <c r="V175" s="414"/>
      <c r="W175" s="414"/>
      <c r="X175" s="414"/>
      <c r="Y175" s="414"/>
      <c r="Z175" s="414"/>
      <c r="AA175" s="414"/>
      <c r="AB175" s="414"/>
      <c r="AC175" s="414"/>
      <c r="AD175" s="414"/>
      <c r="AE175" s="414"/>
      <c r="AF175" s="414"/>
      <c r="AG175" s="414"/>
      <c r="AH175" s="414"/>
      <c r="AI175" s="414"/>
      <c r="AJ175" s="414"/>
      <c r="AK175" s="414"/>
      <c r="AL175" s="414"/>
      <c r="AM175" s="414"/>
      <c r="AN175" s="414"/>
      <c r="AO175" s="414"/>
      <c r="AP175" s="414"/>
      <c r="AQ175" s="421"/>
      <c r="AR175" s="421"/>
      <c r="AS175" s="421"/>
      <c r="AT175" s="421"/>
      <c r="AU175" s="421"/>
      <c r="AZ175" s="421"/>
      <c r="BA175" s="421"/>
      <c r="BB175" s="421"/>
      <c r="BC175" s="421"/>
      <c r="BD175" s="421"/>
      <c r="BE175" s="421"/>
      <c r="BF175" s="421"/>
      <c r="BG175" s="421"/>
      <c r="BH175" s="421"/>
      <c r="BI175" s="421"/>
      <c r="BJ175" s="421"/>
      <c r="BK175" s="421"/>
      <c r="BL175" s="421"/>
      <c r="BM175" s="421"/>
      <c r="BN175" s="421"/>
      <c r="BO175" s="421"/>
      <c r="BP175" s="421"/>
      <c r="BQ175" s="421"/>
      <c r="BR175" s="421"/>
      <c r="BS175" s="421"/>
      <c r="BT175" s="421"/>
      <c r="BU175" s="421"/>
      <c r="BV175" s="421"/>
      <c r="BW175" s="421"/>
      <c r="BX175" s="421"/>
      <c r="BY175" s="421"/>
      <c r="BZ175" s="421"/>
      <c r="CA175" s="421"/>
      <c r="CB175" s="421"/>
      <c r="CC175" s="421"/>
      <c r="CD175" s="421"/>
      <c r="CE175" s="5"/>
      <c r="CF175" s="5"/>
      <c r="CG175" s="5"/>
      <c r="CH175" s="5"/>
      <c r="CI175" s="5"/>
    </row>
    <row r="176" spans="1:87">
      <c r="A176" s="5"/>
      <c r="B176" s="4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414"/>
      <c r="N176" s="414"/>
      <c r="O176" s="414"/>
      <c r="P176" s="414"/>
      <c r="Q176" s="414"/>
      <c r="R176" s="414"/>
      <c r="S176" s="414"/>
      <c r="T176" s="414"/>
      <c r="U176" s="414"/>
      <c r="V176" s="414"/>
      <c r="W176" s="414"/>
      <c r="X176" s="414"/>
      <c r="Y176" s="414"/>
      <c r="Z176" s="414"/>
      <c r="AA176" s="414"/>
      <c r="AB176" s="414"/>
      <c r="AC176" s="414"/>
      <c r="AD176" s="414"/>
      <c r="AE176" s="414"/>
      <c r="AF176" s="414"/>
      <c r="AG176" s="414"/>
      <c r="AH176" s="414"/>
      <c r="AI176" s="414"/>
      <c r="AJ176" s="414"/>
      <c r="AK176" s="414"/>
      <c r="AL176" s="414"/>
      <c r="AM176" s="414"/>
      <c r="AN176" s="414"/>
      <c r="AO176" s="414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</row>
    <row r="177" spans="1:87">
      <c r="A177" s="24" t="s">
        <v>1960</v>
      </c>
      <c r="B177" s="4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414"/>
      <c r="N177" s="414"/>
      <c r="O177" s="414"/>
      <c r="P177" s="414"/>
      <c r="Q177" s="414"/>
      <c r="R177" s="414"/>
      <c r="S177" s="414"/>
      <c r="T177" s="414"/>
      <c r="U177" s="414"/>
      <c r="V177" s="414"/>
      <c r="W177" s="414"/>
      <c r="X177" s="414"/>
      <c r="Y177" s="414"/>
      <c r="Z177" s="414"/>
      <c r="AA177" s="414"/>
      <c r="AB177" s="414"/>
      <c r="AC177" s="414"/>
      <c r="AD177" s="414"/>
      <c r="AE177" s="414"/>
      <c r="AF177" s="414"/>
      <c r="AG177" s="414"/>
      <c r="AH177" s="414"/>
      <c r="AI177" s="414"/>
      <c r="AJ177" s="414"/>
      <c r="AK177" s="414"/>
      <c r="AL177" s="414"/>
      <c r="AM177" s="414"/>
      <c r="AN177" s="414"/>
      <c r="AO177" s="414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</row>
    <row r="178" spans="1:87">
      <c r="A178" s="10"/>
      <c r="B178" s="10"/>
      <c r="C178" s="31">
        <v>2001</v>
      </c>
      <c r="D178" s="32">
        <v>2002</v>
      </c>
      <c r="E178" s="32">
        <v>2003</v>
      </c>
      <c r="F178" s="32">
        <v>2004</v>
      </c>
      <c r="G178" s="31">
        <v>2005</v>
      </c>
      <c r="H178" s="33" t="s">
        <v>714</v>
      </c>
      <c r="I178" s="33" t="s">
        <v>715</v>
      </c>
      <c r="J178" s="33" t="s">
        <v>716</v>
      </c>
      <c r="K178" s="33" t="s">
        <v>717</v>
      </c>
      <c r="L178" s="31">
        <v>2006</v>
      </c>
      <c r="M178" s="33" t="s">
        <v>718</v>
      </c>
      <c r="N178" s="33" t="s">
        <v>719</v>
      </c>
      <c r="O178" s="33" t="s">
        <v>1970</v>
      </c>
      <c r="P178" s="33" t="s">
        <v>1971</v>
      </c>
      <c r="Q178" s="31">
        <v>2007</v>
      </c>
      <c r="R178" s="33" t="s">
        <v>1972</v>
      </c>
      <c r="S178" s="33" t="s">
        <v>1973</v>
      </c>
      <c r="T178" s="33" t="s">
        <v>1974</v>
      </c>
      <c r="U178" s="33" t="s">
        <v>1975</v>
      </c>
      <c r="V178" s="31">
        <v>2008</v>
      </c>
      <c r="W178" s="33" t="s">
        <v>1976</v>
      </c>
      <c r="X178" s="33" t="s">
        <v>1977</v>
      </c>
      <c r="Y178" s="33" t="s">
        <v>1978</v>
      </c>
      <c r="Z178" s="33" t="s">
        <v>1979</v>
      </c>
      <c r="AA178" s="31">
        <v>2009</v>
      </c>
      <c r="AB178" s="33" t="s">
        <v>1980</v>
      </c>
      <c r="AC178" s="33" t="s">
        <v>1981</v>
      </c>
      <c r="AD178" s="33" t="s">
        <v>1982</v>
      </c>
      <c r="AE178" s="33" t="s">
        <v>2392</v>
      </c>
      <c r="AF178" s="31">
        <v>2010</v>
      </c>
      <c r="AG178" s="33" t="s">
        <v>2393</v>
      </c>
      <c r="AH178" s="33" t="s">
        <v>2394</v>
      </c>
      <c r="AI178" s="33" t="s">
        <v>2395</v>
      </c>
      <c r="AJ178" s="33" t="s">
        <v>2396</v>
      </c>
      <c r="AK178" s="31">
        <v>2011</v>
      </c>
      <c r="AL178" s="33" t="s">
        <v>2397</v>
      </c>
      <c r="AM178" s="33" t="s">
        <v>2398</v>
      </c>
      <c r="AN178" s="33" t="s">
        <v>2399</v>
      </c>
      <c r="AO178" s="368" t="s">
        <v>2400</v>
      </c>
      <c r="AP178" s="369">
        <v>2012</v>
      </c>
      <c r="AQ178" s="368" t="s">
        <v>2401</v>
      </c>
      <c r="AR178" s="368" t="s">
        <v>2402</v>
      </c>
      <c r="AS178" s="368" t="s">
        <v>2403</v>
      </c>
      <c r="AT178" s="368" t="s">
        <v>2404</v>
      </c>
      <c r="AU178" s="369">
        <v>2013</v>
      </c>
      <c r="AV178" s="368" t="s">
        <v>2405</v>
      </c>
      <c r="AW178" s="368" t="s">
        <v>2406</v>
      </c>
      <c r="AX178" s="368" t="s">
        <v>2407</v>
      </c>
      <c r="AY178" s="368" t="s">
        <v>2408</v>
      </c>
      <c r="AZ178" s="369">
        <v>2014</v>
      </c>
      <c r="BA178" s="368" t="s">
        <v>2409</v>
      </c>
      <c r="BB178" s="368" t="s">
        <v>2410</v>
      </c>
      <c r="BC178" s="368" t="s">
        <v>2411</v>
      </c>
      <c r="BD178" s="368" t="s">
        <v>2412</v>
      </c>
      <c r="BE178" s="31">
        <v>2015</v>
      </c>
      <c r="BF178" s="368" t="s">
        <v>2413</v>
      </c>
      <c r="BG178" s="368" t="s">
        <v>2414</v>
      </c>
      <c r="BH178" s="368" t="s">
        <v>2415</v>
      </c>
      <c r="BI178" s="368" t="s">
        <v>2416</v>
      </c>
      <c r="BJ178" s="31">
        <v>2016</v>
      </c>
      <c r="BK178" s="368" t="s">
        <v>2417</v>
      </c>
      <c r="BL178" s="368" t="s">
        <v>2418</v>
      </c>
      <c r="BM178" s="368" t="s">
        <v>2419</v>
      </c>
      <c r="BN178" s="363" t="s">
        <v>2420</v>
      </c>
      <c r="BO178" s="31">
        <v>2017</v>
      </c>
      <c r="BP178" s="363" t="s">
        <v>2244</v>
      </c>
      <c r="BQ178" s="363" t="s">
        <v>2245</v>
      </c>
      <c r="BR178" s="363" t="s">
        <v>2508</v>
      </c>
      <c r="BS178" s="363" t="s">
        <v>2509</v>
      </c>
      <c r="BT178" s="364">
        <v>2018</v>
      </c>
      <c r="BU178" s="363" t="s">
        <v>2510</v>
      </c>
      <c r="BV178" s="363" t="s">
        <v>2511</v>
      </c>
      <c r="BW178" s="363" t="s">
        <v>3125</v>
      </c>
      <c r="BX178" s="363" t="s">
        <v>1405</v>
      </c>
      <c r="BY178" s="364">
        <v>2019</v>
      </c>
      <c r="BZ178" s="363" t="s">
        <v>1406</v>
      </c>
      <c r="CA178" s="363" t="s">
        <v>1407</v>
      </c>
      <c r="CB178" s="363" t="s">
        <v>1408</v>
      </c>
      <c r="CC178" s="363" t="s">
        <v>1409</v>
      </c>
      <c r="CD178" s="364">
        <v>2020</v>
      </c>
      <c r="CE178" s="5"/>
      <c r="CF178" s="5"/>
      <c r="CG178" s="5"/>
      <c r="CH178" s="5"/>
      <c r="CI178" s="5"/>
    </row>
    <row r="179" spans="1:87">
      <c r="A179" s="39" t="s">
        <v>305</v>
      </c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  <c r="BL179" s="11"/>
      <c r="BM179" s="11"/>
      <c r="BN179" s="11"/>
      <c r="BO179" s="11"/>
      <c r="BP179" s="11"/>
      <c r="BQ179" s="11"/>
      <c r="BR179" s="11"/>
      <c r="BS179" s="11"/>
      <c r="BT179" s="11"/>
      <c r="BU179" s="11"/>
      <c r="BV179" s="11"/>
      <c r="BW179" s="11"/>
      <c r="BX179" s="11"/>
      <c r="BY179" s="11"/>
      <c r="BZ179" s="11"/>
      <c r="CA179" s="11"/>
      <c r="CB179" s="11"/>
      <c r="CC179" s="11"/>
      <c r="CD179" s="11"/>
      <c r="CE179" s="5"/>
      <c r="CF179" s="5"/>
      <c r="CG179" s="5"/>
      <c r="CH179" s="5"/>
      <c r="CI179" s="5"/>
    </row>
    <row r="180" spans="1:87">
      <c r="A180" s="11"/>
      <c r="B180" s="11" t="s">
        <v>1281</v>
      </c>
      <c r="C180" s="11"/>
      <c r="D180" s="11"/>
      <c r="E180" s="11">
        <f>VLOOKUP($B180,'Woodmac profile - Gas'!$B$401:$AL$428,MATCH('Production - Gas'!E$178,'Woodmac profile - Gas'!$B$364:$AL$364),FALSE)</f>
        <v>1322.25</v>
      </c>
      <c r="F180" s="11">
        <f>VLOOKUP($B180,'Woodmac profile - Gas'!$B$401:$AL$428,MATCH('Production - Gas'!F$178,'Woodmac profile - Gas'!$B$364:$AL$364),FALSE)</f>
        <v>1172.6399999999999</v>
      </c>
      <c r="G180" s="11">
        <f>VLOOKUP($B180,'Woodmac profile - Gas'!$B$401:$AL$428,MATCH('Production - Gas'!G$178,'Woodmac profile - Gas'!$B$364:$AL$364),FALSE)</f>
        <v>1101.9599999999998</v>
      </c>
      <c r="H180" s="82"/>
      <c r="I180" s="82"/>
      <c r="J180" s="82"/>
      <c r="K180" s="82"/>
      <c r="L180" s="11">
        <f>VLOOKUP($B180,'Woodmac profile - Gas'!$B$401:$AL$428,MATCH('Production - Gas'!L$178,'Woodmac profile - Gas'!$B$364:$AL$364),FALSE)</f>
        <v>990.59999999999991</v>
      </c>
      <c r="M180" s="65">
        <f t="shared" ref="M180:O182" si="60">$Q180*M$169</f>
        <v>1005.1535759096611</v>
      </c>
      <c r="N180" s="65">
        <f t="shared" si="60"/>
        <v>798.39730238393963</v>
      </c>
      <c r="O180" s="65">
        <f t="shared" si="60"/>
        <v>644.65545796737763</v>
      </c>
      <c r="P180" s="65">
        <f>Q180*4-SUM(M180:O180)</f>
        <v>931.99366373902103</v>
      </c>
      <c r="Q180" s="11">
        <f>VLOOKUP($B180,'Woodmac profile - Gas'!$B$401:$AL$428,MATCH('Production - Gas'!Q$178,'Woodmac profile - Gas'!$B$364:$AL$364),FALSE)</f>
        <v>845.04999999999984</v>
      </c>
      <c r="R180" s="65">
        <f>V180*R$169</f>
        <v>1050.8054731457801</v>
      </c>
      <c r="S180" s="65">
        <f>V180*S$169</f>
        <v>784.93902813299246</v>
      </c>
      <c r="T180" s="65">
        <f>V180*T$169</f>
        <v>555.99847826086966</v>
      </c>
      <c r="U180" s="65">
        <f>V180*4-SUM(R180:T180)</f>
        <v>908.37702046035838</v>
      </c>
      <c r="V180" s="11">
        <f>VLOOKUP($B180,'Woodmac profile - Gas'!$B$401:$AL$428,MATCH('Production - Gas'!V$178,'Woodmac profile - Gas'!$B$364:$AL$364),FALSE)</f>
        <v>825.03000000000009</v>
      </c>
      <c r="W180" s="65">
        <f>AA180*W$169</f>
        <v>836.98223974763414</v>
      </c>
      <c r="X180" s="65">
        <f>AA180*X$169</f>
        <v>644.21664037854885</v>
      </c>
      <c r="Y180" s="65">
        <f>AA180*Y$169</f>
        <v>472.42553627760253</v>
      </c>
      <c r="Z180" s="65">
        <f>AA180*4-SUM(W180:Y180)</f>
        <v>579.29558359621456</v>
      </c>
      <c r="AA180" s="11">
        <f>VLOOKUP($B180,'Woodmac profile - Gas'!$B$401:$AL$428,MATCH('Production - Gas'!AA$178,'Woodmac profile - Gas'!$B$364:$AL$364),FALSE)</f>
        <v>633.23</v>
      </c>
      <c r="AB180" s="65">
        <f>AF180*AB$169</f>
        <v>645.14882956878853</v>
      </c>
      <c r="AC180" s="65">
        <f>AF180*AC$169</f>
        <v>593.45075975359339</v>
      </c>
      <c r="AD180" s="65">
        <f>AF180*AD$169</f>
        <v>443.74176591375766</v>
      </c>
      <c r="AE180" s="65">
        <f>AF180*4-SUM(AB180:AD180)</f>
        <v>415.73864476386029</v>
      </c>
      <c r="AF180" s="11">
        <f>VLOOKUP($B180,'Woodmac profile - Gas'!$B$401:$AL$428,MATCH('Production - Gas'!AF$178,'Woodmac profile - Gas'!$B$364:$AL$364),FALSE)</f>
        <v>524.52</v>
      </c>
      <c r="AG180" s="65">
        <f>AK180*$CF$169</f>
        <v>359.87649629099769</v>
      </c>
      <c r="AH180" s="65">
        <f>AK180*$CG$169</f>
        <v>310.22977525012504</v>
      </c>
      <c r="AI180" s="65">
        <f>AK180*$CH$169</f>
        <v>220.59867379793144</v>
      </c>
      <c r="AJ180" s="65">
        <f>AK180*4-SUM(AG180:AI180)</f>
        <v>290.21505466094595</v>
      </c>
      <c r="AK180" s="11">
        <f>VLOOKUP($B180,'Woodmac profile - Gas'!$B$401:$AL$428,MATCH('Production - Gas'!AK$178,'Woodmac profile - Gas'!$B$364:$AL$364),FALSE)</f>
        <v>295.23</v>
      </c>
      <c r="AL180" s="65">
        <f>AP180*$CF$169</f>
        <v>142.02218806647073</v>
      </c>
      <c r="AM180" s="65">
        <f>AP180*$CG$169</f>
        <v>122.42953329401509</v>
      </c>
      <c r="AN180" s="65">
        <f>AP180*$CH$169</f>
        <v>87.057384019906507</v>
      </c>
      <c r="AO180" s="65">
        <f>AP180*4-SUM(AL180:AN180)</f>
        <v>114.53089461960781</v>
      </c>
      <c r="AP180" s="11">
        <f>VLOOKUP($B180,'Woodmac profile - Gas'!$B$401:$AL$428,MATCH('Production - Gas'!AP$178,'Woodmac profile - Gas'!$B$364:$AL$364),FALSE)</f>
        <v>116.51000000000003</v>
      </c>
      <c r="AQ180" s="65">
        <f>AU180*$CF$169</f>
        <v>124.00581230797408</v>
      </c>
      <c r="AR180" s="65">
        <f>AU180*$CG$169</f>
        <v>106.89860460046475</v>
      </c>
      <c r="AS180" s="65">
        <f>AU180*$CH$169</f>
        <v>76.013626953438205</v>
      </c>
      <c r="AT180" s="65">
        <f>AU180*4-SUM(AQ180:AS180)</f>
        <v>100.00195613812286</v>
      </c>
      <c r="AU180" s="11">
        <f>VLOOKUP($B180,'Woodmac profile - Gas'!$B$401:$AL$428,MATCH('Production - Gas'!AU$178,'Woodmac profile - Gas'!$B$364:$AL$364),FALSE)</f>
        <v>101.72999999999998</v>
      </c>
      <c r="AV180" s="65">
        <f>AZ180*$CF$169</f>
        <v>106.69643911645507</v>
      </c>
      <c r="AW180" s="65">
        <f>AZ180*$CG$169</f>
        <v>91.977144015321755</v>
      </c>
      <c r="AX180" s="65">
        <f>AZ180*$CH$169</f>
        <v>65.40325142273123</v>
      </c>
      <c r="AY180" s="65">
        <f>AZ180*4-SUM(AV180:AX180)</f>
        <v>86.043165445491979</v>
      </c>
      <c r="AZ180" s="11">
        <f>VLOOKUP($B180,'Woodmac profile - Gas'!$B$401:$AL$428,MATCH('Production - Gas'!AZ$178,'Woodmac profile - Gas'!$B$364:$AL$364),FALSE)</f>
        <v>87.53</v>
      </c>
      <c r="BA180" s="65">
        <f>BE180*$CF$169</f>
        <v>208.41948086520605</v>
      </c>
      <c r="BB180" s="65">
        <f>BE180*$CG$169</f>
        <v>179.66699513012352</v>
      </c>
      <c r="BC180" s="65">
        <f>BE180*$CH$169</f>
        <v>127.75788790424522</v>
      </c>
      <c r="BD180" s="65">
        <f>BE180*4-SUM(BA180:BC180)</f>
        <v>168.07563610042519</v>
      </c>
      <c r="BE180" s="11">
        <f>VLOOKUP($B180,'Woodmac profile - Gas'!$B$401:$AL$428,MATCH('Production - Gas'!BE$178,'Woodmac profile - Gas'!$B$364:$AL$364),FALSE)</f>
        <v>170.98</v>
      </c>
      <c r="BF180" s="65">
        <f>BJ180*$CF$169</f>
        <v>216.96446016608974</v>
      </c>
      <c r="BG180" s="65">
        <f>BJ180*$CG$169</f>
        <v>187.03315278518355</v>
      </c>
      <c r="BH180" s="65">
        <f>BJ180*$CH$169</f>
        <v>132.99582681060127</v>
      </c>
      <c r="BI180" s="65">
        <f>BJ180*4-SUM(BF180:BH180)</f>
        <v>174.96656023812545</v>
      </c>
      <c r="BJ180" s="11">
        <f>VLOOKUP($B180,'Woodmac profile - Gas'!$B$401:$AL$428,MATCH('Production - Gas'!BJ$178,'Woodmac profile - Gas'!$B$364:$AL$364),FALSE)</f>
        <v>177.98999999999998</v>
      </c>
      <c r="BK180" s="65">
        <f>BO180*$CF$169</f>
        <v>244.63507787365896</v>
      </c>
      <c r="BL180" s="65">
        <f>BO180*$CG$169</f>
        <v>210.88647357974324</v>
      </c>
      <c r="BM180" s="65">
        <f>BO180*$CH$169</f>
        <v>149.95748346884417</v>
      </c>
      <c r="BN180" s="65">
        <f>BO180*4-SUM(BK180:BM180)</f>
        <v>197.28096507775376</v>
      </c>
      <c r="BO180" s="11">
        <f>VLOOKUP($B180,'Woodmac profile - Gas'!$B$401:$AL$428,MATCH('Production - Gas'!BO$178,'Woodmac profile - Gas'!$B$364:$AL$364),FALSE)</f>
        <v>200.69000000000003</v>
      </c>
      <c r="BP180" s="65">
        <f>BT180*$CF$169</f>
        <v>213.85608681127468</v>
      </c>
      <c r="BQ180" s="65">
        <f>BT180*$CG$169</f>
        <v>184.35359472235857</v>
      </c>
      <c r="BR180" s="65">
        <f>BT180*$CH$169</f>
        <v>131.0904424723405</v>
      </c>
      <c r="BS180" s="65">
        <f>BT180*4-SUM(BP180:BR180)</f>
        <v>172.45987599402622</v>
      </c>
      <c r="BT180" s="11">
        <f>VLOOKUP($B180,'Woodmac profile - Gas'!$B$401:$AL$428,MATCH('Production - Gas'!BT$178,'Woodmac profile - Gas'!$B$364:$AL$364),FALSE)</f>
        <v>175.43999999999997</v>
      </c>
      <c r="BU180" s="65">
        <f>BY180*$CF$169</f>
        <v>263.22436950539594</v>
      </c>
      <c r="BV180" s="65">
        <f>BY180*$CG$169</f>
        <v>226.91128160252003</v>
      </c>
      <c r="BW180" s="65">
        <f>BY180*$CH$169</f>
        <v>161.35242902118793</v>
      </c>
      <c r="BX180" s="65">
        <f>BY180*4-SUM(BU180:BW180)</f>
        <v>212.27191987089611</v>
      </c>
      <c r="BY180" s="11">
        <f>VLOOKUP($B180,'Woodmac profile - Gas'!$B$401:$AL$428,MATCH('Production - Gas'!BY$178,'Woodmac profile - Gas'!$B$364:$AL$364),FALSE)</f>
        <v>215.94</v>
      </c>
      <c r="BZ180" s="65">
        <f>CD180*$CF$169</f>
        <v>376.07660683432789</v>
      </c>
      <c r="CA180" s="65">
        <f>CD180*$CG$169</f>
        <v>324.19500138931875</v>
      </c>
      <c r="CB180" s="65">
        <f>CD180*$CH$169</f>
        <v>230.52908864321992</v>
      </c>
      <c r="CC180" s="65">
        <f>CD180*4-SUM(BZ180:CB180)</f>
        <v>303.27930313313368</v>
      </c>
      <c r="CD180" s="11">
        <f>VLOOKUP($B180,'Woodmac profile - Gas'!$B$401:$AL$428,MATCH('Production - Gas'!CD$178,'Woodmac profile - Gas'!$B$364:$AL$364),FALSE)</f>
        <v>308.52000000000004</v>
      </c>
      <c r="CE180" s="5"/>
      <c r="CF180" s="5"/>
      <c r="CG180" s="5"/>
      <c r="CH180" s="5"/>
      <c r="CI180" s="5"/>
    </row>
    <row r="181" spans="1:87">
      <c r="A181" s="11"/>
      <c r="B181" s="38" t="s">
        <v>1745</v>
      </c>
      <c r="C181" s="11"/>
      <c r="D181" s="11"/>
      <c r="E181" s="11">
        <f>VLOOKUP($B181,'Woodmac profile - Gas'!$B$402:$AL$428,MATCH('Production - Gas'!E$178,'Woodmac profile - Gas'!$B$364:$AL$364),FALSE)</f>
        <v>40.180000000000007</v>
      </c>
      <c r="F181" s="11">
        <f>VLOOKUP($B181,'Woodmac profile - Gas'!$B$402:$AL$428,MATCH('Production - Gas'!F$178,'Woodmac profile - Gas'!$B$364:$AL$364),FALSE)</f>
        <v>40.69</v>
      </c>
      <c r="G181" s="11">
        <f>VLOOKUP($B181,'Woodmac profile - Gas'!$B$402:$AL$428,MATCH('Production - Gas'!G$178,'Woodmac profile - Gas'!$B$364:$AL$364),FALSE)</f>
        <v>42.730000000000004</v>
      </c>
      <c r="H181" s="82"/>
      <c r="I181" s="82"/>
      <c r="J181" s="82"/>
      <c r="K181" s="82"/>
      <c r="L181" s="11">
        <f>VLOOKUP($B181,'Woodmac profile - Gas'!$B$402:$AL$428,MATCH('Production - Gas'!L$178,'Woodmac profile - Gas'!$B$364:$AL$364),FALSE)</f>
        <v>33.68</v>
      </c>
      <c r="M181" s="65">
        <f t="shared" si="60"/>
        <v>31.496913425345042</v>
      </c>
      <c r="N181" s="65">
        <f t="shared" si="60"/>
        <v>25.01811794228356</v>
      </c>
      <c r="O181" s="65">
        <f t="shared" si="60"/>
        <v>20.200552070263488</v>
      </c>
      <c r="P181" s="65">
        <f>Q181*4-SUM(M181:O181)</f>
        <v>29.204416562107895</v>
      </c>
      <c r="Q181" s="11">
        <f>VLOOKUP($B181,'Woodmac profile - Gas'!$B$402:$AL$428,MATCH('Production - Gas'!Q$178,'Woodmac profile - Gas'!$B$364:$AL$364),FALSE)</f>
        <v>26.479999999999997</v>
      </c>
      <c r="R181" s="65">
        <f>V181*R$169</f>
        <v>26.734066496163685</v>
      </c>
      <c r="S181" s="65">
        <f>V181*S$169</f>
        <v>19.970025575447572</v>
      </c>
      <c r="T181" s="65">
        <f>V181*T$169</f>
        <v>14.145434782608698</v>
      </c>
      <c r="U181" s="65">
        <f>V181*4-SUM(R181:T181)</f>
        <v>23.110473145780055</v>
      </c>
      <c r="V181" s="11">
        <f>VLOOKUP($B181,'Woodmac profile - Gas'!$B$402:$AL$428,MATCH('Production - Gas'!V$178,'Woodmac profile - Gas'!$B$364:$AL$364),FALSE)</f>
        <v>20.990000000000002</v>
      </c>
      <c r="W181" s="65">
        <f>AA181*W$169</f>
        <v>19.90580441640379</v>
      </c>
      <c r="X181" s="65">
        <f>AA181*X$169</f>
        <v>15.321293375394323</v>
      </c>
      <c r="Y181" s="65">
        <f>AA181*Y$169</f>
        <v>11.235615141955838</v>
      </c>
      <c r="Z181" s="65">
        <f>AA181*4-SUM(W181:Y181)</f>
        <v>13.777287066246053</v>
      </c>
      <c r="AA181" s="11">
        <f>VLOOKUP($B181,'Woodmac profile - Gas'!$B$402:$AL$428,MATCH('Production - Gas'!AA$178,'Woodmac profile - Gas'!$B$364:$AL$364),FALSE)</f>
        <v>15.060000000000002</v>
      </c>
      <c r="AB181" s="65">
        <f>AF181*AB$169</f>
        <v>19.126180698151952</v>
      </c>
      <c r="AC181" s="65">
        <f>AF181*AC$169</f>
        <v>17.593531827515399</v>
      </c>
      <c r="AD181" s="65">
        <f>AF181*AD$169</f>
        <v>13.155236139630391</v>
      </c>
      <c r="AE181" s="65">
        <f>AF181*4-SUM(AB181:AD181)</f>
        <v>12.325051334702266</v>
      </c>
      <c r="AF181" s="11">
        <f>VLOOKUP($B181,'Woodmac profile - Gas'!$B$402:$AL$428,MATCH('Production - Gas'!AF$178,'Woodmac profile - Gas'!$B$364:$AL$364),FALSE)</f>
        <v>15.55</v>
      </c>
      <c r="AG181" s="65">
        <f>AK181*$CF$169</f>
        <v>13.676842761186174</v>
      </c>
      <c r="AH181" s="65">
        <f>AK181*$CG$169</f>
        <v>11.790055476429911</v>
      </c>
      <c r="AI181" s="65">
        <f>AK181*$CH$169</f>
        <v>8.3836910883473585</v>
      </c>
      <c r="AJ181" s="65">
        <f>AK181*4-SUM(AG181:AI181)</f>
        <v>11.029410674036562</v>
      </c>
      <c r="AK181" s="11">
        <f>VLOOKUP($B181,'Woodmac profile - Gas'!$B$402:$AL$428,MATCH('Production - Gas'!AK$178,'Woodmac profile - Gas'!$B$364:$AL$364),FALSE)</f>
        <v>11.22</v>
      </c>
      <c r="AL181" s="65">
        <f>AP181*$CF$169</f>
        <v>8.2768059134094578</v>
      </c>
      <c r="AM181" s="65">
        <f>AP181*$CG$169</f>
        <v>7.1349800966986701</v>
      </c>
      <c r="AN181" s="65">
        <f>AP181*$CH$169</f>
        <v>5.0735528065845417</v>
      </c>
      <c r="AO181" s="65">
        <f>AP181*4-SUM(AL181:AN181)</f>
        <v>6.6746611833073288</v>
      </c>
      <c r="AP181" s="11">
        <f>VLOOKUP($B181,'Woodmac profile - Gas'!$B$402:$AL$428,MATCH('Production - Gas'!AP$178,'Woodmac profile - Gas'!$B$364:$AL$364),FALSE)</f>
        <v>6.7899999999999991</v>
      </c>
      <c r="AQ181" s="65">
        <f>AU181*$CF$169</f>
        <v>97.115335363966352</v>
      </c>
      <c r="AR181" s="65">
        <f>AU181*$CG$169</f>
        <v>83.71780033932005</v>
      </c>
      <c r="AS181" s="65">
        <f>AU181*$CH$169</f>
        <v>59.530184403621575</v>
      </c>
      <c r="AT181" s="65">
        <f>AU181*4-SUM(AQ181:AS181)</f>
        <v>78.316679893092015</v>
      </c>
      <c r="AU181" s="11">
        <f>VLOOKUP($B181,'Woodmac profile - Gas'!$B$402:$AL$428,MATCH('Production - Gas'!AU$178,'Woodmac profile - Gas'!$B$364:$AL$364),FALSE)</f>
        <v>79.67</v>
      </c>
      <c r="AV181" s="65">
        <f>AZ181*$CF$169</f>
        <v>120.76335225942194</v>
      </c>
      <c r="AW181" s="65">
        <f>AZ181*$CG$169</f>
        <v>104.1034577584591</v>
      </c>
      <c r="AX181" s="65">
        <f>AZ181*$CH$169</f>
        <v>74.026049565291686</v>
      </c>
      <c r="AY181" s="65">
        <f>AZ181*4-SUM(AV181:AX181)</f>
        <v>97.387140416827265</v>
      </c>
      <c r="AZ181" s="11">
        <f>VLOOKUP($B181,'Woodmac profile - Gas'!$B$402:$AL$428,MATCH('Production - Gas'!AZ$178,'Woodmac profile - Gas'!$B$364:$AL$364),FALSE)</f>
        <v>99.07</v>
      </c>
      <c r="BA181" s="65">
        <f>BE181*$CF$169</f>
        <v>121.95794280362537</v>
      </c>
      <c r="BB181" s="65">
        <f>BE181*$CG$169</f>
        <v>105.13324870025068</v>
      </c>
      <c r="BC181" s="65">
        <f>BE181*$CH$169</f>
        <v>74.758314918819366</v>
      </c>
      <c r="BD181" s="65">
        <f>BE181*4-SUM(BA181:BC181)</f>
        <v>98.350493577304576</v>
      </c>
      <c r="BE181" s="11">
        <f>VLOOKUP($B181,'Woodmac profile - Gas'!$B$402:$AL$428,MATCH('Production - Gas'!BE$178,'Woodmac profile - Gas'!$B$364:$AL$364),FALSE)</f>
        <v>100.05</v>
      </c>
      <c r="BF181" s="65">
        <f>BJ181*$CF$169</f>
        <v>55.4570375597295</v>
      </c>
      <c r="BG181" s="65">
        <f>BJ181*$CG$169</f>
        <v>47.806468262048014</v>
      </c>
      <c r="BH181" s="65">
        <f>BJ181*$CH$169</f>
        <v>33.994298223205263</v>
      </c>
      <c r="BI181" s="65">
        <f>BJ181*4-SUM(BF181:BH181)</f>
        <v>44.722195955017213</v>
      </c>
      <c r="BJ181" s="11">
        <f>VLOOKUP($B181,'Woodmac profile - Gas'!$B$402:$AL$428,MATCH('Production - Gas'!BJ$178,'Woodmac profile - Gas'!$B$364:$AL$364),FALSE)</f>
        <v>45.494999999999997</v>
      </c>
      <c r="BK181" s="65">
        <f>BO181*$CF$169</f>
        <v>0</v>
      </c>
      <c r="BL181" s="65">
        <f>BO181*$CG$169</f>
        <v>0</v>
      </c>
      <c r="BM181" s="65">
        <f>BO181*$CH$169</f>
        <v>0</v>
      </c>
      <c r="BN181" s="65">
        <f>BO181*4-SUM(BK181:BM181)</f>
        <v>0</v>
      </c>
      <c r="BO181" s="11">
        <f>VLOOKUP($B181,'Woodmac profile - Gas'!$B$402:$AL$428,MATCH('Production - Gas'!BO$178,'Woodmac profile - Gas'!$B$364:$AL$364),FALSE)</f>
        <v>0</v>
      </c>
      <c r="BP181" s="65">
        <f>BT181*$CF$169</f>
        <v>0</v>
      </c>
      <c r="BQ181" s="65">
        <f>BT181*$CG$169</f>
        <v>0</v>
      </c>
      <c r="BR181" s="65">
        <f>BT181*$CH$169</f>
        <v>0</v>
      </c>
      <c r="BS181" s="65">
        <f>BT181*4-SUM(BP181:BR181)</f>
        <v>0</v>
      </c>
      <c r="BT181" s="11">
        <f>VLOOKUP($B181,'Woodmac profile - Gas'!$B$402:$AL$428,MATCH('Production - Gas'!BT$178,'Woodmac profile - Gas'!$B$364:$AL$364),FALSE)</f>
        <v>0</v>
      </c>
      <c r="BU181" s="65">
        <f>BY181*$CF$169</f>
        <v>0</v>
      </c>
      <c r="BV181" s="65">
        <f>BY181*$CG$169</f>
        <v>0</v>
      </c>
      <c r="BW181" s="65">
        <f>BY181*$CH$169</f>
        <v>0</v>
      </c>
      <c r="BX181" s="65">
        <f>BY181*4-SUM(BU181:BW181)</f>
        <v>0</v>
      </c>
      <c r="BY181" s="11">
        <f>VLOOKUP($B181,'Woodmac profile - Gas'!$B$402:$AL$428,MATCH('Production - Gas'!BY$178,'Woodmac profile - Gas'!$B$364:$AL$364),FALSE)</f>
        <v>0</v>
      </c>
      <c r="BZ181" s="65">
        <f>CD181*$CF$169</f>
        <v>0</v>
      </c>
      <c r="CA181" s="65">
        <f>CD181*$CG$169</f>
        <v>0</v>
      </c>
      <c r="CB181" s="65">
        <f>CD181*$CH$169</f>
        <v>0</v>
      </c>
      <c r="CC181" s="65">
        <f>CD181*4-SUM(BZ181:CB181)</f>
        <v>0</v>
      </c>
      <c r="CD181" s="11">
        <f>VLOOKUP($B181,'Woodmac profile - Gas'!$B$402:$AL$428,MATCH('Production - Gas'!CD$178,'Woodmac profile - Gas'!$B$364:$AL$364),FALSE)</f>
        <v>0</v>
      </c>
      <c r="CE181" s="5"/>
      <c r="CF181" s="5"/>
      <c r="CG181" s="5"/>
      <c r="CH181" s="5"/>
      <c r="CI181" s="5"/>
    </row>
    <row r="182" spans="1:87">
      <c r="A182" s="11"/>
      <c r="B182" s="11" t="s">
        <v>139</v>
      </c>
      <c r="C182" s="11"/>
      <c r="D182" s="11"/>
      <c r="E182" s="11">
        <f>VLOOKUP($B182,'Woodmac profile - Gas'!$B$402:$AL$428,MATCH('Production - Gas'!E$178,'Woodmac profile - Gas'!$B$364:$AL$364),FALSE)</f>
        <v>60.11</v>
      </c>
      <c r="F182" s="11">
        <f>VLOOKUP($B182,'Woodmac profile - Gas'!$B$402:$AL$428,MATCH('Production - Gas'!F$178,'Woodmac profile - Gas'!$B$364:$AL$364),FALSE)</f>
        <v>76.62</v>
      </c>
      <c r="G182" s="11">
        <f>VLOOKUP($B182,'Woodmac profile - Gas'!$B$402:$AL$428,MATCH('Production - Gas'!G$178,'Woodmac profile - Gas'!$B$364:$AL$364),FALSE)</f>
        <v>59.519999999999996</v>
      </c>
      <c r="H182" s="82"/>
      <c r="I182" s="82"/>
      <c r="J182" s="82"/>
      <c r="K182" s="82"/>
      <c r="L182" s="11">
        <f>VLOOKUP($B182,'Woodmac profile - Gas'!$B$402:$AL$428,MATCH('Production - Gas'!L$178,'Woodmac profile - Gas'!$B$364:$AL$364),FALSE)</f>
        <v>40.56</v>
      </c>
      <c r="M182" s="65">
        <f t="shared" si="60"/>
        <v>0</v>
      </c>
      <c r="N182" s="65">
        <f t="shared" si="60"/>
        <v>0</v>
      </c>
      <c r="O182" s="65">
        <f t="shared" si="60"/>
        <v>0</v>
      </c>
      <c r="P182" s="65">
        <f>Q182*4-SUM(M182:O182)</f>
        <v>0</v>
      </c>
      <c r="Q182" s="11">
        <f>VLOOKUP($B182,'Woodmac profile - Gas'!$B$402:$AL$428,MATCH('Production - Gas'!Q$178,'Woodmac profile - Gas'!$B$364:$AL$364),FALSE)</f>
        <v>0</v>
      </c>
      <c r="R182" s="65">
        <f>V182*R$169</f>
        <v>0</v>
      </c>
      <c r="S182" s="65">
        <f>V182*S$169</f>
        <v>0</v>
      </c>
      <c r="T182" s="65">
        <f>V182*T$169</f>
        <v>0</v>
      </c>
      <c r="U182" s="65">
        <f>V182*4-SUM(R182:T182)</f>
        <v>0</v>
      </c>
      <c r="V182" s="11">
        <f>VLOOKUP($B182,'Woodmac profile - Gas'!$B$402:$AL$428,MATCH('Production - Gas'!V$178,'Woodmac profile - Gas'!$B$364:$AL$364),FALSE)</f>
        <v>0</v>
      </c>
      <c r="W182" s="65">
        <f>AA182*W$169</f>
        <v>0</v>
      </c>
      <c r="X182" s="65">
        <f>AA182*X$169</f>
        <v>0</v>
      </c>
      <c r="Y182" s="65">
        <f>AA182*Y$169</f>
        <v>0</v>
      </c>
      <c r="Z182" s="65">
        <f>AA182*4-SUM(W182:Y182)</f>
        <v>0</v>
      </c>
      <c r="AA182" s="11">
        <f>VLOOKUP($B182,'Woodmac profile - Gas'!$B$402:$AL$428,MATCH('Production - Gas'!AA$178,'Woodmac profile - Gas'!$B$364:$AL$364),FALSE)</f>
        <v>0</v>
      </c>
      <c r="AB182" s="65">
        <f>AF182*AB$169</f>
        <v>0</v>
      </c>
      <c r="AC182" s="65">
        <f>AF182*AC$169</f>
        <v>0</v>
      </c>
      <c r="AD182" s="65">
        <f>AF182*AD$169</f>
        <v>0</v>
      </c>
      <c r="AE182" s="65">
        <f>AF182*4-SUM(AB182:AD182)</f>
        <v>0</v>
      </c>
      <c r="AF182" s="11">
        <f>VLOOKUP($B182,'Woodmac profile - Gas'!$B$402:$AL$428,MATCH('Production - Gas'!AF$178,'Woodmac profile - Gas'!$B$364:$AL$364),FALSE)</f>
        <v>0</v>
      </c>
      <c r="AG182" s="65">
        <f>AK182*$CF$169</f>
        <v>0</v>
      </c>
      <c r="AH182" s="65">
        <f>AK182*$CG$169</f>
        <v>0</v>
      </c>
      <c r="AI182" s="65">
        <f>AK182*$CH$169</f>
        <v>0</v>
      </c>
      <c r="AJ182" s="65">
        <f>AK182*4-SUM(AG182:AI182)</f>
        <v>0</v>
      </c>
      <c r="AK182" s="11">
        <f>VLOOKUP($B182,'Woodmac profile - Gas'!$B$402:$AL$428,MATCH('Production - Gas'!AK$178,'Woodmac profile - Gas'!$B$364:$AL$364),FALSE)</f>
        <v>0</v>
      </c>
      <c r="AL182" s="65">
        <f>AP182*$CF$169</f>
        <v>0</v>
      </c>
      <c r="AM182" s="65">
        <f>AP182*$CG$169</f>
        <v>0</v>
      </c>
      <c r="AN182" s="65">
        <f>AP182*$CH$169</f>
        <v>0</v>
      </c>
      <c r="AO182" s="65">
        <f>AP182*4-SUM(AL182:AN182)</f>
        <v>0</v>
      </c>
      <c r="AP182" s="11">
        <f>VLOOKUP($B182,'Woodmac profile - Gas'!$B$402:$AL$428,MATCH('Production - Gas'!AP$178,'Woodmac profile - Gas'!$B$364:$AL$364),FALSE)</f>
        <v>0</v>
      </c>
      <c r="AQ182" s="65">
        <f>AU182*$CF$169</f>
        <v>0</v>
      </c>
      <c r="AR182" s="65">
        <f>AU182*$CG$169</f>
        <v>0</v>
      </c>
      <c r="AS182" s="65">
        <f>AU182*$CH$169</f>
        <v>0</v>
      </c>
      <c r="AT182" s="65">
        <f>AU182*4-SUM(AQ182:AS182)</f>
        <v>0</v>
      </c>
      <c r="AU182" s="11">
        <f>VLOOKUP($B182,'Woodmac profile - Gas'!$B$402:$AL$428,MATCH('Production - Gas'!AU$178,'Woodmac profile - Gas'!$B$364:$AL$364),FALSE)</f>
        <v>0</v>
      </c>
      <c r="AV182" s="65">
        <f>AZ182*$CF$169</f>
        <v>0</v>
      </c>
      <c r="AW182" s="65">
        <f>AZ182*$CG$169</f>
        <v>0</v>
      </c>
      <c r="AX182" s="65">
        <f>AZ182*$CH$169</f>
        <v>0</v>
      </c>
      <c r="AY182" s="65">
        <f>AZ182*4-SUM(AV182:AX182)</f>
        <v>0</v>
      </c>
      <c r="AZ182" s="11">
        <f>VLOOKUP($B182,'Woodmac profile - Gas'!$B$402:$AL$428,MATCH('Production - Gas'!AZ$178,'Woodmac profile - Gas'!$B$364:$AL$364),FALSE)</f>
        <v>0</v>
      </c>
      <c r="BA182" s="65">
        <f>BE182*$CF$169</f>
        <v>0</v>
      </c>
      <c r="BB182" s="65">
        <f>BE182*$CG$169</f>
        <v>0</v>
      </c>
      <c r="BC182" s="65">
        <f>BE182*$CH$169</f>
        <v>0</v>
      </c>
      <c r="BD182" s="65">
        <f>BE182*4-SUM(BA182:BC182)</f>
        <v>0</v>
      </c>
      <c r="BE182" s="11">
        <f>VLOOKUP($B182,'Woodmac profile - Gas'!$B$402:$AL$428,MATCH('Production - Gas'!BE$178,'Woodmac profile - Gas'!$B$364:$AL$364),FALSE)</f>
        <v>0</v>
      </c>
      <c r="BF182" s="65">
        <f>BJ182*$CF$169</f>
        <v>0</v>
      </c>
      <c r="BG182" s="65">
        <f>BJ182*$CG$169</f>
        <v>0</v>
      </c>
      <c r="BH182" s="65">
        <f>BJ182*$CH$169</f>
        <v>0</v>
      </c>
      <c r="BI182" s="65">
        <f>BJ182*4-SUM(BF182:BH182)</f>
        <v>0</v>
      </c>
      <c r="BJ182" s="11">
        <f>VLOOKUP($B182,'Woodmac profile - Gas'!$B$402:$AL$428,MATCH('Production - Gas'!BJ$178,'Woodmac profile - Gas'!$B$364:$AL$364),FALSE)</f>
        <v>0</v>
      </c>
      <c r="BK182" s="65">
        <f>BO182*$CF$169</f>
        <v>0</v>
      </c>
      <c r="BL182" s="65">
        <f>BO182*$CG$169</f>
        <v>0</v>
      </c>
      <c r="BM182" s="65">
        <f>BO182*$CH$169</f>
        <v>0</v>
      </c>
      <c r="BN182" s="65">
        <f>BO182*4-SUM(BK182:BM182)</f>
        <v>0</v>
      </c>
      <c r="BO182" s="11">
        <f>VLOOKUP($B182,'Woodmac profile - Gas'!$B$402:$AL$428,MATCH('Production - Gas'!BO$178,'Woodmac profile - Gas'!$B$364:$AL$364),FALSE)</f>
        <v>0</v>
      </c>
      <c r="BP182" s="65">
        <f>BT182*$CF$169</f>
        <v>0</v>
      </c>
      <c r="BQ182" s="65">
        <f>BT182*$CG$169</f>
        <v>0</v>
      </c>
      <c r="BR182" s="65">
        <f>BT182*$CH$169</f>
        <v>0</v>
      </c>
      <c r="BS182" s="65">
        <f>BT182*4-SUM(BP182:BR182)</f>
        <v>0</v>
      </c>
      <c r="BT182" s="11">
        <f>VLOOKUP($B182,'Woodmac profile - Gas'!$B$402:$AL$428,MATCH('Production - Gas'!BT$178,'Woodmac profile - Gas'!$B$364:$AL$364),FALSE)</f>
        <v>0</v>
      </c>
      <c r="BU182" s="65">
        <f>BY182*$CF$169</f>
        <v>0</v>
      </c>
      <c r="BV182" s="65">
        <f>BY182*$CG$169</f>
        <v>0</v>
      </c>
      <c r="BW182" s="65">
        <f>BY182*$CH$169</f>
        <v>0</v>
      </c>
      <c r="BX182" s="65">
        <f>BY182*4-SUM(BU182:BW182)</f>
        <v>0</v>
      </c>
      <c r="BY182" s="11">
        <f>VLOOKUP($B182,'Woodmac profile - Gas'!$B$402:$AL$428,MATCH('Production - Gas'!BY$178,'Woodmac profile - Gas'!$B$364:$AL$364),FALSE)</f>
        <v>0</v>
      </c>
      <c r="BZ182" s="65">
        <f>CD182*$CF$169</f>
        <v>0</v>
      </c>
      <c r="CA182" s="65">
        <f>CD182*$CG$169</f>
        <v>0</v>
      </c>
      <c r="CB182" s="65">
        <f>CD182*$CH$169</f>
        <v>0</v>
      </c>
      <c r="CC182" s="65">
        <f>CD182*4-SUM(BZ182:CB182)</f>
        <v>0</v>
      </c>
      <c r="CD182" s="11">
        <f>VLOOKUP($B182,'Woodmac profile - Gas'!$B$402:$AL$428,MATCH('Production - Gas'!CD$178,'Woodmac profile - Gas'!$B$364:$AL$364),FALSE)</f>
        <v>0</v>
      </c>
      <c r="CE182" s="5"/>
      <c r="CF182" s="5"/>
      <c r="CG182" s="5"/>
      <c r="CH182" s="5"/>
      <c r="CI182" s="5"/>
    </row>
    <row r="183" spans="1:87">
      <c r="A183" s="39" t="s">
        <v>309</v>
      </c>
      <c r="B183" s="39"/>
      <c r="C183" s="39">
        <f t="shared" ref="C183:AH183" si="61">SUM(C180:C182)</f>
        <v>0</v>
      </c>
      <c r="D183" s="39">
        <f t="shared" si="61"/>
        <v>0</v>
      </c>
      <c r="E183" s="39">
        <f t="shared" si="61"/>
        <v>1422.54</v>
      </c>
      <c r="F183" s="39">
        <f t="shared" si="61"/>
        <v>1289.9499999999998</v>
      </c>
      <c r="G183" s="39">
        <f t="shared" si="61"/>
        <v>1204.2099999999998</v>
      </c>
      <c r="H183" s="83"/>
      <c r="I183" s="83"/>
      <c r="J183" s="83"/>
      <c r="K183" s="83"/>
      <c r="L183" s="39">
        <f t="shared" si="61"/>
        <v>1064.8399999999999</v>
      </c>
      <c r="M183" s="80">
        <f t="shared" si="61"/>
        <v>1036.6504893350061</v>
      </c>
      <c r="N183" s="80">
        <f t="shared" si="61"/>
        <v>823.41542032622317</v>
      </c>
      <c r="O183" s="80">
        <f t="shared" si="61"/>
        <v>664.85601003764111</v>
      </c>
      <c r="P183" s="80">
        <f t="shared" si="61"/>
        <v>961.19808030112893</v>
      </c>
      <c r="Q183" s="39">
        <f t="shared" si="61"/>
        <v>871.52999999999986</v>
      </c>
      <c r="R183" s="80">
        <f t="shared" si="61"/>
        <v>1077.5395396419437</v>
      </c>
      <c r="S183" s="80">
        <f t="shared" si="61"/>
        <v>804.90905370844007</v>
      </c>
      <c r="T183" s="80">
        <f t="shared" si="61"/>
        <v>570.14391304347839</v>
      </c>
      <c r="U183" s="80">
        <f t="shared" si="61"/>
        <v>931.4874936061384</v>
      </c>
      <c r="V183" s="39">
        <f t="shared" si="61"/>
        <v>846.0200000000001</v>
      </c>
      <c r="W183" s="80">
        <f>SUM(W180:W182)</f>
        <v>856.88804416403798</v>
      </c>
      <c r="X183" s="80">
        <f>SUM(X180:X182)</f>
        <v>659.53793375394321</v>
      </c>
      <c r="Y183" s="80">
        <f>SUM(Y180:Y182)</f>
        <v>483.66115141955839</v>
      </c>
      <c r="Z183" s="80">
        <f>SUM(Z180:Z182)</f>
        <v>593.07287066246056</v>
      </c>
      <c r="AA183" s="39">
        <f t="shared" si="61"/>
        <v>648.29</v>
      </c>
      <c r="AB183" s="80">
        <f>SUM(AB180:AB182)</f>
        <v>664.27501026694051</v>
      </c>
      <c r="AC183" s="80">
        <f>SUM(AC180:AC182)</f>
        <v>611.04429158110884</v>
      </c>
      <c r="AD183" s="80">
        <f>SUM(AD180:AD182)</f>
        <v>456.89700205338806</v>
      </c>
      <c r="AE183" s="80">
        <f>SUM(AE180:AE182)</f>
        <v>428.06369609856256</v>
      </c>
      <c r="AF183" s="39">
        <f t="shared" si="61"/>
        <v>540.06999999999994</v>
      </c>
      <c r="AG183" s="80">
        <f t="shared" si="61"/>
        <v>373.55333905218384</v>
      </c>
      <c r="AH183" s="80">
        <f t="shared" si="61"/>
        <v>322.01983072655497</v>
      </c>
      <c r="AI183" s="80">
        <f t="shared" ref="AI183:CD183" si="62">SUM(AI180:AI182)</f>
        <v>228.98236488627879</v>
      </c>
      <c r="AJ183" s="80">
        <f t="shared" si="62"/>
        <v>301.24446533498252</v>
      </c>
      <c r="AK183" s="39">
        <f t="shared" si="62"/>
        <v>306.45000000000005</v>
      </c>
      <c r="AL183" s="80">
        <f t="shared" si="62"/>
        <v>150.29899397988018</v>
      </c>
      <c r="AM183" s="80">
        <f t="shared" si="62"/>
        <v>129.56451339071376</v>
      </c>
      <c r="AN183" s="80">
        <f t="shared" si="62"/>
        <v>92.130936826491052</v>
      </c>
      <c r="AO183" s="80">
        <f t="shared" si="62"/>
        <v>121.20555580291514</v>
      </c>
      <c r="AP183" s="39">
        <f t="shared" si="62"/>
        <v>123.30000000000004</v>
      </c>
      <c r="AQ183" s="80">
        <f t="shared" si="62"/>
        <v>221.12114767194043</v>
      </c>
      <c r="AR183" s="80">
        <f t="shared" si="62"/>
        <v>190.61640493978479</v>
      </c>
      <c r="AS183" s="80">
        <f t="shared" si="62"/>
        <v>135.54381135705978</v>
      </c>
      <c r="AT183" s="80">
        <f t="shared" si="62"/>
        <v>178.31863603121488</v>
      </c>
      <c r="AU183" s="39">
        <f t="shared" si="62"/>
        <v>181.39999999999998</v>
      </c>
      <c r="AV183" s="80">
        <f t="shared" si="62"/>
        <v>227.45979137587699</v>
      </c>
      <c r="AW183" s="80">
        <f t="shared" si="62"/>
        <v>196.08060177378087</v>
      </c>
      <c r="AX183" s="80">
        <f t="shared" si="62"/>
        <v>139.42930098802293</v>
      </c>
      <c r="AY183" s="80">
        <f t="shared" si="62"/>
        <v>183.43030586231924</v>
      </c>
      <c r="AZ183" s="39">
        <f>SUM(AZ180:AZ182)</f>
        <v>186.6</v>
      </c>
      <c r="BA183" s="80">
        <f t="shared" si="62"/>
        <v>330.3774236688314</v>
      </c>
      <c r="BB183" s="80">
        <f t="shared" si="62"/>
        <v>284.8002438303742</v>
      </c>
      <c r="BC183" s="80">
        <f t="shared" si="62"/>
        <v>202.51620282306459</v>
      </c>
      <c r="BD183" s="80">
        <f t="shared" si="62"/>
        <v>266.42612967772976</v>
      </c>
      <c r="BE183" s="39">
        <f t="shared" si="62"/>
        <v>271.02999999999997</v>
      </c>
      <c r="BF183" s="80">
        <f t="shared" si="62"/>
        <v>272.42149772581922</v>
      </c>
      <c r="BG183" s="80">
        <f t="shared" si="62"/>
        <v>234.83962104723156</v>
      </c>
      <c r="BH183" s="80">
        <f t="shared" si="62"/>
        <v>166.99012503380652</v>
      </c>
      <c r="BI183" s="80">
        <f t="shared" si="62"/>
        <v>219.68875619314267</v>
      </c>
      <c r="BJ183" s="39">
        <f t="shared" si="62"/>
        <v>223.48499999999999</v>
      </c>
      <c r="BK183" s="80">
        <f t="shared" si="62"/>
        <v>244.63507787365896</v>
      </c>
      <c r="BL183" s="80">
        <f t="shared" si="62"/>
        <v>210.88647357974324</v>
      </c>
      <c r="BM183" s="80">
        <f t="shared" si="62"/>
        <v>149.95748346884417</v>
      </c>
      <c r="BN183" s="80">
        <f t="shared" si="62"/>
        <v>197.28096507775376</v>
      </c>
      <c r="BO183" s="39">
        <f t="shared" si="62"/>
        <v>200.69000000000003</v>
      </c>
      <c r="BP183" s="80">
        <f t="shared" si="62"/>
        <v>213.85608681127468</v>
      </c>
      <c r="BQ183" s="80">
        <f t="shared" si="62"/>
        <v>184.35359472235857</v>
      </c>
      <c r="BR183" s="80">
        <f t="shared" si="62"/>
        <v>131.0904424723405</v>
      </c>
      <c r="BS183" s="80">
        <f t="shared" si="62"/>
        <v>172.45987599402622</v>
      </c>
      <c r="BT183" s="39">
        <f t="shared" si="62"/>
        <v>175.43999999999997</v>
      </c>
      <c r="BU183" s="80">
        <f t="shared" si="62"/>
        <v>263.22436950539594</v>
      </c>
      <c r="BV183" s="80">
        <f t="shared" si="62"/>
        <v>226.91128160252003</v>
      </c>
      <c r="BW183" s="80">
        <f t="shared" si="62"/>
        <v>161.35242902118793</v>
      </c>
      <c r="BX183" s="80">
        <f t="shared" si="62"/>
        <v>212.27191987089611</v>
      </c>
      <c r="BY183" s="39">
        <f t="shared" si="62"/>
        <v>215.94</v>
      </c>
      <c r="BZ183" s="80">
        <f t="shared" si="62"/>
        <v>376.07660683432789</v>
      </c>
      <c r="CA183" s="80">
        <f t="shared" si="62"/>
        <v>324.19500138931875</v>
      </c>
      <c r="CB183" s="80">
        <f t="shared" si="62"/>
        <v>230.52908864321992</v>
      </c>
      <c r="CC183" s="80">
        <f t="shared" si="62"/>
        <v>303.27930313313368</v>
      </c>
      <c r="CD183" s="39">
        <f t="shared" si="62"/>
        <v>308.52000000000004</v>
      </c>
      <c r="CE183" s="5"/>
      <c r="CF183" s="5"/>
      <c r="CG183" s="5"/>
      <c r="CH183" s="5"/>
      <c r="CI183" s="5"/>
    </row>
    <row r="184" spans="1:87">
      <c r="A184" s="11"/>
      <c r="B184" s="11"/>
      <c r="C184" s="11"/>
      <c r="D184" s="11"/>
      <c r="E184" s="11"/>
      <c r="F184" s="11"/>
      <c r="G184" s="11"/>
      <c r="H184" s="82"/>
      <c r="I184" s="82"/>
      <c r="J184" s="82"/>
      <c r="K184" s="82"/>
      <c r="L184" s="11"/>
      <c r="M184" s="68"/>
      <c r="N184" s="68"/>
      <c r="O184" s="68"/>
      <c r="P184" s="68"/>
      <c r="Q184" s="11"/>
      <c r="R184" s="68"/>
      <c r="S184" s="68"/>
      <c r="T184" s="68"/>
      <c r="U184" s="68"/>
      <c r="V184" s="11"/>
      <c r="W184" s="68"/>
      <c r="X184" s="68"/>
      <c r="Y184" s="68"/>
      <c r="Z184" s="68"/>
      <c r="AA184" s="11"/>
      <c r="AB184" s="68"/>
      <c r="AC184" s="68"/>
      <c r="AD184" s="68"/>
      <c r="AE184" s="68"/>
      <c r="AF184" s="11"/>
      <c r="AG184" s="68"/>
      <c r="AH184" s="68"/>
      <c r="AI184" s="68"/>
      <c r="AJ184" s="68"/>
      <c r="AK184" s="11"/>
      <c r="AL184" s="68"/>
      <c r="AM184" s="68"/>
      <c r="AN184" s="68"/>
      <c r="AO184" s="68"/>
      <c r="AP184" s="11"/>
      <c r="AQ184" s="68"/>
      <c r="AR184" s="68"/>
      <c r="AS184" s="68"/>
      <c r="AT184" s="68"/>
      <c r="AU184" s="11"/>
      <c r="AV184" s="68"/>
      <c r="AW184" s="68"/>
      <c r="AX184" s="68"/>
      <c r="AY184" s="68"/>
      <c r="AZ184" s="11"/>
      <c r="BA184" s="68"/>
      <c r="BB184" s="68"/>
      <c r="BC184" s="68"/>
      <c r="BD184" s="68"/>
      <c r="BE184" s="11"/>
      <c r="BF184" s="68"/>
      <c r="BG184" s="68"/>
      <c r="BH184" s="68"/>
      <c r="BI184" s="68"/>
      <c r="BJ184" s="11"/>
      <c r="BK184" s="68"/>
      <c r="BL184" s="68"/>
      <c r="BM184" s="68"/>
      <c r="BN184" s="68"/>
      <c r="BO184" s="11"/>
      <c r="BP184" s="68"/>
      <c r="BQ184" s="68"/>
      <c r="BR184" s="68"/>
      <c r="BS184" s="68"/>
      <c r="BT184" s="11"/>
      <c r="BU184" s="68"/>
      <c r="BV184" s="68"/>
      <c r="BW184" s="68"/>
      <c r="BX184" s="68"/>
      <c r="BY184" s="11"/>
      <c r="BZ184" s="68"/>
      <c r="CA184" s="68"/>
      <c r="CB184" s="68"/>
      <c r="CC184" s="68"/>
      <c r="CD184" s="11"/>
      <c r="CE184" s="5"/>
      <c r="CF184" s="5"/>
      <c r="CG184" s="5"/>
      <c r="CH184" s="5"/>
      <c r="CI184" s="5"/>
    </row>
    <row r="185" spans="1:87">
      <c r="A185" s="39" t="s">
        <v>310</v>
      </c>
      <c r="B185" s="11"/>
      <c r="C185" s="11"/>
      <c r="D185" s="11"/>
      <c r="E185" s="11"/>
      <c r="F185" s="11"/>
      <c r="G185" s="11"/>
      <c r="H185" s="82"/>
      <c r="I185" s="82"/>
      <c r="J185" s="82"/>
      <c r="K185" s="82"/>
      <c r="L185" s="5"/>
      <c r="M185" s="12"/>
      <c r="N185" s="12"/>
      <c r="O185" s="12"/>
      <c r="P185" s="12"/>
      <c r="Q185" s="5"/>
      <c r="R185" s="12"/>
      <c r="S185" s="12"/>
      <c r="T185" s="12"/>
      <c r="U185" s="12"/>
      <c r="V185" s="5"/>
      <c r="W185" s="12"/>
      <c r="X185" s="12"/>
      <c r="Y185" s="12"/>
      <c r="Z185" s="12"/>
      <c r="AA185" s="5"/>
      <c r="AB185" s="12"/>
      <c r="AC185" s="12"/>
      <c r="AD185" s="12"/>
      <c r="AE185" s="12"/>
      <c r="AF185" s="5"/>
      <c r="AG185" s="12"/>
      <c r="AH185" s="12"/>
      <c r="AI185" s="12"/>
      <c r="AJ185" s="12"/>
      <c r="AK185" s="11"/>
      <c r="AL185" s="12"/>
      <c r="AM185" s="12"/>
      <c r="AN185" s="12"/>
      <c r="AO185" s="12"/>
      <c r="AP185" s="11"/>
      <c r="AQ185" s="12"/>
      <c r="AR185" s="12"/>
      <c r="AS185" s="12"/>
      <c r="AT185" s="12"/>
      <c r="AU185" s="11"/>
      <c r="AV185" s="12"/>
      <c r="AW185" s="12"/>
      <c r="AX185" s="12"/>
      <c r="AY185" s="12"/>
      <c r="AZ185" s="11"/>
      <c r="BA185" s="12"/>
      <c r="BB185" s="12"/>
      <c r="BC185" s="12"/>
      <c r="BD185" s="12"/>
      <c r="BE185" s="11"/>
      <c r="BF185" s="12"/>
      <c r="BG185" s="12"/>
      <c r="BH185" s="12"/>
      <c r="BI185" s="12"/>
      <c r="BJ185" s="11"/>
      <c r="BK185" s="12"/>
      <c r="BL185" s="12"/>
      <c r="BM185" s="12"/>
      <c r="BN185" s="12"/>
      <c r="BO185" s="11"/>
      <c r="BP185" s="12"/>
      <c r="BQ185" s="12"/>
      <c r="BR185" s="12"/>
      <c r="BS185" s="12"/>
      <c r="BT185" s="11"/>
      <c r="BU185" s="12"/>
      <c r="BV185" s="12"/>
      <c r="BW185" s="12"/>
      <c r="BX185" s="12"/>
      <c r="BY185" s="11"/>
      <c r="BZ185" s="12"/>
      <c r="CA185" s="12"/>
      <c r="CB185" s="12"/>
      <c r="CC185" s="12"/>
      <c r="CD185" s="11"/>
      <c r="CE185" s="5"/>
      <c r="CF185" s="5"/>
      <c r="CG185" s="5"/>
      <c r="CH185" s="5"/>
      <c r="CI185" s="5"/>
    </row>
    <row r="186" spans="1:87">
      <c r="A186" s="11"/>
      <c r="B186" s="11" t="s">
        <v>728</v>
      </c>
      <c r="C186" s="11"/>
      <c r="D186" s="11"/>
      <c r="E186" s="11">
        <f>VLOOKUP($B186,'Woodmac profile - Gas'!$B$402:$AL$428,MATCH('Production - Gas'!E$178,'Woodmac profile - Gas'!$B$364:$AL$364),FALSE)</f>
        <v>3134.25</v>
      </c>
      <c r="F186" s="11">
        <f>VLOOKUP($B186,'Woodmac profile - Gas'!$B$402:$AL$428,MATCH('Production - Gas'!F$178,'Woodmac profile - Gas'!$B$364:$AL$364),FALSE)</f>
        <v>2714.86</v>
      </c>
      <c r="G186" s="11">
        <f>VLOOKUP($B186,'Woodmac profile - Gas'!$B$402:$AL$428,MATCH('Production - Gas'!G$178,'Woodmac profile - Gas'!$B$364:$AL$364),FALSE)</f>
        <v>2471.84</v>
      </c>
      <c r="H186" s="82"/>
      <c r="I186" s="82"/>
      <c r="J186" s="82"/>
      <c r="K186" s="82"/>
      <c r="L186" s="11">
        <f>VLOOKUP($B186,'Woodmac profile - Gas'!$B$402:$AL$428,MATCH('Production - Gas'!L$178,'Woodmac profile - Gas'!$B$364:$AL$364),FALSE)</f>
        <v>2376.86</v>
      </c>
      <c r="M186" s="65">
        <f>$Q186*M$170</f>
        <v>2227.2134406623732</v>
      </c>
      <c r="N186" s="65">
        <f>$Q186*N$170</f>
        <v>2229.2728150873968</v>
      </c>
      <c r="O186" s="65">
        <f>$Q186*O$170</f>
        <v>2250.8962465501381</v>
      </c>
      <c r="P186" s="65">
        <f>Q186*4-SUM(M186:O186)</f>
        <v>2246.7774977000918</v>
      </c>
      <c r="Q186" s="11">
        <f>VLOOKUP($B186,'Woodmac profile - Gas'!$B$402:$AL$428,MATCH('Production - Gas'!Q$178,'Woodmac profile - Gas'!$B$364:$AL$364),FALSE)</f>
        <v>2238.54</v>
      </c>
      <c r="R186" s="65">
        <f>V186*R$170</f>
        <v>2143.4207695873897</v>
      </c>
      <c r="S186" s="65">
        <f>V186*S$170</f>
        <v>2134.4441353732036</v>
      </c>
      <c r="T186" s="65">
        <f>V186*T$170</f>
        <v>2088.5635605006955</v>
      </c>
      <c r="U186" s="65">
        <f>V186*4-SUM(R186:T186)</f>
        <v>2239.1715345387111</v>
      </c>
      <c r="V186" s="11">
        <f>VLOOKUP($B186,'Woodmac profile - Gas'!$B$402:$AL$428,MATCH('Production - Gas'!V$178,'Woodmac profile - Gas'!$B$364:$AL$364),FALSE)</f>
        <v>2151.4</v>
      </c>
      <c r="W186" s="65">
        <f>AA186*W$170</f>
        <v>2230.7214810017276</v>
      </c>
      <c r="X186" s="65">
        <f>AA186*X$170</f>
        <v>2234.5428454231433</v>
      </c>
      <c r="Y186" s="65">
        <f>AA186*Y$170</f>
        <v>2176.2670379965462</v>
      </c>
      <c r="Z186" s="65">
        <f>AA186*4-SUM(W186:Y186)</f>
        <v>2208.7486355785841</v>
      </c>
      <c r="AA186" s="11">
        <f>VLOOKUP($B186,'Woodmac profile - Gas'!$B$402:$AL$428,MATCH('Production - Gas'!AA$178,'Woodmac profile - Gas'!$B$364:$AL$364),FALSE)</f>
        <v>2212.5700000000002</v>
      </c>
      <c r="AB186" s="65">
        <f>AF186*AB$170</f>
        <v>2204.118772893773</v>
      </c>
      <c r="AC186" s="65">
        <f>AF186*AC$170</f>
        <v>2222.9743589743589</v>
      </c>
      <c r="AD186" s="65">
        <f>AF186*AD$170</f>
        <v>2173.3543956043954</v>
      </c>
      <c r="AE186" s="65">
        <f>AF186*4-SUM(AB186:AD186)</f>
        <v>2069.1524725274721</v>
      </c>
      <c r="AF186" s="11">
        <f>VLOOKUP($B186,'Woodmac profile - Gas'!$B$402:$AL$428,MATCH('Production - Gas'!AF$178,'Woodmac profile - Gas'!$B$364:$AL$364),FALSE)</f>
        <v>2167.4</v>
      </c>
      <c r="AG186" s="65">
        <f>AK186*$CF$170</f>
        <v>2019.6629837095848</v>
      </c>
      <c r="AH186" s="65">
        <f>AK186*$CG$170</f>
        <v>2000.1424999820638</v>
      </c>
      <c r="AI186" s="65">
        <f>AK186*$CH$170</f>
        <v>1966.667235314238</v>
      </c>
      <c r="AJ186" s="65">
        <f>AK186*4-SUM(AG186:AI186)</f>
        <v>1971.9672809941139</v>
      </c>
      <c r="AK186" s="11">
        <f>VLOOKUP($B186,'Woodmac profile - Gas'!$B$402:$AL$428,MATCH('Production - Gas'!AK$178,'Woodmac profile - Gas'!$B$364:$AL$364),FALSE)</f>
        <v>1989.6100000000001</v>
      </c>
      <c r="AL186" s="65">
        <f>AP186*$CF$170</f>
        <v>1912.9449990405346</v>
      </c>
      <c r="AM186" s="65">
        <f>AP186*$CG$170</f>
        <v>1894.45596793653</v>
      </c>
      <c r="AN186" s="65">
        <f>AP186*$CH$170</f>
        <v>1862.7495195565839</v>
      </c>
      <c r="AO186" s="65">
        <f>AP186*4-SUM(AL186:AN186)</f>
        <v>1867.7695134663518</v>
      </c>
      <c r="AP186" s="11">
        <f>VLOOKUP($B186,'Woodmac profile - Gas'!$B$402:$AL$428,MATCH('Production - Gas'!AP$178,'Woodmac profile - Gas'!$B$364:$AL$364),FALSE)</f>
        <v>1884.48</v>
      </c>
      <c r="AQ186" s="65">
        <f>AU186*$CF$170</f>
        <v>1970.7552266340131</v>
      </c>
      <c r="AR186" s="65">
        <f>AU186*$CG$170</f>
        <v>1951.7074470575528</v>
      </c>
      <c r="AS186" s="65">
        <f>AU186*$CH$170</f>
        <v>1919.0428127402458</v>
      </c>
      <c r="AT186" s="65">
        <f>AU186*4-SUM(AQ186:AS186)</f>
        <v>1924.2145135681876</v>
      </c>
      <c r="AU186" s="11">
        <f>VLOOKUP($B186,'Woodmac profile - Gas'!$B$402:$AL$428,MATCH('Production - Gas'!AU$178,'Woodmac profile - Gas'!$B$364:$AL$364),FALSE)</f>
        <v>1941.4299999999998</v>
      </c>
      <c r="AV186" s="65">
        <f>AZ186*$CF$170</f>
        <v>1946.6058795848674</v>
      </c>
      <c r="AW186" s="65">
        <f>AZ186*$CG$170</f>
        <v>1927.7915087206056</v>
      </c>
      <c r="AX186" s="65">
        <f>AZ186*$CH$170</f>
        <v>1895.5271420670358</v>
      </c>
      <c r="AY186" s="65">
        <f>AZ186*4-SUM(AV186:AX186)</f>
        <v>1900.6354696274902</v>
      </c>
      <c r="AZ186" s="11">
        <f>VLOOKUP($B186,'Woodmac profile - Gas'!$B$402:$AL$428,MATCH('Production - Gas'!AZ$178,'Woodmac profile - Gas'!$B$364:$AL$364),FALSE)</f>
        <v>1917.6399999999999</v>
      </c>
      <c r="BA186" s="65">
        <f>BE186*$CF$170</f>
        <v>1638.7143935202848</v>
      </c>
      <c r="BB186" s="65">
        <f>BE186*$CG$170</f>
        <v>1622.8758610964182</v>
      </c>
      <c r="BC186" s="65">
        <f>BE186*$CH$170</f>
        <v>1595.7146968425136</v>
      </c>
      <c r="BD186" s="65">
        <f>BE186*4-SUM(BA186:BC186)</f>
        <v>1600.015048540783</v>
      </c>
      <c r="BE186" s="11">
        <f>VLOOKUP($B186,'Woodmac profile - Gas'!$B$402:$AL$428,MATCH('Production - Gas'!BE$178,'Woodmac profile - Gas'!$B$364:$AL$364),FALSE)</f>
        <v>1614.33</v>
      </c>
      <c r="BF186" s="65">
        <f>BJ186*$CF$170</f>
        <v>1671.5631900949109</v>
      </c>
      <c r="BG186" s="65">
        <f>BJ186*$CG$170</f>
        <v>1655.4071668796719</v>
      </c>
      <c r="BH186" s="65">
        <f>BJ186*$CH$170</f>
        <v>1627.70154438287</v>
      </c>
      <c r="BI186" s="65">
        <f>BJ186*4-SUM(BF186:BH186)</f>
        <v>1632.0880986425464</v>
      </c>
      <c r="BJ186" s="11">
        <f>VLOOKUP($B186,'Woodmac profile - Gas'!$B$402:$AL$428,MATCH('Production - Gas'!BJ$178,'Woodmac profile - Gas'!$B$364:$AL$364),FALSE)</f>
        <v>1646.6899999999998</v>
      </c>
      <c r="BK186" s="65">
        <f>BO186*$CF$170</f>
        <v>1644.4700386555794</v>
      </c>
      <c r="BL186" s="65">
        <f>BO186*$CG$170</f>
        <v>1628.575876664745</v>
      </c>
      <c r="BM186" s="65">
        <f>BO186*$CH$170</f>
        <v>1601.3193144430645</v>
      </c>
      <c r="BN186" s="65">
        <f>BO186*4-SUM(BK186:BM186)</f>
        <v>1605.6347702366111</v>
      </c>
      <c r="BO186" s="11">
        <f>VLOOKUP($B186,'Woodmac profile - Gas'!$B$402:$AL$428,MATCH('Production - Gas'!BO$178,'Woodmac profile - Gas'!$B$364:$AL$364),FALSE)</f>
        <v>1620</v>
      </c>
      <c r="BP186" s="65">
        <f>BT186*$CF$170</f>
        <v>1651.0479188102017</v>
      </c>
      <c r="BQ186" s="65">
        <f>BT186*$CG$170</f>
        <v>1635.090180171404</v>
      </c>
      <c r="BR186" s="65">
        <f>BT186*$CH$170</f>
        <v>1607.7245917008368</v>
      </c>
      <c r="BS186" s="65">
        <f>BT186*4-SUM(BP186:BR186)</f>
        <v>1612.0573093175572</v>
      </c>
      <c r="BT186" s="11">
        <f>VLOOKUP($B186,'Woodmac profile - Gas'!$B$402:$AL$428,MATCH('Production - Gas'!BT$178,'Woodmac profile - Gas'!$B$364:$AL$364),FALSE)</f>
        <v>1626.48</v>
      </c>
      <c r="BU186" s="65">
        <f>BY186*$CF$170</f>
        <v>1802.4305218131071</v>
      </c>
      <c r="BV186" s="65">
        <f>BY186*$CG$170</f>
        <v>1785.0096372621531</v>
      </c>
      <c r="BW186" s="65">
        <f>BY186*$CH$170</f>
        <v>1755.1349308137344</v>
      </c>
      <c r="BX186" s="65">
        <f>BY186*4-SUM(BU186:BW186)</f>
        <v>1759.8649101110059</v>
      </c>
      <c r="BY186" s="11">
        <f>VLOOKUP($B186,'Woodmac profile - Gas'!$B$402:$AL$428,MATCH('Production - Gas'!BY$178,'Woodmac profile - Gas'!$B$364:$AL$364),FALSE)</f>
        <v>1775.6100000000001</v>
      </c>
      <c r="BZ186" s="65">
        <f>CD186*$CF$170</f>
        <v>1855.0535630500854</v>
      </c>
      <c r="CA186" s="65">
        <f>CD186*$CG$170</f>
        <v>1837.1240653154246</v>
      </c>
      <c r="CB186" s="65">
        <f>CD186*$CH$170</f>
        <v>1806.3771488759123</v>
      </c>
      <c r="CC186" s="65">
        <f>CD186*4-SUM(BZ186:CB186)</f>
        <v>1811.2452227585773</v>
      </c>
      <c r="CD186" s="11">
        <f>VLOOKUP($B186,'Woodmac profile - Gas'!$B$402:$AL$428,MATCH('Production - Gas'!CD$178,'Woodmac profile - Gas'!$B$364:$AL$364),FALSE)</f>
        <v>1827.4499999999998</v>
      </c>
      <c r="CE186" s="5"/>
      <c r="CF186" s="5"/>
      <c r="CG186" s="5"/>
      <c r="CH186" s="5"/>
      <c r="CI186" s="5"/>
    </row>
    <row r="187" spans="1:87">
      <c r="A187" s="11"/>
      <c r="B187" s="11" t="s">
        <v>727</v>
      </c>
      <c r="C187" s="11"/>
      <c r="D187" s="11"/>
      <c r="E187" s="11">
        <f>VLOOKUP($B187,'Woodmac profile - Gas'!$B$402:$AL$428,MATCH('Production - Gas'!E$178,'Woodmac profile - Gas'!$B$364:$AL$364),FALSE)</f>
        <v>429.62000000000006</v>
      </c>
      <c r="F187" s="11">
        <f>VLOOKUP($B187,'Woodmac profile - Gas'!$B$402:$AL$428,MATCH('Production - Gas'!F$178,'Woodmac profile - Gas'!$B$364:$AL$364),FALSE)</f>
        <v>354.56</v>
      </c>
      <c r="G187" s="11">
        <f>VLOOKUP($B187,'Woodmac profile - Gas'!$B$402:$AL$428,MATCH('Production - Gas'!G$178,'Woodmac profile - Gas'!$B$364:$AL$364),FALSE)</f>
        <v>310.23</v>
      </c>
      <c r="H187" s="82"/>
      <c r="I187" s="82"/>
      <c r="J187" s="82"/>
      <c r="K187" s="82"/>
      <c r="L187" s="11">
        <f>VLOOKUP($B187,'Woodmac profile - Gas'!$B$402:$AL$428,MATCH('Production - Gas'!L$178,'Woodmac profile - Gas'!$B$364:$AL$364),FALSE)</f>
        <v>283.38</v>
      </c>
      <c r="M187" s="65">
        <f>$Q187*M$172</f>
        <v>265.06328108451601</v>
      </c>
      <c r="N187" s="65">
        <f>$Q187*N$172</f>
        <v>247.20927769540353</v>
      </c>
      <c r="O187" s="65">
        <f>$Q187*O$172</f>
        <v>259.35000000000002</v>
      </c>
      <c r="P187" s="65">
        <f>Q187*4-SUM(M187:O187)</f>
        <v>265.7774412200805</v>
      </c>
      <c r="Q187" s="11">
        <f>VLOOKUP($B187,'Woodmac profile - Gas'!$B$402:$AL$428,MATCH('Production - Gas'!Q$178,'Woodmac profile - Gas'!$B$364:$AL$364),FALSE)</f>
        <v>259.35000000000002</v>
      </c>
      <c r="R187" s="65">
        <f>V187*R$172</f>
        <v>244.45948250879735</v>
      </c>
      <c r="S187" s="65">
        <f>V187*S$172</f>
        <v>245.01888635893192</v>
      </c>
      <c r="T187" s="65">
        <f>V187*T$172</f>
        <v>244.66290209066446</v>
      </c>
      <c r="U187" s="65">
        <f>V187*4-SUM(R187:T187)</f>
        <v>248.57872904160627</v>
      </c>
      <c r="V187" s="11">
        <f>VLOOKUP($B187,'Woodmac profile - Gas'!$B$402:$AL$428,MATCH('Production - Gas'!V$178,'Woodmac profile - Gas'!$B$364:$AL$364),FALSE)</f>
        <v>245.68</v>
      </c>
      <c r="W187" s="65">
        <f>AA187*W$172</f>
        <v>264.16019456830156</v>
      </c>
      <c r="X187" s="65">
        <f>AA187*X$172</f>
        <v>268.90782326712605</v>
      </c>
      <c r="Y187" s="65">
        <f>AA187*Y$172</f>
        <v>252.15776246453183</v>
      </c>
      <c r="Z187" s="65">
        <f>AA187*4-SUM(W187:Y187)</f>
        <v>267.57421970004054</v>
      </c>
      <c r="AA187" s="11">
        <f>VLOOKUP($B187,'Woodmac profile - Gas'!$B$402:$AL$428,MATCH('Production - Gas'!AA$178,'Woodmac profile - Gas'!$B$364:$AL$364),FALSE)</f>
        <v>263.2</v>
      </c>
      <c r="AB187" s="65">
        <f>AF187*AB$172</f>
        <v>202.45392141453829</v>
      </c>
      <c r="AC187" s="65">
        <f>AF187*AC$172</f>
        <v>200.03573280943027</v>
      </c>
      <c r="AD187" s="65">
        <f>AF187*AD$172</f>
        <v>206.9335166994106</v>
      </c>
      <c r="AE187" s="65">
        <f>AF187*4-SUM(AB187:AD187)</f>
        <v>197.69682907662082</v>
      </c>
      <c r="AF187" s="11">
        <f>VLOOKUP($B187,'Woodmac profile - Gas'!$B$402:$AL$428,MATCH('Production - Gas'!AF$178,'Woodmac profile - Gas'!$B$364:$AL$364),FALSE)</f>
        <v>201.78</v>
      </c>
      <c r="AG187" s="65">
        <f>AK187*$CF$172</f>
        <v>12.436702920251372</v>
      </c>
      <c r="AH187" s="65">
        <f>AK187*$CG$172</f>
        <v>12.108402239150536</v>
      </c>
      <c r="AI187" s="65">
        <f>AK187*$CH$172</f>
        <v>12.193953483822105</v>
      </c>
      <c r="AJ187" s="65">
        <f>AK187*4-SUM(AG187:AI187)</f>
        <v>12.340941356775986</v>
      </c>
      <c r="AK187" s="11">
        <f>VLOOKUP($B187,'Woodmac profile - Gas'!$B$402:$AL$428,MATCH('Production - Gas'!AK$178,'Woodmac profile - Gas'!$B$364:$AL$364),FALSE)</f>
        <v>12.27</v>
      </c>
      <c r="AL187" s="65">
        <f>AP187*$CF$172</f>
        <v>11.362301526977824</v>
      </c>
      <c r="AM187" s="65">
        <f>AP187*$CG$172</f>
        <v>11.062362599908516</v>
      </c>
      <c r="AN187" s="65">
        <f>AP187*$CH$172</f>
        <v>11.140523109506583</v>
      </c>
      <c r="AO187" s="65">
        <f>AP187*4-SUM(AL187:AN187)</f>
        <v>11.274812763607073</v>
      </c>
      <c r="AP187" s="11">
        <f>VLOOKUP($B187,'Woodmac profile - Gas'!$B$402:$AL$428,MATCH('Production - Gas'!AP$178,'Woodmac profile - Gas'!$B$364:$AL$364),FALSE)</f>
        <v>11.209999999999999</v>
      </c>
      <c r="AQ187" s="65">
        <f>AU187*$CF$172</f>
        <v>9.3655366734411327</v>
      </c>
      <c r="AR187" s="65">
        <f>AU187*$CG$172</f>
        <v>9.1183077986757102</v>
      </c>
      <c r="AS187" s="65">
        <f>AU187*$CH$172</f>
        <v>9.1827326968635905</v>
      </c>
      <c r="AT187" s="65">
        <f>AU187*4-SUM(AQ187:AS187)</f>
        <v>9.2934228310195692</v>
      </c>
      <c r="AU187" s="11">
        <f>VLOOKUP($B187,'Woodmac profile - Gas'!$B$402:$AL$428,MATCH('Production - Gas'!AU$178,'Woodmac profile - Gas'!$B$364:$AL$364),FALSE)</f>
        <v>9.24</v>
      </c>
      <c r="AV187" s="65">
        <f>AZ187*$CF$172</f>
        <v>8.5141242485828474</v>
      </c>
      <c r="AW187" s="65">
        <f>AZ187*$CG$172</f>
        <v>8.2893707260688263</v>
      </c>
      <c r="AX187" s="65">
        <f>AZ187*$CH$172</f>
        <v>8.3479388153305365</v>
      </c>
      <c r="AY187" s="65">
        <f>AZ187*4-SUM(AV187:AX187)</f>
        <v>8.4485662100177912</v>
      </c>
      <c r="AZ187" s="11">
        <f>VLOOKUP($B187,'Woodmac profile - Gas'!$B$402:$AL$428,MATCH('Production - Gas'!AZ$178,'Woodmac profile - Gas'!$B$364:$AL$364),FALSE)</f>
        <v>8.4</v>
      </c>
      <c r="BA187" s="65">
        <f>BE187*$CF$172</f>
        <v>8.5141242485828474</v>
      </c>
      <c r="BB187" s="65">
        <f>BE187*$CG$172</f>
        <v>8.2893707260688263</v>
      </c>
      <c r="BC187" s="65">
        <f>BE187*$CH$172</f>
        <v>8.3479388153305365</v>
      </c>
      <c r="BD187" s="65">
        <f>BE187*4-SUM(BA187:BC187)</f>
        <v>8.4485662100177912</v>
      </c>
      <c r="BE187" s="11">
        <f>VLOOKUP($B187,'Woodmac profile - Gas'!$B$402:$AL$428,MATCH('Production - Gas'!BE$178,'Woodmac profile - Gas'!$B$364:$AL$364),FALSE)</f>
        <v>8.4</v>
      </c>
      <c r="BF187" s="65">
        <f>BJ187*$CF$172</f>
        <v>8.5141242485828474</v>
      </c>
      <c r="BG187" s="65">
        <f>BJ187*$CG$172</f>
        <v>8.2893707260688263</v>
      </c>
      <c r="BH187" s="65">
        <f>BJ187*$CH$172</f>
        <v>8.3479388153305365</v>
      </c>
      <c r="BI187" s="65">
        <f>BJ187*4-SUM(BF187:BH187)</f>
        <v>8.4485662100177912</v>
      </c>
      <c r="BJ187" s="11">
        <f>VLOOKUP($B187,'Woodmac profile - Gas'!$B$402:$AL$428,MATCH('Production - Gas'!BJ$178,'Woodmac profile - Gas'!$B$364:$AL$364),FALSE)</f>
        <v>8.4</v>
      </c>
      <c r="BK187" s="65">
        <f>BO187*$CF$172</f>
        <v>8.0884180361537048</v>
      </c>
      <c r="BL187" s="65">
        <f>BO187*$CG$172</f>
        <v>7.8749021897653861</v>
      </c>
      <c r="BM187" s="65">
        <f>BO187*$CH$172</f>
        <v>7.9305418745640095</v>
      </c>
      <c r="BN187" s="65">
        <f>BO187*4-SUM(BK187:BM187)</f>
        <v>8.0261378995169004</v>
      </c>
      <c r="BO187" s="11">
        <f>VLOOKUP($B187,'Woodmac profile - Gas'!$B$402:$AL$428,MATCH('Production - Gas'!BO$178,'Woodmac profile - Gas'!$B$364:$AL$364),FALSE)</f>
        <v>7.98</v>
      </c>
      <c r="BP187" s="65">
        <f>BT187*$CF$172</f>
        <v>7.6627118237245622</v>
      </c>
      <c r="BQ187" s="65">
        <f>BT187*$CG$172</f>
        <v>7.4604336534619433</v>
      </c>
      <c r="BR187" s="65">
        <f>BT187*$CH$172</f>
        <v>7.5131449337974825</v>
      </c>
      <c r="BS187" s="65">
        <f>BT187*4-SUM(BP187:BR187)</f>
        <v>7.6037095890160096</v>
      </c>
      <c r="BT187" s="11">
        <f>VLOOKUP($B187,'Woodmac profile - Gas'!$B$402:$AL$428,MATCH('Production - Gas'!BT$178,'Woodmac profile - Gas'!$B$364:$AL$364),FALSE)</f>
        <v>7.56</v>
      </c>
      <c r="BU187" s="65">
        <f>BY187*$CF$172</f>
        <v>7.064695953883624</v>
      </c>
      <c r="BV187" s="65">
        <f>BY187*$CG$172</f>
        <v>6.8782040429404425</v>
      </c>
      <c r="BW187" s="65">
        <f>BY187*$CH$172</f>
        <v>6.9268016122445042</v>
      </c>
      <c r="BX187" s="65">
        <f>BY187*4-SUM(BU187:BW187)</f>
        <v>7.0102983909314283</v>
      </c>
      <c r="BY187" s="11">
        <f>VLOOKUP($B187,'Woodmac profile - Gas'!$B$402:$AL$428,MATCH('Production - Gas'!BY$178,'Woodmac profile - Gas'!$B$364:$AL$364),FALSE)</f>
        <v>6.97</v>
      </c>
      <c r="BZ187" s="65">
        <f>CD187*$CF$172</f>
        <v>6.5579028438489306</v>
      </c>
      <c r="CA187" s="65">
        <f>CD187*$CG$172</f>
        <v>6.384789118769679</v>
      </c>
      <c r="CB187" s="65">
        <f>CD187*$CH$172</f>
        <v>6.4299004922843528</v>
      </c>
      <c r="CC187" s="65">
        <f>CD187*4-SUM(BZ187:CB187)</f>
        <v>6.5074075450970348</v>
      </c>
      <c r="CD187" s="11">
        <f>VLOOKUP($B187,'Woodmac profile - Gas'!$B$402:$AL$428,MATCH('Production - Gas'!CD$178,'Woodmac profile - Gas'!$B$364:$AL$364),FALSE)</f>
        <v>6.47</v>
      </c>
      <c r="CE187" s="5"/>
      <c r="CF187" s="5"/>
      <c r="CG187" s="5"/>
      <c r="CH187" s="5"/>
      <c r="CI187" s="5"/>
    </row>
    <row r="188" spans="1:87">
      <c r="A188" s="39" t="s">
        <v>1993</v>
      </c>
      <c r="B188" s="39"/>
      <c r="C188" s="39">
        <f t="shared" ref="C188:AH188" si="63">SUM(C186:C187)</f>
        <v>0</v>
      </c>
      <c r="D188" s="39">
        <f t="shared" si="63"/>
        <v>0</v>
      </c>
      <c r="E188" s="39">
        <f t="shared" si="63"/>
        <v>3563.87</v>
      </c>
      <c r="F188" s="39">
        <f t="shared" si="63"/>
        <v>3069.42</v>
      </c>
      <c r="G188" s="39">
        <f t="shared" si="63"/>
        <v>2782.07</v>
      </c>
      <c r="H188" s="83"/>
      <c r="I188" s="83"/>
      <c r="J188" s="83"/>
      <c r="K188" s="83"/>
      <c r="L188" s="39">
        <f t="shared" si="63"/>
        <v>2660.2400000000002</v>
      </c>
      <c r="M188" s="80">
        <f t="shared" si="63"/>
        <v>2492.2767217468891</v>
      </c>
      <c r="N188" s="80">
        <f t="shared" si="63"/>
        <v>2476.4820927828005</v>
      </c>
      <c r="O188" s="80">
        <f t="shared" si="63"/>
        <v>2510.246246550138</v>
      </c>
      <c r="P188" s="80">
        <f t="shared" si="63"/>
        <v>2512.5549389201724</v>
      </c>
      <c r="Q188" s="39">
        <f t="shared" si="63"/>
        <v>2497.89</v>
      </c>
      <c r="R188" s="80">
        <f t="shared" si="63"/>
        <v>2387.8802520961872</v>
      </c>
      <c r="S188" s="80">
        <f t="shared" si="63"/>
        <v>2379.4630217321355</v>
      </c>
      <c r="T188" s="80">
        <f t="shared" si="63"/>
        <v>2333.2264625913599</v>
      </c>
      <c r="U188" s="80">
        <f t="shared" si="63"/>
        <v>2487.7502635803176</v>
      </c>
      <c r="V188" s="39">
        <f t="shared" si="63"/>
        <v>2397.08</v>
      </c>
      <c r="W188" s="80">
        <f>SUM(W186:W187)</f>
        <v>2494.8816755700291</v>
      </c>
      <c r="X188" s="80">
        <f>SUM(X186:X187)</f>
        <v>2503.4506686902691</v>
      </c>
      <c r="Y188" s="80">
        <f>SUM(Y186:Y187)</f>
        <v>2428.4248004610781</v>
      </c>
      <c r="Z188" s="80">
        <f>SUM(Z186:Z187)</f>
        <v>2476.3228552786245</v>
      </c>
      <c r="AA188" s="39">
        <f t="shared" si="63"/>
        <v>2475.77</v>
      </c>
      <c r="AB188" s="80">
        <f>SUM(AB186:AB187)</f>
        <v>2406.5726943083114</v>
      </c>
      <c r="AC188" s="80">
        <f>SUM(AC186:AC187)</f>
        <v>2423.010091783789</v>
      </c>
      <c r="AD188" s="80">
        <f>SUM(AD186:AD187)</f>
        <v>2380.287912303806</v>
      </c>
      <c r="AE188" s="80">
        <f>SUM(AE186:AE187)</f>
        <v>2266.8493016040929</v>
      </c>
      <c r="AF188" s="39">
        <f t="shared" si="63"/>
        <v>2369.1800000000003</v>
      </c>
      <c r="AG188" s="80">
        <f t="shared" si="63"/>
        <v>2032.099686629836</v>
      </c>
      <c r="AH188" s="80">
        <f t="shared" si="63"/>
        <v>2012.2509022212143</v>
      </c>
      <c r="AI188" s="80">
        <f t="shared" ref="AI188:CD188" si="64">SUM(AI186:AI187)</f>
        <v>1978.8611887980601</v>
      </c>
      <c r="AJ188" s="80">
        <f t="shared" si="64"/>
        <v>1984.30822235089</v>
      </c>
      <c r="AK188" s="39">
        <f t="shared" si="64"/>
        <v>2001.88</v>
      </c>
      <c r="AL188" s="80">
        <f t="shared" si="64"/>
        <v>1924.3073005675124</v>
      </c>
      <c r="AM188" s="80">
        <f t="shared" si="64"/>
        <v>1905.5183305364385</v>
      </c>
      <c r="AN188" s="80">
        <f t="shared" si="64"/>
        <v>1873.8900426660905</v>
      </c>
      <c r="AO188" s="80">
        <f t="shared" si="64"/>
        <v>1879.0443262299589</v>
      </c>
      <c r="AP188" s="39">
        <f t="shared" si="64"/>
        <v>1895.69</v>
      </c>
      <c r="AQ188" s="80">
        <f t="shared" si="64"/>
        <v>1980.1207633074541</v>
      </c>
      <c r="AR188" s="80">
        <f t="shared" si="64"/>
        <v>1960.8257548562285</v>
      </c>
      <c r="AS188" s="80">
        <f t="shared" si="64"/>
        <v>1928.2255454371095</v>
      </c>
      <c r="AT188" s="80">
        <f t="shared" si="64"/>
        <v>1933.5079363992072</v>
      </c>
      <c r="AU188" s="39">
        <f t="shared" si="64"/>
        <v>1950.6699999999998</v>
      </c>
      <c r="AV188" s="80">
        <f t="shared" si="64"/>
        <v>1955.1200038334503</v>
      </c>
      <c r="AW188" s="80">
        <f t="shared" si="64"/>
        <v>1936.0808794466745</v>
      </c>
      <c r="AX188" s="80">
        <f t="shared" si="64"/>
        <v>1903.8750808823663</v>
      </c>
      <c r="AY188" s="80">
        <f t="shared" si="64"/>
        <v>1909.0840358375081</v>
      </c>
      <c r="AZ188" s="39">
        <f>SUM(AZ186:AZ187)</f>
        <v>1926.04</v>
      </c>
      <c r="BA188" s="80">
        <f t="shared" si="64"/>
        <v>1647.2285177688677</v>
      </c>
      <c r="BB188" s="80">
        <f t="shared" si="64"/>
        <v>1631.1652318224872</v>
      </c>
      <c r="BC188" s="80">
        <f t="shared" si="64"/>
        <v>1604.0626356578441</v>
      </c>
      <c r="BD188" s="80">
        <f t="shared" si="64"/>
        <v>1608.4636147508008</v>
      </c>
      <c r="BE188" s="39">
        <f t="shared" si="64"/>
        <v>1622.73</v>
      </c>
      <c r="BF188" s="80">
        <f t="shared" si="64"/>
        <v>1680.0773143434938</v>
      </c>
      <c r="BG188" s="80">
        <f t="shared" si="64"/>
        <v>1663.6965376057408</v>
      </c>
      <c r="BH188" s="80">
        <f t="shared" si="64"/>
        <v>1636.0494831982005</v>
      </c>
      <c r="BI188" s="80">
        <f t="shared" si="64"/>
        <v>1640.5366648525642</v>
      </c>
      <c r="BJ188" s="39">
        <f t="shared" si="64"/>
        <v>1655.09</v>
      </c>
      <c r="BK188" s="80">
        <f t="shared" si="64"/>
        <v>1652.558456691733</v>
      </c>
      <c r="BL188" s="80">
        <f t="shared" si="64"/>
        <v>1636.4507788545104</v>
      </c>
      <c r="BM188" s="80">
        <f t="shared" si="64"/>
        <v>1609.2498563176284</v>
      </c>
      <c r="BN188" s="80">
        <f t="shared" si="64"/>
        <v>1613.660908136128</v>
      </c>
      <c r="BO188" s="39">
        <f t="shared" si="64"/>
        <v>1627.98</v>
      </c>
      <c r="BP188" s="80">
        <f t="shared" si="64"/>
        <v>1658.7106306339263</v>
      </c>
      <c r="BQ188" s="80">
        <f t="shared" si="64"/>
        <v>1642.5506138248659</v>
      </c>
      <c r="BR188" s="80">
        <f t="shared" si="64"/>
        <v>1615.2377366346343</v>
      </c>
      <c r="BS188" s="80">
        <f t="shared" si="64"/>
        <v>1619.6610189065732</v>
      </c>
      <c r="BT188" s="39">
        <f t="shared" si="64"/>
        <v>1634.04</v>
      </c>
      <c r="BU188" s="80">
        <f t="shared" si="64"/>
        <v>1809.4952177669907</v>
      </c>
      <c r="BV188" s="80">
        <f t="shared" si="64"/>
        <v>1791.8878413050936</v>
      </c>
      <c r="BW188" s="80">
        <f t="shared" si="64"/>
        <v>1762.061732425979</v>
      </c>
      <c r="BX188" s="80">
        <f t="shared" si="64"/>
        <v>1766.8752085019373</v>
      </c>
      <c r="BY188" s="39">
        <f t="shared" si="64"/>
        <v>1782.5800000000002</v>
      </c>
      <c r="BZ188" s="80">
        <f t="shared" si="64"/>
        <v>1861.6114658939343</v>
      </c>
      <c r="CA188" s="80">
        <f t="shared" si="64"/>
        <v>1843.5088544341943</v>
      </c>
      <c r="CB188" s="80">
        <f t="shared" si="64"/>
        <v>1812.8070493681967</v>
      </c>
      <c r="CC188" s="80">
        <f t="shared" si="64"/>
        <v>1817.7526303036743</v>
      </c>
      <c r="CD188" s="39">
        <f t="shared" si="64"/>
        <v>1833.9199999999998</v>
      </c>
      <c r="CE188" s="5"/>
      <c r="CF188" s="5"/>
      <c r="CG188" s="5"/>
      <c r="CH188" s="5"/>
      <c r="CI188" s="5"/>
    </row>
    <row r="189" spans="1:87">
      <c r="A189" s="11"/>
      <c r="B189" s="11"/>
      <c r="C189" s="11"/>
      <c r="D189" s="11"/>
      <c r="E189" s="11"/>
      <c r="F189" s="11"/>
      <c r="G189" s="11"/>
      <c r="H189" s="82"/>
      <c r="I189" s="82"/>
      <c r="J189" s="82"/>
      <c r="K189" s="82"/>
      <c r="L189" s="11"/>
      <c r="M189" s="68"/>
      <c r="N189" s="68"/>
      <c r="O189" s="68"/>
      <c r="P189" s="68"/>
      <c r="Q189" s="11"/>
      <c r="R189" s="68"/>
      <c r="S189" s="68"/>
      <c r="T189" s="68"/>
      <c r="U189" s="68"/>
      <c r="V189" s="11"/>
      <c r="W189" s="68"/>
      <c r="X189" s="68"/>
      <c r="Y189" s="68"/>
      <c r="Z189" s="68"/>
      <c r="AA189" s="11"/>
      <c r="AB189" s="68"/>
      <c r="AC189" s="68"/>
      <c r="AD189" s="68"/>
      <c r="AE189" s="68"/>
      <c r="AF189" s="11"/>
      <c r="AG189" s="68"/>
      <c r="AH189" s="68"/>
      <c r="AI189" s="68"/>
      <c r="AJ189" s="68"/>
      <c r="AK189" s="11"/>
      <c r="AL189" s="48"/>
      <c r="AM189" s="48"/>
      <c r="AN189" s="48"/>
      <c r="AO189" s="48"/>
      <c r="AP189" s="48"/>
      <c r="AQ189" s="48"/>
      <c r="AR189" s="48"/>
      <c r="AS189" s="48"/>
      <c r="AT189" s="48"/>
      <c r="AU189" s="48"/>
      <c r="AV189" s="48"/>
      <c r="AW189" s="48"/>
      <c r="AX189" s="48"/>
      <c r="AY189" s="48"/>
      <c r="AZ189" s="48"/>
      <c r="BA189" s="48"/>
      <c r="BB189" s="48"/>
      <c r="BC189" s="48"/>
      <c r="BD189" s="48"/>
      <c r="BE189" s="48"/>
      <c r="BF189" s="48"/>
      <c r="BG189" s="48"/>
      <c r="BH189" s="48"/>
      <c r="BI189" s="48"/>
      <c r="BJ189" s="48"/>
      <c r="BK189" s="48"/>
      <c r="BL189" s="48"/>
      <c r="BM189" s="48"/>
      <c r="BN189" s="48"/>
      <c r="BO189" s="48"/>
      <c r="BP189" s="48"/>
      <c r="BQ189" s="48"/>
      <c r="BR189" s="48"/>
      <c r="BS189" s="48"/>
      <c r="BT189" s="48"/>
      <c r="BU189" s="48"/>
      <c r="BV189" s="48"/>
      <c r="BW189" s="48"/>
      <c r="BX189" s="48"/>
      <c r="BY189" s="48"/>
      <c r="BZ189" s="48"/>
      <c r="CA189" s="48"/>
      <c r="CB189" s="48"/>
      <c r="CC189" s="48"/>
      <c r="CD189" s="48"/>
      <c r="CE189" s="5"/>
      <c r="CF189" s="5"/>
      <c r="CG189" s="5"/>
      <c r="CH189" s="5"/>
      <c r="CI189" s="5"/>
    </row>
    <row r="190" spans="1:87">
      <c r="A190" s="39" t="s">
        <v>1994</v>
      </c>
      <c r="B190" s="11"/>
      <c r="C190" s="11"/>
      <c r="D190" s="11"/>
      <c r="E190" s="11"/>
      <c r="F190" s="11"/>
      <c r="G190" s="11"/>
      <c r="H190" s="82"/>
      <c r="I190" s="82"/>
      <c r="J190" s="82"/>
      <c r="K190" s="82"/>
      <c r="L190" s="11"/>
      <c r="M190" s="68"/>
      <c r="N190" s="68"/>
      <c r="O190" s="68"/>
      <c r="P190" s="68"/>
      <c r="Q190" s="11"/>
      <c r="R190" s="68"/>
      <c r="S190" s="68"/>
      <c r="T190" s="68"/>
      <c r="U190" s="68"/>
      <c r="V190" s="11"/>
      <c r="W190" s="68"/>
      <c r="X190" s="68"/>
      <c r="Y190" s="68"/>
      <c r="Z190" s="68"/>
      <c r="AA190" s="11"/>
      <c r="AB190" s="68"/>
      <c r="AC190" s="68"/>
      <c r="AD190" s="68"/>
      <c r="AE190" s="68"/>
      <c r="AF190" s="11"/>
      <c r="AG190" s="68"/>
      <c r="AH190" s="68"/>
      <c r="AI190" s="68"/>
      <c r="AJ190" s="68"/>
      <c r="AK190" s="11"/>
      <c r="AL190" s="68"/>
      <c r="AM190" s="68"/>
      <c r="AN190" s="68"/>
      <c r="AO190" s="68"/>
      <c r="AP190" s="11"/>
      <c r="AQ190" s="68"/>
      <c r="AR190" s="68"/>
      <c r="AS190" s="68"/>
      <c r="AT190" s="68"/>
      <c r="AU190" s="11"/>
      <c r="AV190" s="68"/>
      <c r="AW190" s="68"/>
      <c r="AX190" s="68"/>
      <c r="AY190" s="68"/>
      <c r="AZ190" s="11"/>
      <c r="BA190" s="68"/>
      <c r="BB190" s="68"/>
      <c r="BC190" s="68"/>
      <c r="BD190" s="68"/>
      <c r="BE190" s="11"/>
      <c r="BF190" s="68"/>
      <c r="BG190" s="68"/>
      <c r="BH190" s="68"/>
      <c r="BI190" s="68"/>
      <c r="BJ190" s="11"/>
      <c r="BK190" s="68"/>
      <c r="BL190" s="68"/>
      <c r="BM190" s="68"/>
      <c r="BN190" s="68"/>
      <c r="BO190" s="11"/>
      <c r="BP190" s="68"/>
      <c r="BQ190" s="68"/>
      <c r="BR190" s="68"/>
      <c r="BS190" s="68"/>
      <c r="BT190" s="11"/>
      <c r="BU190" s="68"/>
      <c r="BV190" s="68"/>
      <c r="BW190" s="68"/>
      <c r="BX190" s="68"/>
      <c r="BY190" s="11"/>
      <c r="BZ190" s="68"/>
      <c r="CA190" s="68"/>
      <c r="CB190" s="68"/>
      <c r="CC190" s="68"/>
      <c r="CD190" s="11"/>
      <c r="CE190" s="5"/>
      <c r="CF190" s="5"/>
      <c r="CG190" s="5"/>
      <c r="CH190" s="5"/>
      <c r="CI190" s="5"/>
    </row>
    <row r="191" spans="1:87">
      <c r="A191" s="39"/>
      <c r="B191" s="11" t="s">
        <v>2921</v>
      </c>
      <c r="C191" s="11"/>
      <c r="D191" s="11"/>
      <c r="E191" s="11">
        <f>VLOOKUP($B191,'Woodmac profile - Gas'!$B$402:$AL$428,MATCH('Production - Gas'!E$178,'Woodmac profile - Gas'!$B$364:$AL$364),FALSE)</f>
        <v>0</v>
      </c>
      <c r="F191" s="11">
        <f>VLOOKUP($B191,'Woodmac profile - Gas'!$B$402:$AL$428,MATCH('Production - Gas'!F$178,'Woodmac profile - Gas'!$B$364:$AL$364),FALSE)</f>
        <v>0</v>
      </c>
      <c r="G191" s="11">
        <f>VLOOKUP($B191,'Woodmac profile - Gas'!$B$402:$AL$428,MATCH('Production - Gas'!G$178,'Woodmac profile - Gas'!$B$364:$AL$364),FALSE)</f>
        <v>0</v>
      </c>
      <c r="H191" s="82"/>
      <c r="I191" s="82"/>
      <c r="J191" s="82"/>
      <c r="K191" s="82"/>
      <c r="L191" s="11">
        <f>VLOOKUP($B191,'Woodmac profile - Gas'!$B$402:$AL$428,MATCH('Production - Gas'!L$178,'Woodmac profile - Gas'!$B$364:$AL$364),FALSE)</f>
        <v>0</v>
      </c>
      <c r="M191" s="65">
        <f t="shared" ref="M191:O196" si="65">$Q191*M$172</f>
        <v>0</v>
      </c>
      <c r="N191" s="65">
        <f t="shared" si="65"/>
        <v>0</v>
      </c>
      <c r="O191" s="65">
        <f t="shared" si="65"/>
        <v>0</v>
      </c>
      <c r="P191" s="65">
        <f>Q191*4-SUM(M191:O191)</f>
        <v>0</v>
      </c>
      <c r="Q191" s="11">
        <f>VLOOKUP($B191,'Woodmac profile - Gas'!$B$402:$AL$428,MATCH('Production - Gas'!Q$178,'Woodmac profile - Gas'!$B$364:$AL$364),FALSE)</f>
        <v>0</v>
      </c>
      <c r="R191" s="65">
        <f>V191*R$172</f>
        <v>0</v>
      </c>
      <c r="S191" s="65">
        <f>V191*S$172</f>
        <v>0</v>
      </c>
      <c r="T191" s="65">
        <f>V191*T$172</f>
        <v>0</v>
      </c>
      <c r="U191" s="65">
        <f>V191*4-SUM(R191:T191)</f>
        <v>0</v>
      </c>
      <c r="V191" s="11">
        <f>VLOOKUP($B191,'Woodmac profile - Gas'!$B$402:$AL$428,MATCH('Production - Gas'!V$178,'Woodmac profile - Gas'!$B$364:$AL$364),FALSE)</f>
        <v>0</v>
      </c>
      <c r="W191" s="65">
        <f>AA191*W$172</f>
        <v>0</v>
      </c>
      <c r="X191" s="65">
        <f>AA191*X$172</f>
        <v>0</v>
      </c>
      <c r="Y191" s="65">
        <f>AA191*Y$172</f>
        <v>0</v>
      </c>
      <c r="Z191" s="65">
        <f>AA191*4-SUM(W191:Y191)</f>
        <v>0</v>
      </c>
      <c r="AA191" s="11">
        <f>VLOOKUP($B191,'Woodmac profile - Gas'!$B$402:$AL$428,MATCH('Production - Gas'!AA$178,'Woodmac profile - Gas'!$B$364:$AL$364),FALSE)</f>
        <v>0</v>
      </c>
      <c r="AB191" s="65">
        <f>AF191*AB$172</f>
        <v>0</v>
      </c>
      <c r="AC191" s="65">
        <f>AF191*AC$172</f>
        <v>0</v>
      </c>
      <c r="AD191" s="65">
        <f>AF191*AD$172</f>
        <v>0</v>
      </c>
      <c r="AE191" s="65">
        <f>AF191*4-SUM(AB191:AD191)</f>
        <v>0</v>
      </c>
      <c r="AF191" s="11">
        <f>VLOOKUP($B191,'Woodmac profile - Gas'!$B$402:$AL$428,MATCH('Production - Gas'!AF$178,'Woodmac profile - Gas'!$B$364:$AL$364),FALSE)</f>
        <v>0</v>
      </c>
      <c r="AG191" s="65">
        <f t="shared" ref="AG191:AG196" si="66">AK191*CF$172</f>
        <v>0</v>
      </c>
      <c r="AH191" s="65">
        <f t="shared" ref="AH191:AH196" si="67">AK191*CG$172</f>
        <v>0</v>
      </c>
      <c r="AI191" s="65">
        <f t="shared" ref="AI191:AI196" si="68">AK191*CH$172</f>
        <v>0</v>
      </c>
      <c r="AJ191" s="65">
        <f t="shared" ref="AJ191:AJ196" si="69">AK191*4-SUM(AG191:AI191)</f>
        <v>0</v>
      </c>
      <c r="AK191" s="11">
        <f>VLOOKUP($B191,'Woodmac profile - Gas'!$B$402:$AL$428,MATCH('Production - Gas'!AK$178,'Woodmac profile - Gas'!$B$364:$AL$364),FALSE)</f>
        <v>0</v>
      </c>
      <c r="AL191" s="65">
        <f t="shared" ref="AL191:AL196" si="70">AP191*$CF$172</f>
        <v>0</v>
      </c>
      <c r="AM191" s="65">
        <f t="shared" ref="AM191:AM196" si="71">AP191*$CG$172</f>
        <v>0</v>
      </c>
      <c r="AN191" s="65">
        <f t="shared" ref="AN191:AN196" si="72">AP191*$CH$172</f>
        <v>0</v>
      </c>
      <c r="AO191" s="65">
        <f t="shared" ref="AO191:AO196" si="73">AP191*4-SUM(AL191:AN191)</f>
        <v>0</v>
      </c>
      <c r="AP191" s="11">
        <f>VLOOKUP($B191,'Woodmac profile - Gas'!$B$402:$AL$428,MATCH('Production - Gas'!AP$178,'Woodmac profile - Gas'!$B$364:$AL$364),FALSE)</f>
        <v>0</v>
      </c>
      <c r="AQ191" s="65">
        <f t="shared" ref="AQ191:AQ196" si="74">AU191*$CF$172</f>
        <v>0</v>
      </c>
      <c r="AR191" s="65">
        <f t="shared" ref="AR191:AR196" si="75">AU191*$CG$172</f>
        <v>0</v>
      </c>
      <c r="AS191" s="65">
        <f t="shared" ref="AS191:AS196" si="76">AU191*$CH$172</f>
        <v>0</v>
      </c>
      <c r="AT191" s="65">
        <f t="shared" ref="AT191:AT196" si="77">AU191*4-SUM(AQ191:AS191)</f>
        <v>0</v>
      </c>
      <c r="AU191" s="11">
        <f>VLOOKUP($B191,'Woodmac profile - Gas'!$B$402:$AL$428,MATCH('Production - Gas'!AU$178,'Woodmac profile - Gas'!$B$364:$AL$364),FALSE)</f>
        <v>0</v>
      </c>
      <c r="AV191" s="65">
        <f t="shared" ref="AV191:AV196" si="78">AZ191*$CF$172</f>
        <v>0</v>
      </c>
      <c r="AW191" s="65">
        <f t="shared" ref="AW191:AW196" si="79">AZ191*$CG$172</f>
        <v>0</v>
      </c>
      <c r="AX191" s="65">
        <f t="shared" ref="AX191:AX196" si="80">AZ191*$CH$172</f>
        <v>0</v>
      </c>
      <c r="AY191" s="65">
        <f t="shared" ref="AY191:AY196" si="81">AZ191*4-SUM(AV191:AX191)</f>
        <v>0</v>
      </c>
      <c r="AZ191" s="11">
        <f>VLOOKUP($B191,'Woodmac profile - Gas'!$B$402:$AL$428,MATCH('Production - Gas'!AZ$178,'Woodmac profile - Gas'!$B$364:$AL$364),FALSE)</f>
        <v>0</v>
      </c>
      <c r="BA191" s="65">
        <f t="shared" ref="BA191:BA196" si="82">BE191*$CF$172</f>
        <v>0</v>
      </c>
      <c r="BB191" s="65">
        <f t="shared" ref="BB191:BB196" si="83">BE191*$CG$172</f>
        <v>0</v>
      </c>
      <c r="BC191" s="65">
        <f t="shared" ref="BC191:BC196" si="84">BE191*$CH$172</f>
        <v>0</v>
      </c>
      <c r="BD191" s="65">
        <f t="shared" ref="BD191:BD196" si="85">BE191*4-SUM(BA191:BC191)</f>
        <v>0</v>
      </c>
      <c r="BE191" s="11">
        <f>VLOOKUP($B191,'Woodmac profile - Gas'!$B$402:$AL$428,MATCH('Production - Gas'!BE$178,'Woodmac profile - Gas'!$B$364:$AL$364),FALSE)</f>
        <v>0</v>
      </c>
      <c r="BF191" s="65">
        <f t="shared" ref="BF191:BF196" si="86">BJ191*$CF$172</f>
        <v>0</v>
      </c>
      <c r="BG191" s="65">
        <f t="shared" ref="BG191:BG196" si="87">BJ191*$CG$172</f>
        <v>0</v>
      </c>
      <c r="BH191" s="65">
        <f t="shared" ref="BH191:BH196" si="88">BJ191*$CH$172</f>
        <v>0</v>
      </c>
      <c r="BI191" s="65">
        <f t="shared" ref="BI191:BI196" si="89">BJ191*4-SUM(BF191:BH191)</f>
        <v>0</v>
      </c>
      <c r="BJ191" s="11">
        <f>VLOOKUP($B191,'Woodmac profile - Gas'!$B$402:$AL$428,MATCH('Production - Gas'!BJ$178,'Woodmac profile - Gas'!$B$364:$AL$364),FALSE)</f>
        <v>0</v>
      </c>
      <c r="BK191" s="65">
        <f t="shared" ref="BK191:BK196" si="90">BO191*$CF$172</f>
        <v>0</v>
      </c>
      <c r="BL191" s="65">
        <f t="shared" ref="BL191:BL196" si="91">BO191*$CG$172</f>
        <v>0</v>
      </c>
      <c r="BM191" s="65">
        <f t="shared" ref="BM191:BM196" si="92">BO191*$CH$172</f>
        <v>0</v>
      </c>
      <c r="BN191" s="65">
        <f t="shared" ref="BN191:BN196" si="93">BO191*4-SUM(BK191:BM191)</f>
        <v>0</v>
      </c>
      <c r="BO191" s="11">
        <f>VLOOKUP($B191,'Woodmac profile - Gas'!$B$402:$AL$428,MATCH('Production - Gas'!BO$178,'Woodmac profile - Gas'!$B$364:$AL$364),FALSE)</f>
        <v>0</v>
      </c>
      <c r="BP191" s="65">
        <f t="shared" ref="BP191:BP196" si="94">BT191*$CF$172</f>
        <v>0</v>
      </c>
      <c r="BQ191" s="65">
        <f t="shared" ref="BQ191:BQ196" si="95">BT191*$CG$172</f>
        <v>0</v>
      </c>
      <c r="BR191" s="65">
        <f t="shared" ref="BR191:BR196" si="96">BT191*$CH$172</f>
        <v>0</v>
      </c>
      <c r="BS191" s="65">
        <f t="shared" ref="BS191:BS196" si="97">BT191*4-SUM(BP191:BR191)</f>
        <v>0</v>
      </c>
      <c r="BT191" s="11">
        <f>VLOOKUP($B191,'Woodmac profile - Gas'!$B$402:$AL$428,MATCH('Production - Gas'!BT$178,'Woodmac profile - Gas'!$B$364:$AL$364),FALSE)</f>
        <v>0</v>
      </c>
      <c r="BU191" s="65">
        <f t="shared" ref="BU191:BU196" si="98">BY191*$CF$172</f>
        <v>0</v>
      </c>
      <c r="BV191" s="65">
        <f t="shared" ref="BV191:BV196" si="99">BY191*$CG$172</f>
        <v>0</v>
      </c>
      <c r="BW191" s="65">
        <f t="shared" ref="BW191:BW196" si="100">BY191*$CH$172</f>
        <v>0</v>
      </c>
      <c r="BX191" s="65">
        <f t="shared" ref="BX191:BX196" si="101">BY191*4-SUM(BU191:BW191)</f>
        <v>0</v>
      </c>
      <c r="BY191" s="11">
        <f>VLOOKUP($B191,'Woodmac profile - Gas'!$B$402:$AL$428,MATCH('Production - Gas'!BY$178,'Woodmac profile - Gas'!$B$364:$AL$364),FALSE)</f>
        <v>0</v>
      </c>
      <c r="BZ191" s="65">
        <f t="shared" ref="BZ191:BZ196" si="102">CD191*$CF$172</f>
        <v>0</v>
      </c>
      <c r="CA191" s="65">
        <f t="shared" ref="CA191:CA196" si="103">CD191*$CG$172</f>
        <v>0</v>
      </c>
      <c r="CB191" s="65">
        <f t="shared" ref="CB191:CB196" si="104">CD191*$CH$172</f>
        <v>0</v>
      </c>
      <c r="CC191" s="65">
        <f t="shared" ref="CC191:CC196" si="105">CD191*4-SUM(BZ191:CB191)</f>
        <v>0</v>
      </c>
      <c r="CD191" s="11">
        <f>VLOOKUP($B191,'Woodmac profile - Gas'!$B$402:$AL$428,MATCH('Production - Gas'!CD$178,'Woodmac profile - Gas'!$B$364:$AL$364),FALSE)</f>
        <v>0</v>
      </c>
      <c r="CE191" s="5"/>
      <c r="CF191" s="5"/>
      <c r="CG191" s="5"/>
      <c r="CH191" s="5"/>
      <c r="CI191" s="5"/>
    </row>
    <row r="192" spans="1:87">
      <c r="A192" s="39"/>
      <c r="B192" s="11" t="s">
        <v>785</v>
      </c>
      <c r="C192" s="11"/>
      <c r="D192" s="11"/>
      <c r="E192" s="11">
        <f>VLOOKUP($B192,'Woodmac profile - Gas'!$B$402:$AL$428,MATCH('Production - Gas'!E$178,'Woodmac profile - Gas'!$B$364:$AL$364),FALSE)</f>
        <v>0</v>
      </c>
      <c r="F192" s="11">
        <f>VLOOKUP($B192,'Woodmac profile - Gas'!$B$402:$AL$428,MATCH('Production - Gas'!F$178,'Woodmac profile - Gas'!$B$364:$AL$364),FALSE)</f>
        <v>0</v>
      </c>
      <c r="G192" s="11">
        <f>VLOOKUP($B192,'Woodmac profile - Gas'!$B$402:$AL$428,MATCH('Production - Gas'!G$178,'Woodmac profile - Gas'!$B$364:$AL$364),FALSE)</f>
        <v>0</v>
      </c>
      <c r="H192" s="82"/>
      <c r="I192" s="82"/>
      <c r="J192" s="82"/>
      <c r="K192" s="82"/>
      <c r="L192" s="11">
        <f>VLOOKUP($B192,'Woodmac profile - Gas'!$B$402:$AL$428,MATCH('Production - Gas'!L$178,'Woodmac profile - Gas'!$B$364:$AL$364),FALSE)</f>
        <v>0</v>
      </c>
      <c r="M192" s="65">
        <f>$Q192*M$172</f>
        <v>0</v>
      </c>
      <c r="N192" s="65">
        <f>$Q192*N$172</f>
        <v>0</v>
      </c>
      <c r="O192" s="65">
        <f>$Q192*O$172</f>
        <v>0</v>
      </c>
      <c r="P192" s="65">
        <f>Q192*4-SUM(M192:O192)</f>
        <v>0</v>
      </c>
      <c r="Q192" s="11">
        <f>VLOOKUP($B192,'Woodmac profile - Gas'!$B$402:$AL$428,MATCH('Production - Gas'!Q$178,'Woodmac profile - Gas'!$B$364:$AL$364),FALSE)</f>
        <v>0</v>
      </c>
      <c r="R192" s="65">
        <f>V192*R$172</f>
        <v>0</v>
      </c>
      <c r="S192" s="65">
        <f>V192*S$172</f>
        <v>0</v>
      </c>
      <c r="T192" s="65">
        <f>V192*T$172</f>
        <v>0</v>
      </c>
      <c r="U192" s="65">
        <f>V192*4-SUM(R192:T192)</f>
        <v>0</v>
      </c>
      <c r="V192" s="11">
        <f>VLOOKUP($B192,'Woodmac profile - Gas'!$B$402:$AL$428,MATCH('Production - Gas'!V$178,'Woodmac profile - Gas'!$B$364:$AL$364),FALSE)</f>
        <v>0</v>
      </c>
      <c r="W192" s="65">
        <f>AA192*W$172</f>
        <v>0</v>
      </c>
      <c r="X192" s="65">
        <f>AA192*X$172</f>
        <v>0</v>
      </c>
      <c r="Y192" s="65">
        <f>AA192*Y$172</f>
        <v>0</v>
      </c>
      <c r="Z192" s="65">
        <f>AA192*4-SUM(W192:Y192)</f>
        <v>0</v>
      </c>
      <c r="AA192" s="11">
        <f>VLOOKUP($B192,'Woodmac profile - Gas'!$B$402:$AL$428,MATCH('Production - Gas'!AA$178,'Woodmac profile - Gas'!$B$364:$AL$364),FALSE)</f>
        <v>0</v>
      </c>
      <c r="AB192" s="65">
        <f>AF192*AB$172</f>
        <v>0</v>
      </c>
      <c r="AC192" s="65">
        <f>AF192*AC$172</f>
        <v>0</v>
      </c>
      <c r="AD192" s="65">
        <f>AF192*AD$172</f>
        <v>0</v>
      </c>
      <c r="AE192" s="65">
        <f>AF192*4-SUM(AB192:AD192)</f>
        <v>0</v>
      </c>
      <c r="AF192" s="11">
        <f>VLOOKUP($B192,'Woodmac profile - Gas'!$B$402:$AL$428,MATCH('Production - Gas'!AF$178,'Woodmac profile - Gas'!$B$364:$AL$364),FALSE)</f>
        <v>0</v>
      </c>
      <c r="AG192" s="65">
        <f>AK192*CF$172</f>
        <v>0</v>
      </c>
      <c r="AH192" s="65">
        <f>AK192*CG$172</f>
        <v>0</v>
      </c>
      <c r="AI192" s="65">
        <f>AK192*CH$172</f>
        <v>0</v>
      </c>
      <c r="AJ192" s="65">
        <f>AK192*4-SUM(AG192:AI192)</f>
        <v>0</v>
      </c>
      <c r="AK192" s="11">
        <f>VLOOKUP($B192,'Woodmac profile - Gas'!$B$402:$AL$428,MATCH('Production - Gas'!AK$178,'Woodmac profile - Gas'!$B$364:$AL$364),FALSE)</f>
        <v>0</v>
      </c>
      <c r="AL192" s="65">
        <f>AP192*$CF$172</f>
        <v>0</v>
      </c>
      <c r="AM192" s="65">
        <f>AP192*$CG$172</f>
        <v>0</v>
      </c>
      <c r="AN192" s="65">
        <f>AP192*$CH$172</f>
        <v>0</v>
      </c>
      <c r="AO192" s="65">
        <f>AP192*4-SUM(AL192:AN192)</f>
        <v>0</v>
      </c>
      <c r="AP192" s="11">
        <f>VLOOKUP($B192,'Woodmac profile - Gas'!$B$402:$AL$428,MATCH('Production - Gas'!AP$178,'Woodmac profile - Gas'!$B$364:$AL$364),FALSE)</f>
        <v>0</v>
      </c>
      <c r="AQ192" s="65">
        <f>AU192*$CF$172</f>
        <v>0</v>
      </c>
      <c r="AR192" s="65">
        <f>AU192*$CG$172</f>
        <v>0</v>
      </c>
      <c r="AS192" s="65">
        <f>AU192*$CH$172</f>
        <v>0</v>
      </c>
      <c r="AT192" s="65">
        <f>AU192*4-SUM(AQ192:AS192)</f>
        <v>0</v>
      </c>
      <c r="AU192" s="11">
        <f>VLOOKUP($B192,'Woodmac profile - Gas'!$B$402:$AL$428,MATCH('Production - Gas'!AU$178,'Woodmac profile - Gas'!$B$364:$AL$364),FALSE)</f>
        <v>0</v>
      </c>
      <c r="AV192" s="65">
        <f>AZ192*$CF$172</f>
        <v>0</v>
      </c>
      <c r="AW192" s="65">
        <f>AZ192*$CG$172</f>
        <v>0</v>
      </c>
      <c r="AX192" s="65">
        <f>AZ192*$CH$172</f>
        <v>0</v>
      </c>
      <c r="AY192" s="65">
        <f>AZ192*4-SUM(AV192:AX192)</f>
        <v>0</v>
      </c>
      <c r="AZ192" s="11">
        <f>VLOOKUP($B192,'Woodmac profile - Gas'!$B$402:$AL$428,MATCH('Production - Gas'!AZ$178,'Woodmac profile - Gas'!$B$364:$AL$364),FALSE)</f>
        <v>0</v>
      </c>
      <c r="BA192" s="65">
        <f>BE192*$CF$172</f>
        <v>0</v>
      </c>
      <c r="BB192" s="65">
        <f>BE192*$CG$172</f>
        <v>0</v>
      </c>
      <c r="BC192" s="65">
        <f>BE192*$CH$172</f>
        <v>0</v>
      </c>
      <c r="BD192" s="65">
        <f>BE192*4-SUM(BA192:BC192)</f>
        <v>0</v>
      </c>
      <c r="BE192" s="11">
        <f>VLOOKUP($B192,'Woodmac profile - Gas'!$B$402:$AL$428,MATCH('Production - Gas'!BE$178,'Woodmac profile - Gas'!$B$364:$AL$364),FALSE)</f>
        <v>0</v>
      </c>
      <c r="BF192" s="65">
        <f>BJ192*$CF$172</f>
        <v>0</v>
      </c>
      <c r="BG192" s="65">
        <f>BJ192*$CG$172</f>
        <v>0</v>
      </c>
      <c r="BH192" s="65">
        <f>BJ192*$CH$172</f>
        <v>0</v>
      </c>
      <c r="BI192" s="65">
        <f>BJ192*4-SUM(BF192:BH192)</f>
        <v>0</v>
      </c>
      <c r="BJ192" s="11">
        <f>VLOOKUP($B192,'Woodmac profile - Gas'!$B$402:$AL$428,MATCH('Production - Gas'!BJ$178,'Woodmac profile - Gas'!$B$364:$AL$364),FALSE)</f>
        <v>0</v>
      </c>
      <c r="BK192" s="65">
        <f>BO192*$CF$172</f>
        <v>0</v>
      </c>
      <c r="BL192" s="65">
        <f>BO192*$CG$172</f>
        <v>0</v>
      </c>
      <c r="BM192" s="65">
        <f>BO192*$CH$172</f>
        <v>0</v>
      </c>
      <c r="BN192" s="65">
        <f>BO192*4-SUM(BK192:BM192)</f>
        <v>0</v>
      </c>
      <c r="BO192" s="11">
        <f>VLOOKUP($B192,'Woodmac profile - Gas'!$B$402:$AL$428,MATCH('Production - Gas'!BO$178,'Woodmac profile - Gas'!$B$364:$AL$364),FALSE)</f>
        <v>0</v>
      </c>
      <c r="BP192" s="65">
        <f>BT192*$CF$172</f>
        <v>0</v>
      </c>
      <c r="BQ192" s="65">
        <f>BT192*$CG$172</f>
        <v>0</v>
      </c>
      <c r="BR192" s="65">
        <f>BT192*$CH$172</f>
        <v>0</v>
      </c>
      <c r="BS192" s="65">
        <f>BT192*4-SUM(BP192:BR192)</f>
        <v>0</v>
      </c>
      <c r="BT192" s="11">
        <f>VLOOKUP($B192,'Woodmac profile - Gas'!$B$402:$AL$428,MATCH('Production - Gas'!BT$178,'Woodmac profile - Gas'!$B$364:$AL$364),FALSE)</f>
        <v>0</v>
      </c>
      <c r="BU192" s="65">
        <f>BY192*$CF$172</f>
        <v>0</v>
      </c>
      <c r="BV192" s="65">
        <f>BY192*$CG$172</f>
        <v>0</v>
      </c>
      <c r="BW192" s="65">
        <f>BY192*$CH$172</f>
        <v>0</v>
      </c>
      <c r="BX192" s="65">
        <f>BY192*4-SUM(BU192:BW192)</f>
        <v>0</v>
      </c>
      <c r="BY192" s="11">
        <f>VLOOKUP($B192,'Woodmac profile - Gas'!$B$402:$AL$428,MATCH('Production - Gas'!BY$178,'Woodmac profile - Gas'!$B$364:$AL$364),FALSE)</f>
        <v>0</v>
      </c>
      <c r="BZ192" s="65">
        <f>CD192*$CF$172</f>
        <v>0</v>
      </c>
      <c r="CA192" s="65">
        <f>CD192*$CG$172</f>
        <v>0</v>
      </c>
      <c r="CB192" s="65">
        <f>CD192*$CH$172</f>
        <v>0</v>
      </c>
      <c r="CC192" s="65">
        <f>CD192*4-SUM(BZ192:CB192)</f>
        <v>0</v>
      </c>
      <c r="CD192" s="11">
        <f>VLOOKUP($B192,'Woodmac profile - Gas'!$B$402:$AL$428,MATCH('Production - Gas'!CD$178,'Woodmac profile - Gas'!$B$364:$AL$364),FALSE)</f>
        <v>0</v>
      </c>
      <c r="CE192" s="5"/>
      <c r="CF192" s="5"/>
      <c r="CG192" s="5"/>
      <c r="CH192" s="5"/>
      <c r="CI192" s="5"/>
    </row>
    <row r="193" spans="1:87">
      <c r="A193" s="39"/>
      <c r="B193" s="11" t="s">
        <v>2428</v>
      </c>
      <c r="C193" s="11">
        <v>0</v>
      </c>
      <c r="D193" s="11">
        <v>0</v>
      </c>
      <c r="E193" s="11">
        <v>0</v>
      </c>
      <c r="F193" s="11">
        <v>0</v>
      </c>
      <c r="G193" s="11">
        <v>0</v>
      </c>
      <c r="H193" s="51"/>
      <c r="I193" s="51"/>
      <c r="J193" s="51"/>
      <c r="K193" s="51"/>
      <c r="L193" s="11">
        <v>0</v>
      </c>
      <c r="M193" s="51"/>
      <c r="N193" s="51"/>
      <c r="O193" s="51"/>
      <c r="P193" s="51"/>
      <c r="Q193" s="11">
        <v>0</v>
      </c>
      <c r="R193" s="51"/>
      <c r="S193" s="51"/>
      <c r="T193" s="51"/>
      <c r="U193" s="51"/>
      <c r="V193" s="11">
        <v>0</v>
      </c>
      <c r="W193" s="51"/>
      <c r="X193" s="51"/>
      <c r="Y193" s="51"/>
      <c r="Z193" s="51"/>
      <c r="AA193" s="11">
        <v>0</v>
      </c>
      <c r="AB193" s="51"/>
      <c r="AC193" s="51"/>
      <c r="AD193" s="51"/>
      <c r="AE193" s="51"/>
      <c r="AF193" s="11">
        <v>0</v>
      </c>
      <c r="AG193" s="65">
        <f t="shared" si="66"/>
        <v>0</v>
      </c>
      <c r="AH193" s="65">
        <f t="shared" si="67"/>
        <v>0</v>
      </c>
      <c r="AI193" s="65">
        <f t="shared" si="68"/>
        <v>0</v>
      </c>
      <c r="AJ193" s="65">
        <f t="shared" si="69"/>
        <v>0</v>
      </c>
      <c r="AK193" s="11">
        <f>VLOOKUP($B193,'Woodmac profile - Gas'!$B$402:$AL$428,MATCH('Production - Gas'!AK$178,'Woodmac profile - Gas'!$B$364:$AL$364),FALSE)</f>
        <v>0</v>
      </c>
      <c r="AL193" s="65">
        <f t="shared" si="70"/>
        <v>0</v>
      </c>
      <c r="AM193" s="65">
        <f t="shared" si="71"/>
        <v>0</v>
      </c>
      <c r="AN193" s="65">
        <f t="shared" si="72"/>
        <v>0</v>
      </c>
      <c r="AO193" s="65">
        <f t="shared" si="73"/>
        <v>0</v>
      </c>
      <c r="AP193" s="11">
        <f>VLOOKUP($B193,'Woodmac profile - Gas'!$B$402:$AL$428,MATCH('Production - Gas'!AP$178,'Woodmac profile - Gas'!$B$364:$AL$364),FALSE)</f>
        <v>0</v>
      </c>
      <c r="AQ193" s="65">
        <f t="shared" si="74"/>
        <v>0</v>
      </c>
      <c r="AR193" s="65">
        <f t="shared" si="75"/>
        <v>0</v>
      </c>
      <c r="AS193" s="65">
        <f t="shared" si="76"/>
        <v>0</v>
      </c>
      <c r="AT193" s="65">
        <f t="shared" si="77"/>
        <v>0</v>
      </c>
      <c r="AU193" s="11">
        <f>VLOOKUP($B193,'Woodmac profile - Gas'!$B$402:$AL$428,MATCH('Production - Gas'!AU$178,'Woodmac profile - Gas'!$B$364:$AL$364),FALSE)</f>
        <v>0</v>
      </c>
      <c r="AV193" s="65">
        <f t="shared" si="78"/>
        <v>0</v>
      </c>
      <c r="AW193" s="65">
        <f t="shared" si="79"/>
        <v>0</v>
      </c>
      <c r="AX193" s="65">
        <f t="shared" si="80"/>
        <v>0</v>
      </c>
      <c r="AY193" s="65">
        <f t="shared" si="81"/>
        <v>0</v>
      </c>
      <c r="AZ193" s="11">
        <f>VLOOKUP($B193,'Woodmac profile - Gas'!$B$402:$AL$428,MATCH('Production - Gas'!AZ$178,'Woodmac profile - Gas'!$B$364:$AL$364),FALSE)</f>
        <v>0</v>
      </c>
      <c r="BA193" s="65">
        <f t="shared" si="82"/>
        <v>0</v>
      </c>
      <c r="BB193" s="65">
        <f t="shared" si="83"/>
        <v>0</v>
      </c>
      <c r="BC193" s="65">
        <f t="shared" si="84"/>
        <v>0</v>
      </c>
      <c r="BD193" s="65">
        <f t="shared" si="85"/>
        <v>0</v>
      </c>
      <c r="BE193" s="11">
        <f>VLOOKUP($B193,'Woodmac profile - Gas'!$B$402:$AL$428,MATCH('Production - Gas'!BE$178,'Woodmac profile - Gas'!$B$364:$AL$364),FALSE)</f>
        <v>0</v>
      </c>
      <c r="BF193" s="65">
        <f t="shared" si="86"/>
        <v>0</v>
      </c>
      <c r="BG193" s="65">
        <f t="shared" si="87"/>
        <v>0</v>
      </c>
      <c r="BH193" s="65">
        <f t="shared" si="88"/>
        <v>0</v>
      </c>
      <c r="BI193" s="65">
        <f t="shared" si="89"/>
        <v>0</v>
      </c>
      <c r="BJ193" s="11">
        <f>VLOOKUP($B193,'Woodmac profile - Gas'!$B$402:$AL$428,MATCH('Production - Gas'!BJ$178,'Woodmac profile - Gas'!$B$364:$AL$364),FALSE)</f>
        <v>0</v>
      </c>
      <c r="BK193" s="65">
        <f t="shared" si="90"/>
        <v>0</v>
      </c>
      <c r="BL193" s="65">
        <f t="shared" si="91"/>
        <v>0</v>
      </c>
      <c r="BM193" s="65">
        <f t="shared" si="92"/>
        <v>0</v>
      </c>
      <c r="BN193" s="65">
        <f t="shared" si="93"/>
        <v>0</v>
      </c>
      <c r="BO193" s="11">
        <f>VLOOKUP($B193,'Woodmac profile - Gas'!$B$402:$AL$428,MATCH('Production - Gas'!BO$178,'Woodmac profile - Gas'!$B$364:$AL$364),FALSE)</f>
        <v>0</v>
      </c>
      <c r="BP193" s="65">
        <f t="shared" si="94"/>
        <v>0</v>
      </c>
      <c r="BQ193" s="65">
        <f t="shared" si="95"/>
        <v>0</v>
      </c>
      <c r="BR193" s="65">
        <f t="shared" si="96"/>
        <v>0</v>
      </c>
      <c r="BS193" s="65">
        <f t="shared" si="97"/>
        <v>0</v>
      </c>
      <c r="BT193" s="11">
        <f>VLOOKUP($B193,'Woodmac profile - Gas'!$B$402:$AL$428,MATCH('Production - Gas'!BT$178,'Woodmac profile - Gas'!$B$364:$AL$364),FALSE)</f>
        <v>0</v>
      </c>
      <c r="BU193" s="65">
        <f t="shared" si="98"/>
        <v>0</v>
      </c>
      <c r="BV193" s="65">
        <f t="shared" si="99"/>
        <v>0</v>
      </c>
      <c r="BW193" s="65">
        <f t="shared" si="100"/>
        <v>0</v>
      </c>
      <c r="BX193" s="65">
        <f t="shared" si="101"/>
        <v>0</v>
      </c>
      <c r="BY193" s="11">
        <f>VLOOKUP($B193,'Woodmac profile - Gas'!$B$402:$AL$428,MATCH('Production - Gas'!BY$178,'Woodmac profile - Gas'!$B$364:$AL$364),FALSE)</f>
        <v>0</v>
      </c>
      <c r="BZ193" s="65">
        <f t="shared" si="102"/>
        <v>0</v>
      </c>
      <c r="CA193" s="65">
        <f t="shared" si="103"/>
        <v>0</v>
      </c>
      <c r="CB193" s="65">
        <f t="shared" si="104"/>
        <v>0</v>
      </c>
      <c r="CC193" s="65">
        <f t="shared" si="105"/>
        <v>0</v>
      </c>
      <c r="CD193" s="11">
        <f>VLOOKUP($B193,'Woodmac profile - Gas'!$B$402:$AL$428,MATCH('Production - Gas'!CD$178,'Woodmac profile - Gas'!$B$364:$AL$364),FALSE)</f>
        <v>0</v>
      </c>
      <c r="CE193" s="5"/>
      <c r="CF193" s="5"/>
      <c r="CG193" s="5"/>
      <c r="CH193" s="5"/>
      <c r="CI193" s="5"/>
    </row>
    <row r="194" spans="1:87">
      <c r="A194" s="11"/>
      <c r="B194" s="11" t="s">
        <v>2247</v>
      </c>
      <c r="C194" s="11"/>
      <c r="D194" s="11"/>
      <c r="E194" s="11">
        <f>VLOOKUP($B194,'Woodmac profile - Gas'!$B$402:$AL$428,MATCH('Production - Gas'!E$178,'Woodmac profile - Gas'!$B$364:$AL$364),FALSE)</f>
        <v>0</v>
      </c>
      <c r="F194" s="11">
        <f>VLOOKUP($B194,'Woodmac profile - Gas'!$B$402:$AL$428,MATCH('Production - Gas'!F$178,'Woodmac profile - Gas'!$B$364:$AL$364),FALSE)</f>
        <v>4</v>
      </c>
      <c r="G194" s="11">
        <f>VLOOKUP($B194,'Woodmac profile - Gas'!$B$402:$AL$428,MATCH('Production - Gas'!G$178,'Woodmac profile - Gas'!$B$364:$AL$364),FALSE)</f>
        <v>2.5</v>
      </c>
      <c r="H194" s="82"/>
      <c r="I194" s="82"/>
      <c r="J194" s="82"/>
      <c r="K194" s="82"/>
      <c r="L194" s="11">
        <f>VLOOKUP($B194,'Woodmac profile - Gas'!$B$402:$AL$428,MATCH('Production - Gas'!L$178,'Woodmac profile - Gas'!$B$364:$AL$364),FALSE)</f>
        <v>38.380000000000003</v>
      </c>
      <c r="M194" s="65">
        <f t="shared" si="65"/>
        <v>58.357869095530603</v>
      </c>
      <c r="N194" s="65">
        <f t="shared" si="65"/>
        <v>54.427028171997456</v>
      </c>
      <c r="O194" s="65">
        <f t="shared" si="65"/>
        <v>57.1</v>
      </c>
      <c r="P194" s="65">
        <f>Q194*4-SUM(M194:O194)</f>
        <v>58.515102732471945</v>
      </c>
      <c r="Q194" s="11">
        <f>VLOOKUP($B194,'Woodmac profile - Gas'!$B$402:$AL$428,MATCH('Production - Gas'!Q$178,'Woodmac profile - Gas'!$B$364:$AL$364),FALSE)</f>
        <v>57.1</v>
      </c>
      <c r="R194" s="65">
        <f>V194*R$172</f>
        <v>56.816332022355624</v>
      </c>
      <c r="S194" s="65">
        <f>V194*S$172</f>
        <v>56.946346512109301</v>
      </c>
      <c r="T194" s="65">
        <f>V194*T$172</f>
        <v>56.863610018629686</v>
      </c>
      <c r="U194" s="65">
        <f>V194*4-SUM(R194:T194)</f>
        <v>57.773711446905395</v>
      </c>
      <c r="V194" s="11">
        <f>VLOOKUP($B194,'Woodmac profile - Gas'!$B$402:$AL$428,MATCH('Production - Gas'!V$178,'Woodmac profile - Gas'!$B$364:$AL$364),FALSE)</f>
        <v>57.1</v>
      </c>
      <c r="W194" s="65">
        <f>AA194*W$172</f>
        <v>91.131252533441426</v>
      </c>
      <c r="X194" s="65">
        <f>AA194*X$172</f>
        <v>92.769112282124027</v>
      </c>
      <c r="Y194" s="65">
        <f>AA194*Y$172</f>
        <v>86.990595865423586</v>
      </c>
      <c r="Z194" s="65">
        <f>AA194*4-SUM(W194:Y194)</f>
        <v>92.309039319010935</v>
      </c>
      <c r="AA194" s="11">
        <f>VLOOKUP($B194,'Woodmac profile - Gas'!$B$402:$AL$428,MATCH('Production - Gas'!AA$178,'Woodmac profile - Gas'!$B$364:$AL$364),FALSE)</f>
        <v>90.8</v>
      </c>
      <c r="AB194" s="65">
        <f>AF194*AB$172</f>
        <v>93.260442043221985</v>
      </c>
      <c r="AC194" s="65">
        <f>AF194*AC$172</f>
        <v>92.146502946954797</v>
      </c>
      <c r="AD194" s="65">
        <f>AF194*AD$172</f>
        <v>95.323968565815306</v>
      </c>
      <c r="AE194" s="65">
        <f>AF194*4-SUM(AB194:AD194)</f>
        <v>91.069086444007894</v>
      </c>
      <c r="AF194" s="11">
        <f>VLOOKUP($B194,'Woodmac profile - Gas'!$B$402:$AL$428,MATCH('Production - Gas'!AF$178,'Woodmac profile - Gas'!$B$364:$AL$364),FALSE)</f>
        <v>92.949999999999989</v>
      </c>
      <c r="AG194" s="65">
        <f t="shared" si="66"/>
        <v>0</v>
      </c>
      <c r="AH194" s="65">
        <f t="shared" si="67"/>
        <v>0</v>
      </c>
      <c r="AI194" s="65">
        <f t="shared" si="68"/>
        <v>0</v>
      </c>
      <c r="AJ194" s="65">
        <f t="shared" si="69"/>
        <v>0</v>
      </c>
      <c r="AK194" s="11">
        <f>VLOOKUP($B194,'Woodmac profile - Gas'!$B$402:$AL$428,MATCH('Production - Gas'!AK$178,'Woodmac profile - Gas'!$B$364:$AL$364),FALSE)</f>
        <v>0</v>
      </c>
      <c r="AL194" s="65">
        <f t="shared" si="70"/>
        <v>0</v>
      </c>
      <c r="AM194" s="65">
        <f t="shared" si="71"/>
        <v>0</v>
      </c>
      <c r="AN194" s="65">
        <f t="shared" si="72"/>
        <v>0</v>
      </c>
      <c r="AO194" s="65">
        <f t="shared" si="73"/>
        <v>0</v>
      </c>
      <c r="AP194" s="11">
        <f>VLOOKUP($B194,'Woodmac profile - Gas'!$B$402:$AL$428,MATCH('Production - Gas'!AP$178,'Woodmac profile - Gas'!$B$364:$AL$364),FALSE)</f>
        <v>0</v>
      </c>
      <c r="AQ194" s="65">
        <f t="shared" si="74"/>
        <v>0</v>
      </c>
      <c r="AR194" s="65">
        <f t="shared" si="75"/>
        <v>0</v>
      </c>
      <c r="AS194" s="65">
        <f t="shared" si="76"/>
        <v>0</v>
      </c>
      <c r="AT194" s="65">
        <f t="shared" si="77"/>
        <v>0</v>
      </c>
      <c r="AU194" s="11">
        <f>VLOOKUP($B194,'Woodmac profile - Gas'!$B$402:$AL$428,MATCH('Production - Gas'!AU$178,'Woodmac profile - Gas'!$B$364:$AL$364),FALSE)</f>
        <v>0</v>
      </c>
      <c r="AV194" s="65">
        <f t="shared" si="78"/>
        <v>0</v>
      </c>
      <c r="AW194" s="65">
        <f t="shared" si="79"/>
        <v>0</v>
      </c>
      <c r="AX194" s="65">
        <f t="shared" si="80"/>
        <v>0</v>
      </c>
      <c r="AY194" s="65">
        <f t="shared" si="81"/>
        <v>0</v>
      </c>
      <c r="AZ194" s="11">
        <f>VLOOKUP($B194,'Woodmac profile - Gas'!$B$402:$AL$428,MATCH('Production - Gas'!AZ$178,'Woodmac profile - Gas'!$B$364:$AL$364),FALSE)</f>
        <v>0</v>
      </c>
      <c r="BA194" s="65">
        <f t="shared" si="82"/>
        <v>0</v>
      </c>
      <c r="BB194" s="65">
        <f t="shared" si="83"/>
        <v>0</v>
      </c>
      <c r="BC194" s="65">
        <f t="shared" si="84"/>
        <v>0</v>
      </c>
      <c r="BD194" s="65">
        <f t="shared" si="85"/>
        <v>0</v>
      </c>
      <c r="BE194" s="11">
        <f>VLOOKUP($B194,'Woodmac profile - Gas'!$B$402:$AL$428,MATCH('Production - Gas'!BE$178,'Woodmac profile - Gas'!$B$364:$AL$364),FALSE)</f>
        <v>0</v>
      </c>
      <c r="BF194" s="65">
        <f t="shared" si="86"/>
        <v>0</v>
      </c>
      <c r="BG194" s="65">
        <f t="shared" si="87"/>
        <v>0</v>
      </c>
      <c r="BH194" s="65">
        <f t="shared" si="88"/>
        <v>0</v>
      </c>
      <c r="BI194" s="65">
        <f t="shared" si="89"/>
        <v>0</v>
      </c>
      <c r="BJ194" s="11">
        <f>VLOOKUP($B194,'Woodmac profile - Gas'!$B$402:$AL$428,MATCH('Production - Gas'!BJ$178,'Woodmac profile - Gas'!$B$364:$AL$364),FALSE)</f>
        <v>0</v>
      </c>
      <c r="BK194" s="65">
        <f t="shared" si="90"/>
        <v>0</v>
      </c>
      <c r="BL194" s="65">
        <f t="shared" si="91"/>
        <v>0</v>
      </c>
      <c r="BM194" s="65">
        <f t="shared" si="92"/>
        <v>0</v>
      </c>
      <c r="BN194" s="65">
        <f t="shared" si="93"/>
        <v>0</v>
      </c>
      <c r="BO194" s="11">
        <f>VLOOKUP($B194,'Woodmac profile - Gas'!$B$402:$AL$428,MATCH('Production - Gas'!BO$178,'Woodmac profile - Gas'!$B$364:$AL$364),FALSE)</f>
        <v>0</v>
      </c>
      <c r="BP194" s="65">
        <f t="shared" si="94"/>
        <v>0</v>
      </c>
      <c r="BQ194" s="65">
        <f t="shared" si="95"/>
        <v>0</v>
      </c>
      <c r="BR194" s="65">
        <f t="shared" si="96"/>
        <v>0</v>
      </c>
      <c r="BS194" s="65">
        <f t="shared" si="97"/>
        <v>0</v>
      </c>
      <c r="BT194" s="11">
        <f>VLOOKUP($B194,'Woodmac profile - Gas'!$B$402:$AL$428,MATCH('Production - Gas'!BT$178,'Woodmac profile - Gas'!$B$364:$AL$364),FALSE)</f>
        <v>0</v>
      </c>
      <c r="BU194" s="65">
        <f t="shared" si="98"/>
        <v>0</v>
      </c>
      <c r="BV194" s="65">
        <f t="shared" si="99"/>
        <v>0</v>
      </c>
      <c r="BW194" s="65">
        <f t="shared" si="100"/>
        <v>0</v>
      </c>
      <c r="BX194" s="65">
        <f t="shared" si="101"/>
        <v>0</v>
      </c>
      <c r="BY194" s="11">
        <f>VLOOKUP($B194,'Woodmac profile - Gas'!$B$402:$AL$428,MATCH('Production - Gas'!BY$178,'Woodmac profile - Gas'!$B$364:$AL$364),FALSE)</f>
        <v>0</v>
      </c>
      <c r="BZ194" s="65">
        <f t="shared" si="102"/>
        <v>0</v>
      </c>
      <c r="CA194" s="65">
        <f t="shared" si="103"/>
        <v>0</v>
      </c>
      <c r="CB194" s="65">
        <f t="shared" si="104"/>
        <v>0</v>
      </c>
      <c r="CC194" s="65">
        <f t="shared" si="105"/>
        <v>0</v>
      </c>
      <c r="CD194" s="11">
        <f>VLOOKUP($B194,'Woodmac profile - Gas'!$B$402:$AL$428,MATCH('Production - Gas'!CD$178,'Woodmac profile - Gas'!$B$364:$AL$364),FALSE)</f>
        <v>0</v>
      </c>
      <c r="CE194" s="5"/>
      <c r="CF194" s="5"/>
      <c r="CG194" s="5"/>
      <c r="CH194" s="5"/>
      <c r="CI194" s="5"/>
    </row>
    <row r="195" spans="1:87">
      <c r="A195" s="11"/>
      <c r="B195" s="11" t="s">
        <v>1280</v>
      </c>
      <c r="C195" s="11"/>
      <c r="D195" s="11"/>
      <c r="E195" s="11">
        <f>VLOOKUP($B195,'Woodmac profile - Gas'!$B$402:$AL$428,MATCH('Production - Gas'!E$178,'Woodmac profile - Gas'!$B$364:$AL$364),FALSE)</f>
        <v>1470</v>
      </c>
      <c r="F195" s="11">
        <f>VLOOKUP($B195,'Woodmac profile - Gas'!$B$402:$AL$428,MATCH('Production - Gas'!F$178,'Woodmac profile - Gas'!$B$364:$AL$364),FALSE)</f>
        <v>1382.5</v>
      </c>
      <c r="G195" s="11">
        <f>VLOOKUP($B195,'Woodmac profile - Gas'!$B$402:$AL$428,MATCH('Production - Gas'!G$178,'Woodmac profile - Gas'!$B$364:$AL$364),FALSE)</f>
        <v>1504.4</v>
      </c>
      <c r="H195" s="82"/>
      <c r="I195" s="82"/>
      <c r="J195" s="82"/>
      <c r="K195" s="82"/>
      <c r="L195" s="11">
        <f>VLOOKUP($B195,'Woodmac profile - Gas'!$B$402:$AL$428,MATCH('Production - Gas'!L$178,'Woodmac profile - Gas'!$B$364:$AL$364),FALSE)</f>
        <v>1523.75</v>
      </c>
      <c r="M195" s="65">
        <f t="shared" si="65"/>
        <v>1626.4062169031984</v>
      </c>
      <c r="N195" s="65">
        <f t="shared" si="65"/>
        <v>1516.855539080703</v>
      </c>
      <c r="O195" s="65">
        <f t="shared" si="65"/>
        <v>1591.35</v>
      </c>
      <c r="P195" s="65">
        <f>Q195*4-SUM(M195:O195)</f>
        <v>1630.7882440160984</v>
      </c>
      <c r="Q195" s="11">
        <f>VLOOKUP($B195,'Woodmac profile - Gas'!$B$402:$AL$428,MATCH('Production - Gas'!Q$178,'Woodmac profile - Gas'!$B$364:$AL$364),FALSE)</f>
        <v>1591.35</v>
      </c>
      <c r="R195" s="65">
        <f>V195*R$172</f>
        <v>1592.2503415441938</v>
      </c>
      <c r="S195" s="65">
        <f>V195*S$172</f>
        <v>1595.8939350031051</v>
      </c>
      <c r="T195" s="65">
        <f>V195*T$172</f>
        <v>1593.5752846201615</v>
      </c>
      <c r="U195" s="65">
        <f>V195*4-SUM(R195:T195)</f>
        <v>1619.0804388325396</v>
      </c>
      <c r="V195" s="11">
        <f>VLOOKUP($B195,'Woodmac profile - Gas'!$B$402:$AL$428,MATCH('Production - Gas'!V$178,'Woodmac profile - Gas'!$B$364:$AL$364),FALSE)</f>
        <v>1600.2</v>
      </c>
      <c r="W195" s="65">
        <f>AA195*W$172</f>
        <v>1651.2922740170247</v>
      </c>
      <c r="X195" s="65">
        <f>AA195*X$172</f>
        <v>1680.9701844345357</v>
      </c>
      <c r="Y195" s="65">
        <f>AA195*Y$172</f>
        <v>1576.2638488042157</v>
      </c>
      <c r="Z195" s="65">
        <f>AA195*4-SUM(W195:Y195)</f>
        <v>1672.6336927442235</v>
      </c>
      <c r="AA195" s="11">
        <f>VLOOKUP($B195,'Woodmac profile - Gas'!$B$402:$AL$428,MATCH('Production - Gas'!AA$178,'Woodmac profile - Gas'!$B$364:$AL$364),FALSE)</f>
        <v>1645.29</v>
      </c>
      <c r="AB195" s="65">
        <f>AF195*AB$172</f>
        <v>1657.8887210216108</v>
      </c>
      <c r="AC195" s="65">
        <f>AF195*AC$172</f>
        <v>1638.0862514734774</v>
      </c>
      <c r="AD195" s="65">
        <f>AF195*AD$172</f>
        <v>1694.5719842829074</v>
      </c>
      <c r="AE195" s="65">
        <f>AF195*4-SUM(AB195:AD195)</f>
        <v>1618.933043222004</v>
      </c>
      <c r="AF195" s="11">
        <f>VLOOKUP($B195,'Woodmac profile - Gas'!$B$402:$AL$428,MATCH('Production - Gas'!AF$178,'Woodmac profile - Gas'!$B$364:$AL$364),FALSE)</f>
        <v>1652.37</v>
      </c>
      <c r="AG195" s="65">
        <f t="shared" si="66"/>
        <v>1601.2635104656169</v>
      </c>
      <c r="AH195" s="65">
        <f t="shared" si="67"/>
        <v>1558.9937944099443</v>
      </c>
      <c r="AI195" s="65">
        <f t="shared" si="68"/>
        <v>1570.0087786260929</v>
      </c>
      <c r="AJ195" s="65">
        <f t="shared" si="69"/>
        <v>1588.9339164983458</v>
      </c>
      <c r="AK195" s="11">
        <f>VLOOKUP($B195,'Woodmac profile - Gas'!$B$402:$AL$428,MATCH('Production - Gas'!AK$178,'Woodmac profile - Gas'!$B$364:$AL$364),FALSE)</f>
        <v>1579.8</v>
      </c>
      <c r="AL195" s="65">
        <f t="shared" si="70"/>
        <v>1493.8740504492655</v>
      </c>
      <c r="AM195" s="65">
        <f t="shared" si="71"/>
        <v>1454.4391719781597</v>
      </c>
      <c r="AN195" s="65">
        <f t="shared" si="72"/>
        <v>1464.7154313065371</v>
      </c>
      <c r="AO195" s="65">
        <f t="shared" si="73"/>
        <v>1482.3713462660389</v>
      </c>
      <c r="AP195" s="11">
        <f>VLOOKUP($B195,'Woodmac profile - Gas'!$B$402:$AL$428,MATCH('Production - Gas'!AP$178,'Woodmac profile - Gas'!$B$364:$AL$364),FALSE)</f>
        <v>1473.8500000000001</v>
      </c>
      <c r="AQ195" s="65">
        <f t="shared" si="74"/>
        <v>1518.18998386873</v>
      </c>
      <c r="AR195" s="65">
        <f t="shared" si="75"/>
        <v>1478.1132200398727</v>
      </c>
      <c r="AS195" s="65">
        <f t="shared" si="76"/>
        <v>1488.556747042225</v>
      </c>
      <c r="AT195" s="65">
        <f t="shared" si="77"/>
        <v>1506.500049049172</v>
      </c>
      <c r="AU195" s="11">
        <f>VLOOKUP($B195,'Woodmac profile - Gas'!$B$402:$AL$428,MATCH('Production - Gas'!AU$178,'Woodmac profile - Gas'!$B$364:$AL$364),FALSE)</f>
        <v>1497.84</v>
      </c>
      <c r="AV195" s="65">
        <f t="shared" si="78"/>
        <v>1464.784125933274</v>
      </c>
      <c r="AW195" s="65">
        <f t="shared" si="79"/>
        <v>1426.1171553307579</v>
      </c>
      <c r="AX195" s="65">
        <f t="shared" si="80"/>
        <v>1436.1933070208245</v>
      </c>
      <c r="AY195" s="65">
        <f t="shared" si="81"/>
        <v>1453.505411715144</v>
      </c>
      <c r="AZ195" s="11">
        <f>VLOOKUP($B195,'Woodmac profile - Gas'!$B$402:$AL$428,MATCH('Production - Gas'!AZ$178,'Woodmac profile - Gas'!$B$364:$AL$364),FALSE)</f>
        <v>1445.15</v>
      </c>
      <c r="BA195" s="65">
        <f t="shared" si="82"/>
        <v>1330.7474841912983</v>
      </c>
      <c r="BB195" s="65">
        <f t="shared" si="83"/>
        <v>1295.6187761860742</v>
      </c>
      <c r="BC195" s="65">
        <f t="shared" si="84"/>
        <v>1304.7728988137637</v>
      </c>
      <c r="BD195" s="65">
        <f t="shared" si="85"/>
        <v>1320.5008408088638</v>
      </c>
      <c r="BE195" s="11">
        <f>VLOOKUP($B195,'Woodmac profile - Gas'!$B$402:$AL$428,MATCH('Production - Gas'!BE$178,'Woodmac profile - Gas'!$B$364:$AL$364),FALSE)</f>
        <v>1312.91</v>
      </c>
      <c r="BF195" s="65">
        <f t="shared" si="86"/>
        <v>1145.7375914420334</v>
      </c>
      <c r="BG195" s="65">
        <f t="shared" si="87"/>
        <v>1115.4927239682954</v>
      </c>
      <c r="BH195" s="65">
        <f t="shared" si="88"/>
        <v>1123.374175961111</v>
      </c>
      <c r="BI195" s="65">
        <f t="shared" si="89"/>
        <v>1136.9155086285609</v>
      </c>
      <c r="BJ195" s="11">
        <f>VLOOKUP($B195,'Woodmac profile - Gas'!$B$402:$AL$428,MATCH('Production - Gas'!BJ$178,'Woodmac profile - Gas'!$B$364:$AL$364),FALSE)</f>
        <v>1130.3800000000001</v>
      </c>
      <c r="BK195" s="65">
        <f t="shared" si="90"/>
        <v>1268.4119316570311</v>
      </c>
      <c r="BL195" s="65">
        <f t="shared" si="91"/>
        <v>1234.9287405130704</v>
      </c>
      <c r="BM195" s="65">
        <f t="shared" si="92"/>
        <v>1243.6540610586651</v>
      </c>
      <c r="BN195" s="65">
        <f t="shared" si="93"/>
        <v>1258.6452667712338</v>
      </c>
      <c r="BO195" s="11">
        <f>VLOOKUP($B195,'Woodmac profile - Gas'!$B$402:$AL$428,MATCH('Production - Gas'!BO$178,'Woodmac profile - Gas'!$B$364:$AL$364),FALSE)</f>
        <v>1251.4100000000001</v>
      </c>
      <c r="BP195" s="65">
        <f t="shared" si="94"/>
        <v>1420.9769295018752</v>
      </c>
      <c r="BQ195" s="65">
        <f t="shared" si="95"/>
        <v>1383.4663692854369</v>
      </c>
      <c r="BR195" s="65">
        <f t="shared" si="96"/>
        <v>1393.2411742114689</v>
      </c>
      <c r="BS195" s="65">
        <f t="shared" si="97"/>
        <v>1410.0355270012187</v>
      </c>
      <c r="BT195" s="11">
        <f>VLOOKUP($B195,'Woodmac profile - Gas'!$B$402:$AL$428,MATCH('Production - Gas'!BT$178,'Woodmac profile - Gas'!$B$364:$AL$364),FALSE)</f>
        <v>1401.93</v>
      </c>
      <c r="BU195" s="65">
        <f t="shared" si="98"/>
        <v>1631.7015046543006</v>
      </c>
      <c r="BV195" s="65">
        <f t="shared" si="99"/>
        <v>1588.6282947556404</v>
      </c>
      <c r="BW195" s="65">
        <f t="shared" si="100"/>
        <v>1599.8526598908995</v>
      </c>
      <c r="BX195" s="65">
        <f t="shared" si="101"/>
        <v>1619.1375406991592</v>
      </c>
      <c r="BY195" s="11">
        <f>VLOOKUP($B195,'Woodmac profile - Gas'!$B$402:$AL$428,MATCH('Production - Gas'!BY$178,'Woodmac profile - Gas'!$B$364:$AL$364),FALSE)</f>
        <v>1609.83</v>
      </c>
      <c r="BZ195" s="65">
        <f t="shared" si="102"/>
        <v>1593.8541951969098</v>
      </c>
      <c r="CA195" s="65">
        <f t="shared" si="103"/>
        <v>1551.7800682185677</v>
      </c>
      <c r="CB195" s="65">
        <f t="shared" si="104"/>
        <v>1562.7440842522756</v>
      </c>
      <c r="CC195" s="65">
        <f t="shared" si="105"/>
        <v>1581.5816523322474</v>
      </c>
      <c r="CD195" s="11">
        <f>VLOOKUP($B195,'Woodmac profile - Gas'!$B$402:$AL$428,MATCH('Production - Gas'!CD$178,'Woodmac profile - Gas'!$B$364:$AL$364),FALSE)</f>
        <v>1572.49</v>
      </c>
      <c r="CE195" s="5"/>
      <c r="CF195" s="5"/>
      <c r="CG195" s="5"/>
      <c r="CH195" s="5"/>
      <c r="CI195" s="5"/>
    </row>
    <row r="196" spans="1:87">
      <c r="A196" s="11"/>
      <c r="B196" s="11" t="s">
        <v>1036</v>
      </c>
      <c r="C196" s="11"/>
      <c r="D196" s="11"/>
      <c r="E196" s="11">
        <f>VLOOKUP($B196,'Woodmac profile - Gas'!$B$402:$AL$428,MATCH('Production - Gas'!E$178,'Woodmac profile - Gas'!$B$364:$AL$364),FALSE)</f>
        <v>0</v>
      </c>
      <c r="F196" s="11">
        <f>VLOOKUP($B196,'Woodmac profile - Gas'!$B$402:$AL$428,MATCH('Production - Gas'!F$178,'Woodmac profile - Gas'!$B$364:$AL$364),FALSE)</f>
        <v>0</v>
      </c>
      <c r="G196" s="11">
        <f>VLOOKUP($B196,'Woodmac profile - Gas'!$B$402:$AL$428,MATCH('Production - Gas'!G$178,'Woodmac profile - Gas'!$B$364:$AL$364),FALSE)</f>
        <v>0</v>
      </c>
      <c r="H196" s="82"/>
      <c r="I196" s="82"/>
      <c r="J196" s="82"/>
      <c r="K196" s="82"/>
      <c r="L196" s="11">
        <f>VLOOKUP($B196,'Woodmac profile - Gas'!$B$402:$AL$428,MATCH('Production - Gas'!L$178,'Woodmac profile - Gas'!$B$364:$AL$364),FALSE)</f>
        <v>0</v>
      </c>
      <c r="M196" s="65">
        <f t="shared" si="65"/>
        <v>0</v>
      </c>
      <c r="N196" s="65">
        <f t="shared" si="65"/>
        <v>0</v>
      </c>
      <c r="O196" s="65">
        <f t="shared" si="65"/>
        <v>0</v>
      </c>
      <c r="P196" s="65">
        <f>Q196*4-SUM(M196:O196)</f>
        <v>0</v>
      </c>
      <c r="Q196" s="11">
        <f>VLOOKUP($B196,'Woodmac profile - Gas'!$B$402:$AL$428,MATCH('Production - Gas'!Q$178,'Woodmac profile - Gas'!$B$364:$AL$364),FALSE)</f>
        <v>0</v>
      </c>
      <c r="R196" s="65">
        <f>V196*R$172</f>
        <v>0</v>
      </c>
      <c r="S196" s="65">
        <f>V196*S$172</f>
        <v>0</v>
      </c>
      <c r="T196" s="65">
        <f>V196*T$172</f>
        <v>0</v>
      </c>
      <c r="U196" s="65">
        <f>V196*4-SUM(R196:T196)</f>
        <v>0</v>
      </c>
      <c r="V196" s="11">
        <f>VLOOKUP($B196,'Woodmac profile - Gas'!$B$402:$AL$428,MATCH('Production - Gas'!V$178,'Woodmac profile - Gas'!$B$364:$AL$364),FALSE)</f>
        <v>0</v>
      </c>
      <c r="W196" s="65">
        <f>AA196*W$172</f>
        <v>0</v>
      </c>
      <c r="X196" s="65">
        <f>AA196*X$172</f>
        <v>0</v>
      </c>
      <c r="Y196" s="65">
        <f>AA196*Y$172</f>
        <v>0</v>
      </c>
      <c r="Z196" s="65">
        <f>AA196*4-SUM(W196:Y196)</f>
        <v>0</v>
      </c>
      <c r="AA196" s="11">
        <f>VLOOKUP($B196,'Woodmac profile - Gas'!$B$402:$AL$428,MATCH('Production - Gas'!AA$178,'Woodmac profile - Gas'!$B$364:$AL$364),FALSE)</f>
        <v>0</v>
      </c>
      <c r="AB196" s="65">
        <f>AF196*AB$172</f>
        <v>0</v>
      </c>
      <c r="AC196" s="65">
        <f>AF196*AC$172</f>
        <v>0</v>
      </c>
      <c r="AD196" s="65">
        <f>AF196*AD$172</f>
        <v>0</v>
      </c>
      <c r="AE196" s="65">
        <f>AF196*4-SUM(AB196:AD196)</f>
        <v>0</v>
      </c>
      <c r="AF196" s="11">
        <f>VLOOKUP($B196,'Woodmac profile - Gas'!$B$402:$AL$428,MATCH('Production - Gas'!AF$178,'Woodmac profile - Gas'!$B$364:$AL$364),FALSE)</f>
        <v>0</v>
      </c>
      <c r="AG196" s="65">
        <f t="shared" si="66"/>
        <v>0</v>
      </c>
      <c r="AH196" s="65">
        <f t="shared" si="67"/>
        <v>0</v>
      </c>
      <c r="AI196" s="65">
        <f t="shared" si="68"/>
        <v>0</v>
      </c>
      <c r="AJ196" s="65">
        <f t="shared" si="69"/>
        <v>0</v>
      </c>
      <c r="AK196" s="11">
        <f>VLOOKUP($B196,'Woodmac profile - Gas'!$B$402:$AL$428,MATCH('Production - Gas'!AK$178,'Woodmac profile - Gas'!$B$364:$AL$364),FALSE)</f>
        <v>0</v>
      </c>
      <c r="AL196" s="65">
        <f t="shared" si="70"/>
        <v>0</v>
      </c>
      <c r="AM196" s="65">
        <f t="shared" si="71"/>
        <v>0</v>
      </c>
      <c r="AN196" s="65">
        <f t="shared" si="72"/>
        <v>0</v>
      </c>
      <c r="AO196" s="65">
        <f t="shared" si="73"/>
        <v>0</v>
      </c>
      <c r="AP196" s="11">
        <f>VLOOKUP($B196,'Woodmac profile - Gas'!$B$402:$AL$428,MATCH('Production - Gas'!AP$178,'Woodmac profile - Gas'!$B$364:$AL$364),FALSE)</f>
        <v>0</v>
      </c>
      <c r="AQ196" s="65">
        <f t="shared" si="74"/>
        <v>0</v>
      </c>
      <c r="AR196" s="65">
        <f t="shared" si="75"/>
        <v>0</v>
      </c>
      <c r="AS196" s="65">
        <f t="shared" si="76"/>
        <v>0</v>
      </c>
      <c r="AT196" s="65">
        <f t="shared" si="77"/>
        <v>0</v>
      </c>
      <c r="AU196" s="11">
        <f>VLOOKUP($B196,'Woodmac profile - Gas'!$B$402:$AL$428,MATCH('Production - Gas'!AU$178,'Woodmac profile - Gas'!$B$364:$AL$364),FALSE)</f>
        <v>0</v>
      </c>
      <c r="AV196" s="65">
        <f t="shared" si="78"/>
        <v>0</v>
      </c>
      <c r="AW196" s="65">
        <f t="shared" si="79"/>
        <v>0</v>
      </c>
      <c r="AX196" s="65">
        <f t="shared" si="80"/>
        <v>0</v>
      </c>
      <c r="AY196" s="65">
        <f t="shared" si="81"/>
        <v>0</v>
      </c>
      <c r="AZ196" s="11">
        <f>VLOOKUP($B196,'Woodmac profile - Gas'!$B$402:$AL$428,MATCH('Production - Gas'!AZ$178,'Woodmac profile - Gas'!$B$364:$AL$364),FALSE)</f>
        <v>0</v>
      </c>
      <c r="BA196" s="65">
        <f t="shared" si="82"/>
        <v>0</v>
      </c>
      <c r="BB196" s="65">
        <f t="shared" si="83"/>
        <v>0</v>
      </c>
      <c r="BC196" s="65">
        <f t="shared" si="84"/>
        <v>0</v>
      </c>
      <c r="BD196" s="65">
        <f t="shared" si="85"/>
        <v>0</v>
      </c>
      <c r="BE196" s="11">
        <f>VLOOKUP($B196,'Woodmac profile - Gas'!$B$402:$AL$428,MATCH('Production - Gas'!BE$178,'Woodmac profile - Gas'!$B$364:$AL$364),FALSE)</f>
        <v>0</v>
      </c>
      <c r="BF196" s="65">
        <f t="shared" si="86"/>
        <v>0</v>
      </c>
      <c r="BG196" s="65">
        <f t="shared" si="87"/>
        <v>0</v>
      </c>
      <c r="BH196" s="65">
        <f t="shared" si="88"/>
        <v>0</v>
      </c>
      <c r="BI196" s="65">
        <f t="shared" si="89"/>
        <v>0</v>
      </c>
      <c r="BJ196" s="11">
        <f>VLOOKUP($B196,'Woodmac profile - Gas'!$B$402:$AL$428,MATCH('Production - Gas'!BJ$178,'Woodmac profile - Gas'!$B$364:$AL$364),FALSE)</f>
        <v>0</v>
      </c>
      <c r="BK196" s="65">
        <f t="shared" si="90"/>
        <v>0</v>
      </c>
      <c r="BL196" s="65">
        <f t="shared" si="91"/>
        <v>0</v>
      </c>
      <c r="BM196" s="65">
        <f t="shared" si="92"/>
        <v>0</v>
      </c>
      <c r="BN196" s="65">
        <f t="shared" si="93"/>
        <v>0</v>
      </c>
      <c r="BO196" s="11">
        <f>VLOOKUP($B196,'Woodmac profile - Gas'!$B$402:$AL$428,MATCH('Production - Gas'!BO$178,'Woodmac profile - Gas'!$B$364:$AL$364),FALSE)</f>
        <v>0</v>
      </c>
      <c r="BP196" s="65">
        <f t="shared" si="94"/>
        <v>0</v>
      </c>
      <c r="BQ196" s="65">
        <f t="shared" si="95"/>
        <v>0</v>
      </c>
      <c r="BR196" s="65">
        <f t="shared" si="96"/>
        <v>0</v>
      </c>
      <c r="BS196" s="65">
        <f t="shared" si="97"/>
        <v>0</v>
      </c>
      <c r="BT196" s="11">
        <f>VLOOKUP($B196,'Woodmac profile - Gas'!$B$402:$AL$428,MATCH('Production - Gas'!BT$178,'Woodmac profile - Gas'!$B$364:$AL$364),FALSE)</f>
        <v>0</v>
      </c>
      <c r="BU196" s="65">
        <f t="shared" si="98"/>
        <v>0</v>
      </c>
      <c r="BV196" s="65">
        <f t="shared" si="99"/>
        <v>0</v>
      </c>
      <c r="BW196" s="65">
        <f t="shared" si="100"/>
        <v>0</v>
      </c>
      <c r="BX196" s="65">
        <f t="shared" si="101"/>
        <v>0</v>
      </c>
      <c r="BY196" s="11">
        <f>VLOOKUP($B196,'Woodmac profile - Gas'!$B$402:$AL$428,MATCH('Production - Gas'!BY$178,'Woodmac profile - Gas'!$B$364:$AL$364),FALSE)</f>
        <v>0</v>
      </c>
      <c r="BZ196" s="65">
        <f t="shared" si="102"/>
        <v>0</v>
      </c>
      <c r="CA196" s="65">
        <f t="shared" si="103"/>
        <v>0</v>
      </c>
      <c r="CB196" s="65">
        <f t="shared" si="104"/>
        <v>0</v>
      </c>
      <c r="CC196" s="65">
        <f t="shared" si="105"/>
        <v>0</v>
      </c>
      <c r="CD196" s="11">
        <f>VLOOKUP($B196,'Woodmac profile - Gas'!$B$402:$AL$428,MATCH('Production - Gas'!CD$178,'Woodmac profile - Gas'!$B$364:$AL$364),FALSE)</f>
        <v>0</v>
      </c>
      <c r="CE196" s="5"/>
      <c r="CF196" s="5"/>
      <c r="CG196" s="5"/>
      <c r="CH196" s="5"/>
      <c r="CI196" s="5"/>
    </row>
    <row r="197" spans="1:87">
      <c r="A197" s="39" t="s">
        <v>119</v>
      </c>
      <c r="B197" s="39"/>
      <c r="C197" s="39">
        <f t="shared" ref="C197:AH197" si="106">SUM(C191:C196)</f>
        <v>0</v>
      </c>
      <c r="D197" s="39">
        <f t="shared" si="106"/>
        <v>0</v>
      </c>
      <c r="E197" s="39">
        <f t="shared" si="106"/>
        <v>1470</v>
      </c>
      <c r="F197" s="39">
        <f t="shared" si="106"/>
        <v>1386.5</v>
      </c>
      <c r="G197" s="39">
        <f t="shared" si="106"/>
        <v>1506.9</v>
      </c>
      <c r="H197" s="83"/>
      <c r="I197" s="83"/>
      <c r="J197" s="83"/>
      <c r="K197" s="83"/>
      <c r="L197" s="39">
        <f t="shared" si="106"/>
        <v>1562.13</v>
      </c>
      <c r="M197" s="80">
        <f t="shared" si="106"/>
        <v>1684.7640859987289</v>
      </c>
      <c r="N197" s="80">
        <f t="shared" si="106"/>
        <v>1571.2825672527006</v>
      </c>
      <c r="O197" s="80">
        <f t="shared" si="106"/>
        <v>1648.4499999999998</v>
      </c>
      <c r="P197" s="80">
        <f t="shared" si="106"/>
        <v>1689.3033467485702</v>
      </c>
      <c r="Q197" s="39">
        <f t="shared" si="106"/>
        <v>1648.4499999999998</v>
      </c>
      <c r="R197" s="80">
        <f t="shared" si="106"/>
        <v>1649.0666735665495</v>
      </c>
      <c r="S197" s="80">
        <f t="shared" si="106"/>
        <v>1652.8402815152144</v>
      </c>
      <c r="T197" s="80">
        <f t="shared" si="106"/>
        <v>1650.4388946387912</v>
      </c>
      <c r="U197" s="80">
        <f t="shared" si="106"/>
        <v>1676.8541502794451</v>
      </c>
      <c r="V197" s="39">
        <f t="shared" si="106"/>
        <v>1657.3</v>
      </c>
      <c r="W197" s="80">
        <f>SUM(W191:W196)</f>
        <v>1742.4235265504662</v>
      </c>
      <c r="X197" s="80">
        <f>SUM(X191:X196)</f>
        <v>1773.7392967166597</v>
      </c>
      <c r="Y197" s="80">
        <f>SUM(Y191:Y196)</f>
        <v>1663.2544446696393</v>
      </c>
      <c r="Z197" s="80">
        <f>SUM(Z191:Z196)</f>
        <v>1764.9427320632344</v>
      </c>
      <c r="AA197" s="39">
        <f t="shared" si="106"/>
        <v>1736.09</v>
      </c>
      <c r="AB197" s="80">
        <f>SUM(AB191:AB196)</f>
        <v>1751.1491630648327</v>
      </c>
      <c r="AC197" s="80">
        <f>SUM(AC191:AC196)</f>
        <v>1730.2327544204322</v>
      </c>
      <c r="AD197" s="80">
        <f>SUM(AD191:AD196)</f>
        <v>1789.8959528487226</v>
      </c>
      <c r="AE197" s="80">
        <f>SUM(AE191:AE196)</f>
        <v>1710.002129666012</v>
      </c>
      <c r="AF197" s="39">
        <f t="shared" si="106"/>
        <v>1745.32</v>
      </c>
      <c r="AG197" s="80">
        <f t="shared" si="106"/>
        <v>1601.2635104656169</v>
      </c>
      <c r="AH197" s="80">
        <f t="shared" si="106"/>
        <v>1558.9937944099443</v>
      </c>
      <c r="AI197" s="80">
        <f t="shared" ref="AI197:CD197" si="107">SUM(AI191:AI196)</f>
        <v>1570.0087786260929</v>
      </c>
      <c r="AJ197" s="80">
        <f t="shared" si="107"/>
        <v>1588.9339164983458</v>
      </c>
      <c r="AK197" s="39">
        <f t="shared" si="107"/>
        <v>1579.8</v>
      </c>
      <c r="AL197" s="80">
        <f t="shared" si="107"/>
        <v>1493.8740504492655</v>
      </c>
      <c r="AM197" s="80">
        <f t="shared" si="107"/>
        <v>1454.4391719781597</v>
      </c>
      <c r="AN197" s="80">
        <f t="shared" si="107"/>
        <v>1464.7154313065371</v>
      </c>
      <c r="AO197" s="80">
        <f t="shared" si="107"/>
        <v>1482.3713462660389</v>
      </c>
      <c r="AP197" s="39">
        <f t="shared" si="107"/>
        <v>1473.8500000000001</v>
      </c>
      <c r="AQ197" s="80">
        <f t="shared" si="107"/>
        <v>1518.18998386873</v>
      </c>
      <c r="AR197" s="80">
        <f t="shared" si="107"/>
        <v>1478.1132200398727</v>
      </c>
      <c r="AS197" s="80">
        <f t="shared" si="107"/>
        <v>1488.556747042225</v>
      </c>
      <c r="AT197" s="80">
        <f t="shared" si="107"/>
        <v>1506.500049049172</v>
      </c>
      <c r="AU197" s="39">
        <f t="shared" si="107"/>
        <v>1497.84</v>
      </c>
      <c r="AV197" s="80">
        <f t="shared" si="107"/>
        <v>1464.784125933274</v>
      </c>
      <c r="AW197" s="80">
        <f t="shared" si="107"/>
        <v>1426.1171553307579</v>
      </c>
      <c r="AX197" s="80">
        <f t="shared" si="107"/>
        <v>1436.1933070208245</v>
      </c>
      <c r="AY197" s="80">
        <f t="shared" si="107"/>
        <v>1453.505411715144</v>
      </c>
      <c r="AZ197" s="39">
        <f>SUM(AZ191:AZ196)</f>
        <v>1445.15</v>
      </c>
      <c r="BA197" s="80">
        <f t="shared" si="107"/>
        <v>1330.7474841912983</v>
      </c>
      <c r="BB197" s="80">
        <f t="shared" si="107"/>
        <v>1295.6187761860742</v>
      </c>
      <c r="BC197" s="80">
        <f t="shared" si="107"/>
        <v>1304.7728988137637</v>
      </c>
      <c r="BD197" s="80">
        <f t="shared" si="107"/>
        <v>1320.5008408088638</v>
      </c>
      <c r="BE197" s="39">
        <f t="shared" si="107"/>
        <v>1312.91</v>
      </c>
      <c r="BF197" s="80">
        <f t="shared" si="107"/>
        <v>1145.7375914420334</v>
      </c>
      <c r="BG197" s="80">
        <f t="shared" si="107"/>
        <v>1115.4927239682954</v>
      </c>
      <c r="BH197" s="80">
        <f t="shared" si="107"/>
        <v>1123.374175961111</v>
      </c>
      <c r="BI197" s="80">
        <f t="shared" si="107"/>
        <v>1136.9155086285609</v>
      </c>
      <c r="BJ197" s="39">
        <f t="shared" si="107"/>
        <v>1130.3800000000001</v>
      </c>
      <c r="BK197" s="80">
        <f t="shared" si="107"/>
        <v>1268.4119316570311</v>
      </c>
      <c r="BL197" s="80">
        <f t="shared" si="107"/>
        <v>1234.9287405130704</v>
      </c>
      <c r="BM197" s="80">
        <f t="shared" si="107"/>
        <v>1243.6540610586651</v>
      </c>
      <c r="BN197" s="80">
        <f t="shared" si="107"/>
        <v>1258.6452667712338</v>
      </c>
      <c r="BO197" s="39">
        <f t="shared" si="107"/>
        <v>1251.4100000000001</v>
      </c>
      <c r="BP197" s="80">
        <f t="shared" si="107"/>
        <v>1420.9769295018752</v>
      </c>
      <c r="BQ197" s="80">
        <f t="shared" si="107"/>
        <v>1383.4663692854369</v>
      </c>
      <c r="BR197" s="80">
        <f t="shared" si="107"/>
        <v>1393.2411742114689</v>
      </c>
      <c r="BS197" s="80">
        <f t="shared" si="107"/>
        <v>1410.0355270012187</v>
      </c>
      <c r="BT197" s="39">
        <f t="shared" si="107"/>
        <v>1401.93</v>
      </c>
      <c r="BU197" s="80">
        <f t="shared" si="107"/>
        <v>1631.7015046543006</v>
      </c>
      <c r="BV197" s="80">
        <f t="shared" si="107"/>
        <v>1588.6282947556404</v>
      </c>
      <c r="BW197" s="80">
        <f t="shared" si="107"/>
        <v>1599.8526598908995</v>
      </c>
      <c r="BX197" s="80">
        <f t="shared" si="107"/>
        <v>1619.1375406991592</v>
      </c>
      <c r="BY197" s="39">
        <f t="shared" si="107"/>
        <v>1609.83</v>
      </c>
      <c r="BZ197" s="80">
        <f t="shared" si="107"/>
        <v>1593.8541951969098</v>
      </c>
      <c r="CA197" s="80">
        <f t="shared" si="107"/>
        <v>1551.7800682185677</v>
      </c>
      <c r="CB197" s="80">
        <f t="shared" si="107"/>
        <v>1562.7440842522756</v>
      </c>
      <c r="CC197" s="80">
        <f t="shared" si="107"/>
        <v>1581.5816523322474</v>
      </c>
      <c r="CD197" s="39">
        <f t="shared" si="107"/>
        <v>1572.49</v>
      </c>
      <c r="CE197" s="5"/>
      <c r="CF197" s="5"/>
      <c r="CG197" s="5"/>
      <c r="CH197" s="5"/>
      <c r="CI197" s="5"/>
    </row>
    <row r="198" spans="1:87">
      <c r="A198" s="11"/>
      <c r="B198" s="11"/>
      <c r="C198" s="11"/>
      <c r="D198" s="11"/>
      <c r="E198" s="11"/>
      <c r="F198" s="11"/>
      <c r="G198" s="11"/>
      <c r="H198" s="82"/>
      <c r="I198" s="82"/>
      <c r="J198" s="82"/>
      <c r="K198" s="82"/>
      <c r="L198" s="11"/>
      <c r="M198" s="68"/>
      <c r="N198" s="68"/>
      <c r="O198" s="68"/>
      <c r="P198" s="68"/>
      <c r="Q198" s="11"/>
      <c r="R198" s="68"/>
      <c r="S198" s="68"/>
      <c r="T198" s="68"/>
      <c r="U198" s="68"/>
      <c r="V198" s="11"/>
      <c r="W198" s="68"/>
      <c r="X198" s="68"/>
      <c r="Y198" s="68"/>
      <c r="Z198" s="68"/>
      <c r="AA198" s="11"/>
      <c r="AB198" s="68"/>
      <c r="AC198" s="68"/>
      <c r="AD198" s="68"/>
      <c r="AE198" s="68"/>
      <c r="AF198" s="11"/>
      <c r="AG198" s="68"/>
      <c r="AH198" s="68"/>
      <c r="AI198" s="68"/>
      <c r="AJ198" s="68"/>
      <c r="AK198" s="11"/>
      <c r="AL198" s="68"/>
      <c r="AM198" s="68"/>
      <c r="AN198" s="68"/>
      <c r="AO198" s="68"/>
      <c r="AP198" s="11"/>
      <c r="AQ198" s="68"/>
      <c r="AR198" s="68"/>
      <c r="AS198" s="68"/>
      <c r="AT198" s="68"/>
      <c r="AU198" s="11"/>
      <c r="AV198" s="68"/>
      <c r="AW198" s="68"/>
      <c r="AX198" s="68"/>
      <c r="AY198" s="68"/>
      <c r="AZ198" s="11"/>
      <c r="BA198" s="68"/>
      <c r="BB198" s="68"/>
      <c r="BC198" s="68"/>
      <c r="BD198" s="68"/>
      <c r="BE198" s="11"/>
      <c r="BF198" s="68"/>
      <c r="BG198" s="68"/>
      <c r="BH198" s="68"/>
      <c r="BI198" s="68"/>
      <c r="BJ198" s="11"/>
      <c r="BK198" s="68"/>
      <c r="BL198" s="68"/>
      <c r="BM198" s="68"/>
      <c r="BN198" s="68"/>
      <c r="BO198" s="11"/>
      <c r="BP198" s="68"/>
      <c r="BQ198" s="68"/>
      <c r="BR198" s="68"/>
      <c r="BS198" s="68"/>
      <c r="BT198" s="11"/>
      <c r="BU198" s="68"/>
      <c r="BV198" s="68"/>
      <c r="BW198" s="68"/>
      <c r="BX198" s="68"/>
      <c r="BY198" s="11"/>
      <c r="BZ198" s="68"/>
      <c r="CA198" s="68"/>
      <c r="CB198" s="68"/>
      <c r="CC198" s="68"/>
      <c r="CD198" s="11"/>
      <c r="CE198" s="5"/>
      <c r="CF198" s="5"/>
      <c r="CG198" s="5"/>
      <c r="CH198" s="5"/>
      <c r="CI198" s="5"/>
    </row>
    <row r="199" spans="1:87">
      <c r="A199" s="39" t="s">
        <v>120</v>
      </c>
      <c r="B199" s="11"/>
      <c r="C199" s="11"/>
      <c r="D199" s="11"/>
      <c r="E199" s="11"/>
      <c r="F199" s="11"/>
      <c r="G199" s="11"/>
      <c r="H199" s="82"/>
      <c r="I199" s="82"/>
      <c r="J199" s="82"/>
      <c r="K199" s="82"/>
      <c r="L199" s="11"/>
      <c r="M199" s="68"/>
      <c r="N199" s="68"/>
      <c r="O199" s="68"/>
      <c r="P199" s="68"/>
      <c r="Q199" s="11"/>
      <c r="R199" s="68"/>
      <c r="S199" s="68"/>
      <c r="T199" s="68"/>
      <c r="U199" s="68"/>
      <c r="V199" s="11"/>
      <c r="W199" s="68"/>
      <c r="X199" s="68"/>
      <c r="Y199" s="68"/>
      <c r="Z199" s="68"/>
      <c r="AA199" s="11"/>
      <c r="AB199" s="68"/>
      <c r="AC199" s="68"/>
      <c r="AD199" s="68"/>
      <c r="AE199" s="68"/>
      <c r="AF199" s="11"/>
      <c r="AG199" s="68"/>
      <c r="AH199" s="68"/>
      <c r="AI199" s="68"/>
      <c r="AJ199" s="68"/>
      <c r="AK199" s="11"/>
      <c r="AL199" s="68"/>
      <c r="AM199" s="68"/>
      <c r="AN199" s="68"/>
      <c r="AO199" s="68"/>
      <c r="AP199" s="11"/>
      <c r="AQ199" s="68"/>
      <c r="AR199" s="68"/>
      <c r="AS199" s="68"/>
      <c r="AT199" s="68"/>
      <c r="AU199" s="11"/>
      <c r="AV199" s="68"/>
      <c r="AW199" s="68"/>
      <c r="AX199" s="68"/>
      <c r="AY199" s="68"/>
      <c r="AZ199" s="11"/>
      <c r="BA199" s="68"/>
      <c r="BB199" s="68"/>
      <c r="BC199" s="68"/>
      <c r="BD199" s="68"/>
      <c r="BE199" s="11"/>
      <c r="BF199" s="68"/>
      <c r="BG199" s="68"/>
      <c r="BH199" s="68"/>
      <c r="BI199" s="68"/>
      <c r="BJ199" s="11"/>
      <c r="BK199" s="68"/>
      <c r="BL199" s="68"/>
      <c r="BM199" s="68"/>
      <c r="BN199" s="68"/>
      <c r="BO199" s="11"/>
      <c r="BP199" s="68"/>
      <c r="BQ199" s="68"/>
      <c r="BR199" s="68"/>
      <c r="BS199" s="68"/>
      <c r="BT199" s="11"/>
      <c r="BU199" s="68"/>
      <c r="BV199" s="68"/>
      <c r="BW199" s="68"/>
      <c r="BX199" s="68"/>
      <c r="BY199" s="11"/>
      <c r="BZ199" s="68"/>
      <c r="CA199" s="68"/>
      <c r="CB199" s="68"/>
      <c r="CC199" s="68"/>
      <c r="CD199" s="11"/>
      <c r="CE199" s="5"/>
      <c r="CF199" s="5"/>
      <c r="CG199" s="5"/>
      <c r="CH199" s="5"/>
      <c r="CI199" s="5"/>
    </row>
    <row r="200" spans="1:87">
      <c r="A200" s="11"/>
      <c r="B200" s="11" t="s">
        <v>1473</v>
      </c>
      <c r="C200" s="11"/>
      <c r="D200" s="11"/>
      <c r="E200" s="11">
        <f>VLOOKUP($B200,'Woodmac profile - Gas'!$B$402:$AL$428,MATCH('Production - Gas'!E$178,'Woodmac profile - Gas'!$B$364:$AL$364),FALSE)</f>
        <v>0</v>
      </c>
      <c r="F200" s="11">
        <f>VLOOKUP($B200,'Woodmac profile - Gas'!$B$402:$AL$428,MATCH('Production - Gas'!F$178,'Woodmac profile - Gas'!$B$364:$AL$364),FALSE)</f>
        <v>78.84</v>
      </c>
      <c r="G200" s="11">
        <f>VLOOKUP($B200,'Woodmac profile - Gas'!$B$402:$AL$428,MATCH('Production - Gas'!G$178,'Woodmac profile - Gas'!$B$364:$AL$364),FALSE)</f>
        <v>174.51</v>
      </c>
      <c r="H200" s="82"/>
      <c r="I200" s="82"/>
      <c r="J200" s="82"/>
      <c r="K200" s="82"/>
      <c r="L200" s="11">
        <f>VLOOKUP($B200,'Woodmac profile - Gas'!$B$402:$AL$428,MATCH('Production - Gas'!L$178,'Woodmac profile - Gas'!$B$364:$AL$364),FALSE)</f>
        <v>157.80000000000001</v>
      </c>
      <c r="M200" s="65">
        <f t="shared" ref="M200:O202" si="108">$Q200*M$172</f>
        <v>159.51832238932431</v>
      </c>
      <c r="N200" s="65">
        <f t="shared" si="108"/>
        <v>148.77356492268589</v>
      </c>
      <c r="O200" s="65">
        <f t="shared" si="108"/>
        <v>156.08000000000001</v>
      </c>
      <c r="P200" s="65">
        <f>Q200*4-SUM(M200:O200)</f>
        <v>159.94811268798981</v>
      </c>
      <c r="Q200" s="11">
        <f>VLOOKUP($B200,'Woodmac profile - Gas'!$B$402:$AL$428,MATCH('Production - Gas'!Q$178,'Woodmac profile - Gas'!$B$364:$AL$364),FALSE)</f>
        <v>156.08000000000001</v>
      </c>
      <c r="R200" s="65">
        <f>V200*R$172</f>
        <v>123.03571724280688</v>
      </c>
      <c r="S200" s="65">
        <f>V200*S$172</f>
        <v>123.3172635065204</v>
      </c>
      <c r="T200" s="65">
        <f>V200*T$172</f>
        <v>123.13809770233907</v>
      </c>
      <c r="U200" s="65">
        <f>V200*4-SUM(R200:T200)</f>
        <v>125.10892154833368</v>
      </c>
      <c r="V200" s="11">
        <f>VLOOKUP($B200,'Woodmac profile - Gas'!$B$402:$AL$428,MATCH('Production - Gas'!V$178,'Woodmac profile - Gas'!$B$364:$AL$364),FALSE)</f>
        <v>123.65</v>
      </c>
      <c r="W200" s="65">
        <f>AA200*W$172</f>
        <v>140.74158086745032</v>
      </c>
      <c r="X200" s="65">
        <f>AA200*X$172</f>
        <v>143.27106404539924</v>
      </c>
      <c r="Y200" s="65">
        <f>AA200*Y$172</f>
        <v>134.34682002432103</v>
      </c>
      <c r="Z200" s="65">
        <f>AA200*4-SUM(W200:Y200)</f>
        <v>142.56053506282933</v>
      </c>
      <c r="AA200" s="11">
        <f>VLOOKUP($B200,'Woodmac profile - Gas'!$B$402:$AL$428,MATCH('Production - Gas'!AA$178,'Woodmac profile - Gas'!$B$364:$AL$364),FALSE)</f>
        <v>140.22999999999999</v>
      </c>
      <c r="AB200" s="65">
        <f>AF200*AB$172</f>
        <v>136.49435756385066</v>
      </c>
      <c r="AC200" s="65">
        <f>AF200*AC$172</f>
        <v>134.86401571709234</v>
      </c>
      <c r="AD200" s="65">
        <f>AF200*AD$172</f>
        <v>139.51449901768171</v>
      </c>
      <c r="AE200" s="65">
        <f>AF200*4-SUM(AB200:AD200)</f>
        <v>133.28712770137525</v>
      </c>
      <c r="AF200" s="11">
        <f>VLOOKUP($B200,'Woodmac profile - Gas'!$B$402:$AL$428,MATCH('Production - Gas'!AF$178,'Woodmac profile - Gas'!$B$364:$AL$364),FALSE)</f>
        <v>136.04</v>
      </c>
      <c r="AG200" s="65">
        <f>AK200*CF$172</f>
        <v>128.98898236603014</v>
      </c>
      <c r="AH200" s="65">
        <f>AK200*CG$172</f>
        <v>125.58396649994273</v>
      </c>
      <c r="AI200" s="65">
        <f>AK200*CH$172</f>
        <v>126.47127305225763</v>
      </c>
      <c r="AJ200" s="65">
        <f>AK200*4-SUM(AG200:AI200)</f>
        <v>127.99577808176952</v>
      </c>
      <c r="AK200" s="11">
        <f>VLOOKUP($B200,'Woodmac profile - Gas'!$B$402:$AL$428,MATCH('Production - Gas'!AK$178,'Woodmac profile - Gas'!$B$364:$AL$364),FALSE)</f>
        <v>127.26</v>
      </c>
      <c r="AL200" s="65">
        <f>AP200*$CF$172</f>
        <v>139.81408319637117</v>
      </c>
      <c r="AM200" s="65">
        <f>AP200*$CG$172</f>
        <v>136.12330928023022</v>
      </c>
      <c r="AN200" s="65">
        <f>AP200*$CH$172</f>
        <v>137.08508097460646</v>
      </c>
      <c r="AO200" s="65">
        <f>AP200*4-SUM(AL200:AN200)</f>
        <v>138.73752654879212</v>
      </c>
      <c r="AP200" s="11">
        <f>VLOOKUP($B200,'Woodmac profile - Gas'!$B$402:$AL$428,MATCH('Production - Gas'!AP$178,'Woodmac profile - Gas'!$B$364:$AL$364),FALSE)</f>
        <v>137.94</v>
      </c>
      <c r="AQ200" s="65">
        <f>AU200*$CF$172</f>
        <v>137.58419351221855</v>
      </c>
      <c r="AR200" s="65">
        <f>AU200*$CG$172</f>
        <v>133.95228361387888</v>
      </c>
      <c r="AS200" s="65">
        <f>AU200*$CH$172</f>
        <v>134.8987160467818</v>
      </c>
      <c r="AT200" s="65">
        <f>AU200*4-SUM(AQ200:AS200)</f>
        <v>136.52480682712076</v>
      </c>
      <c r="AU200" s="11">
        <f>VLOOKUP($B200,'Woodmac profile - Gas'!$B$402:$AL$428,MATCH('Production - Gas'!AU$178,'Woodmac profile - Gas'!$B$364:$AL$364),FALSE)</f>
        <v>135.74</v>
      </c>
      <c r="AV200" s="65">
        <f>AZ200*$CF$172</f>
        <v>126.05971819002961</v>
      </c>
      <c r="AW200" s="65">
        <f>AZ200*$CG$172</f>
        <v>122.73202823823571</v>
      </c>
      <c r="AX200" s="65">
        <f>AZ200*$CH$172</f>
        <v>123.59918457888796</v>
      </c>
      <c r="AY200" s="65">
        <f>AZ200*4-SUM(AV200:AX200)</f>
        <v>125.08906899284671</v>
      </c>
      <c r="AZ200" s="11">
        <f>VLOOKUP($B200,'Woodmac profile - Gas'!$B$402:$AL$428,MATCH('Production - Gas'!AZ$178,'Woodmac profile - Gas'!$B$364:$AL$364),FALSE)</f>
        <v>124.37</v>
      </c>
      <c r="BA200" s="65">
        <f>BE200*$CF$172</f>
        <v>151.26760748315527</v>
      </c>
      <c r="BB200" s="65">
        <f>BE200*$CG$172</f>
        <v>147.27448656648949</v>
      </c>
      <c r="BC200" s="65">
        <f>BE200*$CH$172</f>
        <v>148.31504628570588</v>
      </c>
      <c r="BD200" s="65">
        <f>BE200*4-SUM(BA200:BC200)</f>
        <v>150.10285966464937</v>
      </c>
      <c r="BE200" s="11">
        <f>VLOOKUP($B200,'Woodmac profile - Gas'!$B$402:$AL$428,MATCH('Production - Gas'!BE$178,'Woodmac profile - Gas'!$B$364:$AL$364),FALSE)</f>
        <v>149.24</v>
      </c>
      <c r="BF200" s="65">
        <f>BJ200*$CF$172</f>
        <v>165.74161870574611</v>
      </c>
      <c r="BG200" s="65">
        <f>BJ200*$CG$172</f>
        <v>161.36641680080649</v>
      </c>
      <c r="BH200" s="65">
        <f>BJ200*$CH$172</f>
        <v>162.50654227176778</v>
      </c>
      <c r="BI200" s="65">
        <f>BJ200*4-SUM(BF200:BH200)</f>
        <v>164.46542222167966</v>
      </c>
      <c r="BJ200" s="11">
        <f>VLOOKUP($B200,'Woodmac profile - Gas'!$B$402:$AL$428,MATCH('Production - Gas'!BJ$178,'Woodmac profile - Gas'!$B$364:$AL$364),FALSE)</f>
        <v>163.52000000000001</v>
      </c>
      <c r="BK200" s="65">
        <f>BO200*$CF$172</f>
        <v>153.77116544672666</v>
      </c>
      <c r="BL200" s="65">
        <f>BO200*$CG$172</f>
        <v>149.71195629189307</v>
      </c>
      <c r="BM200" s="65">
        <f>BO200*$CH$172</f>
        <v>150.76973781830901</v>
      </c>
      <c r="BN200" s="65">
        <f>BO200*4-SUM(BK200:BM200)</f>
        <v>152.58714044307129</v>
      </c>
      <c r="BO200" s="11">
        <f>VLOOKUP($B200,'Woodmac profile - Gas'!$B$402:$AL$428,MATCH('Production - Gas'!BO$178,'Woodmac profile - Gas'!$B$364:$AL$364),FALSE)</f>
        <v>151.71</v>
      </c>
      <c r="BP200" s="65">
        <f>BT200*$CF$172</f>
        <v>137.70582385862687</v>
      </c>
      <c r="BQ200" s="65">
        <f>BT200*$CG$172</f>
        <v>134.07070319567987</v>
      </c>
      <c r="BR200" s="65">
        <f>BT200*$CH$172</f>
        <v>135.01797231557222</v>
      </c>
      <c r="BS200" s="65">
        <f>BT200*4-SUM(BP200:BR200)</f>
        <v>136.64550063012109</v>
      </c>
      <c r="BT200" s="11">
        <f>VLOOKUP($B200,'Woodmac profile - Gas'!$B$402:$AL$428,MATCH('Production - Gas'!BT$178,'Woodmac profile - Gas'!$B$364:$AL$364),FALSE)</f>
        <v>135.86000000000001</v>
      </c>
      <c r="BU200" s="65">
        <f>BY200*$CF$172</f>
        <v>121.31613468010488</v>
      </c>
      <c r="BV200" s="65">
        <f>BY200*$CG$172</f>
        <v>118.11366454799736</v>
      </c>
      <c r="BW200" s="65">
        <f>BY200*$CH$172</f>
        <v>118.94819009606094</v>
      </c>
      <c r="BX200" s="65">
        <f>BY200*4-SUM(BU200:BW200)</f>
        <v>120.3820106758368</v>
      </c>
      <c r="BY200" s="11">
        <f>VLOOKUP($B200,'Woodmac profile - Gas'!$B$402:$AL$428,MATCH('Production - Gas'!BY$178,'Woodmac profile - Gas'!$B$364:$AL$364),FALSE)</f>
        <v>119.69</v>
      </c>
      <c r="BZ200" s="65">
        <f>CD200*$CF$172</f>
        <v>110.44035453876036</v>
      </c>
      <c r="CA200" s="65">
        <f>CD200*$CG$172</f>
        <v>107.52498027529278</v>
      </c>
      <c r="CB200" s="65">
        <f>CD200*$CH$172</f>
        <v>108.28469206171609</v>
      </c>
      <c r="CC200" s="65">
        <f>CD200*4-SUM(BZ200:CB200)</f>
        <v>109.58997312423077</v>
      </c>
      <c r="CD200" s="11">
        <f>VLOOKUP($B200,'Woodmac profile - Gas'!$B$402:$AL$428,MATCH('Production - Gas'!CD$178,'Woodmac profile - Gas'!$B$364:$AL$364),FALSE)</f>
        <v>108.96</v>
      </c>
      <c r="CE200" s="5"/>
      <c r="CF200" s="5"/>
      <c r="CG200" s="5"/>
      <c r="CH200" s="5"/>
      <c r="CI200" s="5"/>
    </row>
    <row r="201" spans="1:87">
      <c r="A201" s="11"/>
      <c r="B201" s="11" t="s">
        <v>1934</v>
      </c>
      <c r="C201" s="11"/>
      <c r="D201" s="11"/>
      <c r="E201" s="11">
        <f>VLOOKUP($B201,'Woodmac profile - Gas'!$B$402:$AL$428,MATCH('Production - Gas'!E$178,'Woodmac profile - Gas'!$B$364:$AL$364),FALSE)</f>
        <v>0</v>
      </c>
      <c r="F201" s="11">
        <f>VLOOKUP($B201,'Woodmac profile - Gas'!$B$402:$AL$428,MATCH('Production - Gas'!F$178,'Woodmac profile - Gas'!$B$364:$AL$364),FALSE)</f>
        <v>0</v>
      </c>
      <c r="G201" s="11">
        <f>VLOOKUP($B201,'Woodmac profile - Gas'!$B$402:$AL$428,MATCH('Production - Gas'!G$178,'Woodmac profile - Gas'!$B$364:$AL$364),FALSE)</f>
        <v>0</v>
      </c>
      <c r="H201" s="82"/>
      <c r="I201" s="82"/>
      <c r="J201" s="82"/>
      <c r="K201" s="82"/>
      <c r="L201" s="11">
        <f>VLOOKUP($B201,'Woodmac profile - Gas'!$B$402:$AL$428,MATCH('Production - Gas'!L$178,'Woodmac profile - Gas'!$B$364:$AL$364),FALSE)</f>
        <v>0</v>
      </c>
      <c r="M201" s="65">
        <f t="shared" si="108"/>
        <v>0</v>
      </c>
      <c r="N201" s="65">
        <f t="shared" si="108"/>
        <v>0</v>
      </c>
      <c r="O201" s="65">
        <f t="shared" si="108"/>
        <v>0</v>
      </c>
      <c r="P201" s="65">
        <f>Q201*4-SUM(M201:O201)</f>
        <v>0</v>
      </c>
      <c r="Q201" s="11">
        <f>VLOOKUP($B201,'Woodmac profile - Gas'!$B$402:$AL$428,MATCH('Production - Gas'!Q$178,'Woodmac profile - Gas'!$B$364:$AL$364),FALSE)</f>
        <v>0</v>
      </c>
      <c r="R201" s="65">
        <f>V201*R$172</f>
        <v>0</v>
      </c>
      <c r="S201" s="65">
        <f>V201*S$172</f>
        <v>0</v>
      </c>
      <c r="T201" s="65">
        <f>V201*T$172</f>
        <v>0</v>
      </c>
      <c r="U201" s="65">
        <f>V201*4-SUM(R201:T201)</f>
        <v>0</v>
      </c>
      <c r="V201" s="11">
        <f>VLOOKUP($B201,'Woodmac profile - Gas'!$B$402:$AL$428,MATCH('Production - Gas'!V$178,'Woodmac profile - Gas'!$B$364:$AL$364),FALSE)</f>
        <v>0</v>
      </c>
      <c r="W201" s="65">
        <f>AA201*W$172</f>
        <v>0</v>
      </c>
      <c r="X201" s="65">
        <f>AA201*X$172</f>
        <v>0</v>
      </c>
      <c r="Y201" s="65">
        <f>AA201*Y$172</f>
        <v>0</v>
      </c>
      <c r="Z201" s="65">
        <f>AA201*4-SUM(W201:Y201)</f>
        <v>0</v>
      </c>
      <c r="AA201" s="11">
        <f>VLOOKUP($B201,'Woodmac profile - Gas'!$B$402:$AL$428,MATCH('Production - Gas'!AA$178,'Woodmac profile - Gas'!$B$364:$AL$364),FALSE)</f>
        <v>0</v>
      </c>
      <c r="AB201" s="65">
        <f>AF201*AB$172</f>
        <v>0</v>
      </c>
      <c r="AC201" s="65">
        <f>AF201*AC$172</f>
        <v>0</v>
      </c>
      <c r="AD201" s="65">
        <f>AF201*AD$172</f>
        <v>0</v>
      </c>
      <c r="AE201" s="65">
        <f>AF201*4-SUM(AB201:AD201)</f>
        <v>0</v>
      </c>
      <c r="AF201" s="11">
        <f>VLOOKUP($B201,'Woodmac profile - Gas'!$B$402:$AL$428,MATCH('Production - Gas'!AF$178,'Woodmac profile - Gas'!$B$364:$AL$364),FALSE)</f>
        <v>0</v>
      </c>
      <c r="AG201" s="65">
        <f>AK201*CF$172</f>
        <v>0</v>
      </c>
      <c r="AH201" s="65">
        <f>AK201*CG$172</f>
        <v>0</v>
      </c>
      <c r="AI201" s="65">
        <f>AK201*CH$172</f>
        <v>0</v>
      </c>
      <c r="AJ201" s="65">
        <f>AK201*4-SUM(AG201:AI201)</f>
        <v>0</v>
      </c>
      <c r="AK201" s="11">
        <f>VLOOKUP($B201,'Woodmac profile - Gas'!$B$402:$AL$428,MATCH('Production - Gas'!AK$178,'Woodmac profile - Gas'!$B$364:$AL$364),FALSE)</f>
        <v>0</v>
      </c>
      <c r="AL201" s="65">
        <f>AP201*$CF$172</f>
        <v>0</v>
      </c>
      <c r="AM201" s="65">
        <f>AP201*$CG$172</f>
        <v>0</v>
      </c>
      <c r="AN201" s="65">
        <f>AP201*$CH$172</f>
        <v>0</v>
      </c>
      <c r="AO201" s="65">
        <f>AP201*4-SUM(AL201:AN201)</f>
        <v>0</v>
      </c>
      <c r="AP201" s="11">
        <f>VLOOKUP($B201,'Woodmac profile - Gas'!$B$402:$AL$428,MATCH('Production - Gas'!AP$178,'Woodmac profile - Gas'!$B$364:$AL$364),FALSE)</f>
        <v>0</v>
      </c>
      <c r="AQ201" s="65">
        <f>AU201*$CF$172</f>
        <v>27.518865874883844</v>
      </c>
      <c r="AR201" s="65">
        <f>AU201*$CG$172</f>
        <v>26.792430382472457</v>
      </c>
      <c r="AS201" s="65">
        <f>AU201*$CH$172</f>
        <v>26.981730813836197</v>
      </c>
      <c r="AT201" s="65">
        <f>AU201*4-SUM(AQ201:AS201)</f>
        <v>27.306972928807497</v>
      </c>
      <c r="AU201" s="11">
        <f>VLOOKUP($B201,'Woodmac profile - Gas'!$B$402:$AL$428,MATCH('Production - Gas'!AU$178,'Woodmac profile - Gas'!$B$364:$AL$364),FALSE)</f>
        <v>27.15</v>
      </c>
      <c r="AV201" s="65">
        <f>AZ201*$CF$172</f>
        <v>24.021993415644463</v>
      </c>
      <c r="AW201" s="65">
        <f>AZ201*$CG$172</f>
        <v>23.387867405694188</v>
      </c>
      <c r="AX201" s="65">
        <f>AZ201*$CH$172</f>
        <v>23.553113086111154</v>
      </c>
      <c r="AY201" s="65">
        <f>AZ201*4-SUM(AV201:AX201)</f>
        <v>23.83702609255019</v>
      </c>
      <c r="AZ201" s="11">
        <f>VLOOKUP($B201,'Woodmac profile - Gas'!$B$402:$AL$428,MATCH('Production - Gas'!AZ$178,'Woodmac profile - Gas'!$B$364:$AL$364),FALSE)</f>
        <v>23.7</v>
      </c>
      <c r="BA201" s="65">
        <f>BE201*$CF$172</f>
        <v>17.23096574117957</v>
      </c>
      <c r="BB201" s="65">
        <f>BE201*$CG$172</f>
        <v>16.77610742180596</v>
      </c>
      <c r="BC201" s="65">
        <f>BE201*$CH$172</f>
        <v>16.894638078645134</v>
      </c>
      <c r="BD201" s="65">
        <f>BE201*4-SUM(BA201:BC201)</f>
        <v>17.098288758369335</v>
      </c>
      <c r="BE201" s="11">
        <f>VLOOKUP($B201,'Woodmac profile - Gas'!$B$402:$AL$428,MATCH('Production - Gas'!BE$178,'Woodmac profile - Gas'!$B$364:$AL$364),FALSE)</f>
        <v>17</v>
      </c>
      <c r="BF201" s="65">
        <f>BJ201*$CF$172</f>
        <v>38.59736326024224</v>
      </c>
      <c r="BG201" s="65">
        <f>BJ201*$CG$172</f>
        <v>37.578480624845348</v>
      </c>
      <c r="BH201" s="65">
        <f>BJ201*$CH$172</f>
        <v>37.843989296165098</v>
      </c>
      <c r="BI201" s="65">
        <f>BJ201*4-SUM(BF201:BH201)</f>
        <v>38.3001668187473</v>
      </c>
      <c r="BJ201" s="11">
        <f>VLOOKUP($B201,'Woodmac profile - Gas'!$B$402:$AL$428,MATCH('Production - Gas'!BJ$178,'Woodmac profile - Gas'!$B$364:$AL$364),FALSE)</f>
        <v>38.08</v>
      </c>
      <c r="BK201" s="65">
        <f>BO201*$CF$172</f>
        <v>105.87921654844811</v>
      </c>
      <c r="BL201" s="65">
        <f>BO201*$CG$172</f>
        <v>103.0842459577559</v>
      </c>
      <c r="BM201" s="65">
        <f>BO201*$CH$172</f>
        <v>103.81258198207473</v>
      </c>
      <c r="BN201" s="65">
        <f>BO201*4-SUM(BK201:BM201)</f>
        <v>105.06395551172125</v>
      </c>
      <c r="BO201" s="11">
        <f>VLOOKUP($B201,'Woodmac profile - Gas'!$B$402:$AL$428,MATCH('Production - Gas'!BO$178,'Woodmac profile - Gas'!$B$364:$AL$364),FALSE)</f>
        <v>104.46</v>
      </c>
      <c r="BP201" s="65">
        <f>BT201*$CF$172</f>
        <v>126.61719061106777</v>
      </c>
      <c r="BQ201" s="65">
        <f>BT201*$CG$172</f>
        <v>123.27478465482355</v>
      </c>
      <c r="BR201" s="65">
        <f>BT201*$CH$172</f>
        <v>124.14577581084411</v>
      </c>
      <c r="BS201" s="65">
        <f>BT201*4-SUM(BP201:BR201)</f>
        <v>125.64224892326456</v>
      </c>
      <c r="BT201" s="11">
        <f>VLOOKUP($B201,'Woodmac profile - Gas'!$B$402:$AL$428,MATCH('Production - Gas'!BT$178,'Woodmac profile - Gas'!$B$364:$AL$364),FALSE)</f>
        <v>124.92</v>
      </c>
      <c r="BU201" s="65">
        <f>BY201*$CF$172</f>
        <v>126.62732647326847</v>
      </c>
      <c r="BV201" s="65">
        <f>BY201*$CG$172</f>
        <v>123.28465295330697</v>
      </c>
      <c r="BW201" s="65">
        <f>BY201*$CH$172</f>
        <v>124.15571383324333</v>
      </c>
      <c r="BX201" s="65">
        <f>BY201*4-SUM(BU201:BW201)</f>
        <v>125.65230674018125</v>
      </c>
      <c r="BY201" s="11">
        <f>VLOOKUP($B201,'Woodmac profile - Gas'!$B$402:$AL$428,MATCH('Production - Gas'!BY$178,'Woodmac profile - Gas'!$B$364:$AL$364),FALSE)</f>
        <v>124.93</v>
      </c>
      <c r="BZ201" s="65">
        <f>CD201*$CF$172</f>
        <v>126.58678302446569</v>
      </c>
      <c r="CA201" s="65">
        <f>CD201*$CG$172</f>
        <v>123.2451797593733</v>
      </c>
      <c r="CB201" s="65">
        <f>CD201*$CH$172</f>
        <v>124.11596174364651</v>
      </c>
      <c r="CC201" s="65">
        <f>CD201*4-SUM(BZ201:CB201)</f>
        <v>125.6120754725145</v>
      </c>
      <c r="CD201" s="11">
        <f>VLOOKUP($B201,'Woodmac profile - Gas'!$B$402:$AL$428,MATCH('Production - Gas'!CD$178,'Woodmac profile - Gas'!$B$364:$AL$364),FALSE)</f>
        <v>124.89</v>
      </c>
      <c r="CE201" s="5"/>
      <c r="CF201" s="5"/>
      <c r="CG201" s="5"/>
      <c r="CH201" s="5"/>
      <c r="CI201" s="5"/>
    </row>
    <row r="202" spans="1:87">
      <c r="A202" s="11"/>
      <c r="B202" s="11" t="s">
        <v>2251</v>
      </c>
      <c r="C202" s="11"/>
      <c r="D202" s="11"/>
      <c r="E202" s="11">
        <f>VLOOKUP($B202,'Woodmac profile - Gas'!$B$402:$AL$428,MATCH('Production - Gas'!E$178,'Woodmac profile - Gas'!$B$364:$AL$364),FALSE)</f>
        <v>256.61</v>
      </c>
      <c r="F202" s="11">
        <f>VLOOKUP($B202,'Woodmac profile - Gas'!$B$402:$AL$428,MATCH('Production - Gas'!F$178,'Woodmac profile - Gas'!$B$364:$AL$364),FALSE)</f>
        <v>206.03</v>
      </c>
      <c r="G202" s="11">
        <f>VLOOKUP($B202,'Woodmac profile - Gas'!$B$402:$AL$428,MATCH('Production - Gas'!G$178,'Woodmac profile - Gas'!$B$364:$AL$364),FALSE)</f>
        <v>198.92</v>
      </c>
      <c r="H202" s="82"/>
      <c r="I202" s="82"/>
      <c r="J202" s="82"/>
      <c r="K202" s="82"/>
      <c r="L202" s="11">
        <f>VLOOKUP($B202,'Woodmac profile - Gas'!$B$402:$AL$428,MATCH('Production - Gas'!L$178,'Woodmac profile - Gas'!$B$364:$AL$364),FALSE)</f>
        <v>251.77</v>
      </c>
      <c r="M202" s="65">
        <f t="shared" si="108"/>
        <v>434.53616818470658</v>
      </c>
      <c r="N202" s="65">
        <f t="shared" si="108"/>
        <v>405.26689260749833</v>
      </c>
      <c r="O202" s="65">
        <f t="shared" si="108"/>
        <v>425.16999999999996</v>
      </c>
      <c r="P202" s="65">
        <f>Q202*4-SUM(M202:O202)</f>
        <v>435.70693920779513</v>
      </c>
      <c r="Q202" s="11">
        <f>VLOOKUP($B202,'Woodmac profile - Gas'!$B$402:$AL$428,MATCH('Production - Gas'!Q$178,'Woodmac profile - Gas'!$B$364:$AL$364),FALSE)</f>
        <v>425.16999999999996</v>
      </c>
      <c r="R202" s="65">
        <f>V202*R$172</f>
        <v>478.85919064375912</v>
      </c>
      <c r="S202" s="65">
        <f>V202*S$172</f>
        <v>479.95497826536956</v>
      </c>
      <c r="T202" s="65">
        <f>V202*T$172</f>
        <v>479.25765886979923</v>
      </c>
      <c r="U202" s="65">
        <f>V202*4-SUM(R202:T202)</f>
        <v>486.92817222107237</v>
      </c>
      <c r="V202" s="11">
        <f>VLOOKUP($B202,'Woodmac profile - Gas'!$B$402:$AL$428,MATCH('Production - Gas'!V$178,'Woodmac profile - Gas'!$B$364:$AL$364),FALSE)</f>
        <v>481.25000000000006</v>
      </c>
      <c r="W202" s="65">
        <f>AA202*W$172</f>
        <v>470.35970814754762</v>
      </c>
      <c r="X202" s="65">
        <f>AA202*X$172</f>
        <v>478.81326509931085</v>
      </c>
      <c r="Y202" s="65">
        <f>AA202*Y$172</f>
        <v>448.98835630320224</v>
      </c>
      <c r="Z202" s="65">
        <f>AA202*4-SUM(W202:Y202)</f>
        <v>476.43867044993931</v>
      </c>
      <c r="AA202" s="11">
        <f>VLOOKUP($B202,'Woodmac profile - Gas'!$B$402:$AL$428,MATCH('Production - Gas'!AA$178,'Woodmac profile - Gas'!$B$364:$AL$364),FALSE)</f>
        <v>468.65</v>
      </c>
      <c r="AB202" s="65">
        <f>AF202*AB$172</f>
        <v>476.8071787819253</v>
      </c>
      <c r="AC202" s="65">
        <f>AF202*AC$172</f>
        <v>471.11200785854618</v>
      </c>
      <c r="AD202" s="65">
        <f>AF202*AD$172</f>
        <v>487.35724950884082</v>
      </c>
      <c r="AE202" s="65">
        <f>AF202*4-SUM(AB202:AD202)</f>
        <v>465.60356385068781</v>
      </c>
      <c r="AF202" s="11">
        <f>VLOOKUP($B202,'Woodmac profile - Gas'!$B$402:$AL$428,MATCH('Production - Gas'!AF$178,'Woodmac profile - Gas'!$B$364:$AL$364),FALSE)</f>
        <v>475.22</v>
      </c>
      <c r="AG202" s="65">
        <f>AK202*CF$172</f>
        <v>501.55286927693453</v>
      </c>
      <c r="AH202" s="65">
        <f>AK202*CG$172</f>
        <v>488.31301385483778</v>
      </c>
      <c r="AI202" s="65">
        <f>AK202*CH$172</f>
        <v>491.763162379763</v>
      </c>
      <c r="AJ202" s="65">
        <f>AK202*4-SUM(AG202:AI202)</f>
        <v>497.69095448846451</v>
      </c>
      <c r="AK202" s="11">
        <f>VLOOKUP($B202,'Woodmac profile - Gas'!$B$402:$AL$428,MATCH('Production - Gas'!AK$178,'Woodmac profile - Gas'!$B$364:$AL$364),FALSE)</f>
        <v>494.83</v>
      </c>
      <c r="AL202" s="65">
        <f>AP202*$CF$172</f>
        <v>496.81942162921058</v>
      </c>
      <c r="AM202" s="65">
        <f>AP202*$CG$172</f>
        <v>483.70451846308288</v>
      </c>
      <c r="AN202" s="65">
        <f>AP202*$CH$172</f>
        <v>487.12210591933524</v>
      </c>
      <c r="AO202" s="65">
        <f>AP202*4-SUM(AL202:AN202)</f>
        <v>492.99395398837146</v>
      </c>
      <c r="AP202" s="11">
        <f>VLOOKUP($B202,'Woodmac profile - Gas'!$B$402:$AL$428,MATCH('Production - Gas'!AP$178,'Woodmac profile - Gas'!$B$364:$AL$364),FALSE)</f>
        <v>490.16</v>
      </c>
      <c r="AQ202" s="65">
        <f>AU202*$CF$172</f>
        <v>464.09072258317002</v>
      </c>
      <c r="AR202" s="65">
        <f>AU202*$CG$172</f>
        <v>451.83978266013497</v>
      </c>
      <c r="AS202" s="65">
        <f>AU202*$CH$172</f>
        <v>455.03223159230862</v>
      </c>
      <c r="AT202" s="65">
        <f>AU202*4-SUM(AQ202:AS202)</f>
        <v>460.51726316438635</v>
      </c>
      <c r="AU202" s="11">
        <f>VLOOKUP($B202,'Woodmac profile - Gas'!$B$402:$AL$428,MATCH('Production - Gas'!AU$178,'Woodmac profile - Gas'!$B$364:$AL$364),FALSE)</f>
        <v>457.87</v>
      </c>
      <c r="AV202" s="65">
        <f>AZ202*$CF$172</f>
        <v>409.80304463625367</v>
      </c>
      <c r="AW202" s="65">
        <f>AZ202*$CG$172</f>
        <v>398.9851759829628</v>
      </c>
      <c r="AX202" s="65">
        <f>AZ202*$CH$172</f>
        <v>401.80418362217728</v>
      </c>
      <c r="AY202" s="65">
        <f>AZ202*4-SUM(AV202:AX202)</f>
        <v>406.64759575860626</v>
      </c>
      <c r="AZ202" s="11">
        <f>VLOOKUP($B202,'Woodmac profile - Gas'!$B$402:$AL$428,MATCH('Production - Gas'!AZ$178,'Woodmac profile - Gas'!$B$364:$AL$364),FALSE)</f>
        <v>404.31</v>
      </c>
      <c r="BA202" s="65">
        <f>BE202*$CF$172</f>
        <v>389.56172782146808</v>
      </c>
      <c r="BB202" s="65">
        <f>BE202*$CG$172</f>
        <v>379.27818391158252</v>
      </c>
      <c r="BC202" s="65">
        <f>BE202*$CH$172</f>
        <v>381.9579528909689</v>
      </c>
      <c r="BD202" s="65">
        <f>BE202*4-SUM(BA202:BC202)</f>
        <v>386.56213537598069</v>
      </c>
      <c r="BE202" s="11">
        <f>VLOOKUP($B202,'Woodmac profile - Gas'!$B$402:$AL$428,MATCH('Production - Gas'!BE$178,'Woodmac profile - Gas'!$B$364:$AL$364),FALSE)</f>
        <v>384.34000000000003</v>
      </c>
      <c r="BF202" s="65">
        <f>BJ202*$CF$172</f>
        <v>320.60745727014773</v>
      </c>
      <c r="BG202" s="65">
        <f>BJ202*$CG$172</f>
        <v>312.14414932890844</v>
      </c>
      <c r="BH202" s="65">
        <f>BJ202*$CH$172</f>
        <v>314.34958650919077</v>
      </c>
      <c r="BI202" s="65">
        <f>BJ202*4-SUM(BF202:BH202)</f>
        <v>318.13880689175323</v>
      </c>
      <c r="BJ202" s="11">
        <f>VLOOKUP($B202,'Woodmac profile - Gas'!$B$402:$AL$428,MATCH('Production - Gas'!BJ$178,'Woodmac profile - Gas'!$B$364:$AL$364),FALSE)</f>
        <v>316.31000000000006</v>
      </c>
      <c r="BK202" s="65">
        <f>BO202*$CF$172</f>
        <v>734.26212954266509</v>
      </c>
      <c r="BL202" s="65">
        <f>BO202*$CG$172</f>
        <v>714.87927873556907</v>
      </c>
      <c r="BM202" s="65">
        <f>BO202*$CH$172</f>
        <v>719.93021864306525</v>
      </c>
      <c r="BN202" s="65">
        <f>BO202*4-SUM(BK202:BM202)</f>
        <v>728.60837307870088</v>
      </c>
      <c r="BO202" s="11">
        <f>VLOOKUP($B202,'Woodmac profile - Gas'!$B$402:$AL$428,MATCH('Production - Gas'!BO$178,'Woodmac profile - Gas'!$B$364:$AL$364),FALSE)</f>
        <v>724.42000000000007</v>
      </c>
      <c r="BP202" s="65">
        <f>BT202*$CF$172</f>
        <v>1067.6002297368841</v>
      </c>
      <c r="BQ202" s="65">
        <f>BT202*$CG$172</f>
        <v>1039.4180109596468</v>
      </c>
      <c r="BR202" s="65">
        <f>BT202*$CH$172</f>
        <v>1046.7619612856547</v>
      </c>
      <c r="BS202" s="65">
        <f>BT202*4-SUM(BP202:BR202)</f>
        <v>1059.3797980178142</v>
      </c>
      <c r="BT202" s="11">
        <f>VLOOKUP($B202,'Woodmac profile - Gas'!$B$402:$AL$428,MATCH('Production - Gas'!BT$178,'Woodmac profile - Gas'!$B$364:$AL$364),FALSE)</f>
        <v>1053.29</v>
      </c>
      <c r="BU202" s="65">
        <f>BY202*$CF$172</f>
        <v>1380.1902200062832</v>
      </c>
      <c r="BV202" s="65">
        <f>BY202*$CG$172</f>
        <v>1343.7563361881741</v>
      </c>
      <c r="BW202" s="65">
        <f>BY202*$CH$172</f>
        <v>1353.2505720770762</v>
      </c>
      <c r="BX202" s="65">
        <f>BY202*4-SUM(BU202:BW202)</f>
        <v>1369.5628717284681</v>
      </c>
      <c r="BY202" s="11">
        <f>VLOOKUP($B202,'Woodmac profile - Gas'!$B$402:$AL$428,MATCH('Production - Gas'!BY$178,'Woodmac profile - Gas'!$B$364:$AL$364),FALSE)</f>
        <v>1361.6900000000003</v>
      </c>
      <c r="BZ202" s="65">
        <f>CD202*$CF$172</f>
        <v>1688.9792619504217</v>
      </c>
      <c r="CA202" s="65">
        <f>CD202*$CG$172</f>
        <v>1644.3940494854203</v>
      </c>
      <c r="CB202" s="65">
        <f>CD202*$CH$172</f>
        <v>1656.0124244687961</v>
      </c>
      <c r="CC202" s="65">
        <f>CD202*4-SUM(BZ202:CB202)</f>
        <v>1675.9742640953627</v>
      </c>
      <c r="CD202" s="11">
        <f>VLOOKUP($B202,'Woodmac profile - Gas'!$B$402:$AL$428,MATCH('Production - Gas'!CD$178,'Woodmac profile - Gas'!$B$364:$AL$364),FALSE)</f>
        <v>1666.3400000000001</v>
      </c>
      <c r="CE202" s="5"/>
      <c r="CF202" s="5"/>
      <c r="CG202" s="5"/>
      <c r="CH202" s="5"/>
      <c r="CI202" s="5"/>
    </row>
    <row r="203" spans="1:87">
      <c r="A203" s="39" t="s">
        <v>2461</v>
      </c>
      <c r="B203" s="39"/>
      <c r="C203" s="39">
        <f t="shared" ref="C203:AH203" si="109">SUM(C200:C202)</f>
        <v>0</v>
      </c>
      <c r="D203" s="39">
        <f t="shared" si="109"/>
        <v>0</v>
      </c>
      <c r="E203" s="39">
        <f t="shared" si="109"/>
        <v>256.61</v>
      </c>
      <c r="F203" s="39">
        <f t="shared" si="109"/>
        <v>284.87</v>
      </c>
      <c r="G203" s="39">
        <f t="shared" si="109"/>
        <v>373.42999999999995</v>
      </c>
      <c r="H203" s="83"/>
      <c r="I203" s="83"/>
      <c r="J203" s="83"/>
      <c r="K203" s="83"/>
      <c r="L203" s="39">
        <f t="shared" si="109"/>
        <v>409.57000000000005</v>
      </c>
      <c r="M203" s="80">
        <f t="shared" si="109"/>
        <v>594.05449057403086</v>
      </c>
      <c r="N203" s="80">
        <f t="shared" si="109"/>
        <v>554.0404575301842</v>
      </c>
      <c r="O203" s="80">
        <f t="shared" si="109"/>
        <v>581.25</v>
      </c>
      <c r="P203" s="80">
        <f t="shared" si="109"/>
        <v>595.65505189578494</v>
      </c>
      <c r="Q203" s="39">
        <f t="shared" si="109"/>
        <v>581.25</v>
      </c>
      <c r="R203" s="80">
        <f t="shared" si="109"/>
        <v>601.89490788656599</v>
      </c>
      <c r="S203" s="80">
        <f t="shared" si="109"/>
        <v>603.27224177188998</v>
      </c>
      <c r="T203" s="80">
        <f t="shared" si="109"/>
        <v>602.39575657213834</v>
      </c>
      <c r="U203" s="80">
        <f t="shared" si="109"/>
        <v>612.03709376940606</v>
      </c>
      <c r="V203" s="39">
        <f t="shared" si="109"/>
        <v>604.90000000000009</v>
      </c>
      <c r="W203" s="80">
        <f t="shared" si="109"/>
        <v>611.10128901499797</v>
      </c>
      <c r="X203" s="80">
        <f t="shared" si="109"/>
        <v>622.08432914471007</v>
      </c>
      <c r="Y203" s="80">
        <f t="shared" si="109"/>
        <v>583.3351763275233</v>
      </c>
      <c r="Z203" s="80">
        <f t="shared" si="109"/>
        <v>618.99920551276864</v>
      </c>
      <c r="AA203" s="39">
        <f t="shared" si="109"/>
        <v>608.88</v>
      </c>
      <c r="AB203" s="80">
        <f t="shared" si="109"/>
        <v>613.30153634577596</v>
      </c>
      <c r="AC203" s="80">
        <f t="shared" si="109"/>
        <v>605.97602357563846</v>
      </c>
      <c r="AD203" s="80">
        <f t="shared" si="109"/>
        <v>626.87174852652254</v>
      </c>
      <c r="AE203" s="80">
        <f t="shared" si="109"/>
        <v>598.89069155206312</v>
      </c>
      <c r="AF203" s="39">
        <f t="shared" si="109"/>
        <v>611.26</v>
      </c>
      <c r="AG203" s="80">
        <f t="shared" si="109"/>
        <v>630.54185164296473</v>
      </c>
      <c r="AH203" s="80">
        <f t="shared" si="109"/>
        <v>613.89698035478045</v>
      </c>
      <c r="AI203" s="80">
        <f t="shared" ref="AI203:BN203" si="110">SUM(AI200:AI202)</f>
        <v>618.23443543202063</v>
      </c>
      <c r="AJ203" s="80">
        <f t="shared" si="110"/>
        <v>625.68673257023397</v>
      </c>
      <c r="AK203" s="39">
        <f t="shared" si="110"/>
        <v>622.09</v>
      </c>
      <c r="AL203" s="80">
        <f t="shared" si="110"/>
        <v>636.63350482558178</v>
      </c>
      <c r="AM203" s="80">
        <f t="shared" si="110"/>
        <v>619.82782774331304</v>
      </c>
      <c r="AN203" s="80">
        <f t="shared" si="110"/>
        <v>624.20718689394175</v>
      </c>
      <c r="AO203" s="80">
        <f t="shared" si="110"/>
        <v>631.73148053716363</v>
      </c>
      <c r="AP203" s="39">
        <f t="shared" si="110"/>
        <v>628.1</v>
      </c>
      <c r="AQ203" s="80">
        <f t="shared" si="110"/>
        <v>629.19378197027243</v>
      </c>
      <c r="AR203" s="80">
        <f t="shared" si="110"/>
        <v>612.58449665648629</v>
      </c>
      <c r="AS203" s="80">
        <f t="shared" si="110"/>
        <v>616.91267845292668</v>
      </c>
      <c r="AT203" s="80">
        <f t="shared" si="110"/>
        <v>624.34904292031456</v>
      </c>
      <c r="AU203" s="39">
        <f t="shared" si="110"/>
        <v>620.76</v>
      </c>
      <c r="AV203" s="80">
        <f t="shared" si="110"/>
        <v>559.88475624192779</v>
      </c>
      <c r="AW203" s="80">
        <f t="shared" si="110"/>
        <v>545.10507162689271</v>
      </c>
      <c r="AX203" s="80">
        <f t="shared" si="110"/>
        <v>548.95648128717642</v>
      </c>
      <c r="AY203" s="80">
        <f t="shared" si="110"/>
        <v>555.57369084400318</v>
      </c>
      <c r="AZ203" s="39">
        <f>SUM(AZ200:AZ202)</f>
        <v>552.38</v>
      </c>
      <c r="BA203" s="80">
        <f t="shared" si="110"/>
        <v>558.06030104580293</v>
      </c>
      <c r="BB203" s="80">
        <f t="shared" si="110"/>
        <v>543.32877789987799</v>
      </c>
      <c r="BC203" s="80">
        <f t="shared" si="110"/>
        <v>547.16763725531996</v>
      </c>
      <c r="BD203" s="80">
        <f t="shared" si="110"/>
        <v>553.7632837989994</v>
      </c>
      <c r="BE203" s="39">
        <f t="shared" si="110"/>
        <v>550.58000000000004</v>
      </c>
      <c r="BF203" s="80">
        <f t="shared" si="110"/>
        <v>524.94643923613603</v>
      </c>
      <c r="BG203" s="80">
        <f t="shared" si="110"/>
        <v>511.08904675456029</v>
      </c>
      <c r="BH203" s="80">
        <f t="shared" si="110"/>
        <v>514.70011807712365</v>
      </c>
      <c r="BI203" s="80">
        <f t="shared" si="110"/>
        <v>520.90439593218025</v>
      </c>
      <c r="BJ203" s="39">
        <f t="shared" si="110"/>
        <v>517.91000000000008</v>
      </c>
      <c r="BK203" s="80">
        <f t="shared" si="110"/>
        <v>993.91251153783992</v>
      </c>
      <c r="BL203" s="80">
        <f t="shared" si="110"/>
        <v>967.67548098521797</v>
      </c>
      <c r="BM203" s="80">
        <f t="shared" si="110"/>
        <v>974.51253844344899</v>
      </c>
      <c r="BN203" s="80">
        <f t="shared" si="110"/>
        <v>986.25946903349336</v>
      </c>
      <c r="BO203" s="39">
        <f t="shared" ref="BO203:CD203" si="111">SUM(BO200:BO202)</f>
        <v>980.59000000000015</v>
      </c>
      <c r="BP203" s="80">
        <f t="shared" si="111"/>
        <v>1331.9232442065786</v>
      </c>
      <c r="BQ203" s="80">
        <f t="shared" si="111"/>
        <v>1296.7634988101504</v>
      </c>
      <c r="BR203" s="80">
        <f t="shared" si="111"/>
        <v>1305.925709412071</v>
      </c>
      <c r="BS203" s="80">
        <f t="shared" si="111"/>
        <v>1321.6675475712</v>
      </c>
      <c r="BT203" s="39">
        <f t="shared" si="111"/>
        <v>1314.07</v>
      </c>
      <c r="BU203" s="80">
        <f t="shared" si="111"/>
        <v>1628.1336811596566</v>
      </c>
      <c r="BV203" s="80">
        <f t="shared" si="111"/>
        <v>1585.1546536894784</v>
      </c>
      <c r="BW203" s="80">
        <f t="shared" si="111"/>
        <v>1596.3544760063805</v>
      </c>
      <c r="BX203" s="80">
        <f t="shared" si="111"/>
        <v>1615.597189144486</v>
      </c>
      <c r="BY203" s="39">
        <f t="shared" si="111"/>
        <v>1606.3100000000004</v>
      </c>
      <c r="BZ203" s="80">
        <f t="shared" si="111"/>
        <v>1926.0063995136477</v>
      </c>
      <c r="CA203" s="80">
        <f t="shared" si="111"/>
        <v>1875.1642095200864</v>
      </c>
      <c r="CB203" s="80">
        <f t="shared" si="111"/>
        <v>1888.4130782741586</v>
      </c>
      <c r="CC203" s="80">
        <f t="shared" si="111"/>
        <v>1911.176312692108</v>
      </c>
      <c r="CD203" s="39">
        <f t="shared" si="111"/>
        <v>1900.19</v>
      </c>
      <c r="CE203" s="5"/>
      <c r="CF203" s="5"/>
      <c r="CG203" s="5"/>
      <c r="CH203" s="5"/>
      <c r="CI203" s="5"/>
    </row>
    <row r="204" spans="1:87">
      <c r="A204" s="11"/>
      <c r="B204" s="11"/>
      <c r="C204" s="11"/>
      <c r="D204" s="11"/>
      <c r="E204" s="11"/>
      <c r="F204" s="11"/>
      <c r="G204" s="11"/>
      <c r="H204" s="82"/>
      <c r="I204" s="82"/>
      <c r="J204" s="82"/>
      <c r="K204" s="82"/>
      <c r="L204" s="11"/>
      <c r="M204" s="68"/>
      <c r="N204" s="68"/>
      <c r="O204" s="68"/>
      <c r="P204" s="68"/>
      <c r="Q204" s="11"/>
      <c r="R204" s="68"/>
      <c r="S204" s="68"/>
      <c r="T204" s="68"/>
      <c r="U204" s="68"/>
      <c r="V204" s="11"/>
      <c r="W204" s="68"/>
      <c r="X204" s="68"/>
      <c r="Y204" s="68"/>
      <c r="Z204" s="68"/>
      <c r="AA204" s="11"/>
      <c r="AB204" s="68"/>
      <c r="AC204" s="68"/>
      <c r="AD204" s="68"/>
      <c r="AE204" s="68"/>
      <c r="AF204" s="11"/>
      <c r="AG204" s="68"/>
      <c r="AH204" s="68"/>
      <c r="AI204" s="68"/>
      <c r="AJ204" s="68"/>
      <c r="AK204" s="11"/>
      <c r="AL204" s="68"/>
      <c r="AM204" s="68"/>
      <c r="AN204" s="68"/>
      <c r="AO204" s="68"/>
      <c r="AP204" s="11"/>
      <c r="AQ204" s="68"/>
      <c r="AR204" s="68"/>
      <c r="AS204" s="68"/>
      <c r="AT204" s="68"/>
      <c r="AU204" s="11"/>
      <c r="AV204" s="68"/>
      <c r="AW204" s="68"/>
      <c r="AX204" s="68"/>
      <c r="AY204" s="68"/>
      <c r="AZ204" s="11"/>
      <c r="BA204" s="68"/>
      <c r="BB204" s="68"/>
      <c r="BC204" s="68"/>
      <c r="BD204" s="68"/>
      <c r="BE204" s="11"/>
      <c r="BF204" s="68"/>
      <c r="BG204" s="68"/>
      <c r="BH204" s="68"/>
      <c r="BI204" s="68"/>
      <c r="BJ204" s="11"/>
      <c r="BK204" s="68"/>
      <c r="BL204" s="68"/>
      <c r="BM204" s="68"/>
      <c r="BN204" s="68"/>
      <c r="BO204" s="11"/>
      <c r="BP204" s="68"/>
      <c r="BQ204" s="68"/>
      <c r="BR204" s="68"/>
      <c r="BS204" s="68"/>
      <c r="BT204" s="11"/>
      <c r="BU204" s="68"/>
      <c r="BV204" s="68"/>
      <c r="BW204" s="68"/>
      <c r="BX204" s="68"/>
      <c r="BY204" s="11"/>
      <c r="BZ204" s="68"/>
      <c r="CA204" s="68"/>
      <c r="CB204" s="68"/>
      <c r="CC204" s="68"/>
      <c r="CD204" s="11"/>
      <c r="CE204" s="5"/>
      <c r="CF204" s="5"/>
      <c r="CG204" s="5"/>
      <c r="CH204" s="5"/>
      <c r="CI204" s="5"/>
    </row>
    <row r="205" spans="1:87">
      <c r="A205" s="39" t="s">
        <v>2462</v>
      </c>
      <c r="B205" s="11"/>
      <c r="C205" s="11"/>
      <c r="D205" s="11"/>
      <c r="E205" s="11"/>
      <c r="F205" s="11"/>
      <c r="G205" s="11"/>
      <c r="H205" s="82"/>
      <c r="I205" s="82"/>
      <c r="J205" s="82"/>
      <c r="K205" s="82"/>
      <c r="L205" s="11"/>
      <c r="M205" s="68"/>
      <c r="N205" s="68"/>
      <c r="O205" s="68"/>
      <c r="P205" s="68"/>
      <c r="Q205" s="11"/>
      <c r="R205" s="68"/>
      <c r="S205" s="68"/>
      <c r="T205" s="68"/>
      <c r="U205" s="68"/>
      <c r="V205" s="11"/>
      <c r="W205" s="68"/>
      <c r="X205" s="68"/>
      <c r="Y205" s="68"/>
      <c r="Z205" s="68"/>
      <c r="AA205" s="11"/>
      <c r="AB205" s="68"/>
      <c r="AC205" s="68"/>
      <c r="AD205" s="68"/>
      <c r="AE205" s="68"/>
      <c r="AF205" s="11"/>
      <c r="AG205" s="68"/>
      <c r="AH205" s="68"/>
      <c r="AI205" s="68"/>
      <c r="AJ205" s="68"/>
      <c r="AK205" s="11"/>
      <c r="AL205" s="48"/>
      <c r="AM205" s="48"/>
      <c r="AN205" s="48"/>
      <c r="AO205" s="48"/>
      <c r="AP205" s="48"/>
      <c r="AQ205" s="48"/>
      <c r="AR205" s="48"/>
      <c r="AS205" s="48"/>
      <c r="AT205" s="48"/>
      <c r="AU205" s="48"/>
      <c r="AV205" s="48"/>
      <c r="AW205" s="48"/>
      <c r="AX205" s="48"/>
      <c r="AY205" s="48"/>
      <c r="AZ205" s="48"/>
      <c r="BA205" s="48"/>
      <c r="BB205" s="48"/>
      <c r="BC205" s="48"/>
      <c r="BD205" s="48"/>
      <c r="BE205" s="48"/>
      <c r="BF205" s="48"/>
      <c r="BG205" s="48"/>
      <c r="BH205" s="48"/>
      <c r="BI205" s="48"/>
      <c r="BJ205" s="48"/>
      <c r="BK205" s="48"/>
      <c r="BL205" s="48"/>
      <c r="BM205" s="48"/>
      <c r="BN205" s="48"/>
      <c r="BO205" s="48"/>
      <c r="BP205" s="48"/>
      <c r="BQ205" s="48"/>
      <c r="BR205" s="48"/>
      <c r="BS205" s="48"/>
      <c r="BT205" s="48"/>
      <c r="BU205" s="48"/>
      <c r="BV205" s="48"/>
      <c r="BW205" s="48"/>
      <c r="BX205" s="48"/>
      <c r="BY205" s="48"/>
      <c r="BZ205" s="48"/>
      <c r="CA205" s="48"/>
      <c r="CB205" s="48"/>
      <c r="CC205" s="48"/>
      <c r="CD205" s="48"/>
      <c r="CE205" s="49"/>
      <c r="CF205" s="5"/>
      <c r="CG205" s="5"/>
      <c r="CH205" s="5"/>
      <c r="CI205" s="5"/>
    </row>
    <row r="206" spans="1:87">
      <c r="A206" s="39"/>
      <c r="B206" s="11" t="s">
        <v>2502</v>
      </c>
      <c r="C206" s="11"/>
      <c r="D206" s="11"/>
      <c r="E206" s="11">
        <f>VLOOKUP($B206,'Woodmac profile - Gas'!$B$401:$AL$428,MATCH('Production - Gas'!E$178,'Woodmac profile - Gas'!$B$364:$AL$364),FALSE)</f>
        <v>0</v>
      </c>
      <c r="F206" s="11">
        <f>VLOOKUP($B206,'Woodmac profile - Gas'!$B$401:$AL$428,MATCH('Production - Gas'!F$178,'Woodmac profile - Gas'!$B$364:$AL$364),FALSE)</f>
        <v>0</v>
      </c>
      <c r="G206" s="11">
        <f>VLOOKUP($B206,'Woodmac profile - Gas'!$B$401:$AL$428,MATCH('Production - Gas'!G$178,'Woodmac profile - Gas'!$B$364:$AL$364),FALSE)</f>
        <v>0</v>
      </c>
      <c r="H206" s="82"/>
      <c r="I206" s="82"/>
      <c r="J206" s="82"/>
      <c r="K206" s="82"/>
      <c r="L206" s="11">
        <f>VLOOKUP($B206,'Woodmac profile - Gas'!$B$401:$AL$428,MATCH('Production - Gas'!L$178,'Woodmac profile - Gas'!$B$364:$AL$364),FALSE)</f>
        <v>0</v>
      </c>
      <c r="M206" s="65">
        <f t="shared" ref="M206:O213" si="112">$Q206*M$172</f>
        <v>0</v>
      </c>
      <c r="N206" s="65">
        <f t="shared" si="112"/>
        <v>0</v>
      </c>
      <c r="O206" s="65">
        <f t="shared" si="112"/>
        <v>0</v>
      </c>
      <c r="P206" s="65">
        <f>Q206*4-SUM(M206:O206)</f>
        <v>0</v>
      </c>
      <c r="Q206" s="11">
        <f>VLOOKUP($B206,'Woodmac profile - Gas'!$B$401:$AL$428,MATCH('Production - Gas'!Q$178,'Woodmac profile - Gas'!$B$364:$AL$364),FALSE)</f>
        <v>0</v>
      </c>
      <c r="R206" s="65">
        <f>V206*R$172</f>
        <v>0</v>
      </c>
      <c r="S206" s="65">
        <f>V206*S$172</f>
        <v>0</v>
      </c>
      <c r="T206" s="65">
        <f>V206*T$172</f>
        <v>0</v>
      </c>
      <c r="U206" s="65">
        <f>V206*4-SUM(R206:T206)</f>
        <v>0</v>
      </c>
      <c r="V206" s="11">
        <f>VLOOKUP($B206,'Woodmac profile - Gas'!$B$401:$AL$428,MATCH('Production - Gas'!V$178,'Woodmac profile - Gas'!$B$364:$AL$364),FALSE)</f>
        <v>0</v>
      </c>
      <c r="W206" s="65">
        <f>AA206*W$172</f>
        <v>0</v>
      </c>
      <c r="X206" s="65">
        <f>AA206*X$172</f>
        <v>0</v>
      </c>
      <c r="Y206" s="65">
        <f>AA206*Y$172</f>
        <v>0</v>
      </c>
      <c r="Z206" s="65">
        <f>AA206*4-SUM(W206:Y206)</f>
        <v>0</v>
      </c>
      <c r="AA206" s="11">
        <f>VLOOKUP($B206,'Woodmac profile - Gas'!$B$401:$AL$428,MATCH('Production - Gas'!AA$178,'Woodmac profile - Gas'!$B$364:$AL$364),FALSE)</f>
        <v>0</v>
      </c>
      <c r="AB206" s="65">
        <f>AF206*AB$172</f>
        <v>0</v>
      </c>
      <c r="AC206" s="65">
        <f>AF206*AC$172</f>
        <v>0</v>
      </c>
      <c r="AD206" s="65">
        <f>AF206*AD$172</f>
        <v>0</v>
      </c>
      <c r="AE206" s="65">
        <f>AF206*4-SUM(AB206:AD206)</f>
        <v>0</v>
      </c>
      <c r="AF206" s="11">
        <f>VLOOKUP($B206,'Woodmac profile - Gas'!$B$401:$AL$428,MATCH('Production - Gas'!AF$178,'Woodmac profile - Gas'!$B$364:$AL$364),FALSE)</f>
        <v>0</v>
      </c>
      <c r="AG206" s="65">
        <f>AK206*CF$172</f>
        <v>0</v>
      </c>
      <c r="AH206" s="65">
        <f>AK206*CG$172</f>
        <v>0</v>
      </c>
      <c r="AI206" s="65">
        <f>AK206*CH$172</f>
        <v>0</v>
      </c>
      <c r="AJ206" s="65">
        <f>AK206*4-SUM(AG206:AI206)</f>
        <v>0</v>
      </c>
      <c r="AK206" s="11">
        <f>VLOOKUP($B206,'Woodmac profile - Gas'!$B$401:$AL$428,MATCH('Production - Gas'!AK$178,'Woodmac profile - Gas'!$B$364:$AL$364),FALSE)</f>
        <v>0</v>
      </c>
      <c r="AL206" s="65">
        <f>AP206*$CF$172</f>
        <v>0</v>
      </c>
      <c r="AM206" s="65">
        <f>AP206*$CG$172</f>
        <v>0</v>
      </c>
      <c r="AN206" s="65">
        <f>AP206*$CH$172</f>
        <v>0</v>
      </c>
      <c r="AO206" s="65">
        <f>AP206*4-SUM(AL206:AN206)</f>
        <v>0</v>
      </c>
      <c r="AP206" s="11">
        <f>VLOOKUP($B206,'Woodmac profile - Gas'!$B$401:$AL$428,MATCH('Production - Gas'!AP$178,'Woodmac profile - Gas'!$B$364:$AL$364),FALSE)</f>
        <v>0</v>
      </c>
      <c r="AQ206" s="65">
        <f>AU206*$CF$172</f>
        <v>0</v>
      </c>
      <c r="AR206" s="65">
        <f>AU206*$CG$172</f>
        <v>0</v>
      </c>
      <c r="AS206" s="65">
        <f>AU206*$CH$172</f>
        <v>0</v>
      </c>
      <c r="AT206" s="65">
        <f>AU206*4-SUM(AQ206:AS206)</f>
        <v>0</v>
      </c>
      <c r="AU206" s="11">
        <f>VLOOKUP($B206,'Woodmac profile - Gas'!$B$401:$AL$428,MATCH('Production - Gas'!AU$178,'Woodmac profile - Gas'!$B$364:$AL$364),FALSE)</f>
        <v>0</v>
      </c>
      <c r="AV206" s="65">
        <f>AZ206*$CF$172</f>
        <v>0</v>
      </c>
      <c r="AW206" s="65">
        <f>AZ206*$CG$172</f>
        <v>0</v>
      </c>
      <c r="AX206" s="65">
        <f>AZ206*$CH$172</f>
        <v>0</v>
      </c>
      <c r="AY206" s="65">
        <f>AZ206*4-SUM(AV206:AX206)</f>
        <v>0</v>
      </c>
      <c r="AZ206" s="11">
        <f>VLOOKUP($B206,'Woodmac profile - Gas'!$B$401:$AL$428,MATCH('Production - Gas'!AZ$178,'Woodmac profile - Gas'!$B$364:$AL$364),FALSE)</f>
        <v>0</v>
      </c>
      <c r="BA206" s="65">
        <f>BE206*$CF$172</f>
        <v>0</v>
      </c>
      <c r="BB206" s="65">
        <f>BE206*$CG$172</f>
        <v>0</v>
      </c>
      <c r="BC206" s="65">
        <f>BE206*$CH$172</f>
        <v>0</v>
      </c>
      <c r="BD206" s="65">
        <f>BE206*4-SUM(BA206:BC206)</f>
        <v>0</v>
      </c>
      <c r="BE206" s="11">
        <f>VLOOKUP($B206,'Woodmac profile - Gas'!$B$401:$AL$428,MATCH('Production - Gas'!BE$178,'Woodmac profile - Gas'!$B$364:$AL$364),FALSE)</f>
        <v>0</v>
      </c>
      <c r="BF206" s="65">
        <f>BJ206*$CF$172</f>
        <v>0</v>
      </c>
      <c r="BG206" s="65">
        <f>BJ206*$CG$172</f>
        <v>0</v>
      </c>
      <c r="BH206" s="65">
        <f>BJ206*$CH$172</f>
        <v>0</v>
      </c>
      <c r="BI206" s="65">
        <f>BJ206*4-SUM(BF206:BH206)</f>
        <v>0</v>
      </c>
      <c r="BJ206" s="11">
        <f>VLOOKUP($B206,'Woodmac profile - Gas'!$B$401:$AL$428,MATCH('Production - Gas'!BJ$178,'Woodmac profile - Gas'!$B$364:$AL$364),FALSE)</f>
        <v>0</v>
      </c>
      <c r="BK206" s="65">
        <f>BO206*$CF$172</f>
        <v>0</v>
      </c>
      <c r="BL206" s="65">
        <f>BO206*$CG$172</f>
        <v>0</v>
      </c>
      <c r="BM206" s="65">
        <f>BO206*$CH$172</f>
        <v>0</v>
      </c>
      <c r="BN206" s="65">
        <f>BO206*4-SUM(BK206:BM206)</f>
        <v>0</v>
      </c>
      <c r="BO206" s="11">
        <f>VLOOKUP($B206,'Woodmac profile - Gas'!$B$401:$AL$428,MATCH('Production - Gas'!BO$178,'Woodmac profile - Gas'!$B$364:$AL$364),FALSE)</f>
        <v>0</v>
      </c>
      <c r="BP206" s="65">
        <f>BT206*$CF$172</f>
        <v>0</v>
      </c>
      <c r="BQ206" s="65">
        <f>BT206*$CG$172</f>
        <v>0</v>
      </c>
      <c r="BR206" s="65">
        <f>BT206*$CH$172</f>
        <v>0</v>
      </c>
      <c r="BS206" s="65">
        <f>BT206*4-SUM(BP206:BR206)</f>
        <v>0</v>
      </c>
      <c r="BT206" s="11">
        <f>VLOOKUP($B206,'Woodmac profile - Gas'!$B$401:$AL$428,MATCH('Production - Gas'!BT$178,'Woodmac profile - Gas'!$B$364:$AL$364),FALSE)</f>
        <v>0</v>
      </c>
      <c r="BU206" s="65">
        <f>BY206*$CF$172</f>
        <v>0</v>
      </c>
      <c r="BV206" s="65">
        <f>BY206*$CG$172</f>
        <v>0</v>
      </c>
      <c r="BW206" s="65">
        <f>BY206*$CH$172</f>
        <v>0</v>
      </c>
      <c r="BX206" s="65">
        <f>BY206*4-SUM(BU206:BW206)</f>
        <v>0</v>
      </c>
      <c r="BY206" s="11">
        <f>VLOOKUP($B206,'Woodmac profile - Gas'!$B$401:$AL$428,MATCH('Production - Gas'!BY$178,'Woodmac profile - Gas'!$B$364:$AL$364),FALSE)</f>
        <v>0</v>
      </c>
      <c r="BZ206" s="65">
        <f>CD206*$CF$172</f>
        <v>0</v>
      </c>
      <c r="CA206" s="65">
        <f>CD206*$CG$172</f>
        <v>0</v>
      </c>
      <c r="CB206" s="65">
        <f>CD206*$CH$172</f>
        <v>0</v>
      </c>
      <c r="CC206" s="65">
        <f>CD206*4-SUM(BZ206:CB206)</f>
        <v>0</v>
      </c>
      <c r="CD206" s="11">
        <f>VLOOKUP($B206,'Woodmac profile - Gas'!$B$401:$AL$428,MATCH('Production - Gas'!CD$178,'Woodmac profile - Gas'!$B$364:$AL$364),FALSE)</f>
        <v>0</v>
      </c>
      <c r="CE206" s="11"/>
      <c r="CF206" s="5"/>
      <c r="CG206" s="5"/>
      <c r="CH206" s="5"/>
      <c r="CI206" s="5"/>
    </row>
    <row r="207" spans="1:87">
      <c r="A207" s="11"/>
      <c r="B207" s="11" t="s">
        <v>726</v>
      </c>
      <c r="C207" s="11"/>
      <c r="D207" s="11"/>
      <c r="E207" s="11">
        <f>VLOOKUP($B207,'Woodmac profile - Gas'!$B$402:$AL$428,MATCH('Production - Gas'!E$178,'Woodmac profile - Gas'!$B$364:$AL$364),FALSE)</f>
        <v>0</v>
      </c>
      <c r="F207" s="11">
        <f>VLOOKUP($B207,'Woodmac profile - Gas'!$B$402:$AL$428,MATCH('Production - Gas'!F$178,'Woodmac profile - Gas'!$B$364:$AL$364),FALSE)</f>
        <v>0</v>
      </c>
      <c r="G207" s="11">
        <f>VLOOKUP($B207,'Woodmac profile - Gas'!$B$402:$AL$428,MATCH('Production - Gas'!G$178,'Woodmac profile - Gas'!$B$364:$AL$364),FALSE)</f>
        <v>0</v>
      </c>
      <c r="H207" s="82"/>
      <c r="I207" s="82"/>
      <c r="J207" s="82"/>
      <c r="K207" s="82"/>
      <c r="L207" s="11">
        <f>VLOOKUP($B207,'Woodmac profile - Gas'!$B$402:$AL$428,MATCH('Production - Gas'!L$178,'Woodmac profile - Gas'!$B$364:$AL$364),FALSE)</f>
        <v>2.79</v>
      </c>
      <c r="M207" s="65">
        <f t="shared" si="112"/>
        <v>67.91384240626985</v>
      </c>
      <c r="N207" s="65">
        <f t="shared" si="112"/>
        <v>63.339334886676554</v>
      </c>
      <c r="O207" s="65">
        <f t="shared" si="112"/>
        <v>66.45</v>
      </c>
      <c r="P207" s="65">
        <f t="shared" ref="P207:P217" si="113">Q207*4-SUM(M207:O207)</f>
        <v>68.096822707053605</v>
      </c>
      <c r="Q207" s="11">
        <f>VLOOKUP($B207,'Woodmac profile - Gas'!$B$402:$AL$428,MATCH('Production - Gas'!Q$178,'Woodmac profile - Gas'!$B$364:$AL$364),FALSE)</f>
        <v>66.45</v>
      </c>
      <c r="R207" s="65">
        <f t="shared" ref="R207:R213" si="114">V207*R$172</f>
        <v>140.76718898778719</v>
      </c>
      <c r="S207" s="65">
        <f t="shared" ref="S207:S213" si="115">V207*S$172</f>
        <v>141.08931070171809</v>
      </c>
      <c r="T207" s="65">
        <f t="shared" ref="T207:T213" si="116">V207*T$172</f>
        <v>140.88432415648933</v>
      </c>
      <c r="U207" s="65">
        <f t="shared" ref="U207:U217" si="117">V207*4-SUM(R207:T207)</f>
        <v>143.13917615400533</v>
      </c>
      <c r="V207" s="11">
        <f>VLOOKUP($B207,'Woodmac profile - Gas'!$B$402:$AL$428,MATCH('Production - Gas'!V$178,'Woodmac profile - Gas'!$B$364:$AL$364),FALSE)</f>
        <v>141.47</v>
      </c>
      <c r="W207" s="65">
        <f t="shared" ref="W207:W213" si="118">AA207*W$172</f>
        <v>129.80181597081477</v>
      </c>
      <c r="X207" s="65">
        <f t="shared" ref="X207:X213" si="119">AA207*X$172</f>
        <v>132.13468382650993</v>
      </c>
      <c r="Y207" s="65">
        <f t="shared" ref="Y207:Y213" si="120">AA207*Y$172</f>
        <v>123.90411633563033</v>
      </c>
      <c r="Z207" s="65">
        <f t="shared" ref="Z207:Z217" si="121">AA207*4-SUM(W207:Y207)</f>
        <v>131.47938386704504</v>
      </c>
      <c r="AA207" s="11">
        <f>VLOOKUP($B207,'Woodmac profile - Gas'!$B$402:$AL$428,MATCH('Production - Gas'!AA$178,'Woodmac profile - Gas'!$B$364:$AL$364),FALSE)</f>
        <v>129.33000000000001</v>
      </c>
      <c r="AB207" s="65">
        <f t="shared" ref="AB207:AB213" si="122">AF207*AB$172</f>
        <v>154.87554420432221</v>
      </c>
      <c r="AC207" s="65">
        <f t="shared" ref="AC207:AC213" si="123">AF207*AC$172</f>
        <v>153.02565029469551</v>
      </c>
      <c r="AD207" s="65">
        <f t="shared" ref="AD207:AD213" si="124">AF207*AD$172</f>
        <v>158.30239685658154</v>
      </c>
      <c r="AE207" s="65">
        <f t="shared" ref="AE207:AE217" si="125">AF207*4-SUM(AB207:AD207)</f>
        <v>151.2364086444008</v>
      </c>
      <c r="AF207" s="11">
        <f>VLOOKUP($B207,'Woodmac profile - Gas'!$B$402:$AL$428,MATCH('Production - Gas'!AF$178,'Woodmac profile - Gas'!$B$364:$AL$364),FALSE)</f>
        <v>154.36000000000001</v>
      </c>
      <c r="AG207" s="65">
        <f t="shared" ref="AG207:AG213" si="126">AK207*CF$172</f>
        <v>137.48283489021159</v>
      </c>
      <c r="AH207" s="65">
        <f t="shared" ref="AH207:AH213" si="127">AK207*CG$172</f>
        <v>133.85360062904471</v>
      </c>
      <c r="AI207" s="65">
        <f t="shared" ref="AI207:AI213" si="128">AK207*CH$172</f>
        <v>134.79933582278974</v>
      </c>
      <c r="AJ207" s="65">
        <f t="shared" ref="AJ207:AJ216" si="129">AK207*4-SUM(AG207:AI207)</f>
        <v>136.4242286579539</v>
      </c>
      <c r="AK207" s="11">
        <f>VLOOKUP($B207,'Woodmac profile - Gas'!$B$402:$AL$428,MATCH('Production - Gas'!AK$178,'Woodmac profile - Gas'!$B$364:$AL$364),FALSE)</f>
        <v>135.63999999999999</v>
      </c>
      <c r="AL207" s="65">
        <f t="shared" ref="AL207:AL213" si="130">AP207*$CF$172</f>
        <v>158.68705861406318</v>
      </c>
      <c r="AM207" s="65">
        <f t="shared" ref="AM207:AM213" si="131">AP207*$CG$172</f>
        <v>154.49808105634946</v>
      </c>
      <c r="AN207" s="65">
        <f t="shared" ref="AN207:AN213" si="132">AP207*$CH$172</f>
        <v>155.58967868192246</v>
      </c>
      <c r="AO207" s="65">
        <f t="shared" ref="AO207:AO217" si="133">AP207*4-SUM(AL207:AN207)</f>
        <v>157.46518164766491</v>
      </c>
      <c r="AP207" s="11">
        <f>VLOOKUP($B207,'Woodmac profile - Gas'!$B$402:$AL$428,MATCH('Production - Gas'!AP$178,'Woodmac profile - Gas'!$B$364:$AL$364),FALSE)</f>
        <v>156.56</v>
      </c>
      <c r="AQ207" s="65">
        <f t="shared" ref="AQ207:AQ213" si="134">AU207*$CF$172</f>
        <v>202.00773365982877</v>
      </c>
      <c r="AR207" s="65">
        <f t="shared" ref="AR207:AR213" si="135">AU207*$CG$172</f>
        <v>196.67518877446633</v>
      </c>
      <c r="AS207" s="65">
        <f t="shared" ref="AS207:AS213" si="136">AU207*$CH$172</f>
        <v>198.06478641611619</v>
      </c>
      <c r="AT207" s="65">
        <f t="shared" ref="AT207:AT217" si="137">AU207*4-SUM(AQ207:AS207)</f>
        <v>200.45229114958875</v>
      </c>
      <c r="AU207" s="11">
        <f>VLOOKUP($B207,'Woodmac profile - Gas'!$B$402:$AL$428,MATCH('Production - Gas'!AU$178,'Woodmac profile - Gas'!$B$364:$AL$364),FALSE)</f>
        <v>199.3</v>
      </c>
      <c r="AV207" s="65">
        <f t="shared" ref="AV207:AV213" si="138">AZ207*$CF$172</f>
        <v>229.79013195193065</v>
      </c>
      <c r="AW207" s="65">
        <f t="shared" ref="AW207:AW213" si="139">AZ207*$CG$172</f>
        <v>223.72419491750759</v>
      </c>
      <c r="AX207" s="65">
        <f t="shared" ref="AX207:AX213" si="140">AZ207*$CH$172</f>
        <v>225.30490581233167</v>
      </c>
      <c r="AY207" s="65">
        <f t="shared" ref="AY207:AY217" si="141">AZ207*4-SUM(AV207:AX207)</f>
        <v>228.02076731823013</v>
      </c>
      <c r="AZ207" s="11">
        <f>VLOOKUP($B207,'Woodmac profile - Gas'!$B$402:$AL$428,MATCH('Production - Gas'!AZ$178,'Woodmac profile - Gas'!$B$364:$AL$364),FALSE)</f>
        <v>226.71</v>
      </c>
      <c r="BA207" s="65">
        <f t="shared" ref="BA207:BA213" si="142">BE207*$CF$172</f>
        <v>234.36140580444356</v>
      </c>
      <c r="BB207" s="65">
        <f t="shared" ref="BB207:BB213" si="143">BE207*$CG$172</f>
        <v>228.17479753352788</v>
      </c>
      <c r="BC207" s="65">
        <f t="shared" ref="BC207:BC213" si="144">BE207*$CH$172</f>
        <v>229.78695391437222</v>
      </c>
      <c r="BD207" s="65">
        <f t="shared" ref="BD207:BD217" si="145">BE207*4-SUM(BA207:BC207)</f>
        <v>232.55684274765633</v>
      </c>
      <c r="BE207" s="11">
        <f>VLOOKUP($B207,'Woodmac profile - Gas'!$B$402:$AL$428,MATCH('Production - Gas'!BE$178,'Woodmac profile - Gas'!$B$364:$AL$364),FALSE)</f>
        <v>231.22</v>
      </c>
      <c r="BF207" s="65">
        <f t="shared" ref="BF207:BF213" si="146">BJ207*$CF$172</f>
        <v>259.18413233394284</v>
      </c>
      <c r="BG207" s="65">
        <f t="shared" ref="BG207:BG213" si="147">BJ207*$CG$172</f>
        <v>252.34226051941187</v>
      </c>
      <c r="BH207" s="65">
        <f t="shared" ref="BH207:BH213" si="148">BJ207*$CH$172</f>
        <v>254.12517077002042</v>
      </c>
      <c r="BI207" s="65">
        <f t="shared" ref="BI207:BI217" si="149">BJ207*4-SUM(BF207:BH207)</f>
        <v>257.18843637662496</v>
      </c>
      <c r="BJ207" s="11">
        <f>VLOOKUP($B207,'Woodmac profile - Gas'!$B$402:$AL$428,MATCH('Production - Gas'!BJ$178,'Woodmac profile - Gas'!$B$364:$AL$364),FALSE)</f>
        <v>255.71</v>
      </c>
      <c r="BK207" s="65">
        <f t="shared" ref="BK207:BK213" si="150">BO207*$CF$172</f>
        <v>245.60207698501307</v>
      </c>
      <c r="BL207" s="65">
        <f t="shared" ref="BL207:BL213" si="151">BO207*$CG$172</f>
        <v>239.1187405516354</v>
      </c>
      <c r="BM207" s="65">
        <f t="shared" ref="BM207:BM213" si="152">BO207*$CH$172</f>
        <v>240.80822075508837</v>
      </c>
      <c r="BN207" s="65">
        <f t="shared" ref="BN207:BN217" si="153">BO207*4-SUM(BK207:BM207)</f>
        <v>243.71096170826308</v>
      </c>
      <c r="BO207" s="11">
        <f>VLOOKUP($B207,'Woodmac profile - Gas'!$B$402:$AL$428,MATCH('Production - Gas'!BO$178,'Woodmac profile - Gas'!$B$364:$AL$364),FALSE)</f>
        <v>242.31</v>
      </c>
      <c r="BP207" s="65">
        <f t="shared" ref="BP207:BP213" si="154">BT207*$CF$172</f>
        <v>272.23912284843652</v>
      </c>
      <c r="BQ207" s="65">
        <f t="shared" ref="BQ207:BQ213" si="155">BT207*$CG$172</f>
        <v>265.05262896605069</v>
      </c>
      <c r="BR207" s="65">
        <f t="shared" ref="BR207:BR213" si="156">BT207*$CH$172</f>
        <v>266.92534362019387</v>
      </c>
      <c r="BS207" s="65">
        <f t="shared" ref="BS207:BS217" si="157">BT207*4-SUM(BP207:BR207)</f>
        <v>270.14290456531876</v>
      </c>
      <c r="BT207" s="11">
        <f>VLOOKUP($B207,'Woodmac profile - Gas'!$B$402:$AL$428,MATCH('Production - Gas'!BT$178,'Woodmac profile - Gas'!$B$364:$AL$364),FALSE)</f>
        <v>268.58999999999997</v>
      </c>
      <c r="BU207" s="65">
        <f t="shared" ref="BU207:BU213" si="158">BY207*$CF$172</f>
        <v>308.95121573934972</v>
      </c>
      <c r="BV207" s="65">
        <f t="shared" ref="BV207:BV213" si="159">BY207*$CG$172</f>
        <v>300.79560607298083</v>
      </c>
      <c r="BW207" s="65">
        <f t="shared" ref="BW207:BW213" si="160">BY207*$CH$172</f>
        <v>302.92086075010724</v>
      </c>
      <c r="BX207" s="65">
        <f t="shared" ref="BX207:BX217" si="161">BY207*4-SUM(BU207:BW207)</f>
        <v>306.57231743756211</v>
      </c>
      <c r="BY207" s="11">
        <f>VLOOKUP($B207,'Woodmac profile - Gas'!$B$402:$AL$428,MATCH('Production - Gas'!BY$178,'Woodmac profile - Gas'!$B$364:$AL$364),FALSE)</f>
        <v>304.81</v>
      </c>
      <c r="BZ207" s="65">
        <f t="shared" ref="BZ207:BZ213" si="162">CD207*$CF$172</f>
        <v>455.66782109439345</v>
      </c>
      <c r="CA207" s="65">
        <f t="shared" ref="CA207:CA213" si="163">CD207*$CG$172</f>
        <v>443.63922662041688</v>
      </c>
      <c r="CB207" s="65">
        <f t="shared" ref="CB207:CB213" si="164">CD207*$CH$172</f>
        <v>446.77373497857093</v>
      </c>
      <c r="CC207" s="65">
        <f t="shared" ref="CC207:CC217" si="165">CD207*4-SUM(BZ207:CB207)</f>
        <v>452.15921730661876</v>
      </c>
      <c r="CD207" s="11">
        <f>VLOOKUP($B207,'Woodmac profile - Gas'!$B$402:$AL$428,MATCH('Production - Gas'!CD$178,'Woodmac profile - Gas'!$B$364:$AL$364),FALSE)</f>
        <v>449.56</v>
      </c>
      <c r="CE207" s="5"/>
      <c r="CF207" s="5"/>
      <c r="CG207" s="5"/>
      <c r="CH207" s="5"/>
      <c r="CI207" s="5"/>
    </row>
    <row r="208" spans="1:87">
      <c r="A208" s="11"/>
      <c r="B208" s="11" t="s">
        <v>216</v>
      </c>
      <c r="C208" s="11"/>
      <c r="D208" s="11"/>
      <c r="E208" s="11">
        <f>VLOOKUP($B208,'Woodmac profile - Gas'!$B$402:$AL$428,MATCH('Production - Gas'!E$178,'Woodmac profile - Gas'!$B$364:$AL$364),FALSE)</f>
        <v>79.61</v>
      </c>
      <c r="F208" s="11">
        <f>VLOOKUP($B208,'Woodmac profile - Gas'!$B$402:$AL$428,MATCH('Production - Gas'!F$178,'Woodmac profile - Gas'!$B$364:$AL$364),FALSE)</f>
        <v>104.27</v>
      </c>
      <c r="G208" s="11">
        <f>VLOOKUP($B208,'Woodmac profile - Gas'!$B$402:$AL$428,MATCH('Production - Gas'!G$178,'Woodmac profile - Gas'!$B$364:$AL$364),FALSE)</f>
        <v>104.27</v>
      </c>
      <c r="H208" s="82"/>
      <c r="I208" s="82"/>
      <c r="J208" s="82"/>
      <c r="K208" s="82"/>
      <c r="L208" s="11">
        <f>VLOOKUP($B208,'Woodmac profile - Gas'!$B$402:$AL$428,MATCH('Production - Gas'!L$178,'Woodmac profile - Gas'!$B$364:$AL$364),FALSE)</f>
        <v>101.28</v>
      </c>
      <c r="M208" s="65">
        <f t="shared" si="112"/>
        <v>87.833192120313484</v>
      </c>
      <c r="N208" s="65">
        <f t="shared" si="112"/>
        <v>81.91696674433382</v>
      </c>
      <c r="O208" s="65">
        <f t="shared" si="112"/>
        <v>85.94</v>
      </c>
      <c r="P208" s="65">
        <f t="shared" si="113"/>
        <v>88.069841135352704</v>
      </c>
      <c r="Q208" s="11">
        <f>VLOOKUP($B208,'Woodmac profile - Gas'!$B$402:$AL$428,MATCH('Production - Gas'!Q$178,'Woodmac profile - Gas'!$B$364:$AL$364),FALSE)</f>
        <v>85.94</v>
      </c>
      <c r="R208" s="65">
        <f t="shared" si="114"/>
        <v>90.68722417718898</v>
      </c>
      <c r="S208" s="65">
        <f t="shared" si="115"/>
        <v>90.8947464293107</v>
      </c>
      <c r="T208" s="65">
        <f t="shared" si="116"/>
        <v>90.762686814324155</v>
      </c>
      <c r="U208" s="65">
        <f t="shared" si="117"/>
        <v>92.215342579176138</v>
      </c>
      <c r="V208" s="11">
        <f>VLOOKUP($B208,'Woodmac profile - Gas'!$B$402:$AL$428,MATCH('Production - Gas'!V$178,'Woodmac profile - Gas'!$B$364:$AL$364),FALSE)</f>
        <v>91.14</v>
      </c>
      <c r="W208" s="65">
        <f t="shared" si="118"/>
        <v>83.33290636400487</v>
      </c>
      <c r="X208" s="65">
        <f t="shared" si="119"/>
        <v>84.830610052695576</v>
      </c>
      <c r="Y208" s="65">
        <f t="shared" si="120"/>
        <v>79.546576813944071</v>
      </c>
      <c r="Z208" s="65">
        <f t="shared" si="121"/>
        <v>84.409906769355473</v>
      </c>
      <c r="AA208" s="11">
        <f>VLOOKUP($B208,'Woodmac profile - Gas'!$B$402:$AL$428,MATCH('Production - Gas'!AA$178,'Woodmac profile - Gas'!$B$364:$AL$364),FALSE)</f>
        <v>83.03</v>
      </c>
      <c r="AB208" s="65">
        <f t="shared" si="122"/>
        <v>93.942713163064823</v>
      </c>
      <c r="AC208" s="65">
        <f t="shared" si="123"/>
        <v>92.820624754420436</v>
      </c>
      <c r="AD208" s="65">
        <f t="shared" si="124"/>
        <v>96.021335952848716</v>
      </c>
      <c r="AE208" s="65">
        <f t="shared" si="125"/>
        <v>91.735326129665964</v>
      </c>
      <c r="AF208" s="11">
        <f>VLOOKUP($B208,'Woodmac profile - Gas'!$B$402:$AL$428,MATCH('Production - Gas'!AF$178,'Woodmac profile - Gas'!$B$364:$AL$364),FALSE)</f>
        <v>93.63</v>
      </c>
      <c r="AG208" s="65">
        <f t="shared" si="126"/>
        <v>70.62668781443486</v>
      </c>
      <c r="AH208" s="65">
        <f t="shared" si="127"/>
        <v>68.76230383243761</v>
      </c>
      <c r="AI208" s="65">
        <f t="shared" si="128"/>
        <v>69.248140077646639</v>
      </c>
      <c r="AJ208" s="65">
        <f t="shared" si="129"/>
        <v>70.082868275480934</v>
      </c>
      <c r="AK208" s="11">
        <f>VLOOKUP($B208,'Woodmac profile - Gas'!$B$402:$AL$428,MATCH('Production - Gas'!AK$178,'Woodmac profile - Gas'!$B$364:$AL$364),FALSE)</f>
        <v>69.680000000000007</v>
      </c>
      <c r="AL208" s="65">
        <f t="shared" si="130"/>
        <v>67.261581563804498</v>
      </c>
      <c r="AM208" s="65">
        <f t="shared" si="131"/>
        <v>65.486028735943734</v>
      </c>
      <c r="AN208" s="65">
        <f t="shared" si="132"/>
        <v>65.948716641111233</v>
      </c>
      <c r="AO208" s="65">
        <f t="shared" si="133"/>
        <v>66.743673059140519</v>
      </c>
      <c r="AP208" s="11">
        <f>VLOOKUP($B208,'Woodmac profile - Gas'!$B$402:$AL$428,MATCH('Production - Gas'!AP$178,'Woodmac profile - Gas'!$B$364:$AL$364),FALSE)</f>
        <v>66.36</v>
      </c>
      <c r="AQ208" s="65">
        <f t="shared" si="134"/>
        <v>0</v>
      </c>
      <c r="AR208" s="65">
        <f t="shared" si="135"/>
        <v>0</v>
      </c>
      <c r="AS208" s="65">
        <f t="shared" si="136"/>
        <v>0</v>
      </c>
      <c r="AT208" s="65">
        <f t="shared" si="137"/>
        <v>0</v>
      </c>
      <c r="AU208" s="11">
        <f>VLOOKUP($B208,'Woodmac profile - Gas'!$B$402:$AL$428,MATCH('Production - Gas'!AU$178,'Woodmac profile - Gas'!$B$364:$AL$364),FALSE)</f>
        <v>0</v>
      </c>
      <c r="AV208" s="65">
        <f t="shared" si="138"/>
        <v>0</v>
      </c>
      <c r="AW208" s="65">
        <f t="shared" si="139"/>
        <v>0</v>
      </c>
      <c r="AX208" s="65">
        <f t="shared" si="140"/>
        <v>0</v>
      </c>
      <c r="AY208" s="65">
        <f t="shared" si="141"/>
        <v>0</v>
      </c>
      <c r="AZ208" s="11">
        <f>VLOOKUP($B208,'Woodmac profile - Gas'!$B$402:$AL$428,MATCH('Production - Gas'!AZ$178,'Woodmac profile - Gas'!$B$364:$AL$364),FALSE)</f>
        <v>0</v>
      </c>
      <c r="BA208" s="65">
        <f t="shared" si="142"/>
        <v>0</v>
      </c>
      <c r="BB208" s="65">
        <f t="shared" si="143"/>
        <v>0</v>
      </c>
      <c r="BC208" s="65">
        <f t="shared" si="144"/>
        <v>0</v>
      </c>
      <c r="BD208" s="65">
        <f t="shared" si="145"/>
        <v>0</v>
      </c>
      <c r="BE208" s="11">
        <f>VLOOKUP($B208,'Woodmac profile - Gas'!$B$402:$AL$428,MATCH('Production - Gas'!BE$178,'Woodmac profile - Gas'!$B$364:$AL$364),FALSE)</f>
        <v>0</v>
      </c>
      <c r="BF208" s="65">
        <f t="shared" si="146"/>
        <v>0</v>
      </c>
      <c r="BG208" s="65">
        <f t="shared" si="147"/>
        <v>0</v>
      </c>
      <c r="BH208" s="65">
        <f t="shared" si="148"/>
        <v>0</v>
      </c>
      <c r="BI208" s="65">
        <f t="shared" si="149"/>
        <v>0</v>
      </c>
      <c r="BJ208" s="11">
        <f>VLOOKUP($B208,'Woodmac profile - Gas'!$B$402:$AL$428,MATCH('Production - Gas'!BJ$178,'Woodmac profile - Gas'!$B$364:$AL$364),FALSE)</f>
        <v>0</v>
      </c>
      <c r="BK208" s="65">
        <f t="shared" si="150"/>
        <v>0</v>
      </c>
      <c r="BL208" s="65">
        <f t="shared" si="151"/>
        <v>0</v>
      </c>
      <c r="BM208" s="65">
        <f t="shared" si="152"/>
        <v>0</v>
      </c>
      <c r="BN208" s="65">
        <f t="shared" si="153"/>
        <v>0</v>
      </c>
      <c r="BO208" s="11">
        <f>VLOOKUP($B208,'Woodmac profile - Gas'!$B$402:$AL$428,MATCH('Production - Gas'!BO$178,'Woodmac profile - Gas'!$B$364:$AL$364),FALSE)</f>
        <v>0</v>
      </c>
      <c r="BP208" s="65">
        <f t="shared" si="154"/>
        <v>0</v>
      </c>
      <c r="BQ208" s="65">
        <f t="shared" si="155"/>
        <v>0</v>
      </c>
      <c r="BR208" s="65">
        <f t="shared" si="156"/>
        <v>0</v>
      </c>
      <c r="BS208" s="65">
        <f t="shared" si="157"/>
        <v>0</v>
      </c>
      <c r="BT208" s="11">
        <f>VLOOKUP($B208,'Woodmac profile - Gas'!$B$402:$AL$428,MATCH('Production - Gas'!BT$178,'Woodmac profile - Gas'!$B$364:$AL$364),FALSE)</f>
        <v>0</v>
      </c>
      <c r="BU208" s="65">
        <f t="shared" si="158"/>
        <v>0</v>
      </c>
      <c r="BV208" s="65">
        <f t="shared" si="159"/>
        <v>0</v>
      </c>
      <c r="BW208" s="65">
        <f t="shared" si="160"/>
        <v>0</v>
      </c>
      <c r="BX208" s="65">
        <f t="shared" si="161"/>
        <v>0</v>
      </c>
      <c r="BY208" s="11">
        <f>VLOOKUP($B208,'Woodmac profile - Gas'!$B$402:$AL$428,MATCH('Production - Gas'!BY$178,'Woodmac profile - Gas'!$B$364:$AL$364),FALSE)</f>
        <v>0</v>
      </c>
      <c r="BZ208" s="65">
        <f t="shared" si="162"/>
        <v>0</v>
      </c>
      <c r="CA208" s="65">
        <f t="shared" si="163"/>
        <v>0</v>
      </c>
      <c r="CB208" s="65">
        <f t="shared" si="164"/>
        <v>0</v>
      </c>
      <c r="CC208" s="65">
        <f t="shared" si="165"/>
        <v>0</v>
      </c>
      <c r="CD208" s="11">
        <f>VLOOKUP($B208,'Woodmac profile - Gas'!$B$402:$AL$428,MATCH('Production - Gas'!CD$178,'Woodmac profile - Gas'!$B$364:$AL$364),FALSE)</f>
        <v>0</v>
      </c>
      <c r="CE208" s="5"/>
      <c r="CF208" s="5"/>
      <c r="CG208" s="5"/>
      <c r="CH208" s="5"/>
      <c r="CI208" s="5"/>
    </row>
    <row r="209" spans="1:87">
      <c r="A209" s="11"/>
      <c r="B209" s="11" t="s">
        <v>138</v>
      </c>
      <c r="C209" s="11"/>
      <c r="D209" s="11"/>
      <c r="E209" s="11">
        <f>VLOOKUP($B209,'Woodmac profile - Gas'!$B$402:$AL$428,MATCH('Production - Gas'!E$178,'Woodmac profile - Gas'!$B$364:$AL$364),FALSE)</f>
        <v>0</v>
      </c>
      <c r="F209" s="11">
        <f>VLOOKUP($B209,'Woodmac profile - Gas'!$B$402:$AL$428,MATCH('Production - Gas'!F$178,'Woodmac profile - Gas'!$B$364:$AL$364),FALSE)</f>
        <v>0</v>
      </c>
      <c r="G209" s="11">
        <f>VLOOKUP($B209,'Woodmac profile - Gas'!$B$402:$AL$428,MATCH('Production - Gas'!G$178,'Woodmac profile - Gas'!$B$364:$AL$364),FALSE)</f>
        <v>0</v>
      </c>
      <c r="H209" s="82"/>
      <c r="I209" s="82"/>
      <c r="J209" s="82"/>
      <c r="K209" s="82"/>
      <c r="L209" s="11">
        <f>VLOOKUP($B209,'Woodmac profile - Gas'!$B$402:$AL$428,MATCH('Production - Gas'!L$178,'Woodmac profile - Gas'!$B$364:$AL$364),FALSE)</f>
        <v>0</v>
      </c>
      <c r="M209" s="65">
        <f t="shared" si="112"/>
        <v>0</v>
      </c>
      <c r="N209" s="65">
        <f t="shared" si="112"/>
        <v>0</v>
      </c>
      <c r="O209" s="65">
        <f t="shared" si="112"/>
        <v>0</v>
      </c>
      <c r="P209" s="65">
        <f>Q209*4-SUM(M209:O209)</f>
        <v>0</v>
      </c>
      <c r="Q209" s="11">
        <f>VLOOKUP($B209,'Woodmac profile - Gas'!$B$402:$AL$428,MATCH('Production - Gas'!Q$178,'Woodmac profile - Gas'!$B$364:$AL$364),FALSE)</f>
        <v>0</v>
      </c>
      <c r="R209" s="65">
        <f>V209*R$172</f>
        <v>0</v>
      </c>
      <c r="S209" s="65">
        <f>V209*S$172</f>
        <v>0</v>
      </c>
      <c r="T209" s="65">
        <f>V209*T$172</f>
        <v>0</v>
      </c>
      <c r="U209" s="65">
        <f>V209*4-SUM(R209:T209)</f>
        <v>0</v>
      </c>
      <c r="V209" s="11">
        <f>VLOOKUP($B209,'Woodmac profile - Gas'!$B$402:$AL$428,MATCH('Production - Gas'!V$178,'Woodmac profile - Gas'!$B$364:$AL$364),FALSE)</f>
        <v>0</v>
      </c>
      <c r="W209" s="65">
        <f>AA209*W$172</f>
        <v>0</v>
      </c>
      <c r="X209" s="65">
        <f>AA209*X$172</f>
        <v>0</v>
      </c>
      <c r="Y209" s="65">
        <f>AA209*Y$172</f>
        <v>0</v>
      </c>
      <c r="Z209" s="65">
        <f>AA209*4-SUM(W209:Y209)</f>
        <v>0</v>
      </c>
      <c r="AA209" s="11">
        <f>VLOOKUP($B209,'Woodmac profile - Gas'!$B$402:$AL$428,MATCH('Production - Gas'!AA$178,'Woodmac profile - Gas'!$B$364:$AL$364),FALSE)</f>
        <v>0</v>
      </c>
      <c r="AB209" s="65">
        <f>AF209*AB$172</f>
        <v>0</v>
      </c>
      <c r="AC209" s="65">
        <f>AF209*AC$172</f>
        <v>0</v>
      </c>
      <c r="AD209" s="65">
        <f>AF209*AD$172</f>
        <v>0</v>
      </c>
      <c r="AE209" s="65">
        <f>AF209*4-SUM(AB209:AD209)</f>
        <v>0</v>
      </c>
      <c r="AF209" s="11">
        <f>VLOOKUP($B209,'Woodmac profile - Gas'!$B$402:$AL$428,MATCH('Production - Gas'!AF$178,'Woodmac profile - Gas'!$B$364:$AL$364),FALSE)</f>
        <v>0</v>
      </c>
      <c r="AG209" s="65">
        <f>AK209*CF$172</f>
        <v>0</v>
      </c>
      <c r="AH209" s="65">
        <f>AK209*CG$172</f>
        <v>0</v>
      </c>
      <c r="AI209" s="65">
        <f>AK209*CH$172</f>
        <v>0</v>
      </c>
      <c r="AJ209" s="65">
        <f>AK209*4-SUM(AG209:AI209)</f>
        <v>0</v>
      </c>
      <c r="AK209" s="11">
        <f>VLOOKUP($B209,'Woodmac profile - Gas'!$B$402:$AL$428,MATCH('Production - Gas'!AK$178,'Woodmac profile - Gas'!$B$364:$AL$364),FALSE)</f>
        <v>0</v>
      </c>
      <c r="AL209" s="65">
        <f>AP209*$CF$172</f>
        <v>0</v>
      </c>
      <c r="AM209" s="65">
        <f>AP209*$CG$172</f>
        <v>0</v>
      </c>
      <c r="AN209" s="65">
        <f>AP209*$CH$172</f>
        <v>0</v>
      </c>
      <c r="AO209" s="65">
        <f>AP209*4-SUM(AL209:AN209)</f>
        <v>0</v>
      </c>
      <c r="AP209" s="11">
        <f>VLOOKUP($B209,'Woodmac profile - Gas'!$B$402:$AL$428,MATCH('Production - Gas'!AP$178,'Woodmac profile - Gas'!$B$364:$AL$364),FALSE)</f>
        <v>0</v>
      </c>
      <c r="AQ209" s="65">
        <f>AU209*$CF$172</f>
        <v>0</v>
      </c>
      <c r="AR209" s="65">
        <f>AU209*$CG$172</f>
        <v>0</v>
      </c>
      <c r="AS209" s="65">
        <f>AU209*$CH$172</f>
        <v>0</v>
      </c>
      <c r="AT209" s="65">
        <f>AU209*4-SUM(AQ209:AS209)</f>
        <v>0</v>
      </c>
      <c r="AU209" s="11">
        <f>VLOOKUP($B209,'Woodmac profile - Gas'!$B$402:$AL$428,MATCH('Production - Gas'!AU$178,'Woodmac profile - Gas'!$B$364:$AL$364),FALSE)</f>
        <v>0</v>
      </c>
      <c r="AV209" s="65">
        <f>AZ209*$CF$172</f>
        <v>0</v>
      </c>
      <c r="AW209" s="65">
        <f>AZ209*$CG$172</f>
        <v>0</v>
      </c>
      <c r="AX209" s="65">
        <f>AZ209*$CH$172</f>
        <v>0</v>
      </c>
      <c r="AY209" s="65">
        <f>AZ209*4-SUM(AV209:AX209)</f>
        <v>0</v>
      </c>
      <c r="AZ209" s="11">
        <f>VLOOKUP($B209,'Woodmac profile - Gas'!$B$402:$AL$428,MATCH('Production - Gas'!AZ$178,'Woodmac profile - Gas'!$B$364:$AL$364),FALSE)</f>
        <v>0</v>
      </c>
      <c r="BA209" s="65">
        <f>BE209*$CF$172</f>
        <v>0</v>
      </c>
      <c r="BB209" s="65">
        <f>BE209*$CG$172</f>
        <v>0</v>
      </c>
      <c r="BC209" s="65">
        <f>BE209*$CH$172</f>
        <v>0</v>
      </c>
      <c r="BD209" s="65">
        <f>BE209*4-SUM(BA209:BC209)</f>
        <v>0</v>
      </c>
      <c r="BE209" s="11">
        <f>VLOOKUP($B209,'Woodmac profile - Gas'!$B$402:$AL$428,MATCH('Production - Gas'!BE$178,'Woodmac profile - Gas'!$B$364:$AL$364),FALSE)</f>
        <v>0</v>
      </c>
      <c r="BF209" s="65">
        <f>BJ209*$CF$172</f>
        <v>0</v>
      </c>
      <c r="BG209" s="65">
        <f>BJ209*$CG$172</f>
        <v>0</v>
      </c>
      <c r="BH209" s="65">
        <f>BJ209*$CH$172</f>
        <v>0</v>
      </c>
      <c r="BI209" s="65">
        <f>BJ209*4-SUM(BF209:BH209)</f>
        <v>0</v>
      </c>
      <c r="BJ209" s="11">
        <f>VLOOKUP($B209,'Woodmac profile - Gas'!$B$402:$AL$428,MATCH('Production - Gas'!BJ$178,'Woodmac profile - Gas'!$B$364:$AL$364),FALSE)</f>
        <v>0</v>
      </c>
      <c r="BK209" s="65">
        <f>BO209*$CF$172</f>
        <v>0</v>
      </c>
      <c r="BL209" s="65">
        <f>BO209*$CG$172</f>
        <v>0</v>
      </c>
      <c r="BM209" s="65">
        <f>BO209*$CH$172</f>
        <v>0</v>
      </c>
      <c r="BN209" s="65">
        <f>BO209*4-SUM(BK209:BM209)</f>
        <v>0</v>
      </c>
      <c r="BO209" s="11">
        <f>VLOOKUP($B209,'Woodmac profile - Gas'!$B$402:$AL$428,MATCH('Production - Gas'!BO$178,'Woodmac profile - Gas'!$B$364:$AL$364),FALSE)</f>
        <v>0</v>
      </c>
      <c r="BP209" s="65">
        <f>BT209*$CF$172</f>
        <v>0</v>
      </c>
      <c r="BQ209" s="65">
        <f>BT209*$CG$172</f>
        <v>0</v>
      </c>
      <c r="BR209" s="65">
        <f>BT209*$CH$172</f>
        <v>0</v>
      </c>
      <c r="BS209" s="65">
        <f>BT209*4-SUM(BP209:BR209)</f>
        <v>0</v>
      </c>
      <c r="BT209" s="11">
        <f>VLOOKUP($B209,'Woodmac profile - Gas'!$B$402:$AL$428,MATCH('Production - Gas'!BT$178,'Woodmac profile - Gas'!$B$364:$AL$364),FALSE)</f>
        <v>0</v>
      </c>
      <c r="BU209" s="65">
        <f>BY209*$CF$172</f>
        <v>0</v>
      </c>
      <c r="BV209" s="65">
        <f>BY209*$CG$172</f>
        <v>0</v>
      </c>
      <c r="BW209" s="65">
        <f>BY209*$CH$172</f>
        <v>0</v>
      </c>
      <c r="BX209" s="65">
        <f>BY209*4-SUM(BU209:BW209)</f>
        <v>0</v>
      </c>
      <c r="BY209" s="11">
        <f>VLOOKUP($B209,'Woodmac profile - Gas'!$B$402:$AL$428,MATCH('Production - Gas'!BY$178,'Woodmac profile - Gas'!$B$364:$AL$364),FALSE)</f>
        <v>0</v>
      </c>
      <c r="BZ209" s="65">
        <f>CD209*$CF$172</f>
        <v>0</v>
      </c>
      <c r="CA209" s="65">
        <f>CD209*$CG$172</f>
        <v>0</v>
      </c>
      <c r="CB209" s="65">
        <f>CD209*$CH$172</f>
        <v>0</v>
      </c>
      <c r="CC209" s="65">
        <f>CD209*4-SUM(BZ209:CB209)</f>
        <v>0</v>
      </c>
      <c r="CD209" s="11">
        <f>VLOOKUP($B209,'Woodmac profile - Gas'!$B$402:$AL$428,MATCH('Production - Gas'!CD$178,'Woodmac profile - Gas'!$B$364:$AL$364),FALSE)</f>
        <v>0</v>
      </c>
      <c r="CE209" s="5"/>
      <c r="CF209" s="5"/>
      <c r="CG209" s="5"/>
      <c r="CH209" s="5"/>
      <c r="CI209" s="5"/>
    </row>
    <row r="210" spans="1:87">
      <c r="A210" s="11"/>
      <c r="B210" s="11" t="s">
        <v>816</v>
      </c>
      <c r="C210" s="11"/>
      <c r="D210" s="11"/>
      <c r="E210" s="11">
        <f>VLOOKUP($B210,'Woodmac profile - Gas'!$B$402:$AL$428,MATCH('Production - Gas'!E$178,'Woodmac profile - Gas'!$B$364:$AL$364),FALSE)</f>
        <v>0</v>
      </c>
      <c r="F210" s="11">
        <f>VLOOKUP($B210,'Woodmac profile - Gas'!$B$402:$AL$428,MATCH('Production - Gas'!F$178,'Woodmac profile - Gas'!$B$364:$AL$364),FALSE)</f>
        <v>0</v>
      </c>
      <c r="G210" s="11">
        <f>VLOOKUP($B210,'Woodmac profile - Gas'!$B$402:$AL$428,MATCH('Production - Gas'!G$178,'Woodmac profile - Gas'!$B$364:$AL$364),FALSE)</f>
        <v>0</v>
      </c>
      <c r="H210" s="82"/>
      <c r="I210" s="82"/>
      <c r="J210" s="82"/>
      <c r="K210" s="82"/>
      <c r="L210" s="11">
        <f>VLOOKUP($B210,'Woodmac profile - Gas'!$B$402:$AL$428,MATCH('Production - Gas'!L$178,'Woodmac profile - Gas'!$B$364:$AL$364),FALSE)</f>
        <v>0</v>
      </c>
      <c r="M210" s="65">
        <f>$Q210*M$172</f>
        <v>0</v>
      </c>
      <c r="N210" s="65">
        <f>$Q210*N$172</f>
        <v>0</v>
      </c>
      <c r="O210" s="65">
        <f>$Q210*O$172</f>
        <v>0</v>
      </c>
      <c r="P210" s="65">
        <f>Q210*4-SUM(M210:O210)</f>
        <v>0</v>
      </c>
      <c r="Q210" s="11">
        <f>VLOOKUP($B210,'Woodmac profile - Gas'!$B$402:$AL$428,MATCH('Production - Gas'!Q$178,'Woodmac profile - Gas'!$B$364:$AL$364),FALSE)</f>
        <v>0</v>
      </c>
      <c r="R210" s="65">
        <f>V210*R$172</f>
        <v>0</v>
      </c>
      <c r="S210" s="65">
        <f>V210*S$172</f>
        <v>0</v>
      </c>
      <c r="T210" s="65">
        <f>V210*T$172</f>
        <v>0</v>
      </c>
      <c r="U210" s="65">
        <f>V210*4-SUM(R210:T210)</f>
        <v>0</v>
      </c>
      <c r="V210" s="11">
        <f>VLOOKUP($B210,'Woodmac profile - Gas'!$B$402:$AL$428,MATCH('Production - Gas'!V$178,'Woodmac profile - Gas'!$B$364:$AL$364),FALSE)</f>
        <v>0</v>
      </c>
      <c r="W210" s="65">
        <f>AA210*W$172</f>
        <v>0</v>
      </c>
      <c r="X210" s="65">
        <f>AA210*X$172</f>
        <v>0</v>
      </c>
      <c r="Y210" s="65">
        <f>AA210*Y$172</f>
        <v>0</v>
      </c>
      <c r="Z210" s="65">
        <f>AA210*4-SUM(W210:Y210)</f>
        <v>0</v>
      </c>
      <c r="AA210" s="11">
        <f>VLOOKUP($B210,'Woodmac profile - Gas'!$B$402:$AL$428,MATCH('Production - Gas'!AA$178,'Woodmac profile - Gas'!$B$364:$AL$364),FALSE)</f>
        <v>0</v>
      </c>
      <c r="AB210" s="65">
        <f>AF210*AB$172</f>
        <v>0</v>
      </c>
      <c r="AC210" s="65">
        <f>AF210*AC$172</f>
        <v>0</v>
      </c>
      <c r="AD210" s="65">
        <f>AF210*AD$172</f>
        <v>0</v>
      </c>
      <c r="AE210" s="65">
        <f>AF210*4-SUM(AB210:AD210)</f>
        <v>0</v>
      </c>
      <c r="AF210" s="11">
        <f>VLOOKUP($B210,'Woodmac profile - Gas'!$B$402:$AL$428,MATCH('Production - Gas'!AF$178,'Woodmac profile - Gas'!$B$364:$AL$364),FALSE)</f>
        <v>0</v>
      </c>
      <c r="AG210" s="65">
        <f>AK210*CF$172</f>
        <v>0</v>
      </c>
      <c r="AH210" s="65">
        <f>AK210*CG$172</f>
        <v>0</v>
      </c>
      <c r="AI210" s="65">
        <f>AK210*CH$172</f>
        <v>0</v>
      </c>
      <c r="AJ210" s="65">
        <f>AK210*4-SUM(AG210:AI210)</f>
        <v>0</v>
      </c>
      <c r="AK210" s="11">
        <f>VLOOKUP($B210,'Woodmac profile - Gas'!$B$402:$AL$428,MATCH('Production - Gas'!AK$178,'Woodmac profile - Gas'!$B$364:$AL$364),FALSE)</f>
        <v>0</v>
      </c>
      <c r="AL210" s="65">
        <f>AP210*$CF$172</f>
        <v>0</v>
      </c>
      <c r="AM210" s="65">
        <f>AP210*$CG$172</f>
        <v>0</v>
      </c>
      <c r="AN210" s="65">
        <f>AP210*$CH$172</f>
        <v>0</v>
      </c>
      <c r="AO210" s="65">
        <f>AP210*4-SUM(AL210:AN210)</f>
        <v>0</v>
      </c>
      <c r="AP210" s="11">
        <f>VLOOKUP($B210,'Woodmac profile - Gas'!$B$402:$AL$428,MATCH('Production - Gas'!AP$178,'Woodmac profile - Gas'!$B$364:$AL$364),FALSE)</f>
        <v>0</v>
      </c>
      <c r="AQ210" s="65">
        <f>AU210*$CF$172</f>
        <v>0</v>
      </c>
      <c r="AR210" s="65">
        <f>AU210*$CG$172</f>
        <v>0</v>
      </c>
      <c r="AS210" s="65">
        <f>AU210*$CH$172</f>
        <v>0</v>
      </c>
      <c r="AT210" s="65">
        <f>AU210*4-SUM(AQ210:AS210)</f>
        <v>0</v>
      </c>
      <c r="AU210" s="11">
        <f>VLOOKUP($B210,'Woodmac profile - Gas'!$B$402:$AL$428,MATCH('Production - Gas'!AU$178,'Woodmac profile - Gas'!$B$364:$AL$364),FALSE)</f>
        <v>0</v>
      </c>
      <c r="AV210" s="65">
        <f>AZ210*$CF$172</f>
        <v>0</v>
      </c>
      <c r="AW210" s="65">
        <f>AZ210*$CG$172</f>
        <v>0</v>
      </c>
      <c r="AX210" s="65">
        <f>AZ210*$CH$172</f>
        <v>0</v>
      </c>
      <c r="AY210" s="65">
        <f>AZ210*4-SUM(AV210:AX210)</f>
        <v>0</v>
      </c>
      <c r="AZ210" s="11">
        <f>VLOOKUP($B210,'Woodmac profile - Gas'!$B$402:$AL$428,MATCH('Production - Gas'!AZ$178,'Woodmac profile - Gas'!$B$364:$AL$364),FALSE)</f>
        <v>0</v>
      </c>
      <c r="BA210" s="65">
        <f>BE210*$CF$172</f>
        <v>0</v>
      </c>
      <c r="BB210" s="65">
        <f>BE210*$CG$172</f>
        <v>0</v>
      </c>
      <c r="BC210" s="65">
        <f>BE210*$CH$172</f>
        <v>0</v>
      </c>
      <c r="BD210" s="65">
        <f>BE210*4-SUM(BA210:BC210)</f>
        <v>0</v>
      </c>
      <c r="BE210" s="11">
        <f>VLOOKUP($B210,'Woodmac profile - Gas'!$B$402:$AL$428,MATCH('Production - Gas'!BE$178,'Woodmac profile - Gas'!$B$364:$AL$364),FALSE)</f>
        <v>0</v>
      </c>
      <c r="BF210" s="65">
        <f>BJ210*$CF$172</f>
        <v>0</v>
      </c>
      <c r="BG210" s="65">
        <f>BJ210*$CG$172</f>
        <v>0</v>
      </c>
      <c r="BH210" s="65">
        <f>BJ210*$CH$172</f>
        <v>0</v>
      </c>
      <c r="BI210" s="65">
        <f>BJ210*4-SUM(BF210:BH210)</f>
        <v>0</v>
      </c>
      <c r="BJ210" s="11">
        <f>VLOOKUP($B210,'Woodmac profile - Gas'!$B$402:$AL$428,MATCH('Production - Gas'!BJ$178,'Woodmac profile - Gas'!$B$364:$AL$364),FALSE)</f>
        <v>0</v>
      </c>
      <c r="BK210" s="65">
        <f>BO210*$CF$172</f>
        <v>0</v>
      </c>
      <c r="BL210" s="65">
        <f>BO210*$CG$172</f>
        <v>0</v>
      </c>
      <c r="BM210" s="65">
        <f>BO210*$CH$172</f>
        <v>0</v>
      </c>
      <c r="BN210" s="65">
        <f>BO210*4-SUM(BK210:BM210)</f>
        <v>0</v>
      </c>
      <c r="BO210" s="11">
        <f>VLOOKUP($B210,'Woodmac profile - Gas'!$B$402:$AL$428,MATCH('Production - Gas'!BO$178,'Woodmac profile - Gas'!$B$364:$AL$364),FALSE)</f>
        <v>0</v>
      </c>
      <c r="BP210" s="65">
        <f>BT210*$CF$172</f>
        <v>0</v>
      </c>
      <c r="BQ210" s="65">
        <f>BT210*$CG$172</f>
        <v>0</v>
      </c>
      <c r="BR210" s="65">
        <f>BT210*$CH$172</f>
        <v>0</v>
      </c>
      <c r="BS210" s="65">
        <f>BT210*4-SUM(BP210:BR210)</f>
        <v>0</v>
      </c>
      <c r="BT210" s="11">
        <f>VLOOKUP($B210,'Woodmac profile - Gas'!$B$402:$AL$428,MATCH('Production - Gas'!BT$178,'Woodmac profile - Gas'!$B$364:$AL$364),FALSE)</f>
        <v>0</v>
      </c>
      <c r="BU210" s="65">
        <f>BY210*$CF$172</f>
        <v>0</v>
      </c>
      <c r="BV210" s="65">
        <f>BY210*$CG$172</f>
        <v>0</v>
      </c>
      <c r="BW210" s="65">
        <f>BY210*$CH$172</f>
        <v>0</v>
      </c>
      <c r="BX210" s="65">
        <f>BY210*4-SUM(BU210:BW210)</f>
        <v>0</v>
      </c>
      <c r="BY210" s="11">
        <f>VLOOKUP($B210,'Woodmac profile - Gas'!$B$402:$AL$428,MATCH('Production - Gas'!BY$178,'Woodmac profile - Gas'!$B$364:$AL$364),FALSE)</f>
        <v>0</v>
      </c>
      <c r="BZ210" s="65">
        <f>CD210*$CF$172</f>
        <v>0</v>
      </c>
      <c r="CA210" s="65">
        <f>CD210*$CG$172</f>
        <v>0</v>
      </c>
      <c r="CB210" s="65">
        <f>CD210*$CH$172</f>
        <v>0</v>
      </c>
      <c r="CC210" s="65">
        <f>CD210*4-SUM(BZ210:CB210)</f>
        <v>0</v>
      </c>
      <c r="CD210" s="11">
        <f>VLOOKUP($B210,'Woodmac profile - Gas'!$B$402:$AL$428,MATCH('Production - Gas'!CD$178,'Woodmac profile - Gas'!$B$364:$AL$364),FALSE)</f>
        <v>0</v>
      </c>
      <c r="CE210" s="5"/>
      <c r="CF210" s="5"/>
      <c r="CG210" s="5"/>
      <c r="CH210" s="5"/>
      <c r="CI210" s="5"/>
    </row>
    <row r="211" spans="1:87">
      <c r="A211" s="11"/>
      <c r="B211" s="11" t="s">
        <v>1962</v>
      </c>
      <c r="C211" s="11"/>
      <c r="D211" s="11"/>
      <c r="E211" s="11">
        <f>VLOOKUP($B211,'Woodmac profile - Gas'!$B$402:$AL$428,MATCH('Production - Gas'!E$178,'Woodmac profile - Gas'!$B$364:$AL$364),FALSE)</f>
        <v>0</v>
      </c>
      <c r="F211" s="11">
        <f>VLOOKUP($B211,'Woodmac profile - Gas'!$B$402:$AL$428,MATCH('Production - Gas'!F$178,'Woodmac profile - Gas'!$B$364:$AL$364),FALSE)</f>
        <v>0</v>
      </c>
      <c r="G211" s="11">
        <f>VLOOKUP($B211,'Woodmac profile - Gas'!$B$402:$AL$428,MATCH('Production - Gas'!G$178,'Woodmac profile - Gas'!$B$364:$AL$364),FALSE)</f>
        <v>0</v>
      </c>
      <c r="H211" s="82"/>
      <c r="I211" s="82"/>
      <c r="J211" s="82"/>
      <c r="K211" s="82"/>
      <c r="L211" s="11">
        <f>VLOOKUP($B211,'Woodmac profile - Gas'!$B$402:$AL$428,MATCH('Production - Gas'!L$178,'Woodmac profile - Gas'!$B$364:$AL$364),FALSE)</f>
        <v>0</v>
      </c>
      <c r="M211" s="65">
        <f t="shared" si="112"/>
        <v>0</v>
      </c>
      <c r="N211" s="65">
        <f t="shared" si="112"/>
        <v>0</v>
      </c>
      <c r="O211" s="65">
        <f t="shared" si="112"/>
        <v>0</v>
      </c>
      <c r="P211" s="65">
        <f t="shared" si="113"/>
        <v>0</v>
      </c>
      <c r="Q211" s="11">
        <f>VLOOKUP($B211,'Woodmac profile - Gas'!$B$402:$AL$428,MATCH('Production - Gas'!Q$178,'Woodmac profile - Gas'!$B$364:$AL$364),FALSE)</f>
        <v>0</v>
      </c>
      <c r="R211" s="65">
        <f t="shared" si="114"/>
        <v>0</v>
      </c>
      <c r="S211" s="65">
        <f t="shared" si="115"/>
        <v>0</v>
      </c>
      <c r="T211" s="65">
        <f t="shared" si="116"/>
        <v>0</v>
      </c>
      <c r="U211" s="65">
        <f t="shared" si="117"/>
        <v>0</v>
      </c>
      <c r="V211" s="11">
        <f>VLOOKUP($B211,'Woodmac profile - Gas'!$B$402:$AL$428,MATCH('Production - Gas'!V$178,'Woodmac profile - Gas'!$B$364:$AL$364),FALSE)</f>
        <v>0</v>
      </c>
      <c r="W211" s="65">
        <f t="shared" si="118"/>
        <v>0</v>
      </c>
      <c r="X211" s="65">
        <f t="shared" si="119"/>
        <v>0</v>
      </c>
      <c r="Y211" s="65">
        <f t="shared" si="120"/>
        <v>0</v>
      </c>
      <c r="Z211" s="65">
        <f t="shared" si="121"/>
        <v>0</v>
      </c>
      <c r="AA211" s="11">
        <f>VLOOKUP($B211,'Woodmac profile - Gas'!$B$402:$AL$428,MATCH('Production - Gas'!AA$178,'Woodmac profile - Gas'!$B$364:$AL$364),FALSE)</f>
        <v>0</v>
      </c>
      <c r="AB211" s="65">
        <f t="shared" si="122"/>
        <v>0</v>
      </c>
      <c r="AC211" s="65">
        <f t="shared" si="123"/>
        <v>0</v>
      </c>
      <c r="AD211" s="65">
        <f t="shared" si="124"/>
        <v>0</v>
      </c>
      <c r="AE211" s="65">
        <f t="shared" si="125"/>
        <v>0</v>
      </c>
      <c r="AF211" s="11">
        <f>VLOOKUP($B211,'Woodmac profile - Gas'!$B$402:$AL$428,MATCH('Production - Gas'!AF$178,'Woodmac profile - Gas'!$B$364:$AL$364),FALSE)</f>
        <v>0</v>
      </c>
      <c r="AG211" s="65">
        <f t="shared" si="126"/>
        <v>0</v>
      </c>
      <c r="AH211" s="65">
        <f t="shared" si="127"/>
        <v>0</v>
      </c>
      <c r="AI211" s="65">
        <f t="shared" si="128"/>
        <v>0</v>
      </c>
      <c r="AJ211" s="65">
        <f t="shared" si="129"/>
        <v>0</v>
      </c>
      <c r="AK211" s="11">
        <f>VLOOKUP($B211,'Woodmac profile - Gas'!$B$402:$AL$428,MATCH('Production - Gas'!AK$178,'Woodmac profile - Gas'!$B$364:$AL$364),FALSE)</f>
        <v>0</v>
      </c>
      <c r="AL211" s="65">
        <f t="shared" si="130"/>
        <v>0</v>
      </c>
      <c r="AM211" s="65">
        <f t="shared" si="131"/>
        <v>0</v>
      </c>
      <c r="AN211" s="65">
        <f t="shared" si="132"/>
        <v>0</v>
      </c>
      <c r="AO211" s="65">
        <f t="shared" si="133"/>
        <v>0</v>
      </c>
      <c r="AP211" s="11">
        <f>VLOOKUP($B211,'Woodmac profile - Gas'!$B$402:$AL$428,MATCH('Production - Gas'!AP$178,'Woodmac profile - Gas'!$B$364:$AL$364),FALSE)</f>
        <v>0</v>
      </c>
      <c r="AQ211" s="65">
        <f t="shared" si="134"/>
        <v>0</v>
      </c>
      <c r="AR211" s="65">
        <f t="shared" si="135"/>
        <v>0</v>
      </c>
      <c r="AS211" s="65">
        <f t="shared" si="136"/>
        <v>0</v>
      </c>
      <c r="AT211" s="65">
        <f t="shared" si="137"/>
        <v>0</v>
      </c>
      <c r="AU211" s="11">
        <f>VLOOKUP($B211,'Woodmac profile - Gas'!$B$402:$AL$428,MATCH('Production - Gas'!AU$178,'Woodmac profile - Gas'!$B$364:$AL$364),FALSE)</f>
        <v>0</v>
      </c>
      <c r="AV211" s="65">
        <f t="shared" si="138"/>
        <v>0</v>
      </c>
      <c r="AW211" s="65">
        <f t="shared" si="139"/>
        <v>0</v>
      </c>
      <c r="AX211" s="65">
        <f t="shared" si="140"/>
        <v>0</v>
      </c>
      <c r="AY211" s="65">
        <f t="shared" si="141"/>
        <v>0</v>
      </c>
      <c r="AZ211" s="11">
        <f>VLOOKUP($B211,'Woodmac profile - Gas'!$B$402:$AL$428,MATCH('Production - Gas'!AZ$178,'Woodmac profile - Gas'!$B$364:$AL$364),FALSE)</f>
        <v>0</v>
      </c>
      <c r="BA211" s="65">
        <f t="shared" si="142"/>
        <v>0</v>
      </c>
      <c r="BB211" s="65">
        <f t="shared" si="143"/>
        <v>0</v>
      </c>
      <c r="BC211" s="65">
        <f t="shared" si="144"/>
        <v>0</v>
      </c>
      <c r="BD211" s="65">
        <f t="shared" si="145"/>
        <v>0</v>
      </c>
      <c r="BE211" s="11">
        <f>VLOOKUP($B211,'Woodmac profile - Gas'!$B$402:$AL$428,MATCH('Production - Gas'!BE$178,'Woodmac profile - Gas'!$B$364:$AL$364),FALSE)</f>
        <v>0</v>
      </c>
      <c r="BF211" s="65">
        <f t="shared" si="146"/>
        <v>0</v>
      </c>
      <c r="BG211" s="65">
        <f t="shared" si="147"/>
        <v>0</v>
      </c>
      <c r="BH211" s="65">
        <f t="shared" si="148"/>
        <v>0</v>
      </c>
      <c r="BI211" s="65">
        <f t="shared" si="149"/>
        <v>0</v>
      </c>
      <c r="BJ211" s="11">
        <f>VLOOKUP($B211,'Woodmac profile - Gas'!$B$402:$AL$428,MATCH('Production - Gas'!BJ$178,'Woodmac profile - Gas'!$B$364:$AL$364),FALSE)</f>
        <v>0</v>
      </c>
      <c r="BK211" s="65">
        <f t="shared" si="150"/>
        <v>0</v>
      </c>
      <c r="BL211" s="65">
        <f t="shared" si="151"/>
        <v>0</v>
      </c>
      <c r="BM211" s="65">
        <f t="shared" si="152"/>
        <v>0</v>
      </c>
      <c r="BN211" s="65">
        <f t="shared" si="153"/>
        <v>0</v>
      </c>
      <c r="BO211" s="11">
        <f>VLOOKUP($B211,'Woodmac profile - Gas'!$B$402:$AL$428,MATCH('Production - Gas'!BO$178,'Woodmac profile - Gas'!$B$364:$AL$364),FALSE)</f>
        <v>0</v>
      </c>
      <c r="BP211" s="65">
        <f t="shared" si="154"/>
        <v>0</v>
      </c>
      <c r="BQ211" s="65">
        <f t="shared" si="155"/>
        <v>0</v>
      </c>
      <c r="BR211" s="65">
        <f t="shared" si="156"/>
        <v>0</v>
      </c>
      <c r="BS211" s="65">
        <f t="shared" si="157"/>
        <v>0</v>
      </c>
      <c r="BT211" s="11">
        <f>VLOOKUP($B211,'Woodmac profile - Gas'!$B$402:$AL$428,MATCH('Production - Gas'!BT$178,'Woodmac profile - Gas'!$B$364:$AL$364),FALSE)</f>
        <v>0</v>
      </c>
      <c r="BU211" s="65">
        <f t="shared" si="158"/>
        <v>0</v>
      </c>
      <c r="BV211" s="65">
        <f t="shared" si="159"/>
        <v>0</v>
      </c>
      <c r="BW211" s="65">
        <f t="shared" si="160"/>
        <v>0</v>
      </c>
      <c r="BX211" s="65">
        <f t="shared" si="161"/>
        <v>0</v>
      </c>
      <c r="BY211" s="11">
        <f>VLOOKUP($B211,'Woodmac profile - Gas'!$B$402:$AL$428,MATCH('Production - Gas'!BY$178,'Woodmac profile - Gas'!$B$364:$AL$364),FALSE)</f>
        <v>0</v>
      </c>
      <c r="BZ211" s="65">
        <f t="shared" si="162"/>
        <v>0</v>
      </c>
      <c r="CA211" s="65">
        <f t="shared" si="163"/>
        <v>0</v>
      </c>
      <c r="CB211" s="65">
        <f t="shared" si="164"/>
        <v>0</v>
      </c>
      <c r="CC211" s="65">
        <f t="shared" si="165"/>
        <v>0</v>
      </c>
      <c r="CD211" s="11">
        <f>VLOOKUP($B211,'Woodmac profile - Gas'!$B$402:$AL$428,MATCH('Production - Gas'!CD$178,'Woodmac profile - Gas'!$B$364:$AL$364),FALSE)</f>
        <v>0</v>
      </c>
      <c r="CE211" s="5"/>
      <c r="CF211" s="5"/>
      <c r="CG211" s="5"/>
      <c r="CH211" s="5"/>
      <c r="CI211" s="5"/>
    </row>
    <row r="212" spans="1:87">
      <c r="A212" s="11"/>
      <c r="B212" s="11" t="s">
        <v>3277</v>
      </c>
      <c r="C212" s="11"/>
      <c r="D212" s="11"/>
      <c r="E212" s="11">
        <f>VLOOKUP($B212,'Woodmac profile - Gas'!$B$402:$AL$428,MATCH('Production - Gas'!E$178,'Woodmac profile - Gas'!$B$364:$AL$364),FALSE)</f>
        <v>0</v>
      </c>
      <c r="F212" s="11">
        <f>VLOOKUP($B212,'Woodmac profile - Gas'!$B$402:$AL$428,MATCH('Production - Gas'!F$178,'Woodmac profile - Gas'!$B$364:$AL$364),FALSE)</f>
        <v>0</v>
      </c>
      <c r="G212" s="11">
        <f>VLOOKUP($B212,'Woodmac profile - Gas'!$B$402:$AL$428,MATCH('Production - Gas'!G$178,'Woodmac profile - Gas'!$B$364:$AL$364),FALSE)</f>
        <v>0</v>
      </c>
      <c r="H212" s="82"/>
      <c r="I212" s="82"/>
      <c r="J212" s="82"/>
      <c r="K212" s="82"/>
      <c r="L212" s="11">
        <f>VLOOKUP($B212,'Woodmac profile - Gas'!$B$402:$AL$428,MATCH('Production - Gas'!L$178,'Woodmac profile - Gas'!$B$364:$AL$364),FALSE)</f>
        <v>0</v>
      </c>
      <c r="M212" s="65">
        <f t="shared" si="112"/>
        <v>0</v>
      </c>
      <c r="N212" s="65">
        <f t="shared" si="112"/>
        <v>0</v>
      </c>
      <c r="O212" s="65">
        <f t="shared" si="112"/>
        <v>0</v>
      </c>
      <c r="P212" s="65">
        <f>Q212*4-SUM(M212:O212)</f>
        <v>0</v>
      </c>
      <c r="Q212" s="11">
        <f>VLOOKUP($B212,'Woodmac profile - Gas'!$B$402:$AL$428,MATCH('Production - Gas'!Q$178,'Woodmac profile - Gas'!$B$364:$AL$364),FALSE)</f>
        <v>0</v>
      </c>
      <c r="R212" s="65">
        <f t="shared" si="114"/>
        <v>0</v>
      </c>
      <c r="S212" s="65">
        <f t="shared" si="115"/>
        <v>0</v>
      </c>
      <c r="T212" s="65">
        <f t="shared" si="116"/>
        <v>0</v>
      </c>
      <c r="U212" s="65">
        <f>V212*4-SUM(R212:T212)</f>
        <v>0</v>
      </c>
      <c r="V212" s="11">
        <f>VLOOKUP($B212,'Woodmac profile - Gas'!$B$402:$AL$428,MATCH('Production - Gas'!V$178,'Woodmac profile - Gas'!$B$364:$AL$364),FALSE)</f>
        <v>0</v>
      </c>
      <c r="W212" s="65">
        <f t="shared" si="118"/>
        <v>0</v>
      </c>
      <c r="X212" s="65">
        <f t="shared" si="119"/>
        <v>0</v>
      </c>
      <c r="Y212" s="65">
        <f t="shared" si="120"/>
        <v>0</v>
      </c>
      <c r="Z212" s="65">
        <f>AA212*4-SUM(W212:Y212)</f>
        <v>0</v>
      </c>
      <c r="AA212" s="11">
        <f>VLOOKUP($B212,'Woodmac profile - Gas'!$B$402:$AL$428,MATCH('Production - Gas'!AA$178,'Woodmac profile - Gas'!$B$364:$AL$364),FALSE)</f>
        <v>0</v>
      </c>
      <c r="AB212" s="65">
        <f t="shared" si="122"/>
        <v>0</v>
      </c>
      <c r="AC212" s="65">
        <f t="shared" si="123"/>
        <v>0</v>
      </c>
      <c r="AD212" s="65">
        <f t="shared" si="124"/>
        <v>0</v>
      </c>
      <c r="AE212" s="65">
        <f>AF212*4-SUM(AB212:AD212)</f>
        <v>0</v>
      </c>
      <c r="AF212" s="11">
        <f>VLOOKUP($B212,'Woodmac profile - Gas'!$B$402:$AL$428,MATCH('Production - Gas'!AF$178,'Woodmac profile - Gas'!$B$364:$AL$364),FALSE)</f>
        <v>0</v>
      </c>
      <c r="AG212" s="65">
        <f t="shared" si="126"/>
        <v>0</v>
      </c>
      <c r="AH212" s="65">
        <f t="shared" si="127"/>
        <v>0</v>
      </c>
      <c r="AI212" s="65">
        <f t="shared" si="128"/>
        <v>0</v>
      </c>
      <c r="AJ212" s="65">
        <f>AK212*4-SUM(AG212:AI212)</f>
        <v>0</v>
      </c>
      <c r="AK212" s="11">
        <f>VLOOKUP($B212,'Woodmac profile - Gas'!$B$402:$AL$428,MATCH('Production - Gas'!AK$178,'Woodmac profile - Gas'!$B$364:$AL$364),FALSE)</f>
        <v>0</v>
      </c>
      <c r="AL212" s="65">
        <f t="shared" si="130"/>
        <v>0</v>
      </c>
      <c r="AM212" s="65">
        <f t="shared" si="131"/>
        <v>0</v>
      </c>
      <c r="AN212" s="65">
        <f t="shared" si="132"/>
        <v>0</v>
      </c>
      <c r="AO212" s="65">
        <f>AP212*4-SUM(AL212:AN212)</f>
        <v>0</v>
      </c>
      <c r="AP212" s="11">
        <f>VLOOKUP($B212,'Woodmac profile - Gas'!$B$402:$AL$428,MATCH('Production - Gas'!AP$178,'Woodmac profile - Gas'!$B$364:$AL$364),FALSE)</f>
        <v>0</v>
      </c>
      <c r="AQ212" s="65">
        <f t="shared" si="134"/>
        <v>0</v>
      </c>
      <c r="AR212" s="65">
        <f t="shared" si="135"/>
        <v>0</v>
      </c>
      <c r="AS212" s="65">
        <f t="shared" si="136"/>
        <v>0</v>
      </c>
      <c r="AT212" s="65">
        <f>AU212*4-SUM(AQ212:AS212)</f>
        <v>0</v>
      </c>
      <c r="AU212" s="11">
        <f>VLOOKUP($B212,'Woodmac profile - Gas'!$B$402:$AL$428,MATCH('Production - Gas'!AU$178,'Woodmac profile - Gas'!$B$364:$AL$364),FALSE)</f>
        <v>0</v>
      </c>
      <c r="AV212" s="65">
        <f t="shared" si="138"/>
        <v>0</v>
      </c>
      <c r="AW212" s="65">
        <f t="shared" si="139"/>
        <v>0</v>
      </c>
      <c r="AX212" s="65">
        <f t="shared" si="140"/>
        <v>0</v>
      </c>
      <c r="AY212" s="65">
        <f>AZ212*4-SUM(AV212:AX212)</f>
        <v>0</v>
      </c>
      <c r="AZ212" s="11">
        <f>VLOOKUP($B212,'Woodmac profile - Gas'!$B$402:$AL$428,MATCH('Production - Gas'!AZ$178,'Woodmac profile - Gas'!$B$364:$AL$364),FALSE)</f>
        <v>0</v>
      </c>
      <c r="BA212" s="65">
        <f t="shared" si="142"/>
        <v>0</v>
      </c>
      <c r="BB212" s="65">
        <f t="shared" si="143"/>
        <v>0</v>
      </c>
      <c r="BC212" s="65">
        <f t="shared" si="144"/>
        <v>0</v>
      </c>
      <c r="BD212" s="65">
        <f>BE212*4-SUM(BA212:BC212)</f>
        <v>0</v>
      </c>
      <c r="BE212" s="11">
        <f>VLOOKUP($B212,'Woodmac profile - Gas'!$B$402:$AL$428,MATCH('Production - Gas'!BE$178,'Woodmac profile - Gas'!$B$364:$AL$364),FALSE)</f>
        <v>0</v>
      </c>
      <c r="BF212" s="65">
        <f t="shared" si="146"/>
        <v>0</v>
      </c>
      <c r="BG212" s="65">
        <f t="shared" si="147"/>
        <v>0</v>
      </c>
      <c r="BH212" s="65">
        <f t="shared" si="148"/>
        <v>0</v>
      </c>
      <c r="BI212" s="65">
        <f>BJ212*4-SUM(BF212:BH212)</f>
        <v>0</v>
      </c>
      <c r="BJ212" s="11">
        <f>VLOOKUP($B212,'Woodmac profile - Gas'!$B$402:$AL$428,MATCH('Production - Gas'!BJ$178,'Woodmac profile - Gas'!$B$364:$AL$364),FALSE)</f>
        <v>0</v>
      </c>
      <c r="BK212" s="65">
        <f t="shared" si="150"/>
        <v>62.943704266308906</v>
      </c>
      <c r="BL212" s="65">
        <f t="shared" si="151"/>
        <v>61.282133582008825</v>
      </c>
      <c r="BM212" s="65">
        <f t="shared" si="152"/>
        <v>61.715119099050753</v>
      </c>
      <c r="BN212" s="65">
        <f>BO212*4-SUM(BK212:BM212)</f>
        <v>62.459043052631529</v>
      </c>
      <c r="BO212" s="11">
        <f>VLOOKUP($B212,'Woodmac profile - Gas'!$B$402:$AL$428,MATCH('Production - Gas'!BO$178,'Woodmac profile - Gas'!$B$364:$AL$364),FALSE)</f>
        <v>62.1</v>
      </c>
      <c r="BP212" s="65">
        <f t="shared" si="154"/>
        <v>461.58716461959864</v>
      </c>
      <c r="BQ212" s="65">
        <f t="shared" si="155"/>
        <v>449.40231293473136</v>
      </c>
      <c r="BR212" s="65">
        <f t="shared" si="156"/>
        <v>452.57754005970548</v>
      </c>
      <c r="BS212" s="65">
        <f>BT212*4-SUM(BP212:BR212)</f>
        <v>458.03298238596426</v>
      </c>
      <c r="BT212" s="11">
        <f>VLOOKUP($B212,'Woodmac profile - Gas'!$B$402:$AL$428,MATCH('Production - Gas'!BT$178,'Woodmac profile - Gas'!$B$364:$AL$364),FALSE)</f>
        <v>455.4</v>
      </c>
      <c r="BU212" s="65">
        <f t="shared" si="158"/>
        <v>524.53086888590758</v>
      </c>
      <c r="BV212" s="65">
        <f t="shared" si="159"/>
        <v>510.68444651674019</v>
      </c>
      <c r="BW212" s="65">
        <f t="shared" si="160"/>
        <v>514.29265915875624</v>
      </c>
      <c r="BX212" s="65">
        <f>BY212*4-SUM(BU212:BW212)</f>
        <v>520.4920254385961</v>
      </c>
      <c r="BY212" s="11">
        <f>VLOOKUP($B212,'Woodmac profile - Gas'!$B$402:$AL$428,MATCH('Production - Gas'!BY$178,'Woodmac profile - Gas'!$B$364:$AL$364),FALSE)</f>
        <v>517.5</v>
      </c>
      <c r="BZ212" s="65">
        <f t="shared" si="162"/>
        <v>624.1968019053304</v>
      </c>
      <c r="CA212" s="65">
        <f t="shared" si="163"/>
        <v>607.71942550416259</v>
      </c>
      <c r="CB212" s="65">
        <f t="shared" si="164"/>
        <v>612.0132334101196</v>
      </c>
      <c r="CC212" s="65">
        <f>CD212*4-SUM(BZ212:CB212)</f>
        <v>619.3905391803878</v>
      </c>
      <c r="CD212" s="11">
        <f>VLOOKUP($B212,'Woodmac profile - Gas'!$B$402:$AL$428,MATCH('Production - Gas'!CD$178,'Woodmac profile - Gas'!$B$364:$AL$364),FALSE)</f>
        <v>615.83000000000004</v>
      </c>
      <c r="CE212" s="5"/>
      <c r="CF212" s="5"/>
      <c r="CG212" s="5"/>
      <c r="CH212" s="5"/>
      <c r="CI212" s="5"/>
    </row>
    <row r="213" spans="1:87">
      <c r="A213" s="11"/>
      <c r="B213" s="11" t="s">
        <v>3278</v>
      </c>
      <c r="C213" s="11"/>
      <c r="D213" s="11"/>
      <c r="E213" s="11">
        <f>VLOOKUP($B213,'Woodmac profile - Gas'!$B$402:$AL$428,MATCH('Production - Gas'!E$178,'Woodmac profile - Gas'!$B$364:$AL$364),FALSE)</f>
        <v>91.38</v>
      </c>
      <c r="F213" s="11">
        <f>VLOOKUP($B213,'Woodmac profile - Gas'!$B$402:$AL$428,MATCH('Production - Gas'!F$178,'Woodmac profile - Gas'!$B$364:$AL$364),FALSE)</f>
        <v>93.06</v>
      </c>
      <c r="G213" s="11">
        <f>VLOOKUP($B213,'Woodmac profile - Gas'!$B$402:$AL$428,MATCH('Production - Gas'!G$178,'Woodmac profile - Gas'!$B$364:$AL$364),FALSE)</f>
        <v>99.66</v>
      </c>
      <c r="H213" s="82"/>
      <c r="I213" s="82"/>
      <c r="J213" s="82"/>
      <c r="K213" s="82"/>
      <c r="L213" s="11">
        <f>VLOOKUP($B213,'Woodmac profile - Gas'!$B$402:$AL$428,MATCH('Production - Gas'!L$178,'Woodmac profile - Gas'!$B$364:$AL$364),FALSE)</f>
        <v>98.46</v>
      </c>
      <c r="M213" s="65">
        <f t="shared" si="112"/>
        <v>150.48358398644356</v>
      </c>
      <c r="N213" s="65">
        <f t="shared" si="112"/>
        <v>140.34738402880745</v>
      </c>
      <c r="O213" s="65">
        <f t="shared" si="112"/>
        <v>147.24</v>
      </c>
      <c r="P213" s="65">
        <f t="shared" si="113"/>
        <v>150.88903198474901</v>
      </c>
      <c r="Q213" s="11">
        <f>VLOOKUP($B213,'Woodmac profile - Gas'!$B$402:$AL$428,MATCH('Production - Gas'!Q$178,'Woodmac profile - Gas'!$B$364:$AL$364),FALSE)</f>
        <v>147.24</v>
      </c>
      <c r="R213" s="65">
        <f t="shared" si="114"/>
        <v>182.81724487683709</v>
      </c>
      <c r="S213" s="65">
        <f t="shared" si="115"/>
        <v>183.23559097495342</v>
      </c>
      <c r="T213" s="65">
        <f t="shared" si="116"/>
        <v>182.96937073069756</v>
      </c>
      <c r="U213" s="65">
        <f t="shared" si="117"/>
        <v>185.89779341751193</v>
      </c>
      <c r="V213" s="11">
        <f>VLOOKUP($B213,'Woodmac profile - Gas'!$B$402:$AL$428,MATCH('Production - Gas'!V$178,'Woodmac profile - Gas'!$B$364:$AL$364),FALSE)</f>
        <v>183.73</v>
      </c>
      <c r="W213" s="65">
        <f t="shared" si="118"/>
        <v>204.92488042156464</v>
      </c>
      <c r="X213" s="65">
        <f t="shared" si="119"/>
        <v>208.60790028374541</v>
      </c>
      <c r="Y213" s="65">
        <f t="shared" si="120"/>
        <v>195.61387515200647</v>
      </c>
      <c r="Z213" s="65">
        <f t="shared" si="121"/>
        <v>207.57334414268337</v>
      </c>
      <c r="AA213" s="11">
        <f>VLOOKUP($B213,'Woodmac profile - Gas'!$B$402:$AL$428,MATCH('Production - Gas'!AA$178,'Woodmac profile - Gas'!$B$364:$AL$364),FALSE)</f>
        <v>204.17999999999998</v>
      </c>
      <c r="AB213" s="65">
        <f t="shared" si="122"/>
        <v>182.41722396856582</v>
      </c>
      <c r="AC213" s="65">
        <f t="shared" si="123"/>
        <v>180.23836149312382</v>
      </c>
      <c r="AD213" s="65">
        <f t="shared" si="124"/>
        <v>186.45347740667978</v>
      </c>
      <c r="AE213" s="65">
        <f t="shared" si="125"/>
        <v>178.13093713163073</v>
      </c>
      <c r="AF213" s="11">
        <f>VLOOKUP($B213,'Woodmac profile - Gas'!$B$402:$AL$428,MATCH('Production - Gas'!AF$178,'Woodmac profile - Gas'!$B$364:$AL$364),FALSE)</f>
        <v>181.81000000000003</v>
      </c>
      <c r="AG213" s="65">
        <f t="shared" si="126"/>
        <v>79.130676200817007</v>
      </c>
      <c r="AH213" s="65">
        <f t="shared" si="127"/>
        <v>77.041806260023009</v>
      </c>
      <c r="AI213" s="65">
        <f t="shared" si="128"/>
        <v>77.586140870577964</v>
      </c>
      <c r="AJ213" s="65">
        <f t="shared" si="129"/>
        <v>78.521376668582008</v>
      </c>
      <c r="AK213" s="11">
        <f>VLOOKUP($B213,'Woodmac profile - Gas'!$B$402:$AL$428,MATCH('Production - Gas'!AK$178,'Woodmac profile - Gas'!$B$364:$AL$364),FALSE)</f>
        <v>78.069999999999993</v>
      </c>
      <c r="AL213" s="65">
        <f t="shared" si="130"/>
        <v>0</v>
      </c>
      <c r="AM213" s="65">
        <f t="shared" si="131"/>
        <v>0</v>
      </c>
      <c r="AN213" s="65">
        <f t="shared" si="132"/>
        <v>0</v>
      </c>
      <c r="AO213" s="65">
        <f t="shared" si="133"/>
        <v>0</v>
      </c>
      <c r="AP213" s="11">
        <f>VLOOKUP($B213,'Woodmac profile - Gas'!$B$402:$AL$428,MATCH('Production - Gas'!AP$178,'Woodmac profile - Gas'!$B$364:$AL$364),FALSE)</f>
        <v>0</v>
      </c>
      <c r="AQ213" s="65">
        <f t="shared" si="134"/>
        <v>0</v>
      </c>
      <c r="AR213" s="65">
        <f t="shared" si="135"/>
        <v>0</v>
      </c>
      <c r="AS213" s="65">
        <f t="shared" si="136"/>
        <v>0</v>
      </c>
      <c r="AT213" s="65">
        <f t="shared" si="137"/>
        <v>0</v>
      </c>
      <c r="AU213" s="11">
        <f>VLOOKUP($B213,'Woodmac profile - Gas'!$B$402:$AL$428,MATCH('Production - Gas'!AU$178,'Woodmac profile - Gas'!$B$364:$AL$364),FALSE)</f>
        <v>0</v>
      </c>
      <c r="AV213" s="65">
        <f t="shared" si="138"/>
        <v>0</v>
      </c>
      <c r="AW213" s="65">
        <f t="shared" si="139"/>
        <v>0</v>
      </c>
      <c r="AX213" s="65">
        <f t="shared" si="140"/>
        <v>0</v>
      </c>
      <c r="AY213" s="65">
        <f t="shared" si="141"/>
        <v>0</v>
      </c>
      <c r="AZ213" s="11">
        <f>VLOOKUP($B213,'Woodmac profile - Gas'!$B$402:$AL$428,MATCH('Production - Gas'!AZ$178,'Woodmac profile - Gas'!$B$364:$AL$364),FALSE)</f>
        <v>0</v>
      </c>
      <c r="BA213" s="65">
        <f t="shared" si="142"/>
        <v>0</v>
      </c>
      <c r="BB213" s="65">
        <f t="shared" si="143"/>
        <v>0</v>
      </c>
      <c r="BC213" s="65">
        <f t="shared" si="144"/>
        <v>0</v>
      </c>
      <c r="BD213" s="65">
        <f t="shared" si="145"/>
        <v>0</v>
      </c>
      <c r="BE213" s="11">
        <f>VLOOKUP($B213,'Woodmac profile - Gas'!$B$402:$AL$428,MATCH('Production - Gas'!BE$178,'Woodmac profile - Gas'!$B$364:$AL$364),FALSE)</f>
        <v>0</v>
      </c>
      <c r="BF213" s="65">
        <f t="shared" si="146"/>
        <v>0</v>
      </c>
      <c r="BG213" s="65">
        <f t="shared" si="147"/>
        <v>0</v>
      </c>
      <c r="BH213" s="65">
        <f t="shared" si="148"/>
        <v>0</v>
      </c>
      <c r="BI213" s="65">
        <f t="shared" si="149"/>
        <v>0</v>
      </c>
      <c r="BJ213" s="11">
        <f>VLOOKUP($B213,'Woodmac profile - Gas'!$B$402:$AL$428,MATCH('Production - Gas'!BJ$178,'Woodmac profile - Gas'!$B$364:$AL$364),FALSE)</f>
        <v>0</v>
      </c>
      <c r="BK213" s="65">
        <f t="shared" si="150"/>
        <v>0</v>
      </c>
      <c r="BL213" s="65">
        <f t="shared" si="151"/>
        <v>0</v>
      </c>
      <c r="BM213" s="65">
        <f t="shared" si="152"/>
        <v>0</v>
      </c>
      <c r="BN213" s="65">
        <f t="shared" si="153"/>
        <v>0</v>
      </c>
      <c r="BO213" s="11">
        <f>VLOOKUP($B213,'Woodmac profile - Gas'!$B$402:$AL$428,MATCH('Production - Gas'!BO$178,'Woodmac profile - Gas'!$B$364:$AL$364),FALSE)</f>
        <v>0</v>
      </c>
      <c r="BP213" s="65">
        <f t="shared" si="154"/>
        <v>0</v>
      </c>
      <c r="BQ213" s="65">
        <f t="shared" si="155"/>
        <v>0</v>
      </c>
      <c r="BR213" s="65">
        <f t="shared" si="156"/>
        <v>0</v>
      </c>
      <c r="BS213" s="65">
        <f t="shared" si="157"/>
        <v>0</v>
      </c>
      <c r="BT213" s="11">
        <f>VLOOKUP($B213,'Woodmac profile - Gas'!$B$402:$AL$428,MATCH('Production - Gas'!BT$178,'Woodmac profile - Gas'!$B$364:$AL$364),FALSE)</f>
        <v>0</v>
      </c>
      <c r="BU213" s="65">
        <f t="shared" si="158"/>
        <v>0</v>
      </c>
      <c r="BV213" s="65">
        <f t="shared" si="159"/>
        <v>0</v>
      </c>
      <c r="BW213" s="65">
        <f t="shared" si="160"/>
        <v>0</v>
      </c>
      <c r="BX213" s="65">
        <f t="shared" si="161"/>
        <v>0</v>
      </c>
      <c r="BY213" s="11">
        <f>VLOOKUP($B213,'Woodmac profile - Gas'!$B$402:$AL$428,MATCH('Production - Gas'!BY$178,'Woodmac profile - Gas'!$B$364:$AL$364),FALSE)</f>
        <v>0</v>
      </c>
      <c r="BZ213" s="65">
        <f t="shared" si="162"/>
        <v>0</v>
      </c>
      <c r="CA213" s="65">
        <f t="shared" si="163"/>
        <v>0</v>
      </c>
      <c r="CB213" s="65">
        <f t="shared" si="164"/>
        <v>0</v>
      </c>
      <c r="CC213" s="65">
        <f t="shared" si="165"/>
        <v>0</v>
      </c>
      <c r="CD213" s="11">
        <f>VLOOKUP($B213,'Woodmac profile - Gas'!$B$402:$AL$428,MATCH('Production - Gas'!CD$178,'Woodmac profile - Gas'!$B$364:$AL$364),FALSE)</f>
        <v>0</v>
      </c>
      <c r="CE213" s="5"/>
      <c r="CF213" s="5"/>
      <c r="CG213" s="5"/>
      <c r="CH213" s="5"/>
      <c r="CI213" s="5"/>
    </row>
    <row r="214" spans="1:87">
      <c r="A214" s="47"/>
      <c r="B214" s="47" t="s">
        <v>1703</v>
      </c>
      <c r="C214" s="47"/>
      <c r="D214" s="47"/>
      <c r="E214" s="11">
        <f>VLOOKUP($B214,'Woodmac profile - Gas'!$B$402:$AL$428,MATCH('Production - Gas'!E$178,'Woodmac profile - Gas'!$B$364:$AL$364),FALSE)</f>
        <v>0</v>
      </c>
      <c r="F214" s="11">
        <f>VLOOKUP($B214,'Woodmac profile - Gas'!$B$402:$AL$428,MATCH('Production - Gas'!F$178,'Woodmac profile - Gas'!$B$364:$AL$364),FALSE)</f>
        <v>0</v>
      </c>
      <c r="G214" s="11">
        <f>VLOOKUP($B214,'Woodmac profile - Gas'!$B$402:$AL$428,MATCH('Production - Gas'!G$178,'Woodmac profile - Gas'!$B$364:$AL$364),FALSE)</f>
        <v>0</v>
      </c>
      <c r="H214" s="82"/>
      <c r="I214" s="82"/>
      <c r="J214" s="82"/>
      <c r="K214" s="82"/>
      <c r="L214" s="11">
        <f>VLOOKUP($B214,'Woodmac profile - Gas'!$B$402:$AL$428,MATCH('Production - Gas'!L$178,'Woodmac profile - Gas'!$B$364:$AL$364),FALSE)</f>
        <v>0</v>
      </c>
      <c r="M214" s="65">
        <f>$Q214*M$171</f>
        <v>0</v>
      </c>
      <c r="N214" s="65">
        <f>$Q214*N$171</f>
        <v>0</v>
      </c>
      <c r="O214" s="65">
        <f>$Q214*O$171</f>
        <v>0</v>
      </c>
      <c r="P214" s="65">
        <f t="shared" si="113"/>
        <v>0</v>
      </c>
      <c r="Q214" s="11">
        <f>VLOOKUP($B214,'Woodmac profile - Gas'!$B$402:$AL$428,MATCH('Production - Gas'!Q$178,'Woodmac profile - Gas'!$B$364:$AL$364),FALSE)</f>
        <v>0</v>
      </c>
      <c r="R214" s="65">
        <f>V214*R$171</f>
        <v>0</v>
      </c>
      <c r="S214" s="65">
        <f>V214*S$171</f>
        <v>0</v>
      </c>
      <c r="T214" s="65">
        <f>V214*T$171</f>
        <v>0</v>
      </c>
      <c r="U214" s="65">
        <f t="shared" si="117"/>
        <v>0</v>
      </c>
      <c r="V214" s="11">
        <f>VLOOKUP($B214,'Woodmac profile - Gas'!$B$402:$AL$428,MATCH('Production - Gas'!V$178,'Woodmac profile - Gas'!$B$364:$AL$364),FALSE)</f>
        <v>0</v>
      </c>
      <c r="W214" s="65">
        <f>AA214*W$171</f>
        <v>0</v>
      </c>
      <c r="X214" s="65">
        <f>AA214*X$171</f>
        <v>0</v>
      </c>
      <c r="Y214" s="65">
        <f>AA214*Y$171</f>
        <v>0</v>
      </c>
      <c r="Z214" s="65">
        <f t="shared" si="121"/>
        <v>0</v>
      </c>
      <c r="AA214" s="11">
        <f>VLOOKUP($B214,'Woodmac profile - Gas'!$B$402:$AL$428,MATCH('Production - Gas'!AA$178,'Woodmac profile - Gas'!$B$364:$AL$364),FALSE)</f>
        <v>0</v>
      </c>
      <c r="AB214" s="65">
        <f>AF214*AB$171</f>
        <v>0</v>
      </c>
      <c r="AC214" s="65">
        <f>AF214*AC$171</f>
        <v>0</v>
      </c>
      <c r="AD214" s="65">
        <f>AF214*AD$171</f>
        <v>0</v>
      </c>
      <c r="AE214" s="65">
        <f t="shared" si="125"/>
        <v>0</v>
      </c>
      <c r="AF214" s="11">
        <f>VLOOKUP($B214,'Woodmac profile - Gas'!$B$402:$AL$428,MATCH('Production - Gas'!AF$178,'Woodmac profile - Gas'!$B$364:$AL$364),FALSE)</f>
        <v>0</v>
      </c>
      <c r="AG214" s="65">
        <f>AK214*$CF$171</f>
        <v>0</v>
      </c>
      <c r="AH214" s="65">
        <f>AK214*$CG$171</f>
        <v>0</v>
      </c>
      <c r="AI214" s="65">
        <f>AK214*$CH$171</f>
        <v>0</v>
      </c>
      <c r="AJ214" s="65">
        <f t="shared" si="129"/>
        <v>0</v>
      </c>
      <c r="AK214" s="11">
        <f>VLOOKUP($B214,'Woodmac profile - Gas'!$B$402:$AL$428,MATCH('Production - Gas'!AK$178,'Woodmac profile - Gas'!$B$364:$AL$364),FALSE)</f>
        <v>0</v>
      </c>
      <c r="AL214" s="65">
        <f>AP214*$CF$171</f>
        <v>0</v>
      </c>
      <c r="AM214" s="65">
        <f>AP214*$CG$171</f>
        <v>0</v>
      </c>
      <c r="AN214" s="65">
        <f>AP214*$CH$171</f>
        <v>0</v>
      </c>
      <c r="AO214" s="65">
        <f t="shared" si="133"/>
        <v>0</v>
      </c>
      <c r="AP214" s="11">
        <f>VLOOKUP($B214,'Woodmac profile - Gas'!$B$402:$AL$428,MATCH('Production - Gas'!AP$178,'Woodmac profile - Gas'!$B$364:$AL$364),FALSE)</f>
        <v>0</v>
      </c>
      <c r="AQ214" s="65">
        <f>AU214*$CF$171</f>
        <v>0</v>
      </c>
      <c r="AR214" s="65">
        <f>AU214*$CG$171</f>
        <v>0</v>
      </c>
      <c r="AS214" s="65">
        <f>AU214*$CH$171</f>
        <v>0</v>
      </c>
      <c r="AT214" s="65">
        <f t="shared" si="137"/>
        <v>0</v>
      </c>
      <c r="AU214" s="11">
        <f>VLOOKUP($B214,'Woodmac profile - Gas'!$B$402:$AL$428,MATCH('Production - Gas'!AU$178,'Woodmac profile - Gas'!$B$364:$AL$364),FALSE)</f>
        <v>0</v>
      </c>
      <c r="AV214" s="65">
        <f>AZ214*$CF$171</f>
        <v>0</v>
      </c>
      <c r="AW214" s="65">
        <f>AZ214*$CG$171</f>
        <v>0</v>
      </c>
      <c r="AX214" s="65">
        <f>AZ214*$CH$171</f>
        <v>0</v>
      </c>
      <c r="AY214" s="65">
        <f t="shared" si="141"/>
        <v>0</v>
      </c>
      <c r="AZ214" s="11">
        <f>VLOOKUP($B214,'Woodmac profile - Gas'!$B$402:$AL$428,MATCH('Production - Gas'!AZ$178,'Woodmac profile - Gas'!$B$364:$AL$364),FALSE)</f>
        <v>0</v>
      </c>
      <c r="BA214" s="65">
        <f>BE214*$CF$171</f>
        <v>0</v>
      </c>
      <c r="BB214" s="65">
        <f>BE214*$CG$171</f>
        <v>0</v>
      </c>
      <c r="BC214" s="65">
        <f>BE214*$CH$171</f>
        <v>0</v>
      </c>
      <c r="BD214" s="65">
        <f t="shared" si="145"/>
        <v>0</v>
      </c>
      <c r="BE214" s="11">
        <f>VLOOKUP($B214,'Woodmac profile - Gas'!$B$402:$AL$428,MATCH('Production - Gas'!BE$178,'Woodmac profile - Gas'!$B$364:$AL$364),FALSE)</f>
        <v>0</v>
      </c>
      <c r="BF214" s="65">
        <f>BJ214*$CF$171</f>
        <v>0</v>
      </c>
      <c r="BG214" s="65">
        <f>BJ214*$CG$171</f>
        <v>0</v>
      </c>
      <c r="BH214" s="65">
        <f>BJ214*$CH$171</f>
        <v>0</v>
      </c>
      <c r="BI214" s="65">
        <f t="shared" si="149"/>
        <v>0</v>
      </c>
      <c r="BJ214" s="11">
        <f>VLOOKUP($B214,'Woodmac profile - Gas'!$B$402:$AL$428,MATCH('Production - Gas'!BJ$178,'Woodmac profile - Gas'!$B$364:$AL$364),FALSE)</f>
        <v>0</v>
      </c>
      <c r="BK214" s="65">
        <f>BO214*$CF$171</f>
        <v>0</v>
      </c>
      <c r="BL214" s="65">
        <f>BO214*$CG$171</f>
        <v>0</v>
      </c>
      <c r="BM214" s="65">
        <f>BO214*$CH$171</f>
        <v>0</v>
      </c>
      <c r="BN214" s="65">
        <f t="shared" si="153"/>
        <v>0</v>
      </c>
      <c r="BO214" s="11">
        <f>VLOOKUP($B214,'Woodmac profile - Gas'!$B$402:$AL$428,MATCH('Production - Gas'!BO$178,'Woodmac profile - Gas'!$B$364:$AL$364),FALSE)</f>
        <v>0</v>
      </c>
      <c r="BP214" s="65">
        <f>BT214*$CF$171</f>
        <v>0</v>
      </c>
      <c r="BQ214" s="65">
        <f>BT214*$CG$171</f>
        <v>0</v>
      </c>
      <c r="BR214" s="65">
        <f>BT214*$CH$171</f>
        <v>0</v>
      </c>
      <c r="BS214" s="65">
        <f t="shared" si="157"/>
        <v>0</v>
      </c>
      <c r="BT214" s="11">
        <f>VLOOKUP($B214,'Woodmac profile - Gas'!$B$402:$AL$428,MATCH('Production - Gas'!BT$178,'Woodmac profile - Gas'!$B$364:$AL$364),FALSE)</f>
        <v>0</v>
      </c>
      <c r="BU214" s="65">
        <f>BY214*$CF$171</f>
        <v>0</v>
      </c>
      <c r="BV214" s="65">
        <f>BY214*$CG$171</f>
        <v>0</v>
      </c>
      <c r="BW214" s="65">
        <f>BY214*$CH$171</f>
        <v>0</v>
      </c>
      <c r="BX214" s="65">
        <f t="shared" si="161"/>
        <v>0</v>
      </c>
      <c r="BY214" s="11">
        <f>VLOOKUP($B214,'Woodmac profile - Gas'!$B$402:$AL$428,MATCH('Production - Gas'!BY$178,'Woodmac profile - Gas'!$B$364:$AL$364),FALSE)</f>
        <v>0</v>
      </c>
      <c r="BZ214" s="65">
        <f>CD214*$CF$171</f>
        <v>0</v>
      </c>
      <c r="CA214" s="65">
        <f>CD214*$CG$171</f>
        <v>0</v>
      </c>
      <c r="CB214" s="65">
        <f>CD214*$CH$171</f>
        <v>0</v>
      </c>
      <c r="CC214" s="65">
        <f t="shared" si="165"/>
        <v>0</v>
      </c>
      <c r="CD214" s="11">
        <f>VLOOKUP($B214,'Woodmac profile - Gas'!$B$402:$AL$428,MATCH('Production - Gas'!CD$178,'Woodmac profile - Gas'!$B$364:$AL$364),FALSE)</f>
        <v>0</v>
      </c>
      <c r="CE214" s="5"/>
      <c r="CF214" s="5"/>
      <c r="CG214" s="5"/>
      <c r="CH214" s="5"/>
      <c r="CI214" s="5"/>
    </row>
    <row r="215" spans="1:87">
      <c r="A215" s="47"/>
      <c r="B215" s="47" t="s">
        <v>1961</v>
      </c>
      <c r="C215" s="47"/>
      <c r="D215" s="47"/>
      <c r="E215" s="11">
        <f>VLOOKUP($B215,'Woodmac profile - Gas'!$B$402:$AL$428,MATCH('Production - Gas'!E$178,'Woodmac profile - Gas'!$B$364:$AL$364),FALSE)</f>
        <v>124.44</v>
      </c>
      <c r="F215" s="11">
        <f>VLOOKUP($B215,'Woodmac profile - Gas'!$B$402:$AL$428,MATCH('Production - Gas'!F$178,'Woodmac profile - Gas'!$B$364:$AL$364),FALSE)</f>
        <v>124.32</v>
      </c>
      <c r="G215" s="11">
        <f>VLOOKUP($B215,'Woodmac profile - Gas'!$B$402:$AL$428,MATCH('Production - Gas'!G$178,'Woodmac profile - Gas'!$B$364:$AL$364),FALSE)</f>
        <v>127.8</v>
      </c>
      <c r="H215" s="82"/>
      <c r="I215" s="82"/>
      <c r="J215" s="82"/>
      <c r="K215" s="82"/>
      <c r="L215" s="11">
        <f>VLOOKUP($B215,'Woodmac profile - Gas'!$B$402:$AL$428,MATCH('Production - Gas'!L$178,'Woodmac profile - Gas'!$B$364:$AL$364),FALSE)</f>
        <v>131.19999999999999</v>
      </c>
      <c r="M215" s="65">
        <f t="shared" ref="M215:O217" si="166">$Q215*M$172</f>
        <v>98.932429570006349</v>
      </c>
      <c r="N215" s="65">
        <f t="shared" si="166"/>
        <v>92.268587163736484</v>
      </c>
      <c r="O215" s="65">
        <f t="shared" si="166"/>
        <v>96.8</v>
      </c>
      <c r="P215" s="65">
        <f t="shared" si="113"/>
        <v>99.19898326625713</v>
      </c>
      <c r="Q215" s="11">
        <f>VLOOKUP($B215,'Woodmac profile - Gas'!$B$402:$AL$428,MATCH('Production - Gas'!Q$178,'Woodmac profile - Gas'!$B$364:$AL$364),FALSE)</f>
        <v>96.8</v>
      </c>
      <c r="R215" s="65">
        <f>V215*R$172</f>
        <v>77.214489753674187</v>
      </c>
      <c r="S215" s="65">
        <f>V215*S$172</f>
        <v>77.391181949906851</v>
      </c>
      <c r="T215" s="65">
        <f>V215*T$172</f>
        <v>77.278741461395143</v>
      </c>
      <c r="U215" s="65">
        <f t="shared" si="117"/>
        <v>78.515586835023782</v>
      </c>
      <c r="V215" s="11">
        <f>VLOOKUP($B215,'Woodmac profile - Gas'!$B$402:$AL$428,MATCH('Production - Gas'!V$178,'Woodmac profile - Gas'!$B$364:$AL$364),FALSE)</f>
        <v>77.599999999999994</v>
      </c>
      <c r="W215" s="65">
        <f>AA215*W$172</f>
        <v>61.533668423186057</v>
      </c>
      <c r="X215" s="65">
        <f>AA215*X$172</f>
        <v>62.639584515605996</v>
      </c>
      <c r="Y215" s="65">
        <f>AA215*Y$172</f>
        <v>58.737813133360362</v>
      </c>
      <c r="Z215" s="65">
        <f t="shared" si="121"/>
        <v>62.328933927847601</v>
      </c>
      <c r="AA215" s="11">
        <f>VLOOKUP($B215,'Woodmac profile - Gas'!$B$402:$AL$428,MATCH('Production - Gas'!AA$178,'Woodmac profile - Gas'!$B$364:$AL$364),FALSE)</f>
        <v>61.31</v>
      </c>
      <c r="AB215" s="65">
        <f>AF215*AB$172</f>
        <v>48.973019646365422</v>
      </c>
      <c r="AC215" s="65">
        <f>AF215*AC$172</f>
        <v>48.388066797642438</v>
      </c>
      <c r="AD215" s="65">
        <f>AF215*AD$172</f>
        <v>50.056620825147348</v>
      </c>
      <c r="AE215" s="65">
        <f t="shared" si="125"/>
        <v>47.822292730844794</v>
      </c>
      <c r="AF215" s="11">
        <f>VLOOKUP($B215,'Woodmac profile - Gas'!$B$402:$AL$428,MATCH('Production - Gas'!AF$178,'Woodmac profile - Gas'!$B$364:$AL$364),FALSE)</f>
        <v>48.81</v>
      </c>
      <c r="AG215" s="65">
        <f>AK215*CF$172</f>
        <v>33.711877679507793</v>
      </c>
      <c r="AH215" s="65">
        <f>AK215*CG$172</f>
        <v>32.821960755839186</v>
      </c>
      <c r="AI215" s="65">
        <f>AK215*CH$172</f>
        <v>33.053862499749243</v>
      </c>
      <c r="AJ215" s="65">
        <f t="shared" si="129"/>
        <v>33.452299064903769</v>
      </c>
      <c r="AK215" s="11">
        <f>VLOOKUP($B215,'Woodmac profile - Gas'!$B$402:$AL$428,MATCH('Production - Gas'!AK$178,'Woodmac profile - Gas'!$B$364:$AL$364),FALSE)</f>
        <v>33.26</v>
      </c>
      <c r="AL215" s="65">
        <f>AP215*$CF$172</f>
        <v>0</v>
      </c>
      <c r="AM215" s="65">
        <f>AP215*$CG$172</f>
        <v>0</v>
      </c>
      <c r="AN215" s="65">
        <f>AP215*$CH$172</f>
        <v>0</v>
      </c>
      <c r="AO215" s="65">
        <f t="shared" si="133"/>
        <v>0</v>
      </c>
      <c r="AP215" s="11">
        <f>VLOOKUP($B215,'Woodmac profile - Gas'!$B$402:$AL$428,MATCH('Production - Gas'!AP$178,'Woodmac profile - Gas'!$B$364:$AL$364),FALSE)</f>
        <v>0</v>
      </c>
      <c r="AQ215" s="65">
        <f>AU215*$CF$172</f>
        <v>0</v>
      </c>
      <c r="AR215" s="65">
        <f>AU215*$CG$172</f>
        <v>0</v>
      </c>
      <c r="AS215" s="65">
        <f>AU215*$CH$172</f>
        <v>0</v>
      </c>
      <c r="AT215" s="65">
        <f t="shared" si="137"/>
        <v>0</v>
      </c>
      <c r="AU215" s="11">
        <f>VLOOKUP($B215,'Woodmac profile - Gas'!$B$402:$AL$428,MATCH('Production - Gas'!AU$178,'Woodmac profile - Gas'!$B$364:$AL$364),FALSE)</f>
        <v>0</v>
      </c>
      <c r="AV215" s="65">
        <f>AZ215*$CF$172</f>
        <v>0</v>
      </c>
      <c r="AW215" s="65">
        <f>AZ215*$CG$172</f>
        <v>0</v>
      </c>
      <c r="AX215" s="65">
        <f>AZ215*$CH$172</f>
        <v>0</v>
      </c>
      <c r="AY215" s="65">
        <f t="shared" si="141"/>
        <v>0</v>
      </c>
      <c r="AZ215" s="11">
        <f>VLOOKUP($B215,'Woodmac profile - Gas'!$B$402:$AL$428,MATCH('Production - Gas'!AZ$178,'Woodmac profile - Gas'!$B$364:$AL$364),FALSE)</f>
        <v>0</v>
      </c>
      <c r="BA215" s="65">
        <f>BE215*$CF$172</f>
        <v>0</v>
      </c>
      <c r="BB215" s="65">
        <f>BE215*$CG$172</f>
        <v>0</v>
      </c>
      <c r="BC215" s="65">
        <f>BE215*$CH$172</f>
        <v>0</v>
      </c>
      <c r="BD215" s="65">
        <f t="shared" si="145"/>
        <v>0</v>
      </c>
      <c r="BE215" s="11">
        <f>VLOOKUP($B215,'Woodmac profile - Gas'!$B$402:$AL$428,MATCH('Production - Gas'!BE$178,'Woodmac profile - Gas'!$B$364:$AL$364),FALSE)</f>
        <v>0</v>
      </c>
      <c r="BF215" s="65">
        <f>BJ215*$CF$172</f>
        <v>0</v>
      </c>
      <c r="BG215" s="65">
        <f>BJ215*$CG$172</f>
        <v>0</v>
      </c>
      <c r="BH215" s="65">
        <f>BJ215*$CH$172</f>
        <v>0</v>
      </c>
      <c r="BI215" s="65">
        <f t="shared" si="149"/>
        <v>0</v>
      </c>
      <c r="BJ215" s="11">
        <f>VLOOKUP($B215,'Woodmac profile - Gas'!$B$402:$AL$428,MATCH('Production - Gas'!BJ$178,'Woodmac profile - Gas'!$B$364:$AL$364),FALSE)</f>
        <v>0</v>
      </c>
      <c r="BK215" s="65">
        <f>BO215*$CF$172</f>
        <v>0</v>
      </c>
      <c r="BL215" s="65">
        <f>BO215*$CG$172</f>
        <v>0</v>
      </c>
      <c r="BM215" s="65">
        <f>BO215*$CH$172</f>
        <v>0</v>
      </c>
      <c r="BN215" s="65">
        <f t="shared" si="153"/>
        <v>0</v>
      </c>
      <c r="BO215" s="11">
        <f>VLOOKUP($B215,'Woodmac profile - Gas'!$B$402:$AL$428,MATCH('Production - Gas'!BO$178,'Woodmac profile - Gas'!$B$364:$AL$364),FALSE)</f>
        <v>0</v>
      </c>
      <c r="BP215" s="65">
        <f>BT215*$CF$172</f>
        <v>0</v>
      </c>
      <c r="BQ215" s="65">
        <f>BT215*$CG$172</f>
        <v>0</v>
      </c>
      <c r="BR215" s="65">
        <f>BT215*$CH$172</f>
        <v>0</v>
      </c>
      <c r="BS215" s="65">
        <f t="shared" si="157"/>
        <v>0</v>
      </c>
      <c r="BT215" s="11">
        <f>VLOOKUP($B215,'Woodmac profile - Gas'!$B$402:$AL$428,MATCH('Production - Gas'!BT$178,'Woodmac profile - Gas'!$B$364:$AL$364),FALSE)</f>
        <v>0</v>
      </c>
      <c r="BU215" s="65">
        <f>BY215*$CF$172</f>
        <v>0</v>
      </c>
      <c r="BV215" s="65">
        <f>BY215*$CG$172</f>
        <v>0</v>
      </c>
      <c r="BW215" s="65">
        <f>BY215*$CH$172</f>
        <v>0</v>
      </c>
      <c r="BX215" s="65">
        <f t="shared" si="161"/>
        <v>0</v>
      </c>
      <c r="BY215" s="11">
        <f>VLOOKUP($B215,'Woodmac profile - Gas'!$B$402:$AL$428,MATCH('Production - Gas'!BY$178,'Woodmac profile - Gas'!$B$364:$AL$364),FALSE)</f>
        <v>0</v>
      </c>
      <c r="BZ215" s="65">
        <f>CD215*$CF$172</f>
        <v>0</v>
      </c>
      <c r="CA215" s="65">
        <f>CD215*$CG$172</f>
        <v>0</v>
      </c>
      <c r="CB215" s="65">
        <f>CD215*$CH$172</f>
        <v>0</v>
      </c>
      <c r="CC215" s="65">
        <f t="shared" si="165"/>
        <v>0</v>
      </c>
      <c r="CD215" s="11">
        <f>VLOOKUP($B215,'Woodmac profile - Gas'!$B$402:$AL$428,MATCH('Production - Gas'!CD$178,'Woodmac profile - Gas'!$B$364:$AL$364),FALSE)</f>
        <v>0</v>
      </c>
      <c r="CE215" s="5"/>
      <c r="CF215" s="5"/>
      <c r="CG215" s="5"/>
      <c r="CH215" s="5"/>
      <c r="CI215" s="5"/>
    </row>
    <row r="216" spans="1:87">
      <c r="A216" s="11"/>
      <c r="B216" s="11" t="s">
        <v>3399</v>
      </c>
      <c r="C216" s="11"/>
      <c r="D216" s="11"/>
      <c r="E216" s="11">
        <f>VLOOKUP($B216,'Woodmac profile - Gas'!$B$402:$AL$428,MATCH('Production - Gas'!E$178,'Woodmac profile - Gas'!$B$364:$AL$364),FALSE)</f>
        <v>393.3</v>
      </c>
      <c r="F216" s="11">
        <f>VLOOKUP($B216,'Woodmac profile - Gas'!$B$402:$AL$428,MATCH('Production - Gas'!F$178,'Woodmac profile - Gas'!$B$364:$AL$364),FALSE)</f>
        <v>256.94</v>
      </c>
      <c r="G216" s="11">
        <f>VLOOKUP($B216,'Woodmac profile - Gas'!$B$402:$AL$428,MATCH('Production - Gas'!G$178,'Woodmac profile - Gas'!$B$364:$AL$364),FALSE)</f>
        <v>182.59</v>
      </c>
      <c r="H216" s="82"/>
      <c r="I216" s="82"/>
      <c r="J216" s="82"/>
      <c r="K216" s="82"/>
      <c r="L216" s="11">
        <f>VLOOKUP($B216,'Woodmac profile - Gas'!$B$402:$AL$428,MATCH('Production - Gas'!L$178,'Woodmac profile - Gas'!$B$364:$AL$364),FALSE)</f>
        <v>162</v>
      </c>
      <c r="M216" s="65">
        <f t="shared" si="166"/>
        <v>152.70138741791996</v>
      </c>
      <c r="N216" s="65">
        <f t="shared" si="166"/>
        <v>142.41580173692017</v>
      </c>
      <c r="O216" s="65">
        <f t="shared" si="166"/>
        <v>149.41000000000003</v>
      </c>
      <c r="P216" s="65">
        <f t="shared" si="113"/>
        <v>153.11281084515991</v>
      </c>
      <c r="Q216" s="11">
        <f>VLOOKUP($B216,'Woodmac profile - Gas'!$B$402:$AL$428,MATCH('Production - Gas'!Q$178,'Woodmac profile - Gas'!$B$364:$AL$364),FALSE)</f>
        <v>149.41000000000003</v>
      </c>
      <c r="R216" s="65">
        <f>V216*R$172</f>
        <v>143.50352722003726</v>
      </c>
      <c r="S216" s="65">
        <f>V216*S$172</f>
        <v>143.83191057752018</v>
      </c>
      <c r="T216" s="65">
        <f>V216*T$172</f>
        <v>143.62293935003103</v>
      </c>
      <c r="U216" s="65">
        <f t="shared" si="117"/>
        <v>145.92162285241147</v>
      </c>
      <c r="V216" s="11">
        <f>VLOOKUP($B216,'Woodmac profile - Gas'!$B$402:$AL$428,MATCH('Production - Gas'!V$178,'Woodmac profile - Gas'!$B$364:$AL$364),FALSE)</f>
        <v>144.22</v>
      </c>
      <c r="W216" s="65">
        <f>AA216*W$172</f>
        <v>101.35842723956222</v>
      </c>
      <c r="X216" s="65">
        <f>AA216*X$172</f>
        <v>103.18009525739764</v>
      </c>
      <c r="Y216" s="65">
        <f>AA216*Y$172</f>
        <v>96.753086745034452</v>
      </c>
      <c r="Z216" s="65">
        <f t="shared" si="121"/>
        <v>102.66839075800567</v>
      </c>
      <c r="AA216" s="11">
        <f>VLOOKUP($B216,'Woodmac profile - Gas'!$B$402:$AL$428,MATCH('Production - Gas'!AA$178,'Woodmac profile - Gas'!$B$364:$AL$364),FALSE)</f>
        <v>100.99</v>
      </c>
      <c r="AB216" s="65">
        <f>AF216*AB$172</f>
        <v>66.160231827111971</v>
      </c>
      <c r="AC216" s="65">
        <f>AF216*AC$172</f>
        <v>65.369988212180743</v>
      </c>
      <c r="AD216" s="65">
        <f>AF216*AD$172</f>
        <v>67.624125736738691</v>
      </c>
      <c r="AE216" s="65">
        <f t="shared" si="125"/>
        <v>64.6056542239686</v>
      </c>
      <c r="AF216" s="11">
        <f>VLOOKUP($B216,'Woodmac profile - Gas'!$B$402:$AL$428,MATCH('Production - Gas'!AF$178,'Woodmac profile - Gas'!$B$364:$AL$364),FALSE)</f>
        <v>65.94</v>
      </c>
      <c r="AG216" s="65">
        <f>AK216*CF$172</f>
        <v>62.102427703651315</v>
      </c>
      <c r="AH216" s="65">
        <f>AK216*CG$172</f>
        <v>60.463064807885353</v>
      </c>
      <c r="AI216" s="65">
        <f>AK216*CH$172</f>
        <v>60.890263239916898</v>
      </c>
      <c r="AJ216" s="65">
        <f t="shared" si="129"/>
        <v>61.624244248546432</v>
      </c>
      <c r="AK216" s="11">
        <f>VLOOKUP($B216,'Woodmac profile - Gas'!$B$402:$AL$428,MATCH('Production - Gas'!AK$178,'Woodmac profile - Gas'!$B$364:$AL$364),FALSE)</f>
        <v>61.269999999999996</v>
      </c>
      <c r="AL216" s="65">
        <f>AP216*$CF$172</f>
        <v>60.693542857754871</v>
      </c>
      <c r="AM216" s="65">
        <f>AP216*$CG$172</f>
        <v>59.091371318690641</v>
      </c>
      <c r="AN216" s="65">
        <f>AP216*$CH$172</f>
        <v>59.508878126427682</v>
      </c>
      <c r="AO216" s="65">
        <f t="shared" si="133"/>
        <v>60.226207697126824</v>
      </c>
      <c r="AP216" s="11">
        <f>VLOOKUP($B216,'Woodmac profile - Gas'!$B$402:$AL$428,MATCH('Production - Gas'!AP$178,'Woodmac profile - Gas'!$B$364:$AL$364),FALSE)</f>
        <v>59.88</v>
      </c>
      <c r="AQ216" s="65">
        <f>AU216*$CF$172</f>
        <v>49.402192366181907</v>
      </c>
      <c r="AR216" s="65">
        <f>AU216*$CG$172</f>
        <v>48.09808680816603</v>
      </c>
      <c r="AS216" s="65">
        <f>AU216*$CH$172</f>
        <v>48.437921173715516</v>
      </c>
      <c r="AT216" s="65">
        <f t="shared" si="137"/>
        <v>49.021799651936561</v>
      </c>
      <c r="AU216" s="11">
        <f>VLOOKUP($B216,'Woodmac profile - Gas'!$B$402:$AL$428,MATCH('Production - Gas'!AU$178,'Woodmac profile - Gas'!$B$364:$AL$364),FALSE)</f>
        <v>48.74</v>
      </c>
      <c r="AV216" s="65">
        <f>AZ216*$CF$172</f>
        <v>48.469693043718067</v>
      </c>
      <c r="AW216" s="65">
        <f>AZ216*$CG$172</f>
        <v>47.190203347691821</v>
      </c>
      <c r="AX216" s="65">
        <f>AZ216*$CH$172</f>
        <v>47.523623112988837</v>
      </c>
      <c r="AY216" s="65">
        <f t="shared" si="141"/>
        <v>48.09648049560127</v>
      </c>
      <c r="AZ216" s="11">
        <f>VLOOKUP($B216,'Woodmac profile - Gas'!$B$402:$AL$428,MATCH('Production - Gas'!AZ$178,'Woodmac profile - Gas'!$B$364:$AL$364),FALSE)</f>
        <v>47.82</v>
      </c>
      <c r="BA216" s="65">
        <f>BE216*$CF$172</f>
        <v>51.186104113504022</v>
      </c>
      <c r="BB216" s="65">
        <f>BE216*$CG$172</f>
        <v>49.83490734124711</v>
      </c>
      <c r="BC216" s="65">
        <f>BE216*$CH$172</f>
        <v>50.187013115975248</v>
      </c>
      <c r="BD216" s="65">
        <f t="shared" si="145"/>
        <v>50.791975429273634</v>
      </c>
      <c r="BE216" s="11">
        <f>VLOOKUP($B216,'Woodmac profile - Gas'!$B$402:$AL$428,MATCH('Production - Gas'!BE$178,'Woodmac profile - Gas'!$B$364:$AL$364),FALSE)</f>
        <v>50.5</v>
      </c>
      <c r="BF216" s="65">
        <f>BJ216*$CF$172</f>
        <v>36.62087013110694</v>
      </c>
      <c r="BG216" s="65">
        <f>BJ216*$CG$172</f>
        <v>35.654162420579375</v>
      </c>
      <c r="BH216" s="65">
        <f>BJ216*$CH$172</f>
        <v>35.906074928320514</v>
      </c>
      <c r="BI216" s="65">
        <f t="shared" si="149"/>
        <v>36.33889251999318</v>
      </c>
      <c r="BJ216" s="11">
        <f>VLOOKUP($B216,'Woodmac profile - Gas'!$B$402:$AL$428,MATCH('Production - Gas'!BJ$178,'Woodmac profile - Gas'!$B$364:$AL$364),FALSE)</f>
        <v>36.130000000000003</v>
      </c>
      <c r="BK216" s="65">
        <f>BO216*$CF$172</f>
        <v>0</v>
      </c>
      <c r="BL216" s="65">
        <f>BO216*$CG$172</f>
        <v>0</v>
      </c>
      <c r="BM216" s="65">
        <f>BO216*$CH$172</f>
        <v>0</v>
      </c>
      <c r="BN216" s="65">
        <f t="shared" si="153"/>
        <v>0</v>
      </c>
      <c r="BO216" s="11">
        <f>VLOOKUP($B216,'Woodmac profile - Gas'!$B$402:$AL$428,MATCH('Production - Gas'!BO$178,'Woodmac profile - Gas'!$B$364:$AL$364),FALSE)</f>
        <v>0</v>
      </c>
      <c r="BP216" s="65">
        <f>BT216*$CF$172</f>
        <v>0</v>
      </c>
      <c r="BQ216" s="65">
        <f>BT216*$CG$172</f>
        <v>0</v>
      </c>
      <c r="BR216" s="65">
        <f>BT216*$CH$172</f>
        <v>0</v>
      </c>
      <c r="BS216" s="65">
        <f t="shared" si="157"/>
        <v>0</v>
      </c>
      <c r="BT216" s="11">
        <f>VLOOKUP($B216,'Woodmac profile - Gas'!$B$402:$AL$428,MATCH('Production - Gas'!BT$178,'Woodmac profile - Gas'!$B$364:$AL$364),FALSE)</f>
        <v>0</v>
      </c>
      <c r="BU216" s="65">
        <f>BY216*$CF$172</f>
        <v>0</v>
      </c>
      <c r="BV216" s="65">
        <f>BY216*$CG$172</f>
        <v>0</v>
      </c>
      <c r="BW216" s="65">
        <f>BY216*$CH$172</f>
        <v>0</v>
      </c>
      <c r="BX216" s="65">
        <f t="shared" si="161"/>
        <v>0</v>
      </c>
      <c r="BY216" s="11">
        <f>VLOOKUP($B216,'Woodmac profile - Gas'!$B$402:$AL$428,MATCH('Production - Gas'!BY$178,'Woodmac profile - Gas'!$B$364:$AL$364),FALSE)</f>
        <v>0</v>
      </c>
      <c r="BZ216" s="65">
        <f>CD216*$CF$172</f>
        <v>0</v>
      </c>
      <c r="CA216" s="65">
        <f>CD216*$CG$172</f>
        <v>0</v>
      </c>
      <c r="CB216" s="65">
        <f>CD216*$CH$172</f>
        <v>0</v>
      </c>
      <c r="CC216" s="65">
        <f t="shared" si="165"/>
        <v>0</v>
      </c>
      <c r="CD216" s="11">
        <f>VLOOKUP($B216,'Woodmac profile - Gas'!$B$402:$AL$428,MATCH('Production - Gas'!CD$178,'Woodmac profile - Gas'!$B$364:$AL$364),FALSE)</f>
        <v>0</v>
      </c>
      <c r="CE216" s="5"/>
      <c r="CF216" s="5"/>
      <c r="CG216" s="5"/>
      <c r="CH216" s="5"/>
      <c r="CI216" s="5"/>
    </row>
    <row r="217" spans="1:87">
      <c r="A217" s="11"/>
      <c r="B217" s="11" t="s">
        <v>3400</v>
      </c>
      <c r="C217" s="11"/>
      <c r="D217" s="11"/>
      <c r="E217" s="11">
        <f>VLOOKUP($B217,'Woodmac profile - Gas'!$B$402:$AL$428,MATCH('Production - Gas'!E$178,'Woodmac profile - Gas'!$B$364:$AL$364),FALSE)</f>
        <v>0</v>
      </c>
      <c r="F217" s="11">
        <f>VLOOKUP($B217,'Woodmac profile - Gas'!$B$402:$AL$428,MATCH('Production - Gas'!F$178,'Woodmac profile - Gas'!$B$364:$AL$364),FALSE)</f>
        <v>0</v>
      </c>
      <c r="G217" s="11">
        <f>VLOOKUP($B217,'Woodmac profile - Gas'!$B$402:$AL$428,MATCH('Production - Gas'!G$178,'Woodmac profile - Gas'!$B$364:$AL$364),FALSE)</f>
        <v>0</v>
      </c>
      <c r="H217" s="82"/>
      <c r="I217" s="82"/>
      <c r="J217" s="82"/>
      <c r="K217" s="82"/>
      <c r="L217" s="11">
        <f>VLOOKUP($B217,'Woodmac profile - Gas'!$B$402:$AL$428,MATCH('Production - Gas'!L$178,'Woodmac profile - Gas'!$B$364:$AL$364),FALSE)</f>
        <v>0</v>
      </c>
      <c r="M217" s="65">
        <f t="shared" si="166"/>
        <v>0</v>
      </c>
      <c r="N217" s="65">
        <f t="shared" si="166"/>
        <v>0</v>
      </c>
      <c r="O217" s="65">
        <f t="shared" si="166"/>
        <v>0</v>
      </c>
      <c r="P217" s="65">
        <f t="shared" si="113"/>
        <v>0</v>
      </c>
      <c r="Q217" s="11">
        <f>VLOOKUP($B217,'Woodmac profile - Gas'!$B$402:$AL$428,MATCH('Production - Gas'!Q$178,'Woodmac profile - Gas'!$B$364:$AL$364),FALSE)</f>
        <v>0</v>
      </c>
      <c r="R217" s="65">
        <f>V217*R$172</f>
        <v>0</v>
      </c>
      <c r="S217" s="65">
        <f>V217*S$172</f>
        <v>0</v>
      </c>
      <c r="T217" s="65">
        <f>V217*T$172</f>
        <v>0</v>
      </c>
      <c r="U217" s="65">
        <f t="shared" si="117"/>
        <v>0</v>
      </c>
      <c r="V217" s="11">
        <f>VLOOKUP($B217,'Woodmac profile - Gas'!$B$402:$AL$428,MATCH('Production - Gas'!V$178,'Woodmac profile - Gas'!$B$364:$AL$364),FALSE)</f>
        <v>0</v>
      </c>
      <c r="W217" s="65">
        <f>AA217*W$172</f>
        <v>0</v>
      </c>
      <c r="X217" s="65">
        <f>AA217*X$172</f>
        <v>0</v>
      </c>
      <c r="Y217" s="65">
        <f>AA217*Y$172</f>
        <v>0</v>
      </c>
      <c r="Z217" s="65">
        <f t="shared" si="121"/>
        <v>0</v>
      </c>
      <c r="AA217" s="11">
        <f>VLOOKUP($B217,'Woodmac profile - Gas'!$B$402:$AL$428,MATCH('Production - Gas'!AA$178,'Woodmac profile - Gas'!$B$364:$AL$364),FALSE)</f>
        <v>0</v>
      </c>
      <c r="AB217" s="65">
        <f>AF217*AB$172</f>
        <v>0</v>
      </c>
      <c r="AC217" s="65">
        <f>AF217*AC$172</f>
        <v>0</v>
      </c>
      <c r="AD217" s="65">
        <f>AF217*AD$172</f>
        <v>0</v>
      </c>
      <c r="AE217" s="65">
        <f t="shared" si="125"/>
        <v>0</v>
      </c>
      <c r="AF217" s="11">
        <f>VLOOKUP($B217,'Woodmac profile - Gas'!$B$402:$AL$428,MATCH('Production - Gas'!AF$178,'Woodmac profile - Gas'!$B$364:$AL$364),FALSE)</f>
        <v>0</v>
      </c>
      <c r="AG217" s="65">
        <f>AK217*CF$172</f>
        <v>162.61977314793239</v>
      </c>
      <c r="AH217" s="65">
        <f>AK217*CG$172</f>
        <v>158.32698086791459</v>
      </c>
      <c r="AI217" s="65">
        <f>AK217*CH$172</f>
        <v>159.44563137281324</v>
      </c>
      <c r="AJ217" s="65">
        <f>AK217*4-SUM(AG217:AI217)</f>
        <v>161.36761461133977</v>
      </c>
      <c r="AK217" s="11">
        <f>VLOOKUP($B217,'Woodmac profile - Gas'!$B$402:$AL$428,MATCH('Production - Gas'!AK$178,'Woodmac profile - Gas'!$B$364:$AL$364),FALSE)</f>
        <v>160.44</v>
      </c>
      <c r="AL217" s="65">
        <f>AP217*$CF$172</f>
        <v>318.5498772434068</v>
      </c>
      <c r="AM217" s="65">
        <f>AP217*$CG$172</f>
        <v>310.14088473677509</v>
      </c>
      <c r="AN217" s="65">
        <f>AP217*$CH$172</f>
        <v>312.33216796215248</v>
      </c>
      <c r="AO217" s="65">
        <f t="shared" si="133"/>
        <v>316.09707005766563</v>
      </c>
      <c r="AP217" s="11">
        <f>VLOOKUP($B217,'Woodmac profile - Gas'!$B$402:$AL$428,MATCH('Production - Gas'!AP$178,'Woodmac profile - Gas'!$B$364:$AL$364),FALSE)</f>
        <v>314.27999999999997</v>
      </c>
      <c r="AQ217" s="65">
        <f>AU217*$CF$172</f>
        <v>166.31936285118564</v>
      </c>
      <c r="AR217" s="65">
        <f>AU217*$CG$172</f>
        <v>161.92890981436116</v>
      </c>
      <c r="AS217" s="65">
        <f>AU217*$CH$172</f>
        <v>163.07300954852235</v>
      </c>
      <c r="AT217" s="65">
        <f t="shared" si="137"/>
        <v>165.03871778593088</v>
      </c>
      <c r="AU217" s="11">
        <f>VLOOKUP($B217,'Woodmac profile - Gas'!$B$402:$AL$428,MATCH('Production - Gas'!AU$178,'Woodmac profile - Gas'!$B$364:$AL$364),FALSE)</f>
        <v>164.09</v>
      </c>
      <c r="AV217" s="65">
        <f>AZ217*$CF$172</f>
        <v>136.34761832373388</v>
      </c>
      <c r="AW217" s="65">
        <f>AZ217*$CG$172</f>
        <v>132.74835119890221</v>
      </c>
      <c r="AX217" s="65">
        <f>AZ217*$CH$172</f>
        <v>133.68627731407904</v>
      </c>
      <c r="AY217" s="65">
        <f t="shared" si="141"/>
        <v>135.29775316328494</v>
      </c>
      <c r="AZ217" s="11">
        <f>VLOOKUP($B217,'Woodmac profile - Gas'!$B$402:$AL$428,MATCH('Production - Gas'!AZ$178,'Woodmac profile - Gas'!$B$364:$AL$364),FALSE)</f>
        <v>134.52000000000001</v>
      </c>
      <c r="BA217" s="65">
        <f>BE217*$CF$172</f>
        <v>117.67736015005578</v>
      </c>
      <c r="BB217" s="65">
        <f>BE217*$CG$172</f>
        <v>114.57094539245128</v>
      </c>
      <c r="BC217" s="65">
        <f>BE217*$CH$172</f>
        <v>115.38044005474704</v>
      </c>
      <c r="BD217" s="65">
        <f t="shared" si="145"/>
        <v>116.77125440274585</v>
      </c>
      <c r="BE217" s="11">
        <f>VLOOKUP($B217,'Woodmac profile - Gas'!$B$402:$AL$428,MATCH('Production - Gas'!BE$178,'Woodmac profile - Gas'!$B$364:$AL$364),FALSE)</f>
        <v>116.1</v>
      </c>
      <c r="BF217" s="65">
        <f>BJ217*$CF$172</f>
        <v>88.597571496265076</v>
      </c>
      <c r="BG217" s="65">
        <f>BJ217*$CG$172</f>
        <v>86.258797043532866</v>
      </c>
      <c r="BH217" s="65">
        <f>BJ217*$CH$172</f>
        <v>86.868253791433588</v>
      </c>
      <c r="BI217" s="65">
        <f t="shared" si="149"/>
        <v>87.915377668768485</v>
      </c>
      <c r="BJ217" s="11">
        <f>VLOOKUP($B217,'Woodmac profile - Gas'!$B$402:$AL$428,MATCH('Production - Gas'!BJ$178,'Woodmac profile - Gas'!$B$364:$AL$364),FALSE)</f>
        <v>87.41</v>
      </c>
      <c r="BK217" s="65">
        <f>BO217*$CF$172</f>
        <v>87.99955562642414</v>
      </c>
      <c r="BL217" s="65">
        <f>BO217*$CG$172</f>
        <v>85.676567433011371</v>
      </c>
      <c r="BM217" s="65">
        <f>BO217*$CH$172</f>
        <v>86.2819104698806</v>
      </c>
      <c r="BN217" s="65">
        <f t="shared" si="153"/>
        <v>87.32196647068389</v>
      </c>
      <c r="BO217" s="11">
        <f>VLOOKUP($B217,'Woodmac profile - Gas'!$B$402:$AL$428,MATCH('Production - Gas'!BO$178,'Woodmac profile - Gas'!$B$364:$AL$364),FALSE)</f>
        <v>86.82</v>
      </c>
      <c r="BP217" s="65">
        <f>BT217*$CF$172</f>
        <v>83.347194876305664</v>
      </c>
      <c r="BQ217" s="65">
        <f>BT217*$CG$172</f>
        <v>81.147018429123762</v>
      </c>
      <c r="BR217" s="65">
        <f>BT217*$CH$172</f>
        <v>81.720358188646429</v>
      </c>
      <c r="BS217" s="65">
        <f t="shared" si="157"/>
        <v>82.705428505924175</v>
      </c>
      <c r="BT217" s="11">
        <f>VLOOKUP($B217,'Woodmac profile - Gas'!$B$402:$AL$428,MATCH('Production - Gas'!BT$178,'Woodmac profile - Gas'!$B$364:$AL$364),FALSE)</f>
        <v>82.23</v>
      </c>
      <c r="BU217" s="65">
        <f>BY217*$CF$172</f>
        <v>76.079781678408153</v>
      </c>
      <c r="BV217" s="65">
        <f>BY217*$CG$172</f>
        <v>74.071448416515011</v>
      </c>
      <c r="BW217" s="65">
        <f>BY217*$CH$172</f>
        <v>74.594796128417869</v>
      </c>
      <c r="BX217" s="65">
        <f t="shared" si="161"/>
        <v>75.493973776658976</v>
      </c>
      <c r="BY217" s="11">
        <f>VLOOKUP($B217,'Woodmac profile - Gas'!$B$402:$AL$428,MATCH('Production - Gas'!BY$178,'Woodmac profile - Gas'!$B$364:$AL$364),FALSE)</f>
        <v>75.06</v>
      </c>
      <c r="BZ217" s="65">
        <f>CD217*$CF$172</f>
        <v>67.667016051832249</v>
      </c>
      <c r="CA217" s="65">
        <f>CD217*$CG$172</f>
        <v>65.880760675280342</v>
      </c>
      <c r="CB217" s="65">
        <f>CD217*$CH$172</f>
        <v>66.346237537079361</v>
      </c>
      <c r="CC217" s="65">
        <f t="shared" si="165"/>
        <v>67.145985735808068</v>
      </c>
      <c r="CD217" s="11">
        <f>VLOOKUP($B217,'Woodmac profile - Gas'!$B$402:$AL$428,MATCH('Production - Gas'!CD$178,'Woodmac profile - Gas'!$B$364:$AL$364),FALSE)</f>
        <v>66.760000000000005</v>
      </c>
      <c r="CE217" s="5"/>
      <c r="CF217" s="5"/>
      <c r="CG217" s="5"/>
      <c r="CH217" s="5"/>
      <c r="CI217" s="5"/>
    </row>
    <row r="218" spans="1:87">
      <c r="A218" s="39" t="s">
        <v>3401</v>
      </c>
      <c r="B218" s="39"/>
      <c r="C218" s="39">
        <f t="shared" ref="C218:AH218" si="167">SUM(C207:C217)</f>
        <v>0</v>
      </c>
      <c r="D218" s="39">
        <f t="shared" si="167"/>
        <v>0</v>
      </c>
      <c r="E218" s="39">
        <f t="shared" si="167"/>
        <v>688.73</v>
      </c>
      <c r="F218" s="39">
        <f t="shared" si="167"/>
        <v>578.58999999999992</v>
      </c>
      <c r="G218" s="39">
        <f t="shared" si="167"/>
        <v>514.32000000000005</v>
      </c>
      <c r="H218" s="83"/>
      <c r="I218" s="83"/>
      <c r="J218" s="83"/>
      <c r="K218" s="83"/>
      <c r="L218" s="39">
        <f t="shared" si="167"/>
        <v>495.73</v>
      </c>
      <c r="M218" s="80">
        <f t="shared" si="167"/>
        <v>557.86443550095316</v>
      </c>
      <c r="N218" s="80">
        <f t="shared" si="167"/>
        <v>520.28807456047457</v>
      </c>
      <c r="O218" s="80">
        <f t="shared" si="167"/>
        <v>545.84</v>
      </c>
      <c r="P218" s="80">
        <f t="shared" si="167"/>
        <v>559.36748993857236</v>
      </c>
      <c r="Q218" s="39">
        <f t="shared" si="167"/>
        <v>545.84</v>
      </c>
      <c r="R218" s="80">
        <f t="shared" si="167"/>
        <v>634.98967501552465</v>
      </c>
      <c r="S218" s="80">
        <f t="shared" si="167"/>
        <v>636.44274063340924</v>
      </c>
      <c r="T218" s="80">
        <f t="shared" si="167"/>
        <v>635.51806251293726</v>
      </c>
      <c r="U218" s="80">
        <f t="shared" si="167"/>
        <v>645.68952183812871</v>
      </c>
      <c r="V218" s="39">
        <f t="shared" si="167"/>
        <v>638.16000000000008</v>
      </c>
      <c r="W218" s="80">
        <f t="shared" si="167"/>
        <v>580.95169841913253</v>
      </c>
      <c r="X218" s="80">
        <f t="shared" si="167"/>
        <v>591.39287393595453</v>
      </c>
      <c r="Y218" s="80">
        <f t="shared" si="167"/>
        <v>554.55546817997572</v>
      </c>
      <c r="Z218" s="80">
        <f t="shared" si="167"/>
        <v>588.45995946493713</v>
      </c>
      <c r="AA218" s="39">
        <f t="shared" si="167"/>
        <v>578.83999999999992</v>
      </c>
      <c r="AB218" s="80">
        <f t="shared" si="167"/>
        <v>546.36873280943018</v>
      </c>
      <c r="AC218" s="80">
        <f t="shared" si="167"/>
        <v>539.84269155206289</v>
      </c>
      <c r="AD218" s="80">
        <f t="shared" si="167"/>
        <v>558.45795677799606</v>
      </c>
      <c r="AE218" s="80">
        <f t="shared" si="167"/>
        <v>533.53061886051091</v>
      </c>
      <c r="AF218" s="39">
        <f t="shared" si="167"/>
        <v>544.55000000000007</v>
      </c>
      <c r="AG218" s="80">
        <f t="shared" si="167"/>
        <v>545.67427743655492</v>
      </c>
      <c r="AH218" s="80">
        <f t="shared" si="167"/>
        <v>531.26971715314448</v>
      </c>
      <c r="AI218" s="80">
        <f t="shared" ref="AI218:BN218" si="168">SUM(AI207:AI217)</f>
        <v>535.02337388349372</v>
      </c>
      <c r="AJ218" s="80">
        <f t="shared" si="168"/>
        <v>541.47263152680694</v>
      </c>
      <c r="AK218" s="39">
        <f t="shared" si="168"/>
        <v>538.3599999999999</v>
      </c>
      <c r="AL218" s="80">
        <f t="shared" si="168"/>
        <v>605.19206027902942</v>
      </c>
      <c r="AM218" s="80">
        <f t="shared" si="168"/>
        <v>589.21636584775888</v>
      </c>
      <c r="AN218" s="80">
        <f t="shared" si="168"/>
        <v>593.37944141161393</v>
      </c>
      <c r="AO218" s="80">
        <f t="shared" si="168"/>
        <v>600.53213246159794</v>
      </c>
      <c r="AP218" s="39">
        <f t="shared" si="168"/>
        <v>597.07999999999993</v>
      </c>
      <c r="AQ218" s="80">
        <f t="shared" si="168"/>
        <v>417.72928887719632</v>
      </c>
      <c r="AR218" s="80">
        <f t="shared" si="168"/>
        <v>406.70218539699351</v>
      </c>
      <c r="AS218" s="80">
        <f t="shared" si="168"/>
        <v>409.57571713835409</v>
      </c>
      <c r="AT218" s="80">
        <f t="shared" si="168"/>
        <v>414.51280858745622</v>
      </c>
      <c r="AU218" s="39">
        <f t="shared" si="168"/>
        <v>412.13</v>
      </c>
      <c r="AV218" s="80">
        <f t="shared" si="168"/>
        <v>414.60744331938258</v>
      </c>
      <c r="AW218" s="80">
        <f t="shared" si="168"/>
        <v>403.66274946410158</v>
      </c>
      <c r="AX218" s="80">
        <f t="shared" si="168"/>
        <v>406.51480623939949</v>
      </c>
      <c r="AY218" s="80">
        <f t="shared" si="168"/>
        <v>411.41500097711634</v>
      </c>
      <c r="AZ218" s="39">
        <f>SUM(AZ207:AZ217)</f>
        <v>409.05000000000007</v>
      </c>
      <c r="BA218" s="80">
        <f t="shared" si="168"/>
        <v>403.22487006800338</v>
      </c>
      <c r="BB218" s="80">
        <f t="shared" si="168"/>
        <v>392.58065026722625</v>
      </c>
      <c r="BC218" s="80">
        <f t="shared" si="168"/>
        <v>395.35440708509452</v>
      </c>
      <c r="BD218" s="80">
        <f t="shared" si="168"/>
        <v>400.12007257967582</v>
      </c>
      <c r="BE218" s="39">
        <f t="shared" si="168"/>
        <v>397.82000000000005</v>
      </c>
      <c r="BF218" s="80">
        <f t="shared" si="168"/>
        <v>384.40257396131483</v>
      </c>
      <c r="BG218" s="80">
        <f t="shared" si="168"/>
        <v>374.25521998352411</v>
      </c>
      <c r="BH218" s="80">
        <f t="shared" si="168"/>
        <v>376.89949948977448</v>
      </c>
      <c r="BI218" s="80">
        <f t="shared" si="168"/>
        <v>381.44270656538663</v>
      </c>
      <c r="BJ218" s="39">
        <f t="shared" si="168"/>
        <v>379.25</v>
      </c>
      <c r="BK218" s="80">
        <f t="shared" si="168"/>
        <v>396.54533687774608</v>
      </c>
      <c r="BL218" s="80">
        <f t="shared" si="168"/>
        <v>386.07744156665558</v>
      </c>
      <c r="BM218" s="80">
        <f t="shared" si="168"/>
        <v>388.80525032401971</v>
      </c>
      <c r="BN218" s="80">
        <f t="shared" si="168"/>
        <v>393.49197123157847</v>
      </c>
      <c r="BO218" s="39">
        <f t="shared" ref="BO218:CD218" si="169">SUM(BO207:BO217)</f>
        <v>391.23</v>
      </c>
      <c r="BP218" s="80">
        <f t="shared" si="169"/>
        <v>817.17348234434087</v>
      </c>
      <c r="BQ218" s="80">
        <f t="shared" si="169"/>
        <v>795.60196032990575</v>
      </c>
      <c r="BR218" s="80">
        <f t="shared" si="169"/>
        <v>801.22324186854576</v>
      </c>
      <c r="BS218" s="80">
        <f t="shared" si="169"/>
        <v>810.88131545720717</v>
      </c>
      <c r="BT218" s="39">
        <f t="shared" si="169"/>
        <v>806.22</v>
      </c>
      <c r="BU218" s="80">
        <f t="shared" si="169"/>
        <v>909.56186630366551</v>
      </c>
      <c r="BV218" s="80">
        <f t="shared" si="169"/>
        <v>885.55150100623609</v>
      </c>
      <c r="BW218" s="80">
        <f t="shared" si="169"/>
        <v>891.80831603728132</v>
      </c>
      <c r="BX218" s="80">
        <f t="shared" si="169"/>
        <v>902.55831665281721</v>
      </c>
      <c r="BY218" s="39">
        <f t="shared" si="169"/>
        <v>897.36999999999989</v>
      </c>
      <c r="BZ218" s="80">
        <f t="shared" si="169"/>
        <v>1147.5316390515561</v>
      </c>
      <c r="CA218" s="80">
        <f t="shared" si="169"/>
        <v>1117.2394127998598</v>
      </c>
      <c r="CB218" s="80">
        <f t="shared" si="169"/>
        <v>1125.13320592577</v>
      </c>
      <c r="CC218" s="80">
        <f t="shared" si="169"/>
        <v>1138.6957422228147</v>
      </c>
      <c r="CD218" s="39">
        <f t="shared" si="169"/>
        <v>1132.1500000000001</v>
      </c>
      <c r="CE218" s="5"/>
      <c r="CF218" s="5"/>
      <c r="CG218" s="5"/>
      <c r="CH218" s="5"/>
      <c r="CI218" s="5"/>
    </row>
    <row r="219" spans="1:87">
      <c r="A219" s="11"/>
      <c r="B219" s="11"/>
      <c r="C219" s="11"/>
      <c r="D219" s="11"/>
      <c r="E219" s="11"/>
      <c r="F219" s="11"/>
      <c r="G219" s="11"/>
      <c r="H219" s="82"/>
      <c r="I219" s="82"/>
      <c r="J219" s="82"/>
      <c r="K219" s="82"/>
      <c r="L219" s="11"/>
      <c r="M219" s="68"/>
      <c r="N219" s="68"/>
      <c r="O219" s="68"/>
      <c r="P219" s="68"/>
      <c r="Q219" s="11"/>
      <c r="R219" s="68"/>
      <c r="S219" s="68"/>
      <c r="T219" s="68"/>
      <c r="U219" s="68"/>
      <c r="V219" s="11"/>
      <c r="W219" s="68"/>
      <c r="X219" s="68"/>
      <c r="Y219" s="68"/>
      <c r="Z219" s="68"/>
      <c r="AA219" s="11"/>
      <c r="AB219" s="68"/>
      <c r="AC219" s="68"/>
      <c r="AD219" s="68"/>
      <c r="AE219" s="68"/>
      <c r="AF219" s="11"/>
      <c r="AG219" s="68"/>
      <c r="AH219" s="68"/>
      <c r="AI219" s="68"/>
      <c r="AJ219" s="68"/>
      <c r="AK219" s="11"/>
      <c r="AL219" s="48"/>
      <c r="AM219" s="48"/>
      <c r="AN219" s="48"/>
      <c r="AO219" s="48"/>
      <c r="AP219" s="48"/>
      <c r="AQ219" s="48"/>
      <c r="AR219" s="48"/>
      <c r="AS219" s="48"/>
      <c r="AT219" s="48"/>
      <c r="AU219" s="48"/>
      <c r="AV219" s="48"/>
      <c r="AW219" s="48"/>
      <c r="AX219" s="48"/>
      <c r="AY219" s="48"/>
      <c r="AZ219" s="48"/>
      <c r="BA219" s="48"/>
      <c r="BB219" s="48"/>
      <c r="BC219" s="48"/>
      <c r="BD219" s="48"/>
      <c r="BE219" s="48"/>
      <c r="BF219" s="48"/>
      <c r="BG219" s="48"/>
      <c r="BH219" s="48"/>
      <c r="BI219" s="48"/>
      <c r="BJ219" s="48"/>
      <c r="BK219" s="48"/>
      <c r="BL219" s="48"/>
      <c r="BM219" s="48"/>
      <c r="BN219" s="48"/>
      <c r="BO219" s="48"/>
      <c r="BP219" s="48"/>
      <c r="BQ219" s="48"/>
      <c r="BR219" s="48"/>
      <c r="BS219" s="48"/>
      <c r="BT219" s="48"/>
      <c r="BU219" s="48"/>
      <c r="BV219" s="48"/>
      <c r="BW219" s="48"/>
      <c r="BX219" s="48"/>
      <c r="BY219" s="48"/>
      <c r="BZ219" s="48"/>
      <c r="CA219" s="48"/>
      <c r="CB219" s="48"/>
      <c r="CC219" s="48"/>
      <c r="CD219" s="48"/>
      <c r="CE219" s="5"/>
      <c r="CF219" s="5"/>
      <c r="CG219" s="5"/>
      <c r="CH219" s="5"/>
      <c r="CI219" s="5"/>
    </row>
    <row r="220" spans="1:87">
      <c r="A220" s="39" t="s">
        <v>3402</v>
      </c>
      <c r="B220" s="11"/>
      <c r="C220" s="11"/>
      <c r="D220" s="11"/>
      <c r="E220" s="11"/>
      <c r="F220" s="11"/>
      <c r="G220" s="11"/>
      <c r="H220" s="82"/>
      <c r="I220" s="82"/>
      <c r="J220" s="82"/>
      <c r="K220" s="82"/>
      <c r="L220" s="11"/>
      <c r="M220" s="68"/>
      <c r="N220" s="68"/>
      <c r="O220" s="68"/>
      <c r="P220" s="68"/>
      <c r="Q220" s="11"/>
      <c r="R220" s="68"/>
      <c r="S220" s="68"/>
      <c r="T220" s="68"/>
      <c r="U220" s="68"/>
      <c r="V220" s="11"/>
      <c r="W220" s="68"/>
      <c r="X220" s="68"/>
      <c r="Y220" s="68"/>
      <c r="Z220" s="68"/>
      <c r="AA220" s="11"/>
      <c r="AB220" s="68"/>
      <c r="AC220" s="68"/>
      <c r="AD220" s="68"/>
      <c r="AE220" s="68"/>
      <c r="AF220" s="11"/>
      <c r="AG220" s="68"/>
      <c r="AH220" s="68"/>
      <c r="AI220" s="68"/>
      <c r="AJ220" s="68"/>
      <c r="AK220" s="11"/>
      <c r="AL220" s="68"/>
      <c r="AM220" s="68"/>
      <c r="AN220" s="68"/>
      <c r="AO220" s="68"/>
      <c r="AP220" s="11"/>
      <c r="AQ220" s="68"/>
      <c r="AR220" s="68"/>
      <c r="AS220" s="68"/>
      <c r="AT220" s="68"/>
      <c r="AU220" s="11"/>
      <c r="AV220" s="68"/>
      <c r="AW220" s="68"/>
      <c r="AX220" s="68"/>
      <c r="AY220" s="68"/>
      <c r="AZ220" s="11"/>
      <c r="BA220" s="68"/>
      <c r="BB220" s="68"/>
      <c r="BC220" s="68"/>
      <c r="BD220" s="68"/>
      <c r="BE220" s="11"/>
      <c r="BF220" s="68"/>
      <c r="BG220" s="68"/>
      <c r="BH220" s="68"/>
      <c r="BI220" s="68"/>
      <c r="BJ220" s="11"/>
      <c r="BK220" s="68"/>
      <c r="BL220" s="68"/>
      <c r="BM220" s="68"/>
      <c r="BN220" s="68"/>
      <c r="BO220" s="11"/>
      <c r="BP220" s="68"/>
      <c r="BQ220" s="68"/>
      <c r="BR220" s="68"/>
      <c r="BS220" s="68"/>
      <c r="BT220" s="11"/>
      <c r="BU220" s="68"/>
      <c r="BV220" s="68"/>
      <c r="BW220" s="68"/>
      <c r="BX220" s="68"/>
      <c r="BY220" s="11"/>
      <c r="BZ220" s="68"/>
      <c r="CA220" s="68"/>
      <c r="CB220" s="68"/>
      <c r="CC220" s="68"/>
      <c r="CD220" s="11"/>
      <c r="CE220" s="5"/>
      <c r="CF220" s="5"/>
      <c r="CG220" s="5"/>
      <c r="CH220" s="5"/>
      <c r="CI220" s="5"/>
    </row>
    <row r="221" spans="1:87">
      <c r="A221" s="11"/>
      <c r="B221" s="11" t="s">
        <v>2965</v>
      </c>
      <c r="C221" s="11"/>
      <c r="D221" s="11"/>
      <c r="E221" s="11">
        <f>VLOOKUP($B221,'Woodmac profile - Gas'!$B$402:$AL$428,MATCH('Production - Gas'!E$178,'Woodmac profile - Gas'!$B$364:$AL$364),FALSE)</f>
        <v>283</v>
      </c>
      <c r="F221" s="11">
        <f>VLOOKUP($B221,'Woodmac profile - Gas'!$B$402:$AL$428,MATCH('Production - Gas'!F$178,'Woodmac profile - Gas'!$B$364:$AL$364),FALSE)</f>
        <v>309.81</v>
      </c>
      <c r="G221" s="11">
        <f>VLOOKUP($B221,'Woodmac profile - Gas'!$B$402:$AL$428,MATCH('Production - Gas'!G$178,'Woodmac profile - Gas'!$B$364:$AL$364),FALSE)</f>
        <v>385.5</v>
      </c>
      <c r="H221" s="82"/>
      <c r="I221" s="82"/>
      <c r="J221" s="82"/>
      <c r="K221" s="82"/>
      <c r="L221" s="11">
        <f>VLOOKUP($B221,'Woodmac profile - Gas'!$B$402:$AL$428,MATCH('Production - Gas'!L$178,'Woodmac profile - Gas'!$B$364:$AL$364),FALSE)</f>
        <v>374.18</v>
      </c>
      <c r="M221" s="65">
        <f t="shared" ref="M221:O222" si="170">$Q221*M$172</f>
        <v>399.30682058885833</v>
      </c>
      <c r="N221" s="65">
        <f t="shared" si="170"/>
        <v>372.41050624867614</v>
      </c>
      <c r="O221" s="65">
        <f t="shared" si="170"/>
        <v>390.70000000000005</v>
      </c>
      <c r="P221" s="65">
        <f>Q221*4-SUM(M221:O221)</f>
        <v>400.38267316246561</v>
      </c>
      <c r="Q221" s="11">
        <f>VLOOKUP($B221,'Woodmac profile - Gas'!$B$402:$AL$428,MATCH('Production - Gas'!Q$178,'Woodmac profile - Gas'!$B$364:$AL$364),FALSE)</f>
        <v>390.70000000000005</v>
      </c>
      <c r="R221" s="65">
        <f>V221*R$172</f>
        <v>396.75909335541297</v>
      </c>
      <c r="S221" s="65">
        <f>V221*S$172</f>
        <v>397.66700890084871</v>
      </c>
      <c r="T221" s="65">
        <f>V221*T$172</f>
        <v>397.08924446284414</v>
      </c>
      <c r="U221" s="65">
        <f>V221*4-SUM(R221:T221)</f>
        <v>403.44465328089427</v>
      </c>
      <c r="V221" s="11">
        <f>VLOOKUP($B221,'Woodmac profile - Gas'!$B$402:$AL$428,MATCH('Production - Gas'!V$178,'Woodmac profile - Gas'!$B$364:$AL$364),FALSE)</f>
        <v>398.74</v>
      </c>
      <c r="W221" s="65">
        <f>AA221*W$172</f>
        <v>478.93086339683833</v>
      </c>
      <c r="X221" s="65">
        <f>AA221*X$172</f>
        <v>487.53846574787195</v>
      </c>
      <c r="Y221" s="65">
        <f>AA221*Y$172</f>
        <v>457.17007093635999</v>
      </c>
      <c r="Z221" s="65">
        <f>AA221*4-SUM(W221:Y221)</f>
        <v>485.12059991892988</v>
      </c>
      <c r="AA221" s="11">
        <f>VLOOKUP($B221,'Woodmac profile - Gas'!$B$402:$AL$428,MATCH('Production - Gas'!AA$178,'Woodmac profile - Gas'!$B$364:$AL$364),FALSE)</f>
        <v>477.19000000000005</v>
      </c>
      <c r="AB221" s="65">
        <f>AF221*AB$172</f>
        <v>505.17159724950881</v>
      </c>
      <c r="AC221" s="65">
        <f>AF221*AC$172</f>
        <v>499.13763064833006</v>
      </c>
      <c r="AD221" s="65">
        <f>AF221*AD$172</f>
        <v>516.34927308447936</v>
      </c>
      <c r="AE221" s="65">
        <f>AF221*4-SUM(AB221:AD221)</f>
        <v>493.30149901768186</v>
      </c>
      <c r="AF221" s="11">
        <f>VLOOKUP($B221,'Woodmac profile - Gas'!$B$402:$AL$428,MATCH('Production - Gas'!AF$178,'Woodmac profile - Gas'!$B$364:$AL$364),FALSE)</f>
        <v>503.49</v>
      </c>
      <c r="AG221" s="65">
        <f>AK221*CF$172</f>
        <v>468.39846401846495</v>
      </c>
      <c r="AH221" s="65">
        <f>AK221*CG$172</f>
        <v>456.03380951558643</v>
      </c>
      <c r="AI221" s="65">
        <f>AK221*CH$172</f>
        <v>459.2558911119699</v>
      </c>
      <c r="AJ221" s="65">
        <f>AK221*4-SUM(AG221:AI221)</f>
        <v>464.79183535397874</v>
      </c>
      <c r="AK221" s="11">
        <f>VLOOKUP($B221,'Woodmac profile - Gas'!$B$402:$AL$428,MATCH('Production - Gas'!AK$178,'Woodmac profile - Gas'!$B$364:$AL$364),FALSE)</f>
        <v>462.12</v>
      </c>
      <c r="AL221" s="65">
        <f>AP221*$CF$172</f>
        <v>445.18733957887599</v>
      </c>
      <c r="AM221" s="65">
        <f>AP221*$CG$172</f>
        <v>433.43540598856549</v>
      </c>
      <c r="AN221" s="65">
        <f>AP221*$CH$172</f>
        <v>436.49781981779506</v>
      </c>
      <c r="AO221" s="65">
        <f>AP221*4-SUM(AL221:AN221)</f>
        <v>441.75943461476345</v>
      </c>
      <c r="AP221" s="11">
        <f>VLOOKUP($B221,'Woodmac profile - Gas'!$B$402:$AL$428,MATCH('Production - Gas'!AP$178,'Woodmac profile - Gas'!$B$364:$AL$364),FALSE)</f>
        <v>439.22</v>
      </c>
      <c r="AQ221" s="65">
        <f>AU221*$CF$172</f>
        <v>435.65962911022376</v>
      </c>
      <c r="AR221" s="65">
        <f>AU221*$CG$172</f>
        <v>424.15920541415511</v>
      </c>
      <c r="AS221" s="65">
        <f>AU221*$CH$172</f>
        <v>427.15607876254415</v>
      </c>
      <c r="AT221" s="65">
        <f>AU221*4-SUM(AQ221:AS221)</f>
        <v>432.30508671307689</v>
      </c>
      <c r="AU221" s="11">
        <f>VLOOKUP($B221,'Woodmac profile - Gas'!$B$402:$AL$428,MATCH('Production - Gas'!AU$178,'Woodmac profile - Gas'!$B$364:$AL$364),FALSE)</f>
        <v>429.82</v>
      </c>
      <c r="AV221" s="65">
        <f>AZ221*$CF$172</f>
        <v>458.07002043595787</v>
      </c>
      <c r="AW221" s="65">
        <f>AZ221*$CG$172</f>
        <v>445.97801336098632</v>
      </c>
      <c r="AX221" s="65">
        <f>AZ221*$CH$172</f>
        <v>449.12904628718206</v>
      </c>
      <c r="AY221" s="65">
        <f>AZ221*4-SUM(AV221:AX221)</f>
        <v>454.54291991587365</v>
      </c>
      <c r="AZ221" s="11">
        <f>VLOOKUP($B221,'Woodmac profile - Gas'!$B$402:$AL$428,MATCH('Production - Gas'!AZ$178,'Woodmac profile - Gas'!$B$364:$AL$364),FALSE)</f>
        <v>451.93</v>
      </c>
      <c r="BA221" s="65">
        <f>BE221*$CF$172</f>
        <v>458.61735699479533</v>
      </c>
      <c r="BB221" s="65">
        <f>BE221*$CG$172</f>
        <v>446.51090147909071</v>
      </c>
      <c r="BC221" s="65">
        <f>BE221*$CH$172</f>
        <v>449.66569949673897</v>
      </c>
      <c r="BD221" s="65">
        <f>BE221*4-SUM(BA221:BC221)</f>
        <v>455.08604202937499</v>
      </c>
      <c r="BE221" s="11">
        <f>VLOOKUP($B221,'Woodmac profile - Gas'!$B$402:$AL$428,MATCH('Production - Gas'!BE$178,'Woodmac profile - Gas'!$B$364:$AL$364),FALSE)</f>
        <v>452.46999999999997</v>
      </c>
      <c r="BF221" s="65">
        <f>BJ221*$CF$172</f>
        <v>465.09417294103872</v>
      </c>
      <c r="BG221" s="65">
        <f>BJ221*$CG$172</f>
        <v>452.81674420999309</v>
      </c>
      <c r="BH221" s="65">
        <f>BJ221*$CH$172</f>
        <v>456.01609580982978</v>
      </c>
      <c r="BI221" s="65">
        <f>BJ221*4-SUM(BF221:BH221)</f>
        <v>461.51298703913858</v>
      </c>
      <c r="BJ221" s="11">
        <f>VLOOKUP($B221,'Woodmac profile - Gas'!$B$402:$AL$428,MATCH('Production - Gas'!BJ$178,'Woodmac profile - Gas'!$B$364:$AL$364),FALSE)</f>
        <v>458.86</v>
      </c>
      <c r="BK221" s="65">
        <f>BO221*$CF$172</f>
        <v>445.79549131091767</v>
      </c>
      <c r="BL221" s="65">
        <f>BO221*$CG$172</f>
        <v>434.02750389757045</v>
      </c>
      <c r="BM221" s="65">
        <f>BO221*$CH$172</f>
        <v>437.09410116174723</v>
      </c>
      <c r="BN221" s="65">
        <f>BO221*4-SUM(BK221:BM221)</f>
        <v>442.36290362976479</v>
      </c>
      <c r="BO221" s="11">
        <f>VLOOKUP($B221,'Woodmac profile - Gas'!$B$402:$AL$428,MATCH('Production - Gas'!BO$178,'Woodmac profile - Gas'!$B$364:$AL$364),FALSE)</f>
        <v>439.82000000000005</v>
      </c>
      <c r="BP221" s="65">
        <f>BT221*$CF$172</f>
        <v>445.89684993292457</v>
      </c>
      <c r="BQ221" s="65">
        <f>BT221*$CG$172</f>
        <v>434.12618688240457</v>
      </c>
      <c r="BR221" s="65">
        <f>BT221*$CH$172</f>
        <v>437.19348138573923</v>
      </c>
      <c r="BS221" s="65">
        <f>BT221*4-SUM(BP221:BR221)</f>
        <v>442.46348179893175</v>
      </c>
      <c r="BT221" s="11">
        <f>VLOOKUP($B221,'Woodmac profile - Gas'!$B$402:$AL$428,MATCH('Production - Gas'!BT$178,'Woodmac profile - Gas'!$B$364:$AL$364),FALSE)</f>
        <v>439.92</v>
      </c>
      <c r="BU221" s="65">
        <f>BY221*$CF$172</f>
        <v>445.89684993292457</v>
      </c>
      <c r="BV221" s="65">
        <f>BY221*$CG$172</f>
        <v>434.12618688240457</v>
      </c>
      <c r="BW221" s="65">
        <f>BY221*$CH$172</f>
        <v>437.19348138573923</v>
      </c>
      <c r="BX221" s="65">
        <f>BY221*4-SUM(BU221:BW221)</f>
        <v>442.46348179893175</v>
      </c>
      <c r="BY221" s="11">
        <f>VLOOKUP($B221,'Woodmac profile - Gas'!$B$402:$AL$428,MATCH('Production - Gas'!BY$178,'Woodmac profile - Gas'!$B$364:$AL$364),FALSE)</f>
        <v>439.92</v>
      </c>
      <c r="BZ221" s="65">
        <f>CD221*$CF$172</f>
        <v>426.27382071238122</v>
      </c>
      <c r="CA221" s="65">
        <f>CD221*$CG$172</f>
        <v>415.0211610185126</v>
      </c>
      <c r="CB221" s="65">
        <f>CD221*$CH$172</f>
        <v>417.95347002088215</v>
      </c>
      <c r="CC221" s="65">
        <f>CD221*4-SUM(BZ221:CB221)</f>
        <v>422.99154824822403</v>
      </c>
      <c r="CD221" s="11">
        <f>VLOOKUP($B221,'Woodmac profile - Gas'!$B$402:$AL$428,MATCH('Production - Gas'!CD$178,'Woodmac profile - Gas'!$B$364:$AL$364),FALSE)</f>
        <v>420.56</v>
      </c>
      <c r="CE221" s="5"/>
      <c r="CF221" s="5"/>
      <c r="CG221" s="5"/>
      <c r="CH221" s="5"/>
      <c r="CI221" s="5"/>
    </row>
    <row r="222" spans="1:87">
      <c r="A222" s="11"/>
      <c r="B222" s="11" t="s">
        <v>3403</v>
      </c>
      <c r="C222" s="11"/>
      <c r="D222" s="11"/>
      <c r="E222" s="11">
        <f>VLOOKUP($B222,'Woodmac profile - Gas'!$B$402:$AL$428,MATCH('Production - Gas'!E$178,'Woodmac profile - Gas'!$B$364:$AL$364),FALSE)</f>
        <v>0</v>
      </c>
      <c r="F222" s="11">
        <f>VLOOKUP($B222,'Woodmac profile - Gas'!$B$402:$AL$428,MATCH('Production - Gas'!F$178,'Woodmac profile - Gas'!$B$364:$AL$364),FALSE)</f>
        <v>0</v>
      </c>
      <c r="G222" s="11">
        <f>VLOOKUP($B222,'Woodmac profile - Gas'!$B$402:$AL$428,MATCH('Production - Gas'!G$178,'Woodmac profile - Gas'!$B$364:$AL$364),FALSE)</f>
        <v>0</v>
      </c>
      <c r="H222" s="82"/>
      <c r="I222" s="82"/>
      <c r="J222" s="82"/>
      <c r="K222" s="82"/>
      <c r="L222" s="11">
        <f>VLOOKUP($B222,'Woodmac profile - Gas'!$B$402:$AL$428,MATCH('Production - Gas'!L$178,'Woodmac profile - Gas'!$B$364:$AL$364),FALSE)</f>
        <v>0</v>
      </c>
      <c r="M222" s="65">
        <f t="shared" si="170"/>
        <v>0</v>
      </c>
      <c r="N222" s="65">
        <f t="shared" si="170"/>
        <v>0</v>
      </c>
      <c r="O222" s="65">
        <f t="shared" si="170"/>
        <v>0</v>
      </c>
      <c r="P222" s="65">
        <f>Q222*4-SUM(M222:O222)</f>
        <v>0</v>
      </c>
      <c r="Q222" s="11">
        <f>VLOOKUP($B222,'Woodmac profile - Gas'!$B$402:$AL$428,MATCH('Production - Gas'!Q$178,'Woodmac profile - Gas'!$B$364:$AL$364),FALSE)</f>
        <v>0</v>
      </c>
      <c r="R222" s="65">
        <f>V222*R$172</f>
        <v>0</v>
      </c>
      <c r="S222" s="65">
        <f>V222*S$172</f>
        <v>0</v>
      </c>
      <c r="T222" s="65">
        <f>V222*T$172</f>
        <v>0</v>
      </c>
      <c r="U222" s="65">
        <f>V222*4-SUM(R222:T222)</f>
        <v>0</v>
      </c>
      <c r="V222" s="11">
        <f>VLOOKUP($B222,'Woodmac profile - Gas'!$B$402:$AL$428,MATCH('Production - Gas'!V$178,'Woodmac profile - Gas'!$B$364:$AL$364),FALSE)</f>
        <v>0</v>
      </c>
      <c r="W222" s="65">
        <f>AA222*W$172</f>
        <v>35.177867855695176</v>
      </c>
      <c r="X222" s="65">
        <f>AA222*X$172</f>
        <v>35.81010336441021</v>
      </c>
      <c r="Y222" s="65">
        <f>AA222*Y$172</f>
        <v>33.579519659505472</v>
      </c>
      <c r="Z222" s="65">
        <f>AA222*4-SUM(W222:Y222)</f>
        <v>35.63250912038913</v>
      </c>
      <c r="AA222" s="11">
        <f>VLOOKUP($B222,'Woodmac profile - Gas'!$B$402:$AL$428,MATCH('Production - Gas'!AA$178,'Woodmac profile - Gas'!$B$364:$AL$364),FALSE)</f>
        <v>35.049999999999997</v>
      </c>
      <c r="AB222" s="65">
        <f>AF222*AB$172</f>
        <v>348.15893909626715</v>
      </c>
      <c r="AC222" s="65">
        <f>AF222*AC$172</f>
        <v>344.00039292730844</v>
      </c>
      <c r="AD222" s="65">
        <f>AF222*AD$172</f>
        <v>355.86247544204321</v>
      </c>
      <c r="AE222" s="65">
        <f>AF222*4-SUM(AB222:AD222)</f>
        <v>339.97819253438115</v>
      </c>
      <c r="AF222" s="11">
        <f>VLOOKUP($B222,'Woodmac profile - Gas'!$B$402:$AL$428,MATCH('Production - Gas'!AF$178,'Woodmac profile - Gas'!$B$364:$AL$364),FALSE)</f>
        <v>347</v>
      </c>
      <c r="AG222" s="65">
        <f>AK222*CF$172</f>
        <v>363.44161093027992</v>
      </c>
      <c r="AH222" s="65">
        <f>AK222*CG$172</f>
        <v>353.84757871982134</v>
      </c>
      <c r="AI222" s="65">
        <f>AK222*CH$172</f>
        <v>356.34766916822264</v>
      </c>
      <c r="AJ222" s="65">
        <f>AK222*4-SUM(AG222:AI222)</f>
        <v>360.64314118167613</v>
      </c>
      <c r="AK222" s="11">
        <f>VLOOKUP($B222,'Woodmac profile - Gas'!$B$402:$AL$428,MATCH('Production - Gas'!AK$178,'Woodmac profile - Gas'!$B$364:$AL$364),FALSE)</f>
        <v>358.57</v>
      </c>
      <c r="AL222" s="65">
        <f>AP222*$CF$172</f>
        <v>320.97234830937265</v>
      </c>
      <c r="AM222" s="65">
        <f>AP222*$CG$172</f>
        <v>312.49940807431136</v>
      </c>
      <c r="AN222" s="65">
        <f>AP222*$CH$172</f>
        <v>314.70735531556204</v>
      </c>
      <c r="AO222" s="65">
        <f>AP222*4-SUM(AL222:AN222)</f>
        <v>318.50088830075401</v>
      </c>
      <c r="AP222" s="11">
        <f>VLOOKUP($B222,'Woodmac profile - Gas'!$B$402:$AL$428,MATCH('Production - Gas'!AP$178,'Woodmac profile - Gas'!$B$364:$AL$364),FALSE)</f>
        <v>316.67</v>
      </c>
      <c r="AQ222" s="65">
        <f>AU222*$CF$172</f>
        <v>326.66870286616262</v>
      </c>
      <c r="AR222" s="65">
        <f>AU222*$CG$172</f>
        <v>318.04539182199073</v>
      </c>
      <c r="AS222" s="65">
        <f>AU222*$CH$172</f>
        <v>320.29252390391412</v>
      </c>
      <c r="AT222" s="65">
        <f>AU222*4-SUM(AQ222:AS222)</f>
        <v>324.15338140793256</v>
      </c>
      <c r="AU222" s="11">
        <f>VLOOKUP($B222,'Woodmac profile - Gas'!$B$402:$AL$428,MATCH('Production - Gas'!AU$178,'Woodmac profile - Gas'!$B$364:$AL$364),FALSE)</f>
        <v>322.29000000000002</v>
      </c>
      <c r="AV222" s="65">
        <f>AZ222*$CF$172</f>
        <v>304.51170809544584</v>
      </c>
      <c r="AW222" s="65">
        <f>AZ222*$CG$172</f>
        <v>296.47329133724497</v>
      </c>
      <c r="AX222" s="65">
        <f>AZ222*$CH$172</f>
        <v>298.56800693925629</v>
      </c>
      <c r="AY222" s="65">
        <f>AZ222*4-SUM(AV222:AX222)</f>
        <v>302.16699362805298</v>
      </c>
      <c r="AZ222" s="11">
        <f>VLOOKUP($B222,'Woodmac profile - Gas'!$B$402:$AL$428,MATCH('Production - Gas'!AZ$178,'Woodmac profile - Gas'!$B$364:$AL$364),FALSE)</f>
        <v>300.43</v>
      </c>
      <c r="BA222" s="65">
        <f>BE222*$CF$172</f>
        <v>332.88198639518794</v>
      </c>
      <c r="BB222" s="65">
        <f>BE222*$CG$172</f>
        <v>324.09465879232431</v>
      </c>
      <c r="BC222" s="65">
        <f>BE222*$CH$172</f>
        <v>326.38453163462555</v>
      </c>
      <c r="BD222" s="65">
        <f>BE222*4-SUM(BA222:BC222)</f>
        <v>330.31882317786221</v>
      </c>
      <c r="BE222" s="11">
        <f>VLOOKUP($B222,'Woodmac profile - Gas'!$B$402:$AL$428,MATCH('Production - Gas'!BE$178,'Woodmac profile - Gas'!$B$364:$AL$364),FALSE)</f>
        <v>328.42</v>
      </c>
      <c r="BF222" s="65">
        <f>BJ222*$CF$172</f>
        <v>396.28180446052812</v>
      </c>
      <c r="BG222" s="65">
        <f>BJ222*$CG$172</f>
        <v>385.82086580608683</v>
      </c>
      <c r="BH222" s="65">
        <f>BJ222*$CH$172</f>
        <v>388.54686174164044</v>
      </c>
      <c r="BI222" s="65">
        <f>BJ222*4-SUM(BF222:BH222)</f>
        <v>393.23046799174472</v>
      </c>
      <c r="BJ222" s="11">
        <f>VLOOKUP($B222,'Woodmac profile - Gas'!$B$402:$AL$428,MATCH('Production - Gas'!BJ$178,'Woodmac profile - Gas'!$B$364:$AL$364),FALSE)</f>
        <v>390.97</v>
      </c>
      <c r="BK222" s="65">
        <f>BO222*$CF$172</f>
        <v>358.60680466054896</v>
      </c>
      <c r="BL222" s="65">
        <f>BO222*$CG$172</f>
        <v>349.14040034323227</v>
      </c>
      <c r="BM222" s="65">
        <f>BO222*$CH$172</f>
        <v>351.60723248380282</v>
      </c>
      <c r="BN222" s="65">
        <f>BO222*4-SUM(BK222:BM222)</f>
        <v>355.84556251241588</v>
      </c>
      <c r="BO222" s="11">
        <f>VLOOKUP($B222,'Woodmac profile - Gas'!$B$402:$AL$428,MATCH('Production - Gas'!BO$178,'Woodmac profile - Gas'!$B$364:$AL$364),FALSE)</f>
        <v>353.8</v>
      </c>
      <c r="BP222" s="65">
        <f>BT222*$CF$172</f>
        <v>382.85178704460873</v>
      </c>
      <c r="BQ222" s="65">
        <f>BT222*$CG$172</f>
        <v>372.74537031556162</v>
      </c>
      <c r="BR222" s="65">
        <f>BT222*$CH$172</f>
        <v>375.37898206269648</v>
      </c>
      <c r="BS222" s="65">
        <f>BT222*4-SUM(BP222:BR222)</f>
        <v>379.9038605771334</v>
      </c>
      <c r="BT222" s="11">
        <f>VLOOKUP($B222,'Woodmac profile - Gas'!$B$402:$AL$428,MATCH('Production - Gas'!BT$178,'Woodmac profile - Gas'!$B$364:$AL$364),FALSE)</f>
        <v>377.72</v>
      </c>
      <c r="BU222" s="65">
        <f>BY222*$CF$172</f>
        <v>382.54771117858792</v>
      </c>
      <c r="BV222" s="65">
        <f>BY222*$CG$172</f>
        <v>372.44932136105911</v>
      </c>
      <c r="BW222" s="65">
        <f>BY222*$CH$172</f>
        <v>375.08084139072037</v>
      </c>
      <c r="BX222" s="65">
        <f>BY222*4-SUM(BU222:BW222)</f>
        <v>379.60212606963273</v>
      </c>
      <c r="BY222" s="11">
        <f>VLOOKUP($B222,'Woodmac profile - Gas'!$B$402:$AL$428,MATCH('Production - Gas'!BY$178,'Woodmac profile - Gas'!$B$364:$AL$364),FALSE)</f>
        <v>377.42</v>
      </c>
      <c r="BZ222" s="65">
        <f>CD222*$CF$172</f>
        <v>375.69586833091887</v>
      </c>
      <c r="CA222" s="65">
        <f>CD222*$CG$172</f>
        <v>365.77835158627039</v>
      </c>
      <c r="CB222" s="65">
        <f>CD222*$CH$172</f>
        <v>368.36273824885916</v>
      </c>
      <c r="CC222" s="65">
        <f>CD222*4-SUM(BZ222:CB222)</f>
        <v>372.80304183395174</v>
      </c>
      <c r="CD222" s="11">
        <f>VLOOKUP($B222,'Woodmac profile - Gas'!$B$402:$AL$428,MATCH('Production - Gas'!CD$178,'Woodmac profile - Gas'!$B$364:$AL$364),FALSE)</f>
        <v>370.66</v>
      </c>
      <c r="CE222" s="5"/>
      <c r="CF222" s="5"/>
      <c r="CG222" s="5"/>
      <c r="CH222" s="5"/>
      <c r="CI222" s="5"/>
    </row>
    <row r="223" spans="1:87">
      <c r="A223" s="39" t="s">
        <v>1935</v>
      </c>
      <c r="B223" s="39"/>
      <c r="C223" s="39">
        <f t="shared" ref="C223:AH223" si="171">SUM(C221:C222)</f>
        <v>0</v>
      </c>
      <c r="D223" s="39">
        <f t="shared" si="171"/>
        <v>0</v>
      </c>
      <c r="E223" s="39">
        <f t="shared" si="171"/>
        <v>283</v>
      </c>
      <c r="F223" s="39">
        <f t="shared" si="171"/>
        <v>309.81</v>
      </c>
      <c r="G223" s="39">
        <f t="shared" si="171"/>
        <v>385.5</v>
      </c>
      <c r="H223" s="83"/>
      <c r="I223" s="83"/>
      <c r="J223" s="83"/>
      <c r="K223" s="83"/>
      <c r="L223" s="39">
        <f t="shared" si="171"/>
        <v>374.18</v>
      </c>
      <c r="M223" s="80">
        <f t="shared" si="171"/>
        <v>399.30682058885833</v>
      </c>
      <c r="N223" s="80">
        <f t="shared" si="171"/>
        <v>372.41050624867614</v>
      </c>
      <c r="O223" s="80">
        <f t="shared" si="171"/>
        <v>390.70000000000005</v>
      </c>
      <c r="P223" s="80">
        <f t="shared" si="171"/>
        <v>400.38267316246561</v>
      </c>
      <c r="Q223" s="39">
        <f t="shared" si="171"/>
        <v>390.70000000000005</v>
      </c>
      <c r="R223" s="80">
        <f t="shared" si="171"/>
        <v>396.75909335541297</v>
      </c>
      <c r="S223" s="80">
        <f t="shared" si="171"/>
        <v>397.66700890084871</v>
      </c>
      <c r="T223" s="80">
        <f t="shared" si="171"/>
        <v>397.08924446284414</v>
      </c>
      <c r="U223" s="80">
        <f t="shared" si="171"/>
        <v>403.44465328089427</v>
      </c>
      <c r="V223" s="39">
        <f t="shared" si="171"/>
        <v>398.74</v>
      </c>
      <c r="W223" s="80">
        <f>SUM(W221:W222)</f>
        <v>514.10873125253352</v>
      </c>
      <c r="X223" s="80">
        <f>SUM(X221:X222)</f>
        <v>523.34856911228212</v>
      </c>
      <c r="Y223" s="80">
        <f>SUM(Y221:Y222)</f>
        <v>490.74959059586547</v>
      </c>
      <c r="Z223" s="80">
        <f>SUM(Z221:Z222)</f>
        <v>520.75310903931904</v>
      </c>
      <c r="AA223" s="39">
        <f t="shared" si="171"/>
        <v>512.24</v>
      </c>
      <c r="AB223" s="80">
        <f>SUM(AB221:AB222)</f>
        <v>853.33053634577595</v>
      </c>
      <c r="AC223" s="80">
        <f>SUM(AC221:AC222)</f>
        <v>843.1380235756385</v>
      </c>
      <c r="AD223" s="80">
        <f>SUM(AD221:AD222)</f>
        <v>872.21174852652257</v>
      </c>
      <c r="AE223" s="80">
        <f>SUM(AE221:AE222)</f>
        <v>833.27969155206301</v>
      </c>
      <c r="AF223" s="39">
        <f t="shared" si="171"/>
        <v>850.49</v>
      </c>
      <c r="AG223" s="80">
        <f t="shared" si="171"/>
        <v>831.84007494874481</v>
      </c>
      <c r="AH223" s="80">
        <f t="shared" si="171"/>
        <v>809.88138823540771</v>
      </c>
      <c r="AI223" s="80">
        <f t="shared" ref="AI223:CD223" si="172">SUM(AI221:AI222)</f>
        <v>815.6035602801926</v>
      </c>
      <c r="AJ223" s="80">
        <f t="shared" si="172"/>
        <v>825.43497653565487</v>
      </c>
      <c r="AK223" s="39">
        <f t="shared" si="172"/>
        <v>820.69</v>
      </c>
      <c r="AL223" s="80">
        <f t="shared" si="172"/>
        <v>766.15968788824864</v>
      </c>
      <c r="AM223" s="80">
        <f t="shared" si="172"/>
        <v>745.93481406287685</v>
      </c>
      <c r="AN223" s="80">
        <f t="shared" si="172"/>
        <v>751.2051751333571</v>
      </c>
      <c r="AO223" s="80">
        <f t="shared" si="172"/>
        <v>760.26032291551746</v>
      </c>
      <c r="AP223" s="39">
        <f t="shared" si="172"/>
        <v>755.8900000000001</v>
      </c>
      <c r="AQ223" s="80">
        <f t="shared" si="172"/>
        <v>762.32833197638638</v>
      </c>
      <c r="AR223" s="80">
        <f t="shared" si="172"/>
        <v>742.2045972361459</v>
      </c>
      <c r="AS223" s="80">
        <f t="shared" si="172"/>
        <v>747.44860266645833</v>
      </c>
      <c r="AT223" s="80">
        <f t="shared" si="172"/>
        <v>756.45846812100945</v>
      </c>
      <c r="AU223" s="39">
        <f t="shared" si="172"/>
        <v>752.11</v>
      </c>
      <c r="AV223" s="80">
        <f t="shared" si="172"/>
        <v>762.58172853140377</v>
      </c>
      <c r="AW223" s="80">
        <f t="shared" si="172"/>
        <v>742.4513046982313</v>
      </c>
      <c r="AX223" s="80">
        <f t="shared" si="172"/>
        <v>747.69705322643836</v>
      </c>
      <c r="AY223" s="80">
        <f t="shared" si="172"/>
        <v>756.70991354392663</v>
      </c>
      <c r="AZ223" s="39">
        <f>SUM(AZ221:AZ222)</f>
        <v>752.36</v>
      </c>
      <c r="BA223" s="80">
        <f t="shared" si="172"/>
        <v>791.49934338998332</v>
      </c>
      <c r="BB223" s="80">
        <f t="shared" si="172"/>
        <v>770.60556027141502</v>
      </c>
      <c r="BC223" s="80">
        <f t="shared" si="172"/>
        <v>776.05023113136451</v>
      </c>
      <c r="BD223" s="80">
        <f t="shared" si="172"/>
        <v>785.40486520723721</v>
      </c>
      <c r="BE223" s="39">
        <f t="shared" si="172"/>
        <v>780.89</v>
      </c>
      <c r="BF223" s="80">
        <f t="shared" si="172"/>
        <v>861.37597740156684</v>
      </c>
      <c r="BG223" s="80">
        <f t="shared" si="172"/>
        <v>838.63761001607986</v>
      </c>
      <c r="BH223" s="80">
        <f t="shared" si="172"/>
        <v>844.56295755147016</v>
      </c>
      <c r="BI223" s="80">
        <f t="shared" si="172"/>
        <v>854.7434550308833</v>
      </c>
      <c r="BJ223" s="39">
        <f t="shared" si="172"/>
        <v>849.83</v>
      </c>
      <c r="BK223" s="80">
        <f t="shared" si="172"/>
        <v>804.40229597146663</v>
      </c>
      <c r="BL223" s="80">
        <f t="shared" si="172"/>
        <v>783.16790424080273</v>
      </c>
      <c r="BM223" s="80">
        <f t="shared" si="172"/>
        <v>788.70133364554999</v>
      </c>
      <c r="BN223" s="80">
        <f t="shared" si="172"/>
        <v>798.20846614218067</v>
      </c>
      <c r="BO223" s="39">
        <f t="shared" si="172"/>
        <v>793.62000000000012</v>
      </c>
      <c r="BP223" s="80">
        <f t="shared" si="172"/>
        <v>828.74863697753335</v>
      </c>
      <c r="BQ223" s="80">
        <f t="shared" si="172"/>
        <v>806.87155719796624</v>
      </c>
      <c r="BR223" s="80">
        <f t="shared" si="172"/>
        <v>812.57246344843566</v>
      </c>
      <c r="BS223" s="80">
        <f t="shared" si="172"/>
        <v>822.36734237606515</v>
      </c>
      <c r="BT223" s="39">
        <f t="shared" si="172"/>
        <v>817.6400000000001</v>
      </c>
      <c r="BU223" s="80">
        <f t="shared" si="172"/>
        <v>828.44456111151248</v>
      </c>
      <c r="BV223" s="80">
        <f t="shared" si="172"/>
        <v>806.57550824346367</v>
      </c>
      <c r="BW223" s="80">
        <f t="shared" si="172"/>
        <v>812.2743227764596</v>
      </c>
      <c r="BX223" s="80">
        <f t="shared" si="172"/>
        <v>822.06560786856448</v>
      </c>
      <c r="BY223" s="39">
        <f t="shared" si="172"/>
        <v>817.34</v>
      </c>
      <c r="BZ223" s="80">
        <f t="shared" si="172"/>
        <v>801.96968904330015</v>
      </c>
      <c r="CA223" s="80">
        <f t="shared" si="172"/>
        <v>780.79951260478299</v>
      </c>
      <c r="CB223" s="80">
        <f t="shared" si="172"/>
        <v>786.31620826974131</v>
      </c>
      <c r="CC223" s="80">
        <f t="shared" si="172"/>
        <v>795.79459008217577</v>
      </c>
      <c r="CD223" s="39">
        <f t="shared" si="172"/>
        <v>791.22</v>
      </c>
      <c r="CE223" s="5"/>
      <c r="CF223" s="5"/>
      <c r="CG223" s="5"/>
      <c r="CH223" s="5"/>
      <c r="CI223" s="5"/>
    </row>
    <row r="224" spans="1:87">
      <c r="A224" s="39"/>
      <c r="B224" s="39"/>
      <c r="C224" s="39"/>
      <c r="D224" s="39"/>
      <c r="E224" s="39"/>
      <c r="F224" s="39"/>
      <c r="G224" s="39"/>
      <c r="H224" s="83"/>
      <c r="I224" s="83"/>
      <c r="J224" s="83"/>
      <c r="K224" s="83"/>
      <c r="L224" s="39"/>
      <c r="M224" s="80"/>
      <c r="N224" s="80"/>
      <c r="O224" s="80"/>
      <c r="P224" s="80"/>
      <c r="Q224" s="39"/>
      <c r="R224" s="80"/>
      <c r="S224" s="80"/>
      <c r="T224" s="80"/>
      <c r="U224" s="80"/>
      <c r="V224" s="39"/>
      <c r="W224" s="80"/>
      <c r="X224" s="80"/>
      <c r="Y224" s="80"/>
      <c r="Z224" s="80"/>
      <c r="AA224" s="39"/>
      <c r="AB224" s="80"/>
      <c r="AC224" s="80"/>
      <c r="AD224" s="80"/>
      <c r="AE224" s="80"/>
      <c r="AF224" s="39"/>
      <c r="AG224" s="80"/>
      <c r="AH224" s="80"/>
      <c r="AI224" s="80"/>
      <c r="AJ224" s="80"/>
      <c r="AK224" s="39"/>
      <c r="AL224" s="80"/>
      <c r="AM224" s="80"/>
      <c r="AN224" s="80"/>
      <c r="AO224" s="80"/>
      <c r="AP224" s="39"/>
      <c r="AQ224" s="80"/>
      <c r="AR224" s="80"/>
      <c r="AS224" s="80"/>
      <c r="AT224" s="80"/>
      <c r="AU224" s="39"/>
      <c r="AV224" s="80"/>
      <c r="AW224" s="80"/>
      <c r="AX224" s="80"/>
      <c r="AY224" s="80"/>
      <c r="AZ224" s="39"/>
      <c r="BA224" s="80"/>
      <c r="BB224" s="80"/>
      <c r="BC224" s="80"/>
      <c r="BD224" s="80"/>
      <c r="BE224" s="39"/>
      <c r="BF224" s="80"/>
      <c r="BG224" s="80"/>
      <c r="BH224" s="80"/>
      <c r="BI224" s="80"/>
      <c r="BJ224" s="39"/>
      <c r="BK224" s="80"/>
      <c r="BL224" s="80"/>
      <c r="BM224" s="80"/>
      <c r="BN224" s="80"/>
      <c r="BO224" s="39"/>
      <c r="BP224" s="80"/>
      <c r="BQ224" s="80"/>
      <c r="BR224" s="80"/>
      <c r="BS224" s="80"/>
      <c r="BT224" s="39"/>
      <c r="BU224" s="80"/>
      <c r="BV224" s="80"/>
      <c r="BW224" s="80"/>
      <c r="BX224" s="80"/>
      <c r="BY224" s="39"/>
      <c r="BZ224" s="80"/>
      <c r="CA224" s="80"/>
      <c r="CB224" s="80"/>
      <c r="CC224" s="80"/>
      <c r="CD224" s="39"/>
      <c r="CE224" s="5"/>
      <c r="CF224" s="5"/>
      <c r="CG224" s="5"/>
      <c r="CH224" s="5"/>
      <c r="CI224" s="5"/>
    </row>
    <row r="225" spans="1:87">
      <c r="A225" s="46" t="s">
        <v>2096</v>
      </c>
      <c r="B225" s="46"/>
      <c r="C225" s="46">
        <f t="shared" ref="C225:AH225" si="173">C183+C188+C197+C203+C218+C223</f>
        <v>0</v>
      </c>
      <c r="D225" s="46">
        <f t="shared" si="173"/>
        <v>0</v>
      </c>
      <c r="E225" s="46">
        <f t="shared" si="173"/>
        <v>7684.75</v>
      </c>
      <c r="F225" s="46">
        <f t="shared" si="173"/>
        <v>6919.14</v>
      </c>
      <c r="G225" s="46">
        <f t="shared" si="173"/>
        <v>6766.43</v>
      </c>
      <c r="H225" s="84"/>
      <c r="I225" s="84"/>
      <c r="J225" s="84"/>
      <c r="K225" s="84"/>
      <c r="L225" s="46">
        <f t="shared" si="173"/>
        <v>6566.6900000000005</v>
      </c>
      <c r="M225" s="81">
        <f t="shared" si="173"/>
        <v>6764.9170437444664</v>
      </c>
      <c r="N225" s="81">
        <f t="shared" si="173"/>
        <v>6317.9191187010592</v>
      </c>
      <c r="O225" s="81">
        <f t="shared" si="173"/>
        <v>6341.342256587779</v>
      </c>
      <c r="P225" s="81">
        <f t="shared" si="173"/>
        <v>6718.4615809666939</v>
      </c>
      <c r="Q225" s="46">
        <f t="shared" si="173"/>
        <v>6535.6599999999989</v>
      </c>
      <c r="R225" s="81">
        <f t="shared" si="173"/>
        <v>6748.1301415621847</v>
      </c>
      <c r="S225" s="81">
        <f t="shared" si="173"/>
        <v>6474.5943482619368</v>
      </c>
      <c r="T225" s="81">
        <f t="shared" si="173"/>
        <v>6188.8123338215491</v>
      </c>
      <c r="U225" s="81">
        <f t="shared" si="173"/>
        <v>6757.2631763543304</v>
      </c>
      <c r="V225" s="46">
        <f t="shared" si="173"/>
        <v>6542.1999999999989</v>
      </c>
      <c r="W225" s="81">
        <f t="shared" si="173"/>
        <v>6800.3549649711968</v>
      </c>
      <c r="X225" s="81">
        <f t="shared" si="173"/>
        <v>6673.5536713538186</v>
      </c>
      <c r="Y225" s="81">
        <f t="shared" si="173"/>
        <v>6203.9806316536406</v>
      </c>
      <c r="Z225" s="81">
        <f t="shared" si="173"/>
        <v>6562.5507320213437</v>
      </c>
      <c r="AA225" s="46">
        <f t="shared" si="173"/>
        <v>6560.11</v>
      </c>
      <c r="AB225" s="81">
        <f t="shared" si="173"/>
        <v>6834.997673141067</v>
      </c>
      <c r="AC225" s="81">
        <f t="shared" si="173"/>
        <v>6753.2438764886701</v>
      </c>
      <c r="AD225" s="81">
        <f t="shared" si="173"/>
        <v>6684.6223210369571</v>
      </c>
      <c r="AE225" s="81">
        <f t="shared" si="173"/>
        <v>6370.6161293333043</v>
      </c>
      <c r="AF225" s="46">
        <f t="shared" si="173"/>
        <v>6660.87</v>
      </c>
      <c r="AG225" s="81">
        <f t="shared" si="173"/>
        <v>6014.972740175901</v>
      </c>
      <c r="AH225" s="81">
        <f t="shared" si="173"/>
        <v>5848.3126131010467</v>
      </c>
      <c r="AI225" s="81">
        <f t="shared" ref="AI225:BN225" si="174">AI183+AI188+AI197+AI203+AI218+AI223</f>
        <v>5746.7137019061392</v>
      </c>
      <c r="AJ225" s="81">
        <f t="shared" si="174"/>
        <v>5867.0809448169139</v>
      </c>
      <c r="AK225" s="46">
        <f t="shared" si="174"/>
        <v>5869.27</v>
      </c>
      <c r="AL225" s="81">
        <f t="shared" si="174"/>
        <v>5576.4655979895178</v>
      </c>
      <c r="AM225" s="81">
        <f t="shared" si="174"/>
        <v>5444.5010235592617</v>
      </c>
      <c r="AN225" s="81">
        <f t="shared" si="174"/>
        <v>5399.528214238032</v>
      </c>
      <c r="AO225" s="81">
        <f t="shared" si="174"/>
        <v>5475.1451642131915</v>
      </c>
      <c r="AP225" s="46">
        <f t="shared" si="174"/>
        <v>5473.9100000000008</v>
      </c>
      <c r="AQ225" s="81">
        <f t="shared" si="174"/>
        <v>5528.6832976719797</v>
      </c>
      <c r="AR225" s="81">
        <f t="shared" si="174"/>
        <v>5391.0466591255117</v>
      </c>
      <c r="AS225" s="81">
        <f t="shared" si="174"/>
        <v>5326.2631020941335</v>
      </c>
      <c r="AT225" s="81">
        <f t="shared" si="174"/>
        <v>5413.6469411083744</v>
      </c>
      <c r="AU225" s="46">
        <f t="shared" si="174"/>
        <v>5414.91</v>
      </c>
      <c r="AV225" s="81">
        <f t="shared" si="174"/>
        <v>5384.4378492353153</v>
      </c>
      <c r="AW225" s="81">
        <f t="shared" si="174"/>
        <v>5249.4977623404384</v>
      </c>
      <c r="AX225" s="81">
        <f t="shared" si="174"/>
        <v>5182.6660296442278</v>
      </c>
      <c r="AY225" s="81">
        <f t="shared" si="174"/>
        <v>5269.7183587800173</v>
      </c>
      <c r="AZ225" s="46">
        <f>AZ183+AZ188+AZ197+AZ203+AZ218+AZ223</f>
        <v>5271.58</v>
      </c>
      <c r="BA225" s="81">
        <f t="shared" si="174"/>
        <v>5061.1379401327877</v>
      </c>
      <c r="BB225" s="81">
        <f t="shared" si="174"/>
        <v>4918.0992402774546</v>
      </c>
      <c r="BC225" s="81">
        <f t="shared" si="174"/>
        <v>4829.9240127664516</v>
      </c>
      <c r="BD225" s="81">
        <f t="shared" si="174"/>
        <v>4934.6788068233072</v>
      </c>
      <c r="BE225" s="46">
        <f t="shared" si="174"/>
        <v>4935.96</v>
      </c>
      <c r="BF225" s="81">
        <f t="shared" si="174"/>
        <v>4868.9613941103635</v>
      </c>
      <c r="BG225" s="81">
        <f t="shared" si="174"/>
        <v>4738.0107593754319</v>
      </c>
      <c r="BH225" s="81">
        <f t="shared" si="174"/>
        <v>4662.5763593114862</v>
      </c>
      <c r="BI225" s="81">
        <f t="shared" si="174"/>
        <v>4754.2314872027182</v>
      </c>
      <c r="BJ225" s="46">
        <f t="shared" si="174"/>
        <v>4755.9449999999997</v>
      </c>
      <c r="BK225" s="81">
        <f t="shared" si="174"/>
        <v>5360.4656106094762</v>
      </c>
      <c r="BL225" s="81">
        <f t="shared" si="174"/>
        <v>5219.1868197399999</v>
      </c>
      <c r="BM225" s="81">
        <f t="shared" si="174"/>
        <v>5154.8805232581572</v>
      </c>
      <c r="BN225" s="81">
        <f t="shared" si="174"/>
        <v>5247.5470463923684</v>
      </c>
      <c r="BO225" s="46">
        <f t="shared" ref="BO225:CD225" si="175">BO183+BO188+BO197+BO203+BO218+BO223</f>
        <v>5245.5199999999995</v>
      </c>
      <c r="BP225" s="81">
        <f t="shared" si="175"/>
        <v>6271.3890104755292</v>
      </c>
      <c r="BQ225" s="81">
        <f t="shared" si="175"/>
        <v>6109.6075941706831</v>
      </c>
      <c r="BR225" s="81">
        <f t="shared" si="175"/>
        <v>6059.2907680474964</v>
      </c>
      <c r="BS225" s="81">
        <f t="shared" si="175"/>
        <v>6157.0726273062901</v>
      </c>
      <c r="BT225" s="46">
        <f t="shared" si="175"/>
        <v>6149.34</v>
      </c>
      <c r="BU225" s="81">
        <f t="shared" si="175"/>
        <v>7070.5612005015219</v>
      </c>
      <c r="BV225" s="81">
        <f t="shared" si="175"/>
        <v>6884.7090806024326</v>
      </c>
      <c r="BW225" s="81">
        <f t="shared" si="175"/>
        <v>6823.7039361581883</v>
      </c>
      <c r="BX225" s="81">
        <f t="shared" si="175"/>
        <v>6938.5057827378605</v>
      </c>
      <c r="BY225" s="46">
        <f t="shared" si="175"/>
        <v>6929.3700000000008</v>
      </c>
      <c r="BZ225" s="81">
        <f t="shared" si="175"/>
        <v>7707.0499955336763</v>
      </c>
      <c r="CA225" s="81">
        <f t="shared" si="175"/>
        <v>7492.6870589668088</v>
      </c>
      <c r="CB225" s="81">
        <f t="shared" si="175"/>
        <v>7405.9427147333627</v>
      </c>
      <c r="CC225" s="81">
        <f t="shared" si="175"/>
        <v>7548.2802307661532</v>
      </c>
      <c r="CD225" s="46">
        <f t="shared" si="175"/>
        <v>7538.4900000000007</v>
      </c>
      <c r="CE225" s="5"/>
      <c r="CF225" s="5"/>
      <c r="CG225" s="5"/>
      <c r="CH225" s="5"/>
      <c r="CI225" s="5"/>
    </row>
    <row r="226" spans="1:87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49"/>
      <c r="AM226" s="49"/>
      <c r="AN226" s="49"/>
      <c r="AO226" s="49"/>
      <c r="AP226" s="49"/>
      <c r="AQ226" s="49"/>
      <c r="AR226" s="49"/>
      <c r="AS226" s="49"/>
      <c r="AT226" s="49"/>
      <c r="AU226" s="49"/>
      <c r="AV226" s="49"/>
      <c r="AW226" s="49"/>
      <c r="AX226" s="49"/>
      <c r="AY226" s="49"/>
      <c r="AZ226" s="49"/>
      <c r="BA226" s="49"/>
      <c r="BB226" s="49"/>
      <c r="BC226" s="49"/>
      <c r="BD226" s="49"/>
      <c r="BE226" s="49"/>
      <c r="BF226" s="49"/>
      <c r="BG226" s="49"/>
      <c r="BH226" s="49"/>
      <c r="BI226" s="49"/>
      <c r="BJ226" s="49"/>
      <c r="BK226" s="49"/>
      <c r="BL226" s="49"/>
      <c r="BM226" s="49"/>
      <c r="BN226" s="49"/>
      <c r="BO226" s="49"/>
      <c r="BP226" s="49"/>
      <c r="BQ226" s="49"/>
      <c r="BR226" s="49"/>
      <c r="BS226" s="49"/>
      <c r="BT226" s="49"/>
      <c r="BU226" s="49"/>
      <c r="BV226" s="49"/>
      <c r="BW226" s="49"/>
      <c r="BX226" s="49"/>
      <c r="BY226" s="49"/>
      <c r="BZ226" s="49"/>
      <c r="CA226" s="49"/>
      <c r="CB226" s="49"/>
      <c r="CC226" s="49"/>
      <c r="CD226" s="49"/>
      <c r="CE226" s="49"/>
      <c r="CF226" s="49"/>
      <c r="CG226" s="5"/>
      <c r="CH226" s="5"/>
      <c r="CI226" s="5"/>
    </row>
    <row r="227" spans="1:87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125"/>
      <c r="AM227" s="125"/>
      <c r="AN227" s="125"/>
      <c r="AO227" s="125"/>
      <c r="AP227" s="125"/>
      <c r="AQ227" s="125"/>
      <c r="AR227" s="125"/>
      <c r="AS227" s="125"/>
      <c r="AT227" s="125"/>
      <c r="AU227" s="125"/>
      <c r="AV227" s="125"/>
      <c r="AW227" s="125"/>
      <c r="AX227" s="125"/>
      <c r="AY227" s="125"/>
      <c r="AZ227" s="125"/>
      <c r="BA227" s="125"/>
      <c r="BB227" s="125"/>
      <c r="BC227" s="125"/>
      <c r="BD227" s="125"/>
      <c r="BE227" s="125"/>
      <c r="BF227" s="125"/>
      <c r="BG227" s="125"/>
      <c r="BH227" s="125"/>
      <c r="BI227" s="125"/>
      <c r="BJ227" s="125"/>
      <c r="BK227" s="125"/>
      <c r="BL227" s="125"/>
      <c r="BM227" s="125"/>
      <c r="BN227" s="125"/>
      <c r="BO227" s="125"/>
      <c r="BP227" s="125"/>
      <c r="BQ227" s="125"/>
      <c r="BR227" s="125"/>
      <c r="BS227" s="125"/>
      <c r="BT227" s="125"/>
      <c r="BU227" s="125"/>
      <c r="BV227" s="125"/>
      <c r="BW227" s="125"/>
      <c r="BX227" s="125"/>
      <c r="BY227" s="125"/>
      <c r="BZ227" s="125"/>
      <c r="CA227" s="125"/>
      <c r="CB227" s="125"/>
      <c r="CC227" s="125"/>
      <c r="CD227" s="125"/>
      <c r="CE227" s="5"/>
      <c r="CF227" s="5"/>
      <c r="CG227" s="5"/>
      <c r="CH227" s="5"/>
      <c r="CI227" s="5"/>
    </row>
    <row r="228" spans="1:87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</row>
    <row r="229" spans="1:87" ht="15.75">
      <c r="A229" s="42" t="s">
        <v>2661</v>
      </c>
      <c r="B229" s="7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BT229" s="8"/>
      <c r="BU229" s="8"/>
      <c r="BV229" s="8"/>
      <c r="BW229" s="8"/>
      <c r="BX229" s="8"/>
      <c r="BY229" s="8"/>
      <c r="BZ229" s="8"/>
      <c r="CA229" s="8"/>
      <c r="CB229" s="8"/>
      <c r="CC229" s="8"/>
      <c r="CD229" s="8"/>
      <c r="CE229" s="5"/>
      <c r="CF229" s="5"/>
      <c r="CG229" s="5"/>
      <c r="CH229" s="5"/>
      <c r="CI229" s="5"/>
    </row>
    <row r="230" spans="1:87">
      <c r="A230" s="5"/>
      <c r="B230" s="4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</row>
    <row r="231" spans="1:87">
      <c r="A231" s="24" t="s">
        <v>1960</v>
      </c>
      <c r="B231" s="4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</row>
    <row r="232" spans="1:87">
      <c r="A232" s="10"/>
      <c r="B232" s="10"/>
      <c r="C232" s="31">
        <v>2001</v>
      </c>
      <c r="D232" s="32">
        <v>2002</v>
      </c>
      <c r="E232" s="32">
        <v>2003</v>
      </c>
      <c r="F232" s="32">
        <v>2004</v>
      </c>
      <c r="G232" s="31">
        <v>2005</v>
      </c>
      <c r="H232" s="33" t="s">
        <v>714</v>
      </c>
      <c r="I232" s="33" t="s">
        <v>715</v>
      </c>
      <c r="J232" s="33" t="s">
        <v>716</v>
      </c>
      <c r="K232" s="33" t="s">
        <v>717</v>
      </c>
      <c r="L232" s="31">
        <v>2006</v>
      </c>
      <c r="M232" s="33" t="s">
        <v>718</v>
      </c>
      <c r="N232" s="33" t="s">
        <v>719</v>
      </c>
      <c r="O232" s="33" t="s">
        <v>1970</v>
      </c>
      <c r="P232" s="33" t="s">
        <v>1971</v>
      </c>
      <c r="Q232" s="31">
        <v>2007</v>
      </c>
      <c r="R232" s="33" t="s">
        <v>1972</v>
      </c>
      <c r="S232" s="33" t="s">
        <v>1973</v>
      </c>
      <c r="T232" s="33" t="s">
        <v>1974</v>
      </c>
      <c r="U232" s="33" t="s">
        <v>1975</v>
      </c>
      <c r="V232" s="31">
        <v>2008</v>
      </c>
      <c r="W232" s="33" t="s">
        <v>1976</v>
      </c>
      <c r="X232" s="33" t="s">
        <v>1977</v>
      </c>
      <c r="Y232" s="33" t="s">
        <v>1978</v>
      </c>
      <c r="Z232" s="33" t="s">
        <v>1979</v>
      </c>
      <c r="AA232" s="31">
        <v>2009</v>
      </c>
      <c r="AB232" s="33" t="s">
        <v>1980</v>
      </c>
      <c r="AC232" s="33" t="s">
        <v>1981</v>
      </c>
      <c r="AD232" s="33" t="s">
        <v>1982</v>
      </c>
      <c r="AE232" s="33" t="s">
        <v>2392</v>
      </c>
      <c r="AF232" s="31">
        <v>2010</v>
      </c>
      <c r="AG232" s="33" t="s">
        <v>2393</v>
      </c>
      <c r="AH232" s="33" t="s">
        <v>2394</v>
      </c>
      <c r="AI232" s="33" t="s">
        <v>2395</v>
      </c>
      <c r="AJ232" s="33" t="s">
        <v>2396</v>
      </c>
      <c r="AK232" s="31">
        <v>2011</v>
      </c>
      <c r="AL232" s="33" t="s">
        <v>2397</v>
      </c>
      <c r="AM232" s="33" t="s">
        <v>2398</v>
      </c>
      <c r="AN232" s="33" t="s">
        <v>2399</v>
      </c>
      <c r="AO232" s="368" t="s">
        <v>2400</v>
      </c>
      <c r="AP232" s="369">
        <v>2012</v>
      </c>
      <c r="AQ232" s="368" t="s">
        <v>2401</v>
      </c>
      <c r="AR232" s="368" t="s">
        <v>2402</v>
      </c>
      <c r="AS232" s="368" t="s">
        <v>2403</v>
      </c>
      <c r="AT232" s="368" t="s">
        <v>2404</v>
      </c>
      <c r="AU232" s="369">
        <v>2013</v>
      </c>
      <c r="AV232" s="368" t="s">
        <v>2405</v>
      </c>
      <c r="AW232" s="368" t="s">
        <v>2406</v>
      </c>
      <c r="AX232" s="368" t="s">
        <v>2407</v>
      </c>
      <c r="AY232" s="368" t="s">
        <v>2408</v>
      </c>
      <c r="AZ232" s="369">
        <v>2014</v>
      </c>
      <c r="BA232" s="368" t="s">
        <v>2409</v>
      </c>
      <c r="BB232" s="368" t="s">
        <v>2410</v>
      </c>
      <c r="BC232" s="368" t="s">
        <v>2411</v>
      </c>
      <c r="BD232" s="368" t="s">
        <v>2412</v>
      </c>
      <c r="BE232" s="31">
        <v>2015</v>
      </c>
      <c r="BF232" s="368" t="s">
        <v>2413</v>
      </c>
      <c r="BG232" s="368" t="s">
        <v>2414</v>
      </c>
      <c r="BH232" s="368" t="s">
        <v>2415</v>
      </c>
      <c r="BI232" s="368" t="s">
        <v>2416</v>
      </c>
      <c r="BJ232" s="31">
        <v>2016</v>
      </c>
      <c r="BK232" s="368" t="s">
        <v>2417</v>
      </c>
      <c r="BL232" s="368" t="s">
        <v>2418</v>
      </c>
      <c r="BM232" s="368" t="s">
        <v>2419</v>
      </c>
      <c r="BN232" s="363" t="s">
        <v>2420</v>
      </c>
      <c r="BO232" s="31">
        <v>2017</v>
      </c>
      <c r="BP232" s="363" t="s">
        <v>2244</v>
      </c>
      <c r="BQ232" s="363" t="s">
        <v>2245</v>
      </c>
      <c r="BR232" s="363" t="s">
        <v>2508</v>
      </c>
      <c r="BS232" s="363" t="s">
        <v>2509</v>
      </c>
      <c r="BT232" s="364">
        <v>2018</v>
      </c>
      <c r="BU232" s="363" t="s">
        <v>2510</v>
      </c>
      <c r="BV232" s="363" t="s">
        <v>2511</v>
      </c>
      <c r="BW232" s="363" t="s">
        <v>3125</v>
      </c>
      <c r="BX232" s="363" t="s">
        <v>1405</v>
      </c>
      <c r="BY232" s="364">
        <v>2019</v>
      </c>
      <c r="BZ232" s="363" t="s">
        <v>1406</v>
      </c>
      <c r="CA232" s="363" t="s">
        <v>1407</v>
      </c>
      <c r="CB232" s="363" t="s">
        <v>1408</v>
      </c>
      <c r="CC232" s="363" t="s">
        <v>1409</v>
      </c>
      <c r="CD232" s="364">
        <v>2020</v>
      </c>
      <c r="CE232" s="5"/>
      <c r="CF232" s="5"/>
      <c r="CG232" s="5"/>
      <c r="CH232" s="5"/>
      <c r="CI232" s="5"/>
    </row>
    <row r="233" spans="1:87">
      <c r="A233" s="39" t="s">
        <v>305</v>
      </c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11"/>
      <c r="AT233" s="11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  <c r="BL233" s="11"/>
      <c r="BM233" s="11"/>
      <c r="BN233" s="11"/>
      <c r="BO233" s="11"/>
      <c r="BP233" s="11"/>
      <c r="BQ233" s="11"/>
      <c r="BR233" s="11"/>
      <c r="BS233" s="11"/>
      <c r="BT233" s="11"/>
      <c r="BU233" s="11"/>
      <c r="BV233" s="11"/>
      <c r="BW233" s="11"/>
      <c r="BX233" s="11"/>
      <c r="BY233" s="11"/>
      <c r="BZ233" s="11"/>
      <c r="CA233" s="11"/>
      <c r="CB233" s="11"/>
      <c r="CC233" s="11"/>
      <c r="CD233" s="11"/>
      <c r="CE233" s="5"/>
      <c r="CF233" s="5"/>
      <c r="CG233" s="5"/>
      <c r="CH233" s="5"/>
      <c r="CI233" s="5"/>
    </row>
    <row r="234" spans="1:87">
      <c r="A234" s="11"/>
      <c r="B234" s="11" t="s">
        <v>1281</v>
      </c>
      <c r="C234" s="11"/>
      <c r="D234" s="11"/>
      <c r="E234" s="11">
        <f>VLOOKUP($B234,'Woodmac profile - Gas'!$B$451:$AL$478,MATCH('Production - Gas'!E$232,'Woodmac profile - Gas'!$B$364:$AL$364),FALSE)</f>
        <v>0</v>
      </c>
      <c r="F234" s="11">
        <f>VLOOKUP($B234,'Woodmac profile - Gas'!$B$452:$AL$478,MATCH('Production - Gas'!F$232,'Woodmac profile - Gas'!$B$364:$AL$364),FALSE)</f>
        <v>0</v>
      </c>
      <c r="G234" s="11">
        <f>VLOOKUP($B234,'Woodmac profile - Gas'!$B$452:$AL$478,MATCH('Production - Gas'!G$232,'Woodmac profile - Gas'!$B$364:$AL$364),FALSE)</f>
        <v>0</v>
      </c>
      <c r="H234" s="80">
        <f>G234+(L234-G234)/4</f>
        <v>0</v>
      </c>
      <c r="I234" s="80">
        <f>H234+(L234-G234)/2</f>
        <v>0</v>
      </c>
      <c r="J234" s="80">
        <f>I234+(L234-G234)/2</f>
        <v>0</v>
      </c>
      <c r="K234" s="80">
        <f>J234+(L234-G234)/2</f>
        <v>0</v>
      </c>
      <c r="L234" s="11">
        <f>VLOOKUP($B234,'Woodmac profile - Gas'!$B$452:$AL$478,MATCH('Production - Gas'!L$232,'Woodmac profile - Gas'!$B$364:$AL$364),FALSE)</f>
        <v>0</v>
      </c>
      <c r="M234" s="65">
        <f>$Q234*M$169</f>
        <v>0</v>
      </c>
      <c r="N234" s="65">
        <f t="shared" ref="N234:O236" si="176">$Q234*N$169</f>
        <v>0</v>
      </c>
      <c r="O234" s="65">
        <f t="shared" si="176"/>
        <v>0</v>
      </c>
      <c r="P234" s="65">
        <f>Q234*4-SUM(M234:O234)</f>
        <v>0</v>
      </c>
      <c r="Q234" s="11">
        <f>VLOOKUP($B234,'Woodmac profile - Gas'!$B$452:$AL$478,MATCH('Production - Gas'!Q$232,'Woodmac profile - Gas'!$B$364:$AL$364),FALSE)</f>
        <v>0</v>
      </c>
      <c r="R234" s="65">
        <f>V234*R$169</f>
        <v>0</v>
      </c>
      <c r="S234" s="65">
        <f>V234*S$169</f>
        <v>0</v>
      </c>
      <c r="T234" s="65">
        <f>V234*T$169</f>
        <v>0</v>
      </c>
      <c r="U234" s="65">
        <f>V234*4-SUM(R234:T234)</f>
        <v>0</v>
      </c>
      <c r="V234" s="11">
        <f>VLOOKUP($B234,'Woodmac profile - Gas'!$B$452:$AL$478,MATCH('Production - Gas'!V$232,'Woodmac profile - Gas'!$B$364:$AL$364),FALSE)</f>
        <v>0</v>
      </c>
      <c r="W234" s="65">
        <f>AA234*W$169</f>
        <v>0</v>
      </c>
      <c r="X234" s="65">
        <f>AA234*X$169</f>
        <v>0</v>
      </c>
      <c r="Y234" s="65">
        <f>AA234*Y$169</f>
        <v>0</v>
      </c>
      <c r="Z234" s="65">
        <f>AA234*4-SUM(W234:Y234)</f>
        <v>0</v>
      </c>
      <c r="AA234" s="11">
        <f>VLOOKUP($B234,'Woodmac profile - Gas'!$B$452:$AL$478,MATCH('Production - Gas'!AA$232,'Woodmac profile - Gas'!$B$364:$AL$364),FALSE)</f>
        <v>0</v>
      </c>
      <c r="AB234" s="65">
        <f>AF234*AB$169</f>
        <v>0</v>
      </c>
      <c r="AC234" s="65">
        <f>AF234*AC$169</f>
        <v>0</v>
      </c>
      <c r="AD234" s="65">
        <f>AF234*AD$169</f>
        <v>0</v>
      </c>
      <c r="AE234" s="65">
        <f>AF234*4-SUM(AB234:AD234)</f>
        <v>0</v>
      </c>
      <c r="AF234" s="11">
        <f>VLOOKUP($B234,'Woodmac profile - Gas'!$B$452:$AL$478,MATCH('Production - Gas'!AF$232,'Woodmac profile - Gas'!$B$364:$AL$364),FALSE)</f>
        <v>0</v>
      </c>
      <c r="AG234" s="65">
        <f>AK234*$CF$169</f>
        <v>0</v>
      </c>
      <c r="AH234" s="65">
        <f>AK234*$CG$169</f>
        <v>0</v>
      </c>
      <c r="AI234" s="65">
        <f>AK234*$CH$169</f>
        <v>0</v>
      </c>
      <c r="AJ234" s="65">
        <f>AK234*4-SUM(AG234:AI234)</f>
        <v>0</v>
      </c>
      <c r="AK234" s="11">
        <f>VLOOKUP($B234,'Woodmac profile - Gas'!$B$452:$AL$478,MATCH('Production - Gas'!AK$232,'Woodmac profile - Gas'!$B$364:$AL$364),FALSE)</f>
        <v>0</v>
      </c>
      <c r="AL234" s="65">
        <f>AP234*$CF$169</f>
        <v>0</v>
      </c>
      <c r="AM234" s="65">
        <f>AP234*$CG$169</f>
        <v>0</v>
      </c>
      <c r="AN234" s="65">
        <f>AP234*$CH$169</f>
        <v>0</v>
      </c>
      <c r="AO234" s="65">
        <f>AP234*4-SUM(AL234:AN234)</f>
        <v>0</v>
      </c>
      <c r="AP234" s="11">
        <f>VLOOKUP($B234,'Woodmac profile - Gas'!$B$452:$AL$478,MATCH('Production - Gas'!AP$232,'Woodmac profile - Gas'!$B$364:$AL$364),FALSE)</f>
        <v>0</v>
      </c>
      <c r="AQ234" s="65">
        <f>AU234*$CF$169</f>
        <v>0</v>
      </c>
      <c r="AR234" s="65">
        <f>AU234*$CG$169</f>
        <v>0</v>
      </c>
      <c r="AS234" s="65">
        <f>AU234*$CH$169</f>
        <v>0</v>
      </c>
      <c r="AT234" s="65">
        <f>AU234*4-SUM(AQ234:AS234)</f>
        <v>0</v>
      </c>
      <c r="AU234" s="11">
        <f>VLOOKUP($B234,'Woodmac profile - Gas'!$B$452:$AL$478,MATCH('Production - Gas'!AU$232,'Woodmac profile - Gas'!$B$364:$AL$364),FALSE)</f>
        <v>0</v>
      </c>
      <c r="AV234" s="65">
        <f>AZ234*$CF$169</f>
        <v>0</v>
      </c>
      <c r="AW234" s="65">
        <f>AZ234*$CG$169</f>
        <v>0</v>
      </c>
      <c r="AX234" s="65">
        <f>AZ234*$CH$169</f>
        <v>0</v>
      </c>
      <c r="AY234" s="65">
        <f>AZ234*4-SUM(AV234:AX234)</f>
        <v>0</v>
      </c>
      <c r="AZ234" s="11">
        <f>VLOOKUP($B234,'Woodmac profile - Gas'!$B$452:$AL$478,MATCH('Production - Gas'!AZ$232,'Woodmac profile - Gas'!$B$364:$AL$364),FALSE)</f>
        <v>0</v>
      </c>
      <c r="BA234" s="65">
        <f>BE234*$CF$169</f>
        <v>0</v>
      </c>
      <c r="BB234" s="65">
        <f>BE234*$CG$169</f>
        <v>0</v>
      </c>
      <c r="BC234" s="65">
        <f>BE234*$CH$169</f>
        <v>0</v>
      </c>
      <c r="BD234" s="65">
        <f>BE234*4-SUM(BA234:BC234)</f>
        <v>0</v>
      </c>
      <c r="BE234" s="11">
        <f>VLOOKUP($B234,'Woodmac profile - Gas'!$B$452:$AL$478,MATCH('Production - Gas'!BE$232,'Woodmac profile - Gas'!$B$364:$AL$364),FALSE)</f>
        <v>0</v>
      </c>
      <c r="BF234" s="65">
        <f>BJ234*$CF$169</f>
        <v>0</v>
      </c>
      <c r="BG234" s="65">
        <f>BJ234*$CG$169</f>
        <v>0</v>
      </c>
      <c r="BH234" s="65">
        <f>BJ234*$CH$169</f>
        <v>0</v>
      </c>
      <c r="BI234" s="65">
        <f>BJ234*4-SUM(BF234:BH234)</f>
        <v>0</v>
      </c>
      <c r="BJ234" s="11">
        <f>VLOOKUP($B234,'Woodmac profile - Gas'!$B$452:$AL$478,MATCH('Production - Gas'!BJ$232,'Woodmac profile - Gas'!$B$364:$AL$364),FALSE)</f>
        <v>0</v>
      </c>
      <c r="BK234" s="65">
        <f>BO234*$CF$169</f>
        <v>0</v>
      </c>
      <c r="BL234" s="65">
        <f>BO234*$CG$169</f>
        <v>0</v>
      </c>
      <c r="BM234" s="65">
        <f>BO234*$CH$169</f>
        <v>0</v>
      </c>
      <c r="BN234" s="65">
        <f>BO234*4-SUM(BK234:BM234)</f>
        <v>0</v>
      </c>
      <c r="BO234" s="11">
        <f>VLOOKUP($B234,'Woodmac profile - Gas'!$B$452:$AL$478,MATCH('Production - Gas'!BO$232,'Woodmac profile - Gas'!$B$364:$AL$364),FALSE)</f>
        <v>0</v>
      </c>
      <c r="BP234" s="65">
        <f>BT234*$CF$169</f>
        <v>0</v>
      </c>
      <c r="BQ234" s="65">
        <f>BT234*$CG$169</f>
        <v>0</v>
      </c>
      <c r="BR234" s="65">
        <f>BT234*$CH$169</f>
        <v>0</v>
      </c>
      <c r="BS234" s="65">
        <f>BT234*4-SUM(BP234:BR234)</f>
        <v>0</v>
      </c>
      <c r="BT234" s="11">
        <f>VLOOKUP($B234,'Woodmac profile - Gas'!$B$452:$AL$478,MATCH('Production - Gas'!BT$232,'Woodmac profile - Gas'!$B$364:$AL$364),FALSE)</f>
        <v>0</v>
      </c>
      <c r="BU234" s="65">
        <f>BY234*$CF$169</f>
        <v>0</v>
      </c>
      <c r="BV234" s="65">
        <f>BY234*$CG$169</f>
        <v>0</v>
      </c>
      <c r="BW234" s="65">
        <f>BY234*$CH$169</f>
        <v>0</v>
      </c>
      <c r="BX234" s="65">
        <f>BY234*4-SUM(BU234:BW234)</f>
        <v>0</v>
      </c>
      <c r="BY234" s="11">
        <f>VLOOKUP($B234,'Woodmac profile - Gas'!$B$452:$AL$478,MATCH('Production - Gas'!BY$232,'Woodmac profile - Gas'!$B$364:$AL$364),FALSE)</f>
        <v>0</v>
      </c>
      <c r="BZ234" s="65">
        <f>CD234*$CF$169</f>
        <v>0</v>
      </c>
      <c r="CA234" s="65">
        <f>CD234*$CG$169</f>
        <v>0</v>
      </c>
      <c r="CB234" s="65">
        <f>CD234*$CH$169</f>
        <v>0</v>
      </c>
      <c r="CC234" s="65">
        <f>CD234*4-SUM(BZ234:CB234)</f>
        <v>0</v>
      </c>
      <c r="CD234" s="11">
        <f>VLOOKUP($B234,'Woodmac profile - Gas'!$B$452:$AL$478,MATCH('Production - Gas'!CD$232,'Woodmac profile - Gas'!$B$364:$AL$364),FALSE)</f>
        <v>0</v>
      </c>
      <c r="CE234" s="5"/>
      <c r="CF234" s="5"/>
      <c r="CG234" s="5"/>
      <c r="CH234" s="5"/>
      <c r="CI234" s="5"/>
    </row>
    <row r="235" spans="1:87">
      <c r="A235" s="11"/>
      <c r="B235" s="11" t="s">
        <v>1745</v>
      </c>
      <c r="C235" s="11"/>
      <c r="D235" s="11"/>
      <c r="E235" s="11">
        <f>VLOOKUP($B235,'Woodmac profile - Gas'!$B$452:$AL$478,MATCH('Production - Gas'!E$232,'Woodmac profile - Gas'!$B$364:$AL$364),FALSE)</f>
        <v>0</v>
      </c>
      <c r="F235" s="11">
        <f>VLOOKUP($B235,'Woodmac profile - Gas'!$B$452:$AL$478,MATCH('Production - Gas'!F$232,'Woodmac profile - Gas'!$B$364:$AL$364),FALSE)</f>
        <v>0</v>
      </c>
      <c r="G235" s="11">
        <f>VLOOKUP($B235,'Woodmac profile - Gas'!$B$452:$AL$478,MATCH('Production - Gas'!G$232,'Woodmac profile - Gas'!$B$364:$AL$364),FALSE)</f>
        <v>0</v>
      </c>
      <c r="H235" s="80">
        <f>G235+(L235-G235)/4</f>
        <v>0</v>
      </c>
      <c r="I235" s="80">
        <f>H235+(L235-G235)/2</f>
        <v>0</v>
      </c>
      <c r="J235" s="80">
        <f>I235+(L235-G235)/2</f>
        <v>0</v>
      </c>
      <c r="K235" s="80">
        <f>J235+(L235-G235)/2</f>
        <v>0</v>
      </c>
      <c r="L235" s="11">
        <f>VLOOKUP($B235,'Woodmac profile - Gas'!$B$452:$AL$478,MATCH('Production - Gas'!L$232,'Woodmac profile - Gas'!$B$364:$AL$364),FALSE)</f>
        <v>0</v>
      </c>
      <c r="M235" s="65">
        <f>$Q235*M$169</f>
        <v>0</v>
      </c>
      <c r="N235" s="65">
        <f t="shared" si="176"/>
        <v>0</v>
      </c>
      <c r="O235" s="65">
        <f t="shared" si="176"/>
        <v>0</v>
      </c>
      <c r="P235" s="65">
        <f>Q235*4-SUM(M235:O235)</f>
        <v>0</v>
      </c>
      <c r="Q235" s="11">
        <f>VLOOKUP($B235,'Woodmac profile - Gas'!$B$452:$AL$478,MATCH('Production - Gas'!Q$232,'Woodmac profile - Gas'!$B$364:$AL$364),FALSE)</f>
        <v>0</v>
      </c>
      <c r="R235" s="65">
        <f>V235*R$169</f>
        <v>0</v>
      </c>
      <c r="S235" s="65">
        <f>V235*S$169</f>
        <v>0</v>
      </c>
      <c r="T235" s="65">
        <f>V235*T$169</f>
        <v>0</v>
      </c>
      <c r="U235" s="65">
        <f>V235*4-SUM(R235:T235)</f>
        <v>0</v>
      </c>
      <c r="V235" s="11">
        <f>VLOOKUP($B235,'Woodmac profile - Gas'!$B$452:$AL$478,MATCH('Production - Gas'!V$232,'Woodmac profile - Gas'!$B$364:$AL$364),FALSE)</f>
        <v>0</v>
      </c>
      <c r="W235" s="65">
        <f>AA235*W$169</f>
        <v>0</v>
      </c>
      <c r="X235" s="65">
        <f>AA235*X$169</f>
        <v>0</v>
      </c>
      <c r="Y235" s="65">
        <f>AA235*Y$169</f>
        <v>0</v>
      </c>
      <c r="Z235" s="65">
        <f>AA235*4-SUM(W235:Y235)</f>
        <v>0</v>
      </c>
      <c r="AA235" s="11">
        <f>VLOOKUP($B235,'Woodmac profile - Gas'!$B$452:$AL$478,MATCH('Production - Gas'!AA$232,'Woodmac profile - Gas'!$B$364:$AL$364),FALSE)</f>
        <v>0</v>
      </c>
      <c r="AB235" s="65">
        <f>AF235*AB$169</f>
        <v>0</v>
      </c>
      <c r="AC235" s="65">
        <f>AF235*AC$169</f>
        <v>0</v>
      </c>
      <c r="AD235" s="65">
        <f>AF235*AD$169</f>
        <v>0</v>
      </c>
      <c r="AE235" s="65">
        <f>AF235*4-SUM(AB235:AD235)</f>
        <v>0</v>
      </c>
      <c r="AF235" s="11">
        <f>VLOOKUP($B235,'Woodmac profile - Gas'!$B$452:$AL$478,MATCH('Production - Gas'!AF$232,'Woodmac profile - Gas'!$B$364:$AL$364),FALSE)</f>
        <v>0</v>
      </c>
      <c r="AG235" s="65">
        <f>AK235*$CF$169</f>
        <v>0</v>
      </c>
      <c r="AH235" s="65">
        <f>AK235*$CG$169</f>
        <v>0</v>
      </c>
      <c r="AI235" s="65">
        <f>AK235*$CH$169</f>
        <v>0</v>
      </c>
      <c r="AJ235" s="65">
        <f>AK235*4-SUM(AG235:AI235)</f>
        <v>0</v>
      </c>
      <c r="AK235" s="11">
        <f>VLOOKUP($B235,'Woodmac profile - Gas'!$B$452:$AL$478,MATCH('Production - Gas'!AK$232,'Woodmac profile - Gas'!$B$364:$AL$364),FALSE)</f>
        <v>0</v>
      </c>
      <c r="AL235" s="65">
        <f>AP235*$CF$169</f>
        <v>0</v>
      </c>
      <c r="AM235" s="65">
        <f>AP235*$CG$169</f>
        <v>0</v>
      </c>
      <c r="AN235" s="65">
        <f>AP235*$CH$169</f>
        <v>0</v>
      </c>
      <c r="AO235" s="65">
        <f>AP235*4-SUM(AL235:AN235)</f>
        <v>0</v>
      </c>
      <c r="AP235" s="11">
        <f>VLOOKUP($B235,'Woodmac profile - Gas'!$B$452:$AL$478,MATCH('Production - Gas'!AP$232,'Woodmac profile - Gas'!$B$364:$AL$364),FALSE)</f>
        <v>0</v>
      </c>
      <c r="AQ235" s="65">
        <f>AU235*$CF$169</f>
        <v>0</v>
      </c>
      <c r="AR235" s="65">
        <f>AU235*$CG$169</f>
        <v>0</v>
      </c>
      <c r="AS235" s="65">
        <f>AU235*$CH$169</f>
        <v>0</v>
      </c>
      <c r="AT235" s="65">
        <f>AU235*4-SUM(AQ235:AS235)</f>
        <v>0</v>
      </c>
      <c r="AU235" s="11">
        <f>VLOOKUP($B235,'Woodmac profile - Gas'!$B$452:$AL$478,MATCH('Production - Gas'!AU$232,'Woodmac profile - Gas'!$B$364:$AL$364),FALSE)</f>
        <v>0</v>
      </c>
      <c r="AV235" s="65">
        <f>AZ235*$CF$169</f>
        <v>0</v>
      </c>
      <c r="AW235" s="65">
        <f>AZ235*$CG$169</f>
        <v>0</v>
      </c>
      <c r="AX235" s="65">
        <f>AZ235*$CH$169</f>
        <v>0</v>
      </c>
      <c r="AY235" s="65">
        <f>AZ235*4-SUM(AV235:AX235)</f>
        <v>0</v>
      </c>
      <c r="AZ235" s="11">
        <f>VLOOKUP($B235,'Woodmac profile - Gas'!$B$452:$AL$478,MATCH('Production - Gas'!AZ$232,'Woodmac profile - Gas'!$B$364:$AL$364),FALSE)</f>
        <v>0</v>
      </c>
      <c r="BA235" s="65">
        <f>BE235*$CF$169</f>
        <v>0</v>
      </c>
      <c r="BB235" s="65">
        <f>BE235*$CG$169</f>
        <v>0</v>
      </c>
      <c r="BC235" s="65">
        <f>BE235*$CH$169</f>
        <v>0</v>
      </c>
      <c r="BD235" s="65">
        <f>BE235*4-SUM(BA235:BC235)</f>
        <v>0</v>
      </c>
      <c r="BE235" s="11">
        <f>VLOOKUP($B235,'Woodmac profile - Gas'!$B$452:$AL$478,MATCH('Production - Gas'!BE$232,'Woodmac profile - Gas'!$B$364:$AL$364),FALSE)</f>
        <v>0</v>
      </c>
      <c r="BF235" s="65">
        <f>BJ235*$CF$169</f>
        <v>0</v>
      </c>
      <c r="BG235" s="65">
        <f>BJ235*$CG$169</f>
        <v>0</v>
      </c>
      <c r="BH235" s="65">
        <f>BJ235*$CH$169</f>
        <v>0</v>
      </c>
      <c r="BI235" s="65">
        <f>BJ235*4-SUM(BF235:BH235)</f>
        <v>0</v>
      </c>
      <c r="BJ235" s="11">
        <f>VLOOKUP($B235,'Woodmac profile - Gas'!$B$452:$AL$478,MATCH('Production - Gas'!BJ$232,'Woodmac profile - Gas'!$B$364:$AL$364),FALSE)</f>
        <v>0</v>
      </c>
      <c r="BK235" s="65">
        <f>BO235*$CF$169</f>
        <v>72.556747921041406</v>
      </c>
      <c r="BL235" s="65">
        <f>BO235*$CG$169</f>
        <v>62.547190028835786</v>
      </c>
      <c r="BM235" s="65">
        <f>BO235*$CH$169</f>
        <v>44.476153712272712</v>
      </c>
      <c r="BN235" s="65">
        <f>BO235*4-SUM(BK235:BM235)</f>
        <v>58.511908337850059</v>
      </c>
      <c r="BO235" s="11">
        <f>VLOOKUP($B235,'Woodmac profile - Gas'!$B$452:$AL$478,MATCH('Production - Gas'!BO$232,'Woodmac profile - Gas'!$B$364:$AL$364),FALSE)</f>
        <v>59.522999999999996</v>
      </c>
      <c r="BP235" s="65">
        <f>BT235*$CF$169</f>
        <v>67.385877422560867</v>
      </c>
      <c r="BQ235" s="65">
        <f>BT235*$CG$169</f>
        <v>58.089666380795173</v>
      </c>
      <c r="BR235" s="65">
        <f>BT235*$CH$169</f>
        <v>41.306490824860099</v>
      </c>
      <c r="BS235" s="65">
        <f>BT235*4-SUM(BP235:BR235)</f>
        <v>54.341965371783857</v>
      </c>
      <c r="BT235" s="11">
        <f>VLOOKUP($B235,'Woodmac profile - Gas'!$B$452:$AL$478,MATCH('Production - Gas'!BT$232,'Woodmac profile - Gas'!$B$364:$AL$364),FALSE)</f>
        <v>55.280999999999999</v>
      </c>
      <c r="BU235" s="65">
        <f>BY235*$CF$169</f>
        <v>55.599657043068085</v>
      </c>
      <c r="BV235" s="65">
        <f>BY235*$CG$169</f>
        <v>47.929412690812939</v>
      </c>
      <c r="BW235" s="65">
        <f>BY235*$CH$169</f>
        <v>34.081721739901944</v>
      </c>
      <c r="BX235" s="65">
        <f>BY235*4-SUM(BU235:BW235)</f>
        <v>44.837208526217069</v>
      </c>
      <c r="BY235" s="11">
        <f>VLOOKUP($B235,'Woodmac profile - Gas'!$B$452:$AL$478,MATCH('Production - Gas'!BY$232,'Woodmac profile - Gas'!$B$364:$AL$364),FALSE)</f>
        <v>45.612000000000009</v>
      </c>
      <c r="BZ235" s="65">
        <f>CD235*$CF$169</f>
        <v>55.80444399350295</v>
      </c>
      <c r="CA235" s="65">
        <f>CD235*$CG$169</f>
        <v>48.10594828083434</v>
      </c>
      <c r="CB235" s="65">
        <f>CD235*$CH$169</f>
        <v>34.207252943363827</v>
      </c>
      <c r="CC235" s="65">
        <f>CD235*4-SUM(BZ235:CB235)</f>
        <v>45.00235478229888</v>
      </c>
      <c r="CD235" s="11">
        <f>VLOOKUP($B235,'Woodmac profile - Gas'!$B$452:$AL$478,MATCH('Production - Gas'!CD$232,'Woodmac profile - Gas'!$B$364:$AL$364),FALSE)</f>
        <v>45.78</v>
      </c>
      <c r="CE235" s="5"/>
      <c r="CF235" s="5"/>
      <c r="CG235" s="5"/>
      <c r="CH235" s="5"/>
      <c r="CI235" s="5"/>
    </row>
    <row r="236" spans="1:87">
      <c r="A236" s="11"/>
      <c r="B236" s="11" t="s">
        <v>139</v>
      </c>
      <c r="C236" s="11"/>
      <c r="D236" s="11"/>
      <c r="E236" s="11">
        <f>VLOOKUP($B236,'Woodmac profile - Gas'!$B$452:$AL$478,MATCH('Production - Gas'!E$232,'Woodmac profile - Gas'!$B$364:$AL$364),FALSE)</f>
        <v>0</v>
      </c>
      <c r="F236" s="11">
        <f>VLOOKUP($B236,'Woodmac profile - Gas'!$B$452:$AL$478,MATCH('Production - Gas'!F$232,'Woodmac profile - Gas'!$B$364:$AL$364),FALSE)</f>
        <v>0</v>
      </c>
      <c r="G236" s="11">
        <f>VLOOKUP($B236,'Woodmac profile - Gas'!$B$452:$AL$478,MATCH('Production - Gas'!G$232,'Woodmac profile - Gas'!$B$364:$AL$364),FALSE)</f>
        <v>0</v>
      </c>
      <c r="H236" s="80">
        <f>G236+(L236-G236)/4</f>
        <v>0</v>
      </c>
      <c r="I236" s="80">
        <f>H236+(L236-G236)/2</f>
        <v>0</v>
      </c>
      <c r="J236" s="80">
        <f>I236+(L236-G236)/2</f>
        <v>0</v>
      </c>
      <c r="K236" s="80">
        <f>J236+(L236-G236)/2</f>
        <v>0</v>
      </c>
      <c r="L236" s="11">
        <f>VLOOKUP($B236,'Woodmac profile - Gas'!$B$452:$AL$478,MATCH('Production - Gas'!L$232,'Woodmac profile - Gas'!$B$364:$AL$364),FALSE)</f>
        <v>0</v>
      </c>
      <c r="M236" s="65">
        <f>$Q236*M$169</f>
        <v>0</v>
      </c>
      <c r="N236" s="65">
        <f t="shared" si="176"/>
        <v>0</v>
      </c>
      <c r="O236" s="65">
        <f t="shared" si="176"/>
        <v>0</v>
      </c>
      <c r="P236" s="65">
        <f>Q236*4-SUM(M236:O236)</f>
        <v>0</v>
      </c>
      <c r="Q236" s="11">
        <f>VLOOKUP($B236,'Woodmac profile - Gas'!$B$452:$AL$478,MATCH('Production - Gas'!Q$232,'Woodmac profile - Gas'!$B$364:$AL$364),FALSE)</f>
        <v>0</v>
      </c>
      <c r="R236" s="65">
        <f>V236*R$169</f>
        <v>0</v>
      </c>
      <c r="S236" s="65">
        <f>V236*S$169</f>
        <v>0</v>
      </c>
      <c r="T236" s="65">
        <f>V236*T$169</f>
        <v>0</v>
      </c>
      <c r="U236" s="65">
        <f>V236*4-SUM(R236:T236)</f>
        <v>0</v>
      </c>
      <c r="V236" s="11">
        <f>VLOOKUP($B236,'Woodmac profile - Gas'!$B$452:$AL$478,MATCH('Production - Gas'!V$232,'Woodmac profile - Gas'!$B$364:$AL$364),FALSE)</f>
        <v>0</v>
      </c>
      <c r="W236" s="65">
        <f>AA236*W$169</f>
        <v>0</v>
      </c>
      <c r="X236" s="65">
        <f>AA236*X$169</f>
        <v>0</v>
      </c>
      <c r="Y236" s="65">
        <f>AA236*Y$169</f>
        <v>0</v>
      </c>
      <c r="Z236" s="65">
        <f>AA236*4-SUM(W236:Y236)</f>
        <v>0</v>
      </c>
      <c r="AA236" s="11">
        <f>VLOOKUP($B236,'Woodmac profile - Gas'!$B$452:$AL$478,MATCH('Production - Gas'!AA$232,'Woodmac profile - Gas'!$B$364:$AL$364),FALSE)</f>
        <v>0</v>
      </c>
      <c r="AB236" s="65">
        <f>AF236*AB$169</f>
        <v>0</v>
      </c>
      <c r="AC236" s="65">
        <f>AF236*AC$169</f>
        <v>0</v>
      </c>
      <c r="AD236" s="65">
        <f>AF236*AD$169</f>
        <v>0</v>
      </c>
      <c r="AE236" s="65">
        <f>AF236*4-SUM(AB236:AD236)</f>
        <v>0</v>
      </c>
      <c r="AF236" s="11">
        <f>VLOOKUP($B236,'Woodmac profile - Gas'!$B$452:$AL$478,MATCH('Production - Gas'!AF$232,'Woodmac profile - Gas'!$B$364:$AL$364),FALSE)</f>
        <v>0</v>
      </c>
      <c r="AG236" s="65">
        <f>AK236*$CF$169</f>
        <v>0</v>
      </c>
      <c r="AH236" s="65">
        <f>AK236*$CG$169</f>
        <v>0</v>
      </c>
      <c r="AI236" s="65">
        <f>AK236*$CH$169</f>
        <v>0</v>
      </c>
      <c r="AJ236" s="65">
        <f>AK236*4-SUM(AG236:AI236)</f>
        <v>0</v>
      </c>
      <c r="AK236" s="11">
        <f>VLOOKUP($B236,'Woodmac profile - Gas'!$B$452:$AL$478,MATCH('Production - Gas'!AK$232,'Woodmac profile - Gas'!$B$364:$AL$364),FALSE)</f>
        <v>0</v>
      </c>
      <c r="AL236" s="65">
        <f>AP236*$CF$169</f>
        <v>0</v>
      </c>
      <c r="AM236" s="65">
        <f>AP236*$CG$169</f>
        <v>0</v>
      </c>
      <c r="AN236" s="65">
        <f>AP236*$CH$169</f>
        <v>0</v>
      </c>
      <c r="AO236" s="65">
        <f>AP236*4-SUM(AL236:AN236)</f>
        <v>0</v>
      </c>
      <c r="AP236" s="11">
        <f>VLOOKUP($B236,'Woodmac profile - Gas'!$B$452:$AL$478,MATCH('Production - Gas'!AP$232,'Woodmac profile - Gas'!$B$364:$AL$364),FALSE)</f>
        <v>0</v>
      </c>
      <c r="AQ236" s="65">
        <f>AU236*$CF$169</f>
        <v>0</v>
      </c>
      <c r="AR236" s="65">
        <f>AU236*$CG$169</f>
        <v>0</v>
      </c>
      <c r="AS236" s="65">
        <f>AU236*$CH$169</f>
        <v>0</v>
      </c>
      <c r="AT236" s="65">
        <f>AU236*4-SUM(AQ236:AS236)</f>
        <v>0</v>
      </c>
      <c r="AU236" s="11">
        <f>VLOOKUP($B236,'Woodmac profile - Gas'!$B$452:$AL$478,MATCH('Production - Gas'!AU$232,'Woodmac profile - Gas'!$B$364:$AL$364),FALSE)</f>
        <v>0</v>
      </c>
      <c r="AV236" s="65">
        <f>AZ236*$CF$169</f>
        <v>0</v>
      </c>
      <c r="AW236" s="65">
        <f>AZ236*$CG$169</f>
        <v>0</v>
      </c>
      <c r="AX236" s="65">
        <f>AZ236*$CH$169</f>
        <v>0</v>
      </c>
      <c r="AY236" s="65">
        <f>AZ236*4-SUM(AV236:AX236)</f>
        <v>0</v>
      </c>
      <c r="AZ236" s="11">
        <f>VLOOKUP($B236,'Woodmac profile - Gas'!$B$452:$AL$478,MATCH('Production - Gas'!AZ$232,'Woodmac profile - Gas'!$B$364:$AL$364),FALSE)</f>
        <v>0</v>
      </c>
      <c r="BA236" s="65">
        <f>BE236*$CF$169</f>
        <v>0</v>
      </c>
      <c r="BB236" s="65">
        <f>BE236*$CG$169</f>
        <v>0</v>
      </c>
      <c r="BC236" s="65">
        <f>BE236*$CH$169</f>
        <v>0</v>
      </c>
      <c r="BD236" s="65">
        <f>BE236*4-SUM(BA236:BC236)</f>
        <v>0</v>
      </c>
      <c r="BE236" s="11">
        <f>VLOOKUP($B236,'Woodmac profile - Gas'!$B$452:$AL$478,MATCH('Production - Gas'!BE$232,'Woodmac profile - Gas'!$B$364:$AL$364),FALSE)</f>
        <v>0</v>
      </c>
      <c r="BF236" s="65">
        <f>BJ236*$CF$169</f>
        <v>0</v>
      </c>
      <c r="BG236" s="65">
        <f>BJ236*$CG$169</f>
        <v>0</v>
      </c>
      <c r="BH236" s="65">
        <f>BJ236*$CH$169</f>
        <v>0</v>
      </c>
      <c r="BI236" s="65">
        <f>BJ236*4-SUM(BF236:BH236)</f>
        <v>0</v>
      </c>
      <c r="BJ236" s="11">
        <f>VLOOKUP($B236,'Woodmac profile - Gas'!$B$452:$AL$478,MATCH('Production - Gas'!BJ$232,'Woodmac profile - Gas'!$B$364:$AL$364),FALSE)</f>
        <v>0</v>
      </c>
      <c r="BK236" s="65">
        <f>BO236*$CF$169</f>
        <v>0</v>
      </c>
      <c r="BL236" s="65">
        <f>BO236*$CG$169</f>
        <v>0</v>
      </c>
      <c r="BM236" s="65">
        <f>BO236*$CH$169</f>
        <v>0</v>
      </c>
      <c r="BN236" s="65">
        <f>BO236*4-SUM(BK236:BM236)</f>
        <v>0</v>
      </c>
      <c r="BO236" s="11">
        <f>VLOOKUP($B236,'Woodmac profile - Gas'!$B$452:$AL$478,MATCH('Production - Gas'!BO$232,'Woodmac profile - Gas'!$B$364:$AL$364),FALSE)</f>
        <v>0</v>
      </c>
      <c r="BP236" s="65">
        <f>BT236*$CF$169</f>
        <v>0</v>
      </c>
      <c r="BQ236" s="65">
        <f>BT236*$CG$169</f>
        <v>0</v>
      </c>
      <c r="BR236" s="65">
        <f>BT236*$CH$169</f>
        <v>0</v>
      </c>
      <c r="BS236" s="65">
        <f>BT236*4-SUM(BP236:BR236)</f>
        <v>0</v>
      </c>
      <c r="BT236" s="11">
        <f>VLOOKUP($B236,'Woodmac profile - Gas'!$B$452:$AL$478,MATCH('Production - Gas'!BT$232,'Woodmac profile - Gas'!$B$364:$AL$364),FALSE)</f>
        <v>0</v>
      </c>
      <c r="BU236" s="65">
        <f>BY236*$CF$169</f>
        <v>0</v>
      </c>
      <c r="BV236" s="65">
        <f>BY236*$CG$169</f>
        <v>0</v>
      </c>
      <c r="BW236" s="65">
        <f>BY236*$CH$169</f>
        <v>0</v>
      </c>
      <c r="BX236" s="65">
        <f>BY236*4-SUM(BU236:BW236)</f>
        <v>0</v>
      </c>
      <c r="BY236" s="11">
        <f>VLOOKUP($B236,'Woodmac profile - Gas'!$B$452:$AL$478,MATCH('Production - Gas'!BY$232,'Woodmac profile - Gas'!$B$364:$AL$364),FALSE)</f>
        <v>0</v>
      </c>
      <c r="BZ236" s="65">
        <f>CD236*$CF$169</f>
        <v>0</v>
      </c>
      <c r="CA236" s="65">
        <f>CD236*$CG$169</f>
        <v>0</v>
      </c>
      <c r="CB236" s="65">
        <f>CD236*$CH$169</f>
        <v>0</v>
      </c>
      <c r="CC236" s="65">
        <f>CD236*4-SUM(BZ236:CB236)</f>
        <v>0</v>
      </c>
      <c r="CD236" s="11">
        <f>VLOOKUP($B236,'Woodmac profile - Gas'!$B$452:$AL$478,MATCH('Production - Gas'!CD$232,'Woodmac profile - Gas'!$B$364:$AL$364),FALSE)</f>
        <v>0</v>
      </c>
      <c r="CE236" s="5"/>
      <c r="CF236" s="5"/>
      <c r="CG236" s="5"/>
      <c r="CH236" s="5"/>
      <c r="CI236" s="5"/>
    </row>
    <row r="237" spans="1:87">
      <c r="A237" s="39" t="s">
        <v>309</v>
      </c>
      <c r="B237" s="39"/>
      <c r="C237" s="39">
        <f t="shared" ref="C237:AH237" si="177">SUM(C234:C236)</f>
        <v>0</v>
      </c>
      <c r="D237" s="39">
        <f t="shared" si="177"/>
        <v>0</v>
      </c>
      <c r="E237" s="39">
        <f t="shared" si="177"/>
        <v>0</v>
      </c>
      <c r="F237" s="39">
        <f t="shared" si="177"/>
        <v>0</v>
      </c>
      <c r="G237" s="39">
        <f t="shared" si="177"/>
        <v>0</v>
      </c>
      <c r="H237" s="80">
        <f t="shared" si="177"/>
        <v>0</v>
      </c>
      <c r="I237" s="80">
        <f t="shared" si="177"/>
        <v>0</v>
      </c>
      <c r="J237" s="80">
        <f t="shared" si="177"/>
        <v>0</v>
      </c>
      <c r="K237" s="80">
        <f t="shared" si="177"/>
        <v>0</v>
      </c>
      <c r="L237" s="39">
        <f t="shared" si="177"/>
        <v>0</v>
      </c>
      <c r="M237" s="80">
        <f t="shared" si="177"/>
        <v>0</v>
      </c>
      <c r="N237" s="80">
        <f t="shared" si="177"/>
        <v>0</v>
      </c>
      <c r="O237" s="80">
        <f t="shared" si="177"/>
        <v>0</v>
      </c>
      <c r="P237" s="80">
        <f t="shared" si="177"/>
        <v>0</v>
      </c>
      <c r="Q237" s="39">
        <f t="shared" si="177"/>
        <v>0</v>
      </c>
      <c r="R237" s="80">
        <f t="shared" si="177"/>
        <v>0</v>
      </c>
      <c r="S237" s="80">
        <f t="shared" si="177"/>
        <v>0</v>
      </c>
      <c r="T237" s="80">
        <f t="shared" si="177"/>
        <v>0</v>
      </c>
      <c r="U237" s="80">
        <f t="shared" si="177"/>
        <v>0</v>
      </c>
      <c r="V237" s="39">
        <f t="shared" si="177"/>
        <v>0</v>
      </c>
      <c r="W237" s="80">
        <f t="shared" si="177"/>
        <v>0</v>
      </c>
      <c r="X237" s="80">
        <f t="shared" si="177"/>
        <v>0</v>
      </c>
      <c r="Y237" s="80">
        <f t="shared" si="177"/>
        <v>0</v>
      </c>
      <c r="Z237" s="80">
        <f t="shared" si="177"/>
        <v>0</v>
      </c>
      <c r="AA237" s="39">
        <f t="shared" si="177"/>
        <v>0</v>
      </c>
      <c r="AB237" s="80">
        <f t="shared" si="177"/>
        <v>0</v>
      </c>
      <c r="AC237" s="80">
        <f t="shared" si="177"/>
        <v>0</v>
      </c>
      <c r="AD237" s="80">
        <f t="shared" si="177"/>
        <v>0</v>
      </c>
      <c r="AE237" s="80">
        <f t="shared" si="177"/>
        <v>0</v>
      </c>
      <c r="AF237" s="39">
        <f t="shared" si="177"/>
        <v>0</v>
      </c>
      <c r="AG237" s="80">
        <f t="shared" si="177"/>
        <v>0</v>
      </c>
      <c r="AH237" s="80">
        <f t="shared" si="177"/>
        <v>0</v>
      </c>
      <c r="AI237" s="80">
        <f t="shared" ref="AI237:BN237" si="178">SUM(AI234:AI236)</f>
        <v>0</v>
      </c>
      <c r="AJ237" s="80">
        <f t="shared" si="178"/>
        <v>0</v>
      </c>
      <c r="AK237" s="39">
        <f t="shared" si="178"/>
        <v>0</v>
      </c>
      <c r="AL237" s="80">
        <f t="shared" si="178"/>
        <v>0</v>
      </c>
      <c r="AM237" s="80">
        <f t="shared" si="178"/>
        <v>0</v>
      </c>
      <c r="AN237" s="80">
        <f t="shared" si="178"/>
        <v>0</v>
      </c>
      <c r="AO237" s="80">
        <f t="shared" si="178"/>
        <v>0</v>
      </c>
      <c r="AP237" s="39">
        <f t="shared" si="178"/>
        <v>0</v>
      </c>
      <c r="AQ237" s="80">
        <f t="shared" si="178"/>
        <v>0</v>
      </c>
      <c r="AR237" s="80">
        <f t="shared" si="178"/>
        <v>0</v>
      </c>
      <c r="AS237" s="80">
        <f t="shared" si="178"/>
        <v>0</v>
      </c>
      <c r="AT237" s="80">
        <f t="shared" si="178"/>
        <v>0</v>
      </c>
      <c r="AU237" s="39">
        <f t="shared" si="178"/>
        <v>0</v>
      </c>
      <c r="AV237" s="80">
        <f t="shared" si="178"/>
        <v>0</v>
      </c>
      <c r="AW237" s="80">
        <f t="shared" si="178"/>
        <v>0</v>
      </c>
      <c r="AX237" s="80">
        <f t="shared" si="178"/>
        <v>0</v>
      </c>
      <c r="AY237" s="80">
        <f t="shared" si="178"/>
        <v>0</v>
      </c>
      <c r="AZ237" s="39">
        <f>SUM(AZ234:AZ236)</f>
        <v>0</v>
      </c>
      <c r="BA237" s="80">
        <f t="shared" si="178"/>
        <v>0</v>
      </c>
      <c r="BB237" s="80">
        <f t="shared" si="178"/>
        <v>0</v>
      </c>
      <c r="BC237" s="80">
        <f t="shared" si="178"/>
        <v>0</v>
      </c>
      <c r="BD237" s="80">
        <f t="shared" si="178"/>
        <v>0</v>
      </c>
      <c r="BE237" s="39">
        <f t="shared" si="178"/>
        <v>0</v>
      </c>
      <c r="BF237" s="80">
        <f t="shared" si="178"/>
        <v>0</v>
      </c>
      <c r="BG237" s="80">
        <f t="shared" si="178"/>
        <v>0</v>
      </c>
      <c r="BH237" s="80">
        <f t="shared" si="178"/>
        <v>0</v>
      </c>
      <c r="BI237" s="80">
        <f t="shared" si="178"/>
        <v>0</v>
      </c>
      <c r="BJ237" s="39">
        <f t="shared" si="178"/>
        <v>0</v>
      </c>
      <c r="BK237" s="80">
        <f t="shared" si="178"/>
        <v>72.556747921041406</v>
      </c>
      <c r="BL237" s="80">
        <f t="shared" si="178"/>
        <v>62.547190028835786</v>
      </c>
      <c r="BM237" s="80">
        <f t="shared" si="178"/>
        <v>44.476153712272712</v>
      </c>
      <c r="BN237" s="80">
        <f t="shared" si="178"/>
        <v>58.511908337850059</v>
      </c>
      <c r="BO237" s="39">
        <f t="shared" ref="BO237:CD237" si="179">SUM(BO234:BO236)</f>
        <v>59.522999999999996</v>
      </c>
      <c r="BP237" s="80">
        <f t="shared" si="179"/>
        <v>67.385877422560867</v>
      </c>
      <c r="BQ237" s="80">
        <f t="shared" si="179"/>
        <v>58.089666380795173</v>
      </c>
      <c r="BR237" s="80">
        <f t="shared" si="179"/>
        <v>41.306490824860099</v>
      </c>
      <c r="BS237" s="80">
        <f t="shared" si="179"/>
        <v>54.341965371783857</v>
      </c>
      <c r="BT237" s="39">
        <f t="shared" si="179"/>
        <v>55.280999999999999</v>
      </c>
      <c r="BU237" s="80">
        <f t="shared" si="179"/>
        <v>55.599657043068085</v>
      </c>
      <c r="BV237" s="80">
        <f t="shared" si="179"/>
        <v>47.929412690812939</v>
      </c>
      <c r="BW237" s="80">
        <f t="shared" si="179"/>
        <v>34.081721739901944</v>
      </c>
      <c r="BX237" s="80">
        <f t="shared" si="179"/>
        <v>44.837208526217069</v>
      </c>
      <c r="BY237" s="39">
        <f t="shared" si="179"/>
        <v>45.612000000000009</v>
      </c>
      <c r="BZ237" s="80">
        <f t="shared" si="179"/>
        <v>55.80444399350295</v>
      </c>
      <c r="CA237" s="80">
        <f t="shared" si="179"/>
        <v>48.10594828083434</v>
      </c>
      <c r="CB237" s="80">
        <f t="shared" si="179"/>
        <v>34.207252943363827</v>
      </c>
      <c r="CC237" s="80">
        <f t="shared" si="179"/>
        <v>45.00235478229888</v>
      </c>
      <c r="CD237" s="39">
        <f t="shared" si="179"/>
        <v>45.78</v>
      </c>
      <c r="CE237" s="5"/>
      <c r="CF237" s="5"/>
      <c r="CG237" s="5"/>
      <c r="CH237" s="5"/>
      <c r="CI237" s="5"/>
    </row>
    <row r="238" spans="1:87">
      <c r="A238" s="11"/>
      <c r="B238" s="11"/>
      <c r="C238" s="11"/>
      <c r="D238" s="11"/>
      <c r="E238" s="11"/>
      <c r="F238" s="11"/>
      <c r="G238" s="11"/>
      <c r="H238" s="80"/>
      <c r="I238" s="80"/>
      <c r="J238" s="80"/>
      <c r="K238" s="80"/>
      <c r="L238" s="11"/>
      <c r="M238" s="68"/>
      <c r="N238" s="68"/>
      <c r="O238" s="68"/>
      <c r="P238" s="68"/>
      <c r="Q238" s="11"/>
      <c r="R238" s="68"/>
      <c r="S238" s="68"/>
      <c r="T238" s="68"/>
      <c r="U238" s="68"/>
      <c r="V238" s="11"/>
      <c r="W238" s="68"/>
      <c r="X238" s="68"/>
      <c r="Y238" s="68"/>
      <c r="Z238" s="68"/>
      <c r="AA238" s="11"/>
      <c r="AB238" s="68"/>
      <c r="AC238" s="68"/>
      <c r="AD238" s="68"/>
      <c r="AE238" s="68"/>
      <c r="AF238" s="11"/>
      <c r="AG238" s="68"/>
      <c r="AH238" s="68"/>
      <c r="AI238" s="68"/>
      <c r="AJ238" s="68"/>
      <c r="AK238" s="11"/>
      <c r="AL238" s="68"/>
      <c r="AM238" s="68"/>
      <c r="AN238" s="68"/>
      <c r="AO238" s="68"/>
      <c r="AP238" s="11"/>
      <c r="AQ238" s="68"/>
      <c r="AR238" s="68"/>
      <c r="AS238" s="68"/>
      <c r="AT238" s="68"/>
      <c r="AU238" s="11"/>
      <c r="AV238" s="68"/>
      <c r="AW238" s="68"/>
      <c r="AX238" s="68"/>
      <c r="AY238" s="68"/>
      <c r="AZ238" s="11"/>
      <c r="BA238" s="68"/>
      <c r="BB238" s="68"/>
      <c r="BC238" s="68"/>
      <c r="BD238" s="68"/>
      <c r="BE238" s="11"/>
      <c r="BF238" s="68"/>
      <c r="BG238" s="68"/>
      <c r="BH238" s="68"/>
      <c r="BI238" s="68"/>
      <c r="BJ238" s="11"/>
      <c r="BK238" s="68"/>
      <c r="BL238" s="68"/>
      <c r="BM238" s="68"/>
      <c r="BN238" s="68"/>
      <c r="BO238" s="11"/>
      <c r="BP238" s="68"/>
      <c r="BQ238" s="68"/>
      <c r="BR238" s="68"/>
      <c r="BS238" s="68"/>
      <c r="BT238" s="11"/>
      <c r="BU238" s="68"/>
      <c r="BV238" s="68"/>
      <c r="BW238" s="68"/>
      <c r="BX238" s="68"/>
      <c r="BY238" s="11"/>
      <c r="BZ238" s="68"/>
      <c r="CA238" s="68"/>
      <c r="CB238" s="68"/>
      <c r="CC238" s="68"/>
      <c r="CD238" s="11"/>
      <c r="CE238" s="5"/>
      <c r="CF238" s="5"/>
      <c r="CG238" s="5"/>
      <c r="CH238" s="5"/>
      <c r="CI238" s="5"/>
    </row>
    <row r="239" spans="1:87">
      <c r="A239" s="39" t="s">
        <v>310</v>
      </c>
      <c r="B239" s="11"/>
      <c r="C239" s="11"/>
      <c r="D239" s="11"/>
      <c r="E239" s="11"/>
      <c r="F239" s="11"/>
      <c r="G239" s="11"/>
      <c r="H239" s="80"/>
      <c r="I239" s="80"/>
      <c r="J239" s="80"/>
      <c r="K239" s="80"/>
      <c r="L239" s="5"/>
      <c r="M239" s="12"/>
      <c r="N239" s="12"/>
      <c r="O239" s="12"/>
      <c r="P239" s="12"/>
      <c r="Q239" s="5"/>
      <c r="R239" s="12"/>
      <c r="S239" s="12"/>
      <c r="T239" s="12"/>
      <c r="U239" s="12"/>
      <c r="V239" s="5"/>
      <c r="W239" s="12"/>
      <c r="X239" s="12"/>
      <c r="Y239" s="12"/>
      <c r="Z239" s="12"/>
      <c r="AA239" s="5"/>
      <c r="AB239" s="12"/>
      <c r="AC239" s="12"/>
      <c r="AD239" s="12"/>
      <c r="AE239" s="12"/>
      <c r="AF239" s="5"/>
      <c r="AG239" s="12"/>
      <c r="AH239" s="12"/>
      <c r="AI239" s="12"/>
      <c r="AJ239" s="12"/>
      <c r="AK239" s="5"/>
      <c r="AL239" s="12"/>
      <c r="AM239" s="12"/>
      <c r="AN239" s="12"/>
      <c r="AO239" s="12"/>
      <c r="AP239" s="5"/>
      <c r="AQ239" s="12"/>
      <c r="AR239" s="12"/>
      <c r="AS239" s="12"/>
      <c r="AT239" s="12"/>
      <c r="AU239" s="5"/>
      <c r="AV239" s="12"/>
      <c r="AW239" s="12"/>
      <c r="AX239" s="12"/>
      <c r="AY239" s="12"/>
      <c r="AZ239" s="5"/>
      <c r="BA239" s="12"/>
      <c r="BB239" s="12"/>
      <c r="BC239" s="12"/>
      <c r="BD239" s="12"/>
      <c r="BE239" s="5"/>
      <c r="BF239" s="12"/>
      <c r="BG239" s="12"/>
      <c r="BH239" s="12"/>
      <c r="BI239" s="12"/>
      <c r="BJ239" s="5"/>
      <c r="BK239" s="12"/>
      <c r="BL239" s="12"/>
      <c r="BM239" s="12"/>
      <c r="BN239" s="12"/>
      <c r="BO239" s="5"/>
      <c r="BP239" s="12"/>
      <c r="BQ239" s="12"/>
      <c r="BR239" s="12"/>
      <c r="BS239" s="12"/>
      <c r="BT239" s="5"/>
      <c r="BU239" s="12"/>
      <c r="BV239" s="12"/>
      <c r="BW239" s="12"/>
      <c r="BX239" s="12"/>
      <c r="BY239" s="5"/>
      <c r="BZ239" s="12"/>
      <c r="CA239" s="12"/>
      <c r="CB239" s="12"/>
      <c r="CC239" s="12"/>
      <c r="CD239" s="5"/>
      <c r="CE239" s="5"/>
      <c r="CF239" s="5"/>
      <c r="CG239" s="5"/>
      <c r="CH239" s="5"/>
      <c r="CI239" s="5"/>
    </row>
    <row r="240" spans="1:87">
      <c r="A240" s="11"/>
      <c r="B240" s="11" t="s">
        <v>728</v>
      </c>
      <c r="C240" s="11"/>
      <c r="D240" s="11"/>
      <c r="E240" s="11">
        <f>VLOOKUP($B240,'Woodmac profile - Gas'!$B$452:$AL$478,MATCH('Production - Gas'!E$232,'Woodmac profile - Gas'!$B$364:$AL$364),FALSE)</f>
        <v>0</v>
      </c>
      <c r="F240" s="11">
        <f>VLOOKUP($B240,'Woodmac profile - Gas'!$B$452:$AL$478,MATCH('Production - Gas'!F$232,'Woodmac profile - Gas'!$B$364:$AL$364),FALSE)</f>
        <v>0</v>
      </c>
      <c r="G240" s="11">
        <f>VLOOKUP($B240,'Woodmac profile - Gas'!$B$452:$AL$478,MATCH('Production - Gas'!G$232,'Woodmac profile - Gas'!$B$364:$AL$364),FALSE)</f>
        <v>0</v>
      </c>
      <c r="H240" s="80">
        <f>G240+(L240-G240)/4</f>
        <v>0</v>
      </c>
      <c r="I240" s="80">
        <f>H240+(L240-G240)/2</f>
        <v>0</v>
      </c>
      <c r="J240" s="80">
        <f>I240+(L240-G240)/2</f>
        <v>0</v>
      </c>
      <c r="K240" s="80">
        <f>J240+(L240-G240)/2</f>
        <v>0</v>
      </c>
      <c r="L240" s="11">
        <f>VLOOKUP($B240,'Woodmac profile - Gas'!$B$452:$AL$478,MATCH('Production - Gas'!L$232,'Woodmac profile - Gas'!$B$364:$AL$364),FALSE)</f>
        <v>0</v>
      </c>
      <c r="M240" s="65">
        <f>$Q240*M$170</f>
        <v>0</v>
      </c>
      <c r="N240" s="65">
        <f>$Q240*N$170</f>
        <v>0</v>
      </c>
      <c r="O240" s="65">
        <f>$Q240*O$170</f>
        <v>0</v>
      </c>
      <c r="P240" s="65">
        <f>Q240*4-SUM(M240:O240)</f>
        <v>0</v>
      </c>
      <c r="Q240" s="11">
        <f>VLOOKUP($B240,'Woodmac profile - Gas'!$B$452:$AL$478,MATCH('Production - Gas'!Q$232,'Woodmac profile - Gas'!$B$364:$AL$364),FALSE)</f>
        <v>0</v>
      </c>
      <c r="R240" s="65">
        <f>V240*R$170</f>
        <v>0</v>
      </c>
      <c r="S240" s="65">
        <f>V240*S$170</f>
        <v>0</v>
      </c>
      <c r="T240" s="65">
        <f>V240*T$170</f>
        <v>0</v>
      </c>
      <c r="U240" s="65">
        <f>V240*4-SUM(R240:T240)</f>
        <v>0</v>
      </c>
      <c r="V240" s="11">
        <f>VLOOKUP($B240,'Woodmac profile - Gas'!$B$452:$AL$478,MATCH('Production - Gas'!V$232,'Woodmac profile - Gas'!$B$364:$AL$364),FALSE)</f>
        <v>0</v>
      </c>
      <c r="W240" s="65">
        <f>AA240*W$170</f>
        <v>0</v>
      </c>
      <c r="X240" s="65">
        <f>AA240*X$170</f>
        <v>0</v>
      </c>
      <c r="Y240" s="65">
        <f>AA240*Y$170</f>
        <v>0</v>
      </c>
      <c r="Z240" s="65">
        <f>AA240*4-SUM(W240:Y240)</f>
        <v>0</v>
      </c>
      <c r="AA240" s="11">
        <f>VLOOKUP($B240,'Woodmac profile - Gas'!$B$452:$AL$478,MATCH('Production - Gas'!AA$232,'Woodmac profile - Gas'!$B$364:$AL$364),FALSE)</f>
        <v>0</v>
      </c>
      <c r="AB240" s="65">
        <f>AF240*AB$170</f>
        <v>0</v>
      </c>
      <c r="AC240" s="65">
        <f>AF240*AC$170</f>
        <v>0</v>
      </c>
      <c r="AD240" s="65">
        <f>AF240*AD$170</f>
        <v>0</v>
      </c>
      <c r="AE240" s="65">
        <f>AF240*4-SUM(AB240:AD240)</f>
        <v>0</v>
      </c>
      <c r="AF240" s="11">
        <f>VLOOKUP($B240,'Woodmac profile - Gas'!$B$452:$AL$478,MATCH('Production - Gas'!AF$232,'Woodmac profile - Gas'!$B$364:$AL$364),FALSE)</f>
        <v>0</v>
      </c>
      <c r="AG240" s="65">
        <f>AK240*$CF$170</f>
        <v>0</v>
      </c>
      <c r="AH240" s="65">
        <f>AK240*$CG$170</f>
        <v>0</v>
      </c>
      <c r="AI240" s="65">
        <f>AK240*$CH$170</f>
        <v>0</v>
      </c>
      <c r="AJ240" s="65">
        <f>AK240*4-SUM(AG240:AI240)</f>
        <v>0</v>
      </c>
      <c r="AK240" s="11">
        <f>VLOOKUP($B240,'Woodmac profile - Gas'!$B$452:$AL$478,MATCH('Production - Gas'!AK$232,'Woodmac profile - Gas'!$B$364:$AL$364),FALSE)</f>
        <v>0</v>
      </c>
      <c r="AL240" s="65">
        <f>AP240*$CF$170</f>
        <v>0</v>
      </c>
      <c r="AM240" s="65">
        <f>AP240*$CG$170</f>
        <v>0</v>
      </c>
      <c r="AN240" s="65">
        <f>AP240*$CH$170</f>
        <v>0</v>
      </c>
      <c r="AO240" s="65">
        <f>AP240*4-SUM(AL240:AN240)</f>
        <v>0</v>
      </c>
      <c r="AP240" s="11">
        <f>VLOOKUP($B240,'Woodmac profile - Gas'!$B$452:$AL$478,MATCH('Production - Gas'!AP$232,'Woodmac profile - Gas'!$B$364:$AL$364),FALSE)</f>
        <v>0</v>
      </c>
      <c r="AQ240" s="65">
        <f>AU240*$CF$170</f>
        <v>0</v>
      </c>
      <c r="AR240" s="65">
        <f>AU240*$CG$170</f>
        <v>0</v>
      </c>
      <c r="AS240" s="65">
        <f>AU240*$CH$170</f>
        <v>0</v>
      </c>
      <c r="AT240" s="65">
        <f>AU240*4-SUM(AQ240:AS240)</f>
        <v>0</v>
      </c>
      <c r="AU240" s="11">
        <f>VLOOKUP($B240,'Woodmac profile - Gas'!$B$452:$AL$478,MATCH('Production - Gas'!AU$232,'Woodmac profile - Gas'!$B$364:$AL$364),FALSE)</f>
        <v>0</v>
      </c>
      <c r="AV240" s="65">
        <f>AZ240*$CF$170</f>
        <v>0</v>
      </c>
      <c r="AW240" s="65">
        <f>AZ240*$CG$170</f>
        <v>0</v>
      </c>
      <c r="AX240" s="65">
        <f>AZ240*$CH$170</f>
        <v>0</v>
      </c>
      <c r="AY240" s="65">
        <f>AZ240*4-SUM(AV240:AX240)</f>
        <v>0</v>
      </c>
      <c r="AZ240" s="11">
        <f>VLOOKUP($B240,'Woodmac profile - Gas'!$B$452:$AL$478,MATCH('Production - Gas'!AZ$232,'Woodmac profile - Gas'!$B$364:$AL$364),FALSE)</f>
        <v>0</v>
      </c>
      <c r="BA240" s="65">
        <f>BE240*$CF$170</f>
        <v>0</v>
      </c>
      <c r="BB240" s="65">
        <f>BE240*$CG$170</f>
        <v>0</v>
      </c>
      <c r="BC240" s="65">
        <f>BE240*$CH$170</f>
        <v>0</v>
      </c>
      <c r="BD240" s="65">
        <f>BE240*4-SUM(BA240:BC240)</f>
        <v>0</v>
      </c>
      <c r="BE240" s="11">
        <f>VLOOKUP($B240,'Woodmac profile - Gas'!$B$452:$AL$478,MATCH('Production - Gas'!BE$232,'Woodmac profile - Gas'!$B$364:$AL$364),FALSE)</f>
        <v>0</v>
      </c>
      <c r="BF240" s="65">
        <f>BJ240*$CF$170</f>
        <v>0</v>
      </c>
      <c r="BG240" s="65">
        <f>BJ240*$CG$170</f>
        <v>0</v>
      </c>
      <c r="BH240" s="65">
        <f>BJ240*$CH$170</f>
        <v>0</v>
      </c>
      <c r="BI240" s="65">
        <f>BJ240*4-SUM(BF240:BH240)</f>
        <v>0</v>
      </c>
      <c r="BJ240" s="11">
        <f>VLOOKUP($B240,'Woodmac profile - Gas'!$B$452:$AL$478,MATCH('Production - Gas'!BJ$232,'Woodmac profile - Gas'!$B$364:$AL$364),FALSE)</f>
        <v>0</v>
      </c>
      <c r="BK240" s="65">
        <f>BO240*$CF$170</f>
        <v>0</v>
      </c>
      <c r="BL240" s="65">
        <f>BO240*$CG$170</f>
        <v>0</v>
      </c>
      <c r="BM240" s="65">
        <f>BO240*$CH$170</f>
        <v>0</v>
      </c>
      <c r="BN240" s="65">
        <f>BO240*4-SUM(BK240:BM240)</f>
        <v>0</v>
      </c>
      <c r="BO240" s="11">
        <f>VLOOKUP($B240,'Woodmac profile - Gas'!$B$452:$AL$478,MATCH('Production - Gas'!BO$232,'Woodmac profile - Gas'!$B$364:$AL$364),FALSE)</f>
        <v>0</v>
      </c>
      <c r="BP240" s="65">
        <f>BT240*$CF$170</f>
        <v>0</v>
      </c>
      <c r="BQ240" s="65">
        <f>BT240*$CG$170</f>
        <v>0</v>
      </c>
      <c r="BR240" s="65">
        <f>BT240*$CH$170</f>
        <v>0</v>
      </c>
      <c r="BS240" s="65">
        <f>BT240*4-SUM(BP240:BR240)</f>
        <v>0</v>
      </c>
      <c r="BT240" s="11">
        <f>VLOOKUP($B240,'Woodmac profile - Gas'!$B$452:$AL$478,MATCH('Production - Gas'!BT$232,'Woodmac profile - Gas'!$B$364:$AL$364),FALSE)</f>
        <v>0</v>
      </c>
      <c r="BU240" s="65">
        <f>BY240*$CF$170</f>
        <v>0</v>
      </c>
      <c r="BV240" s="65">
        <f>BY240*$CG$170</f>
        <v>0</v>
      </c>
      <c r="BW240" s="65">
        <f>BY240*$CH$170</f>
        <v>0</v>
      </c>
      <c r="BX240" s="65">
        <f>BY240*4-SUM(BU240:BW240)</f>
        <v>0</v>
      </c>
      <c r="BY240" s="11">
        <f>VLOOKUP($B240,'Woodmac profile - Gas'!$B$452:$AL$478,MATCH('Production - Gas'!BY$232,'Woodmac profile - Gas'!$B$364:$AL$364),FALSE)</f>
        <v>0</v>
      </c>
      <c r="BZ240" s="65">
        <f>CD240*$CF$170</f>
        <v>0</v>
      </c>
      <c r="CA240" s="65">
        <f>CD240*$CG$170</f>
        <v>0</v>
      </c>
      <c r="CB240" s="65">
        <f>CD240*$CH$170</f>
        <v>0</v>
      </c>
      <c r="CC240" s="65">
        <f>CD240*4-SUM(BZ240:CB240)</f>
        <v>0</v>
      </c>
      <c r="CD240" s="11">
        <f>VLOOKUP($B240,'Woodmac profile - Gas'!$B$452:$AL$478,MATCH('Production - Gas'!CD$232,'Woodmac profile - Gas'!$B$364:$AL$364),FALSE)</f>
        <v>0</v>
      </c>
      <c r="CE240" s="5"/>
      <c r="CF240" s="5"/>
      <c r="CG240" s="5"/>
      <c r="CH240" s="5"/>
      <c r="CI240" s="5"/>
    </row>
    <row r="241" spans="1:87">
      <c r="A241" s="11"/>
      <c r="B241" s="11" t="s">
        <v>727</v>
      </c>
      <c r="C241" s="11"/>
      <c r="D241" s="11"/>
      <c r="E241" s="11">
        <f>VLOOKUP($B241,'Woodmac profile - Gas'!$B$452:$AL$478,MATCH('Production - Gas'!E$232,'Woodmac profile - Gas'!$B$364:$AL$364),FALSE)</f>
        <v>0</v>
      </c>
      <c r="F241" s="11">
        <f>VLOOKUP($B241,'Woodmac profile - Gas'!$B$452:$AL$478,MATCH('Production - Gas'!F$232,'Woodmac profile - Gas'!$B$364:$AL$364),FALSE)</f>
        <v>0</v>
      </c>
      <c r="G241" s="11">
        <f>VLOOKUP($B241,'Woodmac profile - Gas'!$B$452:$AL$478,MATCH('Production - Gas'!G$232,'Woodmac profile - Gas'!$B$364:$AL$364),FALSE)</f>
        <v>0</v>
      </c>
      <c r="H241" s="80">
        <f>G241+(L241-G241)/4</f>
        <v>0</v>
      </c>
      <c r="I241" s="80">
        <f>H241+(L241-G241)/2</f>
        <v>0</v>
      </c>
      <c r="J241" s="80">
        <f>I241+(L241-G241)/2</f>
        <v>0</v>
      </c>
      <c r="K241" s="80">
        <f>J241+(L241-G241)/2</f>
        <v>0</v>
      </c>
      <c r="L241" s="11">
        <f>VLOOKUP($B241,'Woodmac profile - Gas'!$B$452:$AL$478,MATCH('Production - Gas'!L$232,'Woodmac profile - Gas'!$B$364:$AL$364),FALSE)</f>
        <v>0</v>
      </c>
      <c r="M241" s="65">
        <f>$Q241*M$172</f>
        <v>0</v>
      </c>
      <c r="N241" s="65">
        <f>$Q241*N$172</f>
        <v>0</v>
      </c>
      <c r="O241" s="65">
        <f>$Q241*O$172</f>
        <v>0</v>
      </c>
      <c r="P241" s="65">
        <f>Q241*4-SUM(M241:O241)</f>
        <v>0</v>
      </c>
      <c r="Q241" s="11">
        <f>VLOOKUP($B241,'Woodmac profile - Gas'!$B$452:$AL$478,MATCH('Production - Gas'!Q$232,'Woodmac profile - Gas'!$B$364:$AL$364),FALSE)</f>
        <v>0</v>
      </c>
      <c r="R241" s="65">
        <f>V241*R$172</f>
        <v>0</v>
      </c>
      <c r="S241" s="65">
        <f>V241*S$172</f>
        <v>0</v>
      </c>
      <c r="T241" s="65">
        <f>V241*T$172</f>
        <v>0</v>
      </c>
      <c r="U241" s="65">
        <f>V241*4-SUM(R241:T241)</f>
        <v>0</v>
      </c>
      <c r="V241" s="11">
        <f>VLOOKUP($B241,'Woodmac profile - Gas'!$B$452:$AL$478,MATCH('Production - Gas'!V$232,'Woodmac profile - Gas'!$B$364:$AL$364),FALSE)</f>
        <v>0</v>
      </c>
      <c r="W241" s="65">
        <f>AA241*W$172</f>
        <v>0</v>
      </c>
      <c r="X241" s="65">
        <f>AA241*X$172</f>
        <v>0</v>
      </c>
      <c r="Y241" s="65">
        <f>AA241*Y$172</f>
        <v>0</v>
      </c>
      <c r="Z241" s="65">
        <f>AA241*4-SUM(W241:Y241)</f>
        <v>0</v>
      </c>
      <c r="AA241" s="11">
        <f>VLOOKUP($B241,'Woodmac profile - Gas'!$B$452:$AL$478,MATCH('Production - Gas'!AA$232,'Woodmac profile - Gas'!$B$364:$AL$364),FALSE)</f>
        <v>0</v>
      </c>
      <c r="AB241" s="65">
        <f>AF241*AB$172</f>
        <v>0</v>
      </c>
      <c r="AC241" s="65">
        <f>AF241*AC$172</f>
        <v>0</v>
      </c>
      <c r="AD241" s="65">
        <f>AF241*AD$172</f>
        <v>0</v>
      </c>
      <c r="AE241" s="65">
        <f>AF241*4-SUM(AB241:AD241)</f>
        <v>0</v>
      </c>
      <c r="AF241" s="11">
        <f>VLOOKUP($B241,'Woodmac profile - Gas'!$B$452:$AL$478,MATCH('Production - Gas'!AF$232,'Woodmac profile - Gas'!$B$364:$AL$364),FALSE)</f>
        <v>0</v>
      </c>
      <c r="AG241" s="65">
        <f>AK241*$CF$172</f>
        <v>0</v>
      </c>
      <c r="AH241" s="65">
        <f>AK241*$CG$172</f>
        <v>0</v>
      </c>
      <c r="AI241" s="65">
        <f>AK241*$CH$172</f>
        <v>0</v>
      </c>
      <c r="AJ241" s="65">
        <f>AK241*4-SUM(AG241:AI241)</f>
        <v>0</v>
      </c>
      <c r="AK241" s="11">
        <f>VLOOKUP($B241,'Woodmac profile - Gas'!$B$452:$AL$478,MATCH('Production - Gas'!AK$232,'Woodmac profile - Gas'!$B$364:$AL$364),FALSE)</f>
        <v>0</v>
      </c>
      <c r="AL241" s="65">
        <f>AP241*$CF$172</f>
        <v>0</v>
      </c>
      <c r="AM241" s="65">
        <f>AP241*$CG$172</f>
        <v>0</v>
      </c>
      <c r="AN241" s="65">
        <f>AP241*$CH$172</f>
        <v>0</v>
      </c>
      <c r="AO241" s="65">
        <f>AP241*4-SUM(AL241:AN241)</f>
        <v>0</v>
      </c>
      <c r="AP241" s="11">
        <f>VLOOKUP($B241,'Woodmac profile - Gas'!$B$452:$AL$478,MATCH('Production - Gas'!AP$232,'Woodmac profile - Gas'!$B$364:$AL$364),FALSE)</f>
        <v>0</v>
      </c>
      <c r="AQ241" s="65">
        <f>AU241*$CF$172</f>
        <v>0</v>
      </c>
      <c r="AR241" s="65">
        <f>AU241*$CG$172</f>
        <v>0</v>
      </c>
      <c r="AS241" s="65">
        <f>AU241*$CH$172</f>
        <v>0</v>
      </c>
      <c r="AT241" s="65">
        <f>AU241*4-SUM(AQ241:AS241)</f>
        <v>0</v>
      </c>
      <c r="AU241" s="11">
        <f>VLOOKUP($B241,'Woodmac profile - Gas'!$B$452:$AL$478,MATCH('Production - Gas'!AU$232,'Woodmac profile - Gas'!$B$364:$AL$364),FALSE)</f>
        <v>0</v>
      </c>
      <c r="AV241" s="65">
        <f>AZ241*$CF$172</f>
        <v>0</v>
      </c>
      <c r="AW241" s="65">
        <f>AZ241*$CG$172</f>
        <v>0</v>
      </c>
      <c r="AX241" s="65">
        <f>AZ241*$CH$172</f>
        <v>0</v>
      </c>
      <c r="AY241" s="65">
        <f>AZ241*4-SUM(AV241:AX241)</f>
        <v>0</v>
      </c>
      <c r="AZ241" s="11">
        <f>VLOOKUP($B241,'Woodmac profile - Gas'!$B$452:$AL$478,MATCH('Production - Gas'!AZ$232,'Woodmac profile - Gas'!$B$364:$AL$364),FALSE)</f>
        <v>0</v>
      </c>
      <c r="BA241" s="65">
        <f>BE241*$CF$172</f>
        <v>0</v>
      </c>
      <c r="BB241" s="65">
        <f>BE241*$CG$172</f>
        <v>0</v>
      </c>
      <c r="BC241" s="65">
        <f>BE241*$CH$172</f>
        <v>0</v>
      </c>
      <c r="BD241" s="65">
        <f>BE241*4-SUM(BA241:BC241)</f>
        <v>0</v>
      </c>
      <c r="BE241" s="11">
        <f>VLOOKUP($B241,'Woodmac profile - Gas'!$B$452:$AL$478,MATCH('Production - Gas'!BE$232,'Woodmac profile - Gas'!$B$364:$AL$364),FALSE)</f>
        <v>0</v>
      </c>
      <c r="BF241" s="65">
        <f>BJ241*$CF$172</f>
        <v>0</v>
      </c>
      <c r="BG241" s="65">
        <f>BJ241*$CG$172</f>
        <v>0</v>
      </c>
      <c r="BH241" s="65">
        <f>BJ241*$CH$172</f>
        <v>0</v>
      </c>
      <c r="BI241" s="65">
        <f>BJ241*4-SUM(BF241:BH241)</f>
        <v>0</v>
      </c>
      <c r="BJ241" s="11">
        <f>VLOOKUP($B241,'Woodmac profile - Gas'!$B$452:$AL$478,MATCH('Production - Gas'!BJ$232,'Woodmac profile - Gas'!$B$364:$AL$364),FALSE)</f>
        <v>0</v>
      </c>
      <c r="BK241" s="65">
        <f>BO241*$CF$172</f>
        <v>0</v>
      </c>
      <c r="BL241" s="65">
        <f>BO241*$CG$172</f>
        <v>0</v>
      </c>
      <c r="BM241" s="65">
        <f>BO241*$CH$172</f>
        <v>0</v>
      </c>
      <c r="BN241" s="65">
        <f>BO241*4-SUM(BK241:BM241)</f>
        <v>0</v>
      </c>
      <c r="BO241" s="11">
        <f>VLOOKUP($B241,'Woodmac profile - Gas'!$B$452:$AL$478,MATCH('Production - Gas'!BO$232,'Woodmac profile - Gas'!$B$364:$AL$364),FALSE)</f>
        <v>0</v>
      </c>
      <c r="BP241" s="65">
        <f>BT241*$CF$172</f>
        <v>0</v>
      </c>
      <c r="BQ241" s="65">
        <f>BT241*$CG$172</f>
        <v>0</v>
      </c>
      <c r="BR241" s="65">
        <f>BT241*$CH$172</f>
        <v>0</v>
      </c>
      <c r="BS241" s="65">
        <f>BT241*4-SUM(BP241:BR241)</f>
        <v>0</v>
      </c>
      <c r="BT241" s="11">
        <f>VLOOKUP($B241,'Woodmac profile - Gas'!$B$452:$AL$478,MATCH('Production - Gas'!BT$232,'Woodmac profile - Gas'!$B$364:$AL$364),FALSE)</f>
        <v>0</v>
      </c>
      <c r="BU241" s="65">
        <f>BY241*$CF$172</f>
        <v>0</v>
      </c>
      <c r="BV241" s="65">
        <f>BY241*$CG$172</f>
        <v>0</v>
      </c>
      <c r="BW241" s="65">
        <f>BY241*$CH$172</f>
        <v>0</v>
      </c>
      <c r="BX241" s="65">
        <f>BY241*4-SUM(BU241:BW241)</f>
        <v>0</v>
      </c>
      <c r="BY241" s="11">
        <f>VLOOKUP($B241,'Woodmac profile - Gas'!$B$452:$AL$478,MATCH('Production - Gas'!BY$232,'Woodmac profile - Gas'!$B$364:$AL$364),FALSE)</f>
        <v>0</v>
      </c>
      <c r="BZ241" s="65">
        <f>CD241*$CF$172</f>
        <v>0</v>
      </c>
      <c r="CA241" s="65">
        <f>CD241*$CG$172</f>
        <v>0</v>
      </c>
      <c r="CB241" s="65">
        <f>CD241*$CH$172</f>
        <v>0</v>
      </c>
      <c r="CC241" s="65">
        <f>CD241*4-SUM(BZ241:CB241)</f>
        <v>0</v>
      </c>
      <c r="CD241" s="11">
        <f>VLOOKUP($B241,'Woodmac profile - Gas'!$B$452:$AL$478,MATCH('Production - Gas'!CD$232,'Woodmac profile - Gas'!$B$364:$AL$364),FALSE)</f>
        <v>0</v>
      </c>
      <c r="CE241" s="5"/>
      <c r="CF241" s="5"/>
      <c r="CG241" s="5"/>
      <c r="CH241" s="5"/>
      <c r="CI241" s="5"/>
    </row>
    <row r="242" spans="1:87">
      <c r="A242" s="39" t="s">
        <v>1993</v>
      </c>
      <c r="B242" s="39"/>
      <c r="C242" s="39">
        <f>SUM(C240:C241)</f>
        <v>0</v>
      </c>
      <c r="D242" s="39">
        <f>SUM(D240:D241)</f>
        <v>0</v>
      </c>
      <c r="E242" s="39">
        <f>SUM(E240:E241)</f>
        <v>0</v>
      </c>
      <c r="F242" s="39">
        <f>SUM(F240:F241)</f>
        <v>0</v>
      </c>
      <c r="G242" s="39">
        <f>SUM(G240:G241)</f>
        <v>0</v>
      </c>
      <c r="H242" s="80">
        <f>G242+(L242-G242)/4</f>
        <v>0</v>
      </c>
      <c r="I242" s="80">
        <f>H242+(L242-G242)/2</f>
        <v>0</v>
      </c>
      <c r="J242" s="80">
        <f>I242+(L242-G242)/2</f>
        <v>0</v>
      </c>
      <c r="K242" s="80">
        <f>J242+(L242-G242)/2</f>
        <v>0</v>
      </c>
      <c r="L242" s="39">
        <f t="shared" ref="L242:AQ242" si="180">SUM(L240:L241)</f>
        <v>0</v>
      </c>
      <c r="M242" s="80">
        <f t="shared" si="180"/>
        <v>0</v>
      </c>
      <c r="N242" s="80">
        <f t="shared" si="180"/>
        <v>0</v>
      </c>
      <c r="O242" s="80">
        <f t="shared" si="180"/>
        <v>0</v>
      </c>
      <c r="P242" s="80">
        <f t="shared" si="180"/>
        <v>0</v>
      </c>
      <c r="Q242" s="39">
        <f t="shared" si="180"/>
        <v>0</v>
      </c>
      <c r="R242" s="80">
        <f t="shared" si="180"/>
        <v>0</v>
      </c>
      <c r="S242" s="80">
        <f t="shared" si="180"/>
        <v>0</v>
      </c>
      <c r="T242" s="80">
        <f t="shared" si="180"/>
        <v>0</v>
      </c>
      <c r="U242" s="80">
        <f t="shared" si="180"/>
        <v>0</v>
      </c>
      <c r="V242" s="39">
        <f t="shared" si="180"/>
        <v>0</v>
      </c>
      <c r="W242" s="80">
        <f t="shared" si="180"/>
        <v>0</v>
      </c>
      <c r="X242" s="80">
        <f t="shared" si="180"/>
        <v>0</v>
      </c>
      <c r="Y242" s="80">
        <f t="shared" si="180"/>
        <v>0</v>
      </c>
      <c r="Z242" s="80">
        <f t="shared" si="180"/>
        <v>0</v>
      </c>
      <c r="AA242" s="39">
        <f t="shared" si="180"/>
        <v>0</v>
      </c>
      <c r="AB242" s="80">
        <f t="shared" si="180"/>
        <v>0</v>
      </c>
      <c r="AC242" s="80">
        <f t="shared" si="180"/>
        <v>0</v>
      </c>
      <c r="AD242" s="80">
        <f t="shared" si="180"/>
        <v>0</v>
      </c>
      <c r="AE242" s="80">
        <f t="shared" si="180"/>
        <v>0</v>
      </c>
      <c r="AF242" s="39">
        <f t="shared" si="180"/>
        <v>0</v>
      </c>
      <c r="AG242" s="80">
        <f t="shared" si="180"/>
        <v>0</v>
      </c>
      <c r="AH242" s="80">
        <f t="shared" si="180"/>
        <v>0</v>
      </c>
      <c r="AI242" s="80">
        <f t="shared" si="180"/>
        <v>0</v>
      </c>
      <c r="AJ242" s="80">
        <f t="shared" si="180"/>
        <v>0</v>
      </c>
      <c r="AK242" s="39">
        <f t="shared" si="180"/>
        <v>0</v>
      </c>
      <c r="AL242" s="80">
        <f t="shared" si="180"/>
        <v>0</v>
      </c>
      <c r="AM242" s="80">
        <f t="shared" si="180"/>
        <v>0</v>
      </c>
      <c r="AN242" s="80">
        <f t="shared" si="180"/>
        <v>0</v>
      </c>
      <c r="AO242" s="80">
        <f t="shared" si="180"/>
        <v>0</v>
      </c>
      <c r="AP242" s="39">
        <f t="shared" si="180"/>
        <v>0</v>
      </c>
      <c r="AQ242" s="80">
        <f t="shared" si="180"/>
        <v>0</v>
      </c>
      <c r="AR242" s="80">
        <f t="shared" ref="AR242:BW242" si="181">SUM(AR240:AR241)</f>
        <v>0</v>
      </c>
      <c r="AS242" s="80">
        <f t="shared" si="181"/>
        <v>0</v>
      </c>
      <c r="AT242" s="80">
        <f t="shared" si="181"/>
        <v>0</v>
      </c>
      <c r="AU242" s="39">
        <f t="shared" si="181"/>
        <v>0</v>
      </c>
      <c r="AV242" s="80">
        <f t="shared" si="181"/>
        <v>0</v>
      </c>
      <c r="AW242" s="80">
        <f t="shared" si="181"/>
        <v>0</v>
      </c>
      <c r="AX242" s="80">
        <f t="shared" si="181"/>
        <v>0</v>
      </c>
      <c r="AY242" s="80">
        <f t="shared" si="181"/>
        <v>0</v>
      </c>
      <c r="AZ242" s="39">
        <f>SUM(AZ240:AZ241)</f>
        <v>0</v>
      </c>
      <c r="BA242" s="80">
        <f t="shared" si="181"/>
        <v>0</v>
      </c>
      <c r="BB242" s="80">
        <f t="shared" si="181"/>
        <v>0</v>
      </c>
      <c r="BC242" s="80">
        <f t="shared" si="181"/>
        <v>0</v>
      </c>
      <c r="BD242" s="80">
        <f t="shared" si="181"/>
        <v>0</v>
      </c>
      <c r="BE242" s="39">
        <f t="shared" si="181"/>
        <v>0</v>
      </c>
      <c r="BF242" s="80">
        <f t="shared" si="181"/>
        <v>0</v>
      </c>
      <c r="BG242" s="80">
        <f t="shared" si="181"/>
        <v>0</v>
      </c>
      <c r="BH242" s="80">
        <f t="shared" si="181"/>
        <v>0</v>
      </c>
      <c r="BI242" s="80">
        <f t="shared" si="181"/>
        <v>0</v>
      </c>
      <c r="BJ242" s="39">
        <f t="shared" si="181"/>
        <v>0</v>
      </c>
      <c r="BK242" s="80">
        <f t="shared" si="181"/>
        <v>0</v>
      </c>
      <c r="BL242" s="80">
        <f t="shared" si="181"/>
        <v>0</v>
      </c>
      <c r="BM242" s="80">
        <f t="shared" si="181"/>
        <v>0</v>
      </c>
      <c r="BN242" s="80">
        <f t="shared" si="181"/>
        <v>0</v>
      </c>
      <c r="BO242" s="39">
        <f t="shared" si="181"/>
        <v>0</v>
      </c>
      <c r="BP242" s="80">
        <f t="shared" si="181"/>
        <v>0</v>
      </c>
      <c r="BQ242" s="80">
        <f t="shared" si="181"/>
        <v>0</v>
      </c>
      <c r="BR242" s="80">
        <f t="shared" si="181"/>
        <v>0</v>
      </c>
      <c r="BS242" s="80">
        <f t="shared" si="181"/>
        <v>0</v>
      </c>
      <c r="BT242" s="39">
        <f t="shared" si="181"/>
        <v>0</v>
      </c>
      <c r="BU242" s="80">
        <f t="shared" si="181"/>
        <v>0</v>
      </c>
      <c r="BV242" s="80">
        <f t="shared" si="181"/>
        <v>0</v>
      </c>
      <c r="BW242" s="80">
        <f t="shared" si="181"/>
        <v>0</v>
      </c>
      <c r="BX242" s="80">
        <f t="shared" ref="BX242:CD242" si="182">SUM(BX240:BX241)</f>
        <v>0</v>
      </c>
      <c r="BY242" s="39">
        <f t="shared" si="182"/>
        <v>0</v>
      </c>
      <c r="BZ242" s="80">
        <f t="shared" si="182"/>
        <v>0</v>
      </c>
      <c r="CA242" s="80">
        <f t="shared" si="182"/>
        <v>0</v>
      </c>
      <c r="CB242" s="80">
        <f t="shared" si="182"/>
        <v>0</v>
      </c>
      <c r="CC242" s="80">
        <f t="shared" si="182"/>
        <v>0</v>
      </c>
      <c r="CD242" s="39">
        <f t="shared" si="182"/>
        <v>0</v>
      </c>
      <c r="CE242" s="5"/>
      <c r="CF242" s="5"/>
      <c r="CG242" s="5"/>
      <c r="CH242" s="5"/>
      <c r="CI242" s="5"/>
    </row>
    <row r="243" spans="1:87">
      <c r="A243" s="11"/>
      <c r="B243" s="11"/>
      <c r="C243" s="11"/>
      <c r="D243" s="11"/>
      <c r="E243" s="11"/>
      <c r="F243" s="11"/>
      <c r="G243" s="11"/>
      <c r="H243" s="80"/>
      <c r="I243" s="80"/>
      <c r="J243" s="80"/>
      <c r="K243" s="80"/>
      <c r="L243" s="11"/>
      <c r="M243" s="68"/>
      <c r="N243" s="68"/>
      <c r="O243" s="68"/>
      <c r="P243" s="68"/>
      <c r="Q243" s="11"/>
      <c r="R243" s="68"/>
      <c r="S243" s="68"/>
      <c r="T243" s="68"/>
      <c r="U243" s="68"/>
      <c r="V243" s="11"/>
      <c r="W243" s="68"/>
      <c r="X243" s="68"/>
      <c r="Y243" s="68"/>
      <c r="Z243" s="68"/>
      <c r="AA243" s="11"/>
      <c r="AB243" s="68"/>
      <c r="AC243" s="68"/>
      <c r="AD243" s="68"/>
      <c r="AE243" s="68"/>
      <c r="AF243" s="11"/>
      <c r="AG243" s="68"/>
      <c r="AH243" s="68"/>
      <c r="AI243" s="68"/>
      <c r="AJ243" s="68"/>
      <c r="AK243" s="11"/>
      <c r="AL243" s="68"/>
      <c r="AM243" s="68"/>
      <c r="AN243" s="68"/>
      <c r="AO243" s="68"/>
      <c r="AP243" s="11"/>
      <c r="AQ243" s="68"/>
      <c r="AR243" s="68"/>
      <c r="AS243" s="68"/>
      <c r="AT243" s="68"/>
      <c r="AU243" s="11"/>
      <c r="AV243" s="68"/>
      <c r="AW243" s="68"/>
      <c r="AX243" s="68"/>
      <c r="AY243" s="68"/>
      <c r="AZ243" s="11"/>
      <c r="BA243" s="68"/>
      <c r="BB243" s="68"/>
      <c r="BC243" s="68"/>
      <c r="BD243" s="68"/>
      <c r="BE243" s="11"/>
      <c r="BF243" s="68"/>
      <c r="BG243" s="68"/>
      <c r="BH243" s="68"/>
      <c r="BI243" s="68"/>
      <c r="BJ243" s="11"/>
      <c r="BK243" s="68"/>
      <c r="BL243" s="68"/>
      <c r="BM243" s="68"/>
      <c r="BN243" s="68"/>
      <c r="BO243" s="11"/>
      <c r="BP243" s="68"/>
      <c r="BQ243" s="68"/>
      <c r="BR243" s="68"/>
      <c r="BS243" s="68"/>
      <c r="BT243" s="11"/>
      <c r="BU243" s="68"/>
      <c r="BV243" s="68"/>
      <c r="BW243" s="68"/>
      <c r="BX243" s="68"/>
      <c r="BY243" s="11"/>
      <c r="BZ243" s="68"/>
      <c r="CA243" s="68"/>
      <c r="CB243" s="68"/>
      <c r="CC243" s="68"/>
      <c r="CD243" s="11"/>
      <c r="CE243" s="5"/>
      <c r="CF243" s="5"/>
      <c r="CG243" s="5"/>
      <c r="CH243" s="5"/>
      <c r="CI243" s="5"/>
    </row>
    <row r="244" spans="1:87">
      <c r="A244" s="39" t="s">
        <v>1994</v>
      </c>
      <c r="B244" s="11"/>
      <c r="C244" s="11"/>
      <c r="D244" s="11"/>
      <c r="E244" s="11"/>
      <c r="F244" s="11"/>
      <c r="G244" s="11"/>
      <c r="H244" s="80"/>
      <c r="I244" s="80"/>
      <c r="J244" s="80"/>
      <c r="K244" s="80"/>
      <c r="L244" s="11"/>
      <c r="M244" s="68"/>
      <c r="N244" s="68"/>
      <c r="O244" s="68"/>
      <c r="P244" s="68"/>
      <c r="Q244" s="11"/>
      <c r="R244" s="68"/>
      <c r="S244" s="68"/>
      <c r="T244" s="68"/>
      <c r="U244" s="68"/>
      <c r="V244" s="11"/>
      <c r="W244" s="68"/>
      <c r="X244" s="68"/>
      <c r="Y244" s="68"/>
      <c r="Z244" s="68"/>
      <c r="AA244" s="11"/>
      <c r="AB244" s="68"/>
      <c r="AC244" s="68"/>
      <c r="AD244" s="68"/>
      <c r="AE244" s="68"/>
      <c r="AF244" s="11"/>
      <c r="AG244" s="68"/>
      <c r="AH244" s="68"/>
      <c r="AI244" s="68"/>
      <c r="AJ244" s="68"/>
      <c r="AK244" s="11"/>
      <c r="AL244" s="68"/>
      <c r="AM244" s="68"/>
      <c r="AN244" s="68"/>
      <c r="AO244" s="68"/>
      <c r="AP244" s="11"/>
      <c r="AQ244" s="68"/>
      <c r="AR244" s="68"/>
      <c r="AS244" s="68"/>
      <c r="AT244" s="68"/>
      <c r="AU244" s="11"/>
      <c r="AV244" s="68"/>
      <c r="AW244" s="68"/>
      <c r="AX244" s="68"/>
      <c r="AY244" s="68"/>
      <c r="AZ244" s="11"/>
      <c r="BA244" s="68"/>
      <c r="BB244" s="68"/>
      <c r="BC244" s="68"/>
      <c r="BD244" s="68"/>
      <c r="BE244" s="11"/>
      <c r="BF244" s="68"/>
      <c r="BG244" s="68"/>
      <c r="BH244" s="68"/>
      <c r="BI244" s="68"/>
      <c r="BJ244" s="11"/>
      <c r="BK244" s="68"/>
      <c r="BL244" s="68"/>
      <c r="BM244" s="68"/>
      <c r="BN244" s="68"/>
      <c r="BO244" s="11"/>
      <c r="BP244" s="68"/>
      <c r="BQ244" s="68"/>
      <c r="BR244" s="68"/>
      <c r="BS244" s="68"/>
      <c r="BT244" s="11"/>
      <c r="BU244" s="68"/>
      <c r="BV244" s="68"/>
      <c r="BW244" s="68"/>
      <c r="BX244" s="68"/>
      <c r="BY244" s="11"/>
      <c r="BZ244" s="68"/>
      <c r="CA244" s="68"/>
      <c r="CB244" s="68"/>
      <c r="CC244" s="68"/>
      <c r="CD244" s="11"/>
      <c r="CE244" s="5"/>
      <c r="CF244" s="5"/>
      <c r="CG244" s="5"/>
      <c r="CH244" s="5"/>
      <c r="CI244" s="5"/>
    </row>
    <row r="245" spans="1:87">
      <c r="A245" s="47"/>
      <c r="B245" s="47" t="s">
        <v>2921</v>
      </c>
      <c r="C245" s="47"/>
      <c r="D245" s="47"/>
      <c r="E245" s="47">
        <f>VLOOKUP($B245,'Woodmac profile - Gas'!$B$452:$AL$478,MATCH('Production - Gas'!E$232,'Woodmac profile - Gas'!$B$364:$AL$364),FALSE)</f>
        <v>270.03000000000003</v>
      </c>
      <c r="F245" s="47">
        <f>VLOOKUP($B245,'Woodmac profile - Gas'!$B$452:$AL$478,MATCH('Production - Gas'!F$232,'Woodmac profile - Gas'!$B$364:$AL$364),FALSE)</f>
        <v>314.42999999999995</v>
      </c>
      <c r="G245" s="47">
        <f>VLOOKUP($B245,'Woodmac profile - Gas'!$B$452:$AL$478,MATCH('Production - Gas'!G$232,'Woodmac profile - Gas'!$B$364:$AL$364),FALSE)</f>
        <v>345.87600000000003</v>
      </c>
      <c r="H245" s="86">
        <f>G245+(L245-G245)/4</f>
        <v>353.33850000000001</v>
      </c>
      <c r="I245" s="86">
        <f>H245+(L245-G245)/2</f>
        <v>368.26350000000002</v>
      </c>
      <c r="J245" s="86">
        <f>I245+(L245-G245)/2</f>
        <v>383.18849999999998</v>
      </c>
      <c r="K245" s="86">
        <f>J245+(L245-G245)/2</f>
        <v>398.11349999999993</v>
      </c>
      <c r="L245" s="47">
        <f>VLOOKUP($B245,'Woodmac profile - Gas'!$B$452:$AL$478,MATCH('Production - Gas'!L$232,'Woodmac profile - Gas'!$B$364:$AL$364),FALSE)</f>
        <v>375.726</v>
      </c>
      <c r="M245" s="65">
        <f t="shared" ref="M245:O250" si="183">$Q245*M$172</f>
        <v>365.67388265198053</v>
      </c>
      <c r="N245" s="65">
        <f t="shared" si="183"/>
        <v>341.0429993645414</v>
      </c>
      <c r="O245" s="65">
        <f t="shared" si="183"/>
        <v>357.79200000000003</v>
      </c>
      <c r="P245" s="65">
        <f>Q245*4-SUM(M245:O245)</f>
        <v>366.65911798347815</v>
      </c>
      <c r="Q245" s="47">
        <f>VLOOKUP($B245,'Woodmac profile - Gas'!$B$452:$AL$478,MATCH('Production - Gas'!Q$232,'Woodmac profile - Gas'!$B$364:$AL$364),FALSE)</f>
        <v>357.79200000000003</v>
      </c>
      <c r="R245" s="65">
        <f>V245*R$172</f>
        <v>374.04450093148415</v>
      </c>
      <c r="S245" s="65">
        <f>V245*S$172</f>
        <v>374.90043800455391</v>
      </c>
      <c r="T245" s="65">
        <f>V245*T$172</f>
        <v>374.35575077623679</v>
      </c>
      <c r="U245" s="65">
        <f>V245*4-SUM(R245:T245)</f>
        <v>380.34731028772512</v>
      </c>
      <c r="V245" s="47">
        <f>VLOOKUP($B245,'Woodmac profile - Gas'!$B$452:$AL$478,MATCH('Production - Gas'!V$232,'Woodmac profile - Gas'!$B$364:$AL$364),FALSE)</f>
        <v>375.91199999999998</v>
      </c>
      <c r="W245" s="65">
        <f>AA245*W$172</f>
        <v>366.49216051884883</v>
      </c>
      <c r="X245" s="65">
        <f>AA245*X$172</f>
        <v>373.07895419537903</v>
      </c>
      <c r="Y245" s="65">
        <f>AA245*Y$172</f>
        <v>349.84015403323878</v>
      </c>
      <c r="Z245" s="65">
        <f>AA245*4-SUM(W245:Y245)</f>
        <v>371.22873125253341</v>
      </c>
      <c r="AA245" s="47">
        <f>VLOOKUP($B245,'Woodmac profile - Gas'!$B$452:$AL$478,MATCH('Production - Gas'!AA$232,'Woodmac profile - Gas'!$B$364:$AL$364),FALSE)</f>
        <v>365.16</v>
      </c>
      <c r="AB245" s="65">
        <f>AF245*AB$172</f>
        <v>363.11071001964632</v>
      </c>
      <c r="AC245" s="65">
        <f>AF245*AC$172</f>
        <v>358.77357406679761</v>
      </c>
      <c r="AD245" s="65">
        <f>AF245*AD$172</f>
        <v>371.14507662082508</v>
      </c>
      <c r="AE245" s="65">
        <f>AF245*4-SUM(AB245:AD245)</f>
        <v>354.57863929273094</v>
      </c>
      <c r="AF245" s="47">
        <f>VLOOKUP($B245,'Woodmac profile - Gas'!$B$452:$AL$478,MATCH('Production - Gas'!AF$232,'Woodmac profile - Gas'!$B$364:$AL$364),FALSE)</f>
        <v>361.90199999999999</v>
      </c>
      <c r="AG245" s="65">
        <f t="shared" ref="AG245:AG250" si="184">AK245*$CF$172</f>
        <v>365.15254446975712</v>
      </c>
      <c r="AH245" s="65">
        <f t="shared" ref="AH245:AH250" si="185">AK245*$CG$172</f>
        <v>355.51334750382188</v>
      </c>
      <c r="AI245" s="65">
        <f t="shared" ref="AI245:AI250" si="186">AK245*$CH$172</f>
        <v>358.02520734920819</v>
      </c>
      <c r="AJ245" s="65">
        <f t="shared" ref="AJ245:AJ250" si="187">AK245*4-SUM(AG245:AI245)</f>
        <v>362.34090067721309</v>
      </c>
      <c r="AK245" s="47">
        <f>VLOOKUP($B245,'Woodmac profile - Gas'!$B$452:$AL$478,MATCH('Production - Gas'!AK$232,'Woodmac profile - Gas'!$B$364:$AL$364),FALSE)</f>
        <v>360.25800000000004</v>
      </c>
      <c r="AL245" s="65">
        <f t="shared" ref="AL245:AL250" si="188">AP245*$CF$172</f>
        <v>349.55953406020961</v>
      </c>
      <c r="AM245" s="65">
        <f t="shared" ref="AM245:AM250" si="189">AP245*$CG$172</f>
        <v>340.33195711693577</v>
      </c>
      <c r="AN245" s="65">
        <f t="shared" ref="AN245:AN250" si="190">AP245*$CH$172</f>
        <v>342.73655369027415</v>
      </c>
      <c r="AO245" s="65">
        <f t="shared" ref="AO245:AO250" si="191">AP245*4-SUM(AL245:AN245)</f>
        <v>346.86795513258039</v>
      </c>
      <c r="AP245" s="47">
        <f>VLOOKUP($B245,'Woodmac profile - Gas'!$B$452:$AL$478,MATCH('Production - Gas'!AP$232,'Woodmac profile - Gas'!$B$364:$AL$364),FALSE)</f>
        <v>344.87399999999997</v>
      </c>
      <c r="AQ245" s="65">
        <f t="shared" ref="AQ245:AQ250" si="192">AU245*$CF$172</f>
        <v>321.12844058726336</v>
      </c>
      <c r="AR245" s="65">
        <f t="shared" ref="AR245:AR250" si="193">AU245*$CG$172</f>
        <v>312.65137987095596</v>
      </c>
      <c r="AS245" s="65">
        <f t="shared" ref="AS245:AS250" si="194">AU245*$CH$172</f>
        <v>314.86040086050974</v>
      </c>
      <c r="AT245" s="65">
        <f t="shared" ref="AT245:AT250" si="195">AU245*4-SUM(AQ245:AS245)</f>
        <v>318.65577868127093</v>
      </c>
      <c r="AU245" s="47">
        <f>VLOOKUP($B245,'Woodmac profile - Gas'!$B$452:$AL$478,MATCH('Production - Gas'!AU$232,'Woodmac profile - Gas'!$B$364:$AL$364),FALSE)</f>
        <v>316.82400000000001</v>
      </c>
      <c r="AV245" s="65">
        <f t="shared" ref="AV245:AV250" si="196">AZ245*$CF$172</f>
        <v>313.00353344718712</v>
      </c>
      <c r="AW245" s="65">
        <f t="shared" ref="AW245:AW250" si="197">AZ245*$CG$172</f>
        <v>304.74095180665023</v>
      </c>
      <c r="AX245" s="65">
        <f t="shared" ref="AX245:AX250" si="198">AZ245*$CH$172</f>
        <v>306.8940821053086</v>
      </c>
      <c r="AY245" s="65">
        <f t="shared" ref="AY245:AY250" si="199">AZ245*4-SUM(AV245:AX245)</f>
        <v>310.59343264085396</v>
      </c>
      <c r="AZ245" s="47">
        <f>VLOOKUP($B245,'Woodmac profile - Gas'!$B$452:$AL$478,MATCH('Production - Gas'!AZ$232,'Woodmac profile - Gas'!$B$364:$AL$364),FALSE)</f>
        <v>308.80799999999999</v>
      </c>
      <c r="BA245" s="65">
        <f t="shared" ref="BA245:BA250" si="200">BE245*$CF$172</f>
        <v>332.82319839442391</v>
      </c>
      <c r="BB245" s="65">
        <f t="shared" ref="BB245:BB250" si="201">BE245*$CG$172</f>
        <v>324.03742266112044</v>
      </c>
      <c r="BC245" s="65">
        <f t="shared" ref="BC245:BC250" si="202">BE245*$CH$172</f>
        <v>326.32689110471017</v>
      </c>
      <c r="BD245" s="65">
        <f t="shared" ref="BD245:BD250" si="203">BE245*4-SUM(BA245:BC245)</f>
        <v>330.26048783974534</v>
      </c>
      <c r="BE245" s="47">
        <f>VLOOKUP($B245,'Woodmac profile - Gas'!$B$452:$AL$478,MATCH('Production - Gas'!BE$232,'Woodmac profile - Gas'!$B$364:$AL$364),FALSE)</f>
        <v>328.36199999999997</v>
      </c>
      <c r="BF245" s="65">
        <f t="shared" ref="BF245:BF250" si="204">BJ245*$CF$172</f>
        <v>346.67081333301189</v>
      </c>
      <c r="BG245" s="65">
        <f t="shared" ref="BG245:BG250" si="205">BJ245*$CG$172</f>
        <v>337.51949204916241</v>
      </c>
      <c r="BH245" s="65">
        <f t="shared" ref="BH245:BH250" si="206">BJ245*$CH$172</f>
        <v>339.90421730650132</v>
      </c>
      <c r="BI245" s="65">
        <f t="shared" ref="BI245:BI250" si="207">BJ245*4-SUM(BF245:BH245)</f>
        <v>344.00147731132438</v>
      </c>
      <c r="BJ245" s="47">
        <f>VLOOKUP($B245,'Woodmac profile - Gas'!$B$452:$AL$478,MATCH('Production - Gas'!BJ$232,'Woodmac profile - Gas'!$B$364:$AL$364),FALSE)</f>
        <v>342.024</v>
      </c>
      <c r="BK245" s="65">
        <f t="shared" ref="BK245:BK250" si="208">BO245*$CF$172</f>
        <v>310.18069582429393</v>
      </c>
      <c r="BL245" s="65">
        <f t="shared" ref="BL245:BL250" si="209">BO245*$CG$172</f>
        <v>301.99263067901916</v>
      </c>
      <c r="BM245" s="65">
        <f t="shared" ref="BM245:BM250" si="210">BO245*$CH$172</f>
        <v>304.12634286713057</v>
      </c>
      <c r="BN245" s="65">
        <f t="shared" ref="BN245:BN250" si="211">BO245*4-SUM(BK245:BM245)</f>
        <v>307.79233062955643</v>
      </c>
      <c r="BO245" s="47">
        <f>VLOOKUP($B245,'Woodmac profile - Gas'!$B$452:$AL$478,MATCH('Production - Gas'!BO$232,'Woodmac profile - Gas'!$B$364:$AL$364),FALSE)</f>
        <v>306.02300000000002</v>
      </c>
      <c r="BP245" s="65">
        <f t="shared" ref="BP245:BP250" si="212">BT245*$CF$172</f>
        <v>277.12460842917102</v>
      </c>
      <c r="BQ245" s="65">
        <f t="shared" ref="BQ245:BQ250" si="213">BT245*$CG$172</f>
        <v>269.80914883505693</v>
      </c>
      <c r="BR245" s="65">
        <f t="shared" ref="BR245:BR250" si="214">BT245*$CH$172</f>
        <v>271.71547041660978</v>
      </c>
      <c r="BS245" s="65">
        <f t="shared" ref="BS245:BS250" si="215">BT245*4-SUM(BP245:BR245)</f>
        <v>274.99077231916226</v>
      </c>
      <c r="BT245" s="47">
        <f>VLOOKUP($B245,'Woodmac profile - Gas'!$B$452:$AL$478,MATCH('Production - Gas'!BT$232,'Woodmac profile - Gas'!$B$364:$AL$364),FALSE)</f>
        <v>273.41000000000003</v>
      </c>
      <c r="BU245" s="65">
        <f t="shared" ref="BU245:BU250" si="216">BY245*$CF$172</f>
        <v>288.45143443844637</v>
      </c>
      <c r="BV245" s="65">
        <f t="shared" ref="BV245:BV250" si="217">BY245*$CG$172</f>
        <v>280.83697239027344</v>
      </c>
      <c r="BW245" s="65">
        <f t="shared" ref="BW245:BW250" si="218">BY245*$CH$172</f>
        <v>282.82121044771912</v>
      </c>
      <c r="BX245" s="65">
        <f t="shared" ref="BX245:BX250" si="219">BY245*4-SUM(BU245:BW245)</f>
        <v>286.23038272356098</v>
      </c>
      <c r="BY245" s="47">
        <f>VLOOKUP($B245,'Woodmac profile - Gas'!$B$452:$AL$478,MATCH('Production - Gas'!BY$232,'Woodmac profile - Gas'!$B$364:$AL$364),FALSE)</f>
        <v>284.58499999999998</v>
      </c>
      <c r="BZ245" s="65">
        <f t="shared" ref="BZ245:BZ250" si="220">CD245*$CF$172</f>
        <v>304.4154174045392</v>
      </c>
      <c r="CA245" s="65">
        <f t="shared" ref="CA245:CA250" si="221">CD245*$CG$172</f>
        <v>296.37954250165251</v>
      </c>
      <c r="CB245" s="65">
        <f t="shared" ref="CB245:CB250" si="222">CD245*$CH$172</f>
        <v>298.47359572646388</v>
      </c>
      <c r="CC245" s="65">
        <f t="shared" ref="CC245:CC250" si="223">CD245*4-SUM(BZ245:CB245)</f>
        <v>302.07144436734438</v>
      </c>
      <c r="CD245" s="47">
        <f>VLOOKUP($B245,'Woodmac profile - Gas'!$B$452:$AL$478,MATCH('Production - Gas'!CD$232,'Woodmac profile - Gas'!$B$364:$AL$364),FALSE)</f>
        <v>300.33499999999998</v>
      </c>
      <c r="CE245" s="13"/>
      <c r="CF245" s="13"/>
      <c r="CG245" s="13"/>
      <c r="CH245" s="13"/>
      <c r="CI245" s="13"/>
    </row>
    <row r="246" spans="1:87">
      <c r="A246" s="47"/>
      <c r="B246" s="47" t="s">
        <v>785</v>
      </c>
      <c r="C246" s="47"/>
      <c r="D246" s="47"/>
      <c r="E246" s="47">
        <f>VLOOKUP($B246,'Woodmac profile - Gas'!$B$452:$AL$478,MATCH('Production - Gas'!E$232,'Woodmac profile - Gas'!$B$364:$AL$364),FALSE)</f>
        <v>0</v>
      </c>
      <c r="F246" s="47">
        <f>VLOOKUP($B246,'Woodmac profile - Gas'!$B$452:$AL$478,MATCH('Production - Gas'!F$232,'Woodmac profile - Gas'!$B$364:$AL$364),FALSE)</f>
        <v>1.7999999999999999E-2</v>
      </c>
      <c r="G246" s="47">
        <f>VLOOKUP($B246,'Woodmac profile - Gas'!$B$452:$AL$478,MATCH('Production - Gas'!G$232,'Woodmac profile - Gas'!$B$364:$AL$364),FALSE)</f>
        <v>6.4859999999999998</v>
      </c>
      <c r="H246" s="86">
        <f>G246+(L246-G246)/4</f>
        <v>5.79</v>
      </c>
      <c r="I246" s="86">
        <f>H246+(L246-G246)/2</f>
        <v>4.3979999999999997</v>
      </c>
      <c r="J246" s="86">
        <f>I246+(L246-G246)/2</f>
        <v>3.0059999999999998</v>
      </c>
      <c r="K246" s="86">
        <f>J246+(L246-G246)/2</f>
        <v>1.6139999999999999</v>
      </c>
      <c r="L246" s="47">
        <f>VLOOKUP($B246,'Woodmac profile - Gas'!$B$452:$AL$478,MATCH('Production - Gas'!L$232,'Woodmac profile - Gas'!$B$364:$AL$364),FALSE)</f>
        <v>3.702</v>
      </c>
      <c r="M246" s="65">
        <f>$Q246*M$172</f>
        <v>5.1142342723999148</v>
      </c>
      <c r="N246" s="65">
        <f>$Q246*N$172</f>
        <v>4.7697521711501798</v>
      </c>
      <c r="O246" s="65">
        <f>$Q246*O$172</f>
        <v>5.0039999999999996</v>
      </c>
      <c r="P246" s="65">
        <f>Q246*4-SUM(M246:O246)</f>
        <v>5.1280135564499041</v>
      </c>
      <c r="Q246" s="47">
        <f>VLOOKUP($B246,'Woodmac profile - Gas'!$B$452:$AL$478,MATCH('Production - Gas'!Q$232,'Woodmac profile - Gas'!$B$364:$AL$364),FALSE)</f>
        <v>5.0039999999999996</v>
      </c>
      <c r="R246" s="65">
        <f>V246*R$172</f>
        <v>4.3701809149244468</v>
      </c>
      <c r="S246" s="65">
        <f>V246*S$172</f>
        <v>4.3801813289174092</v>
      </c>
      <c r="T246" s="65">
        <f>V246*T$172</f>
        <v>4.3738174291037053</v>
      </c>
      <c r="U246" s="65">
        <f>V246*4-SUM(R246:T246)</f>
        <v>4.4438203270544392</v>
      </c>
      <c r="V246" s="47">
        <f>VLOOKUP($B246,'Woodmac profile - Gas'!$B$452:$AL$478,MATCH('Production - Gas'!V$232,'Woodmac profile - Gas'!$B$364:$AL$364),FALSE)</f>
        <v>4.3920000000000003</v>
      </c>
      <c r="W246" s="65">
        <f>AA246*W$172</f>
        <v>4.3779132549655451</v>
      </c>
      <c r="X246" s="65">
        <f>AA246*X$172</f>
        <v>4.4565954600729629</v>
      </c>
      <c r="Y246" s="65">
        <f>AA246*Y$172</f>
        <v>4.1789975678962303</v>
      </c>
      <c r="Z246" s="65">
        <f>AA246*4-SUM(W246:Y246)</f>
        <v>4.4344937170652621</v>
      </c>
      <c r="AA246" s="47">
        <f>VLOOKUP($B246,'Woodmac profile - Gas'!$B$452:$AL$478,MATCH('Production - Gas'!AA$232,'Woodmac profile - Gas'!$B$364:$AL$364),FALSE)</f>
        <v>4.3620000000000001</v>
      </c>
      <c r="AB246" s="65">
        <f>AF246*AB$172</f>
        <v>5.3397748526522593</v>
      </c>
      <c r="AC246" s="65">
        <f>AF246*AC$172</f>
        <v>5.2759944990176821</v>
      </c>
      <c r="AD246" s="65">
        <f>AF246*AD$172</f>
        <v>5.4579253438113948</v>
      </c>
      <c r="AE246" s="65">
        <f>AF246*4-SUM(AB246:AD246)</f>
        <v>5.214305304518664</v>
      </c>
      <c r="AF246" s="47">
        <f>VLOOKUP($B246,'Woodmac profile - Gas'!$B$452:$AL$478,MATCH('Production - Gas'!AF$232,'Woodmac profile - Gas'!$B$364:$AL$364),FALSE)</f>
        <v>5.3220000000000001</v>
      </c>
      <c r="AG246" s="65">
        <f>AK246*$CF$172</f>
        <v>7.0606416090033468</v>
      </c>
      <c r="AH246" s="65">
        <f>AK246*$CG$172</f>
        <v>6.8742567235470773</v>
      </c>
      <c r="AI246" s="65">
        <f>AK246*$CH$172</f>
        <v>6.922826403284823</v>
      </c>
      <c r="AJ246" s="65">
        <f>AK246*4-SUM(AG246:AI246)</f>
        <v>7.0062752641647528</v>
      </c>
      <c r="AK246" s="47">
        <f>VLOOKUP($B246,'Woodmac profile - Gas'!$B$452:$AL$478,MATCH('Production - Gas'!AK$232,'Woodmac profile - Gas'!$B$364:$AL$364),FALSE)</f>
        <v>6.9660000000000002</v>
      </c>
      <c r="AL246" s="65">
        <f>AP246*$CF$172</f>
        <v>17.587748090643995</v>
      </c>
      <c r="AM246" s="65">
        <f>AP246*$CG$172</f>
        <v>17.123471528422176</v>
      </c>
      <c r="AN246" s="65">
        <f>AP246*$CH$172</f>
        <v>17.244456467097081</v>
      </c>
      <c r="AO246" s="65">
        <f>AP246*4-SUM(AL246:AN246)</f>
        <v>17.45232391383675</v>
      </c>
      <c r="AP246" s="47">
        <f>VLOOKUP($B246,'Woodmac profile - Gas'!$B$452:$AL$478,MATCH('Production - Gas'!AP$232,'Woodmac profile - Gas'!$B$364:$AL$364),FALSE)</f>
        <v>17.352</v>
      </c>
      <c r="AQ246" s="65">
        <f>AU246*$CF$172</f>
        <v>28.060120916400898</v>
      </c>
      <c r="AR246" s="65">
        <f>AU246*$CG$172</f>
        <v>27.319397521486835</v>
      </c>
      <c r="AS246" s="65">
        <f>AU246*$CH$172</f>
        <v>27.51242120995364</v>
      </c>
      <c r="AT246" s="65">
        <f>AU246*4-SUM(AQ246:AS246)</f>
        <v>27.844060352158635</v>
      </c>
      <c r="AU246" s="47">
        <f>VLOOKUP($B246,'Woodmac profile - Gas'!$B$452:$AL$478,MATCH('Production - Gas'!AU$232,'Woodmac profile - Gas'!$B$364:$AL$364),FALSE)</f>
        <v>27.684000000000001</v>
      </c>
      <c r="AV246" s="65">
        <f>AZ246*$CF$172</f>
        <v>41.025915843528487</v>
      </c>
      <c r="AW246" s="65">
        <f>AZ246*$CG$172</f>
        <v>39.942924941471645</v>
      </c>
      <c r="AX246" s="65">
        <f>AZ246*$CH$172</f>
        <v>40.225139463014138</v>
      </c>
      <c r="AY246" s="65">
        <f>AZ246*4-SUM(AV246:AX246)</f>
        <v>40.710019751985726</v>
      </c>
      <c r="AZ246" s="47">
        <f>VLOOKUP($B246,'Woodmac profile - Gas'!$B$452:$AL$478,MATCH('Production - Gas'!AZ$232,'Woodmac profile - Gas'!$B$364:$AL$364),FALSE)</f>
        <v>40.475999999999999</v>
      </c>
      <c r="BA246" s="65">
        <f>BE246*$CF$172</f>
        <v>48.183861729658496</v>
      </c>
      <c r="BB246" s="65">
        <f>BE246*$CG$172</f>
        <v>46.911917330459509</v>
      </c>
      <c r="BC246" s="65">
        <f>BE246*$CH$172</f>
        <v>47.243370881331309</v>
      </c>
      <c r="BD246" s="65">
        <f>BE246*4-SUM(BA246:BC246)</f>
        <v>47.81285005855068</v>
      </c>
      <c r="BE246" s="47">
        <f>VLOOKUP($B246,'Woodmac profile - Gas'!$B$452:$AL$478,MATCH('Production - Gas'!BE$232,'Woodmac profile - Gas'!$B$364:$AL$364),FALSE)</f>
        <v>47.537999999999997</v>
      </c>
      <c r="BF246" s="65">
        <f>BJ246*$CF$172</f>
        <v>49.546121609431751</v>
      </c>
      <c r="BG246" s="65">
        <f>BJ246*$CG$172</f>
        <v>48.238216646630519</v>
      </c>
      <c r="BH246" s="65">
        <f>BJ246*$CH$172</f>
        <v>48.579041091784198</v>
      </c>
      <c r="BI246" s="65">
        <f>BJ246*4-SUM(BF246:BH246)</f>
        <v>49.164620652153531</v>
      </c>
      <c r="BJ246" s="47">
        <f>VLOOKUP($B246,'Woodmac profile - Gas'!$B$452:$AL$478,MATCH('Production - Gas'!BJ$232,'Woodmac profile - Gas'!$B$364:$AL$364),FALSE)</f>
        <v>48.881999999999998</v>
      </c>
      <c r="BK246" s="65">
        <f>BO246*$CF$172</f>
        <v>44.998160239980422</v>
      </c>
      <c r="BL246" s="65">
        <f>BO246*$CG$172</f>
        <v>43.81031111712209</v>
      </c>
      <c r="BM246" s="65">
        <f>BO246*$CH$172</f>
        <v>44.119850441261804</v>
      </c>
      <c r="BN246" s="65">
        <f>BO246*4-SUM(BK246:BM246)</f>
        <v>44.65167820163569</v>
      </c>
      <c r="BO246" s="47">
        <f>VLOOKUP($B246,'Woodmac profile - Gas'!$B$452:$AL$478,MATCH('Production - Gas'!BO$232,'Woodmac profile - Gas'!$B$364:$AL$364),FALSE)</f>
        <v>44.395000000000003</v>
      </c>
      <c r="BP246" s="65">
        <f>BT246*$CF$172</f>
        <v>37.44694290046349</v>
      </c>
      <c r="BQ246" s="65">
        <f>BT246*$CG$172</f>
        <v>36.458428746977717</v>
      </c>
      <c r="BR246" s="65">
        <f>BT246*$CH$172</f>
        <v>36.716023753855552</v>
      </c>
      <c r="BS246" s="65">
        <f>BT246*4-SUM(BP246:BR246)</f>
        <v>37.158604598703249</v>
      </c>
      <c r="BT246" s="47">
        <f>VLOOKUP($B246,'Woodmac profile - Gas'!$B$452:$AL$478,MATCH('Production - Gas'!BT$232,'Woodmac profile - Gas'!$B$364:$AL$364),FALSE)</f>
        <v>36.945</v>
      </c>
      <c r="BU246" s="65">
        <f>BY246*$CF$172</f>
        <v>41.511423642941729</v>
      </c>
      <c r="BV246" s="65">
        <f>BY246*$CG$172</f>
        <v>40.415616438827236</v>
      </c>
      <c r="BW246" s="65">
        <f>BY246*$CH$172</f>
        <v>40.70117073593596</v>
      </c>
      <c r="BX246" s="65">
        <f>BY246*4-SUM(BU246:BW246)</f>
        <v>41.191789182295068</v>
      </c>
      <c r="BY246" s="47">
        <f>VLOOKUP($B246,'Woodmac profile - Gas'!$B$452:$AL$478,MATCH('Production - Gas'!BY$232,'Woodmac profile - Gas'!$B$364:$AL$364),FALSE)</f>
        <v>40.954999999999998</v>
      </c>
      <c r="BZ246" s="65">
        <f>CD246*$CF$172</f>
        <v>42.7074553826236</v>
      </c>
      <c r="CA246" s="65">
        <f>CD246*$CG$172</f>
        <v>41.580075659870239</v>
      </c>
      <c r="CB246" s="65">
        <f>CD246*$CH$172</f>
        <v>41.873857379041922</v>
      </c>
      <c r="CC246" s="65">
        <f>CD246*4-SUM(BZ246:CB246)</f>
        <v>42.378611578464231</v>
      </c>
      <c r="CD246" s="47">
        <f>VLOOKUP($B246,'Woodmac profile - Gas'!$B$452:$AL$478,MATCH('Production - Gas'!CD$232,'Woodmac profile - Gas'!$B$364:$AL$364),FALSE)</f>
        <v>42.134999999999998</v>
      </c>
      <c r="CE246" s="13"/>
      <c r="CF246" s="13"/>
      <c r="CG246" s="13"/>
      <c r="CH246" s="13"/>
      <c r="CI246" s="13"/>
    </row>
    <row r="247" spans="1:87">
      <c r="A247" s="47"/>
      <c r="B247" s="47" t="s">
        <v>2428</v>
      </c>
      <c r="C247" s="11">
        <v>0</v>
      </c>
      <c r="D247" s="11">
        <v>0</v>
      </c>
      <c r="E247" s="11">
        <v>0</v>
      </c>
      <c r="F247" s="11">
        <v>0</v>
      </c>
      <c r="G247" s="11">
        <v>0</v>
      </c>
      <c r="H247" s="51"/>
      <c r="I247" s="51"/>
      <c r="J247" s="51"/>
      <c r="K247" s="51"/>
      <c r="L247" s="11">
        <v>0</v>
      </c>
      <c r="M247" s="51"/>
      <c r="N247" s="51"/>
      <c r="O247" s="51"/>
      <c r="P247" s="51"/>
      <c r="Q247" s="11">
        <v>0</v>
      </c>
      <c r="R247" s="51"/>
      <c r="S247" s="51"/>
      <c r="T247" s="51"/>
      <c r="U247" s="51"/>
      <c r="V247" s="11">
        <v>0</v>
      </c>
      <c r="W247" s="51"/>
      <c r="X247" s="51"/>
      <c r="Y247" s="51"/>
      <c r="Z247" s="51"/>
      <c r="AA247" s="11">
        <v>0</v>
      </c>
      <c r="AB247" s="51"/>
      <c r="AC247" s="51"/>
      <c r="AD247" s="51"/>
      <c r="AE247" s="51"/>
      <c r="AF247" s="11">
        <v>0</v>
      </c>
      <c r="AG247" s="65">
        <f t="shared" si="184"/>
        <v>0</v>
      </c>
      <c r="AH247" s="65">
        <f t="shared" si="185"/>
        <v>0</v>
      </c>
      <c r="AI247" s="65">
        <f t="shared" si="186"/>
        <v>0</v>
      </c>
      <c r="AJ247" s="65">
        <f t="shared" si="187"/>
        <v>0</v>
      </c>
      <c r="AK247" s="47">
        <f>VLOOKUP($B247,'Woodmac profile - Gas'!$B$452:$AL$478,MATCH('Production - Gas'!AK$232,'Woodmac profile - Gas'!$B$364:$AL$364),FALSE)</f>
        <v>0</v>
      </c>
      <c r="AL247" s="65">
        <f t="shared" si="188"/>
        <v>0</v>
      </c>
      <c r="AM247" s="65">
        <f t="shared" si="189"/>
        <v>0</v>
      </c>
      <c r="AN247" s="65">
        <f t="shared" si="190"/>
        <v>0</v>
      </c>
      <c r="AO247" s="65">
        <f t="shared" si="191"/>
        <v>0</v>
      </c>
      <c r="AP247" s="47">
        <f>VLOOKUP($B247,'Woodmac profile - Gas'!$B$452:$AL$478,MATCH('Production - Gas'!AP$232,'Woodmac profile - Gas'!$B$364:$AL$364),FALSE)</f>
        <v>0</v>
      </c>
      <c r="AQ247" s="65">
        <f t="shared" si="192"/>
        <v>0</v>
      </c>
      <c r="AR247" s="65">
        <f t="shared" si="193"/>
        <v>0</v>
      </c>
      <c r="AS247" s="65">
        <f t="shared" si="194"/>
        <v>0</v>
      </c>
      <c r="AT247" s="65">
        <f t="shared" si="195"/>
        <v>0</v>
      </c>
      <c r="AU247" s="47">
        <f>VLOOKUP($B247,'Woodmac profile - Gas'!$B$452:$AL$478,MATCH('Production - Gas'!AU$232,'Woodmac profile - Gas'!$B$364:$AL$364),FALSE)</f>
        <v>0</v>
      </c>
      <c r="AV247" s="65">
        <f t="shared" si="196"/>
        <v>0</v>
      </c>
      <c r="AW247" s="65">
        <f t="shared" si="197"/>
        <v>0</v>
      </c>
      <c r="AX247" s="65">
        <f t="shared" si="198"/>
        <v>0</v>
      </c>
      <c r="AY247" s="65">
        <f t="shared" si="199"/>
        <v>0</v>
      </c>
      <c r="AZ247" s="47">
        <f>VLOOKUP($B247,'Woodmac profile - Gas'!$B$452:$AL$478,MATCH('Production - Gas'!AZ$232,'Woodmac profile - Gas'!$B$364:$AL$364),FALSE)</f>
        <v>0</v>
      </c>
      <c r="BA247" s="65">
        <f t="shared" si="200"/>
        <v>0</v>
      </c>
      <c r="BB247" s="65">
        <f t="shared" si="201"/>
        <v>0</v>
      </c>
      <c r="BC247" s="65">
        <f t="shared" si="202"/>
        <v>0</v>
      </c>
      <c r="BD247" s="65">
        <f t="shared" si="203"/>
        <v>0</v>
      </c>
      <c r="BE247" s="47">
        <f>VLOOKUP($B247,'Woodmac profile - Gas'!$B$452:$AL$478,MATCH('Production - Gas'!BE$232,'Woodmac profile - Gas'!$B$364:$AL$364),FALSE)</f>
        <v>0</v>
      </c>
      <c r="BF247" s="65">
        <f t="shared" si="204"/>
        <v>0</v>
      </c>
      <c r="BG247" s="65">
        <f t="shared" si="205"/>
        <v>0</v>
      </c>
      <c r="BH247" s="65">
        <f t="shared" si="206"/>
        <v>0</v>
      </c>
      <c r="BI247" s="65">
        <f t="shared" si="207"/>
        <v>0</v>
      </c>
      <c r="BJ247" s="47">
        <f>VLOOKUP($B247,'Woodmac profile - Gas'!$B$452:$AL$478,MATCH('Production - Gas'!BJ$232,'Woodmac profile - Gas'!$B$364:$AL$364),FALSE)</f>
        <v>0</v>
      </c>
      <c r="BK247" s="65">
        <f t="shared" si="208"/>
        <v>0</v>
      </c>
      <c r="BL247" s="65">
        <f t="shared" si="209"/>
        <v>0</v>
      </c>
      <c r="BM247" s="65">
        <f t="shared" si="210"/>
        <v>0</v>
      </c>
      <c r="BN247" s="65">
        <f t="shared" si="211"/>
        <v>0</v>
      </c>
      <c r="BO247" s="47">
        <f>VLOOKUP($B247,'Woodmac profile - Gas'!$B$452:$AL$478,MATCH('Production - Gas'!BO$232,'Woodmac profile - Gas'!$B$364:$AL$364),FALSE)</f>
        <v>0</v>
      </c>
      <c r="BP247" s="65">
        <f t="shared" si="212"/>
        <v>0</v>
      </c>
      <c r="BQ247" s="65">
        <f t="shared" si="213"/>
        <v>0</v>
      </c>
      <c r="BR247" s="65">
        <f t="shared" si="214"/>
        <v>0</v>
      </c>
      <c r="BS247" s="65">
        <f t="shared" si="215"/>
        <v>0</v>
      </c>
      <c r="BT247" s="47">
        <f>VLOOKUP($B247,'Woodmac profile - Gas'!$B$452:$AL$478,MATCH('Production - Gas'!BT$232,'Woodmac profile - Gas'!$B$364:$AL$364),FALSE)</f>
        <v>0</v>
      </c>
      <c r="BU247" s="65">
        <f t="shared" si="216"/>
        <v>0</v>
      </c>
      <c r="BV247" s="65">
        <f t="shared" si="217"/>
        <v>0</v>
      </c>
      <c r="BW247" s="65">
        <f t="shared" si="218"/>
        <v>0</v>
      </c>
      <c r="BX247" s="65">
        <f t="shared" si="219"/>
        <v>0</v>
      </c>
      <c r="BY247" s="47">
        <f>VLOOKUP($B247,'Woodmac profile - Gas'!$B$452:$AL$478,MATCH('Production - Gas'!BY$232,'Woodmac profile - Gas'!$B$364:$AL$364),FALSE)</f>
        <v>0</v>
      </c>
      <c r="BZ247" s="65">
        <f t="shared" si="220"/>
        <v>0</v>
      </c>
      <c r="CA247" s="65">
        <f t="shared" si="221"/>
        <v>0</v>
      </c>
      <c r="CB247" s="65">
        <f t="shared" si="222"/>
        <v>0</v>
      </c>
      <c r="CC247" s="65">
        <f t="shared" si="223"/>
        <v>0</v>
      </c>
      <c r="CD247" s="47">
        <f>VLOOKUP($B247,'Woodmac profile - Gas'!$B$452:$AL$478,MATCH('Production - Gas'!CD$232,'Woodmac profile - Gas'!$B$364:$AL$364),FALSE)</f>
        <v>0</v>
      </c>
      <c r="CE247" s="13"/>
      <c r="CF247" s="13"/>
      <c r="CG247" s="13"/>
      <c r="CH247" s="13"/>
      <c r="CI247" s="13"/>
    </row>
    <row r="248" spans="1:87">
      <c r="A248" s="47"/>
      <c r="B248" s="47" t="s">
        <v>2247</v>
      </c>
      <c r="C248" s="47"/>
      <c r="D248" s="47"/>
      <c r="E248" s="47">
        <f>VLOOKUP($B248,'Woodmac profile - Gas'!$B$452:$AL$478,MATCH('Production - Gas'!E$232,'Woodmac profile - Gas'!$B$364:$AL$364),FALSE)</f>
        <v>0</v>
      </c>
      <c r="F248" s="47">
        <f>VLOOKUP($B248,'Woodmac profile - Gas'!$B$452:$AL$478,MATCH('Production - Gas'!F$232,'Woodmac profile - Gas'!$B$364:$AL$364),FALSE)</f>
        <v>0</v>
      </c>
      <c r="G248" s="47">
        <f>VLOOKUP($B248,'Woodmac profile - Gas'!$B$452:$AL$478,MATCH('Production - Gas'!G$232,'Woodmac profile - Gas'!$B$364:$AL$364),FALSE)</f>
        <v>0</v>
      </c>
      <c r="H248" s="86">
        <f>G248+(L248-G248)/4</f>
        <v>0</v>
      </c>
      <c r="I248" s="86">
        <f>H248+(L248-G248)/2</f>
        <v>0</v>
      </c>
      <c r="J248" s="86">
        <f>I248+(L248-G248)/2</f>
        <v>0</v>
      </c>
      <c r="K248" s="86">
        <f>J248+(L248-G248)/2</f>
        <v>0</v>
      </c>
      <c r="L248" s="47">
        <f>VLOOKUP($B248,'Woodmac profile - Gas'!$B$452:$AL$478,MATCH('Production - Gas'!L$232,'Woodmac profile - Gas'!$B$364:$AL$364),FALSE)</f>
        <v>0</v>
      </c>
      <c r="M248" s="65">
        <f t="shared" si="183"/>
        <v>0</v>
      </c>
      <c r="N248" s="65">
        <f t="shared" si="183"/>
        <v>0</v>
      </c>
      <c r="O248" s="65">
        <f t="shared" si="183"/>
        <v>0</v>
      </c>
      <c r="P248" s="65">
        <f>Q248*4-SUM(M248:O248)</f>
        <v>0</v>
      </c>
      <c r="Q248" s="47">
        <f>VLOOKUP($B248,'Woodmac profile - Gas'!$B$452:$AL$478,MATCH('Production - Gas'!Q$232,'Woodmac profile - Gas'!$B$364:$AL$364),FALSE)</f>
        <v>0</v>
      </c>
      <c r="R248" s="65">
        <f>V248*R$172</f>
        <v>0</v>
      </c>
      <c r="S248" s="65">
        <f>V248*S$172</f>
        <v>0</v>
      </c>
      <c r="T248" s="65">
        <f>V248*T$172</f>
        <v>0</v>
      </c>
      <c r="U248" s="65">
        <f>V248*4-SUM(R248:T248)</f>
        <v>0</v>
      </c>
      <c r="V248" s="47">
        <f>VLOOKUP($B248,'Woodmac profile - Gas'!$B$452:$AL$478,MATCH('Production - Gas'!V$232,'Woodmac profile - Gas'!$B$364:$AL$364),FALSE)</f>
        <v>0</v>
      </c>
      <c r="W248" s="65">
        <f>AA248*W$172</f>
        <v>0</v>
      </c>
      <c r="X248" s="65">
        <f>AA248*X$172</f>
        <v>0</v>
      </c>
      <c r="Y248" s="65">
        <f>AA248*Y$172</f>
        <v>0</v>
      </c>
      <c r="Z248" s="65">
        <f>AA248*4-SUM(W248:Y248)</f>
        <v>0</v>
      </c>
      <c r="AA248" s="47">
        <f>VLOOKUP($B248,'Woodmac profile - Gas'!$B$452:$AL$478,MATCH('Production - Gas'!AA$232,'Woodmac profile - Gas'!$B$364:$AL$364),FALSE)</f>
        <v>0</v>
      </c>
      <c r="AB248" s="65">
        <f>AF248*AB$172</f>
        <v>0</v>
      </c>
      <c r="AC248" s="65">
        <f>AF248*AC$172</f>
        <v>0</v>
      </c>
      <c r="AD248" s="65">
        <f>AF248*AD$172</f>
        <v>0</v>
      </c>
      <c r="AE248" s="65">
        <f>AF248*4-SUM(AB248:AD248)</f>
        <v>0</v>
      </c>
      <c r="AF248" s="47">
        <f>VLOOKUP($B248,'Woodmac profile - Gas'!$B$452:$AL$478,MATCH('Production - Gas'!AF$232,'Woodmac profile - Gas'!$B$364:$AL$364),FALSE)</f>
        <v>0</v>
      </c>
      <c r="AG248" s="65">
        <f t="shared" si="184"/>
        <v>0</v>
      </c>
      <c r="AH248" s="65">
        <f t="shared" si="185"/>
        <v>0</v>
      </c>
      <c r="AI248" s="65">
        <f t="shared" si="186"/>
        <v>0</v>
      </c>
      <c r="AJ248" s="65">
        <f t="shared" si="187"/>
        <v>0</v>
      </c>
      <c r="AK248" s="47">
        <f>VLOOKUP($B248,'Woodmac profile - Gas'!$B$452:$AL$478,MATCH('Production - Gas'!AK$232,'Woodmac profile - Gas'!$B$364:$AL$364),FALSE)</f>
        <v>0</v>
      </c>
      <c r="AL248" s="65">
        <f t="shared" si="188"/>
        <v>0</v>
      </c>
      <c r="AM248" s="65">
        <f t="shared" si="189"/>
        <v>0</v>
      </c>
      <c r="AN248" s="65">
        <f t="shared" si="190"/>
        <v>0</v>
      </c>
      <c r="AO248" s="65">
        <f t="shared" si="191"/>
        <v>0</v>
      </c>
      <c r="AP248" s="47">
        <f>VLOOKUP($B248,'Woodmac profile - Gas'!$B$452:$AL$478,MATCH('Production - Gas'!AP$232,'Woodmac profile - Gas'!$B$364:$AL$364),FALSE)</f>
        <v>0</v>
      </c>
      <c r="AQ248" s="65">
        <f t="shared" si="192"/>
        <v>0</v>
      </c>
      <c r="AR248" s="65">
        <f t="shared" si="193"/>
        <v>0</v>
      </c>
      <c r="AS248" s="65">
        <f t="shared" si="194"/>
        <v>0</v>
      </c>
      <c r="AT248" s="65">
        <f t="shared" si="195"/>
        <v>0</v>
      </c>
      <c r="AU248" s="47">
        <f>VLOOKUP($B248,'Woodmac profile - Gas'!$B$452:$AL$478,MATCH('Production - Gas'!AU$232,'Woodmac profile - Gas'!$B$364:$AL$364),FALSE)</f>
        <v>0</v>
      </c>
      <c r="AV248" s="65">
        <f t="shared" si="196"/>
        <v>0</v>
      </c>
      <c r="AW248" s="65">
        <f t="shared" si="197"/>
        <v>0</v>
      </c>
      <c r="AX248" s="65">
        <f t="shared" si="198"/>
        <v>0</v>
      </c>
      <c r="AY248" s="65">
        <f t="shared" si="199"/>
        <v>0</v>
      </c>
      <c r="AZ248" s="47">
        <f>VLOOKUP($B248,'Woodmac profile - Gas'!$B$452:$AL$478,MATCH('Production - Gas'!AZ$232,'Woodmac profile - Gas'!$B$364:$AL$364),FALSE)</f>
        <v>0</v>
      </c>
      <c r="BA248" s="65">
        <f t="shared" si="200"/>
        <v>0</v>
      </c>
      <c r="BB248" s="65">
        <f t="shared" si="201"/>
        <v>0</v>
      </c>
      <c r="BC248" s="65">
        <f t="shared" si="202"/>
        <v>0</v>
      </c>
      <c r="BD248" s="65">
        <f t="shared" si="203"/>
        <v>0</v>
      </c>
      <c r="BE248" s="47">
        <f>VLOOKUP($B248,'Woodmac profile - Gas'!$B$452:$AL$478,MATCH('Production - Gas'!BE$232,'Woodmac profile - Gas'!$B$364:$AL$364),FALSE)</f>
        <v>0</v>
      </c>
      <c r="BF248" s="65">
        <f t="shared" si="204"/>
        <v>0</v>
      </c>
      <c r="BG248" s="65">
        <f t="shared" si="205"/>
        <v>0</v>
      </c>
      <c r="BH248" s="65">
        <f t="shared" si="206"/>
        <v>0</v>
      </c>
      <c r="BI248" s="65">
        <f t="shared" si="207"/>
        <v>0</v>
      </c>
      <c r="BJ248" s="47">
        <f>VLOOKUP($B248,'Woodmac profile - Gas'!$B$452:$AL$478,MATCH('Production - Gas'!BJ$232,'Woodmac profile - Gas'!$B$364:$AL$364),FALSE)</f>
        <v>0</v>
      </c>
      <c r="BK248" s="65">
        <f t="shared" si="208"/>
        <v>0</v>
      </c>
      <c r="BL248" s="65">
        <f t="shared" si="209"/>
        <v>0</v>
      </c>
      <c r="BM248" s="65">
        <f t="shared" si="210"/>
        <v>0</v>
      </c>
      <c r="BN248" s="65">
        <f t="shared" si="211"/>
        <v>0</v>
      </c>
      <c r="BO248" s="47">
        <f>VLOOKUP($B248,'Woodmac profile - Gas'!$B$452:$AL$478,MATCH('Production - Gas'!BO$232,'Woodmac profile - Gas'!$B$364:$AL$364),FALSE)</f>
        <v>0</v>
      </c>
      <c r="BP248" s="65">
        <f t="shared" si="212"/>
        <v>0</v>
      </c>
      <c r="BQ248" s="65">
        <f t="shared" si="213"/>
        <v>0</v>
      </c>
      <c r="BR248" s="65">
        <f t="shared" si="214"/>
        <v>0</v>
      </c>
      <c r="BS248" s="65">
        <f t="shared" si="215"/>
        <v>0</v>
      </c>
      <c r="BT248" s="47">
        <f>VLOOKUP($B248,'Woodmac profile - Gas'!$B$452:$AL$478,MATCH('Production - Gas'!BT$232,'Woodmac profile - Gas'!$B$364:$AL$364),FALSE)</f>
        <v>0</v>
      </c>
      <c r="BU248" s="65">
        <f t="shared" si="216"/>
        <v>0</v>
      </c>
      <c r="BV248" s="65">
        <f t="shared" si="217"/>
        <v>0</v>
      </c>
      <c r="BW248" s="65">
        <f t="shared" si="218"/>
        <v>0</v>
      </c>
      <c r="BX248" s="65">
        <f t="shared" si="219"/>
        <v>0</v>
      </c>
      <c r="BY248" s="47">
        <f>VLOOKUP($B248,'Woodmac profile - Gas'!$B$452:$AL$478,MATCH('Production - Gas'!BY$232,'Woodmac profile - Gas'!$B$364:$AL$364),FALSE)</f>
        <v>0</v>
      </c>
      <c r="BZ248" s="65">
        <f t="shared" si="220"/>
        <v>0</v>
      </c>
      <c r="CA248" s="65">
        <f t="shared" si="221"/>
        <v>0</v>
      </c>
      <c r="CB248" s="65">
        <f t="shared" si="222"/>
        <v>0</v>
      </c>
      <c r="CC248" s="65">
        <f t="shared" si="223"/>
        <v>0</v>
      </c>
      <c r="CD248" s="47">
        <f>VLOOKUP($B248,'Woodmac profile - Gas'!$B$452:$AL$478,MATCH('Production - Gas'!CD$232,'Woodmac profile - Gas'!$B$364:$AL$364),FALSE)</f>
        <v>0</v>
      </c>
      <c r="CE248" s="13"/>
      <c r="CF248" s="13"/>
      <c r="CG248" s="13"/>
      <c r="CH248" s="13"/>
      <c r="CI248" s="13"/>
    </row>
    <row r="249" spans="1:87">
      <c r="A249" s="47"/>
      <c r="B249" s="47" t="s">
        <v>1280</v>
      </c>
      <c r="C249" s="47"/>
      <c r="D249" s="47"/>
      <c r="E249" s="47">
        <f>VLOOKUP($B249,'Woodmac profile - Gas'!$B$452:$AL$478,MATCH('Production - Gas'!E$232,'Woodmac profile - Gas'!$B$364:$AL$364),FALSE)</f>
        <v>0</v>
      </c>
      <c r="F249" s="47">
        <f>VLOOKUP($B249,'Woodmac profile - Gas'!$B$452:$AL$478,MATCH('Production - Gas'!F$232,'Woodmac profile - Gas'!$B$364:$AL$364),FALSE)</f>
        <v>0</v>
      </c>
      <c r="G249" s="47">
        <f>VLOOKUP($B249,'Woodmac profile - Gas'!$B$452:$AL$478,MATCH('Production - Gas'!G$232,'Woodmac profile - Gas'!$B$364:$AL$364),FALSE)</f>
        <v>0</v>
      </c>
      <c r="H249" s="86">
        <f>G249+(L249-G249)/4</f>
        <v>0</v>
      </c>
      <c r="I249" s="86">
        <f>H249+(L249-G249)/2</f>
        <v>0</v>
      </c>
      <c r="J249" s="86">
        <f>I249+(L249-G249)/2</f>
        <v>0</v>
      </c>
      <c r="K249" s="86">
        <f>J249+(L249-G249)/2</f>
        <v>0</v>
      </c>
      <c r="L249" s="47">
        <f>VLOOKUP($B249,'Woodmac profile - Gas'!$B$452:$AL$478,MATCH('Production - Gas'!L$232,'Woodmac profile - Gas'!$B$364:$AL$364),FALSE)</f>
        <v>0</v>
      </c>
      <c r="M249" s="65">
        <f t="shared" si="183"/>
        <v>0</v>
      </c>
      <c r="N249" s="65">
        <f t="shared" si="183"/>
        <v>0</v>
      </c>
      <c r="O249" s="65">
        <f t="shared" si="183"/>
        <v>0</v>
      </c>
      <c r="P249" s="65">
        <f>Q249*4-SUM(M249:O249)</f>
        <v>0</v>
      </c>
      <c r="Q249" s="47">
        <f>VLOOKUP($B249,'Woodmac profile - Gas'!$B$452:$AL$478,MATCH('Production - Gas'!Q$232,'Woodmac profile - Gas'!$B$364:$AL$364),FALSE)</f>
        <v>0</v>
      </c>
      <c r="R249" s="65">
        <f>V249*R$172</f>
        <v>0</v>
      </c>
      <c r="S249" s="65">
        <f>V249*S$172</f>
        <v>0</v>
      </c>
      <c r="T249" s="65">
        <f>V249*T$172</f>
        <v>0</v>
      </c>
      <c r="U249" s="65">
        <f>V249*4-SUM(R249:T249)</f>
        <v>0</v>
      </c>
      <c r="V249" s="47">
        <f>VLOOKUP($B249,'Woodmac profile - Gas'!$B$452:$AL$478,MATCH('Production - Gas'!V$232,'Woodmac profile - Gas'!$B$364:$AL$364),FALSE)</f>
        <v>0</v>
      </c>
      <c r="W249" s="65">
        <f>AA249*W$172</f>
        <v>0</v>
      </c>
      <c r="X249" s="65">
        <f>AA249*X$172</f>
        <v>0</v>
      </c>
      <c r="Y249" s="65">
        <f>AA249*Y$172</f>
        <v>0</v>
      </c>
      <c r="Z249" s="65">
        <f>AA249*4-SUM(W249:Y249)</f>
        <v>0</v>
      </c>
      <c r="AA249" s="47">
        <f>VLOOKUP($B249,'Woodmac profile - Gas'!$B$452:$AL$478,MATCH('Production - Gas'!AA$232,'Woodmac profile - Gas'!$B$364:$AL$364),FALSE)</f>
        <v>0</v>
      </c>
      <c r="AB249" s="65">
        <f>AF249*AB$172</f>
        <v>0</v>
      </c>
      <c r="AC249" s="65">
        <f>AF249*AC$172</f>
        <v>0</v>
      </c>
      <c r="AD249" s="65">
        <f>AF249*AD$172</f>
        <v>0</v>
      </c>
      <c r="AE249" s="65">
        <f>AF249*4-SUM(AB249:AD249)</f>
        <v>0</v>
      </c>
      <c r="AF249" s="47">
        <f>VLOOKUP($B249,'Woodmac profile - Gas'!$B$452:$AL$478,MATCH('Production - Gas'!AF$232,'Woodmac profile - Gas'!$B$364:$AL$364),FALSE)</f>
        <v>0</v>
      </c>
      <c r="AG249" s="65">
        <f t="shared" si="184"/>
        <v>0</v>
      </c>
      <c r="AH249" s="65">
        <f t="shared" si="185"/>
        <v>0</v>
      </c>
      <c r="AI249" s="65">
        <f t="shared" si="186"/>
        <v>0</v>
      </c>
      <c r="AJ249" s="65">
        <f t="shared" si="187"/>
        <v>0</v>
      </c>
      <c r="AK249" s="47">
        <f>VLOOKUP($B249,'Woodmac profile - Gas'!$B$452:$AL$478,MATCH('Production - Gas'!AK$232,'Woodmac profile - Gas'!$B$364:$AL$364),FALSE)</f>
        <v>0</v>
      </c>
      <c r="AL249" s="65">
        <f t="shared" si="188"/>
        <v>0</v>
      </c>
      <c r="AM249" s="65">
        <f t="shared" si="189"/>
        <v>0</v>
      </c>
      <c r="AN249" s="65">
        <f t="shared" si="190"/>
        <v>0</v>
      </c>
      <c r="AO249" s="65">
        <f t="shared" si="191"/>
        <v>0</v>
      </c>
      <c r="AP249" s="47">
        <f>VLOOKUP($B249,'Woodmac profile - Gas'!$B$452:$AL$478,MATCH('Production - Gas'!AP$232,'Woodmac profile - Gas'!$B$364:$AL$364),FALSE)</f>
        <v>0</v>
      </c>
      <c r="AQ249" s="65">
        <f t="shared" si="192"/>
        <v>0</v>
      </c>
      <c r="AR249" s="65">
        <f t="shared" si="193"/>
        <v>0</v>
      </c>
      <c r="AS249" s="65">
        <f t="shared" si="194"/>
        <v>0</v>
      </c>
      <c r="AT249" s="65">
        <f t="shared" si="195"/>
        <v>0</v>
      </c>
      <c r="AU249" s="47">
        <f>VLOOKUP($B249,'Woodmac profile - Gas'!$B$452:$AL$478,MATCH('Production - Gas'!AU$232,'Woodmac profile - Gas'!$B$364:$AL$364),FALSE)</f>
        <v>0</v>
      </c>
      <c r="AV249" s="65">
        <f t="shared" si="196"/>
        <v>0</v>
      </c>
      <c r="AW249" s="65">
        <f t="shared" si="197"/>
        <v>0</v>
      </c>
      <c r="AX249" s="65">
        <f t="shared" si="198"/>
        <v>0</v>
      </c>
      <c r="AY249" s="65">
        <f t="shared" si="199"/>
        <v>0</v>
      </c>
      <c r="AZ249" s="47">
        <f>VLOOKUP($B249,'Woodmac profile - Gas'!$B$452:$AL$478,MATCH('Production - Gas'!AZ$232,'Woodmac profile - Gas'!$B$364:$AL$364),FALSE)</f>
        <v>0</v>
      </c>
      <c r="BA249" s="65">
        <f t="shared" si="200"/>
        <v>0</v>
      </c>
      <c r="BB249" s="65">
        <f t="shared" si="201"/>
        <v>0</v>
      </c>
      <c r="BC249" s="65">
        <f t="shared" si="202"/>
        <v>0</v>
      </c>
      <c r="BD249" s="65">
        <f t="shared" si="203"/>
        <v>0</v>
      </c>
      <c r="BE249" s="47">
        <f>VLOOKUP($B249,'Woodmac profile - Gas'!$B$452:$AL$478,MATCH('Production - Gas'!BE$232,'Woodmac profile - Gas'!$B$364:$AL$364),FALSE)</f>
        <v>0</v>
      </c>
      <c r="BF249" s="65">
        <f t="shared" si="204"/>
        <v>0</v>
      </c>
      <c r="BG249" s="65">
        <f t="shared" si="205"/>
        <v>0</v>
      </c>
      <c r="BH249" s="65">
        <f t="shared" si="206"/>
        <v>0</v>
      </c>
      <c r="BI249" s="65">
        <f t="shared" si="207"/>
        <v>0</v>
      </c>
      <c r="BJ249" s="47">
        <f>VLOOKUP($B249,'Woodmac profile - Gas'!$B$452:$AL$478,MATCH('Production - Gas'!BJ$232,'Woodmac profile - Gas'!$B$364:$AL$364),FALSE)</f>
        <v>0</v>
      </c>
      <c r="BK249" s="65">
        <f t="shared" si="208"/>
        <v>0</v>
      </c>
      <c r="BL249" s="65">
        <f t="shared" si="209"/>
        <v>0</v>
      </c>
      <c r="BM249" s="65">
        <f t="shared" si="210"/>
        <v>0</v>
      </c>
      <c r="BN249" s="65">
        <f t="shared" si="211"/>
        <v>0</v>
      </c>
      <c r="BO249" s="47">
        <f>VLOOKUP($B249,'Woodmac profile - Gas'!$B$452:$AL$478,MATCH('Production - Gas'!BO$232,'Woodmac profile - Gas'!$B$364:$AL$364),FALSE)</f>
        <v>0</v>
      </c>
      <c r="BP249" s="65">
        <f t="shared" si="212"/>
        <v>0</v>
      </c>
      <c r="BQ249" s="65">
        <f t="shared" si="213"/>
        <v>0</v>
      </c>
      <c r="BR249" s="65">
        <f t="shared" si="214"/>
        <v>0</v>
      </c>
      <c r="BS249" s="65">
        <f t="shared" si="215"/>
        <v>0</v>
      </c>
      <c r="BT249" s="47">
        <f>VLOOKUP($B249,'Woodmac profile - Gas'!$B$452:$AL$478,MATCH('Production - Gas'!BT$232,'Woodmac profile - Gas'!$B$364:$AL$364),FALSE)</f>
        <v>0</v>
      </c>
      <c r="BU249" s="65">
        <f t="shared" si="216"/>
        <v>0</v>
      </c>
      <c r="BV249" s="65">
        <f t="shared" si="217"/>
        <v>0</v>
      </c>
      <c r="BW249" s="65">
        <f t="shared" si="218"/>
        <v>0</v>
      </c>
      <c r="BX249" s="65">
        <f t="shared" si="219"/>
        <v>0</v>
      </c>
      <c r="BY249" s="47">
        <f>VLOOKUP($B249,'Woodmac profile - Gas'!$B$452:$AL$478,MATCH('Production - Gas'!BY$232,'Woodmac profile - Gas'!$B$364:$AL$364),FALSE)</f>
        <v>0</v>
      </c>
      <c r="BZ249" s="65">
        <f t="shared" si="220"/>
        <v>0</v>
      </c>
      <c r="CA249" s="65">
        <f t="shared" si="221"/>
        <v>0</v>
      </c>
      <c r="CB249" s="65">
        <f t="shared" si="222"/>
        <v>0</v>
      </c>
      <c r="CC249" s="65">
        <f t="shared" si="223"/>
        <v>0</v>
      </c>
      <c r="CD249" s="47">
        <f>VLOOKUP($B249,'Woodmac profile - Gas'!$B$452:$AL$478,MATCH('Production - Gas'!CD$232,'Woodmac profile - Gas'!$B$364:$AL$364),FALSE)</f>
        <v>0</v>
      </c>
      <c r="CE249" s="13"/>
      <c r="CF249" s="13"/>
      <c r="CG249" s="13"/>
      <c r="CH249" s="13"/>
      <c r="CI249" s="13"/>
    </row>
    <row r="250" spans="1:87">
      <c r="A250" s="47"/>
      <c r="B250" s="47" t="s">
        <v>1036</v>
      </c>
      <c r="C250" s="47"/>
      <c r="D250" s="47"/>
      <c r="E250" s="47">
        <f>VLOOKUP($B250,'Woodmac profile - Gas'!$B$452:$AL$478,MATCH('Production - Gas'!E$232,'Woodmac profile - Gas'!$B$364:$AL$364),FALSE)</f>
        <v>22.58</v>
      </c>
      <c r="F250" s="47">
        <f>VLOOKUP($B250,'Woodmac profile - Gas'!$B$452:$AL$478,MATCH('Production - Gas'!F$232,'Woodmac profile - Gas'!$B$364:$AL$364),FALSE)</f>
        <v>12.19</v>
      </c>
      <c r="G250" s="47">
        <f>VLOOKUP($B250,'Woodmac profile - Gas'!$B$452:$AL$478,MATCH('Production - Gas'!G$232,'Woodmac profile - Gas'!$B$364:$AL$364),FALSE)</f>
        <v>12.51</v>
      </c>
      <c r="H250" s="86">
        <f>G250+(L250-G250)/4</f>
        <v>12.254999999999999</v>
      </c>
      <c r="I250" s="86">
        <f>H250+(L250-G250)/2</f>
        <v>11.744999999999999</v>
      </c>
      <c r="J250" s="86">
        <f>I250+(L250-G250)/2</f>
        <v>11.234999999999999</v>
      </c>
      <c r="K250" s="86">
        <f>J250+(L250-G250)/2</f>
        <v>10.725</v>
      </c>
      <c r="L250" s="47">
        <f>VLOOKUP($B250,'Woodmac profile - Gas'!$B$452:$AL$478,MATCH('Production - Gas'!L$232,'Woodmac profile - Gas'!$B$364:$AL$364),FALSE)</f>
        <v>11.49</v>
      </c>
      <c r="M250" s="65">
        <f t="shared" si="183"/>
        <v>4.2925227705994491</v>
      </c>
      <c r="N250" s="65">
        <f t="shared" si="183"/>
        <v>4.00338911247617</v>
      </c>
      <c r="O250" s="65">
        <f t="shared" si="183"/>
        <v>4.2</v>
      </c>
      <c r="P250" s="65">
        <f>Q250*4-SUM(M250:O250)</f>
        <v>4.3040881169243832</v>
      </c>
      <c r="Q250" s="47">
        <f>VLOOKUP($B250,'Woodmac profile - Gas'!$B$452:$AL$478,MATCH('Production - Gas'!Q$232,'Woodmac profile - Gas'!$B$364:$AL$364),FALSE)</f>
        <v>4.2</v>
      </c>
      <c r="R250" s="65">
        <f>V250*R$172</f>
        <v>12.019987580211136</v>
      </c>
      <c r="S250" s="65">
        <f>V250*S$172</f>
        <v>12.047493272614366</v>
      </c>
      <c r="T250" s="65">
        <f>V250*T$172</f>
        <v>12.029989650175947</v>
      </c>
      <c r="U250" s="65">
        <f>V250*4-SUM(R250:T250)</f>
        <v>12.222529496998547</v>
      </c>
      <c r="V250" s="47">
        <f>VLOOKUP($B250,'Woodmac profile - Gas'!$B$452:$AL$478,MATCH('Production - Gas'!V$232,'Woodmac profile - Gas'!$B$364:$AL$364),FALSE)</f>
        <v>12.08</v>
      </c>
      <c r="W250" s="65">
        <f>AA250*W$172</f>
        <v>5.1386785569517635</v>
      </c>
      <c r="X250" s="65">
        <f>AA250*X$172</f>
        <v>5.2310336441021477</v>
      </c>
      <c r="Y250" s="65">
        <f>AA250*Y$172</f>
        <v>4.9051965950547229</v>
      </c>
      <c r="Z250" s="65">
        <f>AA250*4-SUM(W250:Y250)</f>
        <v>5.2050912038913673</v>
      </c>
      <c r="AA250" s="47">
        <f>VLOOKUP($B250,'Woodmac profile - Gas'!$B$452:$AL$478,MATCH('Production - Gas'!AA$232,'Woodmac profile - Gas'!$B$364:$AL$364),FALSE)</f>
        <v>5.12</v>
      </c>
      <c r="AB250" s="65">
        <f>AF250*AB$172</f>
        <v>6.852811394891944</v>
      </c>
      <c r="AC250" s="65">
        <f>AF250*AC$172</f>
        <v>6.7709587426326134</v>
      </c>
      <c r="AD250" s="65">
        <f>AF250*AD$172</f>
        <v>7.0044400785854615</v>
      </c>
      <c r="AE250" s="65">
        <f>AF250*4-SUM(AB250:AD250)</f>
        <v>6.6917897838899805</v>
      </c>
      <c r="AF250" s="47">
        <f>VLOOKUP($B250,'Woodmac profile - Gas'!$B$452:$AL$478,MATCH('Production - Gas'!AF$232,'Woodmac profile - Gas'!$B$364:$AL$364),FALSE)</f>
        <v>6.83</v>
      </c>
      <c r="AG250" s="65">
        <f t="shared" si="184"/>
        <v>4.155703502284485</v>
      </c>
      <c r="AH250" s="65">
        <f t="shared" si="185"/>
        <v>4.0460023782002601</v>
      </c>
      <c r="AI250" s="65">
        <f t="shared" si="186"/>
        <v>4.074589183673238</v>
      </c>
      <c r="AJ250" s="65">
        <f t="shared" si="187"/>
        <v>4.1237049358420155</v>
      </c>
      <c r="AK250" s="47">
        <f>VLOOKUP($B250,'Woodmac profile - Gas'!$B$452:$AL$478,MATCH('Production - Gas'!AK$232,'Woodmac profile - Gas'!$B$364:$AL$364),FALSE)</f>
        <v>4.0999999999999996</v>
      </c>
      <c r="AL250" s="65">
        <f t="shared" si="188"/>
        <v>0</v>
      </c>
      <c r="AM250" s="65">
        <f t="shared" si="189"/>
        <v>0</v>
      </c>
      <c r="AN250" s="65">
        <f t="shared" si="190"/>
        <v>0</v>
      </c>
      <c r="AO250" s="65">
        <f t="shared" si="191"/>
        <v>0</v>
      </c>
      <c r="AP250" s="47">
        <f>VLOOKUP($B250,'Woodmac profile - Gas'!$B$452:$AL$478,MATCH('Production - Gas'!AP$232,'Woodmac profile - Gas'!$B$364:$AL$364),FALSE)</f>
        <v>0</v>
      </c>
      <c r="AQ250" s="65">
        <f t="shared" si="192"/>
        <v>0</v>
      </c>
      <c r="AR250" s="65">
        <f t="shared" si="193"/>
        <v>0</v>
      </c>
      <c r="AS250" s="65">
        <f t="shared" si="194"/>
        <v>0</v>
      </c>
      <c r="AT250" s="65">
        <f t="shared" si="195"/>
        <v>0</v>
      </c>
      <c r="AU250" s="47">
        <f>VLOOKUP($B250,'Woodmac profile - Gas'!$B$452:$AL$478,MATCH('Production - Gas'!AU$232,'Woodmac profile - Gas'!$B$364:$AL$364),FALSE)</f>
        <v>0</v>
      </c>
      <c r="AV250" s="65">
        <f t="shared" si="196"/>
        <v>0</v>
      </c>
      <c r="AW250" s="65">
        <f t="shared" si="197"/>
        <v>0</v>
      </c>
      <c r="AX250" s="65">
        <f t="shared" si="198"/>
        <v>0</v>
      </c>
      <c r="AY250" s="65">
        <f t="shared" si="199"/>
        <v>0</v>
      </c>
      <c r="AZ250" s="47">
        <f>VLOOKUP($B250,'Woodmac profile - Gas'!$B$452:$AL$478,MATCH('Production - Gas'!AZ$232,'Woodmac profile - Gas'!$B$364:$AL$364),FALSE)</f>
        <v>0</v>
      </c>
      <c r="BA250" s="65">
        <f t="shared" si="200"/>
        <v>0</v>
      </c>
      <c r="BB250" s="65">
        <f t="shared" si="201"/>
        <v>0</v>
      </c>
      <c r="BC250" s="65">
        <f t="shared" si="202"/>
        <v>0</v>
      </c>
      <c r="BD250" s="65">
        <f t="shared" si="203"/>
        <v>0</v>
      </c>
      <c r="BE250" s="47">
        <f>VLOOKUP($B250,'Woodmac profile - Gas'!$B$452:$AL$478,MATCH('Production - Gas'!BE$232,'Woodmac profile - Gas'!$B$364:$AL$364),FALSE)</f>
        <v>0</v>
      </c>
      <c r="BF250" s="65">
        <f t="shared" si="204"/>
        <v>0</v>
      </c>
      <c r="BG250" s="65">
        <f t="shared" si="205"/>
        <v>0</v>
      </c>
      <c r="BH250" s="65">
        <f t="shared" si="206"/>
        <v>0</v>
      </c>
      <c r="BI250" s="65">
        <f t="shared" si="207"/>
        <v>0</v>
      </c>
      <c r="BJ250" s="47">
        <f>VLOOKUP($B250,'Woodmac profile - Gas'!$B$452:$AL$478,MATCH('Production - Gas'!BJ$232,'Woodmac profile - Gas'!$B$364:$AL$364),FALSE)</f>
        <v>0</v>
      </c>
      <c r="BK250" s="65">
        <f t="shared" si="208"/>
        <v>0</v>
      </c>
      <c r="BL250" s="65">
        <f t="shared" si="209"/>
        <v>0</v>
      </c>
      <c r="BM250" s="65">
        <f t="shared" si="210"/>
        <v>0</v>
      </c>
      <c r="BN250" s="65">
        <f t="shared" si="211"/>
        <v>0</v>
      </c>
      <c r="BO250" s="47">
        <f>VLOOKUP($B250,'Woodmac profile - Gas'!$B$452:$AL$478,MATCH('Production - Gas'!BO$232,'Woodmac profile - Gas'!$B$364:$AL$364),FALSE)</f>
        <v>0</v>
      </c>
      <c r="BP250" s="65">
        <f t="shared" si="212"/>
        <v>0</v>
      </c>
      <c r="BQ250" s="65">
        <f t="shared" si="213"/>
        <v>0</v>
      </c>
      <c r="BR250" s="65">
        <f t="shared" si="214"/>
        <v>0</v>
      </c>
      <c r="BS250" s="65">
        <f t="shared" si="215"/>
        <v>0</v>
      </c>
      <c r="BT250" s="47">
        <f>VLOOKUP($B250,'Woodmac profile - Gas'!$B$452:$AL$478,MATCH('Production - Gas'!BT$232,'Woodmac profile - Gas'!$B$364:$AL$364),FALSE)</f>
        <v>0</v>
      </c>
      <c r="BU250" s="65">
        <f t="shared" si="216"/>
        <v>0</v>
      </c>
      <c r="BV250" s="65">
        <f t="shared" si="217"/>
        <v>0</v>
      </c>
      <c r="BW250" s="65">
        <f t="shared" si="218"/>
        <v>0</v>
      </c>
      <c r="BX250" s="65">
        <f t="shared" si="219"/>
        <v>0</v>
      </c>
      <c r="BY250" s="47">
        <f>VLOOKUP($B250,'Woodmac profile - Gas'!$B$452:$AL$478,MATCH('Production - Gas'!BY$232,'Woodmac profile - Gas'!$B$364:$AL$364),FALSE)</f>
        <v>0</v>
      </c>
      <c r="BZ250" s="65">
        <f t="shared" si="220"/>
        <v>0</v>
      </c>
      <c r="CA250" s="65">
        <f t="shared" si="221"/>
        <v>0</v>
      </c>
      <c r="CB250" s="65">
        <f t="shared" si="222"/>
        <v>0</v>
      </c>
      <c r="CC250" s="65">
        <f t="shared" si="223"/>
        <v>0</v>
      </c>
      <c r="CD250" s="47">
        <f>VLOOKUP($B250,'Woodmac profile - Gas'!$B$452:$AL$478,MATCH('Production - Gas'!CD$232,'Woodmac profile - Gas'!$B$364:$AL$364),FALSE)</f>
        <v>0</v>
      </c>
      <c r="CE250" s="13"/>
      <c r="CF250" s="13"/>
      <c r="CG250" s="13"/>
      <c r="CH250" s="13"/>
      <c r="CI250" s="13"/>
    </row>
    <row r="251" spans="1:87">
      <c r="A251" s="39" t="s">
        <v>119</v>
      </c>
      <c r="B251" s="39"/>
      <c r="C251" s="39">
        <f t="shared" ref="C251:AH251" si="224">SUM(C245:C250)</f>
        <v>0</v>
      </c>
      <c r="D251" s="39">
        <f t="shared" si="224"/>
        <v>0</v>
      </c>
      <c r="E251" s="39">
        <f t="shared" si="224"/>
        <v>292.61</v>
      </c>
      <c r="F251" s="39">
        <f t="shared" si="224"/>
        <v>326.63799999999992</v>
      </c>
      <c r="G251" s="39">
        <f t="shared" si="224"/>
        <v>364.87200000000001</v>
      </c>
      <c r="H251" s="80">
        <f t="shared" si="224"/>
        <v>371.38350000000003</v>
      </c>
      <c r="I251" s="80">
        <f t="shared" si="224"/>
        <v>384.40650000000005</v>
      </c>
      <c r="J251" s="80">
        <f t="shared" si="224"/>
        <v>397.42949999999996</v>
      </c>
      <c r="K251" s="80">
        <f t="shared" si="224"/>
        <v>410.45249999999993</v>
      </c>
      <c r="L251" s="39">
        <f t="shared" si="224"/>
        <v>390.91800000000001</v>
      </c>
      <c r="M251" s="80">
        <f t="shared" si="224"/>
        <v>375.08063969497994</v>
      </c>
      <c r="N251" s="80">
        <f t="shared" si="224"/>
        <v>349.81614064816773</v>
      </c>
      <c r="O251" s="80">
        <f t="shared" si="224"/>
        <v>366.99600000000004</v>
      </c>
      <c r="P251" s="80">
        <f t="shared" si="224"/>
        <v>376.09121965685245</v>
      </c>
      <c r="Q251" s="39">
        <f t="shared" si="224"/>
        <v>366.99600000000004</v>
      </c>
      <c r="R251" s="80">
        <f t="shared" si="224"/>
        <v>390.43466942661973</v>
      </c>
      <c r="S251" s="80">
        <f t="shared" si="224"/>
        <v>391.32811260608565</v>
      </c>
      <c r="T251" s="80">
        <f t="shared" si="224"/>
        <v>390.75955785551645</v>
      </c>
      <c r="U251" s="80">
        <f t="shared" si="224"/>
        <v>397.01366011177811</v>
      </c>
      <c r="V251" s="39">
        <f t="shared" si="224"/>
        <v>392.38399999999996</v>
      </c>
      <c r="W251" s="80">
        <f t="shared" si="224"/>
        <v>376.00875233076619</v>
      </c>
      <c r="X251" s="80">
        <f t="shared" si="224"/>
        <v>382.7665832995541</v>
      </c>
      <c r="Y251" s="80">
        <f t="shared" si="224"/>
        <v>358.92434819618973</v>
      </c>
      <c r="Z251" s="80">
        <f t="shared" si="224"/>
        <v>380.86831617349003</v>
      </c>
      <c r="AA251" s="39">
        <f t="shared" si="224"/>
        <v>374.64200000000005</v>
      </c>
      <c r="AB251" s="80">
        <f t="shared" si="224"/>
        <v>375.30329626719055</v>
      </c>
      <c r="AC251" s="80">
        <f t="shared" si="224"/>
        <v>370.82052730844788</v>
      </c>
      <c r="AD251" s="80">
        <f t="shared" si="224"/>
        <v>383.60744204322191</v>
      </c>
      <c r="AE251" s="80">
        <f t="shared" si="224"/>
        <v>366.48473438113962</v>
      </c>
      <c r="AF251" s="39">
        <f t="shared" si="224"/>
        <v>374.05399999999997</v>
      </c>
      <c r="AG251" s="80">
        <f t="shared" si="224"/>
        <v>376.36888958104498</v>
      </c>
      <c r="AH251" s="80">
        <f t="shared" si="224"/>
        <v>366.43360660556925</v>
      </c>
      <c r="AI251" s="80">
        <f t="shared" ref="AI251:BN251" si="225">SUM(AI245:AI250)</f>
        <v>369.02262293616627</v>
      </c>
      <c r="AJ251" s="80">
        <f t="shared" si="225"/>
        <v>373.47088087721983</v>
      </c>
      <c r="AK251" s="39">
        <f t="shared" si="225"/>
        <v>371.32400000000007</v>
      </c>
      <c r="AL251" s="80">
        <f t="shared" si="225"/>
        <v>367.14728215085358</v>
      </c>
      <c r="AM251" s="80">
        <f t="shared" si="225"/>
        <v>357.45542864535793</v>
      </c>
      <c r="AN251" s="80">
        <f t="shared" si="225"/>
        <v>359.9810101573712</v>
      </c>
      <c r="AO251" s="80">
        <f t="shared" si="225"/>
        <v>364.32027904641711</v>
      </c>
      <c r="AP251" s="39">
        <f t="shared" si="225"/>
        <v>362.22599999999994</v>
      </c>
      <c r="AQ251" s="80">
        <f t="shared" si="225"/>
        <v>349.18856150366423</v>
      </c>
      <c r="AR251" s="80">
        <f t="shared" si="225"/>
        <v>339.97077739244281</v>
      </c>
      <c r="AS251" s="80">
        <f t="shared" si="225"/>
        <v>342.37282207046337</v>
      </c>
      <c r="AT251" s="80">
        <f t="shared" si="225"/>
        <v>346.49983903342957</v>
      </c>
      <c r="AU251" s="39">
        <f t="shared" si="225"/>
        <v>344.50800000000004</v>
      </c>
      <c r="AV251" s="80">
        <f t="shared" si="225"/>
        <v>354.0294492907156</v>
      </c>
      <c r="AW251" s="80">
        <f t="shared" si="225"/>
        <v>344.68387674812186</v>
      </c>
      <c r="AX251" s="80">
        <f t="shared" si="225"/>
        <v>347.11922156832276</v>
      </c>
      <c r="AY251" s="80">
        <f t="shared" si="225"/>
        <v>351.30345239283969</v>
      </c>
      <c r="AZ251" s="39">
        <f>SUM(AZ245:AZ250)</f>
        <v>349.28399999999999</v>
      </c>
      <c r="BA251" s="80">
        <f t="shared" si="225"/>
        <v>381.00706012408239</v>
      </c>
      <c r="BB251" s="80">
        <f t="shared" si="225"/>
        <v>370.94933999157996</v>
      </c>
      <c r="BC251" s="80">
        <f t="shared" si="225"/>
        <v>373.57026198604149</v>
      </c>
      <c r="BD251" s="80">
        <f t="shared" si="225"/>
        <v>378.07333789829602</v>
      </c>
      <c r="BE251" s="39">
        <f t="shared" si="225"/>
        <v>375.9</v>
      </c>
      <c r="BF251" s="80">
        <f t="shared" si="225"/>
        <v>396.21693494244363</v>
      </c>
      <c r="BG251" s="80">
        <f t="shared" si="225"/>
        <v>385.75770869579293</v>
      </c>
      <c r="BH251" s="80">
        <f t="shared" si="225"/>
        <v>388.4832583982855</v>
      </c>
      <c r="BI251" s="80">
        <f t="shared" si="225"/>
        <v>393.16609796347791</v>
      </c>
      <c r="BJ251" s="39">
        <f t="shared" si="225"/>
        <v>390.90600000000001</v>
      </c>
      <c r="BK251" s="80">
        <f t="shared" si="225"/>
        <v>355.17885606427433</v>
      </c>
      <c r="BL251" s="80">
        <f t="shared" si="225"/>
        <v>345.80294179614123</v>
      </c>
      <c r="BM251" s="80">
        <f t="shared" si="225"/>
        <v>348.24619330839238</v>
      </c>
      <c r="BN251" s="80">
        <f t="shared" si="225"/>
        <v>352.44400883119215</v>
      </c>
      <c r="BO251" s="39">
        <f t="shared" ref="BO251:CD251" si="226">SUM(BO245:BO250)</f>
        <v>350.41800000000001</v>
      </c>
      <c r="BP251" s="80">
        <f t="shared" si="226"/>
        <v>314.57155132963453</v>
      </c>
      <c r="BQ251" s="80">
        <f t="shared" si="226"/>
        <v>306.26757758203462</v>
      </c>
      <c r="BR251" s="80">
        <f t="shared" si="226"/>
        <v>308.43149417046533</v>
      </c>
      <c r="BS251" s="80">
        <f t="shared" si="226"/>
        <v>312.14937691786554</v>
      </c>
      <c r="BT251" s="39">
        <f t="shared" si="226"/>
        <v>310.35500000000002</v>
      </c>
      <c r="BU251" s="80">
        <f t="shared" si="226"/>
        <v>329.96285808138811</v>
      </c>
      <c r="BV251" s="80">
        <f t="shared" si="226"/>
        <v>321.25258882910066</v>
      </c>
      <c r="BW251" s="80">
        <f t="shared" si="226"/>
        <v>323.52238118365506</v>
      </c>
      <c r="BX251" s="80">
        <f t="shared" si="226"/>
        <v>327.42217190585603</v>
      </c>
      <c r="BY251" s="39">
        <f t="shared" si="226"/>
        <v>325.53999999999996</v>
      </c>
      <c r="BZ251" s="80">
        <f t="shared" si="226"/>
        <v>347.12287278716281</v>
      </c>
      <c r="CA251" s="80">
        <f t="shared" si="226"/>
        <v>337.95961816152277</v>
      </c>
      <c r="CB251" s="80">
        <f t="shared" si="226"/>
        <v>340.34745310550579</v>
      </c>
      <c r="CC251" s="80">
        <f t="shared" si="226"/>
        <v>344.45005594580863</v>
      </c>
      <c r="CD251" s="39">
        <f t="shared" si="226"/>
        <v>342.46999999999997</v>
      </c>
      <c r="CE251" s="5"/>
      <c r="CF251" s="5"/>
      <c r="CG251" s="5"/>
      <c r="CH251" s="5"/>
      <c r="CI251" s="5"/>
    </row>
    <row r="252" spans="1:87">
      <c r="A252" s="11"/>
      <c r="B252" s="11"/>
      <c r="C252" s="11"/>
      <c r="D252" s="11"/>
      <c r="E252" s="11"/>
      <c r="F252" s="11"/>
      <c r="G252" s="11"/>
      <c r="H252" s="80"/>
      <c r="I252" s="80"/>
      <c r="J252" s="80"/>
      <c r="K252" s="80"/>
      <c r="L252" s="11"/>
      <c r="M252" s="68"/>
      <c r="N252" s="68"/>
      <c r="O252" s="68"/>
      <c r="P252" s="68"/>
      <c r="Q252" s="11"/>
      <c r="R252" s="68"/>
      <c r="S252" s="68"/>
      <c r="T252" s="68"/>
      <c r="U252" s="68"/>
      <c r="V252" s="11"/>
      <c r="W252" s="68"/>
      <c r="X252" s="68"/>
      <c r="Y252" s="68"/>
      <c r="Z252" s="68"/>
      <c r="AA252" s="11"/>
      <c r="AB252" s="68"/>
      <c r="AC252" s="68"/>
      <c r="AD252" s="68"/>
      <c r="AE252" s="68"/>
      <c r="AF252" s="11"/>
      <c r="AG252" s="68"/>
      <c r="AH252" s="68"/>
      <c r="AI252" s="68"/>
      <c r="AJ252" s="68"/>
      <c r="AK252" s="11"/>
      <c r="AL252" s="68"/>
      <c r="AM252" s="68"/>
      <c r="AN252" s="68"/>
      <c r="AO252" s="68"/>
      <c r="AP252" s="11"/>
      <c r="AQ252" s="68"/>
      <c r="AR252" s="68"/>
      <c r="AS252" s="68"/>
      <c r="AT252" s="68"/>
      <c r="AU252" s="11"/>
      <c r="AV252" s="68"/>
      <c r="AW252" s="68"/>
      <c r="AX252" s="68"/>
      <c r="AY252" s="68"/>
      <c r="AZ252" s="11"/>
      <c r="BA252" s="68"/>
      <c r="BB252" s="68"/>
      <c r="BC252" s="68"/>
      <c r="BD252" s="68"/>
      <c r="BE252" s="11"/>
      <c r="BF252" s="68"/>
      <c r="BG252" s="68"/>
      <c r="BH252" s="68"/>
      <c r="BI252" s="68"/>
      <c r="BJ252" s="11"/>
      <c r="BK252" s="68"/>
      <c r="BL252" s="68"/>
      <c r="BM252" s="68"/>
      <c r="BN252" s="68"/>
      <c r="BO252" s="11"/>
      <c r="BP252" s="68"/>
      <c r="BQ252" s="68"/>
      <c r="BR252" s="68"/>
      <c r="BS252" s="68"/>
      <c r="BT252" s="11"/>
      <c r="BU252" s="68"/>
      <c r="BV252" s="68"/>
      <c r="BW252" s="68"/>
      <c r="BX252" s="68"/>
      <c r="BY252" s="11"/>
      <c r="BZ252" s="68"/>
      <c r="CA252" s="68"/>
      <c r="CB252" s="68"/>
      <c r="CC252" s="68"/>
      <c r="CD252" s="11"/>
      <c r="CE252" s="5"/>
      <c r="CF252" s="5"/>
      <c r="CG252" s="5"/>
      <c r="CH252" s="5"/>
      <c r="CI252" s="5"/>
    </row>
    <row r="253" spans="1:87">
      <c r="A253" s="39" t="s">
        <v>120</v>
      </c>
      <c r="B253" s="11"/>
      <c r="C253" s="11"/>
      <c r="D253" s="11"/>
      <c r="E253" s="11"/>
      <c r="F253" s="11"/>
      <c r="G253" s="11"/>
      <c r="H253" s="80"/>
      <c r="I253" s="80"/>
      <c r="J253" s="80"/>
      <c r="K253" s="80"/>
      <c r="L253" s="11"/>
      <c r="M253" s="68"/>
      <c r="N253" s="68"/>
      <c r="O253" s="68"/>
      <c r="P253" s="68"/>
      <c r="Q253" s="11"/>
      <c r="R253" s="68"/>
      <c r="S253" s="68"/>
      <c r="T253" s="68"/>
      <c r="U253" s="68"/>
      <c r="V253" s="11"/>
      <c r="W253" s="68"/>
      <c r="X253" s="68"/>
      <c r="Y253" s="68"/>
      <c r="Z253" s="68"/>
      <c r="AA253" s="11"/>
      <c r="AB253" s="68"/>
      <c r="AC253" s="68"/>
      <c r="AD253" s="68"/>
      <c r="AE253" s="68"/>
      <c r="AF253" s="11"/>
      <c r="AG253" s="68"/>
      <c r="AH253" s="68"/>
      <c r="AI253" s="68"/>
      <c r="AJ253" s="68"/>
      <c r="AK253" s="11"/>
      <c r="AL253" s="68"/>
      <c r="AM253" s="68"/>
      <c r="AN253" s="68"/>
      <c r="AO253" s="68"/>
      <c r="AP253" s="11"/>
      <c r="AQ253" s="68"/>
      <c r="AR253" s="68"/>
      <c r="AS253" s="68"/>
      <c r="AT253" s="68"/>
      <c r="AU253" s="11"/>
      <c r="AV253" s="68"/>
      <c r="AW253" s="68"/>
      <c r="AX253" s="68"/>
      <c r="AY253" s="68"/>
      <c r="AZ253" s="11"/>
      <c r="BA253" s="68"/>
      <c r="BB253" s="68"/>
      <c r="BC253" s="68"/>
      <c r="BD253" s="68"/>
      <c r="BE253" s="11"/>
      <c r="BF253" s="68"/>
      <c r="BG253" s="68"/>
      <c r="BH253" s="68"/>
      <c r="BI253" s="68"/>
      <c r="BJ253" s="11"/>
      <c r="BK253" s="68"/>
      <c r="BL253" s="68"/>
      <c r="BM253" s="68"/>
      <c r="BN253" s="68"/>
      <c r="BO253" s="11"/>
      <c r="BP253" s="68"/>
      <c r="BQ253" s="68"/>
      <c r="BR253" s="68"/>
      <c r="BS253" s="68"/>
      <c r="BT253" s="11"/>
      <c r="BU253" s="68"/>
      <c r="BV253" s="68"/>
      <c r="BW253" s="68"/>
      <c r="BX253" s="68"/>
      <c r="BY253" s="11"/>
      <c r="BZ253" s="68"/>
      <c r="CA253" s="68"/>
      <c r="CB253" s="68"/>
      <c r="CC253" s="68"/>
      <c r="CD253" s="11"/>
      <c r="CE253" s="5"/>
      <c r="CF253" s="5"/>
      <c r="CG253" s="5"/>
      <c r="CH253" s="5"/>
      <c r="CI253" s="5"/>
    </row>
    <row r="254" spans="1:87">
      <c r="A254" s="11"/>
      <c r="B254" s="11" t="s">
        <v>1473</v>
      </c>
      <c r="C254" s="11"/>
      <c r="D254" s="11"/>
      <c r="E254" s="11">
        <f>VLOOKUP($B254,'Woodmac profile - Gas'!$B$452:$AL$478,MATCH('Production - Gas'!E$232,'Woodmac profile - Gas'!$B$364:$AL$364),FALSE)</f>
        <v>0</v>
      </c>
      <c r="F254" s="11">
        <f>VLOOKUP($B254,'Woodmac profile - Gas'!$B$452:$AL$478,MATCH('Production - Gas'!F$232,'Woodmac profile - Gas'!$B$364:$AL$364),FALSE)</f>
        <v>0</v>
      </c>
      <c r="G254" s="11">
        <f>VLOOKUP($B254,'Woodmac profile - Gas'!$B$452:$AL$478,MATCH('Production - Gas'!G$232,'Woodmac profile - Gas'!$B$364:$AL$364),FALSE)</f>
        <v>0</v>
      </c>
      <c r="H254" s="80">
        <f>G254+(L254-G254)/4</f>
        <v>0</v>
      </c>
      <c r="I254" s="80">
        <f>H254+(L254-G254)/2</f>
        <v>0</v>
      </c>
      <c r="J254" s="80">
        <f>I254+(L254-G254)/2</f>
        <v>0</v>
      </c>
      <c r="K254" s="80">
        <f>J254+(L254-G254)/2</f>
        <v>0</v>
      </c>
      <c r="L254" s="11">
        <f>VLOOKUP($B254,'Woodmac profile - Gas'!$B$452:$AL$478,MATCH('Production - Gas'!L$232,'Woodmac profile - Gas'!$B$364:$AL$364),FALSE)</f>
        <v>0</v>
      </c>
      <c r="M254" s="65">
        <f t="shared" ref="M254:O256" si="227">$Q254*M$172</f>
        <v>0</v>
      </c>
      <c r="N254" s="65">
        <f t="shared" si="227"/>
        <v>0</v>
      </c>
      <c r="O254" s="65">
        <f t="shared" si="227"/>
        <v>0</v>
      </c>
      <c r="P254" s="65">
        <f>Q254*4-SUM(M254:O254)</f>
        <v>0</v>
      </c>
      <c r="Q254" s="11">
        <f>VLOOKUP($B254,'Woodmac profile - Gas'!$B$452:$AL$478,MATCH('Production - Gas'!Q$232,'Woodmac profile - Gas'!$B$364:$AL$364),FALSE)</f>
        <v>0</v>
      </c>
      <c r="R254" s="65">
        <f>V254*R$172</f>
        <v>0</v>
      </c>
      <c r="S254" s="65">
        <f>V254*S$172</f>
        <v>0</v>
      </c>
      <c r="T254" s="65">
        <f>V254*T$172</f>
        <v>0</v>
      </c>
      <c r="U254" s="65">
        <f>V254*4-SUM(R254:T254)</f>
        <v>0</v>
      </c>
      <c r="V254" s="11">
        <f>VLOOKUP($B254,'Woodmac profile - Gas'!$B$452:$AL$478,MATCH('Production - Gas'!V$232,'Woodmac profile - Gas'!$B$364:$AL$364),FALSE)</f>
        <v>0</v>
      </c>
      <c r="W254" s="65">
        <f>AA254*W$172</f>
        <v>0</v>
      </c>
      <c r="X254" s="65">
        <f>AA254*X$172</f>
        <v>0</v>
      </c>
      <c r="Y254" s="65">
        <f>AA254*Y$172</f>
        <v>0</v>
      </c>
      <c r="Z254" s="65">
        <f>AA254*4-SUM(W254:Y254)</f>
        <v>0</v>
      </c>
      <c r="AA254" s="11">
        <f>VLOOKUP($B254,'Woodmac profile - Gas'!$B$452:$AL$478,MATCH('Production - Gas'!AA$232,'Woodmac profile - Gas'!$B$364:$AL$364),FALSE)</f>
        <v>0</v>
      </c>
      <c r="AB254" s="65">
        <f>AF254*AB$172</f>
        <v>0</v>
      </c>
      <c r="AC254" s="65">
        <f>AF254*AC$172</f>
        <v>0</v>
      </c>
      <c r="AD254" s="65">
        <f>AF254*AD$172</f>
        <v>0</v>
      </c>
      <c r="AE254" s="65">
        <f>AF254*4-SUM(AB254:AD254)</f>
        <v>0</v>
      </c>
      <c r="AF254" s="11">
        <f>VLOOKUP($B254,'Woodmac profile - Gas'!$B$452:$AL$478,MATCH('Production - Gas'!AF$232,'Woodmac profile - Gas'!$B$364:$AL$364),FALSE)</f>
        <v>0</v>
      </c>
      <c r="AG254" s="65">
        <f>AK254*$CF$172</f>
        <v>0</v>
      </c>
      <c r="AH254" s="65">
        <f>AK254*$CG$172</f>
        <v>0</v>
      </c>
      <c r="AI254" s="65">
        <f>AK254*$CH$172</f>
        <v>0</v>
      </c>
      <c r="AJ254" s="65">
        <f>AK254*4-SUM(AG254:AI254)</f>
        <v>0</v>
      </c>
      <c r="AK254" s="11">
        <f>VLOOKUP($B254,'Woodmac profile - Gas'!$B$452:$AL$478,MATCH('Production - Gas'!AK$232,'Woodmac profile - Gas'!$B$364:$AL$364),FALSE)</f>
        <v>0</v>
      </c>
      <c r="AL254" s="65">
        <f>AP254*$CF$172</f>
        <v>0</v>
      </c>
      <c r="AM254" s="65">
        <f>AP254*$CG$172</f>
        <v>0</v>
      </c>
      <c r="AN254" s="65">
        <f>AP254*$CH$172</f>
        <v>0</v>
      </c>
      <c r="AO254" s="65">
        <f>AP254*4-SUM(AL254:AN254)</f>
        <v>0</v>
      </c>
      <c r="AP254" s="11">
        <f>VLOOKUP($B254,'Woodmac profile - Gas'!$B$452:$AL$478,MATCH('Production - Gas'!AP$232,'Woodmac profile - Gas'!$B$364:$AL$364),FALSE)</f>
        <v>0</v>
      </c>
      <c r="AQ254" s="65">
        <f>AU254*$CF$172</f>
        <v>0</v>
      </c>
      <c r="AR254" s="65">
        <f>AU254*$CG$172</f>
        <v>0</v>
      </c>
      <c r="AS254" s="65">
        <f>AU254*$CH$172</f>
        <v>0</v>
      </c>
      <c r="AT254" s="65">
        <f>AU254*4-SUM(AQ254:AS254)</f>
        <v>0</v>
      </c>
      <c r="AU254" s="11">
        <f>VLOOKUP($B254,'Woodmac profile - Gas'!$B$452:$AL$478,MATCH('Production - Gas'!AU$232,'Woodmac profile - Gas'!$B$364:$AL$364),FALSE)</f>
        <v>0</v>
      </c>
      <c r="AV254" s="65">
        <f>AZ254*$CF$172</f>
        <v>0</v>
      </c>
      <c r="AW254" s="65">
        <f>AZ254*$CG$172</f>
        <v>0</v>
      </c>
      <c r="AX254" s="65">
        <f>AZ254*$CH$172</f>
        <v>0</v>
      </c>
      <c r="AY254" s="65">
        <f>AZ254*4-SUM(AV254:AX254)</f>
        <v>0</v>
      </c>
      <c r="AZ254" s="11">
        <f>VLOOKUP($B254,'Woodmac profile - Gas'!$B$452:$AL$478,MATCH('Production - Gas'!AZ$232,'Woodmac profile - Gas'!$B$364:$AL$364),FALSE)</f>
        <v>0</v>
      </c>
      <c r="BA254" s="65">
        <f>BE254*$CF$172</f>
        <v>0</v>
      </c>
      <c r="BB254" s="65">
        <f>BE254*$CG$172</f>
        <v>0</v>
      </c>
      <c r="BC254" s="65">
        <f>BE254*$CH$172</f>
        <v>0</v>
      </c>
      <c r="BD254" s="65">
        <f>BE254*4-SUM(BA254:BC254)</f>
        <v>0</v>
      </c>
      <c r="BE254" s="11">
        <f>VLOOKUP($B254,'Woodmac profile - Gas'!$B$452:$AL$478,MATCH('Production - Gas'!BE$232,'Woodmac profile - Gas'!$B$364:$AL$364),FALSE)</f>
        <v>0</v>
      </c>
      <c r="BF254" s="65">
        <f>BJ254*$CF$172</f>
        <v>0</v>
      </c>
      <c r="BG254" s="65">
        <f>BJ254*$CG$172</f>
        <v>0</v>
      </c>
      <c r="BH254" s="65">
        <f>BJ254*$CH$172</f>
        <v>0</v>
      </c>
      <c r="BI254" s="65">
        <f>BJ254*4-SUM(BF254:BH254)</f>
        <v>0</v>
      </c>
      <c r="BJ254" s="11">
        <f>VLOOKUP($B254,'Woodmac profile - Gas'!$B$452:$AL$478,MATCH('Production - Gas'!BJ$232,'Woodmac profile - Gas'!$B$364:$AL$364),FALSE)</f>
        <v>0</v>
      </c>
      <c r="BK254" s="65">
        <f>BO254*$CF$172</f>
        <v>0</v>
      </c>
      <c r="BL254" s="65">
        <f>BO254*$CG$172</f>
        <v>0</v>
      </c>
      <c r="BM254" s="65">
        <f>BO254*$CH$172</f>
        <v>0</v>
      </c>
      <c r="BN254" s="65">
        <f>BO254*4-SUM(BK254:BM254)</f>
        <v>0</v>
      </c>
      <c r="BO254" s="11">
        <f>VLOOKUP($B254,'Woodmac profile - Gas'!$B$452:$AL$478,MATCH('Production - Gas'!BO$232,'Woodmac profile - Gas'!$B$364:$AL$364),FALSE)</f>
        <v>0</v>
      </c>
      <c r="BP254" s="65">
        <f>BT254*$CF$172</f>
        <v>0</v>
      </c>
      <c r="BQ254" s="65">
        <f>BT254*$CG$172</f>
        <v>0</v>
      </c>
      <c r="BR254" s="65">
        <f>BT254*$CH$172</f>
        <v>0</v>
      </c>
      <c r="BS254" s="65">
        <f>BT254*4-SUM(BP254:BR254)</f>
        <v>0</v>
      </c>
      <c r="BT254" s="11">
        <f>VLOOKUP($B254,'Woodmac profile - Gas'!$B$452:$AL$478,MATCH('Production - Gas'!BT$232,'Woodmac profile - Gas'!$B$364:$AL$364),FALSE)</f>
        <v>0</v>
      </c>
      <c r="BU254" s="65">
        <f>BY254*$CF$172</f>
        <v>0</v>
      </c>
      <c r="BV254" s="65">
        <f>BY254*$CG$172</f>
        <v>0</v>
      </c>
      <c r="BW254" s="65">
        <f>BY254*$CH$172</f>
        <v>0</v>
      </c>
      <c r="BX254" s="65">
        <f>BY254*4-SUM(BU254:BW254)</f>
        <v>0</v>
      </c>
      <c r="BY254" s="11">
        <f>VLOOKUP($B254,'Woodmac profile - Gas'!$B$452:$AL$478,MATCH('Production - Gas'!BY$232,'Woodmac profile - Gas'!$B$364:$AL$364),FALSE)</f>
        <v>0</v>
      </c>
      <c r="BZ254" s="65">
        <f>CD254*$CF$172</f>
        <v>0</v>
      </c>
      <c r="CA254" s="65">
        <f>CD254*$CG$172</f>
        <v>0</v>
      </c>
      <c r="CB254" s="65">
        <f>CD254*$CH$172</f>
        <v>0</v>
      </c>
      <c r="CC254" s="65">
        <f>CD254*4-SUM(BZ254:CB254)</f>
        <v>0</v>
      </c>
      <c r="CD254" s="11">
        <f>VLOOKUP($B254,'Woodmac profile - Gas'!$B$452:$AL$478,MATCH('Production - Gas'!CD$232,'Woodmac profile - Gas'!$B$364:$AL$364),FALSE)</f>
        <v>0</v>
      </c>
      <c r="CE254" s="5"/>
      <c r="CF254" s="5"/>
      <c r="CG254" s="5"/>
      <c r="CH254" s="5"/>
      <c r="CI254" s="5"/>
    </row>
    <row r="255" spans="1:87">
      <c r="A255" s="11"/>
      <c r="B255" s="11" t="s">
        <v>1934</v>
      </c>
      <c r="C255" s="11"/>
      <c r="D255" s="11"/>
      <c r="E255" s="11">
        <f>VLOOKUP($B255,'Woodmac profile - Gas'!$B$452:$AL$478,MATCH('Production - Gas'!E$232,'Woodmac profile - Gas'!$B$364:$AL$364),FALSE)</f>
        <v>0</v>
      </c>
      <c r="F255" s="11">
        <f>VLOOKUP($B255,'Woodmac profile - Gas'!$B$452:$AL$478,MATCH('Production - Gas'!F$232,'Woodmac profile - Gas'!$B$364:$AL$364),FALSE)</f>
        <v>0</v>
      </c>
      <c r="G255" s="11">
        <f>VLOOKUP($B255,'Woodmac profile - Gas'!$B$452:$AL$478,MATCH('Production - Gas'!G$232,'Woodmac profile - Gas'!$B$364:$AL$364),FALSE)</f>
        <v>0</v>
      </c>
      <c r="H255" s="80">
        <f>G255+(L255-G255)/4</f>
        <v>0</v>
      </c>
      <c r="I255" s="80">
        <f>H255+(L255-G255)/2</f>
        <v>0</v>
      </c>
      <c r="J255" s="80">
        <f>I255+(L255-G255)/2</f>
        <v>0</v>
      </c>
      <c r="K255" s="80">
        <f>J255+(L255-G255)/2</f>
        <v>0</v>
      </c>
      <c r="L255" s="11">
        <f>VLOOKUP($B255,'Woodmac profile - Gas'!$B$452:$AL$478,MATCH('Production - Gas'!L$232,'Woodmac profile - Gas'!$B$364:$AL$364),FALSE)</f>
        <v>0</v>
      </c>
      <c r="M255" s="65">
        <f t="shared" si="227"/>
        <v>0</v>
      </c>
      <c r="N255" s="65">
        <f t="shared" si="227"/>
        <v>0</v>
      </c>
      <c r="O255" s="65">
        <f t="shared" si="227"/>
        <v>0</v>
      </c>
      <c r="P255" s="65">
        <f>Q255*4-SUM(M255:O255)</f>
        <v>0</v>
      </c>
      <c r="Q255" s="11">
        <f>VLOOKUP($B255,'Woodmac profile - Gas'!$B$452:$AL$478,MATCH('Production - Gas'!Q$232,'Woodmac profile - Gas'!$B$364:$AL$364),FALSE)</f>
        <v>0</v>
      </c>
      <c r="R255" s="65">
        <f>V255*R$172</f>
        <v>0</v>
      </c>
      <c r="S255" s="65">
        <f>V255*S$172</f>
        <v>0</v>
      </c>
      <c r="T255" s="65">
        <f>V255*T$172</f>
        <v>0</v>
      </c>
      <c r="U255" s="65">
        <f>V255*4-SUM(R255:T255)</f>
        <v>0</v>
      </c>
      <c r="V255" s="11">
        <f>VLOOKUP($B255,'Woodmac profile - Gas'!$B$452:$AL$478,MATCH('Production - Gas'!V$232,'Woodmac profile - Gas'!$B$364:$AL$364),FALSE)</f>
        <v>0</v>
      </c>
      <c r="W255" s="65">
        <f>AA255*W$172</f>
        <v>0</v>
      </c>
      <c r="X255" s="65">
        <f>AA255*X$172</f>
        <v>0</v>
      </c>
      <c r="Y255" s="65">
        <f>AA255*Y$172</f>
        <v>0</v>
      </c>
      <c r="Z255" s="65">
        <f>AA255*4-SUM(W255:Y255)</f>
        <v>0</v>
      </c>
      <c r="AA255" s="11">
        <f>VLOOKUP($B255,'Woodmac profile - Gas'!$B$452:$AL$478,MATCH('Production - Gas'!AA$232,'Woodmac profile - Gas'!$B$364:$AL$364),FALSE)</f>
        <v>0</v>
      </c>
      <c r="AB255" s="65">
        <f>AF255*AB$172</f>
        <v>0</v>
      </c>
      <c r="AC255" s="65">
        <f>AF255*AC$172</f>
        <v>0</v>
      </c>
      <c r="AD255" s="65">
        <f>AF255*AD$172</f>
        <v>0</v>
      </c>
      <c r="AE255" s="65">
        <f>AF255*4-SUM(AB255:AD255)</f>
        <v>0</v>
      </c>
      <c r="AF255" s="11">
        <f>VLOOKUP($B255,'Woodmac profile - Gas'!$B$452:$AL$478,MATCH('Production - Gas'!AF$232,'Woodmac profile - Gas'!$B$364:$AL$364),FALSE)</f>
        <v>0</v>
      </c>
      <c r="AG255" s="65">
        <f>AK255*$CF$172</f>
        <v>0</v>
      </c>
      <c r="AH255" s="65">
        <f>AK255*$CG$172</f>
        <v>0</v>
      </c>
      <c r="AI255" s="65">
        <f>AK255*$CH$172</f>
        <v>0</v>
      </c>
      <c r="AJ255" s="65">
        <f>AK255*4-SUM(AG255:AI255)</f>
        <v>0</v>
      </c>
      <c r="AK255" s="11">
        <f>VLOOKUP($B255,'Woodmac profile - Gas'!$B$452:$AL$478,MATCH('Production - Gas'!AK$232,'Woodmac profile - Gas'!$B$364:$AL$364),FALSE)</f>
        <v>0</v>
      </c>
      <c r="AL255" s="65">
        <f>AP255*$CF$172</f>
        <v>0</v>
      </c>
      <c r="AM255" s="65">
        <f>AP255*$CG$172</f>
        <v>0</v>
      </c>
      <c r="AN255" s="65">
        <f>AP255*$CH$172</f>
        <v>0</v>
      </c>
      <c r="AO255" s="65">
        <f>AP255*4-SUM(AL255:AN255)</f>
        <v>0</v>
      </c>
      <c r="AP255" s="11">
        <f>VLOOKUP($B255,'Woodmac profile - Gas'!$B$452:$AL$478,MATCH('Production - Gas'!AP$232,'Woodmac profile - Gas'!$B$364:$AL$364),FALSE)</f>
        <v>0</v>
      </c>
      <c r="AQ255" s="65">
        <f>AU255*$CF$172</f>
        <v>0</v>
      </c>
      <c r="AR255" s="65">
        <f>AU255*$CG$172</f>
        <v>0</v>
      </c>
      <c r="AS255" s="65">
        <f>AU255*$CH$172</f>
        <v>0</v>
      </c>
      <c r="AT255" s="65">
        <f>AU255*4-SUM(AQ255:AS255)</f>
        <v>0</v>
      </c>
      <c r="AU255" s="11">
        <f>VLOOKUP($B255,'Woodmac profile - Gas'!$B$452:$AL$478,MATCH('Production - Gas'!AU$232,'Woodmac profile - Gas'!$B$364:$AL$364),FALSE)</f>
        <v>0</v>
      </c>
      <c r="AV255" s="65">
        <f>AZ255*$CF$172</f>
        <v>0</v>
      </c>
      <c r="AW255" s="65">
        <f>AZ255*$CG$172</f>
        <v>0</v>
      </c>
      <c r="AX255" s="65">
        <f>AZ255*$CH$172</f>
        <v>0</v>
      </c>
      <c r="AY255" s="65">
        <f>AZ255*4-SUM(AV255:AX255)</f>
        <v>0</v>
      </c>
      <c r="AZ255" s="11">
        <f>VLOOKUP($B255,'Woodmac profile - Gas'!$B$452:$AL$478,MATCH('Production - Gas'!AZ$232,'Woodmac profile - Gas'!$B$364:$AL$364),FALSE)</f>
        <v>0</v>
      </c>
      <c r="BA255" s="65">
        <f>BE255*$CF$172</f>
        <v>0</v>
      </c>
      <c r="BB255" s="65">
        <f>BE255*$CG$172</f>
        <v>0</v>
      </c>
      <c r="BC255" s="65">
        <f>BE255*$CH$172</f>
        <v>0</v>
      </c>
      <c r="BD255" s="65">
        <f>BE255*4-SUM(BA255:BC255)</f>
        <v>0</v>
      </c>
      <c r="BE255" s="11">
        <f>VLOOKUP($B255,'Woodmac profile - Gas'!$B$452:$AL$478,MATCH('Production - Gas'!BE$232,'Woodmac profile - Gas'!$B$364:$AL$364),FALSE)</f>
        <v>0</v>
      </c>
      <c r="BF255" s="65">
        <f>BJ255*$CF$172</f>
        <v>0</v>
      </c>
      <c r="BG255" s="65">
        <f>BJ255*$CG$172</f>
        <v>0</v>
      </c>
      <c r="BH255" s="65">
        <f>BJ255*$CH$172</f>
        <v>0</v>
      </c>
      <c r="BI255" s="65">
        <f>BJ255*4-SUM(BF255:BH255)</f>
        <v>0</v>
      </c>
      <c r="BJ255" s="11">
        <f>VLOOKUP($B255,'Woodmac profile - Gas'!$B$452:$AL$478,MATCH('Production - Gas'!BJ$232,'Woodmac profile - Gas'!$B$364:$AL$364),FALSE)</f>
        <v>0</v>
      </c>
      <c r="BK255" s="65">
        <f>BO255*$CF$172</f>
        <v>0</v>
      </c>
      <c r="BL255" s="65">
        <f>BO255*$CG$172</f>
        <v>0</v>
      </c>
      <c r="BM255" s="65">
        <f>BO255*$CH$172</f>
        <v>0</v>
      </c>
      <c r="BN255" s="65">
        <f>BO255*4-SUM(BK255:BM255)</f>
        <v>0</v>
      </c>
      <c r="BO255" s="11">
        <f>VLOOKUP($B255,'Woodmac profile - Gas'!$B$452:$AL$478,MATCH('Production - Gas'!BO$232,'Woodmac profile - Gas'!$B$364:$AL$364),FALSE)</f>
        <v>0</v>
      </c>
      <c r="BP255" s="65">
        <f>BT255*$CF$172</f>
        <v>0</v>
      </c>
      <c r="BQ255" s="65">
        <f>BT255*$CG$172</f>
        <v>0</v>
      </c>
      <c r="BR255" s="65">
        <f>BT255*$CH$172</f>
        <v>0</v>
      </c>
      <c r="BS255" s="65">
        <f>BT255*4-SUM(BP255:BR255)</f>
        <v>0</v>
      </c>
      <c r="BT255" s="11">
        <f>VLOOKUP($B255,'Woodmac profile - Gas'!$B$452:$AL$478,MATCH('Production - Gas'!BT$232,'Woodmac profile - Gas'!$B$364:$AL$364),FALSE)</f>
        <v>0</v>
      </c>
      <c r="BU255" s="65">
        <f>BY255*$CF$172</f>
        <v>0</v>
      </c>
      <c r="BV255" s="65">
        <f>BY255*$CG$172</f>
        <v>0</v>
      </c>
      <c r="BW255" s="65">
        <f>BY255*$CH$172</f>
        <v>0</v>
      </c>
      <c r="BX255" s="65">
        <f>BY255*4-SUM(BU255:BW255)</f>
        <v>0</v>
      </c>
      <c r="BY255" s="11">
        <f>VLOOKUP($B255,'Woodmac profile - Gas'!$B$452:$AL$478,MATCH('Production - Gas'!BY$232,'Woodmac profile - Gas'!$B$364:$AL$364),FALSE)</f>
        <v>0</v>
      </c>
      <c r="BZ255" s="65">
        <f>CD255*$CF$172</f>
        <v>0</v>
      </c>
      <c r="CA255" s="65">
        <f>CD255*$CG$172</f>
        <v>0</v>
      </c>
      <c r="CB255" s="65">
        <f>CD255*$CH$172</f>
        <v>0</v>
      </c>
      <c r="CC255" s="65">
        <f>CD255*4-SUM(BZ255:CB255)</f>
        <v>0</v>
      </c>
      <c r="CD255" s="11">
        <f>VLOOKUP($B255,'Woodmac profile - Gas'!$B$452:$AL$478,MATCH('Production - Gas'!CD$232,'Woodmac profile - Gas'!$B$364:$AL$364),FALSE)</f>
        <v>0</v>
      </c>
      <c r="CE255" s="5"/>
      <c r="CF255" s="5"/>
      <c r="CG255" s="5"/>
      <c r="CH255" s="5"/>
      <c r="CI255" s="5"/>
    </row>
    <row r="256" spans="1:87">
      <c r="A256" s="11"/>
      <c r="B256" s="11" t="s">
        <v>2251</v>
      </c>
      <c r="C256" s="11"/>
      <c r="D256" s="11"/>
      <c r="E256" s="11">
        <f>VLOOKUP($B256,'Woodmac profile - Gas'!$B$452:$AL$478,MATCH('Production - Gas'!E$232,'Woodmac profile - Gas'!$B$364:$AL$364),FALSE)</f>
        <v>0</v>
      </c>
      <c r="F256" s="11">
        <f>VLOOKUP($B256,'Woodmac profile - Gas'!$B$452:$AL$478,MATCH('Production - Gas'!F$232,'Woodmac profile - Gas'!$B$364:$AL$364),FALSE)</f>
        <v>0</v>
      </c>
      <c r="G256" s="11">
        <f>VLOOKUP($B256,'Woodmac profile - Gas'!$B$452:$AL$478,MATCH('Production - Gas'!G$232,'Woodmac profile - Gas'!$B$364:$AL$364),FALSE)</f>
        <v>0</v>
      </c>
      <c r="H256" s="80">
        <f>G256+(L256-G256)/4</f>
        <v>0</v>
      </c>
      <c r="I256" s="80">
        <f>H256+(L256-G256)/2</f>
        <v>0</v>
      </c>
      <c r="J256" s="80">
        <f>I256+(L256-G256)/2</f>
        <v>0</v>
      </c>
      <c r="K256" s="80">
        <f>J256+(L256-G256)/2</f>
        <v>0</v>
      </c>
      <c r="L256" s="11">
        <f>VLOOKUP($B256,'Woodmac profile - Gas'!$B$452:$AL$478,MATCH('Production - Gas'!L$232,'Woodmac profile - Gas'!$B$364:$AL$364),FALSE)</f>
        <v>0</v>
      </c>
      <c r="M256" s="65">
        <f t="shared" si="227"/>
        <v>0</v>
      </c>
      <c r="N256" s="65">
        <f t="shared" si="227"/>
        <v>0</v>
      </c>
      <c r="O256" s="65">
        <f t="shared" si="227"/>
        <v>0</v>
      </c>
      <c r="P256" s="65">
        <f>Q256*4-SUM(M256:O256)</f>
        <v>0</v>
      </c>
      <c r="Q256" s="11">
        <f>VLOOKUP($B256,'Woodmac profile - Gas'!$B$452:$AL$478,MATCH('Production - Gas'!Q$232,'Woodmac profile - Gas'!$B$364:$AL$364),FALSE)</f>
        <v>0</v>
      </c>
      <c r="R256" s="65">
        <f>V256*R$172</f>
        <v>0</v>
      </c>
      <c r="S256" s="65">
        <f>V256*S$172</f>
        <v>0</v>
      </c>
      <c r="T256" s="65">
        <f>V256*T$172</f>
        <v>0</v>
      </c>
      <c r="U256" s="65">
        <f>V256*4-SUM(R256:T256)</f>
        <v>0</v>
      </c>
      <c r="V256" s="11">
        <f>VLOOKUP($B256,'Woodmac profile - Gas'!$B$452:$AL$478,MATCH('Production - Gas'!V$232,'Woodmac profile - Gas'!$B$364:$AL$364),FALSE)</f>
        <v>0</v>
      </c>
      <c r="W256" s="65">
        <f>AA256*W$172</f>
        <v>0</v>
      </c>
      <c r="X256" s="65">
        <f>AA256*X$172</f>
        <v>0</v>
      </c>
      <c r="Y256" s="65">
        <f>AA256*Y$172</f>
        <v>0</v>
      </c>
      <c r="Z256" s="65">
        <f>AA256*4-SUM(W256:Y256)</f>
        <v>0</v>
      </c>
      <c r="AA256" s="11">
        <f>VLOOKUP($B256,'Woodmac profile - Gas'!$B$452:$AL$478,MATCH('Production - Gas'!AA$232,'Woodmac profile - Gas'!$B$364:$AL$364),FALSE)</f>
        <v>0</v>
      </c>
      <c r="AB256" s="65">
        <f>AF256*AB$172</f>
        <v>0</v>
      </c>
      <c r="AC256" s="65">
        <f>AF256*AC$172</f>
        <v>0</v>
      </c>
      <c r="AD256" s="65">
        <f>AF256*AD$172</f>
        <v>0</v>
      </c>
      <c r="AE256" s="65">
        <f>AF256*4-SUM(AB256:AD256)</f>
        <v>0</v>
      </c>
      <c r="AF256" s="11">
        <f>VLOOKUP($B256,'Woodmac profile - Gas'!$B$452:$AL$478,MATCH('Production - Gas'!AF$232,'Woodmac profile - Gas'!$B$364:$AL$364),FALSE)</f>
        <v>0</v>
      </c>
      <c r="AG256" s="65">
        <f>AK256*$CF$172</f>
        <v>0</v>
      </c>
      <c r="AH256" s="65">
        <f>AK256*$CG$172</f>
        <v>0</v>
      </c>
      <c r="AI256" s="65">
        <f>AK256*$CH$172</f>
        <v>0</v>
      </c>
      <c r="AJ256" s="65">
        <f>AK256*4-SUM(AG256:AI256)</f>
        <v>0</v>
      </c>
      <c r="AK256" s="11">
        <f>VLOOKUP($B256,'Woodmac profile - Gas'!$B$452:$AL$478,MATCH('Production - Gas'!AK$232,'Woodmac profile - Gas'!$B$364:$AL$364),FALSE)</f>
        <v>0</v>
      </c>
      <c r="AL256" s="65">
        <f>AP256*$CF$172</f>
        <v>0</v>
      </c>
      <c r="AM256" s="65">
        <f>AP256*$CG$172</f>
        <v>0</v>
      </c>
      <c r="AN256" s="65">
        <f>AP256*$CH$172</f>
        <v>0</v>
      </c>
      <c r="AO256" s="65">
        <f>AP256*4-SUM(AL256:AN256)</f>
        <v>0</v>
      </c>
      <c r="AP256" s="11">
        <f>VLOOKUP($B256,'Woodmac profile - Gas'!$B$452:$AL$478,MATCH('Production - Gas'!AP$232,'Woodmac profile - Gas'!$B$364:$AL$364),FALSE)</f>
        <v>0</v>
      </c>
      <c r="AQ256" s="65">
        <f>AU256*$CF$172</f>
        <v>0</v>
      </c>
      <c r="AR256" s="65">
        <f>AU256*$CG$172</f>
        <v>0</v>
      </c>
      <c r="AS256" s="65">
        <f>AU256*$CH$172</f>
        <v>0</v>
      </c>
      <c r="AT256" s="65">
        <f>AU256*4-SUM(AQ256:AS256)</f>
        <v>0</v>
      </c>
      <c r="AU256" s="11">
        <f>VLOOKUP($B256,'Woodmac profile - Gas'!$B$452:$AL$478,MATCH('Production - Gas'!AU$232,'Woodmac profile - Gas'!$B$364:$AL$364),FALSE)</f>
        <v>0</v>
      </c>
      <c r="AV256" s="65">
        <f>AZ256*$CF$172</f>
        <v>0</v>
      </c>
      <c r="AW256" s="65">
        <f>AZ256*$CG$172</f>
        <v>0</v>
      </c>
      <c r="AX256" s="65">
        <f>AZ256*$CH$172</f>
        <v>0</v>
      </c>
      <c r="AY256" s="65">
        <f>AZ256*4-SUM(AV256:AX256)</f>
        <v>0</v>
      </c>
      <c r="AZ256" s="11">
        <f>VLOOKUP($B256,'Woodmac profile - Gas'!$B$452:$AL$478,MATCH('Production - Gas'!AZ$232,'Woodmac profile - Gas'!$B$364:$AL$364),FALSE)</f>
        <v>0</v>
      </c>
      <c r="BA256" s="65">
        <f>BE256*$CF$172</f>
        <v>0</v>
      </c>
      <c r="BB256" s="65">
        <f>BE256*$CG$172</f>
        <v>0</v>
      </c>
      <c r="BC256" s="65">
        <f>BE256*$CH$172</f>
        <v>0</v>
      </c>
      <c r="BD256" s="65">
        <f>BE256*4-SUM(BA256:BC256)</f>
        <v>0</v>
      </c>
      <c r="BE256" s="11">
        <f>VLOOKUP($B256,'Woodmac profile - Gas'!$B$452:$AL$478,MATCH('Production - Gas'!BE$232,'Woodmac profile - Gas'!$B$364:$AL$364),FALSE)</f>
        <v>0</v>
      </c>
      <c r="BF256" s="65">
        <f>BJ256*$CF$172</f>
        <v>0</v>
      </c>
      <c r="BG256" s="65">
        <f>BJ256*$CG$172</f>
        <v>0</v>
      </c>
      <c r="BH256" s="65">
        <f>BJ256*$CH$172</f>
        <v>0</v>
      </c>
      <c r="BI256" s="65">
        <f>BJ256*4-SUM(BF256:BH256)</f>
        <v>0</v>
      </c>
      <c r="BJ256" s="11">
        <f>VLOOKUP($B256,'Woodmac profile - Gas'!$B$452:$AL$478,MATCH('Production - Gas'!BJ$232,'Woodmac profile - Gas'!$B$364:$AL$364),FALSE)</f>
        <v>0</v>
      </c>
      <c r="BK256" s="65">
        <f>BO256*$CF$172</f>
        <v>0</v>
      </c>
      <c r="BL256" s="65">
        <f>BO256*$CG$172</f>
        <v>0</v>
      </c>
      <c r="BM256" s="65">
        <f>BO256*$CH$172</f>
        <v>0</v>
      </c>
      <c r="BN256" s="65">
        <f>BO256*4-SUM(BK256:BM256)</f>
        <v>0</v>
      </c>
      <c r="BO256" s="11">
        <f>VLOOKUP($B256,'Woodmac profile - Gas'!$B$452:$AL$478,MATCH('Production - Gas'!BO$232,'Woodmac profile - Gas'!$B$364:$AL$364),FALSE)</f>
        <v>0</v>
      </c>
      <c r="BP256" s="65">
        <f>BT256*$CF$172</f>
        <v>0</v>
      </c>
      <c r="BQ256" s="65">
        <f>BT256*$CG$172</f>
        <v>0</v>
      </c>
      <c r="BR256" s="65">
        <f>BT256*$CH$172</f>
        <v>0</v>
      </c>
      <c r="BS256" s="65">
        <f>BT256*4-SUM(BP256:BR256)</f>
        <v>0</v>
      </c>
      <c r="BT256" s="11">
        <f>VLOOKUP($B256,'Woodmac profile - Gas'!$B$452:$AL$478,MATCH('Production - Gas'!BT$232,'Woodmac profile - Gas'!$B$364:$AL$364),FALSE)</f>
        <v>0</v>
      </c>
      <c r="BU256" s="65">
        <f>BY256*$CF$172</f>
        <v>0</v>
      </c>
      <c r="BV256" s="65">
        <f>BY256*$CG$172</f>
        <v>0</v>
      </c>
      <c r="BW256" s="65">
        <f>BY256*$CH$172</f>
        <v>0</v>
      </c>
      <c r="BX256" s="65">
        <f>BY256*4-SUM(BU256:BW256)</f>
        <v>0</v>
      </c>
      <c r="BY256" s="11">
        <f>VLOOKUP($B256,'Woodmac profile - Gas'!$B$452:$AL$478,MATCH('Production - Gas'!BY$232,'Woodmac profile - Gas'!$B$364:$AL$364),FALSE)</f>
        <v>0</v>
      </c>
      <c r="BZ256" s="65">
        <f>CD256*$CF$172</f>
        <v>0</v>
      </c>
      <c r="CA256" s="65">
        <f>CD256*$CG$172</f>
        <v>0</v>
      </c>
      <c r="CB256" s="65">
        <f>CD256*$CH$172</f>
        <v>0</v>
      </c>
      <c r="CC256" s="65">
        <f>CD256*4-SUM(BZ256:CB256)</f>
        <v>0</v>
      </c>
      <c r="CD256" s="11">
        <f>VLOOKUP($B256,'Woodmac profile - Gas'!$B$452:$AL$478,MATCH('Production - Gas'!CD$232,'Woodmac profile - Gas'!$B$364:$AL$364),FALSE)</f>
        <v>0</v>
      </c>
      <c r="CE256" s="5"/>
      <c r="CF256" s="5"/>
      <c r="CG256" s="5"/>
      <c r="CH256" s="5"/>
      <c r="CI256" s="5"/>
    </row>
    <row r="257" spans="1:87">
      <c r="A257" s="39" t="s">
        <v>2461</v>
      </c>
      <c r="B257" s="39"/>
      <c r="C257" s="39">
        <f t="shared" ref="C257:AH257" si="228">SUM(C254:C256)</f>
        <v>0</v>
      </c>
      <c r="D257" s="39">
        <f t="shared" si="228"/>
        <v>0</v>
      </c>
      <c r="E257" s="39">
        <f t="shared" si="228"/>
        <v>0</v>
      </c>
      <c r="F257" s="39">
        <f t="shared" si="228"/>
        <v>0</v>
      </c>
      <c r="G257" s="39">
        <f t="shared" si="228"/>
        <v>0</v>
      </c>
      <c r="H257" s="80">
        <f t="shared" si="228"/>
        <v>0</v>
      </c>
      <c r="I257" s="80">
        <f t="shared" si="228"/>
        <v>0</v>
      </c>
      <c r="J257" s="80">
        <f t="shared" si="228"/>
        <v>0</v>
      </c>
      <c r="K257" s="80">
        <f t="shared" si="228"/>
        <v>0</v>
      </c>
      <c r="L257" s="39">
        <f t="shared" si="228"/>
        <v>0</v>
      </c>
      <c r="M257" s="65">
        <f t="shared" si="228"/>
        <v>0</v>
      </c>
      <c r="N257" s="65">
        <f t="shared" si="228"/>
        <v>0</v>
      </c>
      <c r="O257" s="65">
        <f t="shared" si="228"/>
        <v>0</v>
      </c>
      <c r="P257" s="65">
        <f t="shared" si="228"/>
        <v>0</v>
      </c>
      <c r="Q257" s="11">
        <f t="shared" si="228"/>
        <v>0</v>
      </c>
      <c r="R257" s="65">
        <f t="shared" si="228"/>
        <v>0</v>
      </c>
      <c r="S257" s="65">
        <f t="shared" si="228"/>
        <v>0</v>
      </c>
      <c r="T257" s="65">
        <f t="shared" si="228"/>
        <v>0</v>
      </c>
      <c r="U257" s="65">
        <f t="shared" si="228"/>
        <v>0</v>
      </c>
      <c r="V257" s="11">
        <f t="shared" si="228"/>
        <v>0</v>
      </c>
      <c r="W257" s="65">
        <f t="shared" si="228"/>
        <v>0</v>
      </c>
      <c r="X257" s="65">
        <f t="shared" si="228"/>
        <v>0</v>
      </c>
      <c r="Y257" s="65">
        <f t="shared" si="228"/>
        <v>0</v>
      </c>
      <c r="Z257" s="65">
        <f t="shared" si="228"/>
        <v>0</v>
      </c>
      <c r="AA257" s="11">
        <f t="shared" si="228"/>
        <v>0</v>
      </c>
      <c r="AB257" s="65">
        <f t="shared" si="228"/>
        <v>0</v>
      </c>
      <c r="AC257" s="65">
        <f t="shared" si="228"/>
        <v>0</v>
      </c>
      <c r="AD257" s="65">
        <f t="shared" si="228"/>
        <v>0</v>
      </c>
      <c r="AE257" s="65">
        <f t="shared" si="228"/>
        <v>0</v>
      </c>
      <c r="AF257" s="11">
        <f t="shared" si="228"/>
        <v>0</v>
      </c>
      <c r="AG257" s="65">
        <f t="shared" si="228"/>
        <v>0</v>
      </c>
      <c r="AH257" s="65">
        <f t="shared" si="228"/>
        <v>0</v>
      </c>
      <c r="AI257" s="65">
        <f t="shared" ref="AI257:BN257" si="229">SUM(AI254:AI256)</f>
        <v>0</v>
      </c>
      <c r="AJ257" s="65">
        <f t="shared" si="229"/>
        <v>0</v>
      </c>
      <c r="AK257" s="11">
        <f t="shared" si="229"/>
        <v>0</v>
      </c>
      <c r="AL257" s="65">
        <f t="shared" si="229"/>
        <v>0</v>
      </c>
      <c r="AM257" s="65">
        <f t="shared" si="229"/>
        <v>0</v>
      </c>
      <c r="AN257" s="65">
        <f t="shared" si="229"/>
        <v>0</v>
      </c>
      <c r="AO257" s="65">
        <f t="shared" si="229"/>
        <v>0</v>
      </c>
      <c r="AP257" s="11">
        <f t="shared" si="229"/>
        <v>0</v>
      </c>
      <c r="AQ257" s="65">
        <f t="shared" si="229"/>
        <v>0</v>
      </c>
      <c r="AR257" s="65">
        <f t="shared" si="229"/>
        <v>0</v>
      </c>
      <c r="AS257" s="65">
        <f t="shared" si="229"/>
        <v>0</v>
      </c>
      <c r="AT257" s="65">
        <f t="shared" si="229"/>
        <v>0</v>
      </c>
      <c r="AU257" s="11">
        <f t="shared" si="229"/>
        <v>0</v>
      </c>
      <c r="AV257" s="65">
        <f t="shared" si="229"/>
        <v>0</v>
      </c>
      <c r="AW257" s="65">
        <f t="shared" si="229"/>
        <v>0</v>
      </c>
      <c r="AX257" s="65">
        <f t="shared" si="229"/>
        <v>0</v>
      </c>
      <c r="AY257" s="65">
        <f t="shared" si="229"/>
        <v>0</v>
      </c>
      <c r="AZ257" s="11">
        <f>SUM(AZ254:AZ256)</f>
        <v>0</v>
      </c>
      <c r="BA257" s="65">
        <f t="shared" si="229"/>
        <v>0</v>
      </c>
      <c r="BB257" s="65">
        <f t="shared" si="229"/>
        <v>0</v>
      </c>
      <c r="BC257" s="65">
        <f t="shared" si="229"/>
        <v>0</v>
      </c>
      <c r="BD257" s="65">
        <f t="shared" si="229"/>
        <v>0</v>
      </c>
      <c r="BE257" s="11">
        <f t="shared" si="229"/>
        <v>0</v>
      </c>
      <c r="BF257" s="65">
        <f t="shared" si="229"/>
        <v>0</v>
      </c>
      <c r="BG257" s="65">
        <f t="shared" si="229"/>
        <v>0</v>
      </c>
      <c r="BH257" s="65">
        <f t="shared" si="229"/>
        <v>0</v>
      </c>
      <c r="BI257" s="65">
        <f t="shared" si="229"/>
        <v>0</v>
      </c>
      <c r="BJ257" s="11">
        <f t="shared" si="229"/>
        <v>0</v>
      </c>
      <c r="BK257" s="65">
        <f t="shared" si="229"/>
        <v>0</v>
      </c>
      <c r="BL257" s="65">
        <f t="shared" si="229"/>
        <v>0</v>
      </c>
      <c r="BM257" s="65">
        <f t="shared" si="229"/>
        <v>0</v>
      </c>
      <c r="BN257" s="65">
        <f t="shared" si="229"/>
        <v>0</v>
      </c>
      <c r="BO257" s="11">
        <f t="shared" ref="BO257:CD257" si="230">SUM(BO254:BO256)</f>
        <v>0</v>
      </c>
      <c r="BP257" s="65">
        <f t="shared" si="230"/>
        <v>0</v>
      </c>
      <c r="BQ257" s="65">
        <f t="shared" si="230"/>
        <v>0</v>
      </c>
      <c r="BR257" s="65">
        <f t="shared" si="230"/>
        <v>0</v>
      </c>
      <c r="BS257" s="65">
        <f t="shared" si="230"/>
        <v>0</v>
      </c>
      <c r="BT257" s="11">
        <f t="shared" si="230"/>
        <v>0</v>
      </c>
      <c r="BU257" s="65">
        <f t="shared" si="230"/>
        <v>0</v>
      </c>
      <c r="BV257" s="65">
        <f t="shared" si="230"/>
        <v>0</v>
      </c>
      <c r="BW257" s="65">
        <f t="shared" si="230"/>
        <v>0</v>
      </c>
      <c r="BX257" s="65">
        <f t="shared" si="230"/>
        <v>0</v>
      </c>
      <c r="BY257" s="11">
        <f t="shared" si="230"/>
        <v>0</v>
      </c>
      <c r="BZ257" s="65">
        <f t="shared" si="230"/>
        <v>0</v>
      </c>
      <c r="CA257" s="65">
        <f t="shared" si="230"/>
        <v>0</v>
      </c>
      <c r="CB257" s="65">
        <f t="shared" si="230"/>
        <v>0</v>
      </c>
      <c r="CC257" s="65">
        <f t="shared" si="230"/>
        <v>0</v>
      </c>
      <c r="CD257" s="11">
        <f t="shared" si="230"/>
        <v>0</v>
      </c>
      <c r="CE257" s="5"/>
      <c r="CF257" s="5"/>
      <c r="CG257" s="5"/>
      <c r="CH257" s="5"/>
      <c r="CI257" s="5"/>
    </row>
    <row r="258" spans="1:87">
      <c r="A258" s="11"/>
      <c r="B258" s="11"/>
      <c r="C258" s="11"/>
      <c r="D258" s="11"/>
      <c r="E258" s="11"/>
      <c r="F258" s="11"/>
      <c r="G258" s="11"/>
      <c r="H258" s="80"/>
      <c r="I258" s="80"/>
      <c r="J258" s="80"/>
      <c r="K258" s="80"/>
      <c r="L258" s="11"/>
      <c r="M258" s="68"/>
      <c r="N258" s="68"/>
      <c r="O258" s="68"/>
      <c r="P258" s="68"/>
      <c r="Q258" s="11"/>
      <c r="R258" s="68"/>
      <c r="S258" s="68"/>
      <c r="T258" s="68"/>
      <c r="U258" s="68"/>
      <c r="V258" s="11"/>
      <c r="W258" s="68"/>
      <c r="X258" s="68"/>
      <c r="Y258" s="68"/>
      <c r="Z258" s="68"/>
      <c r="AA258" s="11"/>
      <c r="AB258" s="68"/>
      <c r="AC258" s="68"/>
      <c r="AD258" s="68"/>
      <c r="AE258" s="68"/>
      <c r="AF258" s="11"/>
      <c r="AG258" s="68"/>
      <c r="AH258" s="68"/>
      <c r="AI258" s="68"/>
      <c r="AJ258" s="68"/>
      <c r="AK258" s="11"/>
      <c r="AL258" s="68"/>
      <c r="AM258" s="68"/>
      <c r="AN258" s="68"/>
      <c r="AO258" s="68"/>
      <c r="AP258" s="11"/>
      <c r="AQ258" s="68"/>
      <c r="AR258" s="68"/>
      <c r="AS258" s="68"/>
      <c r="AT258" s="68"/>
      <c r="AU258" s="11"/>
      <c r="AV258" s="68"/>
      <c r="AW258" s="68"/>
      <c r="AX258" s="68"/>
      <c r="AY258" s="68"/>
      <c r="AZ258" s="11"/>
      <c r="BA258" s="68"/>
      <c r="BB258" s="68"/>
      <c r="BC258" s="68"/>
      <c r="BD258" s="68"/>
      <c r="BE258" s="11"/>
      <c r="BF258" s="68"/>
      <c r="BG258" s="68"/>
      <c r="BH258" s="68"/>
      <c r="BI258" s="68"/>
      <c r="BJ258" s="11"/>
      <c r="BK258" s="68"/>
      <c r="BL258" s="68"/>
      <c r="BM258" s="68"/>
      <c r="BN258" s="68"/>
      <c r="BO258" s="11"/>
      <c r="BP258" s="68"/>
      <c r="BQ258" s="68"/>
      <c r="BR258" s="68"/>
      <c r="BS258" s="68"/>
      <c r="BT258" s="11"/>
      <c r="BU258" s="68"/>
      <c r="BV258" s="68"/>
      <c r="BW258" s="68"/>
      <c r="BX258" s="68"/>
      <c r="BY258" s="11"/>
      <c r="BZ258" s="68"/>
      <c r="CA258" s="68"/>
      <c r="CB258" s="68"/>
      <c r="CC258" s="68"/>
      <c r="CD258" s="11"/>
      <c r="CE258" s="5"/>
      <c r="CF258" s="5"/>
      <c r="CG258" s="5"/>
      <c r="CH258" s="5"/>
      <c r="CI258" s="5"/>
    </row>
    <row r="259" spans="1:87">
      <c r="A259" s="39" t="s">
        <v>2462</v>
      </c>
      <c r="B259" s="11"/>
      <c r="C259" s="11"/>
      <c r="D259" s="11"/>
      <c r="E259" s="11"/>
      <c r="F259" s="11"/>
      <c r="G259" s="11"/>
      <c r="H259" s="80"/>
      <c r="I259" s="80"/>
      <c r="J259" s="80"/>
      <c r="K259" s="80"/>
      <c r="L259" s="11"/>
      <c r="M259" s="68"/>
      <c r="N259" s="68"/>
      <c r="O259" s="68"/>
      <c r="P259" s="68"/>
      <c r="Q259" s="11"/>
      <c r="R259" s="68"/>
      <c r="S259" s="68"/>
      <c r="T259" s="68"/>
      <c r="U259" s="68"/>
      <c r="V259" s="11"/>
      <c r="W259" s="68"/>
      <c r="X259" s="68"/>
      <c r="Y259" s="68"/>
      <c r="Z259" s="68"/>
      <c r="AA259" s="11"/>
      <c r="AB259" s="68"/>
      <c r="AC259" s="68"/>
      <c r="AD259" s="68"/>
      <c r="AE259" s="68"/>
      <c r="AF259" s="11"/>
      <c r="AG259" s="68"/>
      <c r="AH259" s="68"/>
      <c r="AI259" s="68"/>
      <c r="AJ259" s="68"/>
      <c r="AK259" s="11"/>
      <c r="AL259" s="68"/>
      <c r="AM259" s="68"/>
      <c r="AN259" s="68"/>
      <c r="AO259" s="68"/>
      <c r="AP259" s="11"/>
      <c r="AQ259" s="68"/>
      <c r="AR259" s="68"/>
      <c r="AS259" s="68"/>
      <c r="AT259" s="68"/>
      <c r="AU259" s="11"/>
      <c r="AV259" s="68"/>
      <c r="AW259" s="68"/>
      <c r="AX259" s="68"/>
      <c r="AY259" s="68"/>
      <c r="AZ259" s="11"/>
      <c r="BA259" s="68"/>
      <c r="BB259" s="68"/>
      <c r="BC259" s="68"/>
      <c r="BD259" s="68"/>
      <c r="BE259" s="11"/>
      <c r="BF259" s="68"/>
      <c r="BG259" s="68"/>
      <c r="BH259" s="68"/>
      <c r="BI259" s="68"/>
      <c r="BJ259" s="11"/>
      <c r="BK259" s="68"/>
      <c r="BL259" s="68"/>
      <c r="BM259" s="68"/>
      <c r="BN259" s="68"/>
      <c r="BO259" s="11"/>
      <c r="BP259" s="68"/>
      <c r="BQ259" s="68"/>
      <c r="BR259" s="68"/>
      <c r="BS259" s="68"/>
      <c r="BT259" s="11"/>
      <c r="BU259" s="68"/>
      <c r="BV259" s="68"/>
      <c r="BW259" s="68"/>
      <c r="BX259" s="68"/>
      <c r="BY259" s="11"/>
      <c r="BZ259" s="68"/>
      <c r="CA259" s="68"/>
      <c r="CB259" s="68"/>
      <c r="CC259" s="68"/>
      <c r="CD259" s="11"/>
      <c r="CE259" s="5"/>
      <c r="CF259" s="5"/>
      <c r="CG259" s="5"/>
      <c r="CH259" s="5"/>
      <c r="CI259" s="5"/>
    </row>
    <row r="260" spans="1:87">
      <c r="A260" s="11"/>
      <c r="B260" s="11" t="s">
        <v>2502</v>
      </c>
      <c r="C260" s="11"/>
      <c r="D260" s="11"/>
      <c r="E260" s="11">
        <f>VLOOKUP($B260,'Woodmac profile - Gas'!$B$451:$AL$478,MATCH('Production - Gas'!E$232,'Woodmac profile - Gas'!$B$364:$AL$364),FALSE)</f>
        <v>0</v>
      </c>
      <c r="F260" s="11">
        <f>VLOOKUP($B260,'Woodmac profile - Gas'!$B$451:$AL$478,MATCH('Production - Gas'!F$232,'Woodmac profile - Gas'!$B$364:$AL$364),FALSE)</f>
        <v>0</v>
      </c>
      <c r="G260" s="11">
        <f>VLOOKUP($B260,'Woodmac profile - Gas'!$B$451:$AL$478,MATCH('Production - Gas'!G$232,'Woodmac profile - Gas'!$B$364:$AL$364),FALSE)</f>
        <v>0</v>
      </c>
      <c r="H260" s="80">
        <f>G260+(L260-G260)/4</f>
        <v>0</v>
      </c>
      <c r="I260" s="80">
        <f>H260+(L260-G260)/2</f>
        <v>0</v>
      </c>
      <c r="J260" s="80">
        <f>I260+(L260-G260)/2</f>
        <v>0</v>
      </c>
      <c r="K260" s="80">
        <f>J260+(L260-G260)/2</f>
        <v>0</v>
      </c>
      <c r="L260" s="11">
        <f>VLOOKUP($B260,'Woodmac profile - Gas'!$B$451:$AL$478,MATCH('Production - Gas'!L$232,'Woodmac profile - Gas'!$B$364:$AL$364),FALSE)</f>
        <v>0</v>
      </c>
      <c r="M260" s="65">
        <f t="shared" ref="M260:O267" si="231">$Q260*M$172</f>
        <v>0</v>
      </c>
      <c r="N260" s="65">
        <f t="shared" si="231"/>
        <v>0</v>
      </c>
      <c r="O260" s="65">
        <f t="shared" si="231"/>
        <v>0</v>
      </c>
      <c r="P260" s="65">
        <f>Q260*4-SUM(M260:O260)</f>
        <v>0</v>
      </c>
      <c r="Q260" s="11">
        <f>VLOOKUP($B260,'Woodmac profile - Gas'!$B$451:$AL$478,MATCH('Production - Gas'!Q$232,'Woodmac profile - Gas'!$B$364:$AL$364),FALSE)</f>
        <v>0</v>
      </c>
      <c r="R260" s="65">
        <f>V260*R$172</f>
        <v>0</v>
      </c>
      <c r="S260" s="65">
        <f>V260*S$172</f>
        <v>0</v>
      </c>
      <c r="T260" s="65">
        <f>V260*T$172</f>
        <v>0</v>
      </c>
      <c r="U260" s="65">
        <f>V260*4-SUM(R260:T260)</f>
        <v>0</v>
      </c>
      <c r="V260" s="11">
        <f>VLOOKUP($B260,'Woodmac profile - Gas'!$B$451:$AL$478,MATCH('Production - Gas'!V$232,'Woodmac profile - Gas'!$B$364:$AL$364),FALSE)</f>
        <v>0</v>
      </c>
      <c r="W260" s="65">
        <f>AA260*W$172</f>
        <v>0</v>
      </c>
      <c r="X260" s="65">
        <f>AA260*X$172</f>
        <v>0</v>
      </c>
      <c r="Y260" s="65">
        <f>AA260*Y$172</f>
        <v>0</v>
      </c>
      <c r="Z260" s="65">
        <f>AA260*4-SUM(W260:Y260)</f>
        <v>0</v>
      </c>
      <c r="AA260" s="11">
        <f>VLOOKUP($B260,'Woodmac profile - Gas'!$B$451:$AL$478,MATCH('Production - Gas'!AA$232,'Woodmac profile - Gas'!$B$364:$AL$364),FALSE)</f>
        <v>0</v>
      </c>
      <c r="AB260" s="65">
        <f>AF260*AB$172</f>
        <v>0</v>
      </c>
      <c r="AC260" s="65">
        <f>AF260*AC$172</f>
        <v>0</v>
      </c>
      <c r="AD260" s="65">
        <f>AF260*AD$172</f>
        <v>0</v>
      </c>
      <c r="AE260" s="65">
        <f>AF260*4-SUM(AB260:AD260)</f>
        <v>0</v>
      </c>
      <c r="AF260" s="11">
        <f>VLOOKUP($B260,'Woodmac profile - Gas'!$B$451:$AL$478,MATCH('Production - Gas'!AF$232,'Woodmac profile - Gas'!$B$364:$AL$364),FALSE)</f>
        <v>0</v>
      </c>
      <c r="AG260" s="65">
        <f>AK260*$CF$172</f>
        <v>0</v>
      </c>
      <c r="AH260" s="65">
        <f>AK260*$CG$172</f>
        <v>0</v>
      </c>
      <c r="AI260" s="65">
        <f>AK260*$CH$172</f>
        <v>0</v>
      </c>
      <c r="AJ260" s="65">
        <f>AK260*4-SUM(AG260:AI260)</f>
        <v>0</v>
      </c>
      <c r="AK260" s="11">
        <f>VLOOKUP($B260,'Woodmac profile - Gas'!$B$451:$AL$478,MATCH('Production - Gas'!AK$232,'Woodmac profile - Gas'!$B$364:$AL$364),FALSE)</f>
        <v>0</v>
      </c>
      <c r="AL260" s="65">
        <f>AP260*$CF$172</f>
        <v>0</v>
      </c>
      <c r="AM260" s="65">
        <f>AP260*$CG$172</f>
        <v>0</v>
      </c>
      <c r="AN260" s="65">
        <f>AP260*$CH$172</f>
        <v>0</v>
      </c>
      <c r="AO260" s="65">
        <f>AP260*4-SUM(AL260:AN260)</f>
        <v>0</v>
      </c>
      <c r="AP260" s="11">
        <f>VLOOKUP($B260,'Woodmac profile - Gas'!$B$451:$AL$478,MATCH('Production - Gas'!AP$232,'Woodmac profile - Gas'!$B$364:$AL$364),FALSE)</f>
        <v>0</v>
      </c>
      <c r="AQ260" s="65">
        <f>AU260*$CF$172</f>
        <v>0</v>
      </c>
      <c r="AR260" s="65">
        <f>AU260*$CG$172</f>
        <v>0</v>
      </c>
      <c r="AS260" s="65">
        <f>AU260*$CH$172</f>
        <v>0</v>
      </c>
      <c r="AT260" s="65">
        <f>AU260*4-SUM(AQ260:AS260)</f>
        <v>0</v>
      </c>
      <c r="AU260" s="11">
        <f>VLOOKUP($B260,'Woodmac profile - Gas'!$B$451:$AL$478,MATCH('Production - Gas'!AU$232,'Woodmac profile - Gas'!$B$364:$AL$364),FALSE)</f>
        <v>0</v>
      </c>
      <c r="AV260" s="65">
        <f>AZ260*$CF$172</f>
        <v>0</v>
      </c>
      <c r="AW260" s="65">
        <f>AZ260*$CG$172</f>
        <v>0</v>
      </c>
      <c r="AX260" s="65">
        <f>AZ260*$CH$172</f>
        <v>0</v>
      </c>
      <c r="AY260" s="65">
        <f>AZ260*4-SUM(AV260:AX260)</f>
        <v>0</v>
      </c>
      <c r="AZ260" s="11">
        <f>VLOOKUP($B260,'Woodmac profile - Gas'!$B$451:$AL$478,MATCH('Production - Gas'!AZ$232,'Woodmac profile - Gas'!$B$364:$AL$364),FALSE)</f>
        <v>0</v>
      </c>
      <c r="BA260" s="65">
        <f>BE260*$CF$172</f>
        <v>0</v>
      </c>
      <c r="BB260" s="65">
        <f>BE260*$CG$172</f>
        <v>0</v>
      </c>
      <c r="BC260" s="65">
        <f>BE260*$CH$172</f>
        <v>0</v>
      </c>
      <c r="BD260" s="65">
        <f>BE260*4-SUM(BA260:BC260)</f>
        <v>0</v>
      </c>
      <c r="BE260" s="11">
        <f>VLOOKUP($B260,'Woodmac profile - Gas'!$B$451:$AL$478,MATCH('Production - Gas'!BE$232,'Woodmac profile - Gas'!$B$364:$AL$364),FALSE)</f>
        <v>0</v>
      </c>
      <c r="BF260" s="65">
        <f>BJ260*$CF$172</f>
        <v>0</v>
      </c>
      <c r="BG260" s="65">
        <f>BJ260*$CG$172</f>
        <v>0</v>
      </c>
      <c r="BH260" s="65">
        <f>BJ260*$CH$172</f>
        <v>0</v>
      </c>
      <c r="BI260" s="65">
        <f>BJ260*4-SUM(BF260:BH260)</f>
        <v>0</v>
      </c>
      <c r="BJ260" s="11">
        <f>VLOOKUP($B260,'Woodmac profile - Gas'!$B$451:$AL$478,MATCH('Production - Gas'!BJ$232,'Woodmac profile - Gas'!$B$364:$AL$364),FALSE)</f>
        <v>0</v>
      </c>
      <c r="BK260" s="65">
        <f>BO260*$CF$172</f>
        <v>0</v>
      </c>
      <c r="BL260" s="65">
        <f>BO260*$CG$172</f>
        <v>0</v>
      </c>
      <c r="BM260" s="65">
        <f>BO260*$CH$172</f>
        <v>0</v>
      </c>
      <c r="BN260" s="65">
        <f>BO260*4-SUM(BK260:BM260)</f>
        <v>0</v>
      </c>
      <c r="BO260" s="11">
        <f>VLOOKUP($B260,'Woodmac profile - Gas'!$B$451:$AL$478,MATCH('Production - Gas'!BO$232,'Woodmac profile - Gas'!$B$364:$AL$364),FALSE)</f>
        <v>0</v>
      </c>
      <c r="BP260" s="65">
        <f>BT260*$CF$172</f>
        <v>0</v>
      </c>
      <c r="BQ260" s="65">
        <f>BT260*$CG$172</f>
        <v>0</v>
      </c>
      <c r="BR260" s="65">
        <f>BT260*$CH$172</f>
        <v>0</v>
      </c>
      <c r="BS260" s="65">
        <f>BT260*4-SUM(BP260:BR260)</f>
        <v>0</v>
      </c>
      <c r="BT260" s="11">
        <f>VLOOKUP($B260,'Woodmac profile - Gas'!$B$451:$AL$478,MATCH('Production - Gas'!BT$232,'Woodmac profile - Gas'!$B$364:$AL$364),FALSE)</f>
        <v>0</v>
      </c>
      <c r="BU260" s="65">
        <f>BY260*$CF$172</f>
        <v>0</v>
      </c>
      <c r="BV260" s="65">
        <f>BY260*$CG$172</f>
        <v>0</v>
      </c>
      <c r="BW260" s="65">
        <f>BY260*$CH$172</f>
        <v>0</v>
      </c>
      <c r="BX260" s="65">
        <f>BY260*4-SUM(BU260:BW260)</f>
        <v>0</v>
      </c>
      <c r="BY260" s="11">
        <f>VLOOKUP($B260,'Woodmac profile - Gas'!$B$451:$AL$478,MATCH('Production - Gas'!BY$232,'Woodmac profile - Gas'!$B$364:$AL$364),FALSE)</f>
        <v>0</v>
      </c>
      <c r="BZ260" s="65">
        <f>CD260*$CF$172</f>
        <v>0</v>
      </c>
      <c r="CA260" s="65">
        <f>CD260*$CG$172</f>
        <v>0</v>
      </c>
      <c r="CB260" s="65">
        <f>CD260*$CH$172</f>
        <v>0</v>
      </c>
      <c r="CC260" s="65">
        <f>CD260*4-SUM(BZ260:CB260)</f>
        <v>0</v>
      </c>
      <c r="CD260" s="11">
        <f>VLOOKUP($B260,'Woodmac profile - Gas'!$B$451:$AL$478,MATCH('Production - Gas'!CD$232,'Woodmac profile - Gas'!$B$364:$AL$364),FALSE)</f>
        <v>0</v>
      </c>
      <c r="CE260" s="5"/>
      <c r="CF260" s="5"/>
      <c r="CG260" s="5"/>
      <c r="CH260" s="5"/>
      <c r="CI260" s="5"/>
    </row>
    <row r="261" spans="1:87">
      <c r="A261" s="11"/>
      <c r="B261" s="11" t="s">
        <v>726</v>
      </c>
      <c r="C261" s="11"/>
      <c r="D261" s="11"/>
      <c r="E261" s="11">
        <f>VLOOKUP($B261,'Woodmac profile - Gas'!$B$452:$AL$478,MATCH('Production - Gas'!E$232,'Woodmac profile - Gas'!$B$364:$AL$364),FALSE)</f>
        <v>0</v>
      </c>
      <c r="F261" s="11">
        <f>VLOOKUP($B261,'Woodmac profile - Gas'!$B$452:$AL$478,MATCH('Production - Gas'!F$232,'Woodmac profile - Gas'!$B$364:$AL$364),FALSE)</f>
        <v>0</v>
      </c>
      <c r="G261" s="11">
        <f>VLOOKUP($B261,'Woodmac profile - Gas'!$B$452:$AL$478,MATCH('Production - Gas'!G$232,'Woodmac profile - Gas'!$B$364:$AL$364),FALSE)</f>
        <v>0</v>
      </c>
      <c r="H261" s="80">
        <f t="shared" ref="H261:H271" si="232">G261+(L261-G261)/4</f>
        <v>0</v>
      </c>
      <c r="I261" s="80">
        <f t="shared" ref="I261:I271" si="233">H261+(L261-G261)/2</f>
        <v>0</v>
      </c>
      <c r="J261" s="80">
        <f t="shared" ref="J261:J271" si="234">I261+(L261-G261)/2</f>
        <v>0</v>
      </c>
      <c r="K261" s="80">
        <f t="shared" ref="K261:K271" si="235">J261+(L261-G261)/2</f>
        <v>0</v>
      </c>
      <c r="L261" s="11">
        <f>VLOOKUP($B261,'Woodmac profile - Gas'!$B$452:$AL$478,MATCH('Production - Gas'!L$232,'Woodmac profile - Gas'!$B$364:$AL$364),FALSE)</f>
        <v>0</v>
      </c>
      <c r="M261" s="65">
        <f t="shared" si="231"/>
        <v>0</v>
      </c>
      <c r="N261" s="65">
        <f t="shared" si="231"/>
        <v>0</v>
      </c>
      <c r="O261" s="65">
        <f t="shared" si="231"/>
        <v>0</v>
      </c>
      <c r="P261" s="65">
        <f t="shared" ref="P261:P271" si="236">Q261*4-SUM(M261:O261)</f>
        <v>0</v>
      </c>
      <c r="Q261" s="11">
        <f>VLOOKUP($B261,'Woodmac profile - Gas'!$B$452:$AL$478,MATCH('Production - Gas'!Q$232,'Woodmac profile - Gas'!$B$364:$AL$364),FALSE)</f>
        <v>0</v>
      </c>
      <c r="R261" s="65">
        <f t="shared" ref="R261:R267" si="237">V261*R$172</f>
        <v>0</v>
      </c>
      <c r="S261" s="65">
        <f t="shared" ref="S261:S267" si="238">V261*S$172</f>
        <v>0</v>
      </c>
      <c r="T261" s="65">
        <f t="shared" ref="T261:T267" si="239">V261*T$172</f>
        <v>0</v>
      </c>
      <c r="U261" s="65">
        <f t="shared" ref="U261:U271" si="240">V261*4-SUM(R261:T261)</f>
        <v>0</v>
      </c>
      <c r="V261" s="11">
        <f>VLOOKUP($B261,'Woodmac profile - Gas'!$B$452:$AL$478,MATCH('Production - Gas'!V$232,'Woodmac profile - Gas'!$B$364:$AL$364),FALSE)</f>
        <v>0</v>
      </c>
      <c r="W261" s="65">
        <f t="shared" ref="W261:W267" si="241">AA261*W$172</f>
        <v>0</v>
      </c>
      <c r="X261" s="65">
        <f t="shared" ref="X261:X267" si="242">AA261*X$172</f>
        <v>0</v>
      </c>
      <c r="Y261" s="65">
        <f t="shared" ref="Y261:Y267" si="243">AA261*Y$172</f>
        <v>0</v>
      </c>
      <c r="Z261" s="65">
        <f t="shared" ref="Z261:Z271" si="244">AA261*4-SUM(W261:Y261)</f>
        <v>0</v>
      </c>
      <c r="AA261" s="11">
        <f>VLOOKUP($B261,'Woodmac profile - Gas'!$B$452:$AL$478,MATCH('Production - Gas'!AA$232,'Woodmac profile - Gas'!$B$364:$AL$364),FALSE)</f>
        <v>0</v>
      </c>
      <c r="AB261" s="65">
        <f t="shared" ref="AB261:AB267" si="245">AF261*AB$172</f>
        <v>0</v>
      </c>
      <c r="AC261" s="65">
        <f t="shared" ref="AC261:AC267" si="246">AF261*AC$172</f>
        <v>0</v>
      </c>
      <c r="AD261" s="65">
        <f t="shared" ref="AD261:AD267" si="247">AF261*AD$172</f>
        <v>0</v>
      </c>
      <c r="AE261" s="65">
        <f t="shared" ref="AE261:AE271" si="248">AF261*4-SUM(AB261:AD261)</f>
        <v>0</v>
      </c>
      <c r="AF261" s="11">
        <f>VLOOKUP($B261,'Woodmac profile - Gas'!$B$452:$AL$478,MATCH('Production - Gas'!AF$232,'Woodmac profile - Gas'!$B$364:$AL$364),FALSE)</f>
        <v>0</v>
      </c>
      <c r="AG261" s="65">
        <f t="shared" ref="AG261:AG267" si="249">AK261*$CF$172</f>
        <v>0</v>
      </c>
      <c r="AH261" s="65">
        <f t="shared" ref="AH261:AH267" si="250">AK261*$CG$172</f>
        <v>0</v>
      </c>
      <c r="AI261" s="65">
        <f t="shared" ref="AI261:AI267" si="251">AK261*$CH$172</f>
        <v>0</v>
      </c>
      <c r="AJ261" s="65">
        <f t="shared" ref="AJ261:AJ271" si="252">AK261*4-SUM(AG261:AI261)</f>
        <v>0</v>
      </c>
      <c r="AK261" s="11">
        <f>VLOOKUP($B261,'Woodmac profile - Gas'!$B$452:$AL$478,MATCH('Production - Gas'!AK$232,'Woodmac profile - Gas'!$B$364:$AL$364),FALSE)</f>
        <v>0</v>
      </c>
      <c r="AL261" s="65">
        <f t="shared" ref="AL261:AL267" si="253">AP261*$CF$172</f>
        <v>0</v>
      </c>
      <c r="AM261" s="65">
        <f t="shared" ref="AM261:AM267" si="254">AP261*$CG$172</f>
        <v>0</v>
      </c>
      <c r="AN261" s="65">
        <f t="shared" ref="AN261:AN267" si="255">AP261*$CH$172</f>
        <v>0</v>
      </c>
      <c r="AO261" s="65">
        <f t="shared" ref="AO261:AO271" si="256">AP261*4-SUM(AL261:AN261)</f>
        <v>0</v>
      </c>
      <c r="AP261" s="11">
        <f>VLOOKUP($B261,'Woodmac profile - Gas'!$B$452:$AL$478,MATCH('Production - Gas'!AP$232,'Woodmac profile - Gas'!$B$364:$AL$364),FALSE)</f>
        <v>0</v>
      </c>
      <c r="AQ261" s="65">
        <f t="shared" ref="AQ261:AQ267" si="257">AU261*$CF$172</f>
        <v>0</v>
      </c>
      <c r="AR261" s="65">
        <f t="shared" ref="AR261:AR267" si="258">AU261*$CG$172</f>
        <v>0</v>
      </c>
      <c r="AS261" s="65">
        <f t="shared" ref="AS261:AS267" si="259">AU261*$CH$172</f>
        <v>0</v>
      </c>
      <c r="AT261" s="65">
        <f t="shared" ref="AT261:AT271" si="260">AU261*4-SUM(AQ261:AS261)</f>
        <v>0</v>
      </c>
      <c r="AU261" s="11">
        <f>VLOOKUP($B261,'Woodmac profile - Gas'!$B$452:$AL$478,MATCH('Production - Gas'!AU$232,'Woodmac profile - Gas'!$B$364:$AL$364),FALSE)</f>
        <v>0</v>
      </c>
      <c r="AV261" s="65">
        <f t="shared" ref="AV261:AV267" si="261">AZ261*$CF$172</f>
        <v>0</v>
      </c>
      <c r="AW261" s="65">
        <f t="shared" ref="AW261:AW267" si="262">AZ261*$CG$172</f>
        <v>0</v>
      </c>
      <c r="AX261" s="65">
        <f t="shared" ref="AX261:AX267" si="263">AZ261*$CH$172</f>
        <v>0</v>
      </c>
      <c r="AY261" s="65">
        <f t="shared" ref="AY261:AY271" si="264">AZ261*4-SUM(AV261:AX261)</f>
        <v>0</v>
      </c>
      <c r="AZ261" s="11">
        <f>VLOOKUP($B261,'Woodmac profile - Gas'!$B$452:$AL$478,MATCH('Production - Gas'!AZ$232,'Woodmac profile - Gas'!$B$364:$AL$364),FALSE)</f>
        <v>0</v>
      </c>
      <c r="BA261" s="65">
        <f t="shared" ref="BA261:BA267" si="265">BE261*$CF$172</f>
        <v>0</v>
      </c>
      <c r="BB261" s="65">
        <f t="shared" ref="BB261:BB267" si="266">BE261*$CG$172</f>
        <v>0</v>
      </c>
      <c r="BC261" s="65">
        <f t="shared" ref="BC261:BC267" si="267">BE261*$CH$172</f>
        <v>0</v>
      </c>
      <c r="BD261" s="65">
        <f t="shared" ref="BD261:BD271" si="268">BE261*4-SUM(BA261:BC261)</f>
        <v>0</v>
      </c>
      <c r="BE261" s="11">
        <f>VLOOKUP($B261,'Woodmac profile - Gas'!$B$452:$AL$478,MATCH('Production - Gas'!BE$232,'Woodmac profile - Gas'!$B$364:$AL$364),FALSE)</f>
        <v>0</v>
      </c>
      <c r="BF261" s="65">
        <f t="shared" ref="BF261:BF267" si="269">BJ261*$CF$172</f>
        <v>0</v>
      </c>
      <c r="BG261" s="65">
        <f t="shared" ref="BG261:BG267" si="270">BJ261*$CG$172</f>
        <v>0</v>
      </c>
      <c r="BH261" s="65">
        <f t="shared" ref="BH261:BH267" si="271">BJ261*$CH$172</f>
        <v>0</v>
      </c>
      <c r="BI261" s="65">
        <f t="shared" ref="BI261:BI271" si="272">BJ261*4-SUM(BF261:BH261)</f>
        <v>0</v>
      </c>
      <c r="BJ261" s="11">
        <f>VLOOKUP($B261,'Woodmac profile - Gas'!$B$452:$AL$478,MATCH('Production - Gas'!BJ$232,'Woodmac profile - Gas'!$B$364:$AL$364),FALSE)</f>
        <v>0</v>
      </c>
      <c r="BK261" s="65">
        <f t="shared" ref="BK261:BK267" si="273">BO261*$CF$172</f>
        <v>0</v>
      </c>
      <c r="BL261" s="65">
        <f t="shared" ref="BL261:BL267" si="274">BO261*$CG$172</f>
        <v>0</v>
      </c>
      <c r="BM261" s="65">
        <f t="shared" ref="BM261:BM267" si="275">BO261*$CH$172</f>
        <v>0</v>
      </c>
      <c r="BN261" s="65">
        <f t="shared" ref="BN261:BN271" si="276">BO261*4-SUM(BK261:BM261)</f>
        <v>0</v>
      </c>
      <c r="BO261" s="11">
        <f>VLOOKUP($B261,'Woodmac profile - Gas'!$B$452:$AL$478,MATCH('Production - Gas'!BO$232,'Woodmac profile - Gas'!$B$364:$AL$364),FALSE)</f>
        <v>0</v>
      </c>
      <c r="BP261" s="65">
        <f t="shared" ref="BP261:BP267" si="277">BT261*$CF$172</f>
        <v>0</v>
      </c>
      <c r="BQ261" s="65">
        <f t="shared" ref="BQ261:BQ267" si="278">BT261*$CG$172</f>
        <v>0</v>
      </c>
      <c r="BR261" s="65">
        <f t="shared" ref="BR261:BR267" si="279">BT261*$CH$172</f>
        <v>0</v>
      </c>
      <c r="BS261" s="65">
        <f t="shared" ref="BS261:BS271" si="280">BT261*4-SUM(BP261:BR261)</f>
        <v>0</v>
      </c>
      <c r="BT261" s="11">
        <f>VLOOKUP($B261,'Woodmac profile - Gas'!$B$452:$AL$478,MATCH('Production - Gas'!BT$232,'Woodmac profile - Gas'!$B$364:$AL$364),FALSE)</f>
        <v>0</v>
      </c>
      <c r="BU261" s="65">
        <f t="shared" ref="BU261:BU267" si="281">BY261*$CF$172</f>
        <v>0</v>
      </c>
      <c r="BV261" s="65">
        <f t="shared" ref="BV261:BV267" si="282">BY261*$CG$172</f>
        <v>0</v>
      </c>
      <c r="BW261" s="65">
        <f t="shared" ref="BW261:BW267" si="283">BY261*$CH$172</f>
        <v>0</v>
      </c>
      <c r="BX261" s="65">
        <f t="shared" ref="BX261:BX271" si="284">BY261*4-SUM(BU261:BW261)</f>
        <v>0</v>
      </c>
      <c r="BY261" s="11">
        <f>VLOOKUP($B261,'Woodmac profile - Gas'!$B$452:$AL$478,MATCH('Production - Gas'!BY$232,'Woodmac profile - Gas'!$B$364:$AL$364),FALSE)</f>
        <v>0</v>
      </c>
      <c r="BZ261" s="65">
        <f t="shared" ref="BZ261:BZ267" si="285">CD261*$CF$172</f>
        <v>0</v>
      </c>
      <c r="CA261" s="65">
        <f t="shared" ref="CA261:CA267" si="286">CD261*$CG$172</f>
        <v>0</v>
      </c>
      <c r="CB261" s="65">
        <f t="shared" ref="CB261:CB267" si="287">CD261*$CH$172</f>
        <v>0</v>
      </c>
      <c r="CC261" s="65">
        <f t="shared" ref="CC261:CC271" si="288">CD261*4-SUM(BZ261:CB261)</f>
        <v>0</v>
      </c>
      <c r="CD261" s="11">
        <f>VLOOKUP($B261,'Woodmac profile - Gas'!$B$452:$AL$478,MATCH('Production - Gas'!CD$232,'Woodmac profile - Gas'!$B$364:$AL$364),FALSE)</f>
        <v>0</v>
      </c>
      <c r="CE261" s="5"/>
      <c r="CF261" s="5"/>
      <c r="CG261" s="5"/>
      <c r="CH261" s="5"/>
      <c r="CI261" s="5"/>
    </row>
    <row r="262" spans="1:87">
      <c r="A262" s="11"/>
      <c r="B262" s="11" t="s">
        <v>216</v>
      </c>
      <c r="C262" s="11"/>
      <c r="D262" s="11"/>
      <c r="E262" s="11">
        <f>VLOOKUP($B262,'Woodmac profile - Gas'!$B$452:$AL$478,MATCH('Production - Gas'!E$232,'Woodmac profile - Gas'!$B$364:$AL$364),FALSE)</f>
        <v>0</v>
      </c>
      <c r="F262" s="11">
        <f>VLOOKUP($B262,'Woodmac profile - Gas'!$B$452:$AL$478,MATCH('Production - Gas'!F$232,'Woodmac profile - Gas'!$B$364:$AL$364),FALSE)</f>
        <v>0</v>
      </c>
      <c r="G262" s="11">
        <f>VLOOKUP($B262,'Woodmac profile - Gas'!$B$452:$AL$478,MATCH('Production - Gas'!G$232,'Woodmac profile - Gas'!$B$364:$AL$364),FALSE)</f>
        <v>0</v>
      </c>
      <c r="H262" s="80">
        <f t="shared" si="232"/>
        <v>0</v>
      </c>
      <c r="I262" s="80">
        <f t="shared" si="233"/>
        <v>0</v>
      </c>
      <c r="J262" s="80">
        <f t="shared" si="234"/>
        <v>0</v>
      </c>
      <c r="K262" s="80">
        <f t="shared" si="235"/>
        <v>0</v>
      </c>
      <c r="L262" s="11">
        <f>VLOOKUP($B262,'Woodmac profile - Gas'!$B$452:$AL$478,MATCH('Production - Gas'!L$232,'Woodmac profile - Gas'!$B$364:$AL$364),FALSE)</f>
        <v>0</v>
      </c>
      <c r="M262" s="65">
        <f t="shared" si="231"/>
        <v>0</v>
      </c>
      <c r="N262" s="65">
        <f t="shared" si="231"/>
        <v>0</v>
      </c>
      <c r="O262" s="65">
        <f t="shared" si="231"/>
        <v>0</v>
      </c>
      <c r="P262" s="65">
        <f t="shared" si="236"/>
        <v>0</v>
      </c>
      <c r="Q262" s="11">
        <f>VLOOKUP($B262,'Woodmac profile - Gas'!$B$452:$AL$478,MATCH('Production - Gas'!Q$232,'Woodmac profile - Gas'!$B$364:$AL$364),FALSE)</f>
        <v>0</v>
      </c>
      <c r="R262" s="65">
        <f t="shared" si="237"/>
        <v>0</v>
      </c>
      <c r="S262" s="65">
        <f t="shared" si="238"/>
        <v>0</v>
      </c>
      <c r="T262" s="65">
        <f t="shared" si="239"/>
        <v>0</v>
      </c>
      <c r="U262" s="65">
        <f t="shared" si="240"/>
        <v>0</v>
      </c>
      <c r="V262" s="11">
        <f>VLOOKUP($B262,'Woodmac profile - Gas'!$B$452:$AL$478,MATCH('Production - Gas'!V$232,'Woodmac profile - Gas'!$B$364:$AL$364),FALSE)</f>
        <v>0</v>
      </c>
      <c r="W262" s="65">
        <f t="shared" si="241"/>
        <v>0</v>
      </c>
      <c r="X262" s="65">
        <f t="shared" si="242"/>
        <v>0</v>
      </c>
      <c r="Y262" s="65">
        <f t="shared" si="243"/>
        <v>0</v>
      </c>
      <c r="Z262" s="65">
        <f t="shared" si="244"/>
        <v>0</v>
      </c>
      <c r="AA262" s="11">
        <f>VLOOKUP($B262,'Woodmac profile - Gas'!$B$452:$AL$478,MATCH('Production - Gas'!AA$232,'Woodmac profile - Gas'!$B$364:$AL$364),FALSE)</f>
        <v>0</v>
      </c>
      <c r="AB262" s="65">
        <f t="shared" si="245"/>
        <v>0</v>
      </c>
      <c r="AC262" s="65">
        <f t="shared" si="246"/>
        <v>0</v>
      </c>
      <c r="AD262" s="65">
        <f t="shared" si="247"/>
        <v>0</v>
      </c>
      <c r="AE262" s="65">
        <f t="shared" si="248"/>
        <v>0</v>
      </c>
      <c r="AF262" s="11">
        <f>VLOOKUP($B262,'Woodmac profile - Gas'!$B$452:$AL$478,MATCH('Production - Gas'!AF$232,'Woodmac profile - Gas'!$B$364:$AL$364),FALSE)</f>
        <v>0</v>
      </c>
      <c r="AG262" s="65">
        <f t="shared" si="249"/>
        <v>0</v>
      </c>
      <c r="AH262" s="65">
        <f t="shared" si="250"/>
        <v>0</v>
      </c>
      <c r="AI262" s="65">
        <f t="shared" si="251"/>
        <v>0</v>
      </c>
      <c r="AJ262" s="65">
        <f t="shared" si="252"/>
        <v>0</v>
      </c>
      <c r="AK262" s="11">
        <f>VLOOKUP($B262,'Woodmac profile - Gas'!$B$452:$AL$478,MATCH('Production - Gas'!AK$232,'Woodmac profile - Gas'!$B$364:$AL$364),FALSE)</f>
        <v>0</v>
      </c>
      <c r="AL262" s="65">
        <f t="shared" si="253"/>
        <v>0</v>
      </c>
      <c r="AM262" s="65">
        <f t="shared" si="254"/>
        <v>0</v>
      </c>
      <c r="AN262" s="65">
        <f t="shared" si="255"/>
        <v>0</v>
      </c>
      <c r="AO262" s="65">
        <f t="shared" si="256"/>
        <v>0</v>
      </c>
      <c r="AP262" s="11">
        <f>VLOOKUP($B262,'Woodmac profile - Gas'!$B$452:$AL$478,MATCH('Production - Gas'!AP$232,'Woodmac profile - Gas'!$B$364:$AL$364),FALSE)</f>
        <v>0</v>
      </c>
      <c r="AQ262" s="65">
        <f t="shared" si="257"/>
        <v>0</v>
      </c>
      <c r="AR262" s="65">
        <f t="shared" si="258"/>
        <v>0</v>
      </c>
      <c r="AS262" s="65">
        <f t="shared" si="259"/>
        <v>0</v>
      </c>
      <c r="AT262" s="65">
        <f t="shared" si="260"/>
        <v>0</v>
      </c>
      <c r="AU262" s="11">
        <f>VLOOKUP($B262,'Woodmac profile - Gas'!$B$452:$AL$478,MATCH('Production - Gas'!AU$232,'Woodmac profile - Gas'!$B$364:$AL$364),FALSE)</f>
        <v>0</v>
      </c>
      <c r="AV262" s="65">
        <f t="shared" si="261"/>
        <v>0</v>
      </c>
      <c r="AW262" s="65">
        <f t="shared" si="262"/>
        <v>0</v>
      </c>
      <c r="AX262" s="65">
        <f t="shared" si="263"/>
        <v>0</v>
      </c>
      <c r="AY262" s="65">
        <f t="shared" si="264"/>
        <v>0</v>
      </c>
      <c r="AZ262" s="11">
        <f>VLOOKUP($B262,'Woodmac profile - Gas'!$B$452:$AL$478,MATCH('Production - Gas'!AZ$232,'Woodmac profile - Gas'!$B$364:$AL$364),FALSE)</f>
        <v>0</v>
      </c>
      <c r="BA262" s="65">
        <f t="shared" si="265"/>
        <v>0</v>
      </c>
      <c r="BB262" s="65">
        <f t="shared" si="266"/>
        <v>0</v>
      </c>
      <c r="BC262" s="65">
        <f t="shared" si="267"/>
        <v>0</v>
      </c>
      <c r="BD262" s="65">
        <f t="shared" si="268"/>
        <v>0</v>
      </c>
      <c r="BE262" s="11">
        <f>VLOOKUP($B262,'Woodmac profile - Gas'!$B$452:$AL$478,MATCH('Production - Gas'!BE$232,'Woodmac profile - Gas'!$B$364:$AL$364),FALSE)</f>
        <v>0</v>
      </c>
      <c r="BF262" s="65">
        <f t="shared" si="269"/>
        <v>0</v>
      </c>
      <c r="BG262" s="65">
        <f t="shared" si="270"/>
        <v>0</v>
      </c>
      <c r="BH262" s="65">
        <f t="shared" si="271"/>
        <v>0</v>
      </c>
      <c r="BI262" s="65">
        <f t="shared" si="272"/>
        <v>0</v>
      </c>
      <c r="BJ262" s="11">
        <f>VLOOKUP($B262,'Woodmac profile - Gas'!$B$452:$AL$478,MATCH('Production - Gas'!BJ$232,'Woodmac profile - Gas'!$B$364:$AL$364),FALSE)</f>
        <v>0</v>
      </c>
      <c r="BK262" s="65">
        <f t="shared" si="273"/>
        <v>0</v>
      </c>
      <c r="BL262" s="65">
        <f t="shared" si="274"/>
        <v>0</v>
      </c>
      <c r="BM262" s="65">
        <f t="shared" si="275"/>
        <v>0</v>
      </c>
      <c r="BN262" s="65">
        <f t="shared" si="276"/>
        <v>0</v>
      </c>
      <c r="BO262" s="11">
        <f>VLOOKUP($B262,'Woodmac profile - Gas'!$B$452:$AL$478,MATCH('Production - Gas'!BO$232,'Woodmac profile - Gas'!$B$364:$AL$364),FALSE)</f>
        <v>0</v>
      </c>
      <c r="BP262" s="65">
        <f t="shared" si="277"/>
        <v>0</v>
      </c>
      <c r="BQ262" s="65">
        <f t="shared" si="278"/>
        <v>0</v>
      </c>
      <c r="BR262" s="65">
        <f t="shared" si="279"/>
        <v>0</v>
      </c>
      <c r="BS262" s="65">
        <f t="shared" si="280"/>
        <v>0</v>
      </c>
      <c r="BT262" s="11">
        <f>VLOOKUP($B262,'Woodmac profile - Gas'!$B$452:$AL$478,MATCH('Production - Gas'!BT$232,'Woodmac profile - Gas'!$B$364:$AL$364),FALSE)</f>
        <v>0</v>
      </c>
      <c r="BU262" s="65">
        <f t="shared" si="281"/>
        <v>0</v>
      </c>
      <c r="BV262" s="65">
        <f t="shared" si="282"/>
        <v>0</v>
      </c>
      <c r="BW262" s="65">
        <f t="shared" si="283"/>
        <v>0</v>
      </c>
      <c r="BX262" s="65">
        <f t="shared" si="284"/>
        <v>0</v>
      </c>
      <c r="BY262" s="11">
        <f>VLOOKUP($B262,'Woodmac profile - Gas'!$B$452:$AL$478,MATCH('Production - Gas'!BY$232,'Woodmac profile - Gas'!$B$364:$AL$364),FALSE)</f>
        <v>0</v>
      </c>
      <c r="BZ262" s="65">
        <f t="shared" si="285"/>
        <v>0</v>
      </c>
      <c r="CA262" s="65">
        <f t="shared" si="286"/>
        <v>0</v>
      </c>
      <c r="CB262" s="65">
        <f t="shared" si="287"/>
        <v>0</v>
      </c>
      <c r="CC262" s="65">
        <f t="shared" si="288"/>
        <v>0</v>
      </c>
      <c r="CD262" s="11">
        <f>VLOOKUP($B262,'Woodmac profile - Gas'!$B$452:$AL$478,MATCH('Production - Gas'!CD$232,'Woodmac profile - Gas'!$B$364:$AL$364),FALSE)</f>
        <v>0</v>
      </c>
      <c r="CE262" s="5"/>
      <c r="CF262" s="5"/>
      <c r="CG262" s="5"/>
      <c r="CH262" s="5"/>
      <c r="CI262" s="5"/>
    </row>
    <row r="263" spans="1:87">
      <c r="A263" s="11"/>
      <c r="B263" s="11" t="s">
        <v>138</v>
      </c>
      <c r="C263" s="11"/>
      <c r="D263" s="11"/>
      <c r="E263" s="11">
        <f>VLOOKUP($B263,'Woodmac profile - Gas'!$B$452:$AL$478,MATCH('Production - Gas'!E$232,'Woodmac profile - Gas'!$B$364:$AL$364),FALSE)</f>
        <v>0</v>
      </c>
      <c r="F263" s="11">
        <f>VLOOKUP($B263,'Woodmac profile - Gas'!$B$452:$AL$478,MATCH('Production - Gas'!F$232,'Woodmac profile - Gas'!$B$364:$AL$364),FALSE)</f>
        <v>0</v>
      </c>
      <c r="G263" s="11">
        <f>VLOOKUP($B263,'Woodmac profile - Gas'!$B$452:$AL$478,MATCH('Production - Gas'!G$232,'Woodmac profile - Gas'!$B$364:$AL$364),FALSE)</f>
        <v>0</v>
      </c>
      <c r="H263" s="80">
        <f>G263+(L263-G263)/4</f>
        <v>0</v>
      </c>
      <c r="I263" s="80">
        <f>H263+(L263-G263)/2</f>
        <v>0</v>
      </c>
      <c r="J263" s="80">
        <f>I263+(L263-G263)/2</f>
        <v>0</v>
      </c>
      <c r="K263" s="80">
        <f>J263+(L263-G263)/2</f>
        <v>0</v>
      </c>
      <c r="L263" s="11">
        <f>VLOOKUP($B263,'Woodmac profile - Gas'!$B$452:$AL$478,MATCH('Production - Gas'!L$232,'Woodmac profile - Gas'!$B$364:$AL$364),FALSE)</f>
        <v>0</v>
      </c>
      <c r="M263" s="65">
        <f t="shared" si="231"/>
        <v>0</v>
      </c>
      <c r="N263" s="65">
        <f t="shared" si="231"/>
        <v>0</v>
      </c>
      <c r="O263" s="65">
        <f t="shared" si="231"/>
        <v>0</v>
      </c>
      <c r="P263" s="65">
        <f>Q263*4-SUM(M263:O263)</f>
        <v>0</v>
      </c>
      <c r="Q263" s="11">
        <f>VLOOKUP($B263,'Woodmac profile - Gas'!$B$452:$AL$478,MATCH('Production - Gas'!Q$232,'Woodmac profile - Gas'!$B$364:$AL$364),FALSE)</f>
        <v>0</v>
      </c>
      <c r="R263" s="65">
        <f>V263*R$172</f>
        <v>0</v>
      </c>
      <c r="S263" s="65">
        <f>V263*S$172</f>
        <v>0</v>
      </c>
      <c r="T263" s="65">
        <f>V263*T$172</f>
        <v>0</v>
      </c>
      <c r="U263" s="65">
        <f>V263*4-SUM(R263:T263)</f>
        <v>0</v>
      </c>
      <c r="V263" s="11">
        <f>VLOOKUP($B263,'Woodmac profile - Gas'!$B$452:$AL$478,MATCH('Production - Gas'!V$232,'Woodmac profile - Gas'!$B$364:$AL$364),FALSE)</f>
        <v>0</v>
      </c>
      <c r="W263" s="65">
        <f>AA263*W$172</f>
        <v>0</v>
      </c>
      <c r="X263" s="65">
        <f>AA263*X$172</f>
        <v>0</v>
      </c>
      <c r="Y263" s="65">
        <f>AA263*Y$172</f>
        <v>0</v>
      </c>
      <c r="Z263" s="65">
        <f>AA263*4-SUM(W263:Y263)</f>
        <v>0</v>
      </c>
      <c r="AA263" s="11">
        <f>VLOOKUP($B263,'Woodmac profile - Gas'!$B$452:$AL$478,MATCH('Production - Gas'!AA$232,'Woodmac profile - Gas'!$B$364:$AL$364),FALSE)</f>
        <v>0</v>
      </c>
      <c r="AB263" s="65">
        <f>AF263*AB$172</f>
        <v>0</v>
      </c>
      <c r="AC263" s="65">
        <f>AF263*AC$172</f>
        <v>0</v>
      </c>
      <c r="AD263" s="65">
        <f>AF263*AD$172</f>
        <v>0</v>
      </c>
      <c r="AE263" s="65">
        <f>AF263*4-SUM(AB263:AD263)</f>
        <v>0</v>
      </c>
      <c r="AF263" s="11">
        <f>VLOOKUP($B263,'Woodmac profile - Gas'!$B$452:$AL$478,MATCH('Production - Gas'!AF$232,'Woodmac profile - Gas'!$B$364:$AL$364),FALSE)</f>
        <v>0</v>
      </c>
      <c r="AG263" s="65">
        <f>AK263*$CF$172</f>
        <v>0</v>
      </c>
      <c r="AH263" s="65">
        <f>AK263*$CG$172</f>
        <v>0</v>
      </c>
      <c r="AI263" s="65">
        <f>AK263*$CH$172</f>
        <v>0</v>
      </c>
      <c r="AJ263" s="65">
        <f>AK263*4-SUM(AG263:AI263)</f>
        <v>0</v>
      </c>
      <c r="AK263" s="11">
        <f>VLOOKUP($B263,'Woodmac profile - Gas'!$B$452:$AL$478,MATCH('Production - Gas'!AK$232,'Woodmac profile - Gas'!$B$364:$AL$364),FALSE)</f>
        <v>0</v>
      </c>
      <c r="AL263" s="65">
        <f>AP263*$CF$172</f>
        <v>0</v>
      </c>
      <c r="AM263" s="65">
        <f>AP263*$CG$172</f>
        <v>0</v>
      </c>
      <c r="AN263" s="65">
        <f>AP263*$CH$172</f>
        <v>0</v>
      </c>
      <c r="AO263" s="65">
        <f>AP263*4-SUM(AL263:AN263)</f>
        <v>0</v>
      </c>
      <c r="AP263" s="11">
        <f>VLOOKUP($B263,'Woodmac profile - Gas'!$B$452:$AL$478,MATCH('Production - Gas'!AP$232,'Woodmac profile - Gas'!$B$364:$AL$364),FALSE)</f>
        <v>0</v>
      </c>
      <c r="AQ263" s="65">
        <f>AU263*$CF$172</f>
        <v>0</v>
      </c>
      <c r="AR263" s="65">
        <f>AU263*$CG$172</f>
        <v>0</v>
      </c>
      <c r="AS263" s="65">
        <f>AU263*$CH$172</f>
        <v>0</v>
      </c>
      <c r="AT263" s="65">
        <f>AU263*4-SUM(AQ263:AS263)</f>
        <v>0</v>
      </c>
      <c r="AU263" s="11">
        <f>VLOOKUP($B263,'Woodmac profile - Gas'!$B$452:$AL$478,MATCH('Production - Gas'!AU$232,'Woodmac profile - Gas'!$B$364:$AL$364),FALSE)</f>
        <v>0</v>
      </c>
      <c r="AV263" s="65">
        <f>AZ263*$CF$172</f>
        <v>0</v>
      </c>
      <c r="AW263" s="65">
        <f>AZ263*$CG$172</f>
        <v>0</v>
      </c>
      <c r="AX263" s="65">
        <f>AZ263*$CH$172</f>
        <v>0</v>
      </c>
      <c r="AY263" s="65">
        <f>AZ263*4-SUM(AV263:AX263)</f>
        <v>0</v>
      </c>
      <c r="AZ263" s="11">
        <f>VLOOKUP($B263,'Woodmac profile - Gas'!$B$452:$AL$478,MATCH('Production - Gas'!AZ$232,'Woodmac profile - Gas'!$B$364:$AL$364),FALSE)</f>
        <v>0</v>
      </c>
      <c r="BA263" s="65">
        <f>BE263*$CF$172</f>
        <v>0</v>
      </c>
      <c r="BB263" s="65">
        <f>BE263*$CG$172</f>
        <v>0</v>
      </c>
      <c r="BC263" s="65">
        <f>BE263*$CH$172</f>
        <v>0</v>
      </c>
      <c r="BD263" s="65">
        <f>BE263*4-SUM(BA263:BC263)</f>
        <v>0</v>
      </c>
      <c r="BE263" s="11">
        <f>VLOOKUP($B263,'Woodmac profile - Gas'!$B$452:$AL$478,MATCH('Production - Gas'!BE$232,'Woodmac profile - Gas'!$B$364:$AL$364),FALSE)</f>
        <v>0</v>
      </c>
      <c r="BF263" s="65">
        <f>BJ263*$CF$172</f>
        <v>0</v>
      </c>
      <c r="BG263" s="65">
        <f>BJ263*$CG$172</f>
        <v>0</v>
      </c>
      <c r="BH263" s="65">
        <f>BJ263*$CH$172</f>
        <v>0</v>
      </c>
      <c r="BI263" s="65">
        <f>BJ263*4-SUM(BF263:BH263)</f>
        <v>0</v>
      </c>
      <c r="BJ263" s="11">
        <f>VLOOKUP($B263,'Woodmac profile - Gas'!$B$452:$AL$478,MATCH('Production - Gas'!BJ$232,'Woodmac profile - Gas'!$B$364:$AL$364),FALSE)</f>
        <v>0</v>
      </c>
      <c r="BK263" s="65">
        <f>BO263*$CF$172</f>
        <v>0</v>
      </c>
      <c r="BL263" s="65">
        <f>BO263*$CG$172</f>
        <v>0</v>
      </c>
      <c r="BM263" s="65">
        <f>BO263*$CH$172</f>
        <v>0</v>
      </c>
      <c r="BN263" s="65">
        <f>BO263*4-SUM(BK263:BM263)</f>
        <v>0</v>
      </c>
      <c r="BO263" s="11">
        <f>VLOOKUP($B263,'Woodmac profile - Gas'!$B$452:$AL$478,MATCH('Production - Gas'!BO$232,'Woodmac profile - Gas'!$B$364:$AL$364),FALSE)</f>
        <v>0</v>
      </c>
      <c r="BP263" s="65">
        <f>BT263*$CF$172</f>
        <v>0</v>
      </c>
      <c r="BQ263" s="65">
        <f>BT263*$CG$172</f>
        <v>0</v>
      </c>
      <c r="BR263" s="65">
        <f>BT263*$CH$172</f>
        <v>0</v>
      </c>
      <c r="BS263" s="65">
        <f>BT263*4-SUM(BP263:BR263)</f>
        <v>0</v>
      </c>
      <c r="BT263" s="11">
        <f>VLOOKUP($B263,'Woodmac profile - Gas'!$B$452:$AL$478,MATCH('Production - Gas'!BT$232,'Woodmac profile - Gas'!$B$364:$AL$364),FALSE)</f>
        <v>0</v>
      </c>
      <c r="BU263" s="65">
        <f>BY263*$CF$172</f>
        <v>0</v>
      </c>
      <c r="BV263" s="65">
        <f>BY263*$CG$172</f>
        <v>0</v>
      </c>
      <c r="BW263" s="65">
        <f>BY263*$CH$172</f>
        <v>0</v>
      </c>
      <c r="BX263" s="65">
        <f>BY263*4-SUM(BU263:BW263)</f>
        <v>0</v>
      </c>
      <c r="BY263" s="11">
        <f>VLOOKUP($B263,'Woodmac profile - Gas'!$B$452:$AL$478,MATCH('Production - Gas'!BY$232,'Woodmac profile - Gas'!$B$364:$AL$364),FALSE)</f>
        <v>0</v>
      </c>
      <c r="BZ263" s="65">
        <f>CD263*$CF$172</f>
        <v>0</v>
      </c>
      <c r="CA263" s="65">
        <f>CD263*$CG$172</f>
        <v>0</v>
      </c>
      <c r="CB263" s="65">
        <f>CD263*$CH$172</f>
        <v>0</v>
      </c>
      <c r="CC263" s="65">
        <f>CD263*4-SUM(BZ263:CB263)</f>
        <v>0</v>
      </c>
      <c r="CD263" s="11">
        <f>VLOOKUP($B263,'Woodmac profile - Gas'!$B$452:$AL$478,MATCH('Production - Gas'!CD$232,'Woodmac profile - Gas'!$B$364:$AL$364),FALSE)</f>
        <v>0</v>
      </c>
      <c r="CE263" s="5"/>
      <c r="CF263" s="5"/>
      <c r="CG263" s="5"/>
      <c r="CH263" s="5"/>
      <c r="CI263" s="5"/>
    </row>
    <row r="264" spans="1:87">
      <c r="A264" s="11"/>
      <c r="B264" s="11" t="s">
        <v>816</v>
      </c>
      <c r="C264" s="11"/>
      <c r="D264" s="11"/>
      <c r="E264" s="11">
        <f>VLOOKUP($B264,'Woodmac profile - Gas'!$B$452:$AL$478,MATCH('Production - Gas'!E$232,'Woodmac profile - Gas'!$B$364:$AL$364),FALSE)</f>
        <v>0</v>
      </c>
      <c r="F264" s="11">
        <f>VLOOKUP($B264,'Woodmac profile - Gas'!$B$452:$AL$478,MATCH('Production - Gas'!F$232,'Woodmac profile - Gas'!$B$364:$AL$364),FALSE)</f>
        <v>0</v>
      </c>
      <c r="G264" s="11">
        <f>VLOOKUP($B264,'Woodmac profile - Gas'!$B$452:$AL$478,MATCH('Production - Gas'!G$232,'Woodmac profile - Gas'!$B$364:$AL$364),FALSE)</f>
        <v>0</v>
      </c>
      <c r="H264" s="80">
        <f>G264+(L264-G264)/4</f>
        <v>0</v>
      </c>
      <c r="I264" s="80">
        <f>H264+(L264-G264)/2</f>
        <v>0</v>
      </c>
      <c r="J264" s="80">
        <f>I264+(L264-G264)/2</f>
        <v>0</v>
      </c>
      <c r="K264" s="80">
        <f>J264+(L264-G264)/2</f>
        <v>0</v>
      </c>
      <c r="L264" s="11">
        <f>VLOOKUP($B264,'Woodmac profile - Gas'!$B$452:$AL$478,MATCH('Production - Gas'!L$232,'Woodmac profile - Gas'!$B$364:$AL$364),FALSE)</f>
        <v>0</v>
      </c>
      <c r="M264" s="65">
        <f>$Q264*M$172</f>
        <v>0</v>
      </c>
      <c r="N264" s="65">
        <f>$Q264*N$172</f>
        <v>0</v>
      </c>
      <c r="O264" s="65">
        <f>$Q264*O$172</f>
        <v>0</v>
      </c>
      <c r="P264" s="65">
        <f>Q264*4-SUM(M264:O264)</f>
        <v>0</v>
      </c>
      <c r="Q264" s="11">
        <f>VLOOKUP($B264,'Woodmac profile - Gas'!$B$452:$AL$478,MATCH('Production - Gas'!Q$232,'Woodmac profile - Gas'!$B$364:$AL$364),FALSE)</f>
        <v>0</v>
      </c>
      <c r="R264" s="65">
        <f>V264*R$172</f>
        <v>0</v>
      </c>
      <c r="S264" s="65">
        <f>V264*S$172</f>
        <v>0</v>
      </c>
      <c r="T264" s="65">
        <f>V264*T$172</f>
        <v>0</v>
      </c>
      <c r="U264" s="65">
        <f>V264*4-SUM(R264:T264)</f>
        <v>0</v>
      </c>
      <c r="V264" s="11">
        <f>VLOOKUP($B264,'Woodmac profile - Gas'!$B$452:$AL$478,MATCH('Production - Gas'!V$232,'Woodmac profile - Gas'!$B$364:$AL$364),FALSE)</f>
        <v>0</v>
      </c>
      <c r="W264" s="65">
        <f>AA264*W$172</f>
        <v>0</v>
      </c>
      <c r="X264" s="65">
        <f>AA264*X$172</f>
        <v>0</v>
      </c>
      <c r="Y264" s="65">
        <f>AA264*Y$172</f>
        <v>0</v>
      </c>
      <c r="Z264" s="65">
        <f>AA264*4-SUM(W264:Y264)</f>
        <v>0</v>
      </c>
      <c r="AA264" s="11">
        <f>VLOOKUP($B264,'Woodmac profile - Gas'!$B$452:$AL$478,MATCH('Production - Gas'!AA$232,'Woodmac profile - Gas'!$B$364:$AL$364),FALSE)</f>
        <v>0</v>
      </c>
      <c r="AB264" s="65">
        <f>AF264*AB$172</f>
        <v>17.819316306483302</v>
      </c>
      <c r="AC264" s="65">
        <f>AF264*AC$172</f>
        <v>17.606475442043223</v>
      </c>
      <c r="AD264" s="65">
        <f>AF264*AD$172</f>
        <v>18.213595284872298</v>
      </c>
      <c r="AE264" s="65">
        <f>AF264*4-SUM(AB264:AD264)</f>
        <v>17.400612966601187</v>
      </c>
      <c r="AF264" s="11">
        <f>VLOOKUP($B264,'Woodmac profile - Gas'!$B$452:$AL$478,MATCH('Production - Gas'!AF$232,'Woodmac profile - Gas'!$B$364:$AL$364),FALSE)</f>
        <v>17.760000000000002</v>
      </c>
      <c r="AG264" s="65">
        <f>AK264*$CF$172</f>
        <v>17.200558154577489</v>
      </c>
      <c r="AH264" s="65">
        <f>AK264*$CG$172</f>
        <v>16.746502526355712</v>
      </c>
      <c r="AI264" s="65">
        <f>AK264*$CH$172</f>
        <v>16.864824011447521</v>
      </c>
      <c r="AJ264" s="65">
        <f>AK264*4-SUM(AG264:AI264)</f>
        <v>17.068115307619266</v>
      </c>
      <c r="AK264" s="11">
        <f>VLOOKUP($B264,'Woodmac profile - Gas'!$B$452:$AL$478,MATCH('Production - Gas'!AK$232,'Woodmac profile - Gas'!$B$364:$AL$364),FALSE)</f>
        <v>16.97</v>
      </c>
      <c r="AL264" s="65">
        <f>AP264*$CF$172</f>
        <v>16.339009867518513</v>
      </c>
      <c r="AM264" s="65">
        <f>AP264*$CG$172</f>
        <v>15.907697155265415</v>
      </c>
      <c r="AN264" s="65">
        <f>AP264*$CH$172</f>
        <v>16.020092107515268</v>
      </c>
      <c r="AO264" s="65">
        <f>AP264*4-SUM(AL264:AN264)</f>
        <v>16.213200869700806</v>
      </c>
      <c r="AP264" s="11">
        <f>VLOOKUP($B264,'Woodmac profile - Gas'!$B$452:$AL$478,MATCH('Production - Gas'!AP$232,'Woodmac profile - Gas'!$B$364:$AL$364),FALSE)</f>
        <v>16.12</v>
      </c>
      <c r="AQ264" s="65">
        <f>AU264*$CF$172</f>
        <v>15.518005029262309</v>
      </c>
      <c r="AR264" s="65">
        <f>AU264*$CG$172</f>
        <v>15.108364978108778</v>
      </c>
      <c r="AS264" s="65">
        <f>AU264*$CH$172</f>
        <v>15.215112293179823</v>
      </c>
      <c r="AT264" s="65">
        <f>AU264*4-SUM(AQ264:AS264)</f>
        <v>15.398517699449094</v>
      </c>
      <c r="AU264" s="11">
        <f>VLOOKUP($B264,'Woodmac profile - Gas'!$B$452:$AL$478,MATCH('Production - Gas'!AU$232,'Woodmac profile - Gas'!$B$364:$AL$364),FALSE)</f>
        <v>15.31</v>
      </c>
      <c r="AV264" s="65">
        <f>AZ264*$CF$172</f>
        <v>14.747679502009575</v>
      </c>
      <c r="AW264" s="65">
        <f>AZ264*$CG$172</f>
        <v>14.358374293369218</v>
      </c>
      <c r="AX264" s="65">
        <f>AZ264*$CH$172</f>
        <v>14.459822590840394</v>
      </c>
      <c r="AY264" s="65">
        <f>AZ264*4-SUM(AV264:AX264)</f>
        <v>14.634123613780815</v>
      </c>
      <c r="AZ264" s="11">
        <f>VLOOKUP($B264,'Woodmac profile - Gas'!$B$452:$AL$478,MATCH('Production - Gas'!AZ$232,'Woodmac profile - Gas'!$B$364:$AL$364),FALSE)</f>
        <v>14.55</v>
      </c>
      <c r="BA264" s="65">
        <f>BE264*$CF$172</f>
        <v>0</v>
      </c>
      <c r="BB264" s="65">
        <f>BE264*$CG$172</f>
        <v>0</v>
      </c>
      <c r="BC264" s="65">
        <f>BE264*$CH$172</f>
        <v>0</v>
      </c>
      <c r="BD264" s="65">
        <f>BE264*4-SUM(BA264:BC264)</f>
        <v>0</v>
      </c>
      <c r="BE264" s="11">
        <f>VLOOKUP($B264,'Woodmac profile - Gas'!$B$452:$AL$478,MATCH('Production - Gas'!BE$232,'Woodmac profile - Gas'!$B$364:$AL$364),FALSE)</f>
        <v>0</v>
      </c>
      <c r="BF264" s="65">
        <f>BJ264*$CF$172</f>
        <v>0</v>
      </c>
      <c r="BG264" s="65">
        <f>BJ264*$CG$172</f>
        <v>0</v>
      </c>
      <c r="BH264" s="65">
        <f>BJ264*$CH$172</f>
        <v>0</v>
      </c>
      <c r="BI264" s="65">
        <f>BJ264*4-SUM(BF264:BH264)</f>
        <v>0</v>
      </c>
      <c r="BJ264" s="11">
        <f>VLOOKUP($B264,'Woodmac profile - Gas'!$B$452:$AL$478,MATCH('Production - Gas'!BJ$232,'Woodmac profile - Gas'!$B$364:$AL$364),FALSE)</f>
        <v>0</v>
      </c>
      <c r="BK264" s="65">
        <f>BO264*$CF$172</f>
        <v>0</v>
      </c>
      <c r="BL264" s="65">
        <f>BO264*$CG$172</f>
        <v>0</v>
      </c>
      <c r="BM264" s="65">
        <f>BO264*$CH$172</f>
        <v>0</v>
      </c>
      <c r="BN264" s="65">
        <f>BO264*4-SUM(BK264:BM264)</f>
        <v>0</v>
      </c>
      <c r="BO264" s="11">
        <f>VLOOKUP($B264,'Woodmac profile - Gas'!$B$452:$AL$478,MATCH('Production - Gas'!BO$232,'Woodmac profile - Gas'!$B$364:$AL$364),FALSE)</f>
        <v>0</v>
      </c>
      <c r="BP264" s="65">
        <f>BT264*$CF$172</f>
        <v>0</v>
      </c>
      <c r="BQ264" s="65">
        <f>BT264*$CG$172</f>
        <v>0</v>
      </c>
      <c r="BR264" s="65">
        <f>BT264*$CH$172</f>
        <v>0</v>
      </c>
      <c r="BS264" s="65">
        <f>BT264*4-SUM(BP264:BR264)</f>
        <v>0</v>
      </c>
      <c r="BT264" s="11">
        <f>VLOOKUP($B264,'Woodmac profile - Gas'!$B$452:$AL$478,MATCH('Production - Gas'!BT$232,'Woodmac profile - Gas'!$B$364:$AL$364),FALSE)</f>
        <v>0</v>
      </c>
      <c r="BU264" s="65">
        <f>BY264*$CF$172</f>
        <v>0</v>
      </c>
      <c r="BV264" s="65">
        <f>BY264*$CG$172</f>
        <v>0</v>
      </c>
      <c r="BW264" s="65">
        <f>BY264*$CH$172</f>
        <v>0</v>
      </c>
      <c r="BX264" s="65">
        <f>BY264*4-SUM(BU264:BW264)</f>
        <v>0</v>
      </c>
      <c r="BY264" s="11">
        <f>VLOOKUP($B264,'Woodmac profile - Gas'!$B$452:$AL$478,MATCH('Production - Gas'!BY$232,'Woodmac profile - Gas'!$B$364:$AL$364),FALSE)</f>
        <v>0</v>
      </c>
      <c r="BZ264" s="65">
        <f>CD264*$CF$172</f>
        <v>0</v>
      </c>
      <c r="CA264" s="65">
        <f>CD264*$CG$172</f>
        <v>0</v>
      </c>
      <c r="CB264" s="65">
        <f>CD264*$CH$172</f>
        <v>0</v>
      </c>
      <c r="CC264" s="65">
        <f>CD264*4-SUM(BZ264:CB264)</f>
        <v>0</v>
      </c>
      <c r="CD264" s="11">
        <f>VLOOKUP($B264,'Woodmac profile - Gas'!$B$452:$AL$478,MATCH('Production - Gas'!CD$232,'Woodmac profile - Gas'!$B$364:$AL$364),FALSE)</f>
        <v>0</v>
      </c>
      <c r="CE264" s="5"/>
      <c r="CF264" s="5"/>
      <c r="CG264" s="5"/>
      <c r="CH264" s="5"/>
      <c r="CI264" s="5"/>
    </row>
    <row r="265" spans="1:87">
      <c r="A265" s="11"/>
      <c r="B265" s="11" t="s">
        <v>1962</v>
      </c>
      <c r="C265" s="11"/>
      <c r="D265" s="11"/>
      <c r="E265" s="11">
        <f>VLOOKUP($B265,'Woodmac profile - Gas'!$B$452:$AL$478,MATCH('Production - Gas'!E$232,'Woodmac profile - Gas'!$B$364:$AL$364),FALSE)</f>
        <v>0</v>
      </c>
      <c r="F265" s="11">
        <f>VLOOKUP($B265,'Woodmac profile - Gas'!$B$452:$AL$478,MATCH('Production - Gas'!F$232,'Woodmac profile - Gas'!$B$364:$AL$364),FALSE)</f>
        <v>0</v>
      </c>
      <c r="G265" s="11">
        <f>VLOOKUP($B265,'Woodmac profile - Gas'!$B$452:$AL$478,MATCH('Production - Gas'!G$232,'Woodmac profile - Gas'!$B$364:$AL$364),FALSE)</f>
        <v>0</v>
      </c>
      <c r="H265" s="80">
        <f t="shared" si="232"/>
        <v>0</v>
      </c>
      <c r="I265" s="80">
        <f t="shared" si="233"/>
        <v>0</v>
      </c>
      <c r="J265" s="80">
        <f t="shared" si="234"/>
        <v>0</v>
      </c>
      <c r="K265" s="80">
        <f t="shared" si="235"/>
        <v>0</v>
      </c>
      <c r="L265" s="11">
        <f>VLOOKUP($B265,'Woodmac profile - Gas'!$B$452:$AL$478,MATCH('Production - Gas'!L$232,'Woodmac profile - Gas'!$B$364:$AL$364),FALSE)</f>
        <v>0</v>
      </c>
      <c r="M265" s="65">
        <f t="shared" si="231"/>
        <v>0</v>
      </c>
      <c r="N265" s="65">
        <f t="shared" si="231"/>
        <v>0</v>
      </c>
      <c r="O265" s="65">
        <f t="shared" si="231"/>
        <v>0</v>
      </c>
      <c r="P265" s="65">
        <f t="shared" si="236"/>
        <v>0</v>
      </c>
      <c r="Q265" s="11">
        <f>VLOOKUP($B265,'Woodmac profile - Gas'!$B$452:$AL$478,MATCH('Production - Gas'!Q$232,'Woodmac profile - Gas'!$B$364:$AL$364),FALSE)</f>
        <v>0</v>
      </c>
      <c r="R265" s="65">
        <f t="shared" si="237"/>
        <v>0</v>
      </c>
      <c r="S265" s="65">
        <f t="shared" si="238"/>
        <v>0</v>
      </c>
      <c r="T265" s="65">
        <f t="shared" si="239"/>
        <v>0</v>
      </c>
      <c r="U265" s="65">
        <f t="shared" si="240"/>
        <v>0</v>
      </c>
      <c r="V265" s="11">
        <f>VLOOKUP($B265,'Woodmac profile - Gas'!$B$452:$AL$478,MATCH('Production - Gas'!V$232,'Woodmac profile - Gas'!$B$364:$AL$364),FALSE)</f>
        <v>0</v>
      </c>
      <c r="W265" s="65">
        <f t="shared" si="241"/>
        <v>0</v>
      </c>
      <c r="X265" s="65">
        <f t="shared" si="242"/>
        <v>0</v>
      </c>
      <c r="Y265" s="65">
        <f t="shared" si="243"/>
        <v>0</v>
      </c>
      <c r="Z265" s="65">
        <f t="shared" si="244"/>
        <v>0</v>
      </c>
      <c r="AA265" s="11">
        <f>VLOOKUP($B265,'Woodmac profile - Gas'!$B$452:$AL$478,MATCH('Production - Gas'!AA$232,'Woodmac profile - Gas'!$B$364:$AL$364),FALSE)</f>
        <v>0</v>
      </c>
      <c r="AB265" s="65">
        <f t="shared" si="245"/>
        <v>0</v>
      </c>
      <c r="AC265" s="65">
        <f t="shared" si="246"/>
        <v>0</v>
      </c>
      <c r="AD265" s="65">
        <f t="shared" si="247"/>
        <v>0</v>
      </c>
      <c r="AE265" s="65">
        <f t="shared" si="248"/>
        <v>0</v>
      </c>
      <c r="AF265" s="11">
        <f>VLOOKUP($B265,'Woodmac profile - Gas'!$B$452:$AL$478,MATCH('Production - Gas'!AF$232,'Woodmac profile - Gas'!$B$364:$AL$364),FALSE)</f>
        <v>0</v>
      </c>
      <c r="AG265" s="65">
        <f t="shared" si="249"/>
        <v>0</v>
      </c>
      <c r="AH265" s="65">
        <f t="shared" si="250"/>
        <v>0</v>
      </c>
      <c r="AI265" s="65">
        <f t="shared" si="251"/>
        <v>0</v>
      </c>
      <c r="AJ265" s="65">
        <f t="shared" si="252"/>
        <v>0</v>
      </c>
      <c r="AK265" s="11">
        <f>VLOOKUP($B265,'Woodmac profile - Gas'!$B$452:$AL$478,MATCH('Production - Gas'!AK$232,'Woodmac profile - Gas'!$B$364:$AL$364),FALSE)</f>
        <v>0</v>
      </c>
      <c r="AL265" s="65">
        <f t="shared" si="253"/>
        <v>0</v>
      </c>
      <c r="AM265" s="65">
        <f t="shared" si="254"/>
        <v>0</v>
      </c>
      <c r="AN265" s="65">
        <f t="shared" si="255"/>
        <v>0</v>
      </c>
      <c r="AO265" s="65">
        <f t="shared" si="256"/>
        <v>0</v>
      </c>
      <c r="AP265" s="11">
        <f>VLOOKUP($B265,'Woodmac profile - Gas'!$B$452:$AL$478,MATCH('Production - Gas'!AP$232,'Woodmac profile - Gas'!$B$364:$AL$364),FALSE)</f>
        <v>0</v>
      </c>
      <c r="AQ265" s="65">
        <f t="shared" si="257"/>
        <v>0</v>
      </c>
      <c r="AR265" s="65">
        <f t="shared" si="258"/>
        <v>0</v>
      </c>
      <c r="AS265" s="65">
        <f t="shared" si="259"/>
        <v>0</v>
      </c>
      <c r="AT265" s="65">
        <f t="shared" si="260"/>
        <v>0</v>
      </c>
      <c r="AU265" s="11">
        <f>VLOOKUP($B265,'Woodmac profile - Gas'!$B$452:$AL$478,MATCH('Production - Gas'!AU$232,'Woodmac profile - Gas'!$B$364:$AL$364),FALSE)</f>
        <v>0</v>
      </c>
      <c r="AV265" s="65">
        <f t="shared" si="261"/>
        <v>0</v>
      </c>
      <c r="AW265" s="65">
        <f t="shared" si="262"/>
        <v>0</v>
      </c>
      <c r="AX265" s="65">
        <f t="shared" si="263"/>
        <v>0</v>
      </c>
      <c r="AY265" s="65">
        <f t="shared" si="264"/>
        <v>0</v>
      </c>
      <c r="AZ265" s="11">
        <f>VLOOKUP($B265,'Woodmac profile - Gas'!$B$452:$AL$478,MATCH('Production - Gas'!AZ$232,'Woodmac profile - Gas'!$B$364:$AL$364),FALSE)</f>
        <v>0</v>
      </c>
      <c r="BA265" s="65">
        <f t="shared" si="265"/>
        <v>0</v>
      </c>
      <c r="BB265" s="65">
        <f t="shared" si="266"/>
        <v>0</v>
      </c>
      <c r="BC265" s="65">
        <f t="shared" si="267"/>
        <v>0</v>
      </c>
      <c r="BD265" s="65">
        <f t="shared" si="268"/>
        <v>0</v>
      </c>
      <c r="BE265" s="11">
        <f>VLOOKUP($B265,'Woodmac profile - Gas'!$B$452:$AL$478,MATCH('Production - Gas'!BE$232,'Woodmac profile - Gas'!$B$364:$AL$364),FALSE)</f>
        <v>0</v>
      </c>
      <c r="BF265" s="65">
        <f t="shared" si="269"/>
        <v>0</v>
      </c>
      <c r="BG265" s="65">
        <f t="shared" si="270"/>
        <v>0</v>
      </c>
      <c r="BH265" s="65">
        <f t="shared" si="271"/>
        <v>0</v>
      </c>
      <c r="BI265" s="65">
        <f t="shared" si="272"/>
        <v>0</v>
      </c>
      <c r="BJ265" s="11">
        <f>VLOOKUP($B265,'Woodmac profile - Gas'!$B$452:$AL$478,MATCH('Production - Gas'!BJ$232,'Woodmac profile - Gas'!$B$364:$AL$364),FALSE)</f>
        <v>0</v>
      </c>
      <c r="BK265" s="65">
        <f t="shared" si="273"/>
        <v>0</v>
      </c>
      <c r="BL265" s="65">
        <f t="shared" si="274"/>
        <v>0</v>
      </c>
      <c r="BM265" s="65">
        <f t="shared" si="275"/>
        <v>0</v>
      </c>
      <c r="BN265" s="65">
        <f t="shared" si="276"/>
        <v>0</v>
      </c>
      <c r="BO265" s="11">
        <f>VLOOKUP($B265,'Woodmac profile - Gas'!$B$452:$AL$478,MATCH('Production - Gas'!BO$232,'Woodmac profile - Gas'!$B$364:$AL$364),FALSE)</f>
        <v>0</v>
      </c>
      <c r="BP265" s="65">
        <f t="shared" si="277"/>
        <v>0</v>
      </c>
      <c r="BQ265" s="65">
        <f t="shared" si="278"/>
        <v>0</v>
      </c>
      <c r="BR265" s="65">
        <f t="shared" si="279"/>
        <v>0</v>
      </c>
      <c r="BS265" s="65">
        <f t="shared" si="280"/>
        <v>0</v>
      </c>
      <c r="BT265" s="11">
        <f>VLOOKUP($B265,'Woodmac profile - Gas'!$B$452:$AL$478,MATCH('Production - Gas'!BT$232,'Woodmac profile - Gas'!$B$364:$AL$364),FALSE)</f>
        <v>0</v>
      </c>
      <c r="BU265" s="65">
        <f t="shared" si="281"/>
        <v>0</v>
      </c>
      <c r="BV265" s="65">
        <f t="shared" si="282"/>
        <v>0</v>
      </c>
      <c r="BW265" s="65">
        <f t="shared" si="283"/>
        <v>0</v>
      </c>
      <c r="BX265" s="65">
        <f t="shared" si="284"/>
        <v>0</v>
      </c>
      <c r="BY265" s="11">
        <f>VLOOKUP($B265,'Woodmac profile - Gas'!$B$452:$AL$478,MATCH('Production - Gas'!BY$232,'Woodmac profile - Gas'!$B$364:$AL$364),FALSE)</f>
        <v>0</v>
      </c>
      <c r="BZ265" s="65">
        <f t="shared" si="285"/>
        <v>0</v>
      </c>
      <c r="CA265" s="65">
        <f t="shared" si="286"/>
        <v>0</v>
      </c>
      <c r="CB265" s="65">
        <f t="shared" si="287"/>
        <v>0</v>
      </c>
      <c r="CC265" s="65">
        <f t="shared" si="288"/>
        <v>0</v>
      </c>
      <c r="CD265" s="11">
        <f>VLOOKUP($B265,'Woodmac profile - Gas'!$B$452:$AL$478,MATCH('Production - Gas'!CD$232,'Woodmac profile - Gas'!$B$364:$AL$364),FALSE)</f>
        <v>0</v>
      </c>
      <c r="CE265" s="5"/>
      <c r="CF265" s="5"/>
      <c r="CG265" s="5"/>
      <c r="CH265" s="5"/>
      <c r="CI265" s="5"/>
    </row>
    <row r="266" spans="1:87">
      <c r="A266" s="11"/>
      <c r="B266" s="11" t="s">
        <v>3277</v>
      </c>
      <c r="C266" s="11"/>
      <c r="D266" s="11"/>
      <c r="E266" s="11">
        <f>VLOOKUP($B266,'Woodmac profile - Gas'!$B$452:$AL$478,MATCH('Production - Gas'!E$232,'Woodmac profile - Gas'!$B$364:$AL$364),FALSE)</f>
        <v>0</v>
      </c>
      <c r="F266" s="11">
        <f>VLOOKUP($B266,'Woodmac profile - Gas'!$B$452:$AL$478,MATCH('Production - Gas'!F$232,'Woodmac profile - Gas'!$B$364:$AL$364),FALSE)</f>
        <v>0</v>
      </c>
      <c r="G266" s="11">
        <f>VLOOKUP($B266,'Woodmac profile - Gas'!$B$452:$AL$478,MATCH('Production - Gas'!G$232,'Woodmac profile - Gas'!$B$364:$AL$364),FALSE)</f>
        <v>0</v>
      </c>
      <c r="H266" s="80">
        <f>G266+(L266-G266)/4</f>
        <v>0</v>
      </c>
      <c r="I266" s="80">
        <f>H266+(L266-G266)/2</f>
        <v>0</v>
      </c>
      <c r="J266" s="80">
        <f>I266+(L266-G266)/2</f>
        <v>0</v>
      </c>
      <c r="K266" s="80">
        <f>J266+(L266-G266)/2</f>
        <v>0</v>
      </c>
      <c r="L266" s="11">
        <f>VLOOKUP($B266,'Woodmac profile - Gas'!$B$452:$AL$478,MATCH('Production - Gas'!L$232,'Woodmac profile - Gas'!$B$364:$AL$364),FALSE)</f>
        <v>0</v>
      </c>
      <c r="M266" s="65">
        <f t="shared" si="231"/>
        <v>0</v>
      </c>
      <c r="N266" s="65">
        <f t="shared" si="231"/>
        <v>0</v>
      </c>
      <c r="O266" s="65">
        <f t="shared" si="231"/>
        <v>0</v>
      </c>
      <c r="P266" s="65">
        <f>Q266*4-SUM(M266:O266)</f>
        <v>0</v>
      </c>
      <c r="Q266" s="11">
        <f>VLOOKUP($B266,'Woodmac profile - Gas'!$B$452:$AL$478,MATCH('Production - Gas'!Q$232,'Woodmac profile - Gas'!$B$364:$AL$364),FALSE)</f>
        <v>0</v>
      </c>
      <c r="R266" s="65">
        <f t="shared" si="237"/>
        <v>0</v>
      </c>
      <c r="S266" s="65">
        <f t="shared" si="238"/>
        <v>0</v>
      </c>
      <c r="T266" s="65">
        <f t="shared" si="239"/>
        <v>0</v>
      </c>
      <c r="U266" s="65">
        <f>V266*4-SUM(R266:T266)</f>
        <v>0</v>
      </c>
      <c r="V266" s="11">
        <f>VLOOKUP($B266,'Woodmac profile - Gas'!$B$452:$AL$478,MATCH('Production - Gas'!V$232,'Woodmac profile - Gas'!$B$364:$AL$364),FALSE)</f>
        <v>0</v>
      </c>
      <c r="W266" s="65">
        <f t="shared" si="241"/>
        <v>0</v>
      </c>
      <c r="X266" s="65">
        <f t="shared" si="242"/>
        <v>0</v>
      </c>
      <c r="Y266" s="65">
        <f t="shared" si="243"/>
        <v>0</v>
      </c>
      <c r="Z266" s="65">
        <f>AA266*4-SUM(W266:Y266)</f>
        <v>0</v>
      </c>
      <c r="AA266" s="11">
        <f>VLOOKUP($B266,'Woodmac profile - Gas'!$B$452:$AL$478,MATCH('Production - Gas'!AA$232,'Woodmac profile - Gas'!$B$364:$AL$364),FALSE)</f>
        <v>0</v>
      </c>
      <c r="AB266" s="65">
        <f t="shared" si="245"/>
        <v>0</v>
      </c>
      <c r="AC266" s="65">
        <f t="shared" si="246"/>
        <v>0</v>
      </c>
      <c r="AD266" s="65">
        <f t="shared" si="247"/>
        <v>0</v>
      </c>
      <c r="AE266" s="65">
        <f>AF266*4-SUM(AB266:AD266)</f>
        <v>0</v>
      </c>
      <c r="AF266" s="11">
        <f>VLOOKUP($B266,'Woodmac profile - Gas'!$B$452:$AL$478,MATCH('Production - Gas'!AF$232,'Woodmac profile - Gas'!$B$364:$AL$364),FALSE)</f>
        <v>0</v>
      </c>
      <c r="AG266" s="65">
        <f t="shared" si="249"/>
        <v>0</v>
      </c>
      <c r="AH266" s="65">
        <f t="shared" si="250"/>
        <v>0</v>
      </c>
      <c r="AI266" s="65">
        <f t="shared" si="251"/>
        <v>0</v>
      </c>
      <c r="AJ266" s="65">
        <f>AK266*4-SUM(AG266:AI266)</f>
        <v>0</v>
      </c>
      <c r="AK266" s="11">
        <f>VLOOKUP($B266,'Woodmac profile - Gas'!$B$452:$AL$478,MATCH('Production - Gas'!AK$232,'Woodmac profile - Gas'!$B$364:$AL$364),FALSE)</f>
        <v>0</v>
      </c>
      <c r="AL266" s="65">
        <f t="shared" si="253"/>
        <v>0</v>
      </c>
      <c r="AM266" s="65">
        <f t="shared" si="254"/>
        <v>0</v>
      </c>
      <c r="AN266" s="65">
        <f t="shared" si="255"/>
        <v>0</v>
      </c>
      <c r="AO266" s="65">
        <f>AP266*4-SUM(AL266:AN266)</f>
        <v>0</v>
      </c>
      <c r="AP266" s="11">
        <f>VLOOKUP($B266,'Woodmac profile - Gas'!$B$452:$AL$478,MATCH('Production - Gas'!AP$232,'Woodmac profile - Gas'!$B$364:$AL$364),FALSE)</f>
        <v>0</v>
      </c>
      <c r="AQ266" s="65">
        <f t="shared" si="257"/>
        <v>0</v>
      </c>
      <c r="AR266" s="65">
        <f t="shared" si="258"/>
        <v>0</v>
      </c>
      <c r="AS266" s="65">
        <f t="shared" si="259"/>
        <v>0</v>
      </c>
      <c r="AT266" s="65">
        <f>AU266*4-SUM(AQ266:AS266)</f>
        <v>0</v>
      </c>
      <c r="AU266" s="11">
        <f>VLOOKUP($B266,'Woodmac profile - Gas'!$B$452:$AL$478,MATCH('Production - Gas'!AU$232,'Woodmac profile - Gas'!$B$364:$AL$364),FALSE)</f>
        <v>0</v>
      </c>
      <c r="AV266" s="65">
        <f t="shared" si="261"/>
        <v>0</v>
      </c>
      <c r="AW266" s="65">
        <f t="shared" si="262"/>
        <v>0</v>
      </c>
      <c r="AX266" s="65">
        <f t="shared" si="263"/>
        <v>0</v>
      </c>
      <c r="AY266" s="65">
        <f>AZ266*4-SUM(AV266:AX266)</f>
        <v>0</v>
      </c>
      <c r="AZ266" s="11">
        <f>VLOOKUP($B266,'Woodmac profile - Gas'!$B$452:$AL$478,MATCH('Production - Gas'!AZ$232,'Woodmac profile - Gas'!$B$364:$AL$364),FALSE)</f>
        <v>0</v>
      </c>
      <c r="BA266" s="65">
        <f t="shared" si="265"/>
        <v>0</v>
      </c>
      <c r="BB266" s="65">
        <f t="shared" si="266"/>
        <v>0</v>
      </c>
      <c r="BC266" s="65">
        <f t="shared" si="267"/>
        <v>0</v>
      </c>
      <c r="BD266" s="65">
        <f>BE266*4-SUM(BA266:BC266)</f>
        <v>0</v>
      </c>
      <c r="BE266" s="11">
        <f>VLOOKUP($B266,'Woodmac profile - Gas'!$B$452:$AL$478,MATCH('Production - Gas'!BE$232,'Woodmac profile - Gas'!$B$364:$AL$364),FALSE)</f>
        <v>0</v>
      </c>
      <c r="BF266" s="65">
        <f t="shared" si="269"/>
        <v>0</v>
      </c>
      <c r="BG266" s="65">
        <f t="shared" si="270"/>
        <v>0</v>
      </c>
      <c r="BH266" s="65">
        <f t="shared" si="271"/>
        <v>0</v>
      </c>
      <c r="BI266" s="65">
        <f>BJ266*4-SUM(BF266:BH266)</f>
        <v>0</v>
      </c>
      <c r="BJ266" s="11">
        <f>VLOOKUP($B266,'Woodmac profile - Gas'!$B$452:$AL$478,MATCH('Production - Gas'!BJ$232,'Woodmac profile - Gas'!$B$364:$AL$364),FALSE)</f>
        <v>0</v>
      </c>
      <c r="BK266" s="65">
        <f t="shared" si="273"/>
        <v>0</v>
      </c>
      <c r="BL266" s="65">
        <f t="shared" si="274"/>
        <v>0</v>
      </c>
      <c r="BM266" s="65">
        <f t="shared" si="275"/>
        <v>0</v>
      </c>
      <c r="BN266" s="65">
        <f>BO266*4-SUM(BK266:BM266)</f>
        <v>0</v>
      </c>
      <c r="BO266" s="11">
        <f>VLOOKUP($B266,'Woodmac profile - Gas'!$B$452:$AL$478,MATCH('Production - Gas'!BO$232,'Woodmac profile - Gas'!$B$364:$AL$364),FALSE)</f>
        <v>0</v>
      </c>
      <c r="BP266" s="65">
        <f t="shared" si="277"/>
        <v>0</v>
      </c>
      <c r="BQ266" s="65">
        <f t="shared" si="278"/>
        <v>0</v>
      </c>
      <c r="BR266" s="65">
        <f t="shared" si="279"/>
        <v>0</v>
      </c>
      <c r="BS266" s="65">
        <f>BT266*4-SUM(BP266:BR266)</f>
        <v>0</v>
      </c>
      <c r="BT266" s="11">
        <f>VLOOKUP($B266,'Woodmac profile - Gas'!$B$452:$AL$478,MATCH('Production - Gas'!BT$232,'Woodmac profile - Gas'!$B$364:$AL$364),FALSE)</f>
        <v>0</v>
      </c>
      <c r="BU266" s="65">
        <f t="shared" si="281"/>
        <v>0</v>
      </c>
      <c r="BV266" s="65">
        <f t="shared" si="282"/>
        <v>0</v>
      </c>
      <c r="BW266" s="65">
        <f t="shared" si="283"/>
        <v>0</v>
      </c>
      <c r="BX266" s="65">
        <f>BY266*4-SUM(BU266:BW266)</f>
        <v>0</v>
      </c>
      <c r="BY266" s="11">
        <f>VLOOKUP($B266,'Woodmac profile - Gas'!$B$452:$AL$478,MATCH('Production - Gas'!BY$232,'Woodmac profile - Gas'!$B$364:$AL$364),FALSE)</f>
        <v>0</v>
      </c>
      <c r="BZ266" s="65">
        <f t="shared" si="285"/>
        <v>0</v>
      </c>
      <c r="CA266" s="65">
        <f t="shared" si="286"/>
        <v>0</v>
      </c>
      <c r="CB266" s="65">
        <f t="shared" si="287"/>
        <v>0</v>
      </c>
      <c r="CC266" s="65">
        <f>CD266*4-SUM(BZ266:CB266)</f>
        <v>0</v>
      </c>
      <c r="CD266" s="11">
        <f>VLOOKUP($B266,'Woodmac profile - Gas'!$B$452:$AL$478,MATCH('Production - Gas'!CD$232,'Woodmac profile - Gas'!$B$364:$AL$364),FALSE)</f>
        <v>0</v>
      </c>
      <c r="CE266" s="5"/>
      <c r="CF266" s="5"/>
      <c r="CG266" s="5"/>
      <c r="CH266" s="5"/>
      <c r="CI266" s="5"/>
    </row>
    <row r="267" spans="1:87">
      <c r="A267" s="11"/>
      <c r="B267" s="11" t="s">
        <v>3278</v>
      </c>
      <c r="C267" s="11"/>
      <c r="D267" s="11"/>
      <c r="E267" s="11">
        <f>VLOOKUP($B267,'Woodmac profile - Gas'!$B$452:$AL$478,MATCH('Production - Gas'!E$232,'Woodmac profile - Gas'!$B$364:$AL$364),FALSE)</f>
        <v>0</v>
      </c>
      <c r="F267" s="11">
        <f>VLOOKUP($B267,'Woodmac profile - Gas'!$B$452:$AL$478,MATCH('Production - Gas'!F$232,'Woodmac profile - Gas'!$B$364:$AL$364),FALSE)</f>
        <v>0</v>
      </c>
      <c r="G267" s="11">
        <f>VLOOKUP($B267,'Woodmac profile - Gas'!$B$452:$AL$478,MATCH('Production - Gas'!G$232,'Woodmac profile - Gas'!$B$364:$AL$364),FALSE)</f>
        <v>0</v>
      </c>
      <c r="H267" s="80">
        <f t="shared" si="232"/>
        <v>0</v>
      </c>
      <c r="I267" s="80">
        <f t="shared" si="233"/>
        <v>0</v>
      </c>
      <c r="J267" s="80">
        <f t="shared" si="234"/>
        <v>0</v>
      </c>
      <c r="K267" s="80">
        <f t="shared" si="235"/>
        <v>0</v>
      </c>
      <c r="L267" s="11">
        <f>VLOOKUP($B267,'Woodmac profile - Gas'!$B$452:$AL$478,MATCH('Production - Gas'!L$232,'Woodmac profile - Gas'!$B$364:$AL$364),FALSE)</f>
        <v>0</v>
      </c>
      <c r="M267" s="65">
        <f t="shared" si="231"/>
        <v>0</v>
      </c>
      <c r="N267" s="65">
        <f t="shared" si="231"/>
        <v>0</v>
      </c>
      <c r="O267" s="65">
        <f t="shared" si="231"/>
        <v>0</v>
      </c>
      <c r="P267" s="65">
        <f t="shared" si="236"/>
        <v>0</v>
      </c>
      <c r="Q267" s="11">
        <f>VLOOKUP($B267,'Woodmac profile - Gas'!$B$452:$AL$478,MATCH('Production - Gas'!Q$232,'Woodmac profile - Gas'!$B$364:$AL$364),FALSE)</f>
        <v>0</v>
      </c>
      <c r="R267" s="65">
        <f t="shared" si="237"/>
        <v>0</v>
      </c>
      <c r="S267" s="65">
        <f t="shared" si="238"/>
        <v>0</v>
      </c>
      <c r="T267" s="65">
        <f t="shared" si="239"/>
        <v>0</v>
      </c>
      <c r="U267" s="65">
        <f t="shared" si="240"/>
        <v>0</v>
      </c>
      <c r="V267" s="11">
        <f>VLOOKUP($B267,'Woodmac profile - Gas'!$B$452:$AL$478,MATCH('Production - Gas'!V$232,'Woodmac profile - Gas'!$B$364:$AL$364),FALSE)</f>
        <v>0</v>
      </c>
      <c r="W267" s="65">
        <f t="shared" si="241"/>
        <v>0</v>
      </c>
      <c r="X267" s="65">
        <f t="shared" si="242"/>
        <v>0</v>
      </c>
      <c r="Y267" s="65">
        <f t="shared" si="243"/>
        <v>0</v>
      </c>
      <c r="Z267" s="65">
        <f t="shared" si="244"/>
        <v>0</v>
      </c>
      <c r="AA267" s="11">
        <f>VLOOKUP($B267,'Woodmac profile - Gas'!$B$452:$AL$478,MATCH('Production - Gas'!AA$232,'Woodmac profile - Gas'!$B$364:$AL$364),FALSE)</f>
        <v>0</v>
      </c>
      <c r="AB267" s="65">
        <f t="shared" si="245"/>
        <v>0</v>
      </c>
      <c r="AC267" s="65">
        <f t="shared" si="246"/>
        <v>0</v>
      </c>
      <c r="AD267" s="65">
        <f t="shared" si="247"/>
        <v>0</v>
      </c>
      <c r="AE267" s="65">
        <f t="shared" si="248"/>
        <v>0</v>
      </c>
      <c r="AF267" s="11">
        <f>VLOOKUP($B267,'Woodmac profile - Gas'!$B$452:$AL$478,MATCH('Production - Gas'!AF$232,'Woodmac profile - Gas'!$B$364:$AL$364),FALSE)</f>
        <v>0</v>
      </c>
      <c r="AG267" s="65">
        <f t="shared" si="249"/>
        <v>0</v>
      </c>
      <c r="AH267" s="65">
        <f t="shared" si="250"/>
        <v>0</v>
      </c>
      <c r="AI267" s="65">
        <f t="shared" si="251"/>
        <v>0</v>
      </c>
      <c r="AJ267" s="65">
        <f t="shared" si="252"/>
        <v>0</v>
      </c>
      <c r="AK267" s="11">
        <f>VLOOKUP($B267,'Woodmac profile - Gas'!$B$452:$AL$478,MATCH('Production - Gas'!AK$232,'Woodmac profile - Gas'!$B$364:$AL$364),FALSE)</f>
        <v>0</v>
      </c>
      <c r="AL267" s="65">
        <f t="shared" si="253"/>
        <v>0</v>
      </c>
      <c r="AM267" s="65">
        <f t="shared" si="254"/>
        <v>0</v>
      </c>
      <c r="AN267" s="65">
        <f t="shared" si="255"/>
        <v>0</v>
      </c>
      <c r="AO267" s="65">
        <f t="shared" si="256"/>
        <v>0</v>
      </c>
      <c r="AP267" s="11">
        <f>VLOOKUP($B267,'Woodmac profile - Gas'!$B$452:$AL$478,MATCH('Production - Gas'!AP$232,'Woodmac profile - Gas'!$B$364:$AL$364),FALSE)</f>
        <v>0</v>
      </c>
      <c r="AQ267" s="65">
        <f t="shared" si="257"/>
        <v>0</v>
      </c>
      <c r="AR267" s="65">
        <f t="shared" si="258"/>
        <v>0</v>
      </c>
      <c r="AS267" s="65">
        <f t="shared" si="259"/>
        <v>0</v>
      </c>
      <c r="AT267" s="65">
        <f t="shared" si="260"/>
        <v>0</v>
      </c>
      <c r="AU267" s="11">
        <f>VLOOKUP($B267,'Woodmac profile - Gas'!$B$452:$AL$478,MATCH('Production - Gas'!AU$232,'Woodmac profile - Gas'!$B$364:$AL$364),FALSE)</f>
        <v>0</v>
      </c>
      <c r="AV267" s="65">
        <f t="shared" si="261"/>
        <v>0</v>
      </c>
      <c r="AW267" s="65">
        <f t="shared" si="262"/>
        <v>0</v>
      </c>
      <c r="AX267" s="65">
        <f t="shared" si="263"/>
        <v>0</v>
      </c>
      <c r="AY267" s="65">
        <f t="shared" si="264"/>
        <v>0</v>
      </c>
      <c r="AZ267" s="11">
        <f>VLOOKUP($B267,'Woodmac profile - Gas'!$B$452:$AL$478,MATCH('Production - Gas'!AZ$232,'Woodmac profile - Gas'!$B$364:$AL$364),FALSE)</f>
        <v>0</v>
      </c>
      <c r="BA267" s="65">
        <f t="shared" si="265"/>
        <v>0</v>
      </c>
      <c r="BB267" s="65">
        <f t="shared" si="266"/>
        <v>0</v>
      </c>
      <c r="BC267" s="65">
        <f t="shared" si="267"/>
        <v>0</v>
      </c>
      <c r="BD267" s="65">
        <f t="shared" si="268"/>
        <v>0</v>
      </c>
      <c r="BE267" s="11">
        <f>VLOOKUP($B267,'Woodmac profile - Gas'!$B$452:$AL$478,MATCH('Production - Gas'!BE$232,'Woodmac profile - Gas'!$B$364:$AL$364),FALSE)</f>
        <v>0</v>
      </c>
      <c r="BF267" s="65">
        <f t="shared" si="269"/>
        <v>0</v>
      </c>
      <c r="BG267" s="65">
        <f t="shared" si="270"/>
        <v>0</v>
      </c>
      <c r="BH267" s="65">
        <f t="shared" si="271"/>
        <v>0</v>
      </c>
      <c r="BI267" s="65">
        <f t="shared" si="272"/>
        <v>0</v>
      </c>
      <c r="BJ267" s="11">
        <f>VLOOKUP($B267,'Woodmac profile - Gas'!$B$452:$AL$478,MATCH('Production - Gas'!BJ$232,'Woodmac profile - Gas'!$B$364:$AL$364),FALSE)</f>
        <v>0</v>
      </c>
      <c r="BK267" s="65">
        <f t="shared" si="273"/>
        <v>0</v>
      </c>
      <c r="BL267" s="65">
        <f t="shared" si="274"/>
        <v>0</v>
      </c>
      <c r="BM267" s="65">
        <f t="shared" si="275"/>
        <v>0</v>
      </c>
      <c r="BN267" s="65">
        <f t="shared" si="276"/>
        <v>0</v>
      </c>
      <c r="BO267" s="11">
        <f>VLOOKUP($B267,'Woodmac profile - Gas'!$B$452:$AL$478,MATCH('Production - Gas'!BO$232,'Woodmac profile - Gas'!$B$364:$AL$364),FALSE)</f>
        <v>0</v>
      </c>
      <c r="BP267" s="65">
        <f t="shared" si="277"/>
        <v>0</v>
      </c>
      <c r="BQ267" s="65">
        <f t="shared" si="278"/>
        <v>0</v>
      </c>
      <c r="BR267" s="65">
        <f t="shared" si="279"/>
        <v>0</v>
      </c>
      <c r="BS267" s="65">
        <f t="shared" si="280"/>
        <v>0</v>
      </c>
      <c r="BT267" s="11">
        <f>VLOOKUP($B267,'Woodmac profile - Gas'!$B$452:$AL$478,MATCH('Production - Gas'!BT$232,'Woodmac profile - Gas'!$B$364:$AL$364),FALSE)</f>
        <v>0</v>
      </c>
      <c r="BU267" s="65">
        <f t="shared" si="281"/>
        <v>0</v>
      </c>
      <c r="BV267" s="65">
        <f t="shared" si="282"/>
        <v>0</v>
      </c>
      <c r="BW267" s="65">
        <f t="shared" si="283"/>
        <v>0</v>
      </c>
      <c r="BX267" s="65">
        <f t="shared" si="284"/>
        <v>0</v>
      </c>
      <c r="BY267" s="11">
        <f>VLOOKUP($B267,'Woodmac profile - Gas'!$B$452:$AL$478,MATCH('Production - Gas'!BY$232,'Woodmac profile - Gas'!$B$364:$AL$364),FALSE)</f>
        <v>0</v>
      </c>
      <c r="BZ267" s="65">
        <f t="shared" si="285"/>
        <v>0</v>
      </c>
      <c r="CA267" s="65">
        <f t="shared" si="286"/>
        <v>0</v>
      </c>
      <c r="CB267" s="65">
        <f t="shared" si="287"/>
        <v>0</v>
      </c>
      <c r="CC267" s="65">
        <f t="shared" si="288"/>
        <v>0</v>
      </c>
      <c r="CD267" s="11">
        <f>VLOOKUP($B267,'Woodmac profile - Gas'!$B$452:$AL$478,MATCH('Production - Gas'!CD$232,'Woodmac profile - Gas'!$B$364:$AL$364),FALSE)</f>
        <v>0</v>
      </c>
      <c r="CE267" s="5"/>
      <c r="CF267" s="5"/>
      <c r="CG267" s="5"/>
      <c r="CH267" s="5"/>
      <c r="CI267" s="5"/>
    </row>
    <row r="268" spans="1:87">
      <c r="A268" s="47"/>
      <c r="B268" s="47" t="s">
        <v>1703</v>
      </c>
      <c r="C268" s="47"/>
      <c r="D268" s="47"/>
      <c r="E268" s="47">
        <f>VLOOKUP($B268,'Woodmac profile - Gas'!$B$452:$AL$478,MATCH('Production - Gas'!E$232,'Woodmac profile - Gas'!$B$364:$AL$364),FALSE)</f>
        <v>0</v>
      </c>
      <c r="F268" s="47">
        <f>VLOOKUP($B268,'Woodmac profile - Gas'!$B$452:$AL$478,MATCH('Production - Gas'!F$232,'Woodmac profile - Gas'!$B$364:$AL$364),FALSE)</f>
        <v>0</v>
      </c>
      <c r="G268" s="47">
        <f>VLOOKUP($B268,'Woodmac profile - Gas'!$B$452:$AL$478,MATCH('Production - Gas'!G$232,'Woodmac profile - Gas'!$B$364:$AL$364),FALSE)</f>
        <v>0</v>
      </c>
      <c r="H268" s="86">
        <f t="shared" si="232"/>
        <v>0</v>
      </c>
      <c r="I268" s="86">
        <f t="shared" si="233"/>
        <v>0</v>
      </c>
      <c r="J268" s="86">
        <f t="shared" si="234"/>
        <v>0</v>
      </c>
      <c r="K268" s="86">
        <f t="shared" si="235"/>
        <v>0</v>
      </c>
      <c r="L268" s="47">
        <f>VLOOKUP($B268,'Woodmac profile - Gas'!$B$452:$AL$478,MATCH('Production - Gas'!L$232,'Woodmac profile - Gas'!$B$364:$AL$364),FALSE)</f>
        <v>0</v>
      </c>
      <c r="M268" s="65">
        <f>$Q268*M$171</f>
        <v>0</v>
      </c>
      <c r="N268" s="65">
        <f>$Q268*N$171</f>
        <v>0</v>
      </c>
      <c r="O268" s="65">
        <f>$Q268*O$171</f>
        <v>0</v>
      </c>
      <c r="P268" s="65">
        <f t="shared" si="236"/>
        <v>0</v>
      </c>
      <c r="Q268" s="47">
        <f>VLOOKUP($B268,'Woodmac profile - Gas'!$B$452:$AL$478,MATCH('Production - Gas'!Q$232,'Woodmac profile - Gas'!$B$364:$AL$364),FALSE)</f>
        <v>0</v>
      </c>
      <c r="R268" s="65">
        <f>V268*R$171</f>
        <v>0</v>
      </c>
      <c r="S268" s="65">
        <f>V268*S$171</f>
        <v>0</v>
      </c>
      <c r="T268" s="65">
        <f>V268*T$171</f>
        <v>0</v>
      </c>
      <c r="U268" s="65">
        <f t="shared" si="240"/>
        <v>0</v>
      </c>
      <c r="V268" s="47">
        <f>VLOOKUP($B268,'Woodmac profile - Gas'!$B$452:$AL$478,MATCH('Production - Gas'!V$232,'Woodmac profile - Gas'!$B$364:$AL$364),FALSE)</f>
        <v>0</v>
      </c>
      <c r="W268" s="65">
        <f>AA268*W$171</f>
        <v>0</v>
      </c>
      <c r="X268" s="65">
        <f>AA268*X$171</f>
        <v>0</v>
      </c>
      <c r="Y268" s="65">
        <f>AA268*Y$171</f>
        <v>0</v>
      </c>
      <c r="Z268" s="65">
        <f t="shared" si="244"/>
        <v>0</v>
      </c>
      <c r="AA268" s="47">
        <f>VLOOKUP($B268,'Woodmac profile - Gas'!$B$452:$AL$478,MATCH('Production - Gas'!AA$232,'Woodmac profile - Gas'!$B$364:$AL$364),FALSE)</f>
        <v>0</v>
      </c>
      <c r="AB268" s="65">
        <f>AF268*AB$171</f>
        <v>0</v>
      </c>
      <c r="AC268" s="65">
        <f>AF268*AC$171</f>
        <v>0</v>
      </c>
      <c r="AD268" s="65">
        <f>AF268*AD$171</f>
        <v>0</v>
      </c>
      <c r="AE268" s="65">
        <f t="shared" si="248"/>
        <v>0</v>
      </c>
      <c r="AF268" s="47">
        <f>VLOOKUP($B268,'Woodmac profile - Gas'!$B$452:$AL$478,MATCH('Production - Gas'!AF$232,'Woodmac profile - Gas'!$B$364:$AL$364),FALSE)</f>
        <v>0</v>
      </c>
      <c r="AG268" s="65">
        <f>AK268*$CF$171</f>
        <v>0</v>
      </c>
      <c r="AH268" s="65">
        <f>AK268*$CG$171</f>
        <v>0</v>
      </c>
      <c r="AI268" s="65">
        <f>AK268*$CH$171</f>
        <v>0</v>
      </c>
      <c r="AJ268" s="65">
        <f t="shared" si="252"/>
        <v>0</v>
      </c>
      <c r="AK268" s="47">
        <f>VLOOKUP($B268,'Woodmac profile - Gas'!$B$452:$AL$478,MATCH('Production - Gas'!AK$232,'Woodmac profile - Gas'!$B$364:$AL$364),FALSE)</f>
        <v>0</v>
      </c>
      <c r="AL268" s="65">
        <f>AP268*$CF$171</f>
        <v>0</v>
      </c>
      <c r="AM268" s="65">
        <f>AP268*$CG$171</f>
        <v>0</v>
      </c>
      <c r="AN268" s="65">
        <f>AP268*$CH$171</f>
        <v>0</v>
      </c>
      <c r="AO268" s="65">
        <f t="shared" si="256"/>
        <v>0</v>
      </c>
      <c r="AP268" s="47">
        <f>VLOOKUP($B268,'Woodmac profile - Gas'!$B$452:$AL$478,MATCH('Production - Gas'!AP$232,'Woodmac profile - Gas'!$B$364:$AL$364),FALSE)</f>
        <v>0</v>
      </c>
      <c r="AQ268" s="65">
        <f>AU268*$CF$171</f>
        <v>521.37976255127626</v>
      </c>
      <c r="AR268" s="65">
        <f>AU268*$CG$171</f>
        <v>478.98924764062923</v>
      </c>
      <c r="AS268" s="65">
        <f>AU268*$CH$171</f>
        <v>468.54676882343529</v>
      </c>
      <c r="AT268" s="65">
        <f t="shared" si="260"/>
        <v>524.28582098465881</v>
      </c>
      <c r="AU268" s="47">
        <f>VLOOKUP($B268,'Woodmac profile - Gas'!$B$452:$AL$478,MATCH('Production - Gas'!AU$232,'Woodmac profile - Gas'!$B$364:$AL$364),FALSE)</f>
        <v>498.30039999999991</v>
      </c>
      <c r="AV268" s="65">
        <f>AZ268*$CF$171</f>
        <v>1001.7691451165405</v>
      </c>
      <c r="AW268" s="65">
        <f>AZ268*$CG$171</f>
        <v>920.32081717359995</v>
      </c>
      <c r="AX268" s="65">
        <f>AZ268*$CH$171</f>
        <v>900.25683727071828</v>
      </c>
      <c r="AY268" s="65">
        <f t="shared" si="264"/>
        <v>1007.3527904391417</v>
      </c>
      <c r="AZ268" s="47">
        <f>VLOOKUP($B268,'Woodmac profile - Gas'!$B$452:$AL$478,MATCH('Production - Gas'!AZ$232,'Woodmac profile - Gas'!$B$364:$AL$364),FALSE)</f>
        <v>957.42489750000016</v>
      </c>
      <c r="BA268" s="65">
        <f>BE268*$CF$171</f>
        <v>1085.2710369105496</v>
      </c>
      <c r="BB268" s="65">
        <f>BE268*$CG$171</f>
        <v>997.03363036616804</v>
      </c>
      <c r="BC268" s="65">
        <f>BE268*$CH$171</f>
        <v>975.29722894084819</v>
      </c>
      <c r="BD268" s="65">
        <f t="shared" si="268"/>
        <v>1091.3201037824338</v>
      </c>
      <c r="BE268" s="47">
        <f>VLOOKUP($B268,'Woodmac profile - Gas'!$B$452:$AL$478,MATCH('Production - Gas'!BE$232,'Woodmac profile - Gas'!$B$364:$AL$364),FALSE)</f>
        <v>1037.2304999999999</v>
      </c>
      <c r="BF268" s="65">
        <f>BJ268*$CF$171</f>
        <v>1104.9686711004113</v>
      </c>
      <c r="BG268" s="65">
        <f>BJ268*$CG$171</f>
        <v>1015.1297584834812</v>
      </c>
      <c r="BH268" s="65">
        <f>BJ268*$CH$171</f>
        <v>992.99884207589582</v>
      </c>
      <c r="BI268" s="65">
        <f t="shared" si="272"/>
        <v>1111.1275283402124</v>
      </c>
      <c r="BJ268" s="47">
        <f>VLOOKUP($B268,'Woodmac profile - Gas'!$B$452:$AL$478,MATCH('Production - Gas'!BJ$232,'Woodmac profile - Gas'!$B$364:$AL$364),FALSE)</f>
        <v>1056.0562000000002</v>
      </c>
      <c r="BK268" s="65">
        <f>BO268*$CF$171</f>
        <v>1073.8847628457011</v>
      </c>
      <c r="BL268" s="65">
        <f>BO268*$CG$171</f>
        <v>986.57311149013026</v>
      </c>
      <c r="BM268" s="65">
        <f>BO268*$CH$171</f>
        <v>965.06476058435317</v>
      </c>
      <c r="BN268" s="65">
        <f t="shared" si="276"/>
        <v>1079.8703650798152</v>
      </c>
      <c r="BO268" s="47">
        <f>VLOOKUP($B268,'Woodmac profile - Gas'!$B$452:$AL$478,MATCH('Production - Gas'!BO$232,'Woodmac profile - Gas'!$B$364:$AL$364),FALSE)</f>
        <v>1026.34825</v>
      </c>
      <c r="BP268" s="65">
        <f>BT268*$CF$171</f>
        <v>1249.6012158914721</v>
      </c>
      <c r="BQ268" s="65">
        <f>BT268*$CG$171</f>
        <v>1148.0030281992513</v>
      </c>
      <c r="BR268" s="65">
        <f>BT268*$CH$171</f>
        <v>1122.975332143244</v>
      </c>
      <c r="BS268" s="65">
        <f t="shared" si="280"/>
        <v>1256.566223766034</v>
      </c>
      <c r="BT268" s="47">
        <f>VLOOKUP($B268,'Woodmac profile - Gas'!$B$452:$AL$478,MATCH('Production - Gas'!BT$232,'Woodmac profile - Gas'!$B$364:$AL$364),FALSE)</f>
        <v>1194.2864500000003</v>
      </c>
      <c r="BU268" s="65">
        <f>BY268*$CF$171</f>
        <v>1404.1921009218258</v>
      </c>
      <c r="BV268" s="65">
        <f>BY268*$CG$171</f>
        <v>1290.0249803948082</v>
      </c>
      <c r="BW268" s="65">
        <f>BY268*$CH$171</f>
        <v>1261.9010536098572</v>
      </c>
      <c r="BX268" s="65">
        <f t="shared" si="284"/>
        <v>1412.0187650735093</v>
      </c>
      <c r="BY268" s="47">
        <f>VLOOKUP($B268,'Woodmac profile - Gas'!$B$452:$AL$478,MATCH('Production - Gas'!BY$232,'Woodmac profile - Gas'!$B$364:$AL$364),FALSE)</f>
        <v>1342.0342250000001</v>
      </c>
      <c r="BZ268" s="65">
        <f>CD268*$CF$171</f>
        <v>1516.9120812149822</v>
      </c>
      <c r="CA268" s="65">
        <f>CD268*$CG$171</f>
        <v>1393.5803203460314</v>
      </c>
      <c r="CB268" s="65">
        <f>CD268*$CH$171</f>
        <v>1363.1987761945643</v>
      </c>
      <c r="CC268" s="65">
        <f t="shared" si="288"/>
        <v>1525.3670222444225</v>
      </c>
      <c r="CD268" s="47">
        <f>VLOOKUP($B268,'Woodmac profile - Gas'!$B$452:$AL$478,MATCH('Production - Gas'!CD$232,'Woodmac profile - Gas'!$B$364:$AL$364),FALSE)</f>
        <v>1449.7645500000001</v>
      </c>
      <c r="CE268" s="13"/>
      <c r="CF268" s="13"/>
      <c r="CG268" s="13"/>
      <c r="CH268" s="13"/>
      <c r="CI268" s="13"/>
    </row>
    <row r="269" spans="1:87">
      <c r="A269" s="47"/>
      <c r="B269" s="47" t="s">
        <v>1961</v>
      </c>
      <c r="C269" s="47"/>
      <c r="D269" s="47"/>
      <c r="E269" s="11">
        <f>VLOOKUP($B269,'Woodmac profile - Gas'!$B$452:$AL$478,MATCH('Production - Gas'!E$232,'Woodmac profile - Gas'!$B$364:$AL$364),FALSE)</f>
        <v>0</v>
      </c>
      <c r="F269" s="11">
        <f>VLOOKUP($B269,'Woodmac profile - Gas'!$B$452:$AL$478,MATCH('Production - Gas'!F$232,'Woodmac profile - Gas'!$B$364:$AL$364),FALSE)</f>
        <v>0</v>
      </c>
      <c r="G269" s="11">
        <f>VLOOKUP($B269,'Woodmac profile - Gas'!$B$452:$AL$478,MATCH('Production - Gas'!G$232,'Woodmac profile - Gas'!$B$364:$AL$364),FALSE)</f>
        <v>0</v>
      </c>
      <c r="H269" s="80">
        <f t="shared" si="232"/>
        <v>0</v>
      </c>
      <c r="I269" s="80">
        <f t="shared" si="233"/>
        <v>0</v>
      </c>
      <c r="J269" s="80">
        <f t="shared" si="234"/>
        <v>0</v>
      </c>
      <c r="K269" s="80">
        <f t="shared" si="235"/>
        <v>0</v>
      </c>
      <c r="L269" s="11">
        <f>VLOOKUP($B269,'Woodmac profile - Gas'!$B$452:$AL$478,MATCH('Production - Gas'!L$232,'Woodmac profile - Gas'!$B$364:$AL$364),FALSE)</f>
        <v>0</v>
      </c>
      <c r="M269" s="65">
        <f t="shared" ref="M269:O271" si="289">$Q269*M$172</f>
        <v>0</v>
      </c>
      <c r="N269" s="65">
        <f t="shared" si="289"/>
        <v>0</v>
      </c>
      <c r="O269" s="65">
        <f t="shared" si="289"/>
        <v>0</v>
      </c>
      <c r="P269" s="65">
        <f t="shared" si="236"/>
        <v>0</v>
      </c>
      <c r="Q269" s="11">
        <f>VLOOKUP($B269,'Woodmac profile - Gas'!$B$452:$AL$478,MATCH('Production - Gas'!Q$232,'Woodmac profile - Gas'!$B$364:$AL$364),FALSE)</f>
        <v>0</v>
      </c>
      <c r="R269" s="65">
        <f>V269*R$172</f>
        <v>0</v>
      </c>
      <c r="S269" s="65">
        <f>V269*S$172</f>
        <v>0</v>
      </c>
      <c r="T269" s="65">
        <f>V269*T$172</f>
        <v>0</v>
      </c>
      <c r="U269" s="65">
        <f t="shared" si="240"/>
        <v>0</v>
      </c>
      <c r="V269" s="11">
        <f>VLOOKUP($B269,'Woodmac profile - Gas'!$B$452:$AL$478,MATCH('Production - Gas'!V$232,'Woodmac profile - Gas'!$B$364:$AL$364),FALSE)</f>
        <v>0</v>
      </c>
      <c r="W269" s="65">
        <f>AA269*W$172</f>
        <v>0</v>
      </c>
      <c r="X269" s="65">
        <f>AA269*X$172</f>
        <v>0</v>
      </c>
      <c r="Y269" s="65">
        <f>AA269*Y$172</f>
        <v>0</v>
      </c>
      <c r="Z269" s="65">
        <f t="shared" si="244"/>
        <v>0</v>
      </c>
      <c r="AA269" s="11">
        <f>VLOOKUP($B269,'Woodmac profile - Gas'!$B$452:$AL$478,MATCH('Production - Gas'!AA$232,'Woodmac profile - Gas'!$B$364:$AL$364),FALSE)</f>
        <v>0</v>
      </c>
      <c r="AB269" s="65">
        <f>AF269*AB$172</f>
        <v>0</v>
      </c>
      <c r="AC269" s="65">
        <f>AF269*AC$172</f>
        <v>0</v>
      </c>
      <c r="AD269" s="65">
        <f>AF269*AD$172</f>
        <v>0</v>
      </c>
      <c r="AE269" s="65">
        <f t="shared" si="248"/>
        <v>0</v>
      </c>
      <c r="AF269" s="11">
        <f>VLOOKUP($B269,'Woodmac profile - Gas'!$B$452:$AL$478,MATCH('Production - Gas'!AF$232,'Woodmac profile - Gas'!$B$364:$AL$364),FALSE)</f>
        <v>0</v>
      </c>
      <c r="AG269" s="65">
        <f>AK269*$CF$172</f>
        <v>0</v>
      </c>
      <c r="AH269" s="65">
        <f>AK269*$CG$172</f>
        <v>0</v>
      </c>
      <c r="AI269" s="65">
        <f>AK269*$CH$172</f>
        <v>0</v>
      </c>
      <c r="AJ269" s="65">
        <f t="shared" si="252"/>
        <v>0</v>
      </c>
      <c r="AK269" s="11">
        <f>VLOOKUP($B269,'Woodmac profile - Gas'!$B$452:$AL$478,MATCH('Production - Gas'!AK$232,'Woodmac profile - Gas'!$B$364:$AL$364),FALSE)</f>
        <v>0</v>
      </c>
      <c r="AL269" s="65">
        <f>AP269*$CF$172</f>
        <v>0</v>
      </c>
      <c r="AM269" s="65">
        <f>AP269*$CG$172</f>
        <v>0</v>
      </c>
      <c r="AN269" s="65">
        <f>AP269*$CH$172</f>
        <v>0</v>
      </c>
      <c r="AO269" s="65">
        <f t="shared" si="256"/>
        <v>0</v>
      </c>
      <c r="AP269" s="11">
        <f>VLOOKUP($B269,'Woodmac profile - Gas'!$B$452:$AL$478,MATCH('Production - Gas'!AP$232,'Woodmac profile - Gas'!$B$364:$AL$364),FALSE)</f>
        <v>0</v>
      </c>
      <c r="AQ269" s="65">
        <f>AU269*$CF$172</f>
        <v>0</v>
      </c>
      <c r="AR269" s="65">
        <f>AU269*$CG$172</f>
        <v>0</v>
      </c>
      <c r="AS269" s="65">
        <f>AU269*$CH$172</f>
        <v>0</v>
      </c>
      <c r="AT269" s="65">
        <f t="shared" si="260"/>
        <v>0</v>
      </c>
      <c r="AU269" s="11">
        <f>VLOOKUP($B269,'Woodmac profile - Gas'!$B$452:$AL$478,MATCH('Production - Gas'!AU$232,'Woodmac profile - Gas'!$B$364:$AL$364),FALSE)</f>
        <v>0</v>
      </c>
      <c r="AV269" s="65">
        <f>AZ269*$CF$172</f>
        <v>0</v>
      </c>
      <c r="AW269" s="65">
        <f>AZ269*$CG$172</f>
        <v>0</v>
      </c>
      <c r="AX269" s="65">
        <f>AZ269*$CH$172</f>
        <v>0</v>
      </c>
      <c r="AY269" s="65">
        <f t="shared" si="264"/>
        <v>0</v>
      </c>
      <c r="AZ269" s="11">
        <f>VLOOKUP($B269,'Woodmac profile - Gas'!$B$452:$AL$478,MATCH('Production - Gas'!AZ$232,'Woodmac profile - Gas'!$B$364:$AL$364),FALSE)</f>
        <v>0</v>
      </c>
      <c r="BA269" s="65">
        <f>BE269*$CF$172</f>
        <v>0</v>
      </c>
      <c r="BB269" s="65">
        <f>BE269*$CG$172</f>
        <v>0</v>
      </c>
      <c r="BC269" s="65">
        <f>BE269*$CH$172</f>
        <v>0</v>
      </c>
      <c r="BD269" s="65">
        <f t="shared" si="268"/>
        <v>0</v>
      </c>
      <c r="BE269" s="11">
        <f>VLOOKUP($B269,'Woodmac profile - Gas'!$B$452:$AL$478,MATCH('Production - Gas'!BE$232,'Woodmac profile - Gas'!$B$364:$AL$364),FALSE)</f>
        <v>0</v>
      </c>
      <c r="BF269" s="65">
        <f>BJ269*$CF$172</f>
        <v>0</v>
      </c>
      <c r="BG269" s="65">
        <f>BJ269*$CG$172</f>
        <v>0</v>
      </c>
      <c r="BH269" s="65">
        <f>BJ269*$CH$172</f>
        <v>0</v>
      </c>
      <c r="BI269" s="65">
        <f t="shared" si="272"/>
        <v>0</v>
      </c>
      <c r="BJ269" s="11">
        <f>VLOOKUP($B269,'Woodmac profile - Gas'!$B$452:$AL$478,MATCH('Production - Gas'!BJ$232,'Woodmac profile - Gas'!$B$364:$AL$364),FALSE)</f>
        <v>0</v>
      </c>
      <c r="BK269" s="65">
        <f>BO269*$CF$172</f>
        <v>0</v>
      </c>
      <c r="BL269" s="65">
        <f>BO269*$CG$172</f>
        <v>0</v>
      </c>
      <c r="BM269" s="65">
        <f>BO269*$CH$172</f>
        <v>0</v>
      </c>
      <c r="BN269" s="65">
        <f t="shared" si="276"/>
        <v>0</v>
      </c>
      <c r="BO269" s="11">
        <f>VLOOKUP($B269,'Woodmac profile - Gas'!$B$452:$AL$478,MATCH('Production - Gas'!BO$232,'Woodmac profile - Gas'!$B$364:$AL$364),FALSE)</f>
        <v>0</v>
      </c>
      <c r="BP269" s="65">
        <f>BT269*$CF$172</f>
        <v>0</v>
      </c>
      <c r="BQ269" s="65">
        <f>BT269*$CG$172</f>
        <v>0</v>
      </c>
      <c r="BR269" s="65">
        <f>BT269*$CH$172</f>
        <v>0</v>
      </c>
      <c r="BS269" s="65">
        <f t="shared" si="280"/>
        <v>0</v>
      </c>
      <c r="BT269" s="11">
        <f>VLOOKUP($B269,'Woodmac profile - Gas'!$B$452:$AL$478,MATCH('Production - Gas'!BT$232,'Woodmac profile - Gas'!$B$364:$AL$364),FALSE)</f>
        <v>0</v>
      </c>
      <c r="BU269" s="65">
        <f>BY269*$CF$172</f>
        <v>0</v>
      </c>
      <c r="BV269" s="65">
        <f>BY269*$CG$172</f>
        <v>0</v>
      </c>
      <c r="BW269" s="65">
        <f>BY269*$CH$172</f>
        <v>0</v>
      </c>
      <c r="BX269" s="65">
        <f t="shared" si="284"/>
        <v>0</v>
      </c>
      <c r="BY269" s="11">
        <f>VLOOKUP($B269,'Woodmac profile - Gas'!$B$452:$AL$478,MATCH('Production - Gas'!BY$232,'Woodmac profile - Gas'!$B$364:$AL$364),FALSE)</f>
        <v>0</v>
      </c>
      <c r="BZ269" s="65">
        <f>CD269*$CF$172</f>
        <v>0</v>
      </c>
      <c r="CA269" s="65">
        <f>CD269*$CG$172</f>
        <v>0</v>
      </c>
      <c r="CB269" s="65">
        <f>CD269*$CH$172</f>
        <v>0</v>
      </c>
      <c r="CC269" s="65">
        <f t="shared" si="288"/>
        <v>0</v>
      </c>
      <c r="CD269" s="11">
        <f>VLOOKUP($B269,'Woodmac profile - Gas'!$B$452:$AL$478,MATCH('Production - Gas'!CD$232,'Woodmac profile - Gas'!$B$364:$AL$364),FALSE)</f>
        <v>0</v>
      </c>
      <c r="CE269" s="5"/>
      <c r="CF269" s="5"/>
      <c r="CG269" s="5"/>
      <c r="CH269" s="5"/>
      <c r="CI269" s="5"/>
    </row>
    <row r="270" spans="1:87">
      <c r="A270" s="11"/>
      <c r="B270" s="11" t="s">
        <v>3399</v>
      </c>
      <c r="C270" s="11"/>
      <c r="D270" s="11"/>
      <c r="E270" s="11">
        <f>VLOOKUP($B270,'Woodmac profile - Gas'!$B$452:$AL$478,MATCH('Production - Gas'!E$232,'Woodmac profile - Gas'!$B$364:$AL$364),FALSE)</f>
        <v>0</v>
      </c>
      <c r="F270" s="11">
        <f>VLOOKUP($B270,'Woodmac profile - Gas'!$B$452:$AL$478,MATCH('Production - Gas'!F$232,'Woodmac profile - Gas'!$B$364:$AL$364),FALSE)</f>
        <v>0</v>
      </c>
      <c r="G270" s="11">
        <f>VLOOKUP($B270,'Woodmac profile - Gas'!$B$452:$AL$478,MATCH('Production - Gas'!G$232,'Woodmac profile - Gas'!$B$364:$AL$364),FALSE)</f>
        <v>0</v>
      </c>
      <c r="H270" s="80">
        <f t="shared" si="232"/>
        <v>0</v>
      </c>
      <c r="I270" s="80">
        <f t="shared" si="233"/>
        <v>0</v>
      </c>
      <c r="J270" s="80">
        <f t="shared" si="234"/>
        <v>0</v>
      </c>
      <c r="K270" s="80">
        <f t="shared" si="235"/>
        <v>0</v>
      </c>
      <c r="L270" s="11">
        <f>VLOOKUP($B270,'Woodmac profile - Gas'!$B$452:$AL$478,MATCH('Production - Gas'!L$232,'Woodmac profile - Gas'!$B$364:$AL$364),FALSE)</f>
        <v>0</v>
      </c>
      <c r="M270" s="65">
        <f t="shared" si="289"/>
        <v>0</v>
      </c>
      <c r="N270" s="65">
        <f t="shared" si="289"/>
        <v>0</v>
      </c>
      <c r="O270" s="65">
        <f t="shared" si="289"/>
        <v>0</v>
      </c>
      <c r="P270" s="65">
        <f t="shared" si="236"/>
        <v>0</v>
      </c>
      <c r="Q270" s="11">
        <f>VLOOKUP($B270,'Woodmac profile - Gas'!$B$452:$AL$478,MATCH('Production - Gas'!Q$232,'Woodmac profile - Gas'!$B$364:$AL$364),FALSE)</f>
        <v>0</v>
      </c>
      <c r="R270" s="65">
        <f>V270*R$172</f>
        <v>0</v>
      </c>
      <c r="S270" s="65">
        <f>V270*S$172</f>
        <v>0</v>
      </c>
      <c r="T270" s="65">
        <f>V270*T$172</f>
        <v>0</v>
      </c>
      <c r="U270" s="65">
        <f t="shared" si="240"/>
        <v>0</v>
      </c>
      <c r="V270" s="11">
        <f>VLOOKUP($B270,'Woodmac profile - Gas'!$B$452:$AL$478,MATCH('Production - Gas'!V$232,'Woodmac profile - Gas'!$B$364:$AL$364),FALSE)</f>
        <v>0</v>
      </c>
      <c r="W270" s="65">
        <f>AA270*W$172</f>
        <v>0</v>
      </c>
      <c r="X270" s="65">
        <f>AA270*X$172</f>
        <v>0</v>
      </c>
      <c r="Y270" s="65">
        <f>AA270*Y$172</f>
        <v>0</v>
      </c>
      <c r="Z270" s="65">
        <f t="shared" si="244"/>
        <v>0</v>
      </c>
      <c r="AA270" s="11">
        <f>VLOOKUP($B270,'Woodmac profile - Gas'!$B$452:$AL$478,MATCH('Production - Gas'!AA$232,'Woodmac profile - Gas'!$B$364:$AL$364),FALSE)</f>
        <v>0</v>
      </c>
      <c r="AB270" s="65">
        <f>AF270*AB$172</f>
        <v>0</v>
      </c>
      <c r="AC270" s="65">
        <f>AF270*AC$172</f>
        <v>0</v>
      </c>
      <c r="AD270" s="65">
        <f>AF270*AD$172</f>
        <v>0</v>
      </c>
      <c r="AE270" s="65">
        <f t="shared" si="248"/>
        <v>0</v>
      </c>
      <c r="AF270" s="11">
        <f>VLOOKUP($B270,'Woodmac profile - Gas'!$B$452:$AL$478,MATCH('Production - Gas'!AF$232,'Woodmac profile - Gas'!$B$364:$AL$364),FALSE)</f>
        <v>0</v>
      </c>
      <c r="AG270" s="65">
        <f>AK270*$CF$172</f>
        <v>0</v>
      </c>
      <c r="AH270" s="65">
        <f>AK270*$CG$172</f>
        <v>0</v>
      </c>
      <c r="AI270" s="65">
        <f>AK270*$CH$172</f>
        <v>0</v>
      </c>
      <c r="AJ270" s="65">
        <f t="shared" si="252"/>
        <v>0</v>
      </c>
      <c r="AK270" s="11">
        <f>VLOOKUP($B270,'Woodmac profile - Gas'!$B$452:$AL$478,MATCH('Production - Gas'!AK$232,'Woodmac profile - Gas'!$B$364:$AL$364),FALSE)</f>
        <v>0</v>
      </c>
      <c r="AL270" s="65">
        <f>AP270*$CF$172</f>
        <v>0</v>
      </c>
      <c r="AM270" s="65">
        <f>AP270*$CG$172</f>
        <v>0</v>
      </c>
      <c r="AN270" s="65">
        <f>AP270*$CH$172</f>
        <v>0</v>
      </c>
      <c r="AO270" s="65">
        <f t="shared" si="256"/>
        <v>0</v>
      </c>
      <c r="AP270" s="11">
        <f>VLOOKUP($B270,'Woodmac profile - Gas'!$B$452:$AL$478,MATCH('Production - Gas'!AP$232,'Woodmac profile - Gas'!$B$364:$AL$364),FALSE)</f>
        <v>0</v>
      </c>
      <c r="AQ270" s="65">
        <f>AU270*$CF$172</f>
        <v>0</v>
      </c>
      <c r="AR270" s="65">
        <f>AU270*$CG$172</f>
        <v>0</v>
      </c>
      <c r="AS270" s="65">
        <f>AU270*$CH$172</f>
        <v>0</v>
      </c>
      <c r="AT270" s="65">
        <f t="shared" si="260"/>
        <v>0</v>
      </c>
      <c r="AU270" s="11">
        <f>VLOOKUP($B270,'Woodmac profile - Gas'!$B$452:$AL$478,MATCH('Production - Gas'!AU$232,'Woodmac profile - Gas'!$B$364:$AL$364),FALSE)</f>
        <v>0</v>
      </c>
      <c r="AV270" s="65">
        <f>AZ270*$CF$172</f>
        <v>0</v>
      </c>
      <c r="AW270" s="65">
        <f>AZ270*$CG$172</f>
        <v>0</v>
      </c>
      <c r="AX270" s="65">
        <f>AZ270*$CH$172</f>
        <v>0</v>
      </c>
      <c r="AY270" s="65">
        <f t="shared" si="264"/>
        <v>0</v>
      </c>
      <c r="AZ270" s="11">
        <f>VLOOKUP($B270,'Woodmac profile - Gas'!$B$452:$AL$478,MATCH('Production - Gas'!AZ$232,'Woodmac profile - Gas'!$B$364:$AL$364),FALSE)</f>
        <v>0</v>
      </c>
      <c r="BA270" s="65">
        <f>BE270*$CF$172</f>
        <v>0</v>
      </c>
      <c r="BB270" s="65">
        <f>BE270*$CG$172</f>
        <v>0</v>
      </c>
      <c r="BC270" s="65">
        <f>BE270*$CH$172</f>
        <v>0</v>
      </c>
      <c r="BD270" s="65">
        <f t="shared" si="268"/>
        <v>0</v>
      </c>
      <c r="BE270" s="11">
        <f>VLOOKUP($B270,'Woodmac profile - Gas'!$B$452:$AL$478,MATCH('Production - Gas'!BE$232,'Woodmac profile - Gas'!$B$364:$AL$364),FALSE)</f>
        <v>0</v>
      </c>
      <c r="BF270" s="65">
        <f>BJ270*$CF$172</f>
        <v>0</v>
      </c>
      <c r="BG270" s="65">
        <f>BJ270*$CG$172</f>
        <v>0</v>
      </c>
      <c r="BH270" s="65">
        <f>BJ270*$CH$172</f>
        <v>0</v>
      </c>
      <c r="BI270" s="65">
        <f t="shared" si="272"/>
        <v>0</v>
      </c>
      <c r="BJ270" s="11">
        <f>VLOOKUP($B270,'Woodmac profile - Gas'!$B$452:$AL$478,MATCH('Production - Gas'!BJ$232,'Woodmac profile - Gas'!$B$364:$AL$364),FALSE)</f>
        <v>0</v>
      </c>
      <c r="BK270" s="65">
        <f>BO270*$CF$172</f>
        <v>0</v>
      </c>
      <c r="BL270" s="65">
        <f>BO270*$CG$172</f>
        <v>0</v>
      </c>
      <c r="BM270" s="65">
        <f>BO270*$CH$172</f>
        <v>0</v>
      </c>
      <c r="BN270" s="65">
        <f t="shared" si="276"/>
        <v>0</v>
      </c>
      <c r="BO270" s="11">
        <f>VLOOKUP($B270,'Woodmac profile - Gas'!$B$452:$AL$478,MATCH('Production - Gas'!BO$232,'Woodmac profile - Gas'!$B$364:$AL$364),FALSE)</f>
        <v>0</v>
      </c>
      <c r="BP270" s="65">
        <f>BT270*$CF$172</f>
        <v>0</v>
      </c>
      <c r="BQ270" s="65">
        <f>BT270*$CG$172</f>
        <v>0</v>
      </c>
      <c r="BR270" s="65">
        <f>BT270*$CH$172</f>
        <v>0</v>
      </c>
      <c r="BS270" s="65">
        <f t="shared" si="280"/>
        <v>0</v>
      </c>
      <c r="BT270" s="11">
        <f>VLOOKUP($B270,'Woodmac profile - Gas'!$B$452:$AL$478,MATCH('Production - Gas'!BT$232,'Woodmac profile - Gas'!$B$364:$AL$364),FALSE)</f>
        <v>0</v>
      </c>
      <c r="BU270" s="65">
        <f>BY270*$CF$172</f>
        <v>0</v>
      </c>
      <c r="BV270" s="65">
        <f>BY270*$CG$172</f>
        <v>0</v>
      </c>
      <c r="BW270" s="65">
        <f>BY270*$CH$172</f>
        <v>0</v>
      </c>
      <c r="BX270" s="65">
        <f t="shared" si="284"/>
        <v>0</v>
      </c>
      <c r="BY270" s="11">
        <f>VLOOKUP($B270,'Woodmac profile - Gas'!$B$452:$AL$478,MATCH('Production - Gas'!BY$232,'Woodmac profile - Gas'!$B$364:$AL$364),FALSE)</f>
        <v>0</v>
      </c>
      <c r="BZ270" s="65">
        <f>CD270*$CF$172</f>
        <v>0</v>
      </c>
      <c r="CA270" s="65">
        <f>CD270*$CG$172</f>
        <v>0</v>
      </c>
      <c r="CB270" s="65">
        <f>CD270*$CH$172</f>
        <v>0</v>
      </c>
      <c r="CC270" s="65">
        <f t="shared" si="288"/>
        <v>0</v>
      </c>
      <c r="CD270" s="11">
        <f>VLOOKUP($B270,'Woodmac profile - Gas'!$B$452:$AL$478,MATCH('Production - Gas'!CD$232,'Woodmac profile - Gas'!$B$364:$AL$364),FALSE)</f>
        <v>0</v>
      </c>
      <c r="CE270" s="5"/>
      <c r="CF270" s="5"/>
      <c r="CG270" s="5"/>
      <c r="CH270" s="5"/>
      <c r="CI270" s="5"/>
    </row>
    <row r="271" spans="1:87">
      <c r="A271" s="11"/>
      <c r="B271" s="11" t="s">
        <v>3400</v>
      </c>
      <c r="C271" s="11"/>
      <c r="D271" s="11"/>
      <c r="E271" s="11">
        <f>VLOOKUP($B271,'Woodmac profile - Gas'!$B$452:$AL$478,MATCH('Production - Gas'!E$232,'Woodmac profile - Gas'!$B$364:$AL$364),FALSE)</f>
        <v>21</v>
      </c>
      <c r="F271" s="11">
        <f>VLOOKUP($B271,'Woodmac profile - Gas'!$B$452:$AL$478,MATCH('Production - Gas'!F$232,'Woodmac profile - Gas'!$B$364:$AL$364),FALSE)</f>
        <v>51.79</v>
      </c>
      <c r="G271" s="11">
        <f>VLOOKUP($B271,'Woodmac profile - Gas'!$B$452:$AL$478,MATCH('Production - Gas'!G$232,'Woodmac profile - Gas'!$B$364:$AL$364),FALSE)</f>
        <v>75.7</v>
      </c>
      <c r="H271" s="80">
        <f t="shared" si="232"/>
        <v>78.545000000000002</v>
      </c>
      <c r="I271" s="80">
        <f t="shared" si="233"/>
        <v>84.234999999999999</v>
      </c>
      <c r="J271" s="80">
        <f t="shared" si="234"/>
        <v>89.924999999999997</v>
      </c>
      <c r="K271" s="80">
        <f t="shared" si="235"/>
        <v>95.614999999999995</v>
      </c>
      <c r="L271" s="11">
        <f>VLOOKUP($B271,'Woodmac profile - Gas'!$B$452:$AL$478,MATCH('Production - Gas'!L$232,'Woodmac profile - Gas'!$B$364:$AL$364),FALSE)</f>
        <v>87.08</v>
      </c>
      <c r="M271" s="65">
        <f t="shared" si="289"/>
        <v>85.043052319423836</v>
      </c>
      <c r="N271" s="65">
        <f t="shared" si="289"/>
        <v>79.314763821224304</v>
      </c>
      <c r="O271" s="65">
        <f t="shared" si="289"/>
        <v>83.21</v>
      </c>
      <c r="P271" s="65">
        <f t="shared" si="236"/>
        <v>85.272183859351856</v>
      </c>
      <c r="Q271" s="11">
        <f>VLOOKUP($B271,'Woodmac profile - Gas'!$B$452:$AL$478,MATCH('Production - Gas'!Q$232,'Woodmac profile - Gas'!$B$364:$AL$364),FALSE)</f>
        <v>83.21</v>
      </c>
      <c r="R271" s="65">
        <f>V271*R$172</f>
        <v>90.040453322293516</v>
      </c>
      <c r="S271" s="65">
        <f>V271*S$172</f>
        <v>90.246495549575656</v>
      </c>
      <c r="T271" s="65">
        <f>V271*T$172</f>
        <v>90.115377768577929</v>
      </c>
      <c r="U271" s="65">
        <f t="shared" si="240"/>
        <v>91.557673359552894</v>
      </c>
      <c r="V271" s="11">
        <f>VLOOKUP($B271,'Woodmac profile - Gas'!$B$452:$AL$478,MATCH('Production - Gas'!V$232,'Woodmac profile - Gas'!$B$364:$AL$364),FALSE)</f>
        <v>90.49</v>
      </c>
      <c r="W271" s="65">
        <f>AA271*W$172</f>
        <v>84.627612484799343</v>
      </c>
      <c r="X271" s="65">
        <f>AA271*X$172</f>
        <v>86.148585326307241</v>
      </c>
      <c r="Y271" s="65">
        <f>AA271*Y$172</f>
        <v>80.782456424807449</v>
      </c>
      <c r="Z271" s="65">
        <f t="shared" si="244"/>
        <v>85.721345764085925</v>
      </c>
      <c r="AA271" s="11">
        <f>VLOOKUP($B271,'Woodmac profile - Gas'!$B$452:$AL$478,MATCH('Production - Gas'!AA$232,'Woodmac profile - Gas'!$B$364:$AL$364),FALSE)</f>
        <v>84.32</v>
      </c>
      <c r="AB271" s="65">
        <f>AF271*AB$172</f>
        <v>66.772269155206274</v>
      </c>
      <c r="AC271" s="65">
        <f>AF271*AC$172</f>
        <v>65.974715127701373</v>
      </c>
      <c r="AD271" s="65">
        <f>AF271*AD$172</f>
        <v>68.249705304518656</v>
      </c>
      <c r="AE271" s="65">
        <f t="shared" si="248"/>
        <v>65.203310412573671</v>
      </c>
      <c r="AF271" s="11">
        <f>VLOOKUP($B271,'Woodmac profile - Gas'!$B$452:$AL$478,MATCH('Production - Gas'!AF$232,'Woodmac profile - Gas'!$B$364:$AL$364),FALSE)</f>
        <v>66.55</v>
      </c>
      <c r="AG271" s="65">
        <f>AK271*$CF$172</f>
        <v>0</v>
      </c>
      <c r="AH271" s="65">
        <f>AK271*$CG$172</f>
        <v>0</v>
      </c>
      <c r="AI271" s="65">
        <f>AK271*$CH$172</f>
        <v>0</v>
      </c>
      <c r="AJ271" s="65">
        <f t="shared" si="252"/>
        <v>0</v>
      </c>
      <c r="AK271" s="11">
        <f>VLOOKUP($B271,'Woodmac profile - Gas'!$B$452:$AL$478,MATCH('Production - Gas'!AK$232,'Woodmac profile - Gas'!$B$364:$AL$364),FALSE)</f>
        <v>0</v>
      </c>
      <c r="AL271" s="65">
        <f>AP271*$CF$172</f>
        <v>0</v>
      </c>
      <c r="AM271" s="65">
        <f>AP271*$CG$172</f>
        <v>0</v>
      </c>
      <c r="AN271" s="65">
        <f>AP271*$CH$172</f>
        <v>0</v>
      </c>
      <c r="AO271" s="65">
        <f t="shared" si="256"/>
        <v>0</v>
      </c>
      <c r="AP271" s="11">
        <f>VLOOKUP($B271,'Woodmac profile - Gas'!$B$452:$AL$478,MATCH('Production - Gas'!AP$232,'Woodmac profile - Gas'!$B$364:$AL$364),FALSE)</f>
        <v>0</v>
      </c>
      <c r="AQ271" s="65">
        <f>AU271*$CF$172</f>
        <v>0</v>
      </c>
      <c r="AR271" s="65">
        <f>AU271*$CG$172</f>
        <v>0</v>
      </c>
      <c r="AS271" s="65">
        <f>AU271*$CH$172</f>
        <v>0</v>
      </c>
      <c r="AT271" s="65">
        <f t="shared" si="260"/>
        <v>0</v>
      </c>
      <c r="AU271" s="11">
        <f>VLOOKUP($B271,'Woodmac profile - Gas'!$B$452:$AL$478,MATCH('Production - Gas'!AU$232,'Woodmac profile - Gas'!$B$364:$AL$364),FALSE)</f>
        <v>0</v>
      </c>
      <c r="AV271" s="65">
        <f>AZ271*$CF$172</f>
        <v>0</v>
      </c>
      <c r="AW271" s="65">
        <f>AZ271*$CG$172</f>
        <v>0</v>
      </c>
      <c r="AX271" s="65">
        <f>AZ271*$CH$172</f>
        <v>0</v>
      </c>
      <c r="AY271" s="65">
        <f t="shared" si="264"/>
        <v>0</v>
      </c>
      <c r="AZ271" s="11">
        <f>VLOOKUP($B271,'Woodmac profile - Gas'!$B$452:$AL$478,MATCH('Production - Gas'!AZ$232,'Woodmac profile - Gas'!$B$364:$AL$364),FALSE)</f>
        <v>0</v>
      </c>
      <c r="BA271" s="65">
        <f>BE271*$CF$172</f>
        <v>0</v>
      </c>
      <c r="BB271" s="65">
        <f>BE271*$CG$172</f>
        <v>0</v>
      </c>
      <c r="BC271" s="65">
        <f>BE271*$CH$172</f>
        <v>0</v>
      </c>
      <c r="BD271" s="65">
        <f t="shared" si="268"/>
        <v>0</v>
      </c>
      <c r="BE271" s="11">
        <f>VLOOKUP($B271,'Woodmac profile - Gas'!$B$452:$AL$478,MATCH('Production - Gas'!BE$232,'Woodmac profile - Gas'!$B$364:$AL$364),FALSE)</f>
        <v>0</v>
      </c>
      <c r="BF271" s="65">
        <f>BJ271*$CF$172</f>
        <v>0</v>
      </c>
      <c r="BG271" s="65">
        <f>BJ271*$CG$172</f>
        <v>0</v>
      </c>
      <c r="BH271" s="65">
        <f>BJ271*$CH$172</f>
        <v>0</v>
      </c>
      <c r="BI271" s="65">
        <f t="shared" si="272"/>
        <v>0</v>
      </c>
      <c r="BJ271" s="11">
        <f>VLOOKUP($B271,'Woodmac profile - Gas'!$B$452:$AL$478,MATCH('Production - Gas'!BJ$232,'Woodmac profile - Gas'!$B$364:$AL$364),FALSE)</f>
        <v>0</v>
      </c>
      <c r="BK271" s="65">
        <f>BO271*$CF$172</f>
        <v>0</v>
      </c>
      <c r="BL271" s="65">
        <f>BO271*$CG$172</f>
        <v>0</v>
      </c>
      <c r="BM271" s="65">
        <f>BO271*$CH$172</f>
        <v>0</v>
      </c>
      <c r="BN271" s="65">
        <f t="shared" si="276"/>
        <v>0</v>
      </c>
      <c r="BO271" s="11">
        <f>VLOOKUP($B271,'Woodmac profile - Gas'!$B$452:$AL$478,MATCH('Production - Gas'!BO$232,'Woodmac profile - Gas'!$B$364:$AL$364),FALSE)</f>
        <v>0</v>
      </c>
      <c r="BP271" s="65">
        <f>BT271*$CF$172</f>
        <v>0</v>
      </c>
      <c r="BQ271" s="65">
        <f>BT271*$CG$172</f>
        <v>0</v>
      </c>
      <c r="BR271" s="65">
        <f>BT271*$CH$172</f>
        <v>0</v>
      </c>
      <c r="BS271" s="65">
        <f t="shared" si="280"/>
        <v>0</v>
      </c>
      <c r="BT271" s="11">
        <f>VLOOKUP($B271,'Woodmac profile - Gas'!$B$452:$AL$478,MATCH('Production - Gas'!BT$232,'Woodmac profile - Gas'!$B$364:$AL$364),FALSE)</f>
        <v>0</v>
      </c>
      <c r="BU271" s="65">
        <f>BY271*$CF$172</f>
        <v>0</v>
      </c>
      <c r="BV271" s="65">
        <f>BY271*$CG$172</f>
        <v>0</v>
      </c>
      <c r="BW271" s="65">
        <f>BY271*$CH$172</f>
        <v>0</v>
      </c>
      <c r="BX271" s="65">
        <f t="shared" si="284"/>
        <v>0</v>
      </c>
      <c r="BY271" s="11">
        <f>VLOOKUP($B271,'Woodmac profile - Gas'!$B$452:$AL$478,MATCH('Production - Gas'!BY$232,'Woodmac profile - Gas'!$B$364:$AL$364),FALSE)</f>
        <v>0</v>
      </c>
      <c r="BZ271" s="65">
        <f>CD271*$CF$172</f>
        <v>0</v>
      </c>
      <c r="CA271" s="65">
        <f>CD271*$CG$172</f>
        <v>0</v>
      </c>
      <c r="CB271" s="65">
        <f>CD271*$CH$172</f>
        <v>0</v>
      </c>
      <c r="CC271" s="65">
        <f t="shared" si="288"/>
        <v>0</v>
      </c>
      <c r="CD271" s="11">
        <f>VLOOKUP($B271,'Woodmac profile - Gas'!$B$452:$AL$478,MATCH('Production - Gas'!CD$232,'Woodmac profile - Gas'!$B$364:$AL$364),FALSE)</f>
        <v>0</v>
      </c>
      <c r="CE271" s="5"/>
      <c r="CF271" s="5"/>
      <c r="CG271" s="5"/>
      <c r="CH271" s="5"/>
      <c r="CI271" s="5"/>
    </row>
    <row r="272" spans="1:87">
      <c r="A272" s="39" t="s">
        <v>3401</v>
      </c>
      <c r="B272" s="39"/>
      <c r="C272" s="39">
        <f t="shared" ref="C272:AH272" si="290">SUM(C261:C271)</f>
        <v>0</v>
      </c>
      <c r="D272" s="39">
        <f t="shared" si="290"/>
        <v>0</v>
      </c>
      <c r="E272" s="39">
        <f t="shared" si="290"/>
        <v>21</v>
      </c>
      <c r="F272" s="39">
        <f t="shared" si="290"/>
        <v>51.79</v>
      </c>
      <c r="G272" s="39">
        <f t="shared" si="290"/>
        <v>75.7</v>
      </c>
      <c r="H272" s="80">
        <f t="shared" si="290"/>
        <v>78.545000000000002</v>
      </c>
      <c r="I272" s="80">
        <f t="shared" si="290"/>
        <v>84.234999999999999</v>
      </c>
      <c r="J272" s="80">
        <f t="shared" si="290"/>
        <v>89.924999999999997</v>
      </c>
      <c r="K272" s="80">
        <f t="shared" si="290"/>
        <v>95.614999999999995</v>
      </c>
      <c r="L272" s="39">
        <f t="shared" si="290"/>
        <v>87.08</v>
      </c>
      <c r="M272" s="80">
        <f t="shared" si="290"/>
        <v>85.043052319423836</v>
      </c>
      <c r="N272" s="80">
        <f t="shared" si="290"/>
        <v>79.314763821224304</v>
      </c>
      <c r="O272" s="80">
        <f t="shared" si="290"/>
        <v>83.21</v>
      </c>
      <c r="P272" s="80">
        <f t="shared" si="290"/>
        <v>85.272183859351856</v>
      </c>
      <c r="Q272" s="39">
        <f t="shared" si="290"/>
        <v>83.21</v>
      </c>
      <c r="R272" s="80">
        <f t="shared" si="290"/>
        <v>90.040453322293516</v>
      </c>
      <c r="S272" s="80">
        <f t="shared" si="290"/>
        <v>90.246495549575656</v>
      </c>
      <c r="T272" s="80">
        <f t="shared" si="290"/>
        <v>90.115377768577929</v>
      </c>
      <c r="U272" s="80">
        <f t="shared" si="290"/>
        <v>91.557673359552894</v>
      </c>
      <c r="V272" s="39">
        <f t="shared" si="290"/>
        <v>90.49</v>
      </c>
      <c r="W272" s="80">
        <f t="shared" si="290"/>
        <v>84.627612484799343</v>
      </c>
      <c r="X272" s="80">
        <f t="shared" si="290"/>
        <v>86.148585326307241</v>
      </c>
      <c r="Y272" s="80">
        <f t="shared" si="290"/>
        <v>80.782456424807449</v>
      </c>
      <c r="Z272" s="80">
        <f t="shared" si="290"/>
        <v>85.721345764085925</v>
      </c>
      <c r="AA272" s="39">
        <f t="shared" si="290"/>
        <v>84.32</v>
      </c>
      <c r="AB272" s="80">
        <f t="shared" si="290"/>
        <v>84.591585461689576</v>
      </c>
      <c r="AC272" s="80">
        <f t="shared" si="290"/>
        <v>83.581190569744592</v>
      </c>
      <c r="AD272" s="80">
        <f t="shared" si="290"/>
        <v>86.463300589390954</v>
      </c>
      <c r="AE272" s="80">
        <f t="shared" si="290"/>
        <v>82.603923379174859</v>
      </c>
      <c r="AF272" s="39">
        <f t="shared" si="290"/>
        <v>84.31</v>
      </c>
      <c r="AG272" s="80">
        <f t="shared" si="290"/>
        <v>17.200558154577489</v>
      </c>
      <c r="AH272" s="80">
        <f t="shared" si="290"/>
        <v>16.746502526355712</v>
      </c>
      <c r="AI272" s="80">
        <f t="shared" ref="AI272:BN272" si="291">SUM(AI261:AI271)</f>
        <v>16.864824011447521</v>
      </c>
      <c r="AJ272" s="80">
        <f t="shared" si="291"/>
        <v>17.068115307619266</v>
      </c>
      <c r="AK272" s="39">
        <f t="shared" si="291"/>
        <v>16.97</v>
      </c>
      <c r="AL272" s="80">
        <f t="shared" si="291"/>
        <v>16.339009867518513</v>
      </c>
      <c r="AM272" s="80">
        <f t="shared" si="291"/>
        <v>15.907697155265415</v>
      </c>
      <c r="AN272" s="80">
        <f t="shared" si="291"/>
        <v>16.020092107515268</v>
      </c>
      <c r="AO272" s="80">
        <f t="shared" si="291"/>
        <v>16.213200869700806</v>
      </c>
      <c r="AP272" s="39">
        <f t="shared" si="291"/>
        <v>16.12</v>
      </c>
      <c r="AQ272" s="80">
        <f t="shared" si="291"/>
        <v>536.89776758053858</v>
      </c>
      <c r="AR272" s="80">
        <f t="shared" si="291"/>
        <v>494.09761261873803</v>
      </c>
      <c r="AS272" s="80">
        <f t="shared" si="291"/>
        <v>483.76188111661509</v>
      </c>
      <c r="AT272" s="80">
        <f t="shared" si="291"/>
        <v>539.68433868410796</v>
      </c>
      <c r="AU272" s="39">
        <f t="shared" si="291"/>
        <v>513.61039999999991</v>
      </c>
      <c r="AV272" s="80">
        <f t="shared" si="291"/>
        <v>1016.51682461855</v>
      </c>
      <c r="AW272" s="80">
        <f t="shared" si="291"/>
        <v>934.6791914669692</v>
      </c>
      <c r="AX272" s="80">
        <f t="shared" si="291"/>
        <v>914.7166598615587</v>
      </c>
      <c r="AY272" s="80">
        <f t="shared" si="291"/>
        <v>1021.9869140529225</v>
      </c>
      <c r="AZ272" s="39">
        <f>SUM(AZ261:AZ271)</f>
        <v>971.97489750000011</v>
      </c>
      <c r="BA272" s="80">
        <f t="shared" si="291"/>
        <v>1085.2710369105496</v>
      </c>
      <c r="BB272" s="80">
        <f t="shared" si="291"/>
        <v>997.03363036616804</v>
      </c>
      <c r="BC272" s="80">
        <f t="shared" si="291"/>
        <v>975.29722894084819</v>
      </c>
      <c r="BD272" s="80">
        <f t="shared" si="291"/>
        <v>1091.3201037824338</v>
      </c>
      <c r="BE272" s="39">
        <f t="shared" si="291"/>
        <v>1037.2304999999999</v>
      </c>
      <c r="BF272" s="80">
        <f t="shared" si="291"/>
        <v>1104.9686711004113</v>
      </c>
      <c r="BG272" s="80">
        <f t="shared" si="291"/>
        <v>1015.1297584834812</v>
      </c>
      <c r="BH272" s="80">
        <f t="shared" si="291"/>
        <v>992.99884207589582</v>
      </c>
      <c r="BI272" s="80">
        <f t="shared" si="291"/>
        <v>1111.1275283402124</v>
      </c>
      <c r="BJ272" s="39">
        <f t="shared" si="291"/>
        <v>1056.0562000000002</v>
      </c>
      <c r="BK272" s="80">
        <f t="shared" si="291"/>
        <v>1073.8847628457011</v>
      </c>
      <c r="BL272" s="80">
        <f t="shared" si="291"/>
        <v>986.57311149013026</v>
      </c>
      <c r="BM272" s="80">
        <f t="shared" si="291"/>
        <v>965.06476058435317</v>
      </c>
      <c r="BN272" s="80">
        <f t="shared" si="291"/>
        <v>1079.8703650798152</v>
      </c>
      <c r="BO272" s="39">
        <f t="shared" ref="BO272:CD272" si="292">SUM(BO261:BO271)</f>
        <v>1026.34825</v>
      </c>
      <c r="BP272" s="80">
        <f t="shared" si="292"/>
        <v>1249.6012158914721</v>
      </c>
      <c r="BQ272" s="80">
        <f t="shared" si="292"/>
        <v>1148.0030281992513</v>
      </c>
      <c r="BR272" s="80">
        <f t="shared" si="292"/>
        <v>1122.975332143244</v>
      </c>
      <c r="BS272" s="80">
        <f t="shared" si="292"/>
        <v>1256.566223766034</v>
      </c>
      <c r="BT272" s="39">
        <f t="shared" si="292"/>
        <v>1194.2864500000003</v>
      </c>
      <c r="BU272" s="80">
        <f t="shared" si="292"/>
        <v>1404.1921009218258</v>
      </c>
      <c r="BV272" s="80">
        <f t="shared" si="292"/>
        <v>1290.0249803948082</v>
      </c>
      <c r="BW272" s="80">
        <f t="shared" si="292"/>
        <v>1261.9010536098572</v>
      </c>
      <c r="BX272" s="80">
        <f t="shared" si="292"/>
        <v>1412.0187650735093</v>
      </c>
      <c r="BY272" s="39">
        <f t="shared" si="292"/>
        <v>1342.0342250000001</v>
      </c>
      <c r="BZ272" s="80">
        <f t="shared" si="292"/>
        <v>1516.9120812149822</v>
      </c>
      <c r="CA272" s="80">
        <f t="shared" si="292"/>
        <v>1393.5803203460314</v>
      </c>
      <c r="CB272" s="80">
        <f t="shared" si="292"/>
        <v>1363.1987761945643</v>
      </c>
      <c r="CC272" s="80">
        <f t="shared" si="292"/>
        <v>1525.3670222444225</v>
      </c>
      <c r="CD272" s="39">
        <f t="shared" si="292"/>
        <v>1449.7645500000001</v>
      </c>
      <c r="CE272" s="5"/>
      <c r="CF272" s="5"/>
      <c r="CG272" s="5"/>
      <c r="CH272" s="5"/>
      <c r="CI272" s="5"/>
    </row>
    <row r="273" spans="1:87">
      <c r="A273" s="11"/>
      <c r="B273" s="11"/>
      <c r="C273" s="11"/>
      <c r="D273" s="11"/>
      <c r="E273" s="48"/>
      <c r="F273" s="48"/>
      <c r="G273" s="48"/>
      <c r="H273" s="383"/>
      <c r="I273" s="383"/>
      <c r="J273" s="383"/>
      <c r="K273" s="383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  <c r="AA273" s="48"/>
      <c r="AB273" s="48"/>
      <c r="AC273" s="48"/>
      <c r="AD273" s="48"/>
      <c r="AE273" s="48"/>
      <c r="AF273" s="48"/>
      <c r="AG273" s="48"/>
      <c r="AH273" s="48"/>
      <c r="AI273" s="48"/>
      <c r="AJ273" s="48"/>
      <c r="AK273" s="48"/>
      <c r="AL273" s="48"/>
      <c r="AM273" s="48"/>
      <c r="AN273" s="48"/>
      <c r="AO273" s="48"/>
      <c r="AP273" s="48"/>
      <c r="AQ273" s="48"/>
      <c r="AR273" s="48"/>
      <c r="AS273" s="48"/>
      <c r="AT273" s="48"/>
      <c r="AU273" s="48"/>
      <c r="AV273" s="48"/>
      <c r="AW273" s="48"/>
      <c r="AX273" s="48"/>
      <c r="AY273" s="48"/>
      <c r="AZ273" s="48"/>
      <c r="BA273" s="48"/>
      <c r="BB273" s="48"/>
      <c r="BC273" s="48"/>
      <c r="BD273" s="48"/>
      <c r="BE273" s="48"/>
      <c r="BF273" s="48"/>
      <c r="BG273" s="48"/>
      <c r="BH273" s="48"/>
      <c r="BI273" s="48"/>
      <c r="BJ273" s="48"/>
      <c r="BK273" s="48"/>
      <c r="BL273" s="48"/>
      <c r="BM273" s="48"/>
      <c r="BN273" s="48"/>
      <c r="BO273" s="48"/>
      <c r="BP273" s="48"/>
      <c r="BQ273" s="48"/>
      <c r="BR273" s="48"/>
      <c r="BS273" s="48"/>
      <c r="BT273" s="48"/>
      <c r="BU273" s="48"/>
      <c r="BV273" s="48"/>
      <c r="BW273" s="48"/>
      <c r="BX273" s="48"/>
      <c r="BY273" s="48"/>
      <c r="BZ273" s="48"/>
      <c r="CA273" s="48"/>
      <c r="CB273" s="48"/>
      <c r="CC273" s="48"/>
      <c r="CD273" s="48"/>
      <c r="CE273" s="5"/>
      <c r="CF273" s="5"/>
      <c r="CG273" s="5"/>
      <c r="CH273" s="5"/>
      <c r="CI273" s="5"/>
    </row>
    <row r="274" spans="1:87">
      <c r="A274" s="39" t="s">
        <v>3402</v>
      </c>
      <c r="B274" s="11"/>
      <c r="C274" s="11"/>
      <c r="D274" s="11"/>
      <c r="E274" s="11"/>
      <c r="F274" s="11"/>
      <c r="G274" s="11"/>
      <c r="H274" s="80"/>
      <c r="I274" s="80"/>
      <c r="J274" s="80"/>
      <c r="K274" s="80"/>
      <c r="L274" s="11"/>
      <c r="M274" s="68"/>
      <c r="N274" s="68"/>
      <c r="O274" s="68"/>
      <c r="P274" s="68"/>
      <c r="Q274" s="11"/>
      <c r="R274" s="68"/>
      <c r="S274" s="68"/>
      <c r="T274" s="68"/>
      <c r="U274" s="68"/>
      <c r="V274" s="11"/>
      <c r="W274" s="68"/>
      <c r="X274" s="68"/>
      <c r="Y274" s="68"/>
      <c r="Z274" s="68"/>
      <c r="AA274" s="11"/>
      <c r="AB274" s="68"/>
      <c r="AC274" s="68"/>
      <c r="AD274" s="68"/>
      <c r="AE274" s="68"/>
      <c r="AF274" s="11"/>
      <c r="AG274" s="68"/>
      <c r="AH274" s="68"/>
      <c r="AI274" s="68"/>
      <c r="AJ274" s="68"/>
      <c r="AK274" s="11"/>
      <c r="AL274" s="68"/>
      <c r="AM274" s="68"/>
      <c r="AN274" s="68"/>
      <c r="AO274" s="68"/>
      <c r="AP274" s="11"/>
      <c r="AQ274" s="68"/>
      <c r="AR274" s="68"/>
      <c r="AS274" s="68"/>
      <c r="AT274" s="68"/>
      <c r="AU274" s="11"/>
      <c r="AV274" s="68"/>
      <c r="AW274" s="68"/>
      <c r="AX274" s="68"/>
      <c r="AY274" s="68"/>
      <c r="AZ274" s="11"/>
      <c r="BA274" s="68"/>
      <c r="BB274" s="68"/>
      <c r="BC274" s="68"/>
      <c r="BD274" s="68"/>
      <c r="BE274" s="11"/>
      <c r="BF274" s="68"/>
      <c r="BG274" s="68"/>
      <c r="BH274" s="68"/>
      <c r="BI274" s="68"/>
      <c r="BJ274" s="11"/>
      <c r="BK274" s="68"/>
      <c r="BL274" s="68"/>
      <c r="BM274" s="68"/>
      <c r="BN274" s="68"/>
      <c r="BO274" s="11"/>
      <c r="BP274" s="68"/>
      <c r="BQ274" s="68"/>
      <c r="BR274" s="68"/>
      <c r="BS274" s="68"/>
      <c r="BT274" s="11"/>
      <c r="BU274" s="68"/>
      <c r="BV274" s="68"/>
      <c r="BW274" s="68"/>
      <c r="BX274" s="68"/>
      <c r="BY274" s="11"/>
      <c r="BZ274" s="68"/>
      <c r="CA274" s="68"/>
      <c r="CB274" s="68"/>
      <c r="CC274" s="68"/>
      <c r="CD274" s="11"/>
      <c r="CE274" s="5"/>
      <c r="CF274" s="5"/>
      <c r="CG274" s="5"/>
      <c r="CH274" s="5"/>
      <c r="CI274" s="5"/>
    </row>
    <row r="275" spans="1:87">
      <c r="A275" s="11"/>
      <c r="B275" s="11" t="s">
        <v>2965</v>
      </c>
      <c r="C275" s="11"/>
      <c r="D275" s="11"/>
      <c r="E275" s="11">
        <f>VLOOKUP($B275,'Woodmac profile - Gas'!$B$452:$AL$478,MATCH('Production - Gas'!E$232,'Woodmac profile - Gas'!$B$364:$AL$364),FALSE)</f>
        <v>0</v>
      </c>
      <c r="F275" s="11">
        <f>VLOOKUP($B275,'Woodmac profile - Gas'!$B$452:$AL$478,MATCH('Production - Gas'!F$232,'Woodmac profile - Gas'!$B$364:$AL$364),FALSE)</f>
        <v>0</v>
      </c>
      <c r="G275" s="11">
        <f>VLOOKUP($B275,'Woodmac profile - Gas'!$B$452:$AL$478,MATCH('Production - Gas'!G$232,'Woodmac profile - Gas'!$B$364:$AL$364),FALSE)</f>
        <v>0</v>
      </c>
      <c r="H275" s="80">
        <f>G275+(L275-G275)/4</f>
        <v>0</v>
      </c>
      <c r="I275" s="80">
        <f>H275+(L275-G275)/2</f>
        <v>0</v>
      </c>
      <c r="J275" s="80">
        <f>I275+(L275-G275)/2</f>
        <v>0</v>
      </c>
      <c r="K275" s="80">
        <f>J275+(L275-G275)/2</f>
        <v>0</v>
      </c>
      <c r="L275" s="11">
        <f>VLOOKUP($B275,'Woodmac profile - Gas'!$B$452:$AL$478,MATCH('Production - Gas'!L$232,'Woodmac profile - Gas'!$B$364:$AL$364),FALSE)</f>
        <v>0</v>
      </c>
      <c r="M275" s="65">
        <f t="shared" ref="M275:O276" si="293">$Q275*M$172</f>
        <v>0</v>
      </c>
      <c r="N275" s="65">
        <f t="shared" si="293"/>
        <v>0</v>
      </c>
      <c r="O275" s="65">
        <f t="shared" si="293"/>
        <v>0</v>
      </c>
      <c r="P275" s="65">
        <f>Q275*4-SUM(M275:O275)</f>
        <v>0</v>
      </c>
      <c r="Q275" s="11">
        <f>VLOOKUP($B275,'Woodmac profile - Gas'!$B$452:$AL$478,MATCH('Production - Gas'!Q$232,'Woodmac profile - Gas'!$B$364:$AL$364),FALSE)</f>
        <v>0</v>
      </c>
      <c r="R275" s="65">
        <f>V275*R$172</f>
        <v>0</v>
      </c>
      <c r="S275" s="65">
        <f>V275*S$172</f>
        <v>0</v>
      </c>
      <c r="T275" s="65">
        <f>V275*T$172</f>
        <v>0</v>
      </c>
      <c r="U275" s="65">
        <f>V275*4-SUM(R275:T275)</f>
        <v>0</v>
      </c>
      <c r="V275" s="11">
        <f>VLOOKUP($B275,'Woodmac profile - Gas'!$B$452:$AL$478,MATCH('Production - Gas'!V$232,'Woodmac profile - Gas'!$B$364:$AL$364),FALSE)</f>
        <v>0</v>
      </c>
      <c r="W275" s="65">
        <f>AA275*W$172</f>
        <v>0</v>
      </c>
      <c r="X275" s="65">
        <f>AA275*X$172</f>
        <v>0</v>
      </c>
      <c r="Y275" s="65">
        <f>AA275*Y$172</f>
        <v>0</v>
      </c>
      <c r="Z275" s="65">
        <f>AA275*4-SUM(W275:Y275)</f>
        <v>0</v>
      </c>
      <c r="AA275" s="11">
        <f>VLOOKUP($B275,'Woodmac profile - Gas'!$B$452:$AL$478,MATCH('Production - Gas'!AA$232,'Woodmac profile - Gas'!$B$364:$AL$364),FALSE)</f>
        <v>0</v>
      </c>
      <c r="AB275" s="65">
        <f>AF275*AB$172</f>
        <v>0</v>
      </c>
      <c r="AC275" s="65">
        <f>AF275*AC$172</f>
        <v>0</v>
      </c>
      <c r="AD275" s="65">
        <f>AF275*AD$172</f>
        <v>0</v>
      </c>
      <c r="AE275" s="65">
        <f>AF275*4-SUM(AB275:AD275)</f>
        <v>0</v>
      </c>
      <c r="AF275" s="11">
        <f>VLOOKUP($B275,'Woodmac profile - Gas'!$B$452:$AL$478,MATCH('Production - Gas'!AF$232,'Woodmac profile - Gas'!$B$364:$AL$364),FALSE)</f>
        <v>0</v>
      </c>
      <c r="AG275" s="65">
        <f>AK275*$CF$172</f>
        <v>0</v>
      </c>
      <c r="AH275" s="65">
        <f>AK275*$CG$172</f>
        <v>0</v>
      </c>
      <c r="AI275" s="65">
        <f>AK275*$CH$172</f>
        <v>0</v>
      </c>
      <c r="AJ275" s="65">
        <f>AK275*4-SUM(AG275:AI275)</f>
        <v>0</v>
      </c>
      <c r="AK275" s="11">
        <f>VLOOKUP($B275,'Woodmac profile - Gas'!$B$452:$AL$478,MATCH('Production - Gas'!AK$232,'Woodmac profile - Gas'!$B$364:$AL$364),FALSE)</f>
        <v>0</v>
      </c>
      <c r="AL275" s="65">
        <f>AP275*$CF$172</f>
        <v>0</v>
      </c>
      <c r="AM275" s="65">
        <f>AP275*$CG$172</f>
        <v>0</v>
      </c>
      <c r="AN275" s="65">
        <f>AP275*$CH$172</f>
        <v>0</v>
      </c>
      <c r="AO275" s="65">
        <f>AP275*4-SUM(AL275:AN275)</f>
        <v>0</v>
      </c>
      <c r="AP275" s="11">
        <f>VLOOKUP($B275,'Woodmac profile - Gas'!$B$452:$AL$478,MATCH('Production - Gas'!AP$232,'Woodmac profile - Gas'!$B$364:$AL$364),FALSE)</f>
        <v>0</v>
      </c>
      <c r="AQ275" s="65">
        <f>AU275*$CF$172</f>
        <v>0</v>
      </c>
      <c r="AR275" s="65">
        <f>AU275*$CG$172</f>
        <v>0</v>
      </c>
      <c r="AS275" s="65">
        <f>AU275*$CH$172</f>
        <v>0</v>
      </c>
      <c r="AT275" s="65">
        <f>AU275*4-SUM(AQ275:AS275)</f>
        <v>0</v>
      </c>
      <c r="AU275" s="11">
        <f>VLOOKUP($B275,'Woodmac profile - Gas'!$B$452:$AL$478,MATCH('Production - Gas'!AU$232,'Woodmac profile - Gas'!$B$364:$AL$364),FALSE)</f>
        <v>0</v>
      </c>
      <c r="AV275" s="65">
        <f>AZ275*$CF$172</f>
        <v>0</v>
      </c>
      <c r="AW275" s="65">
        <f>AZ275*$CG$172</f>
        <v>0</v>
      </c>
      <c r="AX275" s="65">
        <f>AZ275*$CH$172</f>
        <v>0</v>
      </c>
      <c r="AY275" s="65">
        <f>AZ275*4-SUM(AV275:AX275)</f>
        <v>0</v>
      </c>
      <c r="AZ275" s="11">
        <f>VLOOKUP($B275,'Woodmac profile - Gas'!$B$452:$AL$478,MATCH('Production - Gas'!AZ$232,'Woodmac profile - Gas'!$B$364:$AL$364),FALSE)</f>
        <v>0</v>
      </c>
      <c r="BA275" s="65">
        <f>BE275*$CF$172</f>
        <v>0</v>
      </c>
      <c r="BB275" s="65">
        <f>BE275*$CG$172</f>
        <v>0</v>
      </c>
      <c r="BC275" s="65">
        <f>BE275*$CH$172</f>
        <v>0</v>
      </c>
      <c r="BD275" s="65">
        <f>BE275*4-SUM(BA275:BC275)</f>
        <v>0</v>
      </c>
      <c r="BE275" s="11">
        <f>VLOOKUP($B275,'Woodmac profile - Gas'!$B$452:$AL$478,MATCH('Production - Gas'!BE$232,'Woodmac profile - Gas'!$B$364:$AL$364),FALSE)</f>
        <v>0</v>
      </c>
      <c r="BF275" s="65">
        <f>BJ275*$CF$172</f>
        <v>0</v>
      </c>
      <c r="BG275" s="65">
        <f>BJ275*$CG$172</f>
        <v>0</v>
      </c>
      <c r="BH275" s="65">
        <f>BJ275*$CH$172</f>
        <v>0</v>
      </c>
      <c r="BI275" s="65">
        <f>BJ275*4-SUM(BF275:BH275)</f>
        <v>0</v>
      </c>
      <c r="BJ275" s="11">
        <f>VLOOKUP($B275,'Woodmac profile - Gas'!$B$452:$AL$478,MATCH('Production - Gas'!BJ$232,'Woodmac profile - Gas'!$B$364:$AL$364),FALSE)</f>
        <v>0</v>
      </c>
      <c r="BK275" s="65">
        <f>BO275*$CF$172</f>
        <v>0</v>
      </c>
      <c r="BL275" s="65">
        <f>BO275*$CG$172</f>
        <v>0</v>
      </c>
      <c r="BM275" s="65">
        <f>BO275*$CH$172</f>
        <v>0</v>
      </c>
      <c r="BN275" s="65">
        <f>BO275*4-SUM(BK275:BM275)</f>
        <v>0</v>
      </c>
      <c r="BO275" s="11">
        <f>VLOOKUP($B275,'Woodmac profile - Gas'!$B$452:$AL$478,MATCH('Production - Gas'!BO$232,'Woodmac profile - Gas'!$B$364:$AL$364),FALSE)</f>
        <v>0</v>
      </c>
      <c r="BP275" s="65">
        <f>BT275*$CF$172</f>
        <v>0</v>
      </c>
      <c r="BQ275" s="65">
        <f>BT275*$CG$172</f>
        <v>0</v>
      </c>
      <c r="BR275" s="65">
        <f>BT275*$CH$172</f>
        <v>0</v>
      </c>
      <c r="BS275" s="65">
        <f>BT275*4-SUM(BP275:BR275)</f>
        <v>0</v>
      </c>
      <c r="BT275" s="11">
        <f>VLOOKUP($B275,'Woodmac profile - Gas'!$B$452:$AL$478,MATCH('Production - Gas'!BT$232,'Woodmac profile - Gas'!$B$364:$AL$364),FALSE)</f>
        <v>0</v>
      </c>
      <c r="BU275" s="65">
        <f>BY275*$CF$172</f>
        <v>0</v>
      </c>
      <c r="BV275" s="65">
        <f>BY275*$CG$172</f>
        <v>0</v>
      </c>
      <c r="BW275" s="65">
        <f>BY275*$CH$172</f>
        <v>0</v>
      </c>
      <c r="BX275" s="65">
        <f>BY275*4-SUM(BU275:BW275)</f>
        <v>0</v>
      </c>
      <c r="BY275" s="11">
        <f>VLOOKUP($B275,'Woodmac profile - Gas'!$B$452:$AL$478,MATCH('Production - Gas'!BY$232,'Woodmac profile - Gas'!$B$364:$AL$364),FALSE)</f>
        <v>0</v>
      </c>
      <c r="BZ275" s="65">
        <f>CD275*$CF$172</f>
        <v>0</v>
      </c>
      <c r="CA275" s="65">
        <f>CD275*$CG$172</f>
        <v>0</v>
      </c>
      <c r="CB275" s="65">
        <f>CD275*$CH$172</f>
        <v>0</v>
      </c>
      <c r="CC275" s="65">
        <f>CD275*4-SUM(BZ275:CB275)</f>
        <v>0</v>
      </c>
      <c r="CD275" s="11">
        <f>VLOOKUP($B275,'Woodmac profile - Gas'!$B$452:$AL$478,MATCH('Production - Gas'!CD$232,'Woodmac profile - Gas'!$B$364:$AL$364),FALSE)</f>
        <v>0</v>
      </c>
      <c r="CE275" s="5"/>
      <c r="CF275" s="5"/>
      <c r="CG275" s="5"/>
      <c r="CH275" s="5"/>
      <c r="CI275" s="5"/>
    </row>
    <row r="276" spans="1:87">
      <c r="A276" s="11"/>
      <c r="B276" s="11" t="s">
        <v>3403</v>
      </c>
      <c r="C276" s="11"/>
      <c r="D276" s="11"/>
      <c r="E276" s="11">
        <f>VLOOKUP($B276,'Woodmac profile - Gas'!$B$452:$AL$478,MATCH('Production - Gas'!E$232,'Woodmac profile - Gas'!$B$364:$AL$364),FALSE)</f>
        <v>0</v>
      </c>
      <c r="F276" s="11">
        <f>VLOOKUP($B276,'Woodmac profile - Gas'!$B$452:$AL$478,MATCH('Production - Gas'!F$232,'Woodmac profile - Gas'!$B$364:$AL$364),FALSE)</f>
        <v>0</v>
      </c>
      <c r="G276" s="11">
        <f>VLOOKUP($B276,'Woodmac profile - Gas'!$B$452:$AL$478,MATCH('Production - Gas'!G$232,'Woodmac profile - Gas'!$B$364:$AL$364),FALSE)</f>
        <v>0</v>
      </c>
      <c r="H276" s="80">
        <f>G276+(L276-G276)/4</f>
        <v>0</v>
      </c>
      <c r="I276" s="80">
        <f>H276+(L276-G276)/2</f>
        <v>0</v>
      </c>
      <c r="J276" s="80">
        <f>I276+(L276-G276)/2</f>
        <v>0</v>
      </c>
      <c r="K276" s="80">
        <f>J276+(L276-G276)/2</f>
        <v>0</v>
      </c>
      <c r="L276" s="11">
        <f>VLOOKUP($B276,'Woodmac profile - Gas'!$B$452:$AL$478,MATCH('Production - Gas'!L$232,'Woodmac profile - Gas'!$B$364:$AL$364),FALSE)</f>
        <v>0</v>
      </c>
      <c r="M276" s="65">
        <f t="shared" si="293"/>
        <v>0</v>
      </c>
      <c r="N276" s="65">
        <f t="shared" si="293"/>
        <v>0</v>
      </c>
      <c r="O276" s="65">
        <f t="shared" si="293"/>
        <v>0</v>
      </c>
      <c r="P276" s="65">
        <f>Q276*4-SUM(M276:O276)</f>
        <v>0</v>
      </c>
      <c r="Q276" s="11">
        <f>VLOOKUP($B276,'Woodmac profile - Gas'!$B$452:$AL$478,MATCH('Production - Gas'!Q$232,'Woodmac profile - Gas'!$B$364:$AL$364),FALSE)</f>
        <v>0</v>
      </c>
      <c r="R276" s="65">
        <f>V276*R$172</f>
        <v>0</v>
      </c>
      <c r="S276" s="65">
        <f>V276*S$172</f>
        <v>0</v>
      </c>
      <c r="T276" s="65">
        <f>V276*T$172</f>
        <v>0</v>
      </c>
      <c r="U276" s="65">
        <f>V276*4-SUM(R276:T276)</f>
        <v>0</v>
      </c>
      <c r="V276" s="11">
        <f>VLOOKUP($B276,'Woodmac profile - Gas'!$B$452:$AL$478,MATCH('Production - Gas'!V$232,'Woodmac profile - Gas'!$B$364:$AL$364),FALSE)</f>
        <v>0</v>
      </c>
      <c r="W276" s="65">
        <f>AA276*W$172</f>
        <v>0</v>
      </c>
      <c r="X276" s="65">
        <f>AA276*X$172</f>
        <v>0</v>
      </c>
      <c r="Y276" s="65">
        <f>AA276*Y$172</f>
        <v>0</v>
      </c>
      <c r="Z276" s="65">
        <f>AA276*4-SUM(W276:Y276)</f>
        <v>0</v>
      </c>
      <c r="AA276" s="11">
        <f>VLOOKUP($B276,'Woodmac profile - Gas'!$B$452:$AL$478,MATCH('Production - Gas'!AA$232,'Woodmac profile - Gas'!$B$364:$AL$364),FALSE)</f>
        <v>0</v>
      </c>
      <c r="AB276" s="65">
        <f>AF276*AB$172</f>
        <v>0</v>
      </c>
      <c r="AC276" s="65">
        <f>AF276*AC$172</f>
        <v>0</v>
      </c>
      <c r="AD276" s="65">
        <f>AF276*AD$172</f>
        <v>0</v>
      </c>
      <c r="AE276" s="65">
        <f>AF276*4-SUM(AB276:AD276)</f>
        <v>0</v>
      </c>
      <c r="AF276" s="11">
        <f>VLOOKUP($B276,'Woodmac profile - Gas'!$B$452:$AL$478,MATCH('Production - Gas'!AF$232,'Woodmac profile - Gas'!$B$364:$AL$364),FALSE)</f>
        <v>0</v>
      </c>
      <c r="AG276" s="65">
        <f>AK276*$CF$172</f>
        <v>0</v>
      </c>
      <c r="AH276" s="65">
        <f>AK276*$CG$172</f>
        <v>0</v>
      </c>
      <c r="AI276" s="65">
        <f>AK276*$CH$172</f>
        <v>0</v>
      </c>
      <c r="AJ276" s="65">
        <f>AK276*4-SUM(AG276:AI276)</f>
        <v>0</v>
      </c>
      <c r="AK276" s="11">
        <f>VLOOKUP($B276,'Woodmac profile - Gas'!$B$452:$AL$478,MATCH('Production - Gas'!AK$232,'Woodmac profile - Gas'!$B$364:$AL$364),FALSE)</f>
        <v>0</v>
      </c>
      <c r="AL276" s="65">
        <f>AP276*$CF$172</f>
        <v>0</v>
      </c>
      <c r="AM276" s="65">
        <f>AP276*$CG$172</f>
        <v>0</v>
      </c>
      <c r="AN276" s="65">
        <f>AP276*$CH$172</f>
        <v>0</v>
      </c>
      <c r="AO276" s="65">
        <f>AP276*4-SUM(AL276:AN276)</f>
        <v>0</v>
      </c>
      <c r="AP276" s="11">
        <f>VLOOKUP($B276,'Woodmac profile - Gas'!$B$452:$AL$478,MATCH('Production - Gas'!AP$232,'Woodmac profile - Gas'!$B$364:$AL$364),FALSE)</f>
        <v>0</v>
      </c>
      <c r="AQ276" s="65">
        <f>AU276*$CF$172</f>
        <v>0</v>
      </c>
      <c r="AR276" s="65">
        <f>AU276*$CG$172</f>
        <v>0</v>
      </c>
      <c r="AS276" s="65">
        <f>AU276*$CH$172</f>
        <v>0</v>
      </c>
      <c r="AT276" s="65">
        <f>AU276*4-SUM(AQ276:AS276)</f>
        <v>0</v>
      </c>
      <c r="AU276" s="11">
        <f>VLOOKUP($B276,'Woodmac profile - Gas'!$B$452:$AL$478,MATCH('Production - Gas'!AU$232,'Woodmac profile - Gas'!$B$364:$AL$364),FALSE)</f>
        <v>0</v>
      </c>
      <c r="AV276" s="65">
        <f>AZ276*$CF$172</f>
        <v>0</v>
      </c>
      <c r="AW276" s="65">
        <f>AZ276*$CG$172</f>
        <v>0</v>
      </c>
      <c r="AX276" s="65">
        <f>AZ276*$CH$172</f>
        <v>0</v>
      </c>
      <c r="AY276" s="65">
        <f>AZ276*4-SUM(AV276:AX276)</f>
        <v>0</v>
      </c>
      <c r="AZ276" s="11">
        <f>VLOOKUP($B276,'Woodmac profile - Gas'!$B$452:$AL$478,MATCH('Production - Gas'!AZ$232,'Woodmac profile - Gas'!$B$364:$AL$364),FALSE)</f>
        <v>0</v>
      </c>
      <c r="BA276" s="65">
        <f>BE276*$CF$172</f>
        <v>0</v>
      </c>
      <c r="BB276" s="65">
        <f>BE276*$CG$172</f>
        <v>0</v>
      </c>
      <c r="BC276" s="65">
        <f>BE276*$CH$172</f>
        <v>0</v>
      </c>
      <c r="BD276" s="65">
        <f>BE276*4-SUM(BA276:BC276)</f>
        <v>0</v>
      </c>
      <c r="BE276" s="11">
        <f>VLOOKUP($B276,'Woodmac profile - Gas'!$B$452:$AL$478,MATCH('Production - Gas'!BE$232,'Woodmac profile - Gas'!$B$364:$AL$364),FALSE)</f>
        <v>0</v>
      </c>
      <c r="BF276" s="65">
        <f>BJ276*$CF$172</f>
        <v>0</v>
      </c>
      <c r="BG276" s="65">
        <f>BJ276*$CG$172</f>
        <v>0</v>
      </c>
      <c r="BH276" s="65">
        <f>BJ276*$CH$172</f>
        <v>0</v>
      </c>
      <c r="BI276" s="65">
        <f>BJ276*4-SUM(BF276:BH276)</f>
        <v>0</v>
      </c>
      <c r="BJ276" s="11">
        <f>VLOOKUP($B276,'Woodmac profile - Gas'!$B$452:$AL$478,MATCH('Production - Gas'!BJ$232,'Woodmac profile - Gas'!$B$364:$AL$364),FALSE)</f>
        <v>0</v>
      </c>
      <c r="BK276" s="65">
        <f>BO276*$CF$172</f>
        <v>0</v>
      </c>
      <c r="BL276" s="65">
        <f>BO276*$CG$172</f>
        <v>0</v>
      </c>
      <c r="BM276" s="65">
        <f>BO276*$CH$172</f>
        <v>0</v>
      </c>
      <c r="BN276" s="65">
        <f>BO276*4-SUM(BK276:BM276)</f>
        <v>0</v>
      </c>
      <c r="BO276" s="11">
        <f>VLOOKUP($B276,'Woodmac profile - Gas'!$B$452:$AL$478,MATCH('Production - Gas'!BO$232,'Woodmac profile - Gas'!$B$364:$AL$364),FALSE)</f>
        <v>0</v>
      </c>
      <c r="BP276" s="65">
        <f>BT276*$CF$172</f>
        <v>0</v>
      </c>
      <c r="BQ276" s="65">
        <f>BT276*$CG$172</f>
        <v>0</v>
      </c>
      <c r="BR276" s="65">
        <f>BT276*$CH$172</f>
        <v>0</v>
      </c>
      <c r="BS276" s="65">
        <f>BT276*4-SUM(BP276:BR276)</f>
        <v>0</v>
      </c>
      <c r="BT276" s="11">
        <f>VLOOKUP($B276,'Woodmac profile - Gas'!$B$452:$AL$478,MATCH('Production - Gas'!BT$232,'Woodmac profile - Gas'!$B$364:$AL$364),FALSE)</f>
        <v>0</v>
      </c>
      <c r="BU276" s="65">
        <f>BY276*$CF$172</f>
        <v>0</v>
      </c>
      <c r="BV276" s="65">
        <f>BY276*$CG$172</f>
        <v>0</v>
      </c>
      <c r="BW276" s="65">
        <f>BY276*$CH$172</f>
        <v>0</v>
      </c>
      <c r="BX276" s="65">
        <f>BY276*4-SUM(BU276:BW276)</f>
        <v>0</v>
      </c>
      <c r="BY276" s="11">
        <f>VLOOKUP($B276,'Woodmac profile - Gas'!$B$452:$AL$478,MATCH('Production - Gas'!BY$232,'Woodmac profile - Gas'!$B$364:$AL$364),FALSE)</f>
        <v>0</v>
      </c>
      <c r="BZ276" s="65">
        <f>CD276*$CF$172</f>
        <v>0</v>
      </c>
      <c r="CA276" s="65">
        <f>CD276*$CG$172</f>
        <v>0</v>
      </c>
      <c r="CB276" s="65">
        <f>CD276*$CH$172</f>
        <v>0</v>
      </c>
      <c r="CC276" s="65">
        <f>CD276*4-SUM(BZ276:CB276)</f>
        <v>0</v>
      </c>
      <c r="CD276" s="11">
        <f>VLOOKUP($B276,'Woodmac profile - Gas'!$B$452:$AL$478,MATCH('Production - Gas'!CD$232,'Woodmac profile - Gas'!$B$364:$AL$364),FALSE)</f>
        <v>0</v>
      </c>
      <c r="CE276" s="5"/>
      <c r="CF276" s="5"/>
      <c r="CG276" s="5"/>
      <c r="CH276" s="5"/>
      <c r="CI276" s="5"/>
    </row>
    <row r="277" spans="1:87">
      <c r="A277" s="39" t="s">
        <v>1935</v>
      </c>
      <c r="B277" s="39"/>
      <c r="C277" s="39">
        <f t="shared" ref="C277:AH277" si="294">SUM(C275:C276)</f>
        <v>0</v>
      </c>
      <c r="D277" s="39">
        <f t="shared" si="294"/>
        <v>0</v>
      </c>
      <c r="E277" s="39">
        <f t="shared" si="294"/>
        <v>0</v>
      </c>
      <c r="F277" s="39">
        <f t="shared" si="294"/>
        <v>0</v>
      </c>
      <c r="G277" s="39">
        <f t="shared" si="294"/>
        <v>0</v>
      </c>
      <c r="H277" s="80">
        <f t="shared" si="294"/>
        <v>0</v>
      </c>
      <c r="I277" s="80">
        <f t="shared" si="294"/>
        <v>0</v>
      </c>
      <c r="J277" s="80">
        <f t="shared" si="294"/>
        <v>0</v>
      </c>
      <c r="K277" s="80">
        <f t="shared" si="294"/>
        <v>0</v>
      </c>
      <c r="L277" s="39">
        <f t="shared" si="294"/>
        <v>0</v>
      </c>
      <c r="M277" s="80">
        <f t="shared" si="294"/>
        <v>0</v>
      </c>
      <c r="N277" s="80">
        <f t="shared" si="294"/>
        <v>0</v>
      </c>
      <c r="O277" s="80">
        <f t="shared" si="294"/>
        <v>0</v>
      </c>
      <c r="P277" s="80">
        <f t="shared" si="294"/>
        <v>0</v>
      </c>
      <c r="Q277" s="39">
        <f t="shared" si="294"/>
        <v>0</v>
      </c>
      <c r="R277" s="80">
        <f t="shared" si="294"/>
        <v>0</v>
      </c>
      <c r="S277" s="80">
        <f t="shared" si="294"/>
        <v>0</v>
      </c>
      <c r="T277" s="80">
        <f t="shared" si="294"/>
        <v>0</v>
      </c>
      <c r="U277" s="80">
        <f t="shared" si="294"/>
        <v>0</v>
      </c>
      <c r="V277" s="39">
        <f t="shared" si="294"/>
        <v>0</v>
      </c>
      <c r="W277" s="80">
        <f t="shared" si="294"/>
        <v>0</v>
      </c>
      <c r="X277" s="80">
        <f t="shared" si="294"/>
        <v>0</v>
      </c>
      <c r="Y277" s="80">
        <f t="shared" si="294"/>
        <v>0</v>
      </c>
      <c r="Z277" s="80">
        <f t="shared" si="294"/>
        <v>0</v>
      </c>
      <c r="AA277" s="39">
        <f t="shared" si="294"/>
        <v>0</v>
      </c>
      <c r="AB277" s="80">
        <f t="shared" si="294"/>
        <v>0</v>
      </c>
      <c r="AC277" s="80">
        <f t="shared" si="294"/>
        <v>0</v>
      </c>
      <c r="AD277" s="80">
        <f t="shared" si="294"/>
        <v>0</v>
      </c>
      <c r="AE277" s="80">
        <f t="shared" si="294"/>
        <v>0</v>
      </c>
      <c r="AF277" s="39">
        <f t="shared" si="294"/>
        <v>0</v>
      </c>
      <c r="AG277" s="80">
        <f t="shared" si="294"/>
        <v>0</v>
      </c>
      <c r="AH277" s="80">
        <f t="shared" si="294"/>
        <v>0</v>
      </c>
      <c r="AI277" s="80">
        <f t="shared" ref="AI277:BN277" si="295">SUM(AI275:AI276)</f>
        <v>0</v>
      </c>
      <c r="AJ277" s="80">
        <f t="shared" si="295"/>
        <v>0</v>
      </c>
      <c r="AK277" s="39">
        <f t="shared" si="295"/>
        <v>0</v>
      </c>
      <c r="AL277" s="80">
        <f t="shared" si="295"/>
        <v>0</v>
      </c>
      <c r="AM277" s="80">
        <f t="shared" si="295"/>
        <v>0</v>
      </c>
      <c r="AN277" s="80">
        <f t="shared" si="295"/>
        <v>0</v>
      </c>
      <c r="AO277" s="80">
        <f t="shared" si="295"/>
        <v>0</v>
      </c>
      <c r="AP277" s="39">
        <f t="shared" si="295"/>
        <v>0</v>
      </c>
      <c r="AQ277" s="80">
        <f t="shared" si="295"/>
        <v>0</v>
      </c>
      <c r="AR277" s="80">
        <f t="shared" si="295"/>
        <v>0</v>
      </c>
      <c r="AS277" s="80">
        <f t="shared" si="295"/>
        <v>0</v>
      </c>
      <c r="AT277" s="80">
        <f t="shared" si="295"/>
        <v>0</v>
      </c>
      <c r="AU277" s="39">
        <f t="shared" si="295"/>
        <v>0</v>
      </c>
      <c r="AV277" s="80">
        <f t="shared" si="295"/>
        <v>0</v>
      </c>
      <c r="AW277" s="80">
        <f t="shared" si="295"/>
        <v>0</v>
      </c>
      <c r="AX277" s="80">
        <f t="shared" si="295"/>
        <v>0</v>
      </c>
      <c r="AY277" s="80">
        <f t="shared" si="295"/>
        <v>0</v>
      </c>
      <c r="AZ277" s="39">
        <f>SUM(AZ275:AZ276)</f>
        <v>0</v>
      </c>
      <c r="BA277" s="80">
        <f t="shared" si="295"/>
        <v>0</v>
      </c>
      <c r="BB277" s="80">
        <f t="shared" si="295"/>
        <v>0</v>
      </c>
      <c r="BC277" s="80">
        <f t="shared" si="295"/>
        <v>0</v>
      </c>
      <c r="BD277" s="80">
        <f t="shared" si="295"/>
        <v>0</v>
      </c>
      <c r="BE277" s="39">
        <f t="shared" si="295"/>
        <v>0</v>
      </c>
      <c r="BF277" s="65">
        <f t="shared" si="295"/>
        <v>0</v>
      </c>
      <c r="BG277" s="65">
        <f t="shared" si="295"/>
        <v>0</v>
      </c>
      <c r="BH277" s="65">
        <f t="shared" si="295"/>
        <v>0</v>
      </c>
      <c r="BI277" s="65">
        <f t="shared" si="295"/>
        <v>0</v>
      </c>
      <c r="BJ277" s="11">
        <f t="shared" si="295"/>
        <v>0</v>
      </c>
      <c r="BK277" s="65">
        <f t="shared" si="295"/>
        <v>0</v>
      </c>
      <c r="BL277" s="65">
        <f t="shared" si="295"/>
        <v>0</v>
      </c>
      <c r="BM277" s="65">
        <f t="shared" si="295"/>
        <v>0</v>
      </c>
      <c r="BN277" s="65">
        <f t="shared" si="295"/>
        <v>0</v>
      </c>
      <c r="BO277" s="11">
        <f t="shared" ref="BO277:CD277" si="296">SUM(BO275:BO276)</f>
        <v>0</v>
      </c>
      <c r="BP277" s="65">
        <f t="shared" si="296"/>
        <v>0</v>
      </c>
      <c r="BQ277" s="65">
        <f t="shared" si="296"/>
        <v>0</v>
      </c>
      <c r="BR277" s="65">
        <f t="shared" si="296"/>
        <v>0</v>
      </c>
      <c r="BS277" s="65">
        <f t="shared" si="296"/>
        <v>0</v>
      </c>
      <c r="BT277" s="11">
        <f t="shared" si="296"/>
        <v>0</v>
      </c>
      <c r="BU277" s="65">
        <f t="shared" si="296"/>
        <v>0</v>
      </c>
      <c r="BV277" s="65">
        <f t="shared" si="296"/>
        <v>0</v>
      </c>
      <c r="BW277" s="65">
        <f t="shared" si="296"/>
        <v>0</v>
      </c>
      <c r="BX277" s="65">
        <f t="shared" si="296"/>
        <v>0</v>
      </c>
      <c r="BY277" s="11">
        <f t="shared" si="296"/>
        <v>0</v>
      </c>
      <c r="BZ277" s="65">
        <f t="shared" si="296"/>
        <v>0</v>
      </c>
      <c r="CA277" s="65">
        <f t="shared" si="296"/>
        <v>0</v>
      </c>
      <c r="CB277" s="65">
        <f t="shared" si="296"/>
        <v>0</v>
      </c>
      <c r="CC277" s="65">
        <f t="shared" si="296"/>
        <v>0</v>
      </c>
      <c r="CD277" s="11">
        <f t="shared" si="296"/>
        <v>0</v>
      </c>
      <c r="CE277" s="5"/>
      <c r="CF277" s="5"/>
      <c r="CG277" s="5"/>
      <c r="CH277" s="5"/>
      <c r="CI277" s="5"/>
    </row>
    <row r="278" spans="1:87">
      <c r="A278" s="39"/>
      <c r="B278" s="39"/>
      <c r="C278" s="39"/>
      <c r="D278" s="39"/>
      <c r="E278" s="39"/>
      <c r="F278" s="39"/>
      <c r="G278" s="39"/>
      <c r="H278" s="80"/>
      <c r="I278" s="80"/>
      <c r="J278" s="80"/>
      <c r="K278" s="80"/>
      <c r="L278" s="39"/>
      <c r="M278" s="80"/>
      <c r="N278" s="80"/>
      <c r="O278" s="80"/>
      <c r="P278" s="80"/>
      <c r="Q278" s="39"/>
      <c r="R278" s="80"/>
      <c r="S278" s="80"/>
      <c r="T278" s="80"/>
      <c r="U278" s="80"/>
      <c r="V278" s="39"/>
      <c r="W278" s="80"/>
      <c r="X278" s="80"/>
      <c r="Y278" s="80"/>
      <c r="Z278" s="80"/>
      <c r="AA278" s="39"/>
      <c r="AB278" s="80"/>
      <c r="AC278" s="80"/>
      <c r="AD278" s="80"/>
      <c r="AE278" s="80"/>
      <c r="AF278" s="39"/>
      <c r="AG278" s="80"/>
      <c r="AH278" s="80"/>
      <c r="AI278" s="80"/>
      <c r="AJ278" s="80"/>
      <c r="AK278" s="39"/>
      <c r="AL278" s="80"/>
      <c r="AM278" s="80"/>
      <c r="AN278" s="80"/>
      <c r="AO278" s="80"/>
      <c r="AP278" s="39"/>
      <c r="AQ278" s="80"/>
      <c r="AR278" s="80"/>
      <c r="AS278" s="80"/>
      <c r="AT278" s="80"/>
      <c r="AU278" s="39"/>
      <c r="AV278" s="80"/>
      <c r="AW278" s="80"/>
      <c r="AX278" s="80"/>
      <c r="AY278" s="80"/>
      <c r="AZ278" s="39"/>
      <c r="BA278" s="80"/>
      <c r="BB278" s="80"/>
      <c r="BC278" s="80"/>
      <c r="BD278" s="80"/>
      <c r="BE278" s="39"/>
      <c r="BF278" s="80"/>
      <c r="BG278" s="80"/>
      <c r="BH278" s="80"/>
      <c r="BI278" s="80"/>
      <c r="BJ278" s="39"/>
      <c r="BK278" s="80"/>
      <c r="BL278" s="80"/>
      <c r="BM278" s="80"/>
      <c r="BN278" s="80"/>
      <c r="BO278" s="39"/>
      <c r="BP278" s="80"/>
      <c r="BQ278" s="80"/>
      <c r="BR278" s="80"/>
      <c r="BS278" s="80"/>
      <c r="BT278" s="39"/>
      <c r="BU278" s="80"/>
      <c r="BV278" s="80"/>
      <c r="BW278" s="80"/>
      <c r="BX278" s="80"/>
      <c r="BY278" s="39"/>
      <c r="BZ278" s="80"/>
      <c r="CA278" s="80"/>
      <c r="CB278" s="80"/>
      <c r="CC278" s="80"/>
      <c r="CD278" s="39"/>
      <c r="CE278" s="5"/>
      <c r="CF278" s="5"/>
      <c r="CG278" s="5"/>
      <c r="CH278" s="5"/>
      <c r="CI278" s="5"/>
    </row>
    <row r="279" spans="1:87">
      <c r="A279" s="46" t="s">
        <v>1488</v>
      </c>
      <c r="B279" s="46"/>
      <c r="C279" s="46">
        <f t="shared" ref="C279:AH279" si="297">C237+C242+C251+C257+C272+C277</f>
        <v>0</v>
      </c>
      <c r="D279" s="46">
        <f t="shared" si="297"/>
        <v>0</v>
      </c>
      <c r="E279" s="46">
        <f t="shared" si="297"/>
        <v>313.61</v>
      </c>
      <c r="F279" s="46">
        <f t="shared" si="297"/>
        <v>378.42799999999994</v>
      </c>
      <c r="G279" s="46">
        <f t="shared" si="297"/>
        <v>440.572</v>
      </c>
      <c r="H279" s="81">
        <f t="shared" si="297"/>
        <v>449.92850000000004</v>
      </c>
      <c r="I279" s="81">
        <f t="shared" si="297"/>
        <v>468.64150000000006</v>
      </c>
      <c r="J279" s="81">
        <f t="shared" si="297"/>
        <v>487.35449999999997</v>
      </c>
      <c r="K279" s="81">
        <f t="shared" si="297"/>
        <v>506.06749999999994</v>
      </c>
      <c r="L279" s="46">
        <f t="shared" si="297"/>
        <v>477.99799999999999</v>
      </c>
      <c r="M279" s="81">
        <f t="shared" si="297"/>
        <v>460.12369201440379</v>
      </c>
      <c r="N279" s="81">
        <f t="shared" si="297"/>
        <v>429.13090446939202</v>
      </c>
      <c r="O279" s="81">
        <f t="shared" si="297"/>
        <v>450.20600000000002</v>
      </c>
      <c r="P279" s="81">
        <f t="shared" si="297"/>
        <v>461.3634035162043</v>
      </c>
      <c r="Q279" s="46">
        <f t="shared" si="297"/>
        <v>450.20600000000002</v>
      </c>
      <c r="R279" s="81">
        <f t="shared" si="297"/>
        <v>480.47512274891324</v>
      </c>
      <c r="S279" s="81">
        <f t="shared" si="297"/>
        <v>481.57460815566128</v>
      </c>
      <c r="T279" s="81">
        <f t="shared" si="297"/>
        <v>480.87493562409441</v>
      </c>
      <c r="U279" s="81">
        <f t="shared" si="297"/>
        <v>488.571333471331</v>
      </c>
      <c r="V279" s="46">
        <f t="shared" si="297"/>
        <v>482.87399999999997</v>
      </c>
      <c r="W279" s="81">
        <f t="shared" si="297"/>
        <v>460.63636481556551</v>
      </c>
      <c r="X279" s="81">
        <f t="shared" si="297"/>
        <v>468.91516862586133</v>
      </c>
      <c r="Y279" s="81">
        <f t="shared" si="297"/>
        <v>439.70680462099716</v>
      </c>
      <c r="Z279" s="81">
        <f t="shared" si="297"/>
        <v>466.58966193757595</v>
      </c>
      <c r="AA279" s="46">
        <f t="shared" si="297"/>
        <v>458.96200000000005</v>
      </c>
      <c r="AB279" s="81">
        <f t="shared" si="297"/>
        <v>459.89488172888014</v>
      </c>
      <c r="AC279" s="81">
        <f t="shared" si="297"/>
        <v>454.40171787819247</v>
      </c>
      <c r="AD279" s="81">
        <f t="shared" si="297"/>
        <v>470.07074263261285</v>
      </c>
      <c r="AE279" s="81">
        <f t="shared" si="297"/>
        <v>449.0886577603145</v>
      </c>
      <c r="AF279" s="46">
        <f t="shared" si="297"/>
        <v>458.36399999999998</v>
      </c>
      <c r="AG279" s="81">
        <f t="shared" si="297"/>
        <v>393.56944773562248</v>
      </c>
      <c r="AH279" s="81">
        <f t="shared" si="297"/>
        <v>383.18010913192495</v>
      </c>
      <c r="AI279" s="81">
        <f t="shared" ref="AI279:BN279" si="298">AI237+AI242+AI251+AI257+AI272+AI277</f>
        <v>385.8874469476138</v>
      </c>
      <c r="AJ279" s="81">
        <f t="shared" si="298"/>
        <v>390.53899618483911</v>
      </c>
      <c r="AK279" s="46">
        <f t="shared" si="298"/>
        <v>388.2940000000001</v>
      </c>
      <c r="AL279" s="81">
        <f t="shared" si="298"/>
        <v>383.48629201837207</v>
      </c>
      <c r="AM279" s="81">
        <f t="shared" si="298"/>
        <v>373.36312580062332</v>
      </c>
      <c r="AN279" s="81">
        <f t="shared" si="298"/>
        <v>376.00110226488647</v>
      </c>
      <c r="AO279" s="81">
        <f t="shared" si="298"/>
        <v>380.53347991611793</v>
      </c>
      <c r="AP279" s="46">
        <f t="shared" si="298"/>
        <v>378.34599999999995</v>
      </c>
      <c r="AQ279" s="81">
        <f t="shared" si="298"/>
        <v>886.08632908420282</v>
      </c>
      <c r="AR279" s="81">
        <f t="shared" si="298"/>
        <v>834.06839001118078</v>
      </c>
      <c r="AS279" s="81">
        <f t="shared" si="298"/>
        <v>826.13470318707846</v>
      </c>
      <c r="AT279" s="81">
        <f t="shared" si="298"/>
        <v>886.18417771753752</v>
      </c>
      <c r="AU279" s="46">
        <f t="shared" si="298"/>
        <v>858.11839999999995</v>
      </c>
      <c r="AV279" s="81">
        <f t="shared" si="298"/>
        <v>1370.5462739092657</v>
      </c>
      <c r="AW279" s="81">
        <f t="shared" si="298"/>
        <v>1279.3630682150911</v>
      </c>
      <c r="AX279" s="81">
        <f t="shared" si="298"/>
        <v>1261.8358814298815</v>
      </c>
      <c r="AY279" s="81">
        <f t="shared" si="298"/>
        <v>1373.2903664457622</v>
      </c>
      <c r="AZ279" s="46">
        <f>AZ237+AZ242+AZ251+AZ257+AZ272+AZ277</f>
        <v>1321.2588975000001</v>
      </c>
      <c r="BA279" s="81">
        <f t="shared" si="298"/>
        <v>1466.2780970346321</v>
      </c>
      <c r="BB279" s="81">
        <f t="shared" si="298"/>
        <v>1367.9829703577479</v>
      </c>
      <c r="BC279" s="81">
        <f t="shared" si="298"/>
        <v>1348.8674909268898</v>
      </c>
      <c r="BD279" s="81">
        <f t="shared" si="298"/>
        <v>1469.3934416807297</v>
      </c>
      <c r="BE279" s="46">
        <f t="shared" si="298"/>
        <v>1413.1304999999998</v>
      </c>
      <c r="BF279" s="81">
        <f t="shared" si="298"/>
        <v>1501.1856060428549</v>
      </c>
      <c r="BG279" s="81">
        <f t="shared" si="298"/>
        <v>1400.8874671792742</v>
      </c>
      <c r="BH279" s="81">
        <f t="shared" si="298"/>
        <v>1381.4821004741814</v>
      </c>
      <c r="BI279" s="81">
        <f t="shared" si="298"/>
        <v>1504.2936263036904</v>
      </c>
      <c r="BJ279" s="46">
        <f t="shared" si="298"/>
        <v>1446.9622000000002</v>
      </c>
      <c r="BK279" s="81">
        <f t="shared" si="298"/>
        <v>1501.6203668310168</v>
      </c>
      <c r="BL279" s="81">
        <f t="shared" si="298"/>
        <v>1394.9232433151074</v>
      </c>
      <c r="BM279" s="81">
        <f t="shared" si="298"/>
        <v>1357.7871076050183</v>
      </c>
      <c r="BN279" s="81">
        <f t="shared" si="298"/>
        <v>1490.8262822488573</v>
      </c>
      <c r="BO279" s="46">
        <f t="shared" ref="BO279:CD279" si="299">BO237+BO242+BO251+BO257+BO272+BO277</f>
        <v>1436.28925</v>
      </c>
      <c r="BP279" s="81">
        <f t="shared" si="299"/>
        <v>1631.5586446436673</v>
      </c>
      <c r="BQ279" s="81">
        <f t="shared" si="299"/>
        <v>1512.3602721620809</v>
      </c>
      <c r="BR279" s="81">
        <f t="shared" si="299"/>
        <v>1472.7133171385694</v>
      </c>
      <c r="BS279" s="81">
        <f t="shared" si="299"/>
        <v>1623.0575660556833</v>
      </c>
      <c r="BT279" s="46">
        <f t="shared" si="299"/>
        <v>1559.9224500000003</v>
      </c>
      <c r="BU279" s="81">
        <f t="shared" si="299"/>
        <v>1789.7546160462821</v>
      </c>
      <c r="BV279" s="81">
        <f t="shared" si="299"/>
        <v>1659.2069819147218</v>
      </c>
      <c r="BW279" s="81">
        <f t="shared" si="299"/>
        <v>1619.5051565334143</v>
      </c>
      <c r="BX279" s="81">
        <f t="shared" si="299"/>
        <v>1784.2781455055824</v>
      </c>
      <c r="BY279" s="46">
        <f t="shared" si="299"/>
        <v>1713.1862250000001</v>
      </c>
      <c r="BZ279" s="81">
        <f t="shared" si="299"/>
        <v>1919.8393979956479</v>
      </c>
      <c r="CA279" s="81">
        <f t="shared" si="299"/>
        <v>1779.6458867883885</v>
      </c>
      <c r="CB279" s="81">
        <f t="shared" si="299"/>
        <v>1737.7534822434338</v>
      </c>
      <c r="CC279" s="81">
        <f t="shared" si="299"/>
        <v>1914.81943297253</v>
      </c>
      <c r="CD279" s="46">
        <f t="shared" si="299"/>
        <v>1838.0145500000001</v>
      </c>
      <c r="CE279" s="5"/>
      <c r="CF279" s="5"/>
      <c r="CG279" s="5"/>
      <c r="CH279" s="5"/>
      <c r="CI279" s="5"/>
    </row>
    <row r="280" spans="1:87">
      <c r="A280" s="5"/>
      <c r="B280" s="5"/>
      <c r="C280" s="5"/>
      <c r="D280" s="5"/>
      <c r="E280" s="49"/>
      <c r="F280" s="49"/>
      <c r="G280" s="49"/>
      <c r="H280" s="49"/>
      <c r="I280" s="49"/>
      <c r="J280" s="49"/>
      <c r="K280" s="49"/>
      <c r="L280" s="49"/>
      <c r="M280" s="49"/>
      <c r="N280" s="49"/>
      <c r="O280" s="49"/>
      <c r="P280" s="49"/>
      <c r="Q280" s="49"/>
      <c r="R280" s="49"/>
      <c r="S280" s="49"/>
      <c r="T280" s="49"/>
      <c r="U280" s="49"/>
      <c r="V280" s="49"/>
      <c r="W280" s="49"/>
      <c r="X280" s="49"/>
      <c r="Y280" s="49"/>
      <c r="Z280" s="49"/>
      <c r="AA280" s="49"/>
      <c r="AB280" s="49"/>
      <c r="AC280" s="49"/>
      <c r="AD280" s="49"/>
      <c r="AE280" s="49"/>
      <c r="AF280" s="49"/>
      <c r="AG280" s="49"/>
      <c r="AH280" s="49"/>
      <c r="AI280" s="49"/>
      <c r="AJ280" s="49"/>
      <c r="AK280" s="49"/>
      <c r="AL280" s="49"/>
      <c r="AM280" s="49"/>
      <c r="AN280" s="49"/>
      <c r="AO280" s="49"/>
      <c r="AP280" s="49"/>
      <c r="AQ280" s="49"/>
      <c r="AR280" s="49"/>
      <c r="AS280" s="49"/>
      <c r="AT280" s="49"/>
      <c r="AU280" s="49"/>
      <c r="AV280" s="49"/>
      <c r="AW280" s="49"/>
      <c r="AX280" s="49"/>
      <c r="AY280" s="49"/>
      <c r="AZ280" s="49"/>
      <c r="BA280" s="49"/>
      <c r="BB280" s="49"/>
      <c r="BC280" s="49"/>
      <c r="BD280" s="49"/>
      <c r="BE280" s="49"/>
      <c r="BF280" s="49"/>
      <c r="BG280" s="49"/>
      <c r="BH280" s="49"/>
      <c r="BI280" s="49"/>
      <c r="BJ280" s="49"/>
      <c r="BK280" s="49"/>
      <c r="BL280" s="49"/>
      <c r="BM280" s="49"/>
      <c r="BN280" s="49"/>
      <c r="BO280" s="49"/>
      <c r="BP280" s="49"/>
      <c r="BQ280" s="49"/>
      <c r="BR280" s="49"/>
      <c r="BS280" s="49"/>
      <c r="BT280" s="49"/>
      <c r="BU280" s="49"/>
      <c r="BV280" s="49"/>
      <c r="BW280" s="49"/>
      <c r="BX280" s="49"/>
      <c r="BY280" s="49"/>
      <c r="BZ280" s="49"/>
      <c r="CA280" s="49"/>
      <c r="CB280" s="49"/>
      <c r="CC280" s="49"/>
      <c r="CD280" s="49"/>
      <c r="CE280" s="5"/>
      <c r="CF280" s="5"/>
      <c r="CG280" s="5"/>
      <c r="CH280" s="5"/>
      <c r="CI280" s="5"/>
    </row>
    <row r="281" spans="1:87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</row>
    <row r="282" spans="1:87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</row>
    <row r="283" spans="1:87" ht="15.75">
      <c r="A283" s="42" t="s">
        <v>2472</v>
      </c>
      <c r="B283" s="7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  <c r="AS283" s="8"/>
      <c r="AT283" s="8"/>
      <c r="AU283" s="8"/>
      <c r="AV283" s="8"/>
      <c r="AW283" s="8"/>
      <c r="AX283" s="8"/>
      <c r="AY283" s="8"/>
      <c r="AZ283" s="8"/>
      <c r="BA283" s="8"/>
      <c r="BB283" s="8"/>
      <c r="BC283" s="8"/>
      <c r="BD283" s="8"/>
      <c r="BE283" s="8"/>
      <c r="BF283" s="8"/>
      <c r="BG283" s="8"/>
      <c r="BH283" s="8"/>
      <c r="BI283" s="8"/>
      <c r="BJ283" s="8"/>
      <c r="BK283" s="8"/>
      <c r="BL283" s="8"/>
      <c r="BM283" s="8"/>
      <c r="BN283" s="8"/>
      <c r="BO283" s="8"/>
      <c r="BP283" s="8"/>
      <c r="BQ283" s="8"/>
      <c r="BR283" s="8"/>
      <c r="BS283" s="8"/>
      <c r="BT283" s="8"/>
      <c r="BU283" s="8"/>
      <c r="BV283" s="8"/>
      <c r="BW283" s="8"/>
      <c r="BX283" s="8"/>
      <c r="BY283" s="8"/>
      <c r="BZ283" s="8"/>
      <c r="CA283" s="8"/>
      <c r="CB283" s="8"/>
      <c r="CC283" s="8"/>
      <c r="CD283" s="8"/>
      <c r="CE283" s="5"/>
      <c r="CF283" s="5"/>
      <c r="CG283" s="5"/>
      <c r="CH283" s="5"/>
      <c r="CI283" s="5"/>
    </row>
    <row r="284" spans="1:87">
      <c r="A284" s="5"/>
      <c r="B284" s="4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</row>
    <row r="285" spans="1:87">
      <c r="A285" s="24" t="s">
        <v>1960</v>
      </c>
      <c r="B285" s="4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</row>
    <row r="286" spans="1:87">
      <c r="A286" s="10"/>
      <c r="B286" s="10"/>
      <c r="C286" s="31">
        <v>2001</v>
      </c>
      <c r="D286" s="32">
        <v>2002</v>
      </c>
      <c r="E286" s="32">
        <v>2003</v>
      </c>
      <c r="F286" s="32">
        <v>2004</v>
      </c>
      <c r="G286" s="31">
        <v>2005</v>
      </c>
      <c r="H286" s="33" t="s">
        <v>714</v>
      </c>
      <c r="I286" s="33" t="s">
        <v>715</v>
      </c>
      <c r="J286" s="33" t="s">
        <v>716</v>
      </c>
      <c r="K286" s="33" t="s">
        <v>717</v>
      </c>
      <c r="L286" s="31">
        <v>2006</v>
      </c>
      <c r="M286" s="33" t="s">
        <v>718</v>
      </c>
      <c r="N286" s="33" t="s">
        <v>719</v>
      </c>
      <c r="O286" s="33" t="s">
        <v>1970</v>
      </c>
      <c r="P286" s="33" t="s">
        <v>1971</v>
      </c>
      <c r="Q286" s="31">
        <v>2007</v>
      </c>
      <c r="R286" s="33" t="s">
        <v>1972</v>
      </c>
      <c r="S286" s="33" t="s">
        <v>1973</v>
      </c>
      <c r="T286" s="33" t="s">
        <v>1974</v>
      </c>
      <c r="U286" s="33" t="s">
        <v>1975</v>
      </c>
      <c r="V286" s="31">
        <v>2008</v>
      </c>
      <c r="W286" s="33" t="s">
        <v>1976</v>
      </c>
      <c r="X286" s="33" t="s">
        <v>1977</v>
      </c>
      <c r="Y286" s="33" t="s">
        <v>1978</v>
      </c>
      <c r="Z286" s="33" t="s">
        <v>1979</v>
      </c>
      <c r="AA286" s="31">
        <v>2009</v>
      </c>
      <c r="AB286" s="33" t="s">
        <v>1980</v>
      </c>
      <c r="AC286" s="33" t="s">
        <v>1981</v>
      </c>
      <c r="AD286" s="33" t="s">
        <v>1982</v>
      </c>
      <c r="AE286" s="33" t="s">
        <v>2392</v>
      </c>
      <c r="AF286" s="31">
        <v>2010</v>
      </c>
      <c r="AG286" s="33" t="s">
        <v>2393</v>
      </c>
      <c r="AH286" s="33" t="s">
        <v>2394</v>
      </c>
      <c r="AI286" s="33" t="s">
        <v>2395</v>
      </c>
      <c r="AJ286" s="33" t="s">
        <v>2396</v>
      </c>
      <c r="AK286" s="31">
        <v>2011</v>
      </c>
      <c r="AL286" s="33" t="s">
        <v>2397</v>
      </c>
      <c r="AM286" s="33" t="s">
        <v>2398</v>
      </c>
      <c r="AN286" s="33" t="s">
        <v>2399</v>
      </c>
      <c r="AO286" s="368" t="s">
        <v>2400</v>
      </c>
      <c r="AP286" s="369">
        <v>2012</v>
      </c>
      <c r="AQ286" s="368" t="s">
        <v>2401</v>
      </c>
      <c r="AR286" s="368" t="s">
        <v>2402</v>
      </c>
      <c r="AS286" s="368" t="s">
        <v>2403</v>
      </c>
      <c r="AT286" s="368" t="s">
        <v>2404</v>
      </c>
      <c r="AU286" s="369">
        <v>2013</v>
      </c>
      <c r="AV286" s="368" t="s">
        <v>2405</v>
      </c>
      <c r="AW286" s="368" t="s">
        <v>2406</v>
      </c>
      <c r="AX286" s="368" t="s">
        <v>2407</v>
      </c>
      <c r="AY286" s="368" t="s">
        <v>2408</v>
      </c>
      <c r="AZ286" s="369">
        <v>2014</v>
      </c>
      <c r="BA286" s="368" t="s">
        <v>2409</v>
      </c>
      <c r="BB286" s="368" t="s">
        <v>2410</v>
      </c>
      <c r="BC286" s="368" t="s">
        <v>2411</v>
      </c>
      <c r="BD286" s="368" t="s">
        <v>2412</v>
      </c>
      <c r="BE286" s="31">
        <v>2015</v>
      </c>
      <c r="BF286" s="368" t="s">
        <v>2413</v>
      </c>
      <c r="BG286" s="368" t="s">
        <v>2414</v>
      </c>
      <c r="BH286" s="368" t="s">
        <v>2415</v>
      </c>
      <c r="BI286" s="368" t="s">
        <v>2416</v>
      </c>
      <c r="BJ286" s="31">
        <v>2016</v>
      </c>
      <c r="BK286" s="368" t="s">
        <v>2417</v>
      </c>
      <c r="BL286" s="368" t="s">
        <v>2418</v>
      </c>
      <c r="BM286" s="368" t="s">
        <v>2419</v>
      </c>
      <c r="BN286" s="363" t="s">
        <v>2420</v>
      </c>
      <c r="BO286" s="31">
        <v>2017</v>
      </c>
      <c r="BP286" s="363" t="s">
        <v>2244</v>
      </c>
      <c r="BQ286" s="363" t="s">
        <v>2245</v>
      </c>
      <c r="BR286" s="363" t="s">
        <v>2508</v>
      </c>
      <c r="BS286" s="363" t="s">
        <v>2509</v>
      </c>
      <c r="BT286" s="364">
        <v>2018</v>
      </c>
      <c r="BU286" s="363" t="s">
        <v>2510</v>
      </c>
      <c r="BV286" s="363" t="s">
        <v>2511</v>
      </c>
      <c r="BW286" s="363" t="s">
        <v>3125</v>
      </c>
      <c r="BX286" s="363" t="s">
        <v>1405</v>
      </c>
      <c r="BY286" s="364">
        <v>2019</v>
      </c>
      <c r="BZ286" s="363" t="s">
        <v>1406</v>
      </c>
      <c r="CA286" s="363" t="s">
        <v>1407</v>
      </c>
      <c r="CB286" s="363" t="s">
        <v>1408</v>
      </c>
      <c r="CC286" s="363" t="s">
        <v>1409</v>
      </c>
      <c r="CD286" s="364">
        <v>2020</v>
      </c>
      <c r="CE286" s="5"/>
      <c r="CF286" s="5"/>
      <c r="CG286" s="5"/>
      <c r="CH286" s="5"/>
      <c r="CI286" s="5"/>
    </row>
    <row r="287" spans="1:87">
      <c r="A287" s="39" t="s">
        <v>305</v>
      </c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  <c r="AP287" s="11"/>
      <c r="AQ287" s="11"/>
      <c r="AR287" s="11"/>
      <c r="AS287" s="11"/>
      <c r="AT287" s="11"/>
      <c r="AU287" s="11"/>
      <c r="AV287" s="11"/>
      <c r="AW287" s="11"/>
      <c r="AX287" s="11"/>
      <c r="AY287" s="11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  <c r="BL287" s="11"/>
      <c r="BM287" s="11"/>
      <c r="BN287" s="11"/>
      <c r="BO287" s="11"/>
      <c r="BP287" s="11"/>
      <c r="BQ287" s="11"/>
      <c r="BR287" s="11"/>
      <c r="BS287" s="11"/>
      <c r="BT287" s="11"/>
      <c r="BU287" s="11"/>
      <c r="BV287" s="11"/>
      <c r="BW287" s="11"/>
      <c r="BX287" s="11"/>
      <c r="BY287" s="11"/>
      <c r="BZ287" s="11"/>
      <c r="CA287" s="11"/>
      <c r="CB287" s="11"/>
      <c r="CC287" s="11"/>
      <c r="CD287" s="11"/>
      <c r="CE287" s="5"/>
      <c r="CF287" s="5"/>
      <c r="CG287" s="5"/>
      <c r="CH287" s="5"/>
      <c r="CI287" s="5"/>
    </row>
    <row r="288" spans="1:87">
      <c r="A288" s="11"/>
      <c r="B288" s="11" t="s">
        <v>1281</v>
      </c>
      <c r="C288" s="11"/>
      <c r="D288" s="11"/>
      <c r="E288" s="11">
        <f t="shared" ref="E288:G290" si="300">SUM(E180,E234)</f>
        <v>1322.25</v>
      </c>
      <c r="F288" s="11">
        <f t="shared" si="300"/>
        <v>1172.6399999999999</v>
      </c>
      <c r="G288" s="11">
        <f t="shared" si="300"/>
        <v>1101.9599999999998</v>
      </c>
      <c r="H288" s="86">
        <f>G288+(L288-G288)/4</f>
        <v>1074.1199999999999</v>
      </c>
      <c r="I288" s="86">
        <f>H288+(L288-G288)/2</f>
        <v>1018.4399999999999</v>
      </c>
      <c r="J288" s="86">
        <f>I288+(L288-G288)/2</f>
        <v>962.76</v>
      </c>
      <c r="K288" s="86">
        <f>J288+(L288-G288)/2</f>
        <v>907.08</v>
      </c>
      <c r="L288" s="11">
        <f>SUM(L180,L234)</f>
        <v>990.59999999999991</v>
      </c>
      <c r="M288" s="65">
        <f>$Q288*M$169</f>
        <v>1005.1535759096611</v>
      </c>
      <c r="N288" s="65">
        <f t="shared" ref="N288:O290" si="301">$Q288*N$169</f>
        <v>798.39730238393963</v>
      </c>
      <c r="O288" s="65">
        <f t="shared" si="301"/>
        <v>644.65545796737763</v>
      </c>
      <c r="P288" s="65">
        <f>Q288*4-SUM(M288:O288)</f>
        <v>931.99366373902103</v>
      </c>
      <c r="Q288" s="11">
        <f>SUM(Q180,Q234)</f>
        <v>845.04999999999984</v>
      </c>
      <c r="R288" s="65">
        <f>V288*R$169</f>
        <v>1050.8054731457801</v>
      </c>
      <c r="S288" s="65">
        <f>V288*S$169</f>
        <v>784.93902813299246</v>
      </c>
      <c r="T288" s="65">
        <f>V288*T$169</f>
        <v>555.99847826086966</v>
      </c>
      <c r="U288" s="65">
        <f>V288*4-SUM(R288:T288)</f>
        <v>908.37702046035838</v>
      </c>
      <c r="V288" s="11">
        <f>SUM(V180,V234)</f>
        <v>825.03000000000009</v>
      </c>
      <c r="W288" s="65">
        <f>AA288*W$169</f>
        <v>836.98223974763414</v>
      </c>
      <c r="X288" s="65">
        <f>AA288*X$169</f>
        <v>644.21664037854885</v>
      </c>
      <c r="Y288" s="65">
        <f>AA288*Y$169</f>
        <v>472.42553627760253</v>
      </c>
      <c r="Z288" s="65">
        <f>AA288*4-SUM(W288:Y288)</f>
        <v>579.29558359621456</v>
      </c>
      <c r="AA288" s="11">
        <f>SUM(AA180,AA234)</f>
        <v>633.23</v>
      </c>
      <c r="AB288" s="65">
        <f>AF288*AB$169</f>
        <v>645.14882956878853</v>
      </c>
      <c r="AC288" s="65">
        <f>AF288*AC$169</f>
        <v>593.45075975359339</v>
      </c>
      <c r="AD288" s="65">
        <f>AF288*AD$169</f>
        <v>443.74176591375766</v>
      </c>
      <c r="AE288" s="65">
        <f>AF288*4-SUM(AB288:AD288)</f>
        <v>415.73864476386029</v>
      </c>
      <c r="AF288" s="11">
        <f>SUM(AF180,AF234)</f>
        <v>524.52</v>
      </c>
      <c r="AG288" s="65">
        <f>AK288*$CF$169</f>
        <v>359.87649629099769</v>
      </c>
      <c r="AH288" s="65">
        <f>AK288*$CG$169</f>
        <v>310.22977525012504</v>
      </c>
      <c r="AI288" s="65">
        <f>AK288*$CH$169</f>
        <v>220.59867379793144</v>
      </c>
      <c r="AJ288" s="65">
        <f>AK288*4-SUM(AG288:AI288)</f>
        <v>290.21505466094595</v>
      </c>
      <c r="AK288" s="11">
        <f>SUM(AK180,AK234)</f>
        <v>295.23</v>
      </c>
      <c r="AL288" s="65">
        <f>AP288*$CF$169</f>
        <v>142.02218806647073</v>
      </c>
      <c r="AM288" s="65">
        <f>AP288*$CG$169</f>
        <v>122.42953329401509</v>
      </c>
      <c r="AN288" s="65">
        <f>AP288*$CH$169</f>
        <v>87.057384019906507</v>
      </c>
      <c r="AO288" s="65">
        <f>AP288*4-SUM(AL288:AN288)</f>
        <v>114.53089461960781</v>
      </c>
      <c r="AP288" s="11">
        <f>SUM(AP180,AP234)</f>
        <v>116.51000000000003</v>
      </c>
      <c r="AQ288" s="65">
        <f>AU288*$CF$169</f>
        <v>124.00581230797408</v>
      </c>
      <c r="AR288" s="65">
        <f>AU288*$CG$169</f>
        <v>106.89860460046475</v>
      </c>
      <c r="AS288" s="65">
        <f>AU288*$CH$169</f>
        <v>76.013626953438205</v>
      </c>
      <c r="AT288" s="65">
        <f>AU288*4-SUM(AQ288:AS288)</f>
        <v>100.00195613812286</v>
      </c>
      <c r="AU288" s="11">
        <f>SUM(AU180,AU234)</f>
        <v>101.72999999999998</v>
      </c>
      <c r="AV288" s="65">
        <f>AZ288*$CF$169</f>
        <v>106.69643911645507</v>
      </c>
      <c r="AW288" s="65">
        <f>AZ288*$CG$169</f>
        <v>91.977144015321755</v>
      </c>
      <c r="AX288" s="65">
        <f>AZ288*$CH$169</f>
        <v>65.40325142273123</v>
      </c>
      <c r="AY288" s="65">
        <f>AZ288*4-SUM(AV288:AX288)</f>
        <v>86.043165445491979</v>
      </c>
      <c r="AZ288" s="11">
        <f>SUM(AZ180,AZ234)</f>
        <v>87.53</v>
      </c>
      <c r="BA288" s="65">
        <f>BE288*1</f>
        <v>170.98</v>
      </c>
      <c r="BB288" s="65">
        <f>BE288*1</f>
        <v>170.98</v>
      </c>
      <c r="BC288" s="65">
        <f>BE288*1</f>
        <v>170.98</v>
      </c>
      <c r="BD288" s="65">
        <f>BE288*4-SUM(BA288:BC288)</f>
        <v>170.98000000000002</v>
      </c>
      <c r="BE288" s="11">
        <f>SUM(BE180,BE234)</f>
        <v>170.98</v>
      </c>
      <c r="BF288" s="65">
        <f>BJ288*$CF$169</f>
        <v>216.96446016608974</v>
      </c>
      <c r="BG288" s="65">
        <f>BJ288*$CG$169</f>
        <v>187.03315278518355</v>
      </c>
      <c r="BH288" s="65">
        <f>BJ288*$CH$169</f>
        <v>132.99582681060127</v>
      </c>
      <c r="BI288" s="65">
        <f>BJ288*4-SUM(BF288:BH288)</f>
        <v>174.96656023812545</v>
      </c>
      <c r="BJ288" s="11">
        <f>SUM(BJ180,BJ234)</f>
        <v>177.98999999999998</v>
      </c>
      <c r="BK288" s="65">
        <f>BO288*$CF$169</f>
        <v>244.63507787365896</v>
      </c>
      <c r="BL288" s="65">
        <f>BO288*$CG$169</f>
        <v>210.88647357974324</v>
      </c>
      <c r="BM288" s="65">
        <f>BO288*$CH$169</f>
        <v>149.95748346884417</v>
      </c>
      <c r="BN288" s="65">
        <f>BO288*4-SUM(BK288:BM288)</f>
        <v>197.28096507775376</v>
      </c>
      <c r="BO288" s="11">
        <f>SUM(BO180,BO234)</f>
        <v>200.69000000000003</v>
      </c>
      <c r="BP288" s="65">
        <f>BT288*$CF$169</f>
        <v>213.85608681127468</v>
      </c>
      <c r="BQ288" s="65">
        <f>BT288*$CG$169</f>
        <v>184.35359472235857</v>
      </c>
      <c r="BR288" s="65">
        <f>BT288*$CH$169</f>
        <v>131.0904424723405</v>
      </c>
      <c r="BS288" s="65">
        <f>BT288*4-SUM(BP288:BR288)</f>
        <v>172.45987599402622</v>
      </c>
      <c r="BT288" s="11">
        <f>SUM(BT180,BT234)</f>
        <v>175.43999999999997</v>
      </c>
      <c r="BU288" s="65">
        <f>BY288*$CF$169</f>
        <v>263.22436950539594</v>
      </c>
      <c r="BV288" s="65">
        <f>BY288*$CG$169</f>
        <v>226.91128160252003</v>
      </c>
      <c r="BW288" s="65">
        <f>BY288*$CH$169</f>
        <v>161.35242902118793</v>
      </c>
      <c r="BX288" s="65">
        <f>BY288*4-SUM(BU288:BW288)</f>
        <v>212.27191987089611</v>
      </c>
      <c r="BY288" s="11">
        <f>SUM(BY180,BY234)</f>
        <v>215.94</v>
      </c>
      <c r="BZ288" s="65">
        <f>CD288*$CF$169</f>
        <v>376.07660683432789</v>
      </c>
      <c r="CA288" s="65">
        <f>CD288*$CG$169</f>
        <v>324.19500138931875</v>
      </c>
      <c r="CB288" s="65">
        <f>CD288*$CH$169</f>
        <v>230.52908864321992</v>
      </c>
      <c r="CC288" s="65">
        <f>CD288*4-SUM(BZ288:CB288)</f>
        <v>303.27930313313368</v>
      </c>
      <c r="CD288" s="11">
        <f>SUM(CD180,CD234)</f>
        <v>308.52000000000004</v>
      </c>
      <c r="CE288" s="5"/>
      <c r="CF288" s="5"/>
      <c r="CG288" s="5"/>
      <c r="CH288" s="5"/>
      <c r="CI288" s="5"/>
    </row>
    <row r="289" spans="1:87">
      <c r="A289" s="11"/>
      <c r="B289" s="11" t="s">
        <v>1745</v>
      </c>
      <c r="C289" s="11"/>
      <c r="D289" s="11"/>
      <c r="E289" s="11">
        <f t="shared" si="300"/>
        <v>40.180000000000007</v>
      </c>
      <c r="F289" s="11">
        <f t="shared" si="300"/>
        <v>40.69</v>
      </c>
      <c r="G289" s="11">
        <f t="shared" si="300"/>
        <v>42.730000000000004</v>
      </c>
      <c r="H289" s="86">
        <f>G289+(L289-G289)/4</f>
        <v>40.467500000000001</v>
      </c>
      <c r="I289" s="86">
        <f>H289+(L289-G289)/2</f>
        <v>35.942499999999995</v>
      </c>
      <c r="J289" s="86">
        <f>I289+(L289-G289)/2</f>
        <v>31.417499999999993</v>
      </c>
      <c r="K289" s="86">
        <f>J289+(L289-G289)/2</f>
        <v>26.892499999999991</v>
      </c>
      <c r="L289" s="11">
        <f>SUM(L181,L235)</f>
        <v>33.68</v>
      </c>
      <c r="M289" s="65">
        <f>$Q289*M$169</f>
        <v>31.496913425345042</v>
      </c>
      <c r="N289" s="65">
        <f t="shared" si="301"/>
        <v>25.01811794228356</v>
      </c>
      <c r="O289" s="65">
        <f t="shared" si="301"/>
        <v>20.200552070263488</v>
      </c>
      <c r="P289" s="65">
        <f>Q289*4-SUM(M289:O289)</f>
        <v>29.204416562107895</v>
      </c>
      <c r="Q289" s="11">
        <f>SUM(Q181,Q235)</f>
        <v>26.479999999999997</v>
      </c>
      <c r="R289" s="65">
        <f>V289*R$169</f>
        <v>26.734066496163685</v>
      </c>
      <c r="S289" s="65">
        <f>V289*S$169</f>
        <v>19.970025575447572</v>
      </c>
      <c r="T289" s="65">
        <f>V289*T$169</f>
        <v>14.145434782608698</v>
      </c>
      <c r="U289" s="65">
        <f>V289*4-SUM(R289:T289)</f>
        <v>23.110473145780055</v>
      </c>
      <c r="V289" s="11">
        <f>SUM(V181,V235)</f>
        <v>20.990000000000002</v>
      </c>
      <c r="W289" s="65">
        <f>AA289*W$169</f>
        <v>19.90580441640379</v>
      </c>
      <c r="X289" s="65">
        <f>AA289*X$169</f>
        <v>15.321293375394323</v>
      </c>
      <c r="Y289" s="65">
        <f>AA289*Y$169</f>
        <v>11.235615141955838</v>
      </c>
      <c r="Z289" s="65">
        <f>AA289*4-SUM(W289:Y289)</f>
        <v>13.777287066246053</v>
      </c>
      <c r="AA289" s="11">
        <f>SUM(AA181,AA235)</f>
        <v>15.060000000000002</v>
      </c>
      <c r="AB289" s="65">
        <f>AF289*AB$169</f>
        <v>19.126180698151952</v>
      </c>
      <c r="AC289" s="65">
        <f>AF289*AC$169</f>
        <v>17.593531827515399</v>
      </c>
      <c r="AD289" s="65">
        <f>AF289*AD$169</f>
        <v>13.155236139630391</v>
      </c>
      <c r="AE289" s="65">
        <f>AF289*4-SUM(AB289:AD289)</f>
        <v>12.325051334702266</v>
      </c>
      <c r="AF289" s="11">
        <f>SUM(AF181,AF235)</f>
        <v>15.55</v>
      </c>
      <c r="AG289" s="65">
        <f>AK289*$CF$169</f>
        <v>13.676842761186174</v>
      </c>
      <c r="AH289" s="65">
        <f>AK289*$CG$169</f>
        <v>11.790055476429911</v>
      </c>
      <c r="AI289" s="65">
        <f>AK289*$CH$169</f>
        <v>8.3836910883473585</v>
      </c>
      <c r="AJ289" s="65">
        <f>AK289*4-SUM(AG289:AI289)</f>
        <v>11.029410674036562</v>
      </c>
      <c r="AK289" s="11">
        <f>SUM(AK181,AK235)</f>
        <v>11.22</v>
      </c>
      <c r="AL289" s="65">
        <f>AP289*$CF$169</f>
        <v>8.2768059134094578</v>
      </c>
      <c r="AM289" s="65">
        <f>AP289*$CG$169</f>
        <v>7.1349800966986701</v>
      </c>
      <c r="AN289" s="65">
        <f>AP289*$CH$169</f>
        <v>5.0735528065845417</v>
      </c>
      <c r="AO289" s="65">
        <f>AP289*4-SUM(AL289:AN289)</f>
        <v>6.6746611833073288</v>
      </c>
      <c r="AP289" s="11">
        <f>SUM(AP181,AP235)</f>
        <v>6.7899999999999991</v>
      </c>
      <c r="AQ289" s="65">
        <f>AU289*$CF$169</f>
        <v>97.115335363966352</v>
      </c>
      <c r="AR289" s="65">
        <f>AU289*$CG$169</f>
        <v>83.71780033932005</v>
      </c>
      <c r="AS289" s="65">
        <f>AU289*$CH$169</f>
        <v>59.530184403621575</v>
      </c>
      <c r="AT289" s="65">
        <f>AU289*4-SUM(AQ289:AS289)</f>
        <v>78.316679893092015</v>
      </c>
      <c r="AU289" s="11">
        <f>SUM(AU181,AU235)</f>
        <v>79.67</v>
      </c>
      <c r="AV289" s="65">
        <f>AZ289*$CF$169</f>
        <v>120.76335225942194</v>
      </c>
      <c r="AW289" s="65">
        <f>AZ289*$CG$169</f>
        <v>104.1034577584591</v>
      </c>
      <c r="AX289" s="65">
        <f>AZ289*$CH$169</f>
        <v>74.026049565291686</v>
      </c>
      <c r="AY289" s="65">
        <f>AZ289*4-SUM(AV289:AX289)</f>
        <v>97.387140416827265</v>
      </c>
      <c r="AZ289" s="11">
        <f>SUM(AZ181,AZ235)</f>
        <v>99.07</v>
      </c>
      <c r="BA289" s="65">
        <f>BE289*$CF$169</f>
        <v>121.95794280362537</v>
      </c>
      <c r="BB289" s="65">
        <f>BE289*$CG$169</f>
        <v>105.13324870025068</v>
      </c>
      <c r="BC289" s="65">
        <f>BE289*$CH$169</f>
        <v>74.758314918819366</v>
      </c>
      <c r="BD289" s="65">
        <f>BE289*4-SUM(BA289:BC289)</f>
        <v>98.350493577304576</v>
      </c>
      <c r="BE289" s="11">
        <f>SUM(BE181,BE235)</f>
        <v>100.05</v>
      </c>
      <c r="BF289" s="65">
        <f>BJ289*$CF$169</f>
        <v>55.4570375597295</v>
      </c>
      <c r="BG289" s="65">
        <f>BJ289*$CG$169</f>
        <v>47.806468262048014</v>
      </c>
      <c r="BH289" s="65">
        <f>BJ289*$CH$169</f>
        <v>33.994298223205263</v>
      </c>
      <c r="BI289" s="65">
        <f>BJ289*4-SUM(BF289:BH289)</f>
        <v>44.722195955017213</v>
      </c>
      <c r="BJ289" s="11">
        <f>SUM(BJ181,BJ235)</f>
        <v>45.494999999999997</v>
      </c>
      <c r="BK289" s="65">
        <f>BO289*$CF$169</f>
        <v>72.556747921041406</v>
      </c>
      <c r="BL289" s="65">
        <f>BO289*$CG$169</f>
        <v>62.547190028835786</v>
      </c>
      <c r="BM289" s="65">
        <f>BO289*$CH$169</f>
        <v>44.476153712272712</v>
      </c>
      <c r="BN289" s="65">
        <f>BO289*4-SUM(BK289:BM289)</f>
        <v>58.511908337850059</v>
      </c>
      <c r="BO289" s="11">
        <f>SUM(BO181,BO235)</f>
        <v>59.522999999999996</v>
      </c>
      <c r="BP289" s="65">
        <f>BT289*$CF$169</f>
        <v>67.385877422560867</v>
      </c>
      <c r="BQ289" s="65">
        <f>BT289*$CG$169</f>
        <v>58.089666380795173</v>
      </c>
      <c r="BR289" s="65">
        <f>BT289*$CH$169</f>
        <v>41.306490824860099</v>
      </c>
      <c r="BS289" s="65">
        <f>BT289*4-SUM(BP289:BR289)</f>
        <v>54.341965371783857</v>
      </c>
      <c r="BT289" s="11">
        <f>SUM(BT181,BT235)</f>
        <v>55.280999999999999</v>
      </c>
      <c r="BU289" s="65">
        <f>BY289*$CF$169</f>
        <v>55.599657043068085</v>
      </c>
      <c r="BV289" s="65">
        <f>BY289*$CG$169</f>
        <v>47.929412690812939</v>
      </c>
      <c r="BW289" s="65">
        <f>BY289*$CH$169</f>
        <v>34.081721739901944</v>
      </c>
      <c r="BX289" s="65">
        <f>BY289*4-SUM(BU289:BW289)</f>
        <v>44.837208526217069</v>
      </c>
      <c r="BY289" s="11">
        <f>SUM(BY181,BY235)</f>
        <v>45.612000000000009</v>
      </c>
      <c r="BZ289" s="65">
        <f>CD289*$CF$169</f>
        <v>55.80444399350295</v>
      </c>
      <c r="CA289" s="65">
        <f>CD289*$CG$169</f>
        <v>48.10594828083434</v>
      </c>
      <c r="CB289" s="65">
        <f>CD289*$CH$169</f>
        <v>34.207252943363827</v>
      </c>
      <c r="CC289" s="65">
        <f>CD289*4-SUM(BZ289:CB289)</f>
        <v>45.00235478229888</v>
      </c>
      <c r="CD289" s="11">
        <f>SUM(CD181,CD235)</f>
        <v>45.78</v>
      </c>
      <c r="CE289" s="5"/>
      <c r="CF289" s="5"/>
      <c r="CG289" s="5"/>
      <c r="CH289" s="5"/>
      <c r="CI289" s="5"/>
    </row>
    <row r="290" spans="1:87">
      <c r="A290" s="11"/>
      <c r="B290" s="11" t="s">
        <v>139</v>
      </c>
      <c r="C290" s="11"/>
      <c r="D290" s="11"/>
      <c r="E290" s="11">
        <f t="shared" si="300"/>
        <v>60.11</v>
      </c>
      <c r="F290" s="11">
        <f t="shared" si="300"/>
        <v>76.62</v>
      </c>
      <c r="G290" s="11">
        <f t="shared" si="300"/>
        <v>59.519999999999996</v>
      </c>
      <c r="H290" s="86">
        <f>G290+(L290-G290)/4</f>
        <v>54.78</v>
      </c>
      <c r="I290" s="86">
        <f>H290+(L290-G290)/2</f>
        <v>45.300000000000004</v>
      </c>
      <c r="J290" s="86">
        <f>I290+(L290-G290)/2</f>
        <v>35.820000000000007</v>
      </c>
      <c r="K290" s="86">
        <f>J290+(L290-G290)/2</f>
        <v>26.340000000000011</v>
      </c>
      <c r="L290" s="11">
        <f>SUM(L182,L236)</f>
        <v>40.56</v>
      </c>
      <c r="M290" s="65">
        <f>$Q290*M$169</f>
        <v>0</v>
      </c>
      <c r="N290" s="65">
        <f t="shared" si="301"/>
        <v>0</v>
      </c>
      <c r="O290" s="65">
        <f t="shared" si="301"/>
        <v>0</v>
      </c>
      <c r="P290" s="65">
        <f>Q290*4-SUM(M290:O290)</f>
        <v>0</v>
      </c>
      <c r="Q290" s="11">
        <f>SUM(Q182,Q236)</f>
        <v>0</v>
      </c>
      <c r="R290" s="65">
        <f>V290*R$169</f>
        <v>0</v>
      </c>
      <c r="S290" s="65">
        <f>V290*S$169</f>
        <v>0</v>
      </c>
      <c r="T290" s="65">
        <f>V290*T$169</f>
        <v>0</v>
      </c>
      <c r="U290" s="65">
        <f>V290*4-SUM(R290:T290)</f>
        <v>0</v>
      </c>
      <c r="V290" s="11">
        <f>SUM(V182,V236)</f>
        <v>0</v>
      </c>
      <c r="W290" s="65">
        <f>AA290*W$169</f>
        <v>0</v>
      </c>
      <c r="X290" s="65">
        <f>AA290*X$169</f>
        <v>0</v>
      </c>
      <c r="Y290" s="65">
        <f>AA290*Y$169</f>
        <v>0</v>
      </c>
      <c r="Z290" s="65">
        <f>AA290*4-SUM(W290:Y290)</f>
        <v>0</v>
      </c>
      <c r="AA290" s="11">
        <f>SUM(AA182,AA236)</f>
        <v>0</v>
      </c>
      <c r="AB290" s="65">
        <f>AF290*AB$169</f>
        <v>0</v>
      </c>
      <c r="AC290" s="65">
        <f>AF290*AC$169</f>
        <v>0</v>
      </c>
      <c r="AD290" s="65">
        <f>AF290*AD$169</f>
        <v>0</v>
      </c>
      <c r="AE290" s="65">
        <f>AF290*4-SUM(AB290:AD290)</f>
        <v>0</v>
      </c>
      <c r="AF290" s="11">
        <f>SUM(AF182,AF236)</f>
        <v>0</v>
      </c>
      <c r="AG290" s="65">
        <f>AK290*$CF$169</f>
        <v>0</v>
      </c>
      <c r="AH290" s="65">
        <f>AK290*$CG$169</f>
        <v>0</v>
      </c>
      <c r="AI290" s="65">
        <f>AK290*$CH$169</f>
        <v>0</v>
      </c>
      <c r="AJ290" s="65">
        <f>AK290*4-SUM(AG290:AI290)</f>
        <v>0</v>
      </c>
      <c r="AK290" s="11">
        <f>SUM(AK182,AK236)</f>
        <v>0</v>
      </c>
      <c r="AL290" s="65">
        <f>AP290*$CF$169</f>
        <v>0</v>
      </c>
      <c r="AM290" s="65">
        <f>AP290*$CG$169</f>
        <v>0</v>
      </c>
      <c r="AN290" s="65">
        <f>AP290*$CH$169</f>
        <v>0</v>
      </c>
      <c r="AO290" s="65">
        <f>AP290*4-SUM(AL290:AN290)</f>
        <v>0</v>
      </c>
      <c r="AP290" s="11">
        <f>SUM(AP182,AP236)</f>
        <v>0</v>
      </c>
      <c r="AQ290" s="65">
        <f>AU290*$CF$169</f>
        <v>0</v>
      </c>
      <c r="AR290" s="65">
        <f>AU290*$CG$169</f>
        <v>0</v>
      </c>
      <c r="AS290" s="65">
        <f>AU290*$CH$169</f>
        <v>0</v>
      </c>
      <c r="AT290" s="65">
        <f>AU290*4-SUM(AQ290:AS290)</f>
        <v>0</v>
      </c>
      <c r="AU290" s="11">
        <f>SUM(AU182,AU236)</f>
        <v>0</v>
      </c>
      <c r="AV290" s="65">
        <f>AZ290*$CF$169</f>
        <v>0</v>
      </c>
      <c r="AW290" s="65">
        <f>AZ290*$CG$169</f>
        <v>0</v>
      </c>
      <c r="AX290" s="65">
        <f>AZ290*$CH$169</f>
        <v>0</v>
      </c>
      <c r="AY290" s="65">
        <f>AZ290*4-SUM(AV290:AX290)</f>
        <v>0</v>
      </c>
      <c r="AZ290" s="11">
        <f>SUM(AZ182,AZ236)</f>
        <v>0</v>
      </c>
      <c r="BA290" s="65">
        <f>BE290*$CF$169</f>
        <v>0</v>
      </c>
      <c r="BB290" s="65">
        <f>BE290*$CG$169</f>
        <v>0</v>
      </c>
      <c r="BC290" s="65">
        <f>BE290*$CH$169</f>
        <v>0</v>
      </c>
      <c r="BD290" s="65">
        <f>BE290*4-SUM(BA290:BC290)</f>
        <v>0</v>
      </c>
      <c r="BE290" s="11">
        <f>SUM(BE182,BE236)</f>
        <v>0</v>
      </c>
      <c r="BF290" s="65">
        <f>BJ290*$CF$169</f>
        <v>0</v>
      </c>
      <c r="BG290" s="65">
        <f>BJ290*$CG$169</f>
        <v>0</v>
      </c>
      <c r="BH290" s="65">
        <f>BJ290*$CH$169</f>
        <v>0</v>
      </c>
      <c r="BI290" s="65">
        <f>BJ290*4-SUM(BF290:BH290)</f>
        <v>0</v>
      </c>
      <c r="BJ290" s="11">
        <f>SUM(BJ182,BJ236)</f>
        <v>0</v>
      </c>
      <c r="BK290" s="65">
        <f>BO290*$CF$169</f>
        <v>0</v>
      </c>
      <c r="BL290" s="65">
        <f>BO290*$CG$169</f>
        <v>0</v>
      </c>
      <c r="BM290" s="65">
        <f>BO290*$CH$169</f>
        <v>0</v>
      </c>
      <c r="BN290" s="65">
        <f>BO290*4-SUM(BK290:BM290)</f>
        <v>0</v>
      </c>
      <c r="BO290" s="11">
        <f>SUM(BO182,BO236)</f>
        <v>0</v>
      </c>
      <c r="BP290" s="65">
        <f>BT290*$CF$169</f>
        <v>0</v>
      </c>
      <c r="BQ290" s="65">
        <f>BT290*$CG$169</f>
        <v>0</v>
      </c>
      <c r="BR290" s="65">
        <f>BT290*$CH$169</f>
        <v>0</v>
      </c>
      <c r="BS290" s="65">
        <f>BT290*4-SUM(BP290:BR290)</f>
        <v>0</v>
      </c>
      <c r="BT290" s="11">
        <f>SUM(BT182,BT236)</f>
        <v>0</v>
      </c>
      <c r="BU290" s="65">
        <f>BY290*$CF$169</f>
        <v>0</v>
      </c>
      <c r="BV290" s="65">
        <f>BY290*$CG$169</f>
        <v>0</v>
      </c>
      <c r="BW290" s="65">
        <f>BY290*$CH$169</f>
        <v>0</v>
      </c>
      <c r="BX290" s="65">
        <f>BY290*4-SUM(BU290:BW290)</f>
        <v>0</v>
      </c>
      <c r="BY290" s="11">
        <f>SUM(BY182,BY236)</f>
        <v>0</v>
      </c>
      <c r="BZ290" s="65">
        <f>CD290*$CF$169</f>
        <v>0</v>
      </c>
      <c r="CA290" s="65">
        <f>CD290*$CG$169</f>
        <v>0</v>
      </c>
      <c r="CB290" s="65">
        <f>CD290*$CH$169</f>
        <v>0</v>
      </c>
      <c r="CC290" s="65">
        <f>CD290*4-SUM(BZ290:CB290)</f>
        <v>0</v>
      </c>
      <c r="CD290" s="11">
        <f>SUM(CD182,CD236)</f>
        <v>0</v>
      </c>
      <c r="CE290" s="5"/>
      <c r="CF290" s="5"/>
      <c r="CG290" s="5"/>
      <c r="CH290" s="5"/>
      <c r="CI290" s="5"/>
    </row>
    <row r="291" spans="1:87">
      <c r="A291" s="39" t="s">
        <v>309</v>
      </c>
      <c r="B291" s="39"/>
      <c r="C291" s="39">
        <f t="shared" ref="C291:AH291" si="302">SUM(C288:C290)</f>
        <v>0</v>
      </c>
      <c r="D291" s="39">
        <f t="shared" si="302"/>
        <v>0</v>
      </c>
      <c r="E291" s="39">
        <f t="shared" si="302"/>
        <v>1422.54</v>
      </c>
      <c r="F291" s="39">
        <f t="shared" si="302"/>
        <v>1289.9499999999998</v>
      </c>
      <c r="G291" s="39">
        <f t="shared" si="302"/>
        <v>1204.2099999999998</v>
      </c>
      <c r="H291" s="80">
        <f t="shared" si="302"/>
        <v>1169.3674999999998</v>
      </c>
      <c r="I291" s="80">
        <f t="shared" si="302"/>
        <v>1099.6824999999999</v>
      </c>
      <c r="J291" s="80">
        <f t="shared" si="302"/>
        <v>1029.9974999999999</v>
      </c>
      <c r="K291" s="80">
        <f t="shared" si="302"/>
        <v>960.31250000000011</v>
      </c>
      <c r="L291" s="39">
        <f t="shared" si="302"/>
        <v>1064.8399999999999</v>
      </c>
      <c r="M291" s="80">
        <f t="shared" si="302"/>
        <v>1036.6504893350061</v>
      </c>
      <c r="N291" s="80">
        <f t="shared" si="302"/>
        <v>823.41542032622317</v>
      </c>
      <c r="O291" s="80">
        <f t="shared" si="302"/>
        <v>664.85601003764111</v>
      </c>
      <c r="P291" s="80">
        <f t="shared" si="302"/>
        <v>961.19808030112893</v>
      </c>
      <c r="Q291" s="39">
        <f t="shared" si="302"/>
        <v>871.52999999999986</v>
      </c>
      <c r="R291" s="80">
        <f t="shared" si="302"/>
        <v>1077.5395396419437</v>
      </c>
      <c r="S291" s="80">
        <f t="shared" si="302"/>
        <v>804.90905370844007</v>
      </c>
      <c r="T291" s="80">
        <f t="shared" si="302"/>
        <v>570.14391304347839</v>
      </c>
      <c r="U291" s="80">
        <f t="shared" si="302"/>
        <v>931.4874936061384</v>
      </c>
      <c r="V291" s="39">
        <f t="shared" si="302"/>
        <v>846.0200000000001</v>
      </c>
      <c r="W291" s="80">
        <f t="shared" si="302"/>
        <v>856.88804416403798</v>
      </c>
      <c r="X291" s="80">
        <f t="shared" si="302"/>
        <v>659.53793375394321</v>
      </c>
      <c r="Y291" s="80">
        <f t="shared" si="302"/>
        <v>483.66115141955839</v>
      </c>
      <c r="Z291" s="80">
        <f t="shared" si="302"/>
        <v>593.07287066246056</v>
      </c>
      <c r="AA291" s="39">
        <f t="shared" si="302"/>
        <v>648.29</v>
      </c>
      <c r="AB291" s="80">
        <f t="shared" si="302"/>
        <v>664.27501026694051</v>
      </c>
      <c r="AC291" s="80">
        <f t="shared" si="302"/>
        <v>611.04429158110884</v>
      </c>
      <c r="AD291" s="80">
        <f t="shared" si="302"/>
        <v>456.89700205338806</v>
      </c>
      <c r="AE291" s="80">
        <f t="shared" si="302"/>
        <v>428.06369609856256</v>
      </c>
      <c r="AF291" s="39">
        <f t="shared" si="302"/>
        <v>540.06999999999994</v>
      </c>
      <c r="AG291" s="80">
        <f t="shared" si="302"/>
        <v>373.55333905218384</v>
      </c>
      <c r="AH291" s="80">
        <f t="shared" si="302"/>
        <v>322.01983072655497</v>
      </c>
      <c r="AI291" s="80">
        <f t="shared" ref="AI291:BN291" si="303">SUM(AI288:AI290)</f>
        <v>228.98236488627879</v>
      </c>
      <c r="AJ291" s="80">
        <f t="shared" si="303"/>
        <v>301.24446533498252</v>
      </c>
      <c r="AK291" s="39">
        <f t="shared" si="303"/>
        <v>306.45000000000005</v>
      </c>
      <c r="AL291" s="80">
        <f t="shared" si="303"/>
        <v>150.29899397988018</v>
      </c>
      <c r="AM291" s="80">
        <f t="shared" si="303"/>
        <v>129.56451339071376</v>
      </c>
      <c r="AN291" s="80">
        <f t="shared" si="303"/>
        <v>92.130936826491052</v>
      </c>
      <c r="AO291" s="80">
        <f t="shared" si="303"/>
        <v>121.20555580291514</v>
      </c>
      <c r="AP291" s="39">
        <f t="shared" si="303"/>
        <v>123.30000000000004</v>
      </c>
      <c r="AQ291" s="80">
        <f t="shared" si="303"/>
        <v>221.12114767194043</v>
      </c>
      <c r="AR291" s="80">
        <f t="shared" si="303"/>
        <v>190.61640493978479</v>
      </c>
      <c r="AS291" s="80">
        <f t="shared" si="303"/>
        <v>135.54381135705978</v>
      </c>
      <c r="AT291" s="80">
        <f t="shared" si="303"/>
        <v>178.31863603121488</v>
      </c>
      <c r="AU291" s="39">
        <f t="shared" si="303"/>
        <v>181.39999999999998</v>
      </c>
      <c r="AV291" s="80">
        <f t="shared" si="303"/>
        <v>227.45979137587699</v>
      </c>
      <c r="AW291" s="80">
        <f t="shared" si="303"/>
        <v>196.08060177378087</v>
      </c>
      <c r="AX291" s="80">
        <f t="shared" si="303"/>
        <v>139.42930098802293</v>
      </c>
      <c r="AY291" s="80">
        <f t="shared" si="303"/>
        <v>183.43030586231924</v>
      </c>
      <c r="AZ291" s="39">
        <f>SUM(AZ288:AZ290)</f>
        <v>186.6</v>
      </c>
      <c r="BA291" s="80">
        <f t="shared" si="303"/>
        <v>292.93794280362533</v>
      </c>
      <c r="BB291" s="80">
        <f t="shared" si="303"/>
        <v>276.11324870025067</v>
      </c>
      <c r="BC291" s="80">
        <f t="shared" si="303"/>
        <v>245.73831491881936</v>
      </c>
      <c r="BD291" s="80">
        <f t="shared" si="303"/>
        <v>269.33049357730459</v>
      </c>
      <c r="BE291" s="39">
        <f t="shared" si="303"/>
        <v>271.02999999999997</v>
      </c>
      <c r="BF291" s="80">
        <f t="shared" si="303"/>
        <v>272.42149772581922</v>
      </c>
      <c r="BG291" s="80">
        <f t="shared" si="303"/>
        <v>234.83962104723156</v>
      </c>
      <c r="BH291" s="80">
        <f t="shared" si="303"/>
        <v>166.99012503380652</v>
      </c>
      <c r="BI291" s="80">
        <f t="shared" si="303"/>
        <v>219.68875619314267</v>
      </c>
      <c r="BJ291" s="39">
        <f t="shared" si="303"/>
        <v>223.48499999999999</v>
      </c>
      <c r="BK291" s="80">
        <f t="shared" si="303"/>
        <v>317.19182579470038</v>
      </c>
      <c r="BL291" s="80">
        <f t="shared" si="303"/>
        <v>273.43366360857902</v>
      </c>
      <c r="BM291" s="80">
        <f t="shared" si="303"/>
        <v>194.43363718111689</v>
      </c>
      <c r="BN291" s="80">
        <f t="shared" si="303"/>
        <v>255.79287341560382</v>
      </c>
      <c r="BO291" s="39">
        <f t="shared" ref="BO291:CD291" si="304">SUM(BO288:BO290)</f>
        <v>260.21300000000002</v>
      </c>
      <c r="BP291" s="80">
        <f t="shared" si="304"/>
        <v>281.24196423383557</v>
      </c>
      <c r="BQ291" s="80">
        <f t="shared" si="304"/>
        <v>242.44326110315373</v>
      </c>
      <c r="BR291" s="80">
        <f t="shared" si="304"/>
        <v>172.3969332972006</v>
      </c>
      <c r="BS291" s="80">
        <f t="shared" si="304"/>
        <v>226.80184136581008</v>
      </c>
      <c r="BT291" s="39">
        <f t="shared" si="304"/>
        <v>230.72099999999998</v>
      </c>
      <c r="BU291" s="80">
        <f t="shared" si="304"/>
        <v>318.82402654846402</v>
      </c>
      <c r="BV291" s="80">
        <f t="shared" si="304"/>
        <v>274.84069429333294</v>
      </c>
      <c r="BW291" s="80">
        <f t="shared" si="304"/>
        <v>195.43415076108988</v>
      </c>
      <c r="BX291" s="80">
        <f t="shared" si="304"/>
        <v>257.10912839711318</v>
      </c>
      <c r="BY291" s="39">
        <f t="shared" si="304"/>
        <v>261.55200000000002</v>
      </c>
      <c r="BZ291" s="80">
        <f t="shared" si="304"/>
        <v>431.88105082783085</v>
      </c>
      <c r="CA291" s="80">
        <f t="shared" si="304"/>
        <v>372.3009496701531</v>
      </c>
      <c r="CB291" s="80">
        <f t="shared" si="304"/>
        <v>264.73634158658376</v>
      </c>
      <c r="CC291" s="80">
        <f t="shared" si="304"/>
        <v>348.28165791543256</v>
      </c>
      <c r="CD291" s="39">
        <f t="shared" si="304"/>
        <v>354.30000000000007</v>
      </c>
      <c r="CE291" s="5"/>
      <c r="CF291" s="5"/>
      <c r="CG291" s="5"/>
      <c r="CH291" s="5"/>
      <c r="CI291" s="5"/>
    </row>
    <row r="292" spans="1:87">
      <c r="A292" s="11"/>
      <c r="B292" s="11"/>
      <c r="C292" s="11"/>
      <c r="D292" s="11"/>
      <c r="E292" s="11"/>
      <c r="F292" s="11"/>
      <c r="G292" s="11"/>
      <c r="H292" s="80"/>
      <c r="I292" s="80"/>
      <c r="J292" s="80"/>
      <c r="K292" s="80"/>
      <c r="L292" s="11"/>
      <c r="M292" s="68"/>
      <c r="N292" s="68"/>
      <c r="O292" s="68"/>
      <c r="P292" s="68"/>
      <c r="Q292" s="11"/>
      <c r="R292" s="68"/>
      <c r="S292" s="68"/>
      <c r="T292" s="68"/>
      <c r="U292" s="68"/>
      <c r="V292" s="11"/>
      <c r="W292" s="68"/>
      <c r="X292" s="68"/>
      <c r="Y292" s="68"/>
      <c r="Z292" s="68"/>
      <c r="AA292" s="11"/>
      <c r="AB292" s="68"/>
      <c r="AC292" s="68"/>
      <c r="AD292" s="68"/>
      <c r="AE292" s="68"/>
      <c r="AF292" s="11"/>
      <c r="AG292" s="68"/>
      <c r="AH292" s="68"/>
      <c r="AI292" s="68"/>
      <c r="AJ292" s="68"/>
      <c r="AK292" s="11"/>
      <c r="AL292" s="48"/>
      <c r="AM292" s="48"/>
      <c r="AN292" s="48"/>
      <c r="AO292" s="48"/>
      <c r="AP292" s="48"/>
      <c r="AQ292" s="48"/>
      <c r="AR292" s="48"/>
      <c r="AS292" s="48"/>
      <c r="AT292" s="48"/>
      <c r="AU292" s="48"/>
      <c r="AV292" s="48"/>
      <c r="AW292" s="48"/>
      <c r="AX292" s="48"/>
      <c r="AY292" s="48"/>
      <c r="AZ292" s="48"/>
      <c r="BA292" s="48"/>
      <c r="BB292" s="48"/>
      <c r="BC292" s="48"/>
      <c r="BD292" s="48"/>
      <c r="BE292" s="48"/>
      <c r="BF292" s="48"/>
      <c r="BG292" s="48"/>
      <c r="BH292" s="48"/>
      <c r="BI292" s="48"/>
      <c r="BJ292" s="48"/>
      <c r="BK292" s="48"/>
      <c r="BL292" s="48"/>
      <c r="BM292" s="48"/>
      <c r="BN292" s="48"/>
      <c r="BO292" s="48"/>
      <c r="BP292" s="48"/>
      <c r="BQ292" s="48"/>
      <c r="BR292" s="48"/>
      <c r="BS292" s="48"/>
      <c r="BT292" s="48"/>
      <c r="BU292" s="48"/>
      <c r="BV292" s="48"/>
      <c r="BW292" s="48"/>
      <c r="BX292" s="48"/>
      <c r="BY292" s="48"/>
      <c r="BZ292" s="48"/>
      <c r="CA292" s="48"/>
      <c r="CB292" s="48"/>
      <c r="CC292" s="48"/>
      <c r="CD292" s="48"/>
      <c r="CE292" s="5"/>
      <c r="CF292" s="5"/>
      <c r="CG292" s="5"/>
      <c r="CH292" s="5"/>
      <c r="CI292" s="5"/>
    </row>
    <row r="293" spans="1:87">
      <c r="A293" s="39" t="s">
        <v>310</v>
      </c>
      <c r="B293" s="11"/>
      <c r="C293" s="11"/>
      <c r="D293" s="11"/>
      <c r="E293" s="11"/>
      <c r="F293" s="11"/>
      <c r="G293" s="11"/>
      <c r="H293" s="80"/>
      <c r="I293" s="80"/>
      <c r="J293" s="80"/>
      <c r="K293" s="80"/>
      <c r="L293" s="5"/>
      <c r="M293" s="12"/>
      <c r="N293" s="12"/>
      <c r="O293" s="12"/>
      <c r="P293" s="12"/>
      <c r="Q293" s="5"/>
      <c r="R293" s="12"/>
      <c r="S293" s="12"/>
      <c r="T293" s="12"/>
      <c r="U293" s="12"/>
      <c r="V293" s="5"/>
      <c r="W293" s="12"/>
      <c r="X293" s="12"/>
      <c r="Y293" s="12"/>
      <c r="Z293" s="12"/>
      <c r="AA293" s="5"/>
      <c r="AB293" s="12"/>
      <c r="AC293" s="12"/>
      <c r="AD293" s="12"/>
      <c r="AE293" s="12"/>
      <c r="AF293" s="5"/>
      <c r="AG293" s="12"/>
      <c r="AH293" s="12"/>
      <c r="AI293" s="12"/>
      <c r="AJ293" s="12"/>
      <c r="AK293" s="11"/>
      <c r="AL293" s="12"/>
      <c r="AM293" s="12"/>
      <c r="AN293" s="12"/>
      <c r="AO293" s="12"/>
      <c r="AP293" s="11"/>
      <c r="AQ293" s="12"/>
      <c r="AR293" s="12"/>
      <c r="AS293" s="12"/>
      <c r="AT293" s="12"/>
      <c r="AU293" s="11"/>
      <c r="AV293" s="12"/>
      <c r="AW293" s="12"/>
      <c r="AX293" s="12"/>
      <c r="AY293" s="12"/>
      <c r="AZ293" s="11"/>
      <c r="BA293" s="12"/>
      <c r="BB293" s="12"/>
      <c r="BC293" s="12"/>
      <c r="BD293" s="12"/>
      <c r="BE293" s="11"/>
      <c r="BF293" s="12"/>
      <c r="BG293" s="12"/>
      <c r="BH293" s="12"/>
      <c r="BI293" s="12"/>
      <c r="BJ293" s="11"/>
      <c r="BK293" s="12"/>
      <c r="BL293" s="12"/>
      <c r="BM293" s="12"/>
      <c r="BN293" s="12"/>
      <c r="BO293" s="11"/>
      <c r="BP293" s="12"/>
      <c r="BQ293" s="12"/>
      <c r="BR293" s="12"/>
      <c r="BS293" s="12"/>
      <c r="BT293" s="11"/>
      <c r="BU293" s="12"/>
      <c r="BV293" s="12"/>
      <c r="BW293" s="12"/>
      <c r="BX293" s="12"/>
      <c r="BY293" s="11"/>
      <c r="BZ293" s="12"/>
      <c r="CA293" s="12"/>
      <c r="CB293" s="12"/>
      <c r="CC293" s="12"/>
      <c r="CD293" s="11"/>
      <c r="CE293" s="5"/>
      <c r="CF293" s="5"/>
      <c r="CG293" s="5"/>
      <c r="CH293" s="5"/>
      <c r="CI293" s="5"/>
    </row>
    <row r="294" spans="1:87">
      <c r="A294" s="11"/>
      <c r="B294" s="11" t="s">
        <v>728</v>
      </c>
      <c r="C294" s="11"/>
      <c r="D294" s="11"/>
      <c r="E294" s="11">
        <f t="shared" ref="E294:G295" si="305">SUM(E186,E240)</f>
        <v>3134.25</v>
      </c>
      <c r="F294" s="11">
        <f t="shared" si="305"/>
        <v>2714.86</v>
      </c>
      <c r="G294" s="11">
        <f t="shared" si="305"/>
        <v>2471.84</v>
      </c>
      <c r="H294" s="86">
        <f>G294+(L294-G294)/4</f>
        <v>2448.0950000000003</v>
      </c>
      <c r="I294" s="86">
        <f>H294+(L294-G294)/2</f>
        <v>2400.6050000000005</v>
      </c>
      <c r="J294" s="86">
        <f>I294+(L294-G294)/2</f>
        <v>2353.1150000000007</v>
      </c>
      <c r="K294" s="86">
        <f>J294+(L294-G294)/2</f>
        <v>2305.6250000000009</v>
      </c>
      <c r="L294" s="11">
        <f>SUM(L186,L240)</f>
        <v>2376.86</v>
      </c>
      <c r="M294" s="65">
        <f>$Q294*M$170</f>
        <v>2227.2134406623732</v>
      </c>
      <c r="N294" s="65">
        <f>$Q294*N$170</f>
        <v>2229.2728150873968</v>
      </c>
      <c r="O294" s="65">
        <f>$Q294*O$170</f>
        <v>2250.8962465501381</v>
      </c>
      <c r="P294" s="65">
        <f>Q294*4-SUM(M294:O294)</f>
        <v>2246.7774977000918</v>
      </c>
      <c r="Q294" s="11">
        <f>SUM(Q186,Q240)</f>
        <v>2238.54</v>
      </c>
      <c r="R294" s="65">
        <f>V294*R$170</f>
        <v>2143.4207695873897</v>
      </c>
      <c r="S294" s="65">
        <f>V294*S$170</f>
        <v>2134.4441353732036</v>
      </c>
      <c r="T294" s="65">
        <f>V294*T$170</f>
        <v>2088.5635605006955</v>
      </c>
      <c r="U294" s="65">
        <f>V294*4-SUM(R294:T294)</f>
        <v>2239.1715345387111</v>
      </c>
      <c r="V294" s="11">
        <f>SUM(V186,V240)</f>
        <v>2151.4</v>
      </c>
      <c r="W294" s="65">
        <f>AA294*W$170</f>
        <v>2230.7214810017276</v>
      </c>
      <c r="X294" s="65">
        <f>AA294*X$170</f>
        <v>2234.5428454231433</v>
      </c>
      <c r="Y294" s="65">
        <f>AA294*Y$170</f>
        <v>2176.2670379965462</v>
      </c>
      <c r="Z294" s="65">
        <f>AA294*4-SUM(W294:Y294)</f>
        <v>2208.7486355785841</v>
      </c>
      <c r="AA294" s="11">
        <f>SUM(AA186,AA240)</f>
        <v>2212.5700000000002</v>
      </c>
      <c r="AB294" s="65">
        <f>AF294*AB$170</f>
        <v>2204.118772893773</v>
      </c>
      <c r="AC294" s="65">
        <f>AF294*AC$170</f>
        <v>2222.9743589743589</v>
      </c>
      <c r="AD294" s="65">
        <f>AF294*AD$170</f>
        <v>2173.3543956043954</v>
      </c>
      <c r="AE294" s="65">
        <f>AF294*4-SUM(AB294:AD294)</f>
        <v>2069.1524725274721</v>
      </c>
      <c r="AF294" s="11">
        <f>SUM(AF186,AF240)</f>
        <v>2167.4</v>
      </c>
      <c r="AG294" s="65">
        <f>AK294*$CF$170</f>
        <v>2019.6629837095848</v>
      </c>
      <c r="AH294" s="65">
        <f>AK294*$CG$170</f>
        <v>2000.1424999820638</v>
      </c>
      <c r="AI294" s="65">
        <f>AK294*$CH$170</f>
        <v>1966.667235314238</v>
      </c>
      <c r="AJ294" s="65">
        <f>AK294*4-SUM(AG294:AI294)</f>
        <v>1971.9672809941139</v>
      </c>
      <c r="AK294" s="11">
        <f>SUM(AK186,AK240)</f>
        <v>1989.6100000000001</v>
      </c>
      <c r="AL294" s="65">
        <f>AP294*$CF$170</f>
        <v>1912.9449990405346</v>
      </c>
      <c r="AM294" s="65">
        <f>AP294*$CG$170</f>
        <v>1894.45596793653</v>
      </c>
      <c r="AN294" s="65">
        <f>AP294*$CH$170</f>
        <v>1862.7495195565839</v>
      </c>
      <c r="AO294" s="65">
        <f>AP294*4-SUM(AL294:AN294)</f>
        <v>1867.7695134663518</v>
      </c>
      <c r="AP294" s="11">
        <f>SUM(AP186,AP240)</f>
        <v>1884.48</v>
      </c>
      <c r="AQ294" s="65">
        <f>AU294*$CF$170</f>
        <v>1970.7552266340131</v>
      </c>
      <c r="AR294" s="65">
        <f>AU294*$CG$170</f>
        <v>1951.7074470575528</v>
      </c>
      <c r="AS294" s="65">
        <f>AU294*$CH$170</f>
        <v>1919.0428127402458</v>
      </c>
      <c r="AT294" s="65">
        <f>AU294*4-SUM(AQ294:AS294)</f>
        <v>1924.2145135681876</v>
      </c>
      <c r="AU294" s="11">
        <f>SUM(AU186,AU240)</f>
        <v>1941.4299999999998</v>
      </c>
      <c r="AV294" s="65">
        <f>AZ294*$CF$170</f>
        <v>1946.6058795848674</v>
      </c>
      <c r="AW294" s="65">
        <f>AZ294*$CG$170</f>
        <v>1927.7915087206056</v>
      </c>
      <c r="AX294" s="65">
        <f>AZ294*$CH$170</f>
        <v>1895.5271420670358</v>
      </c>
      <c r="AY294" s="65">
        <f>AZ294*4-SUM(AV294:AX294)</f>
        <v>1900.6354696274902</v>
      </c>
      <c r="AZ294" s="11">
        <f>SUM(AZ186,AZ240)</f>
        <v>1917.6399999999999</v>
      </c>
      <c r="BA294" s="65">
        <f>BE294*$CF$170</f>
        <v>1638.7143935202848</v>
      </c>
      <c r="BB294" s="65">
        <f>BE294*$CG$170</f>
        <v>1622.8758610964182</v>
      </c>
      <c r="BC294" s="65">
        <f>BE294*$CH$170</f>
        <v>1595.7146968425136</v>
      </c>
      <c r="BD294" s="65">
        <f>BE294*4-SUM(BA294:BC294)</f>
        <v>1600.015048540783</v>
      </c>
      <c r="BE294" s="11">
        <f>SUM(BE186,BE240)</f>
        <v>1614.33</v>
      </c>
      <c r="BF294" s="65">
        <f>BJ294*$CF$170</f>
        <v>1671.5631900949109</v>
      </c>
      <c r="BG294" s="65">
        <f>BJ294*$CG$170</f>
        <v>1655.4071668796719</v>
      </c>
      <c r="BH294" s="65">
        <f>BJ294*$CH$170</f>
        <v>1627.70154438287</v>
      </c>
      <c r="BI294" s="65">
        <f>BJ294*4-SUM(BF294:BH294)</f>
        <v>1632.0880986425464</v>
      </c>
      <c r="BJ294" s="11">
        <f>SUM(BJ186,BJ240)</f>
        <v>1646.6899999999998</v>
      </c>
      <c r="BK294" s="65">
        <f>BO294*$CF$170</f>
        <v>1644.4700386555794</v>
      </c>
      <c r="BL294" s="65">
        <f>BO294*$CG$170</f>
        <v>1628.575876664745</v>
      </c>
      <c r="BM294" s="65">
        <f>BO294*$CH$170</f>
        <v>1601.3193144430645</v>
      </c>
      <c r="BN294" s="65">
        <f>BO294*4-SUM(BK294:BM294)</f>
        <v>1605.6347702366111</v>
      </c>
      <c r="BO294" s="11">
        <f>SUM(BO186,BO240)</f>
        <v>1620</v>
      </c>
      <c r="BP294" s="65">
        <f>BT294*$CF$170</f>
        <v>1651.0479188102017</v>
      </c>
      <c r="BQ294" s="65">
        <f>BT294*$CG$170</f>
        <v>1635.090180171404</v>
      </c>
      <c r="BR294" s="65">
        <f>BT294*$CH$170</f>
        <v>1607.7245917008368</v>
      </c>
      <c r="BS294" s="65">
        <f>BT294*4-SUM(BP294:BR294)</f>
        <v>1612.0573093175572</v>
      </c>
      <c r="BT294" s="11">
        <f>SUM(BT186,BT240)</f>
        <v>1626.48</v>
      </c>
      <c r="BU294" s="65">
        <f>BY294*$CF$170</f>
        <v>1802.4305218131071</v>
      </c>
      <c r="BV294" s="65">
        <f>BY294*$CG$170</f>
        <v>1785.0096372621531</v>
      </c>
      <c r="BW294" s="65">
        <f>BY294*$CH$170</f>
        <v>1755.1349308137344</v>
      </c>
      <c r="BX294" s="65">
        <f>BY294*4-SUM(BU294:BW294)</f>
        <v>1759.8649101110059</v>
      </c>
      <c r="BY294" s="11">
        <f>SUM(BY186,BY240)</f>
        <v>1775.6100000000001</v>
      </c>
      <c r="BZ294" s="65">
        <f>CD294*$CF$170</f>
        <v>1855.0535630500854</v>
      </c>
      <c r="CA294" s="65">
        <f>CD294*$CG$170</f>
        <v>1837.1240653154246</v>
      </c>
      <c r="CB294" s="65">
        <f>CD294*$CH$170</f>
        <v>1806.3771488759123</v>
      </c>
      <c r="CC294" s="65">
        <f>CD294*4-SUM(BZ294:CB294)</f>
        <v>1811.2452227585773</v>
      </c>
      <c r="CD294" s="11">
        <f>SUM(CD186,CD240)</f>
        <v>1827.4499999999998</v>
      </c>
      <c r="CE294" s="5"/>
      <c r="CF294" s="5"/>
      <c r="CG294" s="5"/>
      <c r="CH294" s="5"/>
      <c r="CI294" s="5"/>
    </row>
    <row r="295" spans="1:87">
      <c r="A295" s="11"/>
      <c r="B295" s="11" t="s">
        <v>727</v>
      </c>
      <c r="C295" s="11"/>
      <c r="D295" s="11"/>
      <c r="E295" s="11">
        <f t="shared" si="305"/>
        <v>429.62000000000006</v>
      </c>
      <c r="F295" s="11">
        <f t="shared" si="305"/>
        <v>354.56</v>
      </c>
      <c r="G295" s="11">
        <f t="shared" si="305"/>
        <v>310.23</v>
      </c>
      <c r="H295" s="86">
        <f>G295+(L295-G295)/4</f>
        <v>303.51750000000004</v>
      </c>
      <c r="I295" s="86">
        <f>H295+(L295-G295)/2</f>
        <v>290.09250000000003</v>
      </c>
      <c r="J295" s="86">
        <f>I295+(L295-G295)/2</f>
        <v>276.66750000000002</v>
      </c>
      <c r="K295" s="86">
        <f>J295+(L295-G295)/2</f>
        <v>263.24250000000001</v>
      </c>
      <c r="L295" s="11">
        <f>SUM(L187,L241)</f>
        <v>283.38</v>
      </c>
      <c r="M295" s="65">
        <f>$Q295*M$172</f>
        <v>265.06328108451601</v>
      </c>
      <c r="N295" s="65">
        <f>$Q295*N$172</f>
        <v>247.20927769540353</v>
      </c>
      <c r="O295" s="65">
        <f>$Q295*O$172</f>
        <v>259.35000000000002</v>
      </c>
      <c r="P295" s="65">
        <f>Q295*4-SUM(M295:O295)</f>
        <v>265.7774412200805</v>
      </c>
      <c r="Q295" s="11">
        <f>SUM(Q187,Q241)</f>
        <v>259.35000000000002</v>
      </c>
      <c r="R295" s="65">
        <f>V295*R$172</f>
        <v>244.45948250879735</v>
      </c>
      <c r="S295" s="65">
        <f>V295*S$172</f>
        <v>245.01888635893192</v>
      </c>
      <c r="T295" s="65">
        <f>V295*T$172</f>
        <v>244.66290209066446</v>
      </c>
      <c r="U295" s="65">
        <f>V295*4-SUM(R295:T295)</f>
        <v>248.57872904160627</v>
      </c>
      <c r="V295" s="11">
        <f>SUM(V187,V241)</f>
        <v>245.68</v>
      </c>
      <c r="W295" s="65">
        <f>AA295*W$172</f>
        <v>264.16019456830156</v>
      </c>
      <c r="X295" s="65">
        <f>AA295*X$172</f>
        <v>268.90782326712605</v>
      </c>
      <c r="Y295" s="65">
        <f>AA295*Y$172</f>
        <v>252.15776246453183</v>
      </c>
      <c r="Z295" s="65">
        <f>AA295*4-SUM(W295:Y295)</f>
        <v>267.57421970004054</v>
      </c>
      <c r="AA295" s="11">
        <f>SUM(AA187,AA241)</f>
        <v>263.2</v>
      </c>
      <c r="AB295" s="65">
        <f>AF295*AB$172</f>
        <v>202.45392141453829</v>
      </c>
      <c r="AC295" s="65">
        <f>AF295*AC$172</f>
        <v>200.03573280943027</v>
      </c>
      <c r="AD295" s="65">
        <f>AF295*AD$172</f>
        <v>206.9335166994106</v>
      </c>
      <c r="AE295" s="65">
        <f>AF295*4-SUM(AB295:AD295)</f>
        <v>197.69682907662082</v>
      </c>
      <c r="AF295" s="11">
        <f>SUM(AF187,AF241)</f>
        <v>201.78</v>
      </c>
      <c r="AG295" s="65">
        <f>AK295*$CF$172</f>
        <v>12.436702920251372</v>
      </c>
      <c r="AH295" s="65">
        <f>AK295*$CG$172</f>
        <v>12.108402239150536</v>
      </c>
      <c r="AI295" s="65">
        <f>AK295*$CH$172</f>
        <v>12.193953483822105</v>
      </c>
      <c r="AJ295" s="65">
        <f>AK295*4-SUM(AG295:AI295)</f>
        <v>12.340941356775986</v>
      </c>
      <c r="AK295" s="11">
        <f>SUM(AK187,AK241)</f>
        <v>12.27</v>
      </c>
      <c r="AL295" s="65">
        <f>AP295*$CF$172</f>
        <v>11.362301526977824</v>
      </c>
      <c r="AM295" s="65">
        <f>AP295*$CG$172</f>
        <v>11.062362599908516</v>
      </c>
      <c r="AN295" s="65">
        <f>AP295*$CH$172</f>
        <v>11.140523109506583</v>
      </c>
      <c r="AO295" s="65">
        <f>AP295*4-SUM(AL295:AN295)</f>
        <v>11.274812763607073</v>
      </c>
      <c r="AP295" s="11">
        <f>SUM(AP187,AP241)</f>
        <v>11.209999999999999</v>
      </c>
      <c r="AQ295" s="65">
        <f>AU295*$CF$172</f>
        <v>9.3655366734411327</v>
      </c>
      <c r="AR295" s="65">
        <f>AU295*$CG$172</f>
        <v>9.1183077986757102</v>
      </c>
      <c r="AS295" s="65">
        <f>AU295*$CH$172</f>
        <v>9.1827326968635905</v>
      </c>
      <c r="AT295" s="65">
        <f>AU295*4-SUM(AQ295:AS295)</f>
        <v>9.2934228310195692</v>
      </c>
      <c r="AU295" s="11">
        <f>SUM(AU187,AU241)</f>
        <v>9.24</v>
      </c>
      <c r="AV295" s="65">
        <f>AZ295*$CF$172</f>
        <v>8.5141242485828474</v>
      </c>
      <c r="AW295" s="65">
        <f>AZ295*$CG$172</f>
        <v>8.2893707260688263</v>
      </c>
      <c r="AX295" s="65">
        <f>AZ295*$CH$172</f>
        <v>8.3479388153305365</v>
      </c>
      <c r="AY295" s="65">
        <f>AZ295*4-SUM(AV295:AX295)</f>
        <v>8.4485662100177912</v>
      </c>
      <c r="AZ295" s="11">
        <f>SUM(AZ187,AZ241)</f>
        <v>8.4</v>
      </c>
      <c r="BA295" s="65">
        <f>BE295*$CF$172</f>
        <v>8.5141242485828474</v>
      </c>
      <c r="BB295" s="65">
        <f>BE295*$CG$172</f>
        <v>8.2893707260688263</v>
      </c>
      <c r="BC295" s="65">
        <f>BE295*$CH$172</f>
        <v>8.3479388153305365</v>
      </c>
      <c r="BD295" s="65">
        <f>BE295*4-SUM(BA295:BC295)</f>
        <v>8.4485662100177912</v>
      </c>
      <c r="BE295" s="11">
        <f>SUM(BE187,BE241)</f>
        <v>8.4</v>
      </c>
      <c r="BF295" s="65">
        <f>BJ295*$CF$172</f>
        <v>8.5141242485828474</v>
      </c>
      <c r="BG295" s="65">
        <f>BJ295*$CG$172</f>
        <v>8.2893707260688263</v>
      </c>
      <c r="BH295" s="65">
        <f>BJ295*$CH$172</f>
        <v>8.3479388153305365</v>
      </c>
      <c r="BI295" s="65">
        <f>BJ295*4-SUM(BF295:BH295)</f>
        <v>8.4485662100177912</v>
      </c>
      <c r="BJ295" s="11">
        <f>SUM(BJ187,BJ241)</f>
        <v>8.4</v>
      </c>
      <c r="BK295" s="65">
        <f>BO295*$CF$172</f>
        <v>8.0884180361537048</v>
      </c>
      <c r="BL295" s="65">
        <f>BO295*$CG$172</f>
        <v>7.8749021897653861</v>
      </c>
      <c r="BM295" s="65">
        <f>BO295*$CH$172</f>
        <v>7.9305418745640095</v>
      </c>
      <c r="BN295" s="65">
        <f>BO295*4-SUM(BK295:BM295)</f>
        <v>8.0261378995169004</v>
      </c>
      <c r="BO295" s="11">
        <f>SUM(BO187,BO241)</f>
        <v>7.98</v>
      </c>
      <c r="BP295" s="65">
        <f>BT295*$CF$172</f>
        <v>7.6627118237245622</v>
      </c>
      <c r="BQ295" s="65">
        <f>BT295*$CG$172</f>
        <v>7.4604336534619433</v>
      </c>
      <c r="BR295" s="65">
        <f>BT295*$CH$172</f>
        <v>7.5131449337974825</v>
      </c>
      <c r="BS295" s="65">
        <f>BT295*4-SUM(BP295:BR295)</f>
        <v>7.6037095890160096</v>
      </c>
      <c r="BT295" s="11">
        <f>SUM(BT187,BT241)</f>
        <v>7.56</v>
      </c>
      <c r="BU295" s="65">
        <f>BY295*$CF$172</f>
        <v>7.064695953883624</v>
      </c>
      <c r="BV295" s="65">
        <f>BY295*$CG$172</f>
        <v>6.8782040429404425</v>
      </c>
      <c r="BW295" s="65">
        <f>BY295*$CH$172</f>
        <v>6.9268016122445042</v>
      </c>
      <c r="BX295" s="65">
        <f>BY295*4-SUM(BU295:BW295)</f>
        <v>7.0102983909314283</v>
      </c>
      <c r="BY295" s="11">
        <f>SUM(BY187,BY241)</f>
        <v>6.97</v>
      </c>
      <c r="BZ295" s="65">
        <f>CD295*$CF$172</f>
        <v>6.5579028438489306</v>
      </c>
      <c r="CA295" s="65">
        <f>CD295*$CG$172</f>
        <v>6.384789118769679</v>
      </c>
      <c r="CB295" s="65">
        <f>CD295*$CH$172</f>
        <v>6.4299004922843528</v>
      </c>
      <c r="CC295" s="65">
        <f>CD295*4-SUM(BZ295:CB295)</f>
        <v>6.5074075450970348</v>
      </c>
      <c r="CD295" s="11">
        <f>SUM(CD187,CD241)</f>
        <v>6.47</v>
      </c>
      <c r="CE295" s="5"/>
      <c r="CF295" s="5"/>
      <c r="CG295" s="5"/>
      <c r="CH295" s="5"/>
      <c r="CI295" s="5"/>
    </row>
    <row r="296" spans="1:87">
      <c r="A296" s="39" t="s">
        <v>1993</v>
      </c>
      <c r="B296" s="39"/>
      <c r="C296" s="39">
        <f>SUM(C294:C295)</f>
        <v>0</v>
      </c>
      <c r="D296" s="39">
        <f>SUM(D294:D295)</f>
        <v>0</v>
      </c>
      <c r="E296" s="39">
        <f>SUM(E294:E295)</f>
        <v>3563.87</v>
      </c>
      <c r="F296" s="39">
        <f>SUM(F294:F295)</f>
        <v>3069.42</v>
      </c>
      <c r="G296" s="39">
        <f>SUM(G294:G295)</f>
        <v>2782.07</v>
      </c>
      <c r="H296" s="80">
        <f>G296+(L296-G296)/4</f>
        <v>2751.6125000000002</v>
      </c>
      <c r="I296" s="80">
        <f>H296+(L296-G296)/2</f>
        <v>2690.6975000000002</v>
      </c>
      <c r="J296" s="80">
        <f>I296+(L296-G296)/2</f>
        <v>2629.7825000000003</v>
      </c>
      <c r="K296" s="80">
        <f>J296+(L296-G296)/2</f>
        <v>2568.8675000000003</v>
      </c>
      <c r="L296" s="39">
        <f t="shared" ref="L296:AQ296" si="306">SUM(L294:L295)</f>
        <v>2660.2400000000002</v>
      </c>
      <c r="M296" s="80">
        <f t="shared" si="306"/>
        <v>2492.2767217468891</v>
      </c>
      <c r="N296" s="80">
        <f t="shared" si="306"/>
        <v>2476.4820927828005</v>
      </c>
      <c r="O296" s="80">
        <f t="shared" si="306"/>
        <v>2510.246246550138</v>
      </c>
      <c r="P296" s="80">
        <f t="shared" si="306"/>
        <v>2512.5549389201724</v>
      </c>
      <c r="Q296" s="39">
        <f t="shared" si="306"/>
        <v>2497.89</v>
      </c>
      <c r="R296" s="80">
        <f t="shared" si="306"/>
        <v>2387.8802520961872</v>
      </c>
      <c r="S296" s="80">
        <f t="shared" si="306"/>
        <v>2379.4630217321355</v>
      </c>
      <c r="T296" s="80">
        <f t="shared" si="306"/>
        <v>2333.2264625913599</v>
      </c>
      <c r="U296" s="80">
        <f t="shared" si="306"/>
        <v>2487.7502635803176</v>
      </c>
      <c r="V296" s="39">
        <f t="shared" si="306"/>
        <v>2397.08</v>
      </c>
      <c r="W296" s="80">
        <f t="shared" si="306"/>
        <v>2494.8816755700291</v>
      </c>
      <c r="X296" s="80">
        <f t="shared" si="306"/>
        <v>2503.4506686902691</v>
      </c>
      <c r="Y296" s="80">
        <f t="shared" si="306"/>
        <v>2428.4248004610781</v>
      </c>
      <c r="Z296" s="80">
        <f t="shared" si="306"/>
        <v>2476.3228552786245</v>
      </c>
      <c r="AA296" s="39">
        <f t="shared" si="306"/>
        <v>2475.77</v>
      </c>
      <c r="AB296" s="80">
        <f t="shared" si="306"/>
        <v>2406.5726943083114</v>
      </c>
      <c r="AC296" s="80">
        <f t="shared" si="306"/>
        <v>2423.010091783789</v>
      </c>
      <c r="AD296" s="80">
        <f t="shared" si="306"/>
        <v>2380.287912303806</v>
      </c>
      <c r="AE296" s="80">
        <f t="shared" si="306"/>
        <v>2266.8493016040929</v>
      </c>
      <c r="AF296" s="39">
        <f t="shared" si="306"/>
        <v>2369.1800000000003</v>
      </c>
      <c r="AG296" s="80">
        <f t="shared" si="306"/>
        <v>2032.099686629836</v>
      </c>
      <c r="AH296" s="80">
        <f t="shared" si="306"/>
        <v>2012.2509022212143</v>
      </c>
      <c r="AI296" s="80">
        <f t="shared" si="306"/>
        <v>1978.8611887980601</v>
      </c>
      <c r="AJ296" s="80">
        <f t="shared" si="306"/>
        <v>1984.30822235089</v>
      </c>
      <c r="AK296" s="39">
        <f t="shared" si="306"/>
        <v>2001.88</v>
      </c>
      <c r="AL296" s="80">
        <f t="shared" si="306"/>
        <v>1924.3073005675124</v>
      </c>
      <c r="AM296" s="80">
        <f t="shared" si="306"/>
        <v>1905.5183305364385</v>
      </c>
      <c r="AN296" s="80">
        <f t="shared" si="306"/>
        <v>1873.8900426660905</v>
      </c>
      <c r="AO296" s="80">
        <f t="shared" si="306"/>
        <v>1879.0443262299589</v>
      </c>
      <c r="AP296" s="39">
        <f t="shared" si="306"/>
        <v>1895.69</v>
      </c>
      <c r="AQ296" s="80">
        <f t="shared" si="306"/>
        <v>1980.1207633074541</v>
      </c>
      <c r="AR296" s="80">
        <f t="shared" ref="AR296:BW296" si="307">SUM(AR294:AR295)</f>
        <v>1960.8257548562285</v>
      </c>
      <c r="AS296" s="80">
        <f t="shared" si="307"/>
        <v>1928.2255454371095</v>
      </c>
      <c r="AT296" s="80">
        <f t="shared" si="307"/>
        <v>1933.5079363992072</v>
      </c>
      <c r="AU296" s="39">
        <f t="shared" si="307"/>
        <v>1950.6699999999998</v>
      </c>
      <c r="AV296" s="80">
        <f t="shared" si="307"/>
        <v>1955.1200038334503</v>
      </c>
      <c r="AW296" s="80">
        <f t="shared" si="307"/>
        <v>1936.0808794466745</v>
      </c>
      <c r="AX296" s="80">
        <f t="shared" si="307"/>
        <v>1903.8750808823663</v>
      </c>
      <c r="AY296" s="80">
        <f t="shared" si="307"/>
        <v>1909.0840358375081</v>
      </c>
      <c r="AZ296" s="39">
        <f>SUM(AZ294:AZ295)</f>
        <v>1926.04</v>
      </c>
      <c r="BA296" s="80">
        <f t="shared" si="307"/>
        <v>1647.2285177688677</v>
      </c>
      <c r="BB296" s="80">
        <f t="shared" si="307"/>
        <v>1631.1652318224872</v>
      </c>
      <c r="BC296" s="80">
        <f t="shared" si="307"/>
        <v>1604.0626356578441</v>
      </c>
      <c r="BD296" s="80">
        <f t="shared" si="307"/>
        <v>1608.4636147508008</v>
      </c>
      <c r="BE296" s="39">
        <f t="shared" si="307"/>
        <v>1622.73</v>
      </c>
      <c r="BF296" s="80">
        <f t="shared" si="307"/>
        <v>1680.0773143434938</v>
      </c>
      <c r="BG296" s="80">
        <f t="shared" si="307"/>
        <v>1663.6965376057408</v>
      </c>
      <c r="BH296" s="80">
        <f t="shared" si="307"/>
        <v>1636.0494831982005</v>
      </c>
      <c r="BI296" s="80">
        <f t="shared" si="307"/>
        <v>1640.5366648525642</v>
      </c>
      <c r="BJ296" s="39">
        <f t="shared" si="307"/>
        <v>1655.09</v>
      </c>
      <c r="BK296" s="80">
        <f t="shared" si="307"/>
        <v>1652.558456691733</v>
      </c>
      <c r="BL296" s="80">
        <f t="shared" si="307"/>
        <v>1636.4507788545104</v>
      </c>
      <c r="BM296" s="80">
        <f t="shared" si="307"/>
        <v>1609.2498563176284</v>
      </c>
      <c r="BN296" s="80">
        <f t="shared" si="307"/>
        <v>1613.660908136128</v>
      </c>
      <c r="BO296" s="39">
        <f t="shared" si="307"/>
        <v>1627.98</v>
      </c>
      <c r="BP296" s="80">
        <f t="shared" si="307"/>
        <v>1658.7106306339263</v>
      </c>
      <c r="BQ296" s="80">
        <f t="shared" si="307"/>
        <v>1642.5506138248659</v>
      </c>
      <c r="BR296" s="80">
        <f t="shared" si="307"/>
        <v>1615.2377366346343</v>
      </c>
      <c r="BS296" s="80">
        <f t="shared" si="307"/>
        <v>1619.6610189065732</v>
      </c>
      <c r="BT296" s="39">
        <f t="shared" si="307"/>
        <v>1634.04</v>
      </c>
      <c r="BU296" s="80">
        <f t="shared" si="307"/>
        <v>1809.4952177669907</v>
      </c>
      <c r="BV296" s="80">
        <f t="shared" si="307"/>
        <v>1791.8878413050936</v>
      </c>
      <c r="BW296" s="80">
        <f t="shared" si="307"/>
        <v>1762.061732425979</v>
      </c>
      <c r="BX296" s="80">
        <f t="shared" ref="BX296:CD296" si="308">SUM(BX294:BX295)</f>
        <v>1766.8752085019373</v>
      </c>
      <c r="BY296" s="39">
        <f t="shared" si="308"/>
        <v>1782.5800000000002</v>
      </c>
      <c r="BZ296" s="80">
        <f t="shared" si="308"/>
        <v>1861.6114658939343</v>
      </c>
      <c r="CA296" s="80">
        <f t="shared" si="308"/>
        <v>1843.5088544341943</v>
      </c>
      <c r="CB296" s="80">
        <f t="shared" si="308"/>
        <v>1812.8070493681967</v>
      </c>
      <c r="CC296" s="80">
        <f t="shared" si="308"/>
        <v>1817.7526303036743</v>
      </c>
      <c r="CD296" s="39">
        <f t="shared" si="308"/>
        <v>1833.9199999999998</v>
      </c>
      <c r="CE296" s="5"/>
      <c r="CF296" s="5"/>
      <c r="CG296" s="5"/>
      <c r="CH296" s="5"/>
      <c r="CI296" s="5"/>
    </row>
    <row r="297" spans="1:87">
      <c r="A297" s="11"/>
      <c r="B297" s="11"/>
      <c r="C297" s="11"/>
      <c r="D297" s="11"/>
      <c r="E297" s="11"/>
      <c r="F297" s="11"/>
      <c r="G297" s="11"/>
      <c r="H297" s="80"/>
      <c r="I297" s="80"/>
      <c r="J297" s="80"/>
      <c r="K297" s="80"/>
      <c r="L297" s="11"/>
      <c r="M297" s="68"/>
      <c r="N297" s="68"/>
      <c r="O297" s="68"/>
      <c r="P297" s="68"/>
      <c r="Q297" s="11"/>
      <c r="R297" s="68"/>
      <c r="S297" s="68"/>
      <c r="T297" s="68"/>
      <c r="U297" s="68"/>
      <c r="V297" s="11"/>
      <c r="W297" s="68"/>
      <c r="X297" s="68"/>
      <c r="Y297" s="68"/>
      <c r="Z297" s="68"/>
      <c r="AA297" s="11"/>
      <c r="AB297" s="68"/>
      <c r="AC297" s="68"/>
      <c r="AD297" s="68"/>
      <c r="AE297" s="68"/>
      <c r="AF297" s="11"/>
      <c r="AG297" s="68"/>
      <c r="AH297" s="68"/>
      <c r="AI297" s="68"/>
      <c r="AJ297" s="68"/>
      <c r="AK297" s="11"/>
      <c r="AL297" s="48"/>
      <c r="AM297" s="48"/>
      <c r="AN297" s="48"/>
      <c r="AO297" s="48"/>
      <c r="AP297" s="48"/>
      <c r="AQ297" s="48"/>
      <c r="AR297" s="48"/>
      <c r="AS297" s="48"/>
      <c r="AT297" s="48"/>
      <c r="AU297" s="48"/>
      <c r="AV297" s="48"/>
      <c r="AW297" s="48"/>
      <c r="AX297" s="48"/>
      <c r="AY297" s="48"/>
      <c r="AZ297" s="48"/>
      <c r="BA297" s="48"/>
      <c r="BB297" s="48"/>
      <c r="BC297" s="48"/>
      <c r="BD297" s="48"/>
      <c r="BE297" s="48"/>
      <c r="BF297" s="48"/>
      <c r="BG297" s="48"/>
      <c r="BH297" s="48"/>
      <c r="BI297" s="48"/>
      <c r="BJ297" s="48"/>
      <c r="BK297" s="48"/>
      <c r="BL297" s="48"/>
      <c r="BM297" s="48"/>
      <c r="BN297" s="48"/>
      <c r="BO297" s="48"/>
      <c r="BP297" s="48"/>
      <c r="BQ297" s="48"/>
      <c r="BR297" s="48"/>
      <c r="BS297" s="48"/>
      <c r="BT297" s="48"/>
      <c r="BU297" s="48"/>
      <c r="BV297" s="48"/>
      <c r="BW297" s="48"/>
      <c r="BX297" s="48"/>
      <c r="BY297" s="48"/>
      <c r="BZ297" s="48"/>
      <c r="CA297" s="48"/>
      <c r="CB297" s="48"/>
      <c r="CC297" s="48"/>
      <c r="CD297" s="48"/>
      <c r="CE297" s="5"/>
      <c r="CF297" s="5"/>
      <c r="CG297" s="5"/>
      <c r="CH297" s="5"/>
      <c r="CI297" s="5"/>
    </row>
    <row r="298" spans="1:87">
      <c r="A298" s="39" t="s">
        <v>1994</v>
      </c>
      <c r="B298" s="11"/>
      <c r="C298" s="11"/>
      <c r="D298" s="11"/>
      <c r="E298" s="11"/>
      <c r="F298" s="11"/>
      <c r="G298" s="11"/>
      <c r="H298" s="80"/>
      <c r="I298" s="80"/>
      <c r="J298" s="80"/>
      <c r="K298" s="80"/>
      <c r="L298" s="11"/>
      <c r="M298" s="68"/>
      <c r="N298" s="68"/>
      <c r="O298" s="68"/>
      <c r="P298" s="68"/>
      <c r="Q298" s="11"/>
      <c r="R298" s="68"/>
      <c r="S298" s="68"/>
      <c r="T298" s="68"/>
      <c r="U298" s="68"/>
      <c r="V298" s="11"/>
      <c r="W298" s="68"/>
      <c r="X298" s="68"/>
      <c r="Y298" s="68"/>
      <c r="Z298" s="68"/>
      <c r="AA298" s="11"/>
      <c r="AB298" s="68"/>
      <c r="AC298" s="68"/>
      <c r="AD298" s="68"/>
      <c r="AE298" s="68"/>
      <c r="AF298" s="11"/>
      <c r="AG298" s="68"/>
      <c r="AH298" s="68"/>
      <c r="AI298" s="68"/>
      <c r="AJ298" s="68"/>
      <c r="AK298" s="11"/>
      <c r="AL298" s="68"/>
      <c r="AM298" s="68"/>
      <c r="AN298" s="68"/>
      <c r="AO298" s="68"/>
      <c r="AP298" s="11"/>
      <c r="AQ298" s="68"/>
      <c r="AR298" s="68"/>
      <c r="AS298" s="68"/>
      <c r="AT298" s="68"/>
      <c r="AU298" s="11"/>
      <c r="AV298" s="68"/>
      <c r="AW298" s="68"/>
      <c r="AX298" s="68"/>
      <c r="AY298" s="68"/>
      <c r="AZ298" s="11"/>
      <c r="BA298" s="68"/>
      <c r="BB298" s="68"/>
      <c r="BC298" s="68"/>
      <c r="BD298" s="68"/>
      <c r="BE298" s="11"/>
      <c r="BF298" s="68"/>
      <c r="BG298" s="68"/>
      <c r="BH298" s="68"/>
      <c r="BI298" s="68"/>
      <c r="BJ298" s="11"/>
      <c r="BK298" s="68"/>
      <c r="BL298" s="68"/>
      <c r="BM298" s="68"/>
      <c r="BN298" s="68"/>
      <c r="BO298" s="11"/>
      <c r="BP298" s="68"/>
      <c r="BQ298" s="68"/>
      <c r="BR298" s="68"/>
      <c r="BS298" s="68"/>
      <c r="BT298" s="11"/>
      <c r="BU298" s="68"/>
      <c r="BV298" s="68"/>
      <c r="BW298" s="68"/>
      <c r="BX298" s="68"/>
      <c r="BY298" s="11"/>
      <c r="BZ298" s="68"/>
      <c r="CA298" s="68"/>
      <c r="CB298" s="68"/>
      <c r="CC298" s="68"/>
      <c r="CD298" s="11"/>
      <c r="CE298" s="5"/>
      <c r="CF298" s="5"/>
      <c r="CG298" s="5"/>
      <c r="CH298" s="5"/>
      <c r="CI298" s="5"/>
    </row>
    <row r="299" spans="1:87">
      <c r="A299" s="39"/>
      <c r="B299" s="11" t="s">
        <v>2921</v>
      </c>
      <c r="C299" s="11"/>
      <c r="D299" s="11"/>
      <c r="E299" s="11">
        <f t="shared" ref="E299:G300" si="309">SUM(E191,E245)</f>
        <v>270.03000000000003</v>
      </c>
      <c r="F299" s="11">
        <f t="shared" si="309"/>
        <v>314.42999999999995</v>
      </c>
      <c r="G299" s="11">
        <f t="shared" si="309"/>
        <v>345.87600000000003</v>
      </c>
      <c r="H299" s="86">
        <f>G299+(L299-G299)/4</f>
        <v>353.33850000000001</v>
      </c>
      <c r="I299" s="86">
        <f>H299+(L299-G299)/2</f>
        <v>368.26350000000002</v>
      </c>
      <c r="J299" s="86">
        <f>I299+(L299-G299)/2</f>
        <v>383.18849999999998</v>
      </c>
      <c r="K299" s="86">
        <f>J299+(L299-G299)/2</f>
        <v>398.11349999999993</v>
      </c>
      <c r="L299" s="11">
        <f>SUM(L191,L245)</f>
        <v>375.726</v>
      </c>
      <c r="M299" s="65">
        <f t="shared" ref="M299:O304" si="310">$Q299*M$172</f>
        <v>365.67388265198053</v>
      </c>
      <c r="N299" s="65">
        <f t="shared" si="310"/>
        <v>341.0429993645414</v>
      </c>
      <c r="O299" s="65">
        <f t="shared" si="310"/>
        <v>357.79200000000003</v>
      </c>
      <c r="P299" s="65">
        <f>Q299*4-SUM(M299:O299)</f>
        <v>366.65911798347815</v>
      </c>
      <c r="Q299" s="11">
        <f>SUM(Q191,Q245)</f>
        <v>357.79200000000003</v>
      </c>
      <c r="R299" s="65">
        <f>V299*R$172</f>
        <v>374.04450093148415</v>
      </c>
      <c r="S299" s="65">
        <f>V299*S$172</f>
        <v>374.90043800455391</v>
      </c>
      <c r="T299" s="65">
        <f>V299*T$172</f>
        <v>374.35575077623679</v>
      </c>
      <c r="U299" s="65">
        <f>V299*4-SUM(R299:T299)</f>
        <v>380.34731028772512</v>
      </c>
      <c r="V299" s="11">
        <f>SUM(V191,V245)</f>
        <v>375.91199999999998</v>
      </c>
      <c r="W299" s="65">
        <f>AA299*W$172</f>
        <v>366.49216051884883</v>
      </c>
      <c r="X299" s="65">
        <f>AA299*X$172</f>
        <v>373.07895419537903</v>
      </c>
      <c r="Y299" s="65">
        <f>AA299*Y$172</f>
        <v>349.84015403323878</v>
      </c>
      <c r="Z299" s="65">
        <f>AA299*4-SUM(W299:Y299)</f>
        <v>371.22873125253341</v>
      </c>
      <c r="AA299" s="11">
        <f>SUM(AA191,AA245)</f>
        <v>365.16</v>
      </c>
      <c r="AB299" s="65">
        <f>AF299*AB$172</f>
        <v>363.11071001964632</v>
      </c>
      <c r="AC299" s="65">
        <f>AF299*AC$172</f>
        <v>358.77357406679761</v>
      </c>
      <c r="AD299" s="65">
        <f>AF299*AD$172</f>
        <v>371.14507662082508</v>
      </c>
      <c r="AE299" s="65">
        <f>AF299*4-SUM(AB299:AD299)</f>
        <v>354.57863929273094</v>
      </c>
      <c r="AF299" s="11">
        <f>SUM(AF191,AF245)</f>
        <v>361.90199999999999</v>
      </c>
      <c r="AG299" s="65">
        <f t="shared" ref="AG299:AG304" si="311">AK299*$CF$172</f>
        <v>365.15254446975712</v>
      </c>
      <c r="AH299" s="65">
        <f t="shared" ref="AH299:AH304" si="312">AK299*$CG$172</f>
        <v>355.51334750382188</v>
      </c>
      <c r="AI299" s="65">
        <f t="shared" ref="AI299:AI304" si="313">AK299*$CH$172</f>
        <v>358.02520734920819</v>
      </c>
      <c r="AJ299" s="65">
        <f t="shared" ref="AJ299:AJ304" si="314">AK299*4-SUM(AG299:AI299)</f>
        <v>362.34090067721309</v>
      </c>
      <c r="AK299" s="11">
        <f t="shared" ref="AK299:AK304" si="315">SUM(AK191,AK245)</f>
        <v>360.25800000000004</v>
      </c>
      <c r="AL299" s="65">
        <f t="shared" ref="AL299:AL304" si="316">AP299*$CF$172</f>
        <v>349.55953406020961</v>
      </c>
      <c r="AM299" s="65">
        <f t="shared" ref="AM299:AM304" si="317">AP299*$CG$172</f>
        <v>340.33195711693577</v>
      </c>
      <c r="AN299" s="65">
        <f t="shared" ref="AN299:AN304" si="318">AP299*$CH$172</f>
        <v>342.73655369027415</v>
      </c>
      <c r="AO299" s="65">
        <f t="shared" ref="AO299:AO304" si="319">AP299*4-SUM(AL299:AN299)</f>
        <v>346.86795513258039</v>
      </c>
      <c r="AP299" s="11">
        <f t="shared" ref="AP299:AP304" si="320">SUM(AP191,AP245)</f>
        <v>344.87399999999997</v>
      </c>
      <c r="AQ299" s="65">
        <f t="shared" ref="AQ299:AQ304" si="321">AU299*$CF$172</f>
        <v>321.12844058726336</v>
      </c>
      <c r="AR299" s="65">
        <f t="shared" ref="AR299:AR304" si="322">AU299*$CG$172</f>
        <v>312.65137987095596</v>
      </c>
      <c r="AS299" s="65">
        <f t="shared" ref="AS299:AS304" si="323">AU299*$CH$172</f>
        <v>314.86040086050974</v>
      </c>
      <c r="AT299" s="65">
        <f t="shared" ref="AT299:AT304" si="324">AU299*4-SUM(AQ299:AS299)</f>
        <v>318.65577868127093</v>
      </c>
      <c r="AU299" s="11">
        <f t="shared" ref="AU299:AU304" si="325">SUM(AU191,AU245)</f>
        <v>316.82400000000001</v>
      </c>
      <c r="AV299" s="65">
        <f t="shared" ref="AV299:AV304" si="326">AZ299*$CF$172</f>
        <v>313.00353344718712</v>
      </c>
      <c r="AW299" s="65">
        <f t="shared" ref="AW299:AW304" si="327">AZ299*$CG$172</f>
        <v>304.74095180665023</v>
      </c>
      <c r="AX299" s="65">
        <f t="shared" ref="AX299:AX304" si="328">AZ299*$CH$172</f>
        <v>306.8940821053086</v>
      </c>
      <c r="AY299" s="65">
        <f t="shared" ref="AY299:AY304" si="329">AZ299*4-SUM(AV299:AX299)</f>
        <v>310.59343264085396</v>
      </c>
      <c r="AZ299" s="11">
        <f t="shared" ref="AZ299:AZ304" si="330">SUM(AZ191,AZ245)</f>
        <v>308.80799999999999</v>
      </c>
      <c r="BA299" s="65">
        <f t="shared" ref="BA299:BA304" si="331">BE299*$CF$172</f>
        <v>332.82319839442391</v>
      </c>
      <c r="BB299" s="65">
        <f t="shared" ref="BB299:BB304" si="332">BE299*$CG$172</f>
        <v>324.03742266112044</v>
      </c>
      <c r="BC299" s="65">
        <f t="shared" ref="BC299:BC304" si="333">BE299*$CH$172</f>
        <v>326.32689110471017</v>
      </c>
      <c r="BD299" s="65">
        <f t="shared" ref="BD299:BD304" si="334">BE299*4-SUM(BA299:BC299)</f>
        <v>330.26048783974534</v>
      </c>
      <c r="BE299" s="11">
        <f t="shared" ref="BE299:BE304" si="335">SUM(BE191,BE245)</f>
        <v>328.36199999999997</v>
      </c>
      <c r="BF299" s="65">
        <f t="shared" ref="BF299:BF304" si="336">BJ299*$CF$172</f>
        <v>346.67081333301189</v>
      </c>
      <c r="BG299" s="65">
        <f t="shared" ref="BG299:BG304" si="337">BJ299*$CG$172</f>
        <v>337.51949204916241</v>
      </c>
      <c r="BH299" s="65">
        <f t="shared" ref="BH299:BH304" si="338">BJ299*$CH$172</f>
        <v>339.90421730650132</v>
      </c>
      <c r="BI299" s="65">
        <f t="shared" ref="BI299:BI304" si="339">BJ299*4-SUM(BF299:BH299)</f>
        <v>344.00147731132438</v>
      </c>
      <c r="BJ299" s="11">
        <f t="shared" ref="BJ299:BJ304" si="340">SUM(BJ191,BJ245)</f>
        <v>342.024</v>
      </c>
      <c r="BK299" s="65">
        <f t="shared" ref="BK299:BK304" si="341">BO299*$CF$172</f>
        <v>310.18069582429393</v>
      </c>
      <c r="BL299" s="65">
        <f t="shared" ref="BL299:BL304" si="342">BO299*$CG$172</f>
        <v>301.99263067901916</v>
      </c>
      <c r="BM299" s="65">
        <f t="shared" ref="BM299:BM304" si="343">BO299*$CH$172</f>
        <v>304.12634286713057</v>
      </c>
      <c r="BN299" s="65">
        <f t="shared" ref="BN299:BN304" si="344">BO299*4-SUM(BK299:BM299)</f>
        <v>307.79233062955643</v>
      </c>
      <c r="BO299" s="11">
        <f t="shared" ref="BO299:BO304" si="345">SUM(BO191,BO245)</f>
        <v>306.02300000000002</v>
      </c>
      <c r="BP299" s="65">
        <f t="shared" ref="BP299:BP304" si="346">BT299*$CF$172</f>
        <v>277.12460842917102</v>
      </c>
      <c r="BQ299" s="65">
        <f t="shared" ref="BQ299:BQ304" si="347">BT299*$CG$172</f>
        <v>269.80914883505693</v>
      </c>
      <c r="BR299" s="65">
        <f t="shared" ref="BR299:BR304" si="348">BT299*$CH$172</f>
        <v>271.71547041660978</v>
      </c>
      <c r="BS299" s="65">
        <f t="shared" ref="BS299:BS304" si="349">BT299*4-SUM(BP299:BR299)</f>
        <v>274.99077231916226</v>
      </c>
      <c r="BT299" s="11">
        <f t="shared" ref="BT299:BT304" si="350">SUM(BT191,BT245)</f>
        <v>273.41000000000003</v>
      </c>
      <c r="BU299" s="65">
        <f t="shared" ref="BU299:BU304" si="351">BY299*$CF$172</f>
        <v>288.45143443844637</v>
      </c>
      <c r="BV299" s="65">
        <f t="shared" ref="BV299:BV304" si="352">BY299*$CG$172</f>
        <v>280.83697239027344</v>
      </c>
      <c r="BW299" s="65">
        <f t="shared" ref="BW299:BW304" si="353">BY299*$CH$172</f>
        <v>282.82121044771912</v>
      </c>
      <c r="BX299" s="65">
        <f t="shared" ref="BX299:BX304" si="354">BY299*4-SUM(BU299:BW299)</f>
        <v>286.23038272356098</v>
      </c>
      <c r="BY299" s="11">
        <f t="shared" ref="BY299:BY304" si="355">SUM(BY191,BY245)</f>
        <v>284.58499999999998</v>
      </c>
      <c r="BZ299" s="65">
        <f t="shared" ref="BZ299:BZ304" si="356">CD299*$CF$172</f>
        <v>304.4154174045392</v>
      </c>
      <c r="CA299" s="65">
        <f t="shared" ref="CA299:CA304" si="357">CD299*$CG$172</f>
        <v>296.37954250165251</v>
      </c>
      <c r="CB299" s="65">
        <f t="shared" ref="CB299:CB304" si="358">CD299*$CH$172</f>
        <v>298.47359572646388</v>
      </c>
      <c r="CC299" s="65">
        <f t="shared" ref="CC299:CC304" si="359">CD299*4-SUM(BZ299:CB299)</f>
        <v>302.07144436734438</v>
      </c>
      <c r="CD299" s="11">
        <f t="shared" ref="CD299:CD304" si="360">SUM(CD191,CD245)</f>
        <v>300.33499999999998</v>
      </c>
      <c r="CE299" s="5"/>
      <c r="CF299" s="5"/>
      <c r="CG299" s="5"/>
      <c r="CH299" s="5"/>
      <c r="CI299" s="5"/>
    </row>
    <row r="300" spans="1:87">
      <c r="A300" s="39"/>
      <c r="B300" s="11" t="s">
        <v>785</v>
      </c>
      <c r="C300" s="11"/>
      <c r="D300" s="11"/>
      <c r="E300" s="11">
        <f t="shared" si="309"/>
        <v>0</v>
      </c>
      <c r="F300" s="11">
        <f t="shared" si="309"/>
        <v>1.7999999999999999E-2</v>
      </c>
      <c r="G300" s="11">
        <f t="shared" si="309"/>
        <v>6.4859999999999998</v>
      </c>
      <c r="H300" s="86">
        <f>G300+(L300-G300)/4</f>
        <v>5.79</v>
      </c>
      <c r="I300" s="86">
        <f>H300+(L300-G300)/2</f>
        <v>4.3979999999999997</v>
      </c>
      <c r="J300" s="86">
        <f>I300+(L300-G300)/2</f>
        <v>3.0059999999999998</v>
      </c>
      <c r="K300" s="86">
        <f>J300+(L300-G300)/2</f>
        <v>1.6139999999999999</v>
      </c>
      <c r="L300" s="11">
        <f>SUM(L192,L246)</f>
        <v>3.702</v>
      </c>
      <c r="M300" s="65">
        <f>$Q300*M$172</f>
        <v>5.1142342723999148</v>
      </c>
      <c r="N300" s="65">
        <f>$Q300*N$172</f>
        <v>4.7697521711501798</v>
      </c>
      <c r="O300" s="65">
        <f>$Q300*O$172</f>
        <v>5.0039999999999996</v>
      </c>
      <c r="P300" s="65">
        <f>Q300*4-SUM(M300:O300)</f>
        <v>5.1280135564499041</v>
      </c>
      <c r="Q300" s="11">
        <f>SUM(Q192,Q246)</f>
        <v>5.0039999999999996</v>
      </c>
      <c r="R300" s="65">
        <f>V300*R$172</f>
        <v>4.3701809149244468</v>
      </c>
      <c r="S300" s="65">
        <f>V300*S$172</f>
        <v>4.3801813289174092</v>
      </c>
      <c r="T300" s="65">
        <f>V300*T$172</f>
        <v>4.3738174291037053</v>
      </c>
      <c r="U300" s="65">
        <f>V300*4-SUM(R300:T300)</f>
        <v>4.4438203270544392</v>
      </c>
      <c r="V300" s="11">
        <f>SUM(V192,V246)</f>
        <v>4.3920000000000003</v>
      </c>
      <c r="W300" s="65">
        <f>AA300*W$172</f>
        <v>4.3779132549655451</v>
      </c>
      <c r="X300" s="65">
        <f>AA300*X$172</f>
        <v>4.4565954600729629</v>
      </c>
      <c r="Y300" s="65">
        <f>AA300*Y$172</f>
        <v>4.1789975678962303</v>
      </c>
      <c r="Z300" s="65">
        <f>AA300*4-SUM(W300:Y300)</f>
        <v>4.4344937170652621</v>
      </c>
      <c r="AA300" s="11">
        <f>SUM(AA192,AA246)</f>
        <v>4.3620000000000001</v>
      </c>
      <c r="AB300" s="65">
        <f>AF300*AB$172</f>
        <v>5.3397748526522593</v>
      </c>
      <c r="AC300" s="65">
        <f>AF300*AC$172</f>
        <v>5.2759944990176821</v>
      </c>
      <c r="AD300" s="65">
        <f>AF300*AD$172</f>
        <v>5.4579253438113948</v>
      </c>
      <c r="AE300" s="65">
        <f>AF300*4-SUM(AB300:AD300)</f>
        <v>5.214305304518664</v>
      </c>
      <c r="AF300" s="11">
        <f>SUM(AF192,AF246)</f>
        <v>5.3220000000000001</v>
      </c>
      <c r="AG300" s="65">
        <f>AK300*$CF$172</f>
        <v>7.0606416090033468</v>
      </c>
      <c r="AH300" s="65">
        <f>AK300*$CG$172</f>
        <v>6.8742567235470773</v>
      </c>
      <c r="AI300" s="65">
        <f>AK300*$CH$172</f>
        <v>6.922826403284823</v>
      </c>
      <c r="AJ300" s="65">
        <f>AK300*4-SUM(AG300:AI300)</f>
        <v>7.0062752641647528</v>
      </c>
      <c r="AK300" s="11">
        <f t="shared" si="315"/>
        <v>6.9660000000000002</v>
      </c>
      <c r="AL300" s="65">
        <f>AP300*$CF$172</f>
        <v>17.587748090643995</v>
      </c>
      <c r="AM300" s="65">
        <f>AP300*$CG$172</f>
        <v>17.123471528422176</v>
      </c>
      <c r="AN300" s="65">
        <f>AP300*$CH$172</f>
        <v>17.244456467097081</v>
      </c>
      <c r="AO300" s="65">
        <f>AP300*4-SUM(AL300:AN300)</f>
        <v>17.45232391383675</v>
      </c>
      <c r="AP300" s="11">
        <f t="shared" si="320"/>
        <v>17.352</v>
      </c>
      <c r="AQ300" s="65">
        <f>AU300*$CF$172</f>
        <v>28.060120916400898</v>
      </c>
      <c r="AR300" s="65">
        <f>AU300*$CG$172</f>
        <v>27.319397521486835</v>
      </c>
      <c r="AS300" s="65">
        <f>AU300*$CH$172</f>
        <v>27.51242120995364</v>
      </c>
      <c r="AT300" s="65">
        <f>AU300*4-SUM(AQ300:AS300)</f>
        <v>27.844060352158635</v>
      </c>
      <c r="AU300" s="11">
        <f t="shared" si="325"/>
        <v>27.684000000000001</v>
      </c>
      <c r="AV300" s="65">
        <f>AZ300*$CF$172</f>
        <v>41.025915843528487</v>
      </c>
      <c r="AW300" s="65">
        <f>AZ300*$CG$172</f>
        <v>39.942924941471645</v>
      </c>
      <c r="AX300" s="65">
        <f>AZ300*$CH$172</f>
        <v>40.225139463014138</v>
      </c>
      <c r="AY300" s="65">
        <f>AZ300*4-SUM(AV300:AX300)</f>
        <v>40.710019751985726</v>
      </c>
      <c r="AZ300" s="11">
        <f t="shared" si="330"/>
        <v>40.475999999999999</v>
      </c>
      <c r="BA300" s="65">
        <f>BE300*$CF$172</f>
        <v>48.183861729658496</v>
      </c>
      <c r="BB300" s="65">
        <f>BE300*$CG$172</f>
        <v>46.911917330459509</v>
      </c>
      <c r="BC300" s="65">
        <f>BE300*$CH$172</f>
        <v>47.243370881331309</v>
      </c>
      <c r="BD300" s="65">
        <f>BE300*4-SUM(BA300:BC300)</f>
        <v>47.81285005855068</v>
      </c>
      <c r="BE300" s="11">
        <f t="shared" si="335"/>
        <v>47.537999999999997</v>
      </c>
      <c r="BF300" s="65">
        <f>BJ300*$CF$172</f>
        <v>49.546121609431751</v>
      </c>
      <c r="BG300" s="65">
        <f>BJ300*$CG$172</f>
        <v>48.238216646630519</v>
      </c>
      <c r="BH300" s="65">
        <f>BJ300*$CH$172</f>
        <v>48.579041091784198</v>
      </c>
      <c r="BI300" s="65">
        <f>BJ300*4-SUM(BF300:BH300)</f>
        <v>49.164620652153531</v>
      </c>
      <c r="BJ300" s="11">
        <f t="shared" si="340"/>
        <v>48.881999999999998</v>
      </c>
      <c r="BK300" s="65">
        <f>BO300*$CF$172</f>
        <v>44.998160239980422</v>
      </c>
      <c r="BL300" s="65">
        <f>BO300*$CG$172</f>
        <v>43.81031111712209</v>
      </c>
      <c r="BM300" s="65">
        <f>BO300*$CH$172</f>
        <v>44.119850441261804</v>
      </c>
      <c r="BN300" s="65">
        <f>BO300*4-SUM(BK300:BM300)</f>
        <v>44.65167820163569</v>
      </c>
      <c r="BO300" s="11">
        <f t="shared" si="345"/>
        <v>44.395000000000003</v>
      </c>
      <c r="BP300" s="65">
        <f>BT300*$CF$172</f>
        <v>37.44694290046349</v>
      </c>
      <c r="BQ300" s="65">
        <f>BT300*$CG$172</f>
        <v>36.458428746977717</v>
      </c>
      <c r="BR300" s="65">
        <f>BT300*$CH$172</f>
        <v>36.716023753855552</v>
      </c>
      <c r="BS300" s="65">
        <f>BT300*4-SUM(BP300:BR300)</f>
        <v>37.158604598703249</v>
      </c>
      <c r="BT300" s="11">
        <f t="shared" si="350"/>
        <v>36.945</v>
      </c>
      <c r="BU300" s="65">
        <f>BY300*$CF$172</f>
        <v>41.511423642941729</v>
      </c>
      <c r="BV300" s="65">
        <f>BY300*$CG$172</f>
        <v>40.415616438827236</v>
      </c>
      <c r="BW300" s="65">
        <f>BY300*$CH$172</f>
        <v>40.70117073593596</v>
      </c>
      <c r="BX300" s="65">
        <f>BY300*4-SUM(BU300:BW300)</f>
        <v>41.191789182295068</v>
      </c>
      <c r="BY300" s="11">
        <f t="shared" si="355"/>
        <v>40.954999999999998</v>
      </c>
      <c r="BZ300" s="65">
        <f>CD300*$CF$172</f>
        <v>42.7074553826236</v>
      </c>
      <c r="CA300" s="65">
        <f>CD300*$CG$172</f>
        <v>41.580075659870239</v>
      </c>
      <c r="CB300" s="65">
        <f>CD300*$CH$172</f>
        <v>41.873857379041922</v>
      </c>
      <c r="CC300" s="65">
        <f>CD300*4-SUM(BZ300:CB300)</f>
        <v>42.378611578464231</v>
      </c>
      <c r="CD300" s="11">
        <f t="shared" si="360"/>
        <v>42.134999999999998</v>
      </c>
      <c r="CE300" s="5"/>
      <c r="CF300" s="5"/>
      <c r="CG300" s="5"/>
      <c r="CH300" s="5"/>
      <c r="CI300" s="5"/>
    </row>
    <row r="301" spans="1:87">
      <c r="A301" s="39"/>
      <c r="B301" s="11" t="s">
        <v>2428</v>
      </c>
      <c r="C301" s="11">
        <v>0</v>
      </c>
      <c r="D301" s="11">
        <v>0</v>
      </c>
      <c r="E301" s="11">
        <v>0</v>
      </c>
      <c r="F301" s="11">
        <v>0</v>
      </c>
      <c r="G301" s="11">
        <v>0</v>
      </c>
      <c r="H301" s="51"/>
      <c r="I301" s="51"/>
      <c r="J301" s="51"/>
      <c r="K301" s="51"/>
      <c r="L301" s="11">
        <v>0</v>
      </c>
      <c r="M301" s="51"/>
      <c r="N301" s="51"/>
      <c r="O301" s="51"/>
      <c r="P301" s="51"/>
      <c r="Q301" s="11">
        <v>0</v>
      </c>
      <c r="R301" s="51"/>
      <c r="S301" s="51"/>
      <c r="T301" s="51"/>
      <c r="U301" s="51"/>
      <c r="V301" s="11">
        <v>0</v>
      </c>
      <c r="W301" s="51"/>
      <c r="X301" s="51"/>
      <c r="Y301" s="51"/>
      <c r="Z301" s="51"/>
      <c r="AA301" s="11">
        <v>0</v>
      </c>
      <c r="AB301" s="51"/>
      <c r="AC301" s="51"/>
      <c r="AD301" s="51"/>
      <c r="AE301" s="51"/>
      <c r="AF301" s="11">
        <v>0</v>
      </c>
      <c r="AG301" s="65">
        <f t="shared" si="311"/>
        <v>0</v>
      </c>
      <c r="AH301" s="65">
        <f t="shared" si="312"/>
        <v>0</v>
      </c>
      <c r="AI301" s="65">
        <f t="shared" si="313"/>
        <v>0</v>
      </c>
      <c r="AJ301" s="65">
        <f t="shared" si="314"/>
        <v>0</v>
      </c>
      <c r="AK301" s="11">
        <f t="shared" si="315"/>
        <v>0</v>
      </c>
      <c r="AL301" s="65">
        <f t="shared" si="316"/>
        <v>0</v>
      </c>
      <c r="AM301" s="65">
        <f t="shared" si="317"/>
        <v>0</v>
      </c>
      <c r="AN301" s="65">
        <f t="shared" si="318"/>
        <v>0</v>
      </c>
      <c r="AO301" s="65">
        <f t="shared" si="319"/>
        <v>0</v>
      </c>
      <c r="AP301" s="11">
        <f t="shared" si="320"/>
        <v>0</v>
      </c>
      <c r="AQ301" s="65">
        <f t="shared" si="321"/>
        <v>0</v>
      </c>
      <c r="AR301" s="65">
        <f t="shared" si="322"/>
        <v>0</v>
      </c>
      <c r="AS301" s="65">
        <f t="shared" si="323"/>
        <v>0</v>
      </c>
      <c r="AT301" s="65">
        <f t="shared" si="324"/>
        <v>0</v>
      </c>
      <c r="AU301" s="11">
        <f t="shared" si="325"/>
        <v>0</v>
      </c>
      <c r="AV301" s="65">
        <f t="shared" si="326"/>
        <v>0</v>
      </c>
      <c r="AW301" s="65">
        <f t="shared" si="327"/>
        <v>0</v>
      </c>
      <c r="AX301" s="65">
        <f t="shared" si="328"/>
        <v>0</v>
      </c>
      <c r="AY301" s="65">
        <f t="shared" si="329"/>
        <v>0</v>
      </c>
      <c r="AZ301" s="11">
        <f t="shared" si="330"/>
        <v>0</v>
      </c>
      <c r="BA301" s="65">
        <f t="shared" si="331"/>
        <v>0</v>
      </c>
      <c r="BB301" s="65">
        <f t="shared" si="332"/>
        <v>0</v>
      </c>
      <c r="BC301" s="65">
        <f t="shared" si="333"/>
        <v>0</v>
      </c>
      <c r="BD301" s="65">
        <f t="shared" si="334"/>
        <v>0</v>
      </c>
      <c r="BE301" s="11">
        <f t="shared" si="335"/>
        <v>0</v>
      </c>
      <c r="BF301" s="65">
        <f t="shared" si="336"/>
        <v>0</v>
      </c>
      <c r="BG301" s="65">
        <f t="shared" si="337"/>
        <v>0</v>
      </c>
      <c r="BH301" s="65">
        <f t="shared" si="338"/>
        <v>0</v>
      </c>
      <c r="BI301" s="65">
        <f t="shared" si="339"/>
        <v>0</v>
      </c>
      <c r="BJ301" s="11">
        <f t="shared" si="340"/>
        <v>0</v>
      </c>
      <c r="BK301" s="65">
        <f t="shared" si="341"/>
        <v>0</v>
      </c>
      <c r="BL301" s="65">
        <f t="shared" si="342"/>
        <v>0</v>
      </c>
      <c r="BM301" s="65">
        <f t="shared" si="343"/>
        <v>0</v>
      </c>
      <c r="BN301" s="65">
        <f t="shared" si="344"/>
        <v>0</v>
      </c>
      <c r="BO301" s="11">
        <f t="shared" si="345"/>
        <v>0</v>
      </c>
      <c r="BP301" s="65">
        <f t="shared" si="346"/>
        <v>0</v>
      </c>
      <c r="BQ301" s="65">
        <f t="shared" si="347"/>
        <v>0</v>
      </c>
      <c r="BR301" s="65">
        <f t="shared" si="348"/>
        <v>0</v>
      </c>
      <c r="BS301" s="65">
        <f t="shared" si="349"/>
        <v>0</v>
      </c>
      <c r="BT301" s="11">
        <f t="shared" si="350"/>
        <v>0</v>
      </c>
      <c r="BU301" s="65">
        <f t="shared" si="351"/>
        <v>0</v>
      </c>
      <c r="BV301" s="65">
        <f t="shared" si="352"/>
        <v>0</v>
      </c>
      <c r="BW301" s="65">
        <f t="shared" si="353"/>
        <v>0</v>
      </c>
      <c r="BX301" s="65">
        <f t="shared" si="354"/>
        <v>0</v>
      </c>
      <c r="BY301" s="11">
        <f t="shared" si="355"/>
        <v>0</v>
      </c>
      <c r="BZ301" s="65">
        <f t="shared" si="356"/>
        <v>0</v>
      </c>
      <c r="CA301" s="65">
        <f t="shared" si="357"/>
        <v>0</v>
      </c>
      <c r="CB301" s="65">
        <f t="shared" si="358"/>
        <v>0</v>
      </c>
      <c r="CC301" s="65">
        <f t="shared" si="359"/>
        <v>0</v>
      </c>
      <c r="CD301" s="11">
        <f t="shared" si="360"/>
        <v>0</v>
      </c>
      <c r="CE301" s="5"/>
      <c r="CF301" s="5"/>
      <c r="CG301" s="5"/>
      <c r="CH301" s="5"/>
      <c r="CI301" s="5"/>
    </row>
    <row r="302" spans="1:87">
      <c r="A302" s="11"/>
      <c r="B302" s="11" t="s">
        <v>2247</v>
      </c>
      <c r="C302" s="11"/>
      <c r="D302" s="11"/>
      <c r="E302" s="11">
        <f t="shared" ref="E302:G304" si="361">SUM(E194,E248)</f>
        <v>0</v>
      </c>
      <c r="F302" s="11">
        <f t="shared" si="361"/>
        <v>4</v>
      </c>
      <c r="G302" s="11">
        <f t="shared" si="361"/>
        <v>2.5</v>
      </c>
      <c r="H302" s="86">
        <f>G302+(L302-G302)/4</f>
        <v>11.47</v>
      </c>
      <c r="I302" s="86">
        <f>H302+(L302-G302)/2</f>
        <v>29.410000000000004</v>
      </c>
      <c r="J302" s="86">
        <f>I302+(L302-G302)/2</f>
        <v>47.350000000000009</v>
      </c>
      <c r="K302" s="86">
        <f>J302+(L302-G302)/2</f>
        <v>65.290000000000006</v>
      </c>
      <c r="L302" s="11">
        <f>SUM(L194,L248)</f>
        <v>38.380000000000003</v>
      </c>
      <c r="M302" s="65">
        <f t="shared" si="310"/>
        <v>58.357869095530603</v>
      </c>
      <c r="N302" s="65">
        <f t="shared" si="310"/>
        <v>54.427028171997456</v>
      </c>
      <c r="O302" s="65">
        <f t="shared" si="310"/>
        <v>57.1</v>
      </c>
      <c r="P302" s="65">
        <f>Q302*4-SUM(M302:O302)</f>
        <v>58.515102732471945</v>
      </c>
      <c r="Q302" s="11">
        <f>SUM(Q194,Q248)</f>
        <v>57.1</v>
      </c>
      <c r="R302" s="65">
        <f>V302*R$172</f>
        <v>56.816332022355624</v>
      </c>
      <c r="S302" s="65">
        <f>V302*S$172</f>
        <v>56.946346512109301</v>
      </c>
      <c r="T302" s="65">
        <f>V302*T$172</f>
        <v>56.863610018629686</v>
      </c>
      <c r="U302" s="65">
        <f>V302*4-SUM(R302:T302)</f>
        <v>57.773711446905395</v>
      </c>
      <c r="V302" s="11">
        <f>SUM(V194,V248)</f>
        <v>57.1</v>
      </c>
      <c r="W302" s="65">
        <f>AA302*W$172</f>
        <v>91.131252533441426</v>
      </c>
      <c r="X302" s="65">
        <f>AA302*X$172</f>
        <v>92.769112282124027</v>
      </c>
      <c r="Y302" s="65">
        <f>AA302*Y$172</f>
        <v>86.990595865423586</v>
      </c>
      <c r="Z302" s="65">
        <f>AA302*4-SUM(W302:Y302)</f>
        <v>92.309039319010935</v>
      </c>
      <c r="AA302" s="11">
        <f>SUM(AA194,AA248)</f>
        <v>90.8</v>
      </c>
      <c r="AB302" s="65">
        <f>AF302*AB$172</f>
        <v>93.260442043221985</v>
      </c>
      <c r="AC302" s="65">
        <f>AF302*AC$172</f>
        <v>92.146502946954797</v>
      </c>
      <c r="AD302" s="65">
        <f>AF302*AD$172</f>
        <v>95.323968565815306</v>
      </c>
      <c r="AE302" s="65">
        <f>AF302*4-SUM(AB302:AD302)</f>
        <v>91.069086444007894</v>
      </c>
      <c r="AF302" s="11">
        <f>SUM(AF194,AF248)</f>
        <v>92.949999999999989</v>
      </c>
      <c r="AG302" s="65">
        <f t="shared" si="311"/>
        <v>0</v>
      </c>
      <c r="AH302" s="65">
        <f t="shared" si="312"/>
        <v>0</v>
      </c>
      <c r="AI302" s="65">
        <f t="shared" si="313"/>
        <v>0</v>
      </c>
      <c r="AJ302" s="65">
        <f t="shared" si="314"/>
        <v>0</v>
      </c>
      <c r="AK302" s="11">
        <f t="shared" si="315"/>
        <v>0</v>
      </c>
      <c r="AL302" s="65">
        <f t="shared" si="316"/>
        <v>0</v>
      </c>
      <c r="AM302" s="65">
        <f t="shared" si="317"/>
        <v>0</v>
      </c>
      <c r="AN302" s="65">
        <f t="shared" si="318"/>
        <v>0</v>
      </c>
      <c r="AO302" s="65">
        <f t="shared" si="319"/>
        <v>0</v>
      </c>
      <c r="AP302" s="11">
        <f t="shared" si="320"/>
        <v>0</v>
      </c>
      <c r="AQ302" s="65">
        <f t="shared" si="321"/>
        <v>0</v>
      </c>
      <c r="AR302" s="65">
        <f t="shared" si="322"/>
        <v>0</v>
      </c>
      <c r="AS302" s="65">
        <f t="shared" si="323"/>
        <v>0</v>
      </c>
      <c r="AT302" s="65">
        <f t="shared" si="324"/>
        <v>0</v>
      </c>
      <c r="AU302" s="11">
        <f t="shared" si="325"/>
        <v>0</v>
      </c>
      <c r="AV302" s="65">
        <f t="shared" si="326"/>
        <v>0</v>
      </c>
      <c r="AW302" s="65">
        <f t="shared" si="327"/>
        <v>0</v>
      </c>
      <c r="AX302" s="65">
        <f t="shared" si="328"/>
        <v>0</v>
      </c>
      <c r="AY302" s="65">
        <f t="shared" si="329"/>
        <v>0</v>
      </c>
      <c r="AZ302" s="11">
        <f t="shared" si="330"/>
        <v>0</v>
      </c>
      <c r="BA302" s="65">
        <f t="shared" si="331"/>
        <v>0</v>
      </c>
      <c r="BB302" s="65">
        <f t="shared" si="332"/>
        <v>0</v>
      </c>
      <c r="BC302" s="65">
        <f t="shared" si="333"/>
        <v>0</v>
      </c>
      <c r="BD302" s="65">
        <f t="shared" si="334"/>
        <v>0</v>
      </c>
      <c r="BE302" s="11">
        <f t="shared" si="335"/>
        <v>0</v>
      </c>
      <c r="BF302" s="65">
        <f t="shared" si="336"/>
        <v>0</v>
      </c>
      <c r="BG302" s="65">
        <f t="shared" si="337"/>
        <v>0</v>
      </c>
      <c r="BH302" s="65">
        <f t="shared" si="338"/>
        <v>0</v>
      </c>
      <c r="BI302" s="65">
        <f t="shared" si="339"/>
        <v>0</v>
      </c>
      <c r="BJ302" s="11">
        <f t="shared" si="340"/>
        <v>0</v>
      </c>
      <c r="BK302" s="65">
        <f t="shared" si="341"/>
        <v>0</v>
      </c>
      <c r="BL302" s="65">
        <f t="shared" si="342"/>
        <v>0</v>
      </c>
      <c r="BM302" s="65">
        <f t="shared" si="343"/>
        <v>0</v>
      </c>
      <c r="BN302" s="65">
        <f t="shared" si="344"/>
        <v>0</v>
      </c>
      <c r="BO302" s="11">
        <f t="shared" si="345"/>
        <v>0</v>
      </c>
      <c r="BP302" s="65">
        <f t="shared" si="346"/>
        <v>0</v>
      </c>
      <c r="BQ302" s="65">
        <f t="shared" si="347"/>
        <v>0</v>
      </c>
      <c r="BR302" s="65">
        <f t="shared" si="348"/>
        <v>0</v>
      </c>
      <c r="BS302" s="65">
        <f t="shared" si="349"/>
        <v>0</v>
      </c>
      <c r="BT302" s="11">
        <f t="shared" si="350"/>
        <v>0</v>
      </c>
      <c r="BU302" s="65">
        <f t="shared" si="351"/>
        <v>0</v>
      </c>
      <c r="BV302" s="65">
        <f t="shared" si="352"/>
        <v>0</v>
      </c>
      <c r="BW302" s="65">
        <f t="shared" si="353"/>
        <v>0</v>
      </c>
      <c r="BX302" s="65">
        <f t="shared" si="354"/>
        <v>0</v>
      </c>
      <c r="BY302" s="11">
        <f t="shared" si="355"/>
        <v>0</v>
      </c>
      <c r="BZ302" s="65">
        <f t="shared" si="356"/>
        <v>0</v>
      </c>
      <c r="CA302" s="65">
        <f t="shared" si="357"/>
        <v>0</v>
      </c>
      <c r="CB302" s="65">
        <f t="shared" si="358"/>
        <v>0</v>
      </c>
      <c r="CC302" s="65">
        <f t="shared" si="359"/>
        <v>0</v>
      </c>
      <c r="CD302" s="11">
        <f t="shared" si="360"/>
        <v>0</v>
      </c>
      <c r="CE302" s="5"/>
      <c r="CF302" s="5"/>
      <c r="CG302" s="5"/>
      <c r="CH302" s="5"/>
      <c r="CI302" s="5"/>
    </row>
    <row r="303" spans="1:87">
      <c r="A303" s="11"/>
      <c r="B303" s="11" t="s">
        <v>1280</v>
      </c>
      <c r="C303" s="11"/>
      <c r="D303" s="11"/>
      <c r="E303" s="11">
        <f t="shared" si="361"/>
        <v>1470</v>
      </c>
      <c r="F303" s="11">
        <f t="shared" si="361"/>
        <v>1382.5</v>
      </c>
      <c r="G303" s="11">
        <f t="shared" si="361"/>
        <v>1504.4</v>
      </c>
      <c r="H303" s="86">
        <f>G303+(L303-G303)/4</f>
        <v>1509.2375000000002</v>
      </c>
      <c r="I303" s="86">
        <f>H303+(L303-G303)/2</f>
        <v>1518.9125000000001</v>
      </c>
      <c r="J303" s="86">
        <f>I303+(L303-G303)/2</f>
        <v>1528.5875000000001</v>
      </c>
      <c r="K303" s="86">
        <f>J303+(L303-G303)/2</f>
        <v>1538.2625</v>
      </c>
      <c r="L303" s="11">
        <f>SUM(L195,L249)</f>
        <v>1523.75</v>
      </c>
      <c r="M303" s="65">
        <f t="shared" si="310"/>
        <v>1626.4062169031984</v>
      </c>
      <c r="N303" s="65">
        <f t="shared" si="310"/>
        <v>1516.855539080703</v>
      </c>
      <c r="O303" s="65">
        <f t="shared" si="310"/>
        <v>1591.35</v>
      </c>
      <c r="P303" s="65">
        <f>Q303*4-SUM(M303:O303)</f>
        <v>1630.7882440160984</v>
      </c>
      <c r="Q303" s="11">
        <f>SUM(Q195,Q249)</f>
        <v>1591.35</v>
      </c>
      <c r="R303" s="65">
        <f>V303*R$172</f>
        <v>1592.2503415441938</v>
      </c>
      <c r="S303" s="65">
        <f>V303*S$172</f>
        <v>1595.8939350031051</v>
      </c>
      <c r="T303" s="65">
        <f>V303*T$172</f>
        <v>1593.5752846201615</v>
      </c>
      <c r="U303" s="65">
        <f>V303*4-SUM(R303:T303)</f>
        <v>1619.0804388325396</v>
      </c>
      <c r="V303" s="11">
        <f>SUM(V195,V249)</f>
        <v>1600.2</v>
      </c>
      <c r="W303" s="65">
        <f>AA303*W$172</f>
        <v>1651.2922740170247</v>
      </c>
      <c r="X303" s="65">
        <f>AA303*X$172</f>
        <v>1680.9701844345357</v>
      </c>
      <c r="Y303" s="65">
        <f>AA303*Y$172</f>
        <v>1576.2638488042157</v>
      </c>
      <c r="Z303" s="65">
        <f>AA303*4-SUM(W303:Y303)</f>
        <v>1672.6336927442235</v>
      </c>
      <c r="AA303" s="11">
        <f>SUM(AA195,AA249)</f>
        <v>1645.29</v>
      </c>
      <c r="AB303" s="65">
        <f>AF303*AB$172</f>
        <v>1657.8887210216108</v>
      </c>
      <c r="AC303" s="65">
        <f>AF303*AC$172</f>
        <v>1638.0862514734774</v>
      </c>
      <c r="AD303" s="65">
        <f>AF303*AD$172</f>
        <v>1694.5719842829074</v>
      </c>
      <c r="AE303" s="65">
        <f>AF303*4-SUM(AB303:AD303)</f>
        <v>1618.933043222004</v>
      </c>
      <c r="AF303" s="11">
        <f>SUM(AF195,AF249)</f>
        <v>1652.37</v>
      </c>
      <c r="AG303" s="65">
        <f t="shared" si="311"/>
        <v>1601.2635104656169</v>
      </c>
      <c r="AH303" s="65">
        <f t="shared" si="312"/>
        <v>1558.9937944099443</v>
      </c>
      <c r="AI303" s="65">
        <f t="shared" si="313"/>
        <v>1570.0087786260929</v>
      </c>
      <c r="AJ303" s="65">
        <f t="shared" si="314"/>
        <v>1588.9339164983458</v>
      </c>
      <c r="AK303" s="11">
        <f t="shared" si="315"/>
        <v>1579.8</v>
      </c>
      <c r="AL303" s="65">
        <f t="shared" si="316"/>
        <v>1493.8740504492655</v>
      </c>
      <c r="AM303" s="65">
        <f t="shared" si="317"/>
        <v>1454.4391719781597</v>
      </c>
      <c r="AN303" s="65">
        <f t="shared" si="318"/>
        <v>1464.7154313065371</v>
      </c>
      <c r="AO303" s="65">
        <f t="shared" si="319"/>
        <v>1482.3713462660389</v>
      </c>
      <c r="AP303" s="11">
        <f t="shared" si="320"/>
        <v>1473.8500000000001</v>
      </c>
      <c r="AQ303" s="65">
        <f t="shared" si="321"/>
        <v>1518.18998386873</v>
      </c>
      <c r="AR303" s="65">
        <f t="shared" si="322"/>
        <v>1478.1132200398727</v>
      </c>
      <c r="AS303" s="65">
        <f t="shared" si="323"/>
        <v>1488.556747042225</v>
      </c>
      <c r="AT303" s="65">
        <f t="shared" si="324"/>
        <v>1506.500049049172</v>
      </c>
      <c r="AU303" s="11">
        <f t="shared" si="325"/>
        <v>1497.84</v>
      </c>
      <c r="AV303" s="65">
        <f t="shared" si="326"/>
        <v>1464.784125933274</v>
      </c>
      <c r="AW303" s="65">
        <f t="shared" si="327"/>
        <v>1426.1171553307579</v>
      </c>
      <c r="AX303" s="65">
        <f t="shared" si="328"/>
        <v>1436.1933070208245</v>
      </c>
      <c r="AY303" s="65">
        <f t="shared" si="329"/>
        <v>1453.505411715144</v>
      </c>
      <c r="AZ303" s="11">
        <f t="shared" si="330"/>
        <v>1445.15</v>
      </c>
      <c r="BA303" s="65">
        <f t="shared" si="331"/>
        <v>1330.7474841912983</v>
      </c>
      <c r="BB303" s="65">
        <f t="shared" si="332"/>
        <v>1295.6187761860742</v>
      </c>
      <c r="BC303" s="65">
        <f t="shared" si="333"/>
        <v>1304.7728988137637</v>
      </c>
      <c r="BD303" s="65">
        <f t="shared" si="334"/>
        <v>1320.5008408088638</v>
      </c>
      <c r="BE303" s="11">
        <f t="shared" si="335"/>
        <v>1312.91</v>
      </c>
      <c r="BF303" s="65">
        <f t="shared" si="336"/>
        <v>1145.7375914420334</v>
      </c>
      <c r="BG303" s="65">
        <f t="shared" si="337"/>
        <v>1115.4927239682954</v>
      </c>
      <c r="BH303" s="65">
        <f t="shared" si="338"/>
        <v>1123.374175961111</v>
      </c>
      <c r="BI303" s="65">
        <f t="shared" si="339"/>
        <v>1136.9155086285609</v>
      </c>
      <c r="BJ303" s="11">
        <f t="shared" si="340"/>
        <v>1130.3800000000001</v>
      </c>
      <c r="BK303" s="65">
        <f t="shared" si="341"/>
        <v>1268.4119316570311</v>
      </c>
      <c r="BL303" s="65">
        <f t="shared" si="342"/>
        <v>1234.9287405130704</v>
      </c>
      <c r="BM303" s="65">
        <f t="shared" si="343"/>
        <v>1243.6540610586651</v>
      </c>
      <c r="BN303" s="65">
        <f t="shared" si="344"/>
        <v>1258.6452667712338</v>
      </c>
      <c r="BO303" s="11">
        <f t="shared" si="345"/>
        <v>1251.4100000000001</v>
      </c>
      <c r="BP303" s="65">
        <f t="shared" si="346"/>
        <v>1420.9769295018752</v>
      </c>
      <c r="BQ303" s="65">
        <f t="shared" si="347"/>
        <v>1383.4663692854369</v>
      </c>
      <c r="BR303" s="65">
        <f t="shared" si="348"/>
        <v>1393.2411742114689</v>
      </c>
      <c r="BS303" s="65">
        <f t="shared" si="349"/>
        <v>1410.0355270012187</v>
      </c>
      <c r="BT303" s="11">
        <f t="shared" si="350"/>
        <v>1401.93</v>
      </c>
      <c r="BU303" s="65">
        <f t="shared" si="351"/>
        <v>1631.7015046543006</v>
      </c>
      <c r="BV303" s="65">
        <f t="shared" si="352"/>
        <v>1588.6282947556404</v>
      </c>
      <c r="BW303" s="65">
        <f t="shared" si="353"/>
        <v>1599.8526598908995</v>
      </c>
      <c r="BX303" s="65">
        <f t="shared" si="354"/>
        <v>1619.1375406991592</v>
      </c>
      <c r="BY303" s="11">
        <f t="shared" si="355"/>
        <v>1609.83</v>
      </c>
      <c r="BZ303" s="65">
        <f t="shared" si="356"/>
        <v>1593.8541951969098</v>
      </c>
      <c r="CA303" s="65">
        <f t="shared" si="357"/>
        <v>1551.7800682185677</v>
      </c>
      <c r="CB303" s="65">
        <f t="shared" si="358"/>
        <v>1562.7440842522756</v>
      </c>
      <c r="CC303" s="65">
        <f t="shared" si="359"/>
        <v>1581.5816523322474</v>
      </c>
      <c r="CD303" s="11">
        <f t="shared" si="360"/>
        <v>1572.49</v>
      </c>
      <c r="CE303" s="5"/>
      <c r="CF303" s="5"/>
      <c r="CG303" s="5"/>
      <c r="CH303" s="5"/>
      <c r="CI303" s="5"/>
    </row>
    <row r="304" spans="1:87">
      <c r="A304" s="11"/>
      <c r="B304" s="11" t="s">
        <v>1036</v>
      </c>
      <c r="C304" s="11"/>
      <c r="D304" s="11"/>
      <c r="E304" s="11">
        <f t="shared" si="361"/>
        <v>22.58</v>
      </c>
      <c r="F304" s="11">
        <f t="shared" si="361"/>
        <v>12.19</v>
      </c>
      <c r="G304" s="11">
        <f t="shared" si="361"/>
        <v>12.51</v>
      </c>
      <c r="H304" s="86">
        <f>G304+(L304-G304)/4</f>
        <v>12.254999999999999</v>
      </c>
      <c r="I304" s="86">
        <f>H304+(L304-G304)/2</f>
        <v>11.744999999999999</v>
      </c>
      <c r="J304" s="86">
        <f>I304+(L304-G304)/2</f>
        <v>11.234999999999999</v>
      </c>
      <c r="K304" s="86">
        <f>J304+(L304-G304)/2</f>
        <v>10.725</v>
      </c>
      <c r="L304" s="11">
        <f>SUM(L196,L250)</f>
        <v>11.49</v>
      </c>
      <c r="M304" s="65">
        <f t="shared" si="310"/>
        <v>4.2925227705994491</v>
      </c>
      <c r="N304" s="65">
        <f t="shared" si="310"/>
        <v>4.00338911247617</v>
      </c>
      <c r="O304" s="65">
        <f t="shared" si="310"/>
        <v>4.2</v>
      </c>
      <c r="P304" s="65">
        <f>Q304*4-SUM(M304:O304)</f>
        <v>4.3040881169243832</v>
      </c>
      <c r="Q304" s="11">
        <f>SUM(Q196,Q250)</f>
        <v>4.2</v>
      </c>
      <c r="R304" s="65">
        <f>V304*R$172</f>
        <v>12.019987580211136</v>
      </c>
      <c r="S304" s="65">
        <f>V304*S$172</f>
        <v>12.047493272614366</v>
      </c>
      <c r="T304" s="65">
        <f>V304*T$172</f>
        <v>12.029989650175947</v>
      </c>
      <c r="U304" s="65">
        <f>V304*4-SUM(R304:T304)</f>
        <v>12.222529496998547</v>
      </c>
      <c r="V304" s="11">
        <f>SUM(V196,V250)</f>
        <v>12.08</v>
      </c>
      <c r="W304" s="65">
        <f>AA304*W$172</f>
        <v>5.1386785569517635</v>
      </c>
      <c r="X304" s="65">
        <f>AA304*X$172</f>
        <v>5.2310336441021477</v>
      </c>
      <c r="Y304" s="65">
        <f>AA304*Y$172</f>
        <v>4.9051965950547229</v>
      </c>
      <c r="Z304" s="65">
        <f>AA304*4-SUM(W304:Y304)</f>
        <v>5.2050912038913673</v>
      </c>
      <c r="AA304" s="11">
        <f>SUM(AA196,AA250)</f>
        <v>5.12</v>
      </c>
      <c r="AB304" s="65">
        <f>AF304*AB$172</f>
        <v>6.852811394891944</v>
      </c>
      <c r="AC304" s="65">
        <f>AF304*AC$172</f>
        <v>6.7709587426326134</v>
      </c>
      <c r="AD304" s="65">
        <f>AF304*AD$172</f>
        <v>7.0044400785854615</v>
      </c>
      <c r="AE304" s="65">
        <f>AF304*4-SUM(AB304:AD304)</f>
        <v>6.6917897838899805</v>
      </c>
      <c r="AF304" s="11">
        <f>SUM(AF196,AF250)</f>
        <v>6.83</v>
      </c>
      <c r="AG304" s="65">
        <f t="shared" si="311"/>
        <v>4.155703502284485</v>
      </c>
      <c r="AH304" s="65">
        <f t="shared" si="312"/>
        <v>4.0460023782002601</v>
      </c>
      <c r="AI304" s="65">
        <f t="shared" si="313"/>
        <v>4.074589183673238</v>
      </c>
      <c r="AJ304" s="65">
        <f t="shared" si="314"/>
        <v>4.1237049358420155</v>
      </c>
      <c r="AK304" s="11">
        <f t="shared" si="315"/>
        <v>4.0999999999999996</v>
      </c>
      <c r="AL304" s="65">
        <f t="shared" si="316"/>
        <v>0</v>
      </c>
      <c r="AM304" s="65">
        <f t="shared" si="317"/>
        <v>0</v>
      </c>
      <c r="AN304" s="65">
        <f t="shared" si="318"/>
        <v>0</v>
      </c>
      <c r="AO304" s="65">
        <f t="shared" si="319"/>
        <v>0</v>
      </c>
      <c r="AP304" s="11">
        <f t="shared" si="320"/>
        <v>0</v>
      </c>
      <c r="AQ304" s="65">
        <f t="shared" si="321"/>
        <v>0</v>
      </c>
      <c r="AR304" s="65">
        <f t="shared" si="322"/>
        <v>0</v>
      </c>
      <c r="AS304" s="65">
        <f t="shared" si="323"/>
        <v>0</v>
      </c>
      <c r="AT304" s="65">
        <f t="shared" si="324"/>
        <v>0</v>
      </c>
      <c r="AU304" s="11">
        <f t="shared" si="325"/>
        <v>0</v>
      </c>
      <c r="AV304" s="65">
        <f t="shared" si="326"/>
        <v>0</v>
      </c>
      <c r="AW304" s="65">
        <f t="shared" si="327"/>
        <v>0</v>
      </c>
      <c r="AX304" s="65">
        <f t="shared" si="328"/>
        <v>0</v>
      </c>
      <c r="AY304" s="65">
        <f t="shared" si="329"/>
        <v>0</v>
      </c>
      <c r="AZ304" s="11">
        <f t="shared" si="330"/>
        <v>0</v>
      </c>
      <c r="BA304" s="65">
        <f t="shared" si="331"/>
        <v>0</v>
      </c>
      <c r="BB304" s="65">
        <f t="shared" si="332"/>
        <v>0</v>
      </c>
      <c r="BC304" s="65">
        <f t="shared" si="333"/>
        <v>0</v>
      </c>
      <c r="BD304" s="65">
        <f t="shared" si="334"/>
        <v>0</v>
      </c>
      <c r="BE304" s="11">
        <f t="shared" si="335"/>
        <v>0</v>
      </c>
      <c r="BF304" s="65">
        <f t="shared" si="336"/>
        <v>0</v>
      </c>
      <c r="BG304" s="65">
        <f t="shared" si="337"/>
        <v>0</v>
      </c>
      <c r="BH304" s="65">
        <f t="shared" si="338"/>
        <v>0</v>
      </c>
      <c r="BI304" s="65">
        <f t="shared" si="339"/>
        <v>0</v>
      </c>
      <c r="BJ304" s="11">
        <f t="shared" si="340"/>
        <v>0</v>
      </c>
      <c r="BK304" s="65">
        <f t="shared" si="341"/>
        <v>0</v>
      </c>
      <c r="BL304" s="65">
        <f t="shared" si="342"/>
        <v>0</v>
      </c>
      <c r="BM304" s="65">
        <f t="shared" si="343"/>
        <v>0</v>
      </c>
      <c r="BN304" s="65">
        <f t="shared" si="344"/>
        <v>0</v>
      </c>
      <c r="BO304" s="11">
        <f t="shared" si="345"/>
        <v>0</v>
      </c>
      <c r="BP304" s="65">
        <f t="shared" si="346"/>
        <v>0</v>
      </c>
      <c r="BQ304" s="65">
        <f t="shared" si="347"/>
        <v>0</v>
      </c>
      <c r="BR304" s="65">
        <f t="shared" si="348"/>
        <v>0</v>
      </c>
      <c r="BS304" s="65">
        <f t="shared" si="349"/>
        <v>0</v>
      </c>
      <c r="BT304" s="11">
        <f t="shared" si="350"/>
        <v>0</v>
      </c>
      <c r="BU304" s="65">
        <f t="shared" si="351"/>
        <v>0</v>
      </c>
      <c r="BV304" s="65">
        <f t="shared" si="352"/>
        <v>0</v>
      </c>
      <c r="BW304" s="65">
        <f t="shared" si="353"/>
        <v>0</v>
      </c>
      <c r="BX304" s="65">
        <f t="shared" si="354"/>
        <v>0</v>
      </c>
      <c r="BY304" s="11">
        <f t="shared" si="355"/>
        <v>0</v>
      </c>
      <c r="BZ304" s="65">
        <f t="shared" si="356"/>
        <v>0</v>
      </c>
      <c r="CA304" s="65">
        <f t="shared" si="357"/>
        <v>0</v>
      </c>
      <c r="CB304" s="65">
        <f t="shared" si="358"/>
        <v>0</v>
      </c>
      <c r="CC304" s="65">
        <f t="shared" si="359"/>
        <v>0</v>
      </c>
      <c r="CD304" s="11">
        <f t="shared" si="360"/>
        <v>0</v>
      </c>
      <c r="CE304" s="5"/>
      <c r="CF304" s="5"/>
      <c r="CG304" s="5"/>
      <c r="CH304" s="5"/>
      <c r="CI304" s="5"/>
    </row>
    <row r="305" spans="1:87">
      <c r="A305" s="39" t="s">
        <v>119</v>
      </c>
      <c r="B305" s="39"/>
      <c r="C305" s="39">
        <f t="shared" ref="C305:AH305" si="362">SUM(C299:C304)</f>
        <v>0</v>
      </c>
      <c r="D305" s="39">
        <f t="shared" si="362"/>
        <v>0</v>
      </c>
      <c r="E305" s="39">
        <f t="shared" si="362"/>
        <v>1762.61</v>
      </c>
      <c r="F305" s="39">
        <f t="shared" si="362"/>
        <v>1713.1379999999999</v>
      </c>
      <c r="G305" s="39">
        <f t="shared" si="362"/>
        <v>1871.7720000000002</v>
      </c>
      <c r="H305" s="80">
        <f t="shared" si="362"/>
        <v>1892.0910000000003</v>
      </c>
      <c r="I305" s="80">
        <f t="shared" si="362"/>
        <v>1932.729</v>
      </c>
      <c r="J305" s="80">
        <f t="shared" si="362"/>
        <v>1973.367</v>
      </c>
      <c r="K305" s="80">
        <f t="shared" si="362"/>
        <v>2014.0049999999999</v>
      </c>
      <c r="L305" s="39">
        <f t="shared" si="362"/>
        <v>1953.048</v>
      </c>
      <c r="M305" s="80">
        <f t="shared" si="362"/>
        <v>2059.8447256937088</v>
      </c>
      <c r="N305" s="80">
        <f t="shared" si="362"/>
        <v>1921.0987079008682</v>
      </c>
      <c r="O305" s="80">
        <f t="shared" si="362"/>
        <v>2015.4460000000001</v>
      </c>
      <c r="P305" s="80">
        <f t="shared" si="362"/>
        <v>2065.3945664054227</v>
      </c>
      <c r="Q305" s="39">
        <f t="shared" si="362"/>
        <v>2015.4460000000001</v>
      </c>
      <c r="R305" s="80">
        <f t="shared" si="362"/>
        <v>2039.5013429931691</v>
      </c>
      <c r="S305" s="80">
        <f t="shared" si="362"/>
        <v>2044.1683941213003</v>
      </c>
      <c r="T305" s="80">
        <f t="shared" si="362"/>
        <v>2041.1984524943077</v>
      </c>
      <c r="U305" s="80">
        <f t="shared" si="362"/>
        <v>2073.867810391223</v>
      </c>
      <c r="V305" s="39">
        <f t="shared" si="362"/>
        <v>2049.6840000000002</v>
      </c>
      <c r="W305" s="80">
        <f t="shared" si="362"/>
        <v>2118.4322788812319</v>
      </c>
      <c r="X305" s="80">
        <f t="shared" si="362"/>
        <v>2156.5058800162142</v>
      </c>
      <c r="Y305" s="80">
        <f t="shared" si="362"/>
        <v>2022.1787928658291</v>
      </c>
      <c r="Z305" s="80">
        <f t="shared" si="362"/>
        <v>2145.8110482367242</v>
      </c>
      <c r="AA305" s="39">
        <f t="shared" si="362"/>
        <v>2110.732</v>
      </c>
      <c r="AB305" s="80">
        <f t="shared" si="362"/>
        <v>2126.4524593320234</v>
      </c>
      <c r="AC305" s="80">
        <f t="shared" si="362"/>
        <v>2101.0532817288799</v>
      </c>
      <c r="AD305" s="80">
        <f t="shared" si="362"/>
        <v>2173.5033948919445</v>
      </c>
      <c r="AE305" s="80">
        <f t="shared" si="362"/>
        <v>2076.4868640471514</v>
      </c>
      <c r="AF305" s="39">
        <f t="shared" si="362"/>
        <v>2119.3739999999998</v>
      </c>
      <c r="AG305" s="80">
        <f t="shared" si="362"/>
        <v>1977.6324000466618</v>
      </c>
      <c r="AH305" s="80">
        <f t="shared" si="362"/>
        <v>1925.4274010155134</v>
      </c>
      <c r="AI305" s="80">
        <f t="shared" ref="AI305:BN305" si="363">SUM(AI299:AI304)</f>
        <v>1939.0314015622591</v>
      </c>
      <c r="AJ305" s="80">
        <f t="shared" si="363"/>
        <v>1962.4047973755655</v>
      </c>
      <c r="AK305" s="39">
        <f t="shared" si="363"/>
        <v>1951.1239999999998</v>
      </c>
      <c r="AL305" s="80">
        <f t="shared" si="363"/>
        <v>1861.021332600119</v>
      </c>
      <c r="AM305" s="80">
        <f t="shared" si="363"/>
        <v>1811.8946006235176</v>
      </c>
      <c r="AN305" s="80">
        <f t="shared" si="363"/>
        <v>1824.6964414639083</v>
      </c>
      <c r="AO305" s="80">
        <f t="shared" si="363"/>
        <v>1846.6916253124559</v>
      </c>
      <c r="AP305" s="39">
        <f t="shared" si="363"/>
        <v>1836.076</v>
      </c>
      <c r="AQ305" s="80">
        <f t="shared" si="363"/>
        <v>1867.3785453723942</v>
      </c>
      <c r="AR305" s="80">
        <f t="shared" si="363"/>
        <v>1818.0839974323155</v>
      </c>
      <c r="AS305" s="80">
        <f t="shared" si="363"/>
        <v>1830.9295691126883</v>
      </c>
      <c r="AT305" s="80">
        <f t="shared" si="363"/>
        <v>1852.9998880826015</v>
      </c>
      <c r="AU305" s="39">
        <f t="shared" si="363"/>
        <v>1842.348</v>
      </c>
      <c r="AV305" s="80">
        <f t="shared" si="363"/>
        <v>1818.8135752239896</v>
      </c>
      <c r="AW305" s="80">
        <f t="shared" si="363"/>
        <v>1770.8010320788799</v>
      </c>
      <c r="AX305" s="80">
        <f t="shared" si="363"/>
        <v>1783.3125285891472</v>
      </c>
      <c r="AY305" s="80">
        <f t="shared" si="363"/>
        <v>1804.8088641079837</v>
      </c>
      <c r="AZ305" s="39">
        <f>SUM(AZ299:AZ304)</f>
        <v>1794.4340000000002</v>
      </c>
      <c r="BA305" s="80">
        <f t="shared" si="363"/>
        <v>1711.7545443153808</v>
      </c>
      <c r="BB305" s="80">
        <f t="shared" si="363"/>
        <v>1666.5681161776542</v>
      </c>
      <c r="BC305" s="80">
        <f t="shared" si="363"/>
        <v>1678.3431607998052</v>
      </c>
      <c r="BD305" s="80">
        <f t="shared" si="363"/>
        <v>1698.5741787071597</v>
      </c>
      <c r="BE305" s="39">
        <f t="shared" si="363"/>
        <v>1688.81</v>
      </c>
      <c r="BF305" s="80">
        <f t="shared" si="363"/>
        <v>1541.954526384477</v>
      </c>
      <c r="BG305" s="80">
        <f t="shared" si="363"/>
        <v>1501.2504326640883</v>
      </c>
      <c r="BH305" s="80">
        <f t="shared" si="363"/>
        <v>1511.8574343593964</v>
      </c>
      <c r="BI305" s="80">
        <f t="shared" si="363"/>
        <v>1530.081606592039</v>
      </c>
      <c r="BJ305" s="39">
        <f t="shared" si="363"/>
        <v>1521.2860000000001</v>
      </c>
      <c r="BK305" s="80">
        <f t="shared" si="363"/>
        <v>1623.5907877213053</v>
      </c>
      <c r="BL305" s="80">
        <f t="shared" si="363"/>
        <v>1580.7316823092115</v>
      </c>
      <c r="BM305" s="80">
        <f t="shared" si="363"/>
        <v>1591.9002543670574</v>
      </c>
      <c r="BN305" s="80">
        <f t="shared" si="363"/>
        <v>1611.0892756024259</v>
      </c>
      <c r="BO305" s="39">
        <f t="shared" ref="BO305:CD305" si="364">SUM(BO299:BO304)</f>
        <v>1601.828</v>
      </c>
      <c r="BP305" s="80">
        <f t="shared" si="364"/>
        <v>1735.5484808315098</v>
      </c>
      <c r="BQ305" s="80">
        <f t="shared" si="364"/>
        <v>1689.7339468674716</v>
      </c>
      <c r="BR305" s="80">
        <f t="shared" si="364"/>
        <v>1701.6726683819343</v>
      </c>
      <c r="BS305" s="80">
        <f t="shared" si="364"/>
        <v>1722.1849039190843</v>
      </c>
      <c r="BT305" s="39">
        <f t="shared" si="364"/>
        <v>1712.2850000000001</v>
      </c>
      <c r="BU305" s="80">
        <f t="shared" si="364"/>
        <v>1961.6643627356887</v>
      </c>
      <c r="BV305" s="80">
        <f t="shared" si="364"/>
        <v>1909.880883584741</v>
      </c>
      <c r="BW305" s="80">
        <f t="shared" si="364"/>
        <v>1923.3750410745547</v>
      </c>
      <c r="BX305" s="80">
        <f t="shared" si="364"/>
        <v>1946.5597126050152</v>
      </c>
      <c r="BY305" s="39">
        <f t="shared" si="364"/>
        <v>1935.37</v>
      </c>
      <c r="BZ305" s="80">
        <f t="shared" si="364"/>
        <v>1940.9770679840726</v>
      </c>
      <c r="CA305" s="80">
        <f t="shared" si="364"/>
        <v>1889.7396863800905</v>
      </c>
      <c r="CB305" s="80">
        <f t="shared" si="364"/>
        <v>1903.0915373577814</v>
      </c>
      <c r="CC305" s="80">
        <f t="shared" si="364"/>
        <v>1926.0317082780559</v>
      </c>
      <c r="CD305" s="39">
        <f t="shared" si="364"/>
        <v>1914.96</v>
      </c>
      <c r="CE305" s="5"/>
      <c r="CF305" s="5"/>
      <c r="CG305" s="5"/>
      <c r="CH305" s="5"/>
      <c r="CI305" s="5"/>
    </row>
    <row r="306" spans="1:87">
      <c r="A306" s="11"/>
      <c r="B306" s="11"/>
      <c r="C306" s="11"/>
      <c r="D306" s="11"/>
      <c r="E306" s="11"/>
      <c r="F306" s="11"/>
      <c r="G306" s="11"/>
      <c r="H306" s="80"/>
      <c r="I306" s="80"/>
      <c r="J306" s="80"/>
      <c r="K306" s="80"/>
      <c r="L306" s="11"/>
      <c r="M306" s="68"/>
      <c r="N306" s="68"/>
      <c r="O306" s="68"/>
      <c r="P306" s="68"/>
      <c r="Q306" s="11"/>
      <c r="R306" s="68"/>
      <c r="S306" s="68"/>
      <c r="T306" s="68"/>
      <c r="U306" s="68"/>
      <c r="V306" s="11"/>
      <c r="W306" s="68"/>
      <c r="X306" s="68"/>
      <c r="Y306" s="68"/>
      <c r="Z306" s="68"/>
      <c r="AA306" s="11"/>
      <c r="AB306" s="68"/>
      <c r="AC306" s="68"/>
      <c r="AD306" s="68"/>
      <c r="AE306" s="68"/>
      <c r="AF306" s="11"/>
      <c r="AG306" s="68"/>
      <c r="AH306" s="68"/>
      <c r="AI306" s="68"/>
      <c r="AJ306" s="68"/>
      <c r="AK306" s="11"/>
      <c r="AL306" s="48"/>
      <c r="AM306" s="48"/>
      <c r="AN306" s="48"/>
      <c r="AO306" s="48"/>
      <c r="AP306" s="48"/>
      <c r="AQ306" s="48"/>
      <c r="AR306" s="48"/>
      <c r="AS306" s="48"/>
      <c r="AT306" s="48"/>
      <c r="AU306" s="48"/>
      <c r="AV306" s="48"/>
      <c r="AW306" s="48"/>
      <c r="AX306" s="48"/>
      <c r="AY306" s="48"/>
      <c r="AZ306" s="48"/>
      <c r="BA306" s="48"/>
      <c r="BB306" s="48"/>
      <c r="BC306" s="48"/>
      <c r="BD306" s="48"/>
      <c r="BE306" s="48"/>
      <c r="BF306" s="48"/>
      <c r="BG306" s="48"/>
      <c r="BH306" s="48"/>
      <c r="BI306" s="48"/>
      <c r="BJ306" s="48"/>
      <c r="BK306" s="48"/>
      <c r="BL306" s="48"/>
      <c r="BM306" s="48"/>
      <c r="BN306" s="48"/>
      <c r="BO306" s="48"/>
      <c r="BP306" s="48"/>
      <c r="BQ306" s="48"/>
      <c r="BR306" s="48"/>
      <c r="BS306" s="48"/>
      <c r="BT306" s="48"/>
      <c r="BU306" s="48"/>
      <c r="BV306" s="48"/>
      <c r="BW306" s="48"/>
      <c r="BX306" s="48"/>
      <c r="BY306" s="48"/>
      <c r="BZ306" s="48"/>
      <c r="CA306" s="48"/>
      <c r="CB306" s="48"/>
      <c r="CC306" s="48"/>
      <c r="CD306" s="48"/>
      <c r="CE306" s="5"/>
      <c r="CF306" s="5"/>
      <c r="CG306" s="5"/>
      <c r="CH306" s="5"/>
      <c r="CI306" s="5"/>
    </row>
    <row r="307" spans="1:87">
      <c r="A307" s="39" t="s">
        <v>120</v>
      </c>
      <c r="B307" s="11"/>
      <c r="C307" s="11"/>
      <c r="D307" s="11"/>
      <c r="E307" s="11"/>
      <c r="F307" s="11"/>
      <c r="G307" s="11"/>
      <c r="H307" s="80"/>
      <c r="I307" s="80"/>
      <c r="J307" s="80"/>
      <c r="K307" s="80"/>
      <c r="L307" s="11"/>
      <c r="M307" s="68"/>
      <c r="N307" s="68"/>
      <c r="O307" s="68"/>
      <c r="P307" s="68"/>
      <c r="Q307" s="11"/>
      <c r="R307" s="68"/>
      <c r="S307" s="68"/>
      <c r="T307" s="68"/>
      <c r="U307" s="68"/>
      <c r="V307" s="11"/>
      <c r="W307" s="68"/>
      <c r="X307" s="68"/>
      <c r="Y307" s="68"/>
      <c r="Z307" s="68"/>
      <c r="AA307" s="11"/>
      <c r="AB307" s="68"/>
      <c r="AC307" s="68"/>
      <c r="AD307" s="68"/>
      <c r="AE307" s="68"/>
      <c r="AF307" s="11"/>
      <c r="AG307" s="68"/>
      <c r="AH307" s="68"/>
      <c r="AI307" s="68"/>
      <c r="AJ307" s="68"/>
      <c r="AK307" s="11"/>
      <c r="AL307" s="68"/>
      <c r="AM307" s="68"/>
      <c r="AN307" s="68"/>
      <c r="AO307" s="68"/>
      <c r="AP307" s="11"/>
      <c r="AQ307" s="68"/>
      <c r="AR307" s="68"/>
      <c r="AS307" s="68"/>
      <c r="AT307" s="68"/>
      <c r="AU307" s="11"/>
      <c r="AV307" s="68"/>
      <c r="AW307" s="68"/>
      <c r="AX307" s="68"/>
      <c r="AY307" s="68"/>
      <c r="AZ307" s="11"/>
      <c r="BA307" s="68"/>
      <c r="BB307" s="68"/>
      <c r="BC307" s="68"/>
      <c r="BD307" s="68"/>
      <c r="BE307" s="11"/>
      <c r="BF307" s="68"/>
      <c r="BG307" s="68"/>
      <c r="BH307" s="68"/>
      <c r="BI307" s="68"/>
      <c r="BJ307" s="11"/>
      <c r="BK307" s="68"/>
      <c r="BL307" s="68"/>
      <c r="BM307" s="68"/>
      <c r="BN307" s="68"/>
      <c r="BO307" s="11"/>
      <c r="BP307" s="68"/>
      <c r="BQ307" s="68"/>
      <c r="BR307" s="68"/>
      <c r="BS307" s="68"/>
      <c r="BT307" s="11"/>
      <c r="BU307" s="68"/>
      <c r="BV307" s="68"/>
      <c r="BW307" s="68"/>
      <c r="BX307" s="68"/>
      <c r="BY307" s="11"/>
      <c r="BZ307" s="68"/>
      <c r="CA307" s="68"/>
      <c r="CB307" s="68"/>
      <c r="CC307" s="68"/>
      <c r="CD307" s="11"/>
      <c r="CE307" s="5"/>
      <c r="CF307" s="5"/>
      <c r="CG307" s="5"/>
      <c r="CH307" s="5"/>
      <c r="CI307" s="5"/>
    </row>
    <row r="308" spans="1:87">
      <c r="A308" s="11"/>
      <c r="B308" s="11" t="s">
        <v>1473</v>
      </c>
      <c r="C308" s="11"/>
      <c r="D308" s="11"/>
      <c r="E308" s="11">
        <f t="shared" ref="E308:G310" si="365">SUM(E200,E254)</f>
        <v>0</v>
      </c>
      <c r="F308" s="11">
        <f t="shared" si="365"/>
        <v>78.84</v>
      </c>
      <c r="G308" s="11">
        <f t="shared" si="365"/>
        <v>174.51</v>
      </c>
      <c r="H308" s="86">
        <f>G308+(L308-G308)/4</f>
        <v>170.33249999999998</v>
      </c>
      <c r="I308" s="86">
        <f>H308+(L308-G308)/2</f>
        <v>161.97749999999999</v>
      </c>
      <c r="J308" s="86">
        <f>I308+(L308-G308)/2</f>
        <v>153.6225</v>
      </c>
      <c r="K308" s="86">
        <f>J308+(L308-G308)/2</f>
        <v>145.26750000000001</v>
      </c>
      <c r="L308" s="11">
        <f>SUM(L200,L254)</f>
        <v>157.80000000000001</v>
      </c>
      <c r="M308" s="65">
        <f t="shared" ref="M308:O310" si="366">$Q308*M$172</f>
        <v>159.51832238932431</v>
      </c>
      <c r="N308" s="65">
        <f t="shared" si="366"/>
        <v>148.77356492268589</v>
      </c>
      <c r="O308" s="65">
        <f t="shared" si="366"/>
        <v>156.08000000000001</v>
      </c>
      <c r="P308" s="65">
        <f>Q308*4-SUM(M308:O308)</f>
        <v>159.94811268798981</v>
      </c>
      <c r="Q308" s="11">
        <f>SUM(Q200,Q254)</f>
        <v>156.08000000000001</v>
      </c>
      <c r="R308" s="65">
        <f>V308*R$172</f>
        <v>123.03571724280688</v>
      </c>
      <c r="S308" s="65">
        <f>V308*S$172</f>
        <v>123.3172635065204</v>
      </c>
      <c r="T308" s="65">
        <f>V308*T$172</f>
        <v>123.13809770233907</v>
      </c>
      <c r="U308" s="65">
        <f>V308*4-SUM(R308:T308)</f>
        <v>125.10892154833368</v>
      </c>
      <c r="V308" s="11">
        <f>SUM(V200,V254)</f>
        <v>123.65</v>
      </c>
      <c r="W308" s="65">
        <f>AA308*W$172</f>
        <v>140.74158086745032</v>
      </c>
      <c r="X308" s="65">
        <f>AA308*X$172</f>
        <v>143.27106404539924</v>
      </c>
      <c r="Y308" s="65">
        <f>AA308*Y$172</f>
        <v>134.34682002432103</v>
      </c>
      <c r="Z308" s="65">
        <f>AA308*4-SUM(W308:Y308)</f>
        <v>142.56053506282933</v>
      </c>
      <c r="AA308" s="11">
        <f>SUM(AA200,AA254)</f>
        <v>140.22999999999999</v>
      </c>
      <c r="AB308" s="65">
        <f>AF308*AB$172</f>
        <v>136.49435756385066</v>
      </c>
      <c r="AC308" s="65">
        <f>AF308*AC$172</f>
        <v>134.86401571709234</v>
      </c>
      <c r="AD308" s="65">
        <f>AF308*AD$172</f>
        <v>139.51449901768171</v>
      </c>
      <c r="AE308" s="65">
        <f>AF308*4-SUM(AB308:AD308)</f>
        <v>133.28712770137525</v>
      </c>
      <c r="AF308" s="11">
        <f>SUM(AF200,AF254)</f>
        <v>136.04</v>
      </c>
      <c r="AG308" s="65">
        <f>AK308*$CF$172</f>
        <v>128.98898236603014</v>
      </c>
      <c r="AH308" s="65">
        <f>AK308*$CG$172</f>
        <v>125.58396649994273</v>
      </c>
      <c r="AI308" s="65">
        <f>AK308*$CH$172</f>
        <v>126.47127305225763</v>
      </c>
      <c r="AJ308" s="65">
        <f>AK308*4-SUM(AG308:AI308)</f>
        <v>127.99577808176952</v>
      </c>
      <c r="AK308" s="11">
        <f>SUM(AK200,AK254)</f>
        <v>127.26</v>
      </c>
      <c r="AL308" s="65">
        <f>AP308*$CF$172</f>
        <v>139.81408319637117</v>
      </c>
      <c r="AM308" s="65">
        <f>AP308*$CG$172</f>
        <v>136.12330928023022</v>
      </c>
      <c r="AN308" s="65">
        <f>AP308*$CH$172</f>
        <v>137.08508097460646</v>
      </c>
      <c r="AO308" s="65">
        <f>AP308*4-SUM(AL308:AN308)</f>
        <v>138.73752654879212</v>
      </c>
      <c r="AP308" s="11">
        <f>SUM(AP200,AP254)</f>
        <v>137.94</v>
      </c>
      <c r="AQ308" s="65">
        <f>AU308*$CF$172</f>
        <v>137.58419351221855</v>
      </c>
      <c r="AR308" s="65">
        <f>AU308*$CG$172</f>
        <v>133.95228361387888</v>
      </c>
      <c r="AS308" s="65">
        <f>AU308*$CH$172</f>
        <v>134.8987160467818</v>
      </c>
      <c r="AT308" s="65">
        <f>AU308*4-SUM(AQ308:AS308)</f>
        <v>136.52480682712076</v>
      </c>
      <c r="AU308" s="11">
        <f>SUM(AU200,AU254)</f>
        <v>135.74</v>
      </c>
      <c r="AV308" s="65">
        <f>AZ308*$CF$172</f>
        <v>126.05971819002961</v>
      </c>
      <c r="AW308" s="65">
        <f>AZ308*$CG$172</f>
        <v>122.73202823823571</v>
      </c>
      <c r="AX308" s="65">
        <f>AZ308*$CH$172</f>
        <v>123.59918457888796</v>
      </c>
      <c r="AY308" s="65">
        <f>AZ308*4-SUM(AV308:AX308)</f>
        <v>125.08906899284671</v>
      </c>
      <c r="AZ308" s="11">
        <f>SUM(AZ200,AZ254)</f>
        <v>124.37</v>
      </c>
      <c r="BA308" s="65">
        <f>BE308*$CF$172</f>
        <v>151.26760748315527</v>
      </c>
      <c r="BB308" s="65">
        <f>BE308*$CG$172</f>
        <v>147.27448656648949</v>
      </c>
      <c r="BC308" s="65">
        <f>BE308*$CH$172</f>
        <v>148.31504628570588</v>
      </c>
      <c r="BD308" s="65">
        <f>BE308*4-SUM(BA308:BC308)</f>
        <v>150.10285966464937</v>
      </c>
      <c r="BE308" s="11">
        <f>SUM(BE200,BE254)</f>
        <v>149.24</v>
      </c>
      <c r="BF308" s="65">
        <f>BJ308*$CF$172</f>
        <v>165.74161870574611</v>
      </c>
      <c r="BG308" s="65">
        <f>BJ308*$CG$172</f>
        <v>161.36641680080649</v>
      </c>
      <c r="BH308" s="65">
        <f>BJ308*$CH$172</f>
        <v>162.50654227176778</v>
      </c>
      <c r="BI308" s="65">
        <f>BJ308*4-SUM(BF308:BH308)</f>
        <v>164.46542222167966</v>
      </c>
      <c r="BJ308" s="11">
        <f>SUM(BJ200,BJ254)</f>
        <v>163.52000000000001</v>
      </c>
      <c r="BK308" s="65">
        <f>BO308*$CF$172</f>
        <v>153.77116544672666</v>
      </c>
      <c r="BL308" s="65">
        <f>BO308*$CG$172</f>
        <v>149.71195629189307</v>
      </c>
      <c r="BM308" s="65">
        <f>BO308*$CH$172</f>
        <v>150.76973781830901</v>
      </c>
      <c r="BN308" s="65">
        <f>BO308*4-SUM(BK308:BM308)</f>
        <v>152.58714044307129</v>
      </c>
      <c r="BO308" s="11">
        <f>SUM(BO200,BO254)</f>
        <v>151.71</v>
      </c>
      <c r="BP308" s="65">
        <f>BT308*$CF$172</f>
        <v>137.70582385862687</v>
      </c>
      <c r="BQ308" s="65">
        <f>BT308*$CG$172</f>
        <v>134.07070319567987</v>
      </c>
      <c r="BR308" s="65">
        <f>BT308*$CH$172</f>
        <v>135.01797231557222</v>
      </c>
      <c r="BS308" s="65">
        <f>BT308*4-SUM(BP308:BR308)</f>
        <v>136.64550063012109</v>
      </c>
      <c r="BT308" s="11">
        <f>SUM(BT200,BT254)</f>
        <v>135.86000000000001</v>
      </c>
      <c r="BU308" s="65">
        <f>BY308*$CF$172</f>
        <v>121.31613468010488</v>
      </c>
      <c r="BV308" s="65">
        <f>BY308*$CG$172</f>
        <v>118.11366454799736</v>
      </c>
      <c r="BW308" s="65">
        <f>BY308*$CH$172</f>
        <v>118.94819009606094</v>
      </c>
      <c r="BX308" s="65">
        <f>BY308*4-SUM(BU308:BW308)</f>
        <v>120.3820106758368</v>
      </c>
      <c r="BY308" s="11">
        <f>SUM(BY200,BY254)</f>
        <v>119.69</v>
      </c>
      <c r="BZ308" s="65">
        <f>CD308*$CF$172</f>
        <v>110.44035453876036</v>
      </c>
      <c r="CA308" s="65">
        <f>CD308*$CG$172</f>
        <v>107.52498027529278</v>
      </c>
      <c r="CB308" s="65">
        <f>CD308*$CH$172</f>
        <v>108.28469206171609</v>
      </c>
      <c r="CC308" s="65">
        <f>CD308*4-SUM(BZ308:CB308)</f>
        <v>109.58997312423077</v>
      </c>
      <c r="CD308" s="11">
        <f>SUM(CD200,CD254)</f>
        <v>108.96</v>
      </c>
      <c r="CE308" s="5"/>
      <c r="CF308" s="5"/>
      <c r="CG308" s="5"/>
      <c r="CH308" s="5"/>
      <c r="CI308" s="5"/>
    </row>
    <row r="309" spans="1:87">
      <c r="A309" s="11"/>
      <c r="B309" s="11" t="s">
        <v>1934</v>
      </c>
      <c r="C309" s="11"/>
      <c r="D309" s="11"/>
      <c r="E309" s="11">
        <f t="shared" si="365"/>
        <v>0</v>
      </c>
      <c r="F309" s="11">
        <f t="shared" si="365"/>
        <v>0</v>
      </c>
      <c r="G309" s="11">
        <f t="shared" si="365"/>
        <v>0</v>
      </c>
      <c r="H309" s="86">
        <f>G309+(L309-G309)/4</f>
        <v>0</v>
      </c>
      <c r="I309" s="86">
        <f>H309+(L309-G309)/2</f>
        <v>0</v>
      </c>
      <c r="J309" s="86">
        <f>I309+(L309-G309)/2</f>
        <v>0</v>
      </c>
      <c r="K309" s="86">
        <f>J309+(L309-G309)/2</f>
        <v>0</v>
      </c>
      <c r="L309" s="11">
        <f>SUM(L201,L255)</f>
        <v>0</v>
      </c>
      <c r="M309" s="65">
        <f t="shared" si="366"/>
        <v>0</v>
      </c>
      <c r="N309" s="65">
        <f t="shared" si="366"/>
        <v>0</v>
      </c>
      <c r="O309" s="65">
        <f t="shared" si="366"/>
        <v>0</v>
      </c>
      <c r="P309" s="65">
        <f>Q309*4-SUM(M309:O309)</f>
        <v>0</v>
      </c>
      <c r="Q309" s="11">
        <f>SUM(Q201,Q255)</f>
        <v>0</v>
      </c>
      <c r="R309" s="65">
        <f>V309*R$172</f>
        <v>0</v>
      </c>
      <c r="S309" s="65">
        <f>V309*S$172</f>
        <v>0</v>
      </c>
      <c r="T309" s="65">
        <f>V309*T$172</f>
        <v>0</v>
      </c>
      <c r="U309" s="65">
        <f>V309*4-SUM(R309:T309)</f>
        <v>0</v>
      </c>
      <c r="V309" s="11">
        <f>SUM(V201,V255)</f>
        <v>0</v>
      </c>
      <c r="W309" s="65">
        <f>AA309*W$172</f>
        <v>0</v>
      </c>
      <c r="X309" s="65">
        <f>AA309*X$172</f>
        <v>0</v>
      </c>
      <c r="Y309" s="65">
        <f>AA309*Y$172</f>
        <v>0</v>
      </c>
      <c r="Z309" s="65">
        <f>AA309*4-SUM(W309:Y309)</f>
        <v>0</v>
      </c>
      <c r="AA309" s="11">
        <f>SUM(AA201,AA255)</f>
        <v>0</v>
      </c>
      <c r="AB309" s="65">
        <f>AF309*AB$172</f>
        <v>0</v>
      </c>
      <c r="AC309" s="65">
        <f>AF309*AC$172</f>
        <v>0</v>
      </c>
      <c r="AD309" s="65">
        <f>AF309*AD$172</f>
        <v>0</v>
      </c>
      <c r="AE309" s="65">
        <f>AF309*4-SUM(AB309:AD309)</f>
        <v>0</v>
      </c>
      <c r="AF309" s="11">
        <f>SUM(AF201,AF255)</f>
        <v>0</v>
      </c>
      <c r="AG309" s="65">
        <f>AK309*$CF$172</f>
        <v>0</v>
      </c>
      <c r="AH309" s="65">
        <f>AK309*$CG$172</f>
        <v>0</v>
      </c>
      <c r="AI309" s="65">
        <f>AK309*$CH$172</f>
        <v>0</v>
      </c>
      <c r="AJ309" s="65">
        <f>AK309*4-SUM(AG309:AI309)</f>
        <v>0</v>
      </c>
      <c r="AK309" s="11">
        <f>SUM(AK201,AK255)</f>
        <v>0</v>
      </c>
      <c r="AL309" s="65">
        <f>AP309*$CF$172</f>
        <v>0</v>
      </c>
      <c r="AM309" s="65">
        <f>AP309*$CG$172</f>
        <v>0</v>
      </c>
      <c r="AN309" s="65">
        <f>AP309*$CH$172</f>
        <v>0</v>
      </c>
      <c r="AO309" s="65">
        <f>AP309*4-SUM(AL309:AN309)</f>
        <v>0</v>
      </c>
      <c r="AP309" s="11">
        <f>SUM(AP201,AP255)</f>
        <v>0</v>
      </c>
      <c r="AQ309" s="65">
        <f>AU309*$CF$172</f>
        <v>27.518865874883844</v>
      </c>
      <c r="AR309" s="65">
        <f>AU309*$CG$172</f>
        <v>26.792430382472457</v>
      </c>
      <c r="AS309" s="65">
        <f>AU309*$CH$172</f>
        <v>26.981730813836197</v>
      </c>
      <c r="AT309" s="65">
        <f>AU309*4-SUM(AQ309:AS309)</f>
        <v>27.306972928807497</v>
      </c>
      <c r="AU309" s="11">
        <f>SUM(AU201,AU255)</f>
        <v>27.15</v>
      </c>
      <c r="AV309" s="65">
        <f>AZ309*$CF$172</f>
        <v>24.021993415644463</v>
      </c>
      <c r="AW309" s="65">
        <f>AZ309*$CG$172</f>
        <v>23.387867405694188</v>
      </c>
      <c r="AX309" s="65">
        <f>AZ309*$CH$172</f>
        <v>23.553113086111154</v>
      </c>
      <c r="AY309" s="65">
        <f>AZ309*4-SUM(AV309:AX309)</f>
        <v>23.83702609255019</v>
      </c>
      <c r="AZ309" s="11">
        <f>SUM(AZ201,AZ255)</f>
        <v>23.7</v>
      </c>
      <c r="BA309" s="65">
        <f>BE309*$CF$172</f>
        <v>17.23096574117957</v>
      </c>
      <c r="BB309" s="65">
        <f>BE309*$CG$172</f>
        <v>16.77610742180596</v>
      </c>
      <c r="BC309" s="65">
        <f>BE309*$CH$172</f>
        <v>16.894638078645134</v>
      </c>
      <c r="BD309" s="65">
        <f>BE309*4-SUM(BA309:BC309)</f>
        <v>17.098288758369335</v>
      </c>
      <c r="BE309" s="11">
        <f>SUM(BE201,BE255)</f>
        <v>17</v>
      </c>
      <c r="BF309" s="65">
        <f>BJ309*$CF$172</f>
        <v>38.59736326024224</v>
      </c>
      <c r="BG309" s="65">
        <f>BJ309*$CG$172</f>
        <v>37.578480624845348</v>
      </c>
      <c r="BH309" s="65">
        <f>BJ309*$CH$172</f>
        <v>37.843989296165098</v>
      </c>
      <c r="BI309" s="65">
        <f>BJ309*4-SUM(BF309:BH309)</f>
        <v>38.3001668187473</v>
      </c>
      <c r="BJ309" s="11">
        <f>SUM(BJ201,BJ255)</f>
        <v>38.08</v>
      </c>
      <c r="BK309" s="65">
        <f>BO309*$CF$172</f>
        <v>105.87921654844811</v>
      </c>
      <c r="BL309" s="65">
        <f>BO309*$CG$172</f>
        <v>103.0842459577559</v>
      </c>
      <c r="BM309" s="65">
        <f>BO309*$CH$172</f>
        <v>103.81258198207473</v>
      </c>
      <c r="BN309" s="65">
        <f>BO309*4-SUM(BK309:BM309)</f>
        <v>105.06395551172125</v>
      </c>
      <c r="BO309" s="11">
        <f>SUM(BO201,BO255)</f>
        <v>104.46</v>
      </c>
      <c r="BP309" s="65">
        <f>BT309*$CF$172</f>
        <v>126.61719061106777</v>
      </c>
      <c r="BQ309" s="65">
        <f>BT309*$CG$172</f>
        <v>123.27478465482355</v>
      </c>
      <c r="BR309" s="65">
        <f>BT309*$CH$172</f>
        <v>124.14577581084411</v>
      </c>
      <c r="BS309" s="65">
        <f>BT309*4-SUM(BP309:BR309)</f>
        <v>125.64224892326456</v>
      </c>
      <c r="BT309" s="11">
        <f>SUM(BT201,BT255)</f>
        <v>124.92</v>
      </c>
      <c r="BU309" s="65">
        <f>BY309*$CF$172</f>
        <v>126.62732647326847</v>
      </c>
      <c r="BV309" s="65">
        <f>BY309*$CG$172</f>
        <v>123.28465295330697</v>
      </c>
      <c r="BW309" s="65">
        <f>BY309*$CH$172</f>
        <v>124.15571383324333</v>
      </c>
      <c r="BX309" s="65">
        <f>BY309*4-SUM(BU309:BW309)</f>
        <v>125.65230674018125</v>
      </c>
      <c r="BY309" s="11">
        <f>SUM(BY201,BY255)</f>
        <v>124.93</v>
      </c>
      <c r="BZ309" s="65">
        <f>CD309*$CF$172</f>
        <v>126.58678302446569</v>
      </c>
      <c r="CA309" s="65">
        <f>CD309*$CG$172</f>
        <v>123.2451797593733</v>
      </c>
      <c r="CB309" s="65">
        <f>CD309*$CH$172</f>
        <v>124.11596174364651</v>
      </c>
      <c r="CC309" s="65">
        <f>CD309*4-SUM(BZ309:CB309)</f>
        <v>125.6120754725145</v>
      </c>
      <c r="CD309" s="11">
        <f>SUM(CD201,CD255)</f>
        <v>124.89</v>
      </c>
      <c r="CE309" s="5"/>
      <c r="CF309" s="5"/>
      <c r="CG309" s="5"/>
      <c r="CH309" s="5"/>
      <c r="CI309" s="5"/>
    </row>
    <row r="310" spans="1:87">
      <c r="A310" s="11"/>
      <c r="B310" s="11" t="s">
        <v>2251</v>
      </c>
      <c r="C310" s="11"/>
      <c r="D310" s="11"/>
      <c r="E310" s="11">
        <f t="shared" si="365"/>
        <v>256.61</v>
      </c>
      <c r="F310" s="11">
        <f t="shared" si="365"/>
        <v>206.03</v>
      </c>
      <c r="G310" s="11">
        <f t="shared" si="365"/>
        <v>198.92</v>
      </c>
      <c r="H310" s="86">
        <f>G310+(L310-G310)/4</f>
        <v>212.13249999999999</v>
      </c>
      <c r="I310" s="86">
        <f>H310+(L310-G310)/2</f>
        <v>238.5575</v>
      </c>
      <c r="J310" s="86">
        <f>I310+(L310-G310)/2</f>
        <v>264.98250000000002</v>
      </c>
      <c r="K310" s="86">
        <f>J310+(L310-G310)/2</f>
        <v>291.40750000000003</v>
      </c>
      <c r="L310" s="11">
        <f>SUM(L202,L256)</f>
        <v>251.77</v>
      </c>
      <c r="M310" s="65">
        <f t="shared" si="366"/>
        <v>434.53616818470658</v>
      </c>
      <c r="N310" s="65">
        <f t="shared" si="366"/>
        <v>405.26689260749833</v>
      </c>
      <c r="O310" s="65">
        <f t="shared" si="366"/>
        <v>425.16999999999996</v>
      </c>
      <c r="P310" s="65">
        <f>Q310*4-SUM(M310:O310)</f>
        <v>435.70693920779513</v>
      </c>
      <c r="Q310" s="11">
        <f>SUM(Q202,Q256)</f>
        <v>425.16999999999996</v>
      </c>
      <c r="R310" s="65">
        <f>V310*R$172</f>
        <v>478.85919064375912</v>
      </c>
      <c r="S310" s="65">
        <f>V310*S$172</f>
        <v>479.95497826536956</v>
      </c>
      <c r="T310" s="65">
        <f>V310*T$172</f>
        <v>479.25765886979923</v>
      </c>
      <c r="U310" s="65">
        <f>V310*4-SUM(R310:T310)</f>
        <v>486.92817222107237</v>
      </c>
      <c r="V310" s="11">
        <f>SUM(V202,V256)</f>
        <v>481.25000000000006</v>
      </c>
      <c r="W310" s="65">
        <f>AA310*W$172</f>
        <v>470.35970814754762</v>
      </c>
      <c r="X310" s="65">
        <f>AA310*X$172</f>
        <v>478.81326509931085</v>
      </c>
      <c r="Y310" s="65">
        <f>AA310*Y$172</f>
        <v>448.98835630320224</v>
      </c>
      <c r="Z310" s="65">
        <f>AA310*4-SUM(W310:Y310)</f>
        <v>476.43867044993931</v>
      </c>
      <c r="AA310" s="11">
        <f>SUM(AA202,AA256)</f>
        <v>468.65</v>
      </c>
      <c r="AB310" s="65">
        <f>AF310*AB$172</f>
        <v>476.8071787819253</v>
      </c>
      <c r="AC310" s="65">
        <f>AF310*AC$172</f>
        <v>471.11200785854618</v>
      </c>
      <c r="AD310" s="65">
        <f>AF310*AD$172</f>
        <v>487.35724950884082</v>
      </c>
      <c r="AE310" s="65">
        <f>AF310*4-SUM(AB310:AD310)</f>
        <v>465.60356385068781</v>
      </c>
      <c r="AF310" s="11">
        <f>SUM(AF202,AF256)</f>
        <v>475.22</v>
      </c>
      <c r="AG310" s="65">
        <f>AK310*$CF$172</f>
        <v>501.55286927693453</v>
      </c>
      <c r="AH310" s="65">
        <f>AK310*$CG$172</f>
        <v>488.31301385483778</v>
      </c>
      <c r="AI310" s="65">
        <f>AK310*$CH$172</f>
        <v>491.763162379763</v>
      </c>
      <c r="AJ310" s="65">
        <f>AK310*4-SUM(AG310:AI310)</f>
        <v>497.69095448846451</v>
      </c>
      <c r="AK310" s="11">
        <f>SUM(AK202,AK256)</f>
        <v>494.83</v>
      </c>
      <c r="AL310" s="65">
        <f>AP310*$CF$172</f>
        <v>496.81942162921058</v>
      </c>
      <c r="AM310" s="65">
        <f>AP310*$CG$172</f>
        <v>483.70451846308288</v>
      </c>
      <c r="AN310" s="65">
        <f>AP310*$CH$172</f>
        <v>487.12210591933524</v>
      </c>
      <c r="AO310" s="65">
        <f>AP310*4-SUM(AL310:AN310)</f>
        <v>492.99395398837146</v>
      </c>
      <c r="AP310" s="11">
        <f>SUM(AP202,AP256)</f>
        <v>490.16</v>
      </c>
      <c r="AQ310" s="65">
        <f>AU310*$CF$172</f>
        <v>464.09072258317002</v>
      </c>
      <c r="AR310" s="65">
        <f>AU310*$CG$172</f>
        <v>451.83978266013497</v>
      </c>
      <c r="AS310" s="65">
        <f>AU310*$CH$172</f>
        <v>455.03223159230862</v>
      </c>
      <c r="AT310" s="65">
        <f>AU310*4-SUM(AQ310:AS310)</f>
        <v>460.51726316438635</v>
      </c>
      <c r="AU310" s="11">
        <f>SUM(AU202,AU256)</f>
        <v>457.87</v>
      </c>
      <c r="AV310" s="65">
        <f>AZ310*$CF$172</f>
        <v>409.80304463625367</v>
      </c>
      <c r="AW310" s="65">
        <f>AZ310*$CG$172</f>
        <v>398.9851759829628</v>
      </c>
      <c r="AX310" s="65">
        <f>AZ310*$CH$172</f>
        <v>401.80418362217728</v>
      </c>
      <c r="AY310" s="65">
        <f>AZ310*4-SUM(AV310:AX310)</f>
        <v>406.64759575860626</v>
      </c>
      <c r="AZ310" s="11">
        <f>SUM(AZ202,AZ256)</f>
        <v>404.31</v>
      </c>
      <c r="BA310" s="65">
        <f>BE310*$CF$172</f>
        <v>389.56172782146808</v>
      </c>
      <c r="BB310" s="65">
        <f>BE310*$CG$172</f>
        <v>379.27818391158252</v>
      </c>
      <c r="BC310" s="65">
        <f>BE310*$CH$172</f>
        <v>381.9579528909689</v>
      </c>
      <c r="BD310" s="65">
        <f>BE310*4-SUM(BA310:BC310)</f>
        <v>386.56213537598069</v>
      </c>
      <c r="BE310" s="11">
        <f>SUM(BE202,BE256)</f>
        <v>384.34000000000003</v>
      </c>
      <c r="BF310" s="65">
        <f>BJ310*$CF$172</f>
        <v>320.60745727014773</v>
      </c>
      <c r="BG310" s="65">
        <f>BJ310*$CG$172</f>
        <v>312.14414932890844</v>
      </c>
      <c r="BH310" s="65">
        <f>BJ310*$CH$172</f>
        <v>314.34958650919077</v>
      </c>
      <c r="BI310" s="65">
        <f>BJ310*4-SUM(BF310:BH310)</f>
        <v>318.13880689175323</v>
      </c>
      <c r="BJ310" s="11">
        <f>SUM(BJ202,BJ256)</f>
        <v>316.31000000000006</v>
      </c>
      <c r="BK310" s="65">
        <f>BO310*$CF$172</f>
        <v>734.26212954266509</v>
      </c>
      <c r="BL310" s="65">
        <f>BO310*$CG$172</f>
        <v>714.87927873556907</v>
      </c>
      <c r="BM310" s="65">
        <f>BO310*$CH$172</f>
        <v>719.93021864306525</v>
      </c>
      <c r="BN310" s="65">
        <f>BO310*4-SUM(BK310:BM310)</f>
        <v>728.60837307870088</v>
      </c>
      <c r="BO310" s="11">
        <f>SUM(BO202,BO256)</f>
        <v>724.42000000000007</v>
      </c>
      <c r="BP310" s="65">
        <f>BT310*$CF$172</f>
        <v>1067.6002297368841</v>
      </c>
      <c r="BQ310" s="65">
        <f>BT310*$CG$172</f>
        <v>1039.4180109596468</v>
      </c>
      <c r="BR310" s="65">
        <f>BT310*$CH$172</f>
        <v>1046.7619612856547</v>
      </c>
      <c r="BS310" s="65">
        <f>BT310*4-SUM(BP310:BR310)</f>
        <v>1059.3797980178142</v>
      </c>
      <c r="BT310" s="11">
        <f>SUM(BT202,BT256)</f>
        <v>1053.29</v>
      </c>
      <c r="BU310" s="65">
        <f>BY310*$CF$172</f>
        <v>1380.1902200062832</v>
      </c>
      <c r="BV310" s="65">
        <f>BY310*$CG$172</f>
        <v>1343.7563361881741</v>
      </c>
      <c r="BW310" s="65">
        <f>BY310*$CH$172</f>
        <v>1353.2505720770762</v>
      </c>
      <c r="BX310" s="65">
        <f>BY310*4-SUM(BU310:BW310)</f>
        <v>1369.5628717284681</v>
      </c>
      <c r="BY310" s="11">
        <f>SUM(BY202,BY256)</f>
        <v>1361.6900000000003</v>
      </c>
      <c r="BZ310" s="65">
        <f>CD310*$CF$172</f>
        <v>1688.9792619504217</v>
      </c>
      <c r="CA310" s="65">
        <f>CD310*$CG$172</f>
        <v>1644.3940494854203</v>
      </c>
      <c r="CB310" s="65">
        <f>CD310*$CH$172</f>
        <v>1656.0124244687961</v>
      </c>
      <c r="CC310" s="65">
        <f>CD310*4-SUM(BZ310:CB310)</f>
        <v>1675.9742640953627</v>
      </c>
      <c r="CD310" s="11">
        <f>SUM(CD202,CD256)</f>
        <v>1666.3400000000001</v>
      </c>
      <c r="CE310" s="5"/>
      <c r="CF310" s="5"/>
      <c r="CG310" s="5"/>
      <c r="CH310" s="5"/>
      <c r="CI310" s="5"/>
    </row>
    <row r="311" spans="1:87">
      <c r="A311" s="39" t="s">
        <v>2461</v>
      </c>
      <c r="B311" s="39"/>
      <c r="C311" s="39">
        <f t="shared" ref="C311:AH311" si="367">SUM(C308:C310)</f>
        <v>0</v>
      </c>
      <c r="D311" s="39">
        <f t="shared" si="367"/>
        <v>0</v>
      </c>
      <c r="E311" s="39">
        <f t="shared" si="367"/>
        <v>256.61</v>
      </c>
      <c r="F311" s="39">
        <f t="shared" si="367"/>
        <v>284.87</v>
      </c>
      <c r="G311" s="39">
        <f t="shared" si="367"/>
        <v>373.42999999999995</v>
      </c>
      <c r="H311" s="80">
        <f t="shared" si="367"/>
        <v>382.46499999999997</v>
      </c>
      <c r="I311" s="80">
        <f t="shared" si="367"/>
        <v>400.53499999999997</v>
      </c>
      <c r="J311" s="80">
        <f t="shared" si="367"/>
        <v>418.60500000000002</v>
      </c>
      <c r="K311" s="80">
        <f t="shared" si="367"/>
        <v>436.67500000000007</v>
      </c>
      <c r="L311" s="39">
        <f t="shared" si="367"/>
        <v>409.57000000000005</v>
      </c>
      <c r="M311" s="80">
        <f t="shared" si="367"/>
        <v>594.05449057403086</v>
      </c>
      <c r="N311" s="80">
        <f t="shared" si="367"/>
        <v>554.0404575301842</v>
      </c>
      <c r="O311" s="80">
        <f t="shared" si="367"/>
        <v>581.25</v>
      </c>
      <c r="P311" s="80">
        <f t="shared" si="367"/>
        <v>595.65505189578494</v>
      </c>
      <c r="Q311" s="39">
        <f t="shared" si="367"/>
        <v>581.25</v>
      </c>
      <c r="R311" s="80">
        <f t="shared" si="367"/>
        <v>601.89490788656599</v>
      </c>
      <c r="S311" s="80">
        <f t="shared" si="367"/>
        <v>603.27224177188998</v>
      </c>
      <c r="T311" s="80">
        <f t="shared" si="367"/>
        <v>602.39575657213834</v>
      </c>
      <c r="U311" s="80">
        <f t="shared" si="367"/>
        <v>612.03709376940606</v>
      </c>
      <c r="V311" s="39">
        <f t="shared" si="367"/>
        <v>604.90000000000009</v>
      </c>
      <c r="W311" s="80">
        <f t="shared" si="367"/>
        <v>611.10128901499797</v>
      </c>
      <c r="X311" s="80">
        <f t="shared" si="367"/>
        <v>622.08432914471007</v>
      </c>
      <c r="Y311" s="80">
        <f t="shared" si="367"/>
        <v>583.3351763275233</v>
      </c>
      <c r="Z311" s="80">
        <f t="shared" si="367"/>
        <v>618.99920551276864</v>
      </c>
      <c r="AA311" s="39">
        <f t="shared" si="367"/>
        <v>608.88</v>
      </c>
      <c r="AB311" s="80">
        <f t="shared" si="367"/>
        <v>613.30153634577596</v>
      </c>
      <c r="AC311" s="80">
        <f t="shared" si="367"/>
        <v>605.97602357563846</v>
      </c>
      <c r="AD311" s="80">
        <f t="shared" si="367"/>
        <v>626.87174852652254</v>
      </c>
      <c r="AE311" s="80">
        <f t="shared" si="367"/>
        <v>598.89069155206312</v>
      </c>
      <c r="AF311" s="39">
        <f t="shared" si="367"/>
        <v>611.26</v>
      </c>
      <c r="AG311" s="80">
        <f t="shared" si="367"/>
        <v>630.54185164296473</v>
      </c>
      <c r="AH311" s="80">
        <f t="shared" si="367"/>
        <v>613.89698035478045</v>
      </c>
      <c r="AI311" s="80">
        <f t="shared" ref="AI311:BN311" si="368">SUM(AI308:AI310)</f>
        <v>618.23443543202063</v>
      </c>
      <c r="AJ311" s="80">
        <f t="shared" si="368"/>
        <v>625.68673257023397</v>
      </c>
      <c r="AK311" s="39">
        <f t="shared" si="368"/>
        <v>622.09</v>
      </c>
      <c r="AL311" s="80">
        <f t="shared" si="368"/>
        <v>636.63350482558178</v>
      </c>
      <c r="AM311" s="80">
        <f t="shared" si="368"/>
        <v>619.82782774331304</v>
      </c>
      <c r="AN311" s="80">
        <f t="shared" si="368"/>
        <v>624.20718689394175</v>
      </c>
      <c r="AO311" s="80">
        <f t="shared" si="368"/>
        <v>631.73148053716363</v>
      </c>
      <c r="AP311" s="39">
        <f t="shared" si="368"/>
        <v>628.1</v>
      </c>
      <c r="AQ311" s="80">
        <f t="shared" si="368"/>
        <v>629.19378197027243</v>
      </c>
      <c r="AR311" s="80">
        <f t="shared" si="368"/>
        <v>612.58449665648629</v>
      </c>
      <c r="AS311" s="80">
        <f t="shared" si="368"/>
        <v>616.91267845292668</v>
      </c>
      <c r="AT311" s="80">
        <f t="shared" si="368"/>
        <v>624.34904292031456</v>
      </c>
      <c r="AU311" s="39">
        <f t="shared" si="368"/>
        <v>620.76</v>
      </c>
      <c r="AV311" s="80">
        <f t="shared" si="368"/>
        <v>559.88475624192779</v>
      </c>
      <c r="AW311" s="80">
        <f t="shared" si="368"/>
        <v>545.10507162689271</v>
      </c>
      <c r="AX311" s="80">
        <f t="shared" si="368"/>
        <v>548.95648128717642</v>
      </c>
      <c r="AY311" s="80">
        <f t="shared" si="368"/>
        <v>555.57369084400318</v>
      </c>
      <c r="AZ311" s="39">
        <f>SUM(AZ308:AZ310)</f>
        <v>552.38</v>
      </c>
      <c r="BA311" s="80">
        <f t="shared" si="368"/>
        <v>558.06030104580293</v>
      </c>
      <c r="BB311" s="80">
        <f t="shared" si="368"/>
        <v>543.32877789987799</v>
      </c>
      <c r="BC311" s="80">
        <f t="shared" si="368"/>
        <v>547.16763725531996</v>
      </c>
      <c r="BD311" s="80">
        <f t="shared" si="368"/>
        <v>553.7632837989994</v>
      </c>
      <c r="BE311" s="39">
        <f t="shared" si="368"/>
        <v>550.58000000000004</v>
      </c>
      <c r="BF311" s="80">
        <f t="shared" si="368"/>
        <v>524.94643923613603</v>
      </c>
      <c r="BG311" s="80">
        <f t="shared" si="368"/>
        <v>511.08904675456029</v>
      </c>
      <c r="BH311" s="80">
        <f t="shared" si="368"/>
        <v>514.70011807712365</v>
      </c>
      <c r="BI311" s="80">
        <f t="shared" si="368"/>
        <v>520.90439593218025</v>
      </c>
      <c r="BJ311" s="39">
        <f t="shared" si="368"/>
        <v>517.91000000000008</v>
      </c>
      <c r="BK311" s="80">
        <f t="shared" si="368"/>
        <v>993.91251153783992</v>
      </c>
      <c r="BL311" s="80">
        <f t="shared" si="368"/>
        <v>967.67548098521797</v>
      </c>
      <c r="BM311" s="80">
        <f t="shared" si="368"/>
        <v>974.51253844344899</v>
      </c>
      <c r="BN311" s="80">
        <f t="shared" si="368"/>
        <v>986.25946903349336</v>
      </c>
      <c r="BO311" s="39">
        <f t="shared" ref="BO311:CD311" si="369">SUM(BO308:BO310)</f>
        <v>980.59000000000015</v>
      </c>
      <c r="BP311" s="80">
        <f t="shared" si="369"/>
        <v>1331.9232442065786</v>
      </c>
      <c r="BQ311" s="80">
        <f t="shared" si="369"/>
        <v>1296.7634988101504</v>
      </c>
      <c r="BR311" s="80">
        <f t="shared" si="369"/>
        <v>1305.925709412071</v>
      </c>
      <c r="BS311" s="80">
        <f t="shared" si="369"/>
        <v>1321.6675475712</v>
      </c>
      <c r="BT311" s="39">
        <f t="shared" si="369"/>
        <v>1314.07</v>
      </c>
      <c r="BU311" s="80">
        <f t="shared" si="369"/>
        <v>1628.1336811596566</v>
      </c>
      <c r="BV311" s="80">
        <f t="shared" si="369"/>
        <v>1585.1546536894784</v>
      </c>
      <c r="BW311" s="80">
        <f t="shared" si="369"/>
        <v>1596.3544760063805</v>
      </c>
      <c r="BX311" s="80">
        <f t="shared" si="369"/>
        <v>1615.597189144486</v>
      </c>
      <c r="BY311" s="39">
        <f t="shared" si="369"/>
        <v>1606.3100000000004</v>
      </c>
      <c r="BZ311" s="80">
        <f t="shared" si="369"/>
        <v>1926.0063995136477</v>
      </c>
      <c r="CA311" s="80">
        <f t="shared" si="369"/>
        <v>1875.1642095200864</v>
      </c>
      <c r="CB311" s="80">
        <f t="shared" si="369"/>
        <v>1888.4130782741586</v>
      </c>
      <c r="CC311" s="80">
        <f t="shared" si="369"/>
        <v>1911.176312692108</v>
      </c>
      <c r="CD311" s="39">
        <f t="shared" si="369"/>
        <v>1900.19</v>
      </c>
      <c r="CE311" s="5"/>
      <c r="CF311" s="5"/>
      <c r="CG311" s="5"/>
      <c r="CH311" s="5"/>
      <c r="CI311" s="5"/>
    </row>
    <row r="312" spans="1:87">
      <c r="A312" s="11"/>
      <c r="B312" s="11"/>
      <c r="C312" s="11"/>
      <c r="D312" s="11"/>
      <c r="E312" s="11"/>
      <c r="F312" s="11"/>
      <c r="G312" s="11"/>
      <c r="H312" s="80"/>
      <c r="I312" s="80"/>
      <c r="J312" s="80"/>
      <c r="K312" s="80"/>
      <c r="L312" s="11"/>
      <c r="M312" s="68"/>
      <c r="N312" s="68"/>
      <c r="O312" s="68"/>
      <c r="P312" s="68"/>
      <c r="Q312" s="11"/>
      <c r="R312" s="68"/>
      <c r="S312" s="68"/>
      <c r="T312" s="68"/>
      <c r="U312" s="68"/>
      <c r="V312" s="11"/>
      <c r="W312" s="68"/>
      <c r="X312" s="68"/>
      <c r="Y312" s="68"/>
      <c r="Z312" s="68"/>
      <c r="AA312" s="11"/>
      <c r="AB312" s="68"/>
      <c r="AC312" s="68"/>
      <c r="AD312" s="68"/>
      <c r="AE312" s="68"/>
      <c r="AF312" s="11"/>
      <c r="AG312" s="68"/>
      <c r="AH312" s="68"/>
      <c r="AI312" s="68"/>
      <c r="AJ312" s="68"/>
      <c r="AK312" s="11"/>
      <c r="AL312" s="48"/>
      <c r="AM312" s="48"/>
      <c r="AN312" s="48"/>
      <c r="AO312" s="48"/>
      <c r="AP312" s="48"/>
      <c r="AQ312" s="48"/>
      <c r="AR312" s="48"/>
      <c r="AS312" s="48"/>
      <c r="AT312" s="48"/>
      <c r="AU312" s="48"/>
      <c r="AV312" s="48"/>
      <c r="AW312" s="48"/>
      <c r="AX312" s="48"/>
      <c r="AY312" s="48"/>
      <c r="AZ312" s="48"/>
      <c r="BA312" s="48"/>
      <c r="BB312" s="48"/>
      <c r="BC312" s="48"/>
      <c r="BD312" s="48"/>
      <c r="BE312" s="48"/>
      <c r="BF312" s="48"/>
      <c r="BG312" s="48"/>
      <c r="BH312" s="48"/>
      <c r="BI312" s="48"/>
      <c r="BJ312" s="48"/>
      <c r="BK312" s="48"/>
      <c r="BL312" s="48"/>
      <c r="BM312" s="48"/>
      <c r="BN312" s="48"/>
      <c r="BO312" s="48"/>
      <c r="BP312" s="48"/>
      <c r="BQ312" s="48"/>
      <c r="BR312" s="48"/>
      <c r="BS312" s="48"/>
      <c r="BT312" s="48"/>
      <c r="BU312" s="48"/>
      <c r="BV312" s="48"/>
      <c r="BW312" s="48"/>
      <c r="BX312" s="48"/>
      <c r="BY312" s="48"/>
      <c r="BZ312" s="48"/>
      <c r="CA312" s="48"/>
      <c r="CB312" s="48"/>
      <c r="CC312" s="48"/>
      <c r="CD312" s="48"/>
      <c r="CE312" s="5"/>
      <c r="CF312" s="5"/>
      <c r="CG312" s="5"/>
      <c r="CH312" s="5"/>
      <c r="CI312" s="5"/>
    </row>
    <row r="313" spans="1:87">
      <c r="A313" s="39" t="s">
        <v>2462</v>
      </c>
      <c r="B313" s="11"/>
      <c r="C313" s="11"/>
      <c r="D313" s="11"/>
      <c r="E313" s="11"/>
      <c r="F313" s="11"/>
      <c r="G313" s="11"/>
      <c r="H313" s="80"/>
      <c r="I313" s="80"/>
      <c r="J313" s="80"/>
      <c r="K313" s="80"/>
      <c r="L313" s="11"/>
      <c r="M313" s="68"/>
      <c r="N313" s="68"/>
      <c r="O313" s="68"/>
      <c r="P313" s="68"/>
      <c r="Q313" s="11"/>
      <c r="R313" s="68"/>
      <c r="S313" s="68"/>
      <c r="T313" s="68"/>
      <c r="U313" s="68"/>
      <c r="V313" s="11"/>
      <c r="W313" s="68"/>
      <c r="X313" s="68"/>
      <c r="Y313" s="68"/>
      <c r="Z313" s="68"/>
      <c r="AA313" s="11"/>
      <c r="AB313" s="68"/>
      <c r="AC313" s="68"/>
      <c r="AD313" s="68"/>
      <c r="AE313" s="68"/>
      <c r="AF313" s="11"/>
      <c r="AG313" s="68"/>
      <c r="AH313" s="68"/>
      <c r="AI313" s="68"/>
      <c r="AJ313" s="68"/>
      <c r="AK313" s="11"/>
      <c r="AL313" s="68"/>
      <c r="AM313" s="68"/>
      <c r="AN313" s="68"/>
      <c r="AO313" s="68"/>
      <c r="AP313" s="11"/>
      <c r="AQ313" s="68"/>
      <c r="AR313" s="68"/>
      <c r="AS313" s="68"/>
      <c r="AT313" s="68"/>
      <c r="AU313" s="11"/>
      <c r="AV313" s="68"/>
      <c r="AW313" s="68"/>
      <c r="AX313" s="68"/>
      <c r="AY313" s="68"/>
      <c r="AZ313" s="11"/>
      <c r="BA313" s="68"/>
      <c r="BB313" s="68"/>
      <c r="BC313" s="68"/>
      <c r="BD313" s="68"/>
      <c r="BE313" s="11"/>
      <c r="BF313" s="68"/>
      <c r="BG313" s="68"/>
      <c r="BH313" s="68"/>
      <c r="BI313" s="68"/>
      <c r="BJ313" s="11"/>
      <c r="BK313" s="68"/>
      <c r="BL313" s="68"/>
      <c r="BM313" s="68"/>
      <c r="BN313" s="68"/>
      <c r="BO313" s="11"/>
      <c r="BP313" s="68"/>
      <c r="BQ313" s="68"/>
      <c r="BR313" s="68"/>
      <c r="BS313" s="68"/>
      <c r="BT313" s="11"/>
      <c r="BU313" s="68"/>
      <c r="BV313" s="68"/>
      <c r="BW313" s="68"/>
      <c r="BX313" s="68"/>
      <c r="BY313" s="11"/>
      <c r="BZ313" s="68"/>
      <c r="CA313" s="68"/>
      <c r="CB313" s="68"/>
      <c r="CC313" s="68"/>
      <c r="CD313" s="11"/>
      <c r="CE313" s="5"/>
      <c r="CF313" s="5"/>
      <c r="CG313" s="5"/>
      <c r="CH313" s="5"/>
      <c r="CI313" s="5"/>
    </row>
    <row r="314" spans="1:87">
      <c r="A314" s="39"/>
      <c r="B314" s="11" t="s">
        <v>2502</v>
      </c>
      <c r="C314" s="11"/>
      <c r="D314" s="11"/>
      <c r="E314" s="11">
        <f t="shared" ref="E314:G325" si="370">SUM(E206,E260)</f>
        <v>0</v>
      </c>
      <c r="F314" s="11">
        <f t="shared" si="370"/>
        <v>0</v>
      </c>
      <c r="G314" s="11">
        <f t="shared" si="370"/>
        <v>0</v>
      </c>
      <c r="H314" s="86">
        <f>G314+(L314-G314)/4</f>
        <v>0</v>
      </c>
      <c r="I314" s="86">
        <f>H314+(L314-G314)/2</f>
        <v>0</v>
      </c>
      <c r="J314" s="86">
        <f>I314+(L314-G314)/2</f>
        <v>0</v>
      </c>
      <c r="K314" s="86">
        <f>J314+(L314-G314)/2</f>
        <v>0</v>
      </c>
      <c r="L314" s="11">
        <f t="shared" ref="L314:L325" si="371">SUM(L206,L260)</f>
        <v>0</v>
      </c>
      <c r="M314" s="65">
        <f t="shared" ref="M314:O321" si="372">$Q314*M$172</f>
        <v>0</v>
      </c>
      <c r="N314" s="65">
        <f t="shared" si="372"/>
        <v>0</v>
      </c>
      <c r="O314" s="65">
        <f t="shared" si="372"/>
        <v>0</v>
      </c>
      <c r="P314" s="65">
        <f>Q314*4-SUM(M314:O314)</f>
        <v>0</v>
      </c>
      <c r="Q314" s="11">
        <f t="shared" ref="Q314:Q325" si="373">SUM(Q206,Q260)</f>
        <v>0</v>
      </c>
      <c r="R314" s="65">
        <f>V314*R$172</f>
        <v>0</v>
      </c>
      <c r="S314" s="65">
        <f>V314*S$172</f>
        <v>0</v>
      </c>
      <c r="T314" s="65">
        <f>V314*T$172</f>
        <v>0</v>
      </c>
      <c r="U314" s="65">
        <f>V314*4-SUM(R314:T314)</f>
        <v>0</v>
      </c>
      <c r="V314" s="11">
        <f t="shared" ref="V314:V325" si="374">SUM(V206,V260)</f>
        <v>0</v>
      </c>
      <c r="W314" s="65">
        <f>AA314*W$172</f>
        <v>0</v>
      </c>
      <c r="X314" s="65">
        <f>AA314*X$172</f>
        <v>0</v>
      </c>
      <c r="Y314" s="65">
        <f>AA314*Y$172</f>
        <v>0</v>
      </c>
      <c r="Z314" s="65">
        <f>AA314*4-SUM(W314:Y314)</f>
        <v>0</v>
      </c>
      <c r="AA314" s="11">
        <f t="shared" ref="AA314:AA325" si="375">SUM(AA206,AA260)</f>
        <v>0</v>
      </c>
      <c r="AB314" s="65">
        <f>AF314*AB$172</f>
        <v>0</v>
      </c>
      <c r="AC314" s="65">
        <f>AF314*AC$172</f>
        <v>0</v>
      </c>
      <c r="AD314" s="65">
        <f>AF314*AD$172</f>
        <v>0</v>
      </c>
      <c r="AE314" s="65">
        <f>AF314*4-SUM(AB314:AD314)</f>
        <v>0</v>
      </c>
      <c r="AF314" s="11">
        <f t="shared" ref="AF314:AF325" si="376">SUM(AF206,AF260)</f>
        <v>0</v>
      </c>
      <c r="AG314" s="65">
        <f>AK314*$CF$172</f>
        <v>0</v>
      </c>
      <c r="AH314" s="65">
        <f>AK314*$CG$172</f>
        <v>0</v>
      </c>
      <c r="AI314" s="65">
        <f>AK314*$CH$172</f>
        <v>0</v>
      </c>
      <c r="AJ314" s="65">
        <f>AK314*4-SUM(AG314:AI314)</f>
        <v>0</v>
      </c>
      <c r="AK314" s="11">
        <f t="shared" ref="AK314:AK325" si="377">SUM(AK206,AK260)</f>
        <v>0</v>
      </c>
      <c r="AL314" s="65">
        <f>AP314*$CF$172</f>
        <v>0</v>
      </c>
      <c r="AM314" s="65">
        <f>AP314*$CG$172</f>
        <v>0</v>
      </c>
      <c r="AN314" s="65">
        <f>AP314*$CH$172</f>
        <v>0</v>
      </c>
      <c r="AO314" s="65">
        <f>AP314*4-SUM(AL314:AN314)</f>
        <v>0</v>
      </c>
      <c r="AP314" s="11">
        <f t="shared" ref="AP314:AP325" si="378">SUM(AP206,AP260)</f>
        <v>0</v>
      </c>
      <c r="AQ314" s="65">
        <f>AU314*$CF$172</f>
        <v>0</v>
      </c>
      <c r="AR314" s="65">
        <f>AU314*$CG$172</f>
        <v>0</v>
      </c>
      <c r="AS314" s="65">
        <f>AU314*$CH$172</f>
        <v>0</v>
      </c>
      <c r="AT314" s="65">
        <f>AU314*4-SUM(AQ314:AS314)</f>
        <v>0</v>
      </c>
      <c r="AU314" s="11">
        <f t="shared" ref="AU314:AU325" si="379">SUM(AU206,AU260)</f>
        <v>0</v>
      </c>
      <c r="AV314" s="65">
        <f>AZ314*$CF$172</f>
        <v>0</v>
      </c>
      <c r="AW314" s="65">
        <f>AZ314*$CG$172</f>
        <v>0</v>
      </c>
      <c r="AX314" s="65">
        <f>AZ314*$CH$172</f>
        <v>0</v>
      </c>
      <c r="AY314" s="65">
        <f>AZ314*4-SUM(AV314:AX314)</f>
        <v>0</v>
      </c>
      <c r="AZ314" s="11">
        <f t="shared" ref="AZ314:AZ325" si="380">SUM(AZ206,AZ260)</f>
        <v>0</v>
      </c>
      <c r="BA314" s="65">
        <f>BE314*$CF$172</f>
        <v>0</v>
      </c>
      <c r="BB314" s="65">
        <f>BE314*$CG$172</f>
        <v>0</v>
      </c>
      <c r="BC314" s="65">
        <f>BE314*$CH$172</f>
        <v>0</v>
      </c>
      <c r="BD314" s="65">
        <f>BE314*4-SUM(BA314:BC314)</f>
        <v>0</v>
      </c>
      <c r="BE314" s="11">
        <f t="shared" ref="BE314:BE325" si="381">SUM(BE206,BE260)</f>
        <v>0</v>
      </c>
      <c r="BF314" s="65">
        <f>BJ314*$CF$172</f>
        <v>0</v>
      </c>
      <c r="BG314" s="65">
        <f>BJ314*$CG$172</f>
        <v>0</v>
      </c>
      <c r="BH314" s="65">
        <f>BJ314*$CH$172</f>
        <v>0</v>
      </c>
      <c r="BI314" s="65">
        <f>BJ314*4-SUM(BF314:BH314)</f>
        <v>0</v>
      </c>
      <c r="BJ314" s="11">
        <f t="shared" ref="BJ314:BJ325" si="382">SUM(BJ206,BJ260)</f>
        <v>0</v>
      </c>
      <c r="BK314" s="65">
        <f>BO314*$CF$172</f>
        <v>0</v>
      </c>
      <c r="BL314" s="65">
        <f>BO314*$CG$172</f>
        <v>0</v>
      </c>
      <c r="BM314" s="65">
        <f>BO314*$CH$172</f>
        <v>0</v>
      </c>
      <c r="BN314" s="65">
        <f>BO314*4-SUM(BK314:BM314)</f>
        <v>0</v>
      </c>
      <c r="BO314" s="11">
        <f t="shared" ref="BO314:BO325" si="383">SUM(BO206,BO260)</f>
        <v>0</v>
      </c>
      <c r="BP314" s="65">
        <f>BT314*$CF$172</f>
        <v>0</v>
      </c>
      <c r="BQ314" s="65">
        <f>BT314*$CG$172</f>
        <v>0</v>
      </c>
      <c r="BR314" s="65">
        <f>BT314*$CH$172</f>
        <v>0</v>
      </c>
      <c r="BS314" s="65">
        <f>BT314*4-SUM(BP314:BR314)</f>
        <v>0</v>
      </c>
      <c r="BT314" s="11">
        <f t="shared" ref="BT314:BT325" si="384">SUM(BT206,BT260)</f>
        <v>0</v>
      </c>
      <c r="BU314" s="65">
        <f>BY314*$CF$172</f>
        <v>0</v>
      </c>
      <c r="BV314" s="65">
        <f>BY314*$CG$172</f>
        <v>0</v>
      </c>
      <c r="BW314" s="65">
        <f>BY314*$CH$172</f>
        <v>0</v>
      </c>
      <c r="BX314" s="65">
        <f>BY314*4-SUM(BU314:BW314)</f>
        <v>0</v>
      </c>
      <c r="BY314" s="11">
        <f t="shared" ref="BY314:BY325" si="385">SUM(BY206,BY260)</f>
        <v>0</v>
      </c>
      <c r="BZ314" s="65">
        <f>CD314*$CF$172</f>
        <v>0</v>
      </c>
      <c r="CA314" s="65">
        <f>CD314*$CG$172</f>
        <v>0</v>
      </c>
      <c r="CB314" s="65">
        <f>CD314*$CH$172</f>
        <v>0</v>
      </c>
      <c r="CC314" s="65">
        <f>CD314*4-SUM(BZ314:CB314)</f>
        <v>0</v>
      </c>
      <c r="CD314" s="11">
        <f t="shared" ref="CD314:CD325" si="386">SUM(CD206,CD260)</f>
        <v>0</v>
      </c>
      <c r="CE314" s="5"/>
      <c r="CF314" s="5"/>
      <c r="CG314" s="5"/>
      <c r="CH314" s="5"/>
      <c r="CI314" s="5"/>
    </row>
    <row r="315" spans="1:87">
      <c r="A315" s="11"/>
      <c r="B315" s="11" t="s">
        <v>726</v>
      </c>
      <c r="C315" s="11"/>
      <c r="D315" s="11"/>
      <c r="E315" s="11">
        <f t="shared" si="370"/>
        <v>0</v>
      </c>
      <c r="F315" s="11">
        <f t="shared" si="370"/>
        <v>0</v>
      </c>
      <c r="G315" s="11">
        <f t="shared" si="370"/>
        <v>0</v>
      </c>
      <c r="H315" s="86">
        <f t="shared" ref="H315:H325" si="387">G315+(L315-G315)/4</f>
        <v>0.69750000000000001</v>
      </c>
      <c r="I315" s="86">
        <f t="shared" ref="I315:I325" si="388">H315+(L315-G315)/2</f>
        <v>2.0925000000000002</v>
      </c>
      <c r="J315" s="86">
        <f t="shared" ref="J315:J325" si="389">I315+(L315-G315)/2</f>
        <v>3.4875000000000003</v>
      </c>
      <c r="K315" s="86">
        <f t="shared" ref="K315:K325" si="390">J315+(L315-G315)/2</f>
        <v>4.8825000000000003</v>
      </c>
      <c r="L315" s="11">
        <f t="shared" si="371"/>
        <v>2.79</v>
      </c>
      <c r="M315" s="65">
        <f t="shared" si="372"/>
        <v>67.91384240626985</v>
      </c>
      <c r="N315" s="65">
        <f t="shared" si="372"/>
        <v>63.339334886676554</v>
      </c>
      <c r="O315" s="65">
        <f t="shared" si="372"/>
        <v>66.45</v>
      </c>
      <c r="P315" s="65">
        <f t="shared" ref="P315:P325" si="391">Q315*4-SUM(M315:O315)</f>
        <v>68.096822707053605</v>
      </c>
      <c r="Q315" s="11">
        <f t="shared" si="373"/>
        <v>66.45</v>
      </c>
      <c r="R315" s="65">
        <f t="shared" ref="R315:R321" si="392">V315*R$172</f>
        <v>140.76718898778719</v>
      </c>
      <c r="S315" s="65">
        <f t="shared" ref="S315:S321" si="393">V315*S$172</f>
        <v>141.08931070171809</v>
      </c>
      <c r="T315" s="65">
        <f t="shared" ref="T315:T321" si="394">V315*T$172</f>
        <v>140.88432415648933</v>
      </c>
      <c r="U315" s="65">
        <f t="shared" ref="U315:U325" si="395">V315*4-SUM(R315:T315)</f>
        <v>143.13917615400533</v>
      </c>
      <c r="V315" s="11">
        <f t="shared" si="374"/>
        <v>141.47</v>
      </c>
      <c r="W315" s="65">
        <f t="shared" ref="W315:W321" si="396">AA315*W$172</f>
        <v>129.80181597081477</v>
      </c>
      <c r="X315" s="65">
        <f t="shared" ref="X315:X321" si="397">AA315*X$172</f>
        <v>132.13468382650993</v>
      </c>
      <c r="Y315" s="65">
        <f t="shared" ref="Y315:Y321" si="398">AA315*Y$172</f>
        <v>123.90411633563033</v>
      </c>
      <c r="Z315" s="65">
        <f t="shared" ref="Z315:Z325" si="399">AA315*4-SUM(W315:Y315)</f>
        <v>131.47938386704504</v>
      </c>
      <c r="AA315" s="11">
        <f t="shared" si="375"/>
        <v>129.33000000000001</v>
      </c>
      <c r="AB315" s="65">
        <f t="shared" ref="AB315:AB321" si="400">AF315*AB$172</f>
        <v>154.87554420432221</v>
      </c>
      <c r="AC315" s="65">
        <f t="shared" ref="AC315:AC321" si="401">AF315*AC$172</f>
        <v>153.02565029469551</v>
      </c>
      <c r="AD315" s="65">
        <f t="shared" ref="AD315:AD321" si="402">AF315*AD$172</f>
        <v>158.30239685658154</v>
      </c>
      <c r="AE315" s="65">
        <f t="shared" ref="AE315:AE325" si="403">AF315*4-SUM(AB315:AD315)</f>
        <v>151.2364086444008</v>
      </c>
      <c r="AF315" s="11">
        <f t="shared" si="376"/>
        <v>154.36000000000001</v>
      </c>
      <c r="AG315" s="65">
        <f t="shared" ref="AG315:AG321" si="404">AK315*$CF$172</f>
        <v>137.48283489021159</v>
      </c>
      <c r="AH315" s="65">
        <f t="shared" ref="AH315:AH321" si="405">AK315*$CG$172</f>
        <v>133.85360062904471</v>
      </c>
      <c r="AI315" s="65">
        <f t="shared" ref="AI315:AI321" si="406">AK315*$CH$172</f>
        <v>134.79933582278974</v>
      </c>
      <c r="AJ315" s="65">
        <f t="shared" ref="AJ315:AJ325" si="407">AK315*4-SUM(AG315:AI315)</f>
        <v>136.4242286579539</v>
      </c>
      <c r="AK315" s="11">
        <f t="shared" si="377"/>
        <v>135.63999999999999</v>
      </c>
      <c r="AL315" s="65">
        <f t="shared" ref="AL315:AL321" si="408">AP315*$CF$172</f>
        <v>158.68705861406318</v>
      </c>
      <c r="AM315" s="65">
        <f t="shared" ref="AM315:AM321" si="409">AP315*$CG$172</f>
        <v>154.49808105634946</v>
      </c>
      <c r="AN315" s="65">
        <f t="shared" ref="AN315:AN321" si="410">AP315*$CH$172</f>
        <v>155.58967868192246</v>
      </c>
      <c r="AO315" s="65">
        <f t="shared" ref="AO315:AO325" si="411">AP315*4-SUM(AL315:AN315)</f>
        <v>157.46518164766491</v>
      </c>
      <c r="AP315" s="11">
        <f t="shared" si="378"/>
        <v>156.56</v>
      </c>
      <c r="AQ315" s="65">
        <f t="shared" ref="AQ315:AQ321" si="412">AU315*$CF$172</f>
        <v>202.00773365982877</v>
      </c>
      <c r="AR315" s="65">
        <f t="shared" ref="AR315:AR321" si="413">AU315*$CG$172</f>
        <v>196.67518877446633</v>
      </c>
      <c r="AS315" s="65">
        <f t="shared" ref="AS315:AS321" si="414">AU315*$CH$172</f>
        <v>198.06478641611619</v>
      </c>
      <c r="AT315" s="65">
        <f t="shared" ref="AT315:AT325" si="415">AU315*4-SUM(AQ315:AS315)</f>
        <v>200.45229114958875</v>
      </c>
      <c r="AU315" s="11">
        <f t="shared" si="379"/>
        <v>199.3</v>
      </c>
      <c r="AV315" s="65">
        <f t="shared" ref="AV315:AV321" si="416">AZ315*$CF$172</f>
        <v>229.79013195193065</v>
      </c>
      <c r="AW315" s="65">
        <f t="shared" ref="AW315:AW321" si="417">AZ315*$CG$172</f>
        <v>223.72419491750759</v>
      </c>
      <c r="AX315" s="65">
        <f t="shared" ref="AX315:AX321" si="418">AZ315*$CH$172</f>
        <v>225.30490581233167</v>
      </c>
      <c r="AY315" s="65">
        <f t="shared" ref="AY315:AY325" si="419">AZ315*4-SUM(AV315:AX315)</f>
        <v>228.02076731823013</v>
      </c>
      <c r="AZ315" s="11">
        <f t="shared" si="380"/>
        <v>226.71</v>
      </c>
      <c r="BA315" s="65">
        <f t="shared" ref="BA315:BA321" si="420">BE315*$CF$172</f>
        <v>234.36140580444356</v>
      </c>
      <c r="BB315" s="65">
        <f t="shared" ref="BB315:BB321" si="421">BE315*$CG$172</f>
        <v>228.17479753352788</v>
      </c>
      <c r="BC315" s="65">
        <f t="shared" ref="BC315:BC321" si="422">BE315*$CH$172</f>
        <v>229.78695391437222</v>
      </c>
      <c r="BD315" s="65">
        <f t="shared" ref="BD315:BD325" si="423">BE315*4-SUM(BA315:BC315)</f>
        <v>232.55684274765633</v>
      </c>
      <c r="BE315" s="11">
        <f t="shared" si="381"/>
        <v>231.22</v>
      </c>
      <c r="BF315" s="65">
        <f t="shared" ref="BF315:BF321" si="424">BJ315*$CF$172</f>
        <v>259.18413233394284</v>
      </c>
      <c r="BG315" s="65">
        <f t="shared" ref="BG315:BG321" si="425">BJ315*$CG$172</f>
        <v>252.34226051941187</v>
      </c>
      <c r="BH315" s="65">
        <f t="shared" ref="BH315:BH321" si="426">BJ315*$CH$172</f>
        <v>254.12517077002042</v>
      </c>
      <c r="BI315" s="65">
        <f t="shared" ref="BI315:BI325" si="427">BJ315*4-SUM(BF315:BH315)</f>
        <v>257.18843637662496</v>
      </c>
      <c r="BJ315" s="11">
        <f t="shared" si="382"/>
        <v>255.71</v>
      </c>
      <c r="BK315" s="65">
        <f t="shared" ref="BK315:BK321" si="428">BO315*$CF$172</f>
        <v>245.60207698501307</v>
      </c>
      <c r="BL315" s="65">
        <f t="shared" ref="BL315:BL321" si="429">BO315*$CG$172</f>
        <v>239.1187405516354</v>
      </c>
      <c r="BM315" s="65">
        <f t="shared" ref="BM315:BM321" si="430">BO315*$CH$172</f>
        <v>240.80822075508837</v>
      </c>
      <c r="BN315" s="65">
        <f t="shared" ref="BN315:BN325" si="431">BO315*4-SUM(BK315:BM315)</f>
        <v>243.71096170826308</v>
      </c>
      <c r="BO315" s="11">
        <f t="shared" si="383"/>
        <v>242.31</v>
      </c>
      <c r="BP315" s="65">
        <f t="shared" ref="BP315:BP321" si="432">BT315*$CF$172</f>
        <v>272.23912284843652</v>
      </c>
      <c r="BQ315" s="65">
        <f t="shared" ref="BQ315:BQ321" si="433">BT315*$CG$172</f>
        <v>265.05262896605069</v>
      </c>
      <c r="BR315" s="65">
        <f t="shared" ref="BR315:BR321" si="434">BT315*$CH$172</f>
        <v>266.92534362019387</v>
      </c>
      <c r="BS315" s="65">
        <f t="shared" ref="BS315:BS325" si="435">BT315*4-SUM(BP315:BR315)</f>
        <v>270.14290456531876</v>
      </c>
      <c r="BT315" s="11">
        <f t="shared" si="384"/>
        <v>268.58999999999997</v>
      </c>
      <c r="BU315" s="65">
        <f t="shared" ref="BU315:BU321" si="436">BY315*$CF$172</f>
        <v>308.95121573934972</v>
      </c>
      <c r="BV315" s="65">
        <f t="shared" ref="BV315:BV321" si="437">BY315*$CG$172</f>
        <v>300.79560607298083</v>
      </c>
      <c r="BW315" s="65">
        <f t="shared" ref="BW315:BW321" si="438">BY315*$CH$172</f>
        <v>302.92086075010724</v>
      </c>
      <c r="BX315" s="65">
        <f t="shared" ref="BX315:BX325" si="439">BY315*4-SUM(BU315:BW315)</f>
        <v>306.57231743756211</v>
      </c>
      <c r="BY315" s="11">
        <f t="shared" si="385"/>
        <v>304.81</v>
      </c>
      <c r="BZ315" s="65">
        <f t="shared" ref="BZ315:BZ321" si="440">CD315*$CF$172</f>
        <v>455.66782109439345</v>
      </c>
      <c r="CA315" s="65">
        <f t="shared" ref="CA315:CA321" si="441">CD315*$CG$172</f>
        <v>443.63922662041688</v>
      </c>
      <c r="CB315" s="65">
        <f t="shared" ref="CB315:CB321" si="442">CD315*$CH$172</f>
        <v>446.77373497857093</v>
      </c>
      <c r="CC315" s="65">
        <f t="shared" ref="CC315:CC325" si="443">CD315*4-SUM(BZ315:CB315)</f>
        <v>452.15921730661876</v>
      </c>
      <c r="CD315" s="11">
        <f t="shared" si="386"/>
        <v>449.56</v>
      </c>
      <c r="CE315" s="5"/>
      <c r="CF315" s="5"/>
      <c r="CG315" s="5"/>
      <c r="CH315" s="5"/>
      <c r="CI315" s="5"/>
    </row>
    <row r="316" spans="1:87">
      <c r="A316" s="11"/>
      <c r="B316" s="11" t="s">
        <v>216</v>
      </c>
      <c r="C316" s="11"/>
      <c r="D316" s="11"/>
      <c r="E316" s="11">
        <f t="shared" si="370"/>
        <v>79.61</v>
      </c>
      <c r="F316" s="11">
        <f t="shared" si="370"/>
        <v>104.27</v>
      </c>
      <c r="G316" s="11">
        <f t="shared" si="370"/>
        <v>104.27</v>
      </c>
      <c r="H316" s="86">
        <f t="shared" si="387"/>
        <v>103.52249999999999</v>
      </c>
      <c r="I316" s="86">
        <f t="shared" si="388"/>
        <v>102.0275</v>
      </c>
      <c r="J316" s="86">
        <f t="shared" si="389"/>
        <v>100.5325</v>
      </c>
      <c r="K316" s="86">
        <f t="shared" si="390"/>
        <v>99.037499999999994</v>
      </c>
      <c r="L316" s="11">
        <f t="shared" si="371"/>
        <v>101.28</v>
      </c>
      <c r="M316" s="65">
        <f t="shared" si="372"/>
        <v>87.833192120313484</v>
      </c>
      <c r="N316" s="65">
        <f t="shared" si="372"/>
        <v>81.91696674433382</v>
      </c>
      <c r="O316" s="65">
        <f t="shared" si="372"/>
        <v>85.94</v>
      </c>
      <c r="P316" s="65">
        <f t="shared" si="391"/>
        <v>88.069841135352704</v>
      </c>
      <c r="Q316" s="11">
        <f t="shared" si="373"/>
        <v>85.94</v>
      </c>
      <c r="R316" s="65">
        <f t="shared" si="392"/>
        <v>90.68722417718898</v>
      </c>
      <c r="S316" s="65">
        <f t="shared" si="393"/>
        <v>90.8947464293107</v>
      </c>
      <c r="T316" s="65">
        <f t="shared" si="394"/>
        <v>90.762686814324155</v>
      </c>
      <c r="U316" s="65">
        <f t="shared" si="395"/>
        <v>92.215342579176138</v>
      </c>
      <c r="V316" s="11">
        <f t="shared" si="374"/>
        <v>91.14</v>
      </c>
      <c r="W316" s="65">
        <f t="shared" si="396"/>
        <v>83.33290636400487</v>
      </c>
      <c r="X316" s="65">
        <f t="shared" si="397"/>
        <v>84.830610052695576</v>
      </c>
      <c r="Y316" s="65">
        <f t="shared" si="398"/>
        <v>79.546576813944071</v>
      </c>
      <c r="Z316" s="65">
        <f t="shared" si="399"/>
        <v>84.409906769355473</v>
      </c>
      <c r="AA316" s="11">
        <f t="shared" si="375"/>
        <v>83.03</v>
      </c>
      <c r="AB316" s="65">
        <f t="shared" si="400"/>
        <v>93.942713163064823</v>
      </c>
      <c r="AC316" s="65">
        <f t="shared" si="401"/>
        <v>92.820624754420436</v>
      </c>
      <c r="AD316" s="65">
        <f t="shared" si="402"/>
        <v>96.021335952848716</v>
      </c>
      <c r="AE316" s="65">
        <f t="shared" si="403"/>
        <v>91.735326129665964</v>
      </c>
      <c r="AF316" s="11">
        <f t="shared" si="376"/>
        <v>93.63</v>
      </c>
      <c r="AG316" s="65">
        <f t="shared" si="404"/>
        <v>70.62668781443486</v>
      </c>
      <c r="AH316" s="65">
        <f t="shared" si="405"/>
        <v>68.76230383243761</v>
      </c>
      <c r="AI316" s="65">
        <f t="shared" si="406"/>
        <v>69.248140077646639</v>
      </c>
      <c r="AJ316" s="65">
        <f t="shared" si="407"/>
        <v>70.082868275480934</v>
      </c>
      <c r="AK316" s="11">
        <f t="shared" si="377"/>
        <v>69.680000000000007</v>
      </c>
      <c r="AL316" s="65">
        <f t="shared" si="408"/>
        <v>67.261581563804498</v>
      </c>
      <c r="AM316" s="65">
        <f t="shared" si="409"/>
        <v>65.486028735943734</v>
      </c>
      <c r="AN316" s="65">
        <f t="shared" si="410"/>
        <v>65.948716641111233</v>
      </c>
      <c r="AO316" s="65">
        <f t="shared" si="411"/>
        <v>66.743673059140519</v>
      </c>
      <c r="AP316" s="11">
        <f t="shared" si="378"/>
        <v>66.36</v>
      </c>
      <c r="AQ316" s="65">
        <f t="shared" si="412"/>
        <v>0</v>
      </c>
      <c r="AR316" s="65">
        <f t="shared" si="413"/>
        <v>0</v>
      </c>
      <c r="AS316" s="65">
        <f t="shared" si="414"/>
        <v>0</v>
      </c>
      <c r="AT316" s="65">
        <f t="shared" si="415"/>
        <v>0</v>
      </c>
      <c r="AU316" s="11">
        <f t="shared" si="379"/>
        <v>0</v>
      </c>
      <c r="AV316" s="65">
        <f t="shared" si="416"/>
        <v>0</v>
      </c>
      <c r="AW316" s="65">
        <f t="shared" si="417"/>
        <v>0</v>
      </c>
      <c r="AX316" s="65">
        <f t="shared" si="418"/>
        <v>0</v>
      </c>
      <c r="AY316" s="65">
        <f t="shared" si="419"/>
        <v>0</v>
      </c>
      <c r="AZ316" s="11">
        <f t="shared" si="380"/>
        <v>0</v>
      </c>
      <c r="BA316" s="65">
        <f t="shared" si="420"/>
        <v>0</v>
      </c>
      <c r="BB316" s="65">
        <f t="shared" si="421"/>
        <v>0</v>
      </c>
      <c r="BC316" s="65">
        <f t="shared" si="422"/>
        <v>0</v>
      </c>
      <c r="BD316" s="65">
        <f t="shared" si="423"/>
        <v>0</v>
      </c>
      <c r="BE316" s="11">
        <f t="shared" si="381"/>
        <v>0</v>
      </c>
      <c r="BF316" s="65">
        <f t="shared" si="424"/>
        <v>0</v>
      </c>
      <c r="BG316" s="65">
        <f t="shared" si="425"/>
        <v>0</v>
      </c>
      <c r="BH316" s="65">
        <f t="shared" si="426"/>
        <v>0</v>
      </c>
      <c r="BI316" s="65">
        <f t="shared" si="427"/>
        <v>0</v>
      </c>
      <c r="BJ316" s="11">
        <f t="shared" si="382"/>
        <v>0</v>
      </c>
      <c r="BK316" s="65">
        <f t="shared" si="428"/>
        <v>0</v>
      </c>
      <c r="BL316" s="65">
        <f t="shared" si="429"/>
        <v>0</v>
      </c>
      <c r="BM316" s="65">
        <f t="shared" si="430"/>
        <v>0</v>
      </c>
      <c r="BN316" s="65">
        <f t="shared" si="431"/>
        <v>0</v>
      </c>
      <c r="BO316" s="11">
        <f t="shared" si="383"/>
        <v>0</v>
      </c>
      <c r="BP316" s="65">
        <f t="shared" si="432"/>
        <v>0</v>
      </c>
      <c r="BQ316" s="65">
        <f t="shared" si="433"/>
        <v>0</v>
      </c>
      <c r="BR316" s="65">
        <f t="shared" si="434"/>
        <v>0</v>
      </c>
      <c r="BS316" s="65">
        <f t="shared" si="435"/>
        <v>0</v>
      </c>
      <c r="BT316" s="11">
        <f t="shared" si="384"/>
        <v>0</v>
      </c>
      <c r="BU316" s="65">
        <f t="shared" si="436"/>
        <v>0</v>
      </c>
      <c r="BV316" s="65">
        <f t="shared" si="437"/>
        <v>0</v>
      </c>
      <c r="BW316" s="65">
        <f t="shared" si="438"/>
        <v>0</v>
      </c>
      <c r="BX316" s="65">
        <f t="shared" si="439"/>
        <v>0</v>
      </c>
      <c r="BY316" s="11">
        <f t="shared" si="385"/>
        <v>0</v>
      </c>
      <c r="BZ316" s="65">
        <f t="shared" si="440"/>
        <v>0</v>
      </c>
      <c r="CA316" s="65">
        <f t="shared" si="441"/>
        <v>0</v>
      </c>
      <c r="CB316" s="65">
        <f t="shared" si="442"/>
        <v>0</v>
      </c>
      <c r="CC316" s="65">
        <f t="shared" si="443"/>
        <v>0</v>
      </c>
      <c r="CD316" s="11">
        <f t="shared" si="386"/>
        <v>0</v>
      </c>
      <c r="CE316" s="5"/>
      <c r="CF316" s="5"/>
      <c r="CG316" s="5"/>
      <c r="CH316" s="5"/>
      <c r="CI316" s="5"/>
    </row>
    <row r="317" spans="1:87">
      <c r="A317" s="11"/>
      <c r="B317" s="11" t="s">
        <v>138</v>
      </c>
      <c r="C317" s="11"/>
      <c r="D317" s="11"/>
      <c r="E317" s="11">
        <f t="shared" si="370"/>
        <v>0</v>
      </c>
      <c r="F317" s="11">
        <f t="shared" si="370"/>
        <v>0</v>
      </c>
      <c r="G317" s="11">
        <f t="shared" si="370"/>
        <v>0</v>
      </c>
      <c r="H317" s="86">
        <f>G317+(L317-G317)/4</f>
        <v>0</v>
      </c>
      <c r="I317" s="86">
        <f>H317+(L317-G317)/2</f>
        <v>0</v>
      </c>
      <c r="J317" s="86">
        <f>I317+(L317-G317)/2</f>
        <v>0</v>
      </c>
      <c r="K317" s="86">
        <f>J317+(L317-G317)/2</f>
        <v>0</v>
      </c>
      <c r="L317" s="11">
        <f t="shared" si="371"/>
        <v>0</v>
      </c>
      <c r="M317" s="65">
        <f t="shared" si="372"/>
        <v>0</v>
      </c>
      <c r="N317" s="65">
        <f t="shared" si="372"/>
        <v>0</v>
      </c>
      <c r="O317" s="65">
        <f t="shared" si="372"/>
        <v>0</v>
      </c>
      <c r="P317" s="65">
        <f>Q317*4-SUM(M317:O317)</f>
        <v>0</v>
      </c>
      <c r="Q317" s="11">
        <f t="shared" si="373"/>
        <v>0</v>
      </c>
      <c r="R317" s="65">
        <f>V317*R$172</f>
        <v>0</v>
      </c>
      <c r="S317" s="65">
        <f>V317*S$172</f>
        <v>0</v>
      </c>
      <c r="T317" s="65">
        <f>V317*T$172</f>
        <v>0</v>
      </c>
      <c r="U317" s="65">
        <f>V317*4-SUM(R317:T317)</f>
        <v>0</v>
      </c>
      <c r="V317" s="11">
        <f t="shared" si="374"/>
        <v>0</v>
      </c>
      <c r="W317" s="65">
        <f>AA317*W$172</f>
        <v>0</v>
      </c>
      <c r="X317" s="65">
        <f>AA317*X$172</f>
        <v>0</v>
      </c>
      <c r="Y317" s="65">
        <f>AA317*Y$172</f>
        <v>0</v>
      </c>
      <c r="Z317" s="65">
        <f>AA317*4-SUM(W317:Y317)</f>
        <v>0</v>
      </c>
      <c r="AA317" s="11">
        <f t="shared" si="375"/>
        <v>0</v>
      </c>
      <c r="AB317" s="65">
        <f>AF317*AB$172</f>
        <v>0</v>
      </c>
      <c r="AC317" s="65">
        <f>AF317*AC$172</f>
        <v>0</v>
      </c>
      <c r="AD317" s="65">
        <f>AF317*AD$172</f>
        <v>0</v>
      </c>
      <c r="AE317" s="65">
        <f>AF317*4-SUM(AB317:AD317)</f>
        <v>0</v>
      </c>
      <c r="AF317" s="11">
        <f t="shared" si="376"/>
        <v>0</v>
      </c>
      <c r="AG317" s="65">
        <f>AK317*$CF$172</f>
        <v>0</v>
      </c>
      <c r="AH317" s="65">
        <f>AK317*$CG$172</f>
        <v>0</v>
      </c>
      <c r="AI317" s="65">
        <f>AK317*$CH$172</f>
        <v>0</v>
      </c>
      <c r="AJ317" s="65">
        <f>AK317*4-SUM(AG317:AI317)</f>
        <v>0</v>
      </c>
      <c r="AK317" s="11">
        <f t="shared" si="377"/>
        <v>0</v>
      </c>
      <c r="AL317" s="65">
        <f>AP317*$CF$172</f>
        <v>0</v>
      </c>
      <c r="AM317" s="65">
        <f>AP317*$CG$172</f>
        <v>0</v>
      </c>
      <c r="AN317" s="65">
        <f>AP317*$CH$172</f>
        <v>0</v>
      </c>
      <c r="AO317" s="65">
        <f>AP317*4-SUM(AL317:AN317)</f>
        <v>0</v>
      </c>
      <c r="AP317" s="11">
        <f t="shared" si="378"/>
        <v>0</v>
      </c>
      <c r="AQ317" s="65">
        <f>AU317*$CF$172</f>
        <v>0</v>
      </c>
      <c r="AR317" s="65">
        <f>AU317*$CG$172</f>
        <v>0</v>
      </c>
      <c r="AS317" s="65">
        <f>AU317*$CH$172</f>
        <v>0</v>
      </c>
      <c r="AT317" s="65">
        <f>AU317*4-SUM(AQ317:AS317)</f>
        <v>0</v>
      </c>
      <c r="AU317" s="11">
        <f t="shared" si="379"/>
        <v>0</v>
      </c>
      <c r="AV317" s="65">
        <f>AZ317*$CF$172</f>
        <v>0</v>
      </c>
      <c r="AW317" s="65">
        <f>AZ317*$CG$172</f>
        <v>0</v>
      </c>
      <c r="AX317" s="65">
        <f>AZ317*$CH$172</f>
        <v>0</v>
      </c>
      <c r="AY317" s="65">
        <f>AZ317*4-SUM(AV317:AX317)</f>
        <v>0</v>
      </c>
      <c r="AZ317" s="11">
        <f t="shared" si="380"/>
        <v>0</v>
      </c>
      <c r="BA317" s="65">
        <f>BE317*$CF$172</f>
        <v>0</v>
      </c>
      <c r="BB317" s="65">
        <f>BE317*$CG$172</f>
        <v>0</v>
      </c>
      <c r="BC317" s="65">
        <f>BE317*$CH$172</f>
        <v>0</v>
      </c>
      <c r="BD317" s="65">
        <f>BE317*4-SUM(BA317:BC317)</f>
        <v>0</v>
      </c>
      <c r="BE317" s="11">
        <f t="shared" si="381"/>
        <v>0</v>
      </c>
      <c r="BF317" s="65">
        <f>BJ317*$CF$172</f>
        <v>0</v>
      </c>
      <c r="BG317" s="65">
        <f>BJ317*$CG$172</f>
        <v>0</v>
      </c>
      <c r="BH317" s="65">
        <f>BJ317*$CH$172</f>
        <v>0</v>
      </c>
      <c r="BI317" s="65">
        <f>BJ317*4-SUM(BF317:BH317)</f>
        <v>0</v>
      </c>
      <c r="BJ317" s="11">
        <f t="shared" si="382"/>
        <v>0</v>
      </c>
      <c r="BK317" s="65">
        <f>BO317*$CF$172</f>
        <v>0</v>
      </c>
      <c r="BL317" s="65">
        <f>BO317*$CG$172</f>
        <v>0</v>
      </c>
      <c r="BM317" s="65">
        <f>BO317*$CH$172</f>
        <v>0</v>
      </c>
      <c r="BN317" s="65">
        <f>BO317*4-SUM(BK317:BM317)</f>
        <v>0</v>
      </c>
      <c r="BO317" s="11">
        <f t="shared" si="383"/>
        <v>0</v>
      </c>
      <c r="BP317" s="65">
        <f>BT317*$CF$172</f>
        <v>0</v>
      </c>
      <c r="BQ317" s="65">
        <f>BT317*$CG$172</f>
        <v>0</v>
      </c>
      <c r="BR317" s="65">
        <f>BT317*$CH$172</f>
        <v>0</v>
      </c>
      <c r="BS317" s="65">
        <f>BT317*4-SUM(BP317:BR317)</f>
        <v>0</v>
      </c>
      <c r="BT317" s="11">
        <f t="shared" si="384"/>
        <v>0</v>
      </c>
      <c r="BU317" s="65">
        <f>BY317*$CF$172</f>
        <v>0</v>
      </c>
      <c r="BV317" s="65">
        <f>BY317*$CG$172</f>
        <v>0</v>
      </c>
      <c r="BW317" s="65">
        <f>BY317*$CH$172</f>
        <v>0</v>
      </c>
      <c r="BX317" s="65">
        <f>BY317*4-SUM(BU317:BW317)</f>
        <v>0</v>
      </c>
      <c r="BY317" s="11">
        <f t="shared" si="385"/>
        <v>0</v>
      </c>
      <c r="BZ317" s="65">
        <f>CD317*$CF$172</f>
        <v>0</v>
      </c>
      <c r="CA317" s="65">
        <f>CD317*$CG$172</f>
        <v>0</v>
      </c>
      <c r="CB317" s="65">
        <f>CD317*$CH$172</f>
        <v>0</v>
      </c>
      <c r="CC317" s="65">
        <f>CD317*4-SUM(BZ317:CB317)</f>
        <v>0</v>
      </c>
      <c r="CD317" s="11">
        <f t="shared" si="386"/>
        <v>0</v>
      </c>
      <c r="CE317" s="5"/>
      <c r="CF317" s="5"/>
      <c r="CG317" s="5"/>
      <c r="CH317" s="5"/>
      <c r="CI317" s="5"/>
    </row>
    <row r="318" spans="1:87">
      <c r="A318" s="11"/>
      <c r="B318" s="11" t="s">
        <v>816</v>
      </c>
      <c r="C318" s="11"/>
      <c r="D318" s="11"/>
      <c r="E318" s="11">
        <f t="shared" si="370"/>
        <v>0</v>
      </c>
      <c r="F318" s="11">
        <f t="shared" si="370"/>
        <v>0</v>
      </c>
      <c r="G318" s="11">
        <f t="shared" si="370"/>
        <v>0</v>
      </c>
      <c r="H318" s="86">
        <f>G318+(L318-G318)/4</f>
        <v>0</v>
      </c>
      <c r="I318" s="86">
        <f>H318+(L318-G318)/2</f>
        <v>0</v>
      </c>
      <c r="J318" s="86">
        <f>I318+(L318-G318)/2</f>
        <v>0</v>
      </c>
      <c r="K318" s="86">
        <f>J318+(L318-G318)/2</f>
        <v>0</v>
      </c>
      <c r="L318" s="11">
        <f t="shared" si="371"/>
        <v>0</v>
      </c>
      <c r="M318" s="65">
        <f>$Q318*M$172</f>
        <v>0</v>
      </c>
      <c r="N318" s="65">
        <f>$Q318*N$172</f>
        <v>0</v>
      </c>
      <c r="O318" s="65">
        <f>$Q318*O$172</f>
        <v>0</v>
      </c>
      <c r="P318" s="65">
        <f>Q318*4-SUM(M318:O318)</f>
        <v>0</v>
      </c>
      <c r="Q318" s="11">
        <f t="shared" si="373"/>
        <v>0</v>
      </c>
      <c r="R318" s="65">
        <f>V318*R$172</f>
        <v>0</v>
      </c>
      <c r="S318" s="65">
        <f>V318*S$172</f>
        <v>0</v>
      </c>
      <c r="T318" s="65">
        <f>V318*T$172</f>
        <v>0</v>
      </c>
      <c r="U318" s="65">
        <f>V318*4-SUM(R318:T318)</f>
        <v>0</v>
      </c>
      <c r="V318" s="11">
        <f t="shared" si="374"/>
        <v>0</v>
      </c>
      <c r="W318" s="65">
        <f>AA318*W$172</f>
        <v>0</v>
      </c>
      <c r="X318" s="65">
        <f>AA318*X$172</f>
        <v>0</v>
      </c>
      <c r="Y318" s="65">
        <f>AA318*Y$172</f>
        <v>0</v>
      </c>
      <c r="Z318" s="65">
        <f>AA318*4-SUM(W318:Y318)</f>
        <v>0</v>
      </c>
      <c r="AA318" s="11">
        <f t="shared" si="375"/>
        <v>0</v>
      </c>
      <c r="AB318" s="65">
        <f>AF318*AB$172</f>
        <v>17.819316306483302</v>
      </c>
      <c r="AC318" s="65">
        <f>AF318*AC$172</f>
        <v>17.606475442043223</v>
      </c>
      <c r="AD318" s="65">
        <f>AF318*AD$172</f>
        <v>18.213595284872298</v>
      </c>
      <c r="AE318" s="65">
        <f>AF318*4-SUM(AB318:AD318)</f>
        <v>17.400612966601187</v>
      </c>
      <c r="AF318" s="11">
        <f t="shared" si="376"/>
        <v>17.760000000000002</v>
      </c>
      <c r="AG318" s="65">
        <f>AK318*$CF$172</f>
        <v>17.200558154577489</v>
      </c>
      <c r="AH318" s="65">
        <f>AK318*$CG$172</f>
        <v>16.746502526355712</v>
      </c>
      <c r="AI318" s="65">
        <f>AK318*$CH$172</f>
        <v>16.864824011447521</v>
      </c>
      <c r="AJ318" s="65">
        <f>AK318*4-SUM(AG318:AI318)</f>
        <v>17.068115307619266</v>
      </c>
      <c r="AK318" s="11">
        <f t="shared" si="377"/>
        <v>16.97</v>
      </c>
      <c r="AL318" s="65">
        <f>AP318*$CF$172</f>
        <v>16.339009867518513</v>
      </c>
      <c r="AM318" s="65">
        <f>AP318*$CG$172</f>
        <v>15.907697155265415</v>
      </c>
      <c r="AN318" s="65">
        <f>AP318*$CH$172</f>
        <v>16.020092107515268</v>
      </c>
      <c r="AO318" s="65">
        <f>AP318*4-SUM(AL318:AN318)</f>
        <v>16.213200869700806</v>
      </c>
      <c r="AP318" s="11">
        <f t="shared" si="378"/>
        <v>16.12</v>
      </c>
      <c r="AQ318" s="65">
        <f>AU318*$CF$172</f>
        <v>15.518005029262309</v>
      </c>
      <c r="AR318" s="65">
        <f>AU318*$CG$172</f>
        <v>15.108364978108778</v>
      </c>
      <c r="AS318" s="65">
        <f>AU318*$CH$172</f>
        <v>15.215112293179823</v>
      </c>
      <c r="AT318" s="65">
        <f>AU318*4-SUM(AQ318:AS318)</f>
        <v>15.398517699449094</v>
      </c>
      <c r="AU318" s="11">
        <f t="shared" si="379"/>
        <v>15.31</v>
      </c>
      <c r="AV318" s="65">
        <f>AZ318*$CF$172</f>
        <v>14.747679502009575</v>
      </c>
      <c r="AW318" s="65">
        <f>AZ318*$CG$172</f>
        <v>14.358374293369218</v>
      </c>
      <c r="AX318" s="65">
        <f>AZ318*$CH$172</f>
        <v>14.459822590840394</v>
      </c>
      <c r="AY318" s="65">
        <f>AZ318*4-SUM(AV318:AX318)</f>
        <v>14.634123613780815</v>
      </c>
      <c r="AZ318" s="11">
        <f t="shared" si="380"/>
        <v>14.55</v>
      </c>
      <c r="BA318" s="65">
        <f>BE318*$CF$172</f>
        <v>0</v>
      </c>
      <c r="BB318" s="65">
        <f>BE318*$CG$172</f>
        <v>0</v>
      </c>
      <c r="BC318" s="65">
        <f>BE318*$CH$172</f>
        <v>0</v>
      </c>
      <c r="BD318" s="65">
        <f>BE318*4-SUM(BA318:BC318)</f>
        <v>0</v>
      </c>
      <c r="BE318" s="11">
        <f t="shared" si="381"/>
        <v>0</v>
      </c>
      <c r="BF318" s="65">
        <f>BJ318*$CF$172</f>
        <v>0</v>
      </c>
      <c r="BG318" s="65">
        <f>BJ318*$CG$172</f>
        <v>0</v>
      </c>
      <c r="BH318" s="65">
        <f>BJ318*$CH$172</f>
        <v>0</v>
      </c>
      <c r="BI318" s="65">
        <f>BJ318*4-SUM(BF318:BH318)</f>
        <v>0</v>
      </c>
      <c r="BJ318" s="11">
        <f t="shared" si="382"/>
        <v>0</v>
      </c>
      <c r="BK318" s="65">
        <f>BO318*$CF$172</f>
        <v>0</v>
      </c>
      <c r="BL318" s="65">
        <f>BO318*$CG$172</f>
        <v>0</v>
      </c>
      <c r="BM318" s="65">
        <f>BO318*$CH$172</f>
        <v>0</v>
      </c>
      <c r="BN318" s="65">
        <f>BO318*4-SUM(BK318:BM318)</f>
        <v>0</v>
      </c>
      <c r="BO318" s="11">
        <f t="shared" si="383"/>
        <v>0</v>
      </c>
      <c r="BP318" s="65">
        <f>BT318*$CF$172</f>
        <v>0</v>
      </c>
      <c r="BQ318" s="65">
        <f>BT318*$CG$172</f>
        <v>0</v>
      </c>
      <c r="BR318" s="65">
        <f>BT318*$CH$172</f>
        <v>0</v>
      </c>
      <c r="BS318" s="65">
        <f>BT318*4-SUM(BP318:BR318)</f>
        <v>0</v>
      </c>
      <c r="BT318" s="11">
        <f t="shared" si="384"/>
        <v>0</v>
      </c>
      <c r="BU318" s="65">
        <f>BY318*$CF$172</f>
        <v>0</v>
      </c>
      <c r="BV318" s="65">
        <f>BY318*$CG$172</f>
        <v>0</v>
      </c>
      <c r="BW318" s="65">
        <f>BY318*$CH$172</f>
        <v>0</v>
      </c>
      <c r="BX318" s="65">
        <f>BY318*4-SUM(BU318:BW318)</f>
        <v>0</v>
      </c>
      <c r="BY318" s="11">
        <f t="shared" si="385"/>
        <v>0</v>
      </c>
      <c r="BZ318" s="65">
        <f>CD318*$CF$172</f>
        <v>0</v>
      </c>
      <c r="CA318" s="65">
        <f>CD318*$CG$172</f>
        <v>0</v>
      </c>
      <c r="CB318" s="65">
        <f>CD318*$CH$172</f>
        <v>0</v>
      </c>
      <c r="CC318" s="65">
        <f>CD318*4-SUM(BZ318:CB318)</f>
        <v>0</v>
      </c>
      <c r="CD318" s="11">
        <f t="shared" si="386"/>
        <v>0</v>
      </c>
      <c r="CE318" s="5"/>
      <c r="CF318" s="5"/>
      <c r="CG318" s="5"/>
      <c r="CH318" s="5"/>
      <c r="CI318" s="5"/>
    </row>
    <row r="319" spans="1:87">
      <c r="A319" s="11"/>
      <c r="B319" s="11" t="s">
        <v>1962</v>
      </c>
      <c r="C319" s="11"/>
      <c r="D319" s="11"/>
      <c r="E319" s="11">
        <f t="shared" si="370"/>
        <v>0</v>
      </c>
      <c r="F319" s="11">
        <f t="shared" si="370"/>
        <v>0</v>
      </c>
      <c r="G319" s="11">
        <f t="shared" si="370"/>
        <v>0</v>
      </c>
      <c r="H319" s="86">
        <f t="shared" si="387"/>
        <v>0</v>
      </c>
      <c r="I319" s="86">
        <f t="shared" si="388"/>
        <v>0</v>
      </c>
      <c r="J319" s="86">
        <f t="shared" si="389"/>
        <v>0</v>
      </c>
      <c r="K319" s="86">
        <f t="shared" si="390"/>
        <v>0</v>
      </c>
      <c r="L319" s="11">
        <f t="shared" si="371"/>
        <v>0</v>
      </c>
      <c r="M319" s="65">
        <f t="shared" si="372"/>
        <v>0</v>
      </c>
      <c r="N319" s="65">
        <f t="shared" si="372"/>
        <v>0</v>
      </c>
      <c r="O319" s="65">
        <f t="shared" si="372"/>
        <v>0</v>
      </c>
      <c r="P319" s="65">
        <f t="shared" si="391"/>
        <v>0</v>
      </c>
      <c r="Q319" s="11">
        <f t="shared" si="373"/>
        <v>0</v>
      </c>
      <c r="R319" s="65">
        <f t="shared" si="392"/>
        <v>0</v>
      </c>
      <c r="S319" s="65">
        <f t="shared" si="393"/>
        <v>0</v>
      </c>
      <c r="T319" s="65">
        <f t="shared" si="394"/>
        <v>0</v>
      </c>
      <c r="U319" s="65">
        <f t="shared" si="395"/>
        <v>0</v>
      </c>
      <c r="V319" s="11">
        <f t="shared" si="374"/>
        <v>0</v>
      </c>
      <c r="W319" s="65">
        <f t="shared" si="396"/>
        <v>0</v>
      </c>
      <c r="X319" s="65">
        <f t="shared" si="397"/>
        <v>0</v>
      </c>
      <c r="Y319" s="65">
        <f t="shared" si="398"/>
        <v>0</v>
      </c>
      <c r="Z319" s="65">
        <f t="shared" si="399"/>
        <v>0</v>
      </c>
      <c r="AA319" s="11">
        <f t="shared" si="375"/>
        <v>0</v>
      </c>
      <c r="AB319" s="65">
        <f t="shared" si="400"/>
        <v>0</v>
      </c>
      <c r="AC319" s="65">
        <f t="shared" si="401"/>
        <v>0</v>
      </c>
      <c r="AD319" s="65">
        <f t="shared" si="402"/>
        <v>0</v>
      </c>
      <c r="AE319" s="65">
        <f t="shared" si="403"/>
        <v>0</v>
      </c>
      <c r="AF319" s="11">
        <f t="shared" si="376"/>
        <v>0</v>
      </c>
      <c r="AG319" s="65">
        <f t="shared" si="404"/>
        <v>0</v>
      </c>
      <c r="AH319" s="65">
        <f t="shared" si="405"/>
        <v>0</v>
      </c>
      <c r="AI319" s="65">
        <f t="shared" si="406"/>
        <v>0</v>
      </c>
      <c r="AJ319" s="65">
        <f t="shared" si="407"/>
        <v>0</v>
      </c>
      <c r="AK319" s="11">
        <f t="shared" si="377"/>
        <v>0</v>
      </c>
      <c r="AL319" s="65">
        <f t="shared" si="408"/>
        <v>0</v>
      </c>
      <c r="AM319" s="65">
        <f t="shared" si="409"/>
        <v>0</v>
      </c>
      <c r="AN319" s="65">
        <f t="shared" si="410"/>
        <v>0</v>
      </c>
      <c r="AO319" s="65">
        <f t="shared" si="411"/>
        <v>0</v>
      </c>
      <c r="AP319" s="11">
        <f t="shared" si="378"/>
        <v>0</v>
      </c>
      <c r="AQ319" s="65">
        <f t="shared" si="412"/>
        <v>0</v>
      </c>
      <c r="AR319" s="65">
        <f t="shared" si="413"/>
        <v>0</v>
      </c>
      <c r="AS319" s="65">
        <f t="shared" si="414"/>
        <v>0</v>
      </c>
      <c r="AT319" s="65">
        <f t="shared" si="415"/>
        <v>0</v>
      </c>
      <c r="AU319" s="11">
        <f t="shared" si="379"/>
        <v>0</v>
      </c>
      <c r="AV319" s="65">
        <f t="shared" si="416"/>
        <v>0</v>
      </c>
      <c r="AW319" s="65">
        <f t="shared" si="417"/>
        <v>0</v>
      </c>
      <c r="AX319" s="65">
        <f t="shared" si="418"/>
        <v>0</v>
      </c>
      <c r="AY319" s="65">
        <f t="shared" si="419"/>
        <v>0</v>
      </c>
      <c r="AZ319" s="11">
        <f t="shared" si="380"/>
        <v>0</v>
      </c>
      <c r="BA319" s="65">
        <f t="shared" si="420"/>
        <v>0</v>
      </c>
      <c r="BB319" s="65">
        <f t="shared" si="421"/>
        <v>0</v>
      </c>
      <c r="BC319" s="65">
        <f t="shared" si="422"/>
        <v>0</v>
      </c>
      <c r="BD319" s="65">
        <f t="shared" si="423"/>
        <v>0</v>
      </c>
      <c r="BE319" s="11">
        <f t="shared" si="381"/>
        <v>0</v>
      </c>
      <c r="BF319" s="65">
        <f t="shared" si="424"/>
        <v>0</v>
      </c>
      <c r="BG319" s="65">
        <f t="shared" si="425"/>
        <v>0</v>
      </c>
      <c r="BH319" s="65">
        <f t="shared" si="426"/>
        <v>0</v>
      </c>
      <c r="BI319" s="65">
        <f t="shared" si="427"/>
        <v>0</v>
      </c>
      <c r="BJ319" s="11">
        <f t="shared" si="382"/>
        <v>0</v>
      </c>
      <c r="BK319" s="65">
        <f t="shared" si="428"/>
        <v>0</v>
      </c>
      <c r="BL319" s="65">
        <f t="shared" si="429"/>
        <v>0</v>
      </c>
      <c r="BM319" s="65">
        <f t="shared" si="430"/>
        <v>0</v>
      </c>
      <c r="BN319" s="65">
        <f t="shared" si="431"/>
        <v>0</v>
      </c>
      <c r="BO319" s="11">
        <f t="shared" si="383"/>
        <v>0</v>
      </c>
      <c r="BP319" s="65">
        <f t="shared" si="432"/>
        <v>0</v>
      </c>
      <c r="BQ319" s="65">
        <f t="shared" si="433"/>
        <v>0</v>
      </c>
      <c r="BR319" s="65">
        <f t="shared" si="434"/>
        <v>0</v>
      </c>
      <c r="BS319" s="65">
        <f t="shared" si="435"/>
        <v>0</v>
      </c>
      <c r="BT319" s="11">
        <f t="shared" si="384"/>
        <v>0</v>
      </c>
      <c r="BU319" s="65">
        <f t="shared" si="436"/>
        <v>0</v>
      </c>
      <c r="BV319" s="65">
        <f t="shared" si="437"/>
        <v>0</v>
      </c>
      <c r="BW319" s="65">
        <f t="shared" si="438"/>
        <v>0</v>
      </c>
      <c r="BX319" s="65">
        <f t="shared" si="439"/>
        <v>0</v>
      </c>
      <c r="BY319" s="11">
        <f t="shared" si="385"/>
        <v>0</v>
      </c>
      <c r="BZ319" s="65">
        <f t="shared" si="440"/>
        <v>0</v>
      </c>
      <c r="CA319" s="65">
        <f t="shared" si="441"/>
        <v>0</v>
      </c>
      <c r="CB319" s="65">
        <f t="shared" si="442"/>
        <v>0</v>
      </c>
      <c r="CC319" s="65">
        <f t="shared" si="443"/>
        <v>0</v>
      </c>
      <c r="CD319" s="11">
        <f t="shared" si="386"/>
        <v>0</v>
      </c>
      <c r="CE319" s="5"/>
      <c r="CF319" s="5"/>
      <c r="CG319" s="5"/>
      <c r="CH319" s="5"/>
      <c r="CI319" s="5"/>
    </row>
    <row r="320" spans="1:87">
      <c r="A320" s="11"/>
      <c r="B320" s="11" t="s">
        <v>3277</v>
      </c>
      <c r="C320" s="11"/>
      <c r="D320" s="11"/>
      <c r="E320" s="11">
        <f t="shared" si="370"/>
        <v>0</v>
      </c>
      <c r="F320" s="11">
        <f t="shared" si="370"/>
        <v>0</v>
      </c>
      <c r="G320" s="11">
        <f t="shared" si="370"/>
        <v>0</v>
      </c>
      <c r="H320" s="86">
        <f>G320+(L320-G320)/4</f>
        <v>0</v>
      </c>
      <c r="I320" s="86">
        <f>H320+(L320-G320)/2</f>
        <v>0</v>
      </c>
      <c r="J320" s="86">
        <f>I320+(L320-G320)/2</f>
        <v>0</v>
      </c>
      <c r="K320" s="86">
        <f>J320+(L320-G320)/2</f>
        <v>0</v>
      </c>
      <c r="L320" s="11">
        <f t="shared" si="371"/>
        <v>0</v>
      </c>
      <c r="M320" s="65">
        <f t="shared" si="372"/>
        <v>0</v>
      </c>
      <c r="N320" s="65">
        <f t="shared" si="372"/>
        <v>0</v>
      </c>
      <c r="O320" s="65">
        <f t="shared" si="372"/>
        <v>0</v>
      </c>
      <c r="P320" s="65">
        <f>Q320*4-SUM(M320:O320)</f>
        <v>0</v>
      </c>
      <c r="Q320" s="11">
        <f t="shared" si="373"/>
        <v>0</v>
      </c>
      <c r="R320" s="65">
        <f t="shared" si="392"/>
        <v>0</v>
      </c>
      <c r="S320" s="65">
        <f t="shared" si="393"/>
        <v>0</v>
      </c>
      <c r="T320" s="65">
        <f t="shared" si="394"/>
        <v>0</v>
      </c>
      <c r="U320" s="65">
        <f>V320*4-SUM(R320:T320)</f>
        <v>0</v>
      </c>
      <c r="V320" s="11">
        <f t="shared" si="374"/>
        <v>0</v>
      </c>
      <c r="W320" s="65">
        <f t="shared" si="396"/>
        <v>0</v>
      </c>
      <c r="X320" s="65">
        <f t="shared" si="397"/>
        <v>0</v>
      </c>
      <c r="Y320" s="65">
        <f t="shared" si="398"/>
        <v>0</v>
      </c>
      <c r="Z320" s="65">
        <f>AA320*4-SUM(W320:Y320)</f>
        <v>0</v>
      </c>
      <c r="AA320" s="11">
        <f t="shared" si="375"/>
        <v>0</v>
      </c>
      <c r="AB320" s="65">
        <f t="shared" si="400"/>
        <v>0</v>
      </c>
      <c r="AC320" s="65">
        <f t="shared" si="401"/>
        <v>0</v>
      </c>
      <c r="AD320" s="65">
        <f t="shared" si="402"/>
        <v>0</v>
      </c>
      <c r="AE320" s="65">
        <f>AF320*4-SUM(AB320:AD320)</f>
        <v>0</v>
      </c>
      <c r="AF320" s="11">
        <f t="shared" si="376"/>
        <v>0</v>
      </c>
      <c r="AG320" s="65">
        <f t="shared" si="404"/>
        <v>0</v>
      </c>
      <c r="AH320" s="65">
        <f t="shared" si="405"/>
        <v>0</v>
      </c>
      <c r="AI320" s="65">
        <f t="shared" si="406"/>
        <v>0</v>
      </c>
      <c r="AJ320" s="65">
        <f>AK320*4-SUM(AG320:AI320)</f>
        <v>0</v>
      </c>
      <c r="AK320" s="11">
        <f t="shared" si="377"/>
        <v>0</v>
      </c>
      <c r="AL320" s="65">
        <f t="shared" si="408"/>
        <v>0</v>
      </c>
      <c r="AM320" s="65">
        <f t="shared" si="409"/>
        <v>0</v>
      </c>
      <c r="AN320" s="65">
        <f t="shared" si="410"/>
        <v>0</v>
      </c>
      <c r="AO320" s="65">
        <f>AP320*4-SUM(AL320:AN320)</f>
        <v>0</v>
      </c>
      <c r="AP320" s="11">
        <f t="shared" si="378"/>
        <v>0</v>
      </c>
      <c r="AQ320" s="65">
        <f t="shared" si="412"/>
        <v>0</v>
      </c>
      <c r="AR320" s="65">
        <f t="shared" si="413"/>
        <v>0</v>
      </c>
      <c r="AS320" s="65">
        <f t="shared" si="414"/>
        <v>0</v>
      </c>
      <c r="AT320" s="65">
        <f>AU320*4-SUM(AQ320:AS320)</f>
        <v>0</v>
      </c>
      <c r="AU320" s="11">
        <f t="shared" si="379"/>
        <v>0</v>
      </c>
      <c r="AV320" s="65">
        <f t="shared" si="416"/>
        <v>0</v>
      </c>
      <c r="AW320" s="65">
        <f t="shared" si="417"/>
        <v>0</v>
      </c>
      <c r="AX320" s="65">
        <f t="shared" si="418"/>
        <v>0</v>
      </c>
      <c r="AY320" s="65">
        <f>AZ320*4-SUM(AV320:AX320)</f>
        <v>0</v>
      </c>
      <c r="AZ320" s="11">
        <f t="shared" si="380"/>
        <v>0</v>
      </c>
      <c r="BA320" s="65">
        <f t="shared" si="420"/>
        <v>0</v>
      </c>
      <c r="BB320" s="65">
        <f t="shared" si="421"/>
        <v>0</v>
      </c>
      <c r="BC320" s="65">
        <f t="shared" si="422"/>
        <v>0</v>
      </c>
      <c r="BD320" s="65">
        <f>BE320*4-SUM(BA320:BC320)</f>
        <v>0</v>
      </c>
      <c r="BE320" s="11">
        <f t="shared" si="381"/>
        <v>0</v>
      </c>
      <c r="BF320" s="65">
        <f t="shared" si="424"/>
        <v>0</v>
      </c>
      <c r="BG320" s="65">
        <f t="shared" si="425"/>
        <v>0</v>
      </c>
      <c r="BH320" s="65">
        <f t="shared" si="426"/>
        <v>0</v>
      </c>
      <c r="BI320" s="65">
        <f>BJ320*4-SUM(BF320:BH320)</f>
        <v>0</v>
      </c>
      <c r="BJ320" s="11">
        <f t="shared" si="382"/>
        <v>0</v>
      </c>
      <c r="BK320" s="65">
        <f t="shared" si="428"/>
        <v>62.943704266308906</v>
      </c>
      <c r="BL320" s="65">
        <f t="shared" si="429"/>
        <v>61.282133582008825</v>
      </c>
      <c r="BM320" s="65">
        <f t="shared" si="430"/>
        <v>61.715119099050753</v>
      </c>
      <c r="BN320" s="65">
        <f>BO320*4-SUM(BK320:BM320)</f>
        <v>62.459043052631529</v>
      </c>
      <c r="BO320" s="11">
        <f t="shared" si="383"/>
        <v>62.1</v>
      </c>
      <c r="BP320" s="65">
        <f t="shared" si="432"/>
        <v>461.58716461959864</v>
      </c>
      <c r="BQ320" s="65">
        <f t="shared" si="433"/>
        <v>449.40231293473136</v>
      </c>
      <c r="BR320" s="65">
        <f t="shared" si="434"/>
        <v>452.57754005970548</v>
      </c>
      <c r="BS320" s="65">
        <f>BT320*4-SUM(BP320:BR320)</f>
        <v>458.03298238596426</v>
      </c>
      <c r="BT320" s="11">
        <f t="shared" si="384"/>
        <v>455.4</v>
      </c>
      <c r="BU320" s="65">
        <f t="shared" si="436"/>
        <v>524.53086888590758</v>
      </c>
      <c r="BV320" s="65">
        <f t="shared" si="437"/>
        <v>510.68444651674019</v>
      </c>
      <c r="BW320" s="65">
        <f t="shared" si="438"/>
        <v>514.29265915875624</v>
      </c>
      <c r="BX320" s="65">
        <f>BY320*4-SUM(BU320:BW320)</f>
        <v>520.4920254385961</v>
      </c>
      <c r="BY320" s="11">
        <f t="shared" si="385"/>
        <v>517.5</v>
      </c>
      <c r="BZ320" s="65">
        <f t="shared" si="440"/>
        <v>624.1968019053304</v>
      </c>
      <c r="CA320" s="65">
        <f t="shared" si="441"/>
        <v>607.71942550416259</v>
      </c>
      <c r="CB320" s="65">
        <f t="shared" si="442"/>
        <v>612.0132334101196</v>
      </c>
      <c r="CC320" s="65">
        <f>CD320*4-SUM(BZ320:CB320)</f>
        <v>619.3905391803878</v>
      </c>
      <c r="CD320" s="11">
        <f t="shared" si="386"/>
        <v>615.83000000000004</v>
      </c>
      <c r="CE320" s="5"/>
      <c r="CF320" s="5"/>
      <c r="CG320" s="5"/>
      <c r="CH320" s="5"/>
      <c r="CI320" s="5"/>
    </row>
    <row r="321" spans="1:87">
      <c r="A321" s="11"/>
      <c r="B321" s="11" t="s">
        <v>3278</v>
      </c>
      <c r="C321" s="11"/>
      <c r="D321" s="11"/>
      <c r="E321" s="11">
        <f t="shared" si="370"/>
        <v>91.38</v>
      </c>
      <c r="F321" s="11">
        <f t="shared" si="370"/>
        <v>93.06</v>
      </c>
      <c r="G321" s="11">
        <f t="shared" si="370"/>
        <v>99.66</v>
      </c>
      <c r="H321" s="86">
        <f t="shared" si="387"/>
        <v>99.36</v>
      </c>
      <c r="I321" s="86">
        <f t="shared" si="388"/>
        <v>98.759999999999991</v>
      </c>
      <c r="J321" s="86">
        <f t="shared" si="389"/>
        <v>98.16</v>
      </c>
      <c r="K321" s="86">
        <f t="shared" si="390"/>
        <v>97.56</v>
      </c>
      <c r="L321" s="11">
        <f t="shared" si="371"/>
        <v>98.46</v>
      </c>
      <c r="M321" s="65">
        <f t="shared" si="372"/>
        <v>150.48358398644356</v>
      </c>
      <c r="N321" s="65">
        <f t="shared" si="372"/>
        <v>140.34738402880745</v>
      </c>
      <c r="O321" s="65">
        <f t="shared" si="372"/>
        <v>147.24</v>
      </c>
      <c r="P321" s="65">
        <f t="shared" si="391"/>
        <v>150.88903198474901</v>
      </c>
      <c r="Q321" s="11">
        <f t="shared" si="373"/>
        <v>147.24</v>
      </c>
      <c r="R321" s="65">
        <f t="shared" si="392"/>
        <v>182.81724487683709</v>
      </c>
      <c r="S321" s="65">
        <f t="shared" si="393"/>
        <v>183.23559097495342</v>
      </c>
      <c r="T321" s="65">
        <f t="shared" si="394"/>
        <v>182.96937073069756</v>
      </c>
      <c r="U321" s="65">
        <f t="shared" si="395"/>
        <v>185.89779341751193</v>
      </c>
      <c r="V321" s="11">
        <f t="shared" si="374"/>
        <v>183.73</v>
      </c>
      <c r="W321" s="65">
        <f t="shared" si="396"/>
        <v>204.92488042156464</v>
      </c>
      <c r="X321" s="65">
        <f t="shared" si="397"/>
        <v>208.60790028374541</v>
      </c>
      <c r="Y321" s="65">
        <f t="shared" si="398"/>
        <v>195.61387515200647</v>
      </c>
      <c r="Z321" s="65">
        <f t="shared" si="399"/>
        <v>207.57334414268337</v>
      </c>
      <c r="AA321" s="11">
        <f t="shared" si="375"/>
        <v>204.17999999999998</v>
      </c>
      <c r="AB321" s="65">
        <f t="shared" si="400"/>
        <v>182.41722396856582</v>
      </c>
      <c r="AC321" s="65">
        <f t="shared" si="401"/>
        <v>180.23836149312382</v>
      </c>
      <c r="AD321" s="65">
        <f t="shared" si="402"/>
        <v>186.45347740667978</v>
      </c>
      <c r="AE321" s="65">
        <f t="shared" si="403"/>
        <v>178.13093713163073</v>
      </c>
      <c r="AF321" s="11">
        <f t="shared" si="376"/>
        <v>181.81000000000003</v>
      </c>
      <c r="AG321" s="65">
        <f t="shared" si="404"/>
        <v>79.130676200817007</v>
      </c>
      <c r="AH321" s="65">
        <f t="shared" si="405"/>
        <v>77.041806260023009</v>
      </c>
      <c r="AI321" s="65">
        <f t="shared" si="406"/>
        <v>77.586140870577964</v>
      </c>
      <c r="AJ321" s="65">
        <f t="shared" si="407"/>
        <v>78.521376668582008</v>
      </c>
      <c r="AK321" s="11">
        <f t="shared" si="377"/>
        <v>78.069999999999993</v>
      </c>
      <c r="AL321" s="65">
        <f t="shared" si="408"/>
        <v>0</v>
      </c>
      <c r="AM321" s="65">
        <f t="shared" si="409"/>
        <v>0</v>
      </c>
      <c r="AN321" s="65">
        <f t="shared" si="410"/>
        <v>0</v>
      </c>
      <c r="AO321" s="65">
        <f t="shared" si="411"/>
        <v>0</v>
      </c>
      <c r="AP321" s="11">
        <f t="shared" si="378"/>
        <v>0</v>
      </c>
      <c r="AQ321" s="65">
        <f t="shared" si="412"/>
        <v>0</v>
      </c>
      <c r="AR321" s="65">
        <f t="shared" si="413"/>
        <v>0</v>
      </c>
      <c r="AS321" s="65">
        <f t="shared" si="414"/>
        <v>0</v>
      </c>
      <c r="AT321" s="65">
        <f t="shared" si="415"/>
        <v>0</v>
      </c>
      <c r="AU321" s="11">
        <f t="shared" si="379"/>
        <v>0</v>
      </c>
      <c r="AV321" s="65">
        <f t="shared" si="416"/>
        <v>0</v>
      </c>
      <c r="AW321" s="65">
        <f t="shared" si="417"/>
        <v>0</v>
      </c>
      <c r="AX321" s="65">
        <f t="shared" si="418"/>
        <v>0</v>
      </c>
      <c r="AY321" s="65">
        <f t="shared" si="419"/>
        <v>0</v>
      </c>
      <c r="AZ321" s="11">
        <f t="shared" si="380"/>
        <v>0</v>
      </c>
      <c r="BA321" s="65">
        <f t="shared" si="420"/>
        <v>0</v>
      </c>
      <c r="BB321" s="65">
        <f t="shared" si="421"/>
        <v>0</v>
      </c>
      <c r="BC321" s="65">
        <f t="shared" si="422"/>
        <v>0</v>
      </c>
      <c r="BD321" s="65">
        <f t="shared" si="423"/>
        <v>0</v>
      </c>
      <c r="BE321" s="11">
        <f t="shared" si="381"/>
        <v>0</v>
      </c>
      <c r="BF321" s="65">
        <f t="shared" si="424"/>
        <v>0</v>
      </c>
      <c r="BG321" s="65">
        <f t="shared" si="425"/>
        <v>0</v>
      </c>
      <c r="BH321" s="65">
        <f t="shared" si="426"/>
        <v>0</v>
      </c>
      <c r="BI321" s="65">
        <f t="shared" si="427"/>
        <v>0</v>
      </c>
      <c r="BJ321" s="11">
        <f t="shared" si="382"/>
        <v>0</v>
      </c>
      <c r="BK321" s="65">
        <f t="shared" si="428"/>
        <v>0</v>
      </c>
      <c r="BL321" s="65">
        <f t="shared" si="429"/>
        <v>0</v>
      </c>
      <c r="BM321" s="65">
        <f t="shared" si="430"/>
        <v>0</v>
      </c>
      <c r="BN321" s="65">
        <f t="shared" si="431"/>
        <v>0</v>
      </c>
      <c r="BO321" s="11">
        <f t="shared" si="383"/>
        <v>0</v>
      </c>
      <c r="BP321" s="65">
        <f t="shared" si="432"/>
        <v>0</v>
      </c>
      <c r="BQ321" s="65">
        <f t="shared" si="433"/>
        <v>0</v>
      </c>
      <c r="BR321" s="65">
        <f t="shared" si="434"/>
        <v>0</v>
      </c>
      <c r="BS321" s="65">
        <f t="shared" si="435"/>
        <v>0</v>
      </c>
      <c r="BT321" s="11">
        <f t="shared" si="384"/>
        <v>0</v>
      </c>
      <c r="BU321" s="65">
        <f t="shared" si="436"/>
        <v>0</v>
      </c>
      <c r="BV321" s="65">
        <f t="shared" si="437"/>
        <v>0</v>
      </c>
      <c r="BW321" s="65">
        <f t="shared" si="438"/>
        <v>0</v>
      </c>
      <c r="BX321" s="65">
        <f t="shared" si="439"/>
        <v>0</v>
      </c>
      <c r="BY321" s="11">
        <f t="shared" si="385"/>
        <v>0</v>
      </c>
      <c r="BZ321" s="65">
        <f t="shared" si="440"/>
        <v>0</v>
      </c>
      <c r="CA321" s="65">
        <f t="shared" si="441"/>
        <v>0</v>
      </c>
      <c r="CB321" s="65">
        <f t="shared" si="442"/>
        <v>0</v>
      </c>
      <c r="CC321" s="65">
        <f t="shared" si="443"/>
        <v>0</v>
      </c>
      <c r="CD321" s="11">
        <f t="shared" si="386"/>
        <v>0</v>
      </c>
      <c r="CE321" s="5"/>
      <c r="CF321" s="5"/>
      <c r="CG321" s="5"/>
      <c r="CH321" s="5"/>
      <c r="CI321" s="5"/>
    </row>
    <row r="322" spans="1:87">
      <c r="A322" s="47"/>
      <c r="B322" s="47" t="s">
        <v>1703</v>
      </c>
      <c r="C322" s="47"/>
      <c r="D322" s="47"/>
      <c r="E322" s="11">
        <f t="shared" si="370"/>
        <v>0</v>
      </c>
      <c r="F322" s="11">
        <f t="shared" si="370"/>
        <v>0</v>
      </c>
      <c r="G322" s="11">
        <f t="shared" si="370"/>
        <v>0</v>
      </c>
      <c r="H322" s="86">
        <f t="shared" si="387"/>
        <v>0</v>
      </c>
      <c r="I322" s="86">
        <f t="shared" si="388"/>
        <v>0</v>
      </c>
      <c r="J322" s="86">
        <f t="shared" si="389"/>
        <v>0</v>
      </c>
      <c r="K322" s="86">
        <f t="shared" si="390"/>
        <v>0</v>
      </c>
      <c r="L322" s="11">
        <f t="shared" si="371"/>
        <v>0</v>
      </c>
      <c r="M322" s="65">
        <f>$Q322*M$171</f>
        <v>0</v>
      </c>
      <c r="N322" s="65">
        <f>$Q322*N$171</f>
        <v>0</v>
      </c>
      <c r="O322" s="65">
        <f>$Q322*O$171</f>
        <v>0</v>
      </c>
      <c r="P322" s="65">
        <f t="shared" si="391"/>
        <v>0</v>
      </c>
      <c r="Q322" s="11">
        <f t="shared" si="373"/>
        <v>0</v>
      </c>
      <c r="R322" s="65">
        <f>V322*R$171</f>
        <v>0</v>
      </c>
      <c r="S322" s="65">
        <f>V322*S$171</f>
        <v>0</v>
      </c>
      <c r="T322" s="65">
        <f>V322*T$171</f>
        <v>0</v>
      </c>
      <c r="U322" s="65">
        <f t="shared" si="395"/>
        <v>0</v>
      </c>
      <c r="V322" s="11">
        <f t="shared" si="374"/>
        <v>0</v>
      </c>
      <c r="W322" s="65">
        <f>AA322*W$171</f>
        <v>0</v>
      </c>
      <c r="X322" s="65">
        <f>AA322*X$171</f>
        <v>0</v>
      </c>
      <c r="Y322" s="65">
        <f>AA322*Y$171</f>
        <v>0</v>
      </c>
      <c r="Z322" s="65">
        <f t="shared" si="399"/>
        <v>0</v>
      </c>
      <c r="AA322" s="11">
        <f t="shared" si="375"/>
        <v>0</v>
      </c>
      <c r="AB322" s="65">
        <f>AF322*AB$171</f>
        <v>0</v>
      </c>
      <c r="AC322" s="65">
        <f>AF322*AC$171</f>
        <v>0</v>
      </c>
      <c r="AD322" s="65">
        <f>AF322*AD$171</f>
        <v>0</v>
      </c>
      <c r="AE322" s="65">
        <f t="shared" si="403"/>
        <v>0</v>
      </c>
      <c r="AF322" s="11">
        <f t="shared" si="376"/>
        <v>0</v>
      </c>
      <c r="AG322" s="65">
        <f>AK322*$CF$171</f>
        <v>0</v>
      </c>
      <c r="AH322" s="65">
        <f>AK322*$CG$171</f>
        <v>0</v>
      </c>
      <c r="AI322" s="65">
        <f>AK322*$CH$171</f>
        <v>0</v>
      </c>
      <c r="AJ322" s="65">
        <f t="shared" si="407"/>
        <v>0</v>
      </c>
      <c r="AK322" s="11">
        <f t="shared" si="377"/>
        <v>0</v>
      </c>
      <c r="AL322" s="65">
        <f>AP322*$CF$171</f>
        <v>0</v>
      </c>
      <c r="AM322" s="65">
        <f>AP322*$CG$171</f>
        <v>0</v>
      </c>
      <c r="AN322" s="65">
        <f>AP322*$CH$171</f>
        <v>0</v>
      </c>
      <c r="AO322" s="65">
        <f t="shared" si="411"/>
        <v>0</v>
      </c>
      <c r="AP322" s="11">
        <f t="shared" si="378"/>
        <v>0</v>
      </c>
      <c r="AQ322" s="65">
        <f>AU322*$CF$171</f>
        <v>521.37976255127626</v>
      </c>
      <c r="AR322" s="65">
        <f>AU322*$CG$171</f>
        <v>478.98924764062923</v>
      </c>
      <c r="AS322" s="65">
        <f>AU322*$CH$171</f>
        <v>468.54676882343529</v>
      </c>
      <c r="AT322" s="65">
        <f t="shared" si="415"/>
        <v>524.28582098465881</v>
      </c>
      <c r="AU322" s="11">
        <f t="shared" si="379"/>
        <v>498.30039999999991</v>
      </c>
      <c r="AV322" s="65">
        <f>AZ322*$CF$171</f>
        <v>1001.7691451165405</v>
      </c>
      <c r="AW322" s="65">
        <f>AZ322*$CG$171</f>
        <v>920.32081717359995</v>
      </c>
      <c r="AX322" s="65">
        <f>AZ322*$CH$171</f>
        <v>900.25683727071828</v>
      </c>
      <c r="AY322" s="65">
        <f t="shared" si="419"/>
        <v>1007.3527904391417</v>
      </c>
      <c r="AZ322" s="11">
        <f t="shared" si="380"/>
        <v>957.42489750000016</v>
      </c>
      <c r="BA322" s="65">
        <f>BE322*$CF$171</f>
        <v>1085.2710369105496</v>
      </c>
      <c r="BB322" s="65">
        <f>BE322*$CG$171</f>
        <v>997.03363036616804</v>
      </c>
      <c r="BC322" s="65">
        <f>BE322*$CH$171</f>
        <v>975.29722894084819</v>
      </c>
      <c r="BD322" s="65">
        <f t="shared" si="423"/>
        <v>1091.3201037824338</v>
      </c>
      <c r="BE322" s="11">
        <f t="shared" si="381"/>
        <v>1037.2304999999999</v>
      </c>
      <c r="BF322" s="65">
        <f>BJ322*$CF$171</f>
        <v>1104.9686711004113</v>
      </c>
      <c r="BG322" s="65">
        <f>BJ322*$CG$171</f>
        <v>1015.1297584834812</v>
      </c>
      <c r="BH322" s="65">
        <f>BJ322*$CH$171</f>
        <v>992.99884207589582</v>
      </c>
      <c r="BI322" s="65">
        <f t="shared" si="427"/>
        <v>1111.1275283402124</v>
      </c>
      <c r="BJ322" s="11">
        <f t="shared" si="382"/>
        <v>1056.0562000000002</v>
      </c>
      <c r="BK322" s="65">
        <f>BO322*$CF$171</f>
        <v>1073.8847628457011</v>
      </c>
      <c r="BL322" s="65">
        <f>BO322*$CG$171</f>
        <v>986.57311149013026</v>
      </c>
      <c r="BM322" s="65">
        <f>BO322*$CH$171</f>
        <v>965.06476058435317</v>
      </c>
      <c r="BN322" s="65">
        <f t="shared" si="431"/>
        <v>1079.8703650798152</v>
      </c>
      <c r="BO322" s="11">
        <f t="shared" si="383"/>
        <v>1026.34825</v>
      </c>
      <c r="BP322" s="65">
        <f>BT322*$CF$171</f>
        <v>1249.6012158914721</v>
      </c>
      <c r="BQ322" s="65">
        <f>BT322*$CG$171</f>
        <v>1148.0030281992513</v>
      </c>
      <c r="BR322" s="65">
        <f>BT322*$CH$171</f>
        <v>1122.975332143244</v>
      </c>
      <c r="BS322" s="65">
        <f t="shared" si="435"/>
        <v>1256.566223766034</v>
      </c>
      <c r="BT322" s="11">
        <f t="shared" si="384"/>
        <v>1194.2864500000003</v>
      </c>
      <c r="BU322" s="65">
        <f>BY322*$CF$171</f>
        <v>1404.1921009218258</v>
      </c>
      <c r="BV322" s="65">
        <f>BY322*$CG$171</f>
        <v>1290.0249803948082</v>
      </c>
      <c r="BW322" s="65">
        <f>BY322*$CH$171</f>
        <v>1261.9010536098572</v>
      </c>
      <c r="BX322" s="65">
        <f t="shared" si="439"/>
        <v>1412.0187650735093</v>
      </c>
      <c r="BY322" s="11">
        <f t="shared" si="385"/>
        <v>1342.0342250000001</v>
      </c>
      <c r="BZ322" s="65">
        <f>CD322*$CF$171</f>
        <v>1516.9120812149822</v>
      </c>
      <c r="CA322" s="65">
        <f>CD322*$CG$171</f>
        <v>1393.5803203460314</v>
      </c>
      <c r="CB322" s="65">
        <f>CD322*$CH$171</f>
        <v>1363.1987761945643</v>
      </c>
      <c r="CC322" s="65">
        <f t="shared" si="443"/>
        <v>1525.3670222444225</v>
      </c>
      <c r="CD322" s="11">
        <f t="shared" si="386"/>
        <v>1449.7645500000001</v>
      </c>
      <c r="CE322" s="5"/>
      <c r="CF322" s="5"/>
      <c r="CG322" s="5"/>
      <c r="CH322" s="5"/>
      <c r="CI322" s="5"/>
    </row>
    <row r="323" spans="1:87">
      <c r="A323" s="47"/>
      <c r="B323" s="47" t="s">
        <v>1961</v>
      </c>
      <c r="C323" s="47"/>
      <c r="D323" s="47"/>
      <c r="E323" s="11">
        <f t="shared" si="370"/>
        <v>124.44</v>
      </c>
      <c r="F323" s="11">
        <f t="shared" si="370"/>
        <v>124.32</v>
      </c>
      <c r="G323" s="11">
        <f t="shared" si="370"/>
        <v>127.8</v>
      </c>
      <c r="H323" s="86">
        <f t="shared" si="387"/>
        <v>128.65</v>
      </c>
      <c r="I323" s="86">
        <f t="shared" si="388"/>
        <v>130.35</v>
      </c>
      <c r="J323" s="86">
        <f t="shared" si="389"/>
        <v>132.04999999999998</v>
      </c>
      <c r="K323" s="86">
        <f t="shared" si="390"/>
        <v>133.74999999999997</v>
      </c>
      <c r="L323" s="11">
        <f t="shared" si="371"/>
        <v>131.19999999999999</v>
      </c>
      <c r="M323" s="65">
        <f t="shared" ref="M323:O325" si="444">$Q323*M$172</f>
        <v>98.932429570006349</v>
      </c>
      <c r="N323" s="65">
        <f t="shared" si="444"/>
        <v>92.268587163736484</v>
      </c>
      <c r="O323" s="65">
        <f t="shared" si="444"/>
        <v>96.8</v>
      </c>
      <c r="P323" s="65">
        <f t="shared" si="391"/>
        <v>99.19898326625713</v>
      </c>
      <c r="Q323" s="11">
        <f t="shared" si="373"/>
        <v>96.8</v>
      </c>
      <c r="R323" s="65">
        <f>V323*R$172</f>
        <v>77.214489753674187</v>
      </c>
      <c r="S323" s="65">
        <f>V323*S$172</f>
        <v>77.391181949906851</v>
      </c>
      <c r="T323" s="65">
        <f>V323*T$172</f>
        <v>77.278741461395143</v>
      </c>
      <c r="U323" s="65">
        <f t="shared" si="395"/>
        <v>78.515586835023782</v>
      </c>
      <c r="V323" s="11">
        <f t="shared" si="374"/>
        <v>77.599999999999994</v>
      </c>
      <c r="W323" s="65">
        <f>AA323*W$172</f>
        <v>61.533668423186057</v>
      </c>
      <c r="X323" s="65">
        <f>AA323*X$172</f>
        <v>62.639584515605996</v>
      </c>
      <c r="Y323" s="65">
        <f>AA323*Y$172</f>
        <v>58.737813133360362</v>
      </c>
      <c r="Z323" s="65">
        <f t="shared" si="399"/>
        <v>62.328933927847601</v>
      </c>
      <c r="AA323" s="11">
        <f t="shared" si="375"/>
        <v>61.31</v>
      </c>
      <c r="AB323" s="65">
        <f>AF323*AB$172</f>
        <v>48.973019646365422</v>
      </c>
      <c r="AC323" s="65">
        <f>AF323*AC$172</f>
        <v>48.388066797642438</v>
      </c>
      <c r="AD323" s="65">
        <f>AF323*AD$172</f>
        <v>50.056620825147348</v>
      </c>
      <c r="AE323" s="65">
        <f t="shared" si="403"/>
        <v>47.822292730844794</v>
      </c>
      <c r="AF323" s="11">
        <f t="shared" si="376"/>
        <v>48.81</v>
      </c>
      <c r="AG323" s="65">
        <f>AK323*$CF$172</f>
        <v>33.711877679507793</v>
      </c>
      <c r="AH323" s="65">
        <f>AK323*$CG$172</f>
        <v>32.821960755839186</v>
      </c>
      <c r="AI323" s="65">
        <f>AK323*$CH$172</f>
        <v>33.053862499749243</v>
      </c>
      <c r="AJ323" s="65">
        <f t="shared" si="407"/>
        <v>33.452299064903769</v>
      </c>
      <c r="AK323" s="11">
        <f t="shared" si="377"/>
        <v>33.26</v>
      </c>
      <c r="AL323" s="65">
        <f>AP323*$CF$172</f>
        <v>0</v>
      </c>
      <c r="AM323" s="65">
        <f>AP323*$CG$172</f>
        <v>0</v>
      </c>
      <c r="AN323" s="65">
        <f>AP323*$CH$172</f>
        <v>0</v>
      </c>
      <c r="AO323" s="65">
        <f t="shared" si="411"/>
        <v>0</v>
      </c>
      <c r="AP323" s="11">
        <f t="shared" si="378"/>
        <v>0</v>
      </c>
      <c r="AQ323" s="65">
        <f>AU323*$CF$172</f>
        <v>0</v>
      </c>
      <c r="AR323" s="65">
        <f>AU323*$CG$172</f>
        <v>0</v>
      </c>
      <c r="AS323" s="65">
        <f>AU323*$CH$172</f>
        <v>0</v>
      </c>
      <c r="AT323" s="65">
        <f t="shared" si="415"/>
        <v>0</v>
      </c>
      <c r="AU323" s="11">
        <f t="shared" si="379"/>
        <v>0</v>
      </c>
      <c r="AV323" s="65">
        <f>AZ323*$CF$172</f>
        <v>0</v>
      </c>
      <c r="AW323" s="65">
        <f>AZ323*$CG$172</f>
        <v>0</v>
      </c>
      <c r="AX323" s="65">
        <f>AZ323*$CH$172</f>
        <v>0</v>
      </c>
      <c r="AY323" s="65">
        <f t="shared" si="419"/>
        <v>0</v>
      </c>
      <c r="AZ323" s="11">
        <f t="shared" si="380"/>
        <v>0</v>
      </c>
      <c r="BA323" s="65">
        <f>BE323*$CF$172</f>
        <v>0</v>
      </c>
      <c r="BB323" s="65">
        <f>BE323*$CG$172</f>
        <v>0</v>
      </c>
      <c r="BC323" s="65">
        <f>BE323*$CH$172</f>
        <v>0</v>
      </c>
      <c r="BD323" s="65">
        <f t="shared" si="423"/>
        <v>0</v>
      </c>
      <c r="BE323" s="11">
        <f t="shared" si="381"/>
        <v>0</v>
      </c>
      <c r="BF323" s="65">
        <f>BJ323*$CF$172</f>
        <v>0</v>
      </c>
      <c r="BG323" s="65">
        <f>BJ323*$CG$172</f>
        <v>0</v>
      </c>
      <c r="BH323" s="65">
        <f>BJ323*$CH$172</f>
        <v>0</v>
      </c>
      <c r="BI323" s="65">
        <f t="shared" si="427"/>
        <v>0</v>
      </c>
      <c r="BJ323" s="11">
        <f t="shared" si="382"/>
        <v>0</v>
      </c>
      <c r="BK323" s="65">
        <f>BO323*$CF$172</f>
        <v>0</v>
      </c>
      <c r="BL323" s="65">
        <f>BO323*$CG$172</f>
        <v>0</v>
      </c>
      <c r="BM323" s="65">
        <f>BO323*$CH$172</f>
        <v>0</v>
      </c>
      <c r="BN323" s="65">
        <f t="shared" si="431"/>
        <v>0</v>
      </c>
      <c r="BO323" s="11">
        <f t="shared" si="383"/>
        <v>0</v>
      </c>
      <c r="BP323" s="65">
        <f>BT323*$CF$172</f>
        <v>0</v>
      </c>
      <c r="BQ323" s="65">
        <f>BT323*$CG$172</f>
        <v>0</v>
      </c>
      <c r="BR323" s="65">
        <f>BT323*$CH$172</f>
        <v>0</v>
      </c>
      <c r="BS323" s="65">
        <f t="shared" si="435"/>
        <v>0</v>
      </c>
      <c r="BT323" s="11">
        <f t="shared" si="384"/>
        <v>0</v>
      </c>
      <c r="BU323" s="65">
        <f>BY323*$CF$172</f>
        <v>0</v>
      </c>
      <c r="BV323" s="65">
        <f>BY323*$CG$172</f>
        <v>0</v>
      </c>
      <c r="BW323" s="65">
        <f>BY323*$CH$172</f>
        <v>0</v>
      </c>
      <c r="BX323" s="65">
        <f t="shared" si="439"/>
        <v>0</v>
      </c>
      <c r="BY323" s="11">
        <f t="shared" si="385"/>
        <v>0</v>
      </c>
      <c r="BZ323" s="65">
        <f>CD323*$CF$172</f>
        <v>0</v>
      </c>
      <c r="CA323" s="65">
        <f>CD323*$CG$172</f>
        <v>0</v>
      </c>
      <c r="CB323" s="65">
        <f>CD323*$CH$172</f>
        <v>0</v>
      </c>
      <c r="CC323" s="65">
        <f t="shared" si="443"/>
        <v>0</v>
      </c>
      <c r="CD323" s="11">
        <f t="shared" si="386"/>
        <v>0</v>
      </c>
      <c r="CE323" s="5"/>
      <c r="CF323" s="5"/>
      <c r="CG323" s="5"/>
      <c r="CH323" s="5"/>
      <c r="CI323" s="5"/>
    </row>
    <row r="324" spans="1:87">
      <c r="A324" s="11"/>
      <c r="B324" s="11" t="s">
        <v>3399</v>
      </c>
      <c r="C324" s="11"/>
      <c r="D324" s="11"/>
      <c r="E324" s="11">
        <f t="shared" si="370"/>
        <v>393.3</v>
      </c>
      <c r="F324" s="11">
        <f t="shared" si="370"/>
        <v>256.94</v>
      </c>
      <c r="G324" s="11">
        <f t="shared" si="370"/>
        <v>182.59</v>
      </c>
      <c r="H324" s="86">
        <f t="shared" si="387"/>
        <v>177.4425</v>
      </c>
      <c r="I324" s="86">
        <f t="shared" si="388"/>
        <v>167.14749999999998</v>
      </c>
      <c r="J324" s="86">
        <f t="shared" si="389"/>
        <v>156.85249999999996</v>
      </c>
      <c r="K324" s="86">
        <f t="shared" si="390"/>
        <v>146.55749999999995</v>
      </c>
      <c r="L324" s="11">
        <f t="shared" si="371"/>
        <v>162</v>
      </c>
      <c r="M324" s="65">
        <f t="shared" si="444"/>
        <v>152.70138741791996</v>
      </c>
      <c r="N324" s="65">
        <f t="shared" si="444"/>
        <v>142.41580173692017</v>
      </c>
      <c r="O324" s="65">
        <f t="shared" si="444"/>
        <v>149.41000000000003</v>
      </c>
      <c r="P324" s="65">
        <f t="shared" si="391"/>
        <v>153.11281084515991</v>
      </c>
      <c r="Q324" s="11">
        <f t="shared" si="373"/>
        <v>149.41000000000003</v>
      </c>
      <c r="R324" s="65">
        <f>V324*R$172</f>
        <v>143.50352722003726</v>
      </c>
      <c r="S324" s="65">
        <f>V324*S$172</f>
        <v>143.83191057752018</v>
      </c>
      <c r="T324" s="65">
        <f>V324*T$172</f>
        <v>143.62293935003103</v>
      </c>
      <c r="U324" s="65">
        <f t="shared" si="395"/>
        <v>145.92162285241147</v>
      </c>
      <c r="V324" s="11">
        <f t="shared" si="374"/>
        <v>144.22</v>
      </c>
      <c r="W324" s="65">
        <f>AA324*W$172</f>
        <v>101.35842723956222</v>
      </c>
      <c r="X324" s="65">
        <f>AA324*X$172</f>
        <v>103.18009525739764</v>
      </c>
      <c r="Y324" s="65">
        <f>AA324*Y$172</f>
        <v>96.753086745034452</v>
      </c>
      <c r="Z324" s="65">
        <f t="shared" si="399"/>
        <v>102.66839075800567</v>
      </c>
      <c r="AA324" s="11">
        <f t="shared" si="375"/>
        <v>100.99</v>
      </c>
      <c r="AB324" s="65">
        <f>AF324*AB$172</f>
        <v>66.160231827111971</v>
      </c>
      <c r="AC324" s="65">
        <f>AF324*AC$172</f>
        <v>65.369988212180743</v>
      </c>
      <c r="AD324" s="65">
        <f>AF324*AD$172</f>
        <v>67.624125736738691</v>
      </c>
      <c r="AE324" s="65">
        <f t="shared" si="403"/>
        <v>64.6056542239686</v>
      </c>
      <c r="AF324" s="11">
        <f t="shared" si="376"/>
        <v>65.94</v>
      </c>
      <c r="AG324" s="65">
        <f>AK324*$CF$172</f>
        <v>62.102427703651315</v>
      </c>
      <c r="AH324" s="65">
        <f>AK324*$CG$172</f>
        <v>60.463064807885353</v>
      </c>
      <c r="AI324" s="65">
        <f>AK324*$CH$172</f>
        <v>60.890263239916898</v>
      </c>
      <c r="AJ324" s="65">
        <f t="shared" si="407"/>
        <v>61.624244248546432</v>
      </c>
      <c r="AK324" s="11">
        <f t="shared" si="377"/>
        <v>61.269999999999996</v>
      </c>
      <c r="AL324" s="65">
        <f>AP324*$CF$172</f>
        <v>60.693542857754871</v>
      </c>
      <c r="AM324" s="65">
        <f>AP324*$CG$172</f>
        <v>59.091371318690641</v>
      </c>
      <c r="AN324" s="65">
        <f>AP324*$CH$172</f>
        <v>59.508878126427682</v>
      </c>
      <c r="AO324" s="65">
        <f t="shared" si="411"/>
        <v>60.226207697126824</v>
      </c>
      <c r="AP324" s="11">
        <f t="shared" si="378"/>
        <v>59.88</v>
      </c>
      <c r="AQ324" s="65">
        <f>AU324*$CF$172</f>
        <v>49.402192366181907</v>
      </c>
      <c r="AR324" s="65">
        <f>AU324*$CG$172</f>
        <v>48.09808680816603</v>
      </c>
      <c r="AS324" s="65">
        <f>AU324*$CH$172</f>
        <v>48.437921173715516</v>
      </c>
      <c r="AT324" s="65">
        <f t="shared" si="415"/>
        <v>49.021799651936561</v>
      </c>
      <c r="AU324" s="11">
        <f t="shared" si="379"/>
        <v>48.74</v>
      </c>
      <c r="AV324" s="65">
        <f>AZ324*$CF$172</f>
        <v>48.469693043718067</v>
      </c>
      <c r="AW324" s="65">
        <f>AZ324*$CG$172</f>
        <v>47.190203347691821</v>
      </c>
      <c r="AX324" s="65">
        <f>AZ324*$CH$172</f>
        <v>47.523623112988837</v>
      </c>
      <c r="AY324" s="65">
        <f t="shared" si="419"/>
        <v>48.09648049560127</v>
      </c>
      <c r="AZ324" s="11">
        <f t="shared" si="380"/>
        <v>47.82</v>
      </c>
      <c r="BA324" s="65">
        <f>BE324*$CF$172</f>
        <v>51.186104113504022</v>
      </c>
      <c r="BB324" s="65">
        <f>BE324*$CG$172</f>
        <v>49.83490734124711</v>
      </c>
      <c r="BC324" s="65">
        <f>BE324*$CH$172</f>
        <v>50.187013115975248</v>
      </c>
      <c r="BD324" s="65">
        <f t="shared" si="423"/>
        <v>50.791975429273634</v>
      </c>
      <c r="BE324" s="11">
        <f t="shared" si="381"/>
        <v>50.5</v>
      </c>
      <c r="BF324" s="65">
        <f>BJ324*$CF$172</f>
        <v>36.62087013110694</v>
      </c>
      <c r="BG324" s="65">
        <f>BJ324*$CG$172</f>
        <v>35.654162420579375</v>
      </c>
      <c r="BH324" s="65">
        <f>BJ324*$CH$172</f>
        <v>35.906074928320514</v>
      </c>
      <c r="BI324" s="65">
        <f t="shared" si="427"/>
        <v>36.33889251999318</v>
      </c>
      <c r="BJ324" s="11">
        <f t="shared" si="382"/>
        <v>36.130000000000003</v>
      </c>
      <c r="BK324" s="65">
        <f>BO324*$CF$172</f>
        <v>0</v>
      </c>
      <c r="BL324" s="65">
        <f>BO324*$CG$172</f>
        <v>0</v>
      </c>
      <c r="BM324" s="65">
        <f>BO324*$CH$172</f>
        <v>0</v>
      </c>
      <c r="BN324" s="65">
        <f t="shared" si="431"/>
        <v>0</v>
      </c>
      <c r="BO324" s="11">
        <f t="shared" si="383"/>
        <v>0</v>
      </c>
      <c r="BP324" s="65">
        <f>BT324*$CF$172</f>
        <v>0</v>
      </c>
      <c r="BQ324" s="65">
        <f>BT324*$CG$172</f>
        <v>0</v>
      </c>
      <c r="BR324" s="65">
        <f>BT324*$CH$172</f>
        <v>0</v>
      </c>
      <c r="BS324" s="65">
        <f t="shared" si="435"/>
        <v>0</v>
      </c>
      <c r="BT324" s="11">
        <f t="shared" si="384"/>
        <v>0</v>
      </c>
      <c r="BU324" s="65">
        <f>BY324*$CF$172</f>
        <v>0</v>
      </c>
      <c r="BV324" s="65">
        <f>BY324*$CG$172</f>
        <v>0</v>
      </c>
      <c r="BW324" s="65">
        <f>BY324*$CH$172</f>
        <v>0</v>
      </c>
      <c r="BX324" s="65">
        <f t="shared" si="439"/>
        <v>0</v>
      </c>
      <c r="BY324" s="11">
        <f t="shared" si="385"/>
        <v>0</v>
      </c>
      <c r="BZ324" s="65">
        <f>CD324*$CF$172</f>
        <v>0</v>
      </c>
      <c r="CA324" s="65">
        <f>CD324*$CG$172</f>
        <v>0</v>
      </c>
      <c r="CB324" s="65">
        <f>CD324*$CH$172</f>
        <v>0</v>
      </c>
      <c r="CC324" s="65">
        <f t="shared" si="443"/>
        <v>0</v>
      </c>
      <c r="CD324" s="11">
        <f t="shared" si="386"/>
        <v>0</v>
      </c>
      <c r="CE324" s="5"/>
      <c r="CF324" s="5"/>
      <c r="CG324" s="5"/>
      <c r="CH324" s="5"/>
      <c r="CI324" s="5"/>
    </row>
    <row r="325" spans="1:87">
      <c r="A325" s="11"/>
      <c r="B325" s="11" t="s">
        <v>3400</v>
      </c>
      <c r="C325" s="11"/>
      <c r="D325" s="11"/>
      <c r="E325" s="11">
        <f t="shared" si="370"/>
        <v>21</v>
      </c>
      <c r="F325" s="11">
        <f t="shared" si="370"/>
        <v>51.79</v>
      </c>
      <c r="G325" s="11">
        <f t="shared" si="370"/>
        <v>75.7</v>
      </c>
      <c r="H325" s="86">
        <f t="shared" si="387"/>
        <v>78.545000000000002</v>
      </c>
      <c r="I325" s="86">
        <f t="shared" si="388"/>
        <v>84.234999999999999</v>
      </c>
      <c r="J325" s="86">
        <f t="shared" si="389"/>
        <v>89.924999999999997</v>
      </c>
      <c r="K325" s="86">
        <f t="shared" si="390"/>
        <v>95.614999999999995</v>
      </c>
      <c r="L325" s="11">
        <f t="shared" si="371"/>
        <v>87.08</v>
      </c>
      <c r="M325" s="65">
        <f t="shared" si="444"/>
        <v>85.043052319423836</v>
      </c>
      <c r="N325" s="65">
        <f t="shared" si="444"/>
        <v>79.314763821224304</v>
      </c>
      <c r="O325" s="65">
        <f t="shared" si="444"/>
        <v>83.21</v>
      </c>
      <c r="P325" s="65">
        <f t="shared" si="391"/>
        <v>85.272183859351856</v>
      </c>
      <c r="Q325" s="11">
        <f t="shared" si="373"/>
        <v>83.21</v>
      </c>
      <c r="R325" s="65">
        <f>V325*R$172</f>
        <v>90.040453322293516</v>
      </c>
      <c r="S325" s="65">
        <f>V325*S$172</f>
        <v>90.246495549575656</v>
      </c>
      <c r="T325" s="65">
        <f>V325*T$172</f>
        <v>90.115377768577929</v>
      </c>
      <c r="U325" s="65">
        <f t="shared" si="395"/>
        <v>91.557673359552894</v>
      </c>
      <c r="V325" s="11">
        <f t="shared" si="374"/>
        <v>90.49</v>
      </c>
      <c r="W325" s="65">
        <f>AA325*W$172</f>
        <v>84.627612484799343</v>
      </c>
      <c r="X325" s="65">
        <f>AA325*X$172</f>
        <v>86.148585326307241</v>
      </c>
      <c r="Y325" s="65">
        <f>AA325*Y$172</f>
        <v>80.782456424807449</v>
      </c>
      <c r="Z325" s="65">
        <f t="shared" si="399"/>
        <v>85.721345764085925</v>
      </c>
      <c r="AA325" s="11">
        <f t="shared" si="375"/>
        <v>84.32</v>
      </c>
      <c r="AB325" s="65">
        <f>AF325*AB$172</f>
        <v>66.772269155206274</v>
      </c>
      <c r="AC325" s="65">
        <f>AF325*AC$172</f>
        <v>65.974715127701373</v>
      </c>
      <c r="AD325" s="65">
        <f>AF325*AD$172</f>
        <v>68.249705304518656</v>
      </c>
      <c r="AE325" s="65">
        <f t="shared" si="403"/>
        <v>65.203310412573671</v>
      </c>
      <c r="AF325" s="11">
        <f t="shared" si="376"/>
        <v>66.55</v>
      </c>
      <c r="AG325" s="65">
        <f>AK325*AG$172</f>
        <v>159.77846354166667</v>
      </c>
      <c r="AH325" s="65">
        <f>AK325*AH$172</f>
        <v>162.38979166666664</v>
      </c>
      <c r="AI325" s="65">
        <f>AK325*AI$172</f>
        <v>157.23677083333334</v>
      </c>
      <c r="AJ325" s="65">
        <f t="shared" si="407"/>
        <v>162.35497395833329</v>
      </c>
      <c r="AK325" s="11">
        <f t="shared" si="377"/>
        <v>160.44</v>
      </c>
      <c r="AL325" s="65">
        <f>AP325*$CF$172</f>
        <v>318.5498772434068</v>
      </c>
      <c r="AM325" s="65">
        <f>AP325*$CG$172</f>
        <v>310.14088473677509</v>
      </c>
      <c r="AN325" s="65">
        <f>AP325*$CH$172</f>
        <v>312.33216796215248</v>
      </c>
      <c r="AO325" s="65">
        <f t="shared" si="411"/>
        <v>316.09707005766563</v>
      </c>
      <c r="AP325" s="11">
        <f t="shared" si="378"/>
        <v>314.27999999999997</v>
      </c>
      <c r="AQ325" s="65">
        <f>AU325*$CF$172</f>
        <v>166.31936285118564</v>
      </c>
      <c r="AR325" s="65">
        <f>AU325*$CG$172</f>
        <v>161.92890981436116</v>
      </c>
      <c r="AS325" s="65">
        <f>AU325*$CH$172</f>
        <v>163.07300954852235</v>
      </c>
      <c r="AT325" s="65">
        <f t="shared" si="415"/>
        <v>165.03871778593088</v>
      </c>
      <c r="AU325" s="11">
        <f t="shared" si="379"/>
        <v>164.09</v>
      </c>
      <c r="AV325" s="65">
        <f>AZ325*$CF$172</f>
        <v>136.34761832373388</v>
      </c>
      <c r="AW325" s="65">
        <f>AZ325*$CG$172</f>
        <v>132.74835119890221</v>
      </c>
      <c r="AX325" s="65">
        <f>AZ325*$CH$172</f>
        <v>133.68627731407904</v>
      </c>
      <c r="AY325" s="65">
        <f t="shared" si="419"/>
        <v>135.29775316328494</v>
      </c>
      <c r="AZ325" s="11">
        <f t="shared" si="380"/>
        <v>134.52000000000001</v>
      </c>
      <c r="BA325" s="65">
        <f>BE325*$CF$172</f>
        <v>117.67736015005578</v>
      </c>
      <c r="BB325" s="65">
        <f>BE325*$CG$172</f>
        <v>114.57094539245128</v>
      </c>
      <c r="BC325" s="65">
        <f>BE325*$CH$172</f>
        <v>115.38044005474704</v>
      </c>
      <c r="BD325" s="65">
        <f t="shared" si="423"/>
        <v>116.77125440274585</v>
      </c>
      <c r="BE325" s="11">
        <f t="shared" si="381"/>
        <v>116.1</v>
      </c>
      <c r="BF325" s="65">
        <f>BJ325*$CF$172</f>
        <v>88.597571496265076</v>
      </c>
      <c r="BG325" s="65">
        <f>BJ325*$CG$172</f>
        <v>86.258797043532866</v>
      </c>
      <c r="BH325" s="65">
        <f>BJ325*$CH$172</f>
        <v>86.868253791433588</v>
      </c>
      <c r="BI325" s="65">
        <f t="shared" si="427"/>
        <v>87.915377668768485</v>
      </c>
      <c r="BJ325" s="11">
        <f t="shared" si="382"/>
        <v>87.41</v>
      </c>
      <c r="BK325" s="65">
        <f>BO325*$CF$172</f>
        <v>87.99955562642414</v>
      </c>
      <c r="BL325" s="65">
        <f>BO325*$CG$172</f>
        <v>85.676567433011371</v>
      </c>
      <c r="BM325" s="65">
        <f>BO325*$CH$172</f>
        <v>86.2819104698806</v>
      </c>
      <c r="BN325" s="65">
        <f t="shared" si="431"/>
        <v>87.32196647068389</v>
      </c>
      <c r="BO325" s="11">
        <f t="shared" si="383"/>
        <v>86.82</v>
      </c>
      <c r="BP325" s="65">
        <f>BT325*$CF$172</f>
        <v>83.347194876305664</v>
      </c>
      <c r="BQ325" s="65">
        <f>BT325*$CG$172</f>
        <v>81.147018429123762</v>
      </c>
      <c r="BR325" s="65">
        <f>BT325*$CH$172</f>
        <v>81.720358188646429</v>
      </c>
      <c r="BS325" s="65">
        <f t="shared" si="435"/>
        <v>82.705428505924175</v>
      </c>
      <c r="BT325" s="11">
        <f t="shared" si="384"/>
        <v>82.23</v>
      </c>
      <c r="BU325" s="65">
        <f>BY325*$CF$172</f>
        <v>76.079781678408153</v>
      </c>
      <c r="BV325" s="65">
        <f>BY325*$CG$172</f>
        <v>74.071448416515011</v>
      </c>
      <c r="BW325" s="65">
        <f>BY325*$CH$172</f>
        <v>74.594796128417869</v>
      </c>
      <c r="BX325" s="65">
        <f t="shared" si="439"/>
        <v>75.493973776658976</v>
      </c>
      <c r="BY325" s="11">
        <f t="shared" si="385"/>
        <v>75.06</v>
      </c>
      <c r="BZ325" s="65">
        <f>CD325*$CF$172</f>
        <v>67.667016051832249</v>
      </c>
      <c r="CA325" s="65">
        <f>CD325*$CG$172</f>
        <v>65.880760675280342</v>
      </c>
      <c r="CB325" s="65">
        <f>CD325*$CH$172</f>
        <v>66.346237537079361</v>
      </c>
      <c r="CC325" s="65">
        <f t="shared" si="443"/>
        <v>67.145985735808068</v>
      </c>
      <c r="CD325" s="11">
        <f t="shared" si="386"/>
        <v>66.760000000000005</v>
      </c>
      <c r="CE325" s="5"/>
      <c r="CF325" s="5"/>
      <c r="CG325" s="5"/>
      <c r="CH325" s="5"/>
      <c r="CI325" s="5"/>
    </row>
    <row r="326" spans="1:87">
      <c r="A326" s="39" t="s">
        <v>3401</v>
      </c>
      <c r="B326" s="39"/>
      <c r="C326" s="39">
        <f t="shared" ref="C326:AH326" si="445">SUM(C315:C325)</f>
        <v>0</v>
      </c>
      <c r="D326" s="39">
        <f t="shared" si="445"/>
        <v>0</v>
      </c>
      <c r="E326" s="39">
        <f t="shared" si="445"/>
        <v>709.73</v>
      </c>
      <c r="F326" s="39">
        <f t="shared" si="445"/>
        <v>630.37999999999988</v>
      </c>
      <c r="G326" s="39">
        <f t="shared" si="445"/>
        <v>590.0200000000001</v>
      </c>
      <c r="H326" s="80">
        <f t="shared" si="445"/>
        <v>588.21749999999997</v>
      </c>
      <c r="I326" s="80">
        <f t="shared" si="445"/>
        <v>584.61249999999995</v>
      </c>
      <c r="J326" s="80">
        <f t="shared" si="445"/>
        <v>581.00749999999994</v>
      </c>
      <c r="K326" s="80">
        <f t="shared" si="445"/>
        <v>577.40249999999992</v>
      </c>
      <c r="L326" s="39">
        <f t="shared" si="445"/>
        <v>582.81000000000006</v>
      </c>
      <c r="M326" s="80">
        <f t="shared" si="445"/>
        <v>642.90748782037701</v>
      </c>
      <c r="N326" s="80">
        <f t="shared" si="445"/>
        <v>599.60283838169892</v>
      </c>
      <c r="O326" s="80">
        <f t="shared" si="445"/>
        <v>629.05000000000007</v>
      </c>
      <c r="P326" s="80">
        <f t="shared" si="445"/>
        <v>644.63967379792416</v>
      </c>
      <c r="Q326" s="39">
        <f t="shared" si="445"/>
        <v>629.05000000000007</v>
      </c>
      <c r="R326" s="80">
        <f t="shared" si="445"/>
        <v>725.03012833781816</v>
      </c>
      <c r="S326" s="80">
        <f t="shared" si="445"/>
        <v>726.68923618298493</v>
      </c>
      <c r="T326" s="80">
        <f t="shared" si="445"/>
        <v>725.63344028151516</v>
      </c>
      <c r="U326" s="80">
        <f t="shared" si="445"/>
        <v>737.24719519768155</v>
      </c>
      <c r="V326" s="39">
        <f t="shared" si="445"/>
        <v>728.65000000000009</v>
      </c>
      <c r="W326" s="80">
        <f t="shared" si="445"/>
        <v>665.57931090393186</v>
      </c>
      <c r="X326" s="80">
        <f t="shared" si="445"/>
        <v>677.54145926226181</v>
      </c>
      <c r="Y326" s="80">
        <f t="shared" si="445"/>
        <v>635.33792460478321</v>
      </c>
      <c r="Z326" s="80">
        <f t="shared" si="445"/>
        <v>674.18130522902311</v>
      </c>
      <c r="AA326" s="39">
        <f t="shared" si="445"/>
        <v>663.15999999999985</v>
      </c>
      <c r="AB326" s="80">
        <f t="shared" si="445"/>
        <v>630.96031827111972</v>
      </c>
      <c r="AC326" s="80">
        <f t="shared" si="445"/>
        <v>623.42388212180754</v>
      </c>
      <c r="AD326" s="80">
        <f t="shared" si="445"/>
        <v>644.92125736738706</v>
      </c>
      <c r="AE326" s="80">
        <f t="shared" si="445"/>
        <v>616.13454223968574</v>
      </c>
      <c r="AF326" s="39">
        <f t="shared" si="445"/>
        <v>628.86</v>
      </c>
      <c r="AG326" s="80">
        <f t="shared" si="445"/>
        <v>560.03352598486663</v>
      </c>
      <c r="AH326" s="80">
        <f t="shared" si="445"/>
        <v>552.07903047825221</v>
      </c>
      <c r="AI326" s="80">
        <f t="shared" ref="AI326:BN326" si="446">SUM(AI315:AI325)</f>
        <v>549.67933735546137</v>
      </c>
      <c r="AJ326" s="80">
        <f t="shared" si="446"/>
        <v>559.52810618141962</v>
      </c>
      <c r="AK326" s="39">
        <f t="shared" si="446"/>
        <v>555.32999999999993</v>
      </c>
      <c r="AL326" s="80">
        <f t="shared" si="446"/>
        <v>621.53107014654779</v>
      </c>
      <c r="AM326" s="80">
        <f t="shared" si="446"/>
        <v>605.12406300302428</v>
      </c>
      <c r="AN326" s="80">
        <f t="shared" si="446"/>
        <v>609.39953351912914</v>
      </c>
      <c r="AO326" s="80">
        <f t="shared" si="446"/>
        <v>616.74533333129875</v>
      </c>
      <c r="AP326" s="39">
        <f t="shared" si="446"/>
        <v>613.20000000000005</v>
      </c>
      <c r="AQ326" s="80">
        <f t="shared" si="446"/>
        <v>954.62705645773485</v>
      </c>
      <c r="AR326" s="80">
        <f t="shared" si="446"/>
        <v>900.79979801573154</v>
      </c>
      <c r="AS326" s="80">
        <f t="shared" si="446"/>
        <v>893.33759825496918</v>
      </c>
      <c r="AT326" s="80">
        <f t="shared" si="446"/>
        <v>954.19714727156406</v>
      </c>
      <c r="AU326" s="39">
        <f t="shared" si="446"/>
        <v>925.74040000000002</v>
      </c>
      <c r="AV326" s="80">
        <f t="shared" si="446"/>
        <v>1431.1242679379327</v>
      </c>
      <c r="AW326" s="80">
        <f t="shared" si="446"/>
        <v>1338.3419409310707</v>
      </c>
      <c r="AX326" s="80">
        <f t="shared" si="446"/>
        <v>1321.2314661009582</v>
      </c>
      <c r="AY326" s="80">
        <f t="shared" si="446"/>
        <v>1433.4019150300387</v>
      </c>
      <c r="AZ326" s="39">
        <f>SUM(AZ315:AZ325)</f>
        <v>1381.0248975000002</v>
      </c>
      <c r="BA326" s="80">
        <f t="shared" si="446"/>
        <v>1488.495906978553</v>
      </c>
      <c r="BB326" s="80">
        <f t="shared" si="446"/>
        <v>1389.6142806333942</v>
      </c>
      <c r="BC326" s="80">
        <f t="shared" si="446"/>
        <v>1370.6516360259427</v>
      </c>
      <c r="BD326" s="80">
        <f t="shared" si="446"/>
        <v>1491.4401763621097</v>
      </c>
      <c r="BE326" s="39">
        <f t="shared" si="446"/>
        <v>1435.0504999999998</v>
      </c>
      <c r="BF326" s="80">
        <f t="shared" si="446"/>
        <v>1489.3712450617263</v>
      </c>
      <c r="BG326" s="80">
        <f t="shared" si="446"/>
        <v>1389.3849784670051</v>
      </c>
      <c r="BH326" s="80">
        <f t="shared" si="446"/>
        <v>1369.8983415656703</v>
      </c>
      <c r="BI326" s="80">
        <f t="shared" si="446"/>
        <v>1492.5702349055989</v>
      </c>
      <c r="BJ326" s="39">
        <f t="shared" si="446"/>
        <v>1435.3062000000004</v>
      </c>
      <c r="BK326" s="80">
        <f t="shared" si="446"/>
        <v>1470.430099723447</v>
      </c>
      <c r="BL326" s="80">
        <f t="shared" si="446"/>
        <v>1372.6505530567858</v>
      </c>
      <c r="BM326" s="80">
        <f t="shared" si="446"/>
        <v>1353.8700109083729</v>
      </c>
      <c r="BN326" s="80">
        <f t="shared" si="446"/>
        <v>1473.3623363113938</v>
      </c>
      <c r="BO326" s="39">
        <f t="shared" ref="BO326:CD326" si="447">SUM(BO315:BO325)</f>
        <v>1417.57825</v>
      </c>
      <c r="BP326" s="80">
        <f t="shared" si="447"/>
        <v>2066.774698235813</v>
      </c>
      <c r="BQ326" s="80">
        <f t="shared" si="447"/>
        <v>1943.6049885291573</v>
      </c>
      <c r="BR326" s="80">
        <f t="shared" si="447"/>
        <v>1924.1985740117898</v>
      </c>
      <c r="BS326" s="80">
        <f t="shared" si="447"/>
        <v>2067.4475392232412</v>
      </c>
      <c r="BT326" s="39">
        <f t="shared" si="447"/>
        <v>2000.5064500000003</v>
      </c>
      <c r="BU326" s="80">
        <f t="shared" si="447"/>
        <v>2313.7539672254916</v>
      </c>
      <c r="BV326" s="80">
        <f t="shared" si="447"/>
        <v>2175.576481401044</v>
      </c>
      <c r="BW326" s="80">
        <f t="shared" si="447"/>
        <v>2153.7093696471384</v>
      </c>
      <c r="BX326" s="80">
        <f t="shared" si="447"/>
        <v>2314.5770817263265</v>
      </c>
      <c r="BY326" s="39">
        <f t="shared" si="447"/>
        <v>2239.4042249999998</v>
      </c>
      <c r="BZ326" s="80">
        <f t="shared" si="447"/>
        <v>2664.4437202665385</v>
      </c>
      <c r="CA326" s="80">
        <f t="shared" si="447"/>
        <v>2510.819733145891</v>
      </c>
      <c r="CB326" s="80">
        <f t="shared" si="447"/>
        <v>2488.3319821203345</v>
      </c>
      <c r="CC326" s="80">
        <f t="shared" si="447"/>
        <v>2664.0627644672372</v>
      </c>
      <c r="CD326" s="39">
        <f t="shared" si="447"/>
        <v>2581.9145500000004</v>
      </c>
      <c r="CE326" s="5"/>
      <c r="CF326" s="5"/>
      <c r="CG326" s="5"/>
      <c r="CH326" s="5"/>
      <c r="CI326" s="5"/>
    </row>
    <row r="327" spans="1:87">
      <c r="A327" s="11"/>
      <c r="B327" s="11"/>
      <c r="C327" s="11"/>
      <c r="D327" s="11"/>
      <c r="E327" s="11"/>
      <c r="F327" s="11"/>
      <c r="G327" s="11"/>
      <c r="H327" s="80"/>
      <c r="I327" s="80"/>
      <c r="J327" s="80"/>
      <c r="K327" s="80"/>
      <c r="L327" s="11"/>
      <c r="M327" s="68"/>
      <c r="N327" s="68"/>
      <c r="O327" s="68"/>
      <c r="P327" s="68"/>
      <c r="Q327" s="11"/>
      <c r="R327" s="68"/>
      <c r="S327" s="68"/>
      <c r="T327" s="68"/>
      <c r="U327" s="68"/>
      <c r="V327" s="11"/>
      <c r="W327" s="68"/>
      <c r="X327" s="68"/>
      <c r="Y327" s="68"/>
      <c r="Z327" s="68"/>
      <c r="AA327" s="11"/>
      <c r="AB327" s="68"/>
      <c r="AC327" s="68"/>
      <c r="AD327" s="68"/>
      <c r="AE327" s="68"/>
      <c r="AF327" s="11"/>
      <c r="AG327" s="68"/>
      <c r="AH327" s="68"/>
      <c r="AI327" s="68"/>
      <c r="AJ327" s="68"/>
      <c r="AK327" s="11"/>
      <c r="AL327" s="48"/>
      <c r="AM327" s="48"/>
      <c r="AN327" s="48"/>
      <c r="AO327" s="48"/>
      <c r="AP327" s="48"/>
      <c r="AQ327" s="48"/>
      <c r="AR327" s="48"/>
      <c r="AS327" s="48"/>
      <c r="AT327" s="48"/>
      <c r="AU327" s="48"/>
      <c r="AV327" s="48"/>
      <c r="AW327" s="48"/>
      <c r="AX327" s="48"/>
      <c r="AY327" s="48"/>
      <c r="AZ327" s="48"/>
      <c r="BA327" s="48"/>
      <c r="BB327" s="48"/>
      <c r="BC327" s="48"/>
      <c r="BD327" s="48"/>
      <c r="BE327" s="48"/>
      <c r="BF327" s="48"/>
      <c r="BG327" s="48"/>
      <c r="BH327" s="48"/>
      <c r="BI327" s="48"/>
      <c r="BJ327" s="48"/>
      <c r="BK327" s="48"/>
      <c r="BL327" s="48"/>
      <c r="BM327" s="48"/>
      <c r="BN327" s="48"/>
      <c r="BO327" s="48"/>
      <c r="BP327" s="48"/>
      <c r="BQ327" s="48"/>
      <c r="BR327" s="48"/>
      <c r="BS327" s="48"/>
      <c r="BT327" s="48"/>
      <c r="BU327" s="48"/>
      <c r="BV327" s="48"/>
      <c r="BW327" s="48"/>
      <c r="BX327" s="48"/>
      <c r="BY327" s="48"/>
      <c r="BZ327" s="48"/>
      <c r="CA327" s="48"/>
      <c r="CB327" s="48"/>
      <c r="CC327" s="48"/>
      <c r="CD327" s="48"/>
      <c r="CE327" s="5"/>
      <c r="CF327" s="5"/>
      <c r="CG327" s="5"/>
      <c r="CH327" s="5"/>
      <c r="CI327" s="5"/>
    </row>
    <row r="328" spans="1:87">
      <c r="A328" s="39" t="s">
        <v>3402</v>
      </c>
      <c r="B328" s="11"/>
      <c r="C328" s="11"/>
      <c r="D328" s="11"/>
      <c r="E328" s="11"/>
      <c r="F328" s="11"/>
      <c r="G328" s="11"/>
      <c r="H328" s="80"/>
      <c r="I328" s="80"/>
      <c r="J328" s="80"/>
      <c r="K328" s="80"/>
      <c r="L328" s="11"/>
      <c r="M328" s="68"/>
      <c r="N328" s="68"/>
      <c r="O328" s="68"/>
      <c r="P328" s="68"/>
      <c r="Q328" s="11"/>
      <c r="R328" s="68"/>
      <c r="S328" s="68"/>
      <c r="T328" s="68"/>
      <c r="U328" s="68"/>
      <c r="V328" s="11"/>
      <c r="W328" s="68"/>
      <c r="X328" s="68"/>
      <c r="Y328" s="68"/>
      <c r="Z328" s="68"/>
      <c r="AA328" s="11"/>
      <c r="AB328" s="68"/>
      <c r="AC328" s="68"/>
      <c r="AD328" s="68"/>
      <c r="AE328" s="68"/>
      <c r="AF328" s="11"/>
      <c r="AG328" s="68"/>
      <c r="AH328" s="68"/>
      <c r="AI328" s="68"/>
      <c r="AJ328" s="68"/>
      <c r="AK328" s="11"/>
      <c r="AL328" s="68"/>
      <c r="AM328" s="68"/>
      <c r="AN328" s="68"/>
      <c r="AO328" s="68"/>
      <c r="AP328" s="11"/>
      <c r="AQ328" s="68"/>
      <c r="AR328" s="68"/>
      <c r="AS328" s="68"/>
      <c r="AT328" s="68"/>
      <c r="AU328" s="11"/>
      <c r="AV328" s="68"/>
      <c r="AW328" s="68"/>
      <c r="AX328" s="68"/>
      <c r="AY328" s="68"/>
      <c r="AZ328" s="11"/>
      <c r="BA328" s="68"/>
      <c r="BB328" s="68"/>
      <c r="BC328" s="68"/>
      <c r="BD328" s="68"/>
      <c r="BE328" s="11"/>
      <c r="BF328" s="68"/>
      <c r="BG328" s="68"/>
      <c r="BH328" s="68"/>
      <c r="BI328" s="68"/>
      <c r="BJ328" s="11"/>
      <c r="BK328" s="68"/>
      <c r="BL328" s="68"/>
      <c r="BM328" s="68"/>
      <c r="BN328" s="68"/>
      <c r="BO328" s="11"/>
      <c r="BP328" s="68"/>
      <c r="BQ328" s="68"/>
      <c r="BR328" s="68"/>
      <c r="BS328" s="68"/>
      <c r="BT328" s="11"/>
      <c r="BU328" s="68"/>
      <c r="BV328" s="68"/>
      <c r="BW328" s="68"/>
      <c r="BX328" s="68"/>
      <c r="BY328" s="11"/>
      <c r="BZ328" s="68"/>
      <c r="CA328" s="68"/>
      <c r="CB328" s="68"/>
      <c r="CC328" s="68"/>
      <c r="CD328" s="11"/>
      <c r="CE328" s="5"/>
      <c r="CF328" s="5"/>
      <c r="CG328" s="5"/>
      <c r="CH328" s="5"/>
      <c r="CI328" s="5"/>
    </row>
    <row r="329" spans="1:87">
      <c r="A329" s="11"/>
      <c r="B329" s="11" t="s">
        <v>2965</v>
      </c>
      <c r="C329" s="11"/>
      <c r="D329" s="11"/>
      <c r="E329" s="11">
        <f t="shared" ref="E329:G330" si="448">SUM(E221,E275)</f>
        <v>283</v>
      </c>
      <c r="F329" s="11">
        <f t="shared" si="448"/>
        <v>309.81</v>
      </c>
      <c r="G329" s="11">
        <f t="shared" si="448"/>
        <v>385.5</v>
      </c>
      <c r="H329" s="86">
        <f>G329+(L329-G329)/4</f>
        <v>382.67</v>
      </c>
      <c r="I329" s="86">
        <f>H329+(L329-G329)/2</f>
        <v>377.01</v>
      </c>
      <c r="J329" s="86">
        <f>I329+(L329-G329)/2</f>
        <v>371.35</v>
      </c>
      <c r="K329" s="86">
        <f>J329+(L329-G329)/2</f>
        <v>365.69000000000005</v>
      </c>
      <c r="L329" s="11">
        <f>SUM(L221,L275)</f>
        <v>374.18</v>
      </c>
      <c r="M329" s="65">
        <f t="shared" ref="M329:O330" si="449">$Q329*M$172</f>
        <v>399.30682058885833</v>
      </c>
      <c r="N329" s="65">
        <f t="shared" si="449"/>
        <v>372.41050624867614</v>
      </c>
      <c r="O329" s="65">
        <f t="shared" si="449"/>
        <v>390.70000000000005</v>
      </c>
      <c r="P329" s="65">
        <f>Q329*4-SUM(M329:O329)</f>
        <v>400.38267316246561</v>
      </c>
      <c r="Q329" s="11">
        <f>SUM(Q221,Q275)</f>
        <v>390.70000000000005</v>
      </c>
      <c r="R329" s="65">
        <f>V329*R$172</f>
        <v>396.75909335541297</v>
      </c>
      <c r="S329" s="65">
        <f>V329*S$172</f>
        <v>397.66700890084871</v>
      </c>
      <c r="T329" s="65">
        <f>V329*T$172</f>
        <v>397.08924446284414</v>
      </c>
      <c r="U329" s="65">
        <f>V329*4-SUM(R329:T329)</f>
        <v>403.44465328089427</v>
      </c>
      <c r="V329" s="11">
        <f>SUM(V221,V275)</f>
        <v>398.74</v>
      </c>
      <c r="W329" s="65">
        <f>AA329*W$172</f>
        <v>478.93086339683833</v>
      </c>
      <c r="X329" s="65">
        <f>AA329*X$172</f>
        <v>487.53846574787195</v>
      </c>
      <c r="Y329" s="65">
        <f>AA329*Y$172</f>
        <v>457.17007093635999</v>
      </c>
      <c r="Z329" s="65">
        <f>AA329*4-SUM(W329:Y329)</f>
        <v>485.12059991892988</v>
      </c>
      <c r="AA329" s="11">
        <f>SUM(AA221,AA275)</f>
        <v>477.19000000000005</v>
      </c>
      <c r="AB329" s="65">
        <f>AF329*AB$172</f>
        <v>505.17159724950881</v>
      </c>
      <c r="AC329" s="65">
        <f>AF329*AC$172</f>
        <v>499.13763064833006</v>
      </c>
      <c r="AD329" s="65">
        <f>AF329*AD$172</f>
        <v>516.34927308447936</v>
      </c>
      <c r="AE329" s="65">
        <f>AF329*4-SUM(AB329:AD329)</f>
        <v>493.30149901768186</v>
      </c>
      <c r="AF329" s="11">
        <f>SUM(AF221,AF275)</f>
        <v>503.49</v>
      </c>
      <c r="AG329" s="65">
        <f>AK329*$CF$172</f>
        <v>468.39846401846495</v>
      </c>
      <c r="AH329" s="65">
        <f>AK329*$CG$172</f>
        <v>456.03380951558643</v>
      </c>
      <c r="AI329" s="65">
        <f>AK329*$CH$172</f>
        <v>459.2558911119699</v>
      </c>
      <c r="AJ329" s="65">
        <f>AK329*4-SUM(AG329:AI329)</f>
        <v>464.79183535397874</v>
      </c>
      <c r="AK329" s="11">
        <f>SUM(AK221,AK275)</f>
        <v>462.12</v>
      </c>
      <c r="AL329" s="65">
        <f>AP329*$CF$172</f>
        <v>445.18733957887599</v>
      </c>
      <c r="AM329" s="65">
        <f>AP329*$CG$172</f>
        <v>433.43540598856549</v>
      </c>
      <c r="AN329" s="65">
        <f>AP329*$CH$172</f>
        <v>436.49781981779506</v>
      </c>
      <c r="AO329" s="65">
        <f>AP329*4-SUM(AL329:AN329)</f>
        <v>441.75943461476345</v>
      </c>
      <c r="AP329" s="11">
        <f>SUM(AP221,AP275)</f>
        <v>439.22</v>
      </c>
      <c r="AQ329" s="65">
        <f>AU329*$CF$172</f>
        <v>435.65962911022376</v>
      </c>
      <c r="AR329" s="65">
        <f>AU329*$CG$172</f>
        <v>424.15920541415511</v>
      </c>
      <c r="AS329" s="65">
        <f>AU329*$CH$172</f>
        <v>427.15607876254415</v>
      </c>
      <c r="AT329" s="65">
        <f>AU329*4-SUM(AQ329:AS329)</f>
        <v>432.30508671307689</v>
      </c>
      <c r="AU329" s="11">
        <f>SUM(AU221,AU275)</f>
        <v>429.82</v>
      </c>
      <c r="AV329" s="65">
        <f>AZ329*$CF$172</f>
        <v>458.07002043595787</v>
      </c>
      <c r="AW329" s="65">
        <f>AZ329*$CG$172</f>
        <v>445.97801336098632</v>
      </c>
      <c r="AX329" s="65">
        <f>AZ329*$CH$172</f>
        <v>449.12904628718206</v>
      </c>
      <c r="AY329" s="65">
        <f>AZ329*4-SUM(AV329:AX329)</f>
        <v>454.54291991587365</v>
      </c>
      <c r="AZ329" s="11">
        <f>SUM(AZ221,AZ275)</f>
        <v>451.93</v>
      </c>
      <c r="BA329" s="65">
        <f>BE329*$CF$172</f>
        <v>458.61735699479533</v>
      </c>
      <c r="BB329" s="65">
        <f>BE329*$CG$172</f>
        <v>446.51090147909071</v>
      </c>
      <c r="BC329" s="65">
        <f>BE329*$CH$172</f>
        <v>449.66569949673897</v>
      </c>
      <c r="BD329" s="65">
        <f>BE329*4-SUM(BA329:BC329)</f>
        <v>455.08604202937499</v>
      </c>
      <c r="BE329" s="11">
        <f>SUM(BE221,BE275)</f>
        <v>452.46999999999997</v>
      </c>
      <c r="BF329" s="65">
        <f>BJ329*$CF$172</f>
        <v>465.09417294103872</v>
      </c>
      <c r="BG329" s="65">
        <f>BJ329*$CG$172</f>
        <v>452.81674420999309</v>
      </c>
      <c r="BH329" s="65">
        <f>BJ329*$CH$172</f>
        <v>456.01609580982978</v>
      </c>
      <c r="BI329" s="65">
        <f>BJ329*4-SUM(BF329:BH329)</f>
        <v>461.51298703913858</v>
      </c>
      <c r="BJ329" s="11">
        <f>SUM(BJ221,BJ275)</f>
        <v>458.86</v>
      </c>
      <c r="BK329" s="65">
        <f>BO329*$CF$172</f>
        <v>445.79549131091767</v>
      </c>
      <c r="BL329" s="65">
        <f>BO329*$CG$172</f>
        <v>434.02750389757045</v>
      </c>
      <c r="BM329" s="65">
        <f>BO329*$CH$172</f>
        <v>437.09410116174723</v>
      </c>
      <c r="BN329" s="65">
        <f>BO329*4-SUM(BK329:BM329)</f>
        <v>442.36290362976479</v>
      </c>
      <c r="BO329" s="11">
        <f>SUM(BO221,BO275)</f>
        <v>439.82000000000005</v>
      </c>
      <c r="BP329" s="65">
        <f>BT329*$CF$172</f>
        <v>445.89684993292457</v>
      </c>
      <c r="BQ329" s="65">
        <f>BT329*$CG$172</f>
        <v>434.12618688240457</v>
      </c>
      <c r="BR329" s="65">
        <f>BT329*$CH$172</f>
        <v>437.19348138573923</v>
      </c>
      <c r="BS329" s="65">
        <f>BT329*4-SUM(BP329:BR329)</f>
        <v>442.46348179893175</v>
      </c>
      <c r="BT329" s="11">
        <f>SUM(BT221,BT275)</f>
        <v>439.92</v>
      </c>
      <c r="BU329" s="65">
        <f>BY329*$CF$172</f>
        <v>445.89684993292457</v>
      </c>
      <c r="BV329" s="65">
        <f>BY329*$CG$172</f>
        <v>434.12618688240457</v>
      </c>
      <c r="BW329" s="65">
        <f>BY329*$CH$172</f>
        <v>437.19348138573923</v>
      </c>
      <c r="BX329" s="65">
        <f>BY329*4-SUM(BU329:BW329)</f>
        <v>442.46348179893175</v>
      </c>
      <c r="BY329" s="11">
        <f>SUM(BY221,BY275)</f>
        <v>439.92</v>
      </c>
      <c r="BZ329" s="65">
        <f>CD329*$CF$172</f>
        <v>426.27382071238122</v>
      </c>
      <c r="CA329" s="65">
        <f>CD329*$CG$172</f>
        <v>415.0211610185126</v>
      </c>
      <c r="CB329" s="65">
        <f>CD329*$CH$172</f>
        <v>417.95347002088215</v>
      </c>
      <c r="CC329" s="65">
        <f>CD329*4-SUM(BZ329:CB329)</f>
        <v>422.99154824822403</v>
      </c>
      <c r="CD329" s="11">
        <f>SUM(CD221,CD275)</f>
        <v>420.56</v>
      </c>
      <c r="CE329" s="5"/>
      <c r="CF329" s="5"/>
      <c r="CG329" s="5"/>
      <c r="CH329" s="5"/>
      <c r="CI329" s="5"/>
    </row>
    <row r="330" spans="1:87">
      <c r="A330" s="11"/>
      <c r="B330" s="11" t="s">
        <v>3403</v>
      </c>
      <c r="C330" s="11"/>
      <c r="D330" s="11"/>
      <c r="E330" s="11">
        <f t="shared" si="448"/>
        <v>0</v>
      </c>
      <c r="F330" s="11">
        <f t="shared" si="448"/>
        <v>0</v>
      </c>
      <c r="G330" s="11">
        <f t="shared" si="448"/>
        <v>0</v>
      </c>
      <c r="H330" s="86">
        <f>G330+(L330-G330)/4</f>
        <v>0</v>
      </c>
      <c r="I330" s="86">
        <f>H330+(L330-G330)/2</f>
        <v>0</v>
      </c>
      <c r="J330" s="86">
        <f>I330+(L330-G330)/2</f>
        <v>0</v>
      </c>
      <c r="K330" s="86">
        <f>J330+(L330-G330)/2</f>
        <v>0</v>
      </c>
      <c r="L330" s="11">
        <f>SUM(L222,L276)</f>
        <v>0</v>
      </c>
      <c r="M330" s="65">
        <f t="shared" si="449"/>
        <v>0</v>
      </c>
      <c r="N330" s="65">
        <f t="shared" si="449"/>
        <v>0</v>
      </c>
      <c r="O330" s="65">
        <f t="shared" si="449"/>
        <v>0</v>
      </c>
      <c r="P330" s="65">
        <f>Q330*4-SUM(M330:O330)</f>
        <v>0</v>
      </c>
      <c r="Q330" s="11">
        <f>SUM(Q222,Q276)</f>
        <v>0</v>
      </c>
      <c r="R330" s="65">
        <f>V330*R$172</f>
        <v>0</v>
      </c>
      <c r="S330" s="65">
        <f>V330*S$172</f>
        <v>0</v>
      </c>
      <c r="T330" s="65">
        <f>V330*T$172</f>
        <v>0</v>
      </c>
      <c r="U330" s="65">
        <f>V330*4-SUM(R330:T330)</f>
        <v>0</v>
      </c>
      <c r="V330" s="11">
        <f>SUM(V222,V276)</f>
        <v>0</v>
      </c>
      <c r="W330" s="65">
        <f>AA330*W$172</f>
        <v>35.177867855695176</v>
      </c>
      <c r="X330" s="65">
        <f>AA330*X$172</f>
        <v>35.81010336441021</v>
      </c>
      <c r="Y330" s="65">
        <f>AA330*Y$172</f>
        <v>33.579519659505472</v>
      </c>
      <c r="Z330" s="65">
        <f>AA330*4-SUM(W330:Y330)</f>
        <v>35.63250912038913</v>
      </c>
      <c r="AA330" s="11">
        <f>SUM(AA222,AA276)</f>
        <v>35.049999999999997</v>
      </c>
      <c r="AB330" s="65">
        <f>AF330*AB$172</f>
        <v>348.15893909626715</v>
      </c>
      <c r="AC330" s="65">
        <f>AF330*AC$172</f>
        <v>344.00039292730844</v>
      </c>
      <c r="AD330" s="65">
        <f>AF330*AD$172</f>
        <v>355.86247544204321</v>
      </c>
      <c r="AE330" s="65">
        <f>AF330*4-SUM(AB330:AD330)</f>
        <v>339.97819253438115</v>
      </c>
      <c r="AF330" s="11">
        <f>SUM(AF222,AF276)</f>
        <v>347</v>
      </c>
      <c r="AG330" s="65">
        <f>AK330*$CF$172</f>
        <v>363.44161093027992</v>
      </c>
      <c r="AH330" s="65">
        <f>AK330*$CG$172</f>
        <v>353.84757871982134</v>
      </c>
      <c r="AI330" s="65">
        <f>AK330*$CH$172</f>
        <v>356.34766916822264</v>
      </c>
      <c r="AJ330" s="65">
        <f>AK330*4-SUM(AG330:AI330)</f>
        <v>360.64314118167613</v>
      </c>
      <c r="AK330" s="11">
        <f>SUM(AK222,AK276)</f>
        <v>358.57</v>
      </c>
      <c r="AL330" s="65">
        <f>AP330*$CF$172</f>
        <v>320.97234830937265</v>
      </c>
      <c r="AM330" s="65">
        <f>AP330*$CG$172</f>
        <v>312.49940807431136</v>
      </c>
      <c r="AN330" s="65">
        <f>AP330*$CH$172</f>
        <v>314.70735531556204</v>
      </c>
      <c r="AO330" s="65">
        <f>AP330*4-SUM(AL330:AN330)</f>
        <v>318.50088830075401</v>
      </c>
      <c r="AP330" s="11">
        <f>SUM(AP222,AP276)</f>
        <v>316.67</v>
      </c>
      <c r="AQ330" s="65">
        <f>AU330*$CF$172</f>
        <v>326.66870286616262</v>
      </c>
      <c r="AR330" s="65">
        <f>AU330*$CG$172</f>
        <v>318.04539182199073</v>
      </c>
      <c r="AS330" s="65">
        <f>AU330*$CH$172</f>
        <v>320.29252390391412</v>
      </c>
      <c r="AT330" s="65">
        <f>AU330*4-SUM(AQ330:AS330)</f>
        <v>324.15338140793256</v>
      </c>
      <c r="AU330" s="11">
        <f>SUM(AU222,AU276)</f>
        <v>322.29000000000002</v>
      </c>
      <c r="AV330" s="65">
        <f>AZ330*$CF$172</f>
        <v>304.51170809544584</v>
      </c>
      <c r="AW330" s="65">
        <f>AZ330*$CG$172</f>
        <v>296.47329133724497</v>
      </c>
      <c r="AX330" s="65">
        <f>AZ330*$CH$172</f>
        <v>298.56800693925629</v>
      </c>
      <c r="AY330" s="65">
        <f>AZ330*4-SUM(AV330:AX330)</f>
        <v>302.16699362805298</v>
      </c>
      <c r="AZ330" s="11">
        <f>SUM(AZ222,AZ276)</f>
        <v>300.43</v>
      </c>
      <c r="BA330" s="65">
        <f>BE330*$CF$172</f>
        <v>332.88198639518794</v>
      </c>
      <c r="BB330" s="65">
        <f>BE330*$CG$172</f>
        <v>324.09465879232431</v>
      </c>
      <c r="BC330" s="65">
        <f>BE330*$CH$172</f>
        <v>326.38453163462555</v>
      </c>
      <c r="BD330" s="65">
        <f>BE330*4-SUM(BA330:BC330)</f>
        <v>330.31882317786221</v>
      </c>
      <c r="BE330" s="11">
        <f>SUM(BE222,BE276)</f>
        <v>328.42</v>
      </c>
      <c r="BF330" s="65">
        <f>BJ330*$CF$172</f>
        <v>396.28180446052812</v>
      </c>
      <c r="BG330" s="65">
        <f>BJ330*$CG$172</f>
        <v>385.82086580608683</v>
      </c>
      <c r="BH330" s="65">
        <f>BJ330*$CH$172</f>
        <v>388.54686174164044</v>
      </c>
      <c r="BI330" s="65">
        <f>BJ330*4-SUM(BF330:BH330)</f>
        <v>393.23046799174472</v>
      </c>
      <c r="BJ330" s="11">
        <f>SUM(BJ222,BJ276)</f>
        <v>390.97</v>
      </c>
      <c r="BK330" s="65">
        <f>BO330*$CF$172</f>
        <v>358.60680466054896</v>
      </c>
      <c r="BL330" s="65">
        <f>BO330*$CG$172</f>
        <v>349.14040034323227</v>
      </c>
      <c r="BM330" s="65">
        <f>BO330*$CH$172</f>
        <v>351.60723248380282</v>
      </c>
      <c r="BN330" s="65">
        <f>BO330*4-SUM(BK330:BM330)</f>
        <v>355.84556251241588</v>
      </c>
      <c r="BO330" s="11">
        <f>SUM(BO222,BO276)</f>
        <v>353.8</v>
      </c>
      <c r="BP330" s="65">
        <f>BT330*$CF$172</f>
        <v>382.85178704460873</v>
      </c>
      <c r="BQ330" s="65">
        <f>BT330*$CG$172</f>
        <v>372.74537031556162</v>
      </c>
      <c r="BR330" s="65">
        <f>BT330*$CH$172</f>
        <v>375.37898206269648</v>
      </c>
      <c r="BS330" s="65">
        <f>BT330*4-SUM(BP330:BR330)</f>
        <v>379.9038605771334</v>
      </c>
      <c r="BT330" s="11">
        <f>SUM(BT222,BT276)</f>
        <v>377.72</v>
      </c>
      <c r="BU330" s="65">
        <f>BY330*$CF$172</f>
        <v>382.54771117858792</v>
      </c>
      <c r="BV330" s="65">
        <f>BY330*$CG$172</f>
        <v>372.44932136105911</v>
      </c>
      <c r="BW330" s="65">
        <f>BY330*$CH$172</f>
        <v>375.08084139072037</v>
      </c>
      <c r="BX330" s="65">
        <f>BY330*4-SUM(BU330:BW330)</f>
        <v>379.60212606963273</v>
      </c>
      <c r="BY330" s="11">
        <f>SUM(BY222,BY276)</f>
        <v>377.42</v>
      </c>
      <c r="BZ330" s="65">
        <f>CD330*$CF$172</f>
        <v>375.69586833091887</v>
      </c>
      <c r="CA330" s="65">
        <f>CD330*$CG$172</f>
        <v>365.77835158627039</v>
      </c>
      <c r="CB330" s="65">
        <f>CD330*$CH$172</f>
        <v>368.36273824885916</v>
      </c>
      <c r="CC330" s="65">
        <f>CD330*4-SUM(BZ330:CB330)</f>
        <v>372.80304183395174</v>
      </c>
      <c r="CD330" s="11">
        <f>SUM(CD222,CD276)</f>
        <v>370.66</v>
      </c>
      <c r="CE330" s="5"/>
      <c r="CF330" s="5"/>
      <c r="CG330" s="5"/>
      <c r="CH330" s="5"/>
      <c r="CI330" s="5"/>
    </row>
    <row r="331" spans="1:87">
      <c r="A331" s="39" t="s">
        <v>1935</v>
      </c>
      <c r="B331" s="39"/>
      <c r="C331" s="39">
        <f t="shared" ref="C331:AH331" si="450">SUM(C329:C330)</f>
        <v>0</v>
      </c>
      <c r="D331" s="39">
        <f t="shared" si="450"/>
        <v>0</v>
      </c>
      <c r="E331" s="39">
        <f t="shared" si="450"/>
        <v>283</v>
      </c>
      <c r="F331" s="39">
        <f t="shared" si="450"/>
        <v>309.81</v>
      </c>
      <c r="G331" s="39">
        <f t="shared" si="450"/>
        <v>385.5</v>
      </c>
      <c r="H331" s="80">
        <f t="shared" si="450"/>
        <v>382.67</v>
      </c>
      <c r="I331" s="80">
        <f t="shared" si="450"/>
        <v>377.01</v>
      </c>
      <c r="J331" s="80">
        <f t="shared" si="450"/>
        <v>371.35</v>
      </c>
      <c r="K331" s="80">
        <f t="shared" si="450"/>
        <v>365.69000000000005</v>
      </c>
      <c r="L331" s="39">
        <f t="shared" si="450"/>
        <v>374.18</v>
      </c>
      <c r="M331" s="80">
        <f t="shared" si="450"/>
        <v>399.30682058885833</v>
      </c>
      <c r="N331" s="80">
        <f t="shared" si="450"/>
        <v>372.41050624867614</v>
      </c>
      <c r="O331" s="80">
        <f t="shared" si="450"/>
        <v>390.70000000000005</v>
      </c>
      <c r="P331" s="80">
        <f t="shared" si="450"/>
        <v>400.38267316246561</v>
      </c>
      <c r="Q331" s="39">
        <f t="shared" si="450"/>
        <v>390.70000000000005</v>
      </c>
      <c r="R331" s="80">
        <f t="shared" si="450"/>
        <v>396.75909335541297</v>
      </c>
      <c r="S331" s="80">
        <f t="shared" si="450"/>
        <v>397.66700890084871</v>
      </c>
      <c r="T331" s="80">
        <f t="shared" si="450"/>
        <v>397.08924446284414</v>
      </c>
      <c r="U331" s="80">
        <f t="shared" si="450"/>
        <v>403.44465328089427</v>
      </c>
      <c r="V331" s="39">
        <f t="shared" si="450"/>
        <v>398.74</v>
      </c>
      <c r="W331" s="80">
        <f t="shared" si="450"/>
        <v>514.10873125253352</v>
      </c>
      <c r="X331" s="80">
        <f t="shared" si="450"/>
        <v>523.34856911228212</v>
      </c>
      <c r="Y331" s="80">
        <f t="shared" si="450"/>
        <v>490.74959059586547</v>
      </c>
      <c r="Z331" s="80">
        <f t="shared" si="450"/>
        <v>520.75310903931904</v>
      </c>
      <c r="AA331" s="39">
        <f t="shared" si="450"/>
        <v>512.24</v>
      </c>
      <c r="AB331" s="80">
        <f t="shared" si="450"/>
        <v>853.33053634577595</v>
      </c>
      <c r="AC331" s="80">
        <f t="shared" si="450"/>
        <v>843.1380235756385</v>
      </c>
      <c r="AD331" s="80">
        <f t="shared" si="450"/>
        <v>872.21174852652257</v>
      </c>
      <c r="AE331" s="80">
        <f t="shared" si="450"/>
        <v>833.27969155206301</v>
      </c>
      <c r="AF331" s="39">
        <f t="shared" si="450"/>
        <v>850.49</v>
      </c>
      <c r="AG331" s="80">
        <f t="shared" si="450"/>
        <v>831.84007494874481</v>
      </c>
      <c r="AH331" s="80">
        <f t="shared" si="450"/>
        <v>809.88138823540771</v>
      </c>
      <c r="AI331" s="80">
        <f t="shared" ref="AI331:BN331" si="451">SUM(AI329:AI330)</f>
        <v>815.6035602801926</v>
      </c>
      <c r="AJ331" s="80">
        <f t="shared" si="451"/>
        <v>825.43497653565487</v>
      </c>
      <c r="AK331" s="39">
        <f t="shared" si="451"/>
        <v>820.69</v>
      </c>
      <c r="AL331" s="80">
        <f t="shared" si="451"/>
        <v>766.15968788824864</v>
      </c>
      <c r="AM331" s="80">
        <f t="shared" si="451"/>
        <v>745.93481406287685</v>
      </c>
      <c r="AN331" s="80">
        <f t="shared" si="451"/>
        <v>751.2051751333571</v>
      </c>
      <c r="AO331" s="80">
        <f t="shared" si="451"/>
        <v>760.26032291551746</v>
      </c>
      <c r="AP331" s="39">
        <f t="shared" si="451"/>
        <v>755.8900000000001</v>
      </c>
      <c r="AQ331" s="80">
        <f t="shared" si="451"/>
        <v>762.32833197638638</v>
      </c>
      <c r="AR331" s="80">
        <f t="shared" si="451"/>
        <v>742.2045972361459</v>
      </c>
      <c r="AS331" s="80">
        <f t="shared" si="451"/>
        <v>747.44860266645833</v>
      </c>
      <c r="AT331" s="80">
        <f t="shared" si="451"/>
        <v>756.45846812100945</v>
      </c>
      <c r="AU331" s="39">
        <f t="shared" si="451"/>
        <v>752.11</v>
      </c>
      <c r="AV331" s="80">
        <f t="shared" si="451"/>
        <v>762.58172853140377</v>
      </c>
      <c r="AW331" s="80">
        <f t="shared" si="451"/>
        <v>742.4513046982313</v>
      </c>
      <c r="AX331" s="80">
        <f t="shared" si="451"/>
        <v>747.69705322643836</v>
      </c>
      <c r="AY331" s="80">
        <f t="shared" si="451"/>
        <v>756.70991354392663</v>
      </c>
      <c r="AZ331" s="39">
        <f>SUM(AZ329:AZ330)</f>
        <v>752.36</v>
      </c>
      <c r="BA331" s="80">
        <f t="shared" si="451"/>
        <v>791.49934338998332</v>
      </c>
      <c r="BB331" s="80">
        <f t="shared" si="451"/>
        <v>770.60556027141502</v>
      </c>
      <c r="BC331" s="80">
        <f t="shared" si="451"/>
        <v>776.05023113136451</v>
      </c>
      <c r="BD331" s="80">
        <f t="shared" si="451"/>
        <v>785.40486520723721</v>
      </c>
      <c r="BE331" s="39">
        <f t="shared" si="451"/>
        <v>780.89</v>
      </c>
      <c r="BF331" s="80">
        <f t="shared" si="451"/>
        <v>861.37597740156684</v>
      </c>
      <c r="BG331" s="80">
        <f t="shared" si="451"/>
        <v>838.63761001607986</v>
      </c>
      <c r="BH331" s="80">
        <f t="shared" si="451"/>
        <v>844.56295755147016</v>
      </c>
      <c r="BI331" s="80">
        <f t="shared" si="451"/>
        <v>854.7434550308833</v>
      </c>
      <c r="BJ331" s="39">
        <f t="shared" si="451"/>
        <v>849.83</v>
      </c>
      <c r="BK331" s="80">
        <f t="shared" si="451"/>
        <v>804.40229597146663</v>
      </c>
      <c r="BL331" s="80">
        <f t="shared" si="451"/>
        <v>783.16790424080273</v>
      </c>
      <c r="BM331" s="80">
        <f t="shared" si="451"/>
        <v>788.70133364554999</v>
      </c>
      <c r="BN331" s="80">
        <f t="shared" si="451"/>
        <v>798.20846614218067</v>
      </c>
      <c r="BO331" s="39">
        <f t="shared" ref="BO331:CD331" si="452">SUM(BO329:BO330)</f>
        <v>793.62000000000012</v>
      </c>
      <c r="BP331" s="80">
        <f t="shared" si="452"/>
        <v>828.74863697753335</v>
      </c>
      <c r="BQ331" s="80">
        <f t="shared" si="452"/>
        <v>806.87155719796624</v>
      </c>
      <c r="BR331" s="80">
        <f t="shared" si="452"/>
        <v>812.57246344843566</v>
      </c>
      <c r="BS331" s="80">
        <f t="shared" si="452"/>
        <v>822.36734237606515</v>
      </c>
      <c r="BT331" s="39">
        <f t="shared" si="452"/>
        <v>817.6400000000001</v>
      </c>
      <c r="BU331" s="80">
        <f t="shared" si="452"/>
        <v>828.44456111151248</v>
      </c>
      <c r="BV331" s="80">
        <f t="shared" si="452"/>
        <v>806.57550824346367</v>
      </c>
      <c r="BW331" s="80">
        <f t="shared" si="452"/>
        <v>812.2743227764596</v>
      </c>
      <c r="BX331" s="80">
        <f t="shared" si="452"/>
        <v>822.06560786856448</v>
      </c>
      <c r="BY331" s="39">
        <f t="shared" si="452"/>
        <v>817.34</v>
      </c>
      <c r="BZ331" s="80">
        <f t="shared" si="452"/>
        <v>801.96968904330015</v>
      </c>
      <c r="CA331" s="80">
        <f t="shared" si="452"/>
        <v>780.79951260478299</v>
      </c>
      <c r="CB331" s="80">
        <f t="shared" si="452"/>
        <v>786.31620826974131</v>
      </c>
      <c r="CC331" s="80">
        <f t="shared" si="452"/>
        <v>795.79459008217577</v>
      </c>
      <c r="CD331" s="39">
        <f t="shared" si="452"/>
        <v>791.22</v>
      </c>
      <c r="CE331" s="5"/>
      <c r="CF331" s="5"/>
      <c r="CG331" s="5"/>
      <c r="CH331" s="5"/>
      <c r="CI331" s="5"/>
    </row>
    <row r="332" spans="1:87">
      <c r="A332" s="39"/>
      <c r="B332" s="39"/>
      <c r="C332" s="39"/>
      <c r="D332" s="39"/>
      <c r="E332" s="39"/>
      <c r="F332" s="39"/>
      <c r="G332" s="39"/>
      <c r="H332" s="80"/>
      <c r="I332" s="80"/>
      <c r="J332" s="80"/>
      <c r="K332" s="80"/>
      <c r="L332" s="39"/>
      <c r="M332" s="80"/>
      <c r="N332" s="80"/>
      <c r="O332" s="80"/>
      <c r="P332" s="80"/>
      <c r="Q332" s="39"/>
      <c r="R332" s="80"/>
      <c r="S332" s="80"/>
      <c r="T332" s="80"/>
      <c r="U332" s="80"/>
      <c r="V332" s="39"/>
      <c r="W332" s="80"/>
      <c r="X332" s="80"/>
      <c r="Y332" s="80"/>
      <c r="Z332" s="80"/>
      <c r="AA332" s="39"/>
      <c r="AB332" s="80"/>
      <c r="AC332" s="80"/>
      <c r="AD332" s="80"/>
      <c r="AE332" s="80"/>
      <c r="AF332" s="39"/>
      <c r="AG332" s="80"/>
      <c r="AH332" s="80"/>
      <c r="AI332" s="80"/>
      <c r="AJ332" s="80"/>
      <c r="AK332" s="39"/>
      <c r="AL332" s="383"/>
      <c r="AM332" s="383"/>
      <c r="AN332" s="383"/>
      <c r="AO332" s="383"/>
      <c r="AP332" s="383"/>
      <c r="AQ332" s="383"/>
      <c r="AR332" s="383"/>
      <c r="AS332" s="383"/>
      <c r="AT332" s="383"/>
      <c r="AU332" s="383"/>
      <c r="AV332" s="383"/>
      <c r="AW332" s="383"/>
      <c r="AX332" s="383"/>
      <c r="AY332" s="383"/>
      <c r="AZ332" s="383"/>
      <c r="BA332" s="383"/>
      <c r="BB332" s="383"/>
      <c r="BC332" s="383"/>
      <c r="BD332" s="383"/>
      <c r="BE332" s="383"/>
      <c r="BF332" s="383"/>
      <c r="BG332" s="383"/>
      <c r="BH332" s="383"/>
      <c r="BI332" s="383"/>
      <c r="BJ332" s="383"/>
      <c r="BK332" s="383"/>
      <c r="BL332" s="383"/>
      <c r="BM332" s="383"/>
      <c r="BN332" s="383"/>
      <c r="BO332" s="383"/>
      <c r="BP332" s="383"/>
      <c r="BQ332" s="383"/>
      <c r="BR332" s="383"/>
      <c r="BS332" s="383"/>
      <c r="BT332" s="383"/>
      <c r="BU332" s="383"/>
      <c r="BV332" s="383"/>
      <c r="BW332" s="383"/>
      <c r="BX332" s="383"/>
      <c r="BY332" s="383"/>
      <c r="BZ332" s="383"/>
      <c r="CA332" s="383"/>
      <c r="CB332" s="383"/>
      <c r="CC332" s="383"/>
      <c r="CD332" s="383"/>
      <c r="CE332" s="5"/>
      <c r="CF332" s="5"/>
      <c r="CG332" s="5"/>
      <c r="CH332" s="5"/>
      <c r="CI332" s="5"/>
    </row>
    <row r="333" spans="1:87">
      <c r="A333" s="46" t="s">
        <v>2096</v>
      </c>
      <c r="B333" s="46"/>
      <c r="C333" s="46">
        <f t="shared" ref="C333:AH333" si="453">C291+C296+C305+C311+C326+C331</f>
        <v>0</v>
      </c>
      <c r="D333" s="46">
        <f t="shared" si="453"/>
        <v>0</v>
      </c>
      <c r="E333" s="46">
        <f t="shared" si="453"/>
        <v>7998.3599999999988</v>
      </c>
      <c r="F333" s="46">
        <f t="shared" si="453"/>
        <v>7297.5680000000002</v>
      </c>
      <c r="G333" s="46">
        <f t="shared" si="453"/>
        <v>7207.0020000000004</v>
      </c>
      <c r="H333" s="81">
        <f t="shared" si="453"/>
        <v>7166.4234999999999</v>
      </c>
      <c r="I333" s="81">
        <f t="shared" si="453"/>
        <v>7085.2665000000006</v>
      </c>
      <c r="J333" s="81">
        <f t="shared" si="453"/>
        <v>7004.1095000000005</v>
      </c>
      <c r="K333" s="81">
        <f t="shared" si="453"/>
        <v>6922.9525000000012</v>
      </c>
      <c r="L333" s="46">
        <f t="shared" si="453"/>
        <v>7044.6880000000001</v>
      </c>
      <c r="M333" s="81">
        <f t="shared" si="453"/>
        <v>7225.0407357588701</v>
      </c>
      <c r="N333" s="81">
        <f t="shared" si="453"/>
        <v>6747.0500231704518</v>
      </c>
      <c r="O333" s="81">
        <f t="shared" si="453"/>
        <v>6791.5482565877792</v>
      </c>
      <c r="P333" s="81">
        <f t="shared" si="453"/>
        <v>7179.8249844828988</v>
      </c>
      <c r="Q333" s="46">
        <f t="shared" si="453"/>
        <v>6985.866</v>
      </c>
      <c r="R333" s="81">
        <f t="shared" si="453"/>
        <v>7228.605264311097</v>
      </c>
      <c r="S333" s="81">
        <f t="shared" si="453"/>
        <v>6956.1689564175995</v>
      </c>
      <c r="T333" s="81">
        <f t="shared" si="453"/>
        <v>6669.6872694456442</v>
      </c>
      <c r="U333" s="81">
        <f t="shared" si="453"/>
        <v>7245.8345098256605</v>
      </c>
      <c r="V333" s="46">
        <f t="shared" si="453"/>
        <v>7025.0739999999987</v>
      </c>
      <c r="W333" s="81">
        <f t="shared" si="453"/>
        <v>7260.9913297867615</v>
      </c>
      <c r="X333" s="81">
        <f t="shared" si="453"/>
        <v>7142.4688399796805</v>
      </c>
      <c r="Y333" s="81">
        <f t="shared" si="453"/>
        <v>6643.6874362746385</v>
      </c>
      <c r="Z333" s="81">
        <f t="shared" si="453"/>
        <v>7029.14039395892</v>
      </c>
      <c r="AA333" s="46">
        <f t="shared" si="453"/>
        <v>7019.0719999999992</v>
      </c>
      <c r="AB333" s="81">
        <f t="shared" si="453"/>
        <v>7294.8925548699472</v>
      </c>
      <c r="AC333" s="81">
        <f t="shared" si="453"/>
        <v>7207.6455943668625</v>
      </c>
      <c r="AD333" s="81">
        <f t="shared" si="453"/>
        <v>7154.6930636695706</v>
      </c>
      <c r="AE333" s="81">
        <f t="shared" si="453"/>
        <v>6819.7047870936185</v>
      </c>
      <c r="AF333" s="46">
        <f t="shared" si="453"/>
        <v>7119.2339999999995</v>
      </c>
      <c r="AG333" s="81">
        <f t="shared" si="453"/>
        <v>6405.700878305257</v>
      </c>
      <c r="AH333" s="81">
        <f t="shared" si="453"/>
        <v>6235.5555330317238</v>
      </c>
      <c r="AI333" s="81">
        <f t="shared" ref="AI333:BN333" si="454">AI291+AI296+AI305+AI311+AI326+AI331</f>
        <v>6130.3922883142714</v>
      </c>
      <c r="AJ333" s="81">
        <f t="shared" si="454"/>
        <v>6258.6073003487463</v>
      </c>
      <c r="AK333" s="46">
        <f t="shared" si="454"/>
        <v>6257.5640000000003</v>
      </c>
      <c r="AL333" s="81">
        <f t="shared" si="454"/>
        <v>5959.9518900078892</v>
      </c>
      <c r="AM333" s="81">
        <f t="shared" si="454"/>
        <v>5817.8641493598843</v>
      </c>
      <c r="AN333" s="81">
        <f t="shared" si="454"/>
        <v>5775.5293165029188</v>
      </c>
      <c r="AO333" s="81">
        <f t="shared" si="454"/>
        <v>5855.6786441293098</v>
      </c>
      <c r="AP333" s="46">
        <f t="shared" si="454"/>
        <v>5852.2560000000003</v>
      </c>
      <c r="AQ333" s="81">
        <f t="shared" si="454"/>
        <v>6414.7696267561823</v>
      </c>
      <c r="AR333" s="81">
        <f t="shared" si="454"/>
        <v>6225.1150491366925</v>
      </c>
      <c r="AS333" s="81">
        <f t="shared" si="454"/>
        <v>6152.3978052812126</v>
      </c>
      <c r="AT333" s="81">
        <f t="shared" si="454"/>
        <v>6299.8311188259122</v>
      </c>
      <c r="AU333" s="46">
        <f t="shared" si="454"/>
        <v>6273.0283999999992</v>
      </c>
      <c r="AV333" s="81">
        <f t="shared" si="454"/>
        <v>6754.9841231445807</v>
      </c>
      <c r="AW333" s="81">
        <f t="shared" si="454"/>
        <v>6528.8608305555299</v>
      </c>
      <c r="AX333" s="81">
        <f t="shared" si="454"/>
        <v>6444.5019110741105</v>
      </c>
      <c r="AY333" s="81">
        <f t="shared" si="454"/>
        <v>6643.008725225779</v>
      </c>
      <c r="AZ333" s="46">
        <f>AZ291+AZ296+AZ305+AZ311+AZ326+AZ331</f>
        <v>6592.8388974999998</v>
      </c>
      <c r="BA333" s="81">
        <f t="shared" si="454"/>
        <v>6489.9765563022129</v>
      </c>
      <c r="BB333" s="81">
        <f t="shared" si="454"/>
        <v>6277.3952155050792</v>
      </c>
      <c r="BC333" s="81">
        <f t="shared" si="454"/>
        <v>6222.0136157890965</v>
      </c>
      <c r="BD333" s="81">
        <f t="shared" si="454"/>
        <v>6406.9766124036114</v>
      </c>
      <c r="BE333" s="46">
        <f t="shared" si="454"/>
        <v>6349.0904999999993</v>
      </c>
      <c r="BF333" s="81">
        <f t="shared" si="454"/>
        <v>6370.1470001532198</v>
      </c>
      <c r="BG333" s="81">
        <f t="shared" si="454"/>
        <v>6138.8982265547056</v>
      </c>
      <c r="BH333" s="81">
        <f t="shared" si="454"/>
        <v>6044.0584597856678</v>
      </c>
      <c r="BI333" s="81">
        <f t="shared" si="454"/>
        <v>6258.5251135064082</v>
      </c>
      <c r="BJ333" s="46">
        <f t="shared" si="454"/>
        <v>6202.9071999999996</v>
      </c>
      <c r="BK333" s="81">
        <f t="shared" si="454"/>
        <v>6862.0859774404926</v>
      </c>
      <c r="BL333" s="81">
        <f t="shared" si="454"/>
        <v>6614.1100630551082</v>
      </c>
      <c r="BM333" s="81">
        <f t="shared" si="454"/>
        <v>6512.667630863175</v>
      </c>
      <c r="BN333" s="81">
        <f t="shared" si="454"/>
        <v>6738.3733286412253</v>
      </c>
      <c r="BO333" s="46">
        <f t="shared" ref="BO333:CD333" si="455">BO291+BO296+BO305+BO311+BO326+BO331</f>
        <v>6681.8092499999993</v>
      </c>
      <c r="BP333" s="81">
        <f t="shared" si="455"/>
        <v>7902.9476551191965</v>
      </c>
      <c r="BQ333" s="81">
        <f t="shared" si="455"/>
        <v>7621.967866332765</v>
      </c>
      <c r="BR333" s="81">
        <f t="shared" si="455"/>
        <v>7532.0040851860658</v>
      </c>
      <c r="BS333" s="81">
        <f t="shared" si="455"/>
        <v>7780.1301933619743</v>
      </c>
      <c r="BT333" s="46">
        <f t="shared" si="455"/>
        <v>7709.2624500000011</v>
      </c>
      <c r="BU333" s="81">
        <f t="shared" si="455"/>
        <v>8860.3158165478053</v>
      </c>
      <c r="BV333" s="81">
        <f t="shared" si="455"/>
        <v>8543.9160625171553</v>
      </c>
      <c r="BW333" s="81">
        <f t="shared" si="455"/>
        <v>8443.2090926916026</v>
      </c>
      <c r="BX333" s="81">
        <f t="shared" si="455"/>
        <v>8722.7839282434434</v>
      </c>
      <c r="BY333" s="46">
        <f t="shared" si="455"/>
        <v>8642.5562250000003</v>
      </c>
      <c r="BZ333" s="81">
        <f t="shared" si="455"/>
        <v>9626.8893935293236</v>
      </c>
      <c r="CA333" s="81">
        <f t="shared" si="455"/>
        <v>9272.3329457551972</v>
      </c>
      <c r="CB333" s="81">
        <f t="shared" si="455"/>
        <v>9143.6961969767963</v>
      </c>
      <c r="CC333" s="81">
        <f t="shared" si="455"/>
        <v>9463.0996637386834</v>
      </c>
      <c r="CD333" s="46">
        <f t="shared" si="455"/>
        <v>9376.5045499999997</v>
      </c>
      <c r="CE333" s="5"/>
      <c r="CF333" s="5"/>
      <c r="CG333" s="5"/>
      <c r="CH333" s="5"/>
      <c r="CI333" s="5"/>
    </row>
    <row r="334" spans="1:87">
      <c r="A334" s="5"/>
      <c r="B334" s="5"/>
      <c r="C334" s="5"/>
      <c r="D334" s="5"/>
      <c r="E334" s="5">
        <f>E333-'Woodmac profile - Gas'!K483</f>
        <v>0</v>
      </c>
      <c r="F334" s="5">
        <f>F333-'Woodmac profile - Gas'!L483</f>
        <v>0</v>
      </c>
      <c r="G334" s="5">
        <f>G333-'Woodmac profile - Gas'!M483</f>
        <v>0</v>
      </c>
      <c r="H334" s="5"/>
      <c r="I334" s="5"/>
      <c r="J334" s="5"/>
      <c r="K334" s="5"/>
      <c r="L334" s="5">
        <f>L333-'Woodmac profile - Gas'!N483</f>
        <v>0</v>
      </c>
      <c r="M334" s="5"/>
      <c r="N334" s="5"/>
      <c r="O334" s="5"/>
      <c r="P334" s="5"/>
      <c r="Q334" s="5">
        <f>Q333-'Woodmac profile - Gas'!O483</f>
        <v>0</v>
      </c>
      <c r="R334" s="5"/>
      <c r="S334" s="5"/>
      <c r="T334" s="5"/>
      <c r="U334" s="5"/>
      <c r="V334" s="5">
        <f>V333-'Woodmac profile - Gas'!P483</f>
        <v>0</v>
      </c>
      <c r="W334" s="5"/>
      <c r="X334" s="5"/>
      <c r="Y334" s="5"/>
      <c r="Z334" s="5"/>
      <c r="AA334" s="5">
        <f>AA333-'Woodmac profile - Gas'!Q483</f>
        <v>0</v>
      </c>
      <c r="AB334" s="5"/>
      <c r="AC334" s="5"/>
      <c r="AD334" s="5"/>
      <c r="AE334" s="5"/>
      <c r="AF334" s="5">
        <f>AF333-'Woodmac profile - Gas'!R483</f>
        <v>0</v>
      </c>
      <c r="AG334" s="5"/>
      <c r="AH334" s="5"/>
      <c r="AI334" s="5"/>
      <c r="AJ334" s="5"/>
      <c r="AK334" s="5">
        <f>AK333-'Woodmac profile - Gas'!S483</f>
        <v>0</v>
      </c>
      <c r="AL334" s="5"/>
      <c r="AM334" s="5"/>
      <c r="AN334" s="5"/>
      <c r="AO334" s="5"/>
      <c r="AP334" s="5">
        <f>AP333-'Woodmac profile - Gas'!T483</f>
        <v>0</v>
      </c>
      <c r="AQ334" s="5"/>
      <c r="AR334" s="5"/>
      <c r="AS334" s="5"/>
      <c r="AT334" s="5"/>
      <c r="AU334" s="5">
        <f>AU333-'Woodmac profile - Gas'!U483</f>
        <v>0</v>
      </c>
      <c r="AV334" s="5"/>
      <c r="AW334" s="5"/>
      <c r="AX334" s="5"/>
      <c r="AY334" s="5"/>
      <c r="AZ334" s="5">
        <f>AZ333-'Woodmac profile - Gas'!V483</f>
        <v>0</v>
      </c>
      <c r="BA334" s="5"/>
      <c r="BB334" s="5"/>
      <c r="BC334" s="5"/>
      <c r="BD334" s="5"/>
      <c r="BE334" s="5">
        <f>BE333-'Woodmac profile - Gas'!W483</f>
        <v>0</v>
      </c>
      <c r="BF334" s="5"/>
      <c r="BG334" s="5"/>
      <c r="BH334" s="5"/>
      <c r="BI334" s="5"/>
      <c r="BJ334" s="5">
        <f>BJ333-'Woodmac profile - Gas'!X483</f>
        <v>0</v>
      </c>
      <c r="BK334" s="5"/>
      <c r="BL334" s="5"/>
      <c r="BM334" s="5"/>
      <c r="BN334" s="5"/>
      <c r="BO334" s="5">
        <f>BO333-'Woodmac profile - Gas'!Y483</f>
        <v>0</v>
      </c>
      <c r="BP334" s="5"/>
      <c r="BQ334" s="5"/>
      <c r="BR334" s="5"/>
      <c r="BS334" s="5"/>
      <c r="BT334" s="5">
        <f>BT333-'Woodmac profile - Gas'!Z483</f>
        <v>0</v>
      </c>
      <c r="BU334" s="5"/>
      <c r="BV334" s="5"/>
      <c r="BW334" s="5"/>
      <c r="BX334" s="5"/>
      <c r="BY334" s="5">
        <f>BY333-'Woodmac profile - Gas'!AA483</f>
        <v>0</v>
      </c>
      <c r="BZ334" s="5"/>
      <c r="CA334" s="5"/>
      <c r="CB334" s="5"/>
      <c r="CC334" s="5"/>
      <c r="CD334" s="5">
        <f>CD333-'Woodmac profile - Gas'!AB483</f>
        <v>0</v>
      </c>
      <c r="CE334" s="5"/>
      <c r="CF334" s="5"/>
      <c r="CG334" s="5"/>
      <c r="CH334" s="5"/>
      <c r="CI334" s="5"/>
    </row>
    <row r="335" spans="1:87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</row>
    <row r="336" spans="1:87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49"/>
      <c r="AM336" s="49"/>
      <c r="AN336" s="49"/>
      <c r="AO336" s="49"/>
      <c r="AP336" s="49"/>
      <c r="AQ336" s="49"/>
      <c r="AR336" s="49"/>
      <c r="AS336" s="49"/>
      <c r="AT336" s="49"/>
      <c r="AU336" s="49"/>
      <c r="AV336" s="49"/>
      <c r="AW336" s="49"/>
      <c r="AX336" s="49"/>
      <c r="AY336" s="49"/>
      <c r="AZ336" s="49"/>
      <c r="BA336" s="49"/>
      <c r="BB336" s="49"/>
      <c r="BC336" s="49"/>
      <c r="BD336" s="49"/>
      <c r="BE336" s="49"/>
      <c r="BF336" s="49"/>
      <c r="BG336" s="49"/>
      <c r="BH336" s="49"/>
      <c r="BI336" s="49"/>
      <c r="BJ336" s="49"/>
      <c r="BK336" s="49"/>
      <c r="BL336" s="49"/>
      <c r="BM336" s="49"/>
      <c r="BN336" s="49"/>
      <c r="BO336" s="49"/>
      <c r="BP336" s="49"/>
      <c r="BQ336" s="49"/>
      <c r="BR336" s="49"/>
      <c r="BS336" s="49"/>
      <c r="BT336" s="49"/>
      <c r="BU336" s="49"/>
      <c r="BV336" s="49"/>
      <c r="BW336" s="49"/>
      <c r="BX336" s="49"/>
      <c r="BY336" s="49"/>
      <c r="BZ336" s="49"/>
      <c r="CA336" s="49"/>
      <c r="CB336" s="49"/>
      <c r="CC336" s="49"/>
      <c r="CD336" s="49"/>
      <c r="CE336" s="5"/>
      <c r="CF336" s="5"/>
      <c r="CG336" s="5"/>
      <c r="CH336" s="5"/>
      <c r="CI336" s="5"/>
    </row>
    <row r="337" spans="1:88" ht="15.75">
      <c r="A337" s="42" t="s">
        <v>392</v>
      </c>
      <c r="B337" s="7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  <c r="AP337" s="8"/>
      <c r="AQ337" s="8"/>
      <c r="AR337" s="8"/>
      <c r="AS337" s="8"/>
      <c r="AT337" s="8"/>
      <c r="AU337" s="8"/>
      <c r="AV337" s="8"/>
      <c r="AW337" s="8"/>
      <c r="AX337" s="8"/>
      <c r="AY337" s="8"/>
      <c r="AZ337" s="8"/>
      <c r="BA337" s="8"/>
      <c r="BB337" s="8"/>
      <c r="BC337" s="8"/>
      <c r="BD337" s="8"/>
      <c r="BE337" s="8"/>
      <c r="BF337" s="8"/>
      <c r="BG337" s="8"/>
      <c r="BH337" s="8"/>
      <c r="BI337" s="8"/>
      <c r="BJ337" s="636"/>
      <c r="BK337" s="636"/>
      <c r="BL337" s="636"/>
      <c r="BM337" s="636"/>
      <c r="BN337" s="636"/>
      <c r="BO337" s="636"/>
      <c r="BP337" s="636"/>
      <c r="BQ337" s="636"/>
      <c r="BR337" s="636"/>
      <c r="BS337" s="636"/>
      <c r="BT337" s="636"/>
      <c r="BU337" s="636"/>
      <c r="BV337" s="636"/>
      <c r="BW337" s="636"/>
      <c r="BX337" s="636"/>
      <c r="BY337" s="636"/>
      <c r="BZ337" s="636"/>
      <c r="CA337" s="636"/>
      <c r="CB337" s="636"/>
      <c r="CC337" s="636"/>
      <c r="CD337" s="636"/>
      <c r="CE337" s="5"/>
      <c r="CF337" s="5"/>
      <c r="CG337" s="5"/>
      <c r="CH337" s="5"/>
      <c r="CI337" s="5"/>
    </row>
    <row r="338" spans="1:88">
      <c r="A338" s="5"/>
      <c r="B338" s="4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>
        <f t="shared" ref="BK338:BN338" si="456">BK166</f>
        <v>0</v>
      </c>
      <c r="BL338">
        <f t="shared" si="456"/>
        <v>0</v>
      </c>
      <c r="BM338">
        <f t="shared" si="456"/>
        <v>0</v>
      </c>
      <c r="BN338">
        <f t="shared" si="456"/>
        <v>0</v>
      </c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</row>
    <row r="339" spans="1:88">
      <c r="A339" s="24" t="s">
        <v>1960</v>
      </c>
      <c r="B339" s="4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G339" s="376" t="s">
        <v>2316</v>
      </c>
    </row>
    <row r="340" spans="1:88">
      <c r="A340" s="10"/>
      <c r="B340" s="10"/>
      <c r="C340" s="31">
        <v>2001</v>
      </c>
      <c r="D340" s="32">
        <v>2002</v>
      </c>
      <c r="E340" s="32">
        <v>2003</v>
      </c>
      <c r="F340" s="32">
        <v>2004</v>
      </c>
      <c r="G340" s="31">
        <v>2005</v>
      </c>
      <c r="H340" s="33" t="s">
        <v>714</v>
      </c>
      <c r="I340" s="33" t="s">
        <v>715</v>
      </c>
      <c r="J340" s="33" t="s">
        <v>716</v>
      </c>
      <c r="K340" s="33" t="s">
        <v>717</v>
      </c>
      <c r="L340" s="31">
        <v>2006</v>
      </c>
      <c r="M340" s="33" t="s">
        <v>718</v>
      </c>
      <c r="N340" s="33" t="s">
        <v>719</v>
      </c>
      <c r="O340" s="33" t="s">
        <v>1970</v>
      </c>
      <c r="P340" s="33" t="s">
        <v>1971</v>
      </c>
      <c r="Q340" s="31">
        <v>2007</v>
      </c>
      <c r="R340" s="33" t="s">
        <v>1972</v>
      </c>
      <c r="S340" s="33" t="s">
        <v>1973</v>
      </c>
      <c r="T340" s="33" t="s">
        <v>1974</v>
      </c>
      <c r="U340" s="33" t="s">
        <v>1975</v>
      </c>
      <c r="V340" s="31">
        <v>2008</v>
      </c>
      <c r="W340" s="33" t="s">
        <v>1976</v>
      </c>
      <c r="X340" s="33" t="s">
        <v>1977</v>
      </c>
      <c r="Y340" s="33" t="s">
        <v>1978</v>
      </c>
      <c r="Z340" s="33" t="s">
        <v>1979</v>
      </c>
      <c r="AA340" s="31">
        <v>2009</v>
      </c>
      <c r="AB340" s="33" t="s">
        <v>1980</v>
      </c>
      <c r="AC340" s="33" t="s">
        <v>1981</v>
      </c>
      <c r="AD340" s="33" t="s">
        <v>1982</v>
      </c>
      <c r="AE340" s="33" t="s">
        <v>2392</v>
      </c>
      <c r="AF340" s="31">
        <v>2010</v>
      </c>
      <c r="AG340" s="33" t="s">
        <v>2393</v>
      </c>
      <c r="AH340" s="33" t="s">
        <v>2394</v>
      </c>
      <c r="AI340" s="33" t="s">
        <v>2395</v>
      </c>
      <c r="AJ340" s="33" t="s">
        <v>2396</v>
      </c>
      <c r="AK340" s="31">
        <v>2011</v>
      </c>
      <c r="AL340" s="33" t="s">
        <v>2397</v>
      </c>
      <c r="AM340" s="33" t="s">
        <v>2398</v>
      </c>
      <c r="AN340" s="33" t="s">
        <v>2399</v>
      </c>
      <c r="AO340" s="368" t="s">
        <v>2400</v>
      </c>
      <c r="AP340" s="369">
        <v>2012</v>
      </c>
      <c r="AQ340" s="368" t="s">
        <v>2401</v>
      </c>
      <c r="AR340" s="368" t="s">
        <v>2402</v>
      </c>
      <c r="AS340" s="368" t="s">
        <v>2403</v>
      </c>
      <c r="AT340" s="368" t="s">
        <v>2404</v>
      </c>
      <c r="AU340" s="369">
        <v>2013</v>
      </c>
      <c r="AV340" s="368" t="s">
        <v>2405</v>
      </c>
      <c r="AW340" s="368" t="s">
        <v>2406</v>
      </c>
      <c r="AX340" s="368" t="s">
        <v>2407</v>
      </c>
      <c r="AY340" s="368" t="s">
        <v>2408</v>
      </c>
      <c r="AZ340" s="369">
        <v>2014</v>
      </c>
      <c r="BA340" s="368" t="s">
        <v>2409</v>
      </c>
      <c r="BB340" s="368" t="s">
        <v>2410</v>
      </c>
      <c r="BC340" s="368" t="s">
        <v>2411</v>
      </c>
      <c r="BD340" s="368" t="s">
        <v>2412</v>
      </c>
      <c r="BE340" s="31">
        <v>2015</v>
      </c>
      <c r="BF340" s="368" t="s">
        <v>2413</v>
      </c>
      <c r="BG340" s="368" t="s">
        <v>2414</v>
      </c>
      <c r="BH340" s="368" t="s">
        <v>2415</v>
      </c>
      <c r="BI340" s="368" t="s">
        <v>2416</v>
      </c>
      <c r="BJ340" s="31">
        <v>2016</v>
      </c>
      <c r="BK340" s="368" t="s">
        <v>2417</v>
      </c>
      <c r="BL340" s="368" t="s">
        <v>2418</v>
      </c>
      <c r="BM340" s="368" t="s">
        <v>2419</v>
      </c>
      <c r="BN340" s="363" t="s">
        <v>2420</v>
      </c>
      <c r="BO340" s="31">
        <v>2017</v>
      </c>
      <c r="BP340" s="363" t="s">
        <v>2244</v>
      </c>
      <c r="BQ340" s="363" t="s">
        <v>2245</v>
      </c>
      <c r="BR340" s="363" t="s">
        <v>2508</v>
      </c>
      <c r="BS340" s="363" t="s">
        <v>2509</v>
      </c>
      <c r="BT340" s="364">
        <v>2018</v>
      </c>
      <c r="BU340" s="363" t="s">
        <v>2510</v>
      </c>
      <c r="BV340" s="363" t="s">
        <v>2511</v>
      </c>
      <c r="BW340" s="363" t="s">
        <v>3125</v>
      </c>
      <c r="BX340" s="363" t="s">
        <v>1405</v>
      </c>
      <c r="BY340" s="364">
        <v>2019</v>
      </c>
      <c r="BZ340" s="363" t="s">
        <v>1406</v>
      </c>
      <c r="CA340" s="363" t="s">
        <v>1407</v>
      </c>
      <c r="CB340" s="363" t="s">
        <v>1408</v>
      </c>
      <c r="CC340" s="363" t="s">
        <v>1409</v>
      </c>
      <c r="CD340" s="364">
        <v>2020</v>
      </c>
      <c r="CE340" s="5"/>
      <c r="CG340" s="31" t="s">
        <v>320</v>
      </c>
      <c r="CH340" s="31" t="s">
        <v>321</v>
      </c>
      <c r="CI340" s="31" t="s">
        <v>322</v>
      </c>
      <c r="CJ340" s="31" t="s">
        <v>2663</v>
      </c>
    </row>
    <row r="341" spans="1:88">
      <c r="A341" s="39" t="s">
        <v>305</v>
      </c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  <c r="BL341" s="11"/>
      <c r="BM341" s="11"/>
      <c r="BN341" s="11"/>
      <c r="BO341" s="11"/>
      <c r="BP341" s="11"/>
      <c r="BQ341" s="11"/>
      <c r="BR341" s="11"/>
      <c r="BS341" s="11"/>
      <c r="BT341" s="11"/>
      <c r="BU341" s="11"/>
      <c r="BV341" s="11"/>
      <c r="BW341" s="11"/>
      <c r="BX341" s="11"/>
      <c r="BY341" s="11"/>
      <c r="BZ341" s="11"/>
      <c r="CA341" s="11"/>
      <c r="CB341" s="11"/>
      <c r="CC341" s="11"/>
      <c r="CD341" s="11"/>
      <c r="CE341" s="5"/>
      <c r="CG341" s="5"/>
      <c r="CH341" s="5"/>
      <c r="CI341" s="5"/>
      <c r="CJ341" s="5"/>
    </row>
    <row r="342" spans="1:88">
      <c r="A342" s="11"/>
      <c r="B342" s="11" t="s">
        <v>1281</v>
      </c>
      <c r="C342" s="51"/>
      <c r="D342" s="51"/>
      <c r="E342" s="11">
        <f t="shared" ref="E342:G344" si="457">E119-E288</f>
        <v>123.75</v>
      </c>
      <c r="F342" s="11">
        <f t="shared" si="457"/>
        <v>1.3600000000001273</v>
      </c>
      <c r="G342" s="11">
        <f t="shared" si="457"/>
        <v>-11.959999999999809</v>
      </c>
      <c r="H342" s="51"/>
      <c r="I342" s="51"/>
      <c r="J342" s="51"/>
      <c r="K342" s="51"/>
      <c r="L342" s="11">
        <f>L119-L288</f>
        <v>-54.599999999999909</v>
      </c>
      <c r="M342" s="51"/>
      <c r="N342" s="51"/>
      <c r="O342" s="51"/>
      <c r="P342" s="51"/>
      <c r="Q342" s="11">
        <f>Q119-Q288</f>
        <v>-77.049999999999841</v>
      </c>
      <c r="R342" s="51"/>
      <c r="S342" s="51"/>
      <c r="T342" s="51"/>
      <c r="U342" s="51"/>
      <c r="V342" s="11">
        <f>V119-V288</f>
        <v>-66.030000000000086</v>
      </c>
      <c r="W342" s="51"/>
      <c r="X342" s="51"/>
      <c r="Y342" s="51"/>
      <c r="Z342" s="51"/>
      <c r="AA342" s="11">
        <f>AA119-AA288</f>
        <v>-15.230000000000018</v>
      </c>
      <c r="AB342" s="51"/>
      <c r="AC342" s="51"/>
      <c r="AD342" s="51"/>
      <c r="AE342" s="51"/>
      <c r="AF342" s="11">
        <f>AF119-AF288</f>
        <v>-52.519999999999982</v>
      </c>
      <c r="AG342" s="51"/>
      <c r="AH342" s="51"/>
      <c r="AI342" s="51"/>
      <c r="AJ342" s="51"/>
      <c r="AK342" s="11">
        <f>AK119-AK288</f>
        <v>59.769999999999982</v>
      </c>
      <c r="AL342" s="51"/>
      <c r="AM342" s="51"/>
      <c r="AN342" s="51"/>
      <c r="AO342" s="51"/>
      <c r="AP342" s="11">
        <f>AP119-AP288</f>
        <v>297.48999999999995</v>
      </c>
      <c r="AQ342" s="51"/>
      <c r="AR342" s="51"/>
      <c r="AS342" s="51"/>
      <c r="AT342" s="51"/>
      <c r="AU342" s="11">
        <f>AU119-AU288</f>
        <v>55.270000000000024</v>
      </c>
      <c r="AV342" s="51"/>
      <c r="AW342" s="51"/>
      <c r="AX342" s="51"/>
      <c r="AY342" s="51"/>
      <c r="AZ342" s="11">
        <f>AZ119-AZ288</f>
        <v>-16.53</v>
      </c>
      <c r="BA342" s="51"/>
      <c r="BB342" s="51"/>
      <c r="BC342" s="51"/>
      <c r="BD342" s="51"/>
      <c r="BE342" s="11">
        <f>BE119-BE288</f>
        <v>-15.97999999999999</v>
      </c>
      <c r="BF342" s="51"/>
      <c r="BG342" s="51"/>
      <c r="BH342" s="51"/>
      <c r="BI342" s="51"/>
      <c r="BJ342" s="11">
        <f>BJ119-BJ288</f>
        <v>-7.9899999999999807</v>
      </c>
      <c r="BK342" s="51"/>
      <c r="BL342" s="51"/>
      <c r="BM342" s="51"/>
      <c r="BN342" s="51"/>
      <c r="BO342" s="11">
        <f>BO119-BO288</f>
        <v>-18.690000000000026</v>
      </c>
      <c r="BP342" s="51"/>
      <c r="BQ342" s="51"/>
      <c r="BR342" s="51"/>
      <c r="BS342" s="51"/>
      <c r="BT342" s="51"/>
      <c r="BU342" s="51"/>
      <c r="BV342" s="51"/>
      <c r="BW342" s="51"/>
      <c r="BX342" s="51"/>
      <c r="BY342" s="51"/>
      <c r="BZ342" s="51"/>
      <c r="CA342" s="51"/>
      <c r="CB342" s="51"/>
      <c r="CC342" s="51"/>
      <c r="CD342" s="51"/>
      <c r="CE342" s="5"/>
      <c r="CG342" s="5"/>
      <c r="CH342" s="5"/>
      <c r="CI342" s="5"/>
      <c r="CJ342" s="5"/>
    </row>
    <row r="343" spans="1:88">
      <c r="A343" s="11"/>
      <c r="B343" s="11" t="s">
        <v>1745</v>
      </c>
      <c r="C343" s="51"/>
      <c r="D343" s="51"/>
      <c r="E343" s="11">
        <f t="shared" si="457"/>
        <v>11.819999999999993</v>
      </c>
      <c r="F343" s="11">
        <f t="shared" si="457"/>
        <v>4.3100000000000023</v>
      </c>
      <c r="G343" s="11">
        <f t="shared" si="457"/>
        <v>3.269999999999996</v>
      </c>
      <c r="H343" s="51"/>
      <c r="I343" s="51"/>
      <c r="J343" s="51"/>
      <c r="K343" s="51"/>
      <c r="L343" s="11">
        <f>L120-L289</f>
        <v>1.3200000000000003</v>
      </c>
      <c r="M343" s="51"/>
      <c r="N343" s="51"/>
      <c r="O343" s="51"/>
      <c r="P343" s="51"/>
      <c r="Q343" s="11">
        <f>Q120-Q289</f>
        <v>-0.47999999999999687</v>
      </c>
      <c r="R343" s="51"/>
      <c r="S343" s="51"/>
      <c r="T343" s="51"/>
      <c r="U343" s="51"/>
      <c r="V343" s="11">
        <f>V120-V289</f>
        <v>2.009999999999998</v>
      </c>
      <c r="W343" s="51"/>
      <c r="X343" s="51"/>
      <c r="Y343" s="51"/>
      <c r="Z343" s="51"/>
      <c r="AA343" s="11">
        <f>AA120-AA289</f>
        <v>0.93999999999999773</v>
      </c>
      <c r="AB343" s="51"/>
      <c r="AC343" s="51"/>
      <c r="AD343" s="51"/>
      <c r="AE343" s="51"/>
      <c r="AF343" s="11">
        <f>AF120-AF289</f>
        <v>-0.55000000000000071</v>
      </c>
      <c r="AG343" s="51"/>
      <c r="AH343" s="51"/>
      <c r="AI343" s="51"/>
      <c r="AJ343" s="51"/>
      <c r="AK343" s="11">
        <f>AK120-AK289</f>
        <v>1.7799999999999994</v>
      </c>
      <c r="AL343" s="51"/>
      <c r="AM343" s="51"/>
      <c r="AN343" s="51"/>
      <c r="AO343" s="51"/>
      <c r="AP343" s="11">
        <f>AP120-AP289</f>
        <v>1.2100000000000009</v>
      </c>
      <c r="AQ343" s="51"/>
      <c r="AR343" s="51"/>
      <c r="AS343" s="51"/>
      <c r="AT343" s="51"/>
      <c r="AU343" s="11">
        <f>AU120-AU289</f>
        <v>0.32999999999999829</v>
      </c>
      <c r="AV343" s="51"/>
      <c r="AW343" s="51"/>
      <c r="AX343" s="51"/>
      <c r="AY343" s="51"/>
      <c r="AZ343" s="11">
        <f>AZ120-AZ289</f>
        <v>2.9300000000000068</v>
      </c>
      <c r="BA343" s="51"/>
      <c r="BB343" s="51"/>
      <c r="BC343" s="51"/>
      <c r="BD343" s="51"/>
      <c r="BE343" s="11">
        <f>BE120-BE289</f>
        <v>10.950000000000003</v>
      </c>
      <c r="BF343" s="51"/>
      <c r="BG343" s="51"/>
      <c r="BH343" s="51"/>
      <c r="BI343" s="51"/>
      <c r="BJ343" s="11">
        <f>BJ120-BJ289</f>
        <v>48.505000000000003</v>
      </c>
      <c r="BK343" s="51"/>
      <c r="BL343" s="51"/>
      <c r="BM343" s="51"/>
      <c r="BN343" s="51"/>
      <c r="BO343" s="11">
        <f>BO120-BO289</f>
        <v>-6.5229999999999961</v>
      </c>
      <c r="BP343" s="51"/>
      <c r="BQ343" s="51"/>
      <c r="BR343" s="51"/>
      <c r="BS343" s="51"/>
      <c r="BT343" s="51"/>
      <c r="BU343" s="51"/>
      <c r="BV343" s="51"/>
      <c r="BW343" s="51"/>
      <c r="BX343" s="51"/>
      <c r="BY343" s="51"/>
      <c r="BZ343" s="51"/>
      <c r="CA343" s="51"/>
      <c r="CB343" s="51"/>
      <c r="CC343" s="51"/>
      <c r="CD343" s="51"/>
      <c r="CE343" s="5"/>
      <c r="CG343" s="5"/>
      <c r="CH343" s="5"/>
      <c r="CI343" s="5"/>
      <c r="CJ343" s="5"/>
    </row>
    <row r="344" spans="1:88">
      <c r="A344" s="11"/>
      <c r="B344" s="11" t="s">
        <v>139</v>
      </c>
      <c r="C344" s="51"/>
      <c r="D344" s="51"/>
      <c r="E344" s="11">
        <f t="shared" si="457"/>
        <v>6.8900000000000006</v>
      </c>
      <c r="F344" s="11">
        <f t="shared" si="457"/>
        <v>3.3799999999999955</v>
      </c>
      <c r="G344" s="11">
        <f t="shared" si="457"/>
        <v>2.480000000000004</v>
      </c>
      <c r="H344" s="51"/>
      <c r="I344" s="51"/>
      <c r="J344" s="51"/>
      <c r="K344" s="51"/>
      <c r="L344" s="11">
        <f>L121-L290</f>
        <v>15.439999999999998</v>
      </c>
      <c r="M344" s="51"/>
      <c r="N344" s="51"/>
      <c r="O344" s="51"/>
      <c r="P344" s="51"/>
      <c r="Q344" s="11">
        <f>Q121-Q290</f>
        <v>3</v>
      </c>
      <c r="R344" s="51"/>
      <c r="S344" s="51"/>
      <c r="T344" s="51"/>
      <c r="U344" s="51"/>
      <c r="V344" s="11">
        <f>V121-V290</f>
        <v>0</v>
      </c>
      <c r="W344" s="51"/>
      <c r="X344" s="51"/>
      <c r="Y344" s="51"/>
      <c r="Z344" s="51"/>
      <c r="AA344" s="11">
        <f>AA121-AA290</f>
        <v>0</v>
      </c>
      <c r="AB344" s="51"/>
      <c r="AC344" s="51"/>
      <c r="AD344" s="51"/>
      <c r="AE344" s="51"/>
      <c r="AF344" s="11">
        <f>AF121-AF290</f>
        <v>0</v>
      </c>
      <c r="AG344" s="51"/>
      <c r="AH344" s="51"/>
      <c r="AI344" s="51"/>
      <c r="AJ344" s="51"/>
      <c r="AK344" s="11">
        <f>AK121-AK290</f>
        <v>0</v>
      </c>
      <c r="AL344" s="51"/>
      <c r="AM344" s="51"/>
      <c r="AN344" s="491"/>
      <c r="AO344" s="491"/>
      <c r="AP344" s="283">
        <f>AP121-AP290</f>
        <v>0</v>
      </c>
      <c r="AQ344" s="51"/>
      <c r="AR344" s="51"/>
      <c r="AS344" s="51"/>
      <c r="AT344" s="51"/>
      <c r="AU344" s="11">
        <f>AU121-AU290</f>
        <v>0</v>
      </c>
      <c r="AV344" s="51"/>
      <c r="AW344" s="51"/>
      <c r="AX344" s="51"/>
      <c r="AY344" s="51"/>
      <c r="AZ344" s="11">
        <f>AZ121-AZ290</f>
        <v>0</v>
      </c>
      <c r="BA344" s="51"/>
      <c r="BB344" s="51"/>
      <c r="BC344" s="51"/>
      <c r="BD344" s="51"/>
      <c r="BE344" s="11">
        <f>BE121-BE290</f>
        <v>0</v>
      </c>
      <c r="BF344" s="51"/>
      <c r="BG344" s="51"/>
      <c r="BH344" s="51"/>
      <c r="BI344" s="51"/>
      <c r="BJ344" s="11">
        <f>BJ121-BJ290</f>
        <v>0</v>
      </c>
      <c r="BK344" s="51"/>
      <c r="BL344" s="51"/>
      <c r="BM344" s="51"/>
      <c r="BN344" s="51"/>
      <c r="BO344" s="11">
        <f>BO121-BO290</f>
        <v>0</v>
      </c>
      <c r="BP344" s="51"/>
      <c r="BQ344" s="51"/>
      <c r="BR344" s="51"/>
      <c r="BS344" s="51"/>
      <c r="BT344" s="51"/>
      <c r="BU344" s="51"/>
      <c r="BV344" s="51"/>
      <c r="BW344" s="51"/>
      <c r="BX344" s="51"/>
      <c r="BY344" s="51"/>
      <c r="BZ344" s="51"/>
      <c r="CA344" s="51"/>
      <c r="CB344" s="51"/>
      <c r="CC344" s="51"/>
      <c r="CD344" s="51"/>
      <c r="CE344" s="5"/>
      <c r="CG344" s="5"/>
      <c r="CH344" s="5"/>
      <c r="CI344" s="5"/>
      <c r="CJ344" s="5"/>
    </row>
    <row r="345" spans="1:88">
      <c r="A345" s="39" t="s">
        <v>309</v>
      </c>
      <c r="B345" s="39"/>
      <c r="C345" s="52">
        <f>SUM(C342:C344)</f>
        <v>0</v>
      </c>
      <c r="D345" s="52">
        <f>SUM(D342:D344)</f>
        <v>0</v>
      </c>
      <c r="E345" s="39">
        <f>SUM(E342:E344)</f>
        <v>142.45999999999998</v>
      </c>
      <c r="F345" s="39">
        <f>SUM(F342:F344)</f>
        <v>9.0500000000001251</v>
      </c>
      <c r="G345" s="39">
        <f>SUM(G342:G344)</f>
        <v>-6.209999999999809</v>
      </c>
      <c r="H345" s="51"/>
      <c r="I345" s="51"/>
      <c r="J345" s="51"/>
      <c r="K345" s="51"/>
      <c r="L345" s="39">
        <f>SUM(L342:L344)</f>
        <v>-37.839999999999911</v>
      </c>
      <c r="M345" s="79">
        <f>M122-M291</f>
        <v>-88.650489335006114</v>
      </c>
      <c r="N345" s="79">
        <f>N122-N291</f>
        <v>-70.41542032622317</v>
      </c>
      <c r="O345" s="79">
        <f>O122-O291</f>
        <v>-56.856010037641113</v>
      </c>
      <c r="P345" s="79">
        <f>P122-P291</f>
        <v>-82.198080301128925</v>
      </c>
      <c r="Q345" s="39">
        <f>SUM(Q342:Q344)</f>
        <v>-74.529999999999831</v>
      </c>
      <c r="R345" s="79">
        <f>R122-R291</f>
        <v>-81.539539641943747</v>
      </c>
      <c r="S345" s="79">
        <f>S122-S291</f>
        <v>-60.909053708440069</v>
      </c>
      <c r="T345" s="79">
        <f>T122-T291</f>
        <v>-43.143913043478392</v>
      </c>
      <c r="U345" s="79">
        <f>U122-U291</f>
        <v>-73.487493606138401</v>
      </c>
      <c r="V345" s="39">
        <f>SUM(V342:V344)</f>
        <v>-64.020000000000095</v>
      </c>
      <c r="W345" s="79">
        <f>W122-W291</f>
        <v>-18.888044164037979</v>
      </c>
      <c r="X345" s="79">
        <f>X122-X291</f>
        <v>-14.537933753943207</v>
      </c>
      <c r="Y345" s="79">
        <f>Y122-Y291</f>
        <v>-10.661151419558394</v>
      </c>
      <c r="Z345" s="79">
        <f>Z122-Z291</f>
        <v>-10.072870662460559</v>
      </c>
      <c r="AA345" s="39">
        <f>SUM(AA342:AA344)</f>
        <v>-14.29000000000002</v>
      </c>
      <c r="AB345" s="79">
        <f>AB122-AB291</f>
        <v>-65.275010266940512</v>
      </c>
      <c r="AC345" s="79">
        <f>AC122-AC291</f>
        <v>-60.044291581108837</v>
      </c>
      <c r="AD345" s="79">
        <f>AD122-AD291</f>
        <v>-44.897002053388064</v>
      </c>
      <c r="AE345" s="79">
        <f>AE122-AE291</f>
        <v>-38.063696098562559</v>
      </c>
      <c r="AF345" s="39">
        <f>SUM(AF342:AF344)</f>
        <v>-53.069999999999979</v>
      </c>
      <c r="AG345" s="79">
        <f>AG122-AG291</f>
        <v>-0.55333905218384416</v>
      </c>
      <c r="AH345" s="79">
        <f>AH122-AH291</f>
        <v>68.980169273445028</v>
      </c>
      <c r="AI345" s="79">
        <f>AI122-AI291</f>
        <v>-14.982364886278788</v>
      </c>
      <c r="AJ345" s="79">
        <f>AJ122-AJ291</f>
        <v>195.75553466501748</v>
      </c>
      <c r="AK345" s="39">
        <f>SUM(AK342:AK344)</f>
        <v>61.549999999999983</v>
      </c>
      <c r="AL345" s="447">
        <f>AL122-AL291</f>
        <v>349.70100602011985</v>
      </c>
      <c r="AM345" s="447">
        <f>AM122-AM291</f>
        <v>348.43548660928627</v>
      </c>
      <c r="AN345" s="447">
        <f>AN122-AN291</f>
        <v>246.86906317350895</v>
      </c>
      <c r="AO345" s="447">
        <f>AO122-AO291</f>
        <v>249.79444419708486</v>
      </c>
      <c r="AP345" s="343">
        <f>SUM(AP342:AP344)</f>
        <v>298.69999999999993</v>
      </c>
      <c r="AQ345" s="447">
        <f>AQ122-AQ291</f>
        <v>107.87885232805957</v>
      </c>
      <c r="AR345" s="447">
        <f>AR122-AR291</f>
        <v>95.383595060215214</v>
      </c>
      <c r="AS345" s="447">
        <f>AS122-AS291</f>
        <v>10.456188642940219</v>
      </c>
      <c r="AT345" s="447">
        <f>AT122-AT291</f>
        <v>11.681363968785121</v>
      </c>
      <c r="AU345" s="39">
        <f>SUM(AU342:AU344)</f>
        <v>55.600000000000023</v>
      </c>
      <c r="AV345" s="447">
        <f>AV122-AV291</f>
        <v>-28.459791375876989</v>
      </c>
      <c r="AW345" s="447">
        <f>AW122-AW291</f>
        <v>-30.08060177378087</v>
      </c>
      <c r="AX345" s="447">
        <f>AX122-AX291</f>
        <v>24.570699011977069</v>
      </c>
      <c r="AY345" s="447">
        <f>AY122-AY291</f>
        <v>-20.430305862319244</v>
      </c>
      <c r="AZ345" s="39">
        <f>SUM(AZ342:AZ344)</f>
        <v>-13.599999999999994</v>
      </c>
      <c r="BA345" s="447">
        <f>BA122-BA291</f>
        <v>-28.937942803625333</v>
      </c>
      <c r="BB345" s="447">
        <f>BB122-BB291</f>
        <v>4.886751299749335</v>
      </c>
      <c r="BC345" s="447">
        <f>BC122-BC291</f>
        <v>-13.738314918819356</v>
      </c>
      <c r="BD345" s="447">
        <f>BD122-BD291</f>
        <v>17.669506422695406</v>
      </c>
      <c r="BE345" s="39">
        <f>SUM(BE342:BE344)</f>
        <v>-5.0299999999999869</v>
      </c>
      <c r="BF345" s="447">
        <f>BF122-BF291</f>
        <v>16.578502274180778</v>
      </c>
      <c r="BG345" s="447">
        <f>BG122-BG291</f>
        <v>3.1603789527684398</v>
      </c>
      <c r="BH345" s="447">
        <f>BH122-BH291</f>
        <v>95.009874966193479</v>
      </c>
      <c r="BI345" s="447">
        <f>BI122-BI291</f>
        <v>48.311243806857334</v>
      </c>
      <c r="BJ345" s="39">
        <f>SUM(BJ342:BJ344)</f>
        <v>40.515000000000022</v>
      </c>
      <c r="BK345" s="447">
        <f>BK122-BK291</f>
        <v>-54.191825794700378</v>
      </c>
      <c r="BL345" s="447">
        <f>BL122-BL291</f>
        <v>0.56633639142097536</v>
      </c>
      <c r="BM345" s="447">
        <f>BM122-BM291</f>
        <v>22.566362818883107</v>
      </c>
      <c r="BN345" s="447">
        <f>BN122-BN291</f>
        <v>-69.792873415603822</v>
      </c>
      <c r="BO345" s="39">
        <f>SUM(BO342:BO344)</f>
        <v>-25.213000000000022</v>
      </c>
      <c r="BP345" s="570">
        <v>-25</v>
      </c>
      <c r="BQ345" s="570">
        <v>-50</v>
      </c>
      <c r="BR345" s="570">
        <v>-50</v>
      </c>
      <c r="BS345" s="570">
        <v>-50</v>
      </c>
      <c r="BT345" s="571">
        <f t="shared" ref="BT345" si="458">AVERAGE(BP345:BS345)</f>
        <v>-43.75</v>
      </c>
      <c r="BU345" s="570">
        <v>-50</v>
      </c>
      <c r="BV345" s="570">
        <v>-50</v>
      </c>
      <c r="BW345" s="570">
        <v>-50</v>
      </c>
      <c r="BX345" s="570">
        <v>-50</v>
      </c>
      <c r="BY345" s="571">
        <f t="shared" ref="BY345" si="459">AVERAGE(BU345:BX345)</f>
        <v>-50</v>
      </c>
      <c r="BZ345" s="570">
        <v>-50</v>
      </c>
      <c r="CA345" s="570">
        <v>-50</v>
      </c>
      <c r="CB345" s="570">
        <v>-50</v>
      </c>
      <c r="CC345" s="570">
        <v>-50</v>
      </c>
      <c r="CD345" s="571">
        <f t="shared" ref="CD345" si="460">AVERAGE(BZ345:CC345)</f>
        <v>-50</v>
      </c>
      <c r="CE345" s="173"/>
      <c r="CG345" s="5">
        <f>AVERAGE(M345,R345,W345,AB345,AG345,AL345,AQ345)</f>
        <v>28.953347984009604</v>
      </c>
      <c r="CH345" s="5">
        <f>AVERAGE(N345,S345,X345,AC345,AH345,AM345,AR345)</f>
        <v>43.841793081890174</v>
      </c>
      <c r="CI345" s="5">
        <f>AVERAGE(O345,T345,Y345,AD345,AI345,AN345,AS345)</f>
        <v>12.397830053729203</v>
      </c>
      <c r="CJ345" s="5">
        <f>AVERAGE(P345,U345,Z345,AE345,AJ345,AO345,AT345)</f>
        <v>36.201314594656715</v>
      </c>
    </row>
    <row r="346" spans="1:88">
      <c r="AN346" s="50"/>
      <c r="AO346" s="50"/>
      <c r="AP346" s="50"/>
    </row>
    <row r="347" spans="1:88">
      <c r="A347" s="39" t="s">
        <v>310</v>
      </c>
      <c r="B347" s="11"/>
      <c r="C347" s="51"/>
      <c r="D347" s="51"/>
      <c r="E347" s="11"/>
      <c r="F347" s="11"/>
      <c r="G347" s="11"/>
      <c r="H347" s="51"/>
      <c r="I347" s="51"/>
      <c r="J347" s="51"/>
      <c r="K347" s="51"/>
      <c r="L347" s="5"/>
      <c r="M347" s="12"/>
      <c r="N347" s="12"/>
      <c r="O347" s="12"/>
      <c r="P347" s="12"/>
      <c r="Q347" s="5"/>
      <c r="R347" s="12"/>
      <c r="S347" s="12"/>
      <c r="T347" s="12"/>
      <c r="U347" s="12"/>
      <c r="V347" s="5"/>
      <c r="W347" s="12"/>
      <c r="X347" s="12"/>
      <c r="Y347" s="12"/>
      <c r="Z347" s="12"/>
      <c r="AA347" s="5"/>
      <c r="AB347" s="12"/>
      <c r="AC347" s="12"/>
      <c r="AD347" s="12"/>
      <c r="AE347" s="12"/>
      <c r="AF347" s="5"/>
      <c r="AG347" s="11"/>
      <c r="AH347" s="11"/>
      <c r="AI347" s="11"/>
      <c r="AJ347" s="11"/>
      <c r="AK347" s="5"/>
      <c r="AL347" s="11"/>
      <c r="AM347" s="11"/>
      <c r="AN347" s="11"/>
      <c r="AO347" s="11"/>
      <c r="AP347" s="5"/>
      <c r="AQ347" s="11"/>
      <c r="AR347" s="11"/>
      <c r="AS347" s="11"/>
      <c r="AT347" s="11"/>
      <c r="AU347" s="5"/>
      <c r="AV347" s="11"/>
      <c r="AW347" s="11"/>
      <c r="AX347" s="11"/>
      <c r="AY347" s="11"/>
      <c r="AZ347" s="5"/>
      <c r="BA347" s="11"/>
      <c r="BB347" s="11"/>
      <c r="BC347" s="11"/>
      <c r="BD347" s="11"/>
      <c r="BE347" s="5"/>
      <c r="BF347" s="11"/>
      <c r="BG347" s="11"/>
      <c r="BH347" s="11"/>
      <c r="BI347" s="11"/>
      <c r="BJ347" s="5"/>
      <c r="BK347" s="11"/>
      <c r="BL347" s="11"/>
      <c r="BM347" s="11"/>
      <c r="BN347" s="11"/>
      <c r="BO347" s="5"/>
      <c r="BP347" s="11"/>
      <c r="BQ347" s="11"/>
      <c r="BR347" s="11"/>
      <c r="BS347" s="11"/>
      <c r="BT347" s="11"/>
      <c r="BU347" s="11"/>
      <c r="BV347" s="11"/>
      <c r="BW347" s="11"/>
      <c r="BX347" s="11"/>
      <c r="BY347" s="11"/>
      <c r="BZ347" s="11"/>
      <c r="CA347" s="11"/>
      <c r="CB347" s="11"/>
      <c r="CC347" s="11"/>
      <c r="CD347" s="11"/>
      <c r="CE347" s="5"/>
      <c r="CF347" s="5"/>
      <c r="CG347" s="5"/>
      <c r="CH347" s="5"/>
      <c r="CI347" s="5"/>
    </row>
    <row r="348" spans="1:88">
      <c r="A348" s="11"/>
      <c r="B348" s="11" t="s">
        <v>728</v>
      </c>
      <c r="C348" s="51"/>
      <c r="D348" s="51"/>
      <c r="E348" s="11">
        <f t="shared" ref="E348:G349" si="461">E125-E294</f>
        <v>-6.25</v>
      </c>
      <c r="F348" s="11">
        <f t="shared" si="461"/>
        <v>34.139999999999873</v>
      </c>
      <c r="G348" s="11">
        <f t="shared" si="461"/>
        <v>74.159999999999854</v>
      </c>
      <c r="H348" s="51"/>
      <c r="I348" s="51"/>
      <c r="J348" s="51"/>
      <c r="K348" s="51"/>
      <c r="L348" s="11">
        <f t="shared" ref="L348:AT348" si="462">L125-L294</f>
        <v>-0.86000000000012733</v>
      </c>
      <c r="M348" s="65">
        <f t="shared" si="462"/>
        <v>-64.213440662373159</v>
      </c>
      <c r="N348" s="65">
        <f t="shared" si="462"/>
        <v>-64.272815087396793</v>
      </c>
      <c r="O348" s="12">
        <f t="shared" si="462"/>
        <v>-64.89624655013813</v>
      </c>
      <c r="P348" s="12">
        <f t="shared" si="462"/>
        <v>-63.777497700091772</v>
      </c>
      <c r="Q348" s="11">
        <f t="shared" si="462"/>
        <v>-64.539999999999964</v>
      </c>
      <c r="R348" s="65">
        <f t="shared" si="462"/>
        <v>5.5792304126102863</v>
      </c>
      <c r="S348" s="65">
        <f t="shared" si="462"/>
        <v>5.5558646267963923</v>
      </c>
      <c r="T348" s="12">
        <f t="shared" si="462"/>
        <v>5.4364394993044698</v>
      </c>
      <c r="U348" s="12">
        <f t="shared" si="462"/>
        <v>3.8284654612889426</v>
      </c>
      <c r="V348" s="11">
        <f t="shared" si="462"/>
        <v>5.5999999999999091</v>
      </c>
      <c r="W348" s="65">
        <f t="shared" si="462"/>
        <v>104.27851899827238</v>
      </c>
      <c r="X348" s="65">
        <f t="shared" si="462"/>
        <v>104.45715457685674</v>
      </c>
      <c r="Y348" s="12">
        <f t="shared" si="462"/>
        <v>101.73296200345385</v>
      </c>
      <c r="Z348" s="12">
        <f t="shared" si="462"/>
        <v>104.25136442141593</v>
      </c>
      <c r="AA348" s="11">
        <f t="shared" si="462"/>
        <v>103.42999999999984</v>
      </c>
      <c r="AB348" s="65">
        <f t="shared" si="462"/>
        <v>16.881227106227016</v>
      </c>
      <c r="AC348" s="65">
        <f t="shared" si="462"/>
        <v>17.025641025641107</v>
      </c>
      <c r="AD348" s="12">
        <f t="shared" si="462"/>
        <v>16.645604395604551</v>
      </c>
      <c r="AE348" s="12">
        <f t="shared" si="462"/>
        <v>15.847527472527872</v>
      </c>
      <c r="AF348" s="11">
        <f t="shared" si="462"/>
        <v>16.599999999999909</v>
      </c>
      <c r="AG348" s="86">
        <f t="shared" si="462"/>
        <v>-114.66298370958475</v>
      </c>
      <c r="AH348" s="86">
        <f t="shared" si="462"/>
        <v>-167.14249998206378</v>
      </c>
      <c r="AI348" s="86">
        <f t="shared" si="462"/>
        <v>-147.66723531423804</v>
      </c>
      <c r="AJ348" s="86">
        <f t="shared" si="462"/>
        <v>-154.96728099411393</v>
      </c>
      <c r="AK348" s="11">
        <f t="shared" si="462"/>
        <v>-146.61000000000013</v>
      </c>
      <c r="AL348" s="401">
        <f t="shared" si="462"/>
        <v>-92.94499904053464</v>
      </c>
      <c r="AM348" s="401">
        <f t="shared" si="462"/>
        <v>-246.45596793652999</v>
      </c>
      <c r="AN348" s="401">
        <f t="shared" si="462"/>
        <v>-317.74951955658389</v>
      </c>
      <c r="AO348" s="401">
        <f t="shared" si="462"/>
        <v>-274.76951346635178</v>
      </c>
      <c r="AP348" s="11">
        <f>AP125-AP294</f>
        <v>-233.48000000000002</v>
      </c>
      <c r="AQ348" s="401">
        <f t="shared" si="462"/>
        <v>-438.75522663401307</v>
      </c>
      <c r="AR348" s="401">
        <f t="shared" si="462"/>
        <v>-378.70744705755283</v>
      </c>
      <c r="AS348" s="401">
        <f t="shared" si="462"/>
        <v>-373.04281274024584</v>
      </c>
      <c r="AT348" s="401">
        <f t="shared" si="462"/>
        <v>-417.21451356818761</v>
      </c>
      <c r="AU348" s="11">
        <f t="shared" ref="AU348:BE348" si="463">AU125-AU294</f>
        <v>-402.42999999999984</v>
      </c>
      <c r="AV348" s="401">
        <f t="shared" si="463"/>
        <v>-468.60587958486735</v>
      </c>
      <c r="AW348" s="401">
        <f t="shared" si="463"/>
        <v>-402.79150872060563</v>
      </c>
      <c r="AX348" s="401">
        <f t="shared" si="463"/>
        <v>-349.52714206703581</v>
      </c>
      <c r="AY348" s="401">
        <f t="shared" si="463"/>
        <v>-374.63546962749024</v>
      </c>
      <c r="AZ348" s="11">
        <f t="shared" si="463"/>
        <v>-398.63999999999987</v>
      </c>
      <c r="BA348" s="401">
        <f t="shared" si="463"/>
        <v>-121.71439352028483</v>
      </c>
      <c r="BB348" s="401">
        <f t="shared" si="463"/>
        <v>-145.87586109641825</v>
      </c>
      <c r="BC348" s="401">
        <f t="shared" si="463"/>
        <v>-26.714696842513604</v>
      </c>
      <c r="BD348" s="401">
        <f t="shared" si="463"/>
        <v>-53.015048540783027</v>
      </c>
      <c r="BE348" s="11">
        <f t="shared" si="463"/>
        <v>-86.329999999999927</v>
      </c>
      <c r="BF348" s="401">
        <f t="shared" ref="BF348:BJ348" si="464">BF125-BF294</f>
        <v>-68.563190094910851</v>
      </c>
      <c r="BG348" s="401">
        <f t="shared" si="464"/>
        <v>10.592833120328123</v>
      </c>
      <c r="BH348" s="401">
        <f t="shared" si="464"/>
        <v>51.298455617130003</v>
      </c>
      <c r="BI348" s="401">
        <f t="shared" si="464"/>
        <v>42.911901357453644</v>
      </c>
      <c r="BJ348" s="11">
        <f t="shared" si="464"/>
        <v>9.3100000000001728</v>
      </c>
      <c r="BK348" s="401">
        <f t="shared" ref="BK348:BO348" si="465">BK125-BK294</f>
        <v>-50.470038655579401</v>
      </c>
      <c r="BL348" s="401">
        <f t="shared" si="465"/>
        <v>-52.57587666474501</v>
      </c>
      <c r="BM348" s="401">
        <f t="shared" si="465"/>
        <v>101.68068555693549</v>
      </c>
      <c r="BN348" s="401">
        <f t="shared" si="465"/>
        <v>153.36522976338892</v>
      </c>
      <c r="BO348" s="11">
        <f t="shared" si="465"/>
        <v>39</v>
      </c>
      <c r="BP348" s="87">
        <v>50</v>
      </c>
      <c r="BQ348" s="87">
        <v>50</v>
      </c>
      <c r="BR348" s="87">
        <v>50</v>
      </c>
      <c r="BS348" s="87">
        <v>50</v>
      </c>
      <c r="BT348" s="88">
        <f>AVERAGE(BP348:BS348)</f>
        <v>50</v>
      </c>
      <c r="BU348" s="87">
        <v>50</v>
      </c>
      <c r="BV348" s="87">
        <v>50</v>
      </c>
      <c r="BW348" s="87">
        <v>50</v>
      </c>
      <c r="BX348" s="87">
        <v>50</v>
      </c>
      <c r="BY348" s="88">
        <f t="shared" ref="BY348" si="466">AVERAGE(BU348:BX348)</f>
        <v>50</v>
      </c>
      <c r="BZ348" s="87">
        <v>50</v>
      </c>
      <c r="CA348" s="87">
        <v>50</v>
      </c>
      <c r="CB348" s="87">
        <v>50</v>
      </c>
      <c r="CC348" s="87">
        <v>50</v>
      </c>
      <c r="CD348" s="88">
        <f t="shared" ref="CD348" si="467">AVERAGE(BZ348:CC348)</f>
        <v>50</v>
      </c>
      <c r="CE348" s="5"/>
      <c r="CF348" s="5"/>
      <c r="CG348" s="5">
        <f>AVERAGE(M348,R348,W348,AB348,AG348,AL348,AQ348)</f>
        <v>-83.405381932770851</v>
      </c>
      <c r="CH348" s="5">
        <f>AVERAGE(N348,S348,X348,AC348,AH348,AM348,AR348)</f>
        <v>-104.22000997632131</v>
      </c>
      <c r="CI348" s="5">
        <f>AVERAGE(O348,T348,Y348,AD348,AI348,AN348,AS348)</f>
        <v>-111.36297260897757</v>
      </c>
      <c r="CJ348" s="5">
        <f>AVERAGE(P348,U348,Z348,AE348,AJ348,AO348,AT348)</f>
        <v>-112.40020691050177</v>
      </c>
    </row>
    <row r="349" spans="1:88">
      <c r="A349" s="11"/>
      <c r="B349" s="11" t="s">
        <v>727</v>
      </c>
      <c r="C349" s="51"/>
      <c r="D349" s="51"/>
      <c r="E349" s="11">
        <f t="shared" si="461"/>
        <v>-7.6200000000000614</v>
      </c>
      <c r="F349" s="11">
        <f t="shared" si="461"/>
        <v>-5.5600000000000023</v>
      </c>
      <c r="G349" s="11">
        <f t="shared" si="461"/>
        <v>-3.2300000000000182</v>
      </c>
      <c r="H349" s="51"/>
      <c r="I349" s="51"/>
      <c r="J349" s="51"/>
      <c r="K349" s="51"/>
      <c r="L349" s="11">
        <f>L126-L295</f>
        <v>-1.3799999999999955</v>
      </c>
      <c r="M349" s="51"/>
      <c r="N349" s="51"/>
      <c r="O349" s="51"/>
      <c r="P349" s="51"/>
      <c r="Q349" s="11">
        <f>Q126-Q295</f>
        <v>-4.3500000000000227</v>
      </c>
      <c r="R349" s="51"/>
      <c r="S349" s="51"/>
      <c r="T349" s="51"/>
      <c r="U349" s="51"/>
      <c r="V349" s="11">
        <f>V126-V295</f>
        <v>-0.68000000000000682</v>
      </c>
      <c r="W349" s="51"/>
      <c r="X349" s="51"/>
      <c r="Y349" s="51"/>
      <c r="Z349" s="51"/>
      <c r="AA349" s="11">
        <f>AA126-AA295</f>
        <v>-0.19999999999998863</v>
      </c>
      <c r="AB349" s="51"/>
      <c r="AC349" s="51"/>
      <c r="AD349" s="51"/>
      <c r="AE349" s="51"/>
      <c r="AF349" s="11">
        <f>AF126-AF295</f>
        <v>0.21999999999999886</v>
      </c>
      <c r="AG349" s="51"/>
      <c r="AH349" s="51"/>
      <c r="AI349" s="51"/>
      <c r="AJ349" s="51"/>
      <c r="AK349" s="11">
        <f>AK126-AK295</f>
        <v>1.7300000000000004</v>
      </c>
      <c r="AL349" s="51"/>
      <c r="AM349" s="51"/>
      <c r="AN349" s="51"/>
      <c r="AO349" s="51"/>
      <c r="AP349" s="11">
        <f>AP126-AP295</f>
        <v>1.7900000000000009</v>
      </c>
      <c r="AQ349" s="51"/>
      <c r="AR349" s="51"/>
      <c r="AS349" s="51"/>
      <c r="AT349" s="51"/>
      <c r="AU349" s="11">
        <f>AU126-AU295</f>
        <v>1.7599999999999998</v>
      </c>
      <c r="AV349" s="51"/>
      <c r="AW349" s="51"/>
      <c r="AX349" s="51"/>
      <c r="AY349" s="51"/>
      <c r="AZ349" s="11">
        <f>AZ126-AZ295</f>
        <v>1.5999999999999996</v>
      </c>
      <c r="BA349" s="51"/>
      <c r="BB349" s="51"/>
      <c r="BC349" s="51"/>
      <c r="BD349" s="51"/>
      <c r="BE349" s="11">
        <f>BE126-BE295</f>
        <v>1.5999999999999996</v>
      </c>
      <c r="BF349" s="51"/>
      <c r="BG349" s="51"/>
      <c r="BH349" s="51"/>
      <c r="BI349" s="51"/>
      <c r="BJ349" s="11">
        <f>BJ126-BJ295</f>
        <v>1.5999999999999996</v>
      </c>
      <c r="BK349" s="51"/>
      <c r="BL349" s="51"/>
      <c r="BM349" s="51"/>
      <c r="BN349" s="51"/>
      <c r="BO349" s="11">
        <f>BO126-BO295</f>
        <v>1.0199999999999996</v>
      </c>
      <c r="BP349" s="87">
        <v>0</v>
      </c>
      <c r="BQ349" s="87">
        <v>0</v>
      </c>
      <c r="BR349" s="87">
        <v>0</v>
      </c>
      <c r="BS349" s="87">
        <v>0</v>
      </c>
      <c r="BT349" s="88">
        <f>AVERAGE(BP349:BS349)</f>
        <v>0</v>
      </c>
      <c r="BU349" s="87">
        <v>0</v>
      </c>
      <c r="BV349" s="87">
        <v>0</v>
      </c>
      <c r="BW349" s="87">
        <v>0</v>
      </c>
      <c r="BX349" s="87">
        <v>0</v>
      </c>
      <c r="BY349" s="88">
        <f>AVERAGE(BU349:BX349)</f>
        <v>0</v>
      </c>
      <c r="BZ349" s="87">
        <v>0</v>
      </c>
      <c r="CA349" s="87">
        <v>0</v>
      </c>
      <c r="CB349" s="87">
        <v>0</v>
      </c>
      <c r="CC349" s="87">
        <v>0</v>
      </c>
      <c r="CD349" s="88">
        <f>AVERAGE(BZ349:CC349)</f>
        <v>0</v>
      </c>
      <c r="CE349" s="5"/>
      <c r="CF349" s="5"/>
      <c r="CG349" s="5"/>
      <c r="CH349" s="5"/>
      <c r="CI349" s="5"/>
    </row>
    <row r="350" spans="1:88">
      <c r="A350" s="39" t="s">
        <v>1993</v>
      </c>
      <c r="B350" s="39"/>
      <c r="C350" s="52">
        <f>SUM(C348:C349)</f>
        <v>0</v>
      </c>
      <c r="D350" s="52">
        <f>SUM(D348:D349)</f>
        <v>0</v>
      </c>
      <c r="E350" s="39">
        <f>SUM(E348:E349)</f>
        <v>-13.870000000000061</v>
      </c>
      <c r="F350" s="39">
        <f>SUM(F348:F349)</f>
        <v>28.57999999999987</v>
      </c>
      <c r="G350" s="39">
        <f>SUM(G348:G349)</f>
        <v>70.929999999999836</v>
      </c>
      <c r="H350" s="51"/>
      <c r="I350" s="51"/>
      <c r="J350" s="51"/>
      <c r="K350" s="51"/>
      <c r="L350" s="39">
        <f>SUM(L348:L349)</f>
        <v>-2.2400000000001228</v>
      </c>
      <c r="M350" s="51"/>
      <c r="N350" s="51"/>
      <c r="O350" s="51"/>
      <c r="P350" s="51"/>
      <c r="Q350" s="39">
        <f>SUM(Q348:Q349)</f>
        <v>-68.889999999999986</v>
      </c>
      <c r="R350" s="51"/>
      <c r="S350" s="51"/>
      <c r="T350" s="51"/>
      <c r="U350" s="51"/>
      <c r="V350" s="39">
        <f>SUM(V348:V349)</f>
        <v>4.9199999999999022</v>
      </c>
      <c r="W350" s="51"/>
      <c r="X350" s="51"/>
      <c r="Y350" s="51"/>
      <c r="Z350" s="51"/>
      <c r="AA350" s="39">
        <f>SUM(AA348:AA349)</f>
        <v>103.22999999999985</v>
      </c>
      <c r="AB350" s="51"/>
      <c r="AC350" s="51"/>
      <c r="AD350" s="51"/>
      <c r="AE350" s="51"/>
      <c r="AF350" s="39">
        <f>SUM(AF348:AF349)</f>
        <v>16.819999999999908</v>
      </c>
      <c r="AG350" s="51"/>
      <c r="AH350" s="51"/>
      <c r="AI350" s="51"/>
      <c r="AJ350" s="51"/>
      <c r="AK350" s="39">
        <f>SUM(AK348:AK349)</f>
        <v>-144.88000000000014</v>
      </c>
      <c r="AL350" s="51"/>
      <c r="AM350" s="51"/>
      <c r="AN350" s="51"/>
      <c r="AO350" s="51"/>
      <c r="AP350" s="39">
        <f>SUM(AP348:AP349)</f>
        <v>-231.69000000000003</v>
      </c>
      <c r="AQ350" s="51"/>
      <c r="AR350" s="51"/>
      <c r="AS350" s="51"/>
      <c r="AT350" s="51"/>
      <c r="AU350" s="39">
        <f>SUM(AU348:AU349)</f>
        <v>-400.66999999999985</v>
      </c>
      <c r="AV350" s="51"/>
      <c r="AW350" s="51"/>
      <c r="AX350" s="51"/>
      <c r="AY350" s="51"/>
      <c r="AZ350" s="39">
        <f>SUM(AZ348:AZ349)</f>
        <v>-397.03999999999985</v>
      </c>
      <c r="BA350" s="51"/>
      <c r="BB350" s="51"/>
      <c r="BC350" s="51"/>
      <c r="BD350" s="51"/>
      <c r="BE350" s="39">
        <f>SUM(BE348:BE349)</f>
        <v>-84.729999999999933</v>
      </c>
      <c r="BF350" s="51"/>
      <c r="BG350" s="51"/>
      <c r="BH350" s="51"/>
      <c r="BI350" s="51"/>
      <c r="BJ350" s="39">
        <f>SUM(BJ348:BJ349)</f>
        <v>10.910000000000172</v>
      </c>
      <c r="BK350" s="51"/>
      <c r="BL350" s="51"/>
      <c r="BM350" s="51"/>
      <c r="BN350" s="51"/>
      <c r="BO350" s="39">
        <f>SUM(BO348:BO349)</f>
        <v>40.019999999999996</v>
      </c>
      <c r="BP350" s="79">
        <f>BP348+BP349</f>
        <v>50</v>
      </c>
      <c r="BQ350" s="79">
        <f>BQ348+BQ349</f>
        <v>50</v>
      </c>
      <c r="BR350" s="79">
        <f>BR348+BR349</f>
        <v>50</v>
      </c>
      <c r="BS350" s="79">
        <f>BS348+BS349</f>
        <v>50</v>
      </c>
      <c r="BT350" s="39">
        <f>SUM(BT348:BT349)</f>
        <v>50</v>
      </c>
      <c r="BU350" s="79">
        <f>BU348+BU349</f>
        <v>50</v>
      </c>
      <c r="BV350" s="79">
        <f>BV348+BV349</f>
        <v>50</v>
      </c>
      <c r="BW350" s="79">
        <f>BW348+BW349</f>
        <v>50</v>
      </c>
      <c r="BX350" s="79">
        <f>BX348+BX349</f>
        <v>50</v>
      </c>
      <c r="BY350" s="39">
        <f>SUM(BY348:BY349)</f>
        <v>50</v>
      </c>
      <c r="BZ350" s="79">
        <f>BZ348+BZ349</f>
        <v>50</v>
      </c>
      <c r="CA350" s="79">
        <f>CA348+CA349</f>
        <v>50</v>
      </c>
      <c r="CB350" s="79">
        <f>CB348+CB349</f>
        <v>50</v>
      </c>
      <c r="CC350" s="79">
        <f>CC348+CC349</f>
        <v>50</v>
      </c>
      <c r="CD350" s="39">
        <f>SUM(CD348:CD349)</f>
        <v>50</v>
      </c>
      <c r="CE350" s="5"/>
      <c r="CF350" s="5"/>
      <c r="CG350" s="5"/>
      <c r="CH350" s="5"/>
      <c r="CI350" s="5"/>
    </row>
    <row r="352" spans="1:88">
      <c r="A352" s="39" t="s">
        <v>1994</v>
      </c>
      <c r="B352" s="11"/>
      <c r="C352" s="51"/>
      <c r="D352" s="51"/>
      <c r="E352" s="11"/>
      <c r="F352" s="11"/>
      <c r="G352" s="11"/>
      <c r="H352" s="51"/>
      <c r="I352" s="51"/>
      <c r="J352" s="51"/>
      <c r="K352" s="51"/>
      <c r="L352" s="11"/>
      <c r="M352" s="68"/>
      <c r="N352" s="68"/>
      <c r="O352" s="68"/>
      <c r="P352" s="68"/>
      <c r="Q352" s="11"/>
      <c r="R352" s="68"/>
      <c r="S352" s="68"/>
      <c r="T352" s="68"/>
      <c r="U352" s="68"/>
      <c r="V352" s="11"/>
      <c r="W352" s="68"/>
      <c r="X352" s="68"/>
      <c r="Y352" s="68"/>
      <c r="Z352" s="68"/>
      <c r="AA352" s="11"/>
      <c r="AB352" s="68"/>
      <c r="AC352" s="68"/>
      <c r="AD352" s="68"/>
      <c r="AE352" s="68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11"/>
      <c r="AT352" s="11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  <c r="BL352" s="11"/>
      <c r="BM352" s="11"/>
      <c r="BN352" s="11"/>
      <c r="BO352" s="11"/>
      <c r="BP352" s="11"/>
      <c r="BQ352" s="11"/>
      <c r="BR352" s="11"/>
      <c r="BS352" s="11"/>
      <c r="BT352" s="11"/>
      <c r="BU352" s="11"/>
      <c r="BV352" s="11"/>
      <c r="BW352" s="11"/>
      <c r="BX352" s="11"/>
      <c r="BY352" s="11"/>
      <c r="BZ352" s="11"/>
      <c r="CA352" s="11"/>
      <c r="CB352" s="11"/>
      <c r="CC352" s="11"/>
      <c r="CD352" s="11"/>
      <c r="CE352" s="5"/>
      <c r="CF352" s="5"/>
      <c r="CG352" s="5"/>
      <c r="CH352" s="5"/>
      <c r="CI352" s="5"/>
    </row>
    <row r="353" spans="1:87">
      <c r="A353" s="39"/>
      <c r="B353" s="11" t="s">
        <v>2921</v>
      </c>
      <c r="C353" s="51"/>
      <c r="D353" s="51"/>
      <c r="E353" s="11">
        <f t="shared" ref="E353:G354" si="468">E130-E299</f>
        <v>10.96999999999997</v>
      </c>
      <c r="F353" s="11">
        <f t="shared" si="468"/>
        <v>2.57000000000005</v>
      </c>
      <c r="G353" s="11">
        <f t="shared" si="468"/>
        <v>-2.8760000000000332</v>
      </c>
      <c r="H353" s="51"/>
      <c r="I353" s="51"/>
      <c r="J353" s="51"/>
      <c r="K353" s="51"/>
      <c r="L353" s="11">
        <f>L130-L299</f>
        <v>-5.7259999999999991</v>
      </c>
      <c r="M353" s="51"/>
      <c r="N353" s="51"/>
      <c r="O353" s="51"/>
      <c r="P353" s="51"/>
      <c r="Q353" s="11">
        <f>Q130-Q299</f>
        <v>11.20799999999997</v>
      </c>
      <c r="R353" s="51"/>
      <c r="S353" s="51"/>
      <c r="T353" s="51"/>
      <c r="U353" s="51"/>
      <c r="V353" s="11">
        <f>V130-V299</f>
        <v>9.0880000000000223</v>
      </c>
      <c r="W353" s="51"/>
      <c r="X353" s="51"/>
      <c r="Y353" s="51"/>
      <c r="Z353" s="51"/>
      <c r="AA353" s="11">
        <f>AA130-AA299</f>
        <v>12.839999999999975</v>
      </c>
      <c r="AB353" s="51"/>
      <c r="AC353" s="51"/>
      <c r="AD353" s="51"/>
      <c r="AE353" s="51"/>
      <c r="AF353" s="11">
        <f>AF130-AF299</f>
        <v>17.098000000000013</v>
      </c>
      <c r="AG353" s="51"/>
      <c r="AH353" s="51"/>
      <c r="AI353" s="51"/>
      <c r="AJ353" s="51"/>
      <c r="AK353" s="11">
        <f t="shared" ref="AK353:AK358" si="469">AK130-AK299</f>
        <v>10.741999999999962</v>
      </c>
      <c r="AL353" s="51"/>
      <c r="AM353" s="51"/>
      <c r="AN353" s="51"/>
      <c r="AO353" s="51"/>
      <c r="AP353" s="11">
        <f t="shared" ref="AP353:AP358" si="470">AP130-AP299</f>
        <v>10.126000000000033</v>
      </c>
      <c r="AQ353" s="51"/>
      <c r="AR353" s="51"/>
      <c r="AS353" s="51"/>
      <c r="AT353" s="51"/>
      <c r="AU353" s="11">
        <f t="shared" ref="AU353:AU358" si="471">AU130-AU299</f>
        <v>12.175999999999988</v>
      </c>
      <c r="AV353" s="51"/>
      <c r="AW353" s="51"/>
      <c r="AX353" s="51"/>
      <c r="AY353" s="51"/>
      <c r="AZ353" s="11">
        <f t="shared" ref="AZ353:AZ358" si="472">AZ130-AZ299</f>
        <v>14.192000000000007</v>
      </c>
      <c r="BA353" s="51"/>
      <c r="BB353" s="51"/>
      <c r="BC353" s="51"/>
      <c r="BD353" s="51"/>
      <c r="BE353" s="11">
        <f t="shared" ref="BE353:BE358" si="473">BE130-BE299</f>
        <v>12.638000000000034</v>
      </c>
      <c r="BF353" s="51"/>
      <c r="BG353" s="51"/>
      <c r="BH353" s="51"/>
      <c r="BI353" s="51"/>
      <c r="BJ353" s="11">
        <f t="shared" ref="BJ353:BJ358" si="474">BJ130-BJ299</f>
        <v>11.975999999999999</v>
      </c>
      <c r="BK353" s="51"/>
      <c r="BL353" s="51"/>
      <c r="BM353" s="51"/>
      <c r="BN353" s="51"/>
      <c r="BO353" s="11">
        <f t="shared" ref="BO353:BO358" si="475">BO130-BO299</f>
        <v>22.976999999999975</v>
      </c>
      <c r="BP353" s="51"/>
      <c r="BQ353" s="51"/>
      <c r="BR353" s="51"/>
      <c r="BS353" s="51"/>
      <c r="BT353" s="51"/>
      <c r="BU353" s="51"/>
      <c r="BV353" s="51"/>
      <c r="BW353" s="51"/>
      <c r="BX353" s="51"/>
      <c r="BY353" s="51"/>
      <c r="BZ353" s="51"/>
      <c r="CA353" s="51"/>
      <c r="CB353" s="51"/>
      <c r="CC353" s="51"/>
      <c r="CD353" s="51"/>
      <c r="CE353" s="11"/>
      <c r="CF353" s="11"/>
      <c r="CG353" s="11"/>
      <c r="CH353" s="11"/>
      <c r="CI353" s="11"/>
    </row>
    <row r="354" spans="1:87">
      <c r="A354" s="39"/>
      <c r="B354" s="11" t="s">
        <v>785</v>
      </c>
      <c r="C354" s="51"/>
      <c r="D354" s="51"/>
      <c r="E354" s="11">
        <f t="shared" si="468"/>
        <v>0</v>
      </c>
      <c r="F354" s="11">
        <f t="shared" si="468"/>
        <v>-1.7999999999999999E-2</v>
      </c>
      <c r="G354" s="11">
        <f t="shared" si="468"/>
        <v>9.4540000000000006</v>
      </c>
      <c r="H354" s="51"/>
      <c r="I354" s="51"/>
      <c r="J354" s="51"/>
      <c r="K354" s="51"/>
      <c r="L354" s="11">
        <f>L131-L300</f>
        <v>42.298000000000002</v>
      </c>
      <c r="M354" s="51"/>
      <c r="N354" s="51"/>
      <c r="O354" s="51"/>
      <c r="P354" s="51"/>
      <c r="Q354" s="11">
        <f>Q131-Q300</f>
        <v>54.996000000000002</v>
      </c>
      <c r="R354" s="51"/>
      <c r="S354" s="51"/>
      <c r="T354" s="51"/>
      <c r="U354" s="51"/>
      <c r="V354" s="11">
        <f>V131-V300</f>
        <v>58.607999999999997</v>
      </c>
      <c r="W354" s="51"/>
      <c r="X354" s="51"/>
      <c r="Y354" s="51"/>
      <c r="Z354" s="51"/>
      <c r="AA354" s="11">
        <f>AA131-AA300</f>
        <v>6.6379999999999999</v>
      </c>
      <c r="AB354" s="51"/>
      <c r="AC354" s="51"/>
      <c r="AD354" s="51"/>
      <c r="AE354" s="51"/>
      <c r="AF354" s="11">
        <f>AF131-AF300</f>
        <v>5.6779999999999999</v>
      </c>
      <c r="AG354" s="51"/>
      <c r="AH354" s="51"/>
      <c r="AI354" s="51"/>
      <c r="AJ354" s="51"/>
      <c r="AK354" s="11">
        <f t="shared" si="469"/>
        <v>7.0339999999999998</v>
      </c>
      <c r="AL354" s="51"/>
      <c r="AM354" s="51"/>
      <c r="AN354" s="51"/>
      <c r="AO354" s="51"/>
      <c r="AP354" s="11">
        <f t="shared" si="470"/>
        <v>16.648</v>
      </c>
      <c r="AQ354" s="51"/>
      <c r="AR354" s="51"/>
      <c r="AS354" s="51"/>
      <c r="AT354" s="51"/>
      <c r="AU354" s="11">
        <f t="shared" si="471"/>
        <v>27.315999999999999</v>
      </c>
      <c r="AV354" s="51"/>
      <c r="AW354" s="51"/>
      <c r="AX354" s="51"/>
      <c r="AY354" s="51"/>
      <c r="AZ354" s="11">
        <f t="shared" si="472"/>
        <v>39.524000000000001</v>
      </c>
      <c r="BA354" s="51"/>
      <c r="BB354" s="51"/>
      <c r="BC354" s="51"/>
      <c r="BD354" s="51"/>
      <c r="BE354" s="11">
        <f t="shared" si="473"/>
        <v>45.462000000000003</v>
      </c>
      <c r="BF354" s="51"/>
      <c r="BG354" s="51"/>
      <c r="BH354" s="51"/>
      <c r="BI354" s="51"/>
      <c r="BJ354" s="11">
        <f t="shared" si="474"/>
        <v>46.118000000000002</v>
      </c>
      <c r="BK354" s="51"/>
      <c r="BL354" s="51"/>
      <c r="BM354" s="51"/>
      <c r="BN354" s="51"/>
      <c r="BO354" s="11">
        <f t="shared" si="475"/>
        <v>44.604999999999997</v>
      </c>
      <c r="BP354" s="51"/>
      <c r="BQ354" s="51"/>
      <c r="BR354" s="51"/>
      <c r="BS354" s="51"/>
      <c r="BT354" s="51"/>
      <c r="BU354" s="51"/>
      <c r="BV354" s="51"/>
      <c r="BW354" s="51"/>
      <c r="BX354" s="51"/>
      <c r="BY354" s="51"/>
      <c r="BZ354" s="51"/>
      <c r="CA354" s="51"/>
      <c r="CB354" s="51"/>
      <c r="CC354" s="51"/>
      <c r="CD354" s="51"/>
      <c r="CE354" s="11"/>
      <c r="CF354" s="11"/>
      <c r="CG354" s="11"/>
      <c r="CH354" s="11"/>
      <c r="CI354" s="11"/>
    </row>
    <row r="355" spans="1:87">
      <c r="A355" s="39"/>
      <c r="B355" s="11" t="s">
        <v>2428</v>
      </c>
      <c r="C355" s="51"/>
      <c r="D355" s="51"/>
      <c r="E355" s="11">
        <v>0</v>
      </c>
      <c r="F355" s="11">
        <v>0</v>
      </c>
      <c r="G355" s="11">
        <v>0</v>
      </c>
      <c r="H355" s="51"/>
      <c r="I355" s="51"/>
      <c r="J355" s="51"/>
      <c r="K355" s="51"/>
      <c r="L355" s="11">
        <v>0</v>
      </c>
      <c r="M355" s="51"/>
      <c r="N355" s="51"/>
      <c r="O355" s="51"/>
      <c r="P355" s="51"/>
      <c r="Q355" s="11">
        <v>0</v>
      </c>
      <c r="R355" s="51"/>
      <c r="S355" s="51"/>
      <c r="T355" s="51"/>
      <c r="U355" s="51"/>
      <c r="V355" s="11">
        <v>0</v>
      </c>
      <c r="W355" s="51"/>
      <c r="X355" s="51"/>
      <c r="Y355" s="51"/>
      <c r="Z355" s="51"/>
      <c r="AA355" s="11">
        <v>0</v>
      </c>
      <c r="AB355" s="51"/>
      <c r="AC355" s="51"/>
      <c r="AD355" s="51"/>
      <c r="AE355" s="51"/>
      <c r="AF355" s="11">
        <v>0</v>
      </c>
      <c r="AG355" s="51"/>
      <c r="AH355" s="51"/>
      <c r="AI355" s="51"/>
      <c r="AJ355" s="51"/>
      <c r="AK355" s="11">
        <f t="shared" si="469"/>
        <v>0</v>
      </c>
      <c r="AL355" s="51"/>
      <c r="AM355" s="51"/>
      <c r="AN355" s="51"/>
      <c r="AO355" s="51"/>
      <c r="AP355" s="11">
        <f t="shared" si="470"/>
        <v>0</v>
      </c>
      <c r="AQ355" s="51"/>
      <c r="AR355" s="51"/>
      <c r="AS355" s="51"/>
      <c r="AT355" s="51"/>
      <c r="AU355" s="11">
        <f t="shared" si="471"/>
        <v>0</v>
      </c>
      <c r="AV355" s="51"/>
      <c r="AW355" s="51"/>
      <c r="AX355" s="51"/>
      <c r="AY355" s="51"/>
      <c r="AZ355" s="11">
        <f t="shared" si="472"/>
        <v>0</v>
      </c>
      <c r="BA355" s="51"/>
      <c r="BB355" s="51"/>
      <c r="BC355" s="51"/>
      <c r="BD355" s="51"/>
      <c r="BE355" s="11">
        <f t="shared" si="473"/>
        <v>0</v>
      </c>
      <c r="BF355" s="51"/>
      <c r="BG355" s="51"/>
      <c r="BH355" s="51"/>
      <c r="BI355" s="51"/>
      <c r="BJ355" s="11">
        <f t="shared" si="474"/>
        <v>0</v>
      </c>
      <c r="BK355" s="51"/>
      <c r="BL355" s="51"/>
      <c r="BM355" s="51"/>
      <c r="BN355" s="51"/>
      <c r="BO355" s="11">
        <f t="shared" si="475"/>
        <v>0</v>
      </c>
      <c r="BP355" s="51"/>
      <c r="BQ355" s="51"/>
      <c r="BR355" s="51"/>
      <c r="BS355" s="51"/>
      <c r="BT355" s="51"/>
      <c r="BU355" s="51"/>
      <c r="BV355" s="51"/>
      <c r="BW355" s="51"/>
      <c r="BX355" s="51"/>
      <c r="BY355" s="51"/>
      <c r="BZ355" s="51"/>
      <c r="CA355" s="51"/>
      <c r="CB355" s="51"/>
      <c r="CC355" s="51"/>
      <c r="CD355" s="51"/>
      <c r="CE355" s="11"/>
      <c r="CF355" s="11"/>
      <c r="CG355" s="11"/>
      <c r="CH355" s="11"/>
      <c r="CI355" s="11"/>
    </row>
    <row r="356" spans="1:87">
      <c r="A356" s="11"/>
      <c r="B356" s="11" t="s">
        <v>2247</v>
      </c>
      <c r="C356" s="51"/>
      <c r="D356" s="51"/>
      <c r="E356" s="11">
        <f t="shared" ref="E356:G358" si="476">E133-E302</f>
        <v>0</v>
      </c>
      <c r="F356" s="11">
        <f t="shared" si="476"/>
        <v>0</v>
      </c>
      <c r="G356" s="11">
        <f t="shared" si="476"/>
        <v>0</v>
      </c>
      <c r="H356" s="51"/>
      <c r="I356" s="51"/>
      <c r="J356" s="51"/>
      <c r="K356" s="51"/>
      <c r="L356" s="11">
        <f>L133-L302</f>
        <v>53.62</v>
      </c>
      <c r="M356" s="51"/>
      <c r="N356" s="51"/>
      <c r="O356" s="51"/>
      <c r="P356" s="51"/>
      <c r="Q356" s="11">
        <f>Q133-Q302</f>
        <v>46.9</v>
      </c>
      <c r="R356" s="51"/>
      <c r="S356" s="51"/>
      <c r="T356" s="51"/>
      <c r="U356" s="51"/>
      <c r="V356" s="11">
        <f>V133-V302</f>
        <v>26.9</v>
      </c>
      <c r="W356" s="51"/>
      <c r="X356" s="51"/>
      <c r="Y356" s="51"/>
      <c r="Z356" s="51"/>
      <c r="AA356" s="11">
        <f>AA133-AA302</f>
        <v>-28.799999999999997</v>
      </c>
      <c r="AB356" s="51"/>
      <c r="AC356" s="51"/>
      <c r="AD356" s="51"/>
      <c r="AE356" s="51"/>
      <c r="AF356" s="11">
        <f>AF133-AF302</f>
        <v>-21.949999999999989</v>
      </c>
      <c r="AG356" s="51"/>
      <c r="AH356" s="51"/>
      <c r="AI356" s="51"/>
      <c r="AJ356" s="51"/>
      <c r="AK356" s="11">
        <f t="shared" si="469"/>
        <v>4</v>
      </c>
      <c r="AL356" s="51"/>
      <c r="AM356" s="51"/>
      <c r="AN356" s="51"/>
      <c r="AO356" s="51"/>
      <c r="AP356" s="11">
        <f t="shared" si="470"/>
        <v>0</v>
      </c>
      <c r="AQ356" s="51"/>
      <c r="AR356" s="51"/>
      <c r="AS356" s="51"/>
      <c r="AT356" s="51"/>
      <c r="AU356" s="11">
        <f t="shared" si="471"/>
        <v>0</v>
      </c>
      <c r="AV356" s="51"/>
      <c r="AW356" s="51"/>
      <c r="AX356" s="51"/>
      <c r="AY356" s="51"/>
      <c r="AZ356" s="11">
        <f t="shared" si="472"/>
        <v>0</v>
      </c>
      <c r="BA356" s="51"/>
      <c r="BB356" s="51"/>
      <c r="BC356" s="51"/>
      <c r="BD356" s="51"/>
      <c r="BE356" s="11">
        <f t="shared" si="473"/>
        <v>0</v>
      </c>
      <c r="BF356" s="51"/>
      <c r="BG356" s="51"/>
      <c r="BH356" s="51"/>
      <c r="BI356" s="51"/>
      <c r="BJ356" s="11">
        <f t="shared" si="474"/>
        <v>0</v>
      </c>
      <c r="BK356" s="51"/>
      <c r="BL356" s="51"/>
      <c r="BM356" s="51"/>
      <c r="BN356" s="51"/>
      <c r="BO356" s="11">
        <f t="shared" si="475"/>
        <v>0</v>
      </c>
      <c r="BP356" s="51"/>
      <c r="BQ356" s="51"/>
      <c r="BR356" s="51"/>
      <c r="BS356" s="51"/>
      <c r="BT356" s="51"/>
      <c r="BU356" s="51"/>
      <c r="BV356" s="51"/>
      <c r="BW356" s="51"/>
      <c r="BX356" s="51"/>
      <c r="BY356" s="51"/>
      <c r="BZ356" s="51"/>
      <c r="CA356" s="51"/>
      <c r="CB356" s="51"/>
      <c r="CC356" s="51"/>
      <c r="CD356" s="51"/>
      <c r="CE356" s="11"/>
      <c r="CF356" s="11"/>
      <c r="CG356" s="11"/>
      <c r="CH356" s="11"/>
      <c r="CI356" s="11"/>
    </row>
    <row r="357" spans="1:87">
      <c r="A357" s="11"/>
      <c r="B357" s="11" t="s">
        <v>1280</v>
      </c>
      <c r="C357" s="51"/>
      <c r="D357" s="51"/>
      <c r="E357" s="11">
        <f t="shared" si="476"/>
        <v>224</v>
      </c>
      <c r="F357" s="11">
        <f t="shared" si="476"/>
        <v>536.5</v>
      </c>
      <c r="G357" s="11">
        <f t="shared" si="476"/>
        <v>482.59999999999991</v>
      </c>
      <c r="H357" s="51"/>
      <c r="I357" s="51"/>
      <c r="J357" s="51"/>
      <c r="K357" s="51"/>
      <c r="L357" s="11">
        <f>L134-L303</f>
        <v>741.25</v>
      </c>
      <c r="M357" s="51"/>
      <c r="N357" s="51"/>
      <c r="O357" s="51"/>
      <c r="P357" s="51"/>
      <c r="Q357" s="11">
        <f>Q134-Q303</f>
        <v>841.65000000000009</v>
      </c>
      <c r="R357" s="51"/>
      <c r="S357" s="51"/>
      <c r="T357" s="51"/>
      <c r="U357" s="51"/>
      <c r="V357" s="11">
        <f>V134-V303</f>
        <v>845.8</v>
      </c>
      <c r="W357" s="51"/>
      <c r="X357" s="51"/>
      <c r="Y357" s="51"/>
      <c r="Z357" s="51"/>
      <c r="AA357" s="11">
        <f>AA134-AA303</f>
        <v>784.71</v>
      </c>
      <c r="AB357" s="51"/>
      <c r="AC357" s="51"/>
      <c r="AD357" s="51"/>
      <c r="AE357" s="51"/>
      <c r="AF357" s="11">
        <f>AF134-AF303</f>
        <v>820.63000000000011</v>
      </c>
      <c r="AG357" s="51"/>
      <c r="AH357" s="51"/>
      <c r="AI357" s="51"/>
      <c r="AJ357" s="51"/>
      <c r="AK357" s="11">
        <f t="shared" si="469"/>
        <v>613.20000000000005</v>
      </c>
      <c r="AL357" s="51"/>
      <c r="AM357" s="51"/>
      <c r="AN357" s="51"/>
      <c r="AO357" s="51"/>
      <c r="AP357" s="11">
        <f t="shared" si="470"/>
        <v>623.14999999999986</v>
      </c>
      <c r="AQ357" s="51"/>
      <c r="AR357" s="51"/>
      <c r="AS357" s="51"/>
      <c r="AT357" s="51"/>
      <c r="AU357" s="11">
        <f t="shared" si="471"/>
        <v>723.16000000000008</v>
      </c>
      <c r="AV357" s="51"/>
      <c r="AW357" s="51"/>
      <c r="AX357" s="51"/>
      <c r="AY357" s="51"/>
      <c r="AZ357" s="11">
        <f t="shared" si="472"/>
        <v>701.84999999999991</v>
      </c>
      <c r="BA357" s="51"/>
      <c r="BB357" s="51"/>
      <c r="BC357" s="51"/>
      <c r="BD357" s="51"/>
      <c r="BE357" s="11">
        <f t="shared" si="473"/>
        <v>609.08999999999992</v>
      </c>
      <c r="BF357" s="51"/>
      <c r="BG357" s="51"/>
      <c r="BH357" s="51"/>
      <c r="BI357" s="51"/>
      <c r="BJ357" s="11">
        <f t="shared" si="474"/>
        <v>558.61999999999989</v>
      </c>
      <c r="BK357" s="51"/>
      <c r="BL357" s="51"/>
      <c r="BM357" s="51"/>
      <c r="BN357" s="51"/>
      <c r="BO357" s="11">
        <f t="shared" si="475"/>
        <v>684.58999999999992</v>
      </c>
      <c r="BP357" s="51"/>
      <c r="BQ357" s="51"/>
      <c r="BR357" s="51"/>
      <c r="BS357" s="51"/>
      <c r="BT357" s="51"/>
      <c r="BU357" s="51"/>
      <c r="BV357" s="51"/>
      <c r="BW357" s="51"/>
      <c r="BX357" s="51"/>
      <c r="BY357" s="51"/>
      <c r="BZ357" s="51"/>
      <c r="CA357" s="51"/>
      <c r="CB357" s="51"/>
      <c r="CC357" s="51"/>
      <c r="CD357" s="51"/>
      <c r="CE357" s="11"/>
      <c r="CF357" s="11"/>
      <c r="CG357" s="11"/>
      <c r="CH357" s="11"/>
      <c r="CI357" s="11"/>
    </row>
    <row r="358" spans="1:87">
      <c r="A358" s="11"/>
      <c r="B358" s="11" t="s">
        <v>1036</v>
      </c>
      <c r="C358" s="51"/>
      <c r="D358" s="51"/>
      <c r="E358" s="11">
        <f t="shared" si="476"/>
        <v>-22.58</v>
      </c>
      <c r="F358" s="11">
        <f t="shared" si="476"/>
        <v>-12.19</v>
      </c>
      <c r="G358" s="11">
        <f t="shared" si="476"/>
        <v>-12.51</v>
      </c>
      <c r="H358" s="51"/>
      <c r="I358" s="51"/>
      <c r="J358" s="51"/>
      <c r="K358" s="51"/>
      <c r="L358" s="11">
        <f>L135-L304</f>
        <v>-6.49</v>
      </c>
      <c r="M358" s="51"/>
      <c r="N358" s="51"/>
      <c r="O358" s="51"/>
      <c r="P358" s="51"/>
      <c r="Q358" s="11">
        <f>Q135-Q304</f>
        <v>1.7999999999999998</v>
      </c>
      <c r="R358" s="51"/>
      <c r="S358" s="51"/>
      <c r="T358" s="51"/>
      <c r="U358" s="51"/>
      <c r="V358" s="11">
        <f>V135-V304</f>
        <v>-4.08</v>
      </c>
      <c r="W358" s="51"/>
      <c r="X358" s="51"/>
      <c r="Y358" s="51"/>
      <c r="Z358" s="51"/>
      <c r="AA358" s="11">
        <f>AA135-AA304</f>
        <v>-2.12</v>
      </c>
      <c r="AB358" s="51"/>
      <c r="AC358" s="51"/>
      <c r="AD358" s="51"/>
      <c r="AE358" s="51"/>
      <c r="AF358" s="11">
        <f>AF135-AF304</f>
        <v>2.17</v>
      </c>
      <c r="AG358" s="51"/>
      <c r="AH358" s="51"/>
      <c r="AI358" s="51"/>
      <c r="AJ358" s="51"/>
      <c r="AK358" s="11">
        <f t="shared" si="469"/>
        <v>2.9000000000000004</v>
      </c>
      <c r="AL358" s="51"/>
      <c r="AM358" s="51"/>
      <c r="AN358" s="51"/>
      <c r="AO358" s="51"/>
      <c r="AP358" s="11">
        <f t="shared" si="470"/>
        <v>5</v>
      </c>
      <c r="AQ358" s="51"/>
      <c r="AR358" s="51"/>
      <c r="AS358" s="51"/>
      <c r="AT358" s="51"/>
      <c r="AU358" s="11">
        <f t="shared" si="471"/>
        <v>0</v>
      </c>
      <c r="AV358" s="51"/>
      <c r="AW358" s="51"/>
      <c r="AX358" s="51"/>
      <c r="AY358" s="51"/>
      <c r="AZ358" s="11">
        <f t="shared" si="472"/>
        <v>0</v>
      </c>
      <c r="BA358" s="51"/>
      <c r="BB358" s="51"/>
      <c r="BC358" s="51"/>
      <c r="BD358" s="51"/>
      <c r="BE358" s="11">
        <f t="shared" si="473"/>
        <v>0</v>
      </c>
      <c r="BF358" s="51"/>
      <c r="BG358" s="51"/>
      <c r="BH358" s="51"/>
      <c r="BI358" s="51"/>
      <c r="BJ358" s="11">
        <f t="shared" si="474"/>
        <v>0</v>
      </c>
      <c r="BK358" s="51"/>
      <c r="BL358" s="51"/>
      <c r="BM358" s="51"/>
      <c r="BN358" s="51"/>
      <c r="BO358" s="11">
        <f t="shared" si="475"/>
        <v>0</v>
      </c>
      <c r="BP358" s="51"/>
      <c r="BQ358" s="51"/>
      <c r="BR358" s="51"/>
      <c r="BS358" s="51"/>
      <c r="BT358" s="51"/>
      <c r="BU358" s="51"/>
      <c r="BV358" s="51"/>
      <c r="BW358" s="51"/>
      <c r="BX358" s="51"/>
      <c r="BY358" s="51"/>
      <c r="BZ358" s="51"/>
      <c r="CA358" s="51"/>
      <c r="CB358" s="51"/>
      <c r="CC358" s="51"/>
      <c r="CD358" s="51"/>
      <c r="CE358" s="11"/>
      <c r="CF358" s="11"/>
      <c r="CG358" s="11"/>
      <c r="CH358" s="11"/>
      <c r="CI358" s="11"/>
    </row>
    <row r="359" spans="1:87">
      <c r="A359" s="39" t="s">
        <v>119</v>
      </c>
      <c r="B359" s="39"/>
      <c r="C359" s="52"/>
      <c r="D359" s="52"/>
      <c r="E359" s="39">
        <f>SUM(E353:E358)</f>
        <v>212.39</v>
      </c>
      <c r="F359" s="39">
        <f>SUM(F353:F358)</f>
        <v>526.86199999999997</v>
      </c>
      <c r="G359" s="39">
        <f>SUM(G353:G358)</f>
        <v>476.66799999999989</v>
      </c>
      <c r="H359" s="51"/>
      <c r="I359" s="51"/>
      <c r="J359" s="51"/>
      <c r="K359" s="51"/>
      <c r="L359" s="39">
        <f>SUM(L353:L358)</f>
        <v>824.952</v>
      </c>
      <c r="M359" s="51"/>
      <c r="N359" s="51"/>
      <c r="O359" s="51"/>
      <c r="P359" s="51"/>
      <c r="Q359" s="39">
        <f>SUM(Q353:Q358)</f>
        <v>956.55400000000009</v>
      </c>
      <c r="R359" s="51"/>
      <c r="S359" s="51"/>
      <c r="T359" s="51"/>
      <c r="U359" s="51"/>
      <c r="V359" s="39">
        <f>SUM(V353:V358)</f>
        <v>936.31599999999992</v>
      </c>
      <c r="W359" s="51"/>
      <c r="X359" s="51"/>
      <c r="Y359" s="51"/>
      <c r="Z359" s="51"/>
      <c r="AA359" s="39">
        <f>SUM(AA353:AA358)</f>
        <v>773.26800000000003</v>
      </c>
      <c r="AB359" s="51"/>
      <c r="AC359" s="51"/>
      <c r="AD359" s="51"/>
      <c r="AE359" s="51"/>
      <c r="AF359" s="39">
        <f>SUM(AF353:AF358)</f>
        <v>823.62600000000009</v>
      </c>
      <c r="AG359" s="51"/>
      <c r="AH359" s="51"/>
      <c r="AI359" s="51"/>
      <c r="AJ359" s="51"/>
      <c r="AK359" s="39">
        <f>SUM(AK353:AK358)</f>
        <v>637.87599999999998</v>
      </c>
      <c r="AL359" s="51"/>
      <c r="AM359" s="51"/>
      <c r="AN359" s="51"/>
      <c r="AO359" s="51"/>
      <c r="AP359" s="39">
        <f>SUM(AP353:AP358)</f>
        <v>654.92399999999986</v>
      </c>
      <c r="AQ359" s="51"/>
      <c r="AR359" s="51"/>
      <c r="AS359" s="51"/>
      <c r="AT359" s="51"/>
      <c r="AU359" s="39">
        <f>SUM(AU353:AU358)</f>
        <v>762.65200000000004</v>
      </c>
      <c r="AV359" s="51"/>
      <c r="AW359" s="51"/>
      <c r="AX359" s="51"/>
      <c r="AY359" s="51"/>
      <c r="AZ359" s="39">
        <f>SUM(AZ353:AZ358)</f>
        <v>755.56599999999992</v>
      </c>
      <c r="BA359" s="51"/>
      <c r="BB359" s="51"/>
      <c r="BC359" s="51"/>
      <c r="BD359" s="51"/>
      <c r="BE359" s="39">
        <f>SUM(BE353:BE358)</f>
        <v>667.18999999999994</v>
      </c>
      <c r="BF359" s="51"/>
      <c r="BG359" s="51"/>
      <c r="BH359" s="51"/>
      <c r="BI359" s="51"/>
      <c r="BJ359" s="39">
        <f>SUM(BJ353:BJ358)</f>
        <v>616.71399999999994</v>
      </c>
      <c r="BK359" s="51"/>
      <c r="BL359" s="51"/>
      <c r="BM359" s="51"/>
      <c r="BN359" s="51"/>
      <c r="BO359" s="39">
        <f>SUM(BO353:BO358)</f>
        <v>752.17199999999991</v>
      </c>
      <c r="BP359" s="570">
        <v>600</v>
      </c>
      <c r="BQ359" s="570">
        <v>600</v>
      </c>
      <c r="BR359" s="570">
        <v>600</v>
      </c>
      <c r="BS359" s="570">
        <v>600</v>
      </c>
      <c r="BT359" s="571">
        <f t="shared" ref="BT359" si="477">AVERAGE(BP359:BS359)</f>
        <v>600</v>
      </c>
      <c r="BU359" s="570">
        <v>500</v>
      </c>
      <c r="BV359" s="570">
        <v>500</v>
      </c>
      <c r="BW359" s="570">
        <v>500</v>
      </c>
      <c r="BX359" s="570">
        <v>500</v>
      </c>
      <c r="BY359" s="571">
        <f t="shared" ref="BY359" si="478">AVERAGE(BU359:BX359)</f>
        <v>500</v>
      </c>
      <c r="BZ359" s="570">
        <v>500</v>
      </c>
      <c r="CA359" s="570">
        <v>500</v>
      </c>
      <c r="CB359" s="570">
        <v>500</v>
      </c>
      <c r="CC359" s="570">
        <v>500</v>
      </c>
      <c r="CD359" s="571">
        <f t="shared" ref="CD359" si="479">AVERAGE(BZ359:CC359)</f>
        <v>500</v>
      </c>
      <c r="CE359" s="22"/>
      <c r="CF359" s="11"/>
      <c r="CG359" s="11"/>
      <c r="CH359" s="11"/>
      <c r="CI359" s="11"/>
    </row>
    <row r="361" spans="1:87">
      <c r="A361" s="39" t="s">
        <v>120</v>
      </c>
      <c r="B361" s="11"/>
      <c r="C361" s="51"/>
      <c r="D361" s="51"/>
      <c r="E361" s="11"/>
      <c r="F361" s="11"/>
      <c r="G361" s="11"/>
      <c r="H361" s="51"/>
      <c r="I361" s="51"/>
      <c r="J361" s="51"/>
      <c r="K361" s="51"/>
      <c r="L361" s="11"/>
      <c r="M361" s="68"/>
      <c r="N361" s="68"/>
      <c r="O361" s="68"/>
      <c r="P361" s="68"/>
      <c r="Q361" s="11"/>
      <c r="R361" s="68"/>
      <c r="S361" s="68"/>
      <c r="T361" s="68"/>
      <c r="U361" s="68"/>
      <c r="V361" s="11"/>
      <c r="W361" s="68"/>
      <c r="X361" s="68"/>
      <c r="Y361" s="68"/>
      <c r="Z361" s="68"/>
      <c r="AA361" s="11"/>
      <c r="AB361" s="68"/>
      <c r="AC361" s="68"/>
      <c r="AD361" s="68"/>
      <c r="AE361" s="68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  <c r="BL361" s="11"/>
      <c r="BM361" s="11"/>
      <c r="BN361" s="11"/>
      <c r="BO361" s="11"/>
      <c r="BP361" s="11"/>
      <c r="BQ361" s="11"/>
      <c r="BR361" s="11"/>
      <c r="BS361" s="11"/>
      <c r="BT361" s="11"/>
      <c r="BU361" s="11"/>
      <c r="BV361" s="11"/>
      <c r="BW361" s="11"/>
      <c r="BX361" s="11"/>
      <c r="BY361" s="11"/>
      <c r="BZ361" s="11"/>
      <c r="CA361" s="11"/>
      <c r="CB361" s="11"/>
      <c r="CC361" s="11"/>
      <c r="CD361" s="11"/>
      <c r="CE361" s="5"/>
      <c r="CF361" s="5"/>
      <c r="CG361" s="5"/>
      <c r="CH361" s="5"/>
      <c r="CI361" s="5"/>
    </row>
    <row r="362" spans="1:87">
      <c r="A362" s="11"/>
      <c r="B362" s="11" t="s">
        <v>1473</v>
      </c>
      <c r="C362" s="51"/>
      <c r="D362" s="51"/>
      <c r="E362" s="11">
        <f t="shared" ref="E362:G364" si="480">E139-E308</f>
        <v>0</v>
      </c>
      <c r="F362" s="11">
        <f t="shared" si="480"/>
        <v>0</v>
      </c>
      <c r="G362" s="11">
        <f t="shared" si="480"/>
        <v>0</v>
      </c>
      <c r="H362" s="51"/>
      <c r="I362" s="51"/>
      <c r="J362" s="51"/>
      <c r="K362" s="51"/>
      <c r="L362" s="11">
        <f>L139-L308</f>
        <v>1.1999999999999886</v>
      </c>
      <c r="M362" s="51"/>
      <c r="N362" s="51"/>
      <c r="O362" s="51"/>
      <c r="P362" s="51"/>
      <c r="Q362" s="11">
        <f>Q139-Q308</f>
        <v>-3.0800000000000125</v>
      </c>
      <c r="R362" s="51"/>
      <c r="S362" s="51"/>
      <c r="T362" s="51"/>
      <c r="U362" s="51"/>
      <c r="V362" s="11">
        <f>V139-V308</f>
        <v>-11.650000000000006</v>
      </c>
      <c r="W362" s="51"/>
      <c r="X362" s="51"/>
      <c r="Y362" s="51"/>
      <c r="Z362" s="51"/>
      <c r="AA362" s="11">
        <f>AA139-AA308</f>
        <v>18.77000000000001</v>
      </c>
      <c r="AB362" s="51"/>
      <c r="AC362" s="51"/>
      <c r="AD362" s="51"/>
      <c r="AE362" s="51"/>
      <c r="AF362" s="11">
        <f>AF139-AF308</f>
        <v>-10.039999999999992</v>
      </c>
      <c r="AG362" s="51"/>
      <c r="AH362" s="51"/>
      <c r="AI362" s="51"/>
      <c r="AJ362" s="51"/>
      <c r="AK362" s="11">
        <f>AK139-AK308</f>
        <v>-13.260000000000005</v>
      </c>
      <c r="AL362" s="51"/>
      <c r="AM362" s="51"/>
      <c r="AN362" s="51"/>
      <c r="AO362" s="51"/>
      <c r="AP362" s="11">
        <f>AP139-AP308</f>
        <v>-17.939999999999998</v>
      </c>
      <c r="AQ362" s="51"/>
      <c r="AR362" s="51"/>
      <c r="AS362" s="51"/>
      <c r="AT362" s="51"/>
      <c r="AU362" s="11">
        <f>AU139-AU308</f>
        <v>-18.740000000000009</v>
      </c>
      <c r="AV362" s="51"/>
      <c r="AW362" s="51"/>
      <c r="AX362" s="51"/>
      <c r="AY362" s="51"/>
      <c r="AZ362" s="11">
        <f>AZ139-AZ308</f>
        <v>-17.370000000000005</v>
      </c>
      <c r="BA362" s="51"/>
      <c r="BB362" s="51"/>
      <c r="BC362" s="51"/>
      <c r="BD362" s="51"/>
      <c r="BE362" s="11">
        <f>BE139-BE308</f>
        <v>37.759999999999991</v>
      </c>
      <c r="BF362" s="51"/>
      <c r="BG362" s="51"/>
      <c r="BH362" s="51"/>
      <c r="BI362" s="51"/>
      <c r="BJ362" s="11">
        <f>BJ139-BJ308</f>
        <v>44.47999999999999</v>
      </c>
      <c r="BK362" s="51"/>
      <c r="BL362" s="51"/>
      <c r="BM362" s="51"/>
      <c r="BN362" s="51"/>
      <c r="BO362" s="11">
        <f>BO139-BO308</f>
        <v>53.289999999999992</v>
      </c>
      <c r="BP362" s="51"/>
      <c r="BQ362" s="51"/>
      <c r="BR362" s="51"/>
      <c r="BS362" s="51"/>
      <c r="BT362" s="51"/>
      <c r="BU362" s="51"/>
      <c r="BV362" s="51"/>
      <c r="BW362" s="51"/>
      <c r="BX362" s="51"/>
      <c r="BY362" s="51"/>
      <c r="BZ362" s="51"/>
      <c r="CA362" s="51"/>
      <c r="CB362" s="51"/>
      <c r="CC362" s="51"/>
      <c r="CD362" s="51"/>
      <c r="CE362" s="5"/>
      <c r="CF362" s="5"/>
      <c r="CG362" s="5"/>
      <c r="CH362" s="5"/>
      <c r="CI362" s="5"/>
    </row>
    <row r="363" spans="1:87">
      <c r="A363" s="11"/>
      <c r="B363" s="11" t="s">
        <v>1934</v>
      </c>
      <c r="C363" s="51"/>
      <c r="D363" s="51"/>
      <c r="E363" s="11">
        <f t="shared" si="480"/>
        <v>0</v>
      </c>
      <c r="F363" s="11">
        <f t="shared" si="480"/>
        <v>0</v>
      </c>
      <c r="G363" s="11">
        <f t="shared" si="480"/>
        <v>0</v>
      </c>
      <c r="H363" s="51"/>
      <c r="I363" s="51"/>
      <c r="J363" s="51"/>
      <c r="K363" s="51"/>
      <c r="L363" s="11">
        <f>L140-L309</f>
        <v>0</v>
      </c>
      <c r="M363" s="51"/>
      <c r="N363" s="51"/>
      <c r="O363" s="51"/>
      <c r="P363" s="51"/>
      <c r="Q363" s="11">
        <f>Q140-Q309</f>
        <v>0</v>
      </c>
      <c r="R363" s="51"/>
      <c r="S363" s="51"/>
      <c r="T363" s="51"/>
      <c r="U363" s="51"/>
      <c r="V363" s="11">
        <f>V140-V309</f>
        <v>0</v>
      </c>
      <c r="W363" s="51"/>
      <c r="X363" s="51"/>
      <c r="Y363" s="51"/>
      <c r="Z363" s="51"/>
      <c r="AA363" s="11">
        <f>AA140-AA309</f>
        <v>0</v>
      </c>
      <c r="AB363" s="51"/>
      <c r="AC363" s="51"/>
      <c r="AD363" s="51"/>
      <c r="AE363" s="51"/>
      <c r="AF363" s="11">
        <f>AF140-AF309</f>
        <v>0</v>
      </c>
      <c r="AG363" s="51"/>
      <c r="AH363" s="51"/>
      <c r="AI363" s="51"/>
      <c r="AJ363" s="51"/>
      <c r="AK363" s="11">
        <f>AK140-AK309</f>
        <v>0</v>
      </c>
      <c r="AL363" s="51"/>
      <c r="AM363" s="51"/>
      <c r="AN363" s="51"/>
      <c r="AO363" s="51"/>
      <c r="AP363" s="11">
        <f>AP140-AP309</f>
        <v>0</v>
      </c>
      <c r="AQ363" s="51"/>
      <c r="AR363" s="51"/>
      <c r="AS363" s="51"/>
      <c r="AT363" s="51"/>
      <c r="AU363" s="11">
        <f>AU140-AU309</f>
        <v>-19.149999999999999</v>
      </c>
      <c r="AV363" s="51"/>
      <c r="AW363" s="51"/>
      <c r="AX363" s="51"/>
      <c r="AY363" s="51"/>
      <c r="AZ363" s="11">
        <f>AZ140-AZ309</f>
        <v>-23.7</v>
      </c>
      <c r="BA363" s="51"/>
      <c r="BB363" s="51"/>
      <c r="BC363" s="51"/>
      <c r="BD363" s="51"/>
      <c r="BE363" s="11">
        <f>BE140-BE309</f>
        <v>-17</v>
      </c>
      <c r="BF363" s="51"/>
      <c r="BG363" s="51"/>
      <c r="BH363" s="51"/>
      <c r="BI363" s="51"/>
      <c r="BJ363" s="11">
        <f>BJ140-BJ309</f>
        <v>-20.079999999999998</v>
      </c>
      <c r="BK363" s="51"/>
      <c r="BL363" s="51"/>
      <c r="BM363" s="51"/>
      <c r="BN363" s="51"/>
      <c r="BO363" s="11">
        <f>BO140-BO309</f>
        <v>-27.459999999999994</v>
      </c>
      <c r="BP363" s="51"/>
      <c r="BQ363" s="51"/>
      <c r="BR363" s="51"/>
      <c r="BS363" s="51"/>
      <c r="BT363" s="51"/>
      <c r="BU363" s="51"/>
      <c r="BV363" s="51"/>
      <c r="BW363" s="51"/>
      <c r="BX363" s="51"/>
      <c r="BY363" s="51"/>
      <c r="BZ363" s="51"/>
      <c r="CA363" s="51"/>
      <c r="CB363" s="51"/>
      <c r="CC363" s="51"/>
      <c r="CD363" s="51"/>
      <c r="CE363" s="5"/>
      <c r="CF363" s="5"/>
      <c r="CG363" s="5"/>
      <c r="CH363" s="5"/>
      <c r="CI363" s="5"/>
    </row>
    <row r="364" spans="1:87">
      <c r="A364" s="11"/>
      <c r="B364" s="11" t="s">
        <v>2251</v>
      </c>
      <c r="C364" s="51"/>
      <c r="D364" s="51"/>
      <c r="E364" s="11">
        <f t="shared" si="480"/>
        <v>-3.6100000000000136</v>
      </c>
      <c r="F364" s="11">
        <f t="shared" si="480"/>
        <v>-11.030000000000001</v>
      </c>
      <c r="G364" s="11">
        <f t="shared" si="480"/>
        <v>-9.9199999999999875</v>
      </c>
      <c r="H364" s="51"/>
      <c r="I364" s="51"/>
      <c r="J364" s="51"/>
      <c r="K364" s="51"/>
      <c r="L364" s="11">
        <f>L141-L310</f>
        <v>19.22999999999999</v>
      </c>
      <c r="M364" s="51"/>
      <c r="N364" s="51"/>
      <c r="O364" s="51"/>
      <c r="P364" s="51"/>
      <c r="Q364" s="11">
        <f>Q141-Q310</f>
        <v>-110.16999999999996</v>
      </c>
      <c r="R364" s="51"/>
      <c r="S364" s="51"/>
      <c r="T364" s="51"/>
      <c r="U364" s="51"/>
      <c r="V364" s="11">
        <f>V141-V310</f>
        <v>-109.25000000000006</v>
      </c>
      <c r="W364" s="51"/>
      <c r="X364" s="51"/>
      <c r="Y364" s="51"/>
      <c r="Z364" s="51"/>
      <c r="AA364" s="11">
        <f>AA141-AA310</f>
        <v>-6.6499999999999773</v>
      </c>
      <c r="AB364" s="51"/>
      <c r="AC364" s="51"/>
      <c r="AD364" s="51"/>
      <c r="AE364" s="51"/>
      <c r="AF364" s="11">
        <f>AF141-AF310</f>
        <v>-45.220000000000027</v>
      </c>
      <c r="AG364" s="51"/>
      <c r="AH364" s="51"/>
      <c r="AI364" s="51"/>
      <c r="AJ364" s="51"/>
      <c r="AK364" s="11">
        <f>AK141-AK310</f>
        <v>-50.829999999999984</v>
      </c>
      <c r="AL364" s="51"/>
      <c r="AM364" s="51"/>
      <c r="AN364" s="51"/>
      <c r="AO364" s="51"/>
      <c r="AP364" s="11">
        <f>AP141-AP310</f>
        <v>-20.160000000000025</v>
      </c>
      <c r="AQ364" s="51"/>
      <c r="AR364" s="51"/>
      <c r="AS364" s="51"/>
      <c r="AT364" s="51"/>
      <c r="AU364" s="11">
        <f>AU141-AU310</f>
        <v>-13.870000000000005</v>
      </c>
      <c r="AV364" s="51"/>
      <c r="AW364" s="51"/>
      <c r="AX364" s="51"/>
      <c r="AY364" s="51"/>
      <c r="AZ364" s="11">
        <f>AZ141-AZ310</f>
        <v>1.6899999999999977</v>
      </c>
      <c r="BA364" s="51"/>
      <c r="BB364" s="51"/>
      <c r="BC364" s="51"/>
      <c r="BD364" s="51"/>
      <c r="BE364" s="11">
        <f>BE141-BE310</f>
        <v>17.659999999999968</v>
      </c>
      <c r="BF364" s="51"/>
      <c r="BG364" s="51"/>
      <c r="BH364" s="51"/>
      <c r="BI364" s="51"/>
      <c r="BJ364" s="11">
        <f>BJ141-BJ310</f>
        <v>-11.310000000000059</v>
      </c>
      <c r="BK364" s="51"/>
      <c r="BL364" s="51"/>
      <c r="BM364" s="51"/>
      <c r="BN364" s="51"/>
      <c r="BO364" s="11">
        <f>BO141-BO310</f>
        <v>20.579999999999927</v>
      </c>
      <c r="BP364" s="51"/>
      <c r="BQ364" s="51"/>
      <c r="BR364" s="51"/>
      <c r="BS364" s="51"/>
      <c r="BT364" s="51"/>
      <c r="BU364" s="51"/>
      <c r="BV364" s="51"/>
      <c r="BW364" s="51"/>
      <c r="BX364" s="51"/>
      <c r="BY364" s="51"/>
      <c r="BZ364" s="51"/>
      <c r="CA364" s="51"/>
      <c r="CB364" s="51"/>
      <c r="CC364" s="51"/>
      <c r="CD364" s="51"/>
      <c r="CE364" s="5"/>
      <c r="CF364" s="5"/>
      <c r="CG364" s="5"/>
      <c r="CH364" s="5"/>
      <c r="CI364" s="5"/>
    </row>
    <row r="365" spans="1:87">
      <c r="A365" s="39" t="s">
        <v>2461</v>
      </c>
      <c r="B365" s="39"/>
      <c r="C365" s="52"/>
      <c r="D365" s="52"/>
      <c r="E365" s="39">
        <f>SUM(E362:E364)</f>
        <v>-3.6100000000000136</v>
      </c>
      <c r="F365" s="39">
        <f>SUM(F362:F364)</f>
        <v>-11.030000000000001</v>
      </c>
      <c r="G365" s="39">
        <f>SUM(G362:G364)</f>
        <v>-9.9199999999999875</v>
      </c>
      <c r="H365" s="51"/>
      <c r="I365" s="51"/>
      <c r="J365" s="51"/>
      <c r="K365" s="51"/>
      <c r="L365" s="39">
        <f>SUM(L362:L364)</f>
        <v>20.429999999999978</v>
      </c>
      <c r="M365" s="51"/>
      <c r="N365" s="51"/>
      <c r="O365" s="51"/>
      <c r="P365" s="51"/>
      <c r="Q365" s="39">
        <f>SUM(Q362:Q364)</f>
        <v>-113.24999999999997</v>
      </c>
      <c r="R365" s="51"/>
      <c r="S365" s="51"/>
      <c r="T365" s="51"/>
      <c r="U365" s="51"/>
      <c r="V365" s="39">
        <f>SUM(V362:V364)</f>
        <v>-120.90000000000006</v>
      </c>
      <c r="W365" s="51"/>
      <c r="X365" s="51"/>
      <c r="Y365" s="51"/>
      <c r="Z365" s="51"/>
      <c r="AA365" s="39">
        <f>SUM(AA362:AA364)</f>
        <v>12.120000000000033</v>
      </c>
      <c r="AB365" s="51"/>
      <c r="AC365" s="51"/>
      <c r="AD365" s="51"/>
      <c r="AE365" s="51"/>
      <c r="AF365" s="39">
        <f>SUM(AF362:AF364)</f>
        <v>-55.260000000000019</v>
      </c>
      <c r="AG365" s="51"/>
      <c r="AH365" s="51"/>
      <c r="AI365" s="51"/>
      <c r="AJ365" s="51"/>
      <c r="AK365" s="39">
        <f>SUM(AK362:AK364)</f>
        <v>-64.089999999999989</v>
      </c>
      <c r="AL365" s="51"/>
      <c r="AM365" s="51"/>
      <c r="AN365" s="51"/>
      <c r="AO365" s="51"/>
      <c r="AP365" s="39">
        <f>SUM(AP362:AP364)</f>
        <v>-38.100000000000023</v>
      </c>
      <c r="AQ365" s="51"/>
      <c r="AR365" s="51"/>
      <c r="AS365" s="51"/>
      <c r="AT365" s="51"/>
      <c r="AU365" s="39">
        <f>SUM(AU362:AU364)</f>
        <v>-51.760000000000012</v>
      </c>
      <c r="AV365" s="51"/>
      <c r="AW365" s="51"/>
      <c r="AX365" s="51"/>
      <c r="AY365" s="51"/>
      <c r="AZ365" s="39">
        <f>SUM(AZ362:AZ364)</f>
        <v>-39.38000000000001</v>
      </c>
      <c r="BA365" s="51"/>
      <c r="BB365" s="51"/>
      <c r="BC365" s="51"/>
      <c r="BD365" s="51"/>
      <c r="BE365" s="39">
        <f>SUM(BE362:BE364)</f>
        <v>38.419999999999959</v>
      </c>
      <c r="BF365" s="51"/>
      <c r="BG365" s="51"/>
      <c r="BH365" s="51"/>
      <c r="BI365" s="51"/>
      <c r="BJ365" s="39">
        <f>SUM(BJ362:BJ364)</f>
        <v>13.089999999999932</v>
      </c>
      <c r="BK365" s="51"/>
      <c r="BL365" s="51"/>
      <c r="BM365" s="51"/>
      <c r="BN365" s="51"/>
      <c r="BO365" s="39">
        <f>SUM(BO362:BO364)</f>
        <v>46.409999999999926</v>
      </c>
      <c r="BP365" s="570">
        <v>0</v>
      </c>
      <c r="BQ365" s="570">
        <v>0</v>
      </c>
      <c r="BR365" s="570">
        <v>0</v>
      </c>
      <c r="BS365" s="570">
        <v>0</v>
      </c>
      <c r="BT365" s="90">
        <f t="shared" ref="BT365" si="481">AVERAGE(BP365:BS365)</f>
        <v>0</v>
      </c>
      <c r="BU365" s="570">
        <v>0</v>
      </c>
      <c r="BV365" s="570">
        <v>0</v>
      </c>
      <c r="BW365" s="570">
        <v>0</v>
      </c>
      <c r="BX365" s="570">
        <v>0</v>
      </c>
      <c r="BY365" s="90">
        <f t="shared" ref="BY365" si="482">AVERAGE(BU365:BX365)</f>
        <v>0</v>
      </c>
      <c r="BZ365" s="570">
        <v>0</v>
      </c>
      <c r="CA365" s="570">
        <v>0</v>
      </c>
      <c r="CB365" s="570">
        <v>0</v>
      </c>
      <c r="CC365" s="570">
        <v>0</v>
      </c>
      <c r="CD365" s="90">
        <f t="shared" ref="CD365" si="483">AVERAGE(BZ365:CC365)</f>
        <v>0</v>
      </c>
      <c r="CE365" s="5"/>
      <c r="CF365" s="5"/>
      <c r="CG365" s="5"/>
      <c r="CH365" s="5"/>
      <c r="CI365" s="5"/>
    </row>
    <row r="367" spans="1:87">
      <c r="A367" s="39" t="s">
        <v>2462</v>
      </c>
      <c r="B367" s="11"/>
      <c r="C367" s="51"/>
      <c r="D367" s="51"/>
      <c r="E367" s="11"/>
      <c r="F367" s="11"/>
      <c r="G367" s="11"/>
      <c r="H367" s="51"/>
      <c r="I367" s="51"/>
      <c r="J367" s="51"/>
      <c r="K367" s="51"/>
      <c r="L367" s="11"/>
      <c r="M367" s="68"/>
      <c r="N367" s="68"/>
      <c r="O367" s="68"/>
      <c r="P367" s="68"/>
      <c r="Q367" s="11"/>
      <c r="R367" s="68"/>
      <c r="S367" s="68"/>
      <c r="T367" s="68"/>
      <c r="U367" s="68"/>
      <c r="V367" s="11"/>
      <c r="W367" s="68"/>
      <c r="X367" s="68"/>
      <c r="Y367" s="68"/>
      <c r="Z367" s="68"/>
      <c r="AA367" s="11"/>
      <c r="AB367" s="68"/>
      <c r="AC367" s="68"/>
      <c r="AD367" s="68"/>
      <c r="AE367" s="68"/>
      <c r="AF367" s="11"/>
      <c r="AG367" s="11"/>
      <c r="AH367" s="11"/>
      <c r="AI367" s="11"/>
      <c r="AJ367" s="11"/>
      <c r="AK367" s="11"/>
      <c r="AL367" s="11"/>
      <c r="AM367" s="11"/>
      <c r="AN367" s="11"/>
      <c r="AO367" s="11"/>
      <c r="AP367" s="11"/>
      <c r="AQ367" s="11"/>
      <c r="AR367" s="11"/>
      <c r="AS367" s="11"/>
      <c r="AT367" s="11"/>
      <c r="AU367" s="11"/>
      <c r="AV367" s="11"/>
      <c r="AW367" s="11"/>
      <c r="AX367" s="11"/>
      <c r="AY367" s="11"/>
      <c r="AZ367" s="11"/>
      <c r="BA367" s="11"/>
      <c r="BB367" s="11"/>
      <c r="BC367" s="11"/>
      <c r="BD367" s="11"/>
      <c r="BE367" s="11"/>
      <c r="BF367" s="11"/>
      <c r="BG367" s="11"/>
      <c r="BH367" s="11"/>
      <c r="BI367" s="11"/>
      <c r="BJ367" s="11"/>
      <c r="BK367" s="11"/>
      <c r="BL367" s="11"/>
      <c r="BM367" s="11"/>
      <c r="BN367" s="11"/>
      <c r="BO367" s="11"/>
      <c r="BP367" s="11"/>
      <c r="BQ367" s="11"/>
      <c r="BR367" s="11"/>
      <c r="BS367" s="11"/>
      <c r="BT367" s="11"/>
      <c r="BU367" s="11"/>
      <c r="BV367" s="11"/>
      <c r="BW367" s="11"/>
      <c r="BX367" s="11"/>
      <c r="BY367" s="11"/>
      <c r="BZ367" s="11"/>
      <c r="CA367" s="11"/>
      <c r="CB367" s="11"/>
      <c r="CC367" s="11"/>
      <c r="CD367" s="11"/>
      <c r="CE367" s="5"/>
      <c r="CF367" s="5"/>
      <c r="CG367" s="5"/>
      <c r="CH367" s="5"/>
      <c r="CI367" s="5"/>
    </row>
    <row r="368" spans="1:87">
      <c r="A368" s="11"/>
      <c r="B368" s="11" t="s">
        <v>2502</v>
      </c>
      <c r="C368" s="51"/>
      <c r="D368" s="51"/>
      <c r="E368" s="11">
        <f t="shared" ref="E368:G379" si="484">E145-E314</f>
        <v>0</v>
      </c>
      <c r="F368" s="11">
        <f t="shared" si="484"/>
        <v>0</v>
      </c>
      <c r="G368" s="11">
        <f t="shared" si="484"/>
        <v>0</v>
      </c>
      <c r="H368" s="51"/>
      <c r="I368" s="51"/>
      <c r="J368" s="51"/>
      <c r="K368" s="51"/>
      <c r="L368" s="11">
        <f t="shared" ref="L368:L379" si="485">L145-L314</f>
        <v>0</v>
      </c>
      <c r="M368" s="51"/>
      <c r="N368" s="51"/>
      <c r="O368" s="51"/>
      <c r="P368" s="51"/>
      <c r="Q368" s="11">
        <f t="shared" ref="Q368:Q379" si="486">Q145-Q314</f>
        <v>0</v>
      </c>
      <c r="R368" s="51"/>
      <c r="S368" s="51"/>
      <c r="T368" s="51"/>
      <c r="U368" s="51"/>
      <c r="V368" s="11">
        <f t="shared" ref="V368:V379" si="487">V145-V314</f>
        <v>0</v>
      </c>
      <c r="W368" s="51"/>
      <c r="X368" s="51"/>
      <c r="Y368" s="51"/>
      <c r="Z368" s="51"/>
      <c r="AA368" s="11">
        <f t="shared" ref="AA368:AA379" si="488">AA145-AA314</f>
        <v>0</v>
      </c>
      <c r="AB368" s="51"/>
      <c r="AC368" s="51"/>
      <c r="AD368" s="51"/>
      <c r="AE368" s="51"/>
      <c r="AF368" s="11">
        <f t="shared" ref="AF368:AF379" si="489">AF145-AF314</f>
        <v>0</v>
      </c>
      <c r="AG368" s="51"/>
      <c r="AH368" s="51"/>
      <c r="AI368" s="51"/>
      <c r="AJ368" s="51"/>
      <c r="AK368" s="11">
        <f t="shared" ref="AK368:AK379" si="490">AK145-AK314</f>
        <v>0</v>
      </c>
      <c r="AL368" s="51"/>
      <c r="AM368" s="51"/>
      <c r="AN368" s="51"/>
      <c r="AO368" s="51"/>
      <c r="AP368" s="11">
        <f t="shared" ref="AP368:AP379" si="491">AP145-AP314</f>
        <v>0</v>
      </c>
      <c r="AQ368" s="51"/>
      <c r="AR368" s="51"/>
      <c r="AS368" s="51"/>
      <c r="AT368" s="51"/>
      <c r="AU368" s="11">
        <f t="shared" ref="AU368:AU379" si="492">AU145-AU314</f>
        <v>0</v>
      </c>
      <c r="AV368" s="51"/>
      <c r="AW368" s="51"/>
      <c r="AX368" s="51"/>
      <c r="AY368" s="51"/>
      <c r="AZ368" s="11">
        <f t="shared" ref="AZ368:AZ379" si="493">AZ145-AZ314</f>
        <v>0</v>
      </c>
      <c r="BA368" s="51"/>
      <c r="BB368" s="51"/>
      <c r="BC368" s="51"/>
      <c r="BD368" s="51"/>
      <c r="BE368" s="11">
        <f t="shared" ref="BE368:BE379" si="494">BE145-BE314</f>
        <v>0</v>
      </c>
      <c r="BF368" s="51"/>
      <c r="BG368" s="51"/>
      <c r="BH368" s="51"/>
      <c r="BI368" s="51"/>
      <c r="BJ368" s="11">
        <f t="shared" ref="BJ368:BJ379" si="495">BJ145-BJ314</f>
        <v>0</v>
      </c>
      <c r="BK368" s="51"/>
      <c r="BL368" s="51"/>
      <c r="BM368" s="51"/>
      <c r="BN368" s="51"/>
      <c r="BO368" s="11">
        <f t="shared" ref="BO368:BO379" si="496">BO145-BO314</f>
        <v>0</v>
      </c>
      <c r="BP368" s="87">
        <v>0</v>
      </c>
      <c r="BQ368" s="87">
        <v>0</v>
      </c>
      <c r="BR368" s="87">
        <v>0</v>
      </c>
      <c r="BS368" s="87">
        <v>0</v>
      </c>
      <c r="BT368" s="88">
        <f>AVERAGE(BP368:BS368)</f>
        <v>0</v>
      </c>
      <c r="BU368" s="87">
        <v>0</v>
      </c>
      <c r="BV368" s="87">
        <v>0</v>
      </c>
      <c r="BW368" s="87">
        <v>0</v>
      </c>
      <c r="BX368" s="87">
        <v>0</v>
      </c>
      <c r="BY368" s="88">
        <f>AVERAGE(BU368:BX368)</f>
        <v>0</v>
      </c>
      <c r="BZ368" s="87">
        <v>0</v>
      </c>
      <c r="CA368" s="87">
        <v>0</v>
      </c>
      <c r="CB368" s="87">
        <v>0</v>
      </c>
      <c r="CC368" s="87">
        <v>0</v>
      </c>
      <c r="CD368" s="88">
        <f>AVERAGE(BZ368:CC368)</f>
        <v>0</v>
      </c>
      <c r="CE368" s="5"/>
      <c r="CF368" s="5"/>
      <c r="CG368" s="5"/>
      <c r="CH368" s="5"/>
      <c r="CI368" s="5"/>
    </row>
    <row r="369" spans="1:88">
      <c r="A369" s="11"/>
      <c r="B369" s="11" t="s">
        <v>726</v>
      </c>
      <c r="C369" s="51"/>
      <c r="D369" s="51"/>
      <c r="E369" s="11">
        <f t="shared" si="484"/>
        <v>0</v>
      </c>
      <c r="F369" s="11">
        <f t="shared" si="484"/>
        <v>0</v>
      </c>
      <c r="G369" s="11">
        <f t="shared" si="484"/>
        <v>0</v>
      </c>
      <c r="H369" s="51"/>
      <c r="I369" s="51"/>
      <c r="J369" s="51"/>
      <c r="K369" s="51"/>
      <c r="L369" s="11">
        <f t="shared" si="485"/>
        <v>-2.79</v>
      </c>
      <c r="M369" s="51"/>
      <c r="N369" s="51"/>
      <c r="O369" s="51"/>
      <c r="P369" s="51"/>
      <c r="Q369" s="11">
        <f t="shared" si="486"/>
        <v>6.5499999999999972</v>
      </c>
      <c r="R369" s="51"/>
      <c r="S369" s="51"/>
      <c r="T369" s="51"/>
      <c r="U369" s="51"/>
      <c r="V369" s="11">
        <f t="shared" si="487"/>
        <v>1.5300000000000011</v>
      </c>
      <c r="W369" s="51"/>
      <c r="X369" s="51"/>
      <c r="Y369" s="51"/>
      <c r="Z369" s="51"/>
      <c r="AA369" s="11">
        <f t="shared" si="488"/>
        <v>-3.3300000000000125</v>
      </c>
      <c r="AB369" s="51"/>
      <c r="AC369" s="51"/>
      <c r="AD369" s="51"/>
      <c r="AE369" s="51"/>
      <c r="AF369" s="11">
        <f t="shared" si="489"/>
        <v>-22.360000000000014</v>
      </c>
      <c r="AG369" s="51"/>
      <c r="AH369" s="51"/>
      <c r="AI369" s="51"/>
      <c r="AJ369" s="51"/>
      <c r="AK369" s="11">
        <f t="shared" si="490"/>
        <v>4.3600000000000136</v>
      </c>
      <c r="AL369" s="51"/>
      <c r="AM369" s="51"/>
      <c r="AN369" s="51"/>
      <c r="AO369" s="51"/>
      <c r="AP369" s="11">
        <f t="shared" si="491"/>
        <v>1.4399999999999977</v>
      </c>
      <c r="AQ369" s="51"/>
      <c r="AR369" s="51"/>
      <c r="AS369" s="51"/>
      <c r="AT369" s="51"/>
      <c r="AU369" s="11">
        <f t="shared" si="492"/>
        <v>3.6999999999999886</v>
      </c>
      <c r="AV369" s="51"/>
      <c r="AW369" s="51"/>
      <c r="AX369" s="51"/>
      <c r="AY369" s="51"/>
      <c r="AZ369" s="11">
        <f t="shared" si="493"/>
        <v>3.289999999999992</v>
      </c>
      <c r="BA369" s="51"/>
      <c r="BB369" s="51"/>
      <c r="BC369" s="51"/>
      <c r="BD369" s="51"/>
      <c r="BE369" s="11">
        <f t="shared" si="494"/>
        <v>-12.219999999999999</v>
      </c>
      <c r="BF369" s="51"/>
      <c r="BG369" s="51"/>
      <c r="BH369" s="51"/>
      <c r="BI369" s="51"/>
      <c r="BJ369" s="11">
        <f t="shared" si="495"/>
        <v>-10.710000000000008</v>
      </c>
      <c r="BK369" s="51"/>
      <c r="BL369" s="51"/>
      <c r="BM369" s="51"/>
      <c r="BN369" s="51"/>
      <c r="BO369" s="11">
        <f t="shared" si="496"/>
        <v>-10.310000000000002</v>
      </c>
      <c r="BP369" s="87">
        <v>0</v>
      </c>
      <c r="BQ369" s="87">
        <v>0</v>
      </c>
      <c r="BR369" s="87">
        <v>0</v>
      </c>
      <c r="BS369" s="87">
        <v>0</v>
      </c>
      <c r="BT369" s="88">
        <f>AVERAGE(BP369:BS369)</f>
        <v>0</v>
      </c>
      <c r="BU369" s="87">
        <v>0</v>
      </c>
      <c r="BV369" s="87">
        <v>0</v>
      </c>
      <c r="BW369" s="87">
        <v>0</v>
      </c>
      <c r="BX369" s="87">
        <v>0</v>
      </c>
      <c r="BY369" s="88">
        <f>AVERAGE(BU369:BX369)</f>
        <v>0</v>
      </c>
      <c r="BZ369" s="87">
        <v>0</v>
      </c>
      <c r="CA369" s="87">
        <v>0</v>
      </c>
      <c r="CB369" s="87">
        <v>0</v>
      </c>
      <c r="CC369" s="87">
        <v>0</v>
      </c>
      <c r="CD369" s="88">
        <f>AVERAGE(BZ369:CC369)</f>
        <v>0</v>
      </c>
      <c r="CE369" s="5"/>
      <c r="CF369" s="5"/>
      <c r="CG369" s="5"/>
      <c r="CH369" s="5"/>
      <c r="CI369" s="5"/>
    </row>
    <row r="370" spans="1:88">
      <c r="A370" s="11"/>
      <c r="B370" s="11" t="s">
        <v>216</v>
      </c>
      <c r="C370" s="51"/>
      <c r="D370" s="51"/>
      <c r="E370" s="11">
        <f t="shared" si="484"/>
        <v>-5.6099999999999994</v>
      </c>
      <c r="F370" s="11">
        <f t="shared" si="484"/>
        <v>-5.269999999999996</v>
      </c>
      <c r="G370" s="11">
        <f t="shared" si="484"/>
        <v>-6.269999999999996</v>
      </c>
      <c r="H370" s="51"/>
      <c r="I370" s="51"/>
      <c r="J370" s="51"/>
      <c r="K370" s="51"/>
      <c r="L370" s="11">
        <f t="shared" si="485"/>
        <v>0.71999999999999886</v>
      </c>
      <c r="M370" s="51"/>
      <c r="N370" s="51"/>
      <c r="O370" s="51"/>
      <c r="P370" s="51"/>
      <c r="Q370" s="11">
        <f t="shared" si="486"/>
        <v>-0.93999999999999773</v>
      </c>
      <c r="R370" s="51"/>
      <c r="S370" s="51"/>
      <c r="T370" s="51"/>
      <c r="U370" s="51"/>
      <c r="V370" s="11">
        <f t="shared" si="487"/>
        <v>-0.14000000000000057</v>
      </c>
      <c r="W370" s="51"/>
      <c r="X370" s="51"/>
      <c r="Y370" s="51"/>
      <c r="Z370" s="51"/>
      <c r="AA370" s="11">
        <f t="shared" si="488"/>
        <v>-3.0000000000001137E-2</v>
      </c>
      <c r="AB370" s="51"/>
      <c r="AC370" s="51"/>
      <c r="AD370" s="51"/>
      <c r="AE370" s="51"/>
      <c r="AF370" s="11">
        <f t="shared" si="489"/>
        <v>1.3700000000000045</v>
      </c>
      <c r="AG370" s="51"/>
      <c r="AH370" s="51"/>
      <c r="AI370" s="51"/>
      <c r="AJ370" s="51"/>
      <c r="AK370" s="11">
        <f t="shared" si="490"/>
        <v>0.31999999999999318</v>
      </c>
      <c r="AL370" s="51"/>
      <c r="AM370" s="51"/>
      <c r="AN370" s="51"/>
      <c r="AO370" s="51"/>
      <c r="AP370" s="11">
        <f t="shared" si="491"/>
        <v>-12.36</v>
      </c>
      <c r="AQ370" s="51"/>
      <c r="AR370" s="51"/>
      <c r="AS370" s="51"/>
      <c r="AT370" s="51"/>
      <c r="AU370" s="11">
        <f t="shared" si="492"/>
        <v>34</v>
      </c>
      <c r="AV370" s="51"/>
      <c r="AW370" s="51"/>
      <c r="AX370" s="51"/>
      <c r="AY370" s="51"/>
      <c r="AZ370" s="11">
        <f t="shared" si="493"/>
        <v>0</v>
      </c>
      <c r="BA370" s="51"/>
      <c r="BB370" s="51"/>
      <c r="BC370" s="51"/>
      <c r="BD370" s="51"/>
      <c r="BE370" s="11">
        <f t="shared" si="494"/>
        <v>0</v>
      </c>
      <c r="BF370" s="51"/>
      <c r="BG370" s="51"/>
      <c r="BH370" s="51"/>
      <c r="BI370" s="51"/>
      <c r="BJ370" s="11">
        <f t="shared" si="495"/>
        <v>0</v>
      </c>
      <c r="BK370" s="51"/>
      <c r="BL370" s="51"/>
      <c r="BM370" s="51"/>
      <c r="BN370" s="51"/>
      <c r="BO370" s="11">
        <f t="shared" si="496"/>
        <v>0</v>
      </c>
      <c r="BP370" s="87">
        <v>0</v>
      </c>
      <c r="BQ370" s="87">
        <v>0</v>
      </c>
      <c r="BR370" s="87">
        <v>0</v>
      </c>
      <c r="BS370" s="87">
        <v>0</v>
      </c>
      <c r="BT370" s="88">
        <f>AVERAGE(BP370:BS370)</f>
        <v>0</v>
      </c>
      <c r="BU370" s="87">
        <v>0</v>
      </c>
      <c r="BV370" s="87">
        <v>0</v>
      </c>
      <c r="BW370" s="87">
        <v>0</v>
      </c>
      <c r="BX370" s="87">
        <v>0</v>
      </c>
      <c r="BY370" s="88">
        <f>AVERAGE(BU370:BX370)</f>
        <v>0</v>
      </c>
      <c r="BZ370" s="87">
        <v>0</v>
      </c>
      <c r="CA370" s="87">
        <v>0</v>
      </c>
      <c r="CB370" s="87">
        <v>0</v>
      </c>
      <c r="CC370" s="87">
        <v>0</v>
      </c>
      <c r="CD370" s="88">
        <f>AVERAGE(BZ370:CC370)</f>
        <v>0</v>
      </c>
      <c r="CE370" s="5"/>
      <c r="CF370" s="5"/>
      <c r="CG370" s="5"/>
      <c r="CH370" s="5"/>
      <c r="CI370" s="5"/>
    </row>
    <row r="371" spans="1:88">
      <c r="A371" s="11"/>
      <c r="B371" s="11" t="s">
        <v>138</v>
      </c>
      <c r="C371" s="51"/>
      <c r="D371" s="51"/>
      <c r="E371" s="11">
        <f t="shared" si="484"/>
        <v>0</v>
      </c>
      <c r="F371" s="11">
        <f t="shared" si="484"/>
        <v>0</v>
      </c>
      <c r="G371" s="11">
        <f t="shared" si="484"/>
        <v>0</v>
      </c>
      <c r="H371" s="51"/>
      <c r="I371" s="51"/>
      <c r="J371" s="51"/>
      <c r="K371" s="51"/>
      <c r="L371" s="11">
        <f t="shared" si="485"/>
        <v>0</v>
      </c>
      <c r="M371" s="51"/>
      <c r="N371" s="51"/>
      <c r="O371" s="51"/>
      <c r="P371" s="51"/>
      <c r="Q371" s="11">
        <f t="shared" si="486"/>
        <v>0</v>
      </c>
      <c r="R371" s="51"/>
      <c r="S371" s="51"/>
      <c r="T371" s="51"/>
      <c r="U371" s="51"/>
      <c r="V371" s="11">
        <f t="shared" si="487"/>
        <v>0</v>
      </c>
      <c r="W371" s="51"/>
      <c r="X371" s="51"/>
      <c r="Y371" s="51"/>
      <c r="Z371" s="51"/>
      <c r="AA371" s="11">
        <f t="shared" si="488"/>
        <v>0</v>
      </c>
      <c r="AB371" s="51"/>
      <c r="AC371" s="51"/>
      <c r="AD371" s="51"/>
      <c r="AE371" s="51"/>
      <c r="AF371" s="11">
        <f t="shared" si="489"/>
        <v>0</v>
      </c>
      <c r="AG371" s="51"/>
      <c r="AH371" s="51"/>
      <c r="AI371" s="51"/>
      <c r="AJ371" s="51"/>
      <c r="AK371" s="11">
        <f t="shared" si="490"/>
        <v>0</v>
      </c>
      <c r="AL371" s="51"/>
      <c r="AM371" s="51"/>
      <c r="AN371" s="51"/>
      <c r="AO371" s="51"/>
      <c r="AP371" s="11">
        <f t="shared" si="491"/>
        <v>0</v>
      </c>
      <c r="AQ371" s="51"/>
      <c r="AR371" s="51"/>
      <c r="AS371" s="51"/>
      <c r="AT371" s="51"/>
      <c r="AU371" s="11">
        <f t="shared" si="492"/>
        <v>0</v>
      </c>
      <c r="AV371" s="51"/>
      <c r="AW371" s="51"/>
      <c r="AX371" s="51"/>
      <c r="AY371" s="51"/>
      <c r="AZ371" s="11">
        <f t="shared" si="493"/>
        <v>0</v>
      </c>
      <c r="BA371" s="51"/>
      <c r="BB371" s="51"/>
      <c r="BC371" s="51"/>
      <c r="BD371" s="51"/>
      <c r="BE371" s="11">
        <f t="shared" si="494"/>
        <v>0</v>
      </c>
      <c r="BF371" s="51"/>
      <c r="BG371" s="51"/>
      <c r="BH371" s="51"/>
      <c r="BI371" s="51"/>
      <c r="BJ371" s="11">
        <f t="shared" si="495"/>
        <v>0</v>
      </c>
      <c r="BK371" s="51"/>
      <c r="BL371" s="51"/>
      <c r="BM371" s="51"/>
      <c r="BN371" s="51"/>
      <c r="BO371" s="11">
        <f t="shared" si="496"/>
        <v>0</v>
      </c>
      <c r="BP371" s="87"/>
      <c r="BQ371" s="87"/>
      <c r="BR371" s="87"/>
      <c r="BS371" s="87"/>
      <c r="BT371" s="88"/>
      <c r="BU371" s="87"/>
      <c r="BV371" s="87"/>
      <c r="BW371" s="87"/>
      <c r="BX371" s="87"/>
      <c r="BY371" s="88"/>
      <c r="BZ371" s="87"/>
      <c r="CA371" s="87"/>
      <c r="CB371" s="87"/>
      <c r="CC371" s="87"/>
      <c r="CD371" s="88"/>
      <c r="CE371" s="5"/>
      <c r="CF371" s="5"/>
      <c r="CG371" s="5"/>
      <c r="CH371" s="5"/>
      <c r="CI371" s="5"/>
    </row>
    <row r="372" spans="1:88">
      <c r="A372" s="11"/>
      <c r="B372" s="11" t="s">
        <v>816</v>
      </c>
      <c r="C372" s="51"/>
      <c r="D372" s="51"/>
      <c r="E372" s="11">
        <f t="shared" si="484"/>
        <v>0</v>
      </c>
      <c r="F372" s="11">
        <f t="shared" si="484"/>
        <v>0</v>
      </c>
      <c r="G372" s="11">
        <f t="shared" si="484"/>
        <v>0</v>
      </c>
      <c r="H372" s="51"/>
      <c r="I372" s="51"/>
      <c r="J372" s="51"/>
      <c r="K372" s="51"/>
      <c r="L372" s="11">
        <f t="shared" si="485"/>
        <v>0</v>
      </c>
      <c r="M372" s="51"/>
      <c r="N372" s="51"/>
      <c r="O372" s="51"/>
      <c r="P372" s="51"/>
      <c r="Q372" s="11">
        <f t="shared" si="486"/>
        <v>0</v>
      </c>
      <c r="R372" s="51"/>
      <c r="S372" s="51"/>
      <c r="T372" s="51"/>
      <c r="U372" s="51"/>
      <c r="V372" s="11">
        <f t="shared" si="487"/>
        <v>0</v>
      </c>
      <c r="W372" s="51"/>
      <c r="X372" s="51"/>
      <c r="Y372" s="51"/>
      <c r="Z372" s="51"/>
      <c r="AA372" s="11">
        <f t="shared" si="488"/>
        <v>0</v>
      </c>
      <c r="AB372" s="51"/>
      <c r="AC372" s="51"/>
      <c r="AD372" s="51"/>
      <c r="AE372" s="51"/>
      <c r="AF372" s="11">
        <f t="shared" si="489"/>
        <v>-17.760000000000002</v>
      </c>
      <c r="AG372" s="51"/>
      <c r="AH372" s="51"/>
      <c r="AI372" s="51"/>
      <c r="AJ372" s="51"/>
      <c r="AK372" s="11">
        <f t="shared" si="490"/>
        <v>-16.97</v>
      </c>
      <c r="AL372" s="51"/>
      <c r="AM372" s="51"/>
      <c r="AN372" s="51"/>
      <c r="AO372" s="51"/>
      <c r="AP372" s="11">
        <f t="shared" si="491"/>
        <v>-16.12</v>
      </c>
      <c r="AQ372" s="51"/>
      <c r="AR372" s="51"/>
      <c r="AS372" s="51"/>
      <c r="AT372" s="51"/>
      <c r="AU372" s="11">
        <f t="shared" si="492"/>
        <v>-15.31</v>
      </c>
      <c r="AV372" s="51"/>
      <c r="AW372" s="51"/>
      <c r="AX372" s="51"/>
      <c r="AY372" s="51"/>
      <c r="AZ372" s="11">
        <f t="shared" si="493"/>
        <v>-14.55</v>
      </c>
      <c r="BA372" s="51"/>
      <c r="BB372" s="51"/>
      <c r="BC372" s="51"/>
      <c r="BD372" s="51"/>
      <c r="BE372" s="11">
        <f t="shared" si="494"/>
        <v>0</v>
      </c>
      <c r="BF372" s="51"/>
      <c r="BG372" s="51"/>
      <c r="BH372" s="51"/>
      <c r="BI372" s="51"/>
      <c r="BJ372" s="11">
        <f t="shared" si="495"/>
        <v>0</v>
      </c>
      <c r="BK372" s="51"/>
      <c r="BL372" s="51"/>
      <c r="BM372" s="51"/>
      <c r="BN372" s="51"/>
      <c r="BO372" s="11">
        <f t="shared" si="496"/>
        <v>0</v>
      </c>
      <c r="BP372" s="87">
        <v>0</v>
      </c>
      <c r="BQ372" s="87">
        <v>0</v>
      </c>
      <c r="BR372" s="87">
        <v>0</v>
      </c>
      <c r="BS372" s="87">
        <v>0</v>
      </c>
      <c r="BT372" s="88">
        <f>AVERAGE(BP372:BS372)</f>
        <v>0</v>
      </c>
      <c r="BU372" s="87">
        <v>0</v>
      </c>
      <c r="BV372" s="87">
        <v>0</v>
      </c>
      <c r="BW372" s="87">
        <v>0</v>
      </c>
      <c r="BX372" s="87">
        <v>0</v>
      </c>
      <c r="BY372" s="88">
        <f>AVERAGE(BU372:BX372)</f>
        <v>0</v>
      </c>
      <c r="BZ372" s="87">
        <v>0</v>
      </c>
      <c r="CA372" s="87">
        <v>0</v>
      </c>
      <c r="CB372" s="87">
        <v>0</v>
      </c>
      <c r="CC372" s="87">
        <v>0</v>
      </c>
      <c r="CD372" s="88">
        <f>AVERAGE(BZ372:CC372)</f>
        <v>0</v>
      </c>
      <c r="CE372" s="5"/>
      <c r="CF372" s="5"/>
      <c r="CG372" s="5"/>
      <c r="CH372" s="5"/>
      <c r="CI372" s="5"/>
    </row>
    <row r="373" spans="1:88">
      <c r="A373" s="11"/>
      <c r="B373" s="11" t="s">
        <v>1962</v>
      </c>
      <c r="C373" s="51"/>
      <c r="D373" s="51"/>
      <c r="E373" s="11">
        <f t="shared" si="484"/>
        <v>0</v>
      </c>
      <c r="F373" s="11">
        <f t="shared" si="484"/>
        <v>0</v>
      </c>
      <c r="G373" s="11">
        <f t="shared" si="484"/>
        <v>0</v>
      </c>
      <c r="H373" s="51"/>
      <c r="I373" s="51"/>
      <c r="J373" s="51"/>
      <c r="K373" s="51"/>
      <c r="L373" s="11">
        <f t="shared" si="485"/>
        <v>8</v>
      </c>
      <c r="M373" s="51"/>
      <c r="N373" s="51"/>
      <c r="O373" s="51"/>
      <c r="P373" s="51"/>
      <c r="Q373" s="11">
        <f t="shared" si="486"/>
        <v>8</v>
      </c>
      <c r="R373" s="51"/>
      <c r="S373" s="51"/>
      <c r="T373" s="51"/>
      <c r="U373" s="51"/>
      <c r="V373" s="11">
        <f t="shared" si="487"/>
        <v>8</v>
      </c>
      <c r="W373" s="51"/>
      <c r="X373" s="51"/>
      <c r="Y373" s="51"/>
      <c r="Z373" s="51"/>
      <c r="AA373" s="11">
        <f t="shared" si="488"/>
        <v>11</v>
      </c>
      <c r="AB373" s="51"/>
      <c r="AC373" s="51"/>
      <c r="AD373" s="51"/>
      <c r="AE373" s="51"/>
      <c r="AF373" s="11">
        <f t="shared" si="489"/>
        <v>0</v>
      </c>
      <c r="AG373" s="51"/>
      <c r="AH373" s="51"/>
      <c r="AI373" s="51"/>
      <c r="AJ373" s="51"/>
      <c r="AK373" s="11">
        <f t="shared" si="490"/>
        <v>0</v>
      </c>
      <c r="AL373" s="51"/>
      <c r="AM373" s="51"/>
      <c r="AN373" s="51"/>
      <c r="AO373" s="51"/>
      <c r="AP373" s="11">
        <f t="shared" si="491"/>
        <v>0</v>
      </c>
      <c r="AQ373" s="51"/>
      <c r="AR373" s="51"/>
      <c r="AS373" s="51"/>
      <c r="AT373" s="51"/>
      <c r="AU373" s="11">
        <f t="shared" si="492"/>
        <v>0</v>
      </c>
      <c r="AV373" s="51"/>
      <c r="AW373" s="51"/>
      <c r="AX373" s="51"/>
      <c r="AY373" s="51"/>
      <c r="AZ373" s="11">
        <f t="shared" si="493"/>
        <v>0</v>
      </c>
      <c r="BA373" s="51"/>
      <c r="BB373" s="51"/>
      <c r="BC373" s="51"/>
      <c r="BD373" s="51"/>
      <c r="BE373" s="11">
        <f t="shared" si="494"/>
        <v>0</v>
      </c>
      <c r="BF373" s="51"/>
      <c r="BG373" s="51"/>
      <c r="BH373" s="51"/>
      <c r="BI373" s="51"/>
      <c r="BJ373" s="11">
        <f t="shared" si="495"/>
        <v>0</v>
      </c>
      <c r="BK373" s="51"/>
      <c r="BL373" s="51"/>
      <c r="BM373" s="51"/>
      <c r="BN373" s="51"/>
      <c r="BO373" s="11">
        <f t="shared" si="496"/>
        <v>0</v>
      </c>
      <c r="BP373" s="64"/>
      <c r="BQ373" s="64"/>
      <c r="BR373" s="64"/>
      <c r="BS373" s="64"/>
      <c r="BT373" s="64"/>
      <c r="BU373" s="64"/>
      <c r="BV373" s="64"/>
      <c r="BW373" s="64"/>
      <c r="BX373" s="64"/>
      <c r="BY373" s="64"/>
      <c r="BZ373" s="64"/>
      <c r="CA373" s="64"/>
      <c r="CB373" s="64"/>
      <c r="CC373" s="64"/>
      <c r="CD373" s="64"/>
      <c r="CE373" s="5"/>
      <c r="CF373" s="5"/>
      <c r="CG373" s="5"/>
      <c r="CH373" s="5"/>
      <c r="CI373" s="5"/>
    </row>
    <row r="374" spans="1:88">
      <c r="A374" s="11"/>
      <c r="B374" s="11" t="s">
        <v>3277</v>
      </c>
      <c r="C374" s="51"/>
      <c r="D374" s="51"/>
      <c r="E374" s="11">
        <f t="shared" si="484"/>
        <v>0</v>
      </c>
      <c r="F374" s="11">
        <f t="shared" si="484"/>
        <v>0</v>
      </c>
      <c r="G374" s="11">
        <f t="shared" si="484"/>
        <v>0</v>
      </c>
      <c r="H374" s="51"/>
      <c r="I374" s="51"/>
      <c r="J374" s="51"/>
      <c r="K374" s="51"/>
      <c r="L374" s="11">
        <f t="shared" si="485"/>
        <v>0</v>
      </c>
      <c r="M374" s="51"/>
      <c r="N374" s="51"/>
      <c r="O374" s="51"/>
      <c r="P374" s="51"/>
      <c r="Q374" s="11">
        <f t="shared" si="486"/>
        <v>0</v>
      </c>
      <c r="R374" s="51"/>
      <c r="S374" s="51"/>
      <c r="T374" s="51"/>
      <c r="U374" s="51"/>
      <c r="V374" s="11">
        <f t="shared" si="487"/>
        <v>0</v>
      </c>
      <c r="W374" s="51"/>
      <c r="X374" s="51"/>
      <c r="Y374" s="51"/>
      <c r="Z374" s="51"/>
      <c r="AA374" s="11">
        <f t="shared" si="488"/>
        <v>0</v>
      </c>
      <c r="AB374" s="51"/>
      <c r="AC374" s="51"/>
      <c r="AD374" s="51"/>
      <c r="AE374" s="51"/>
      <c r="AF374" s="11">
        <f t="shared" si="489"/>
        <v>0</v>
      </c>
      <c r="AG374" s="51"/>
      <c r="AH374" s="51"/>
      <c r="AI374" s="51"/>
      <c r="AJ374" s="51"/>
      <c r="AK374" s="11">
        <f t="shared" si="490"/>
        <v>20</v>
      </c>
      <c r="AL374" s="51"/>
      <c r="AM374" s="51"/>
      <c r="AN374" s="51"/>
      <c r="AO374" s="51"/>
      <c r="AP374" s="11">
        <f t="shared" si="491"/>
        <v>14</v>
      </c>
      <c r="AQ374" s="51"/>
      <c r="AR374" s="51"/>
      <c r="AS374" s="51"/>
      <c r="AT374" s="51"/>
      <c r="AU374" s="11">
        <f t="shared" si="492"/>
        <v>22</v>
      </c>
      <c r="AV374" s="51"/>
      <c r="AW374" s="51"/>
      <c r="AX374" s="51"/>
      <c r="AY374" s="51"/>
      <c r="AZ374" s="11">
        <f t="shared" si="493"/>
        <v>0</v>
      </c>
      <c r="BA374" s="51"/>
      <c r="BB374" s="51"/>
      <c r="BC374" s="51"/>
      <c r="BD374" s="51"/>
      <c r="BE374" s="11">
        <f t="shared" si="494"/>
        <v>0</v>
      </c>
      <c r="BF374" s="51"/>
      <c r="BG374" s="51"/>
      <c r="BH374" s="51"/>
      <c r="BI374" s="51"/>
      <c r="BJ374" s="11">
        <f t="shared" si="495"/>
        <v>0</v>
      </c>
      <c r="BK374" s="51"/>
      <c r="BL374" s="51"/>
      <c r="BM374" s="51"/>
      <c r="BN374" s="51"/>
      <c r="BO374" s="11">
        <f t="shared" si="496"/>
        <v>16.899999999999999</v>
      </c>
      <c r="BP374" s="87">
        <v>0</v>
      </c>
      <c r="BQ374" s="87">
        <v>0</v>
      </c>
      <c r="BR374" s="87">
        <v>0</v>
      </c>
      <c r="BS374" s="87">
        <v>0</v>
      </c>
      <c r="BT374" s="88">
        <f t="shared" ref="BT374:BT379" si="497">AVERAGE(BP374:BS374)</f>
        <v>0</v>
      </c>
      <c r="BU374" s="87">
        <v>0</v>
      </c>
      <c r="BV374" s="87">
        <v>0</v>
      </c>
      <c r="BW374" s="87">
        <v>0</v>
      </c>
      <c r="BX374" s="87">
        <v>0</v>
      </c>
      <c r="BY374" s="88">
        <f t="shared" ref="BY374:BY379" si="498">AVERAGE(BU374:BX374)</f>
        <v>0</v>
      </c>
      <c r="BZ374" s="87">
        <v>0</v>
      </c>
      <c r="CA374" s="87">
        <v>0</v>
      </c>
      <c r="CB374" s="87">
        <v>0</v>
      </c>
      <c r="CC374" s="87">
        <v>0</v>
      </c>
      <c r="CD374" s="88">
        <f t="shared" ref="CD374:CD379" si="499">AVERAGE(BZ374:CC374)</f>
        <v>0</v>
      </c>
      <c r="CE374" s="5"/>
      <c r="CF374" s="5"/>
      <c r="CG374" s="5"/>
      <c r="CH374" s="5"/>
      <c r="CI374" s="5"/>
    </row>
    <row r="375" spans="1:88">
      <c r="A375" s="11"/>
      <c r="B375" s="11" t="s">
        <v>3278</v>
      </c>
      <c r="C375" s="51"/>
      <c r="D375" s="51"/>
      <c r="E375" s="11">
        <f t="shared" si="484"/>
        <v>0</v>
      </c>
      <c r="F375" s="11">
        <f t="shared" si="484"/>
        <v>0</v>
      </c>
      <c r="G375" s="11">
        <f t="shared" si="484"/>
        <v>0</v>
      </c>
      <c r="H375" s="51"/>
      <c r="I375" s="51"/>
      <c r="J375" s="51"/>
      <c r="K375" s="51"/>
      <c r="L375" s="11">
        <f t="shared" si="485"/>
        <v>-10.459999999999994</v>
      </c>
      <c r="M375" s="51"/>
      <c r="N375" s="51"/>
      <c r="O375" s="51"/>
      <c r="P375" s="51"/>
      <c r="Q375" s="11">
        <f t="shared" si="486"/>
        <v>-26.240000000000009</v>
      </c>
      <c r="R375" s="51"/>
      <c r="S375" s="51"/>
      <c r="T375" s="51"/>
      <c r="U375" s="51"/>
      <c r="V375" s="11">
        <f t="shared" si="487"/>
        <v>-21.72999999999999</v>
      </c>
      <c r="W375" s="51"/>
      <c r="X375" s="51"/>
      <c r="Y375" s="51"/>
      <c r="Z375" s="51"/>
      <c r="AA375" s="11">
        <f t="shared" si="488"/>
        <v>-31.179999999999978</v>
      </c>
      <c r="AB375" s="51"/>
      <c r="AC375" s="51"/>
      <c r="AD375" s="51"/>
      <c r="AE375" s="51"/>
      <c r="AF375" s="11">
        <f t="shared" si="489"/>
        <v>-31.810000000000031</v>
      </c>
      <c r="AG375" s="51"/>
      <c r="AH375" s="51"/>
      <c r="AI375" s="51"/>
      <c r="AJ375" s="51"/>
      <c r="AK375" s="11">
        <f t="shared" si="490"/>
        <v>-5.0699999999999932</v>
      </c>
      <c r="AL375" s="51"/>
      <c r="AM375" s="51"/>
      <c r="AN375" s="51"/>
      <c r="AO375" s="51"/>
      <c r="AP375" s="11">
        <f t="shared" si="491"/>
        <v>0</v>
      </c>
      <c r="AQ375" s="51"/>
      <c r="AR375" s="51"/>
      <c r="AS375" s="51"/>
      <c r="AT375" s="51"/>
      <c r="AU375" s="11">
        <f t="shared" si="492"/>
        <v>0</v>
      </c>
      <c r="AV375" s="51"/>
      <c r="AW375" s="51"/>
      <c r="AX375" s="51"/>
      <c r="AY375" s="51"/>
      <c r="AZ375" s="11">
        <f t="shared" si="493"/>
        <v>0</v>
      </c>
      <c r="BA375" s="51"/>
      <c r="BB375" s="51"/>
      <c r="BC375" s="51"/>
      <c r="BD375" s="51"/>
      <c r="BE375" s="11">
        <f t="shared" si="494"/>
        <v>0</v>
      </c>
      <c r="BF375" s="51"/>
      <c r="BG375" s="51"/>
      <c r="BH375" s="51"/>
      <c r="BI375" s="51"/>
      <c r="BJ375" s="11">
        <f t="shared" si="495"/>
        <v>0</v>
      </c>
      <c r="BK375" s="51"/>
      <c r="BL375" s="51"/>
      <c r="BM375" s="51"/>
      <c r="BN375" s="51"/>
      <c r="BO375" s="11">
        <f t="shared" si="496"/>
        <v>0</v>
      </c>
      <c r="BP375" s="87">
        <v>0</v>
      </c>
      <c r="BQ375" s="87">
        <v>0</v>
      </c>
      <c r="BR375" s="87">
        <v>0</v>
      </c>
      <c r="BS375" s="87">
        <v>0</v>
      </c>
      <c r="BT375" s="88">
        <f t="shared" si="497"/>
        <v>0</v>
      </c>
      <c r="BU375" s="87">
        <v>0</v>
      </c>
      <c r="BV375" s="87">
        <v>0</v>
      </c>
      <c r="BW375" s="87">
        <v>0</v>
      </c>
      <c r="BX375" s="87">
        <v>0</v>
      </c>
      <c r="BY375" s="88">
        <f t="shared" si="498"/>
        <v>0</v>
      </c>
      <c r="BZ375" s="87">
        <v>0</v>
      </c>
      <c r="CA375" s="87">
        <v>0</v>
      </c>
      <c r="CB375" s="87">
        <v>0</v>
      </c>
      <c r="CC375" s="87">
        <v>0</v>
      </c>
      <c r="CD375" s="88">
        <f t="shared" si="499"/>
        <v>0</v>
      </c>
      <c r="CE375" s="5"/>
      <c r="CF375" s="5"/>
      <c r="CG375" s="5"/>
      <c r="CH375" s="5"/>
      <c r="CI375" s="5"/>
    </row>
    <row r="376" spans="1:88">
      <c r="A376" s="47"/>
      <c r="B376" s="47" t="s">
        <v>1703</v>
      </c>
      <c r="C376" s="64"/>
      <c r="D376" s="64"/>
      <c r="E376" s="11">
        <f t="shared" si="484"/>
        <v>129</v>
      </c>
      <c r="F376" s="11">
        <f t="shared" si="484"/>
        <v>458</v>
      </c>
      <c r="G376" s="11">
        <f t="shared" si="484"/>
        <v>482</v>
      </c>
      <c r="H376" s="51"/>
      <c r="I376" s="51"/>
      <c r="J376" s="51"/>
      <c r="K376" s="51"/>
      <c r="L376" s="11">
        <f t="shared" si="485"/>
        <v>544</v>
      </c>
      <c r="M376" s="65">
        <f>M153-M322</f>
        <v>566</v>
      </c>
      <c r="N376" s="65">
        <f>N153-N322</f>
        <v>441</v>
      </c>
      <c r="O376" s="12">
        <f>O153-O322</f>
        <v>364</v>
      </c>
      <c r="P376" s="12">
        <f>P153-P322</f>
        <v>437</v>
      </c>
      <c r="Q376" s="11">
        <f t="shared" si="486"/>
        <v>451</v>
      </c>
      <c r="R376" s="65">
        <f>R153-R322</f>
        <v>512</v>
      </c>
      <c r="S376" s="65">
        <f>S153-S322</f>
        <v>546</v>
      </c>
      <c r="T376" s="12">
        <f>T153-T322</f>
        <v>579</v>
      </c>
      <c r="U376" s="12">
        <f>U153-U322</f>
        <v>621</v>
      </c>
      <c r="V376" s="11">
        <f t="shared" si="487"/>
        <v>564</v>
      </c>
      <c r="W376" s="65">
        <f>W153-W322</f>
        <v>642</v>
      </c>
      <c r="X376" s="65">
        <f>X153-X322</f>
        <v>555</v>
      </c>
      <c r="Y376" s="12">
        <f>Y153-Y322</f>
        <v>553</v>
      </c>
      <c r="Z376" s="12">
        <f>Z153-Z322</f>
        <v>654</v>
      </c>
      <c r="AA376" s="11">
        <f t="shared" si="488"/>
        <v>601</v>
      </c>
      <c r="AB376" s="65">
        <f>AB153-AB322</f>
        <v>673</v>
      </c>
      <c r="AC376" s="65">
        <f>AC153-AC322</f>
        <v>647</v>
      </c>
      <c r="AD376" s="12">
        <f>AD153-AD322</f>
        <v>542</v>
      </c>
      <c r="AE376" s="12">
        <f>AE153-AE322</f>
        <v>698</v>
      </c>
      <c r="AF376" s="11">
        <f t="shared" si="489"/>
        <v>640</v>
      </c>
      <c r="AG376" s="86">
        <f>AG153-AG322</f>
        <v>719</v>
      </c>
      <c r="AH376" s="86">
        <f>AH153-AH322</f>
        <v>675</v>
      </c>
      <c r="AI376" s="86">
        <f>AI153-AI322</f>
        <v>664</v>
      </c>
      <c r="AJ376" s="86">
        <f>AJ153-AJ322</f>
        <v>744</v>
      </c>
      <c r="AK376" s="11">
        <f t="shared" si="490"/>
        <v>699</v>
      </c>
      <c r="AL376" s="86">
        <f>AL153-AL322</f>
        <v>813</v>
      </c>
      <c r="AM376" s="86">
        <f>AM153-AM322</f>
        <v>779</v>
      </c>
      <c r="AN376" s="86">
        <f>AN153-AN322</f>
        <v>728</v>
      </c>
      <c r="AO376" s="86">
        <f>AO153-AO322</f>
        <v>818</v>
      </c>
      <c r="AP376" s="11">
        <f t="shared" si="491"/>
        <v>734</v>
      </c>
      <c r="AQ376" s="86">
        <f>AQ153-AQ322</f>
        <v>312.62023744872374</v>
      </c>
      <c r="AR376" s="86">
        <f>AR153-AR322</f>
        <v>210.01075235937077</v>
      </c>
      <c r="AS376" s="86">
        <f>AS153-AS322</f>
        <v>324.45323117656471</v>
      </c>
      <c r="AT376" s="86">
        <f>AT153-AT322</f>
        <v>359.71417901534119</v>
      </c>
      <c r="AU376" s="11">
        <f t="shared" si="492"/>
        <v>302.69960000000009</v>
      </c>
      <c r="AV376" s="86">
        <f>AV153-AV322</f>
        <v>-14.769145116540471</v>
      </c>
      <c r="AW376" s="86">
        <f>AW153-AW322</f>
        <v>79.679182826400051</v>
      </c>
      <c r="AX376" s="86">
        <f>AX153-AX322</f>
        <v>172.74316272928172</v>
      </c>
      <c r="AY376" s="86">
        <f>AY153-AY322</f>
        <v>195.6472095608583</v>
      </c>
      <c r="AZ376" s="11">
        <f t="shared" si="493"/>
        <v>126.57510249999984</v>
      </c>
      <c r="BA376" s="86">
        <f>BA153-BA322</f>
        <v>139.72896308945042</v>
      </c>
      <c r="BB376" s="86">
        <f>BB153-BB322</f>
        <v>174.96636963383196</v>
      </c>
      <c r="BC376" s="86">
        <f>BC153-BC322</f>
        <v>149.70277105915181</v>
      </c>
      <c r="BD376" s="86">
        <f>BD153-BD322</f>
        <v>169.67989621756624</v>
      </c>
      <c r="BE376" s="11">
        <f t="shared" si="494"/>
        <v>157.76950000000011</v>
      </c>
      <c r="BF376" s="86">
        <f>BF153-BF322</f>
        <v>177.03132889958874</v>
      </c>
      <c r="BG376" s="86">
        <f>BG153-BG322</f>
        <v>250.87024151651883</v>
      </c>
      <c r="BH376" s="86">
        <f>BH153-BH322</f>
        <v>228.00115792410418</v>
      </c>
      <c r="BI376" s="86">
        <f>BI153-BI322</f>
        <v>235.87247165978761</v>
      </c>
      <c r="BJ376" s="11">
        <f t="shared" si="495"/>
        <v>222.94379999999978</v>
      </c>
      <c r="BK376" s="86">
        <f>BK153-BK322</f>
        <v>260.11523715429894</v>
      </c>
      <c r="BL376" s="86">
        <f>BL153-BL322</f>
        <v>315.42688850986974</v>
      </c>
      <c r="BM376" s="86">
        <f>BM153-BM322</f>
        <v>297.93523941564683</v>
      </c>
      <c r="BN376" s="86">
        <f>BN153-BN322</f>
        <v>253.1296349201848</v>
      </c>
      <c r="BO376" s="11">
        <f t="shared" si="496"/>
        <v>281.65174999999999</v>
      </c>
      <c r="BP376" s="87">
        <v>250</v>
      </c>
      <c r="BQ376" s="87">
        <v>250</v>
      </c>
      <c r="BR376" s="87">
        <v>250</v>
      </c>
      <c r="BS376" s="87">
        <v>250</v>
      </c>
      <c r="BT376" s="88">
        <f t="shared" si="497"/>
        <v>250</v>
      </c>
      <c r="BU376" s="87">
        <v>250</v>
      </c>
      <c r="BV376" s="87">
        <v>250</v>
      </c>
      <c r="BW376" s="87">
        <v>250</v>
      </c>
      <c r="BX376" s="87">
        <v>250</v>
      </c>
      <c r="BY376" s="88">
        <f t="shared" si="498"/>
        <v>250</v>
      </c>
      <c r="BZ376" s="87">
        <v>250</v>
      </c>
      <c r="CA376" s="87">
        <v>250</v>
      </c>
      <c r="CB376" s="87">
        <v>250</v>
      </c>
      <c r="CC376" s="87">
        <v>250</v>
      </c>
      <c r="CD376" s="88">
        <f t="shared" si="499"/>
        <v>250</v>
      </c>
      <c r="CE376" s="5"/>
      <c r="CF376" s="5"/>
      <c r="CG376" s="5">
        <f>AVERAGE(M376,R376,W376,AB376,AG376,AL376,AQ376)</f>
        <v>605.37431963553195</v>
      </c>
      <c r="CH376" s="5">
        <f>AVERAGE(N376,S376,X376,AC376,AH376,AM376,AR376)</f>
        <v>550.43010747991013</v>
      </c>
      <c r="CI376" s="5">
        <f>AVERAGE(O376,T376,Y376,AD376,AI376,AN376,AS376)</f>
        <v>536.35046159665205</v>
      </c>
      <c r="CJ376" s="5">
        <f>AVERAGE(P376,U376,Z376,AE376,AJ376,AO376,AT376)</f>
        <v>618.81631128790582</v>
      </c>
    </row>
    <row r="377" spans="1:88">
      <c r="A377" s="47"/>
      <c r="B377" s="47" t="s">
        <v>1961</v>
      </c>
      <c r="C377" s="64"/>
      <c r="D377" s="64"/>
      <c r="E377" s="11">
        <f t="shared" si="484"/>
        <v>-4.4399999999999977</v>
      </c>
      <c r="F377" s="11">
        <f t="shared" si="484"/>
        <v>-7.3199999999999932</v>
      </c>
      <c r="G377" s="11">
        <f t="shared" si="484"/>
        <v>-4.7999999999999972</v>
      </c>
      <c r="H377" s="51"/>
      <c r="I377" s="51"/>
      <c r="J377" s="51"/>
      <c r="K377" s="51"/>
      <c r="L377" s="11">
        <f t="shared" si="485"/>
        <v>-11.199999999999989</v>
      </c>
      <c r="M377" s="51"/>
      <c r="N377" s="51"/>
      <c r="O377" s="51"/>
      <c r="P377" s="51"/>
      <c r="Q377" s="11">
        <f t="shared" si="486"/>
        <v>-4.7999999999999972</v>
      </c>
      <c r="R377" s="51"/>
      <c r="S377" s="51"/>
      <c r="T377" s="51"/>
      <c r="U377" s="51"/>
      <c r="V377" s="11">
        <f t="shared" si="487"/>
        <v>-4.5999999999999943</v>
      </c>
      <c r="W377" s="51"/>
      <c r="X377" s="51"/>
      <c r="Y377" s="51"/>
      <c r="Z377" s="51"/>
      <c r="AA377" s="11">
        <f t="shared" si="488"/>
        <v>-2.3100000000000023</v>
      </c>
      <c r="AB377" s="51"/>
      <c r="AC377" s="51"/>
      <c r="AD377" s="51"/>
      <c r="AE377" s="51"/>
      <c r="AF377" s="11">
        <f t="shared" si="489"/>
        <v>1.1899999999999977</v>
      </c>
      <c r="AG377" s="51"/>
      <c r="AH377" s="51"/>
      <c r="AI377" s="51"/>
      <c r="AJ377" s="51"/>
      <c r="AK377" s="11">
        <f t="shared" si="490"/>
        <v>7.740000000000002</v>
      </c>
      <c r="AL377" s="51"/>
      <c r="AM377" s="51"/>
      <c r="AN377" s="51"/>
      <c r="AO377" s="51"/>
      <c r="AP377" s="11">
        <f t="shared" si="491"/>
        <v>35</v>
      </c>
      <c r="AQ377" s="51"/>
      <c r="AR377" s="51"/>
      <c r="AS377" s="51"/>
      <c r="AT377" s="51"/>
      <c r="AU377" s="11">
        <f t="shared" si="492"/>
        <v>25</v>
      </c>
      <c r="AV377" s="51"/>
      <c r="AW377" s="51"/>
      <c r="AX377" s="51"/>
      <c r="AY377" s="51"/>
      <c r="AZ377" s="11">
        <f t="shared" si="493"/>
        <v>0</v>
      </c>
      <c r="BA377" s="51"/>
      <c r="BB377" s="51"/>
      <c r="BC377" s="51"/>
      <c r="BD377" s="51"/>
      <c r="BE377" s="11">
        <f t="shared" si="494"/>
        <v>0</v>
      </c>
      <c r="BF377" s="51"/>
      <c r="BG377" s="51"/>
      <c r="BH377" s="51"/>
      <c r="BI377" s="51"/>
      <c r="BJ377" s="11">
        <f t="shared" si="495"/>
        <v>0</v>
      </c>
      <c r="BK377" s="51"/>
      <c r="BL377" s="51"/>
      <c r="BM377" s="51"/>
      <c r="BN377" s="51"/>
      <c r="BO377" s="11">
        <f t="shared" si="496"/>
        <v>0</v>
      </c>
      <c r="BP377" s="87">
        <v>0</v>
      </c>
      <c r="BQ377" s="87">
        <v>0</v>
      </c>
      <c r="BR377" s="87">
        <v>0</v>
      </c>
      <c r="BS377" s="87">
        <v>0</v>
      </c>
      <c r="BT377" s="88">
        <f t="shared" si="497"/>
        <v>0</v>
      </c>
      <c r="BU377" s="87">
        <v>0</v>
      </c>
      <c r="BV377" s="87">
        <v>0</v>
      </c>
      <c r="BW377" s="87">
        <v>0</v>
      </c>
      <c r="BX377" s="87">
        <v>0</v>
      </c>
      <c r="BY377" s="88">
        <f t="shared" si="498"/>
        <v>0</v>
      </c>
      <c r="BZ377" s="87">
        <v>0</v>
      </c>
      <c r="CA377" s="87">
        <v>0</v>
      </c>
      <c r="CB377" s="87">
        <v>0</v>
      </c>
      <c r="CC377" s="87">
        <v>0</v>
      </c>
      <c r="CD377" s="88">
        <f t="shared" si="499"/>
        <v>0</v>
      </c>
      <c r="CE377" s="5"/>
      <c r="CF377" s="5"/>
      <c r="CG377" s="5"/>
      <c r="CH377" s="5"/>
      <c r="CI377" s="5"/>
    </row>
    <row r="378" spans="1:88">
      <c r="A378" s="11"/>
      <c r="B378" s="11" t="s">
        <v>3399</v>
      </c>
      <c r="C378" s="51"/>
      <c r="D378" s="51"/>
      <c r="E378" s="11">
        <f t="shared" si="484"/>
        <v>100.69999999999999</v>
      </c>
      <c r="F378" s="11">
        <f t="shared" si="484"/>
        <v>128.06</v>
      </c>
      <c r="G378" s="11">
        <f t="shared" si="484"/>
        <v>126.47</v>
      </c>
      <c r="H378" s="51"/>
      <c r="I378" s="51"/>
      <c r="J378" s="51"/>
      <c r="K378" s="51"/>
      <c r="L378" s="11">
        <f t="shared" si="485"/>
        <v>39</v>
      </c>
      <c r="M378" s="51"/>
      <c r="N378" s="51"/>
      <c r="O378" s="51"/>
      <c r="P378" s="51"/>
      <c r="Q378" s="11">
        <f t="shared" si="486"/>
        <v>39.589999999999975</v>
      </c>
      <c r="R378" s="51"/>
      <c r="S378" s="51"/>
      <c r="T378" s="51"/>
      <c r="U378" s="51"/>
      <c r="V378" s="11">
        <f t="shared" si="487"/>
        <v>52.78</v>
      </c>
      <c r="W378" s="51"/>
      <c r="X378" s="51"/>
      <c r="Y378" s="51"/>
      <c r="Z378" s="51"/>
      <c r="AA378" s="11">
        <f t="shared" si="488"/>
        <v>36.010000000000005</v>
      </c>
      <c r="AB378" s="51"/>
      <c r="AC378" s="51"/>
      <c r="AD378" s="51"/>
      <c r="AE378" s="51"/>
      <c r="AF378" s="11">
        <f t="shared" si="489"/>
        <v>34.06</v>
      </c>
      <c r="AG378" s="51"/>
      <c r="AH378" s="51"/>
      <c r="AI378" s="51"/>
      <c r="AJ378" s="51"/>
      <c r="AK378" s="11">
        <f t="shared" si="490"/>
        <v>23.730000000000004</v>
      </c>
      <c r="AL378" s="51"/>
      <c r="AM378" s="51"/>
      <c r="AN378" s="51"/>
      <c r="AO378" s="51"/>
      <c r="AP378" s="11">
        <f t="shared" si="491"/>
        <v>25.119999999999997</v>
      </c>
      <c r="AQ378" s="51"/>
      <c r="AR378" s="51"/>
      <c r="AS378" s="51"/>
      <c r="AT378" s="51"/>
      <c r="AU378" s="11">
        <f t="shared" si="492"/>
        <v>28.259999999999998</v>
      </c>
      <c r="AV378" s="51"/>
      <c r="AW378" s="51"/>
      <c r="AX378" s="51"/>
      <c r="AY378" s="51"/>
      <c r="AZ378" s="11">
        <f t="shared" si="493"/>
        <v>-0.82000000000000028</v>
      </c>
      <c r="BA378" s="51"/>
      <c r="BB378" s="51"/>
      <c r="BC378" s="51"/>
      <c r="BD378" s="51"/>
      <c r="BE378" s="11">
        <f t="shared" si="494"/>
        <v>-2.5</v>
      </c>
      <c r="BF378" s="51"/>
      <c r="BG378" s="51"/>
      <c r="BH378" s="51"/>
      <c r="BI378" s="51"/>
      <c r="BJ378" s="11">
        <f t="shared" si="495"/>
        <v>-1.1300000000000026</v>
      </c>
      <c r="BK378" s="51"/>
      <c r="BL378" s="51"/>
      <c r="BM378" s="51"/>
      <c r="BN378" s="51"/>
      <c r="BO378" s="11">
        <f t="shared" si="496"/>
        <v>0</v>
      </c>
      <c r="BP378" s="87">
        <v>0</v>
      </c>
      <c r="BQ378" s="87">
        <v>0</v>
      </c>
      <c r="BR378" s="87">
        <v>0</v>
      </c>
      <c r="BS378" s="87">
        <v>0</v>
      </c>
      <c r="BT378" s="88">
        <f t="shared" si="497"/>
        <v>0</v>
      </c>
      <c r="BU378" s="87">
        <v>0</v>
      </c>
      <c r="BV378" s="87">
        <v>0</v>
      </c>
      <c r="BW378" s="87">
        <v>0</v>
      </c>
      <c r="BX378" s="87">
        <v>0</v>
      </c>
      <c r="BY378" s="88">
        <f t="shared" si="498"/>
        <v>0</v>
      </c>
      <c r="BZ378" s="87">
        <v>0</v>
      </c>
      <c r="CA378" s="87">
        <v>0</v>
      </c>
      <c r="CB378" s="87">
        <v>0</v>
      </c>
      <c r="CC378" s="87">
        <v>0</v>
      </c>
      <c r="CD378" s="88">
        <f t="shared" si="499"/>
        <v>0</v>
      </c>
      <c r="CE378" s="5"/>
      <c r="CF378" s="5"/>
      <c r="CG378" s="5"/>
      <c r="CH378" s="5"/>
      <c r="CI378" s="5"/>
    </row>
    <row r="379" spans="1:88">
      <c r="A379" s="11"/>
      <c r="B379" s="11" t="s">
        <v>3400</v>
      </c>
      <c r="C379" s="51"/>
      <c r="D379" s="51"/>
      <c r="E379" s="11">
        <f t="shared" si="484"/>
        <v>55.620000000000005</v>
      </c>
      <c r="F379" s="11">
        <f t="shared" si="484"/>
        <v>80.31</v>
      </c>
      <c r="G379" s="11">
        <f t="shared" si="484"/>
        <v>106.63000000000001</v>
      </c>
      <c r="H379" s="51"/>
      <c r="I379" s="51"/>
      <c r="J379" s="51"/>
      <c r="K379" s="51"/>
      <c r="L379" s="11">
        <f t="shared" si="485"/>
        <v>9.9200000000000017</v>
      </c>
      <c r="M379" s="51"/>
      <c r="N379" s="51"/>
      <c r="O379" s="51"/>
      <c r="P379" s="51"/>
      <c r="Q379" s="11">
        <f t="shared" si="486"/>
        <v>-1.2099999999999937</v>
      </c>
      <c r="R379" s="51"/>
      <c r="S379" s="51"/>
      <c r="T379" s="51"/>
      <c r="U379" s="51"/>
      <c r="V379" s="11">
        <f t="shared" si="487"/>
        <v>-29.489999999999995</v>
      </c>
      <c r="W379" s="51"/>
      <c r="X379" s="51"/>
      <c r="Y379" s="51"/>
      <c r="Z379" s="51"/>
      <c r="AA379" s="11">
        <f t="shared" si="488"/>
        <v>-21.319999999999993</v>
      </c>
      <c r="AB379" s="51"/>
      <c r="AC379" s="51"/>
      <c r="AD379" s="51"/>
      <c r="AE379" s="51"/>
      <c r="AF379" s="11">
        <f t="shared" si="489"/>
        <v>10.450000000000003</v>
      </c>
      <c r="AG379" s="51"/>
      <c r="AH379" s="51"/>
      <c r="AI379" s="51"/>
      <c r="AJ379" s="51"/>
      <c r="AK379" s="11">
        <f t="shared" si="490"/>
        <v>62.56</v>
      </c>
      <c r="AL379" s="51"/>
      <c r="AM379" s="51"/>
      <c r="AN379" s="51"/>
      <c r="AO379" s="51"/>
      <c r="AP379" s="11">
        <f t="shared" si="491"/>
        <v>44.720000000000027</v>
      </c>
      <c r="AQ379" s="51"/>
      <c r="AR379" s="51"/>
      <c r="AS379" s="51"/>
      <c r="AT379" s="51"/>
      <c r="AU379" s="11">
        <f t="shared" si="492"/>
        <v>-8.0900000000000034</v>
      </c>
      <c r="AV379" s="51"/>
      <c r="AW379" s="51"/>
      <c r="AX379" s="51"/>
      <c r="AY379" s="51"/>
      <c r="AZ379" s="11">
        <f t="shared" si="493"/>
        <v>24.47999999999999</v>
      </c>
      <c r="BA379" s="51"/>
      <c r="BB379" s="51"/>
      <c r="BC379" s="51"/>
      <c r="BD379" s="51"/>
      <c r="BE379" s="11">
        <f t="shared" si="494"/>
        <v>17.900000000000006</v>
      </c>
      <c r="BF379" s="51"/>
      <c r="BG379" s="51"/>
      <c r="BH379" s="51"/>
      <c r="BI379" s="51"/>
      <c r="BJ379" s="11">
        <f t="shared" si="495"/>
        <v>11.590000000000003</v>
      </c>
      <c r="BK379" s="51"/>
      <c r="BL379" s="51"/>
      <c r="BM379" s="51"/>
      <c r="BN379" s="51"/>
      <c r="BO379" s="11">
        <f t="shared" si="496"/>
        <v>-26.819999999999993</v>
      </c>
      <c r="BP379" s="87">
        <v>0</v>
      </c>
      <c r="BQ379" s="87">
        <v>0</v>
      </c>
      <c r="BR379" s="87">
        <v>0</v>
      </c>
      <c r="BS379" s="87">
        <v>0</v>
      </c>
      <c r="BT379" s="88">
        <f t="shared" si="497"/>
        <v>0</v>
      </c>
      <c r="BU379" s="87">
        <v>0</v>
      </c>
      <c r="BV379" s="87">
        <v>0</v>
      </c>
      <c r="BW379" s="87">
        <v>0</v>
      </c>
      <c r="BX379" s="87">
        <v>0</v>
      </c>
      <c r="BY379" s="88">
        <f t="shared" si="498"/>
        <v>0</v>
      </c>
      <c r="BZ379" s="87">
        <v>0</v>
      </c>
      <c r="CA379" s="87">
        <v>0</v>
      </c>
      <c r="CB379" s="87">
        <v>0</v>
      </c>
      <c r="CC379" s="87">
        <v>0</v>
      </c>
      <c r="CD379" s="88">
        <f t="shared" si="499"/>
        <v>0</v>
      </c>
      <c r="CE379" s="5"/>
      <c r="CF379" s="5"/>
      <c r="CG379" s="5"/>
      <c r="CH379" s="5"/>
      <c r="CI379" s="5"/>
    </row>
    <row r="380" spans="1:88">
      <c r="A380" s="39" t="s">
        <v>3401</v>
      </c>
      <c r="B380" s="39"/>
      <c r="C380" s="52"/>
      <c r="D380" s="52"/>
      <c r="E380" s="39">
        <f>SUM(E369:E379)</f>
        <v>275.27</v>
      </c>
      <c r="F380" s="39">
        <f>SUM(F369:F379)</f>
        <v>653.78</v>
      </c>
      <c r="G380" s="39">
        <f>SUM(G369:G379)</f>
        <v>704.03</v>
      </c>
      <c r="H380" s="51"/>
      <c r="I380" s="51"/>
      <c r="J380" s="51"/>
      <c r="K380" s="51"/>
      <c r="L380" s="39">
        <f>SUM(L369:L379)</f>
        <v>577.18999999999994</v>
      </c>
      <c r="M380" s="51"/>
      <c r="N380" s="51"/>
      <c r="O380" s="51"/>
      <c r="P380" s="51"/>
      <c r="Q380" s="39">
        <f>SUM(Q369:Q379)</f>
        <v>471.95</v>
      </c>
      <c r="R380" s="51"/>
      <c r="S380" s="51"/>
      <c r="T380" s="51"/>
      <c r="U380" s="51"/>
      <c r="V380" s="39">
        <f>SUM(V369:V379)</f>
        <v>570.34999999999991</v>
      </c>
      <c r="W380" s="51"/>
      <c r="X380" s="51"/>
      <c r="Y380" s="51"/>
      <c r="Z380" s="51"/>
      <c r="AA380" s="39">
        <f>SUM(AA369:AA379)</f>
        <v>589.84000000000015</v>
      </c>
      <c r="AB380" s="51"/>
      <c r="AC380" s="51"/>
      <c r="AD380" s="51"/>
      <c r="AE380" s="51"/>
      <c r="AF380" s="39">
        <f>SUM(AF369:AF379)</f>
        <v>615.13999999999987</v>
      </c>
      <c r="AG380" s="51"/>
      <c r="AH380" s="51"/>
      <c r="AI380" s="51"/>
      <c r="AJ380" s="51"/>
      <c r="AK380" s="39">
        <f>SUM(AK368:AK379)</f>
        <v>795.67000000000007</v>
      </c>
      <c r="AL380" s="51"/>
      <c r="AM380" s="51"/>
      <c r="AN380" s="51"/>
      <c r="AO380" s="51"/>
      <c r="AP380" s="39">
        <f>SUM(AP368:AP379)</f>
        <v>825.80000000000007</v>
      </c>
      <c r="AQ380" s="51"/>
      <c r="AR380" s="51"/>
      <c r="AS380" s="51"/>
      <c r="AT380" s="51"/>
      <c r="AU380" s="39">
        <f>SUM(AU368:AU379)</f>
        <v>392.25960000000009</v>
      </c>
      <c r="AV380" s="51"/>
      <c r="AW380" s="51"/>
      <c r="AX380" s="51"/>
      <c r="AY380" s="51"/>
      <c r="AZ380" s="39">
        <f>SUM(AZ368:AZ379)</f>
        <v>138.97510249999982</v>
      </c>
      <c r="BA380" s="51"/>
      <c r="BB380" s="51"/>
      <c r="BC380" s="51"/>
      <c r="BD380" s="51"/>
      <c r="BE380" s="39">
        <f>SUM(BE368:BE379)</f>
        <v>160.94950000000011</v>
      </c>
      <c r="BF380" s="51"/>
      <c r="BG380" s="51"/>
      <c r="BH380" s="51"/>
      <c r="BI380" s="51"/>
      <c r="BJ380" s="39">
        <f>SUM(BJ368:BJ379)</f>
        <v>222.69379999999978</v>
      </c>
      <c r="BK380" s="51"/>
      <c r="BL380" s="51"/>
      <c r="BM380" s="51"/>
      <c r="BN380" s="51"/>
      <c r="BO380" s="39">
        <f>SUM(BO368:BO379)</f>
        <v>261.42174999999997</v>
      </c>
      <c r="BP380" s="79">
        <f t="shared" ref="BP380:CD380" si="500">SUM(BP369:BP379)</f>
        <v>250</v>
      </c>
      <c r="BQ380" s="79">
        <f t="shared" si="500"/>
        <v>250</v>
      </c>
      <c r="BR380" s="79">
        <f t="shared" si="500"/>
        <v>250</v>
      </c>
      <c r="BS380" s="79">
        <f t="shared" si="500"/>
        <v>250</v>
      </c>
      <c r="BT380" s="39">
        <f t="shared" si="500"/>
        <v>250</v>
      </c>
      <c r="BU380" s="79">
        <f t="shared" si="500"/>
        <v>250</v>
      </c>
      <c r="BV380" s="79">
        <f t="shared" si="500"/>
        <v>250</v>
      </c>
      <c r="BW380" s="79">
        <f t="shared" si="500"/>
        <v>250</v>
      </c>
      <c r="BX380" s="79">
        <f t="shared" si="500"/>
        <v>250</v>
      </c>
      <c r="BY380" s="39">
        <f t="shared" si="500"/>
        <v>250</v>
      </c>
      <c r="BZ380" s="79">
        <f t="shared" si="500"/>
        <v>250</v>
      </c>
      <c r="CA380" s="79">
        <f t="shared" si="500"/>
        <v>250</v>
      </c>
      <c r="CB380" s="79">
        <f t="shared" si="500"/>
        <v>250</v>
      </c>
      <c r="CC380" s="79">
        <f t="shared" si="500"/>
        <v>250</v>
      </c>
      <c r="CD380" s="39">
        <f t="shared" si="500"/>
        <v>250</v>
      </c>
      <c r="CE380" s="5"/>
      <c r="CF380" s="5"/>
      <c r="CG380" s="5"/>
      <c r="CH380" s="5"/>
      <c r="CI380" s="5"/>
    </row>
    <row r="382" spans="1:88">
      <c r="A382" s="39" t="s">
        <v>3402</v>
      </c>
      <c r="B382" s="11"/>
      <c r="C382" s="51"/>
      <c r="D382" s="51"/>
      <c r="E382" s="11"/>
      <c r="F382" s="11"/>
      <c r="G382" s="11"/>
      <c r="H382" s="51"/>
      <c r="I382" s="51"/>
      <c r="J382" s="51"/>
      <c r="K382" s="51"/>
      <c r="L382" s="11"/>
      <c r="M382" s="68"/>
      <c r="N382" s="68"/>
      <c r="O382" s="68"/>
      <c r="P382" s="68"/>
      <c r="Q382" s="11"/>
      <c r="R382" s="68"/>
      <c r="S382" s="68"/>
      <c r="T382" s="68"/>
      <c r="U382" s="68"/>
      <c r="V382" s="11"/>
      <c r="W382" s="68"/>
      <c r="X382" s="68"/>
      <c r="Y382" s="68"/>
      <c r="Z382" s="68"/>
      <c r="AA382" s="11"/>
      <c r="AB382" s="68"/>
      <c r="AC382" s="68"/>
      <c r="AD382" s="68"/>
      <c r="AE382" s="68"/>
      <c r="AF382" s="11"/>
      <c r="AG382" s="11"/>
      <c r="AH382" s="11"/>
      <c r="AI382" s="11"/>
      <c r="AJ382" s="11"/>
      <c r="AK382" s="11"/>
      <c r="AL382" s="11"/>
      <c r="AM382" s="11"/>
      <c r="AN382" s="11"/>
      <c r="AO382" s="11"/>
      <c r="AP382" s="11"/>
      <c r="AQ382" s="11"/>
      <c r="AR382" s="11"/>
      <c r="AS382" s="11"/>
      <c r="AT382" s="11"/>
      <c r="AU382" s="11"/>
      <c r="AV382" s="11"/>
      <c r="AW382" s="11"/>
      <c r="AX382" s="11"/>
      <c r="AY382" s="11"/>
      <c r="AZ382" s="11"/>
      <c r="BA382" s="11"/>
      <c r="BB382" s="11"/>
      <c r="BC382" s="11"/>
      <c r="BD382" s="11"/>
      <c r="BE382" s="11"/>
      <c r="BF382" s="11"/>
      <c r="BG382" s="11"/>
      <c r="BH382" s="11"/>
      <c r="BI382" s="11"/>
      <c r="BJ382" s="11"/>
      <c r="BK382" s="11"/>
      <c r="BL382" s="11"/>
      <c r="BM382" s="11"/>
      <c r="BN382" s="11"/>
      <c r="BO382" s="11"/>
      <c r="BP382" s="11"/>
      <c r="BQ382" s="11"/>
      <c r="BR382" s="11"/>
      <c r="BS382" s="11"/>
      <c r="BT382" s="11"/>
      <c r="BU382" s="11"/>
      <c r="BV382" s="11"/>
      <c r="BW382" s="11"/>
      <c r="BX382" s="11"/>
      <c r="BY382" s="11"/>
      <c r="BZ382" s="11"/>
      <c r="CA382" s="11"/>
      <c r="CB382" s="11"/>
      <c r="CC382" s="11"/>
      <c r="CD382" s="11"/>
      <c r="CE382" s="5"/>
      <c r="CF382" s="5"/>
      <c r="CG382" s="5"/>
      <c r="CH382" s="5"/>
      <c r="CI382" s="5"/>
    </row>
    <row r="383" spans="1:88">
      <c r="A383" s="11"/>
      <c r="B383" s="11" t="s">
        <v>2965</v>
      </c>
      <c r="C383" s="51"/>
      <c r="D383" s="51"/>
      <c r="E383" s="11">
        <f t="shared" ref="E383:G384" si="501">E160-E329</f>
        <v>2</v>
      </c>
      <c r="F383" s="11">
        <f t="shared" si="501"/>
        <v>-1.8100000000000023</v>
      </c>
      <c r="G383" s="11">
        <f t="shared" si="501"/>
        <v>-18.5</v>
      </c>
      <c r="H383" s="51"/>
      <c r="I383" s="51"/>
      <c r="J383" s="51"/>
      <c r="K383" s="51"/>
      <c r="L383" s="11">
        <f>L160-L329</f>
        <v>-10.180000000000007</v>
      </c>
      <c r="M383" s="51"/>
      <c r="N383" s="51"/>
      <c r="O383" s="51"/>
      <c r="P383" s="51"/>
      <c r="Q383" s="11">
        <f>Q160-Q329</f>
        <v>-14.700000000000045</v>
      </c>
      <c r="R383" s="51"/>
      <c r="S383" s="51"/>
      <c r="T383" s="51"/>
      <c r="U383" s="51"/>
      <c r="V383" s="11">
        <f>V160-V329</f>
        <v>-18.740000000000009</v>
      </c>
      <c r="W383" s="51"/>
      <c r="X383" s="51"/>
      <c r="Y383" s="51"/>
      <c r="Z383" s="51"/>
      <c r="AA383" s="11">
        <f>AA160-AA329</f>
        <v>-37.190000000000055</v>
      </c>
      <c r="AB383" s="51"/>
      <c r="AC383" s="51"/>
      <c r="AD383" s="51"/>
      <c r="AE383" s="51"/>
      <c r="AF383" s="11">
        <f>AF160-AF329</f>
        <v>-41.490000000000009</v>
      </c>
      <c r="AG383" s="51"/>
      <c r="AH383" s="51"/>
      <c r="AI383" s="51"/>
      <c r="AJ383" s="51"/>
      <c r="AK383" s="11">
        <f>AK160-AK329</f>
        <v>-7.1200000000000045</v>
      </c>
      <c r="AL383" s="51"/>
      <c r="AM383" s="51"/>
      <c r="AN383" s="51"/>
      <c r="AO383" s="51"/>
      <c r="AP383" s="11">
        <f>AP160-AP329</f>
        <v>-4.2200000000000273</v>
      </c>
      <c r="AQ383" s="51"/>
      <c r="AR383" s="51"/>
      <c r="AS383" s="51"/>
      <c r="AT383" s="51"/>
      <c r="AU383" s="11">
        <f>AU160-AU329</f>
        <v>1.1800000000000068</v>
      </c>
      <c r="AV383" s="51"/>
      <c r="AW383" s="51"/>
      <c r="AX383" s="51"/>
      <c r="AY383" s="51"/>
      <c r="AZ383" s="11">
        <f>AZ160-AZ329</f>
        <v>-1.9300000000000068</v>
      </c>
      <c r="BA383" s="51"/>
      <c r="BB383" s="51"/>
      <c r="BC383" s="51"/>
      <c r="BD383" s="51"/>
      <c r="BE383" s="11">
        <f>BE160-BE329</f>
        <v>-5.4699999999999704</v>
      </c>
      <c r="BF383" s="51"/>
      <c r="BG383" s="51"/>
      <c r="BH383" s="51"/>
      <c r="BI383" s="51"/>
      <c r="BJ383" s="11">
        <f>BJ160-BJ329</f>
        <v>-7.8600000000000136</v>
      </c>
      <c r="BK383" s="51"/>
      <c r="BL383" s="51"/>
      <c r="BM383" s="51"/>
      <c r="BN383" s="51"/>
      <c r="BO383" s="11">
        <f>BO160-BO329</f>
        <v>-13.82000000000005</v>
      </c>
      <c r="BP383" s="51"/>
      <c r="BQ383" s="51"/>
      <c r="BR383" s="51"/>
      <c r="BS383" s="51"/>
      <c r="BT383" s="51"/>
      <c r="BU383" s="51"/>
      <c r="BV383" s="51"/>
      <c r="BW383" s="51"/>
      <c r="BX383" s="51"/>
      <c r="BY383" s="51"/>
      <c r="BZ383" s="51"/>
      <c r="CA383" s="51"/>
      <c r="CB383" s="51"/>
      <c r="CC383" s="51"/>
      <c r="CD383" s="51"/>
      <c r="CE383" s="5"/>
      <c r="CF383" s="5"/>
      <c r="CG383" s="5"/>
      <c r="CH383" s="5"/>
      <c r="CI383" s="5"/>
    </row>
    <row r="384" spans="1:88">
      <c r="A384" s="11"/>
      <c r="B384" s="11" t="s">
        <v>3403</v>
      </c>
      <c r="C384" s="51"/>
      <c r="D384" s="51"/>
      <c r="E384" s="11">
        <f t="shared" si="501"/>
        <v>0</v>
      </c>
      <c r="F384" s="11">
        <f t="shared" si="501"/>
        <v>0</v>
      </c>
      <c r="G384" s="11">
        <f t="shared" si="501"/>
        <v>0</v>
      </c>
      <c r="H384" s="51"/>
      <c r="I384" s="51"/>
      <c r="J384" s="51"/>
      <c r="K384" s="51"/>
      <c r="L384" s="11">
        <f>L161-L330</f>
        <v>0</v>
      </c>
      <c r="M384" s="51"/>
      <c r="N384" s="51"/>
      <c r="O384" s="51"/>
      <c r="P384" s="51"/>
      <c r="Q384" s="11">
        <f>Q161-Q330</f>
        <v>0</v>
      </c>
      <c r="R384" s="51"/>
      <c r="S384" s="51"/>
      <c r="T384" s="51"/>
      <c r="U384" s="51"/>
      <c r="V384" s="11">
        <f>V161-V330</f>
        <v>1</v>
      </c>
      <c r="W384" s="51"/>
      <c r="X384" s="51"/>
      <c r="Y384" s="51"/>
      <c r="Z384" s="51"/>
      <c r="AA384" s="11">
        <f>AA161-AA330</f>
        <v>38.950000000000003</v>
      </c>
      <c r="AB384" s="51"/>
      <c r="AC384" s="51"/>
      <c r="AD384" s="51"/>
      <c r="AE384" s="51"/>
      <c r="AF384" s="11">
        <f>AF161-AF330</f>
        <v>-24</v>
      </c>
      <c r="AG384" s="51"/>
      <c r="AH384" s="51"/>
      <c r="AI384" s="51"/>
      <c r="AJ384" s="51"/>
      <c r="AK384" s="11">
        <f>AK161-AK330</f>
        <v>-18.569999999999993</v>
      </c>
      <c r="AL384" s="51"/>
      <c r="AM384" s="51"/>
      <c r="AN384" s="51"/>
      <c r="AO384" s="51"/>
      <c r="AP384" s="11">
        <f>AP161-AP330</f>
        <v>35.329999999999984</v>
      </c>
      <c r="AQ384" s="51"/>
      <c r="AR384" s="51"/>
      <c r="AS384" s="51"/>
      <c r="AT384" s="51"/>
      <c r="AU384" s="11">
        <f>AU161-AU330</f>
        <v>26.70999999999998</v>
      </c>
      <c r="AV384" s="51"/>
      <c r="AW384" s="51"/>
      <c r="AX384" s="51"/>
      <c r="AY384" s="51"/>
      <c r="AZ384" s="11">
        <f>AZ161-AZ330</f>
        <v>63.569999999999993</v>
      </c>
      <c r="BA384" s="51"/>
      <c r="BB384" s="51"/>
      <c r="BC384" s="51"/>
      <c r="BD384" s="51"/>
      <c r="BE384" s="11">
        <f>BE161-BE330</f>
        <v>25.579999999999984</v>
      </c>
      <c r="BF384" s="51"/>
      <c r="BG384" s="51"/>
      <c r="BH384" s="51"/>
      <c r="BI384" s="51"/>
      <c r="BJ384" s="11">
        <f>BJ161-BJ330</f>
        <v>-21.970000000000027</v>
      </c>
      <c r="BK384" s="51"/>
      <c r="BL384" s="51"/>
      <c r="BM384" s="51"/>
      <c r="BN384" s="51"/>
      <c r="BO384" s="11">
        <f>BO161-BO330</f>
        <v>3.1999999999999886</v>
      </c>
      <c r="BP384" s="51"/>
      <c r="BQ384" s="51"/>
      <c r="BR384" s="51"/>
      <c r="BS384" s="51"/>
      <c r="BT384" s="51"/>
      <c r="BU384" s="51"/>
      <c r="BV384" s="51"/>
      <c r="BW384" s="51"/>
      <c r="BX384" s="51"/>
      <c r="BY384" s="51"/>
      <c r="BZ384" s="51"/>
      <c r="CA384" s="51"/>
      <c r="CB384" s="51"/>
      <c r="CC384" s="51"/>
      <c r="CD384" s="51"/>
      <c r="CE384" s="5"/>
      <c r="CF384" s="5"/>
      <c r="CG384" s="5"/>
      <c r="CH384" s="5"/>
      <c r="CI384" s="5"/>
    </row>
    <row r="385" spans="1:88">
      <c r="A385" s="39" t="s">
        <v>1935</v>
      </c>
      <c r="B385" s="39"/>
      <c r="C385" s="52"/>
      <c r="D385" s="52"/>
      <c r="E385" s="39">
        <f>SUM(E383:E384)</f>
        <v>2</v>
      </c>
      <c r="F385" s="39">
        <f>SUM(F383:F384)</f>
        <v>-1.8100000000000023</v>
      </c>
      <c r="G385" s="39">
        <f>SUM(G383:G384)</f>
        <v>-18.5</v>
      </c>
      <c r="H385" s="51"/>
      <c r="I385" s="51"/>
      <c r="J385" s="51"/>
      <c r="K385" s="51"/>
      <c r="L385" s="39">
        <f>SUM(L383:L384)</f>
        <v>-10.180000000000007</v>
      </c>
      <c r="M385" s="51"/>
      <c r="N385" s="51"/>
      <c r="O385" s="51"/>
      <c r="P385" s="51"/>
      <c r="Q385" s="39">
        <f>SUM(Q383:Q384)</f>
        <v>-14.700000000000045</v>
      </c>
      <c r="R385" s="51"/>
      <c r="S385" s="51"/>
      <c r="T385" s="51"/>
      <c r="U385" s="51"/>
      <c r="V385" s="39">
        <f>SUM(V383:V384)</f>
        <v>-17.740000000000009</v>
      </c>
      <c r="W385" s="51"/>
      <c r="X385" s="51"/>
      <c r="Y385" s="51"/>
      <c r="Z385" s="51"/>
      <c r="AA385" s="39">
        <f>SUM(AA383:AA384)</f>
        <v>1.7599999999999483</v>
      </c>
      <c r="AB385" s="51"/>
      <c r="AC385" s="51"/>
      <c r="AD385" s="51"/>
      <c r="AE385" s="51"/>
      <c r="AF385" s="39">
        <f>SUM(AF383:AF384)</f>
        <v>-65.490000000000009</v>
      </c>
      <c r="AG385" s="51"/>
      <c r="AH385" s="51"/>
      <c r="AI385" s="51"/>
      <c r="AJ385" s="51"/>
      <c r="AK385" s="39">
        <f>SUM(AK383:AK384)</f>
        <v>-25.689999999999998</v>
      </c>
      <c r="AL385" s="51"/>
      <c r="AM385" s="51"/>
      <c r="AN385" s="51"/>
      <c r="AO385" s="51"/>
      <c r="AP385" s="39">
        <f>SUM(AP383:AP384)</f>
        <v>31.109999999999957</v>
      </c>
      <c r="AQ385" s="51"/>
      <c r="AR385" s="51"/>
      <c r="AS385" s="51"/>
      <c r="AT385" s="51"/>
      <c r="AU385" s="39">
        <f>SUM(AU383:AU384)</f>
        <v>27.889999999999986</v>
      </c>
      <c r="AV385" s="51"/>
      <c r="AW385" s="51"/>
      <c r="AX385" s="51"/>
      <c r="AY385" s="51"/>
      <c r="AZ385" s="39">
        <f>SUM(AZ383:AZ384)</f>
        <v>61.639999999999986</v>
      </c>
      <c r="BA385" s="51"/>
      <c r="BB385" s="51"/>
      <c r="BC385" s="51"/>
      <c r="BD385" s="51"/>
      <c r="BE385" s="39">
        <f>SUM(BE383:BE384)</f>
        <v>20.110000000000014</v>
      </c>
      <c r="BF385" s="51"/>
      <c r="BG385" s="51"/>
      <c r="BH385" s="51"/>
      <c r="BI385" s="51"/>
      <c r="BJ385" s="39">
        <f>SUM(BJ383:BJ384)</f>
        <v>-29.830000000000041</v>
      </c>
      <c r="BK385" s="51"/>
      <c r="BL385" s="51"/>
      <c r="BM385" s="51"/>
      <c r="BN385" s="51"/>
      <c r="BO385" s="39">
        <f>SUM(BO383:BO384)</f>
        <v>-10.620000000000061</v>
      </c>
      <c r="BP385" s="570">
        <v>-25</v>
      </c>
      <c r="BQ385" s="570">
        <v>-25</v>
      </c>
      <c r="BR385" s="570">
        <v>-25</v>
      </c>
      <c r="BS385" s="570">
        <v>-25</v>
      </c>
      <c r="BT385" s="571">
        <f t="shared" ref="BT385" si="502">AVERAGE(BP385:BS385)</f>
        <v>-25</v>
      </c>
      <c r="BU385" s="570">
        <v>-25</v>
      </c>
      <c r="BV385" s="570">
        <v>-25</v>
      </c>
      <c r="BW385" s="570">
        <v>-25</v>
      </c>
      <c r="BX385" s="570">
        <v>-25</v>
      </c>
      <c r="BY385" s="571">
        <f t="shared" ref="BY385" si="503">AVERAGE(BU385:BX385)</f>
        <v>-25</v>
      </c>
      <c r="BZ385" s="570">
        <v>-25</v>
      </c>
      <c r="CA385" s="570">
        <v>-25</v>
      </c>
      <c r="CB385" s="570">
        <v>-25</v>
      </c>
      <c r="CC385" s="570">
        <v>-25</v>
      </c>
      <c r="CD385" s="571">
        <f t="shared" ref="CD385" si="504">AVERAGE(BZ385:CC385)</f>
        <v>-25</v>
      </c>
      <c r="CE385" s="173"/>
      <c r="CF385" s="5"/>
      <c r="CG385" s="5"/>
      <c r="CH385" s="5"/>
      <c r="CI385" s="5"/>
    </row>
    <row r="387" spans="1:88">
      <c r="A387" s="46" t="s">
        <v>2096</v>
      </c>
      <c r="B387" s="46"/>
      <c r="C387" s="53"/>
      <c r="D387" s="53"/>
      <c r="E387" s="46">
        <f>E345+E350+E359+E365+E380+E385</f>
        <v>614.63999999999987</v>
      </c>
      <c r="F387" s="46">
        <f>F345+F350+F359+F365+F380+F385</f>
        <v>1205.432</v>
      </c>
      <c r="G387" s="46">
        <f>G345+G350+G359+G365+G380+G385</f>
        <v>1216.998</v>
      </c>
      <c r="H387" s="102"/>
      <c r="I387" s="102"/>
      <c r="J387" s="102"/>
      <c r="K387" s="102"/>
      <c r="L387" s="46">
        <f>L345+L350+L359+L365+L380+L385</f>
        <v>1372.3119999999997</v>
      </c>
      <c r="M387" s="81">
        <f>M164-M333</f>
        <v>1276.9592642411299</v>
      </c>
      <c r="N387" s="81">
        <f>N164-N333</f>
        <v>1111.9499768295482</v>
      </c>
      <c r="O387" s="81">
        <f>O164-O333</f>
        <v>1087.4517434122208</v>
      </c>
      <c r="P387" s="81">
        <f>P164-P333</f>
        <v>1157.1750155171012</v>
      </c>
      <c r="Q387" s="46">
        <f>Q345+Q350+Q359+Q365+Q380+Q385</f>
        <v>1157.1340000000002</v>
      </c>
      <c r="R387" s="81">
        <f>R164-R333</f>
        <v>1235.394735688903</v>
      </c>
      <c r="S387" s="81">
        <f>S164-S333</f>
        <v>1291.8310435824005</v>
      </c>
      <c r="T387" s="81">
        <f>T164-T333</f>
        <v>1341.3127305543558</v>
      </c>
      <c r="U387" s="81">
        <f>U164-U333</f>
        <v>1367.1654901743395</v>
      </c>
      <c r="V387" s="46">
        <f>V345+V350+V359+V365+V380+V385</f>
        <v>1308.9259999999995</v>
      </c>
      <c r="W387" s="81">
        <f>W164-W333</f>
        <v>1506.0086702132385</v>
      </c>
      <c r="X387" s="81">
        <f>X164-X333</f>
        <v>1437.5311600203195</v>
      </c>
      <c r="Y387" s="81">
        <f>Y164-Y333</f>
        <v>1387.3125637253615</v>
      </c>
      <c r="Z387" s="81">
        <f>Z164-Z333</f>
        <v>1538.85960604108</v>
      </c>
      <c r="AA387" s="46">
        <f>AA345+AA350+AA359+AA365+AA380+AA385</f>
        <v>1465.9280000000001</v>
      </c>
      <c r="AB387" s="81">
        <f>AB164-AB333</f>
        <v>1305.1074451300528</v>
      </c>
      <c r="AC387" s="81">
        <f>AC164-AC333</f>
        <v>1276.3544056331375</v>
      </c>
      <c r="AD387" s="81">
        <f>AD164-AD333</f>
        <v>1209.3069363304294</v>
      </c>
      <c r="AE387" s="81">
        <f>AE164-AE333</f>
        <v>1340.2952129063815</v>
      </c>
      <c r="AF387" s="46">
        <f>AF345+AF350+AF359+AF365+AF380+AF385</f>
        <v>1281.7659999999998</v>
      </c>
      <c r="AG387" s="81">
        <f>AG164-AG333</f>
        <v>1180.299121694743</v>
      </c>
      <c r="AH387" s="81">
        <f>AH164-AH333</f>
        <v>1327.4444669682762</v>
      </c>
      <c r="AI387" s="81">
        <f>AI164-AI333</f>
        <v>1082.6077116857286</v>
      </c>
      <c r="AJ387" s="81">
        <f>AJ164-AJ333</f>
        <v>1455.3926996512537</v>
      </c>
      <c r="AK387" s="46">
        <f t="shared" ref="AK387:CD387" si="505">AK345+AK350+AK359+AK365+AK380+AK385</f>
        <v>1260.4359999999999</v>
      </c>
      <c r="AL387" s="81">
        <f>AL164-AL333</f>
        <v>1838.0481099921108</v>
      </c>
      <c r="AM387" s="81">
        <f>AM164-AM333</f>
        <v>1486.1358506401157</v>
      </c>
      <c r="AN387" s="81">
        <f>AN164-AN333</f>
        <v>1395.4706834970812</v>
      </c>
      <c r="AO387" s="81">
        <f>AO164-AO333</f>
        <v>1446.3213558706902</v>
      </c>
      <c r="AP387" s="46">
        <f>AP345+AP350+AP359+AP365+AP380+AP385</f>
        <v>1540.7439999999997</v>
      </c>
      <c r="AQ387" s="81">
        <f>AQ164-AQ333</f>
        <v>1012.2303732438177</v>
      </c>
      <c r="AR387" s="81">
        <f>AR164-AR333</f>
        <v>707.88495086330749</v>
      </c>
      <c r="AS387" s="81">
        <f>AS164-AS333</f>
        <v>790.60219471878736</v>
      </c>
      <c r="AT387" s="81">
        <f>AT164-AT333</f>
        <v>641.1688811740878</v>
      </c>
      <c r="AU387" s="46">
        <f>AU345+AU350+AU359+AU365+AU380+AU385</f>
        <v>785.97160000000031</v>
      </c>
      <c r="AV387" s="81">
        <f>AV164-AV333</f>
        <v>300.14056335852274</v>
      </c>
      <c r="AW387" s="81">
        <f>AW164-AW333</f>
        <v>404.58274959244864</v>
      </c>
      <c r="AX387" s="81">
        <f>AX164-AX333</f>
        <v>670.91737734935759</v>
      </c>
      <c r="AY387" s="81">
        <f>AY164-AY333</f>
        <v>578.04011969967087</v>
      </c>
      <c r="AZ387" s="46">
        <f>AZ345+AZ350+AZ359+AZ365+AZ380+AZ385</f>
        <v>506.16110249999986</v>
      </c>
      <c r="BA387" s="81">
        <f>BA164-BA333</f>
        <v>823.38756681626637</v>
      </c>
      <c r="BB387" s="81">
        <f>BB164-BB333</f>
        <v>700.08586688218747</v>
      </c>
      <c r="BC387" s="81">
        <f>BC164-BC333</f>
        <v>767.19285615739955</v>
      </c>
      <c r="BD387" s="81">
        <f>BD164-BD333</f>
        <v>901.71121014414621</v>
      </c>
      <c r="BE387" s="46">
        <f>BE345+BE350+BE359+BE365+BE380+BE385</f>
        <v>796.90950000000009</v>
      </c>
      <c r="BF387" s="81">
        <f>BF164-BF333</f>
        <v>821.85299984678022</v>
      </c>
      <c r="BG387" s="81">
        <f>BG164-BG333</f>
        <v>860.10177344529438</v>
      </c>
      <c r="BH387" s="81">
        <f>BH164-BH333</f>
        <v>871.94154021433224</v>
      </c>
      <c r="BI387" s="81">
        <f>BI164-BI333</f>
        <v>934.47488649359184</v>
      </c>
      <c r="BJ387" s="46">
        <f>BJ345+BJ350+BJ359+BJ365+BJ380+BJ385</f>
        <v>874.09279999999978</v>
      </c>
      <c r="BK387" s="81">
        <f>BK164-BK333</f>
        <v>262.91402255950743</v>
      </c>
      <c r="BL387" s="81">
        <f>BL164-BL333</f>
        <v>947.88993694489182</v>
      </c>
      <c r="BM387" s="81">
        <f>BM164-BM333</f>
        <v>1252.332369136825</v>
      </c>
      <c r="BN387" s="81">
        <f>BN164-BN333</f>
        <v>1770.6266713587747</v>
      </c>
      <c r="BO387" s="46">
        <f>BO345+BO350+BO359+BO365+BO380+BO385</f>
        <v>1064.1907499999998</v>
      </c>
      <c r="BP387" s="89">
        <f t="shared" si="505"/>
        <v>850</v>
      </c>
      <c r="BQ387" s="89">
        <f t="shared" si="505"/>
        <v>825</v>
      </c>
      <c r="BR387" s="89">
        <f t="shared" si="505"/>
        <v>825</v>
      </c>
      <c r="BS387" s="89">
        <f t="shared" si="505"/>
        <v>825</v>
      </c>
      <c r="BT387" s="46">
        <f t="shared" si="505"/>
        <v>831.25</v>
      </c>
      <c r="BU387" s="89">
        <f t="shared" si="505"/>
        <v>725</v>
      </c>
      <c r="BV387" s="89">
        <f t="shared" si="505"/>
        <v>725</v>
      </c>
      <c r="BW387" s="89">
        <f t="shared" si="505"/>
        <v>725</v>
      </c>
      <c r="BX387" s="89">
        <f t="shared" si="505"/>
        <v>725</v>
      </c>
      <c r="BY387" s="46">
        <f t="shared" si="505"/>
        <v>725</v>
      </c>
      <c r="BZ387" s="89">
        <f t="shared" si="505"/>
        <v>725</v>
      </c>
      <c r="CA387" s="89">
        <f t="shared" si="505"/>
        <v>725</v>
      </c>
      <c r="CB387" s="89">
        <f t="shared" si="505"/>
        <v>725</v>
      </c>
      <c r="CC387" s="89">
        <f t="shared" si="505"/>
        <v>725</v>
      </c>
      <c r="CD387" s="46">
        <f t="shared" si="505"/>
        <v>725</v>
      </c>
      <c r="CE387" s="5"/>
      <c r="CF387" s="5"/>
      <c r="CG387" s="5">
        <f t="shared" ref="CG387:CJ388" si="506">AVERAGE(M387,R387,W387,AB387,AG387,AL387,AQ387)</f>
        <v>1336.2925314577137</v>
      </c>
      <c r="CH387" s="5">
        <f t="shared" si="506"/>
        <v>1234.1616935053007</v>
      </c>
      <c r="CI387" s="5">
        <f t="shared" si="506"/>
        <v>1184.866366274852</v>
      </c>
      <c r="CJ387" s="5">
        <f t="shared" si="506"/>
        <v>1278.0540373335621</v>
      </c>
    </row>
    <row r="388" spans="1:88">
      <c r="A388" s="446" t="s">
        <v>611</v>
      </c>
      <c r="B388" s="343"/>
      <c r="C388" s="445"/>
      <c r="D388" s="445"/>
      <c r="E388" s="345">
        <f>E387-E376</f>
        <v>485.63999999999987</v>
      </c>
      <c r="F388" s="345">
        <f>F387-F376</f>
        <v>747.43200000000002</v>
      </c>
      <c r="G388" s="345">
        <f>G387-G376</f>
        <v>734.99800000000005</v>
      </c>
      <c r="H388" s="345"/>
      <c r="I388" s="345"/>
      <c r="J388" s="345"/>
      <c r="K388" s="345"/>
      <c r="L388" s="345">
        <f>L387-L376</f>
        <v>828.31199999999967</v>
      </c>
      <c r="M388" s="345"/>
      <c r="N388" s="345"/>
      <c r="O388" s="345"/>
      <c r="P388" s="345"/>
      <c r="Q388" s="345">
        <f>Q387-Q376</f>
        <v>706.13400000000024</v>
      </c>
      <c r="R388" s="345"/>
      <c r="S388" s="345"/>
      <c r="T388" s="345"/>
      <c r="U388" s="345"/>
      <c r="V388" s="345">
        <f>V387-V376</f>
        <v>744.92599999999948</v>
      </c>
      <c r="W388" s="345"/>
      <c r="X388" s="345"/>
      <c r="Y388" s="345"/>
      <c r="Z388" s="345"/>
      <c r="AA388" s="345">
        <f>AA387-AA376</f>
        <v>864.92800000000011</v>
      </c>
      <c r="AB388" s="345"/>
      <c r="AC388" s="345"/>
      <c r="AD388" s="345"/>
      <c r="AE388" s="345"/>
      <c r="AF388" s="345">
        <f>AF387-AF376</f>
        <v>641.76599999999985</v>
      </c>
      <c r="AG388" s="345"/>
      <c r="AH388" s="345"/>
      <c r="AI388" s="345"/>
      <c r="AJ388" s="345"/>
      <c r="AK388" s="345">
        <f t="shared" ref="AK388:AV388" si="507">AK387-AK376</f>
        <v>561.43599999999992</v>
      </c>
      <c r="AL388" s="107">
        <f t="shared" si="507"/>
        <v>1025.0481099921108</v>
      </c>
      <c r="AM388" s="107">
        <f t="shared" si="507"/>
        <v>707.13585064011568</v>
      </c>
      <c r="AN388" s="107">
        <f t="shared" si="507"/>
        <v>667.47068349708115</v>
      </c>
      <c r="AO388" s="107">
        <f t="shared" si="507"/>
        <v>628.32135587069024</v>
      </c>
      <c r="AP388" s="345">
        <f t="shared" si="507"/>
        <v>806.74399999999969</v>
      </c>
      <c r="AQ388" s="107">
        <f t="shared" si="507"/>
        <v>699.61013579509392</v>
      </c>
      <c r="AR388" s="107">
        <f t="shared" si="507"/>
        <v>497.87419850393673</v>
      </c>
      <c r="AS388" s="107">
        <f t="shared" si="507"/>
        <v>466.14896354222265</v>
      </c>
      <c r="AT388" s="107">
        <f t="shared" si="507"/>
        <v>281.45470215874661</v>
      </c>
      <c r="AU388" s="345">
        <f t="shared" si="507"/>
        <v>483.27200000000022</v>
      </c>
      <c r="AV388" s="107">
        <f t="shared" si="507"/>
        <v>314.90970847506321</v>
      </c>
      <c r="AW388" s="107">
        <f t="shared" ref="AW388:CD388" si="508">AW387-AW376</f>
        <v>324.90356676604858</v>
      </c>
      <c r="AX388" s="107">
        <f t="shared" si="508"/>
        <v>498.17421462007587</v>
      </c>
      <c r="AY388" s="107">
        <f t="shared" si="508"/>
        <v>382.39291013881257</v>
      </c>
      <c r="AZ388" s="345">
        <f t="shared" si="508"/>
        <v>379.58600000000001</v>
      </c>
      <c r="BA388" s="107">
        <f t="shared" si="508"/>
        <v>683.65860372681595</v>
      </c>
      <c r="BB388" s="107">
        <f>BB387-BB376</f>
        <v>525.11949724835551</v>
      </c>
      <c r="BC388" s="107">
        <f>BC387-BC376</f>
        <v>617.49008509824773</v>
      </c>
      <c r="BD388" s="107">
        <f>BD387-BD376</f>
        <v>732.03131392657997</v>
      </c>
      <c r="BE388" s="345">
        <f>BE387-BE376</f>
        <v>639.14</v>
      </c>
      <c r="BF388" s="107">
        <f t="shared" si="508"/>
        <v>644.82167094719148</v>
      </c>
      <c r="BG388" s="107">
        <f t="shared" si="508"/>
        <v>609.23153192877555</v>
      </c>
      <c r="BH388" s="107">
        <f t="shared" si="508"/>
        <v>643.94038229022806</v>
      </c>
      <c r="BI388" s="107">
        <f t="shared" si="508"/>
        <v>698.60241483380423</v>
      </c>
      <c r="BJ388" s="345">
        <f t="shared" si="508"/>
        <v>651.149</v>
      </c>
      <c r="BK388" s="107">
        <f t="shared" si="508"/>
        <v>2.7987854052084913</v>
      </c>
      <c r="BL388" s="107">
        <f t="shared" si="508"/>
        <v>632.46304843502207</v>
      </c>
      <c r="BM388" s="107">
        <f t="shared" si="508"/>
        <v>954.3971297211782</v>
      </c>
      <c r="BN388" s="107">
        <f t="shared" si="508"/>
        <v>1517.4970364385899</v>
      </c>
      <c r="BO388" s="345">
        <f t="shared" si="508"/>
        <v>782.53899999999976</v>
      </c>
      <c r="BP388" s="107">
        <f t="shared" si="508"/>
        <v>600</v>
      </c>
      <c r="BQ388" s="13">
        <f t="shared" si="508"/>
        <v>575</v>
      </c>
      <c r="BR388" s="107">
        <f t="shared" si="508"/>
        <v>575</v>
      </c>
      <c r="BS388" s="107">
        <f t="shared" si="508"/>
        <v>575</v>
      </c>
      <c r="BT388" s="345">
        <f t="shared" si="508"/>
        <v>581.25</v>
      </c>
      <c r="BU388" s="107">
        <f t="shared" si="508"/>
        <v>475</v>
      </c>
      <c r="BV388" s="13">
        <f t="shared" si="508"/>
        <v>475</v>
      </c>
      <c r="BW388" s="107">
        <f t="shared" si="508"/>
        <v>475</v>
      </c>
      <c r="BX388" s="107">
        <f t="shared" si="508"/>
        <v>475</v>
      </c>
      <c r="BY388" s="345">
        <f t="shared" si="508"/>
        <v>475</v>
      </c>
      <c r="BZ388" s="107">
        <f t="shared" si="508"/>
        <v>475</v>
      </c>
      <c r="CA388" s="13">
        <f t="shared" si="508"/>
        <v>475</v>
      </c>
      <c r="CB388" s="107">
        <f t="shared" si="508"/>
        <v>475</v>
      </c>
      <c r="CC388" s="107">
        <f t="shared" si="508"/>
        <v>475</v>
      </c>
      <c r="CD388" s="345">
        <f t="shared" si="508"/>
        <v>475</v>
      </c>
      <c r="CG388" s="5">
        <f t="shared" si="506"/>
        <v>862.32912289360229</v>
      </c>
      <c r="CH388" s="5">
        <f t="shared" si="506"/>
        <v>602.50502457202617</v>
      </c>
      <c r="CI388" s="5">
        <f t="shared" si="506"/>
        <v>566.8098235196519</v>
      </c>
      <c r="CJ388" s="5">
        <f t="shared" si="506"/>
        <v>454.88802901471843</v>
      </c>
    </row>
    <row r="389" spans="1:88">
      <c r="A389" s="24"/>
      <c r="B389" s="11"/>
      <c r="C389" s="11"/>
      <c r="D389" s="11"/>
      <c r="E389" s="11"/>
      <c r="F389" s="11"/>
      <c r="G389" s="11"/>
      <c r="H389" s="86"/>
      <c r="I389" s="86"/>
      <c r="J389" s="86"/>
      <c r="K389" s="86"/>
      <c r="L389" s="11"/>
      <c r="M389" s="65"/>
      <c r="N389" s="65"/>
      <c r="O389" s="65"/>
      <c r="P389" s="65"/>
      <c r="Q389" s="11"/>
      <c r="R389" s="65"/>
      <c r="S389" s="65"/>
      <c r="T389" s="65"/>
      <c r="U389" s="65"/>
      <c r="V389" s="11"/>
      <c r="W389" s="65"/>
      <c r="X389" s="65"/>
      <c r="Y389" s="65"/>
      <c r="Z389" s="65"/>
      <c r="AA389" s="11"/>
      <c r="AB389" s="65"/>
      <c r="AC389" s="65"/>
      <c r="AD389" s="65"/>
      <c r="AE389" s="65"/>
      <c r="AF389" s="11"/>
      <c r="AG389" s="65"/>
      <c r="AH389" s="65"/>
      <c r="AI389" s="65"/>
      <c r="AJ389" s="65"/>
      <c r="AK389" s="11"/>
      <c r="AL389" s="457"/>
      <c r="AM389" s="457"/>
      <c r="AN389" s="457"/>
      <c r="AO389" s="457"/>
      <c r="AP389" s="11"/>
      <c r="AQ389" s="457"/>
      <c r="AR389" s="457"/>
      <c r="AS389" s="457"/>
      <c r="AT389" s="65"/>
      <c r="AU389" s="11"/>
      <c r="AV389" s="65"/>
      <c r="AW389" s="65"/>
      <c r="AX389" s="457"/>
      <c r="AY389" s="65"/>
      <c r="AZ389" s="11"/>
      <c r="BA389" s="65"/>
      <c r="BB389" s="65"/>
      <c r="BC389" s="457"/>
      <c r="BD389" s="65"/>
      <c r="BE389" s="11"/>
      <c r="BF389" s="65"/>
      <c r="BG389" s="65"/>
      <c r="BH389" s="65"/>
      <c r="BI389" s="65"/>
      <c r="BJ389" s="11"/>
      <c r="BK389" s="65"/>
      <c r="BL389" s="65"/>
      <c r="BM389" s="65"/>
      <c r="BN389" s="65"/>
      <c r="BO389" s="11"/>
      <c r="BP389" s="65"/>
      <c r="BQ389" s="65"/>
      <c r="BR389" s="65"/>
      <c r="BS389" s="65"/>
      <c r="BT389" s="11"/>
      <c r="BU389" s="65"/>
      <c r="BV389" s="65"/>
      <c r="BW389" s="65"/>
      <c r="BX389" s="65"/>
      <c r="BY389" s="11"/>
      <c r="BZ389" s="65"/>
      <c r="CA389" s="65"/>
      <c r="CB389" s="65"/>
      <c r="CC389" s="65"/>
      <c r="CD389" s="11"/>
      <c r="CE389" s="5"/>
      <c r="CF389" s="5"/>
      <c r="CG389" s="5"/>
      <c r="CH389" s="5"/>
      <c r="CI389" s="5"/>
    </row>
    <row r="391" spans="1:88">
      <c r="AP391" s="349"/>
      <c r="AQ391" s="349"/>
      <c r="AR391" s="349"/>
      <c r="AS391" s="349"/>
      <c r="AT391" s="349"/>
      <c r="AU391" s="349"/>
      <c r="AV391" s="349"/>
      <c r="AW391" s="349"/>
      <c r="AX391" s="349"/>
      <c r="AY391" s="349"/>
      <c r="AZ391" s="349"/>
      <c r="BA391" s="349"/>
      <c r="BB391" s="349"/>
      <c r="BC391" s="349"/>
      <c r="BD391" s="349"/>
      <c r="BE391" s="349"/>
      <c r="BF391" s="349"/>
      <c r="BG391" s="349"/>
      <c r="BH391" s="349"/>
      <c r="BI391" s="349"/>
      <c r="BJ391" s="349"/>
      <c r="BK391" s="349"/>
      <c r="BL391" s="349"/>
      <c r="BM391" s="349"/>
      <c r="BN391" s="349"/>
      <c r="BO391" s="349"/>
      <c r="BP391" s="349"/>
      <c r="BQ391" s="349"/>
      <c r="BR391" s="349"/>
      <c r="BS391" s="349"/>
      <c r="BT391" s="349"/>
      <c r="BU391" s="349"/>
      <c r="BV391" s="349"/>
      <c r="BW391" s="349"/>
      <c r="BX391" s="349"/>
      <c r="BY391" s="349"/>
      <c r="BZ391" s="349"/>
      <c r="CA391" s="349"/>
      <c r="CB391" s="349"/>
      <c r="CC391" s="349"/>
      <c r="CD391" s="349"/>
    </row>
    <row r="392" spans="1:88">
      <c r="A392" s="289" t="s">
        <v>410</v>
      </c>
    </row>
    <row r="393" spans="1:88">
      <c r="A393" s="22"/>
      <c r="B393" s="22" t="s">
        <v>305</v>
      </c>
      <c r="C393" s="96"/>
      <c r="D393" s="96"/>
      <c r="E393" s="250">
        <f>(E122-E291)/E291</f>
        <v>0.10014481139370425</v>
      </c>
      <c r="F393" s="250">
        <f>(F122-F291)/F291</f>
        <v>7.0157758052639121E-3</v>
      </c>
      <c r="G393" s="250">
        <f>(G122-G291)/G291</f>
        <v>-5.1569078482987269E-3</v>
      </c>
      <c r="H393" s="371"/>
      <c r="I393" s="371"/>
      <c r="J393" s="371"/>
      <c r="K393" s="371"/>
      <c r="L393" s="250">
        <f t="shared" ref="L393:AQ393" si="509">(L122-L291)/L291</f>
        <v>-3.5535855151947633E-2</v>
      </c>
      <c r="M393" s="117">
        <f t="shared" si="509"/>
        <v>-8.5516275974435618E-2</v>
      </c>
      <c r="N393" s="117">
        <f t="shared" si="509"/>
        <v>-8.5516275974435577E-2</v>
      </c>
      <c r="O393" s="117">
        <f t="shared" si="509"/>
        <v>-8.5516275974435702E-2</v>
      </c>
      <c r="P393" s="117">
        <f t="shared" si="509"/>
        <v>-8.5516275974435466E-2</v>
      </c>
      <c r="Q393" s="250">
        <f t="shared" si="509"/>
        <v>-8.5516275974435618E-2</v>
      </c>
      <c r="R393" s="117">
        <f t="shared" si="509"/>
        <v>-7.5671969929788904E-2</v>
      </c>
      <c r="S393" s="117">
        <f t="shared" si="509"/>
        <v>-7.5671969929789085E-2</v>
      </c>
      <c r="T393" s="117">
        <f t="shared" si="509"/>
        <v>-7.5671969929789112E-2</v>
      </c>
      <c r="U393" s="117">
        <f t="shared" si="509"/>
        <v>-7.8892625086828247E-2</v>
      </c>
      <c r="V393" s="250">
        <f t="shared" si="509"/>
        <v>-7.5671969929789001E-2</v>
      </c>
      <c r="W393" s="117">
        <f t="shared" si="509"/>
        <v>-2.2042604390010784E-2</v>
      </c>
      <c r="X393" s="117">
        <f t="shared" si="509"/>
        <v>-2.2042604390010628E-2</v>
      </c>
      <c r="Y393" s="117">
        <f t="shared" si="509"/>
        <v>-2.2042604390010712E-2</v>
      </c>
      <c r="Z393" s="117">
        <f t="shared" si="509"/>
        <v>-1.6984204067889995E-2</v>
      </c>
      <c r="AA393" s="250">
        <f t="shared" si="509"/>
        <v>-2.204260439001059E-2</v>
      </c>
      <c r="AB393" s="117">
        <f t="shared" si="509"/>
        <v>-9.8265039717073802E-2</v>
      </c>
      <c r="AC393" s="117">
        <f t="shared" si="509"/>
        <v>-9.8265039717073718E-2</v>
      </c>
      <c r="AD393" s="117">
        <f t="shared" si="509"/>
        <v>-9.8265039717073663E-2</v>
      </c>
      <c r="AE393" s="117">
        <f t="shared" si="509"/>
        <v>-8.8920635983571736E-2</v>
      </c>
      <c r="AF393" s="250">
        <f t="shared" si="509"/>
        <v>-9.8265039717073607E-2</v>
      </c>
      <c r="AG393" s="117">
        <f t="shared" si="509"/>
        <v>-1.4812852525634766E-3</v>
      </c>
      <c r="AH393" s="117">
        <f t="shared" si="509"/>
        <v>0.2142109357607232</v>
      </c>
      <c r="AI393" s="117">
        <f t="shared" si="509"/>
        <v>-6.5430212906219185E-2</v>
      </c>
      <c r="AJ393" s="117">
        <f t="shared" si="509"/>
        <v>0.64982284221334385</v>
      </c>
      <c r="AK393" s="370">
        <f t="shared" si="509"/>
        <v>0.20084842551802887</v>
      </c>
      <c r="AL393" s="117">
        <f t="shared" si="509"/>
        <v>2.3267022403818132</v>
      </c>
      <c r="AM393" s="117">
        <f t="shared" si="509"/>
        <v>2.6892817909063331</v>
      </c>
      <c r="AN393" s="117">
        <f t="shared" si="509"/>
        <v>2.6795457820909183</v>
      </c>
      <c r="AO393" s="117">
        <f t="shared" si="509"/>
        <v>2.0609157933590119</v>
      </c>
      <c r="AP393" s="370">
        <f>(AP122-AP291)/AP291</f>
        <v>2.4225466342254651</v>
      </c>
      <c r="AQ393" s="117">
        <f t="shared" si="509"/>
        <v>0.48787216177129605</v>
      </c>
      <c r="AR393" s="117">
        <f t="shared" ref="AR393:BW393" si="510">(AR122-AR291)/AR291</f>
        <v>0.50039551994670473</v>
      </c>
      <c r="AS393" s="117">
        <f t="shared" si="510"/>
        <v>7.7142501293517074E-2</v>
      </c>
      <c r="AT393" s="117">
        <f t="shared" si="510"/>
        <v>6.550837438404522E-2</v>
      </c>
      <c r="AU393" s="370">
        <f t="shared" si="510"/>
        <v>0.306504961411246</v>
      </c>
      <c r="AV393" s="117">
        <f t="shared" si="510"/>
        <v>-0.12512009794666182</v>
      </c>
      <c r="AW393" s="117">
        <f t="shared" ref="AW393:BD393" si="511">(AW122-AW291)/AW291</f>
        <v>-0.15340937095085522</v>
      </c>
      <c r="AX393" s="117">
        <f t="shared" si="511"/>
        <v>0.17622335361265068</v>
      </c>
      <c r="AY393" s="117">
        <f t="shared" si="511"/>
        <v>-0.11137911898622688</v>
      </c>
      <c r="AZ393" s="370">
        <f t="shared" si="511"/>
        <v>-7.2883172561629128E-2</v>
      </c>
      <c r="BA393" s="117">
        <f t="shared" si="511"/>
        <v>-9.8785232553586441E-2</v>
      </c>
      <c r="BB393" s="117">
        <f t="shared" si="511"/>
        <v>1.7698358636366655E-2</v>
      </c>
      <c r="BC393" s="117">
        <f t="shared" si="511"/>
        <v>-5.5906279504512199E-2</v>
      </c>
      <c r="BD393" s="117">
        <f t="shared" si="511"/>
        <v>6.5605294773737957E-2</v>
      </c>
      <c r="BE393" s="370">
        <f t="shared" si="510"/>
        <v>-1.8558831125705541E-2</v>
      </c>
      <c r="BF393" s="117">
        <f t="shared" si="510"/>
        <v>6.0856071978821376E-2</v>
      </c>
      <c r="BG393" s="117">
        <f t="shared" si="510"/>
        <v>1.3457605401827897E-2</v>
      </c>
      <c r="BH393" s="117">
        <f t="shared" si="510"/>
        <v>0.56895505016814074</v>
      </c>
      <c r="BI393" s="117">
        <f t="shared" si="510"/>
        <v>0.21990767595035124</v>
      </c>
      <c r="BJ393" s="370">
        <f t="shared" si="510"/>
        <v>0.18128733472045111</v>
      </c>
      <c r="BK393" s="117">
        <f t="shared" si="510"/>
        <v>-0.17084874636641981</v>
      </c>
      <c r="BL393" s="117">
        <f t="shared" si="510"/>
        <v>2.0712021480708658E-3</v>
      </c>
      <c r="BM393" s="117">
        <f t="shared" si="510"/>
        <v>0.11606203096361517</v>
      </c>
      <c r="BN393" s="117">
        <f t="shared" si="510"/>
        <v>-0.27284917082973875</v>
      </c>
      <c r="BO393" s="370">
        <f t="shared" si="510"/>
        <v>-9.6893698623819788E-2</v>
      </c>
      <c r="BP393" s="117">
        <f t="shared" si="510"/>
        <v>-8.8891428660390182E-2</v>
      </c>
      <c r="BQ393" s="117">
        <f t="shared" si="510"/>
        <v>-0.20623382053389477</v>
      </c>
      <c r="BR393" s="117">
        <f t="shared" si="510"/>
        <v>-0.290028360967439</v>
      </c>
      <c r="BS393" s="117">
        <f t="shared" si="510"/>
        <v>-0.22045676392615654</v>
      </c>
      <c r="BT393" s="370">
        <f t="shared" si="510"/>
        <v>-0.1896229645329206</v>
      </c>
      <c r="BU393" s="117">
        <f t="shared" si="510"/>
        <v>-0.15682632372877195</v>
      </c>
      <c r="BV393" s="117">
        <f t="shared" si="510"/>
        <v>-0.1819235689553157</v>
      </c>
      <c r="BW393" s="117">
        <f t="shared" si="510"/>
        <v>-0.25584064916639326</v>
      </c>
      <c r="BX393" s="117">
        <f t="shared" ref="BX393:CD393" si="512">(BX122-BX291)/BX291</f>
        <v>-0.19446995255171734</v>
      </c>
      <c r="BY393" s="370">
        <f t="shared" si="512"/>
        <v>-0.19116657490671068</v>
      </c>
      <c r="BZ393" s="117">
        <f t="shared" si="512"/>
        <v>-0.11577261818771593</v>
      </c>
      <c r="CA393" s="117">
        <f t="shared" si="512"/>
        <v>-0.13429995288569213</v>
      </c>
      <c r="CB393" s="117">
        <f t="shared" si="512"/>
        <v>-0.18886715628215769</v>
      </c>
      <c r="CC393" s="117">
        <f t="shared" si="512"/>
        <v>-0.14356196734351331</v>
      </c>
      <c r="CD393" s="370">
        <f t="shared" si="512"/>
        <v>-0.14112334180073383</v>
      </c>
      <c r="CE393" s="309"/>
      <c r="CF393" s="309"/>
      <c r="CG393" s="309"/>
      <c r="CH393" s="309"/>
      <c r="CI393" s="309"/>
    </row>
    <row r="394" spans="1:88">
      <c r="A394" s="98"/>
      <c r="B394" s="98" t="s">
        <v>310</v>
      </c>
      <c r="C394" s="99"/>
      <c r="D394" s="99"/>
      <c r="E394" s="370">
        <f>(E127-E296)/E296</f>
        <v>-3.8918366831562014E-3</v>
      </c>
      <c r="F394" s="370">
        <f>(F127-F296)/F296</f>
        <v>9.31120537430522E-3</v>
      </c>
      <c r="G394" s="370">
        <f>(G127-G296)/G296</f>
        <v>2.549540450096505E-2</v>
      </c>
      <c r="H394" s="371"/>
      <c r="I394" s="371"/>
      <c r="J394" s="371"/>
      <c r="K394" s="371"/>
      <c r="L394" s="370">
        <f>(L127-L296)/L296</f>
        <v>-8.4202929059041154E-4</v>
      </c>
      <c r="M394" s="371"/>
      <c r="N394" s="371"/>
      <c r="O394" s="371"/>
      <c r="P394" s="371"/>
      <c r="Q394" s="370">
        <f>(Q127-Q296)/Q296</f>
        <v>-2.7579276909711747E-2</v>
      </c>
      <c r="R394" s="371"/>
      <c r="S394" s="371"/>
      <c r="T394" s="371"/>
      <c r="U394" s="371"/>
      <c r="V394" s="370">
        <f>(V127-V296)/V296</f>
        <v>2.0524972049326983E-3</v>
      </c>
      <c r="W394" s="371"/>
      <c r="X394" s="371"/>
      <c r="Y394" s="371"/>
      <c r="Z394" s="371"/>
      <c r="AA394" s="370">
        <f>(AA127-AA296)/AA296</f>
        <v>4.1696118783247242E-2</v>
      </c>
      <c r="AB394" s="371"/>
      <c r="AC394" s="371"/>
      <c r="AD394" s="371"/>
      <c r="AE394" s="371"/>
      <c r="AF394" s="370">
        <f>(AF127-AF296)/AF296</f>
        <v>7.0995027815529878E-3</v>
      </c>
      <c r="AG394" s="371"/>
      <c r="AH394" s="371"/>
      <c r="AI394" s="371"/>
      <c r="AJ394" s="371"/>
      <c r="AK394" s="370">
        <f t="shared" ref="AK394:CD394" si="513">(AK127-AK296)/AK296</f>
        <v>-7.2371970347873044E-2</v>
      </c>
      <c r="AL394" s="51"/>
      <c r="AM394" s="51"/>
      <c r="AN394" s="51"/>
      <c r="AO394" s="51"/>
      <c r="AP394" s="370">
        <f t="shared" si="513"/>
        <v>-0.12221935021021373</v>
      </c>
      <c r="AQ394" s="51"/>
      <c r="AR394" s="51"/>
      <c r="AS394" s="51"/>
      <c r="AT394" s="51"/>
      <c r="AU394" s="370">
        <f t="shared" si="513"/>
        <v>-0.20540122111889755</v>
      </c>
      <c r="AV394" s="51"/>
      <c r="AW394" s="51"/>
      <c r="AX394" s="51"/>
      <c r="AY394" s="51"/>
      <c r="AZ394" s="370">
        <f>(AZ127-AZ296)/AZ296</f>
        <v>-0.20614317459658157</v>
      </c>
      <c r="BA394" s="51"/>
      <c r="BB394" s="51"/>
      <c r="BC394" s="51"/>
      <c r="BD394" s="51"/>
      <c r="BE394" s="370">
        <f t="shared" si="513"/>
        <v>-5.2214478070905214E-2</v>
      </c>
      <c r="BF394" s="51"/>
      <c r="BG394" s="51"/>
      <c r="BH394" s="51"/>
      <c r="BI394" s="51"/>
      <c r="BJ394" s="370">
        <f t="shared" si="513"/>
        <v>6.5917865493719877E-3</v>
      </c>
      <c r="BK394" s="117">
        <f t="shared" si="513"/>
        <v>-1</v>
      </c>
      <c r="BL394" s="117">
        <f t="shared" si="513"/>
        <v>-1</v>
      </c>
      <c r="BM394" s="117">
        <f t="shared" si="513"/>
        <v>-1</v>
      </c>
      <c r="BN394" s="117">
        <f t="shared" si="513"/>
        <v>-1</v>
      </c>
      <c r="BO394" s="370">
        <f t="shared" si="513"/>
        <v>2.3968353419575168E-2</v>
      </c>
      <c r="BP394" s="117">
        <f t="shared" si="513"/>
        <v>3.0143895551504964E-2</v>
      </c>
      <c r="BQ394" s="117">
        <f t="shared" si="513"/>
        <v>3.044046227809645E-2</v>
      </c>
      <c r="BR394" s="117">
        <f t="shared" si="513"/>
        <v>3.0955195551693557E-2</v>
      </c>
      <c r="BS394" s="117">
        <f t="shared" si="513"/>
        <v>3.0870657141427536E-2</v>
      </c>
      <c r="BT394" s="370">
        <f t="shared" si="513"/>
        <v>3.0599006144280433E-2</v>
      </c>
      <c r="BU394" s="117">
        <f t="shared" si="513"/>
        <v>2.7632015552769767E-2</v>
      </c>
      <c r="BV394" s="117">
        <f t="shared" si="513"/>
        <v>2.7903532156110439E-2</v>
      </c>
      <c r="BW394" s="117">
        <f t="shared" si="513"/>
        <v>2.8375850334801143E-2</v>
      </c>
      <c r="BX394" s="117">
        <f t="shared" si="513"/>
        <v>2.8298546359928269E-2</v>
      </c>
      <c r="BY394" s="370">
        <f t="shared" si="513"/>
        <v>2.8049232012027636E-2</v>
      </c>
      <c r="BZ394" s="117">
        <f t="shared" si="513"/>
        <v>2.6858450818570946E-2</v>
      </c>
      <c r="CA394" s="117">
        <f t="shared" si="513"/>
        <v>2.7122191401324131E-2</v>
      </c>
      <c r="CB394" s="117">
        <f t="shared" si="513"/>
        <v>2.7581534404020606E-2</v>
      </c>
      <c r="CC394" s="117">
        <f t="shared" si="513"/>
        <v>2.7506492999351064E-2</v>
      </c>
      <c r="CD394" s="370">
        <f t="shared" si="513"/>
        <v>2.7264002791833764E-2</v>
      </c>
      <c r="CE394" s="309"/>
      <c r="CF394" s="309"/>
      <c r="CG394" s="309"/>
      <c r="CH394" s="309"/>
      <c r="CI394" s="309"/>
    </row>
    <row r="395" spans="1:88">
      <c r="A395" s="98"/>
      <c r="B395" s="98" t="s">
        <v>1994</v>
      </c>
      <c r="C395" s="99"/>
      <c r="D395" s="99"/>
      <c r="E395" s="370">
        <f>(E136-E305)/E305</f>
        <v>0.12049744413114649</v>
      </c>
      <c r="F395" s="370">
        <f>(F136-F305)/F305</f>
        <v>0.30754206607990725</v>
      </c>
      <c r="G395" s="370">
        <f>(G136-G305)/G305</f>
        <v>0.25466135832783043</v>
      </c>
      <c r="H395" s="371"/>
      <c r="I395" s="371"/>
      <c r="J395" s="371"/>
      <c r="K395" s="371"/>
      <c r="L395" s="370">
        <f>(L136-L305)/L305</f>
        <v>0.42239207638521942</v>
      </c>
      <c r="M395" s="371"/>
      <c r="N395" s="371"/>
      <c r="O395" s="371"/>
      <c r="P395" s="371"/>
      <c r="Q395" s="370">
        <f>(Q136-Q305)/Q305</f>
        <v>0.47461157480775956</v>
      </c>
      <c r="R395" s="371"/>
      <c r="S395" s="371"/>
      <c r="T395" s="371"/>
      <c r="U395" s="371"/>
      <c r="V395" s="370">
        <f>(V136-V305)/V305</f>
        <v>0.45680992777423235</v>
      </c>
      <c r="W395" s="371"/>
      <c r="X395" s="371"/>
      <c r="Y395" s="371"/>
      <c r="Z395" s="371"/>
      <c r="AA395" s="370">
        <f>(AA136-AA305)/AA305</f>
        <v>0.36635063096593978</v>
      </c>
      <c r="AB395" s="371"/>
      <c r="AC395" s="371"/>
      <c r="AD395" s="371"/>
      <c r="AE395" s="371"/>
      <c r="AF395" s="370">
        <f>(AF136-AF305)/AF305</f>
        <v>0.38861758236158428</v>
      </c>
      <c r="AG395" s="371"/>
      <c r="AH395" s="371"/>
      <c r="AI395" s="371"/>
      <c r="AJ395" s="371"/>
      <c r="AK395" s="370">
        <f t="shared" ref="AK395:CD395" si="514">(AK136-AK305)/AK305</f>
        <v>0.32692745309882931</v>
      </c>
      <c r="AL395" s="51"/>
      <c r="AM395" s="51"/>
      <c r="AN395" s="51"/>
      <c r="AO395" s="51"/>
      <c r="AP395" s="370">
        <f t="shared" si="514"/>
        <v>0.3566976530383274</v>
      </c>
      <c r="AQ395" s="51"/>
      <c r="AR395" s="51"/>
      <c r="AS395" s="51"/>
      <c r="AT395" s="51"/>
      <c r="AU395" s="370">
        <f t="shared" si="514"/>
        <v>0.41395653806989779</v>
      </c>
      <c r="AV395" s="51"/>
      <c r="AW395" s="51"/>
      <c r="AX395" s="51"/>
      <c r="AY395" s="51"/>
      <c r="AZ395" s="370">
        <f>(AZ136-AZ305)/AZ305</f>
        <v>0.42106090276934105</v>
      </c>
      <c r="BA395" s="51"/>
      <c r="BB395" s="51"/>
      <c r="BC395" s="51"/>
      <c r="BD395" s="51"/>
      <c r="BE395" s="370">
        <f t="shared" si="514"/>
        <v>0.39506516422806598</v>
      </c>
      <c r="BF395" s="51"/>
      <c r="BG395" s="51"/>
      <c r="BH395" s="51"/>
      <c r="BI395" s="51"/>
      <c r="BJ395" s="370">
        <f t="shared" si="514"/>
        <v>0.40538991353368131</v>
      </c>
      <c r="BK395" s="117">
        <f t="shared" si="514"/>
        <v>-1</v>
      </c>
      <c r="BL395" s="117">
        <f t="shared" si="514"/>
        <v>-1</v>
      </c>
      <c r="BM395" s="117">
        <f t="shared" si="514"/>
        <v>-1</v>
      </c>
      <c r="BN395" s="117">
        <f t="shared" si="514"/>
        <v>-1</v>
      </c>
      <c r="BO395" s="370">
        <f t="shared" si="514"/>
        <v>0.46957101511523086</v>
      </c>
      <c r="BP395" s="117">
        <f t="shared" si="514"/>
        <v>0.34571203664246636</v>
      </c>
      <c r="BQ395" s="117">
        <f t="shared" si="514"/>
        <v>0.35508548615734187</v>
      </c>
      <c r="BR395" s="117">
        <f t="shared" si="514"/>
        <v>0.35259425102626857</v>
      </c>
      <c r="BS395" s="117">
        <f t="shared" si="514"/>
        <v>0.34839464603052323</v>
      </c>
      <c r="BT395" s="370">
        <f t="shared" si="514"/>
        <v>0.3504089564529268</v>
      </c>
      <c r="BU395" s="117">
        <f t="shared" si="514"/>
        <v>0.25488560097136731</v>
      </c>
      <c r="BV395" s="117">
        <f t="shared" si="514"/>
        <v>0.26179643154578719</v>
      </c>
      <c r="BW395" s="117">
        <f t="shared" si="514"/>
        <v>0.25995970069397339</v>
      </c>
      <c r="BX395" s="117">
        <f t="shared" si="514"/>
        <v>0.25686342769874082</v>
      </c>
      <c r="BY395" s="370">
        <f t="shared" si="514"/>
        <v>0.25834853283868203</v>
      </c>
      <c r="BZ395" s="117">
        <f t="shared" si="514"/>
        <v>0.25760221913353532</v>
      </c>
      <c r="CA395" s="117">
        <f t="shared" si="514"/>
        <v>0.26458670662612793</v>
      </c>
      <c r="CB395" s="117">
        <f t="shared" si="514"/>
        <v>0.26273039955513183</v>
      </c>
      <c r="CC395" s="117">
        <f t="shared" si="514"/>
        <v>0.25960112590618689</v>
      </c>
      <c r="CD395" s="370">
        <f t="shared" si="514"/>
        <v>0.26110205957304589</v>
      </c>
      <c r="CE395" s="309"/>
      <c r="CF395" s="309"/>
      <c r="CG395" s="309"/>
      <c r="CH395" s="309"/>
      <c r="CI395" s="309"/>
    </row>
    <row r="396" spans="1:88">
      <c r="A396" s="98"/>
      <c r="B396" s="98" t="s">
        <v>120</v>
      </c>
      <c r="C396" s="99"/>
      <c r="D396" s="99"/>
      <c r="E396" s="370">
        <f>(E142-E311)/E311</f>
        <v>-1.4068040996064119E-2</v>
      </c>
      <c r="F396" s="370">
        <f>(F142-F311)/F311</f>
        <v>-3.8719415873907301E-2</v>
      </c>
      <c r="G396" s="370">
        <f>(G142-G311)/G311</f>
        <v>-2.6564550250381493E-2</v>
      </c>
      <c r="H396" s="371"/>
      <c r="I396" s="371"/>
      <c r="J396" s="371"/>
      <c r="K396" s="371"/>
      <c r="L396" s="370">
        <f>(L142-L311)/L311</f>
        <v>4.9881583123763819E-2</v>
      </c>
      <c r="M396" s="371"/>
      <c r="N396" s="371"/>
      <c r="O396" s="371"/>
      <c r="P396" s="371"/>
      <c r="Q396" s="370">
        <f>(Q142-Q311)/Q311</f>
        <v>-0.19483870967741934</v>
      </c>
      <c r="R396" s="371"/>
      <c r="S396" s="371"/>
      <c r="T396" s="371"/>
      <c r="U396" s="371"/>
      <c r="V396" s="370">
        <f>(V142-V311)/V311</f>
        <v>-0.19986774673499763</v>
      </c>
      <c r="W396" s="371"/>
      <c r="X396" s="371"/>
      <c r="Y396" s="371"/>
      <c r="Z396" s="371"/>
      <c r="AA396" s="370">
        <f>(AA142-AA311)/AA311</f>
        <v>1.9905400078833277E-2</v>
      </c>
      <c r="AB396" s="371"/>
      <c r="AC396" s="371"/>
      <c r="AD396" s="371"/>
      <c r="AE396" s="371"/>
      <c r="AF396" s="370">
        <f>(AF142-AF311)/AF311</f>
        <v>-9.0403428982756912E-2</v>
      </c>
      <c r="AG396" s="371"/>
      <c r="AH396" s="371"/>
      <c r="AI396" s="371"/>
      <c r="AJ396" s="371"/>
      <c r="AK396" s="370">
        <f t="shared" ref="AK396:CD396" si="515">(AK142-AK311)/AK311</f>
        <v>-0.10302367824591302</v>
      </c>
      <c r="AL396" s="51"/>
      <c r="AM396" s="51"/>
      <c r="AN396" s="51"/>
      <c r="AO396" s="51"/>
      <c r="AP396" s="370">
        <f t="shared" si="515"/>
        <v>-6.0659130711670152E-2</v>
      </c>
      <c r="AQ396" s="51"/>
      <c r="AR396" s="51"/>
      <c r="AS396" s="51"/>
      <c r="AT396" s="51"/>
      <c r="AU396" s="370">
        <f t="shared" si="515"/>
        <v>-8.3381661189509626E-2</v>
      </c>
      <c r="AV396" s="51"/>
      <c r="AW396" s="51"/>
      <c r="AX396" s="51"/>
      <c r="AY396" s="51"/>
      <c r="AZ396" s="370">
        <f>(AZ142-AZ311)/AZ311</f>
        <v>-7.1291502226727976E-2</v>
      </c>
      <c r="BA396" s="51"/>
      <c r="BB396" s="51"/>
      <c r="BC396" s="51"/>
      <c r="BD396" s="51"/>
      <c r="BE396" s="370">
        <f t="shared" si="515"/>
        <v>6.9780958262196144E-2</v>
      </c>
      <c r="BF396" s="51"/>
      <c r="BG396" s="51"/>
      <c r="BH396" s="51"/>
      <c r="BI396" s="51"/>
      <c r="BJ396" s="370">
        <f t="shared" si="515"/>
        <v>2.5274661620744755E-2</v>
      </c>
      <c r="BK396" s="117">
        <f t="shared" si="515"/>
        <v>-1</v>
      </c>
      <c r="BL396" s="117">
        <f t="shared" si="515"/>
        <v>-1</v>
      </c>
      <c r="BM396" s="117">
        <f t="shared" si="515"/>
        <v>-1</v>
      </c>
      <c r="BN396" s="117">
        <f t="shared" si="515"/>
        <v>-1</v>
      </c>
      <c r="BO396" s="370">
        <f t="shared" si="515"/>
        <v>4.7328649078615781E-2</v>
      </c>
      <c r="BP396" s="117">
        <f t="shared" si="515"/>
        <v>0</v>
      </c>
      <c r="BQ396" s="117">
        <f t="shared" si="515"/>
        <v>0</v>
      </c>
      <c r="BR396" s="117">
        <f t="shared" si="515"/>
        <v>0</v>
      </c>
      <c r="BS396" s="117">
        <f t="shared" si="515"/>
        <v>0</v>
      </c>
      <c r="BT396" s="370">
        <f t="shared" si="515"/>
        <v>0</v>
      </c>
      <c r="BU396" s="117">
        <f t="shared" si="515"/>
        <v>0</v>
      </c>
      <c r="BV396" s="117">
        <f t="shared" si="515"/>
        <v>0</v>
      </c>
      <c r="BW396" s="117">
        <f t="shared" si="515"/>
        <v>0</v>
      </c>
      <c r="BX396" s="117">
        <f t="shared" si="515"/>
        <v>0</v>
      </c>
      <c r="BY396" s="370">
        <f t="shared" si="515"/>
        <v>0</v>
      </c>
      <c r="BZ396" s="117">
        <f t="shared" si="515"/>
        <v>0</v>
      </c>
      <c r="CA396" s="117">
        <f t="shared" si="515"/>
        <v>0</v>
      </c>
      <c r="CB396" s="117">
        <f t="shared" si="515"/>
        <v>0</v>
      </c>
      <c r="CC396" s="117">
        <f t="shared" si="515"/>
        <v>0</v>
      </c>
      <c r="CD396" s="370">
        <f t="shared" si="515"/>
        <v>0</v>
      </c>
      <c r="CE396" s="309"/>
      <c r="CF396" s="309"/>
      <c r="CG396" s="309"/>
      <c r="CH396" s="309"/>
      <c r="CI396" s="309"/>
    </row>
    <row r="397" spans="1:88">
      <c r="A397" s="98"/>
      <c r="B397" s="98" t="s">
        <v>2462</v>
      </c>
      <c r="C397" s="99"/>
      <c r="D397" s="99"/>
      <c r="E397" s="370">
        <f>(E157-E326)/E326</f>
        <v>0.38785171825905623</v>
      </c>
      <c r="F397" s="370">
        <f>(F157-F326)/F326</f>
        <v>1.037120467019893</v>
      </c>
      <c r="G397" s="370">
        <f>(G157-G326)/G326</f>
        <v>1.1932307379410863</v>
      </c>
      <c r="H397" s="371"/>
      <c r="I397" s="371"/>
      <c r="J397" s="371"/>
      <c r="K397" s="371"/>
      <c r="L397" s="370">
        <f>(L157-L326)/L326</f>
        <v>0.99035706319383654</v>
      </c>
      <c r="M397" s="371"/>
      <c r="N397" s="371"/>
      <c r="O397" s="371"/>
      <c r="P397" s="371"/>
      <c r="Q397" s="370">
        <f>(Q157-Q326)/Q326</f>
        <v>0.75025832604721387</v>
      </c>
      <c r="R397" s="371"/>
      <c r="S397" s="371"/>
      <c r="T397" s="371"/>
      <c r="U397" s="371"/>
      <c r="V397" s="370">
        <f>(V157-V326)/V326</f>
        <v>0.78274891923419998</v>
      </c>
      <c r="W397" s="371"/>
      <c r="X397" s="371"/>
      <c r="Y397" s="371"/>
      <c r="Z397" s="371"/>
      <c r="AA397" s="370">
        <f>(AA157-AA326)/AA326</f>
        <v>0.88943844622715529</v>
      </c>
      <c r="AB397" s="371"/>
      <c r="AC397" s="371"/>
      <c r="AD397" s="371"/>
      <c r="AE397" s="371"/>
      <c r="AF397" s="370">
        <f>(AF157-AF326)/AF326</f>
        <v>0.97818274337690425</v>
      </c>
      <c r="AG397" s="371"/>
      <c r="AH397" s="371"/>
      <c r="AI397" s="371"/>
      <c r="AJ397" s="371"/>
      <c r="AK397" s="370">
        <f t="shared" ref="AK397:CD397" si="516">(AK157-AK326)/AK326</f>
        <v>1.4327877118109955</v>
      </c>
      <c r="AL397" s="51"/>
      <c r="AM397" s="51"/>
      <c r="AN397" s="51"/>
      <c r="AO397" s="51"/>
      <c r="AP397" s="370">
        <f t="shared" si="516"/>
        <v>1.346705805609915</v>
      </c>
      <c r="AQ397" s="51"/>
      <c r="AR397" s="51"/>
      <c r="AS397" s="51"/>
      <c r="AT397" s="51"/>
      <c r="AU397" s="370">
        <f t="shared" si="516"/>
        <v>0.42372526898469587</v>
      </c>
      <c r="AV397" s="51"/>
      <c r="AW397" s="51"/>
      <c r="AX397" s="51"/>
      <c r="AY397" s="51"/>
      <c r="AZ397" s="370">
        <f>(AZ157-AZ326)/AZ326</f>
        <v>0.10063185881122017</v>
      </c>
      <c r="BA397" s="51"/>
      <c r="BB397" s="51"/>
      <c r="BC397" s="51"/>
      <c r="BD397" s="51"/>
      <c r="BE397" s="370">
        <f t="shared" si="516"/>
        <v>0.11215598336086444</v>
      </c>
      <c r="BF397" s="51"/>
      <c r="BG397" s="51"/>
      <c r="BH397" s="51"/>
      <c r="BI397" s="51"/>
      <c r="BJ397" s="370">
        <f t="shared" si="516"/>
        <v>0.15515421030021292</v>
      </c>
      <c r="BK397" s="117">
        <f t="shared" si="516"/>
        <v>-1</v>
      </c>
      <c r="BL397" s="117">
        <f t="shared" si="516"/>
        <v>-1</v>
      </c>
      <c r="BM397" s="117">
        <f t="shared" si="516"/>
        <v>-1</v>
      </c>
      <c r="BN397" s="117">
        <f t="shared" si="516"/>
        <v>-1</v>
      </c>
      <c r="BO397" s="370">
        <f t="shared" si="516"/>
        <v>0.18441433479950753</v>
      </c>
      <c r="BP397" s="117">
        <f t="shared" si="516"/>
        <v>0.12096141887811891</v>
      </c>
      <c r="BQ397" s="117">
        <f t="shared" si="516"/>
        <v>0.12862695942614863</v>
      </c>
      <c r="BR397" s="117">
        <f t="shared" si="516"/>
        <v>0.1299242205957836</v>
      </c>
      <c r="BS397" s="117">
        <f t="shared" si="516"/>
        <v>0.12092205255855115</v>
      </c>
      <c r="BT397" s="370">
        <f t="shared" si="516"/>
        <v>0.12496835488833338</v>
      </c>
      <c r="BU397" s="117">
        <f t="shared" si="516"/>
        <v>0.1080495175983574</v>
      </c>
      <c r="BV397" s="117">
        <f t="shared" si="516"/>
        <v>0.11491207141520629</v>
      </c>
      <c r="BW397" s="117">
        <f t="shared" si="516"/>
        <v>0.11607880038194743</v>
      </c>
      <c r="BX397" s="117">
        <f t="shared" si="516"/>
        <v>0.10801109281421624</v>
      </c>
      <c r="BY397" s="370">
        <f t="shared" si="516"/>
        <v>0.11163683501579555</v>
      </c>
      <c r="BZ397" s="117">
        <f t="shared" si="516"/>
        <v>9.3828215660337222E-2</v>
      </c>
      <c r="CA397" s="117">
        <f t="shared" si="516"/>
        <v>9.9569075668672777E-2</v>
      </c>
      <c r="CB397" s="117">
        <f t="shared" si="516"/>
        <v>0.10046890921161264</v>
      </c>
      <c r="CC397" s="117">
        <f t="shared" si="516"/>
        <v>9.3841632912877462E-2</v>
      </c>
      <c r="CD397" s="370">
        <f t="shared" si="516"/>
        <v>9.6827371765653494E-2</v>
      </c>
      <c r="CE397" s="309"/>
      <c r="CF397" s="309"/>
      <c r="CG397" s="309"/>
      <c r="CH397" s="309"/>
      <c r="CI397" s="309"/>
    </row>
    <row r="398" spans="1:88">
      <c r="A398" s="97"/>
      <c r="B398" s="98" t="s">
        <v>3402</v>
      </c>
      <c r="C398" s="372"/>
      <c r="D398" s="372"/>
      <c r="E398" s="370">
        <f>(E162-E331)/E331</f>
        <v>7.0671378091872791E-3</v>
      </c>
      <c r="F398" s="370">
        <f>(F162-F331)/F331</f>
        <v>-5.8422904360737301E-3</v>
      </c>
      <c r="G398" s="370">
        <f>(G162-G331)/G331</f>
        <v>-4.7989623865110249E-2</v>
      </c>
      <c r="H398" s="371"/>
      <c r="I398" s="371"/>
      <c r="J398" s="371"/>
      <c r="K398" s="371"/>
      <c r="L398" s="370">
        <f>(L162-L331)/L331</f>
        <v>-2.7206157464322003E-2</v>
      </c>
      <c r="M398" s="371"/>
      <c r="N398" s="371"/>
      <c r="O398" s="371"/>
      <c r="P398" s="371"/>
      <c r="Q398" s="370">
        <f>(Q162-Q331)/Q331</f>
        <v>-3.7624776042999859E-2</v>
      </c>
      <c r="R398" s="371"/>
      <c r="S398" s="371"/>
      <c r="T398" s="371"/>
      <c r="U398" s="371"/>
      <c r="V398" s="370">
        <f>(V162-V331)/V331</f>
        <v>-4.4490143953453402E-2</v>
      </c>
      <c r="W398" s="371"/>
      <c r="X398" s="371"/>
      <c r="Y398" s="371"/>
      <c r="Z398" s="371"/>
      <c r="AA398" s="370">
        <f>(AA162-AA331)/AA331</f>
        <v>3.4358894268311552E-3</v>
      </c>
      <c r="AB398" s="371"/>
      <c r="AC398" s="371"/>
      <c r="AD398" s="371"/>
      <c r="AE398" s="371"/>
      <c r="AF398" s="370">
        <f>(AF162-AF331)/AF331</f>
        <v>-7.7002669049606703E-2</v>
      </c>
      <c r="AG398" s="371"/>
      <c r="AH398" s="371"/>
      <c r="AI398" s="371"/>
      <c r="AJ398" s="371"/>
      <c r="AK398" s="370">
        <f t="shared" ref="AK398:CD398" si="517">(AK162-AK331)/AK331</f>
        <v>-3.1302928023979888E-2</v>
      </c>
      <c r="AL398" s="51"/>
      <c r="AM398" s="51"/>
      <c r="AN398" s="51"/>
      <c r="AO398" s="51"/>
      <c r="AP398" s="370">
        <f t="shared" si="517"/>
        <v>4.1156782071465288E-2</v>
      </c>
      <c r="AQ398" s="51"/>
      <c r="AR398" s="51"/>
      <c r="AS398" s="51"/>
      <c r="AT398" s="51"/>
      <c r="AU398" s="370">
        <f t="shared" si="517"/>
        <v>3.7082341678743781E-2</v>
      </c>
      <c r="AV398" s="51"/>
      <c r="AW398" s="51"/>
      <c r="AX398" s="51"/>
      <c r="AY398" s="51"/>
      <c r="AZ398" s="370">
        <f>(AZ162-AZ331)/AZ331</f>
        <v>8.1928863841777846E-2</v>
      </c>
      <c r="BA398" s="51"/>
      <c r="BB398" s="51"/>
      <c r="BC398" s="51"/>
      <c r="BD398" s="51"/>
      <c r="BE398" s="370">
        <f t="shared" si="517"/>
        <v>2.5752666828874764E-2</v>
      </c>
      <c r="BF398" s="51"/>
      <c r="BG398" s="51"/>
      <c r="BH398" s="51"/>
      <c r="BI398" s="51"/>
      <c r="BJ398" s="370">
        <f t="shared" si="517"/>
        <v>-3.5101137874633793E-2</v>
      </c>
      <c r="BK398" s="117">
        <f t="shared" si="517"/>
        <v>-1</v>
      </c>
      <c r="BL398" s="117">
        <f t="shared" si="517"/>
        <v>-1</v>
      </c>
      <c r="BM398" s="117">
        <f t="shared" si="517"/>
        <v>-1</v>
      </c>
      <c r="BN398" s="117">
        <f t="shared" si="517"/>
        <v>-1</v>
      </c>
      <c r="BO398" s="370">
        <f t="shared" si="517"/>
        <v>-1.3381719210705523E-2</v>
      </c>
      <c r="BP398" s="117">
        <f t="shared" si="517"/>
        <v>-3.0165962131986863E-2</v>
      </c>
      <c r="BQ398" s="117">
        <f t="shared" si="517"/>
        <v>-3.09838657429168E-2</v>
      </c>
      <c r="BR398" s="117">
        <f t="shared" si="517"/>
        <v>-3.0766486836021675E-2</v>
      </c>
      <c r="BS398" s="117">
        <f t="shared" si="517"/>
        <v>-3.0400039874841727E-2</v>
      </c>
      <c r="BT398" s="370">
        <f t="shared" si="517"/>
        <v>-3.0575803532116821E-2</v>
      </c>
      <c r="BU398" s="117">
        <f t="shared" si="517"/>
        <v>-3.0177034376878339E-2</v>
      </c>
      <c r="BV398" s="117">
        <f t="shared" si="517"/>
        <v>-3.0995238194678466E-2</v>
      </c>
      <c r="BW398" s="117">
        <f t="shared" si="517"/>
        <v>-3.077777950009147E-2</v>
      </c>
      <c r="BX398" s="117">
        <f t="shared" si="517"/>
        <v>-3.0411198036637863E-2</v>
      </c>
      <c r="BY398" s="370">
        <f t="shared" si="517"/>
        <v>-3.0587026206963915E-2</v>
      </c>
      <c r="BZ398" s="117">
        <f t="shared" si="517"/>
        <v>-3.1173247993728344E-2</v>
      </c>
      <c r="CA398" s="117">
        <f t="shared" si="517"/>
        <v>-3.2018462609689463E-2</v>
      </c>
      <c r="CB398" s="117">
        <f t="shared" si="517"/>
        <v>-3.1793825101242082E-2</v>
      </c>
      <c r="CC398" s="117">
        <f t="shared" si="517"/>
        <v>-3.1415141936838795E-2</v>
      </c>
      <c r="CD398" s="370">
        <f t="shared" si="517"/>
        <v>-3.1596774601248705E-2</v>
      </c>
      <c r="CE398" s="309"/>
      <c r="CF398" s="309"/>
      <c r="CG398" s="309"/>
      <c r="CH398" s="309"/>
      <c r="CI398" s="309"/>
    </row>
    <row r="400" spans="1:88">
      <c r="BA400" s="5"/>
      <c r="BB400" s="5"/>
      <c r="BC400" s="5"/>
    </row>
  </sheetData>
  <phoneticPr fontId="14" type="noConversion"/>
  <pageMargins left="0.75" right="0.75" top="1" bottom="1" header="0.5" footer="0.5"/>
  <pageSetup paperSize="9" scale="43" fitToHeight="0" orientation="landscape" r:id="rId1"/>
  <headerFooter alignWithMargins="0"/>
  <rowBreaks count="6" manualBreakCount="6">
    <brk id="59" max="16383" man="1"/>
    <brk id="113" max="16383" man="1"/>
    <brk id="174" max="16383" man="1"/>
    <brk id="228" max="16383" man="1"/>
    <brk id="282" max="16383" man="1"/>
    <brk id="336" max="16383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rgb="FF0070C0"/>
  </sheetPr>
  <dimension ref="A1:BS547"/>
  <sheetViews>
    <sheetView zoomScale="85" zoomScaleNormal="85" workbookViewId="0">
      <pane xSplit="4" ySplit="9" topLeftCell="K10" activePane="bottomRight" state="frozen"/>
      <selection sqref="A1:IV65536"/>
      <selection pane="topRight" sqref="A1:IV65536"/>
      <selection pane="bottomLeft" sqref="A1:IV65536"/>
      <selection pane="bottomRight" sqref="A1:XFD1048576"/>
    </sheetView>
  </sheetViews>
  <sheetFormatPr defaultColWidth="9.7109375" defaultRowHeight="12.75" outlineLevelCol="1"/>
  <cols>
    <col min="1" max="1" width="3.7109375" customWidth="1"/>
    <col min="2" max="2" width="24.85546875" customWidth="1"/>
    <col min="3" max="3" width="21.140625" hidden="1" customWidth="1" outlineLevel="1"/>
    <col min="4" max="4" width="33.42578125" hidden="1" customWidth="1" outlineLevel="1"/>
    <col min="5" max="5" width="19" hidden="1" customWidth="1" outlineLevel="1"/>
    <col min="6" max="6" width="13" hidden="1" customWidth="1" outlineLevel="1"/>
    <col min="7" max="7" width="14.140625" hidden="1" customWidth="1" outlineLevel="1"/>
    <col min="8" max="8" width="17.85546875" hidden="1" customWidth="1" outlineLevel="1"/>
    <col min="9" max="9" width="25" hidden="1" customWidth="1" outlineLevel="1"/>
    <col min="10" max="10" width="13" hidden="1" customWidth="1" outlineLevel="1"/>
    <col min="11" max="12" width="9.7109375" customWidth="1" collapsed="1"/>
    <col min="13" max="16" width="9.7109375" customWidth="1"/>
    <col min="17" max="17" width="9.7109375" customWidth="1" collapsed="1"/>
    <col min="18" max="21" width="9.7109375" customWidth="1"/>
    <col min="22" max="22" width="9.7109375" customWidth="1" collapsed="1"/>
    <col min="23" max="26" width="9.7109375" customWidth="1"/>
    <col min="27" max="27" width="9.7109375" customWidth="1" collapsed="1"/>
    <col min="28" max="31" width="9.7109375" customWidth="1"/>
    <col min="32" max="32" width="9.7109375" customWidth="1" collapsed="1"/>
    <col min="33" max="36" width="9.7109375" customWidth="1"/>
    <col min="37" max="37" width="9.7109375" customWidth="1" collapsed="1"/>
    <col min="38" max="38" width="9.7109375" customWidth="1"/>
    <col min="39" max="39" width="30.7109375" style="391" customWidth="1"/>
    <col min="40" max="40" width="9.7109375" style="538" customWidth="1"/>
    <col min="41" max="41" width="9.7109375" customWidth="1" collapsed="1"/>
    <col min="42" max="42" width="9.7109375" customWidth="1"/>
    <col min="43" max="43" width="15.5703125" customWidth="1"/>
    <col min="44" max="45" width="9.7109375" customWidth="1"/>
    <col min="46" max="46" width="9.7109375" customWidth="1" collapsed="1"/>
    <col min="47" max="50" width="9.7109375" customWidth="1"/>
    <col min="51" max="51" width="9.7109375" customWidth="1" collapsed="1"/>
    <col min="52" max="55" width="9.7109375" customWidth="1"/>
    <col min="56" max="56" width="9.7109375" customWidth="1" collapsed="1"/>
    <col min="57" max="60" width="9.7109375" customWidth="1"/>
    <col min="61" max="61" width="9.7109375" customWidth="1" collapsed="1"/>
    <col min="62" max="65" width="9.7109375" customWidth="1"/>
    <col min="66" max="66" width="9.7109375" customWidth="1" collapsed="1"/>
    <col min="67" max="70" width="9.7109375" customWidth="1"/>
    <col min="71" max="71" width="9.7109375" customWidth="1" collapsed="1"/>
  </cols>
  <sheetData>
    <row r="1" spans="1:52" ht="12.75" customHeight="1">
      <c r="A1" s="1"/>
      <c r="B1" s="1"/>
      <c r="C1" s="1"/>
      <c r="D1" s="2"/>
      <c r="E1" s="2"/>
      <c r="F1" s="2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3"/>
      <c r="T1" s="3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533"/>
      <c r="AN1" s="533"/>
    </row>
    <row r="2" spans="1:52" ht="18" customHeight="1">
      <c r="A2" s="1"/>
      <c r="B2" s="20" t="s">
        <v>3369</v>
      </c>
      <c r="C2" s="1"/>
      <c r="D2" s="2"/>
      <c r="E2" s="2"/>
      <c r="F2" s="2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3"/>
      <c r="T2" s="3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533"/>
      <c r="AN2" s="533"/>
    </row>
    <row r="3" spans="1:52" ht="12.75" customHeight="1">
      <c r="A3" s="1"/>
      <c r="B3" s="21" t="s">
        <v>397</v>
      </c>
      <c r="C3" s="1"/>
      <c r="D3" s="2"/>
      <c r="E3" s="2"/>
      <c r="F3" s="2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3"/>
      <c r="T3" s="3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533"/>
      <c r="AN3" s="533"/>
    </row>
    <row r="4" spans="1:52" ht="12.75" customHeight="1">
      <c r="A4" s="1"/>
      <c r="B4" s="1"/>
      <c r="C4" s="1"/>
      <c r="D4" s="2"/>
      <c r="E4" s="2"/>
      <c r="F4" s="2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3"/>
      <c r="T4" s="3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533"/>
      <c r="AN4" s="533"/>
    </row>
    <row r="5" spans="1:52" ht="12.75" customHeight="1">
      <c r="A5" s="4"/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173"/>
      <c r="AN5" s="341"/>
    </row>
    <row r="6" spans="1:52" ht="12.75" customHeight="1">
      <c r="A6" s="23" t="s">
        <v>729</v>
      </c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645"/>
      <c r="V6" s="645"/>
      <c r="W6" s="645"/>
      <c r="X6" s="645"/>
      <c r="Y6" s="645"/>
      <c r="Z6" s="645"/>
      <c r="AA6" s="645"/>
      <c r="AB6" s="645"/>
      <c r="AC6" s="645"/>
      <c r="AD6" s="645"/>
      <c r="AE6" s="645"/>
      <c r="AF6" s="645"/>
      <c r="AG6" s="645"/>
      <c r="AH6" s="645"/>
      <c r="AI6" s="645"/>
      <c r="AJ6" s="645"/>
      <c r="AK6" s="645"/>
      <c r="AL6" s="645"/>
      <c r="AM6" s="179"/>
      <c r="AN6" s="179"/>
    </row>
    <row r="7" spans="1:52" ht="12.75" customHeight="1">
      <c r="A7" s="4"/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104"/>
      <c r="V7" s="104"/>
      <c r="W7" s="104"/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AK7" s="104"/>
      <c r="AL7" s="104"/>
      <c r="AM7" s="341"/>
      <c r="AN7" s="341"/>
    </row>
    <row r="8" spans="1:52" ht="12.75" customHeight="1">
      <c r="A8" s="9"/>
      <c r="B8" s="4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173"/>
      <c r="AN8" s="341"/>
    </row>
    <row r="9" spans="1:52" ht="12.75" customHeight="1">
      <c r="A9" s="35"/>
      <c r="B9" s="34" t="s">
        <v>398</v>
      </c>
      <c r="C9" s="34" t="s">
        <v>399</v>
      </c>
      <c r="D9" s="34" t="s">
        <v>400</v>
      </c>
      <c r="E9" s="34" t="s">
        <v>368</v>
      </c>
      <c r="F9" s="34" t="s">
        <v>369</v>
      </c>
      <c r="G9" s="34" t="s">
        <v>370</v>
      </c>
      <c r="H9" s="34" t="s">
        <v>371</v>
      </c>
      <c r="I9" s="34" t="s">
        <v>372</v>
      </c>
      <c r="J9" s="32" t="s">
        <v>1472</v>
      </c>
      <c r="K9" s="32">
        <v>2003</v>
      </c>
      <c r="L9" s="32">
        <v>2004</v>
      </c>
      <c r="M9" s="32">
        <v>2005</v>
      </c>
      <c r="N9" s="32">
        <v>2006</v>
      </c>
      <c r="O9" s="32">
        <v>2007</v>
      </c>
      <c r="P9" s="32">
        <v>2008</v>
      </c>
      <c r="Q9" s="32">
        <v>2009</v>
      </c>
      <c r="R9" s="32">
        <v>2010</v>
      </c>
      <c r="S9" s="32">
        <v>2011</v>
      </c>
      <c r="T9" s="32">
        <v>2012</v>
      </c>
      <c r="U9" s="32">
        <v>2013</v>
      </c>
      <c r="V9" s="32">
        <v>2014</v>
      </c>
      <c r="W9" s="32">
        <v>2015</v>
      </c>
      <c r="X9" s="32">
        <v>2016</v>
      </c>
      <c r="Y9" s="32">
        <v>2017</v>
      </c>
      <c r="Z9" s="32">
        <v>2018</v>
      </c>
      <c r="AA9" s="32">
        <v>2019</v>
      </c>
      <c r="AB9" s="32">
        <v>2020</v>
      </c>
      <c r="AC9" s="32">
        <v>2021</v>
      </c>
      <c r="AD9" s="32">
        <v>2022</v>
      </c>
      <c r="AE9" s="32">
        <v>2023</v>
      </c>
      <c r="AF9" s="32">
        <v>2024</v>
      </c>
      <c r="AG9" s="32">
        <v>2025</v>
      </c>
      <c r="AH9" s="32">
        <v>2026</v>
      </c>
      <c r="AI9" s="32">
        <v>2027</v>
      </c>
      <c r="AJ9" s="32">
        <v>2028</v>
      </c>
      <c r="AK9" s="32">
        <v>2029</v>
      </c>
      <c r="AL9" s="32">
        <v>2030</v>
      </c>
      <c r="AM9" s="34" t="s">
        <v>307</v>
      </c>
      <c r="AN9" s="34" t="s">
        <v>308</v>
      </c>
      <c r="AP9" s="11"/>
      <c r="AQ9" s="11"/>
      <c r="AR9" s="11"/>
      <c r="AU9" s="406"/>
      <c r="AV9" s="406"/>
      <c r="AW9" s="406"/>
      <c r="AX9" s="406"/>
      <c r="AY9" s="406"/>
      <c r="AZ9" s="406"/>
    </row>
    <row r="10" spans="1:52">
      <c r="A10" s="5"/>
      <c r="B10" s="44" t="s">
        <v>3369</v>
      </c>
      <c r="C10" s="44" t="s">
        <v>1473</v>
      </c>
      <c r="D10" s="44" t="s">
        <v>1926</v>
      </c>
      <c r="E10" s="44" t="s">
        <v>1927</v>
      </c>
      <c r="F10" s="44" t="s">
        <v>1928</v>
      </c>
      <c r="G10" s="44" t="s">
        <v>1929</v>
      </c>
      <c r="H10" s="44" t="s">
        <v>1930</v>
      </c>
      <c r="I10" s="44" t="s">
        <v>1931</v>
      </c>
      <c r="J10" s="328">
        <v>45.9</v>
      </c>
      <c r="K10" s="44">
        <v>0</v>
      </c>
      <c r="L10" s="44">
        <v>0</v>
      </c>
      <c r="M10" s="44">
        <v>0</v>
      </c>
      <c r="N10" s="44">
        <v>12.56</v>
      </c>
      <c r="O10" s="44">
        <v>16.559999999999999</v>
      </c>
      <c r="P10" s="44">
        <v>13.83</v>
      </c>
      <c r="Q10" s="44">
        <v>18.64</v>
      </c>
      <c r="R10" s="44">
        <v>12.43</v>
      </c>
      <c r="S10" s="44">
        <v>10.07</v>
      </c>
      <c r="T10" s="44">
        <v>9.61</v>
      </c>
      <c r="U10" s="44">
        <v>6.42</v>
      </c>
      <c r="V10" s="44">
        <v>8.99</v>
      </c>
      <c r="W10" s="44">
        <v>13.33</v>
      </c>
      <c r="X10" s="44">
        <v>12.77</v>
      </c>
      <c r="Y10" s="44">
        <v>18.14</v>
      </c>
      <c r="Z10" s="44">
        <v>18.18</v>
      </c>
      <c r="AA10" s="44">
        <v>18.239999999999998</v>
      </c>
      <c r="AB10" s="44">
        <v>17.940000000000001</v>
      </c>
      <c r="AC10" s="44">
        <v>14.5</v>
      </c>
      <c r="AD10" s="44">
        <v>14.27</v>
      </c>
      <c r="AE10" s="44">
        <v>12.96</v>
      </c>
      <c r="AF10" s="44">
        <v>13.49</v>
      </c>
      <c r="AG10" s="44">
        <v>12.28</v>
      </c>
      <c r="AH10" s="44">
        <v>11.26</v>
      </c>
      <c r="AI10" s="44">
        <v>10.51</v>
      </c>
      <c r="AJ10" s="44">
        <v>0</v>
      </c>
      <c r="AK10" s="44">
        <v>0</v>
      </c>
      <c r="AL10" s="44">
        <v>0</v>
      </c>
      <c r="AM10" s="22" t="str">
        <f t="shared" ref="AM10:AM72" si="0">AN10&amp;" - "&amp;C10</f>
        <v>SUBS - Algeria</v>
      </c>
      <c r="AN10" s="333" t="s">
        <v>543</v>
      </c>
      <c r="AP10" s="471"/>
      <c r="AQ10" s="11"/>
      <c r="AR10" s="11"/>
      <c r="AS10" s="354"/>
      <c r="AU10" s="406"/>
      <c r="AV10" s="55"/>
      <c r="AW10" s="333"/>
      <c r="AX10" s="406"/>
      <c r="AY10" s="406"/>
      <c r="AZ10" s="538"/>
    </row>
    <row r="11" spans="1:52">
      <c r="A11" s="5"/>
      <c r="B11" s="44" t="s">
        <v>3369</v>
      </c>
      <c r="C11" s="44" t="s">
        <v>1934</v>
      </c>
      <c r="D11" s="44" t="s">
        <v>2572</v>
      </c>
      <c r="E11" s="44" t="s">
        <v>1927</v>
      </c>
      <c r="F11" s="44" t="s">
        <v>3373</v>
      </c>
      <c r="G11" s="44" t="s">
        <v>3374</v>
      </c>
      <c r="H11" s="44" t="s">
        <v>1930</v>
      </c>
      <c r="I11" s="44" t="s">
        <v>2971</v>
      </c>
      <c r="J11" s="328">
        <v>26.67</v>
      </c>
      <c r="K11" s="44">
        <v>0</v>
      </c>
      <c r="L11" s="44">
        <v>0</v>
      </c>
      <c r="M11" s="44">
        <v>0</v>
      </c>
      <c r="N11" s="44">
        <v>0</v>
      </c>
      <c r="O11" s="44">
        <v>0</v>
      </c>
      <c r="P11" s="44">
        <v>0</v>
      </c>
      <c r="Q11" s="44">
        <v>0</v>
      </c>
      <c r="R11" s="44">
        <v>0</v>
      </c>
      <c r="S11" s="44">
        <v>0</v>
      </c>
      <c r="T11" s="44">
        <v>1.19</v>
      </c>
      <c r="U11" s="44">
        <v>24.03</v>
      </c>
      <c r="V11" s="44">
        <v>40.29</v>
      </c>
      <c r="W11" s="44">
        <v>37.979999999999997</v>
      </c>
      <c r="X11" s="44">
        <v>39.44</v>
      </c>
      <c r="Y11" s="44">
        <v>36.43</v>
      </c>
      <c r="Z11" s="44">
        <v>31.63</v>
      </c>
      <c r="AA11" s="44">
        <v>27.33</v>
      </c>
      <c r="AB11" s="44">
        <v>23.34</v>
      </c>
      <c r="AC11" s="44">
        <v>19.79</v>
      </c>
      <c r="AD11" s="44">
        <v>16.559999999999999</v>
      </c>
      <c r="AE11" s="44">
        <v>13.87</v>
      </c>
      <c r="AF11" s="44">
        <v>11.35</v>
      </c>
      <c r="AG11" s="44">
        <v>9.1999999999999993</v>
      </c>
      <c r="AH11" s="44">
        <v>7.46</v>
      </c>
      <c r="AI11" s="44">
        <v>5.97</v>
      </c>
      <c r="AJ11" s="44">
        <v>4.5999999999999996</v>
      </c>
      <c r="AK11" s="44">
        <v>3.56</v>
      </c>
      <c r="AL11" s="44">
        <v>2.61</v>
      </c>
      <c r="AM11" s="22" t="str">
        <f t="shared" si="0"/>
        <v>SUBS - Angola</v>
      </c>
      <c r="AN11" s="333" t="s">
        <v>543</v>
      </c>
      <c r="AP11" s="471"/>
      <c r="AQ11" s="11"/>
      <c r="AR11" s="11"/>
      <c r="AS11" s="354"/>
      <c r="AU11" s="406"/>
      <c r="AV11" s="55"/>
      <c r="AW11" s="333"/>
      <c r="AX11" s="406"/>
      <c r="AY11" s="406"/>
      <c r="AZ11" s="538"/>
    </row>
    <row r="12" spans="1:52">
      <c r="A12" s="5"/>
      <c r="B12" s="44" t="s">
        <v>3369</v>
      </c>
      <c r="C12" s="44" t="s">
        <v>1934</v>
      </c>
      <c r="D12" s="44" t="s">
        <v>2972</v>
      </c>
      <c r="E12" s="44" t="s">
        <v>1927</v>
      </c>
      <c r="F12" s="44" t="s">
        <v>2973</v>
      </c>
      <c r="G12" s="44" t="s">
        <v>3374</v>
      </c>
      <c r="H12" s="44" t="s">
        <v>1930</v>
      </c>
      <c r="I12" s="44" t="s">
        <v>2971</v>
      </c>
      <c r="J12" s="328">
        <v>16.670000000000002</v>
      </c>
      <c r="K12" s="44">
        <v>0</v>
      </c>
      <c r="L12" s="44">
        <v>0</v>
      </c>
      <c r="M12" s="44">
        <v>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10.25</v>
      </c>
      <c r="W12" s="44">
        <v>25.81</v>
      </c>
      <c r="X12" s="44">
        <v>25.4</v>
      </c>
      <c r="Y12" s="44">
        <v>25.45</v>
      </c>
      <c r="Z12" s="44">
        <v>24.04</v>
      </c>
      <c r="AA12" s="44">
        <v>22.03</v>
      </c>
      <c r="AB12" s="44">
        <v>19.53</v>
      </c>
      <c r="AC12" s="44">
        <v>16.09</v>
      </c>
      <c r="AD12" s="44">
        <v>12.57</v>
      </c>
      <c r="AE12" s="44">
        <v>9.39</v>
      </c>
      <c r="AF12" s="44">
        <v>6.28</v>
      </c>
      <c r="AG12" s="44">
        <v>3.89</v>
      </c>
      <c r="AH12" s="44">
        <v>2.2400000000000002</v>
      </c>
      <c r="AI12" s="44">
        <v>1.2</v>
      </c>
      <c r="AJ12" s="44">
        <v>0.62</v>
      </c>
      <c r="AK12" s="44">
        <v>0</v>
      </c>
      <c r="AL12" s="44">
        <v>0</v>
      </c>
      <c r="AM12" s="22" t="str">
        <f t="shared" si="0"/>
        <v>SUBS - Angola</v>
      </c>
      <c r="AN12" s="333" t="s">
        <v>543</v>
      </c>
      <c r="AP12" s="471"/>
      <c r="AQ12" s="11"/>
      <c r="AR12" s="11"/>
      <c r="AS12" s="354"/>
      <c r="AU12" s="406"/>
      <c r="AV12" s="55"/>
      <c r="AW12" s="333"/>
      <c r="AX12" s="406"/>
      <c r="AY12" s="406"/>
      <c r="AZ12" s="538"/>
    </row>
    <row r="13" spans="1:52">
      <c r="A13" s="5"/>
      <c r="B13" s="44" t="s">
        <v>3369</v>
      </c>
      <c r="C13" s="44" t="s">
        <v>1934</v>
      </c>
      <c r="D13" s="44" t="s">
        <v>2974</v>
      </c>
      <c r="E13" s="44" t="s">
        <v>1927</v>
      </c>
      <c r="F13" s="44" t="s">
        <v>2973</v>
      </c>
      <c r="G13" s="44" t="s">
        <v>3374</v>
      </c>
      <c r="H13" s="44" t="s">
        <v>1930</v>
      </c>
      <c r="I13" s="44" t="s">
        <v>2971</v>
      </c>
      <c r="J13" s="328">
        <v>16.670000000000002</v>
      </c>
      <c r="K13" s="44">
        <v>0</v>
      </c>
      <c r="L13" s="44">
        <v>0</v>
      </c>
      <c r="M13" s="44">
        <v>0</v>
      </c>
      <c r="N13" s="44">
        <v>1.33</v>
      </c>
      <c r="O13" s="44">
        <v>30.18</v>
      </c>
      <c r="P13" s="44">
        <v>34.47</v>
      </c>
      <c r="Q13" s="44">
        <v>31.41</v>
      </c>
      <c r="R13" s="44">
        <v>13.49</v>
      </c>
      <c r="S13" s="44">
        <v>11.84</v>
      </c>
      <c r="T13" s="44">
        <v>11.72</v>
      </c>
      <c r="U13" s="44">
        <v>11.78</v>
      </c>
      <c r="V13" s="44">
        <v>12.12</v>
      </c>
      <c r="W13" s="44">
        <v>17.04</v>
      </c>
      <c r="X13" s="44">
        <v>17.98</v>
      </c>
      <c r="Y13" s="44">
        <v>14.68</v>
      </c>
      <c r="Z13" s="44">
        <v>14.28</v>
      </c>
      <c r="AA13" s="44">
        <v>13.71</v>
      </c>
      <c r="AB13" s="44">
        <v>10.82</v>
      </c>
      <c r="AC13" s="44">
        <v>7.04</v>
      </c>
      <c r="AD13" s="44">
        <v>4.95</v>
      </c>
      <c r="AE13" s="44">
        <v>2.7</v>
      </c>
      <c r="AF13" s="44">
        <v>1.35</v>
      </c>
      <c r="AG13" s="44">
        <v>0</v>
      </c>
      <c r="AH13" s="44">
        <v>0</v>
      </c>
      <c r="AI13" s="44">
        <v>0</v>
      </c>
      <c r="AJ13" s="44">
        <v>0</v>
      </c>
      <c r="AK13" s="44">
        <v>0</v>
      </c>
      <c r="AL13" s="44">
        <v>0</v>
      </c>
      <c r="AM13" s="22" t="str">
        <f t="shared" si="0"/>
        <v>SUBS - Angola</v>
      </c>
      <c r="AN13" s="333" t="s">
        <v>543</v>
      </c>
      <c r="AP13" s="471"/>
      <c r="AQ13" s="11"/>
      <c r="AR13" s="11"/>
      <c r="AS13" s="354"/>
      <c r="AU13" s="406"/>
      <c r="AV13" s="55"/>
      <c r="AW13" s="333"/>
      <c r="AX13" s="406"/>
      <c r="AY13" s="406"/>
      <c r="AZ13" s="538"/>
    </row>
    <row r="14" spans="1:52">
      <c r="A14" s="5"/>
      <c r="B14" s="44" t="s">
        <v>3369</v>
      </c>
      <c r="C14" s="44" t="s">
        <v>1934</v>
      </c>
      <c r="D14" s="44" t="s">
        <v>2107</v>
      </c>
      <c r="E14" s="44" t="s">
        <v>1927</v>
      </c>
      <c r="F14" s="44" t="s">
        <v>2973</v>
      </c>
      <c r="G14" s="44" t="s">
        <v>3374</v>
      </c>
      <c r="H14" s="44" t="s">
        <v>1930</v>
      </c>
      <c r="I14" s="44" t="s">
        <v>2971</v>
      </c>
      <c r="J14" s="328">
        <v>16.670000000000002</v>
      </c>
      <c r="K14" s="44">
        <v>31.29</v>
      </c>
      <c r="L14" s="44">
        <v>35.51</v>
      </c>
      <c r="M14" s="44">
        <v>34.08</v>
      </c>
      <c r="N14" s="44">
        <v>17.29</v>
      </c>
      <c r="O14" s="44">
        <v>9.9600000000000009</v>
      </c>
      <c r="P14" s="44">
        <v>7.44</v>
      </c>
      <c r="Q14" s="44">
        <v>8.23</v>
      </c>
      <c r="R14" s="44">
        <v>6.99</v>
      </c>
      <c r="S14" s="44">
        <v>7.37</v>
      </c>
      <c r="T14" s="44">
        <v>7</v>
      </c>
      <c r="U14" s="44">
        <v>6.83</v>
      </c>
      <c r="V14" s="44">
        <v>6.15</v>
      </c>
      <c r="W14" s="44">
        <v>8.4600000000000009</v>
      </c>
      <c r="X14" s="44">
        <v>7.09</v>
      </c>
      <c r="Y14" s="44">
        <v>5.72</v>
      </c>
      <c r="Z14" s="44">
        <v>4.7699999999999996</v>
      </c>
      <c r="AA14" s="44">
        <v>4.3600000000000003</v>
      </c>
      <c r="AB14" s="44">
        <v>3.68</v>
      </c>
      <c r="AC14" s="44">
        <v>2.72</v>
      </c>
      <c r="AD14" s="44">
        <v>2.1800000000000002</v>
      </c>
      <c r="AE14" s="44">
        <v>1.87</v>
      </c>
      <c r="AF14" s="44">
        <v>1.62</v>
      </c>
      <c r="AG14" s="44">
        <v>1.3</v>
      </c>
      <c r="AH14" s="44">
        <v>1</v>
      </c>
      <c r="AI14" s="44">
        <v>0</v>
      </c>
      <c r="AJ14" s="44">
        <v>0</v>
      </c>
      <c r="AK14" s="44">
        <v>0</v>
      </c>
      <c r="AL14" s="44">
        <v>0</v>
      </c>
      <c r="AM14" s="22" t="str">
        <f t="shared" si="0"/>
        <v>SUBS - Angola</v>
      </c>
      <c r="AN14" s="333" t="s">
        <v>543</v>
      </c>
      <c r="AP14" s="471"/>
      <c r="AQ14" s="11"/>
      <c r="AR14" s="11"/>
      <c r="AS14" s="354"/>
      <c r="AU14" s="406"/>
      <c r="AV14" s="55"/>
      <c r="AW14" s="333"/>
      <c r="AX14" s="406"/>
      <c r="AY14" s="406"/>
      <c r="AZ14" s="538"/>
    </row>
    <row r="15" spans="1:52">
      <c r="A15" s="5"/>
      <c r="B15" s="44" t="s">
        <v>3369</v>
      </c>
      <c r="C15" s="44" t="s">
        <v>1934</v>
      </c>
      <c r="D15" s="44" t="s">
        <v>2108</v>
      </c>
      <c r="E15" s="44" t="s">
        <v>1927</v>
      </c>
      <c r="F15" s="44" t="s">
        <v>2973</v>
      </c>
      <c r="G15" s="44" t="s">
        <v>3374</v>
      </c>
      <c r="H15" s="44" t="s">
        <v>1930</v>
      </c>
      <c r="I15" s="44" t="s">
        <v>2971</v>
      </c>
      <c r="J15" s="328">
        <v>50</v>
      </c>
      <c r="K15" s="44">
        <v>0</v>
      </c>
      <c r="L15" s="44">
        <v>0</v>
      </c>
      <c r="M15" s="44">
        <v>0</v>
      </c>
      <c r="N15" s="44">
        <v>0</v>
      </c>
      <c r="O15" s="44">
        <v>13.13</v>
      </c>
      <c r="P15" s="44">
        <v>68.97</v>
      </c>
      <c r="Q15" s="44">
        <v>70.3</v>
      </c>
      <c r="R15" s="44">
        <v>63.39</v>
      </c>
      <c r="S15" s="44">
        <v>47.82</v>
      </c>
      <c r="T15" s="44">
        <v>63.13</v>
      </c>
      <c r="U15" s="44">
        <v>68.84</v>
      </c>
      <c r="V15" s="44">
        <v>51.01</v>
      </c>
      <c r="W15" s="44">
        <v>50.73</v>
      </c>
      <c r="X15" s="44">
        <v>46.68</v>
      </c>
      <c r="Y15" s="44">
        <v>42.4</v>
      </c>
      <c r="Z15" s="44">
        <v>37.93</v>
      </c>
      <c r="AA15" s="44">
        <v>27.12</v>
      </c>
      <c r="AB15" s="44">
        <v>23.17</v>
      </c>
      <c r="AC15" s="44">
        <v>17.37</v>
      </c>
      <c r="AD15" s="44">
        <v>13.03</v>
      </c>
      <c r="AE15" s="44">
        <v>9.77</v>
      </c>
      <c r="AF15" s="44">
        <v>6.84</v>
      </c>
      <c r="AG15" s="44">
        <v>4.79</v>
      </c>
      <c r="AH15" s="44">
        <v>0</v>
      </c>
      <c r="AI15" s="44">
        <v>0</v>
      </c>
      <c r="AJ15" s="44">
        <v>0</v>
      </c>
      <c r="AK15" s="44">
        <v>0</v>
      </c>
      <c r="AL15" s="44">
        <v>0</v>
      </c>
      <c r="AM15" s="22" t="str">
        <f t="shared" si="0"/>
        <v>SUBS - Angola</v>
      </c>
      <c r="AN15" s="333" t="s">
        <v>543</v>
      </c>
      <c r="AP15" s="471"/>
      <c r="AQ15" s="11"/>
      <c r="AR15" s="11"/>
      <c r="AS15" s="354"/>
      <c r="AU15" s="406"/>
      <c r="AV15" s="55"/>
      <c r="AW15" s="333"/>
      <c r="AX15" s="406"/>
      <c r="AY15" s="406"/>
      <c r="AZ15" s="538"/>
    </row>
    <row r="16" spans="1:52">
      <c r="A16" s="5"/>
      <c r="B16" s="44" t="s">
        <v>3369</v>
      </c>
      <c r="C16" s="44" t="s">
        <v>1934</v>
      </c>
      <c r="D16" s="44" t="s">
        <v>2109</v>
      </c>
      <c r="E16" s="44" t="s">
        <v>1927</v>
      </c>
      <c r="F16" s="44" t="s">
        <v>2973</v>
      </c>
      <c r="G16" s="44" t="s">
        <v>3374</v>
      </c>
      <c r="H16" s="44" t="s">
        <v>1930</v>
      </c>
      <c r="I16" s="44" t="s">
        <v>2599</v>
      </c>
      <c r="J16" s="328">
        <v>26.67</v>
      </c>
      <c r="K16" s="44">
        <v>0</v>
      </c>
      <c r="L16" s="44">
        <v>14.94</v>
      </c>
      <c r="M16" s="44">
        <v>54.23</v>
      </c>
      <c r="N16" s="44">
        <v>52.14</v>
      </c>
      <c r="O16" s="44">
        <v>47.42</v>
      </c>
      <c r="P16" s="44">
        <v>19.739999999999998</v>
      </c>
      <c r="Q16" s="44">
        <v>19.13</v>
      </c>
      <c r="R16" s="44">
        <v>14.74</v>
      </c>
      <c r="S16" s="44">
        <v>11.14</v>
      </c>
      <c r="T16" s="44">
        <v>8.2100000000000009</v>
      </c>
      <c r="U16" s="44">
        <v>6.63</v>
      </c>
      <c r="V16" s="44">
        <v>7.61</v>
      </c>
      <c r="W16" s="44">
        <v>10.76</v>
      </c>
      <c r="X16" s="44">
        <v>9.42</v>
      </c>
      <c r="Y16" s="44">
        <v>6.26</v>
      </c>
      <c r="Z16" s="44">
        <v>4.84</v>
      </c>
      <c r="AA16" s="44">
        <v>4.54</v>
      </c>
      <c r="AB16" s="44">
        <v>4.6500000000000004</v>
      </c>
      <c r="AC16" s="44">
        <v>3.57</v>
      </c>
      <c r="AD16" s="44">
        <v>3.15</v>
      </c>
      <c r="AE16" s="44">
        <v>2.54</v>
      </c>
      <c r="AF16" s="44">
        <v>1.99</v>
      </c>
      <c r="AG16" s="44">
        <v>1.59</v>
      </c>
      <c r="AH16" s="44">
        <v>1.21</v>
      </c>
      <c r="AI16" s="44">
        <v>0</v>
      </c>
      <c r="AJ16" s="44">
        <v>0</v>
      </c>
      <c r="AK16" s="44">
        <v>0</v>
      </c>
      <c r="AL16" s="44">
        <v>0</v>
      </c>
      <c r="AM16" s="22" t="str">
        <f t="shared" si="0"/>
        <v>SUBS - Angola</v>
      </c>
      <c r="AN16" s="333" t="s">
        <v>543</v>
      </c>
      <c r="AP16" s="471"/>
      <c r="AQ16" s="11"/>
      <c r="AR16" s="11"/>
      <c r="AS16" s="354"/>
      <c r="AU16" s="406"/>
      <c r="AV16" s="55"/>
      <c r="AW16" s="333"/>
      <c r="AX16" s="406"/>
      <c r="AY16" s="406"/>
      <c r="AZ16" s="538"/>
    </row>
    <row r="17" spans="1:52">
      <c r="A17" s="5"/>
      <c r="B17" s="44" t="s">
        <v>3369</v>
      </c>
      <c r="C17" s="44" t="s">
        <v>1934</v>
      </c>
      <c r="D17" s="44" t="s">
        <v>2110</v>
      </c>
      <c r="E17" s="44" t="s">
        <v>1927</v>
      </c>
      <c r="F17" s="44" t="s">
        <v>2973</v>
      </c>
      <c r="G17" s="44" t="s">
        <v>3374</v>
      </c>
      <c r="H17" s="44" t="s">
        <v>1930</v>
      </c>
      <c r="I17" s="44" t="s">
        <v>2599</v>
      </c>
      <c r="J17" s="328">
        <v>26.67</v>
      </c>
      <c r="K17" s="44">
        <v>0</v>
      </c>
      <c r="L17" s="44">
        <v>0</v>
      </c>
      <c r="M17" s="44">
        <v>26.79</v>
      </c>
      <c r="N17" s="44">
        <v>54.07</v>
      </c>
      <c r="O17" s="44">
        <v>53.79</v>
      </c>
      <c r="P17" s="44">
        <v>19.899999999999999</v>
      </c>
      <c r="Q17" s="44">
        <v>17.71</v>
      </c>
      <c r="R17" s="44">
        <v>14.07</v>
      </c>
      <c r="S17" s="44">
        <v>11.79</v>
      </c>
      <c r="T17" s="44">
        <v>9.94</v>
      </c>
      <c r="U17" s="44">
        <v>8.23</v>
      </c>
      <c r="V17" s="44">
        <v>8.31</v>
      </c>
      <c r="W17" s="44">
        <v>11.29</v>
      </c>
      <c r="X17" s="44">
        <v>9.6999999999999993</v>
      </c>
      <c r="Y17" s="44">
        <v>6.23</v>
      </c>
      <c r="Z17" s="44">
        <v>5.48</v>
      </c>
      <c r="AA17" s="44">
        <v>4.62</v>
      </c>
      <c r="AB17" s="44">
        <v>4.4400000000000004</v>
      </c>
      <c r="AC17" s="44">
        <v>3.74</v>
      </c>
      <c r="AD17" s="44">
        <v>2.99</v>
      </c>
      <c r="AE17" s="44">
        <v>2.39</v>
      </c>
      <c r="AF17" s="44">
        <v>1.91</v>
      </c>
      <c r="AG17" s="44">
        <v>1.43</v>
      </c>
      <c r="AH17" s="44">
        <v>1.07</v>
      </c>
      <c r="AI17" s="44">
        <v>0.81</v>
      </c>
      <c r="AJ17" s="44">
        <v>0</v>
      </c>
      <c r="AK17" s="44">
        <v>0</v>
      </c>
      <c r="AL17" s="44">
        <v>0</v>
      </c>
      <c r="AM17" s="22" t="str">
        <f t="shared" si="0"/>
        <v>SUBS - Angola</v>
      </c>
      <c r="AN17" s="333" t="s">
        <v>543</v>
      </c>
      <c r="AP17" s="471"/>
      <c r="AQ17" s="11"/>
      <c r="AR17" s="11"/>
      <c r="AS17" s="354"/>
      <c r="AU17" s="406"/>
      <c r="AV17" s="55"/>
      <c r="AW17" s="333"/>
      <c r="AX17" s="406"/>
      <c r="AY17" s="406"/>
      <c r="AZ17" s="538"/>
    </row>
    <row r="18" spans="1:52">
      <c r="A18" s="5"/>
      <c r="B18" s="44" t="s">
        <v>3369</v>
      </c>
      <c r="C18" s="44" t="s">
        <v>1934</v>
      </c>
      <c r="D18" s="44" t="s">
        <v>2111</v>
      </c>
      <c r="E18" s="44" t="s">
        <v>1927</v>
      </c>
      <c r="F18" s="44" t="s">
        <v>2973</v>
      </c>
      <c r="G18" s="44" t="s">
        <v>3374</v>
      </c>
      <c r="H18" s="44" t="s">
        <v>1930</v>
      </c>
      <c r="I18" s="44" t="s">
        <v>2971</v>
      </c>
      <c r="J18" s="328">
        <v>26.67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26.42</v>
      </c>
      <c r="Q18" s="44">
        <v>41.67</v>
      </c>
      <c r="R18" s="44">
        <v>36.22</v>
      </c>
      <c r="S18" s="44">
        <v>19.5</v>
      </c>
      <c r="T18" s="44">
        <v>11.75</v>
      </c>
      <c r="U18" s="44">
        <v>10.85</v>
      </c>
      <c r="V18" s="44">
        <v>9.91</v>
      </c>
      <c r="W18" s="44">
        <v>11.06</v>
      </c>
      <c r="X18" s="44">
        <v>15.5</v>
      </c>
      <c r="Y18" s="44">
        <v>15.46</v>
      </c>
      <c r="Z18" s="44">
        <v>11.33</v>
      </c>
      <c r="AA18" s="44">
        <v>9.3699999999999992</v>
      </c>
      <c r="AB18" s="44">
        <v>7.85</v>
      </c>
      <c r="AC18" s="44">
        <v>6.16</v>
      </c>
      <c r="AD18" s="44">
        <v>5.33</v>
      </c>
      <c r="AE18" s="44">
        <v>4.51</v>
      </c>
      <c r="AF18" s="44">
        <v>3.77</v>
      </c>
      <c r="AG18" s="44">
        <v>3.01</v>
      </c>
      <c r="AH18" s="44">
        <v>2.41</v>
      </c>
      <c r="AI18" s="44">
        <v>0</v>
      </c>
      <c r="AJ18" s="44">
        <v>0</v>
      </c>
      <c r="AK18" s="44">
        <v>0</v>
      </c>
      <c r="AL18" s="44">
        <v>0</v>
      </c>
      <c r="AM18" s="22" t="str">
        <f t="shared" si="0"/>
        <v>SUBS - Angola</v>
      </c>
      <c r="AN18" s="333" t="s">
        <v>543</v>
      </c>
      <c r="AP18" s="471"/>
      <c r="AQ18" s="11"/>
      <c r="AR18" s="11"/>
      <c r="AS18" s="354"/>
      <c r="AU18" s="406"/>
      <c r="AV18" s="55"/>
      <c r="AW18" s="333"/>
      <c r="AX18" s="406"/>
      <c r="AY18" s="406"/>
      <c r="AZ18" s="538"/>
    </row>
    <row r="19" spans="1:52">
      <c r="A19" s="5"/>
      <c r="B19" s="44" t="s">
        <v>3369</v>
      </c>
      <c r="C19" s="44" t="s">
        <v>1934</v>
      </c>
      <c r="D19" s="44" t="s">
        <v>2916</v>
      </c>
      <c r="E19" s="44" t="s">
        <v>1927</v>
      </c>
      <c r="F19" s="44" t="s">
        <v>2973</v>
      </c>
      <c r="G19" s="44" t="s">
        <v>3374</v>
      </c>
      <c r="H19" s="44" t="s">
        <v>1930</v>
      </c>
      <c r="I19" s="44" t="s">
        <v>2971</v>
      </c>
      <c r="J19" s="328">
        <v>26.67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8.59</v>
      </c>
      <c r="U19" s="44">
        <v>15.93</v>
      </c>
      <c r="V19" s="44">
        <v>13.92</v>
      </c>
      <c r="W19" s="44">
        <v>12.37</v>
      </c>
      <c r="X19" s="44">
        <v>6.53</v>
      </c>
      <c r="Y19" s="44">
        <v>3.27</v>
      </c>
      <c r="Z19" s="44">
        <v>4.29</v>
      </c>
      <c r="AA19" s="44">
        <v>5.71</v>
      </c>
      <c r="AB19" s="44">
        <v>6.78</v>
      </c>
      <c r="AC19" s="44">
        <v>7.93</v>
      </c>
      <c r="AD19" s="44">
        <v>7.14</v>
      </c>
      <c r="AE19" s="44">
        <v>6.25</v>
      </c>
      <c r="AF19" s="44">
        <v>5.31</v>
      </c>
      <c r="AG19" s="44">
        <v>4.5199999999999996</v>
      </c>
      <c r="AH19" s="44">
        <v>3.72</v>
      </c>
      <c r="AI19" s="44">
        <v>3.06</v>
      </c>
      <c r="AJ19" s="44">
        <v>2.5299999999999998</v>
      </c>
      <c r="AK19" s="44">
        <v>2.09</v>
      </c>
      <c r="AL19" s="44">
        <v>0</v>
      </c>
      <c r="AM19" s="22" t="str">
        <f t="shared" si="0"/>
        <v>SUBS - Angola</v>
      </c>
      <c r="AN19" s="333" t="s">
        <v>543</v>
      </c>
      <c r="AP19" s="471"/>
      <c r="AQ19" s="11"/>
      <c r="AR19" s="11"/>
      <c r="AS19" s="354"/>
      <c r="AU19" s="406"/>
      <c r="AV19" s="55"/>
      <c r="AW19" s="333"/>
      <c r="AX19" s="406"/>
      <c r="AY19" s="406"/>
      <c r="AZ19" s="538"/>
    </row>
    <row r="20" spans="1:52">
      <c r="A20" s="5"/>
      <c r="B20" s="44" t="s">
        <v>3369</v>
      </c>
      <c r="C20" s="44" t="s">
        <v>1934</v>
      </c>
      <c r="D20" s="44" t="s">
        <v>2917</v>
      </c>
      <c r="E20" s="44" t="s">
        <v>1927</v>
      </c>
      <c r="F20" s="44" t="s">
        <v>2973</v>
      </c>
      <c r="G20" s="44" t="s">
        <v>3374</v>
      </c>
      <c r="H20" s="44" t="s">
        <v>1930</v>
      </c>
      <c r="I20" s="44" t="s">
        <v>2971</v>
      </c>
      <c r="J20" s="328">
        <v>26.67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2.57</v>
      </c>
      <c r="X20" s="44">
        <v>8.2799999999999994</v>
      </c>
      <c r="Y20" s="44">
        <v>12.25</v>
      </c>
      <c r="Z20" s="44">
        <v>14.47</v>
      </c>
      <c r="AA20" s="44">
        <v>13.02</v>
      </c>
      <c r="AB20" s="44">
        <v>11.5</v>
      </c>
      <c r="AC20" s="44">
        <v>9.99</v>
      </c>
      <c r="AD20" s="44">
        <v>8.49</v>
      </c>
      <c r="AE20" s="44">
        <v>7.22</v>
      </c>
      <c r="AF20" s="44">
        <v>6.14</v>
      </c>
      <c r="AG20" s="44">
        <v>5.22</v>
      </c>
      <c r="AH20" s="44">
        <v>4.4400000000000004</v>
      </c>
      <c r="AI20" s="44">
        <v>3.55</v>
      </c>
      <c r="AJ20" s="44">
        <v>2.84</v>
      </c>
      <c r="AK20" s="44">
        <v>2.27</v>
      </c>
      <c r="AL20" s="44">
        <v>1.82</v>
      </c>
      <c r="AM20" s="22" t="str">
        <f t="shared" si="0"/>
        <v>SUBS - Angola</v>
      </c>
      <c r="AN20" s="333" t="s">
        <v>543</v>
      </c>
      <c r="AP20" s="471"/>
      <c r="AQ20" s="11"/>
      <c r="AR20" s="11"/>
      <c r="AS20" s="354"/>
      <c r="AU20" s="406"/>
      <c r="AV20" s="55"/>
      <c r="AW20" s="333"/>
      <c r="AX20" s="406"/>
      <c r="AY20" s="406"/>
      <c r="AZ20" s="538"/>
    </row>
    <row r="21" spans="1:52">
      <c r="A21" s="5"/>
      <c r="B21" s="44" t="s">
        <v>3369</v>
      </c>
      <c r="C21" s="44" t="s">
        <v>1934</v>
      </c>
      <c r="D21" s="44" t="s">
        <v>2918</v>
      </c>
      <c r="E21" s="44" t="s">
        <v>1927</v>
      </c>
      <c r="F21" s="44" t="s">
        <v>2973</v>
      </c>
      <c r="G21" s="44" t="s">
        <v>3374</v>
      </c>
      <c r="H21" s="44" t="s">
        <v>1930</v>
      </c>
      <c r="I21" s="44" t="s">
        <v>2971</v>
      </c>
      <c r="J21" s="328">
        <v>26.67</v>
      </c>
      <c r="K21" s="44">
        <v>0</v>
      </c>
      <c r="L21" s="44">
        <v>0</v>
      </c>
      <c r="M21" s="44">
        <v>0</v>
      </c>
      <c r="N21" s="44">
        <v>0</v>
      </c>
      <c r="O21" s="44">
        <v>2.88</v>
      </c>
      <c r="P21" s="44">
        <v>7.76</v>
      </c>
      <c r="Q21" s="44">
        <v>8.75</v>
      </c>
      <c r="R21" s="44">
        <v>4.41</v>
      </c>
      <c r="S21" s="44">
        <v>1.49</v>
      </c>
      <c r="T21" s="44">
        <v>1.21</v>
      </c>
      <c r="U21" s="44">
        <v>0.93</v>
      </c>
      <c r="V21" s="44">
        <v>1.07</v>
      </c>
      <c r="W21" s="44">
        <v>1.6</v>
      </c>
      <c r="X21" s="44">
        <v>1.34</v>
      </c>
      <c r="Y21" s="44">
        <v>1.04</v>
      </c>
      <c r="Z21" s="44">
        <v>0.85</v>
      </c>
      <c r="AA21" s="44">
        <v>0.57999999999999996</v>
      </c>
      <c r="AB21" s="44">
        <v>0.45</v>
      </c>
      <c r="AC21" s="44">
        <v>0.28999999999999998</v>
      </c>
      <c r="AD21" s="44">
        <v>0</v>
      </c>
      <c r="AE21" s="44">
        <v>0</v>
      </c>
      <c r="AF21" s="44">
        <v>0</v>
      </c>
      <c r="AG21" s="44">
        <v>0</v>
      </c>
      <c r="AH21" s="44">
        <v>0</v>
      </c>
      <c r="AI21" s="44">
        <v>0</v>
      </c>
      <c r="AJ21" s="44">
        <v>0</v>
      </c>
      <c r="AK21" s="44">
        <v>0</v>
      </c>
      <c r="AL21" s="44">
        <v>0</v>
      </c>
      <c r="AM21" s="22" t="str">
        <f t="shared" si="0"/>
        <v>SUBS - Angola</v>
      </c>
      <c r="AN21" s="333" t="s">
        <v>543</v>
      </c>
      <c r="AP21" s="471"/>
      <c r="AQ21" s="11"/>
      <c r="AR21" s="11"/>
      <c r="AS21" s="354"/>
      <c r="AU21" s="406"/>
      <c r="AV21" s="55"/>
      <c r="AW21" s="333"/>
      <c r="AX21" s="406"/>
      <c r="AY21" s="406"/>
      <c r="AZ21" s="538"/>
    </row>
    <row r="22" spans="1:52">
      <c r="A22" s="5"/>
      <c r="B22" s="44" t="s">
        <v>3369</v>
      </c>
      <c r="C22" s="44" t="s">
        <v>1934</v>
      </c>
      <c r="D22" s="44" t="s">
        <v>2919</v>
      </c>
      <c r="E22" s="44" t="s">
        <v>1927</v>
      </c>
      <c r="F22" s="44" t="s">
        <v>2973</v>
      </c>
      <c r="G22" s="44" t="s">
        <v>3374</v>
      </c>
      <c r="H22" s="44" t="s">
        <v>1930</v>
      </c>
      <c r="I22" s="44" t="s">
        <v>2971</v>
      </c>
      <c r="J22" s="328">
        <v>16.670000000000002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5.5</v>
      </c>
      <c r="T22" s="44">
        <v>28.51</v>
      </c>
      <c r="U22" s="44">
        <v>31.65</v>
      </c>
      <c r="V22" s="44">
        <v>30.11</v>
      </c>
      <c r="W22" s="44">
        <v>23.98</v>
      </c>
      <c r="X22" s="44">
        <v>17.09</v>
      </c>
      <c r="Y22" s="44">
        <v>13.81</v>
      </c>
      <c r="Z22" s="44">
        <v>12.51</v>
      </c>
      <c r="AA22" s="44">
        <v>11.99</v>
      </c>
      <c r="AB22" s="44">
        <v>11.61</v>
      </c>
      <c r="AC22" s="44">
        <v>10.14</v>
      </c>
      <c r="AD22" s="44">
        <v>8.4499999999999993</v>
      </c>
      <c r="AE22" s="44">
        <v>6.83</v>
      </c>
      <c r="AF22" s="44">
        <v>5.47</v>
      </c>
      <c r="AG22" s="44">
        <v>4.37</v>
      </c>
      <c r="AH22" s="44">
        <v>3.41</v>
      </c>
      <c r="AI22" s="44">
        <v>2.59</v>
      </c>
      <c r="AJ22" s="44">
        <v>1.33</v>
      </c>
      <c r="AK22" s="44">
        <v>1.03</v>
      </c>
      <c r="AL22" s="44">
        <v>0</v>
      </c>
      <c r="AM22" s="22" t="str">
        <f t="shared" si="0"/>
        <v>SUBS - Angola</v>
      </c>
      <c r="AN22" s="333" t="s">
        <v>543</v>
      </c>
      <c r="AP22" s="471"/>
      <c r="AQ22" s="11"/>
      <c r="AR22" s="11"/>
      <c r="AS22" s="354"/>
      <c r="AU22" s="406"/>
      <c r="AV22" s="55"/>
      <c r="AW22" s="333"/>
      <c r="AX22" s="406"/>
      <c r="AY22" s="406"/>
      <c r="AZ22" s="538"/>
    </row>
    <row r="23" spans="1:52">
      <c r="A23" s="5"/>
      <c r="B23" s="44" t="s">
        <v>3369</v>
      </c>
      <c r="C23" s="44" t="s">
        <v>1934</v>
      </c>
      <c r="D23" s="44" t="s">
        <v>2920</v>
      </c>
      <c r="E23" s="44" t="s">
        <v>1927</v>
      </c>
      <c r="F23" s="44" t="s">
        <v>2973</v>
      </c>
      <c r="G23" s="44" t="s">
        <v>3374</v>
      </c>
      <c r="H23" s="44" t="s">
        <v>1930</v>
      </c>
      <c r="I23" s="44" t="s">
        <v>2971</v>
      </c>
      <c r="J23" s="328">
        <v>16.670000000000002</v>
      </c>
      <c r="K23" s="44">
        <v>0</v>
      </c>
      <c r="L23" s="44">
        <v>0</v>
      </c>
      <c r="M23" s="44">
        <v>0</v>
      </c>
      <c r="N23" s="44">
        <v>0</v>
      </c>
      <c r="O23" s="44">
        <v>5.92</v>
      </c>
      <c r="P23" s="44">
        <v>15.58</v>
      </c>
      <c r="Q23" s="44">
        <v>13.89</v>
      </c>
      <c r="R23" s="44">
        <v>11.42</v>
      </c>
      <c r="S23" s="44">
        <v>7</v>
      </c>
      <c r="T23" s="44">
        <v>3.75</v>
      </c>
      <c r="U23" s="44">
        <v>4.3899999999999997</v>
      </c>
      <c r="V23" s="44">
        <v>3.96</v>
      </c>
      <c r="W23" s="44">
        <v>6.02</v>
      </c>
      <c r="X23" s="44">
        <v>6.17</v>
      </c>
      <c r="Y23" s="44">
        <v>4.63</v>
      </c>
      <c r="Z23" s="44">
        <v>4.03</v>
      </c>
      <c r="AA23" s="44">
        <v>3.93</v>
      </c>
      <c r="AB23" s="44">
        <v>3.35</v>
      </c>
      <c r="AC23" s="44">
        <v>2.54</v>
      </c>
      <c r="AD23" s="44">
        <v>2.1800000000000002</v>
      </c>
      <c r="AE23" s="44">
        <v>1.88</v>
      </c>
      <c r="AF23" s="44">
        <v>1.59</v>
      </c>
      <c r="AG23" s="44">
        <v>1.33</v>
      </c>
      <c r="AH23" s="44">
        <v>0.93</v>
      </c>
      <c r="AI23" s="44">
        <v>0</v>
      </c>
      <c r="AJ23" s="44">
        <v>0</v>
      </c>
      <c r="AK23" s="44">
        <v>0</v>
      </c>
      <c r="AL23" s="44">
        <v>0</v>
      </c>
      <c r="AM23" s="22" t="str">
        <f t="shared" si="0"/>
        <v>SUBS - Angola</v>
      </c>
      <c r="AN23" s="333" t="s">
        <v>543</v>
      </c>
      <c r="AP23" s="471"/>
      <c r="AQ23" s="11"/>
      <c r="AR23" s="11"/>
      <c r="AS23" s="354"/>
      <c r="AU23" s="406"/>
      <c r="AV23" s="55"/>
      <c r="AW23" s="333"/>
      <c r="AX23" s="406"/>
      <c r="AY23" s="406"/>
      <c r="AZ23" s="538"/>
    </row>
    <row r="24" spans="1:52">
      <c r="A24" s="5"/>
      <c r="B24" s="44" t="s">
        <v>3369</v>
      </c>
      <c r="C24" s="44" t="s">
        <v>1934</v>
      </c>
      <c r="D24" s="44" t="s">
        <v>3735</v>
      </c>
      <c r="E24" s="44" t="s">
        <v>3372</v>
      </c>
      <c r="F24" s="44" t="s">
        <v>2973</v>
      </c>
      <c r="G24" s="44" t="s">
        <v>3374</v>
      </c>
      <c r="H24" s="44" t="s">
        <v>1930</v>
      </c>
      <c r="I24" s="44" t="s">
        <v>2571</v>
      </c>
      <c r="J24" s="328">
        <v>16.670000000000002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2.39</v>
      </c>
      <c r="AC24" s="44">
        <v>5.98</v>
      </c>
      <c r="AD24" s="44">
        <v>5.85</v>
      </c>
      <c r="AE24" s="44">
        <v>5.2</v>
      </c>
      <c r="AF24" s="44">
        <v>3.27</v>
      </c>
      <c r="AG24" s="44">
        <v>2.83</v>
      </c>
      <c r="AH24" s="44">
        <v>2.06</v>
      </c>
      <c r="AI24" s="44">
        <v>1.37</v>
      </c>
      <c r="AJ24" s="44">
        <v>0.92</v>
      </c>
      <c r="AK24" s="44">
        <v>0.57999999999999996</v>
      </c>
      <c r="AL24" s="44">
        <v>0</v>
      </c>
      <c r="AM24" s="22" t="str">
        <f t="shared" ref="AM24" si="1">AN24&amp;" - "&amp;C24</f>
        <v>SUBS - Angola</v>
      </c>
      <c r="AN24" s="333" t="s">
        <v>543</v>
      </c>
      <c r="AP24" s="471"/>
      <c r="AQ24" s="11"/>
      <c r="AR24" s="11"/>
      <c r="AS24" s="354"/>
      <c r="AU24" s="406"/>
      <c r="AV24" s="55"/>
      <c r="AW24" s="333"/>
      <c r="AX24" s="406"/>
      <c r="AY24" s="406"/>
      <c r="AZ24" s="538"/>
    </row>
    <row r="25" spans="1:52">
      <c r="A25" s="5"/>
      <c r="B25" s="44" t="s">
        <v>3369</v>
      </c>
      <c r="C25" s="44" t="s">
        <v>2921</v>
      </c>
      <c r="D25" s="44" t="s">
        <v>2922</v>
      </c>
      <c r="E25" s="44" t="s">
        <v>1927</v>
      </c>
      <c r="F25" s="44" t="s">
        <v>1928</v>
      </c>
      <c r="G25" s="44" t="s">
        <v>1931</v>
      </c>
      <c r="H25" s="44" t="s">
        <v>116</v>
      </c>
      <c r="I25" s="44" t="s">
        <v>1931</v>
      </c>
      <c r="J25" s="328">
        <v>26</v>
      </c>
      <c r="K25" s="44">
        <v>0.97199999999999998</v>
      </c>
      <c r="L25" s="44">
        <v>1.1339999999999999</v>
      </c>
      <c r="M25" s="44">
        <v>1.1279999999999999</v>
      </c>
      <c r="N25" s="44">
        <v>1.1639999999999999</v>
      </c>
      <c r="O25" s="44">
        <v>1.6919999999999999</v>
      </c>
      <c r="P25" s="44">
        <v>2.0099999999999998</v>
      </c>
      <c r="Q25" s="44">
        <v>1.8420000000000001</v>
      </c>
      <c r="R25" s="44">
        <v>1.6080000000000001</v>
      </c>
      <c r="S25" s="44">
        <v>1.3979999999999999</v>
      </c>
      <c r="T25" s="44">
        <v>1.242</v>
      </c>
      <c r="U25" s="44">
        <v>1.044</v>
      </c>
      <c r="V25" s="44">
        <v>0.88800000000000001</v>
      </c>
      <c r="W25" s="44">
        <v>0.9</v>
      </c>
      <c r="X25" s="44">
        <v>0.80400000000000005</v>
      </c>
      <c r="Y25" s="44">
        <v>0.70599999999999996</v>
      </c>
      <c r="Z25" s="44">
        <v>0.55500000000000005</v>
      </c>
      <c r="AA25" s="44">
        <v>0.495</v>
      </c>
      <c r="AB25" s="44">
        <v>0.44500000000000001</v>
      </c>
      <c r="AC25" s="44">
        <v>0.39500000000000002</v>
      </c>
      <c r="AD25" s="44">
        <v>0.35499999999999998</v>
      </c>
      <c r="AE25" s="44">
        <v>0.315</v>
      </c>
      <c r="AF25" s="44">
        <v>0.28000000000000003</v>
      </c>
      <c r="AG25" s="44">
        <v>0.25</v>
      </c>
      <c r="AH25" s="44">
        <v>0.22500000000000001</v>
      </c>
      <c r="AI25" s="44">
        <v>0.2</v>
      </c>
      <c r="AJ25" s="44">
        <v>0.18</v>
      </c>
      <c r="AK25" s="44">
        <v>0.16</v>
      </c>
      <c r="AL25" s="44">
        <v>0.14499999999999999</v>
      </c>
      <c r="AM25" s="22" t="str">
        <f t="shared" si="0"/>
        <v>EAI - Argentina</v>
      </c>
      <c r="AN25" s="333" t="s">
        <v>3119</v>
      </c>
      <c r="AP25" s="471"/>
      <c r="AQ25" s="11"/>
      <c r="AR25" s="11"/>
      <c r="AS25" s="354"/>
      <c r="AU25" s="406"/>
      <c r="AV25" s="55"/>
      <c r="AW25" s="333"/>
      <c r="AX25" s="406"/>
      <c r="AY25" s="406"/>
      <c r="AZ25" s="538"/>
    </row>
    <row r="26" spans="1:52">
      <c r="A26" s="5"/>
      <c r="B26" s="44" t="s">
        <v>3369</v>
      </c>
      <c r="C26" s="44" t="s">
        <v>2921</v>
      </c>
      <c r="D26" s="44" t="s">
        <v>3723</v>
      </c>
      <c r="E26" s="44" t="s">
        <v>1927</v>
      </c>
      <c r="F26" s="44" t="s">
        <v>1928</v>
      </c>
      <c r="G26" s="44" t="s">
        <v>1931</v>
      </c>
      <c r="H26" s="44" t="s">
        <v>117</v>
      </c>
      <c r="I26" s="44" t="s">
        <v>1931</v>
      </c>
      <c r="J26" s="328">
        <v>7</v>
      </c>
      <c r="K26" s="44">
        <v>0.28199999999999997</v>
      </c>
      <c r="L26" s="44">
        <v>0.39600000000000002</v>
      </c>
      <c r="M26" s="44">
        <v>0.40200000000000002</v>
      </c>
      <c r="N26" s="44">
        <v>0.378</v>
      </c>
      <c r="O26" s="44">
        <v>0.35399999999999998</v>
      </c>
      <c r="P26" s="44">
        <v>0.372</v>
      </c>
      <c r="Q26" s="44">
        <v>0.312</v>
      </c>
      <c r="R26" s="44">
        <v>0.27600000000000002</v>
      </c>
      <c r="S26" s="44">
        <v>0.24</v>
      </c>
      <c r="T26" s="44">
        <v>0.20399999999999999</v>
      </c>
      <c r="U26" s="44">
        <v>0.186</v>
      </c>
      <c r="V26" s="44">
        <v>0.16800000000000001</v>
      </c>
      <c r="W26" s="44">
        <v>0.16200000000000001</v>
      </c>
      <c r="X26" s="44">
        <v>0.15</v>
      </c>
      <c r="Y26" s="44">
        <v>0.13100000000000001</v>
      </c>
      <c r="Z26" s="44">
        <v>0.09</v>
      </c>
      <c r="AA26" s="44">
        <v>0.08</v>
      </c>
      <c r="AB26" s="44">
        <v>7.0000000000000007E-2</v>
      </c>
      <c r="AC26" s="44">
        <v>6.5000000000000002E-2</v>
      </c>
      <c r="AD26" s="44">
        <v>0.06</v>
      </c>
      <c r="AE26" s="44">
        <v>5.5E-2</v>
      </c>
      <c r="AF26" s="44">
        <v>0.05</v>
      </c>
      <c r="AG26" s="44">
        <v>4.4999999999999998E-2</v>
      </c>
      <c r="AH26" s="44">
        <v>0.04</v>
      </c>
      <c r="AI26" s="44">
        <v>0</v>
      </c>
      <c r="AJ26" s="44">
        <v>0</v>
      </c>
      <c r="AK26" s="44">
        <v>0</v>
      </c>
      <c r="AL26" s="44">
        <v>0</v>
      </c>
      <c r="AM26" s="22" t="str">
        <f t="shared" si="0"/>
        <v>EAI - Argentina</v>
      </c>
      <c r="AN26" s="333" t="s">
        <v>3119</v>
      </c>
      <c r="AP26" s="471"/>
      <c r="AQ26" s="11"/>
      <c r="AR26" s="11"/>
      <c r="AS26" s="354"/>
      <c r="AU26" s="406"/>
      <c r="AV26" s="55"/>
      <c r="AW26" s="333"/>
      <c r="AX26" s="406"/>
      <c r="AY26" s="406"/>
      <c r="AZ26" s="538"/>
    </row>
    <row r="27" spans="1:52">
      <c r="A27" s="5"/>
      <c r="B27" s="44" t="s">
        <v>3369</v>
      </c>
      <c r="C27" s="44" t="s">
        <v>2921</v>
      </c>
      <c r="D27" s="44" t="s">
        <v>3724</v>
      </c>
      <c r="E27" s="44" t="s">
        <v>1927</v>
      </c>
      <c r="F27" s="44" t="s">
        <v>1928</v>
      </c>
      <c r="G27" s="44" t="s">
        <v>1932</v>
      </c>
      <c r="H27" s="44" t="s">
        <v>116</v>
      </c>
      <c r="I27" s="44" t="s">
        <v>1931</v>
      </c>
      <c r="J27" s="328">
        <v>50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1.7999999999999999E-2</v>
      </c>
      <c r="Y27" s="44">
        <v>0.216</v>
      </c>
      <c r="Z27" s="44">
        <v>0.68500000000000005</v>
      </c>
      <c r="AA27" s="44">
        <v>1.37</v>
      </c>
      <c r="AB27" s="44">
        <v>2.375</v>
      </c>
      <c r="AC27" s="44">
        <v>3.5449999999999999</v>
      </c>
      <c r="AD27" s="44">
        <v>4.0999999999999996</v>
      </c>
      <c r="AE27" s="44">
        <v>3.87</v>
      </c>
      <c r="AF27" s="44">
        <v>2.71</v>
      </c>
      <c r="AG27" s="44">
        <v>1.78</v>
      </c>
      <c r="AH27" s="44">
        <v>1.42</v>
      </c>
      <c r="AI27" s="44">
        <v>1.1950000000000001</v>
      </c>
      <c r="AJ27" s="44">
        <v>1.0249999999999999</v>
      </c>
      <c r="AK27" s="44">
        <v>0.89</v>
      </c>
      <c r="AL27" s="44">
        <v>0.78</v>
      </c>
      <c r="AM27" s="22" t="str">
        <f t="shared" ref="AM27" si="2">AN27&amp;" - "&amp;C27</f>
        <v>EAI - Argentina</v>
      </c>
      <c r="AN27" s="333" t="s">
        <v>3119</v>
      </c>
      <c r="AP27" s="471"/>
      <c r="AQ27" s="11"/>
      <c r="AR27" s="11"/>
      <c r="AS27" s="354"/>
      <c r="AU27" s="406"/>
      <c r="AV27" s="55"/>
      <c r="AW27" s="333"/>
      <c r="AX27" s="406"/>
      <c r="AY27" s="406"/>
      <c r="AZ27" s="538"/>
    </row>
    <row r="28" spans="1:52">
      <c r="A28" s="5"/>
      <c r="B28" s="44" t="s">
        <v>3369</v>
      </c>
      <c r="C28" s="44" t="s">
        <v>2921</v>
      </c>
      <c r="D28" s="44" t="s">
        <v>280</v>
      </c>
      <c r="E28" s="44" t="s">
        <v>1927</v>
      </c>
      <c r="F28" s="44" t="s">
        <v>1928</v>
      </c>
      <c r="G28" s="44" t="s">
        <v>3374</v>
      </c>
      <c r="H28" s="44" t="s">
        <v>116</v>
      </c>
      <c r="I28" s="44" t="s">
        <v>1933</v>
      </c>
      <c r="J28" s="328">
        <v>50</v>
      </c>
      <c r="K28" s="44">
        <v>44.988</v>
      </c>
      <c r="L28" s="44">
        <v>49.866</v>
      </c>
      <c r="M28" s="44">
        <v>52.427999999999997</v>
      </c>
      <c r="N28" s="44">
        <v>54.63</v>
      </c>
      <c r="O28" s="44">
        <v>55.427999999999997</v>
      </c>
      <c r="P28" s="44">
        <v>54.972000000000001</v>
      </c>
      <c r="Q28" s="44">
        <v>59.28</v>
      </c>
      <c r="R28" s="44">
        <v>59.694000000000003</v>
      </c>
      <c r="S28" s="44">
        <v>59.904000000000003</v>
      </c>
      <c r="T28" s="44">
        <v>54.06</v>
      </c>
      <c r="U28" s="44">
        <v>53.201999999999998</v>
      </c>
      <c r="V28" s="44">
        <v>54.942</v>
      </c>
      <c r="W28" s="44">
        <v>57.834000000000003</v>
      </c>
      <c r="X28" s="44">
        <v>55.554000000000002</v>
      </c>
      <c r="Y28" s="44">
        <v>54.095999999999997</v>
      </c>
      <c r="Z28" s="44">
        <v>48.965000000000003</v>
      </c>
      <c r="AA28" s="44">
        <v>48.96</v>
      </c>
      <c r="AB28" s="44">
        <v>48.96</v>
      </c>
      <c r="AC28" s="44">
        <v>48.895000000000003</v>
      </c>
      <c r="AD28" s="44">
        <v>48.83</v>
      </c>
      <c r="AE28" s="44">
        <v>48.72</v>
      </c>
      <c r="AF28" s="44">
        <v>48.664999999999999</v>
      </c>
      <c r="AG28" s="44">
        <v>48.615000000000002</v>
      </c>
      <c r="AH28" s="44">
        <v>44.12</v>
      </c>
      <c r="AI28" s="44">
        <v>40.064999999999998</v>
      </c>
      <c r="AJ28" s="44">
        <v>36.375</v>
      </c>
      <c r="AK28" s="44">
        <v>33.034999999999997</v>
      </c>
      <c r="AL28" s="44">
        <v>30.015000000000001</v>
      </c>
      <c r="AM28" s="22" t="str">
        <f t="shared" si="0"/>
        <v>EAI - Argentina</v>
      </c>
      <c r="AN28" s="333" t="s">
        <v>3119</v>
      </c>
      <c r="AP28" s="471"/>
      <c r="AQ28" s="11"/>
      <c r="AR28" s="11"/>
      <c r="AS28" s="354"/>
      <c r="AU28" s="406"/>
      <c r="AV28" s="55"/>
      <c r="AW28" s="333"/>
      <c r="AX28" s="406"/>
      <c r="AY28" s="406"/>
      <c r="AZ28" s="538"/>
    </row>
    <row r="29" spans="1:52">
      <c r="A29" s="5"/>
      <c r="B29" s="44" t="s">
        <v>3369</v>
      </c>
      <c r="C29" s="44" t="s">
        <v>2921</v>
      </c>
      <c r="D29" s="44" t="s">
        <v>3681</v>
      </c>
      <c r="E29" s="44" t="s">
        <v>1927</v>
      </c>
      <c r="F29" s="44" t="s">
        <v>1928</v>
      </c>
      <c r="G29" s="44" t="s">
        <v>3374</v>
      </c>
      <c r="H29" s="44" t="s">
        <v>116</v>
      </c>
      <c r="I29" s="44" t="s">
        <v>1931</v>
      </c>
      <c r="J29" s="328">
        <v>27.5</v>
      </c>
      <c r="K29" s="44">
        <v>0</v>
      </c>
      <c r="L29" s="44">
        <v>0</v>
      </c>
      <c r="M29" s="44">
        <v>0</v>
      </c>
      <c r="N29" s="44">
        <v>0</v>
      </c>
      <c r="O29" s="44">
        <v>0</v>
      </c>
      <c r="P29" s="44">
        <v>0</v>
      </c>
      <c r="Q29" s="44">
        <v>0</v>
      </c>
      <c r="R29" s="44">
        <v>0</v>
      </c>
      <c r="S29" s="44">
        <v>0</v>
      </c>
      <c r="T29" s="44">
        <v>0</v>
      </c>
      <c r="U29" s="44">
        <v>0</v>
      </c>
      <c r="V29" s="44">
        <v>0</v>
      </c>
      <c r="W29" s="44">
        <v>0</v>
      </c>
      <c r="X29" s="44">
        <v>0</v>
      </c>
      <c r="Y29" s="44">
        <v>0.17599999999999999</v>
      </c>
      <c r="Z29" s="44">
        <v>0.14000000000000001</v>
      </c>
      <c r="AA29" s="44">
        <v>0.115</v>
      </c>
      <c r="AB29" s="44">
        <v>0.1</v>
      </c>
      <c r="AC29" s="44">
        <v>8.5000000000000006E-2</v>
      </c>
      <c r="AD29" s="44">
        <v>7.0000000000000007E-2</v>
      </c>
      <c r="AE29" s="44">
        <v>0.06</v>
      </c>
      <c r="AF29" s="44">
        <v>0.05</v>
      </c>
      <c r="AG29" s="44">
        <v>4.4999999999999998E-2</v>
      </c>
      <c r="AH29" s="44">
        <v>0.04</v>
      </c>
      <c r="AI29" s="44">
        <v>0.03</v>
      </c>
      <c r="AJ29" s="44">
        <v>0.03</v>
      </c>
      <c r="AK29" s="44">
        <v>0.02</v>
      </c>
      <c r="AL29" s="44">
        <v>0.02</v>
      </c>
      <c r="AM29" s="22" t="str">
        <f t="shared" ref="AM29" si="3">AN29&amp;" - "&amp;C29</f>
        <v>EAI - Argentina</v>
      </c>
      <c r="AN29" s="333" t="s">
        <v>3119</v>
      </c>
      <c r="AP29" s="471"/>
      <c r="AQ29" s="11"/>
      <c r="AR29" s="11"/>
      <c r="AS29" s="354"/>
      <c r="AU29" s="406"/>
      <c r="AV29" s="55"/>
      <c r="AW29" s="333"/>
      <c r="AX29" s="406"/>
      <c r="AY29" s="406"/>
      <c r="AZ29" s="538"/>
    </row>
    <row r="30" spans="1:52">
      <c r="A30" s="5"/>
      <c r="B30" s="44" t="s">
        <v>3369</v>
      </c>
      <c r="C30" s="44" t="s">
        <v>2921</v>
      </c>
      <c r="D30" s="44" t="s">
        <v>2959</v>
      </c>
      <c r="E30" s="44" t="s">
        <v>1927</v>
      </c>
      <c r="F30" s="44" t="s">
        <v>2960</v>
      </c>
      <c r="G30" s="44" t="s">
        <v>1932</v>
      </c>
      <c r="H30" s="44" t="s">
        <v>116</v>
      </c>
      <c r="I30" s="44" t="s">
        <v>2600</v>
      </c>
      <c r="J30" s="328">
        <v>12.5</v>
      </c>
      <c r="K30" s="44">
        <v>3.42</v>
      </c>
      <c r="L30" s="44">
        <v>3</v>
      </c>
      <c r="M30" s="44">
        <v>3.1259999999999999</v>
      </c>
      <c r="N30" s="44">
        <v>3.3359999999999999</v>
      </c>
      <c r="O30" s="44">
        <v>3.27</v>
      </c>
      <c r="P30" s="44">
        <v>3.024</v>
      </c>
      <c r="Q30" s="44">
        <v>3.42</v>
      </c>
      <c r="R30" s="44">
        <v>3.7679999999999998</v>
      </c>
      <c r="S30" s="44">
        <v>4.0380000000000003</v>
      </c>
      <c r="T30" s="44">
        <v>3.81</v>
      </c>
      <c r="U30" s="44">
        <v>3.5459999999999998</v>
      </c>
      <c r="V30" s="44">
        <v>3.45</v>
      </c>
      <c r="W30" s="44">
        <v>1.47</v>
      </c>
      <c r="X30" s="44">
        <v>1.458</v>
      </c>
      <c r="Y30" s="44">
        <v>1.1220000000000001</v>
      </c>
      <c r="Z30" s="44">
        <v>1.0049999999999999</v>
      </c>
      <c r="AA30" s="44">
        <v>0.94499999999999995</v>
      </c>
      <c r="AB30" s="44">
        <v>0.90500000000000003</v>
      </c>
      <c r="AC30" s="44">
        <v>0.87</v>
      </c>
      <c r="AD30" s="44">
        <v>0.83499999999999996</v>
      </c>
      <c r="AE30" s="44">
        <v>0.80500000000000005</v>
      </c>
      <c r="AF30" s="44">
        <v>0.78</v>
      </c>
      <c r="AG30" s="44">
        <v>0.72</v>
      </c>
      <c r="AH30" s="44">
        <v>0.625</v>
      </c>
      <c r="AI30" s="44">
        <v>0.54500000000000004</v>
      </c>
      <c r="AJ30" s="44">
        <v>0.47499999999999998</v>
      </c>
      <c r="AK30" s="44">
        <v>0.41</v>
      </c>
      <c r="AL30" s="44">
        <v>0.36</v>
      </c>
      <c r="AM30" s="22" t="str">
        <f t="shared" si="0"/>
        <v>EAI - Argentina</v>
      </c>
      <c r="AN30" s="333" t="s">
        <v>3119</v>
      </c>
      <c r="AP30" s="471"/>
      <c r="AQ30" s="11"/>
      <c r="AR30" s="11"/>
      <c r="AS30" s="354"/>
      <c r="AU30" s="406"/>
      <c r="AV30" s="55"/>
      <c r="AW30" s="333"/>
      <c r="AX30" s="406"/>
      <c r="AY30" s="406"/>
      <c r="AZ30" s="538"/>
    </row>
    <row r="31" spans="1:52">
      <c r="A31" s="5"/>
      <c r="B31" s="44" t="s">
        <v>3369</v>
      </c>
      <c r="C31" s="44" t="s">
        <v>2921</v>
      </c>
      <c r="D31" s="44" t="s">
        <v>3546</v>
      </c>
      <c r="E31" s="44" t="s">
        <v>1927</v>
      </c>
      <c r="F31" s="44" t="s">
        <v>1928</v>
      </c>
      <c r="G31" s="44" t="s">
        <v>3374</v>
      </c>
      <c r="H31" s="44" t="s">
        <v>1930</v>
      </c>
      <c r="I31" s="44" t="s">
        <v>1931</v>
      </c>
      <c r="J31" s="328">
        <v>12.5</v>
      </c>
      <c r="K31" s="44">
        <v>0.114</v>
      </c>
      <c r="L31" s="44">
        <v>9.6000000000000002E-2</v>
      </c>
      <c r="M31" s="44">
        <v>0.09</v>
      </c>
      <c r="N31" s="44">
        <v>0.09</v>
      </c>
      <c r="O31" s="44">
        <v>8.4000000000000005E-2</v>
      </c>
      <c r="P31" s="44">
        <v>7.1999999999999995E-2</v>
      </c>
      <c r="Q31" s="44">
        <v>7.1999999999999995E-2</v>
      </c>
      <c r="R31" s="44">
        <v>7.1999999999999995E-2</v>
      </c>
      <c r="S31" s="44">
        <v>7.8E-2</v>
      </c>
      <c r="T31" s="44">
        <v>7.1999999999999995E-2</v>
      </c>
      <c r="U31" s="44">
        <v>7.1999999999999995E-2</v>
      </c>
      <c r="V31" s="44">
        <v>7.1999999999999995E-2</v>
      </c>
      <c r="W31" s="44">
        <v>7.1999999999999995E-2</v>
      </c>
      <c r="X31" s="44">
        <v>8.4000000000000005E-2</v>
      </c>
      <c r="Y31" s="44">
        <v>7.3999999999999996E-2</v>
      </c>
      <c r="Z31" s="44">
        <v>6.5000000000000002E-2</v>
      </c>
      <c r="AA31" s="44">
        <v>0.06</v>
      </c>
      <c r="AB31" s="44">
        <v>5.5E-2</v>
      </c>
      <c r="AC31" s="44">
        <v>0.05</v>
      </c>
      <c r="AD31" s="44">
        <v>0.05</v>
      </c>
      <c r="AE31" s="44">
        <v>4.4999999999999998E-2</v>
      </c>
      <c r="AF31" s="44">
        <v>4.4999999999999998E-2</v>
      </c>
      <c r="AG31" s="44">
        <v>0.04</v>
      </c>
      <c r="AH31" s="44">
        <v>0.04</v>
      </c>
      <c r="AI31" s="44">
        <v>3.5000000000000003E-2</v>
      </c>
      <c r="AJ31" s="44">
        <v>3.5000000000000003E-2</v>
      </c>
      <c r="AK31" s="44">
        <v>0.03</v>
      </c>
      <c r="AL31" s="44">
        <v>0.03</v>
      </c>
      <c r="AM31" s="22" t="str">
        <f t="shared" si="0"/>
        <v>EAI - Argentina</v>
      </c>
      <c r="AN31" s="333" t="s">
        <v>3119</v>
      </c>
      <c r="AP31" s="471"/>
      <c r="AQ31" s="11"/>
      <c r="AR31" s="11"/>
      <c r="AS31" s="354"/>
      <c r="AU31" s="406"/>
      <c r="AV31" s="55"/>
      <c r="AW31" s="333"/>
      <c r="AX31" s="406"/>
      <c r="AY31" s="406"/>
      <c r="AZ31" s="538"/>
    </row>
    <row r="32" spans="1:52">
      <c r="A32" s="5"/>
      <c r="B32" s="44" t="s">
        <v>3369</v>
      </c>
      <c r="C32" s="44" t="s">
        <v>2921</v>
      </c>
      <c r="D32" s="44" t="s">
        <v>3547</v>
      </c>
      <c r="E32" s="44" t="s">
        <v>1927</v>
      </c>
      <c r="F32" s="44" t="s">
        <v>1928</v>
      </c>
      <c r="G32" s="44" t="s">
        <v>3374</v>
      </c>
      <c r="H32" s="44" t="s">
        <v>1930</v>
      </c>
      <c r="I32" s="44" t="s">
        <v>1931</v>
      </c>
      <c r="J32" s="328">
        <v>50</v>
      </c>
      <c r="K32" s="44">
        <v>6.6059999999999999</v>
      </c>
      <c r="L32" s="44">
        <v>6.0659999999999998</v>
      </c>
      <c r="M32" s="44">
        <v>5.6520000000000001</v>
      </c>
      <c r="N32" s="44">
        <v>5.49</v>
      </c>
      <c r="O32" s="44">
        <v>4.7279999999999998</v>
      </c>
      <c r="P32" s="44">
        <v>4.4580000000000002</v>
      </c>
      <c r="Q32" s="44">
        <v>5.0999999999999996</v>
      </c>
      <c r="R32" s="44">
        <v>4.6079999999999997</v>
      </c>
      <c r="S32" s="44">
        <v>4.218</v>
      </c>
      <c r="T32" s="44">
        <v>4.1879999999999997</v>
      </c>
      <c r="U32" s="44">
        <v>3.3959999999999999</v>
      </c>
      <c r="V32" s="44">
        <v>3.516</v>
      </c>
      <c r="W32" s="44">
        <v>3.6240000000000001</v>
      </c>
      <c r="X32" s="44">
        <v>2.9460000000000002</v>
      </c>
      <c r="Y32" s="44">
        <v>2.573</v>
      </c>
      <c r="Z32" s="44">
        <v>2.0550000000000002</v>
      </c>
      <c r="AA32" s="44">
        <v>1.87</v>
      </c>
      <c r="AB32" s="44">
        <v>1.6950000000000001</v>
      </c>
      <c r="AC32" s="44">
        <v>1.5349999999999999</v>
      </c>
      <c r="AD32" s="44">
        <v>1.39</v>
      </c>
      <c r="AE32" s="44">
        <v>1.26</v>
      </c>
      <c r="AF32" s="44">
        <v>1.145</v>
      </c>
      <c r="AG32" s="44">
        <v>1.0349999999999999</v>
      </c>
      <c r="AH32" s="44">
        <v>0.6</v>
      </c>
      <c r="AI32" s="44">
        <v>0.54500000000000004</v>
      </c>
      <c r="AJ32" s="44">
        <v>0</v>
      </c>
      <c r="AK32" s="44">
        <v>0</v>
      </c>
      <c r="AL32" s="44">
        <v>0</v>
      </c>
      <c r="AM32" s="22" t="str">
        <f t="shared" si="0"/>
        <v>EAI - Argentina</v>
      </c>
      <c r="AN32" s="333" t="s">
        <v>3119</v>
      </c>
      <c r="AP32" s="471"/>
      <c r="AQ32" s="11"/>
      <c r="AR32" s="11"/>
      <c r="AS32" s="354"/>
      <c r="AU32" s="406"/>
      <c r="AV32" s="55"/>
      <c r="AW32" s="333"/>
      <c r="AX32" s="406"/>
      <c r="AY32" s="406"/>
      <c r="AZ32" s="538"/>
    </row>
    <row r="33" spans="1:52">
      <c r="A33" s="5"/>
      <c r="B33" s="44" t="s">
        <v>3369</v>
      </c>
      <c r="C33" s="44" t="s">
        <v>2921</v>
      </c>
      <c r="D33" s="44" t="s">
        <v>2961</v>
      </c>
      <c r="E33" s="44" t="s">
        <v>1927</v>
      </c>
      <c r="F33" s="44" t="s">
        <v>1928</v>
      </c>
      <c r="G33" s="44" t="s">
        <v>1931</v>
      </c>
      <c r="H33" s="44" t="s">
        <v>116</v>
      </c>
      <c r="I33" s="44" t="s">
        <v>1931</v>
      </c>
      <c r="J33" s="328">
        <v>31.25</v>
      </c>
      <c r="K33" s="44">
        <v>0.498</v>
      </c>
      <c r="L33" s="44">
        <v>0.39600000000000002</v>
      </c>
      <c r="M33" s="44">
        <v>0.36599999999999999</v>
      </c>
      <c r="N33" s="44">
        <v>0.39600000000000002</v>
      </c>
      <c r="O33" s="44">
        <v>0.378</v>
      </c>
      <c r="P33" s="44">
        <v>0.498</v>
      </c>
      <c r="Q33" s="44">
        <v>0.45</v>
      </c>
      <c r="R33" s="44">
        <v>0.39600000000000002</v>
      </c>
      <c r="S33" s="44">
        <v>0.34799999999999998</v>
      </c>
      <c r="T33" s="44">
        <v>0.30599999999999999</v>
      </c>
      <c r="U33" s="44">
        <v>0.28799999999999998</v>
      </c>
      <c r="V33" s="44">
        <v>0.28799999999999998</v>
      </c>
      <c r="W33" s="44">
        <v>0.27</v>
      </c>
      <c r="X33" s="44">
        <v>0.26400000000000001</v>
      </c>
      <c r="Y33" s="44">
        <v>0.34200000000000003</v>
      </c>
      <c r="Z33" s="44">
        <v>0.22500000000000001</v>
      </c>
      <c r="AA33" s="44">
        <v>0.245</v>
      </c>
      <c r="AB33" s="44">
        <v>0.255</v>
      </c>
      <c r="AC33" s="44">
        <v>0.26500000000000001</v>
      </c>
      <c r="AD33" s="44">
        <v>0.28000000000000003</v>
      </c>
      <c r="AE33" s="44">
        <v>0.28499999999999998</v>
      </c>
      <c r="AF33" s="44">
        <v>0.29499999999999998</v>
      </c>
      <c r="AG33" s="44">
        <v>0.30499999999999999</v>
      </c>
      <c r="AH33" s="44">
        <v>0.31</v>
      </c>
      <c r="AI33" s="44">
        <v>0.30499999999999999</v>
      </c>
      <c r="AJ33" s="44">
        <v>0.22</v>
      </c>
      <c r="AK33" s="44">
        <v>0.185</v>
      </c>
      <c r="AL33" s="44">
        <v>0.16500000000000001</v>
      </c>
      <c r="AM33" s="22" t="str">
        <f t="shared" si="0"/>
        <v>EAI - Argentina</v>
      </c>
      <c r="AN33" s="333" t="s">
        <v>3119</v>
      </c>
      <c r="AP33" s="471"/>
      <c r="AQ33" s="11"/>
      <c r="AR33" s="11"/>
      <c r="AS33" s="354"/>
      <c r="AU33" s="406"/>
      <c r="AV33" s="55"/>
      <c r="AW33" s="333"/>
      <c r="AX33" s="406"/>
      <c r="AY33" s="406"/>
      <c r="AZ33" s="538"/>
    </row>
    <row r="34" spans="1:52">
      <c r="A34" s="5"/>
      <c r="B34" s="44" t="s">
        <v>3369</v>
      </c>
      <c r="C34" s="44" t="s">
        <v>2921</v>
      </c>
      <c r="D34" s="44" t="s">
        <v>2963</v>
      </c>
      <c r="E34" s="44" t="s">
        <v>1927</v>
      </c>
      <c r="F34" s="44" t="s">
        <v>1928</v>
      </c>
      <c r="G34" s="44" t="s">
        <v>1929</v>
      </c>
      <c r="H34" s="44" t="s">
        <v>117</v>
      </c>
      <c r="I34" s="44" t="s">
        <v>1931</v>
      </c>
      <c r="J34" s="328">
        <v>8.2349999999999994</v>
      </c>
      <c r="K34" s="44">
        <v>1.1519999999999999</v>
      </c>
      <c r="L34" s="44">
        <v>1.014</v>
      </c>
      <c r="M34" s="44">
        <v>0.86399999999999999</v>
      </c>
      <c r="N34" s="44">
        <v>0.82199999999999995</v>
      </c>
      <c r="O34" s="44">
        <v>0.81599999999999995</v>
      </c>
      <c r="P34" s="44">
        <v>0.70799999999999996</v>
      </c>
      <c r="Q34" s="44">
        <v>0.58799999999999997</v>
      </c>
      <c r="R34" s="44">
        <v>0.51</v>
      </c>
      <c r="S34" s="44">
        <v>0.47399999999999998</v>
      </c>
      <c r="T34" s="44">
        <v>0.38400000000000001</v>
      </c>
      <c r="U34" s="44">
        <v>0.33600000000000002</v>
      </c>
      <c r="V34" s="44">
        <v>0.28799999999999998</v>
      </c>
      <c r="W34" s="44">
        <v>0.24</v>
      </c>
      <c r="X34" s="44">
        <v>0.21</v>
      </c>
      <c r="Y34" s="44">
        <v>0.17599999999999999</v>
      </c>
      <c r="Z34" s="44">
        <v>0.19500000000000001</v>
      </c>
      <c r="AA34" s="44">
        <v>0.27</v>
      </c>
      <c r="AB34" s="44">
        <v>0.245</v>
      </c>
      <c r="AC34" s="44">
        <v>0.18</v>
      </c>
      <c r="AD34" s="44">
        <v>0.15</v>
      </c>
      <c r="AE34" s="44">
        <v>0.13</v>
      </c>
      <c r="AF34" s="44">
        <v>0.12</v>
      </c>
      <c r="AG34" s="44">
        <v>0.105</v>
      </c>
      <c r="AH34" s="44">
        <v>9.5000000000000001E-2</v>
      </c>
      <c r="AI34" s="44">
        <v>8.5000000000000006E-2</v>
      </c>
      <c r="AJ34" s="44">
        <v>0.08</v>
      </c>
      <c r="AK34" s="44">
        <v>0</v>
      </c>
      <c r="AL34" s="44">
        <v>0</v>
      </c>
      <c r="AM34" s="22" t="str">
        <f t="shared" si="0"/>
        <v>EAI - Argentina</v>
      </c>
      <c r="AN34" s="333" t="s">
        <v>3119</v>
      </c>
      <c r="AP34" s="471"/>
      <c r="AQ34" s="11"/>
      <c r="AR34" s="11"/>
      <c r="AS34" s="354"/>
      <c r="AU34" s="406"/>
      <c r="AV34" s="55"/>
      <c r="AW34" s="333"/>
      <c r="AX34" s="406"/>
      <c r="AY34" s="406"/>
      <c r="AZ34" s="538"/>
    </row>
    <row r="35" spans="1:52">
      <c r="A35" s="5"/>
      <c r="B35" s="44" t="s">
        <v>3369</v>
      </c>
      <c r="C35" s="44" t="s">
        <v>2921</v>
      </c>
      <c r="D35" s="44" t="s">
        <v>2964</v>
      </c>
      <c r="E35" s="44" t="s">
        <v>1927</v>
      </c>
      <c r="F35" s="44" t="s">
        <v>1928</v>
      </c>
      <c r="G35" s="44" t="s">
        <v>1932</v>
      </c>
      <c r="H35" s="44" t="s">
        <v>116</v>
      </c>
      <c r="I35" s="44" t="s">
        <v>1931</v>
      </c>
      <c r="J35" s="328">
        <v>17.5</v>
      </c>
      <c r="K35" s="44">
        <v>1.26</v>
      </c>
      <c r="L35" s="44">
        <v>1.242</v>
      </c>
      <c r="M35" s="44">
        <v>1.284</v>
      </c>
      <c r="N35" s="44">
        <v>1.1339999999999999</v>
      </c>
      <c r="O35" s="44">
        <v>0</v>
      </c>
      <c r="P35" s="44">
        <v>0</v>
      </c>
      <c r="Q35" s="44">
        <v>0</v>
      </c>
      <c r="R35" s="44">
        <v>0</v>
      </c>
      <c r="S35" s="44">
        <v>0</v>
      </c>
      <c r="T35" s="44">
        <v>0</v>
      </c>
      <c r="U35" s="44">
        <v>0</v>
      </c>
      <c r="V35" s="44">
        <v>0</v>
      </c>
      <c r="W35" s="44">
        <v>0</v>
      </c>
      <c r="X35" s="44">
        <v>0</v>
      </c>
      <c r="Y35" s="44">
        <v>0</v>
      </c>
      <c r="Z35" s="44">
        <v>0</v>
      </c>
      <c r="AA35" s="44">
        <v>0</v>
      </c>
      <c r="AB35" s="44">
        <v>0</v>
      </c>
      <c r="AC35" s="44">
        <v>0</v>
      </c>
      <c r="AD35" s="44">
        <v>0</v>
      </c>
      <c r="AE35" s="44">
        <v>0</v>
      </c>
      <c r="AF35" s="44">
        <v>0</v>
      </c>
      <c r="AG35" s="44">
        <v>0</v>
      </c>
      <c r="AH35" s="44">
        <v>0</v>
      </c>
      <c r="AI35" s="44">
        <v>0</v>
      </c>
      <c r="AJ35" s="44">
        <v>0</v>
      </c>
      <c r="AK35" s="44">
        <v>0</v>
      </c>
      <c r="AL35" s="44">
        <v>0</v>
      </c>
      <c r="AM35" s="22" t="str">
        <f t="shared" si="0"/>
        <v>EAI - Argentina</v>
      </c>
      <c r="AN35" s="333" t="s">
        <v>3119</v>
      </c>
      <c r="AP35" s="471"/>
      <c r="AQ35" s="11"/>
      <c r="AR35" s="11"/>
      <c r="AS35" s="354"/>
      <c r="AU35" s="406"/>
      <c r="AV35" s="55"/>
      <c r="AW35" s="333"/>
      <c r="AX35" s="406"/>
      <c r="AY35" s="406"/>
      <c r="AZ35" s="538"/>
    </row>
    <row r="36" spans="1:52">
      <c r="A36" s="5"/>
      <c r="B36" s="44" t="s">
        <v>3369</v>
      </c>
      <c r="C36" s="44" t="s">
        <v>2965</v>
      </c>
      <c r="D36" s="44" t="s">
        <v>2967</v>
      </c>
      <c r="E36" s="44" t="s">
        <v>1927</v>
      </c>
      <c r="F36" s="44" t="s">
        <v>2960</v>
      </c>
      <c r="G36" s="44" t="s">
        <v>1929</v>
      </c>
      <c r="H36" s="44" t="s">
        <v>116</v>
      </c>
      <c r="I36" s="44" t="s">
        <v>2600</v>
      </c>
      <c r="J36" s="328">
        <v>16.667000000000002</v>
      </c>
      <c r="K36" s="44">
        <v>5.2</v>
      </c>
      <c r="L36" s="44">
        <v>4.0599999999999996</v>
      </c>
      <c r="M36" s="44">
        <v>3.42</v>
      </c>
      <c r="N36" s="44">
        <v>3.38</v>
      </c>
      <c r="O36" s="44">
        <v>3.46</v>
      </c>
      <c r="P36" s="44">
        <v>2.62</v>
      </c>
      <c r="Q36" s="44">
        <v>2.76</v>
      </c>
      <c r="R36" s="44">
        <v>2.62</v>
      </c>
      <c r="S36" s="44">
        <v>2.4900000000000002</v>
      </c>
      <c r="T36" s="44">
        <v>2.38</v>
      </c>
      <c r="U36" s="44">
        <v>2.2400000000000002</v>
      </c>
      <c r="V36" s="44">
        <v>1.93</v>
      </c>
      <c r="W36" s="44">
        <v>1.79</v>
      </c>
      <c r="X36" s="44">
        <v>1.94</v>
      </c>
      <c r="Y36" s="44">
        <v>0</v>
      </c>
      <c r="Z36" s="44">
        <v>0</v>
      </c>
      <c r="AA36" s="44">
        <v>0</v>
      </c>
      <c r="AB36" s="44">
        <v>0</v>
      </c>
      <c r="AC36" s="44">
        <v>0</v>
      </c>
      <c r="AD36" s="44">
        <v>0</v>
      </c>
      <c r="AE36" s="44">
        <v>0</v>
      </c>
      <c r="AF36" s="44">
        <v>0</v>
      </c>
      <c r="AG36" s="44">
        <v>0</v>
      </c>
      <c r="AH36" s="44">
        <v>0</v>
      </c>
      <c r="AI36" s="44">
        <v>0</v>
      </c>
      <c r="AJ36" s="44">
        <v>0</v>
      </c>
      <c r="AK36" s="44">
        <v>0</v>
      </c>
      <c r="AL36" s="44">
        <v>0</v>
      </c>
      <c r="AM36" s="22" t="str">
        <f t="shared" si="0"/>
        <v>SUBS - Australia</v>
      </c>
      <c r="AN36" s="333" t="s">
        <v>543</v>
      </c>
      <c r="AP36" s="471"/>
      <c r="AQ36" s="11"/>
      <c r="AR36" s="11"/>
      <c r="AS36" s="354"/>
      <c r="AU36" s="406"/>
      <c r="AV36" s="55"/>
      <c r="AW36" s="333"/>
      <c r="AX36" s="406"/>
      <c r="AY36" s="406"/>
      <c r="AZ36" s="538"/>
    </row>
    <row r="37" spans="1:52">
      <c r="A37" s="5"/>
      <c r="B37" s="44" t="s">
        <v>3369</v>
      </c>
      <c r="C37" s="44" t="s">
        <v>2965</v>
      </c>
      <c r="D37" s="44" t="s">
        <v>723</v>
      </c>
      <c r="E37" s="44" t="s">
        <v>1927</v>
      </c>
      <c r="F37" s="44" t="s">
        <v>2960</v>
      </c>
      <c r="G37" s="44" t="s">
        <v>1931</v>
      </c>
      <c r="H37" s="44" t="s">
        <v>116</v>
      </c>
      <c r="I37" s="44" t="s">
        <v>2600</v>
      </c>
      <c r="J37" s="328">
        <v>16.667000000000002</v>
      </c>
      <c r="K37" s="44">
        <v>0.51</v>
      </c>
      <c r="L37" s="44">
        <v>0.04</v>
      </c>
      <c r="M37" s="44">
        <v>0.35</v>
      </c>
      <c r="N37" s="44">
        <v>0.08</v>
      </c>
      <c r="O37" s="44">
        <v>0.62</v>
      </c>
      <c r="P37" s="44">
        <v>1.45</v>
      </c>
      <c r="Q37" s="44">
        <v>1.32</v>
      </c>
      <c r="R37" s="44">
        <v>1.05</v>
      </c>
      <c r="S37" s="44">
        <v>0.97</v>
      </c>
      <c r="T37" s="44">
        <v>0.57999999999999996</v>
      </c>
      <c r="U37" s="44">
        <v>0.5</v>
      </c>
      <c r="V37" s="44">
        <v>0.28000000000000003</v>
      </c>
      <c r="W37" s="44">
        <v>0.32</v>
      </c>
      <c r="X37" s="44">
        <v>0.31</v>
      </c>
      <c r="Y37" s="44">
        <v>1.63</v>
      </c>
      <c r="Z37" s="44">
        <v>1.4</v>
      </c>
      <c r="AA37" s="44">
        <v>1.29</v>
      </c>
      <c r="AB37" s="44">
        <v>0.8</v>
      </c>
      <c r="AC37" s="44">
        <v>0.41</v>
      </c>
      <c r="AD37" s="44">
        <v>0.4</v>
      </c>
      <c r="AE37" s="44">
        <v>0.38</v>
      </c>
      <c r="AF37" s="44">
        <v>0.36</v>
      </c>
      <c r="AG37" s="44">
        <v>0.34</v>
      </c>
      <c r="AH37" s="44">
        <v>0.35</v>
      </c>
      <c r="AI37" s="44">
        <v>0.36</v>
      </c>
      <c r="AJ37" s="44">
        <v>0.36</v>
      </c>
      <c r="AK37" s="44">
        <v>0.36</v>
      </c>
      <c r="AL37" s="44">
        <v>0.2</v>
      </c>
      <c r="AM37" s="22" t="str">
        <f t="shared" si="0"/>
        <v>SUBS - Australia</v>
      </c>
      <c r="AN37" s="333" t="s">
        <v>543</v>
      </c>
      <c r="AP37" s="471"/>
      <c r="AQ37" s="11"/>
      <c r="AR37" s="11"/>
      <c r="AS37" s="354"/>
      <c r="AU37" s="406"/>
      <c r="AV37" s="55"/>
      <c r="AW37" s="333"/>
      <c r="AX37" s="406"/>
      <c r="AY37" s="406"/>
      <c r="AZ37" s="538"/>
    </row>
    <row r="38" spans="1:52">
      <c r="A38" s="5"/>
      <c r="B38" s="44" t="s">
        <v>3369</v>
      </c>
      <c r="C38" s="44" t="s">
        <v>2965</v>
      </c>
      <c r="D38" s="44" t="s">
        <v>724</v>
      </c>
      <c r="E38" s="44" t="s">
        <v>1927</v>
      </c>
      <c r="F38" s="44" t="s">
        <v>2960</v>
      </c>
      <c r="G38" s="44" t="s">
        <v>1929</v>
      </c>
      <c r="H38" s="44" t="s">
        <v>2966</v>
      </c>
      <c r="I38" s="44" t="s">
        <v>2600</v>
      </c>
      <c r="J38" s="328">
        <v>16.667000000000002</v>
      </c>
      <c r="K38" s="44">
        <v>12</v>
      </c>
      <c r="L38" s="44">
        <v>10.97</v>
      </c>
      <c r="M38" s="44">
        <v>13.02</v>
      </c>
      <c r="N38" s="44">
        <v>11.68</v>
      </c>
      <c r="O38" s="44">
        <v>12</v>
      </c>
      <c r="P38" s="44">
        <v>11.46</v>
      </c>
      <c r="Q38" s="44">
        <v>15.46</v>
      </c>
      <c r="R38" s="44">
        <v>15.84</v>
      </c>
      <c r="S38" s="44">
        <v>13.56</v>
      </c>
      <c r="T38" s="44">
        <v>12.47</v>
      </c>
      <c r="U38" s="44">
        <v>11.5</v>
      </c>
      <c r="V38" s="44">
        <v>10.67</v>
      </c>
      <c r="W38" s="44">
        <v>9.84</v>
      </c>
      <c r="X38" s="44">
        <v>10.87</v>
      </c>
      <c r="Y38" s="44">
        <v>10.73</v>
      </c>
      <c r="Z38" s="44">
        <v>9.34</v>
      </c>
      <c r="AA38" s="44">
        <v>8.61</v>
      </c>
      <c r="AB38" s="44">
        <v>8.9600000000000009</v>
      </c>
      <c r="AC38" s="44">
        <v>8.3800000000000008</v>
      </c>
      <c r="AD38" s="44">
        <v>7.64</v>
      </c>
      <c r="AE38" s="44">
        <v>6.71</v>
      </c>
      <c r="AF38" s="44">
        <v>5.9</v>
      </c>
      <c r="AG38" s="44">
        <v>5.23</v>
      </c>
      <c r="AH38" s="44">
        <v>4.6900000000000004</v>
      </c>
      <c r="AI38" s="44">
        <v>4.0999999999999996</v>
      </c>
      <c r="AJ38" s="44">
        <v>3.52</v>
      </c>
      <c r="AK38" s="44">
        <v>3.02</v>
      </c>
      <c r="AL38" s="44">
        <v>2.71</v>
      </c>
      <c r="AM38" s="22" t="str">
        <f t="shared" si="0"/>
        <v>SUBS - Australia</v>
      </c>
      <c r="AN38" s="333" t="s">
        <v>543</v>
      </c>
      <c r="AP38" s="471"/>
      <c r="AQ38" s="11"/>
      <c r="AR38" s="11"/>
      <c r="AS38" s="354"/>
      <c r="AU38" s="406"/>
      <c r="AV38" s="55"/>
      <c r="AW38" s="333"/>
      <c r="AX38" s="406"/>
      <c r="AY38" s="406"/>
      <c r="AZ38" s="538"/>
    </row>
    <row r="39" spans="1:52">
      <c r="A39" s="5"/>
      <c r="B39" s="44" t="s">
        <v>3369</v>
      </c>
      <c r="C39" s="44" t="s">
        <v>2965</v>
      </c>
      <c r="D39" s="44" t="s">
        <v>725</v>
      </c>
      <c r="E39" s="44" t="s">
        <v>1927</v>
      </c>
      <c r="F39" s="44" t="s">
        <v>2960</v>
      </c>
      <c r="G39" s="44" t="s">
        <v>1932</v>
      </c>
      <c r="H39" s="44" t="s">
        <v>1930</v>
      </c>
      <c r="I39" s="44" t="s">
        <v>2971</v>
      </c>
      <c r="J39" s="328">
        <v>16.667000000000002</v>
      </c>
      <c r="K39" s="44">
        <v>18.46</v>
      </c>
      <c r="L39" s="44">
        <v>15.71</v>
      </c>
      <c r="M39" s="44">
        <v>14.33</v>
      </c>
      <c r="N39" s="44">
        <v>13.25</v>
      </c>
      <c r="O39" s="44">
        <v>12.91</v>
      </c>
      <c r="P39" s="44">
        <v>9.48</v>
      </c>
      <c r="Q39" s="44">
        <v>6.32</v>
      </c>
      <c r="R39" s="44">
        <v>5.76</v>
      </c>
      <c r="S39" s="44">
        <v>1.28</v>
      </c>
      <c r="T39" s="44">
        <v>4.71</v>
      </c>
      <c r="U39" s="44">
        <v>4.76</v>
      </c>
      <c r="V39" s="44">
        <v>4.1100000000000003</v>
      </c>
      <c r="W39" s="44">
        <v>3.31</v>
      </c>
      <c r="X39" s="44">
        <v>2.69</v>
      </c>
      <c r="Y39" s="44">
        <v>3.39</v>
      </c>
      <c r="Z39" s="44">
        <v>3.61</v>
      </c>
      <c r="AA39" s="44">
        <v>3</v>
      </c>
      <c r="AB39" s="44">
        <v>2.5299999999999998</v>
      </c>
      <c r="AC39" s="44">
        <v>2.15</v>
      </c>
      <c r="AD39" s="44">
        <v>1.85</v>
      </c>
      <c r="AE39" s="44">
        <v>1.17</v>
      </c>
      <c r="AF39" s="44">
        <v>1.0900000000000001</v>
      </c>
      <c r="AG39" s="44">
        <v>1.01</v>
      </c>
      <c r="AH39" s="44">
        <v>0.89</v>
      </c>
      <c r="AI39" s="44">
        <v>0.81</v>
      </c>
      <c r="AJ39" s="44">
        <v>0.76</v>
      </c>
      <c r="AK39" s="44">
        <v>0</v>
      </c>
      <c r="AL39" s="44">
        <v>0</v>
      </c>
      <c r="AM39" s="22" t="str">
        <f t="shared" si="0"/>
        <v>SUBS - Australia</v>
      </c>
      <c r="AN39" s="333" t="s">
        <v>543</v>
      </c>
      <c r="AP39" s="471"/>
      <c r="AQ39" s="11"/>
      <c r="AR39" s="11"/>
      <c r="AS39" s="354"/>
      <c r="AU39" s="406"/>
      <c r="AV39" s="55"/>
      <c r="AW39" s="333"/>
      <c r="AX39" s="406"/>
      <c r="AY39" s="406"/>
      <c r="AZ39" s="538"/>
    </row>
    <row r="40" spans="1:52">
      <c r="A40" s="5"/>
      <c r="B40" s="44" t="s">
        <v>3369</v>
      </c>
      <c r="C40" s="44" t="s">
        <v>726</v>
      </c>
      <c r="D40" s="44" t="s">
        <v>783</v>
      </c>
      <c r="E40" s="44" t="s">
        <v>1927</v>
      </c>
      <c r="F40" s="44" t="s">
        <v>2960</v>
      </c>
      <c r="G40" s="44" t="s">
        <v>3374</v>
      </c>
      <c r="H40" s="44" t="s">
        <v>1930</v>
      </c>
      <c r="I40" s="44" t="s">
        <v>2600</v>
      </c>
      <c r="J40" s="328">
        <v>30.374500000000001</v>
      </c>
      <c r="K40" s="44">
        <v>39.01</v>
      </c>
      <c r="L40" s="44">
        <v>39.090000000000003</v>
      </c>
      <c r="M40" s="44">
        <v>75.37</v>
      </c>
      <c r="N40" s="44">
        <v>143.09</v>
      </c>
      <c r="O40" s="44">
        <v>200.99</v>
      </c>
      <c r="P40" s="44">
        <v>87.14</v>
      </c>
      <c r="Q40" s="44">
        <v>108.05</v>
      </c>
      <c r="R40" s="44">
        <v>115.13</v>
      </c>
      <c r="S40" s="44">
        <v>93.07</v>
      </c>
      <c r="T40" s="44">
        <v>89.61</v>
      </c>
      <c r="U40" s="44">
        <v>92.27</v>
      </c>
      <c r="V40" s="44">
        <v>92.21</v>
      </c>
      <c r="W40" s="44">
        <v>114.99</v>
      </c>
      <c r="X40" s="44">
        <v>109.71</v>
      </c>
      <c r="Y40" s="44">
        <v>78.290000000000006</v>
      </c>
      <c r="Z40" s="44">
        <v>74.75</v>
      </c>
      <c r="AA40" s="44">
        <v>80.02</v>
      </c>
      <c r="AB40" s="44">
        <v>79.150000000000006</v>
      </c>
      <c r="AC40" s="44">
        <v>75.63</v>
      </c>
      <c r="AD40" s="44">
        <v>67.23</v>
      </c>
      <c r="AE40" s="44">
        <v>66.22</v>
      </c>
      <c r="AF40" s="44">
        <v>65.69</v>
      </c>
      <c r="AG40" s="44">
        <v>63.91</v>
      </c>
      <c r="AH40" s="44">
        <v>57.57</v>
      </c>
      <c r="AI40" s="44">
        <v>53.21</v>
      </c>
      <c r="AJ40" s="44">
        <v>49.29</v>
      </c>
      <c r="AK40" s="44">
        <v>45.72</v>
      </c>
      <c r="AL40" s="44">
        <v>42.31</v>
      </c>
      <c r="AM40" s="22" t="str">
        <f t="shared" si="0"/>
        <v>SUBS - Azerbaijan</v>
      </c>
      <c r="AN40" s="333" t="s">
        <v>543</v>
      </c>
      <c r="AP40" s="471"/>
      <c r="AQ40" s="11"/>
      <c r="AR40" s="11"/>
      <c r="AS40" s="354"/>
      <c r="AU40" s="406"/>
      <c r="AV40" s="55"/>
      <c r="AW40" s="333"/>
      <c r="AX40" s="406"/>
      <c r="AY40" s="406"/>
      <c r="AZ40" s="538"/>
    </row>
    <row r="41" spans="1:52">
      <c r="A41" s="5"/>
      <c r="B41" s="44" t="s">
        <v>3369</v>
      </c>
      <c r="C41" s="44" t="s">
        <v>726</v>
      </c>
      <c r="D41" s="44" t="s">
        <v>784</v>
      </c>
      <c r="E41" s="44" t="s">
        <v>1927</v>
      </c>
      <c r="F41" s="44" t="s">
        <v>2960</v>
      </c>
      <c r="G41" s="44" t="s">
        <v>1929</v>
      </c>
      <c r="H41" s="44" t="s">
        <v>116</v>
      </c>
      <c r="I41" s="44" t="s">
        <v>2600</v>
      </c>
      <c r="J41" s="328">
        <v>28.83</v>
      </c>
      <c r="K41" s="44">
        <v>0</v>
      </c>
      <c r="L41" s="44">
        <v>0</v>
      </c>
      <c r="M41" s="44">
        <v>0</v>
      </c>
      <c r="N41" s="44">
        <v>0.01</v>
      </c>
      <c r="O41" s="44">
        <v>4.1900000000000004</v>
      </c>
      <c r="P41" s="44">
        <v>8.44</v>
      </c>
      <c r="Q41" s="44">
        <v>7.75</v>
      </c>
      <c r="R41" s="44">
        <v>9.26</v>
      </c>
      <c r="S41" s="44">
        <v>7.38</v>
      </c>
      <c r="T41" s="44">
        <v>8.15</v>
      </c>
      <c r="U41" s="44">
        <v>10.16</v>
      </c>
      <c r="V41" s="44">
        <v>12.16</v>
      </c>
      <c r="W41" s="44">
        <v>12.11</v>
      </c>
      <c r="X41" s="44">
        <v>13.67</v>
      </c>
      <c r="Y41" s="44">
        <v>12.95</v>
      </c>
      <c r="Z41" s="44">
        <v>13.78</v>
      </c>
      <c r="AA41" s="44">
        <v>14.91</v>
      </c>
      <c r="AB41" s="44">
        <v>20.18</v>
      </c>
      <c r="AC41" s="44">
        <v>23.47</v>
      </c>
      <c r="AD41" s="44">
        <v>28.78</v>
      </c>
      <c r="AE41" s="44">
        <v>28.5</v>
      </c>
      <c r="AF41" s="44">
        <v>27.65</v>
      </c>
      <c r="AG41" s="44">
        <v>25.77</v>
      </c>
      <c r="AH41" s="44">
        <v>23.23</v>
      </c>
      <c r="AI41" s="44">
        <v>22.37</v>
      </c>
      <c r="AJ41" s="44">
        <v>21.39</v>
      </c>
      <c r="AK41" s="44">
        <v>20.61</v>
      </c>
      <c r="AL41" s="44">
        <v>19.87</v>
      </c>
      <c r="AM41" s="22" t="str">
        <f t="shared" si="0"/>
        <v>SUBS - Azerbaijan</v>
      </c>
      <c r="AN41" s="333" t="s">
        <v>543</v>
      </c>
      <c r="AP41" s="471"/>
      <c r="AQ41" s="11"/>
      <c r="AR41" s="11"/>
      <c r="AS41" s="354"/>
      <c r="AU41" s="406"/>
      <c r="AV41" s="55"/>
      <c r="AW41" s="333"/>
      <c r="AX41" s="406"/>
      <c r="AY41" s="406"/>
      <c r="AZ41" s="538"/>
    </row>
    <row r="42" spans="1:52">
      <c r="A42" s="5"/>
      <c r="B42" s="44" t="s">
        <v>3369</v>
      </c>
      <c r="C42" s="44" t="s">
        <v>785</v>
      </c>
      <c r="D42" s="44" t="s">
        <v>2499</v>
      </c>
      <c r="E42" s="44" t="s">
        <v>1927</v>
      </c>
      <c r="F42" s="44" t="s">
        <v>1928</v>
      </c>
      <c r="G42" s="44" t="s">
        <v>1929</v>
      </c>
      <c r="H42" s="44" t="s">
        <v>116</v>
      </c>
      <c r="I42" s="44" t="s">
        <v>1931</v>
      </c>
      <c r="J42" s="328">
        <v>12.5</v>
      </c>
      <c r="K42" s="44">
        <v>0</v>
      </c>
      <c r="L42" s="44">
        <v>1.7999999999999999E-2</v>
      </c>
      <c r="M42" s="44">
        <v>0.40200000000000002</v>
      </c>
      <c r="N42" s="44">
        <v>0.23400000000000001</v>
      </c>
      <c r="O42" s="44">
        <v>0.33</v>
      </c>
      <c r="P42" s="44">
        <v>0.28199999999999997</v>
      </c>
      <c r="Q42" s="44">
        <v>0.25800000000000001</v>
      </c>
      <c r="R42" s="44">
        <v>0.318</v>
      </c>
      <c r="S42" s="44">
        <v>0.372</v>
      </c>
      <c r="T42" s="44">
        <v>0.78600000000000003</v>
      </c>
      <c r="U42" s="44">
        <v>1.206</v>
      </c>
      <c r="V42" s="44">
        <v>1.758</v>
      </c>
      <c r="W42" s="44">
        <v>2.0640000000000001</v>
      </c>
      <c r="X42" s="44">
        <v>2.0699999999999998</v>
      </c>
      <c r="Y42" s="44">
        <v>1.89</v>
      </c>
      <c r="Z42" s="44">
        <v>1.595</v>
      </c>
      <c r="AA42" s="44">
        <v>1.75</v>
      </c>
      <c r="AB42" s="44">
        <v>1.7949999999999999</v>
      </c>
      <c r="AC42" s="44">
        <v>1.9</v>
      </c>
      <c r="AD42" s="44">
        <v>2.1850000000000001</v>
      </c>
      <c r="AE42" s="44">
        <v>2.1800000000000002</v>
      </c>
      <c r="AF42" s="44">
        <v>2.1800000000000002</v>
      </c>
      <c r="AG42" s="44">
        <v>2.1549999999999998</v>
      </c>
      <c r="AH42" s="44">
        <v>2.1549999999999998</v>
      </c>
      <c r="AI42" s="44">
        <v>2.1549999999999998</v>
      </c>
      <c r="AJ42" s="44">
        <v>2.1549999999999998</v>
      </c>
      <c r="AK42" s="44">
        <v>2.15</v>
      </c>
      <c r="AL42" s="44">
        <v>2.15</v>
      </c>
      <c r="AM42" s="22" t="str">
        <f t="shared" si="0"/>
        <v>EAI - Bolivia</v>
      </c>
      <c r="AN42" s="333" t="s">
        <v>3119</v>
      </c>
      <c r="AP42" s="471"/>
      <c r="AQ42" s="11"/>
      <c r="AR42" s="11"/>
      <c r="AS42" s="354"/>
      <c r="AU42" s="406"/>
      <c r="AV42" s="55"/>
      <c r="AW42" s="333"/>
      <c r="AX42" s="406"/>
      <c r="AY42" s="406"/>
      <c r="AZ42" s="538"/>
    </row>
    <row r="43" spans="1:52">
      <c r="A43" s="5"/>
      <c r="B43" s="44" t="s">
        <v>3369</v>
      </c>
      <c r="C43" s="44" t="s">
        <v>2428</v>
      </c>
      <c r="D43" s="44" t="s">
        <v>376</v>
      </c>
      <c r="E43" s="44" t="s">
        <v>1927</v>
      </c>
      <c r="F43" s="44" t="s">
        <v>2960</v>
      </c>
      <c r="G43" s="44" t="s">
        <v>3374</v>
      </c>
      <c r="H43" s="44" t="s">
        <v>1930</v>
      </c>
      <c r="I43" s="44" t="s">
        <v>2600</v>
      </c>
      <c r="J43" s="328">
        <v>60</v>
      </c>
      <c r="K43" s="44">
        <v>0</v>
      </c>
      <c r="L43" s="44">
        <v>0</v>
      </c>
      <c r="M43" s="44">
        <v>0</v>
      </c>
      <c r="N43" s="44">
        <v>0</v>
      </c>
      <c r="O43" s="44">
        <v>0</v>
      </c>
      <c r="P43" s="44">
        <v>0</v>
      </c>
      <c r="Q43" s="44">
        <v>0</v>
      </c>
      <c r="R43" s="44">
        <v>0</v>
      </c>
      <c r="S43" s="44">
        <v>6.29</v>
      </c>
      <c r="T43" s="44">
        <v>7.23</v>
      </c>
      <c r="U43" s="44">
        <v>0</v>
      </c>
      <c r="V43" s="44">
        <v>0</v>
      </c>
      <c r="W43" s="44">
        <v>0</v>
      </c>
      <c r="X43" s="44">
        <v>0</v>
      </c>
      <c r="Y43" s="44">
        <v>0</v>
      </c>
      <c r="Z43" s="44">
        <v>0</v>
      </c>
      <c r="AA43" s="44">
        <v>0</v>
      </c>
      <c r="AB43" s="44">
        <v>0</v>
      </c>
      <c r="AC43" s="44">
        <v>0</v>
      </c>
      <c r="AD43" s="44">
        <v>0</v>
      </c>
      <c r="AE43" s="44">
        <v>0</v>
      </c>
      <c r="AF43" s="44">
        <v>0</v>
      </c>
      <c r="AG43" s="44">
        <v>0</v>
      </c>
      <c r="AH43" s="44">
        <v>0</v>
      </c>
      <c r="AI43" s="44">
        <v>0</v>
      </c>
      <c r="AJ43" s="44">
        <v>0</v>
      </c>
      <c r="AK43" s="44">
        <v>0</v>
      </c>
      <c r="AL43" s="44">
        <v>0</v>
      </c>
      <c r="AM43" s="22" t="str">
        <f t="shared" si="0"/>
        <v>SUBS - Brazil</v>
      </c>
      <c r="AN43" s="333" t="s">
        <v>543</v>
      </c>
      <c r="AP43" s="471"/>
      <c r="AQ43" s="11"/>
      <c r="AR43" s="11"/>
      <c r="AS43" s="354"/>
      <c r="AU43" s="406"/>
      <c r="AV43" s="55"/>
      <c r="AW43" s="333"/>
      <c r="AX43" s="406"/>
      <c r="AY43" s="406"/>
      <c r="AZ43" s="538"/>
    </row>
    <row r="44" spans="1:52">
      <c r="A44" s="5"/>
      <c r="B44" s="44" t="s">
        <v>3369</v>
      </c>
      <c r="C44" s="44" t="s">
        <v>1880</v>
      </c>
      <c r="D44" s="44" t="s">
        <v>2425</v>
      </c>
      <c r="E44" s="44" t="s">
        <v>1927</v>
      </c>
      <c r="F44" s="44" t="s">
        <v>1928</v>
      </c>
      <c r="G44" s="44" t="s">
        <v>3374</v>
      </c>
      <c r="H44" s="44" t="s">
        <v>116</v>
      </c>
      <c r="I44" s="44" t="s">
        <v>1931</v>
      </c>
      <c r="J44" s="328">
        <v>100</v>
      </c>
      <c r="K44" s="44">
        <v>12.25</v>
      </c>
      <c r="L44" s="44">
        <v>10.25</v>
      </c>
      <c r="M44" s="44">
        <v>9.15</v>
      </c>
      <c r="N44" s="44">
        <v>7.31</v>
      </c>
      <c r="O44" s="44">
        <v>7.39</v>
      </c>
      <c r="P44" s="44">
        <v>8.25</v>
      </c>
      <c r="Q44" s="44">
        <v>7.32</v>
      </c>
      <c r="R44" s="44">
        <v>6.5</v>
      </c>
      <c r="S44" s="44">
        <v>2</v>
      </c>
      <c r="T44" s="44">
        <v>1</v>
      </c>
      <c r="U44" s="44">
        <v>0.02</v>
      </c>
      <c r="V44" s="44">
        <v>0</v>
      </c>
      <c r="W44" s="44">
        <v>0</v>
      </c>
      <c r="X44" s="44">
        <v>0</v>
      </c>
      <c r="Y44" s="44">
        <v>0</v>
      </c>
      <c r="Z44" s="44">
        <v>0</v>
      </c>
      <c r="AA44" s="44">
        <v>0</v>
      </c>
      <c r="AB44" s="44">
        <v>0</v>
      </c>
      <c r="AC44" s="44">
        <v>0</v>
      </c>
      <c r="AD44" s="44">
        <v>0</v>
      </c>
      <c r="AE44" s="44">
        <v>0</v>
      </c>
      <c r="AF44" s="44">
        <v>0</v>
      </c>
      <c r="AG44" s="44">
        <v>0</v>
      </c>
      <c r="AH44" s="44">
        <v>0</v>
      </c>
      <c r="AI44" s="44">
        <v>0</v>
      </c>
      <c r="AJ44" s="44">
        <v>0</v>
      </c>
      <c r="AK44" s="44">
        <v>0</v>
      </c>
      <c r="AL44" s="44">
        <v>0</v>
      </c>
      <c r="AM44" s="22" t="str">
        <f t="shared" si="0"/>
        <v>SUBS - Canada (Alberta)</v>
      </c>
      <c r="AN44" s="333" t="s">
        <v>543</v>
      </c>
      <c r="AP44" s="471"/>
      <c r="AQ44" s="11"/>
      <c r="AR44" s="11"/>
      <c r="AS44" s="354"/>
      <c r="AU44" s="406"/>
      <c r="AV44" s="55"/>
      <c r="AW44" s="333"/>
      <c r="AX44" s="406"/>
      <c r="AY44" s="406"/>
      <c r="AZ44" s="538"/>
    </row>
    <row r="45" spans="1:52">
      <c r="A45" s="5"/>
      <c r="B45" s="44" t="s">
        <v>3369</v>
      </c>
      <c r="C45" s="44" t="s">
        <v>2426</v>
      </c>
      <c r="D45" s="44" t="s">
        <v>212</v>
      </c>
      <c r="E45" s="44" t="s">
        <v>2254</v>
      </c>
      <c r="F45" s="44" t="s">
        <v>1928</v>
      </c>
      <c r="G45" s="44" t="s">
        <v>1931</v>
      </c>
      <c r="H45" s="44" t="s">
        <v>116</v>
      </c>
      <c r="I45" s="44" t="s">
        <v>1931</v>
      </c>
      <c r="J45" s="328">
        <v>100</v>
      </c>
      <c r="K45" s="44">
        <v>0.74</v>
      </c>
      <c r="L45" s="44">
        <v>0.75</v>
      </c>
      <c r="M45" s="44">
        <v>0.84</v>
      </c>
      <c r="N45" s="44">
        <v>0.7</v>
      </c>
      <c r="O45" s="44">
        <v>0.73</v>
      </c>
      <c r="P45" s="44">
        <v>0.76</v>
      </c>
      <c r="Q45" s="44">
        <v>0.72</v>
      </c>
      <c r="R45" s="44">
        <v>0.55000000000000004</v>
      </c>
      <c r="S45" s="44">
        <v>0</v>
      </c>
      <c r="T45" s="44">
        <v>0</v>
      </c>
      <c r="U45" s="44">
        <v>0</v>
      </c>
      <c r="V45" s="44">
        <v>0</v>
      </c>
      <c r="W45" s="44">
        <v>0</v>
      </c>
      <c r="X45" s="44">
        <v>0</v>
      </c>
      <c r="Y45" s="44">
        <v>0</v>
      </c>
      <c r="Z45" s="44">
        <v>0</v>
      </c>
      <c r="AA45" s="44">
        <v>0</v>
      </c>
      <c r="AB45" s="44">
        <v>0</v>
      </c>
      <c r="AC45" s="44">
        <v>0</v>
      </c>
      <c r="AD45" s="44">
        <v>0</v>
      </c>
      <c r="AE45" s="44">
        <v>0</v>
      </c>
      <c r="AF45" s="44">
        <v>0</v>
      </c>
      <c r="AG45" s="44">
        <v>0</v>
      </c>
      <c r="AH45" s="44">
        <v>0</v>
      </c>
      <c r="AI45" s="44">
        <v>0</v>
      </c>
      <c r="AJ45" s="44">
        <v>0</v>
      </c>
      <c r="AK45" s="44">
        <v>0</v>
      </c>
      <c r="AL45" s="44">
        <v>0</v>
      </c>
      <c r="AM45" s="22" t="str">
        <f t="shared" si="0"/>
        <v>SUBS - Canada (British Columbia)</v>
      </c>
      <c r="AN45" s="333" t="s">
        <v>543</v>
      </c>
      <c r="AP45" s="471"/>
      <c r="AQ45" s="11"/>
      <c r="AR45" s="11"/>
      <c r="AS45" s="354"/>
      <c r="AU45" s="406"/>
      <c r="AV45" s="55"/>
      <c r="AW45" s="333"/>
      <c r="AX45" s="406"/>
      <c r="AY45" s="406"/>
      <c r="AZ45" s="538"/>
    </row>
    <row r="46" spans="1:52">
      <c r="A46" s="5"/>
      <c r="B46" s="44" t="s">
        <v>3369</v>
      </c>
      <c r="C46" s="44" t="s">
        <v>213</v>
      </c>
      <c r="D46" s="44" t="s">
        <v>214</v>
      </c>
      <c r="E46" s="44" t="s">
        <v>1927</v>
      </c>
      <c r="F46" s="44" t="s">
        <v>1928</v>
      </c>
      <c r="G46" s="44" t="s">
        <v>215</v>
      </c>
      <c r="H46" s="44" t="s">
        <v>1930</v>
      </c>
      <c r="I46" s="44" t="s">
        <v>1933</v>
      </c>
      <c r="J46" s="328">
        <v>50</v>
      </c>
      <c r="K46" s="44">
        <v>0</v>
      </c>
      <c r="L46" s="44">
        <v>0</v>
      </c>
      <c r="M46" s="44">
        <v>0</v>
      </c>
      <c r="N46" s="44">
        <v>0</v>
      </c>
      <c r="O46" s="44">
        <v>0</v>
      </c>
      <c r="P46" s="44">
        <v>0</v>
      </c>
      <c r="Q46" s="44">
        <v>0</v>
      </c>
      <c r="R46" s="44">
        <v>0</v>
      </c>
      <c r="S46" s="44">
        <v>0</v>
      </c>
      <c r="T46" s="44">
        <v>0</v>
      </c>
      <c r="U46" s="44">
        <v>0</v>
      </c>
      <c r="V46" s="44">
        <v>0</v>
      </c>
      <c r="W46" s="44">
        <v>3.19</v>
      </c>
      <c r="X46" s="44">
        <v>12.81</v>
      </c>
      <c r="Y46" s="44">
        <v>20.6</v>
      </c>
      <c r="Z46" s="44">
        <v>29.34</v>
      </c>
      <c r="AA46" s="44">
        <v>26.98</v>
      </c>
      <c r="AB46" s="44">
        <v>29.56</v>
      </c>
      <c r="AC46" s="44">
        <v>31.52</v>
      </c>
      <c r="AD46" s="44">
        <v>33.880000000000003</v>
      </c>
      <c r="AE46" s="44">
        <v>43.49</v>
      </c>
      <c r="AF46" s="44">
        <v>48.23</v>
      </c>
      <c r="AG46" s="44">
        <v>48.55</v>
      </c>
      <c r="AH46" s="44">
        <v>52.87</v>
      </c>
      <c r="AI46" s="44">
        <v>52.77</v>
      </c>
      <c r="AJ46" s="44">
        <v>48.29</v>
      </c>
      <c r="AK46" s="44">
        <v>52.57</v>
      </c>
      <c r="AL46" s="44">
        <v>52.47</v>
      </c>
      <c r="AM46" s="22" t="str">
        <f t="shared" si="0"/>
        <v>SUBS - Canada (Oil Sands)</v>
      </c>
      <c r="AN46" s="333" t="s">
        <v>543</v>
      </c>
      <c r="AP46" s="471"/>
      <c r="AQ46" s="11"/>
      <c r="AR46" s="11"/>
      <c r="AS46" s="354"/>
      <c r="AU46" s="406"/>
      <c r="AV46" s="55"/>
      <c r="AW46" s="333"/>
      <c r="AX46" s="406"/>
      <c r="AY46" s="406"/>
      <c r="AZ46" s="538"/>
    </row>
    <row r="47" spans="1:52">
      <c r="A47" s="5"/>
      <c r="B47" s="44" t="s">
        <v>3369</v>
      </c>
      <c r="C47" s="44" t="s">
        <v>216</v>
      </c>
      <c r="D47" s="44" t="s">
        <v>3548</v>
      </c>
      <c r="E47" s="44" t="s">
        <v>1927</v>
      </c>
      <c r="F47" s="44" t="s">
        <v>2960</v>
      </c>
      <c r="G47" s="44" t="s">
        <v>217</v>
      </c>
      <c r="H47" s="44" t="s">
        <v>1930</v>
      </c>
      <c r="I47" s="44" t="s">
        <v>2971</v>
      </c>
      <c r="J47" s="328">
        <v>24.5</v>
      </c>
      <c r="K47" s="44">
        <v>2.73</v>
      </c>
      <c r="L47" s="44">
        <v>0</v>
      </c>
      <c r="M47" s="44">
        <v>0</v>
      </c>
      <c r="N47" s="44">
        <v>0</v>
      </c>
      <c r="O47" s="44">
        <v>0</v>
      </c>
      <c r="P47" s="44">
        <v>0</v>
      </c>
      <c r="Q47" s="44">
        <v>0</v>
      </c>
      <c r="R47" s="44">
        <v>0</v>
      </c>
      <c r="S47" s="44">
        <v>0</v>
      </c>
      <c r="T47" s="44">
        <v>0</v>
      </c>
      <c r="U47" s="44">
        <v>0</v>
      </c>
      <c r="V47" s="44">
        <v>0</v>
      </c>
      <c r="W47" s="44">
        <v>0</v>
      </c>
      <c r="X47" s="44">
        <v>0</v>
      </c>
      <c r="Y47" s="44">
        <v>0</v>
      </c>
      <c r="Z47" s="44">
        <v>0</v>
      </c>
      <c r="AA47" s="44">
        <v>0</v>
      </c>
      <c r="AB47" s="44">
        <v>0</v>
      </c>
      <c r="AC47" s="44">
        <v>0</v>
      </c>
      <c r="AD47" s="44">
        <v>0</v>
      </c>
      <c r="AE47" s="44">
        <v>0</v>
      </c>
      <c r="AF47" s="44">
        <v>0</v>
      </c>
      <c r="AG47" s="44">
        <v>0</v>
      </c>
      <c r="AH47" s="44">
        <v>0</v>
      </c>
      <c r="AI47" s="44">
        <v>0</v>
      </c>
      <c r="AJ47" s="44">
        <v>0</v>
      </c>
      <c r="AK47" s="44">
        <v>0</v>
      </c>
      <c r="AL47" s="44">
        <v>0</v>
      </c>
      <c r="AM47" s="22" t="str">
        <f t="shared" si="0"/>
        <v>EAI - China</v>
      </c>
      <c r="AN47" s="333" t="s">
        <v>3119</v>
      </c>
      <c r="AP47" s="471"/>
      <c r="AQ47" s="11"/>
      <c r="AR47" s="11"/>
      <c r="AS47" s="354"/>
      <c r="AU47" s="406"/>
      <c r="AV47" s="55"/>
      <c r="AW47" s="333"/>
      <c r="AX47" s="406"/>
      <c r="AY47" s="406"/>
      <c r="AZ47" s="538"/>
    </row>
    <row r="48" spans="1:52">
      <c r="A48" s="5"/>
      <c r="B48" s="44" t="s">
        <v>3369</v>
      </c>
      <c r="C48" s="44" t="s">
        <v>216</v>
      </c>
      <c r="D48" s="44" t="s">
        <v>218</v>
      </c>
      <c r="E48" s="44" t="s">
        <v>1927</v>
      </c>
      <c r="F48" s="44" t="s">
        <v>2960</v>
      </c>
      <c r="G48" s="44" t="s">
        <v>217</v>
      </c>
      <c r="H48" s="44" t="s">
        <v>1930</v>
      </c>
      <c r="I48" s="44" t="s">
        <v>2971</v>
      </c>
      <c r="J48" s="328">
        <v>24.5</v>
      </c>
      <c r="K48" s="44">
        <v>3.94</v>
      </c>
      <c r="L48" s="44">
        <v>0</v>
      </c>
      <c r="M48" s="44">
        <v>0</v>
      </c>
      <c r="N48" s="44">
        <v>0</v>
      </c>
      <c r="O48" s="44">
        <v>0</v>
      </c>
      <c r="P48" s="44">
        <v>0</v>
      </c>
      <c r="Q48" s="44">
        <v>0</v>
      </c>
      <c r="R48" s="44">
        <v>0</v>
      </c>
      <c r="S48" s="44">
        <v>0</v>
      </c>
      <c r="T48" s="44">
        <v>0</v>
      </c>
      <c r="U48" s="44">
        <v>0</v>
      </c>
      <c r="V48" s="44">
        <v>0</v>
      </c>
      <c r="W48" s="44">
        <v>0</v>
      </c>
      <c r="X48" s="44">
        <v>0</v>
      </c>
      <c r="Y48" s="44">
        <v>0</v>
      </c>
      <c r="Z48" s="44">
        <v>0</v>
      </c>
      <c r="AA48" s="44">
        <v>0</v>
      </c>
      <c r="AB48" s="44">
        <v>0</v>
      </c>
      <c r="AC48" s="44">
        <v>0</v>
      </c>
      <c r="AD48" s="44">
        <v>0</v>
      </c>
      <c r="AE48" s="44">
        <v>0</v>
      </c>
      <c r="AF48" s="44">
        <v>0</v>
      </c>
      <c r="AG48" s="44">
        <v>0</v>
      </c>
      <c r="AH48" s="44">
        <v>0</v>
      </c>
      <c r="AI48" s="44">
        <v>0</v>
      </c>
      <c r="AJ48" s="44">
        <v>0</v>
      </c>
      <c r="AK48" s="44">
        <v>0</v>
      </c>
      <c r="AL48" s="44">
        <v>0</v>
      </c>
      <c r="AM48" s="22" t="str">
        <f t="shared" si="0"/>
        <v>EAI - China</v>
      </c>
      <c r="AN48" s="333" t="s">
        <v>3119</v>
      </c>
      <c r="AP48" s="471"/>
      <c r="AQ48" s="11"/>
      <c r="AR48" s="11"/>
      <c r="AS48" s="354"/>
      <c r="AU48" s="406"/>
      <c r="AV48" s="55"/>
      <c r="AW48" s="333"/>
      <c r="AX48" s="406"/>
      <c r="AY48" s="406"/>
      <c r="AZ48" s="538"/>
    </row>
    <row r="49" spans="1:52">
      <c r="A49" s="5"/>
      <c r="B49" s="44" t="s">
        <v>3369</v>
      </c>
      <c r="C49" s="44" t="s">
        <v>216</v>
      </c>
      <c r="D49" s="44" t="s">
        <v>2246</v>
      </c>
      <c r="E49" s="44" t="s">
        <v>1927</v>
      </c>
      <c r="F49" s="44" t="s">
        <v>2960</v>
      </c>
      <c r="G49" s="44" t="s">
        <v>1931</v>
      </c>
      <c r="H49" s="44" t="s">
        <v>116</v>
      </c>
      <c r="I49" s="44" t="s">
        <v>2600</v>
      </c>
      <c r="J49" s="328">
        <v>34.299999999999997</v>
      </c>
      <c r="K49" s="44">
        <v>0.23</v>
      </c>
      <c r="L49" s="44">
        <v>0.33</v>
      </c>
      <c r="M49" s="44">
        <v>0.31</v>
      </c>
      <c r="N49" s="44">
        <v>0.51</v>
      </c>
      <c r="O49" s="44">
        <v>0.69</v>
      </c>
      <c r="P49" s="44">
        <v>0.69</v>
      </c>
      <c r="Q49" s="44">
        <v>0.51</v>
      </c>
      <c r="R49" s="44">
        <v>0.32</v>
      </c>
      <c r="S49" s="44">
        <v>0.32</v>
      </c>
      <c r="T49" s="44">
        <v>0.28999999999999998</v>
      </c>
      <c r="U49" s="44">
        <v>0</v>
      </c>
      <c r="V49" s="44">
        <v>0</v>
      </c>
      <c r="W49" s="44">
        <v>0</v>
      </c>
      <c r="X49" s="44">
        <v>0</v>
      </c>
      <c r="Y49" s="44">
        <v>0</v>
      </c>
      <c r="Z49" s="44">
        <v>0</v>
      </c>
      <c r="AA49" s="44">
        <v>0</v>
      </c>
      <c r="AB49" s="44">
        <v>0</v>
      </c>
      <c r="AC49" s="44">
        <v>0</v>
      </c>
      <c r="AD49" s="44">
        <v>0</v>
      </c>
      <c r="AE49" s="44">
        <v>0</v>
      </c>
      <c r="AF49" s="44">
        <v>0</v>
      </c>
      <c r="AG49" s="44">
        <v>0</v>
      </c>
      <c r="AH49" s="44">
        <v>0</v>
      </c>
      <c r="AI49" s="44">
        <v>0</v>
      </c>
      <c r="AJ49" s="44">
        <v>0</v>
      </c>
      <c r="AK49" s="44">
        <v>0</v>
      </c>
      <c r="AL49" s="44">
        <v>0</v>
      </c>
      <c r="AM49" s="22" t="str">
        <f t="shared" si="0"/>
        <v>EAI - China</v>
      </c>
      <c r="AN49" s="333" t="s">
        <v>3119</v>
      </c>
      <c r="AP49" s="471"/>
      <c r="AQ49" s="11"/>
      <c r="AR49" s="11"/>
      <c r="AS49" s="354"/>
      <c r="AU49" s="406"/>
      <c r="AV49" s="55"/>
      <c r="AW49" s="333"/>
      <c r="AX49" s="406"/>
      <c r="AY49" s="406"/>
      <c r="AZ49" s="538"/>
    </row>
    <row r="50" spans="1:52">
      <c r="A50" s="5"/>
      <c r="B50" s="44" t="s">
        <v>3369</v>
      </c>
      <c r="C50" s="44" t="s">
        <v>2247</v>
      </c>
      <c r="D50" s="44" t="s">
        <v>3549</v>
      </c>
      <c r="E50" s="44" t="s">
        <v>1927</v>
      </c>
      <c r="F50" s="44" t="s">
        <v>1928</v>
      </c>
      <c r="G50" s="44" t="s">
        <v>1929</v>
      </c>
      <c r="H50" s="44" t="s">
        <v>116</v>
      </c>
      <c r="I50" s="44" t="s">
        <v>1931</v>
      </c>
      <c r="J50" s="328">
        <v>31</v>
      </c>
      <c r="K50" s="44">
        <v>19.93</v>
      </c>
      <c r="L50" s="44">
        <v>16.43</v>
      </c>
      <c r="M50" s="44">
        <v>11.39</v>
      </c>
      <c r="N50" s="44">
        <v>8.33</v>
      </c>
      <c r="O50" s="44">
        <v>5.41</v>
      </c>
      <c r="P50" s="44">
        <v>6.26</v>
      </c>
      <c r="Q50" s="44">
        <v>5.76</v>
      </c>
      <c r="R50" s="44">
        <v>1.3</v>
      </c>
      <c r="S50" s="44">
        <v>0</v>
      </c>
      <c r="T50" s="44">
        <v>0</v>
      </c>
      <c r="U50" s="44">
        <v>0</v>
      </c>
      <c r="V50" s="44">
        <v>0</v>
      </c>
      <c r="W50" s="44">
        <v>0</v>
      </c>
      <c r="X50" s="44">
        <v>0</v>
      </c>
      <c r="Y50" s="44">
        <v>0</v>
      </c>
      <c r="Z50" s="44">
        <v>0</v>
      </c>
      <c r="AA50" s="44">
        <v>0</v>
      </c>
      <c r="AB50" s="44">
        <v>0</v>
      </c>
      <c r="AC50" s="44">
        <v>0</v>
      </c>
      <c r="AD50" s="44">
        <v>0</v>
      </c>
      <c r="AE50" s="44">
        <v>0</v>
      </c>
      <c r="AF50" s="44">
        <v>0</v>
      </c>
      <c r="AG50" s="44">
        <v>0</v>
      </c>
      <c r="AH50" s="44">
        <v>0</v>
      </c>
      <c r="AI50" s="44">
        <v>0</v>
      </c>
      <c r="AJ50" s="44">
        <v>0</v>
      </c>
      <c r="AK50" s="44">
        <v>0</v>
      </c>
      <c r="AL50" s="44">
        <v>0</v>
      </c>
      <c r="AM50" s="22" t="str">
        <f t="shared" si="0"/>
        <v>SUBS - Colombia</v>
      </c>
      <c r="AN50" s="333" t="s">
        <v>543</v>
      </c>
      <c r="AP50" s="471"/>
      <c r="AQ50" s="11"/>
      <c r="AR50" s="11"/>
      <c r="AS50" s="354"/>
      <c r="AU50" s="406"/>
      <c r="AV50" s="55"/>
      <c r="AW50" s="333"/>
      <c r="AX50" s="406"/>
      <c r="AY50" s="406"/>
      <c r="AZ50" s="538"/>
    </row>
    <row r="51" spans="1:52">
      <c r="A51" s="5"/>
      <c r="B51" s="44" t="s">
        <v>3369</v>
      </c>
      <c r="C51" s="44" t="s">
        <v>2247</v>
      </c>
      <c r="D51" s="44" t="s">
        <v>2248</v>
      </c>
      <c r="E51" s="44" t="s">
        <v>1927</v>
      </c>
      <c r="F51" s="44" t="s">
        <v>1928</v>
      </c>
      <c r="G51" s="44" t="s">
        <v>1929</v>
      </c>
      <c r="H51" s="44" t="s">
        <v>1930</v>
      </c>
      <c r="I51" s="44" t="s">
        <v>1931</v>
      </c>
      <c r="J51" s="328">
        <v>50</v>
      </c>
      <c r="K51" s="44">
        <v>11.8</v>
      </c>
      <c r="L51" s="44">
        <v>13</v>
      </c>
      <c r="M51" s="44">
        <v>13.28</v>
      </c>
      <c r="N51" s="44">
        <v>11.23</v>
      </c>
      <c r="O51" s="44">
        <v>8.4700000000000006</v>
      </c>
      <c r="P51" s="44">
        <v>7.92</v>
      </c>
      <c r="Q51" s="44">
        <v>5.94</v>
      </c>
      <c r="R51" s="44">
        <v>10.050000000000001</v>
      </c>
      <c r="S51" s="44">
        <v>0</v>
      </c>
      <c r="T51" s="44">
        <v>0</v>
      </c>
      <c r="U51" s="44">
        <v>0</v>
      </c>
      <c r="V51" s="44">
        <v>0</v>
      </c>
      <c r="W51" s="44">
        <v>0</v>
      </c>
      <c r="X51" s="44">
        <v>0</v>
      </c>
      <c r="Y51" s="44">
        <v>0</v>
      </c>
      <c r="Z51" s="44">
        <v>0</v>
      </c>
      <c r="AA51" s="44">
        <v>0</v>
      </c>
      <c r="AB51" s="44">
        <v>0</v>
      </c>
      <c r="AC51" s="44">
        <v>0</v>
      </c>
      <c r="AD51" s="44">
        <v>0</v>
      </c>
      <c r="AE51" s="44">
        <v>0</v>
      </c>
      <c r="AF51" s="44">
        <v>0</v>
      </c>
      <c r="AG51" s="44">
        <v>0</v>
      </c>
      <c r="AH51" s="44">
        <v>0</v>
      </c>
      <c r="AI51" s="44">
        <v>0</v>
      </c>
      <c r="AJ51" s="44">
        <v>0</v>
      </c>
      <c r="AK51" s="44">
        <v>0</v>
      </c>
      <c r="AL51" s="44">
        <v>0</v>
      </c>
      <c r="AM51" s="22" t="str">
        <f t="shared" si="0"/>
        <v>SUBS - Colombia</v>
      </c>
      <c r="AN51" s="333" t="s">
        <v>543</v>
      </c>
      <c r="AP51" s="471"/>
      <c r="AQ51" s="11"/>
      <c r="AR51" s="11"/>
      <c r="AS51" s="354"/>
      <c r="AU51" s="406"/>
      <c r="AV51" s="55"/>
      <c r="AW51" s="333"/>
      <c r="AX51" s="406"/>
      <c r="AY51" s="406"/>
      <c r="AZ51" s="538"/>
    </row>
    <row r="52" spans="1:52">
      <c r="A52" s="5"/>
      <c r="B52" s="44" t="s">
        <v>3369</v>
      </c>
      <c r="C52" s="44" t="s">
        <v>2247</v>
      </c>
      <c r="D52" s="44" t="s">
        <v>2249</v>
      </c>
      <c r="E52" s="44" t="s">
        <v>1927</v>
      </c>
      <c r="F52" s="44" t="s">
        <v>1928</v>
      </c>
      <c r="G52" s="44" t="s">
        <v>3374</v>
      </c>
      <c r="H52" s="44" t="s">
        <v>116</v>
      </c>
      <c r="I52" s="44" t="s">
        <v>1931</v>
      </c>
      <c r="J52" s="328">
        <v>31</v>
      </c>
      <c r="K52" s="44">
        <v>9.2200000000000006</v>
      </c>
      <c r="L52" s="44">
        <v>7.62</v>
      </c>
      <c r="M52" s="44">
        <v>6.1</v>
      </c>
      <c r="N52" s="44">
        <v>4.88</v>
      </c>
      <c r="O52" s="44">
        <v>3.9</v>
      </c>
      <c r="P52" s="44">
        <v>3.12</v>
      </c>
      <c r="Q52" s="44">
        <v>2.65</v>
      </c>
      <c r="R52" s="44">
        <v>0.53</v>
      </c>
      <c r="S52" s="44">
        <v>0</v>
      </c>
      <c r="T52" s="44">
        <v>0</v>
      </c>
      <c r="U52" s="44">
        <v>0</v>
      </c>
      <c r="V52" s="44">
        <v>0</v>
      </c>
      <c r="W52" s="44">
        <v>0</v>
      </c>
      <c r="X52" s="44">
        <v>0</v>
      </c>
      <c r="Y52" s="44">
        <v>0</v>
      </c>
      <c r="Z52" s="44">
        <v>0</v>
      </c>
      <c r="AA52" s="44">
        <v>0</v>
      </c>
      <c r="AB52" s="44">
        <v>0</v>
      </c>
      <c r="AC52" s="44">
        <v>0</v>
      </c>
      <c r="AD52" s="44">
        <v>0</v>
      </c>
      <c r="AE52" s="44">
        <v>0</v>
      </c>
      <c r="AF52" s="44">
        <v>0</v>
      </c>
      <c r="AG52" s="44">
        <v>0</v>
      </c>
      <c r="AH52" s="44">
        <v>0</v>
      </c>
      <c r="AI52" s="44">
        <v>0</v>
      </c>
      <c r="AJ52" s="44">
        <v>0</v>
      </c>
      <c r="AK52" s="44">
        <v>0</v>
      </c>
      <c r="AL52" s="44">
        <v>0</v>
      </c>
      <c r="AM52" s="22" t="str">
        <f t="shared" si="0"/>
        <v>SUBS - Colombia</v>
      </c>
      <c r="AN52" s="333" t="s">
        <v>543</v>
      </c>
      <c r="AP52" s="471"/>
      <c r="AQ52" s="11"/>
      <c r="AR52" s="11"/>
      <c r="AS52" s="354"/>
      <c r="AU52" s="406"/>
      <c r="AV52" s="55"/>
      <c r="AW52" s="333"/>
      <c r="AX52" s="406"/>
      <c r="AY52" s="406"/>
      <c r="AZ52" s="538"/>
    </row>
    <row r="53" spans="1:52">
      <c r="A53" s="5"/>
      <c r="B53" s="44" t="s">
        <v>3369</v>
      </c>
      <c r="C53" s="44" t="s">
        <v>2247</v>
      </c>
      <c r="D53" s="44" t="s">
        <v>3657</v>
      </c>
      <c r="E53" s="44" t="s">
        <v>1927</v>
      </c>
      <c r="F53" s="44" t="s">
        <v>1928</v>
      </c>
      <c r="G53" s="44" t="s">
        <v>1931</v>
      </c>
      <c r="H53" s="44" t="s">
        <v>116</v>
      </c>
      <c r="I53" s="44" t="s">
        <v>1931</v>
      </c>
      <c r="J53" s="328">
        <v>31</v>
      </c>
      <c r="K53" s="44">
        <v>0.89</v>
      </c>
      <c r="L53" s="44">
        <v>0.63</v>
      </c>
      <c r="M53" s="44">
        <v>0.48</v>
      </c>
      <c r="N53" s="44">
        <v>0.41</v>
      </c>
      <c r="O53" s="44">
        <v>0.32</v>
      </c>
      <c r="P53" s="44">
        <v>0.27</v>
      </c>
      <c r="Q53" s="44">
        <v>0.23</v>
      </c>
      <c r="R53" s="44">
        <v>0.25</v>
      </c>
      <c r="S53" s="44">
        <v>0</v>
      </c>
      <c r="T53" s="44">
        <v>0</v>
      </c>
      <c r="U53" s="44">
        <v>0</v>
      </c>
      <c r="V53" s="44">
        <v>0</v>
      </c>
      <c r="W53" s="44">
        <v>0</v>
      </c>
      <c r="X53" s="44">
        <v>0</v>
      </c>
      <c r="Y53" s="44">
        <v>0</v>
      </c>
      <c r="Z53" s="44">
        <v>0</v>
      </c>
      <c r="AA53" s="44">
        <v>0</v>
      </c>
      <c r="AB53" s="44">
        <v>0</v>
      </c>
      <c r="AC53" s="44">
        <v>0</v>
      </c>
      <c r="AD53" s="44">
        <v>0</v>
      </c>
      <c r="AE53" s="44">
        <v>0</v>
      </c>
      <c r="AF53" s="44">
        <v>0</v>
      </c>
      <c r="AG53" s="44">
        <v>0</v>
      </c>
      <c r="AH53" s="44">
        <v>0</v>
      </c>
      <c r="AI53" s="44">
        <v>0</v>
      </c>
      <c r="AJ53" s="44">
        <v>0</v>
      </c>
      <c r="AK53" s="44">
        <v>0</v>
      </c>
      <c r="AL53" s="44">
        <v>0</v>
      </c>
      <c r="AM53" s="22" t="str">
        <f t="shared" ref="AM53:AM54" si="4">AN53&amp;" - "&amp;C53</f>
        <v>SUBS - Colombia</v>
      </c>
      <c r="AN53" s="333" t="s">
        <v>543</v>
      </c>
      <c r="AP53" s="471"/>
      <c r="AQ53" s="11"/>
      <c r="AR53" s="11"/>
      <c r="AS53" s="354"/>
      <c r="AU53" s="406"/>
      <c r="AV53" s="55"/>
      <c r="AW53" s="333"/>
      <c r="AX53" s="406"/>
      <c r="AY53" s="406"/>
      <c r="AZ53" s="538"/>
    </row>
    <row r="54" spans="1:52">
      <c r="A54" s="5"/>
      <c r="B54" s="44" t="s">
        <v>3369</v>
      </c>
      <c r="C54" s="44" t="s">
        <v>2247</v>
      </c>
      <c r="D54" s="44" t="s">
        <v>3658</v>
      </c>
      <c r="E54" s="44" t="s">
        <v>1927</v>
      </c>
      <c r="F54" s="44" t="s">
        <v>1928</v>
      </c>
      <c r="G54" s="44" t="s">
        <v>3374</v>
      </c>
      <c r="H54" s="44" t="s">
        <v>116</v>
      </c>
      <c r="I54" s="44" t="s">
        <v>1931</v>
      </c>
      <c r="J54" s="328">
        <v>18</v>
      </c>
      <c r="K54" s="44">
        <v>12.22</v>
      </c>
      <c r="L54" s="44">
        <v>8.59</v>
      </c>
      <c r="M54" s="44">
        <v>6.57</v>
      </c>
      <c r="N54" s="44">
        <v>5.61</v>
      </c>
      <c r="O54" s="44">
        <v>4.3600000000000003</v>
      </c>
      <c r="P54" s="44">
        <v>3.68</v>
      </c>
      <c r="Q54" s="44">
        <v>3.19</v>
      </c>
      <c r="R54" s="44">
        <v>3.52</v>
      </c>
      <c r="S54" s="44">
        <v>0</v>
      </c>
      <c r="T54" s="44">
        <v>0</v>
      </c>
      <c r="U54" s="44">
        <v>0</v>
      </c>
      <c r="V54" s="44">
        <v>0</v>
      </c>
      <c r="W54" s="44">
        <v>0</v>
      </c>
      <c r="X54" s="44">
        <v>0</v>
      </c>
      <c r="Y54" s="44">
        <v>0</v>
      </c>
      <c r="Z54" s="44">
        <v>0</v>
      </c>
      <c r="AA54" s="44">
        <v>0</v>
      </c>
      <c r="AB54" s="44">
        <v>0</v>
      </c>
      <c r="AC54" s="44">
        <v>0</v>
      </c>
      <c r="AD54" s="44">
        <v>0</v>
      </c>
      <c r="AE54" s="44">
        <v>0</v>
      </c>
      <c r="AF54" s="44">
        <v>0</v>
      </c>
      <c r="AG54" s="44">
        <v>0</v>
      </c>
      <c r="AH54" s="44">
        <v>0</v>
      </c>
      <c r="AI54" s="44">
        <v>0</v>
      </c>
      <c r="AJ54" s="44">
        <v>0</v>
      </c>
      <c r="AK54" s="44">
        <v>0</v>
      </c>
      <c r="AL54" s="44">
        <v>0</v>
      </c>
      <c r="AM54" s="22" t="str">
        <f t="shared" si="4"/>
        <v>SUBS - Colombia</v>
      </c>
      <c r="AN54" s="333" t="s">
        <v>543</v>
      </c>
      <c r="AP54" s="471"/>
      <c r="AQ54" s="11"/>
      <c r="AR54" s="11"/>
      <c r="AS54" s="354"/>
      <c r="AU54" s="406"/>
      <c r="AV54" s="55"/>
      <c r="AW54" s="333"/>
      <c r="AX54" s="406"/>
      <c r="AY54" s="406"/>
      <c r="AZ54" s="538"/>
    </row>
    <row r="55" spans="1:52">
      <c r="A55" s="5"/>
      <c r="B55" s="44" t="s">
        <v>3369</v>
      </c>
      <c r="C55" s="44" t="s">
        <v>2247</v>
      </c>
      <c r="D55" s="44" t="s">
        <v>3659</v>
      </c>
      <c r="E55" s="44" t="s">
        <v>1927</v>
      </c>
      <c r="F55" s="44" t="s">
        <v>1928</v>
      </c>
      <c r="G55" s="44" t="s">
        <v>1932</v>
      </c>
      <c r="H55" s="44" t="s">
        <v>116</v>
      </c>
      <c r="I55" s="44" t="s">
        <v>1931</v>
      </c>
      <c r="J55" s="328">
        <v>31</v>
      </c>
      <c r="K55" s="44">
        <v>9.11</v>
      </c>
      <c r="L55" s="44">
        <v>6.4</v>
      </c>
      <c r="M55" s="44">
        <v>4.8899999999999997</v>
      </c>
      <c r="N55" s="44">
        <v>4.18</v>
      </c>
      <c r="O55" s="44">
        <v>3.25</v>
      </c>
      <c r="P55" s="44">
        <v>2.74</v>
      </c>
      <c r="Q55" s="44">
        <v>2.38</v>
      </c>
      <c r="R55" s="44">
        <v>0.49</v>
      </c>
      <c r="S55" s="44">
        <v>0</v>
      </c>
      <c r="T55" s="44">
        <v>0</v>
      </c>
      <c r="U55" s="44">
        <v>0</v>
      </c>
      <c r="V55" s="44">
        <v>0</v>
      </c>
      <c r="W55" s="44">
        <v>0</v>
      </c>
      <c r="X55" s="44">
        <v>0</v>
      </c>
      <c r="Y55" s="44">
        <v>0</v>
      </c>
      <c r="Z55" s="44">
        <v>0</v>
      </c>
      <c r="AA55" s="44">
        <v>0</v>
      </c>
      <c r="AB55" s="44">
        <v>0</v>
      </c>
      <c r="AC55" s="44">
        <v>0</v>
      </c>
      <c r="AD55" s="44">
        <v>0</v>
      </c>
      <c r="AE55" s="44">
        <v>0</v>
      </c>
      <c r="AF55" s="44">
        <v>0</v>
      </c>
      <c r="AG55" s="44">
        <v>0</v>
      </c>
      <c r="AH55" s="44">
        <v>0</v>
      </c>
      <c r="AI55" s="44">
        <v>0</v>
      </c>
      <c r="AJ55" s="44">
        <v>0</v>
      </c>
      <c r="AK55" s="44">
        <v>0</v>
      </c>
      <c r="AL55" s="44">
        <v>0</v>
      </c>
      <c r="AM55" s="22" t="str">
        <f t="shared" si="0"/>
        <v>SUBS - Colombia</v>
      </c>
      <c r="AN55" s="333" t="s">
        <v>543</v>
      </c>
      <c r="AP55" s="471"/>
      <c r="AQ55" s="11"/>
      <c r="AR55" s="11"/>
      <c r="AS55" s="354"/>
      <c r="AU55" s="406"/>
      <c r="AV55" s="55"/>
      <c r="AW55" s="333"/>
      <c r="AX55" s="406"/>
      <c r="AY55" s="406"/>
      <c r="AZ55" s="538"/>
    </row>
    <row r="56" spans="1:52">
      <c r="A56" s="5"/>
      <c r="B56" s="44" t="s">
        <v>3369</v>
      </c>
      <c r="C56" s="44" t="s">
        <v>2247</v>
      </c>
      <c r="D56" s="44" t="s">
        <v>2250</v>
      </c>
      <c r="E56" s="44" t="s">
        <v>1927</v>
      </c>
      <c r="F56" s="44" t="s">
        <v>1928</v>
      </c>
      <c r="G56" s="44" t="s">
        <v>1929</v>
      </c>
      <c r="H56" s="44" t="s">
        <v>116</v>
      </c>
      <c r="I56" s="44" t="s">
        <v>1931</v>
      </c>
      <c r="J56" s="328">
        <v>50</v>
      </c>
      <c r="K56" s="44">
        <v>5.37</v>
      </c>
      <c r="L56" s="44">
        <v>5.67</v>
      </c>
      <c r="M56" s="44">
        <v>4.45</v>
      </c>
      <c r="N56" s="44">
        <v>4.41</v>
      </c>
      <c r="O56" s="44">
        <v>6.32</v>
      </c>
      <c r="P56" s="44">
        <v>6.42</v>
      </c>
      <c r="Q56" s="44">
        <v>8.2799999999999994</v>
      </c>
      <c r="R56" s="44">
        <v>10.08</v>
      </c>
      <c r="S56" s="44">
        <v>0</v>
      </c>
      <c r="T56" s="44">
        <v>0</v>
      </c>
      <c r="U56" s="44">
        <v>0</v>
      </c>
      <c r="V56" s="44">
        <v>0</v>
      </c>
      <c r="W56" s="44">
        <v>0</v>
      </c>
      <c r="X56" s="44">
        <v>0</v>
      </c>
      <c r="Y56" s="44">
        <v>0</v>
      </c>
      <c r="Z56" s="44">
        <v>0</v>
      </c>
      <c r="AA56" s="44">
        <v>0</v>
      </c>
      <c r="AB56" s="44">
        <v>0</v>
      </c>
      <c r="AC56" s="44">
        <v>0</v>
      </c>
      <c r="AD56" s="44">
        <v>0</v>
      </c>
      <c r="AE56" s="44">
        <v>0</v>
      </c>
      <c r="AF56" s="44">
        <v>0</v>
      </c>
      <c r="AG56" s="44">
        <v>0</v>
      </c>
      <c r="AH56" s="44">
        <v>0</v>
      </c>
      <c r="AI56" s="44">
        <v>0</v>
      </c>
      <c r="AJ56" s="44">
        <v>0</v>
      </c>
      <c r="AK56" s="44">
        <v>0</v>
      </c>
      <c r="AL56" s="44">
        <v>0</v>
      </c>
      <c r="AM56" s="22" t="str">
        <f t="shared" si="0"/>
        <v>SUBS - Colombia</v>
      </c>
      <c r="AN56" s="333" t="s">
        <v>543</v>
      </c>
      <c r="AP56" s="471"/>
      <c r="AQ56" s="11"/>
      <c r="AR56" s="11"/>
      <c r="AS56" s="354"/>
      <c r="AU56" s="406"/>
      <c r="AV56" s="55"/>
      <c r="AW56" s="333"/>
      <c r="AX56" s="406"/>
      <c r="AY56" s="406"/>
      <c r="AZ56" s="538"/>
    </row>
    <row r="57" spans="1:52">
      <c r="A57" s="5"/>
      <c r="B57" s="44" t="s">
        <v>3369</v>
      </c>
      <c r="C57" s="44" t="s">
        <v>2251</v>
      </c>
      <c r="D57" s="44" t="s">
        <v>2929</v>
      </c>
      <c r="E57" s="44" t="s">
        <v>1927</v>
      </c>
      <c r="F57" s="44" t="s">
        <v>1928</v>
      </c>
      <c r="G57" s="44" t="s">
        <v>3374</v>
      </c>
      <c r="H57" s="44" t="s">
        <v>116</v>
      </c>
      <c r="I57" s="44" t="s">
        <v>1931</v>
      </c>
      <c r="J57" s="328">
        <v>100</v>
      </c>
      <c r="K57" s="44">
        <v>2.66</v>
      </c>
      <c r="L57" s="44">
        <v>2.82</v>
      </c>
      <c r="M57" s="44">
        <v>4.17</v>
      </c>
      <c r="N57" s="44">
        <v>3.64</v>
      </c>
      <c r="O57" s="44">
        <v>2.98</v>
      </c>
      <c r="P57" s="44">
        <v>3.03</v>
      </c>
      <c r="Q57" s="44">
        <v>4.4800000000000004</v>
      </c>
      <c r="R57" s="44">
        <v>2.21</v>
      </c>
      <c r="S57" s="44">
        <v>0</v>
      </c>
      <c r="T57" s="44">
        <v>0</v>
      </c>
      <c r="U57" s="44">
        <v>0</v>
      </c>
      <c r="V57" s="44">
        <v>0</v>
      </c>
      <c r="W57" s="44">
        <v>0</v>
      </c>
      <c r="X57" s="44">
        <v>0</v>
      </c>
      <c r="Y57" s="44">
        <v>0</v>
      </c>
      <c r="Z57" s="44">
        <v>0</v>
      </c>
      <c r="AA57" s="44">
        <v>0</v>
      </c>
      <c r="AB57" s="44">
        <v>0</v>
      </c>
      <c r="AC57" s="44">
        <v>0</v>
      </c>
      <c r="AD57" s="44">
        <v>0</v>
      </c>
      <c r="AE57" s="44">
        <v>0</v>
      </c>
      <c r="AF57" s="44">
        <v>0</v>
      </c>
      <c r="AG57" s="44">
        <v>0</v>
      </c>
      <c r="AH57" s="44">
        <v>0</v>
      </c>
      <c r="AI57" s="44">
        <v>0</v>
      </c>
      <c r="AJ57" s="44">
        <v>0</v>
      </c>
      <c r="AK57" s="44">
        <v>0</v>
      </c>
      <c r="AL57" s="44">
        <v>0</v>
      </c>
      <c r="AM57" s="22" t="str">
        <f t="shared" si="0"/>
        <v>SUBS - Egypt</v>
      </c>
      <c r="AN57" s="333" t="s">
        <v>543</v>
      </c>
      <c r="AP57" s="471"/>
      <c r="AQ57" s="11"/>
      <c r="AR57" s="11"/>
      <c r="AS57" s="354"/>
      <c r="AU57" s="406"/>
      <c r="AV57" s="55"/>
      <c r="AW57" s="333"/>
      <c r="AX57" s="406"/>
      <c r="AY57" s="406"/>
      <c r="AZ57" s="538"/>
    </row>
    <row r="58" spans="1:52">
      <c r="A58" s="5"/>
      <c r="B58" s="44" t="s">
        <v>3369</v>
      </c>
      <c r="C58" s="44" t="s">
        <v>2251</v>
      </c>
      <c r="D58" s="44" t="s">
        <v>3611</v>
      </c>
      <c r="E58" s="44" t="s">
        <v>1927</v>
      </c>
      <c r="F58" s="44" t="s">
        <v>2973</v>
      </c>
      <c r="G58" s="44" t="s">
        <v>1931</v>
      </c>
      <c r="H58" s="44" t="s">
        <v>116</v>
      </c>
      <c r="I58" s="44" t="s">
        <v>2571</v>
      </c>
      <c r="J58" s="328">
        <v>100</v>
      </c>
      <c r="K58" s="44">
        <v>0</v>
      </c>
      <c r="L58" s="44">
        <v>0</v>
      </c>
      <c r="M58" s="44">
        <v>0</v>
      </c>
      <c r="N58" s="44">
        <v>0</v>
      </c>
      <c r="O58" s="44">
        <v>0</v>
      </c>
      <c r="P58" s="44">
        <v>0</v>
      </c>
      <c r="Q58" s="44">
        <v>0</v>
      </c>
      <c r="R58" s="44">
        <v>0</v>
      </c>
      <c r="S58" s="44">
        <v>0</v>
      </c>
      <c r="T58" s="44">
        <v>0</v>
      </c>
      <c r="U58" s="44">
        <v>0</v>
      </c>
      <c r="V58" s="44">
        <v>0</v>
      </c>
      <c r="W58" s="44">
        <v>0</v>
      </c>
      <c r="X58" s="44">
        <v>0</v>
      </c>
      <c r="Y58" s="44">
        <v>0.18</v>
      </c>
      <c r="Z58" s="44">
        <v>2.39</v>
      </c>
      <c r="AA58" s="44">
        <v>3.63</v>
      </c>
      <c r="AB58" s="44">
        <v>3.63</v>
      </c>
      <c r="AC58" s="44">
        <v>3.59</v>
      </c>
      <c r="AD58" s="44">
        <v>3.59</v>
      </c>
      <c r="AE58" s="44">
        <v>3.59</v>
      </c>
      <c r="AF58" s="44">
        <v>3.59</v>
      </c>
      <c r="AG58" s="44">
        <v>3.59</v>
      </c>
      <c r="AH58" s="44">
        <v>5.75</v>
      </c>
      <c r="AI58" s="44">
        <v>5.77</v>
      </c>
      <c r="AJ58" s="44">
        <v>5.79</v>
      </c>
      <c r="AK58" s="44">
        <v>5.73</v>
      </c>
      <c r="AL58" s="44">
        <v>5.75</v>
      </c>
      <c r="AM58" s="22" t="str">
        <f t="shared" ref="AM58" si="5">AN58&amp;" - "&amp;C58</f>
        <v>SUBS - Egypt</v>
      </c>
      <c r="AN58" s="333" t="s">
        <v>543</v>
      </c>
      <c r="AP58" s="471"/>
      <c r="AQ58" s="11"/>
      <c r="AR58" s="11"/>
      <c r="AS58" s="354"/>
      <c r="AU58" s="406"/>
      <c r="AV58" s="55"/>
      <c r="AW58" s="333"/>
      <c r="AX58" s="406"/>
      <c r="AY58" s="406"/>
      <c r="AZ58" s="538"/>
    </row>
    <row r="59" spans="1:52">
      <c r="A59" s="5"/>
      <c r="B59" s="44" t="s">
        <v>3369</v>
      </c>
      <c r="C59" s="44" t="s">
        <v>2251</v>
      </c>
      <c r="D59" s="44" t="s">
        <v>2252</v>
      </c>
      <c r="E59" s="44" t="s">
        <v>1927</v>
      </c>
      <c r="F59" s="44" t="s">
        <v>2960</v>
      </c>
      <c r="G59" s="44" t="s">
        <v>1929</v>
      </c>
      <c r="H59" s="44" t="s">
        <v>116</v>
      </c>
      <c r="I59" s="44" t="s">
        <v>2600</v>
      </c>
      <c r="J59" s="328">
        <v>50</v>
      </c>
      <c r="K59" s="44">
        <v>1.88</v>
      </c>
      <c r="L59" s="44">
        <v>2</v>
      </c>
      <c r="M59" s="44">
        <v>1.96</v>
      </c>
      <c r="N59" s="44">
        <v>1.62</v>
      </c>
      <c r="O59" s="44">
        <v>2.14</v>
      </c>
      <c r="P59" s="44">
        <v>1.92</v>
      </c>
      <c r="Q59" s="44">
        <v>1.91</v>
      </c>
      <c r="R59" s="44">
        <v>1.58</v>
      </c>
      <c r="S59" s="44">
        <v>1.51</v>
      </c>
      <c r="T59" s="44">
        <v>1.54</v>
      </c>
      <c r="U59" s="44">
        <v>1.51</v>
      </c>
      <c r="V59" s="44">
        <v>1.34</v>
      </c>
      <c r="W59" s="44">
        <v>1.47</v>
      </c>
      <c r="X59" s="44">
        <v>1.06</v>
      </c>
      <c r="Y59" s="44">
        <v>0.98</v>
      </c>
      <c r="Z59" s="44">
        <v>1.47</v>
      </c>
      <c r="AA59" s="44">
        <v>2.09</v>
      </c>
      <c r="AB59" s="44">
        <v>1.78</v>
      </c>
      <c r="AC59" s="44">
        <v>1.44</v>
      </c>
      <c r="AD59" s="44">
        <v>1.25</v>
      </c>
      <c r="AE59" s="44">
        <v>0.97</v>
      </c>
      <c r="AF59" s="44">
        <v>0.82</v>
      </c>
      <c r="AG59" s="44">
        <v>0.69</v>
      </c>
      <c r="AH59" s="44">
        <v>0.37</v>
      </c>
      <c r="AI59" s="44">
        <v>0.31</v>
      </c>
      <c r="AJ59" s="44">
        <v>0.14000000000000001</v>
      </c>
      <c r="AK59" s="44">
        <v>0</v>
      </c>
      <c r="AL59" s="44">
        <v>0</v>
      </c>
      <c r="AM59" s="22" t="str">
        <f t="shared" si="0"/>
        <v>SUBS - Egypt</v>
      </c>
      <c r="AN59" s="333" t="s">
        <v>543</v>
      </c>
      <c r="AP59" s="471"/>
      <c r="AQ59" s="11"/>
      <c r="AR59" s="11"/>
      <c r="AS59" s="354"/>
      <c r="AU59" s="406"/>
      <c r="AV59" s="55"/>
      <c r="AW59" s="333"/>
      <c r="AX59" s="406"/>
      <c r="AY59" s="406"/>
      <c r="AZ59" s="538"/>
    </row>
    <row r="60" spans="1:52">
      <c r="A60" s="5"/>
      <c r="B60" s="44" t="s">
        <v>3369</v>
      </c>
      <c r="C60" s="44" t="s">
        <v>2251</v>
      </c>
      <c r="D60" s="44" t="s">
        <v>2253</v>
      </c>
      <c r="E60" s="44" t="s">
        <v>2254</v>
      </c>
      <c r="F60" s="44" t="s">
        <v>2960</v>
      </c>
      <c r="G60" s="44" t="s">
        <v>3374</v>
      </c>
      <c r="H60" s="44" t="s">
        <v>1930</v>
      </c>
      <c r="I60" s="44" t="s">
        <v>2600</v>
      </c>
      <c r="J60" s="328">
        <v>100</v>
      </c>
      <c r="K60" s="44">
        <v>2.4700000000000002</v>
      </c>
      <c r="L60" s="44">
        <v>1.91</v>
      </c>
      <c r="M60" s="44">
        <v>1.49</v>
      </c>
      <c r="N60" s="44">
        <v>1.1599999999999999</v>
      </c>
      <c r="O60" s="44">
        <v>0.92</v>
      </c>
      <c r="P60" s="44">
        <v>0.57999999999999996</v>
      </c>
      <c r="Q60" s="44">
        <v>0.48</v>
      </c>
      <c r="R60" s="44">
        <v>0.33</v>
      </c>
      <c r="S60" s="44">
        <v>0.5</v>
      </c>
      <c r="T60" s="44">
        <v>0.62</v>
      </c>
      <c r="U60" s="44">
        <v>0.56000000000000005</v>
      </c>
      <c r="V60" s="44">
        <v>0.49</v>
      </c>
      <c r="W60" s="44">
        <v>0.45</v>
      </c>
      <c r="X60" s="44">
        <v>0.41</v>
      </c>
      <c r="Y60" s="44">
        <v>0</v>
      </c>
      <c r="Z60" s="44">
        <v>0</v>
      </c>
      <c r="AA60" s="44">
        <v>0</v>
      </c>
      <c r="AB60" s="44">
        <v>0</v>
      </c>
      <c r="AC60" s="44">
        <v>0</v>
      </c>
      <c r="AD60" s="44">
        <v>0</v>
      </c>
      <c r="AE60" s="44">
        <v>0</v>
      </c>
      <c r="AF60" s="44">
        <v>0</v>
      </c>
      <c r="AG60" s="44">
        <v>0</v>
      </c>
      <c r="AH60" s="44">
        <v>0</v>
      </c>
      <c r="AI60" s="44">
        <v>0</v>
      </c>
      <c r="AJ60" s="44">
        <v>0</v>
      </c>
      <c r="AK60" s="44">
        <v>0</v>
      </c>
      <c r="AL60" s="44">
        <v>0</v>
      </c>
      <c r="AM60" s="22" t="str">
        <f t="shared" si="0"/>
        <v>SUBS - Egypt</v>
      </c>
      <c r="AN60" s="333" t="s">
        <v>543</v>
      </c>
      <c r="AP60" s="471"/>
      <c r="AQ60" s="11"/>
      <c r="AR60" s="11"/>
      <c r="AS60" s="354"/>
      <c r="AU60" s="406"/>
      <c r="AV60" s="55"/>
      <c r="AW60" s="333"/>
      <c r="AX60" s="406"/>
      <c r="AY60" s="406"/>
      <c r="AZ60" s="538"/>
    </row>
    <row r="61" spans="1:52">
      <c r="A61" s="5"/>
      <c r="B61" s="44" t="s">
        <v>3369</v>
      </c>
      <c r="C61" s="44" t="s">
        <v>2251</v>
      </c>
      <c r="D61" s="44" t="s">
        <v>2255</v>
      </c>
      <c r="E61" s="44" t="s">
        <v>2254</v>
      </c>
      <c r="F61" s="44" t="s">
        <v>2960</v>
      </c>
      <c r="G61" s="44" t="s">
        <v>3374</v>
      </c>
      <c r="H61" s="44" t="s">
        <v>116</v>
      </c>
      <c r="I61" s="44" t="s">
        <v>2571</v>
      </c>
      <c r="J61" s="328">
        <v>100</v>
      </c>
      <c r="K61" s="44">
        <v>1.0900000000000001</v>
      </c>
      <c r="L61" s="44">
        <v>0.93</v>
      </c>
      <c r="M61" s="44">
        <v>0.84</v>
      </c>
      <c r="N61" s="44">
        <v>0.77</v>
      </c>
      <c r="O61" s="44">
        <v>0.71</v>
      </c>
      <c r="P61" s="44">
        <v>0.67</v>
      </c>
      <c r="Q61" s="44">
        <v>0.63</v>
      </c>
      <c r="R61" s="44">
        <v>0.54</v>
      </c>
      <c r="S61" s="44">
        <v>0.43</v>
      </c>
      <c r="T61" s="44">
        <v>0.39</v>
      </c>
      <c r="U61" s="44">
        <v>0.35</v>
      </c>
      <c r="V61" s="44">
        <v>0.32</v>
      </c>
      <c r="W61" s="44">
        <v>0.3</v>
      </c>
      <c r="X61" s="44">
        <v>0</v>
      </c>
      <c r="Y61" s="44">
        <v>0</v>
      </c>
      <c r="Z61" s="44">
        <v>0</v>
      </c>
      <c r="AA61" s="44">
        <v>0</v>
      </c>
      <c r="AB61" s="44">
        <v>0</v>
      </c>
      <c r="AC61" s="44">
        <v>0</v>
      </c>
      <c r="AD61" s="44">
        <v>0</v>
      </c>
      <c r="AE61" s="44">
        <v>0</v>
      </c>
      <c r="AF61" s="44">
        <v>0</v>
      </c>
      <c r="AG61" s="44">
        <v>0</v>
      </c>
      <c r="AH61" s="44">
        <v>0</v>
      </c>
      <c r="AI61" s="44">
        <v>0</v>
      </c>
      <c r="AJ61" s="44">
        <v>0</v>
      </c>
      <c r="AK61" s="44">
        <v>0</v>
      </c>
      <c r="AL61" s="44">
        <v>0</v>
      </c>
      <c r="AM61" s="22" t="str">
        <f t="shared" si="0"/>
        <v>SUBS - Egypt</v>
      </c>
      <c r="AN61" s="333" t="s">
        <v>543</v>
      </c>
      <c r="AP61" s="471"/>
      <c r="AQ61" s="11"/>
      <c r="AR61" s="11"/>
      <c r="AS61" s="354"/>
      <c r="AU61" s="406"/>
      <c r="AV61" s="55"/>
      <c r="AW61" s="333"/>
      <c r="AX61" s="406"/>
      <c r="AY61" s="406"/>
      <c r="AZ61" s="538"/>
    </row>
    <row r="62" spans="1:52">
      <c r="A62" s="5"/>
      <c r="B62" s="44" t="s">
        <v>3369</v>
      </c>
      <c r="C62" s="44" t="s">
        <v>2251</v>
      </c>
      <c r="D62" s="44" t="s">
        <v>2256</v>
      </c>
      <c r="E62" s="44" t="s">
        <v>1927</v>
      </c>
      <c r="F62" s="44" t="s">
        <v>2960</v>
      </c>
      <c r="G62" s="44" t="s">
        <v>3374</v>
      </c>
      <c r="H62" s="44" t="s">
        <v>116</v>
      </c>
      <c r="I62" s="44" t="s">
        <v>2600</v>
      </c>
      <c r="J62" s="328">
        <v>100</v>
      </c>
      <c r="K62" s="44">
        <v>57.39</v>
      </c>
      <c r="L62" s="44">
        <v>50.51</v>
      </c>
      <c r="M62" s="44">
        <v>47.49</v>
      </c>
      <c r="N62" s="44">
        <v>27.34</v>
      </c>
      <c r="O62" s="44">
        <v>29.13</v>
      </c>
      <c r="P62" s="44">
        <v>24.04</v>
      </c>
      <c r="Q62" s="44">
        <v>28.78</v>
      </c>
      <c r="R62" s="44">
        <v>26.19</v>
      </c>
      <c r="S62" s="44">
        <v>23.59</v>
      </c>
      <c r="T62" s="44">
        <v>21.89</v>
      </c>
      <c r="U62" s="44">
        <v>20.18</v>
      </c>
      <c r="V62" s="44">
        <v>25.4</v>
      </c>
      <c r="W62" s="44">
        <v>34.01</v>
      </c>
      <c r="X62" s="44">
        <v>36.83</v>
      </c>
      <c r="Y62" s="44">
        <v>34.549999999999997</v>
      </c>
      <c r="Z62" s="44">
        <v>32.69</v>
      </c>
      <c r="AA62" s="44">
        <v>31.63</v>
      </c>
      <c r="AB62" s="44">
        <v>27.94</v>
      </c>
      <c r="AC62" s="44">
        <v>28.44</v>
      </c>
      <c r="AD62" s="44">
        <v>25.31</v>
      </c>
      <c r="AE62" s="44">
        <v>22.93</v>
      </c>
      <c r="AF62" s="44">
        <v>21.4</v>
      </c>
      <c r="AG62" s="44">
        <v>20.3</v>
      </c>
      <c r="AH62" s="44">
        <v>16.559999999999999</v>
      </c>
      <c r="AI62" s="44">
        <v>12.34</v>
      </c>
      <c r="AJ62" s="44">
        <v>10.54</v>
      </c>
      <c r="AK62" s="44">
        <v>10.06</v>
      </c>
      <c r="AL62" s="44">
        <v>9.73</v>
      </c>
      <c r="AM62" s="22" t="str">
        <f t="shared" si="0"/>
        <v>SUBS - Egypt</v>
      </c>
      <c r="AN62" s="333" t="s">
        <v>543</v>
      </c>
      <c r="AP62" s="471"/>
      <c r="AQ62" s="11"/>
      <c r="AR62" s="11"/>
      <c r="AS62" s="354"/>
      <c r="AU62" s="406"/>
      <c r="AV62" s="55"/>
      <c r="AW62" s="333"/>
      <c r="AX62" s="406"/>
      <c r="AY62" s="406"/>
      <c r="AZ62" s="538"/>
    </row>
    <row r="63" spans="1:52">
      <c r="A63" s="5"/>
      <c r="B63" s="44" t="s">
        <v>3369</v>
      </c>
      <c r="C63" s="44" t="s">
        <v>2251</v>
      </c>
      <c r="D63" s="44" t="s">
        <v>2257</v>
      </c>
      <c r="E63" s="44" t="s">
        <v>1927</v>
      </c>
      <c r="F63" s="44" t="s">
        <v>2960</v>
      </c>
      <c r="G63" s="44" t="s">
        <v>1929</v>
      </c>
      <c r="H63" s="44" t="s">
        <v>2966</v>
      </c>
      <c r="I63" s="44" t="s">
        <v>2600</v>
      </c>
      <c r="J63" s="328">
        <v>50</v>
      </c>
      <c r="K63" s="44">
        <v>3.99</v>
      </c>
      <c r="L63" s="44">
        <v>3.3</v>
      </c>
      <c r="M63" s="44">
        <v>4.4000000000000004</v>
      </c>
      <c r="N63" s="44">
        <v>3.83</v>
      </c>
      <c r="O63" s="44">
        <v>4.2</v>
      </c>
      <c r="P63" s="44">
        <v>3.85</v>
      </c>
      <c r="Q63" s="44">
        <v>4.3899999999999997</v>
      </c>
      <c r="R63" s="44">
        <v>4.42</v>
      </c>
      <c r="S63" s="44">
        <v>2.84</v>
      </c>
      <c r="T63" s="44">
        <v>1.84</v>
      </c>
      <c r="U63" s="44">
        <v>1.26</v>
      </c>
      <c r="V63" s="44">
        <v>1.01</v>
      </c>
      <c r="W63" s="44">
        <v>0.81</v>
      </c>
      <c r="X63" s="44">
        <v>0.76</v>
      </c>
      <c r="Y63" s="44">
        <v>0.67</v>
      </c>
      <c r="Z63" s="44">
        <v>0.6</v>
      </c>
      <c r="AA63" s="44">
        <v>0.66</v>
      </c>
      <c r="AB63" s="44">
        <v>0.56999999999999995</v>
      </c>
      <c r="AC63" s="44">
        <v>0.48</v>
      </c>
      <c r="AD63" s="44">
        <v>0.43</v>
      </c>
      <c r="AE63" s="44">
        <v>0.39</v>
      </c>
      <c r="AF63" s="44">
        <v>0.35</v>
      </c>
      <c r="AG63" s="44">
        <v>0.31</v>
      </c>
      <c r="AH63" s="44">
        <v>0.28999999999999998</v>
      </c>
      <c r="AI63" s="44">
        <v>0.26</v>
      </c>
      <c r="AJ63" s="44">
        <v>0.24</v>
      </c>
      <c r="AK63" s="44">
        <v>0.22</v>
      </c>
      <c r="AL63" s="44">
        <v>0.2</v>
      </c>
      <c r="AM63" s="22" t="str">
        <f t="shared" si="0"/>
        <v>SUBS - Egypt</v>
      </c>
      <c r="AN63" s="333" t="s">
        <v>543</v>
      </c>
      <c r="AP63" s="471"/>
      <c r="AQ63" s="11"/>
      <c r="AR63" s="11"/>
      <c r="AS63" s="354"/>
      <c r="AU63" s="406"/>
      <c r="AV63" s="55"/>
      <c r="AW63" s="333"/>
      <c r="AX63" s="406"/>
      <c r="AY63" s="406"/>
      <c r="AZ63" s="538"/>
    </row>
    <row r="64" spans="1:52">
      <c r="A64" s="5"/>
      <c r="B64" s="44" t="s">
        <v>3369</v>
      </c>
      <c r="C64" s="44" t="s">
        <v>2251</v>
      </c>
      <c r="D64" s="44" t="s">
        <v>3716</v>
      </c>
      <c r="E64" s="44" t="s">
        <v>1927</v>
      </c>
      <c r="F64" s="44" t="s">
        <v>1928</v>
      </c>
      <c r="G64" s="44" t="s">
        <v>1929</v>
      </c>
      <c r="H64" s="44" t="s">
        <v>116</v>
      </c>
      <c r="I64" s="44" t="s">
        <v>2600</v>
      </c>
      <c r="J64" s="328">
        <v>25</v>
      </c>
      <c r="K64" s="44">
        <v>7.0000000000000007E-2</v>
      </c>
      <c r="L64" s="44">
        <v>0.04</v>
      </c>
      <c r="M64" s="44">
        <v>0.02</v>
      </c>
      <c r="N64" s="44">
        <v>0</v>
      </c>
      <c r="O64" s="44">
        <v>0</v>
      </c>
      <c r="P64" s="44">
        <v>0</v>
      </c>
      <c r="Q64" s="44">
        <v>0</v>
      </c>
      <c r="R64" s="44">
        <v>0</v>
      </c>
      <c r="S64" s="44">
        <v>0.02</v>
      </c>
      <c r="T64" s="44">
        <v>0.04</v>
      </c>
      <c r="U64" s="44">
        <v>0.05</v>
      </c>
      <c r="V64" s="44">
        <v>0.06</v>
      </c>
      <c r="W64" s="44">
        <v>0.11</v>
      </c>
      <c r="X64" s="44">
        <v>0.63</v>
      </c>
      <c r="Y64" s="44">
        <v>1.2</v>
      </c>
      <c r="Z64" s="44">
        <v>1.2</v>
      </c>
      <c r="AA64" s="44">
        <v>1.2</v>
      </c>
      <c r="AB64" s="44">
        <v>0.88</v>
      </c>
      <c r="AC64" s="44">
        <v>0.57999999999999996</v>
      </c>
      <c r="AD64" s="44">
        <v>0.37</v>
      </c>
      <c r="AE64" s="44">
        <v>0.25</v>
      </c>
      <c r="AF64" s="44">
        <v>0</v>
      </c>
      <c r="AG64" s="44">
        <v>0</v>
      </c>
      <c r="AH64" s="44">
        <v>0</v>
      </c>
      <c r="AI64" s="44">
        <v>0</v>
      </c>
      <c r="AJ64" s="44">
        <v>0</v>
      </c>
      <c r="AK64" s="44">
        <v>0</v>
      </c>
      <c r="AL64" s="44">
        <v>0</v>
      </c>
      <c r="AM64" s="22" t="str">
        <f t="shared" si="0"/>
        <v>SUBS - Egypt</v>
      </c>
      <c r="AN64" s="333" t="s">
        <v>543</v>
      </c>
      <c r="AP64" s="471"/>
      <c r="AQ64" s="11"/>
      <c r="AR64" s="11"/>
      <c r="AS64" s="354"/>
      <c r="AU64" s="406"/>
      <c r="AV64" s="55"/>
      <c r="AW64" s="333"/>
      <c r="AX64" s="406"/>
      <c r="AY64" s="406"/>
      <c r="AZ64" s="538"/>
    </row>
    <row r="65" spans="1:52">
      <c r="A65" s="5"/>
      <c r="B65" s="44" t="s">
        <v>3369</v>
      </c>
      <c r="C65" s="44" t="s">
        <v>2251</v>
      </c>
      <c r="D65" s="44" t="s">
        <v>778</v>
      </c>
      <c r="E65" s="44" t="s">
        <v>3372</v>
      </c>
      <c r="F65" s="44" t="s">
        <v>2960</v>
      </c>
      <c r="G65" s="44" t="s">
        <v>1929</v>
      </c>
      <c r="H65" s="44" t="s">
        <v>116</v>
      </c>
      <c r="I65" s="44" t="s">
        <v>2600</v>
      </c>
      <c r="J65" s="328">
        <v>50</v>
      </c>
      <c r="K65" s="44">
        <v>0</v>
      </c>
      <c r="L65" s="44">
        <v>0</v>
      </c>
      <c r="M65" s="44">
        <v>0</v>
      </c>
      <c r="N65" s="44">
        <v>0</v>
      </c>
      <c r="O65" s="44">
        <v>0</v>
      </c>
      <c r="P65" s="44">
        <v>0</v>
      </c>
      <c r="Q65" s="44">
        <v>0</v>
      </c>
      <c r="R65" s="44">
        <v>0</v>
      </c>
      <c r="S65" s="44">
        <v>0</v>
      </c>
      <c r="T65" s="44">
        <v>0</v>
      </c>
      <c r="U65" s="44">
        <v>0</v>
      </c>
      <c r="V65" s="44">
        <v>0</v>
      </c>
      <c r="W65" s="44">
        <v>0</v>
      </c>
      <c r="X65" s="44">
        <v>0</v>
      </c>
      <c r="Y65" s="44">
        <v>0</v>
      </c>
      <c r="Z65" s="44">
        <v>0</v>
      </c>
      <c r="AA65" s="44">
        <v>0</v>
      </c>
      <c r="AB65" s="44">
        <v>0</v>
      </c>
      <c r="AC65" s="44">
        <v>0</v>
      </c>
      <c r="AD65" s="44">
        <v>2.5499999999999998</v>
      </c>
      <c r="AE65" s="44">
        <v>6.1</v>
      </c>
      <c r="AF65" s="44">
        <v>4.5599999999999996</v>
      </c>
      <c r="AG65" s="44">
        <v>3.42</v>
      </c>
      <c r="AH65" s="44">
        <v>2.56</v>
      </c>
      <c r="AI65" s="44">
        <v>1.92</v>
      </c>
      <c r="AJ65" s="44">
        <v>1.45</v>
      </c>
      <c r="AK65" s="44">
        <v>1.0900000000000001</v>
      </c>
      <c r="AL65" s="44">
        <v>0.93</v>
      </c>
      <c r="AM65" s="22" t="str">
        <f t="shared" si="0"/>
        <v>SUBS - Egypt</v>
      </c>
      <c r="AN65" s="333" t="s">
        <v>543</v>
      </c>
      <c r="AP65" s="471"/>
      <c r="AQ65" s="11"/>
      <c r="AR65" s="11"/>
      <c r="AS65" s="354"/>
      <c r="AU65" s="406"/>
      <c r="AV65" s="55"/>
      <c r="AW65" s="333"/>
      <c r="AX65" s="406"/>
      <c r="AY65" s="406"/>
      <c r="AZ65" s="538"/>
    </row>
    <row r="66" spans="1:52">
      <c r="A66" s="5"/>
      <c r="B66" s="44" t="s">
        <v>3369</v>
      </c>
      <c r="C66" s="44" t="s">
        <v>2251</v>
      </c>
      <c r="D66" s="44" t="s">
        <v>328</v>
      </c>
      <c r="E66" s="44" t="s">
        <v>1927</v>
      </c>
      <c r="F66" s="44" t="s">
        <v>2960</v>
      </c>
      <c r="G66" s="44" t="s">
        <v>3374</v>
      </c>
      <c r="H66" s="44" t="s">
        <v>1930</v>
      </c>
      <c r="I66" s="44" t="s">
        <v>2600</v>
      </c>
      <c r="J66" s="328">
        <v>100</v>
      </c>
      <c r="K66" s="44">
        <v>0.95</v>
      </c>
      <c r="L66" s="44">
        <v>0.82</v>
      </c>
      <c r="M66" s="44">
        <v>0.68</v>
      </c>
      <c r="N66" s="44">
        <v>0.61</v>
      </c>
      <c r="O66" s="44">
        <v>0.54</v>
      </c>
      <c r="P66" s="44">
        <v>0.47</v>
      </c>
      <c r="Q66" s="44">
        <v>0.44</v>
      </c>
      <c r="R66" s="44">
        <v>0.3</v>
      </c>
      <c r="S66" s="44">
        <v>0.21</v>
      </c>
      <c r="T66" s="44">
        <v>0.15</v>
      </c>
      <c r="U66" s="44">
        <v>0.11</v>
      </c>
      <c r="V66" s="44">
        <v>0.08</v>
      </c>
      <c r="W66" s="44">
        <v>7.0000000000000007E-2</v>
      </c>
      <c r="X66" s="44">
        <v>0</v>
      </c>
      <c r="Y66" s="44">
        <v>0</v>
      </c>
      <c r="Z66" s="44">
        <v>0</v>
      </c>
      <c r="AA66" s="44">
        <v>0</v>
      </c>
      <c r="AB66" s="44">
        <v>0</v>
      </c>
      <c r="AC66" s="44">
        <v>0</v>
      </c>
      <c r="AD66" s="44">
        <v>0</v>
      </c>
      <c r="AE66" s="44">
        <v>0</v>
      </c>
      <c r="AF66" s="44">
        <v>0</v>
      </c>
      <c r="AG66" s="44">
        <v>0</v>
      </c>
      <c r="AH66" s="44">
        <v>0</v>
      </c>
      <c r="AI66" s="44">
        <v>0</v>
      </c>
      <c r="AJ66" s="44">
        <v>0</v>
      </c>
      <c r="AK66" s="44">
        <v>0</v>
      </c>
      <c r="AL66" s="44">
        <v>0</v>
      </c>
      <c r="AM66" s="22" t="str">
        <f t="shared" si="0"/>
        <v>SUBS - Egypt</v>
      </c>
      <c r="AN66" s="333" t="s">
        <v>543</v>
      </c>
      <c r="AP66" s="471"/>
      <c r="AQ66" s="11"/>
      <c r="AR66" s="11"/>
      <c r="AS66" s="354"/>
      <c r="AU66" s="406"/>
      <c r="AV66" s="55"/>
      <c r="AW66" s="333"/>
      <c r="AX66" s="406"/>
      <c r="AY66" s="406"/>
      <c r="AZ66" s="538"/>
    </row>
    <row r="67" spans="1:52">
      <c r="A67" s="5"/>
      <c r="B67" s="44" t="s">
        <v>3369</v>
      </c>
      <c r="C67" s="44" t="s">
        <v>2251</v>
      </c>
      <c r="D67" s="44" t="s">
        <v>329</v>
      </c>
      <c r="E67" s="44" t="s">
        <v>1927</v>
      </c>
      <c r="F67" s="44" t="s">
        <v>2960</v>
      </c>
      <c r="G67" s="44" t="s">
        <v>3374</v>
      </c>
      <c r="H67" s="44" t="s">
        <v>1930</v>
      </c>
      <c r="I67" s="44" t="s">
        <v>2571</v>
      </c>
      <c r="J67" s="328">
        <v>50</v>
      </c>
      <c r="K67" s="44">
        <v>0</v>
      </c>
      <c r="L67" s="44">
        <v>0</v>
      </c>
      <c r="M67" s="44">
        <v>0</v>
      </c>
      <c r="N67" s="44">
        <v>0</v>
      </c>
      <c r="O67" s="44">
        <v>0</v>
      </c>
      <c r="P67" s="44">
        <v>0</v>
      </c>
      <c r="Q67" s="44">
        <v>0</v>
      </c>
      <c r="R67" s="44">
        <v>0</v>
      </c>
      <c r="S67" s="44">
        <v>0</v>
      </c>
      <c r="T67" s="44">
        <v>0.06</v>
      </c>
      <c r="U67" s="44">
        <v>0.32</v>
      </c>
      <c r="V67" s="44">
        <v>0.77</v>
      </c>
      <c r="W67" s="44">
        <v>0.77</v>
      </c>
      <c r="X67" s="44">
        <v>0</v>
      </c>
      <c r="Y67" s="44">
        <v>0</v>
      </c>
      <c r="Z67" s="44">
        <v>0</v>
      </c>
      <c r="AA67" s="44">
        <v>0</v>
      </c>
      <c r="AB67" s="44">
        <v>0</v>
      </c>
      <c r="AC67" s="44">
        <v>0</v>
      </c>
      <c r="AD67" s="44">
        <v>0</v>
      </c>
      <c r="AE67" s="44">
        <v>0</v>
      </c>
      <c r="AF67" s="44">
        <v>0</v>
      </c>
      <c r="AG67" s="44">
        <v>0</v>
      </c>
      <c r="AH67" s="44">
        <v>0</v>
      </c>
      <c r="AI67" s="44">
        <v>0</v>
      </c>
      <c r="AJ67" s="44">
        <v>0</v>
      </c>
      <c r="AK67" s="44">
        <v>0</v>
      </c>
      <c r="AL67" s="44">
        <v>0</v>
      </c>
      <c r="AM67" s="22" t="str">
        <f t="shared" si="0"/>
        <v>SUBS - Egypt</v>
      </c>
      <c r="AN67" s="333" t="s">
        <v>543</v>
      </c>
      <c r="AP67" s="471"/>
      <c r="AQ67" s="11"/>
      <c r="AR67" s="11"/>
      <c r="AS67" s="354"/>
      <c r="AU67" s="406"/>
      <c r="AV67" s="55"/>
      <c r="AW67" s="333"/>
      <c r="AX67" s="406"/>
      <c r="AY67" s="406"/>
      <c r="AZ67" s="538"/>
    </row>
    <row r="68" spans="1:52">
      <c r="A68" s="5"/>
      <c r="B68" s="44" t="s">
        <v>3369</v>
      </c>
      <c r="C68" s="44" t="s">
        <v>2251</v>
      </c>
      <c r="D68" s="44" t="s">
        <v>330</v>
      </c>
      <c r="E68" s="44" t="s">
        <v>1927</v>
      </c>
      <c r="F68" s="44" t="s">
        <v>2960</v>
      </c>
      <c r="G68" s="44" t="s">
        <v>3374</v>
      </c>
      <c r="H68" s="44" t="s">
        <v>1930</v>
      </c>
      <c r="I68" s="44" t="s">
        <v>2600</v>
      </c>
      <c r="J68" s="328">
        <v>100</v>
      </c>
      <c r="K68" s="44">
        <v>3.36</v>
      </c>
      <c r="L68" s="44">
        <v>2.91</v>
      </c>
      <c r="M68" s="44">
        <v>2.64</v>
      </c>
      <c r="N68" s="44">
        <v>1.89</v>
      </c>
      <c r="O68" s="44">
        <v>0.76</v>
      </c>
      <c r="P68" s="44">
        <v>0.6</v>
      </c>
      <c r="Q68" s="44">
        <v>0.55000000000000004</v>
      </c>
      <c r="R68" s="44">
        <v>0.45</v>
      </c>
      <c r="S68" s="44">
        <v>0.48</v>
      </c>
      <c r="T68" s="44">
        <v>0.42</v>
      </c>
      <c r="U68" s="44">
        <v>0.37</v>
      </c>
      <c r="V68" s="44">
        <v>0.37</v>
      </c>
      <c r="W68" s="44">
        <v>0.46</v>
      </c>
      <c r="X68" s="44">
        <v>0.32</v>
      </c>
      <c r="Y68" s="44">
        <v>0.27</v>
      </c>
      <c r="Z68" s="44">
        <v>0.24</v>
      </c>
      <c r="AA68" s="44">
        <v>0.22</v>
      </c>
      <c r="AB68" s="44">
        <v>0</v>
      </c>
      <c r="AC68" s="44">
        <v>0</v>
      </c>
      <c r="AD68" s="44">
        <v>0</v>
      </c>
      <c r="AE68" s="44">
        <v>0</v>
      </c>
      <c r="AF68" s="44">
        <v>0</v>
      </c>
      <c r="AG68" s="44">
        <v>0</v>
      </c>
      <c r="AH68" s="44">
        <v>0</v>
      </c>
      <c r="AI68" s="44">
        <v>0</v>
      </c>
      <c r="AJ68" s="44">
        <v>0</v>
      </c>
      <c r="AK68" s="44">
        <v>0</v>
      </c>
      <c r="AL68" s="44">
        <v>0</v>
      </c>
      <c r="AM68" s="22" t="str">
        <f t="shared" si="0"/>
        <v>SUBS - Egypt</v>
      </c>
      <c r="AN68" s="333" t="s">
        <v>543</v>
      </c>
      <c r="AP68" s="471"/>
      <c r="AQ68" s="11"/>
      <c r="AR68" s="11"/>
      <c r="AS68" s="354"/>
      <c r="AU68" s="406"/>
      <c r="AV68" s="55"/>
      <c r="AW68" s="333"/>
      <c r="AX68" s="406"/>
      <c r="AY68" s="406"/>
      <c r="AZ68" s="538"/>
    </row>
    <row r="69" spans="1:52">
      <c r="A69" s="5"/>
      <c r="B69" s="44" t="s">
        <v>3369</v>
      </c>
      <c r="C69" s="44" t="s">
        <v>2251</v>
      </c>
      <c r="D69" s="44" t="s">
        <v>132</v>
      </c>
      <c r="E69" s="44" t="s">
        <v>1927</v>
      </c>
      <c r="F69" s="44" t="s">
        <v>2960</v>
      </c>
      <c r="G69" s="44" t="s">
        <v>3374</v>
      </c>
      <c r="H69" s="44" t="s">
        <v>1930</v>
      </c>
      <c r="I69" s="44" t="s">
        <v>2600</v>
      </c>
      <c r="J69" s="328">
        <v>75</v>
      </c>
      <c r="K69" s="44">
        <v>2.84</v>
      </c>
      <c r="L69" s="44">
        <v>2.5099999999999998</v>
      </c>
      <c r="M69" s="44">
        <v>1.85</v>
      </c>
      <c r="N69" s="44">
        <v>1.49</v>
      </c>
      <c r="O69" s="44">
        <v>0.92</v>
      </c>
      <c r="P69" s="44">
        <v>0.28999999999999998</v>
      </c>
      <c r="Q69" s="44">
        <v>0.31</v>
      </c>
      <c r="R69" s="44">
        <v>0.28999999999999998</v>
      </c>
      <c r="S69" s="44">
        <v>0.28000000000000003</v>
      </c>
      <c r="T69" s="44">
        <v>0.22</v>
      </c>
      <c r="U69" s="44">
        <v>0.19</v>
      </c>
      <c r="V69" s="44">
        <v>3.98</v>
      </c>
      <c r="W69" s="44">
        <v>2.8</v>
      </c>
      <c r="X69" s="44">
        <v>3.14</v>
      </c>
      <c r="Y69" s="44">
        <v>3.05</v>
      </c>
      <c r="Z69" s="44">
        <v>2.29</v>
      </c>
      <c r="AA69" s="44">
        <v>1.8</v>
      </c>
      <c r="AB69" s="44">
        <v>1.42</v>
      </c>
      <c r="AC69" s="44">
        <v>1.1200000000000001</v>
      </c>
      <c r="AD69" s="44">
        <v>0.9</v>
      </c>
      <c r="AE69" s="44">
        <v>0</v>
      </c>
      <c r="AF69" s="44">
        <v>0</v>
      </c>
      <c r="AG69" s="44">
        <v>0</v>
      </c>
      <c r="AH69" s="44">
        <v>0</v>
      </c>
      <c r="AI69" s="44">
        <v>0</v>
      </c>
      <c r="AJ69" s="44">
        <v>0</v>
      </c>
      <c r="AK69" s="44">
        <v>0</v>
      </c>
      <c r="AL69" s="44">
        <v>0</v>
      </c>
      <c r="AM69" s="22" t="str">
        <f t="shared" si="0"/>
        <v>SUBS - Egypt</v>
      </c>
      <c r="AN69" s="333" t="s">
        <v>543</v>
      </c>
      <c r="AP69" s="471"/>
      <c r="AQ69" s="11"/>
      <c r="AR69" s="11"/>
      <c r="AS69" s="354"/>
      <c r="AU69" s="406"/>
      <c r="AV69" s="55"/>
      <c r="AW69" s="333"/>
      <c r="AX69" s="406"/>
      <c r="AY69" s="406"/>
      <c r="AZ69" s="538"/>
    </row>
    <row r="70" spans="1:52">
      <c r="A70" s="5"/>
      <c r="B70" s="44" t="s">
        <v>3369</v>
      </c>
      <c r="C70" s="44" t="s">
        <v>2251</v>
      </c>
      <c r="D70" s="44" t="s">
        <v>133</v>
      </c>
      <c r="E70" s="44" t="s">
        <v>1927</v>
      </c>
      <c r="F70" s="44" t="s">
        <v>2960</v>
      </c>
      <c r="G70" s="44" t="s">
        <v>3374</v>
      </c>
      <c r="H70" s="44" t="s">
        <v>1930</v>
      </c>
      <c r="I70" s="44" t="s">
        <v>2600</v>
      </c>
      <c r="J70" s="328">
        <v>100</v>
      </c>
      <c r="K70" s="44">
        <v>4</v>
      </c>
      <c r="L70" s="44">
        <v>2.67</v>
      </c>
      <c r="M70" s="44">
        <v>1.99</v>
      </c>
      <c r="N70" s="44">
        <v>1.6</v>
      </c>
      <c r="O70" s="44">
        <v>1.33</v>
      </c>
      <c r="P70" s="44">
        <v>1.1000000000000001</v>
      </c>
      <c r="Q70" s="44">
        <v>1.03</v>
      </c>
      <c r="R70" s="44">
        <v>0.84</v>
      </c>
      <c r="S70" s="44">
        <v>0.66</v>
      </c>
      <c r="T70" s="44">
        <v>0.57999999999999996</v>
      </c>
      <c r="U70" s="44">
        <v>0.47</v>
      </c>
      <c r="V70" s="44">
        <v>0.37</v>
      </c>
      <c r="W70" s="44">
        <v>0.61</v>
      </c>
      <c r="X70" s="44">
        <v>0.6</v>
      </c>
      <c r="Y70" s="44">
        <v>0.4</v>
      </c>
      <c r="Z70" s="44">
        <v>0.32</v>
      </c>
      <c r="AA70" s="44">
        <v>0.3</v>
      </c>
      <c r="AB70" s="44">
        <v>0</v>
      </c>
      <c r="AC70" s="44">
        <v>0</v>
      </c>
      <c r="AD70" s="44">
        <v>0</v>
      </c>
      <c r="AE70" s="44">
        <v>0</v>
      </c>
      <c r="AF70" s="44">
        <v>0</v>
      </c>
      <c r="AG70" s="44">
        <v>0</v>
      </c>
      <c r="AH70" s="44">
        <v>0</v>
      </c>
      <c r="AI70" s="44">
        <v>0</v>
      </c>
      <c r="AJ70" s="44">
        <v>0</v>
      </c>
      <c r="AK70" s="44">
        <v>0</v>
      </c>
      <c r="AL70" s="44">
        <v>0</v>
      </c>
      <c r="AM70" s="22" t="str">
        <f t="shared" si="0"/>
        <v>SUBS - Egypt</v>
      </c>
      <c r="AN70" s="333" t="s">
        <v>543</v>
      </c>
      <c r="AP70" s="471"/>
      <c r="AQ70" s="11"/>
      <c r="AR70" s="11"/>
      <c r="AS70" s="354"/>
      <c r="AU70" s="406"/>
      <c r="AV70" s="55"/>
      <c r="AW70" s="333"/>
      <c r="AX70" s="406"/>
      <c r="AY70" s="406"/>
      <c r="AZ70" s="538"/>
    </row>
    <row r="71" spans="1:52">
      <c r="A71" s="5"/>
      <c r="B71" s="44" t="s">
        <v>3369</v>
      </c>
      <c r="C71" s="44" t="s">
        <v>2251</v>
      </c>
      <c r="D71" s="44" t="s">
        <v>134</v>
      </c>
      <c r="E71" s="44" t="s">
        <v>1927</v>
      </c>
      <c r="F71" s="44" t="s">
        <v>2960</v>
      </c>
      <c r="G71" s="44" t="s">
        <v>1931</v>
      </c>
      <c r="H71" s="44" t="s">
        <v>2966</v>
      </c>
      <c r="I71" s="44" t="s">
        <v>2600</v>
      </c>
      <c r="J71" s="328">
        <v>50</v>
      </c>
      <c r="K71" s="44">
        <v>2.39</v>
      </c>
      <c r="L71" s="44">
        <v>1.55</v>
      </c>
      <c r="M71" s="44">
        <v>0.21</v>
      </c>
      <c r="N71" s="44">
        <v>2.2200000000000002</v>
      </c>
      <c r="O71" s="44">
        <v>8.39</v>
      </c>
      <c r="P71" s="44">
        <v>4.82</v>
      </c>
      <c r="Q71" s="44">
        <v>5.51</v>
      </c>
      <c r="R71" s="44">
        <v>4.67</v>
      </c>
      <c r="S71" s="44">
        <v>3.17</v>
      </c>
      <c r="T71" s="44">
        <v>3.67</v>
      </c>
      <c r="U71" s="44">
        <v>3.51</v>
      </c>
      <c r="V71" s="44">
        <v>2.96</v>
      </c>
      <c r="W71" s="44">
        <v>2.94</v>
      </c>
      <c r="X71" s="44">
        <v>2.82</v>
      </c>
      <c r="Y71" s="44">
        <v>1.99</v>
      </c>
      <c r="Z71" s="44">
        <v>1.43</v>
      </c>
      <c r="AA71" s="44">
        <v>1.02</v>
      </c>
      <c r="AB71" s="44">
        <v>0.7</v>
      </c>
      <c r="AC71" s="44">
        <v>0.48</v>
      </c>
      <c r="AD71" s="44">
        <v>0.34</v>
      </c>
      <c r="AE71" s="44">
        <v>0.24</v>
      </c>
      <c r="AF71" s="44">
        <v>0.17</v>
      </c>
      <c r="AG71" s="44">
        <v>0.15</v>
      </c>
      <c r="AH71" s="44">
        <v>0.13</v>
      </c>
      <c r="AI71" s="44">
        <v>0</v>
      </c>
      <c r="AJ71" s="44">
        <v>0</v>
      </c>
      <c r="AK71" s="44">
        <v>0</v>
      </c>
      <c r="AL71" s="44">
        <v>0</v>
      </c>
      <c r="AM71" s="22" t="str">
        <f t="shared" si="0"/>
        <v>SUBS - Egypt</v>
      </c>
      <c r="AN71" s="333" t="s">
        <v>543</v>
      </c>
      <c r="AP71" s="471"/>
      <c r="AQ71" s="11"/>
      <c r="AR71" s="11"/>
      <c r="AS71" s="354"/>
      <c r="AU71" s="406"/>
      <c r="AV71" s="55"/>
      <c r="AW71" s="333"/>
      <c r="AX71" s="406"/>
      <c r="AY71" s="406"/>
      <c r="AZ71" s="538"/>
    </row>
    <row r="72" spans="1:52">
      <c r="A72" s="5"/>
      <c r="B72" s="44" t="s">
        <v>3369</v>
      </c>
      <c r="C72" s="44" t="s">
        <v>2251</v>
      </c>
      <c r="D72" s="44" t="s">
        <v>3550</v>
      </c>
      <c r="E72" s="44" t="s">
        <v>1927</v>
      </c>
      <c r="F72" s="44" t="s">
        <v>2973</v>
      </c>
      <c r="G72" s="44" t="s">
        <v>1929</v>
      </c>
      <c r="H72" s="44" t="s">
        <v>116</v>
      </c>
      <c r="I72" s="44" t="s">
        <v>2571</v>
      </c>
      <c r="J72" s="328">
        <v>82.75</v>
      </c>
      <c r="K72" s="44">
        <v>0</v>
      </c>
      <c r="L72" s="44">
        <v>0</v>
      </c>
      <c r="M72" s="44">
        <v>0</v>
      </c>
      <c r="N72" s="44">
        <v>0</v>
      </c>
      <c r="O72" s="44">
        <v>0</v>
      </c>
      <c r="P72" s="44">
        <v>0</v>
      </c>
      <c r="Q72" s="44">
        <v>0</v>
      </c>
      <c r="R72" s="44">
        <v>0</v>
      </c>
      <c r="S72" s="44">
        <v>0</v>
      </c>
      <c r="T72" s="44">
        <v>0</v>
      </c>
      <c r="U72" s="44">
        <v>0</v>
      </c>
      <c r="V72" s="44">
        <v>0.02</v>
      </c>
      <c r="W72" s="44">
        <v>7.0000000000000007E-2</v>
      </c>
      <c r="X72" s="44">
        <v>0.13</v>
      </c>
      <c r="Y72" s="44">
        <v>1.18</v>
      </c>
      <c r="Z72" s="44">
        <v>1.43</v>
      </c>
      <c r="AA72" s="44">
        <v>4.3899999999999997</v>
      </c>
      <c r="AB72" s="44">
        <v>12.78</v>
      </c>
      <c r="AC72" s="44">
        <v>15.43</v>
      </c>
      <c r="AD72" s="44">
        <v>15.45</v>
      </c>
      <c r="AE72" s="44">
        <v>15.13</v>
      </c>
      <c r="AF72" s="44">
        <v>15.82</v>
      </c>
      <c r="AG72" s="44">
        <v>13.68</v>
      </c>
      <c r="AH72" s="44">
        <v>12.31</v>
      </c>
      <c r="AI72" s="44">
        <v>11.21</v>
      </c>
      <c r="AJ72" s="44">
        <v>10.32</v>
      </c>
      <c r="AK72" s="44">
        <v>9.9499999999999993</v>
      </c>
      <c r="AL72" s="44">
        <v>8.75</v>
      </c>
      <c r="AM72" s="22" t="str">
        <f t="shared" si="0"/>
        <v>SUBS - Egypt</v>
      </c>
      <c r="AN72" s="333" t="s">
        <v>543</v>
      </c>
      <c r="AP72" s="471"/>
      <c r="AQ72" s="11"/>
      <c r="AR72" s="11"/>
      <c r="AS72" s="354"/>
      <c r="AU72" s="406"/>
      <c r="AV72" s="55"/>
      <c r="AW72" s="333"/>
      <c r="AX72" s="406"/>
      <c r="AY72" s="406"/>
      <c r="AZ72" s="538"/>
    </row>
    <row r="73" spans="1:52">
      <c r="A73" s="5"/>
      <c r="B73" s="44" t="s">
        <v>3369</v>
      </c>
      <c r="C73" s="44" t="s">
        <v>3007</v>
      </c>
      <c r="D73" s="44" t="s">
        <v>3006</v>
      </c>
      <c r="E73" s="44" t="s">
        <v>1927</v>
      </c>
      <c r="F73" s="44" t="s">
        <v>2973</v>
      </c>
      <c r="G73" s="44" t="s">
        <v>1931</v>
      </c>
      <c r="H73" s="44" t="s">
        <v>116</v>
      </c>
      <c r="I73" s="44" t="s">
        <v>2571</v>
      </c>
      <c r="J73" s="328">
        <v>30</v>
      </c>
      <c r="K73" s="44">
        <v>0</v>
      </c>
      <c r="L73" s="44">
        <v>0</v>
      </c>
      <c r="M73" s="44">
        <v>0</v>
      </c>
      <c r="N73" s="44">
        <v>0</v>
      </c>
      <c r="O73" s="44">
        <v>0</v>
      </c>
      <c r="P73" s="44">
        <v>0</v>
      </c>
      <c r="Q73" s="44">
        <v>0</v>
      </c>
      <c r="R73" s="44">
        <v>0</v>
      </c>
      <c r="S73" s="44">
        <v>1.58</v>
      </c>
      <c r="T73" s="44">
        <v>2.66</v>
      </c>
      <c r="U73" s="44">
        <v>2</v>
      </c>
      <c r="V73" s="44">
        <v>1.86</v>
      </c>
      <c r="W73" s="44">
        <v>1.54</v>
      </c>
      <c r="X73" s="44">
        <v>1.05</v>
      </c>
      <c r="Y73" s="44">
        <v>0.79</v>
      </c>
      <c r="Z73" s="44">
        <v>0.59</v>
      </c>
      <c r="AA73" s="44">
        <v>0.44</v>
      </c>
      <c r="AB73" s="44">
        <v>0.35</v>
      </c>
      <c r="AC73" s="44">
        <v>0.28000000000000003</v>
      </c>
      <c r="AD73" s="44">
        <v>0.65</v>
      </c>
      <c r="AE73" s="44">
        <v>2.35</v>
      </c>
      <c r="AF73" s="44">
        <v>3.09</v>
      </c>
      <c r="AG73" s="44">
        <v>4.53</v>
      </c>
      <c r="AH73" s="44">
        <v>4.42</v>
      </c>
      <c r="AI73" s="44">
        <v>4.42</v>
      </c>
      <c r="AJ73" s="44">
        <v>3.82</v>
      </c>
      <c r="AK73" s="44">
        <v>2.76</v>
      </c>
      <c r="AL73" s="44">
        <v>2.59</v>
      </c>
      <c r="AM73" s="22" t="str">
        <f t="shared" ref="AM73:AM163" si="6">AN73&amp;" - "&amp;C73</f>
        <v>SUBS - India</v>
      </c>
      <c r="AN73" s="333" t="s">
        <v>543</v>
      </c>
      <c r="AP73" s="471"/>
      <c r="AQ73" s="11"/>
      <c r="AR73" s="11"/>
      <c r="AS73" s="354"/>
      <c r="AU73" s="406"/>
      <c r="AV73" s="55"/>
      <c r="AW73" s="333"/>
      <c r="AX73" s="406"/>
      <c r="AY73" s="406"/>
      <c r="AZ73" s="538"/>
    </row>
    <row r="74" spans="1:52">
      <c r="A74" s="5"/>
      <c r="B74" s="44" t="s">
        <v>3369</v>
      </c>
      <c r="C74" s="44" t="s">
        <v>135</v>
      </c>
      <c r="D74" s="44" t="s">
        <v>2596</v>
      </c>
      <c r="E74" s="44" t="s">
        <v>1927</v>
      </c>
      <c r="F74" s="44" t="s">
        <v>2960</v>
      </c>
      <c r="G74" s="44" t="s">
        <v>1931</v>
      </c>
      <c r="H74" s="44" t="s">
        <v>116</v>
      </c>
      <c r="I74" s="44" t="s">
        <v>2600</v>
      </c>
      <c r="J74" s="328">
        <v>100</v>
      </c>
      <c r="K74" s="44">
        <v>0.8</v>
      </c>
      <c r="L74" s="44">
        <v>0.42</v>
      </c>
      <c r="M74" s="44">
        <v>0</v>
      </c>
      <c r="N74" s="44">
        <v>0</v>
      </c>
      <c r="O74" s="44">
        <v>0</v>
      </c>
      <c r="P74" s="44">
        <v>0</v>
      </c>
      <c r="Q74" s="44">
        <v>0</v>
      </c>
      <c r="R74" s="44">
        <v>0</v>
      </c>
      <c r="S74" s="44">
        <v>0</v>
      </c>
      <c r="T74" s="44">
        <v>0</v>
      </c>
      <c r="U74" s="44">
        <v>0</v>
      </c>
      <c r="V74" s="44">
        <v>0</v>
      </c>
      <c r="W74" s="44">
        <v>0</v>
      </c>
      <c r="X74" s="44">
        <v>0</v>
      </c>
      <c r="Y74" s="44">
        <v>0</v>
      </c>
      <c r="Z74" s="44">
        <v>0</v>
      </c>
      <c r="AA74" s="44">
        <v>0</v>
      </c>
      <c r="AB74" s="44">
        <v>0</v>
      </c>
      <c r="AC74" s="44">
        <v>0</v>
      </c>
      <c r="AD74" s="44">
        <v>0</v>
      </c>
      <c r="AE74" s="44">
        <v>0</v>
      </c>
      <c r="AF74" s="44">
        <v>0</v>
      </c>
      <c r="AG74" s="44">
        <v>0</v>
      </c>
      <c r="AH74" s="44">
        <v>0</v>
      </c>
      <c r="AI74" s="44">
        <v>0</v>
      </c>
      <c r="AJ74" s="44">
        <v>0</v>
      </c>
      <c r="AK74" s="44">
        <v>0</v>
      </c>
      <c r="AL74" s="44">
        <v>0</v>
      </c>
      <c r="AM74" s="648" t="s">
        <v>1819</v>
      </c>
      <c r="AN74" s="333" t="s">
        <v>543</v>
      </c>
      <c r="AP74" s="471"/>
      <c r="AQ74" s="11"/>
      <c r="AR74" s="11"/>
      <c r="AS74" s="354"/>
      <c r="AU74" s="406"/>
      <c r="AV74" s="55"/>
      <c r="AW74" s="333"/>
      <c r="AX74" s="406"/>
      <c r="AY74" s="406"/>
      <c r="AZ74" s="538"/>
    </row>
    <row r="75" spans="1:52">
      <c r="A75" s="5"/>
      <c r="B75" s="44" t="s">
        <v>3369</v>
      </c>
      <c r="C75" s="44" t="s">
        <v>135</v>
      </c>
      <c r="D75" s="44" t="s">
        <v>136</v>
      </c>
      <c r="E75" s="44" t="s">
        <v>1927</v>
      </c>
      <c r="F75" s="44" t="s">
        <v>2960</v>
      </c>
      <c r="G75" s="44" t="s">
        <v>3374</v>
      </c>
      <c r="H75" s="44" t="s">
        <v>116</v>
      </c>
      <c r="I75" s="44" t="s">
        <v>2600</v>
      </c>
      <c r="J75" s="328">
        <v>46</v>
      </c>
      <c r="K75" s="44">
        <v>8.48</v>
      </c>
      <c r="L75" s="44">
        <v>6.37</v>
      </c>
      <c r="M75" s="44">
        <v>5.72</v>
      </c>
      <c r="N75" s="44">
        <v>5.8</v>
      </c>
      <c r="O75" s="44">
        <v>4.8600000000000003</v>
      </c>
      <c r="P75" s="44">
        <v>4.8600000000000003</v>
      </c>
      <c r="Q75" s="44">
        <v>2.38</v>
      </c>
      <c r="R75" s="44">
        <v>0</v>
      </c>
      <c r="S75" s="44">
        <v>0</v>
      </c>
      <c r="T75" s="44">
        <v>0</v>
      </c>
      <c r="U75" s="44">
        <v>0</v>
      </c>
      <c r="V75" s="44">
        <v>0</v>
      </c>
      <c r="W75" s="44">
        <v>0</v>
      </c>
      <c r="X75" s="44">
        <v>0</v>
      </c>
      <c r="Y75" s="44">
        <v>0</v>
      </c>
      <c r="Z75" s="44">
        <v>0</v>
      </c>
      <c r="AA75" s="44">
        <v>0</v>
      </c>
      <c r="AB75" s="44">
        <v>0</v>
      </c>
      <c r="AC75" s="44">
        <v>0</v>
      </c>
      <c r="AD75" s="44">
        <v>0</v>
      </c>
      <c r="AE75" s="44">
        <v>0</v>
      </c>
      <c r="AF75" s="44">
        <v>0</v>
      </c>
      <c r="AG75" s="44">
        <v>0</v>
      </c>
      <c r="AH75" s="44">
        <v>0</v>
      </c>
      <c r="AI75" s="44">
        <v>0</v>
      </c>
      <c r="AJ75" s="44">
        <v>0</v>
      </c>
      <c r="AK75" s="44">
        <v>0</v>
      </c>
      <c r="AL75" s="44">
        <v>0</v>
      </c>
      <c r="AM75" s="649" t="s">
        <v>1819</v>
      </c>
      <c r="AN75" s="333" t="s">
        <v>543</v>
      </c>
      <c r="AP75" s="471"/>
      <c r="AQ75" s="11"/>
      <c r="AR75" s="11"/>
      <c r="AS75" s="354"/>
      <c r="AU75" s="406"/>
      <c r="AV75" s="55"/>
      <c r="AW75" s="333"/>
      <c r="AX75" s="406"/>
      <c r="AY75" s="406"/>
      <c r="AZ75" s="538"/>
    </row>
    <row r="76" spans="1:52">
      <c r="A76" s="5"/>
      <c r="B76" s="44" t="s">
        <v>3369</v>
      </c>
      <c r="C76" s="44" t="s">
        <v>135</v>
      </c>
      <c r="D76" s="44" t="s">
        <v>688</v>
      </c>
      <c r="E76" s="44" t="s">
        <v>1927</v>
      </c>
      <c r="F76" s="44" t="s">
        <v>1928</v>
      </c>
      <c r="G76" s="44" t="s">
        <v>1931</v>
      </c>
      <c r="H76" s="44" t="s">
        <v>2966</v>
      </c>
      <c r="I76" s="44" t="s">
        <v>1931</v>
      </c>
      <c r="J76" s="328">
        <v>26.25</v>
      </c>
      <c r="K76" s="44">
        <v>0.11</v>
      </c>
      <c r="L76" s="44">
        <v>0.09</v>
      </c>
      <c r="M76" s="44">
        <v>0.08</v>
      </c>
      <c r="N76" s="44">
        <v>0</v>
      </c>
      <c r="O76" s="44">
        <v>0</v>
      </c>
      <c r="P76" s="44">
        <v>0</v>
      </c>
      <c r="Q76" s="44">
        <v>0</v>
      </c>
      <c r="R76" s="44">
        <v>0</v>
      </c>
      <c r="S76" s="44">
        <v>0</v>
      </c>
      <c r="T76" s="44">
        <v>0</v>
      </c>
      <c r="U76" s="44">
        <v>0</v>
      </c>
      <c r="V76" s="44">
        <v>0</v>
      </c>
      <c r="W76" s="44">
        <v>0</v>
      </c>
      <c r="X76" s="44">
        <v>0</v>
      </c>
      <c r="Y76" s="44">
        <v>0</v>
      </c>
      <c r="Z76" s="44">
        <v>0</v>
      </c>
      <c r="AA76" s="44">
        <v>0</v>
      </c>
      <c r="AB76" s="44">
        <v>0</v>
      </c>
      <c r="AC76" s="44">
        <v>0</v>
      </c>
      <c r="AD76" s="44">
        <v>0</v>
      </c>
      <c r="AE76" s="44">
        <v>0</v>
      </c>
      <c r="AF76" s="44">
        <v>0</v>
      </c>
      <c r="AG76" s="44">
        <v>0</v>
      </c>
      <c r="AH76" s="44">
        <v>0</v>
      </c>
      <c r="AI76" s="44">
        <v>0</v>
      </c>
      <c r="AJ76" s="44">
        <v>0</v>
      </c>
      <c r="AK76" s="44">
        <v>0</v>
      </c>
      <c r="AL76" s="44">
        <v>0</v>
      </c>
      <c r="AM76" s="649" t="s">
        <v>1819</v>
      </c>
      <c r="AN76" s="333" t="s">
        <v>543</v>
      </c>
      <c r="AP76" s="471"/>
      <c r="AQ76" s="11"/>
      <c r="AR76" s="11"/>
      <c r="AS76" s="354"/>
      <c r="AU76" s="406"/>
      <c r="AV76" s="55"/>
      <c r="AW76" s="333"/>
      <c r="AX76" s="406"/>
      <c r="AY76" s="406"/>
      <c r="AZ76" s="538"/>
    </row>
    <row r="77" spans="1:52">
      <c r="A77" s="5"/>
      <c r="B77" s="44" t="s">
        <v>3369</v>
      </c>
      <c r="C77" s="44" t="s">
        <v>135</v>
      </c>
      <c r="D77" s="44" t="s">
        <v>137</v>
      </c>
      <c r="E77" s="44" t="s">
        <v>1927</v>
      </c>
      <c r="F77" s="44" t="s">
        <v>1928</v>
      </c>
      <c r="G77" s="44" t="s">
        <v>3374</v>
      </c>
      <c r="H77" s="44" t="s">
        <v>2966</v>
      </c>
      <c r="I77" s="44" t="s">
        <v>1931</v>
      </c>
      <c r="J77" s="328">
        <v>26.25</v>
      </c>
      <c r="K77" s="44">
        <v>3.38</v>
      </c>
      <c r="L77" s="44">
        <v>2.98</v>
      </c>
      <c r="M77" s="44">
        <v>2.1</v>
      </c>
      <c r="N77" s="44">
        <v>1.75</v>
      </c>
      <c r="O77" s="44">
        <v>1.81</v>
      </c>
      <c r="P77" s="44">
        <v>1.93</v>
      </c>
      <c r="Q77" s="44">
        <v>2.4</v>
      </c>
      <c r="R77" s="44">
        <v>1.96</v>
      </c>
      <c r="S77" s="44">
        <v>1.54</v>
      </c>
      <c r="T77" s="44">
        <v>1.6</v>
      </c>
      <c r="U77" s="44">
        <v>1.5</v>
      </c>
      <c r="V77" s="44">
        <v>1.54</v>
      </c>
      <c r="W77" s="44">
        <v>2.0499999999999998</v>
      </c>
      <c r="X77" s="44">
        <v>1.51</v>
      </c>
      <c r="Y77" s="44">
        <v>0</v>
      </c>
      <c r="Z77" s="44">
        <v>0</v>
      </c>
      <c r="AA77" s="44">
        <v>0</v>
      </c>
      <c r="AB77" s="44">
        <v>0</v>
      </c>
      <c r="AC77" s="44">
        <v>0</v>
      </c>
      <c r="AD77" s="44">
        <v>0</v>
      </c>
      <c r="AE77" s="44">
        <v>0</v>
      </c>
      <c r="AF77" s="44">
        <v>0</v>
      </c>
      <c r="AG77" s="44">
        <v>0</v>
      </c>
      <c r="AH77" s="44">
        <v>0</v>
      </c>
      <c r="AI77" s="44">
        <v>0</v>
      </c>
      <c r="AJ77" s="44">
        <v>0</v>
      </c>
      <c r="AK77" s="44">
        <v>0</v>
      </c>
      <c r="AL77" s="44">
        <v>0</v>
      </c>
      <c r="AM77" s="649" t="s">
        <v>1819</v>
      </c>
      <c r="AN77" s="333" t="s">
        <v>543</v>
      </c>
      <c r="AP77" s="471"/>
      <c r="AQ77" s="11"/>
      <c r="AR77" s="11"/>
      <c r="AS77" s="354"/>
      <c r="AU77" s="406"/>
      <c r="AV77" s="55"/>
      <c r="AW77" s="333"/>
      <c r="AX77" s="406"/>
      <c r="AY77" s="406"/>
      <c r="AZ77" s="538"/>
    </row>
    <row r="78" spans="1:52">
      <c r="A78" s="5"/>
      <c r="B78" s="44" t="s">
        <v>3369</v>
      </c>
      <c r="C78" s="44" t="s">
        <v>135</v>
      </c>
      <c r="D78" s="44" t="s">
        <v>689</v>
      </c>
      <c r="E78" s="44" t="s">
        <v>2970</v>
      </c>
      <c r="F78" s="44" t="s">
        <v>2960</v>
      </c>
      <c r="G78" s="44" t="s">
        <v>1931</v>
      </c>
      <c r="H78" s="44" t="s">
        <v>2966</v>
      </c>
      <c r="I78" s="44" t="s">
        <v>2600</v>
      </c>
      <c r="J78" s="328">
        <v>40.22</v>
      </c>
      <c r="K78" s="44">
        <v>0</v>
      </c>
      <c r="L78" s="44">
        <v>0</v>
      </c>
      <c r="M78" s="44">
        <v>0</v>
      </c>
      <c r="N78" s="44">
        <v>0</v>
      </c>
      <c r="O78" s="44">
        <v>0</v>
      </c>
      <c r="P78" s="44">
        <v>0</v>
      </c>
      <c r="Q78" s="44">
        <v>0</v>
      </c>
      <c r="R78" s="44">
        <v>0</v>
      </c>
      <c r="S78" s="44">
        <v>0</v>
      </c>
      <c r="T78" s="44">
        <v>0</v>
      </c>
      <c r="U78" s="44">
        <v>0</v>
      </c>
      <c r="V78" s="44">
        <v>0</v>
      </c>
      <c r="W78" s="44">
        <v>0</v>
      </c>
      <c r="X78" s="44">
        <v>0</v>
      </c>
      <c r="Y78" s="44">
        <v>0</v>
      </c>
      <c r="Z78" s="44">
        <v>0</v>
      </c>
      <c r="AA78" s="44">
        <v>0</v>
      </c>
      <c r="AB78" s="44">
        <v>0</v>
      </c>
      <c r="AC78" s="44">
        <v>0.49</v>
      </c>
      <c r="AD78" s="44">
        <v>0.84</v>
      </c>
      <c r="AE78" s="44">
        <v>0.9</v>
      </c>
      <c r="AF78" s="44">
        <v>0.91</v>
      </c>
      <c r="AG78" s="44">
        <v>0.91</v>
      </c>
      <c r="AH78" s="44">
        <v>0.93</v>
      </c>
      <c r="AI78" s="44">
        <v>0.94</v>
      </c>
      <c r="AJ78" s="44">
        <v>0.96</v>
      </c>
      <c r="AK78" s="44">
        <v>0.95</v>
      </c>
      <c r="AL78" s="44">
        <v>0.92</v>
      </c>
      <c r="AM78" s="649" t="s">
        <v>1819</v>
      </c>
      <c r="AN78" s="333" t="s">
        <v>543</v>
      </c>
      <c r="AP78" s="471"/>
      <c r="AQ78" s="11"/>
      <c r="AR78" s="11"/>
      <c r="AS78" s="354"/>
      <c r="AU78" s="406"/>
      <c r="AV78" s="55"/>
      <c r="AW78" s="333"/>
      <c r="AX78" s="406"/>
      <c r="AY78" s="406"/>
      <c r="AZ78" s="538"/>
    </row>
    <row r="79" spans="1:52">
      <c r="A79" s="5"/>
      <c r="B79" s="44" t="s">
        <v>3369</v>
      </c>
      <c r="C79" s="44" t="s">
        <v>135</v>
      </c>
      <c r="D79" s="44" t="s">
        <v>690</v>
      </c>
      <c r="E79" s="44" t="s">
        <v>1927</v>
      </c>
      <c r="F79" s="44" t="s">
        <v>2960</v>
      </c>
      <c r="G79" s="44" t="s">
        <v>1931</v>
      </c>
      <c r="H79" s="44" t="s">
        <v>2966</v>
      </c>
      <c r="I79" s="44" t="s">
        <v>2600</v>
      </c>
      <c r="J79" s="328">
        <v>40.22</v>
      </c>
      <c r="K79" s="44">
        <v>0</v>
      </c>
      <c r="L79" s="44">
        <v>0</v>
      </c>
      <c r="M79" s="44">
        <v>0</v>
      </c>
      <c r="N79" s="44">
        <v>0</v>
      </c>
      <c r="O79" s="44">
        <v>0</v>
      </c>
      <c r="P79" s="44">
        <v>0</v>
      </c>
      <c r="Q79" s="44">
        <v>0.24</v>
      </c>
      <c r="R79" s="44">
        <v>1.59</v>
      </c>
      <c r="S79" s="44">
        <v>1.35</v>
      </c>
      <c r="T79" s="44">
        <v>1.5</v>
      </c>
      <c r="U79" s="44">
        <v>1.5</v>
      </c>
      <c r="V79" s="44">
        <v>1.55</v>
      </c>
      <c r="W79" s="44">
        <v>1.58</v>
      </c>
      <c r="X79" s="44">
        <v>1.63</v>
      </c>
      <c r="Y79" s="44">
        <v>1.67</v>
      </c>
      <c r="Z79" s="44">
        <v>1.69</v>
      </c>
      <c r="AA79" s="44">
        <v>1.67</v>
      </c>
      <c r="AB79" s="44">
        <v>1.65</v>
      </c>
      <c r="AC79" s="44">
        <v>1.71</v>
      </c>
      <c r="AD79" s="44">
        <v>1.71</v>
      </c>
      <c r="AE79" s="44">
        <v>1.75</v>
      </c>
      <c r="AF79" s="44">
        <v>1.75</v>
      </c>
      <c r="AG79" s="44">
        <v>1.81</v>
      </c>
      <c r="AH79" s="44">
        <v>1.83</v>
      </c>
      <c r="AI79" s="44">
        <v>1.81</v>
      </c>
      <c r="AJ79" s="44">
        <v>1.8</v>
      </c>
      <c r="AK79" s="44">
        <v>1.77</v>
      </c>
      <c r="AL79" s="44">
        <v>1.74</v>
      </c>
      <c r="AM79" s="649" t="s">
        <v>1818</v>
      </c>
      <c r="AN79" s="333" t="s">
        <v>543</v>
      </c>
      <c r="AP79" s="471"/>
      <c r="AQ79" s="11"/>
      <c r="AR79" s="11"/>
      <c r="AS79" s="354"/>
      <c r="AU79" s="406"/>
      <c r="AV79" s="55"/>
      <c r="AW79" s="333"/>
      <c r="AX79" s="406"/>
      <c r="AY79" s="406"/>
      <c r="AZ79" s="538"/>
    </row>
    <row r="80" spans="1:52">
      <c r="A80" s="5"/>
      <c r="B80" s="44" t="s">
        <v>3369</v>
      </c>
      <c r="C80" s="44" t="s">
        <v>138</v>
      </c>
      <c r="D80" s="44" t="s">
        <v>1641</v>
      </c>
      <c r="E80" s="44" t="s">
        <v>1927</v>
      </c>
      <c r="F80" s="44" t="s">
        <v>1928</v>
      </c>
      <c r="G80" s="44" t="s">
        <v>3374</v>
      </c>
      <c r="H80" s="44" t="s">
        <v>1930</v>
      </c>
      <c r="I80" s="44" t="s">
        <v>1931</v>
      </c>
      <c r="J80" s="328">
        <v>47.6267</v>
      </c>
      <c r="K80" s="44">
        <v>0</v>
      </c>
      <c r="L80" s="44">
        <v>0</v>
      </c>
      <c r="M80" s="44">
        <v>0</v>
      </c>
      <c r="N80" s="44">
        <v>0</v>
      </c>
      <c r="O80" s="44">
        <v>0</v>
      </c>
      <c r="P80" s="44">
        <v>0</v>
      </c>
      <c r="Q80" s="44">
        <v>0</v>
      </c>
      <c r="R80" s="44">
        <v>0</v>
      </c>
      <c r="S80" s="44">
        <v>34.25</v>
      </c>
      <c r="T80" s="44">
        <v>39.47</v>
      </c>
      <c r="U80" s="44">
        <v>40.81</v>
      </c>
      <c r="V80" s="44">
        <v>49.7</v>
      </c>
      <c r="W80" s="44">
        <v>82.36</v>
      </c>
      <c r="X80" s="44">
        <v>95.86</v>
      </c>
      <c r="Y80" s="44">
        <v>71.95</v>
      </c>
      <c r="Z80" s="44">
        <v>67.2</v>
      </c>
      <c r="AA80" s="44">
        <v>67.87</v>
      </c>
      <c r="AB80" s="44">
        <v>65.489999999999995</v>
      </c>
      <c r="AC80" s="44">
        <v>51.66</v>
      </c>
      <c r="AD80" s="44">
        <v>49.86</v>
      </c>
      <c r="AE80" s="44">
        <v>47.11</v>
      </c>
      <c r="AF80" s="44">
        <v>46.33</v>
      </c>
      <c r="AG80" s="44">
        <v>45.43</v>
      </c>
      <c r="AH80" s="44">
        <v>42.61</v>
      </c>
      <c r="AI80" s="44">
        <v>41.18</v>
      </c>
      <c r="AJ80" s="44">
        <v>38.56</v>
      </c>
      <c r="AK80" s="44">
        <v>37.74</v>
      </c>
      <c r="AL80" s="44">
        <v>36.44</v>
      </c>
      <c r="AM80" s="22" t="str">
        <f t="shared" si="6"/>
        <v>SUBS - Iraq</v>
      </c>
      <c r="AN80" s="333" t="s">
        <v>543</v>
      </c>
      <c r="AP80" s="471"/>
      <c r="AQ80" s="11"/>
      <c r="AR80" s="11"/>
      <c r="AS80" s="354"/>
      <c r="AU80" s="406"/>
      <c r="AV80" s="55"/>
      <c r="AW80" s="333"/>
      <c r="AX80" s="406"/>
      <c r="AY80" s="406"/>
      <c r="AZ80" s="538"/>
    </row>
    <row r="81" spans="1:52">
      <c r="A81" s="5"/>
      <c r="B81" s="44" t="s">
        <v>3369</v>
      </c>
      <c r="C81" s="44" t="s">
        <v>3565</v>
      </c>
      <c r="D81" s="44" t="s">
        <v>3702</v>
      </c>
      <c r="E81" s="44" t="s">
        <v>2970</v>
      </c>
      <c r="F81" s="44" t="s">
        <v>2960</v>
      </c>
      <c r="G81" s="44" t="s">
        <v>3374</v>
      </c>
      <c r="H81" s="44" t="s">
        <v>116</v>
      </c>
      <c r="I81" s="44" t="s">
        <v>2600</v>
      </c>
      <c r="J81" s="328">
        <v>25</v>
      </c>
      <c r="K81" s="44">
        <v>0</v>
      </c>
      <c r="L81" s="44">
        <v>0</v>
      </c>
      <c r="M81" s="44">
        <v>0</v>
      </c>
      <c r="N81" s="44">
        <v>0</v>
      </c>
      <c r="O81" s="44">
        <v>0</v>
      </c>
      <c r="P81" s="44">
        <v>0</v>
      </c>
      <c r="Q81" s="44">
        <v>0</v>
      </c>
      <c r="R81" s="44">
        <v>0</v>
      </c>
      <c r="S81" s="44">
        <v>0</v>
      </c>
      <c r="T81" s="44">
        <v>0</v>
      </c>
      <c r="U81" s="44">
        <v>0</v>
      </c>
      <c r="V81" s="44">
        <v>0</v>
      </c>
      <c r="W81" s="44">
        <v>0</v>
      </c>
      <c r="X81" s="44">
        <v>0</v>
      </c>
      <c r="Y81" s="44">
        <v>0</v>
      </c>
      <c r="Z81" s="44">
        <v>0</v>
      </c>
      <c r="AA81" s="44">
        <v>0.86</v>
      </c>
      <c r="AB81" s="44">
        <v>1.57</v>
      </c>
      <c r="AC81" s="44">
        <v>2.1549999999999998</v>
      </c>
      <c r="AD81" s="44">
        <v>2.64</v>
      </c>
      <c r="AE81" s="44">
        <v>3.0449999999999999</v>
      </c>
      <c r="AF81" s="44">
        <v>3.38</v>
      </c>
      <c r="AG81" s="44">
        <v>2.5950000000000002</v>
      </c>
      <c r="AH81" s="44">
        <v>1.345</v>
      </c>
      <c r="AI81" s="44">
        <v>1.145</v>
      </c>
      <c r="AJ81" s="44">
        <v>0.98</v>
      </c>
      <c r="AK81" s="44">
        <v>0.84499999999999997</v>
      </c>
      <c r="AL81" s="44">
        <v>0.73</v>
      </c>
      <c r="AM81" s="22" t="str">
        <f t="shared" si="6"/>
        <v>SUBS - Mexico</v>
      </c>
      <c r="AN81" s="333" t="s">
        <v>543</v>
      </c>
      <c r="AP81" s="471"/>
      <c r="AQ81" s="11"/>
      <c r="AR81" s="11"/>
      <c r="AS81" s="354"/>
      <c r="AU81" s="406"/>
      <c r="AV81" s="55"/>
      <c r="AW81" s="333"/>
      <c r="AX81" s="406"/>
      <c r="AY81" s="406"/>
      <c r="AZ81" s="538"/>
    </row>
    <row r="82" spans="1:52">
      <c r="A82" s="5"/>
      <c r="B82" s="44" t="s">
        <v>3369</v>
      </c>
      <c r="C82" s="44" t="s">
        <v>139</v>
      </c>
      <c r="D82" s="44" t="s">
        <v>140</v>
      </c>
      <c r="E82" s="44" t="s">
        <v>1927</v>
      </c>
      <c r="F82" s="44" t="s">
        <v>1928</v>
      </c>
      <c r="G82" s="44" t="s">
        <v>1931</v>
      </c>
      <c r="H82" s="44" t="s">
        <v>116</v>
      </c>
      <c r="I82" s="44" t="s">
        <v>1931</v>
      </c>
      <c r="J82" s="328">
        <v>36</v>
      </c>
      <c r="K82" s="44">
        <v>0.12</v>
      </c>
      <c r="L82" s="44">
        <v>0.02</v>
      </c>
      <c r="M82" s="44">
        <v>0.02</v>
      </c>
      <c r="N82" s="44">
        <v>0.02</v>
      </c>
      <c r="O82" s="44">
        <v>0</v>
      </c>
      <c r="P82" s="44">
        <v>0</v>
      </c>
      <c r="Q82" s="44">
        <v>0</v>
      </c>
      <c r="R82" s="44">
        <v>0</v>
      </c>
      <c r="S82" s="44">
        <v>0</v>
      </c>
      <c r="T82" s="44">
        <v>0</v>
      </c>
      <c r="U82" s="44">
        <v>0</v>
      </c>
      <c r="V82" s="44">
        <v>0</v>
      </c>
      <c r="W82" s="44">
        <v>0</v>
      </c>
      <c r="X82" s="44">
        <v>0</v>
      </c>
      <c r="Y82" s="44">
        <v>0</v>
      </c>
      <c r="Z82" s="44">
        <v>0</v>
      </c>
      <c r="AA82" s="44">
        <v>0</v>
      </c>
      <c r="AB82" s="44">
        <v>0</v>
      </c>
      <c r="AC82" s="44">
        <v>0</v>
      </c>
      <c r="AD82" s="44">
        <v>0</v>
      </c>
      <c r="AE82" s="44">
        <v>0</v>
      </c>
      <c r="AF82" s="44">
        <v>0</v>
      </c>
      <c r="AG82" s="44">
        <v>0</v>
      </c>
      <c r="AH82" s="44">
        <v>0</v>
      </c>
      <c r="AI82" s="44">
        <v>0</v>
      </c>
      <c r="AJ82" s="44">
        <v>0</v>
      </c>
      <c r="AK82" s="44">
        <v>0</v>
      </c>
      <c r="AL82" s="44">
        <v>0</v>
      </c>
      <c r="AM82" s="22" t="str">
        <f t="shared" si="6"/>
        <v>SUBS - Netherlands</v>
      </c>
      <c r="AN82" s="333" t="s">
        <v>543</v>
      </c>
      <c r="AP82" s="471"/>
      <c r="AQ82" s="11"/>
      <c r="AR82" s="11"/>
      <c r="AS82" s="354"/>
      <c r="AU82" s="406"/>
      <c r="AV82" s="55"/>
      <c r="AW82" s="333"/>
      <c r="AX82" s="406"/>
      <c r="AY82" s="406"/>
      <c r="AZ82" s="538"/>
    </row>
    <row r="83" spans="1:52">
      <c r="A83" s="5"/>
      <c r="B83" s="44" t="s">
        <v>3369</v>
      </c>
      <c r="C83" s="44" t="s">
        <v>139</v>
      </c>
      <c r="D83" s="44" t="s">
        <v>141</v>
      </c>
      <c r="E83" s="44" t="s">
        <v>2254</v>
      </c>
      <c r="F83" s="44" t="s">
        <v>2960</v>
      </c>
      <c r="G83" s="44" t="s">
        <v>1931</v>
      </c>
      <c r="H83" s="44" t="s">
        <v>116</v>
      </c>
      <c r="I83" s="44" t="s">
        <v>2601</v>
      </c>
      <c r="J83" s="328">
        <v>60</v>
      </c>
      <c r="K83" s="44">
        <v>0.01</v>
      </c>
      <c r="L83" s="44">
        <v>0.13</v>
      </c>
      <c r="M83" s="44">
        <v>7.0000000000000007E-2</v>
      </c>
      <c r="N83" s="44">
        <v>0.03</v>
      </c>
      <c r="O83" s="44">
        <v>0</v>
      </c>
      <c r="P83" s="44">
        <v>0</v>
      </c>
      <c r="Q83" s="44">
        <v>0</v>
      </c>
      <c r="R83" s="44">
        <v>0</v>
      </c>
      <c r="S83" s="44">
        <v>0</v>
      </c>
      <c r="T83" s="44">
        <v>0</v>
      </c>
      <c r="U83" s="44">
        <v>0</v>
      </c>
      <c r="V83" s="44">
        <v>0</v>
      </c>
      <c r="W83" s="44">
        <v>0</v>
      </c>
      <c r="X83" s="44">
        <v>0</v>
      </c>
      <c r="Y83" s="44">
        <v>0</v>
      </c>
      <c r="Z83" s="44">
        <v>0</v>
      </c>
      <c r="AA83" s="44">
        <v>0</v>
      </c>
      <c r="AB83" s="44">
        <v>0</v>
      </c>
      <c r="AC83" s="44">
        <v>0</v>
      </c>
      <c r="AD83" s="44">
        <v>0</v>
      </c>
      <c r="AE83" s="44">
        <v>0</v>
      </c>
      <c r="AF83" s="44">
        <v>0</v>
      </c>
      <c r="AG83" s="44">
        <v>0</v>
      </c>
      <c r="AH83" s="44">
        <v>0</v>
      </c>
      <c r="AI83" s="44">
        <v>0</v>
      </c>
      <c r="AJ83" s="44">
        <v>0</v>
      </c>
      <c r="AK83" s="44">
        <v>0</v>
      </c>
      <c r="AL83" s="44">
        <v>0</v>
      </c>
      <c r="AM83" s="22" t="str">
        <f t="shared" si="6"/>
        <v>SUBS - Netherlands</v>
      </c>
      <c r="AN83" s="333" t="s">
        <v>543</v>
      </c>
      <c r="AP83" s="471"/>
      <c r="AQ83" s="11"/>
      <c r="AR83" s="11"/>
      <c r="AS83" s="354"/>
      <c r="AU83" s="406"/>
      <c r="AV83" s="55"/>
      <c r="AW83" s="333"/>
      <c r="AX83" s="406"/>
      <c r="AY83" s="406"/>
      <c r="AZ83" s="538"/>
    </row>
    <row r="84" spans="1:52">
      <c r="A84" s="5"/>
      <c r="B84" s="44" t="s">
        <v>3369</v>
      </c>
      <c r="C84" s="44" t="s">
        <v>139</v>
      </c>
      <c r="D84" s="44" t="s">
        <v>142</v>
      </c>
      <c r="E84" s="44" t="s">
        <v>2254</v>
      </c>
      <c r="F84" s="44" t="s">
        <v>2960</v>
      </c>
      <c r="G84" s="44" t="s">
        <v>1931</v>
      </c>
      <c r="H84" s="44" t="s">
        <v>116</v>
      </c>
      <c r="I84" s="44" t="s">
        <v>2601</v>
      </c>
      <c r="J84" s="328">
        <v>53.833399999999997</v>
      </c>
      <c r="K84" s="44">
        <v>0</v>
      </c>
      <c r="L84" s="44">
        <v>0.08</v>
      </c>
      <c r="M84" s="44">
        <v>0.05</v>
      </c>
      <c r="N84" s="44">
        <v>0.03</v>
      </c>
      <c r="O84" s="44">
        <v>0</v>
      </c>
      <c r="P84" s="44">
        <v>0</v>
      </c>
      <c r="Q84" s="44">
        <v>0</v>
      </c>
      <c r="R84" s="44">
        <v>0</v>
      </c>
      <c r="S84" s="44">
        <v>0</v>
      </c>
      <c r="T84" s="44">
        <v>0</v>
      </c>
      <c r="U84" s="44">
        <v>0</v>
      </c>
      <c r="V84" s="44">
        <v>0</v>
      </c>
      <c r="W84" s="44">
        <v>0</v>
      </c>
      <c r="X84" s="44">
        <v>0</v>
      </c>
      <c r="Y84" s="44">
        <v>0</v>
      </c>
      <c r="Z84" s="44">
        <v>0</v>
      </c>
      <c r="AA84" s="44">
        <v>0</v>
      </c>
      <c r="AB84" s="44">
        <v>0</v>
      </c>
      <c r="AC84" s="44">
        <v>0</v>
      </c>
      <c r="AD84" s="44">
        <v>0</v>
      </c>
      <c r="AE84" s="44">
        <v>0</v>
      </c>
      <c r="AF84" s="44">
        <v>0</v>
      </c>
      <c r="AG84" s="44">
        <v>0</v>
      </c>
      <c r="AH84" s="44">
        <v>0</v>
      </c>
      <c r="AI84" s="44">
        <v>0</v>
      </c>
      <c r="AJ84" s="44">
        <v>0</v>
      </c>
      <c r="AK84" s="44">
        <v>0</v>
      </c>
      <c r="AL84" s="44">
        <v>0</v>
      </c>
      <c r="AM84" s="22" t="str">
        <f t="shared" si="6"/>
        <v>SUBS - Netherlands</v>
      </c>
      <c r="AN84" s="333" t="s">
        <v>543</v>
      </c>
      <c r="AP84" s="471"/>
      <c r="AQ84" s="11"/>
      <c r="AR84" s="11"/>
      <c r="AS84" s="354"/>
      <c r="AU84" s="406"/>
      <c r="AV84" s="55"/>
      <c r="AW84" s="333"/>
      <c r="AX84" s="406"/>
      <c r="AY84" s="406"/>
      <c r="AZ84" s="538"/>
    </row>
    <row r="85" spans="1:52">
      <c r="A85" s="5"/>
      <c r="B85" s="44" t="s">
        <v>3369</v>
      </c>
      <c r="C85" s="44" t="s">
        <v>139</v>
      </c>
      <c r="D85" s="44" t="s">
        <v>3011</v>
      </c>
      <c r="E85" s="44" t="s">
        <v>1927</v>
      </c>
      <c r="F85" s="44" t="s">
        <v>2960</v>
      </c>
      <c r="G85" s="44" t="s">
        <v>1931</v>
      </c>
      <c r="H85" s="44" t="s">
        <v>116</v>
      </c>
      <c r="I85" s="44" t="s">
        <v>2600</v>
      </c>
      <c r="J85" s="328">
        <v>18.82</v>
      </c>
      <c r="K85" s="44">
        <v>0.13</v>
      </c>
      <c r="L85" s="44">
        <v>0.1</v>
      </c>
      <c r="M85" s="44">
        <v>0.08</v>
      </c>
      <c r="N85" s="44">
        <v>0.06</v>
      </c>
      <c r="O85" s="44">
        <v>0</v>
      </c>
      <c r="P85" s="44">
        <v>0</v>
      </c>
      <c r="Q85" s="44">
        <v>0</v>
      </c>
      <c r="R85" s="44">
        <v>0</v>
      </c>
      <c r="S85" s="44">
        <v>0</v>
      </c>
      <c r="T85" s="44">
        <v>0</v>
      </c>
      <c r="U85" s="44">
        <v>0</v>
      </c>
      <c r="V85" s="44">
        <v>0</v>
      </c>
      <c r="W85" s="44">
        <v>0</v>
      </c>
      <c r="X85" s="44">
        <v>0</v>
      </c>
      <c r="Y85" s="44">
        <v>0</v>
      </c>
      <c r="Z85" s="44">
        <v>0</v>
      </c>
      <c r="AA85" s="44">
        <v>0</v>
      </c>
      <c r="AB85" s="44">
        <v>0</v>
      </c>
      <c r="AC85" s="44">
        <v>0</v>
      </c>
      <c r="AD85" s="44">
        <v>0</v>
      </c>
      <c r="AE85" s="44">
        <v>0</v>
      </c>
      <c r="AF85" s="44">
        <v>0</v>
      </c>
      <c r="AG85" s="44">
        <v>0</v>
      </c>
      <c r="AH85" s="44">
        <v>0</v>
      </c>
      <c r="AI85" s="44">
        <v>0</v>
      </c>
      <c r="AJ85" s="44">
        <v>0</v>
      </c>
      <c r="AK85" s="44">
        <v>0</v>
      </c>
      <c r="AL85" s="44">
        <v>0</v>
      </c>
      <c r="AM85" s="22" t="str">
        <f t="shared" si="6"/>
        <v>SUBS - Netherlands</v>
      </c>
      <c r="AN85" s="333" t="s">
        <v>543</v>
      </c>
      <c r="AP85" s="471"/>
      <c r="AQ85" s="11"/>
      <c r="AR85" s="11"/>
      <c r="AS85" s="354"/>
      <c r="AU85" s="406"/>
      <c r="AV85" s="55"/>
      <c r="AW85" s="333"/>
      <c r="AX85" s="406"/>
      <c r="AY85" s="406"/>
      <c r="AZ85" s="538"/>
    </row>
    <row r="86" spans="1:52">
      <c r="A86" s="5"/>
      <c r="B86" s="44" t="s">
        <v>3369</v>
      </c>
      <c r="C86" s="44" t="s">
        <v>139</v>
      </c>
      <c r="D86" s="44" t="s">
        <v>1741</v>
      </c>
      <c r="E86" s="44" t="s">
        <v>2254</v>
      </c>
      <c r="F86" s="44" t="s">
        <v>2960</v>
      </c>
      <c r="G86" s="44" t="s">
        <v>1931</v>
      </c>
      <c r="H86" s="44" t="s">
        <v>116</v>
      </c>
      <c r="I86" s="44" t="s">
        <v>2571</v>
      </c>
      <c r="J86" s="328">
        <v>14.94</v>
      </c>
      <c r="K86" s="44">
        <v>0.02</v>
      </c>
      <c r="L86" s="44">
        <v>0.01</v>
      </c>
      <c r="M86" s="44">
        <v>0</v>
      </c>
      <c r="N86" s="44">
        <v>0</v>
      </c>
      <c r="O86" s="44">
        <v>0</v>
      </c>
      <c r="P86" s="44">
        <v>0</v>
      </c>
      <c r="Q86" s="44">
        <v>0</v>
      </c>
      <c r="R86" s="44">
        <v>0</v>
      </c>
      <c r="S86" s="44">
        <v>0</v>
      </c>
      <c r="T86" s="44">
        <v>0</v>
      </c>
      <c r="U86" s="44">
        <v>0</v>
      </c>
      <c r="V86" s="44">
        <v>0</v>
      </c>
      <c r="W86" s="44">
        <v>0</v>
      </c>
      <c r="X86" s="44">
        <v>0</v>
      </c>
      <c r="Y86" s="44">
        <v>0</v>
      </c>
      <c r="Z86" s="44">
        <v>0</v>
      </c>
      <c r="AA86" s="44">
        <v>0</v>
      </c>
      <c r="AB86" s="44">
        <v>0</v>
      </c>
      <c r="AC86" s="44">
        <v>0</v>
      </c>
      <c r="AD86" s="44">
        <v>0</v>
      </c>
      <c r="AE86" s="44">
        <v>0</v>
      </c>
      <c r="AF86" s="44">
        <v>0</v>
      </c>
      <c r="AG86" s="44">
        <v>0</v>
      </c>
      <c r="AH86" s="44">
        <v>0</v>
      </c>
      <c r="AI86" s="44">
        <v>0</v>
      </c>
      <c r="AJ86" s="44">
        <v>0</v>
      </c>
      <c r="AK86" s="44">
        <v>0</v>
      </c>
      <c r="AL86" s="44">
        <v>0</v>
      </c>
      <c r="AM86" s="22" t="str">
        <f t="shared" si="6"/>
        <v>SUBS - Netherlands</v>
      </c>
      <c r="AN86" s="333" t="s">
        <v>543</v>
      </c>
      <c r="AP86" s="471"/>
      <c r="AQ86" s="11"/>
      <c r="AR86" s="11"/>
      <c r="AS86" s="354"/>
      <c r="AU86" s="406"/>
      <c r="AV86" s="55"/>
      <c r="AW86" s="333"/>
      <c r="AX86" s="406"/>
      <c r="AY86" s="406"/>
      <c r="AZ86" s="538"/>
    </row>
    <row r="87" spans="1:52">
      <c r="A87" s="5"/>
      <c r="B87" s="44" t="s">
        <v>3369</v>
      </c>
      <c r="C87" s="44" t="s">
        <v>139</v>
      </c>
      <c r="D87" s="44" t="s">
        <v>1742</v>
      </c>
      <c r="E87" s="44" t="s">
        <v>1927</v>
      </c>
      <c r="F87" s="44" t="s">
        <v>2960</v>
      </c>
      <c r="G87" s="44" t="s">
        <v>1931</v>
      </c>
      <c r="H87" s="44" t="s">
        <v>116</v>
      </c>
      <c r="I87" s="44" t="s">
        <v>2600</v>
      </c>
      <c r="J87" s="328">
        <v>42.5</v>
      </c>
      <c r="K87" s="44">
        <v>7.0000000000000007E-2</v>
      </c>
      <c r="L87" s="44">
        <v>0.05</v>
      </c>
      <c r="M87" s="44">
        <v>0.04</v>
      </c>
      <c r="N87" s="44">
        <v>0.04</v>
      </c>
      <c r="O87" s="44">
        <v>0</v>
      </c>
      <c r="P87" s="44">
        <v>0</v>
      </c>
      <c r="Q87" s="44">
        <v>0</v>
      </c>
      <c r="R87" s="44">
        <v>0</v>
      </c>
      <c r="S87" s="44">
        <v>0</v>
      </c>
      <c r="T87" s="44">
        <v>0</v>
      </c>
      <c r="U87" s="44">
        <v>0</v>
      </c>
      <c r="V87" s="44">
        <v>0</v>
      </c>
      <c r="W87" s="44">
        <v>0</v>
      </c>
      <c r="X87" s="44">
        <v>0</v>
      </c>
      <c r="Y87" s="44">
        <v>0</v>
      </c>
      <c r="Z87" s="44">
        <v>0</v>
      </c>
      <c r="AA87" s="44">
        <v>0</v>
      </c>
      <c r="AB87" s="44">
        <v>0</v>
      </c>
      <c r="AC87" s="44">
        <v>0</v>
      </c>
      <c r="AD87" s="44">
        <v>0</v>
      </c>
      <c r="AE87" s="44">
        <v>0</v>
      </c>
      <c r="AF87" s="44">
        <v>0</v>
      </c>
      <c r="AG87" s="44">
        <v>0</v>
      </c>
      <c r="AH87" s="44">
        <v>0</v>
      </c>
      <c r="AI87" s="44">
        <v>0</v>
      </c>
      <c r="AJ87" s="44">
        <v>0</v>
      </c>
      <c r="AK87" s="44">
        <v>0</v>
      </c>
      <c r="AL87" s="44">
        <v>0</v>
      </c>
      <c r="AM87" s="22" t="str">
        <f t="shared" si="6"/>
        <v>SUBS - Netherlands</v>
      </c>
      <c r="AN87" s="333" t="s">
        <v>543</v>
      </c>
      <c r="AP87" s="471"/>
      <c r="AQ87" s="11"/>
      <c r="AR87" s="11"/>
      <c r="AS87" s="354"/>
      <c r="AU87" s="406"/>
      <c r="AV87" s="55"/>
      <c r="AW87" s="333"/>
      <c r="AX87" s="406"/>
      <c r="AY87" s="406"/>
      <c r="AZ87" s="538"/>
    </row>
    <row r="88" spans="1:52">
      <c r="A88" s="5"/>
      <c r="B88" s="44" t="s">
        <v>3369</v>
      </c>
      <c r="C88" s="44" t="s">
        <v>139</v>
      </c>
      <c r="D88" s="44" t="s">
        <v>1743</v>
      </c>
      <c r="E88" s="44" t="s">
        <v>1927</v>
      </c>
      <c r="F88" s="44" t="s">
        <v>2960</v>
      </c>
      <c r="G88" s="44" t="s">
        <v>1931</v>
      </c>
      <c r="H88" s="44" t="s">
        <v>116</v>
      </c>
      <c r="I88" s="44" t="s">
        <v>2601</v>
      </c>
      <c r="J88" s="328">
        <v>26.36</v>
      </c>
      <c r="K88" s="44">
        <v>0.02</v>
      </c>
      <c r="L88" s="44">
        <v>0.06</v>
      </c>
      <c r="M88" s="44">
        <v>0.03</v>
      </c>
      <c r="N88" s="44">
        <v>0.02</v>
      </c>
      <c r="O88" s="44">
        <v>0</v>
      </c>
      <c r="P88" s="44">
        <v>0</v>
      </c>
      <c r="Q88" s="44">
        <v>0</v>
      </c>
      <c r="R88" s="44">
        <v>0</v>
      </c>
      <c r="S88" s="44">
        <v>0</v>
      </c>
      <c r="T88" s="44">
        <v>0</v>
      </c>
      <c r="U88" s="44">
        <v>0</v>
      </c>
      <c r="V88" s="44">
        <v>0</v>
      </c>
      <c r="W88" s="44">
        <v>0</v>
      </c>
      <c r="X88" s="44">
        <v>0</v>
      </c>
      <c r="Y88" s="44">
        <v>0</v>
      </c>
      <c r="Z88" s="44">
        <v>0</v>
      </c>
      <c r="AA88" s="44">
        <v>0</v>
      </c>
      <c r="AB88" s="44">
        <v>0</v>
      </c>
      <c r="AC88" s="44">
        <v>0</v>
      </c>
      <c r="AD88" s="44">
        <v>0</v>
      </c>
      <c r="AE88" s="44">
        <v>0</v>
      </c>
      <c r="AF88" s="44">
        <v>0</v>
      </c>
      <c r="AG88" s="44">
        <v>0</v>
      </c>
      <c r="AH88" s="44">
        <v>0</v>
      </c>
      <c r="AI88" s="44">
        <v>0</v>
      </c>
      <c r="AJ88" s="44">
        <v>0</v>
      </c>
      <c r="AK88" s="44">
        <v>0</v>
      </c>
      <c r="AL88" s="44">
        <v>0</v>
      </c>
      <c r="AM88" s="22" t="str">
        <f t="shared" si="6"/>
        <v>SUBS - Netherlands</v>
      </c>
      <c r="AN88" s="333" t="s">
        <v>543</v>
      </c>
      <c r="AP88" s="471"/>
      <c r="AQ88" s="11"/>
      <c r="AR88" s="11"/>
      <c r="AS88" s="354"/>
      <c r="AU88" s="406"/>
      <c r="AV88" s="55"/>
      <c r="AW88" s="333"/>
      <c r="AX88" s="406"/>
      <c r="AY88" s="406"/>
      <c r="AZ88" s="538"/>
    </row>
    <row r="89" spans="1:52">
      <c r="A89" s="5"/>
      <c r="B89" s="44" t="s">
        <v>3369</v>
      </c>
      <c r="C89" s="44" t="s">
        <v>139</v>
      </c>
      <c r="D89" s="44" t="s">
        <v>1744</v>
      </c>
      <c r="E89" s="44" t="s">
        <v>1927</v>
      </c>
      <c r="F89" s="44" t="s">
        <v>2960</v>
      </c>
      <c r="G89" s="44" t="s">
        <v>1931</v>
      </c>
      <c r="H89" s="44" t="s">
        <v>116</v>
      </c>
      <c r="I89" s="44" t="s">
        <v>2600</v>
      </c>
      <c r="J89" s="328">
        <v>50</v>
      </c>
      <c r="K89" s="44">
        <v>0.35</v>
      </c>
      <c r="L89" s="44">
        <v>0.35</v>
      </c>
      <c r="M89" s="44">
        <v>0.35</v>
      </c>
      <c r="N89" s="44">
        <v>0.2</v>
      </c>
      <c r="O89" s="44">
        <v>0</v>
      </c>
      <c r="P89" s="44">
        <v>0</v>
      </c>
      <c r="Q89" s="44">
        <v>0</v>
      </c>
      <c r="R89" s="44">
        <v>0</v>
      </c>
      <c r="S89" s="44">
        <v>0</v>
      </c>
      <c r="T89" s="44">
        <v>0</v>
      </c>
      <c r="U89" s="44">
        <v>0</v>
      </c>
      <c r="V89" s="44">
        <v>0</v>
      </c>
      <c r="W89" s="44">
        <v>0</v>
      </c>
      <c r="X89" s="44">
        <v>0</v>
      </c>
      <c r="Y89" s="44">
        <v>0</v>
      </c>
      <c r="Z89" s="44">
        <v>0</v>
      </c>
      <c r="AA89" s="44">
        <v>0</v>
      </c>
      <c r="AB89" s="44">
        <v>0</v>
      </c>
      <c r="AC89" s="44">
        <v>0</v>
      </c>
      <c r="AD89" s="44">
        <v>0</v>
      </c>
      <c r="AE89" s="44">
        <v>0</v>
      </c>
      <c r="AF89" s="44">
        <v>0</v>
      </c>
      <c r="AG89" s="44">
        <v>0</v>
      </c>
      <c r="AH89" s="44">
        <v>0</v>
      </c>
      <c r="AI89" s="44">
        <v>0</v>
      </c>
      <c r="AJ89" s="44">
        <v>0</v>
      </c>
      <c r="AK89" s="44">
        <v>0</v>
      </c>
      <c r="AL89" s="44">
        <v>0</v>
      </c>
      <c r="AM89" s="22" t="str">
        <f t="shared" si="6"/>
        <v>SUBS - Netherlands</v>
      </c>
      <c r="AN89" s="333" t="s">
        <v>543</v>
      </c>
      <c r="AP89" s="471"/>
      <c r="AQ89" s="11"/>
      <c r="AR89" s="11"/>
      <c r="AS89" s="354"/>
      <c r="AU89" s="406"/>
      <c r="AV89" s="55"/>
      <c r="AW89" s="333"/>
      <c r="AX89" s="406"/>
      <c r="AY89" s="406"/>
      <c r="AZ89" s="538"/>
    </row>
    <row r="90" spans="1:52">
      <c r="A90" s="5"/>
      <c r="B90" s="44" t="s">
        <v>3369</v>
      </c>
      <c r="C90" s="679" t="s">
        <v>1745</v>
      </c>
      <c r="D90" s="44" t="s">
        <v>3573</v>
      </c>
      <c r="E90" s="44" t="s">
        <v>1927</v>
      </c>
      <c r="F90" s="44" t="s">
        <v>2960</v>
      </c>
      <c r="G90" s="44" t="s">
        <v>3374</v>
      </c>
      <c r="H90" s="44" t="s">
        <v>116</v>
      </c>
      <c r="I90" s="44" t="s">
        <v>2971</v>
      </c>
      <c r="J90" s="328">
        <v>19.5</v>
      </c>
      <c r="K90" s="44">
        <v>0</v>
      </c>
      <c r="L90" s="44">
        <v>0</v>
      </c>
      <c r="M90" s="44">
        <v>0</v>
      </c>
      <c r="N90" s="44">
        <v>0</v>
      </c>
      <c r="O90" s="44">
        <v>0</v>
      </c>
      <c r="P90" s="44">
        <v>0</v>
      </c>
      <c r="Q90" s="44">
        <v>0</v>
      </c>
      <c r="R90" s="44">
        <v>0</v>
      </c>
      <c r="S90" s="44">
        <v>0</v>
      </c>
      <c r="T90" s="44">
        <v>0</v>
      </c>
      <c r="U90" s="44">
        <v>0</v>
      </c>
      <c r="V90" s="44">
        <v>0</v>
      </c>
      <c r="W90" s="44">
        <v>0</v>
      </c>
      <c r="X90" s="328">
        <v>11.157</v>
      </c>
      <c r="Y90" s="44">
        <v>15.702</v>
      </c>
      <c r="Z90" s="44">
        <v>12.407999999999999</v>
      </c>
      <c r="AA90" s="44">
        <v>10.058999999999999</v>
      </c>
      <c r="AB90" s="44">
        <v>7.3410000000000002</v>
      </c>
      <c r="AC90" s="44">
        <v>5.1059999999999999</v>
      </c>
      <c r="AD90" s="44">
        <v>3.6150000000000002</v>
      </c>
      <c r="AE90" s="44">
        <v>2.577</v>
      </c>
      <c r="AF90" s="44">
        <v>2.2770000000000001</v>
      </c>
      <c r="AG90" s="44">
        <v>1.575</v>
      </c>
      <c r="AH90" s="44">
        <v>1.1399999999999999</v>
      </c>
      <c r="AI90" s="44">
        <v>0.84299999999999997</v>
      </c>
      <c r="AJ90" s="44">
        <v>0.627</v>
      </c>
      <c r="AK90" s="44">
        <v>0.46800000000000003</v>
      </c>
      <c r="AL90" s="44">
        <v>0.34799999999999998</v>
      </c>
      <c r="AM90" s="22" t="str">
        <f t="shared" si="6"/>
        <v>EAI - Norway</v>
      </c>
      <c r="AN90" s="333" t="s">
        <v>3119</v>
      </c>
      <c r="AP90" s="471"/>
      <c r="AQ90" s="11"/>
      <c r="AR90" s="11"/>
      <c r="AS90" s="354"/>
      <c r="AU90" s="406"/>
      <c r="AV90" s="55"/>
      <c r="AW90" s="333"/>
      <c r="AX90" s="406"/>
      <c r="AY90" s="406"/>
      <c r="AZ90" s="538"/>
    </row>
    <row r="91" spans="1:52">
      <c r="A91" s="5"/>
      <c r="B91" s="44" t="s">
        <v>3369</v>
      </c>
      <c r="C91" s="679" t="s">
        <v>1745</v>
      </c>
      <c r="D91" s="44" t="s">
        <v>3574</v>
      </c>
      <c r="E91" s="44" t="s">
        <v>1927</v>
      </c>
      <c r="F91" s="44" t="s">
        <v>2960</v>
      </c>
      <c r="G91" s="44" t="s">
        <v>1929</v>
      </c>
      <c r="H91" s="44" t="s">
        <v>116</v>
      </c>
      <c r="I91" s="44" t="s">
        <v>2571</v>
      </c>
      <c r="J91" s="328">
        <v>3</v>
      </c>
      <c r="K91" s="44">
        <v>0</v>
      </c>
      <c r="L91" s="44">
        <v>0</v>
      </c>
      <c r="M91" s="44">
        <v>0</v>
      </c>
      <c r="N91" s="44">
        <v>0</v>
      </c>
      <c r="O91" s="44">
        <v>0</v>
      </c>
      <c r="P91" s="44">
        <v>0</v>
      </c>
      <c r="Q91" s="44">
        <v>0</v>
      </c>
      <c r="R91" s="44">
        <v>0</v>
      </c>
      <c r="S91" s="44">
        <v>0</v>
      </c>
      <c r="T91" s="44">
        <v>0</v>
      </c>
      <c r="U91" s="44">
        <v>0</v>
      </c>
      <c r="V91" s="44">
        <v>0</v>
      </c>
      <c r="W91" s="44">
        <v>0</v>
      </c>
      <c r="X91" s="328">
        <v>1.2E-2</v>
      </c>
      <c r="Y91" s="44">
        <v>1.7999999999999999E-2</v>
      </c>
      <c r="Z91" s="44">
        <v>2.4E-2</v>
      </c>
      <c r="AA91" s="44">
        <v>2.4E-2</v>
      </c>
      <c r="AB91" s="44">
        <v>0</v>
      </c>
      <c r="AC91" s="44">
        <v>0</v>
      </c>
      <c r="AD91" s="44">
        <v>0</v>
      </c>
      <c r="AE91" s="44">
        <v>0</v>
      </c>
      <c r="AF91" s="44">
        <v>0</v>
      </c>
      <c r="AG91" s="44">
        <v>0</v>
      </c>
      <c r="AH91" s="44">
        <v>0</v>
      </c>
      <c r="AI91" s="44">
        <v>0</v>
      </c>
      <c r="AJ91" s="44">
        <v>0</v>
      </c>
      <c r="AK91" s="44">
        <v>0</v>
      </c>
      <c r="AL91" s="44">
        <v>0</v>
      </c>
      <c r="AM91" s="22" t="str">
        <f t="shared" si="6"/>
        <v>EAI - Norway</v>
      </c>
      <c r="AN91" s="333" t="s">
        <v>3119</v>
      </c>
      <c r="AP91" s="471"/>
      <c r="AQ91" s="11"/>
      <c r="AR91" s="11"/>
      <c r="AS91" s="354"/>
      <c r="AU91" s="406"/>
      <c r="AV91" s="55"/>
      <c r="AW91" s="333"/>
      <c r="AX91" s="406"/>
      <c r="AY91" s="406"/>
      <c r="AZ91" s="538"/>
    </row>
    <row r="92" spans="1:52">
      <c r="A92" s="5"/>
      <c r="B92" s="44" t="s">
        <v>3369</v>
      </c>
      <c r="C92" s="679" t="s">
        <v>1745</v>
      </c>
      <c r="D92" s="44" t="s">
        <v>3575</v>
      </c>
      <c r="E92" s="44" t="s">
        <v>1927</v>
      </c>
      <c r="F92" s="44" t="s">
        <v>2960</v>
      </c>
      <c r="G92" s="44" t="s">
        <v>3374</v>
      </c>
      <c r="H92" s="44" t="s">
        <v>116</v>
      </c>
      <c r="I92" s="44" t="s">
        <v>2571</v>
      </c>
      <c r="J92" s="328">
        <v>19.5</v>
      </c>
      <c r="K92" s="44">
        <v>0</v>
      </c>
      <c r="L92" s="44">
        <v>0</v>
      </c>
      <c r="M92" s="44">
        <v>0</v>
      </c>
      <c r="N92" s="44">
        <v>0</v>
      </c>
      <c r="O92" s="44">
        <v>0</v>
      </c>
      <c r="P92" s="44">
        <v>0</v>
      </c>
      <c r="Q92" s="44">
        <v>0</v>
      </c>
      <c r="R92" s="44">
        <v>0</v>
      </c>
      <c r="S92" s="44">
        <v>0</v>
      </c>
      <c r="T92" s="44">
        <v>0</v>
      </c>
      <c r="U92" s="44">
        <v>0</v>
      </c>
      <c r="V92" s="44">
        <v>0</v>
      </c>
      <c r="W92" s="44">
        <v>0</v>
      </c>
      <c r="X92" s="328">
        <v>2.0670000000000002</v>
      </c>
      <c r="Y92" s="44">
        <v>1.296</v>
      </c>
      <c r="Z92" s="44">
        <v>1.1100000000000001</v>
      </c>
      <c r="AA92" s="44">
        <v>0.95099999999999996</v>
      </c>
      <c r="AB92" s="44">
        <v>0.81299999999999994</v>
      </c>
      <c r="AC92" s="44">
        <v>0.69599999999999995</v>
      </c>
      <c r="AD92" s="44">
        <v>0.59699999999999998</v>
      </c>
      <c r="AE92" s="44">
        <v>0.51</v>
      </c>
      <c r="AF92" s="44">
        <v>0.438</v>
      </c>
      <c r="AG92" s="44">
        <v>0.375</v>
      </c>
      <c r="AH92" s="44">
        <v>0</v>
      </c>
      <c r="AI92" s="44">
        <v>0</v>
      </c>
      <c r="AJ92" s="44">
        <v>0</v>
      </c>
      <c r="AK92" s="44">
        <v>0</v>
      </c>
      <c r="AL92" s="44">
        <v>0</v>
      </c>
      <c r="AM92" s="22" t="str">
        <f t="shared" si="6"/>
        <v>EAI - Norway</v>
      </c>
      <c r="AN92" s="333" t="s">
        <v>3119</v>
      </c>
      <c r="AP92" s="471"/>
      <c r="AQ92" s="11"/>
      <c r="AR92" s="11"/>
      <c r="AS92" s="354"/>
      <c r="AU92" s="406"/>
      <c r="AV92" s="55"/>
      <c r="AW92" s="333"/>
      <c r="AX92" s="406"/>
      <c r="AY92" s="406"/>
      <c r="AZ92" s="538"/>
    </row>
    <row r="93" spans="1:52">
      <c r="A93" s="5"/>
      <c r="B93" s="44" t="s">
        <v>3369</v>
      </c>
      <c r="C93" s="679" t="s">
        <v>1745</v>
      </c>
      <c r="D93" s="44" t="s">
        <v>3460</v>
      </c>
      <c r="E93" s="44" t="s">
        <v>1927</v>
      </c>
      <c r="F93" s="44" t="s">
        <v>2960</v>
      </c>
      <c r="G93" s="44" t="s">
        <v>1932</v>
      </c>
      <c r="H93" s="44" t="s">
        <v>116</v>
      </c>
      <c r="I93" s="44" t="s">
        <v>2600</v>
      </c>
      <c r="J93" s="328">
        <v>18.36</v>
      </c>
      <c r="K93" s="44">
        <v>25.09</v>
      </c>
      <c r="L93" s="44">
        <v>26.46</v>
      </c>
      <c r="M93" s="44">
        <v>20.46</v>
      </c>
      <c r="N93" s="44">
        <v>15.46</v>
      </c>
      <c r="O93" s="44">
        <v>13.96</v>
      </c>
      <c r="P93" s="44">
        <v>13.66</v>
      </c>
      <c r="Q93" s="44">
        <v>11.54</v>
      </c>
      <c r="R93" s="44">
        <v>8.09</v>
      </c>
      <c r="S93" s="44">
        <v>7.33</v>
      </c>
      <c r="T93" s="44">
        <v>0</v>
      </c>
      <c r="U93" s="44">
        <v>0</v>
      </c>
      <c r="V93" s="44">
        <v>0</v>
      </c>
      <c r="W93" s="44">
        <v>0</v>
      </c>
      <c r="X93" s="328">
        <v>0</v>
      </c>
      <c r="Y93" s="44">
        <v>0</v>
      </c>
      <c r="Z93" s="44">
        <v>0</v>
      </c>
      <c r="AA93" s="44">
        <v>0</v>
      </c>
      <c r="AB93" s="44">
        <v>0</v>
      </c>
      <c r="AC93" s="44">
        <v>0</v>
      </c>
      <c r="AD93" s="44">
        <v>0</v>
      </c>
      <c r="AE93" s="44">
        <v>0</v>
      </c>
      <c r="AF93" s="44">
        <v>0</v>
      </c>
      <c r="AG93" s="44">
        <v>0</v>
      </c>
      <c r="AH93" s="44">
        <v>0</v>
      </c>
      <c r="AI93" s="44">
        <v>0</v>
      </c>
      <c r="AJ93" s="44">
        <v>0</v>
      </c>
      <c r="AK93" s="44">
        <v>0</v>
      </c>
      <c r="AL93" s="44">
        <v>0</v>
      </c>
      <c r="AM93" s="22" t="str">
        <f t="shared" si="6"/>
        <v>SUBS - Norway</v>
      </c>
      <c r="AN93" s="333" t="s">
        <v>543</v>
      </c>
      <c r="AP93" s="471"/>
      <c r="AQ93" s="11"/>
      <c r="AR93" s="11"/>
      <c r="AS93" s="354"/>
      <c r="AU93" s="406"/>
      <c r="AV93" s="55"/>
      <c r="AW93" s="333"/>
      <c r="AX93" s="406"/>
      <c r="AY93" s="406"/>
      <c r="AZ93" s="538"/>
    </row>
    <row r="94" spans="1:52">
      <c r="A94" s="5"/>
      <c r="B94" s="44" t="s">
        <v>3369</v>
      </c>
      <c r="C94" s="679" t="s">
        <v>1745</v>
      </c>
      <c r="D94" s="44" t="s">
        <v>3576</v>
      </c>
      <c r="E94" s="44" t="s">
        <v>1927</v>
      </c>
      <c r="F94" s="44" t="s">
        <v>2960</v>
      </c>
      <c r="G94" s="44" t="s">
        <v>3374</v>
      </c>
      <c r="H94" s="44" t="s">
        <v>1930</v>
      </c>
      <c r="I94" s="44" t="s">
        <v>2571</v>
      </c>
      <c r="J94" s="328">
        <v>3</v>
      </c>
      <c r="K94" s="44">
        <v>0</v>
      </c>
      <c r="L94" s="44">
        <v>0</v>
      </c>
      <c r="M94" s="44">
        <v>0</v>
      </c>
      <c r="N94" s="44">
        <v>0</v>
      </c>
      <c r="O94" s="44">
        <v>0</v>
      </c>
      <c r="P94" s="44">
        <v>0</v>
      </c>
      <c r="Q94" s="44">
        <v>0</v>
      </c>
      <c r="R94" s="44">
        <v>0</v>
      </c>
      <c r="S94" s="44">
        <v>0</v>
      </c>
      <c r="T94" s="44">
        <v>0</v>
      </c>
      <c r="U94" s="44">
        <v>0</v>
      </c>
      <c r="V94" s="44">
        <v>0</v>
      </c>
      <c r="W94" s="44">
        <v>0</v>
      </c>
      <c r="X94" s="328">
        <v>3.0000000000000001E-3</v>
      </c>
      <c r="Y94" s="44">
        <v>8.9999999999999993E-3</v>
      </c>
      <c r="Z94" s="44">
        <v>8.9999999999999993E-3</v>
      </c>
      <c r="AA94" s="44">
        <v>0</v>
      </c>
      <c r="AB94" s="44">
        <v>0</v>
      </c>
      <c r="AC94" s="44">
        <v>0</v>
      </c>
      <c r="AD94" s="44">
        <v>0</v>
      </c>
      <c r="AE94" s="44">
        <v>0</v>
      </c>
      <c r="AF94" s="44">
        <v>0</v>
      </c>
      <c r="AG94" s="44">
        <v>0</v>
      </c>
      <c r="AH94" s="44">
        <v>0</v>
      </c>
      <c r="AI94" s="44">
        <v>0</v>
      </c>
      <c r="AJ94" s="44">
        <v>0</v>
      </c>
      <c r="AK94" s="44">
        <v>0</v>
      </c>
      <c r="AL94" s="44">
        <v>0</v>
      </c>
      <c r="AM94" s="22" t="str">
        <f t="shared" ref="AM94:AM98" si="7">AN94&amp;" - "&amp;C94</f>
        <v>EAI - Norway</v>
      </c>
      <c r="AN94" s="333" t="s">
        <v>3119</v>
      </c>
      <c r="AP94" s="471"/>
      <c r="AQ94" s="11"/>
      <c r="AR94" s="11"/>
      <c r="AS94" s="354"/>
      <c r="AU94" s="406"/>
      <c r="AV94" s="55"/>
      <c r="AW94" s="333"/>
      <c r="AX94" s="406"/>
      <c r="AY94" s="406"/>
      <c r="AZ94" s="538"/>
    </row>
    <row r="95" spans="1:52">
      <c r="A95" s="5"/>
      <c r="B95" s="44" t="s">
        <v>3369</v>
      </c>
      <c r="C95" s="679" t="s">
        <v>1745</v>
      </c>
      <c r="D95" s="44" t="s">
        <v>3577</v>
      </c>
      <c r="E95" s="44" t="s">
        <v>3372</v>
      </c>
      <c r="F95" s="44" t="s">
        <v>2960</v>
      </c>
      <c r="G95" s="44" t="s">
        <v>3374</v>
      </c>
      <c r="H95" s="44" t="s">
        <v>116</v>
      </c>
      <c r="I95" s="44" t="s">
        <v>2971</v>
      </c>
      <c r="J95" s="328">
        <v>9</v>
      </c>
      <c r="K95" s="44">
        <v>0</v>
      </c>
      <c r="L95" s="44">
        <v>0</v>
      </c>
      <c r="M95" s="44">
        <v>0</v>
      </c>
      <c r="N95" s="44">
        <v>0</v>
      </c>
      <c r="O95" s="44">
        <v>0</v>
      </c>
      <c r="P95" s="44">
        <v>0</v>
      </c>
      <c r="Q95" s="44">
        <v>0</v>
      </c>
      <c r="R95" s="44">
        <v>0</v>
      </c>
      <c r="S95" s="44">
        <v>0</v>
      </c>
      <c r="T95" s="44">
        <v>0</v>
      </c>
      <c r="U95" s="44">
        <v>0</v>
      </c>
      <c r="V95" s="44">
        <v>0</v>
      </c>
      <c r="W95" s="44">
        <v>0</v>
      </c>
      <c r="X95" s="328">
        <v>0</v>
      </c>
      <c r="Y95" s="44">
        <v>0</v>
      </c>
      <c r="Z95" s="44">
        <v>0</v>
      </c>
      <c r="AA95" s="44">
        <v>0</v>
      </c>
      <c r="AB95" s="44">
        <v>0</v>
      </c>
      <c r="AC95" s="44">
        <v>1.6020000000000001</v>
      </c>
      <c r="AD95" s="44">
        <v>3.4710000000000001</v>
      </c>
      <c r="AE95" s="44">
        <v>3.2040000000000002</v>
      </c>
      <c r="AF95" s="44">
        <v>2.58</v>
      </c>
      <c r="AG95" s="44">
        <v>1.9350000000000001</v>
      </c>
      <c r="AH95" s="44">
        <v>1.452</v>
      </c>
      <c r="AI95" s="44">
        <v>1.089</v>
      </c>
      <c r="AJ95" s="44">
        <v>0.81599999999999995</v>
      </c>
      <c r="AK95" s="44">
        <v>0.61199999999999999</v>
      </c>
      <c r="AL95" s="44">
        <v>0.45900000000000002</v>
      </c>
      <c r="AM95" s="22" t="str">
        <f t="shared" si="7"/>
        <v>EAI - Norway</v>
      </c>
      <c r="AN95" s="333" t="s">
        <v>3119</v>
      </c>
      <c r="AP95" s="471"/>
      <c r="AQ95" s="11"/>
      <c r="AR95" s="11"/>
      <c r="AS95" s="354"/>
      <c r="AU95" s="406"/>
      <c r="AV95" s="55"/>
      <c r="AW95" s="333"/>
      <c r="AX95" s="406"/>
      <c r="AY95" s="406"/>
      <c r="AZ95" s="538"/>
    </row>
    <row r="96" spans="1:52">
      <c r="A96" s="5"/>
      <c r="B96" s="44" t="s">
        <v>3369</v>
      </c>
      <c r="C96" s="679" t="s">
        <v>1745</v>
      </c>
      <c r="D96" s="44" t="s">
        <v>3578</v>
      </c>
      <c r="E96" s="44" t="s">
        <v>1927</v>
      </c>
      <c r="F96" s="44" t="s">
        <v>2960</v>
      </c>
      <c r="G96" s="44" t="s">
        <v>3374</v>
      </c>
      <c r="H96" s="44" t="s">
        <v>116</v>
      </c>
      <c r="I96" s="44" t="s">
        <v>2600</v>
      </c>
      <c r="J96" s="328">
        <v>0.99</v>
      </c>
      <c r="K96" s="44">
        <v>0</v>
      </c>
      <c r="L96" s="44">
        <v>0</v>
      </c>
      <c r="M96" s="44">
        <v>0</v>
      </c>
      <c r="N96" s="44">
        <v>0</v>
      </c>
      <c r="O96" s="44">
        <v>0</v>
      </c>
      <c r="P96" s="44">
        <v>0</v>
      </c>
      <c r="Q96" s="44">
        <v>0</v>
      </c>
      <c r="R96" s="44">
        <v>0</v>
      </c>
      <c r="S96" s="44">
        <v>0</v>
      </c>
      <c r="T96" s="44">
        <v>0</v>
      </c>
      <c r="U96" s="44">
        <v>0</v>
      </c>
      <c r="V96" s="44">
        <v>0</v>
      </c>
      <c r="W96" s="44">
        <v>0</v>
      </c>
      <c r="X96" s="328">
        <v>0</v>
      </c>
      <c r="Y96" s="44">
        <v>0.249</v>
      </c>
      <c r="Z96" s="44">
        <v>0.51600000000000001</v>
      </c>
      <c r="AA96" s="44">
        <v>0.41699999999999998</v>
      </c>
      <c r="AB96" s="44">
        <v>0.33900000000000002</v>
      </c>
      <c r="AC96" s="44">
        <v>0.27600000000000002</v>
      </c>
      <c r="AD96" s="44">
        <v>0.22500000000000001</v>
      </c>
      <c r="AE96" s="44">
        <v>0.183</v>
      </c>
      <c r="AF96" s="44">
        <v>0.14699999999999999</v>
      </c>
      <c r="AG96" s="44">
        <v>0.12</v>
      </c>
      <c r="AH96" s="44">
        <v>0.29099999999999998</v>
      </c>
      <c r="AI96" s="44">
        <v>0.25800000000000001</v>
      </c>
      <c r="AJ96" s="44">
        <v>0.22800000000000001</v>
      </c>
      <c r="AK96" s="44">
        <v>0.20100000000000001</v>
      </c>
      <c r="AL96" s="44">
        <v>0.18</v>
      </c>
      <c r="AM96" s="22" t="str">
        <f t="shared" si="7"/>
        <v>EAI - Norway</v>
      </c>
      <c r="AN96" s="333" t="s">
        <v>3119</v>
      </c>
      <c r="AP96" s="471"/>
      <c r="AQ96" s="11"/>
      <c r="AR96" s="11"/>
      <c r="AS96" s="354"/>
      <c r="AU96" s="406"/>
      <c r="AV96" s="55"/>
      <c r="AW96" s="333"/>
      <c r="AX96" s="406"/>
      <c r="AY96" s="406"/>
      <c r="AZ96" s="538"/>
    </row>
    <row r="97" spans="1:52">
      <c r="A97" s="5"/>
      <c r="B97" s="44" t="s">
        <v>3369</v>
      </c>
      <c r="C97" s="679" t="s">
        <v>1745</v>
      </c>
      <c r="D97" s="44" t="s">
        <v>3579</v>
      </c>
      <c r="E97" s="44" t="s">
        <v>3372</v>
      </c>
      <c r="F97" s="44" t="s">
        <v>2960</v>
      </c>
      <c r="G97" s="44" t="s">
        <v>3374</v>
      </c>
      <c r="H97" s="44" t="s">
        <v>116</v>
      </c>
      <c r="I97" s="44" t="s">
        <v>2571</v>
      </c>
      <c r="J97" s="328">
        <v>10.5</v>
      </c>
      <c r="K97" s="44">
        <v>0</v>
      </c>
      <c r="L97" s="44">
        <v>0</v>
      </c>
      <c r="M97" s="44">
        <v>0</v>
      </c>
      <c r="N97" s="44">
        <v>0</v>
      </c>
      <c r="O97" s="44">
        <v>0</v>
      </c>
      <c r="P97" s="44">
        <v>0</v>
      </c>
      <c r="Q97" s="44">
        <v>0</v>
      </c>
      <c r="R97" s="44">
        <v>0</v>
      </c>
      <c r="S97" s="44">
        <v>0</v>
      </c>
      <c r="T97" s="44">
        <v>0</v>
      </c>
      <c r="U97" s="44">
        <v>0</v>
      </c>
      <c r="V97" s="44">
        <v>0</v>
      </c>
      <c r="W97" s="44">
        <v>0</v>
      </c>
      <c r="X97" s="328">
        <v>0</v>
      </c>
      <c r="Y97" s="44">
        <v>0</v>
      </c>
      <c r="Z97" s="44">
        <v>0</v>
      </c>
      <c r="AA97" s="44">
        <v>0</v>
      </c>
      <c r="AB97" s="44">
        <v>0</v>
      </c>
      <c r="AC97" s="44">
        <v>0</v>
      </c>
      <c r="AD97" s="44">
        <v>0.53700000000000003</v>
      </c>
      <c r="AE97" s="44">
        <v>0.78300000000000003</v>
      </c>
      <c r="AF97" s="44">
        <v>0.66900000000000004</v>
      </c>
      <c r="AG97" s="44">
        <v>0.57299999999999995</v>
      </c>
      <c r="AH97" s="44">
        <v>0.48899999999999999</v>
      </c>
      <c r="AI97" s="44">
        <v>0.41699999999999998</v>
      </c>
      <c r="AJ97" s="44">
        <v>0.35699999999999998</v>
      </c>
      <c r="AK97" s="44">
        <v>0.30599999999999999</v>
      </c>
      <c r="AL97" s="44">
        <v>0.26100000000000001</v>
      </c>
      <c r="AM97" s="22" t="str">
        <f t="shared" si="7"/>
        <v>EAI - Norway</v>
      </c>
      <c r="AN97" s="333" t="s">
        <v>3119</v>
      </c>
      <c r="AP97" s="471"/>
      <c r="AQ97" s="11"/>
      <c r="AR97" s="11"/>
      <c r="AS97" s="354"/>
      <c r="AU97" s="406"/>
      <c r="AV97" s="55"/>
      <c r="AW97" s="333"/>
      <c r="AX97" s="406"/>
      <c r="AY97" s="406"/>
      <c r="AZ97" s="538"/>
    </row>
    <row r="98" spans="1:52">
      <c r="A98" s="5"/>
      <c r="B98" s="44" t="s">
        <v>3369</v>
      </c>
      <c r="C98" s="679" t="s">
        <v>1745</v>
      </c>
      <c r="D98" s="44" t="s">
        <v>1746</v>
      </c>
      <c r="E98" s="44" t="s">
        <v>1927</v>
      </c>
      <c r="F98" s="44" t="s">
        <v>2960</v>
      </c>
      <c r="G98" s="44" t="s">
        <v>1932</v>
      </c>
      <c r="H98" s="44" t="s">
        <v>116</v>
      </c>
      <c r="I98" s="44" t="s">
        <v>2600</v>
      </c>
      <c r="J98" s="328">
        <v>37.5</v>
      </c>
      <c r="K98" s="44">
        <v>1.48</v>
      </c>
      <c r="L98" s="44">
        <v>1.27</v>
      </c>
      <c r="M98" s="44">
        <v>1.04</v>
      </c>
      <c r="N98" s="44">
        <v>1.69</v>
      </c>
      <c r="O98" s="44">
        <v>1.36</v>
      </c>
      <c r="P98" s="44">
        <v>0.98</v>
      </c>
      <c r="Q98" s="44">
        <v>0.88</v>
      </c>
      <c r="R98" s="44">
        <v>1.1599999999999999</v>
      </c>
      <c r="S98" s="44">
        <v>0.48</v>
      </c>
      <c r="T98" s="44">
        <v>0.3</v>
      </c>
      <c r="U98" s="44">
        <v>0.24</v>
      </c>
      <c r="V98" s="44">
        <v>0.45</v>
      </c>
      <c r="W98" s="44">
        <v>0.41</v>
      </c>
      <c r="X98" s="328">
        <v>0</v>
      </c>
      <c r="Y98" s="44">
        <v>0</v>
      </c>
      <c r="Z98" s="44">
        <v>0</v>
      </c>
      <c r="AA98" s="44">
        <v>0</v>
      </c>
      <c r="AB98" s="44">
        <v>0</v>
      </c>
      <c r="AC98" s="44">
        <v>0</v>
      </c>
      <c r="AD98" s="44">
        <v>0</v>
      </c>
      <c r="AE98" s="44">
        <v>0</v>
      </c>
      <c r="AF98" s="44">
        <v>0</v>
      </c>
      <c r="AG98" s="44">
        <v>0</v>
      </c>
      <c r="AH98" s="44">
        <v>0</v>
      </c>
      <c r="AI98" s="44">
        <v>0</v>
      </c>
      <c r="AJ98" s="44">
        <v>0</v>
      </c>
      <c r="AK98" s="44">
        <v>0</v>
      </c>
      <c r="AL98" s="44">
        <v>0</v>
      </c>
      <c r="AM98" s="22" t="str">
        <f t="shared" si="7"/>
        <v>SUBS - Norway</v>
      </c>
      <c r="AN98" s="333" t="s">
        <v>543</v>
      </c>
      <c r="AP98" s="471"/>
      <c r="AQ98" s="11"/>
      <c r="AR98" s="11"/>
      <c r="AS98" s="354"/>
      <c r="AU98" s="406"/>
      <c r="AV98" s="55"/>
      <c r="AW98" s="333"/>
      <c r="AX98" s="406"/>
      <c r="AY98" s="406"/>
      <c r="AZ98" s="538"/>
    </row>
    <row r="99" spans="1:52">
      <c r="A99" s="5"/>
      <c r="B99" s="44" t="s">
        <v>3369</v>
      </c>
      <c r="C99" s="679" t="s">
        <v>1745</v>
      </c>
      <c r="D99" s="44" t="s">
        <v>1746</v>
      </c>
      <c r="E99" s="44" t="s">
        <v>1927</v>
      </c>
      <c r="F99" s="44" t="s">
        <v>2960</v>
      </c>
      <c r="G99" s="44" t="s">
        <v>1932</v>
      </c>
      <c r="H99" s="44" t="s">
        <v>116</v>
      </c>
      <c r="I99" s="44" t="s">
        <v>2600</v>
      </c>
      <c r="J99" s="328">
        <v>27</v>
      </c>
      <c r="K99" s="44">
        <v>0</v>
      </c>
      <c r="L99" s="44">
        <v>0</v>
      </c>
      <c r="M99" s="44">
        <v>0</v>
      </c>
      <c r="N99" s="44">
        <v>0</v>
      </c>
      <c r="O99" s="44">
        <v>0</v>
      </c>
      <c r="P99" s="44">
        <v>0</v>
      </c>
      <c r="Q99" s="44">
        <v>0</v>
      </c>
      <c r="R99" s="44">
        <v>0</v>
      </c>
      <c r="S99" s="44">
        <v>0</v>
      </c>
      <c r="T99" s="44">
        <v>0</v>
      </c>
      <c r="U99" s="44">
        <v>0</v>
      </c>
      <c r="V99" s="44">
        <v>0</v>
      </c>
      <c r="W99" s="44">
        <v>0</v>
      </c>
      <c r="X99" s="328">
        <v>0.156</v>
      </c>
      <c r="Y99" s="44">
        <v>0.34499999999999997</v>
      </c>
      <c r="Z99" s="44">
        <v>0.28199999999999997</v>
      </c>
      <c r="AA99" s="44">
        <v>0.3</v>
      </c>
      <c r="AB99" s="44">
        <v>0.25800000000000001</v>
      </c>
      <c r="AC99" s="44">
        <v>0.22500000000000001</v>
      </c>
      <c r="AD99" s="44">
        <v>0.76500000000000001</v>
      </c>
      <c r="AE99" s="44">
        <v>3.2010000000000001</v>
      </c>
      <c r="AF99" s="44">
        <v>4.665</v>
      </c>
      <c r="AG99" s="44">
        <v>4.3079999999999998</v>
      </c>
      <c r="AH99" s="44">
        <v>3.984</v>
      </c>
      <c r="AI99" s="44">
        <v>3.6779999999999999</v>
      </c>
      <c r="AJ99" s="44">
        <v>3.399</v>
      </c>
      <c r="AK99" s="44">
        <v>3.1440000000000001</v>
      </c>
      <c r="AL99" s="44">
        <v>2.907</v>
      </c>
      <c r="AM99" s="22" t="str">
        <f t="shared" si="6"/>
        <v>EAI - Norway</v>
      </c>
      <c r="AN99" s="333" t="s">
        <v>3119</v>
      </c>
      <c r="AP99" s="471"/>
      <c r="AQ99" s="11"/>
      <c r="AR99" s="11"/>
      <c r="AS99" s="354"/>
      <c r="AU99" s="406"/>
      <c r="AV99" s="55"/>
      <c r="AW99" s="333"/>
      <c r="AX99" s="406"/>
      <c r="AY99" s="406"/>
      <c r="AZ99" s="538"/>
    </row>
    <row r="100" spans="1:52">
      <c r="A100" s="5"/>
      <c r="B100" s="44" t="s">
        <v>3369</v>
      </c>
      <c r="C100" s="679" t="s">
        <v>1745</v>
      </c>
      <c r="D100" s="44" t="s">
        <v>3580</v>
      </c>
      <c r="E100" s="44" t="s">
        <v>1927</v>
      </c>
      <c r="F100" s="44" t="s">
        <v>2960</v>
      </c>
      <c r="G100" s="44" t="s">
        <v>3374</v>
      </c>
      <c r="H100" s="44" t="s">
        <v>116</v>
      </c>
      <c r="I100" s="44" t="s">
        <v>2600</v>
      </c>
      <c r="J100" s="328">
        <v>10.4358</v>
      </c>
      <c r="K100" s="44">
        <v>0</v>
      </c>
      <c r="L100" s="44">
        <v>0</v>
      </c>
      <c r="M100" s="44">
        <v>0</v>
      </c>
      <c r="N100" s="44">
        <v>0</v>
      </c>
      <c r="O100" s="44">
        <v>0</v>
      </c>
      <c r="P100" s="44">
        <v>0</v>
      </c>
      <c r="Q100" s="44">
        <v>0</v>
      </c>
      <c r="R100" s="44">
        <v>0</v>
      </c>
      <c r="S100" s="44">
        <v>0</v>
      </c>
      <c r="T100" s="44">
        <v>0</v>
      </c>
      <c r="U100" s="44">
        <v>0</v>
      </c>
      <c r="V100" s="44">
        <v>0</v>
      </c>
      <c r="W100" s="44">
        <v>0</v>
      </c>
      <c r="X100" s="328">
        <v>0.61499999999999999</v>
      </c>
      <c r="Y100" s="44">
        <v>4.4669999999999996</v>
      </c>
      <c r="Z100" s="44">
        <v>6</v>
      </c>
      <c r="AA100" s="44">
        <v>5.2140000000000004</v>
      </c>
      <c r="AB100" s="44">
        <v>4.53</v>
      </c>
      <c r="AC100" s="44">
        <v>3.8730000000000002</v>
      </c>
      <c r="AD100" s="44">
        <v>3.3090000000000002</v>
      </c>
      <c r="AE100" s="44">
        <v>2.8319999999999999</v>
      </c>
      <c r="AF100" s="44">
        <v>2.4209999999999998</v>
      </c>
      <c r="AG100" s="44">
        <v>2.073</v>
      </c>
      <c r="AH100" s="44">
        <v>1.7729999999999999</v>
      </c>
      <c r="AI100" s="44">
        <v>1.5209999999999999</v>
      </c>
      <c r="AJ100" s="44">
        <v>1.17</v>
      </c>
      <c r="AK100" s="44">
        <v>0.996</v>
      </c>
      <c r="AL100" s="44">
        <v>0.84599999999999997</v>
      </c>
      <c r="AM100" s="22" t="str">
        <f t="shared" ref="AM100:AM109" si="8">AN100&amp;" - "&amp;C100</f>
        <v>EAI - Norway</v>
      </c>
      <c r="AN100" s="333" t="s">
        <v>3119</v>
      </c>
      <c r="AP100" s="471"/>
      <c r="AQ100" s="11"/>
      <c r="AR100" s="11"/>
      <c r="AS100" s="354"/>
      <c r="AU100" s="406"/>
      <c r="AV100" s="55"/>
      <c r="AW100" s="333"/>
      <c r="AX100" s="406"/>
      <c r="AY100" s="406"/>
      <c r="AZ100" s="538"/>
    </row>
    <row r="101" spans="1:52">
      <c r="A101" s="5"/>
      <c r="B101" s="44" t="s">
        <v>3369</v>
      </c>
      <c r="C101" s="679" t="s">
        <v>1745</v>
      </c>
      <c r="D101" s="44" t="s">
        <v>3581</v>
      </c>
      <c r="E101" s="44" t="s">
        <v>2254</v>
      </c>
      <c r="F101" s="44" t="s">
        <v>2960</v>
      </c>
      <c r="G101" s="44" t="s">
        <v>3374</v>
      </c>
      <c r="H101" s="44" t="s">
        <v>116</v>
      </c>
      <c r="I101" s="44" t="s">
        <v>2571</v>
      </c>
      <c r="J101" s="328">
        <v>21</v>
      </c>
      <c r="K101" s="44">
        <v>0</v>
      </c>
      <c r="L101" s="44">
        <v>0</v>
      </c>
      <c r="M101" s="44">
        <v>0</v>
      </c>
      <c r="N101" s="44">
        <v>0</v>
      </c>
      <c r="O101" s="44">
        <v>0</v>
      </c>
      <c r="P101" s="44">
        <v>0</v>
      </c>
      <c r="Q101" s="44">
        <v>0</v>
      </c>
      <c r="R101" s="44">
        <v>0</v>
      </c>
      <c r="S101" s="44">
        <v>0</v>
      </c>
      <c r="T101" s="44">
        <v>0</v>
      </c>
      <c r="U101" s="44">
        <v>0</v>
      </c>
      <c r="V101" s="44">
        <v>0</v>
      </c>
      <c r="W101" s="44">
        <v>0</v>
      </c>
      <c r="X101" s="328">
        <v>0.16500000000000001</v>
      </c>
      <c r="Y101" s="44">
        <v>0</v>
      </c>
      <c r="Z101" s="44">
        <v>0</v>
      </c>
      <c r="AA101" s="44">
        <v>0</v>
      </c>
      <c r="AB101" s="44">
        <v>0</v>
      </c>
      <c r="AC101" s="44">
        <v>0</v>
      </c>
      <c r="AD101" s="44">
        <v>0</v>
      </c>
      <c r="AE101" s="44">
        <v>0</v>
      </c>
      <c r="AF101" s="44">
        <v>0</v>
      </c>
      <c r="AG101" s="44">
        <v>0</v>
      </c>
      <c r="AH101" s="44">
        <v>0</v>
      </c>
      <c r="AI101" s="44">
        <v>0</v>
      </c>
      <c r="AJ101" s="44">
        <v>0</v>
      </c>
      <c r="AK101" s="44">
        <v>0</v>
      </c>
      <c r="AL101" s="44">
        <v>0</v>
      </c>
      <c r="AM101" s="22" t="str">
        <f t="shared" si="8"/>
        <v>EAI - Norway</v>
      </c>
      <c r="AN101" s="333" t="s">
        <v>3119</v>
      </c>
      <c r="AP101" s="471"/>
      <c r="AQ101" s="11"/>
      <c r="AR101" s="11"/>
      <c r="AS101" s="354"/>
      <c r="AU101" s="406"/>
      <c r="AV101" s="55"/>
      <c r="AW101" s="333"/>
      <c r="AX101" s="406"/>
      <c r="AY101" s="406"/>
      <c r="AZ101" s="538"/>
    </row>
    <row r="102" spans="1:52">
      <c r="A102" s="5"/>
      <c r="B102" s="44" t="s">
        <v>3369</v>
      </c>
      <c r="C102" s="679" t="s">
        <v>1745</v>
      </c>
      <c r="D102" s="44" t="s">
        <v>3582</v>
      </c>
      <c r="E102" s="44" t="s">
        <v>2970</v>
      </c>
      <c r="F102" s="44" t="s">
        <v>2960</v>
      </c>
      <c r="G102" s="44" t="s">
        <v>3374</v>
      </c>
      <c r="H102" s="44" t="s">
        <v>116</v>
      </c>
      <c r="I102" s="44" t="s">
        <v>2600</v>
      </c>
      <c r="J102" s="328">
        <v>3.4719000000000002</v>
      </c>
      <c r="K102" s="44">
        <v>0</v>
      </c>
      <c r="L102" s="44">
        <v>0</v>
      </c>
      <c r="M102" s="44">
        <v>0</v>
      </c>
      <c r="N102" s="44">
        <v>0</v>
      </c>
      <c r="O102" s="44">
        <v>0</v>
      </c>
      <c r="P102" s="44">
        <v>0</v>
      </c>
      <c r="Q102" s="44">
        <v>0</v>
      </c>
      <c r="R102" s="44">
        <v>0</v>
      </c>
      <c r="S102" s="44">
        <v>0</v>
      </c>
      <c r="T102" s="44">
        <v>0</v>
      </c>
      <c r="U102" s="44">
        <v>0</v>
      </c>
      <c r="V102" s="44">
        <v>0</v>
      </c>
      <c r="W102" s="44">
        <v>0</v>
      </c>
      <c r="X102" s="328">
        <v>0</v>
      </c>
      <c r="Y102" s="44">
        <v>0</v>
      </c>
      <c r="Z102" s="44">
        <v>0</v>
      </c>
      <c r="AA102" s="44">
        <v>0.88800000000000001</v>
      </c>
      <c r="AB102" s="44">
        <v>13.167</v>
      </c>
      <c r="AC102" s="44">
        <v>14.409000000000001</v>
      </c>
      <c r="AD102" s="44">
        <v>15.657</v>
      </c>
      <c r="AE102" s="44">
        <v>21.347999999999999</v>
      </c>
      <c r="AF102" s="44">
        <v>20.28</v>
      </c>
      <c r="AG102" s="44">
        <v>17.802</v>
      </c>
      <c r="AH102" s="44">
        <v>15.624000000000001</v>
      </c>
      <c r="AI102" s="44">
        <v>13.718999999999999</v>
      </c>
      <c r="AJ102" s="44">
        <v>12.045</v>
      </c>
      <c r="AK102" s="44">
        <v>10.574999999999999</v>
      </c>
      <c r="AL102" s="44">
        <v>9.2880000000000003</v>
      </c>
      <c r="AM102" s="22" t="str">
        <f t="shared" si="8"/>
        <v>EAI - Norway</v>
      </c>
      <c r="AN102" s="333" t="s">
        <v>3119</v>
      </c>
      <c r="AP102" s="471"/>
      <c r="AQ102" s="11"/>
      <c r="AR102" s="11"/>
      <c r="AS102" s="354"/>
      <c r="AU102" s="406"/>
      <c r="AV102" s="55"/>
      <c r="AW102" s="333"/>
      <c r="AX102" s="406"/>
      <c r="AY102" s="406"/>
      <c r="AZ102" s="538"/>
    </row>
    <row r="103" spans="1:52">
      <c r="A103" s="5"/>
      <c r="B103" s="44" t="s">
        <v>3369</v>
      </c>
      <c r="C103" s="679" t="s">
        <v>1745</v>
      </c>
      <c r="D103" s="44" t="s">
        <v>3736</v>
      </c>
      <c r="E103" s="44" t="s">
        <v>3372</v>
      </c>
      <c r="F103" s="44" t="s">
        <v>2960</v>
      </c>
      <c r="G103" s="44" t="s">
        <v>3374</v>
      </c>
      <c r="H103" s="44" t="s">
        <v>116</v>
      </c>
      <c r="I103" s="44" t="s">
        <v>2971</v>
      </c>
      <c r="J103" s="328">
        <v>15.3</v>
      </c>
      <c r="K103" s="44">
        <v>0</v>
      </c>
      <c r="L103" s="44">
        <v>0</v>
      </c>
      <c r="M103" s="44">
        <v>0</v>
      </c>
      <c r="N103" s="44">
        <v>0</v>
      </c>
      <c r="O103" s="44">
        <v>0</v>
      </c>
      <c r="P103" s="44">
        <v>0</v>
      </c>
      <c r="Q103" s="44">
        <v>0</v>
      </c>
      <c r="R103" s="44">
        <v>0</v>
      </c>
      <c r="S103" s="44">
        <v>0</v>
      </c>
      <c r="T103" s="44">
        <v>0</v>
      </c>
      <c r="U103" s="44">
        <v>0</v>
      </c>
      <c r="V103" s="44">
        <v>0</v>
      </c>
      <c r="W103" s="44">
        <v>0</v>
      </c>
      <c r="X103" s="328">
        <v>0</v>
      </c>
      <c r="Y103" s="44">
        <v>0</v>
      </c>
      <c r="Z103" s="44">
        <v>0</v>
      </c>
      <c r="AA103" s="44">
        <v>0</v>
      </c>
      <c r="AB103" s="44">
        <v>0</v>
      </c>
      <c r="AC103" s="44">
        <v>0</v>
      </c>
      <c r="AD103" s="44">
        <v>4.1760000000000002</v>
      </c>
      <c r="AE103" s="44">
        <v>11.183999999999999</v>
      </c>
      <c r="AF103" s="44">
        <v>13.581</v>
      </c>
      <c r="AG103" s="44">
        <v>14.805</v>
      </c>
      <c r="AH103" s="44">
        <v>13.295999999999999</v>
      </c>
      <c r="AI103" s="44">
        <v>11.118</v>
      </c>
      <c r="AJ103" s="44">
        <v>9.3000000000000007</v>
      </c>
      <c r="AK103" s="44">
        <v>7.7939999999999996</v>
      </c>
      <c r="AL103" s="44">
        <v>6.5490000000000004</v>
      </c>
      <c r="AM103" s="22" t="str">
        <f t="shared" si="8"/>
        <v>EAI - Norway</v>
      </c>
      <c r="AN103" s="333" t="s">
        <v>3119</v>
      </c>
      <c r="AP103" s="471"/>
      <c r="AQ103" s="11"/>
      <c r="AR103" s="11"/>
      <c r="AS103" s="354"/>
      <c r="AU103" s="406"/>
      <c r="AV103" s="55"/>
      <c r="AW103" s="333"/>
      <c r="AX103" s="406"/>
      <c r="AY103" s="406"/>
      <c r="AZ103" s="538"/>
    </row>
    <row r="104" spans="1:52">
      <c r="A104" s="5"/>
      <c r="B104" s="44" t="s">
        <v>3369</v>
      </c>
      <c r="C104" s="679" t="s">
        <v>1745</v>
      </c>
      <c r="D104" s="44" t="s">
        <v>3667</v>
      </c>
      <c r="E104" s="44" t="s">
        <v>2970</v>
      </c>
      <c r="F104" s="44" t="s">
        <v>2960</v>
      </c>
      <c r="G104" s="44" t="s">
        <v>1932</v>
      </c>
      <c r="H104" s="44" t="s">
        <v>116</v>
      </c>
      <c r="I104" s="44" t="s">
        <v>2571</v>
      </c>
      <c r="J104" s="328">
        <v>4.5</v>
      </c>
      <c r="K104" s="44">
        <v>0</v>
      </c>
      <c r="L104" s="44">
        <v>0</v>
      </c>
      <c r="M104" s="44">
        <v>0</v>
      </c>
      <c r="N104" s="44">
        <v>0</v>
      </c>
      <c r="O104" s="44">
        <v>0</v>
      </c>
      <c r="P104" s="44">
        <v>0</v>
      </c>
      <c r="Q104" s="44">
        <v>0</v>
      </c>
      <c r="R104" s="44">
        <v>0</v>
      </c>
      <c r="S104" s="44">
        <v>0</v>
      </c>
      <c r="T104" s="44">
        <v>0</v>
      </c>
      <c r="U104" s="44">
        <v>0</v>
      </c>
      <c r="V104" s="44">
        <v>0</v>
      </c>
      <c r="W104" s="44">
        <v>0</v>
      </c>
      <c r="X104" s="328">
        <v>0</v>
      </c>
      <c r="Y104" s="44">
        <v>0</v>
      </c>
      <c r="Z104" s="44">
        <v>0</v>
      </c>
      <c r="AA104" s="44">
        <v>0.22500000000000001</v>
      </c>
      <c r="AB104" s="44">
        <v>1.4910000000000001</v>
      </c>
      <c r="AC104" s="44">
        <v>1.095</v>
      </c>
      <c r="AD104" s="44">
        <v>0.80100000000000005</v>
      </c>
      <c r="AE104" s="44">
        <v>0.59099999999999997</v>
      </c>
      <c r="AF104" s="44">
        <v>0.432</v>
      </c>
      <c r="AG104" s="44">
        <v>0.315</v>
      </c>
      <c r="AH104" s="44">
        <v>0.23100000000000001</v>
      </c>
      <c r="AI104" s="44">
        <v>0.16800000000000001</v>
      </c>
      <c r="AJ104" s="44">
        <v>0.123</v>
      </c>
      <c r="AK104" s="44">
        <v>0.09</v>
      </c>
      <c r="AL104" s="44">
        <v>6.9000000000000006E-2</v>
      </c>
      <c r="AM104" s="22" t="str">
        <f t="shared" si="8"/>
        <v>EAI - Norway</v>
      </c>
      <c r="AN104" s="333" t="s">
        <v>3119</v>
      </c>
      <c r="AP104" s="471"/>
      <c r="AQ104" s="11"/>
      <c r="AR104" s="11"/>
      <c r="AS104" s="354"/>
      <c r="AU104" s="406"/>
      <c r="AV104" s="55"/>
      <c r="AW104" s="333"/>
      <c r="AX104" s="406"/>
      <c r="AY104" s="406"/>
      <c r="AZ104" s="538"/>
    </row>
    <row r="105" spans="1:52">
      <c r="A105" s="5"/>
      <c r="B105" s="44" t="s">
        <v>3369</v>
      </c>
      <c r="C105" s="679" t="s">
        <v>1745</v>
      </c>
      <c r="D105" s="44" t="s">
        <v>1747</v>
      </c>
      <c r="E105" s="44" t="s">
        <v>1927</v>
      </c>
      <c r="F105" s="44" t="s">
        <v>2960</v>
      </c>
      <c r="G105" s="44" t="s">
        <v>3374</v>
      </c>
      <c r="H105" s="44" t="s">
        <v>116</v>
      </c>
      <c r="I105" s="44" t="s">
        <v>2971</v>
      </c>
      <c r="J105" s="328">
        <v>23.835000000000001</v>
      </c>
      <c r="K105" s="44">
        <v>0</v>
      </c>
      <c r="L105" s="44">
        <v>0</v>
      </c>
      <c r="M105" s="44">
        <v>0</v>
      </c>
      <c r="N105" s="44">
        <v>0</v>
      </c>
      <c r="O105" s="44">
        <v>0</v>
      </c>
      <c r="P105" s="44">
        <v>0</v>
      </c>
      <c r="Q105" s="44">
        <v>0</v>
      </c>
      <c r="R105" s="44">
        <v>0</v>
      </c>
      <c r="S105" s="44">
        <v>0</v>
      </c>
      <c r="T105" s="44">
        <v>0</v>
      </c>
      <c r="U105" s="44">
        <v>11.69</v>
      </c>
      <c r="V105" s="44">
        <v>17.22</v>
      </c>
      <c r="W105" s="44">
        <v>14.89</v>
      </c>
      <c r="X105" s="328">
        <v>0</v>
      </c>
      <c r="Y105" s="44">
        <v>0</v>
      </c>
      <c r="Z105" s="44">
        <v>0</v>
      </c>
      <c r="AA105" s="44">
        <v>0</v>
      </c>
      <c r="AB105" s="44">
        <v>0</v>
      </c>
      <c r="AC105" s="44">
        <v>0</v>
      </c>
      <c r="AD105" s="44">
        <v>0</v>
      </c>
      <c r="AE105" s="44">
        <v>0</v>
      </c>
      <c r="AF105" s="44">
        <v>0</v>
      </c>
      <c r="AG105" s="44">
        <v>0</v>
      </c>
      <c r="AH105" s="44">
        <v>0</v>
      </c>
      <c r="AI105" s="44">
        <v>0</v>
      </c>
      <c r="AJ105" s="44">
        <v>0</v>
      </c>
      <c r="AK105" s="44">
        <v>0</v>
      </c>
      <c r="AL105" s="44">
        <v>0</v>
      </c>
      <c r="AM105" s="22" t="str">
        <f t="shared" si="8"/>
        <v>SUBS - Norway</v>
      </c>
      <c r="AN105" s="333" t="s">
        <v>543</v>
      </c>
      <c r="AP105" s="471"/>
      <c r="AQ105" s="11"/>
      <c r="AR105" s="11"/>
      <c r="AS105" s="354"/>
      <c r="AU105" s="406"/>
      <c r="AV105" s="55"/>
      <c r="AW105" s="333"/>
      <c r="AX105" s="406"/>
      <c r="AY105" s="406"/>
      <c r="AZ105" s="538"/>
    </row>
    <row r="106" spans="1:52">
      <c r="A106" s="5"/>
      <c r="B106" s="44" t="s">
        <v>3369</v>
      </c>
      <c r="C106" s="679" t="s">
        <v>1745</v>
      </c>
      <c r="D106" s="44" t="s">
        <v>1747</v>
      </c>
      <c r="E106" s="44" t="s">
        <v>1927</v>
      </c>
      <c r="F106" s="44" t="s">
        <v>2960</v>
      </c>
      <c r="G106" s="44" t="s">
        <v>3374</v>
      </c>
      <c r="H106" s="44" t="s">
        <v>116</v>
      </c>
      <c r="I106" s="44" t="s">
        <v>2971</v>
      </c>
      <c r="J106" s="328">
        <v>7.1505000000000001</v>
      </c>
      <c r="K106" s="44">
        <v>0</v>
      </c>
      <c r="L106" s="44">
        <v>0</v>
      </c>
      <c r="M106" s="44">
        <v>0</v>
      </c>
      <c r="N106" s="44">
        <v>0</v>
      </c>
      <c r="O106" s="44">
        <v>0</v>
      </c>
      <c r="P106" s="44">
        <v>0</v>
      </c>
      <c r="Q106" s="44">
        <v>0</v>
      </c>
      <c r="R106" s="44">
        <v>0</v>
      </c>
      <c r="S106" s="44">
        <v>0</v>
      </c>
      <c r="T106" s="44">
        <v>0</v>
      </c>
      <c r="U106" s="44">
        <v>0</v>
      </c>
      <c r="V106" s="44">
        <v>0</v>
      </c>
      <c r="W106" s="44">
        <v>0</v>
      </c>
      <c r="X106" s="328">
        <v>3.9209999999999998</v>
      </c>
      <c r="Y106" s="44">
        <v>2.5739999999999998</v>
      </c>
      <c r="Z106" s="44">
        <v>1.728</v>
      </c>
      <c r="AA106" s="44">
        <v>1.4730000000000001</v>
      </c>
      <c r="AB106" s="44">
        <v>1.512</v>
      </c>
      <c r="AC106" s="44">
        <v>2.427</v>
      </c>
      <c r="AD106" s="44">
        <v>2.19</v>
      </c>
      <c r="AE106" s="44">
        <v>2.3879999999999999</v>
      </c>
      <c r="AF106" s="44">
        <v>2.7719999999999998</v>
      </c>
      <c r="AG106" s="44">
        <v>2.7360000000000002</v>
      </c>
      <c r="AH106" s="44">
        <v>2.8050000000000002</v>
      </c>
      <c r="AI106" s="44">
        <v>2.4630000000000001</v>
      </c>
      <c r="AJ106" s="44">
        <v>2.1659999999999999</v>
      </c>
      <c r="AK106" s="44">
        <v>1.9079999999999999</v>
      </c>
      <c r="AL106" s="44">
        <v>1.6859999999999999</v>
      </c>
      <c r="AM106" s="22" t="str">
        <f t="shared" si="8"/>
        <v>EAI - Norway</v>
      </c>
      <c r="AN106" s="333" t="s">
        <v>3119</v>
      </c>
      <c r="AP106" s="471"/>
      <c r="AQ106" s="11"/>
      <c r="AR106" s="11"/>
      <c r="AS106" s="354"/>
      <c r="AU106" s="406"/>
      <c r="AV106" s="55"/>
      <c r="AW106" s="333"/>
      <c r="AX106" s="406"/>
      <c r="AY106" s="406"/>
      <c r="AZ106" s="538"/>
    </row>
    <row r="107" spans="1:52">
      <c r="A107" s="5"/>
      <c r="B107" s="44" t="s">
        <v>3369</v>
      </c>
      <c r="C107" s="679" t="s">
        <v>1745</v>
      </c>
      <c r="D107" s="44" t="s">
        <v>3737</v>
      </c>
      <c r="E107" s="44" t="s">
        <v>2970</v>
      </c>
      <c r="F107" s="44" t="s">
        <v>2960</v>
      </c>
      <c r="G107" s="44" t="s">
        <v>1932</v>
      </c>
      <c r="H107" s="44" t="s">
        <v>1930</v>
      </c>
      <c r="I107" s="44" t="s">
        <v>2571</v>
      </c>
      <c r="J107" s="328">
        <v>19.5</v>
      </c>
      <c r="K107" s="44">
        <v>0</v>
      </c>
      <c r="L107" s="44">
        <v>0</v>
      </c>
      <c r="M107" s="44">
        <v>0</v>
      </c>
      <c r="N107" s="44">
        <v>0</v>
      </c>
      <c r="O107" s="44">
        <v>0</v>
      </c>
      <c r="P107" s="44">
        <v>0</v>
      </c>
      <c r="Q107" s="44">
        <v>0</v>
      </c>
      <c r="R107" s="44">
        <v>0</v>
      </c>
      <c r="S107" s="44">
        <v>0</v>
      </c>
      <c r="T107" s="44">
        <v>0</v>
      </c>
      <c r="U107" s="44">
        <v>0</v>
      </c>
      <c r="V107" s="44">
        <v>0</v>
      </c>
      <c r="W107" s="44">
        <v>0</v>
      </c>
      <c r="X107" s="328">
        <v>0</v>
      </c>
      <c r="Y107" s="44">
        <v>0</v>
      </c>
      <c r="Z107" s="44">
        <v>0</v>
      </c>
      <c r="AA107" s="44">
        <v>0</v>
      </c>
      <c r="AB107" s="44">
        <v>1.365</v>
      </c>
      <c r="AC107" s="44">
        <v>1.464</v>
      </c>
      <c r="AD107" s="44">
        <v>1.0920000000000001</v>
      </c>
      <c r="AE107" s="44">
        <v>0.80100000000000005</v>
      </c>
      <c r="AF107" s="44">
        <v>0.58499999999999996</v>
      </c>
      <c r="AG107" s="44">
        <v>0.42899999999999999</v>
      </c>
      <c r="AH107" s="44">
        <v>0.312</v>
      </c>
      <c r="AI107" s="44">
        <v>0.23400000000000001</v>
      </c>
      <c r="AJ107" s="44">
        <v>0.17699999999999999</v>
      </c>
      <c r="AK107" s="44">
        <v>0.13800000000000001</v>
      </c>
      <c r="AL107" s="44">
        <v>0</v>
      </c>
      <c r="AM107" s="22" t="str">
        <f t="shared" ref="AM107" si="9">AN107&amp;" - "&amp;C107</f>
        <v>EAI - Norway</v>
      </c>
      <c r="AN107" s="333" t="s">
        <v>3119</v>
      </c>
      <c r="AP107" s="471"/>
      <c r="AQ107" s="11"/>
      <c r="AR107" s="11"/>
      <c r="AS107" s="354"/>
      <c r="AU107" s="406"/>
      <c r="AV107" s="55"/>
      <c r="AW107" s="333"/>
      <c r="AX107" s="406"/>
      <c r="AY107" s="406"/>
      <c r="AZ107" s="538"/>
    </row>
    <row r="108" spans="1:52">
      <c r="A108" s="5"/>
      <c r="B108" s="44" t="s">
        <v>3369</v>
      </c>
      <c r="C108" s="679" t="s">
        <v>1745</v>
      </c>
      <c r="D108" s="44" t="s">
        <v>1748</v>
      </c>
      <c r="E108" s="44" t="s">
        <v>1927</v>
      </c>
      <c r="F108" s="44" t="s">
        <v>2960</v>
      </c>
      <c r="G108" s="44" t="s">
        <v>1932</v>
      </c>
      <c r="H108" s="44" t="s">
        <v>116</v>
      </c>
      <c r="I108" s="44" t="s">
        <v>2600</v>
      </c>
      <c r="J108" s="328">
        <v>55</v>
      </c>
      <c r="K108" s="44">
        <v>14.57</v>
      </c>
      <c r="L108" s="44">
        <v>8.7799999999999994</v>
      </c>
      <c r="M108" s="44">
        <v>12.44</v>
      </c>
      <c r="N108" s="44">
        <v>9.41</v>
      </c>
      <c r="O108" s="44">
        <v>6.01</v>
      </c>
      <c r="P108" s="44">
        <v>5.29</v>
      </c>
      <c r="Q108" s="44">
        <v>2.84</v>
      </c>
      <c r="R108" s="44">
        <v>2.4300000000000002</v>
      </c>
      <c r="S108" s="44">
        <v>2.5299999999999998</v>
      </c>
      <c r="T108" s="44">
        <v>1.75</v>
      </c>
      <c r="U108" s="44">
        <v>1.47</v>
      </c>
      <c r="V108" s="44">
        <v>3.18</v>
      </c>
      <c r="W108" s="44">
        <v>2.2400000000000002</v>
      </c>
      <c r="X108" s="328">
        <v>0</v>
      </c>
      <c r="Y108" s="44">
        <v>0</v>
      </c>
      <c r="Z108" s="44">
        <v>0</v>
      </c>
      <c r="AA108" s="44">
        <v>0</v>
      </c>
      <c r="AB108" s="44">
        <v>0</v>
      </c>
      <c r="AC108" s="44">
        <v>0</v>
      </c>
      <c r="AD108" s="44">
        <v>0</v>
      </c>
      <c r="AE108" s="44">
        <v>0</v>
      </c>
      <c r="AF108" s="44">
        <v>0</v>
      </c>
      <c r="AG108" s="44">
        <v>0</v>
      </c>
      <c r="AH108" s="44">
        <v>0</v>
      </c>
      <c r="AI108" s="44">
        <v>0</v>
      </c>
      <c r="AJ108" s="44">
        <v>0</v>
      </c>
      <c r="AK108" s="44">
        <v>0</v>
      </c>
      <c r="AL108" s="44">
        <v>0</v>
      </c>
      <c r="AM108" s="22" t="str">
        <f t="shared" si="8"/>
        <v>SUBS - Norway</v>
      </c>
      <c r="AN108" s="333" t="s">
        <v>543</v>
      </c>
      <c r="AP108" s="471"/>
      <c r="AQ108" s="11"/>
      <c r="AR108" s="11"/>
      <c r="AS108" s="354"/>
      <c r="AU108" s="406"/>
      <c r="AV108" s="55"/>
      <c r="AW108" s="333"/>
      <c r="AX108" s="406"/>
      <c r="AY108" s="406"/>
      <c r="AZ108" s="538"/>
    </row>
    <row r="109" spans="1:52">
      <c r="A109" s="5"/>
      <c r="B109" s="44" t="s">
        <v>3369</v>
      </c>
      <c r="C109" s="679" t="s">
        <v>1745</v>
      </c>
      <c r="D109" s="44" t="s">
        <v>1748</v>
      </c>
      <c r="E109" s="44" t="s">
        <v>1927</v>
      </c>
      <c r="F109" s="44" t="s">
        <v>2960</v>
      </c>
      <c r="G109" s="44" t="s">
        <v>1932</v>
      </c>
      <c r="H109" s="44" t="s">
        <v>116</v>
      </c>
      <c r="I109" s="44" t="s">
        <v>2600</v>
      </c>
      <c r="J109" s="328">
        <v>16.5</v>
      </c>
      <c r="K109" s="44">
        <v>0</v>
      </c>
      <c r="L109" s="44">
        <v>0</v>
      </c>
      <c r="M109" s="44">
        <v>0</v>
      </c>
      <c r="N109" s="44">
        <v>0</v>
      </c>
      <c r="O109" s="44">
        <v>0</v>
      </c>
      <c r="P109" s="44">
        <v>0</v>
      </c>
      <c r="Q109" s="44">
        <v>0</v>
      </c>
      <c r="R109" s="44">
        <v>0</v>
      </c>
      <c r="S109" s="44">
        <v>0</v>
      </c>
      <c r="T109" s="44">
        <v>0</v>
      </c>
      <c r="U109" s="44">
        <v>0</v>
      </c>
      <c r="V109" s="44">
        <v>0</v>
      </c>
      <c r="W109" s="44">
        <v>0</v>
      </c>
      <c r="X109" s="328">
        <v>0.65400000000000003</v>
      </c>
      <c r="Y109" s="44">
        <v>0.624</v>
      </c>
      <c r="Z109" s="44">
        <v>1.155</v>
      </c>
      <c r="AA109" s="44">
        <v>1.377</v>
      </c>
      <c r="AB109" s="44">
        <v>1.2989999999999999</v>
      </c>
      <c r="AC109" s="44">
        <v>1.248</v>
      </c>
      <c r="AD109" s="44">
        <v>1.212</v>
      </c>
      <c r="AE109" s="44">
        <v>1.1850000000000001</v>
      </c>
      <c r="AF109" s="44">
        <v>0.98099999999999998</v>
      </c>
      <c r="AG109" s="44">
        <v>0.68100000000000005</v>
      </c>
      <c r="AH109" s="44">
        <v>0.55500000000000005</v>
      </c>
      <c r="AI109" s="44">
        <v>0.45300000000000001</v>
      </c>
      <c r="AJ109" s="44">
        <v>0.36899999999999999</v>
      </c>
      <c r="AK109" s="44">
        <v>0</v>
      </c>
      <c r="AL109" s="44">
        <v>0</v>
      </c>
      <c r="AM109" s="22" t="str">
        <f t="shared" si="8"/>
        <v>EAI - Norway</v>
      </c>
      <c r="AN109" s="333" t="s">
        <v>3119</v>
      </c>
      <c r="AP109" s="471"/>
      <c r="AQ109" s="11"/>
      <c r="AR109" s="11"/>
      <c r="AS109" s="354"/>
      <c r="AU109" s="406"/>
      <c r="AV109" s="55"/>
      <c r="AW109" s="333"/>
      <c r="AX109" s="406"/>
      <c r="AY109" s="406"/>
      <c r="AZ109" s="538"/>
    </row>
    <row r="110" spans="1:52">
      <c r="A110" s="5"/>
      <c r="B110" s="44" t="s">
        <v>3369</v>
      </c>
      <c r="C110" s="679" t="s">
        <v>1745</v>
      </c>
      <c r="D110" s="44" t="s">
        <v>3274</v>
      </c>
      <c r="E110" s="44" t="s">
        <v>1927</v>
      </c>
      <c r="F110" s="44" t="s">
        <v>2960</v>
      </c>
      <c r="G110" s="44" t="s">
        <v>1932</v>
      </c>
      <c r="H110" s="44" t="s">
        <v>116</v>
      </c>
      <c r="I110" s="44" t="s">
        <v>2601</v>
      </c>
      <c r="J110" s="328">
        <v>46.2</v>
      </c>
      <c r="K110" s="44">
        <v>0</v>
      </c>
      <c r="L110" s="44">
        <v>0</v>
      </c>
      <c r="M110" s="44">
        <v>0</v>
      </c>
      <c r="N110" s="44">
        <v>0</v>
      </c>
      <c r="O110" s="44">
        <v>0.42</v>
      </c>
      <c r="P110" s="44">
        <v>0.55000000000000004</v>
      </c>
      <c r="Q110" s="44">
        <v>0.46</v>
      </c>
      <c r="R110" s="44">
        <v>0.32</v>
      </c>
      <c r="S110" s="44">
        <v>0.28000000000000003</v>
      </c>
      <c r="T110" s="44">
        <v>0.14000000000000001</v>
      </c>
      <c r="U110" s="44">
        <v>0.09</v>
      </c>
      <c r="V110" s="44">
        <v>0.09</v>
      </c>
      <c r="W110" s="44">
        <v>0.08</v>
      </c>
      <c r="X110" s="328">
        <v>0</v>
      </c>
      <c r="Y110" s="44">
        <v>0</v>
      </c>
      <c r="Z110" s="44">
        <v>0</v>
      </c>
      <c r="AA110" s="44">
        <v>0</v>
      </c>
      <c r="AB110" s="44">
        <v>0</v>
      </c>
      <c r="AC110" s="44">
        <v>0</v>
      </c>
      <c r="AD110" s="44">
        <v>0</v>
      </c>
      <c r="AE110" s="44">
        <v>0</v>
      </c>
      <c r="AF110" s="44">
        <v>0</v>
      </c>
      <c r="AG110" s="44">
        <v>0</v>
      </c>
      <c r="AH110" s="44">
        <v>0</v>
      </c>
      <c r="AI110" s="44">
        <v>0</v>
      </c>
      <c r="AJ110" s="44">
        <v>0</v>
      </c>
      <c r="AK110" s="44">
        <v>0</v>
      </c>
      <c r="AL110" s="44">
        <v>0</v>
      </c>
      <c r="AM110" s="22" t="str">
        <f t="shared" ref="AM110:AM118" si="10">AN110&amp;" - "&amp;C110</f>
        <v>SUBS - Norway</v>
      </c>
      <c r="AN110" s="333" t="s">
        <v>543</v>
      </c>
      <c r="AP110" s="471"/>
      <c r="AQ110" s="11"/>
      <c r="AR110" s="11"/>
      <c r="AS110" s="354"/>
      <c r="AU110" s="406"/>
      <c r="AV110" s="55"/>
      <c r="AW110" s="333"/>
      <c r="AX110" s="406"/>
      <c r="AY110" s="406"/>
      <c r="AZ110" s="538"/>
    </row>
    <row r="111" spans="1:52">
      <c r="A111" s="5"/>
      <c r="B111" s="44" t="s">
        <v>3369</v>
      </c>
      <c r="C111" s="679" t="s">
        <v>1745</v>
      </c>
      <c r="D111" s="44" t="s">
        <v>3274</v>
      </c>
      <c r="E111" s="44" t="s">
        <v>1927</v>
      </c>
      <c r="F111" s="44" t="s">
        <v>2960</v>
      </c>
      <c r="G111" s="44" t="s">
        <v>1932</v>
      </c>
      <c r="H111" s="44" t="s">
        <v>116</v>
      </c>
      <c r="I111" s="44" t="s">
        <v>2601</v>
      </c>
      <c r="J111" s="328">
        <v>13.86</v>
      </c>
      <c r="K111" s="44">
        <v>0</v>
      </c>
      <c r="L111" s="44">
        <v>0</v>
      </c>
      <c r="M111" s="44">
        <v>0</v>
      </c>
      <c r="N111" s="44">
        <v>0</v>
      </c>
      <c r="O111" s="44">
        <v>0</v>
      </c>
      <c r="P111" s="44">
        <v>0</v>
      </c>
      <c r="Q111" s="44">
        <v>0</v>
      </c>
      <c r="R111" s="44">
        <v>0</v>
      </c>
      <c r="S111" s="44">
        <v>0</v>
      </c>
      <c r="T111" s="44">
        <v>0</v>
      </c>
      <c r="U111" s="44">
        <v>0</v>
      </c>
      <c r="V111" s="44">
        <v>0</v>
      </c>
      <c r="W111" s="44">
        <v>0</v>
      </c>
      <c r="X111" s="328">
        <v>2.7E-2</v>
      </c>
      <c r="Y111" s="44">
        <v>1.4999999999999999E-2</v>
      </c>
      <c r="Z111" s="44">
        <v>0</v>
      </c>
      <c r="AA111" s="44">
        <v>0</v>
      </c>
      <c r="AB111" s="44">
        <v>0</v>
      </c>
      <c r="AC111" s="44">
        <v>0</v>
      </c>
      <c r="AD111" s="44">
        <v>0</v>
      </c>
      <c r="AE111" s="44">
        <v>0</v>
      </c>
      <c r="AF111" s="44">
        <v>0</v>
      </c>
      <c r="AG111" s="44">
        <v>0</v>
      </c>
      <c r="AH111" s="44">
        <v>0</v>
      </c>
      <c r="AI111" s="44">
        <v>0</v>
      </c>
      <c r="AJ111" s="44">
        <v>0</v>
      </c>
      <c r="AK111" s="44">
        <v>0</v>
      </c>
      <c r="AL111" s="44">
        <v>0</v>
      </c>
      <c r="AM111" s="22" t="str">
        <f t="shared" si="10"/>
        <v>EAI - Norway</v>
      </c>
      <c r="AN111" s="333" t="s">
        <v>3119</v>
      </c>
      <c r="AP111" s="471"/>
      <c r="AQ111" s="11"/>
      <c r="AR111" s="11"/>
      <c r="AS111" s="354"/>
      <c r="AU111" s="406"/>
      <c r="AV111" s="55"/>
      <c r="AW111" s="333"/>
      <c r="AX111" s="406"/>
      <c r="AY111" s="406"/>
      <c r="AZ111" s="538"/>
    </row>
    <row r="112" spans="1:52">
      <c r="A112" s="5"/>
      <c r="B112" s="44" t="s">
        <v>3369</v>
      </c>
      <c r="C112" s="679" t="s">
        <v>1745</v>
      </c>
      <c r="D112" s="44" t="s">
        <v>3275</v>
      </c>
      <c r="E112" s="44" t="s">
        <v>1927</v>
      </c>
      <c r="F112" s="44" t="s">
        <v>2960</v>
      </c>
      <c r="G112" s="44" t="s">
        <v>1932</v>
      </c>
      <c r="H112" s="44" t="s">
        <v>116</v>
      </c>
      <c r="I112" s="44" t="s">
        <v>2600</v>
      </c>
      <c r="J112" s="328">
        <v>80</v>
      </c>
      <c r="K112" s="44">
        <v>15.92</v>
      </c>
      <c r="L112" s="44">
        <v>15.15</v>
      </c>
      <c r="M112" s="44">
        <v>15.98</v>
      </c>
      <c r="N112" s="44">
        <v>14.51</v>
      </c>
      <c r="O112" s="44">
        <v>11.72</v>
      </c>
      <c r="P112" s="44">
        <v>7.9</v>
      </c>
      <c r="Q112" s="44">
        <v>10.74</v>
      </c>
      <c r="R112" s="44">
        <v>15.93</v>
      </c>
      <c r="S112" s="44">
        <v>10.57</v>
      </c>
      <c r="T112" s="44">
        <v>7.56</v>
      </c>
      <c r="U112" s="44">
        <v>7.86</v>
      </c>
      <c r="V112" s="44">
        <v>9.24</v>
      </c>
      <c r="W112" s="44">
        <v>6.28</v>
      </c>
      <c r="X112" s="328">
        <v>0</v>
      </c>
      <c r="Y112" s="44">
        <v>0</v>
      </c>
      <c r="Z112" s="44">
        <v>0</v>
      </c>
      <c r="AA112" s="44">
        <v>0</v>
      </c>
      <c r="AB112" s="44">
        <v>0</v>
      </c>
      <c r="AC112" s="44">
        <v>0</v>
      </c>
      <c r="AD112" s="44">
        <v>0</v>
      </c>
      <c r="AE112" s="44">
        <v>0</v>
      </c>
      <c r="AF112" s="44">
        <v>0</v>
      </c>
      <c r="AG112" s="44">
        <v>0</v>
      </c>
      <c r="AH112" s="44">
        <v>0</v>
      </c>
      <c r="AI112" s="44">
        <v>0</v>
      </c>
      <c r="AJ112" s="44">
        <v>0</v>
      </c>
      <c r="AK112" s="44">
        <v>0</v>
      </c>
      <c r="AL112" s="44">
        <v>0</v>
      </c>
      <c r="AM112" s="22" t="str">
        <f t="shared" si="10"/>
        <v>SUBS - Norway</v>
      </c>
      <c r="AN112" s="333" t="s">
        <v>543</v>
      </c>
      <c r="AP112" s="471"/>
      <c r="AQ112" s="11"/>
      <c r="AR112" s="11"/>
      <c r="AS112" s="354"/>
      <c r="AU112" s="406"/>
      <c r="AV112" s="55"/>
      <c r="AW112" s="333"/>
      <c r="AX112" s="406"/>
      <c r="AY112" s="406"/>
      <c r="AZ112" s="538"/>
    </row>
    <row r="113" spans="1:52">
      <c r="A113" s="5"/>
      <c r="B113" s="44" t="s">
        <v>3369</v>
      </c>
      <c r="C113" s="679" t="s">
        <v>1745</v>
      </c>
      <c r="D113" s="44" t="s">
        <v>3275</v>
      </c>
      <c r="E113" s="44" t="s">
        <v>1927</v>
      </c>
      <c r="F113" s="44" t="s">
        <v>2960</v>
      </c>
      <c r="G113" s="44" t="s">
        <v>1932</v>
      </c>
      <c r="H113" s="44" t="s">
        <v>116</v>
      </c>
      <c r="I113" s="44" t="s">
        <v>2600</v>
      </c>
      <c r="J113" s="328">
        <v>24</v>
      </c>
      <c r="K113" s="44">
        <v>0</v>
      </c>
      <c r="L113" s="44">
        <v>0</v>
      </c>
      <c r="M113" s="44">
        <v>0</v>
      </c>
      <c r="N113" s="44">
        <v>0</v>
      </c>
      <c r="O113" s="44">
        <v>0</v>
      </c>
      <c r="P113" s="44">
        <v>0</v>
      </c>
      <c r="Q113" s="44">
        <v>0</v>
      </c>
      <c r="R113" s="44">
        <v>0</v>
      </c>
      <c r="S113" s="44">
        <v>0</v>
      </c>
      <c r="T113" s="44">
        <v>0</v>
      </c>
      <c r="U113" s="44">
        <v>0</v>
      </c>
      <c r="V113" s="44">
        <v>0</v>
      </c>
      <c r="W113" s="44">
        <v>0</v>
      </c>
      <c r="X113" s="328">
        <v>1.9710000000000001</v>
      </c>
      <c r="Y113" s="44">
        <v>1.992</v>
      </c>
      <c r="Z113" s="44">
        <v>1.893</v>
      </c>
      <c r="AA113" s="44">
        <v>3</v>
      </c>
      <c r="AB113" s="44">
        <v>3.4620000000000002</v>
      </c>
      <c r="AC113" s="44">
        <v>3.9239999999999999</v>
      </c>
      <c r="AD113" s="44">
        <v>3.645</v>
      </c>
      <c r="AE113" s="44">
        <v>3.3839999999999999</v>
      </c>
      <c r="AF113" s="44">
        <v>3.141</v>
      </c>
      <c r="AG113" s="44">
        <v>2.9159999999999999</v>
      </c>
      <c r="AH113" s="44">
        <v>2.7090000000000001</v>
      </c>
      <c r="AI113" s="44">
        <v>2.5139999999999998</v>
      </c>
      <c r="AJ113" s="44">
        <v>2.3370000000000002</v>
      </c>
      <c r="AK113" s="44">
        <v>2.169</v>
      </c>
      <c r="AL113" s="44">
        <v>2.0129999999999999</v>
      </c>
      <c r="AM113" s="22" t="str">
        <f t="shared" si="10"/>
        <v>EAI - Norway</v>
      </c>
      <c r="AN113" s="333" t="s">
        <v>3119</v>
      </c>
      <c r="AP113" s="471"/>
      <c r="AQ113" s="11"/>
      <c r="AR113" s="11"/>
      <c r="AS113" s="354"/>
      <c r="AU113" s="406"/>
      <c r="AV113" s="55"/>
      <c r="AW113" s="333"/>
      <c r="AX113" s="406"/>
      <c r="AY113" s="406"/>
      <c r="AZ113" s="538"/>
    </row>
    <row r="114" spans="1:52">
      <c r="A114" s="5"/>
      <c r="B114" s="44" t="s">
        <v>3369</v>
      </c>
      <c r="C114" s="679" t="s">
        <v>1745</v>
      </c>
      <c r="D114" s="44" t="s">
        <v>3276</v>
      </c>
      <c r="E114" s="44" t="s">
        <v>1927</v>
      </c>
      <c r="F114" s="44" t="s">
        <v>2960</v>
      </c>
      <c r="G114" s="44" t="s">
        <v>3374</v>
      </c>
      <c r="H114" s="44" t="s">
        <v>116</v>
      </c>
      <c r="I114" s="44" t="s">
        <v>2600</v>
      </c>
      <c r="J114" s="328">
        <v>35.953099999999999</v>
      </c>
      <c r="K114" s="44">
        <v>21.07</v>
      </c>
      <c r="L114" s="44">
        <v>24.66</v>
      </c>
      <c r="M114" s="44">
        <v>24.54</v>
      </c>
      <c r="N114" s="44">
        <v>20.53</v>
      </c>
      <c r="O114" s="44">
        <v>17.32</v>
      </c>
      <c r="P114" s="44">
        <v>14.27</v>
      </c>
      <c r="Q114" s="44">
        <v>11.47</v>
      </c>
      <c r="R114" s="44">
        <v>13.59</v>
      </c>
      <c r="S114" s="44">
        <v>10.63</v>
      </c>
      <c r="T114" s="44">
        <v>6.23</v>
      </c>
      <c r="U114" s="44">
        <v>11.46</v>
      </c>
      <c r="V114" s="44">
        <v>14.52</v>
      </c>
      <c r="W114" s="44">
        <v>14.2</v>
      </c>
      <c r="X114" s="328">
        <v>0</v>
      </c>
      <c r="Y114" s="44">
        <v>0</v>
      </c>
      <c r="Z114" s="44">
        <v>0</v>
      </c>
      <c r="AA114" s="44">
        <v>0</v>
      </c>
      <c r="AB114" s="44">
        <v>0</v>
      </c>
      <c r="AC114" s="44">
        <v>0</v>
      </c>
      <c r="AD114" s="44">
        <v>0</v>
      </c>
      <c r="AE114" s="44">
        <v>0</v>
      </c>
      <c r="AF114" s="44">
        <v>0</v>
      </c>
      <c r="AG114" s="44">
        <v>0</v>
      </c>
      <c r="AH114" s="44">
        <v>0</v>
      </c>
      <c r="AI114" s="44">
        <v>0</v>
      </c>
      <c r="AJ114" s="44">
        <v>0</v>
      </c>
      <c r="AK114" s="44">
        <v>0</v>
      </c>
      <c r="AL114" s="44">
        <v>0</v>
      </c>
      <c r="AM114" s="22" t="str">
        <f t="shared" si="10"/>
        <v>SUBS - Norway</v>
      </c>
      <c r="AN114" s="333" t="s">
        <v>543</v>
      </c>
      <c r="AP114" s="471"/>
      <c r="AQ114" s="11"/>
      <c r="AR114" s="11"/>
      <c r="AS114" s="354"/>
      <c r="AU114" s="406"/>
      <c r="AV114" s="55"/>
      <c r="AW114" s="333"/>
      <c r="AX114" s="406"/>
      <c r="AY114" s="406"/>
      <c r="AZ114" s="538"/>
    </row>
    <row r="115" spans="1:52">
      <c r="A115" s="5"/>
      <c r="B115" s="44" t="s">
        <v>3369</v>
      </c>
      <c r="C115" s="679" t="s">
        <v>1745</v>
      </c>
      <c r="D115" s="44" t="s">
        <v>3276</v>
      </c>
      <c r="E115" s="44" t="s">
        <v>1927</v>
      </c>
      <c r="F115" s="44" t="s">
        <v>2960</v>
      </c>
      <c r="G115" s="44" t="s">
        <v>3374</v>
      </c>
      <c r="H115" s="44" t="s">
        <v>116</v>
      </c>
      <c r="I115" s="44" t="s">
        <v>2600</v>
      </c>
      <c r="J115" s="328">
        <v>27</v>
      </c>
      <c r="K115" s="44">
        <v>0</v>
      </c>
      <c r="L115" s="44">
        <v>0</v>
      </c>
      <c r="M115" s="44">
        <v>0</v>
      </c>
      <c r="N115" s="44">
        <v>0</v>
      </c>
      <c r="O115" s="44">
        <v>0</v>
      </c>
      <c r="P115" s="44">
        <v>0</v>
      </c>
      <c r="Q115" s="44">
        <v>0</v>
      </c>
      <c r="R115" s="44">
        <v>0</v>
      </c>
      <c r="S115" s="44">
        <v>0</v>
      </c>
      <c r="T115" s="44">
        <v>0</v>
      </c>
      <c r="U115" s="44">
        <v>0</v>
      </c>
      <c r="V115" s="44">
        <v>0</v>
      </c>
      <c r="W115" s="44">
        <v>0</v>
      </c>
      <c r="X115" s="328">
        <v>3.528</v>
      </c>
      <c r="Y115" s="44">
        <v>8.7149999999999999</v>
      </c>
      <c r="Z115" s="44">
        <v>9.8309999999999995</v>
      </c>
      <c r="AA115" s="44">
        <v>9.4559999999999995</v>
      </c>
      <c r="AB115" s="44">
        <v>12.111000000000001</v>
      </c>
      <c r="AC115" s="44">
        <v>15.363</v>
      </c>
      <c r="AD115" s="44">
        <v>18.474</v>
      </c>
      <c r="AE115" s="44">
        <v>18.762</v>
      </c>
      <c r="AF115" s="44">
        <v>18.146999999999998</v>
      </c>
      <c r="AG115" s="44">
        <v>16.155000000000001</v>
      </c>
      <c r="AH115" s="44">
        <v>14.205</v>
      </c>
      <c r="AI115" s="44">
        <v>12.531000000000001</v>
      </c>
      <c r="AJ115" s="44">
        <v>11.093999999999999</v>
      </c>
      <c r="AK115" s="44">
        <v>9.8610000000000007</v>
      </c>
      <c r="AL115" s="44">
        <v>8.7870000000000008</v>
      </c>
      <c r="AM115" s="22" t="str">
        <f t="shared" si="10"/>
        <v>EAI - Norway</v>
      </c>
      <c r="AN115" s="333" t="s">
        <v>3119</v>
      </c>
      <c r="AP115" s="471"/>
      <c r="AQ115" s="11"/>
      <c r="AR115" s="11"/>
      <c r="AS115" s="354"/>
      <c r="AU115" s="406"/>
      <c r="AV115" s="55"/>
      <c r="AW115" s="333"/>
      <c r="AX115" s="406"/>
      <c r="AY115" s="406"/>
      <c r="AZ115" s="538"/>
    </row>
    <row r="116" spans="1:52">
      <c r="A116" s="5"/>
      <c r="B116" s="44" t="s">
        <v>3369</v>
      </c>
      <c r="C116" s="679" t="s">
        <v>1745</v>
      </c>
      <c r="D116" s="44" t="s">
        <v>3583</v>
      </c>
      <c r="E116" s="44" t="s">
        <v>2254</v>
      </c>
      <c r="F116" s="44" t="s">
        <v>2960</v>
      </c>
      <c r="G116" s="44" t="s">
        <v>3374</v>
      </c>
      <c r="H116" s="44" t="s">
        <v>116</v>
      </c>
      <c r="I116" s="44" t="s">
        <v>2971</v>
      </c>
      <c r="J116" s="328">
        <v>1.5</v>
      </c>
      <c r="K116" s="44">
        <v>0</v>
      </c>
      <c r="L116" s="44">
        <v>0</v>
      </c>
      <c r="M116" s="44">
        <v>0</v>
      </c>
      <c r="N116" s="44">
        <v>0</v>
      </c>
      <c r="O116" s="44">
        <v>0</v>
      </c>
      <c r="P116" s="44">
        <v>0</v>
      </c>
      <c r="Q116" s="44">
        <v>0</v>
      </c>
      <c r="R116" s="44">
        <v>0</v>
      </c>
      <c r="S116" s="44">
        <v>0</v>
      </c>
      <c r="T116" s="44">
        <v>0</v>
      </c>
      <c r="U116" s="44">
        <v>0</v>
      </c>
      <c r="V116" s="44">
        <v>0</v>
      </c>
      <c r="W116" s="44">
        <v>0</v>
      </c>
      <c r="X116" s="328">
        <v>0.03</v>
      </c>
      <c r="Y116" s="44">
        <v>0</v>
      </c>
      <c r="Z116" s="44">
        <v>0</v>
      </c>
      <c r="AA116" s="44">
        <v>0</v>
      </c>
      <c r="AB116" s="44">
        <v>0</v>
      </c>
      <c r="AC116" s="44">
        <v>0</v>
      </c>
      <c r="AD116" s="44">
        <v>0</v>
      </c>
      <c r="AE116" s="44">
        <v>0</v>
      </c>
      <c r="AF116" s="44">
        <v>0</v>
      </c>
      <c r="AG116" s="44">
        <v>0</v>
      </c>
      <c r="AH116" s="44">
        <v>0</v>
      </c>
      <c r="AI116" s="44">
        <v>0</v>
      </c>
      <c r="AJ116" s="44">
        <v>0</v>
      </c>
      <c r="AK116" s="44">
        <v>0</v>
      </c>
      <c r="AL116" s="44">
        <v>0</v>
      </c>
      <c r="AM116" s="22" t="str">
        <f t="shared" si="10"/>
        <v>EAI - Norway</v>
      </c>
      <c r="AN116" s="333" t="s">
        <v>3119</v>
      </c>
      <c r="AP116" s="471"/>
      <c r="AQ116" s="11"/>
      <c r="AR116" s="11"/>
      <c r="AS116" s="354"/>
      <c r="AU116" s="406"/>
      <c r="AV116" s="55"/>
      <c r="AW116" s="333"/>
      <c r="AX116" s="406"/>
      <c r="AY116" s="406"/>
      <c r="AZ116" s="538"/>
    </row>
    <row r="117" spans="1:52">
      <c r="A117" s="5"/>
      <c r="B117" s="44" t="s">
        <v>3369</v>
      </c>
      <c r="C117" s="679" t="s">
        <v>1745</v>
      </c>
      <c r="D117" s="44" t="s">
        <v>3584</v>
      </c>
      <c r="E117" s="44" t="s">
        <v>1927</v>
      </c>
      <c r="F117" s="44" t="s">
        <v>2960</v>
      </c>
      <c r="G117" s="44" t="s">
        <v>3374</v>
      </c>
      <c r="H117" s="44" t="s">
        <v>1930</v>
      </c>
      <c r="I117" s="44" t="s">
        <v>2571</v>
      </c>
      <c r="J117" s="328">
        <v>14.071199999999999</v>
      </c>
      <c r="K117" s="44">
        <v>0</v>
      </c>
      <c r="L117" s="44">
        <v>0</v>
      </c>
      <c r="M117" s="44">
        <v>0</v>
      </c>
      <c r="N117" s="44">
        <v>0</v>
      </c>
      <c r="O117" s="44">
        <v>0</v>
      </c>
      <c r="P117" s="44">
        <v>0</v>
      </c>
      <c r="Q117" s="44">
        <v>0</v>
      </c>
      <c r="R117" s="44">
        <v>0</v>
      </c>
      <c r="S117" s="44">
        <v>0</v>
      </c>
      <c r="T117" s="44">
        <v>0</v>
      </c>
      <c r="U117" s="44">
        <v>0</v>
      </c>
      <c r="V117" s="44">
        <v>0</v>
      </c>
      <c r="W117" s="44">
        <v>0</v>
      </c>
      <c r="X117" s="328">
        <v>1.9830000000000001</v>
      </c>
      <c r="Y117" s="44">
        <v>1.587</v>
      </c>
      <c r="Z117" s="44">
        <v>1.272</v>
      </c>
      <c r="AA117" s="44">
        <v>1.0169999999999999</v>
      </c>
      <c r="AB117" s="44">
        <v>0.81299999999999994</v>
      </c>
      <c r="AC117" s="44">
        <v>0.65100000000000002</v>
      </c>
      <c r="AD117" s="44">
        <v>0.52200000000000002</v>
      </c>
      <c r="AE117" s="44">
        <v>0.41699999999999998</v>
      </c>
      <c r="AF117" s="44">
        <v>0.33300000000000002</v>
      </c>
      <c r="AG117" s="44">
        <v>0.26700000000000002</v>
      </c>
      <c r="AH117" s="44">
        <v>0.21299999999999999</v>
      </c>
      <c r="AI117" s="44">
        <v>0.17100000000000001</v>
      </c>
      <c r="AJ117" s="44">
        <v>0.13500000000000001</v>
      </c>
      <c r="AK117" s="44">
        <v>0</v>
      </c>
      <c r="AL117" s="44">
        <v>0</v>
      </c>
      <c r="AM117" s="22" t="str">
        <f t="shared" si="10"/>
        <v>EAI - Norway</v>
      </c>
      <c r="AN117" s="333" t="s">
        <v>3119</v>
      </c>
      <c r="AP117" s="471"/>
      <c r="AQ117" s="11"/>
      <c r="AR117" s="11"/>
      <c r="AS117" s="354"/>
      <c r="AU117" s="406"/>
      <c r="AV117" s="55"/>
      <c r="AW117" s="333"/>
      <c r="AX117" s="406"/>
      <c r="AY117" s="406"/>
      <c r="AZ117" s="538"/>
    </row>
    <row r="118" spans="1:52">
      <c r="A118" s="5"/>
      <c r="B118" s="44" t="s">
        <v>3369</v>
      </c>
      <c r="C118" s="679" t="s">
        <v>1745</v>
      </c>
      <c r="D118" s="44" t="s">
        <v>3585</v>
      </c>
      <c r="E118" s="44" t="s">
        <v>1927</v>
      </c>
      <c r="F118" s="44" t="s">
        <v>2960</v>
      </c>
      <c r="G118" s="44" t="s">
        <v>3374</v>
      </c>
      <c r="H118" s="44" t="s">
        <v>116</v>
      </c>
      <c r="I118" s="44" t="s">
        <v>2571</v>
      </c>
      <c r="J118" s="328">
        <v>19.5</v>
      </c>
      <c r="K118" s="44">
        <v>0</v>
      </c>
      <c r="L118" s="44">
        <v>0</v>
      </c>
      <c r="M118" s="44">
        <v>0</v>
      </c>
      <c r="N118" s="44">
        <v>0</v>
      </c>
      <c r="O118" s="44">
        <v>0</v>
      </c>
      <c r="P118" s="44">
        <v>0</v>
      </c>
      <c r="Q118" s="44">
        <v>0</v>
      </c>
      <c r="R118" s="44">
        <v>0</v>
      </c>
      <c r="S118" s="44">
        <v>0</v>
      </c>
      <c r="T118" s="44">
        <v>0</v>
      </c>
      <c r="U118" s="44">
        <v>0</v>
      </c>
      <c r="V118" s="44">
        <v>0</v>
      </c>
      <c r="W118" s="44">
        <v>0</v>
      </c>
      <c r="X118" s="328">
        <v>1.35</v>
      </c>
      <c r="Y118" s="44">
        <v>2.4390000000000001</v>
      </c>
      <c r="Z118" s="44">
        <v>2.7509999999999999</v>
      </c>
      <c r="AA118" s="44">
        <v>2.1989999999999998</v>
      </c>
      <c r="AB118" s="44">
        <v>1.758</v>
      </c>
      <c r="AC118" s="44">
        <v>1.3380000000000001</v>
      </c>
      <c r="AD118" s="44">
        <v>1.0169999999999999</v>
      </c>
      <c r="AE118" s="44">
        <v>0.77100000000000002</v>
      </c>
      <c r="AF118" s="44">
        <v>0.58799999999999997</v>
      </c>
      <c r="AG118" s="44">
        <v>0.44700000000000001</v>
      </c>
      <c r="AH118" s="44">
        <v>0.33900000000000002</v>
      </c>
      <c r="AI118" s="44">
        <v>0.25800000000000001</v>
      </c>
      <c r="AJ118" s="44">
        <v>0.19500000000000001</v>
      </c>
      <c r="AK118" s="44">
        <v>0</v>
      </c>
      <c r="AL118" s="44">
        <v>0</v>
      </c>
      <c r="AM118" s="22" t="str">
        <f t="shared" si="10"/>
        <v>EAI - Norway</v>
      </c>
      <c r="AN118" s="333" t="s">
        <v>3119</v>
      </c>
      <c r="AP118" s="471"/>
      <c r="AQ118" s="11"/>
      <c r="AR118" s="11"/>
      <c r="AS118" s="354"/>
      <c r="AU118" s="406"/>
      <c r="AV118" s="55"/>
      <c r="AW118" s="333"/>
      <c r="AX118" s="406"/>
      <c r="AY118" s="406"/>
      <c r="AZ118" s="538"/>
    </row>
    <row r="119" spans="1:52">
      <c r="A119" s="5"/>
      <c r="B119" s="44" t="s">
        <v>3369</v>
      </c>
      <c r="C119" s="44" t="s">
        <v>3277</v>
      </c>
      <c r="D119" s="44" t="s">
        <v>3725</v>
      </c>
      <c r="E119" s="44" t="s">
        <v>1927</v>
      </c>
      <c r="F119" s="44" t="s">
        <v>1928</v>
      </c>
      <c r="G119" s="44" t="s">
        <v>1929</v>
      </c>
      <c r="H119" s="44" t="s">
        <v>117</v>
      </c>
      <c r="I119" s="44" t="s">
        <v>1931</v>
      </c>
      <c r="J119" s="328">
        <v>60</v>
      </c>
      <c r="K119" s="44">
        <v>0</v>
      </c>
      <c r="L119" s="44">
        <v>0</v>
      </c>
      <c r="M119" s="44">
        <v>0</v>
      </c>
      <c r="N119" s="44">
        <v>0</v>
      </c>
      <c r="O119" s="44">
        <v>0</v>
      </c>
      <c r="P119" s="44">
        <v>0</v>
      </c>
      <c r="Q119" s="44">
        <v>0</v>
      </c>
      <c r="R119" s="44">
        <v>0</v>
      </c>
      <c r="S119" s="44">
        <v>0</v>
      </c>
      <c r="T119" s="44">
        <v>0</v>
      </c>
      <c r="U119" s="44">
        <v>0</v>
      </c>
      <c r="V119" s="44">
        <v>0</v>
      </c>
      <c r="W119" s="44">
        <v>0</v>
      </c>
      <c r="X119" s="44">
        <v>0</v>
      </c>
      <c r="Y119" s="44">
        <v>1.24</v>
      </c>
      <c r="Z119" s="44">
        <v>10.02</v>
      </c>
      <c r="AA119" s="44">
        <v>12.94</v>
      </c>
      <c r="AB119" s="44">
        <v>15.3</v>
      </c>
      <c r="AC119" s="44">
        <v>18.77</v>
      </c>
      <c r="AD119" s="44">
        <v>19.399999999999999</v>
      </c>
      <c r="AE119" s="44">
        <v>29.79</v>
      </c>
      <c r="AF119" s="44">
        <v>35.36</v>
      </c>
      <c r="AG119" s="44">
        <v>36.869999999999997</v>
      </c>
      <c r="AH119" s="44">
        <v>33.35</v>
      </c>
      <c r="AI119" s="44">
        <v>21.97</v>
      </c>
      <c r="AJ119" s="44">
        <v>21.96</v>
      </c>
      <c r="AK119" s="44">
        <v>20.75</v>
      </c>
      <c r="AL119" s="44">
        <v>19.27</v>
      </c>
      <c r="AM119" s="22" t="str">
        <f t="shared" si="6"/>
        <v>EAI - Oman</v>
      </c>
      <c r="AN119" s="333" t="s">
        <v>3119</v>
      </c>
      <c r="AP119" s="471"/>
      <c r="AQ119" s="11"/>
      <c r="AR119" s="11"/>
      <c r="AS119" s="354"/>
      <c r="AU119" s="406"/>
      <c r="AV119" s="55"/>
      <c r="AW119" s="333"/>
      <c r="AX119" s="406"/>
      <c r="AY119" s="406"/>
      <c r="AZ119" s="538"/>
    </row>
    <row r="120" spans="1:52">
      <c r="A120" s="5"/>
      <c r="B120" s="44" t="s">
        <v>3369</v>
      </c>
      <c r="C120" s="44" t="s">
        <v>3278</v>
      </c>
      <c r="D120" s="44" t="s">
        <v>3279</v>
      </c>
      <c r="E120" s="44" t="s">
        <v>1927</v>
      </c>
      <c r="F120" s="44" t="s">
        <v>1928</v>
      </c>
      <c r="G120" s="44" t="s">
        <v>1932</v>
      </c>
      <c r="H120" s="44" t="s">
        <v>116</v>
      </c>
      <c r="I120" s="44" t="s">
        <v>1933</v>
      </c>
      <c r="J120" s="328">
        <v>100</v>
      </c>
      <c r="K120" s="44">
        <v>8.6</v>
      </c>
      <c r="L120" s="44">
        <v>5.43</v>
      </c>
      <c r="M120" s="44">
        <v>3.55</v>
      </c>
      <c r="N120" s="44">
        <v>2.95</v>
      </c>
      <c r="O120" s="44">
        <v>3.8</v>
      </c>
      <c r="P120" s="44">
        <v>6.67</v>
      </c>
      <c r="Q120" s="44">
        <v>6.92</v>
      </c>
      <c r="R120" s="44">
        <v>5.87</v>
      </c>
      <c r="S120" s="44">
        <v>2.73</v>
      </c>
      <c r="T120" s="44">
        <v>0</v>
      </c>
      <c r="U120" s="44">
        <v>0</v>
      </c>
      <c r="V120" s="44">
        <v>0</v>
      </c>
      <c r="W120" s="44">
        <v>0</v>
      </c>
      <c r="X120" s="44">
        <v>0</v>
      </c>
      <c r="Y120" s="44">
        <v>0</v>
      </c>
      <c r="Z120" s="44">
        <v>0</v>
      </c>
      <c r="AA120" s="44">
        <v>0</v>
      </c>
      <c r="AB120" s="44">
        <v>0</v>
      </c>
      <c r="AC120" s="44">
        <v>0</v>
      </c>
      <c r="AD120" s="44">
        <v>0</v>
      </c>
      <c r="AE120" s="44">
        <v>0</v>
      </c>
      <c r="AF120" s="44">
        <v>0</v>
      </c>
      <c r="AG120" s="44">
        <v>0</v>
      </c>
      <c r="AH120" s="44">
        <v>0</v>
      </c>
      <c r="AI120" s="44">
        <v>0</v>
      </c>
      <c r="AJ120" s="44">
        <v>0</v>
      </c>
      <c r="AK120" s="44">
        <v>0</v>
      </c>
      <c r="AL120" s="44">
        <v>0</v>
      </c>
      <c r="AM120" s="22" t="str">
        <f t="shared" si="6"/>
        <v>EAI - Pakistan</v>
      </c>
      <c r="AN120" s="333" t="s">
        <v>3119</v>
      </c>
      <c r="AP120" s="471"/>
      <c r="AQ120" s="11"/>
      <c r="AR120" s="11"/>
      <c r="AS120" s="354"/>
      <c r="AU120" s="406"/>
      <c r="AV120" s="55"/>
      <c r="AW120" s="333"/>
      <c r="AX120" s="406"/>
      <c r="AY120" s="406"/>
      <c r="AZ120" s="538"/>
    </row>
    <row r="121" spans="1:52">
      <c r="A121" s="5"/>
      <c r="B121" s="44" t="s">
        <v>3369</v>
      </c>
      <c r="C121" s="44" t="s">
        <v>3278</v>
      </c>
      <c r="D121" s="44" t="s">
        <v>3280</v>
      </c>
      <c r="E121" s="44" t="s">
        <v>1927</v>
      </c>
      <c r="F121" s="44" t="s">
        <v>1928</v>
      </c>
      <c r="G121" s="44" t="s">
        <v>1932</v>
      </c>
      <c r="H121" s="44" t="s">
        <v>116</v>
      </c>
      <c r="I121" s="44" t="s">
        <v>1931</v>
      </c>
      <c r="J121" s="328">
        <v>76</v>
      </c>
      <c r="K121" s="44">
        <v>0.68</v>
      </c>
      <c r="L121" s="44">
        <v>0.81</v>
      </c>
      <c r="M121" s="44">
        <v>0.32</v>
      </c>
      <c r="N121" s="44">
        <v>0.16</v>
      </c>
      <c r="O121" s="44">
        <v>0.17</v>
      </c>
      <c r="P121" s="44">
        <v>0.24</v>
      </c>
      <c r="Q121" s="44">
        <v>0.23</v>
      </c>
      <c r="R121" s="44">
        <v>0.23</v>
      </c>
      <c r="S121" s="44">
        <v>0.16</v>
      </c>
      <c r="T121" s="44">
        <v>0</v>
      </c>
      <c r="U121" s="44">
        <v>0</v>
      </c>
      <c r="V121" s="44">
        <v>0</v>
      </c>
      <c r="W121" s="44">
        <v>0</v>
      </c>
      <c r="X121" s="44">
        <v>0</v>
      </c>
      <c r="Y121" s="44">
        <v>0</v>
      </c>
      <c r="Z121" s="44">
        <v>0</v>
      </c>
      <c r="AA121" s="44">
        <v>0</v>
      </c>
      <c r="AB121" s="44">
        <v>0</v>
      </c>
      <c r="AC121" s="44">
        <v>0</v>
      </c>
      <c r="AD121" s="44">
        <v>0</v>
      </c>
      <c r="AE121" s="44">
        <v>0</v>
      </c>
      <c r="AF121" s="44">
        <v>0</v>
      </c>
      <c r="AG121" s="44">
        <v>0</v>
      </c>
      <c r="AH121" s="44">
        <v>0</v>
      </c>
      <c r="AI121" s="44">
        <v>0</v>
      </c>
      <c r="AJ121" s="44">
        <v>0</v>
      </c>
      <c r="AK121" s="44">
        <v>0</v>
      </c>
      <c r="AL121" s="44">
        <v>0</v>
      </c>
      <c r="AM121" s="22" t="str">
        <f t="shared" si="6"/>
        <v>EAI - Pakistan</v>
      </c>
      <c r="AN121" s="333" t="s">
        <v>3119</v>
      </c>
      <c r="AP121" s="471"/>
      <c r="AQ121" s="11"/>
      <c r="AR121" s="11"/>
      <c r="AS121" s="354"/>
      <c r="AU121" s="406"/>
      <c r="AV121" s="55"/>
      <c r="AW121" s="333"/>
      <c r="AX121" s="406"/>
      <c r="AY121" s="406"/>
      <c r="AZ121" s="538"/>
    </row>
    <row r="122" spans="1:52">
      <c r="A122" s="5"/>
      <c r="B122" s="44" t="s">
        <v>3369</v>
      </c>
      <c r="C122" s="44" t="s">
        <v>3278</v>
      </c>
      <c r="D122" s="44" t="s">
        <v>1699</v>
      </c>
      <c r="E122" s="44" t="s">
        <v>1927</v>
      </c>
      <c r="F122" s="44" t="s">
        <v>1928</v>
      </c>
      <c r="G122" s="44" t="s">
        <v>1931</v>
      </c>
      <c r="H122" s="44" t="s">
        <v>116</v>
      </c>
      <c r="I122" s="44" t="s">
        <v>1931</v>
      </c>
      <c r="J122" s="328">
        <v>51</v>
      </c>
      <c r="K122" s="44">
        <v>1.22</v>
      </c>
      <c r="L122" s="44">
        <v>1.35</v>
      </c>
      <c r="M122" s="44">
        <v>0.89</v>
      </c>
      <c r="N122" s="44">
        <v>0.98</v>
      </c>
      <c r="O122" s="44">
        <v>1.08</v>
      </c>
      <c r="P122" s="44">
        <v>1.46</v>
      </c>
      <c r="Q122" s="44">
        <v>1.47</v>
      </c>
      <c r="R122" s="44">
        <v>1.17</v>
      </c>
      <c r="S122" s="44">
        <v>0.62</v>
      </c>
      <c r="T122" s="44">
        <v>0</v>
      </c>
      <c r="U122" s="44">
        <v>0</v>
      </c>
      <c r="V122" s="44">
        <v>0</v>
      </c>
      <c r="W122" s="44">
        <v>0</v>
      </c>
      <c r="X122" s="44">
        <v>0</v>
      </c>
      <c r="Y122" s="44">
        <v>0</v>
      </c>
      <c r="Z122" s="44">
        <v>0</v>
      </c>
      <c r="AA122" s="44">
        <v>0</v>
      </c>
      <c r="AB122" s="44">
        <v>0</v>
      </c>
      <c r="AC122" s="44">
        <v>0</v>
      </c>
      <c r="AD122" s="44">
        <v>0</v>
      </c>
      <c r="AE122" s="44">
        <v>0</v>
      </c>
      <c r="AF122" s="44">
        <v>0</v>
      </c>
      <c r="AG122" s="44">
        <v>0</v>
      </c>
      <c r="AH122" s="44">
        <v>0</v>
      </c>
      <c r="AI122" s="44">
        <v>0</v>
      </c>
      <c r="AJ122" s="44">
        <v>0</v>
      </c>
      <c r="AK122" s="44">
        <v>0</v>
      </c>
      <c r="AL122" s="44">
        <v>0</v>
      </c>
      <c r="AM122" s="22" t="str">
        <f t="shared" si="6"/>
        <v>EAI - Pakistan</v>
      </c>
      <c r="AN122" s="333" t="s">
        <v>3119</v>
      </c>
      <c r="AP122" s="471"/>
      <c r="AQ122" s="11"/>
      <c r="AR122" s="11"/>
      <c r="AS122" s="354"/>
      <c r="AU122" s="406"/>
      <c r="AV122" s="55"/>
      <c r="AW122" s="333"/>
      <c r="AX122" s="406"/>
      <c r="AY122" s="406"/>
      <c r="AZ122" s="538"/>
    </row>
    <row r="123" spans="1:52">
      <c r="A123" s="5"/>
      <c r="B123" s="44" t="s">
        <v>3369</v>
      </c>
      <c r="C123" s="44" t="s">
        <v>3278</v>
      </c>
      <c r="D123" s="44" t="s">
        <v>1700</v>
      </c>
      <c r="E123" s="44" t="s">
        <v>1927</v>
      </c>
      <c r="F123" s="44" t="s">
        <v>1928</v>
      </c>
      <c r="G123" s="44" t="s">
        <v>1932</v>
      </c>
      <c r="H123" s="44" t="s">
        <v>116</v>
      </c>
      <c r="I123" s="44" t="s">
        <v>1931</v>
      </c>
      <c r="J123" s="328">
        <v>60</v>
      </c>
      <c r="K123" s="44">
        <v>0.11</v>
      </c>
      <c r="L123" s="44">
        <v>0.13</v>
      </c>
      <c r="M123" s="44">
        <v>0.31</v>
      </c>
      <c r="N123" s="44">
        <v>0.13</v>
      </c>
      <c r="O123" s="44">
        <v>0.2</v>
      </c>
      <c r="P123" s="44">
        <v>0.06</v>
      </c>
      <c r="Q123" s="44">
        <v>0.05</v>
      </c>
      <c r="R123" s="44">
        <v>0.02</v>
      </c>
      <c r="S123" s="44">
        <v>0.02</v>
      </c>
      <c r="T123" s="44">
        <v>0</v>
      </c>
      <c r="U123" s="44">
        <v>0</v>
      </c>
      <c r="V123" s="44">
        <v>0</v>
      </c>
      <c r="W123" s="44">
        <v>0</v>
      </c>
      <c r="X123" s="44">
        <v>0</v>
      </c>
      <c r="Y123" s="44">
        <v>0</v>
      </c>
      <c r="Z123" s="44">
        <v>0</v>
      </c>
      <c r="AA123" s="44">
        <v>0</v>
      </c>
      <c r="AB123" s="44">
        <v>0</v>
      </c>
      <c r="AC123" s="44">
        <v>0</v>
      </c>
      <c r="AD123" s="44">
        <v>0</v>
      </c>
      <c r="AE123" s="44">
        <v>0</v>
      </c>
      <c r="AF123" s="44">
        <v>0</v>
      </c>
      <c r="AG123" s="44">
        <v>0</v>
      </c>
      <c r="AH123" s="44">
        <v>0</v>
      </c>
      <c r="AI123" s="44">
        <v>0</v>
      </c>
      <c r="AJ123" s="44">
        <v>0</v>
      </c>
      <c r="AK123" s="44">
        <v>0</v>
      </c>
      <c r="AL123" s="44">
        <v>0</v>
      </c>
      <c r="AM123" s="22" t="str">
        <f t="shared" si="6"/>
        <v>EAI - Pakistan</v>
      </c>
      <c r="AN123" s="333" t="s">
        <v>3119</v>
      </c>
      <c r="AP123" s="471"/>
      <c r="AQ123" s="11"/>
      <c r="AR123" s="11"/>
      <c r="AS123" s="354"/>
      <c r="AU123" s="406"/>
      <c r="AV123" s="55"/>
      <c r="AW123" s="333"/>
      <c r="AX123" s="406"/>
      <c r="AY123" s="406"/>
      <c r="AZ123" s="538"/>
    </row>
    <row r="124" spans="1:52">
      <c r="A124" s="5"/>
      <c r="B124" s="44" t="s">
        <v>3369</v>
      </c>
      <c r="C124" s="44" t="s">
        <v>3278</v>
      </c>
      <c r="D124" s="44" t="s">
        <v>3726</v>
      </c>
      <c r="E124" s="44" t="s">
        <v>1927</v>
      </c>
      <c r="F124" s="44" t="s">
        <v>1928</v>
      </c>
      <c r="G124" s="44" t="s">
        <v>1931</v>
      </c>
      <c r="H124" s="44" t="s">
        <v>116</v>
      </c>
      <c r="I124" s="44" t="s">
        <v>1931</v>
      </c>
      <c r="J124" s="328">
        <v>65</v>
      </c>
      <c r="K124" s="44">
        <v>0</v>
      </c>
      <c r="L124" s="44">
        <v>0</v>
      </c>
      <c r="M124" s="44">
        <v>0</v>
      </c>
      <c r="N124" s="44">
        <v>0</v>
      </c>
      <c r="O124" s="44">
        <v>0</v>
      </c>
      <c r="P124" s="44">
        <v>0</v>
      </c>
      <c r="Q124" s="44">
        <v>7.0000000000000007E-2</v>
      </c>
      <c r="R124" s="44">
        <v>0.68</v>
      </c>
      <c r="S124" s="44">
        <v>0.75</v>
      </c>
      <c r="T124" s="44">
        <v>0</v>
      </c>
      <c r="U124" s="44">
        <v>0</v>
      </c>
      <c r="V124" s="44">
        <v>0</v>
      </c>
      <c r="W124" s="44">
        <v>0</v>
      </c>
      <c r="X124" s="44">
        <v>0</v>
      </c>
      <c r="Y124" s="44">
        <v>0</v>
      </c>
      <c r="Z124" s="44">
        <v>0</v>
      </c>
      <c r="AA124" s="44">
        <v>0</v>
      </c>
      <c r="AB124" s="44">
        <v>0</v>
      </c>
      <c r="AC124" s="44">
        <v>0</v>
      </c>
      <c r="AD124" s="44">
        <v>0</v>
      </c>
      <c r="AE124" s="44">
        <v>0</v>
      </c>
      <c r="AF124" s="44">
        <v>0</v>
      </c>
      <c r="AG124" s="44">
        <v>0</v>
      </c>
      <c r="AH124" s="44">
        <v>0</v>
      </c>
      <c r="AI124" s="44">
        <v>0</v>
      </c>
      <c r="AJ124" s="44">
        <v>0</v>
      </c>
      <c r="AK124" s="44">
        <v>0</v>
      </c>
      <c r="AL124" s="44">
        <v>0</v>
      </c>
      <c r="AM124" s="22" t="str">
        <f t="shared" si="6"/>
        <v>EAI - Pakistan</v>
      </c>
      <c r="AN124" s="333" t="s">
        <v>3119</v>
      </c>
      <c r="AP124" s="471"/>
      <c r="AQ124" s="11"/>
      <c r="AR124" s="11"/>
      <c r="AS124" s="354"/>
      <c r="AU124" s="406"/>
      <c r="AV124" s="55"/>
      <c r="AW124" s="333"/>
      <c r="AX124" s="406"/>
      <c r="AY124" s="406"/>
      <c r="AZ124" s="538"/>
    </row>
    <row r="125" spans="1:52">
      <c r="A125" s="5"/>
      <c r="B125" s="44" t="s">
        <v>3369</v>
      </c>
      <c r="C125" s="44" t="s">
        <v>1701</v>
      </c>
      <c r="D125" s="44" t="s">
        <v>1702</v>
      </c>
      <c r="E125" s="44" t="s">
        <v>1927</v>
      </c>
      <c r="F125" s="44" t="s">
        <v>2960</v>
      </c>
      <c r="G125" s="44" t="s">
        <v>1932</v>
      </c>
      <c r="H125" s="44" t="s">
        <v>1930</v>
      </c>
      <c r="I125" s="44" t="s">
        <v>2600</v>
      </c>
      <c r="J125" s="328">
        <v>3</v>
      </c>
      <c r="K125" s="44">
        <v>0.32</v>
      </c>
      <c r="L125" s="44">
        <v>0.3</v>
      </c>
      <c r="M125" s="44">
        <v>0.27</v>
      </c>
      <c r="N125" s="44">
        <v>0.26</v>
      </c>
      <c r="O125" s="44">
        <v>0.24</v>
      </c>
      <c r="P125" s="44">
        <v>0.21</v>
      </c>
      <c r="Q125" s="44">
        <v>0.21</v>
      </c>
      <c r="R125" s="44">
        <v>0.2</v>
      </c>
      <c r="S125" s="44">
        <v>0.16</v>
      </c>
      <c r="T125" s="44">
        <v>0.2</v>
      </c>
      <c r="U125" s="44">
        <v>0.18</v>
      </c>
      <c r="V125" s="44">
        <v>0.2</v>
      </c>
      <c r="W125" s="44">
        <v>0</v>
      </c>
      <c r="X125" s="44">
        <v>0</v>
      </c>
      <c r="Y125" s="44">
        <v>0</v>
      </c>
      <c r="Z125" s="44">
        <v>0</v>
      </c>
      <c r="AA125" s="44">
        <v>0</v>
      </c>
      <c r="AB125" s="44">
        <v>0</v>
      </c>
      <c r="AC125" s="44">
        <v>0</v>
      </c>
      <c r="AD125" s="44">
        <v>0</v>
      </c>
      <c r="AE125" s="44">
        <v>0</v>
      </c>
      <c r="AF125" s="44">
        <v>0</v>
      </c>
      <c r="AG125" s="44">
        <v>0</v>
      </c>
      <c r="AH125" s="44">
        <v>0</v>
      </c>
      <c r="AI125" s="44">
        <v>0</v>
      </c>
      <c r="AJ125" s="44">
        <v>0</v>
      </c>
      <c r="AK125" s="44">
        <v>0</v>
      </c>
      <c r="AL125" s="44">
        <v>0</v>
      </c>
      <c r="AM125" s="22" t="str">
        <f t="shared" si="6"/>
        <v>EAI - Qatar</v>
      </c>
      <c r="AN125" s="333" t="s">
        <v>3119</v>
      </c>
      <c r="AP125" s="471"/>
      <c r="AQ125" s="11"/>
      <c r="AR125" s="11"/>
      <c r="AS125" s="354"/>
      <c r="AU125" s="406"/>
      <c r="AV125" s="55"/>
      <c r="AW125" s="333"/>
      <c r="AX125" s="406"/>
      <c r="AY125" s="406"/>
      <c r="AZ125" s="538"/>
    </row>
    <row r="126" spans="1:52">
      <c r="A126" s="5"/>
      <c r="B126" s="44" t="s">
        <v>3369</v>
      </c>
      <c r="C126" s="44" t="s">
        <v>1703</v>
      </c>
      <c r="D126" s="44" t="s">
        <v>3468</v>
      </c>
      <c r="E126" s="44" t="s">
        <v>1927</v>
      </c>
      <c r="F126" s="44" t="s">
        <v>1928</v>
      </c>
      <c r="G126" s="44" t="s">
        <v>3374</v>
      </c>
      <c r="H126" s="44" t="s">
        <v>1930</v>
      </c>
      <c r="I126" s="44" t="s">
        <v>1931</v>
      </c>
      <c r="J126" s="328">
        <v>20</v>
      </c>
      <c r="K126" s="44">
        <v>0</v>
      </c>
      <c r="L126" s="44">
        <v>0</v>
      </c>
      <c r="M126" s="44">
        <v>0</v>
      </c>
      <c r="N126" s="44">
        <v>0</v>
      </c>
      <c r="O126" s="44">
        <v>0</v>
      </c>
      <c r="P126" s="44">
        <v>0</v>
      </c>
      <c r="Q126" s="44">
        <v>0</v>
      </c>
      <c r="R126" s="44">
        <v>0</v>
      </c>
      <c r="S126" s="44">
        <v>0</v>
      </c>
      <c r="T126" s="44">
        <v>0</v>
      </c>
      <c r="U126" s="44">
        <v>0</v>
      </c>
      <c r="V126" s="44">
        <v>0</v>
      </c>
      <c r="W126" s="44">
        <v>0</v>
      </c>
      <c r="X126" s="44">
        <v>4.37</v>
      </c>
      <c r="Y126" s="44">
        <v>5.42</v>
      </c>
      <c r="Z126" s="44">
        <v>9.41</v>
      </c>
      <c r="AA126" s="44">
        <v>15.59</v>
      </c>
      <c r="AB126" s="44">
        <v>20.09</v>
      </c>
      <c r="AC126" s="44">
        <v>20.11</v>
      </c>
      <c r="AD126" s="44">
        <v>18.57</v>
      </c>
      <c r="AE126" s="44">
        <v>18.239999999999998</v>
      </c>
      <c r="AF126" s="44">
        <v>18.86</v>
      </c>
      <c r="AG126" s="44">
        <v>20.7</v>
      </c>
      <c r="AH126" s="44">
        <v>21.97</v>
      </c>
      <c r="AI126" s="44">
        <v>22.45</v>
      </c>
      <c r="AJ126" s="44">
        <v>20.55</v>
      </c>
      <c r="AK126" s="44">
        <v>19.02</v>
      </c>
      <c r="AL126" s="44">
        <v>17.170000000000002</v>
      </c>
      <c r="AM126" s="22" t="str">
        <f t="shared" si="6"/>
        <v>EAI - Russia</v>
      </c>
      <c r="AN126" s="333" t="s">
        <v>3119</v>
      </c>
      <c r="AP126" s="471"/>
      <c r="AQ126" s="11"/>
      <c r="AR126" s="11"/>
      <c r="AS126" s="354"/>
      <c r="AU126" s="406"/>
      <c r="AV126" s="55"/>
      <c r="AW126" s="333"/>
      <c r="AX126" s="406"/>
      <c r="AY126" s="406"/>
      <c r="AZ126" s="538"/>
    </row>
    <row r="127" spans="1:52">
      <c r="A127" s="5"/>
      <c r="B127" s="44" t="s">
        <v>3369</v>
      </c>
      <c r="C127" s="44" t="s">
        <v>1703</v>
      </c>
      <c r="D127" s="44" t="s">
        <v>2048</v>
      </c>
      <c r="E127" s="44" t="s">
        <v>1927</v>
      </c>
      <c r="F127" s="44" t="s">
        <v>1928</v>
      </c>
      <c r="G127" s="44" t="s">
        <v>3374</v>
      </c>
      <c r="H127" s="44" t="s">
        <v>1930</v>
      </c>
      <c r="I127" s="44" t="s">
        <v>1931</v>
      </c>
      <c r="J127" s="328">
        <v>12.5</v>
      </c>
      <c r="K127" s="44">
        <v>3.89</v>
      </c>
      <c r="L127" s="44">
        <v>0</v>
      </c>
      <c r="M127" s="44">
        <v>0</v>
      </c>
      <c r="N127" s="44">
        <v>0</v>
      </c>
      <c r="O127" s="44">
        <v>0</v>
      </c>
      <c r="P127" s="44">
        <v>0</v>
      </c>
      <c r="Q127" s="44">
        <v>0</v>
      </c>
      <c r="R127" s="44">
        <v>0</v>
      </c>
      <c r="S127" s="44">
        <v>0</v>
      </c>
      <c r="T127" s="44">
        <v>0</v>
      </c>
      <c r="U127" s="44">
        <v>0</v>
      </c>
      <c r="V127" s="44">
        <v>0</v>
      </c>
      <c r="W127" s="44">
        <v>0</v>
      </c>
      <c r="X127" s="44">
        <v>0</v>
      </c>
      <c r="Y127" s="44">
        <v>0</v>
      </c>
      <c r="Z127" s="44">
        <v>0</v>
      </c>
      <c r="AA127" s="44">
        <v>0</v>
      </c>
      <c r="AB127" s="44">
        <v>0</v>
      </c>
      <c r="AC127" s="44">
        <v>0</v>
      </c>
      <c r="AD127" s="44">
        <v>0</v>
      </c>
      <c r="AE127" s="44">
        <v>0</v>
      </c>
      <c r="AF127" s="44">
        <v>0</v>
      </c>
      <c r="AG127" s="44">
        <v>0</v>
      </c>
      <c r="AH127" s="44">
        <v>0</v>
      </c>
      <c r="AI127" s="44">
        <v>0</v>
      </c>
      <c r="AJ127" s="44">
        <v>0</v>
      </c>
      <c r="AK127" s="44">
        <v>0</v>
      </c>
      <c r="AL127" s="44">
        <v>0</v>
      </c>
      <c r="AM127" s="22" t="str">
        <f t="shared" si="6"/>
        <v>EAI - Russia</v>
      </c>
      <c r="AN127" s="333" t="s">
        <v>3119</v>
      </c>
      <c r="AP127" s="471"/>
      <c r="AQ127" s="11"/>
      <c r="AR127" s="11"/>
      <c r="AS127" s="354"/>
      <c r="AU127" s="406"/>
      <c r="AV127" s="55"/>
      <c r="AW127" s="333"/>
      <c r="AX127" s="406"/>
      <c r="AY127" s="406"/>
      <c r="AZ127" s="538"/>
    </row>
    <row r="128" spans="1:52">
      <c r="A128" s="5"/>
      <c r="B128" s="44" t="s">
        <v>3369</v>
      </c>
      <c r="C128" s="44" t="s">
        <v>1280</v>
      </c>
      <c r="D128" s="44" t="s">
        <v>680</v>
      </c>
      <c r="E128" s="44" t="s">
        <v>1927</v>
      </c>
      <c r="F128" s="44" t="s">
        <v>2960</v>
      </c>
      <c r="G128" s="44" t="s">
        <v>1931</v>
      </c>
      <c r="H128" s="44" t="s">
        <v>2966</v>
      </c>
      <c r="I128" s="44" t="s">
        <v>2600</v>
      </c>
      <c r="J128" s="328">
        <v>70</v>
      </c>
      <c r="K128" s="44">
        <v>56.34</v>
      </c>
      <c r="L128" s="44">
        <v>45.91</v>
      </c>
      <c r="M128" s="44">
        <v>29.5</v>
      </c>
      <c r="N128" s="44">
        <v>26.38</v>
      </c>
      <c r="O128" s="44">
        <v>20.32</v>
      </c>
      <c r="P128" s="44">
        <v>22.66</v>
      </c>
      <c r="Q128" s="44">
        <v>26.19</v>
      </c>
      <c r="R128" s="44">
        <v>25.73</v>
      </c>
      <c r="S128" s="44">
        <v>20.97</v>
      </c>
      <c r="T128" s="44">
        <v>14.97</v>
      </c>
      <c r="U128" s="44">
        <v>16.18</v>
      </c>
      <c r="V128" s="44">
        <v>17.239999999999998</v>
      </c>
      <c r="W128" s="44">
        <v>15.58</v>
      </c>
      <c r="X128" s="44">
        <v>13.51</v>
      </c>
      <c r="Y128" s="44">
        <v>15.25</v>
      </c>
      <c r="Z128" s="44">
        <v>14.22</v>
      </c>
      <c r="AA128" s="44">
        <v>14.13</v>
      </c>
      <c r="AB128" s="44">
        <v>13.01</v>
      </c>
      <c r="AC128" s="44">
        <v>11.66</v>
      </c>
      <c r="AD128" s="44">
        <v>10.44</v>
      </c>
      <c r="AE128" s="44">
        <v>9.11</v>
      </c>
      <c r="AF128" s="44">
        <v>3.65</v>
      </c>
      <c r="AG128" s="44">
        <v>2.86</v>
      </c>
      <c r="AH128" s="44">
        <v>2.11</v>
      </c>
      <c r="AI128" s="44">
        <v>1.55</v>
      </c>
      <c r="AJ128" s="44">
        <v>0</v>
      </c>
      <c r="AK128" s="44">
        <v>0</v>
      </c>
      <c r="AL128" s="44">
        <v>0</v>
      </c>
      <c r="AM128" s="22" t="str">
        <f t="shared" si="6"/>
        <v>SUBS - Trinidad &amp; Tobago</v>
      </c>
      <c r="AN128" s="333" t="s">
        <v>543</v>
      </c>
      <c r="AP128" s="471"/>
      <c r="AQ128" s="11"/>
      <c r="AR128" s="11"/>
      <c r="AS128" s="354"/>
      <c r="AU128" s="406"/>
      <c r="AV128" s="55"/>
      <c r="AW128" s="333"/>
      <c r="AX128" s="406"/>
      <c r="AY128" s="406"/>
      <c r="AZ128" s="538"/>
    </row>
    <row r="129" spans="1:52">
      <c r="A129" s="5"/>
      <c r="B129" s="44" t="s">
        <v>3369</v>
      </c>
      <c r="C129" s="44" t="s">
        <v>1280</v>
      </c>
      <c r="D129" s="44" t="s">
        <v>681</v>
      </c>
      <c r="E129" s="44" t="s">
        <v>1927</v>
      </c>
      <c r="F129" s="44" t="s">
        <v>2960</v>
      </c>
      <c r="G129" s="44" t="s">
        <v>3374</v>
      </c>
      <c r="H129" s="44" t="s">
        <v>116</v>
      </c>
      <c r="I129" s="44" t="s">
        <v>2600</v>
      </c>
      <c r="J129" s="328">
        <v>70</v>
      </c>
      <c r="K129" s="44">
        <v>17.850000000000001</v>
      </c>
      <c r="L129" s="44">
        <v>14.28</v>
      </c>
      <c r="M129" s="44">
        <v>8.4700000000000006</v>
      </c>
      <c r="N129" s="44">
        <v>0</v>
      </c>
      <c r="O129" s="44">
        <v>0</v>
      </c>
      <c r="P129" s="44">
        <v>0</v>
      </c>
      <c r="Q129" s="44">
        <v>0</v>
      </c>
      <c r="R129" s="44">
        <v>0</v>
      </c>
      <c r="S129" s="44">
        <v>0</v>
      </c>
      <c r="T129" s="44">
        <v>0</v>
      </c>
      <c r="U129" s="44">
        <v>0</v>
      </c>
      <c r="V129" s="44">
        <v>0</v>
      </c>
      <c r="W129" s="44">
        <v>0</v>
      </c>
      <c r="X129" s="44">
        <v>0</v>
      </c>
      <c r="Y129" s="44">
        <v>0</v>
      </c>
      <c r="Z129" s="44">
        <v>0</v>
      </c>
      <c r="AA129" s="44">
        <v>0</v>
      </c>
      <c r="AB129" s="44">
        <v>0</v>
      </c>
      <c r="AC129" s="44">
        <v>0</v>
      </c>
      <c r="AD129" s="44">
        <v>0</v>
      </c>
      <c r="AE129" s="44">
        <v>0</v>
      </c>
      <c r="AF129" s="44">
        <v>0</v>
      </c>
      <c r="AG129" s="44">
        <v>0</v>
      </c>
      <c r="AH129" s="44">
        <v>0</v>
      </c>
      <c r="AI129" s="44">
        <v>0</v>
      </c>
      <c r="AJ129" s="44">
        <v>0</v>
      </c>
      <c r="AK129" s="44">
        <v>0</v>
      </c>
      <c r="AL129" s="44">
        <v>0</v>
      </c>
      <c r="AM129" s="22" t="str">
        <f t="shared" si="6"/>
        <v>SUBS - Trinidad &amp; Tobago</v>
      </c>
      <c r="AN129" s="333" t="s">
        <v>543</v>
      </c>
      <c r="AP129" s="471"/>
      <c r="AQ129" s="11"/>
      <c r="AR129" s="11"/>
      <c r="AS129" s="354"/>
      <c r="AU129" s="406"/>
      <c r="AV129" s="55"/>
      <c r="AW129" s="333"/>
      <c r="AX129" s="406"/>
      <c r="AY129" s="406"/>
      <c r="AZ129" s="538"/>
    </row>
    <row r="130" spans="1:52">
      <c r="A130" s="5"/>
      <c r="B130" s="44" t="s">
        <v>3369</v>
      </c>
      <c r="C130" s="44" t="s">
        <v>1281</v>
      </c>
      <c r="D130" s="44" t="s">
        <v>1282</v>
      </c>
      <c r="E130" s="44" t="s">
        <v>1927</v>
      </c>
      <c r="F130" s="44" t="s">
        <v>2960</v>
      </c>
      <c r="G130" s="44" t="s">
        <v>217</v>
      </c>
      <c r="H130" s="44" t="s">
        <v>1930</v>
      </c>
      <c r="I130" s="44" t="s">
        <v>2600</v>
      </c>
      <c r="J130" s="328">
        <v>13.3</v>
      </c>
      <c r="K130" s="44">
        <v>12.91</v>
      </c>
      <c r="L130" s="44">
        <v>10.37</v>
      </c>
      <c r="M130" s="44">
        <v>8.41</v>
      </c>
      <c r="N130" s="44">
        <v>7.42</v>
      </c>
      <c r="O130" s="44">
        <v>5.72</v>
      </c>
      <c r="P130" s="44">
        <v>4.5599999999999996</v>
      </c>
      <c r="Q130" s="44">
        <v>4.28</v>
      </c>
      <c r="R130" s="44">
        <v>3.75</v>
      </c>
      <c r="S130" s="44">
        <v>3.36</v>
      </c>
      <c r="T130" s="44">
        <v>0</v>
      </c>
      <c r="U130" s="44">
        <v>0</v>
      </c>
      <c r="V130" s="44">
        <v>0</v>
      </c>
      <c r="W130" s="44">
        <v>0</v>
      </c>
      <c r="X130" s="44">
        <v>0</v>
      </c>
      <c r="Y130" s="44">
        <v>0</v>
      </c>
      <c r="Z130" s="44">
        <v>0</v>
      </c>
      <c r="AA130" s="44">
        <v>0</v>
      </c>
      <c r="AB130" s="44">
        <v>0</v>
      </c>
      <c r="AC130" s="44">
        <v>0</v>
      </c>
      <c r="AD130" s="44">
        <v>0</v>
      </c>
      <c r="AE130" s="44">
        <v>0</v>
      </c>
      <c r="AF130" s="44">
        <v>0</v>
      </c>
      <c r="AG130" s="44">
        <v>0</v>
      </c>
      <c r="AH130" s="44">
        <v>0</v>
      </c>
      <c r="AI130" s="44">
        <v>0</v>
      </c>
      <c r="AJ130" s="44">
        <v>0</v>
      </c>
      <c r="AK130" s="44">
        <v>0</v>
      </c>
      <c r="AL130" s="44">
        <v>0</v>
      </c>
      <c r="AM130" s="22" t="str">
        <f t="shared" si="6"/>
        <v>SUBS - UK</v>
      </c>
      <c r="AN130" s="333" t="s">
        <v>543</v>
      </c>
      <c r="AP130" s="471"/>
      <c r="AQ130" s="11"/>
      <c r="AR130" s="11"/>
      <c r="AS130" s="354"/>
      <c r="AU130" s="406"/>
      <c r="AV130" s="55"/>
      <c r="AW130" s="333"/>
      <c r="AX130" s="406"/>
      <c r="AY130" s="406"/>
      <c r="AZ130" s="538"/>
    </row>
    <row r="131" spans="1:52">
      <c r="A131" s="5"/>
      <c r="B131" s="44" t="s">
        <v>3369</v>
      </c>
      <c r="C131" s="44" t="s">
        <v>1281</v>
      </c>
      <c r="D131" s="44" t="s">
        <v>2930</v>
      </c>
      <c r="E131" s="44" t="s">
        <v>3372</v>
      </c>
      <c r="F131" s="44" t="s">
        <v>2973</v>
      </c>
      <c r="G131" s="44" t="s">
        <v>217</v>
      </c>
      <c r="H131" s="44" t="s">
        <v>1930</v>
      </c>
      <c r="I131" s="44" t="s">
        <v>2571</v>
      </c>
      <c r="J131" s="328">
        <v>50</v>
      </c>
      <c r="K131" s="44">
        <v>0</v>
      </c>
      <c r="L131" s="44">
        <v>0</v>
      </c>
      <c r="M131" s="44">
        <v>0</v>
      </c>
      <c r="N131" s="44">
        <v>0</v>
      </c>
      <c r="O131" s="44">
        <v>0</v>
      </c>
      <c r="P131" s="44">
        <v>0</v>
      </c>
      <c r="Q131" s="44">
        <v>0</v>
      </c>
      <c r="R131" s="44">
        <v>0</v>
      </c>
      <c r="S131" s="44">
        <v>0</v>
      </c>
      <c r="T131" s="44">
        <v>0</v>
      </c>
      <c r="U131" s="44">
        <v>0</v>
      </c>
      <c r="V131" s="44">
        <v>0</v>
      </c>
      <c r="W131" s="44">
        <v>0</v>
      </c>
      <c r="X131" s="44">
        <v>0</v>
      </c>
      <c r="Y131" s="44">
        <v>0</v>
      </c>
      <c r="Z131" s="44">
        <v>0</v>
      </c>
      <c r="AA131" s="44">
        <v>0</v>
      </c>
      <c r="AB131" s="44">
        <v>0.5</v>
      </c>
      <c r="AC131" s="44">
        <v>3.5</v>
      </c>
      <c r="AD131" s="44">
        <v>2.98</v>
      </c>
      <c r="AE131" s="44">
        <v>2.5299999999999998</v>
      </c>
      <c r="AF131" s="44">
        <v>2.15</v>
      </c>
      <c r="AG131" s="44">
        <v>1.83</v>
      </c>
      <c r="AH131" s="44">
        <v>1.56</v>
      </c>
      <c r="AI131" s="44">
        <v>1.32</v>
      </c>
      <c r="AJ131" s="44">
        <v>1.1200000000000001</v>
      </c>
      <c r="AK131" s="44">
        <v>0.96</v>
      </c>
      <c r="AL131" s="44">
        <v>0.81</v>
      </c>
      <c r="AM131" s="22" t="str">
        <f t="shared" si="6"/>
        <v>SUBS - UK</v>
      </c>
      <c r="AN131" s="333" t="s">
        <v>543</v>
      </c>
      <c r="AO131">
        <f>Y131-X131</f>
        <v>0</v>
      </c>
      <c r="AP131" s="471"/>
      <c r="AQ131" s="11"/>
      <c r="AR131" s="11"/>
      <c r="AS131" s="354"/>
      <c r="AU131" s="406"/>
      <c r="AV131" s="55"/>
      <c r="AW131" s="333"/>
      <c r="AX131" s="406"/>
      <c r="AY131" s="406"/>
      <c r="AZ131" s="538"/>
    </row>
    <row r="132" spans="1:52">
      <c r="A132" s="5"/>
      <c r="B132" s="44" t="s">
        <v>3369</v>
      </c>
      <c r="C132" s="44" t="s">
        <v>1281</v>
      </c>
      <c r="D132" s="44" t="s">
        <v>2597</v>
      </c>
      <c r="E132" s="44" t="s">
        <v>1927</v>
      </c>
      <c r="F132" s="44" t="s">
        <v>2960</v>
      </c>
      <c r="G132" s="44" t="s">
        <v>1931</v>
      </c>
      <c r="H132" s="44" t="s">
        <v>116</v>
      </c>
      <c r="I132" s="44" t="s">
        <v>2600</v>
      </c>
      <c r="J132" s="328">
        <v>83.65</v>
      </c>
      <c r="K132" s="44">
        <v>0.26</v>
      </c>
      <c r="L132" s="44">
        <v>0.3</v>
      </c>
      <c r="M132" s="44">
        <v>0.16</v>
      </c>
      <c r="N132" s="44">
        <v>0.15</v>
      </c>
      <c r="O132" s="44">
        <v>0.2</v>
      </c>
      <c r="P132" s="44">
        <v>0.41</v>
      </c>
      <c r="Q132" s="44">
        <v>0.16</v>
      </c>
      <c r="R132" s="44">
        <v>0.16</v>
      </c>
      <c r="S132" s="44">
        <v>0</v>
      </c>
      <c r="T132" s="44">
        <v>0</v>
      </c>
      <c r="U132" s="44">
        <v>0</v>
      </c>
      <c r="V132" s="44">
        <v>0</v>
      </c>
      <c r="W132" s="44">
        <v>0</v>
      </c>
      <c r="X132" s="44">
        <v>0</v>
      </c>
      <c r="Y132" s="44">
        <v>0</v>
      </c>
      <c r="Z132" s="44">
        <v>0</v>
      </c>
      <c r="AA132" s="44">
        <v>0</v>
      </c>
      <c r="AB132" s="44">
        <v>0</v>
      </c>
      <c r="AC132" s="44">
        <v>0</v>
      </c>
      <c r="AD132" s="44">
        <v>0</v>
      </c>
      <c r="AE132" s="44">
        <v>0</v>
      </c>
      <c r="AF132" s="44">
        <v>0</v>
      </c>
      <c r="AG132" s="44">
        <v>0</v>
      </c>
      <c r="AH132" s="44">
        <v>0</v>
      </c>
      <c r="AI132" s="44">
        <v>0</v>
      </c>
      <c r="AJ132" s="44">
        <v>0</v>
      </c>
      <c r="AK132" s="44">
        <v>0</v>
      </c>
      <c r="AL132" s="44">
        <v>0</v>
      </c>
      <c r="AM132" s="22" t="str">
        <f t="shared" si="6"/>
        <v>SUBS - UK</v>
      </c>
      <c r="AN132" s="333" t="s">
        <v>543</v>
      </c>
      <c r="AP132" s="471"/>
      <c r="AQ132" s="11"/>
      <c r="AR132" s="11"/>
      <c r="AS132" s="354"/>
      <c r="AU132" s="406"/>
      <c r="AV132" s="55"/>
      <c r="AW132" s="333"/>
      <c r="AX132" s="406"/>
      <c r="AY132" s="406"/>
      <c r="AZ132" s="538"/>
    </row>
    <row r="133" spans="1:52">
      <c r="A133" s="5"/>
      <c r="B133" s="44" t="s">
        <v>3369</v>
      </c>
      <c r="C133" s="44" t="s">
        <v>1281</v>
      </c>
      <c r="D133" s="44" t="s">
        <v>1283</v>
      </c>
      <c r="E133" s="44" t="s">
        <v>1927</v>
      </c>
      <c r="F133" s="44" t="s">
        <v>2960</v>
      </c>
      <c r="G133" s="44" t="s">
        <v>1932</v>
      </c>
      <c r="H133" s="44" t="s">
        <v>116</v>
      </c>
      <c r="I133" s="44" t="s">
        <v>2600</v>
      </c>
      <c r="J133" s="328">
        <v>62.75</v>
      </c>
      <c r="K133" s="44">
        <v>16.75</v>
      </c>
      <c r="L133" s="44">
        <v>11.55</v>
      </c>
      <c r="M133" s="44">
        <v>11.33</v>
      </c>
      <c r="N133" s="44">
        <v>6.76</v>
      </c>
      <c r="O133" s="44">
        <v>8.2100000000000009</v>
      </c>
      <c r="P133" s="44">
        <v>6.63</v>
      </c>
      <c r="Q133" s="44">
        <v>5.8</v>
      </c>
      <c r="R133" s="44">
        <v>4.24</v>
      </c>
      <c r="S133" s="44">
        <v>1.08</v>
      </c>
      <c r="T133" s="44">
        <v>0</v>
      </c>
      <c r="U133" s="44">
        <v>0</v>
      </c>
      <c r="V133" s="44">
        <v>0.04</v>
      </c>
      <c r="W133" s="44">
        <v>1.49</v>
      </c>
      <c r="X133" s="44">
        <v>1.21</v>
      </c>
      <c r="Y133" s="44">
        <v>1.59</v>
      </c>
      <c r="Z133" s="44">
        <v>1.51</v>
      </c>
      <c r="AA133" s="44">
        <v>1.76</v>
      </c>
      <c r="AB133" s="44">
        <v>1.41</v>
      </c>
      <c r="AC133" s="44">
        <v>1.19</v>
      </c>
      <c r="AD133" s="44">
        <v>1.02</v>
      </c>
      <c r="AE133" s="44">
        <v>0</v>
      </c>
      <c r="AF133" s="44">
        <v>0</v>
      </c>
      <c r="AG133" s="44">
        <v>0</v>
      </c>
      <c r="AH133" s="44">
        <v>0</v>
      </c>
      <c r="AI133" s="44">
        <v>0</v>
      </c>
      <c r="AJ133" s="44">
        <v>0</v>
      </c>
      <c r="AK133" s="44">
        <v>0</v>
      </c>
      <c r="AL133" s="44">
        <v>0</v>
      </c>
      <c r="AM133" s="22" t="str">
        <f t="shared" si="6"/>
        <v>SUBS - UK</v>
      </c>
      <c r="AN133" s="333" t="s">
        <v>543</v>
      </c>
      <c r="AP133" s="471"/>
      <c r="AQ133" s="11"/>
      <c r="AR133" s="11"/>
      <c r="AS133" s="354"/>
      <c r="AU133" s="406"/>
      <c r="AV133" s="55"/>
      <c r="AW133" s="333"/>
      <c r="AX133" s="406"/>
      <c r="AY133" s="406"/>
      <c r="AZ133" s="538"/>
    </row>
    <row r="134" spans="1:52">
      <c r="A134" s="5"/>
      <c r="B134" s="44" t="s">
        <v>3369</v>
      </c>
      <c r="C134" s="44" t="s">
        <v>1281</v>
      </c>
      <c r="D134" s="44" t="s">
        <v>3668</v>
      </c>
      <c r="E134" s="44" t="s">
        <v>1927</v>
      </c>
      <c r="F134" s="44" t="s">
        <v>2960</v>
      </c>
      <c r="G134" s="44" t="s">
        <v>1932</v>
      </c>
      <c r="H134" s="44" t="s">
        <v>116</v>
      </c>
      <c r="I134" s="44" t="s">
        <v>2571</v>
      </c>
      <c r="J134" s="328">
        <v>100</v>
      </c>
      <c r="K134" s="44">
        <v>0</v>
      </c>
      <c r="L134" s="44">
        <v>0</v>
      </c>
      <c r="M134" s="44">
        <v>0</v>
      </c>
      <c r="N134" s="44">
        <v>0</v>
      </c>
      <c r="O134" s="44">
        <v>0</v>
      </c>
      <c r="P134" s="44">
        <v>0</v>
      </c>
      <c r="Q134" s="44">
        <v>0</v>
      </c>
      <c r="R134" s="44">
        <v>0</v>
      </c>
      <c r="S134" s="44">
        <v>0</v>
      </c>
      <c r="T134" s="44">
        <v>0</v>
      </c>
      <c r="U134" s="44">
        <v>0</v>
      </c>
      <c r="V134" s="44">
        <v>0</v>
      </c>
      <c r="W134" s="44">
        <v>0</v>
      </c>
      <c r="X134" s="44">
        <v>0</v>
      </c>
      <c r="Y134" s="44">
        <v>1.8</v>
      </c>
      <c r="Z134" s="44">
        <v>4</v>
      </c>
      <c r="AA134" s="44">
        <v>2</v>
      </c>
      <c r="AB134" s="44">
        <v>0.9</v>
      </c>
      <c r="AC134" s="44">
        <v>0.4</v>
      </c>
      <c r="AD134" s="44">
        <v>0.2</v>
      </c>
      <c r="AE134" s="44">
        <v>0</v>
      </c>
      <c r="AF134" s="44">
        <v>0</v>
      </c>
      <c r="AG134" s="44">
        <v>0</v>
      </c>
      <c r="AH134" s="44">
        <v>0</v>
      </c>
      <c r="AI134" s="44">
        <v>0</v>
      </c>
      <c r="AJ134" s="44">
        <v>0</v>
      </c>
      <c r="AK134" s="44">
        <v>0</v>
      </c>
      <c r="AL134" s="44">
        <v>0</v>
      </c>
      <c r="AM134" s="22" t="str">
        <f t="shared" ref="AM134" si="11">AN134&amp;" - "&amp;C134</f>
        <v>SUBS - UK</v>
      </c>
      <c r="AN134" s="333" t="s">
        <v>543</v>
      </c>
      <c r="AP134" s="471"/>
      <c r="AQ134" s="11"/>
      <c r="AR134" s="11"/>
      <c r="AS134" s="354"/>
      <c r="AU134" s="406"/>
      <c r="AV134" s="55"/>
      <c r="AW134" s="333"/>
      <c r="AX134" s="406"/>
      <c r="AY134" s="406"/>
      <c r="AZ134" s="538"/>
    </row>
    <row r="135" spans="1:52">
      <c r="A135" s="5"/>
      <c r="B135" s="44" t="s">
        <v>3369</v>
      </c>
      <c r="C135" s="44" t="s">
        <v>1281</v>
      </c>
      <c r="D135" s="44" t="s">
        <v>3682</v>
      </c>
      <c r="E135" s="44" t="s">
        <v>1927</v>
      </c>
      <c r="F135" s="44" t="s">
        <v>2960</v>
      </c>
      <c r="G135" s="44" t="s">
        <v>1929</v>
      </c>
      <c r="H135" s="44" t="s">
        <v>116</v>
      </c>
      <c r="I135" s="44" t="s">
        <v>3687</v>
      </c>
      <c r="J135" s="328">
        <v>27.5</v>
      </c>
      <c r="K135" s="44">
        <v>0</v>
      </c>
      <c r="L135" s="44">
        <v>0</v>
      </c>
      <c r="M135" s="44">
        <v>0</v>
      </c>
      <c r="N135" s="44">
        <v>0</v>
      </c>
      <c r="O135" s="44">
        <v>0</v>
      </c>
      <c r="P135" s="44">
        <v>0</v>
      </c>
      <c r="Q135" s="44">
        <v>0</v>
      </c>
      <c r="R135" s="44">
        <v>0</v>
      </c>
      <c r="S135" s="44">
        <v>0</v>
      </c>
      <c r="T135" s="44">
        <v>0</v>
      </c>
      <c r="U135" s="44">
        <v>0</v>
      </c>
      <c r="V135" s="44">
        <v>0</v>
      </c>
      <c r="W135" s="44">
        <v>0</v>
      </c>
      <c r="X135" s="44">
        <v>0.28000000000000003</v>
      </c>
      <c r="Y135" s="44">
        <v>0.69</v>
      </c>
      <c r="Z135" s="44">
        <v>0.57999999999999996</v>
      </c>
      <c r="AA135" s="44">
        <v>0.52</v>
      </c>
      <c r="AB135" s="44">
        <v>0.36</v>
      </c>
      <c r="AC135" s="44">
        <v>0.28000000000000003</v>
      </c>
      <c r="AD135" s="44">
        <v>0</v>
      </c>
      <c r="AE135" s="44">
        <v>0</v>
      </c>
      <c r="AF135" s="44">
        <v>0</v>
      </c>
      <c r="AG135" s="44">
        <v>0</v>
      </c>
      <c r="AH135" s="44">
        <v>0</v>
      </c>
      <c r="AI135" s="44">
        <v>0</v>
      </c>
      <c r="AJ135" s="44">
        <v>0</v>
      </c>
      <c r="AK135" s="44">
        <v>0</v>
      </c>
      <c r="AL135" s="44">
        <v>0</v>
      </c>
      <c r="AM135" s="22" t="str">
        <f t="shared" ref="AM135" si="12">AN135&amp;" - "&amp;C135</f>
        <v>SUBS - UK</v>
      </c>
      <c r="AN135" s="333" t="s">
        <v>543</v>
      </c>
      <c r="AP135" s="471"/>
      <c r="AQ135" s="11"/>
      <c r="AR135" s="11"/>
      <c r="AS135" s="354"/>
      <c r="AU135" s="406"/>
      <c r="AV135" s="55"/>
      <c r="AW135" s="333"/>
      <c r="AX135" s="406"/>
      <c r="AY135" s="406"/>
      <c r="AZ135" s="538"/>
    </row>
    <row r="136" spans="1:52">
      <c r="A136" s="5"/>
      <c r="B136" s="44" t="s">
        <v>3369</v>
      </c>
      <c r="C136" s="44" t="s">
        <v>1281</v>
      </c>
      <c r="D136" s="44" t="s">
        <v>1284</v>
      </c>
      <c r="E136" s="44" t="s">
        <v>1927</v>
      </c>
      <c r="F136" s="44" t="s">
        <v>2960</v>
      </c>
      <c r="G136" s="44" t="s">
        <v>1929</v>
      </c>
      <c r="H136" s="44" t="s">
        <v>116</v>
      </c>
      <c r="I136" s="44" t="s">
        <v>2601</v>
      </c>
      <c r="J136" s="328">
        <v>27.7</v>
      </c>
      <c r="K136" s="44">
        <v>0.54</v>
      </c>
      <c r="L136" s="44">
        <v>0.63</v>
      </c>
      <c r="M136" s="44">
        <v>0.22</v>
      </c>
      <c r="N136" s="44">
        <v>0.28000000000000003</v>
      </c>
      <c r="O136" s="44">
        <v>0.15</v>
      </c>
      <c r="P136" s="44">
        <v>0.1</v>
      </c>
      <c r="Q136" s="44">
        <v>0.09</v>
      </c>
      <c r="R136" s="44">
        <v>7.0000000000000007E-2</v>
      </c>
      <c r="S136" s="44">
        <v>0.02</v>
      </c>
      <c r="T136" s="44">
        <v>0</v>
      </c>
      <c r="U136" s="44">
        <v>0</v>
      </c>
      <c r="V136" s="44">
        <v>0</v>
      </c>
      <c r="W136" s="44">
        <v>0</v>
      </c>
      <c r="X136" s="44">
        <v>0</v>
      </c>
      <c r="Y136" s="44">
        <v>0</v>
      </c>
      <c r="Z136" s="44">
        <v>0</v>
      </c>
      <c r="AA136" s="44">
        <v>0</v>
      </c>
      <c r="AB136" s="44">
        <v>0</v>
      </c>
      <c r="AC136" s="44">
        <v>0</v>
      </c>
      <c r="AD136" s="44">
        <v>0</v>
      </c>
      <c r="AE136" s="44">
        <v>0</v>
      </c>
      <c r="AF136" s="44">
        <v>0</v>
      </c>
      <c r="AG136" s="44">
        <v>0</v>
      </c>
      <c r="AH136" s="44">
        <v>0</v>
      </c>
      <c r="AI136" s="44">
        <v>0</v>
      </c>
      <c r="AJ136" s="44">
        <v>0</v>
      </c>
      <c r="AK136" s="44">
        <v>0</v>
      </c>
      <c r="AL136" s="44">
        <v>0</v>
      </c>
      <c r="AM136" s="22" t="str">
        <f t="shared" si="6"/>
        <v>SUBS - UK</v>
      </c>
      <c r="AN136" s="333" t="s">
        <v>543</v>
      </c>
      <c r="AP136" s="471"/>
      <c r="AQ136" s="11"/>
      <c r="AR136" s="11"/>
      <c r="AS136" s="354"/>
      <c r="AU136" s="406"/>
      <c r="AV136" s="55"/>
      <c r="AW136" s="333"/>
      <c r="AX136" s="406"/>
      <c r="AY136" s="406"/>
      <c r="AZ136" s="538"/>
    </row>
    <row r="137" spans="1:52">
      <c r="A137" s="5"/>
      <c r="B137" s="44" t="s">
        <v>3369</v>
      </c>
      <c r="C137" s="44" t="s">
        <v>1281</v>
      </c>
      <c r="D137" s="44" t="s">
        <v>1285</v>
      </c>
      <c r="E137" s="44" t="s">
        <v>1927</v>
      </c>
      <c r="F137" s="44" t="s">
        <v>2960</v>
      </c>
      <c r="G137" s="44" t="s">
        <v>1932</v>
      </c>
      <c r="H137" s="44" t="s">
        <v>116</v>
      </c>
      <c r="I137" s="44" t="s">
        <v>2600</v>
      </c>
      <c r="J137" s="328">
        <v>27.7</v>
      </c>
      <c r="K137" s="44">
        <v>3.89</v>
      </c>
      <c r="L137" s="44">
        <v>3.9</v>
      </c>
      <c r="M137" s="44">
        <v>4.09</v>
      </c>
      <c r="N137" s="44">
        <v>3.66</v>
      </c>
      <c r="O137" s="44">
        <v>3.34</v>
      </c>
      <c r="P137" s="44">
        <v>2.74</v>
      </c>
      <c r="Q137" s="44">
        <v>2.1800000000000002</v>
      </c>
      <c r="R137" s="44">
        <v>1.68</v>
      </c>
      <c r="S137" s="44">
        <v>1.96</v>
      </c>
      <c r="T137" s="44">
        <v>0</v>
      </c>
      <c r="U137" s="44">
        <v>0</v>
      </c>
      <c r="V137" s="44">
        <v>0</v>
      </c>
      <c r="W137" s="44">
        <v>0</v>
      </c>
      <c r="X137" s="44">
        <v>0</v>
      </c>
      <c r="Y137" s="44">
        <v>0</v>
      </c>
      <c r="Z137" s="44">
        <v>0</v>
      </c>
      <c r="AA137" s="44">
        <v>0</v>
      </c>
      <c r="AB137" s="44">
        <v>0</v>
      </c>
      <c r="AC137" s="44">
        <v>0</v>
      </c>
      <c r="AD137" s="44">
        <v>0</v>
      </c>
      <c r="AE137" s="44">
        <v>0</v>
      </c>
      <c r="AF137" s="44">
        <v>0</v>
      </c>
      <c r="AG137" s="44">
        <v>0</v>
      </c>
      <c r="AH137" s="44">
        <v>0</v>
      </c>
      <c r="AI137" s="44">
        <v>0</v>
      </c>
      <c r="AJ137" s="44">
        <v>0</v>
      </c>
      <c r="AK137" s="44">
        <v>0</v>
      </c>
      <c r="AL137" s="44">
        <v>0</v>
      </c>
      <c r="AM137" s="22" t="str">
        <f t="shared" si="6"/>
        <v>SUBS - UK</v>
      </c>
      <c r="AN137" s="333" t="s">
        <v>543</v>
      </c>
      <c r="AP137" s="471"/>
      <c r="AQ137" s="11"/>
      <c r="AR137" s="11"/>
      <c r="AS137" s="354"/>
      <c r="AU137" s="406"/>
      <c r="AV137" s="55"/>
      <c r="AW137" s="333"/>
      <c r="AX137" s="406"/>
      <c r="AY137" s="406"/>
      <c r="AZ137" s="538"/>
    </row>
    <row r="138" spans="1:52">
      <c r="A138" s="5"/>
      <c r="B138" s="44" t="s">
        <v>3369</v>
      </c>
      <c r="C138" s="44" t="s">
        <v>1281</v>
      </c>
      <c r="D138" s="44" t="s">
        <v>1286</v>
      </c>
      <c r="E138" s="44" t="s">
        <v>1927</v>
      </c>
      <c r="F138" s="44" t="s">
        <v>2960</v>
      </c>
      <c r="G138" s="44" t="s">
        <v>1932</v>
      </c>
      <c r="H138" s="44" t="s">
        <v>116</v>
      </c>
      <c r="I138" s="44" t="s">
        <v>2600</v>
      </c>
      <c r="J138" s="328">
        <v>33.21</v>
      </c>
      <c r="K138" s="44">
        <v>1.99</v>
      </c>
      <c r="L138" s="44">
        <v>3.04</v>
      </c>
      <c r="M138" s="44">
        <v>1.27</v>
      </c>
      <c r="N138" s="44">
        <v>1.05</v>
      </c>
      <c r="O138" s="44">
        <v>0.72</v>
      </c>
      <c r="P138" s="44">
        <v>0.66</v>
      </c>
      <c r="Q138" s="44">
        <v>0.91</v>
      </c>
      <c r="R138" s="44">
        <v>0.66</v>
      </c>
      <c r="S138" s="44">
        <v>0.39</v>
      </c>
      <c r="T138" s="44">
        <v>0</v>
      </c>
      <c r="U138" s="44">
        <v>0</v>
      </c>
      <c r="V138" s="44">
        <v>0</v>
      </c>
      <c r="W138" s="44">
        <v>0</v>
      </c>
      <c r="X138" s="44">
        <v>0</v>
      </c>
      <c r="Y138" s="44">
        <v>0</v>
      </c>
      <c r="Z138" s="44">
        <v>0</v>
      </c>
      <c r="AA138" s="44">
        <v>0</v>
      </c>
      <c r="AB138" s="44">
        <v>0</v>
      </c>
      <c r="AC138" s="44">
        <v>0</v>
      </c>
      <c r="AD138" s="44">
        <v>0</v>
      </c>
      <c r="AE138" s="44">
        <v>0</v>
      </c>
      <c r="AF138" s="44">
        <v>0</v>
      </c>
      <c r="AG138" s="44">
        <v>0</v>
      </c>
      <c r="AH138" s="44">
        <v>0</v>
      </c>
      <c r="AI138" s="44">
        <v>0</v>
      </c>
      <c r="AJ138" s="44">
        <v>0</v>
      </c>
      <c r="AK138" s="44">
        <v>0</v>
      </c>
      <c r="AL138" s="44">
        <v>0</v>
      </c>
      <c r="AM138" s="22" t="str">
        <f t="shared" si="6"/>
        <v>SUBS - UK</v>
      </c>
      <c r="AN138" s="333" t="s">
        <v>543</v>
      </c>
      <c r="AP138" s="471"/>
      <c r="AQ138" s="11"/>
      <c r="AR138" s="11"/>
      <c r="AS138" s="354"/>
      <c r="AU138" s="406"/>
      <c r="AV138" s="55"/>
      <c r="AW138" s="333"/>
      <c r="AX138" s="406"/>
      <c r="AY138" s="406"/>
      <c r="AZ138" s="538"/>
    </row>
    <row r="139" spans="1:52">
      <c r="A139" s="5"/>
      <c r="B139" s="44" t="s">
        <v>3369</v>
      </c>
      <c r="C139" s="44" t="s">
        <v>1281</v>
      </c>
      <c r="D139" s="44" t="s">
        <v>1287</v>
      </c>
      <c r="E139" s="44" t="s">
        <v>1927</v>
      </c>
      <c r="F139" s="44" t="s">
        <v>2960</v>
      </c>
      <c r="G139" s="44" t="s">
        <v>3374</v>
      </c>
      <c r="H139" s="44" t="s">
        <v>1930</v>
      </c>
      <c r="I139" s="44" t="s">
        <v>2571</v>
      </c>
      <c r="J139" s="328">
        <v>27.7</v>
      </c>
      <c r="K139" s="44">
        <v>4.59</v>
      </c>
      <c r="L139" s="44">
        <v>3.97</v>
      </c>
      <c r="M139" s="44">
        <v>4.54</v>
      </c>
      <c r="N139" s="44">
        <v>3.53</v>
      </c>
      <c r="O139" s="44">
        <v>3.19</v>
      </c>
      <c r="P139" s="44">
        <v>2.5099999999999998</v>
      </c>
      <c r="Q139" s="44">
        <v>2.65</v>
      </c>
      <c r="R139" s="44">
        <v>2.34</v>
      </c>
      <c r="S139" s="44">
        <v>3.4</v>
      </c>
      <c r="T139" s="44">
        <v>0</v>
      </c>
      <c r="U139" s="44">
        <v>0</v>
      </c>
      <c r="V139" s="44">
        <v>0</v>
      </c>
      <c r="W139" s="44">
        <v>0</v>
      </c>
      <c r="X139" s="44">
        <v>0</v>
      </c>
      <c r="Y139" s="44">
        <v>0</v>
      </c>
      <c r="Z139" s="44">
        <v>0</v>
      </c>
      <c r="AA139" s="44">
        <v>0</v>
      </c>
      <c r="AB139" s="44">
        <v>0</v>
      </c>
      <c r="AC139" s="44">
        <v>0</v>
      </c>
      <c r="AD139" s="44">
        <v>0</v>
      </c>
      <c r="AE139" s="44">
        <v>0</v>
      </c>
      <c r="AF139" s="44">
        <v>0</v>
      </c>
      <c r="AG139" s="44">
        <v>0</v>
      </c>
      <c r="AH139" s="44">
        <v>0</v>
      </c>
      <c r="AI139" s="44">
        <v>0</v>
      </c>
      <c r="AJ139" s="44">
        <v>0</v>
      </c>
      <c r="AK139" s="44">
        <v>0</v>
      </c>
      <c r="AL139" s="44">
        <v>0</v>
      </c>
      <c r="AM139" s="22" t="str">
        <f t="shared" si="6"/>
        <v>SUBS - UK</v>
      </c>
      <c r="AN139" s="333" t="s">
        <v>543</v>
      </c>
      <c r="AP139" s="471"/>
      <c r="AQ139" s="11"/>
      <c r="AR139" s="11"/>
      <c r="AS139" s="354"/>
      <c r="AU139" s="406"/>
      <c r="AV139" s="55"/>
      <c r="AW139" s="333"/>
      <c r="AX139" s="406"/>
      <c r="AY139" s="406"/>
      <c r="AZ139" s="538"/>
    </row>
    <row r="140" spans="1:52">
      <c r="A140" s="5"/>
      <c r="B140" s="44" t="s">
        <v>3369</v>
      </c>
      <c r="C140" s="44" t="s">
        <v>1281</v>
      </c>
      <c r="D140" s="44" t="s">
        <v>1288</v>
      </c>
      <c r="E140" s="44" t="s">
        <v>1927</v>
      </c>
      <c r="F140" s="44" t="s">
        <v>2960</v>
      </c>
      <c r="G140" s="44" t="s">
        <v>1929</v>
      </c>
      <c r="H140" s="44" t="s">
        <v>116</v>
      </c>
      <c r="I140" s="44" t="s">
        <v>2571</v>
      </c>
      <c r="J140" s="328">
        <v>52</v>
      </c>
      <c r="K140" s="44">
        <v>0.82</v>
      </c>
      <c r="L140" s="44">
        <v>3.19</v>
      </c>
      <c r="M140" s="44">
        <v>2.84</v>
      </c>
      <c r="N140" s="44">
        <v>2.37</v>
      </c>
      <c r="O140" s="44">
        <v>2.0099999999999998</v>
      </c>
      <c r="P140" s="44">
        <v>2.02</v>
      </c>
      <c r="Q140" s="44">
        <v>1.51</v>
      </c>
      <c r="R140" s="44">
        <v>1.25</v>
      </c>
      <c r="S140" s="44">
        <v>1.04</v>
      </c>
      <c r="T140" s="44">
        <v>0</v>
      </c>
      <c r="U140" s="44">
        <v>0</v>
      </c>
      <c r="V140" s="44">
        <v>0</v>
      </c>
      <c r="W140" s="44">
        <v>0</v>
      </c>
      <c r="X140" s="44">
        <v>0</v>
      </c>
      <c r="Y140" s="44">
        <v>0</v>
      </c>
      <c r="Z140" s="44">
        <v>0</v>
      </c>
      <c r="AA140" s="44">
        <v>0</v>
      </c>
      <c r="AB140" s="44">
        <v>0</v>
      </c>
      <c r="AC140" s="44">
        <v>0</v>
      </c>
      <c r="AD140" s="44">
        <v>0</v>
      </c>
      <c r="AE140" s="44">
        <v>0</v>
      </c>
      <c r="AF140" s="44">
        <v>0</v>
      </c>
      <c r="AG140" s="44">
        <v>0</v>
      </c>
      <c r="AH140" s="44">
        <v>0</v>
      </c>
      <c r="AI140" s="44">
        <v>0</v>
      </c>
      <c r="AJ140" s="44">
        <v>0</v>
      </c>
      <c r="AK140" s="44">
        <v>0</v>
      </c>
      <c r="AL140" s="44">
        <v>0</v>
      </c>
      <c r="AM140" s="22" t="str">
        <f t="shared" si="6"/>
        <v>SUBS - UK</v>
      </c>
      <c r="AN140" s="333" t="s">
        <v>543</v>
      </c>
      <c r="AP140" s="471"/>
      <c r="AQ140" s="11"/>
      <c r="AR140" s="11"/>
      <c r="AS140" s="354"/>
      <c r="AU140" s="406"/>
      <c r="AV140" s="55"/>
      <c r="AW140" s="333"/>
      <c r="AX140" s="406"/>
      <c r="AY140" s="406"/>
      <c r="AZ140" s="538"/>
    </row>
    <row r="141" spans="1:52">
      <c r="A141" s="5"/>
      <c r="B141" s="44" t="s">
        <v>3369</v>
      </c>
      <c r="C141" s="44" t="s">
        <v>1281</v>
      </c>
      <c r="D141" s="44" t="s">
        <v>1289</v>
      </c>
      <c r="E141" s="44" t="s">
        <v>1927</v>
      </c>
      <c r="F141" s="44" t="s">
        <v>2960</v>
      </c>
      <c r="G141" s="44" t="s">
        <v>1931</v>
      </c>
      <c r="H141" s="44" t="s">
        <v>116</v>
      </c>
      <c r="I141" s="44" t="s">
        <v>2600</v>
      </c>
      <c r="J141" s="328">
        <v>8.9700000000000006</v>
      </c>
      <c r="K141" s="44">
        <v>2.1</v>
      </c>
      <c r="L141" s="44">
        <v>1.92</v>
      </c>
      <c r="M141" s="44">
        <v>1.59</v>
      </c>
      <c r="N141" s="44">
        <v>1.23</v>
      </c>
      <c r="O141" s="44">
        <v>1.2</v>
      </c>
      <c r="P141" s="44">
        <v>1.06</v>
      </c>
      <c r="Q141" s="44">
        <v>0.77</v>
      </c>
      <c r="R141" s="44">
        <v>0.51</v>
      </c>
      <c r="S141" s="44">
        <v>0.41</v>
      </c>
      <c r="T141" s="44">
        <v>0</v>
      </c>
      <c r="U141" s="44">
        <v>0</v>
      </c>
      <c r="V141" s="44">
        <v>0</v>
      </c>
      <c r="W141" s="44">
        <v>0</v>
      </c>
      <c r="X141" s="44">
        <v>0</v>
      </c>
      <c r="Y141" s="44">
        <v>0</v>
      </c>
      <c r="Z141" s="44">
        <v>0</v>
      </c>
      <c r="AA141" s="44">
        <v>0</v>
      </c>
      <c r="AB141" s="44">
        <v>0</v>
      </c>
      <c r="AC141" s="44">
        <v>0</v>
      </c>
      <c r="AD141" s="44">
        <v>0</v>
      </c>
      <c r="AE141" s="44">
        <v>0</v>
      </c>
      <c r="AF141" s="44">
        <v>0</v>
      </c>
      <c r="AG141" s="44">
        <v>0</v>
      </c>
      <c r="AH141" s="44">
        <v>0</v>
      </c>
      <c r="AI141" s="44">
        <v>0</v>
      </c>
      <c r="AJ141" s="44">
        <v>0</v>
      </c>
      <c r="AK141" s="44">
        <v>0</v>
      </c>
      <c r="AL141" s="44">
        <v>0</v>
      </c>
      <c r="AM141" s="22" t="str">
        <f t="shared" si="6"/>
        <v>SUBS - UK</v>
      </c>
      <c r="AN141" s="333" t="s">
        <v>543</v>
      </c>
      <c r="AP141" s="471"/>
      <c r="AQ141" s="11"/>
      <c r="AR141" s="11"/>
      <c r="AS141" s="354"/>
      <c r="AU141" s="406"/>
      <c r="AV141" s="55"/>
      <c r="AW141" s="333"/>
      <c r="AX141" s="406"/>
      <c r="AY141" s="406"/>
      <c r="AZ141" s="538"/>
    </row>
    <row r="142" spans="1:52">
      <c r="A142" s="5"/>
      <c r="B142" s="44" t="s">
        <v>3369</v>
      </c>
      <c r="C142" s="44" t="s">
        <v>1281</v>
      </c>
      <c r="D142" s="44" t="s">
        <v>3738</v>
      </c>
      <c r="E142" s="44" t="s">
        <v>1927</v>
      </c>
      <c r="F142" s="44" t="s">
        <v>2960</v>
      </c>
      <c r="G142" s="44" t="s">
        <v>1929</v>
      </c>
      <c r="H142" s="44" t="s">
        <v>116</v>
      </c>
      <c r="I142" s="44" t="s">
        <v>2600</v>
      </c>
      <c r="J142" s="328">
        <v>1</v>
      </c>
      <c r="K142" s="44">
        <v>11.4</v>
      </c>
      <c r="L142" s="44">
        <v>7.26</v>
      </c>
      <c r="M142" s="44">
        <v>6.35</v>
      </c>
      <c r="N142" s="44">
        <v>3.87</v>
      </c>
      <c r="O142" s="44">
        <v>3.02</v>
      </c>
      <c r="P142" s="44">
        <v>2.4</v>
      </c>
      <c r="Q142" s="44">
        <v>1.56</v>
      </c>
      <c r="R142" s="44">
        <v>1.74</v>
      </c>
      <c r="S142" s="44">
        <v>1.37</v>
      </c>
      <c r="T142" s="44">
        <v>0.65</v>
      </c>
      <c r="U142" s="44">
        <v>1.36</v>
      </c>
      <c r="V142" s="44">
        <v>0.88</v>
      </c>
      <c r="W142" s="44">
        <v>0.87</v>
      </c>
      <c r="X142" s="44">
        <v>0.93</v>
      </c>
      <c r="Y142" s="44">
        <v>0.67</v>
      </c>
      <c r="Z142" s="44">
        <v>0.01</v>
      </c>
      <c r="AA142" s="44">
        <v>0.01</v>
      </c>
      <c r="AB142" s="44">
        <v>0.01</v>
      </c>
      <c r="AC142" s="44">
        <v>0.01</v>
      </c>
      <c r="AD142" s="44">
        <v>0.01</v>
      </c>
      <c r="AE142" s="44">
        <v>0.01</v>
      </c>
      <c r="AF142" s="44">
        <v>0</v>
      </c>
      <c r="AG142" s="44">
        <v>0</v>
      </c>
      <c r="AH142" s="44">
        <v>0</v>
      </c>
      <c r="AI142" s="44">
        <v>0</v>
      </c>
      <c r="AJ142" s="44">
        <v>0</v>
      </c>
      <c r="AK142" s="44">
        <v>0</v>
      </c>
      <c r="AL142" s="44">
        <v>0</v>
      </c>
      <c r="AM142" s="22" t="str">
        <f t="shared" si="6"/>
        <v>SUBS - UK</v>
      </c>
      <c r="AN142" s="333" t="s">
        <v>543</v>
      </c>
      <c r="AP142" s="471"/>
      <c r="AQ142" s="11"/>
      <c r="AR142" s="11"/>
      <c r="AS142" s="354"/>
      <c r="AU142" s="406"/>
      <c r="AV142" s="55"/>
      <c r="AW142" s="333"/>
      <c r="AX142" s="406"/>
      <c r="AY142" s="406"/>
      <c r="AZ142" s="538"/>
    </row>
    <row r="143" spans="1:52">
      <c r="A143" s="5"/>
      <c r="B143" s="44" t="s">
        <v>3369</v>
      </c>
      <c r="C143" s="44" t="s">
        <v>1281</v>
      </c>
      <c r="D143" s="44" t="s">
        <v>1125</v>
      </c>
      <c r="E143" s="44" t="s">
        <v>1927</v>
      </c>
      <c r="F143" s="44" t="s">
        <v>2960</v>
      </c>
      <c r="G143" s="44" t="s">
        <v>3374</v>
      </c>
      <c r="H143" s="44" t="s">
        <v>116</v>
      </c>
      <c r="I143" s="44" t="s">
        <v>2600</v>
      </c>
      <c r="J143" s="328">
        <v>28.601500000000001</v>
      </c>
      <c r="K143" s="44">
        <v>0</v>
      </c>
      <c r="L143" s="44">
        <v>0</v>
      </c>
      <c r="M143" s="44">
        <v>3.56</v>
      </c>
      <c r="N143" s="44">
        <v>6.61</v>
      </c>
      <c r="O143" s="44">
        <v>8.36</v>
      </c>
      <c r="P143" s="44">
        <v>12.44</v>
      </c>
      <c r="Q143" s="44">
        <v>14.57</v>
      </c>
      <c r="R143" s="44">
        <v>11.15</v>
      </c>
      <c r="S143" s="44">
        <v>8.48</v>
      </c>
      <c r="T143" s="44">
        <v>5.07</v>
      </c>
      <c r="U143" s="44">
        <v>2.97</v>
      </c>
      <c r="V143" s="44">
        <v>4.53</v>
      </c>
      <c r="W143" s="44">
        <v>4.8</v>
      </c>
      <c r="X143" s="44">
        <v>5.79</v>
      </c>
      <c r="Y143" s="44">
        <v>5.7</v>
      </c>
      <c r="Z143" s="44">
        <v>11.44</v>
      </c>
      <c r="AA143" s="44">
        <v>25.74</v>
      </c>
      <c r="AB143" s="44">
        <v>30.89</v>
      </c>
      <c r="AC143" s="44">
        <v>37.18</v>
      </c>
      <c r="AD143" s="44">
        <v>32.89</v>
      </c>
      <c r="AE143" s="44">
        <v>31.46</v>
      </c>
      <c r="AF143" s="44">
        <v>30.6</v>
      </c>
      <c r="AG143" s="44">
        <v>38.47</v>
      </c>
      <c r="AH143" s="44">
        <v>41.76</v>
      </c>
      <c r="AI143" s="44">
        <v>43.42</v>
      </c>
      <c r="AJ143" s="44">
        <v>41.53</v>
      </c>
      <c r="AK143" s="44">
        <v>39.700000000000003</v>
      </c>
      <c r="AL143" s="44">
        <v>36.18</v>
      </c>
      <c r="AM143" s="22" t="str">
        <f t="shared" si="6"/>
        <v>SUBS - UK</v>
      </c>
      <c r="AN143" s="333" t="s">
        <v>543</v>
      </c>
      <c r="AP143" s="471"/>
      <c r="AQ143" s="11"/>
      <c r="AR143" s="11"/>
      <c r="AS143" s="354"/>
      <c r="AU143" s="406"/>
      <c r="AV143" s="55"/>
      <c r="AW143" s="333"/>
      <c r="AX143" s="406"/>
      <c r="AY143" s="406"/>
      <c r="AZ143" s="538"/>
    </row>
    <row r="144" spans="1:52">
      <c r="A144" s="5"/>
      <c r="B144" s="44" t="s">
        <v>3369</v>
      </c>
      <c r="C144" s="44" t="s">
        <v>1281</v>
      </c>
      <c r="D144" s="44" t="s">
        <v>682</v>
      </c>
      <c r="E144" s="44" t="s">
        <v>2970</v>
      </c>
      <c r="F144" s="44" t="s">
        <v>2960</v>
      </c>
      <c r="G144" s="44" t="s">
        <v>1931</v>
      </c>
      <c r="H144" s="44" t="s">
        <v>116</v>
      </c>
      <c r="I144" s="44" t="s">
        <v>2602</v>
      </c>
      <c r="J144" s="328">
        <v>32</v>
      </c>
      <c r="K144" s="44">
        <v>0</v>
      </c>
      <c r="L144" s="44">
        <v>0</v>
      </c>
      <c r="M144" s="44">
        <v>0</v>
      </c>
      <c r="N144" s="44">
        <v>0</v>
      </c>
      <c r="O144" s="44">
        <v>0</v>
      </c>
      <c r="P144" s="44">
        <v>0</v>
      </c>
      <c r="Q144" s="44">
        <v>0</v>
      </c>
      <c r="R144" s="44">
        <v>0</v>
      </c>
      <c r="S144" s="44">
        <v>0</v>
      </c>
      <c r="T144" s="44">
        <v>0</v>
      </c>
      <c r="U144" s="44">
        <v>0</v>
      </c>
      <c r="V144" s="44">
        <v>0</v>
      </c>
      <c r="W144" s="44">
        <v>0</v>
      </c>
      <c r="X144" s="44">
        <v>0</v>
      </c>
      <c r="Y144" s="44">
        <v>0</v>
      </c>
      <c r="Z144" s="44">
        <v>0</v>
      </c>
      <c r="AA144" s="44">
        <v>0.64</v>
      </c>
      <c r="AB144" s="44">
        <v>2.56</v>
      </c>
      <c r="AC144" s="44">
        <v>3.2</v>
      </c>
      <c r="AD144" s="44">
        <v>3.2</v>
      </c>
      <c r="AE144" s="44">
        <v>3.2</v>
      </c>
      <c r="AF144" s="44">
        <v>2.56</v>
      </c>
      <c r="AG144" s="44">
        <v>2.0499999999999998</v>
      </c>
      <c r="AH144" s="44">
        <v>1.63</v>
      </c>
      <c r="AI144" s="44">
        <v>1.31</v>
      </c>
      <c r="AJ144" s="44">
        <v>1.1200000000000001</v>
      </c>
      <c r="AK144" s="44">
        <v>0.96</v>
      </c>
      <c r="AL144" s="44">
        <v>0.8</v>
      </c>
      <c r="AM144" s="22" t="str">
        <f t="shared" si="6"/>
        <v>SUBS - UK</v>
      </c>
      <c r="AN144" s="333" t="s">
        <v>543</v>
      </c>
      <c r="AP144" s="471"/>
      <c r="AQ144" s="11"/>
      <c r="AR144" s="11"/>
      <c r="AS144" s="354"/>
      <c r="AU144" s="406"/>
      <c r="AV144" s="55"/>
      <c r="AW144" s="333"/>
      <c r="AX144" s="406"/>
      <c r="AY144" s="406"/>
      <c r="AZ144" s="538"/>
    </row>
    <row r="145" spans="1:52">
      <c r="A145" s="5"/>
      <c r="B145" s="44" t="s">
        <v>3369</v>
      </c>
      <c r="C145" s="44" t="s">
        <v>1281</v>
      </c>
      <c r="D145" s="44" t="s">
        <v>1126</v>
      </c>
      <c r="E145" s="44" t="s">
        <v>1927</v>
      </c>
      <c r="F145" s="44" t="s">
        <v>2960</v>
      </c>
      <c r="G145" s="44" t="s">
        <v>3374</v>
      </c>
      <c r="H145" s="44" t="s">
        <v>1930</v>
      </c>
      <c r="I145" s="44" t="s">
        <v>2571</v>
      </c>
      <c r="J145" s="328">
        <v>100</v>
      </c>
      <c r="K145" s="44">
        <v>2.84</v>
      </c>
      <c r="L145" s="44">
        <v>2.38</v>
      </c>
      <c r="M145" s="44">
        <v>2.31</v>
      </c>
      <c r="N145" s="44">
        <v>0.59</v>
      </c>
      <c r="O145" s="44">
        <v>0.71</v>
      </c>
      <c r="P145" s="44">
        <v>0.85</v>
      </c>
      <c r="Q145" s="44">
        <v>1.2</v>
      </c>
      <c r="R145" s="44">
        <v>1.03</v>
      </c>
      <c r="S145" s="44">
        <v>0.26</v>
      </c>
      <c r="T145" s="44">
        <v>0</v>
      </c>
      <c r="U145" s="44">
        <v>0</v>
      </c>
      <c r="V145" s="44">
        <v>0</v>
      </c>
      <c r="W145" s="44">
        <v>0</v>
      </c>
      <c r="X145" s="44">
        <v>7.0000000000000007E-2</v>
      </c>
      <c r="Y145" s="44">
        <v>1.18</v>
      </c>
      <c r="Z145" s="44">
        <v>1</v>
      </c>
      <c r="AA145" s="44">
        <v>0.9</v>
      </c>
      <c r="AB145" s="44">
        <v>0.7</v>
      </c>
      <c r="AC145" s="44">
        <v>0.6</v>
      </c>
      <c r="AD145" s="44">
        <v>0.5</v>
      </c>
      <c r="AE145" s="44">
        <v>0</v>
      </c>
      <c r="AF145" s="44">
        <v>0</v>
      </c>
      <c r="AG145" s="44">
        <v>0</v>
      </c>
      <c r="AH145" s="44">
        <v>0</v>
      </c>
      <c r="AI145" s="44">
        <v>0</v>
      </c>
      <c r="AJ145" s="44">
        <v>0</v>
      </c>
      <c r="AK145" s="44">
        <v>0</v>
      </c>
      <c r="AL145" s="44">
        <v>0</v>
      </c>
      <c r="AM145" s="22" t="str">
        <f t="shared" si="6"/>
        <v>SUBS - UK</v>
      </c>
      <c r="AN145" s="333" t="s">
        <v>543</v>
      </c>
      <c r="AP145" s="471"/>
      <c r="AQ145" s="11"/>
      <c r="AR145" s="11"/>
      <c r="AS145" s="354"/>
      <c r="AU145" s="406"/>
      <c r="AV145" s="55"/>
      <c r="AW145" s="333"/>
      <c r="AX145" s="406"/>
      <c r="AY145" s="406"/>
      <c r="AZ145" s="538"/>
    </row>
    <row r="146" spans="1:52">
      <c r="A146" s="5"/>
      <c r="B146" s="44" t="s">
        <v>3369</v>
      </c>
      <c r="C146" s="44" t="s">
        <v>1281</v>
      </c>
      <c r="D146" s="44" t="s">
        <v>2931</v>
      </c>
      <c r="E146" s="44" t="s">
        <v>1927</v>
      </c>
      <c r="F146" s="44" t="s">
        <v>2960</v>
      </c>
      <c r="G146" s="44" t="s">
        <v>1929</v>
      </c>
      <c r="H146" s="44" t="s">
        <v>116</v>
      </c>
      <c r="I146" s="44" t="s">
        <v>2571</v>
      </c>
      <c r="J146" s="328">
        <v>88.7</v>
      </c>
      <c r="K146" s="44">
        <v>0</v>
      </c>
      <c r="L146" s="44">
        <v>0</v>
      </c>
      <c r="M146" s="44">
        <v>0</v>
      </c>
      <c r="N146" s="44">
        <v>0</v>
      </c>
      <c r="O146" s="44">
        <v>0</v>
      </c>
      <c r="P146" s="44">
        <v>0</v>
      </c>
      <c r="Q146" s="44">
        <v>0</v>
      </c>
      <c r="R146" s="44">
        <v>0</v>
      </c>
      <c r="S146" s="44">
        <v>0</v>
      </c>
      <c r="T146" s="44">
        <v>1.24</v>
      </c>
      <c r="U146" s="44">
        <v>0</v>
      </c>
      <c r="V146" s="44">
        <v>0</v>
      </c>
      <c r="W146" s="44">
        <v>0</v>
      </c>
      <c r="X146" s="44">
        <v>0</v>
      </c>
      <c r="Y146" s="44">
        <v>0</v>
      </c>
      <c r="Z146" s="44">
        <v>0</v>
      </c>
      <c r="AA146" s="44">
        <v>0</v>
      </c>
      <c r="AB146" s="44">
        <v>0</v>
      </c>
      <c r="AC146" s="44">
        <v>0</v>
      </c>
      <c r="AD146" s="44">
        <v>0</v>
      </c>
      <c r="AE146" s="44">
        <v>0</v>
      </c>
      <c r="AF146" s="44">
        <v>0</v>
      </c>
      <c r="AG146" s="44">
        <v>0</v>
      </c>
      <c r="AH146" s="44">
        <v>0</v>
      </c>
      <c r="AI146" s="44">
        <v>0</v>
      </c>
      <c r="AJ146" s="44">
        <v>0</v>
      </c>
      <c r="AK146" s="44">
        <v>0</v>
      </c>
      <c r="AL146" s="44">
        <v>0</v>
      </c>
      <c r="AM146" s="22" t="str">
        <f t="shared" si="6"/>
        <v>SUBS - UK</v>
      </c>
      <c r="AN146" s="333" t="s">
        <v>543</v>
      </c>
      <c r="AP146" s="471"/>
      <c r="AQ146" s="11"/>
      <c r="AR146" s="11"/>
      <c r="AS146" s="354"/>
      <c r="AU146" s="406"/>
      <c r="AV146" s="55"/>
      <c r="AW146" s="333"/>
      <c r="AX146" s="406"/>
      <c r="AY146" s="406"/>
      <c r="AZ146" s="538"/>
    </row>
    <row r="147" spans="1:52">
      <c r="A147" s="5"/>
      <c r="B147" s="44" t="s">
        <v>3369</v>
      </c>
      <c r="C147" s="44" t="s">
        <v>1281</v>
      </c>
      <c r="D147" s="44" t="s">
        <v>1127</v>
      </c>
      <c r="E147" s="44" t="s">
        <v>1927</v>
      </c>
      <c r="F147" s="44" t="s">
        <v>2960</v>
      </c>
      <c r="G147" s="44" t="s">
        <v>1929</v>
      </c>
      <c r="H147" s="44" t="s">
        <v>116</v>
      </c>
      <c r="I147" s="44" t="s">
        <v>2600</v>
      </c>
      <c r="J147" s="328">
        <v>18.2</v>
      </c>
      <c r="K147" s="44">
        <v>0.51</v>
      </c>
      <c r="L147" s="44">
        <v>0.33</v>
      </c>
      <c r="M147" s="44">
        <v>0.16</v>
      </c>
      <c r="N147" s="44">
        <v>0.25</v>
      </c>
      <c r="O147" s="44">
        <v>0.13</v>
      </c>
      <c r="P147" s="44">
        <v>0</v>
      </c>
      <c r="Q147" s="44">
        <v>0</v>
      </c>
      <c r="R147" s="44">
        <v>0</v>
      </c>
      <c r="S147" s="44">
        <v>0</v>
      </c>
      <c r="T147" s="44">
        <v>0</v>
      </c>
      <c r="U147" s="44">
        <v>0</v>
      </c>
      <c r="V147" s="44">
        <v>0</v>
      </c>
      <c r="W147" s="44">
        <v>0</v>
      </c>
      <c r="X147" s="44">
        <v>0</v>
      </c>
      <c r="Y147" s="44">
        <v>0</v>
      </c>
      <c r="Z147" s="44">
        <v>0</v>
      </c>
      <c r="AA147" s="44">
        <v>0</v>
      </c>
      <c r="AB147" s="44">
        <v>0</v>
      </c>
      <c r="AC147" s="44">
        <v>0</v>
      </c>
      <c r="AD147" s="44">
        <v>0</v>
      </c>
      <c r="AE147" s="44">
        <v>0</v>
      </c>
      <c r="AF147" s="44">
        <v>0</v>
      </c>
      <c r="AG147" s="44">
        <v>0</v>
      </c>
      <c r="AH147" s="44">
        <v>0</v>
      </c>
      <c r="AI147" s="44">
        <v>0</v>
      </c>
      <c r="AJ147" s="44">
        <v>0</v>
      </c>
      <c r="AK147" s="44">
        <v>0</v>
      </c>
      <c r="AL147" s="44">
        <v>0</v>
      </c>
      <c r="AM147" s="22" t="str">
        <f t="shared" si="6"/>
        <v>SUBS - UK</v>
      </c>
      <c r="AN147" s="333" t="s">
        <v>543</v>
      </c>
      <c r="AP147" s="471"/>
      <c r="AQ147" s="11"/>
      <c r="AR147" s="11"/>
      <c r="AS147" s="354"/>
      <c r="AU147" s="406"/>
      <c r="AV147" s="55"/>
      <c r="AW147" s="333"/>
      <c r="AX147" s="406"/>
      <c r="AY147" s="406"/>
      <c r="AZ147" s="538"/>
    </row>
    <row r="148" spans="1:52">
      <c r="A148" s="5"/>
      <c r="B148" s="44" t="s">
        <v>3369</v>
      </c>
      <c r="C148" s="44" t="s">
        <v>1281</v>
      </c>
      <c r="D148" s="44" t="s">
        <v>1128</v>
      </c>
      <c r="E148" s="44" t="s">
        <v>1927</v>
      </c>
      <c r="F148" s="44" t="s">
        <v>2960</v>
      </c>
      <c r="G148" s="44" t="s">
        <v>1929</v>
      </c>
      <c r="H148" s="44" t="s">
        <v>116</v>
      </c>
      <c r="I148" s="44" t="s">
        <v>2602</v>
      </c>
      <c r="J148" s="328">
        <v>18</v>
      </c>
      <c r="K148" s="44">
        <v>9.1199999999999992</v>
      </c>
      <c r="L148" s="44">
        <v>7.43</v>
      </c>
      <c r="M148" s="44">
        <v>5.82</v>
      </c>
      <c r="N148" s="44">
        <v>3.74</v>
      </c>
      <c r="O148" s="44">
        <v>2.15</v>
      </c>
      <c r="P148" s="44">
        <v>0.62</v>
      </c>
      <c r="Q148" s="44">
        <v>1.38</v>
      </c>
      <c r="R148" s="44">
        <v>0.18</v>
      </c>
      <c r="S148" s="44">
        <v>0.76</v>
      </c>
      <c r="T148" s="44">
        <v>0.97</v>
      </c>
      <c r="U148" s="44">
        <v>0.7</v>
      </c>
      <c r="V148" s="44">
        <v>0</v>
      </c>
      <c r="W148" s="44">
        <v>0</v>
      </c>
      <c r="X148" s="44">
        <v>0</v>
      </c>
      <c r="Y148" s="44">
        <v>0</v>
      </c>
      <c r="Z148" s="44">
        <v>0</v>
      </c>
      <c r="AA148" s="44">
        <v>0</v>
      </c>
      <c r="AB148" s="44">
        <v>0</v>
      </c>
      <c r="AC148" s="44">
        <v>0</v>
      </c>
      <c r="AD148" s="44">
        <v>0</v>
      </c>
      <c r="AE148" s="44">
        <v>0</v>
      </c>
      <c r="AF148" s="44">
        <v>0</v>
      </c>
      <c r="AG148" s="44">
        <v>0</v>
      </c>
      <c r="AH148" s="44">
        <v>0</v>
      </c>
      <c r="AI148" s="44">
        <v>0</v>
      </c>
      <c r="AJ148" s="44">
        <v>0</v>
      </c>
      <c r="AK148" s="44">
        <v>0</v>
      </c>
      <c r="AL148" s="44">
        <v>0</v>
      </c>
      <c r="AM148" s="22" t="str">
        <f t="shared" si="6"/>
        <v>SUBS - UK</v>
      </c>
      <c r="AN148" s="333" t="s">
        <v>543</v>
      </c>
      <c r="AP148" s="471"/>
      <c r="AQ148" s="11"/>
      <c r="AR148" s="11"/>
      <c r="AS148" s="354"/>
      <c r="AU148" s="406"/>
      <c r="AV148" s="55"/>
      <c r="AW148" s="333"/>
      <c r="AX148" s="406"/>
      <c r="AY148" s="406"/>
      <c r="AZ148" s="538"/>
    </row>
    <row r="149" spans="1:52">
      <c r="A149" s="5"/>
      <c r="B149" s="44" t="s">
        <v>3369</v>
      </c>
      <c r="C149" s="44" t="s">
        <v>1281</v>
      </c>
      <c r="D149" s="44" t="s">
        <v>69</v>
      </c>
      <c r="E149" s="44" t="s">
        <v>1927</v>
      </c>
      <c r="F149" s="44" t="s">
        <v>2960</v>
      </c>
      <c r="G149" s="44" t="s">
        <v>1931</v>
      </c>
      <c r="H149" s="44" t="s">
        <v>116</v>
      </c>
      <c r="I149" s="44" t="s">
        <v>2600</v>
      </c>
      <c r="J149" s="328">
        <v>21.14</v>
      </c>
      <c r="K149" s="44">
        <v>1.01</v>
      </c>
      <c r="L149" s="44">
        <v>0.92</v>
      </c>
      <c r="M149" s="44">
        <v>0.68</v>
      </c>
      <c r="N149" s="44">
        <v>0.49</v>
      </c>
      <c r="O149" s="44">
        <v>0.45</v>
      </c>
      <c r="P149" s="44">
        <v>0</v>
      </c>
      <c r="Q149" s="44">
        <v>0</v>
      </c>
      <c r="R149" s="44">
        <v>0</v>
      </c>
      <c r="S149" s="44">
        <v>0</v>
      </c>
      <c r="T149" s="44">
        <v>0</v>
      </c>
      <c r="U149" s="44">
        <v>0</v>
      </c>
      <c r="V149" s="44">
        <v>0</v>
      </c>
      <c r="W149" s="44">
        <v>0</v>
      </c>
      <c r="X149" s="44">
        <v>0</v>
      </c>
      <c r="Y149" s="44">
        <v>0</v>
      </c>
      <c r="Z149" s="44">
        <v>0</v>
      </c>
      <c r="AA149" s="44">
        <v>0</v>
      </c>
      <c r="AB149" s="44">
        <v>0</v>
      </c>
      <c r="AC149" s="44">
        <v>0</v>
      </c>
      <c r="AD149" s="44">
        <v>0</v>
      </c>
      <c r="AE149" s="44">
        <v>0</v>
      </c>
      <c r="AF149" s="44">
        <v>0</v>
      </c>
      <c r="AG149" s="44">
        <v>0</v>
      </c>
      <c r="AH149" s="44">
        <v>0</v>
      </c>
      <c r="AI149" s="44">
        <v>0</v>
      </c>
      <c r="AJ149" s="44">
        <v>0</v>
      </c>
      <c r="AK149" s="44">
        <v>0</v>
      </c>
      <c r="AL149" s="44">
        <v>0</v>
      </c>
      <c r="AM149" s="22" t="str">
        <f t="shared" si="6"/>
        <v>SUBS - UK</v>
      </c>
      <c r="AN149" s="333" t="s">
        <v>543</v>
      </c>
      <c r="AP149" s="471"/>
      <c r="AQ149" s="11"/>
      <c r="AR149" s="11"/>
      <c r="AS149" s="354"/>
      <c r="AU149" s="406"/>
      <c r="AV149" s="55"/>
      <c r="AW149" s="333"/>
      <c r="AX149" s="406"/>
      <c r="AY149" s="406"/>
      <c r="AZ149" s="538"/>
    </row>
    <row r="150" spans="1:52">
      <c r="A150" s="5"/>
      <c r="B150" s="44" t="s">
        <v>3369</v>
      </c>
      <c r="C150" s="44" t="s">
        <v>1281</v>
      </c>
      <c r="D150" s="44" t="s">
        <v>70</v>
      </c>
      <c r="E150" s="44" t="s">
        <v>1927</v>
      </c>
      <c r="F150" s="44" t="s">
        <v>2960</v>
      </c>
      <c r="G150" s="44" t="s">
        <v>3374</v>
      </c>
      <c r="H150" s="44" t="s">
        <v>1930</v>
      </c>
      <c r="I150" s="44" t="s">
        <v>2571</v>
      </c>
      <c r="J150" s="328">
        <v>67</v>
      </c>
      <c r="K150" s="44">
        <v>0</v>
      </c>
      <c r="L150" s="44">
        <v>0</v>
      </c>
      <c r="M150" s="44">
        <v>0.93</v>
      </c>
      <c r="N150" s="44">
        <v>9.4499999999999993</v>
      </c>
      <c r="O150" s="44">
        <v>6.8</v>
      </c>
      <c r="P150" s="44">
        <v>5.43</v>
      </c>
      <c r="Q150" s="44">
        <v>2.95</v>
      </c>
      <c r="R150" s="44">
        <v>2.23</v>
      </c>
      <c r="S150" s="44">
        <v>0.41</v>
      </c>
      <c r="T150" s="44">
        <v>0</v>
      </c>
      <c r="U150" s="44">
        <v>0</v>
      </c>
      <c r="V150" s="44">
        <v>0</v>
      </c>
      <c r="W150" s="44">
        <v>0</v>
      </c>
      <c r="X150" s="44">
        <v>0.41</v>
      </c>
      <c r="Y150" s="44">
        <v>1.04</v>
      </c>
      <c r="Z150" s="44">
        <v>0.98</v>
      </c>
      <c r="AA150" s="44">
        <v>0.88</v>
      </c>
      <c r="AB150" s="44">
        <v>0.79</v>
      </c>
      <c r="AC150" s="44">
        <v>0.71</v>
      </c>
      <c r="AD150" s="44">
        <v>0.64</v>
      </c>
      <c r="AE150" s="44">
        <v>0</v>
      </c>
      <c r="AF150" s="44">
        <v>0</v>
      </c>
      <c r="AG150" s="44">
        <v>0</v>
      </c>
      <c r="AH150" s="44">
        <v>0</v>
      </c>
      <c r="AI150" s="44">
        <v>0</v>
      </c>
      <c r="AJ150" s="44">
        <v>0</v>
      </c>
      <c r="AK150" s="44">
        <v>0</v>
      </c>
      <c r="AL150" s="44">
        <v>0</v>
      </c>
      <c r="AM150" s="22" t="str">
        <f t="shared" si="6"/>
        <v>SUBS - UK</v>
      </c>
      <c r="AN150" s="333" t="s">
        <v>543</v>
      </c>
      <c r="AP150" s="471"/>
      <c r="AQ150" s="11"/>
      <c r="AR150" s="11"/>
      <c r="AS150" s="354"/>
      <c r="AU150" s="406"/>
      <c r="AV150" s="55"/>
      <c r="AW150" s="333"/>
      <c r="AX150" s="406"/>
      <c r="AY150" s="406"/>
      <c r="AZ150" s="538"/>
    </row>
    <row r="151" spans="1:52">
      <c r="A151" s="5"/>
      <c r="B151" s="44" t="s">
        <v>3369</v>
      </c>
      <c r="C151" s="44" t="s">
        <v>1281</v>
      </c>
      <c r="D151" s="44" t="s">
        <v>71</v>
      </c>
      <c r="E151" s="44" t="s">
        <v>1927</v>
      </c>
      <c r="F151" s="44" t="s">
        <v>2960</v>
      </c>
      <c r="G151" s="44" t="s">
        <v>1929</v>
      </c>
      <c r="H151" s="44" t="s">
        <v>116</v>
      </c>
      <c r="I151" s="44" t="s">
        <v>2600</v>
      </c>
      <c r="J151" s="328">
        <v>18.2</v>
      </c>
      <c r="K151" s="44">
        <v>1.69</v>
      </c>
      <c r="L151" s="44">
        <v>1.56</v>
      </c>
      <c r="M151" s="44">
        <v>1.1299999999999999</v>
      </c>
      <c r="N151" s="44">
        <v>1.33</v>
      </c>
      <c r="O151" s="44">
        <v>0.74</v>
      </c>
      <c r="P151" s="44">
        <v>0</v>
      </c>
      <c r="Q151" s="44">
        <v>0</v>
      </c>
      <c r="R151" s="44">
        <v>0</v>
      </c>
      <c r="S151" s="44">
        <v>0</v>
      </c>
      <c r="T151" s="44">
        <v>0</v>
      </c>
      <c r="U151" s="44">
        <v>0</v>
      </c>
      <c r="V151" s="44">
        <v>0</v>
      </c>
      <c r="W151" s="44">
        <v>0</v>
      </c>
      <c r="X151" s="44">
        <v>0</v>
      </c>
      <c r="Y151" s="44">
        <v>0</v>
      </c>
      <c r="Z151" s="44">
        <v>0</v>
      </c>
      <c r="AA151" s="44">
        <v>0</v>
      </c>
      <c r="AB151" s="44">
        <v>0</v>
      </c>
      <c r="AC151" s="44">
        <v>0</v>
      </c>
      <c r="AD151" s="44">
        <v>0</v>
      </c>
      <c r="AE151" s="44">
        <v>0</v>
      </c>
      <c r="AF151" s="44">
        <v>0</v>
      </c>
      <c r="AG151" s="44">
        <v>0</v>
      </c>
      <c r="AH151" s="44">
        <v>0</v>
      </c>
      <c r="AI151" s="44">
        <v>0</v>
      </c>
      <c r="AJ151" s="44">
        <v>0</v>
      </c>
      <c r="AK151" s="44">
        <v>0</v>
      </c>
      <c r="AL151" s="44">
        <v>0</v>
      </c>
      <c r="AM151" s="22" t="str">
        <f t="shared" si="6"/>
        <v>SUBS - UK</v>
      </c>
      <c r="AN151" s="333" t="s">
        <v>543</v>
      </c>
      <c r="AP151" s="471"/>
      <c r="AQ151" s="11"/>
      <c r="AR151" s="11"/>
      <c r="AS151" s="354"/>
      <c r="AU151" s="406"/>
      <c r="AV151" s="55"/>
      <c r="AW151" s="333"/>
      <c r="AX151" s="406"/>
      <c r="AY151" s="406"/>
      <c r="AZ151" s="538"/>
    </row>
    <row r="152" spans="1:52">
      <c r="A152" s="5"/>
      <c r="B152" s="44" t="s">
        <v>3369</v>
      </c>
      <c r="C152" s="44" t="s">
        <v>1281</v>
      </c>
      <c r="D152" s="44" t="s">
        <v>72</v>
      </c>
      <c r="E152" s="44" t="s">
        <v>1927</v>
      </c>
      <c r="F152" s="44" t="s">
        <v>2973</v>
      </c>
      <c r="G152" s="44" t="s">
        <v>3374</v>
      </c>
      <c r="H152" s="44" t="s">
        <v>116</v>
      </c>
      <c r="I152" s="44" t="s">
        <v>2971</v>
      </c>
      <c r="J152" s="328">
        <v>72</v>
      </c>
      <c r="K152" s="44">
        <v>47.82</v>
      </c>
      <c r="L152" s="44">
        <v>41.86</v>
      </c>
      <c r="M152" s="44">
        <v>35.35</v>
      </c>
      <c r="N152" s="44">
        <v>34.369999999999997</v>
      </c>
      <c r="O152" s="44">
        <v>33.880000000000003</v>
      </c>
      <c r="P152" s="44">
        <v>25.18</v>
      </c>
      <c r="Q152" s="44">
        <v>26.5</v>
      </c>
      <c r="R152" s="44">
        <v>20.079999999999998</v>
      </c>
      <c r="S152" s="44">
        <v>23.33</v>
      </c>
      <c r="T152" s="44">
        <v>13.03</v>
      </c>
      <c r="U152" s="44">
        <v>16.059999999999999</v>
      </c>
      <c r="V152" s="44">
        <v>10.4</v>
      </c>
      <c r="W152" s="44">
        <v>14.01</v>
      </c>
      <c r="X152" s="44">
        <v>16.14</v>
      </c>
      <c r="Y152" s="44">
        <v>13.64</v>
      </c>
      <c r="Z152" s="44">
        <v>13.68</v>
      </c>
      <c r="AA152" s="44">
        <v>12.31</v>
      </c>
      <c r="AB152" s="44">
        <v>11.09</v>
      </c>
      <c r="AC152" s="44">
        <v>10.01</v>
      </c>
      <c r="AD152" s="44">
        <v>8.48</v>
      </c>
      <c r="AE152" s="44">
        <v>7.21</v>
      </c>
      <c r="AF152" s="44">
        <v>6.13</v>
      </c>
      <c r="AG152" s="44">
        <v>0</v>
      </c>
      <c r="AH152" s="44">
        <v>0</v>
      </c>
      <c r="AI152" s="44">
        <v>0</v>
      </c>
      <c r="AJ152" s="44">
        <v>0</v>
      </c>
      <c r="AK152" s="44">
        <v>0</v>
      </c>
      <c r="AL152" s="44">
        <v>0</v>
      </c>
      <c r="AM152" s="22" t="str">
        <f t="shared" si="6"/>
        <v>SUBS - UK</v>
      </c>
      <c r="AN152" s="333" t="s">
        <v>543</v>
      </c>
      <c r="AP152" s="471"/>
      <c r="AQ152" s="11"/>
      <c r="AR152" s="11"/>
      <c r="AS152" s="354"/>
      <c r="AU152" s="406"/>
      <c r="AV152" s="55"/>
      <c r="AW152" s="333"/>
      <c r="AX152" s="406"/>
      <c r="AY152" s="406"/>
      <c r="AZ152" s="538"/>
    </row>
    <row r="153" spans="1:52">
      <c r="A153" s="5"/>
      <c r="B153" s="44" t="s">
        <v>3369</v>
      </c>
      <c r="C153" s="44" t="s">
        <v>1281</v>
      </c>
      <c r="D153" s="44" t="s">
        <v>73</v>
      </c>
      <c r="E153" s="44" t="s">
        <v>1927</v>
      </c>
      <c r="F153" s="44" t="s">
        <v>2960</v>
      </c>
      <c r="G153" s="44" t="s">
        <v>3374</v>
      </c>
      <c r="H153" s="44" t="s">
        <v>1930</v>
      </c>
      <c r="I153" s="44" t="s">
        <v>2571</v>
      </c>
      <c r="J153" s="328">
        <v>43</v>
      </c>
      <c r="K153" s="44">
        <v>5.5</v>
      </c>
      <c r="L153" s="44">
        <v>4.42</v>
      </c>
      <c r="M153" s="44">
        <v>3.73</v>
      </c>
      <c r="N153" s="44">
        <v>3.62</v>
      </c>
      <c r="O153" s="44">
        <v>2.39</v>
      </c>
      <c r="P153" s="44">
        <v>1.67</v>
      </c>
      <c r="Q153" s="44">
        <v>2.79</v>
      </c>
      <c r="R153" s="44">
        <v>2.12</v>
      </c>
      <c r="S153" s="44">
        <v>2.46</v>
      </c>
      <c r="T153" s="44">
        <v>1.38</v>
      </c>
      <c r="U153" s="44">
        <v>1.69</v>
      </c>
      <c r="V153" s="44">
        <v>1.1000000000000001</v>
      </c>
      <c r="W153" s="44">
        <v>1.47</v>
      </c>
      <c r="X153" s="44">
        <v>1.72</v>
      </c>
      <c r="Y153" s="44">
        <v>1.42</v>
      </c>
      <c r="Z153" s="44">
        <v>1.29</v>
      </c>
      <c r="AA153" s="44">
        <v>1.1599999999999999</v>
      </c>
      <c r="AB153" s="44">
        <v>1.03</v>
      </c>
      <c r="AC153" s="44">
        <v>0.95</v>
      </c>
      <c r="AD153" s="44">
        <v>0.8</v>
      </c>
      <c r="AE153" s="44">
        <v>0.68</v>
      </c>
      <c r="AF153" s="44">
        <v>0.57999999999999996</v>
      </c>
      <c r="AG153" s="44">
        <v>0</v>
      </c>
      <c r="AH153" s="44">
        <v>0</v>
      </c>
      <c r="AI153" s="44">
        <v>0</v>
      </c>
      <c r="AJ153" s="44">
        <v>0</v>
      </c>
      <c r="AK153" s="44">
        <v>0</v>
      </c>
      <c r="AL153" s="44">
        <v>0</v>
      </c>
      <c r="AM153" s="22" t="str">
        <f t="shared" si="6"/>
        <v>SUBS - UK</v>
      </c>
      <c r="AN153" s="333" t="s">
        <v>543</v>
      </c>
      <c r="AP153" s="471"/>
      <c r="AQ153" s="11"/>
      <c r="AR153" s="11"/>
      <c r="AS153" s="354"/>
      <c r="AU153" s="406"/>
      <c r="AV153" s="55"/>
      <c r="AW153" s="333"/>
      <c r="AX153" s="406"/>
      <c r="AY153" s="406"/>
      <c r="AZ153" s="538"/>
    </row>
    <row r="154" spans="1:52">
      <c r="A154" s="5"/>
      <c r="B154" s="44" t="s">
        <v>3369</v>
      </c>
      <c r="C154" s="44" t="s">
        <v>1281</v>
      </c>
      <c r="D154" s="44" t="s">
        <v>2598</v>
      </c>
      <c r="E154" s="44" t="s">
        <v>1927</v>
      </c>
      <c r="F154" s="44" t="s">
        <v>2960</v>
      </c>
      <c r="G154" s="44" t="s">
        <v>3374</v>
      </c>
      <c r="H154" s="44" t="s">
        <v>1930</v>
      </c>
      <c r="I154" s="44" t="s">
        <v>2603</v>
      </c>
      <c r="J154" s="328">
        <v>70</v>
      </c>
      <c r="K154" s="44">
        <v>34.29</v>
      </c>
      <c r="L154" s="44">
        <v>27.34</v>
      </c>
      <c r="M154" s="44">
        <v>22.19</v>
      </c>
      <c r="N154" s="44">
        <v>18.64</v>
      </c>
      <c r="O154" s="44">
        <v>13.57</v>
      </c>
      <c r="P154" s="44">
        <v>11.71</v>
      </c>
      <c r="Q154" s="44">
        <v>11.7</v>
      </c>
      <c r="R154" s="44">
        <v>11.91</v>
      </c>
      <c r="S154" s="44">
        <v>6.9</v>
      </c>
      <c r="T154" s="44">
        <v>0</v>
      </c>
      <c r="U154" s="44">
        <v>0</v>
      </c>
      <c r="V154" s="44">
        <v>0</v>
      </c>
      <c r="W154" s="44">
        <v>0</v>
      </c>
      <c r="X154" s="44">
        <v>0</v>
      </c>
      <c r="Y154" s="44">
        <v>0</v>
      </c>
      <c r="Z154" s="44">
        <v>0</v>
      </c>
      <c r="AA154" s="44">
        <v>0</v>
      </c>
      <c r="AB154" s="44">
        <v>0</v>
      </c>
      <c r="AC154" s="44">
        <v>0</v>
      </c>
      <c r="AD154" s="44">
        <v>0</v>
      </c>
      <c r="AE154" s="44">
        <v>0</v>
      </c>
      <c r="AF154" s="44">
        <v>0</v>
      </c>
      <c r="AG154" s="44">
        <v>0</v>
      </c>
      <c r="AH154" s="44">
        <v>0</v>
      </c>
      <c r="AI154" s="44">
        <v>0</v>
      </c>
      <c r="AJ154" s="44">
        <v>0</v>
      </c>
      <c r="AK154" s="44">
        <v>0</v>
      </c>
      <c r="AL154" s="44">
        <v>0</v>
      </c>
      <c r="AM154" s="22" t="str">
        <f t="shared" si="6"/>
        <v>SUBS - UK</v>
      </c>
      <c r="AN154" s="333" t="s">
        <v>543</v>
      </c>
      <c r="AP154" s="471"/>
      <c r="AQ154" s="11"/>
      <c r="AR154" s="11"/>
      <c r="AS154" s="354"/>
      <c r="AU154" s="406"/>
      <c r="AV154" s="55"/>
      <c r="AW154" s="333"/>
      <c r="AX154" s="406"/>
      <c r="AY154" s="406"/>
      <c r="AZ154" s="538"/>
    </row>
    <row r="155" spans="1:52">
      <c r="A155" s="5"/>
      <c r="B155" s="44" t="s">
        <v>3369</v>
      </c>
      <c r="C155" s="44" t="s">
        <v>1281</v>
      </c>
      <c r="D155" s="44" t="s">
        <v>74</v>
      </c>
      <c r="E155" s="44" t="s">
        <v>1927</v>
      </c>
      <c r="F155" s="44" t="s">
        <v>2960</v>
      </c>
      <c r="G155" s="44" t="s">
        <v>1929</v>
      </c>
      <c r="H155" s="44" t="s">
        <v>116</v>
      </c>
      <c r="I155" s="44" t="s">
        <v>2600</v>
      </c>
      <c r="J155" s="328">
        <v>18.2</v>
      </c>
      <c r="K155" s="44">
        <v>0.61</v>
      </c>
      <c r="L155" s="44">
        <v>0.38</v>
      </c>
      <c r="M155" s="44">
        <v>0.18</v>
      </c>
      <c r="N155" s="44">
        <v>0.09</v>
      </c>
      <c r="O155" s="44">
        <v>0.01</v>
      </c>
      <c r="P155" s="44">
        <v>0</v>
      </c>
      <c r="Q155" s="44">
        <v>0</v>
      </c>
      <c r="R155" s="44">
        <v>0</v>
      </c>
      <c r="S155" s="44">
        <v>0</v>
      </c>
      <c r="T155" s="44">
        <v>0</v>
      </c>
      <c r="U155" s="44">
        <v>0</v>
      </c>
      <c r="V155" s="44">
        <v>0</v>
      </c>
      <c r="W155" s="44">
        <v>0</v>
      </c>
      <c r="X155" s="44">
        <v>0</v>
      </c>
      <c r="Y155" s="44">
        <v>0</v>
      </c>
      <c r="Z155" s="44">
        <v>0</v>
      </c>
      <c r="AA155" s="44">
        <v>0</v>
      </c>
      <c r="AB155" s="44">
        <v>0</v>
      </c>
      <c r="AC155" s="44">
        <v>0</v>
      </c>
      <c r="AD155" s="44">
        <v>0</v>
      </c>
      <c r="AE155" s="44">
        <v>0</v>
      </c>
      <c r="AF155" s="44">
        <v>0</v>
      </c>
      <c r="AG155" s="44">
        <v>0</v>
      </c>
      <c r="AH155" s="44">
        <v>0</v>
      </c>
      <c r="AI155" s="44">
        <v>0</v>
      </c>
      <c r="AJ155" s="44">
        <v>0</v>
      </c>
      <c r="AK155" s="44">
        <v>0</v>
      </c>
      <c r="AL155" s="44">
        <v>0</v>
      </c>
      <c r="AM155" s="22" t="str">
        <f t="shared" si="6"/>
        <v>SUBS - UK</v>
      </c>
      <c r="AN155" s="333" t="s">
        <v>543</v>
      </c>
      <c r="AP155" s="471"/>
      <c r="AQ155" s="11"/>
      <c r="AR155" s="11"/>
      <c r="AS155" s="354"/>
      <c r="AU155" s="406"/>
      <c r="AV155" s="55"/>
      <c r="AW155" s="333"/>
      <c r="AX155" s="406"/>
      <c r="AY155" s="406"/>
      <c r="AZ155" s="538"/>
    </row>
    <row r="156" spans="1:52">
      <c r="A156" s="5"/>
      <c r="B156" s="44" t="s">
        <v>3369</v>
      </c>
      <c r="C156" s="44" t="s">
        <v>1281</v>
      </c>
      <c r="D156" s="44" t="s">
        <v>3560</v>
      </c>
      <c r="E156" s="44" t="s">
        <v>1927</v>
      </c>
      <c r="F156" s="44" t="s">
        <v>2960</v>
      </c>
      <c r="G156" s="44" t="s">
        <v>1932</v>
      </c>
      <c r="H156" s="44" t="s">
        <v>116</v>
      </c>
      <c r="I156" s="44" t="s">
        <v>2571</v>
      </c>
      <c r="J156" s="328">
        <v>34.832999999999998</v>
      </c>
      <c r="K156" s="44">
        <v>0.89</v>
      </c>
      <c r="L156" s="44">
        <v>0.68</v>
      </c>
      <c r="M156" s="44">
        <v>0.73</v>
      </c>
      <c r="N156" s="44">
        <v>0.54</v>
      </c>
      <c r="O156" s="44">
        <v>0.51</v>
      </c>
      <c r="P156" s="44">
        <v>0.42</v>
      </c>
      <c r="Q156" s="44">
        <v>0.27</v>
      </c>
      <c r="R156" s="44">
        <v>0.39</v>
      </c>
      <c r="S156" s="44">
        <v>0.24</v>
      </c>
      <c r="T156" s="44">
        <v>0.13</v>
      </c>
      <c r="U156" s="44">
        <v>0.06</v>
      </c>
      <c r="V156" s="44">
        <v>0.14000000000000001</v>
      </c>
      <c r="W156" s="44">
        <v>0.14000000000000001</v>
      </c>
      <c r="X156" s="44">
        <v>0.24</v>
      </c>
      <c r="Y156" s="44">
        <v>0.26</v>
      </c>
      <c r="Z156" s="44">
        <v>0</v>
      </c>
      <c r="AA156" s="44">
        <v>0</v>
      </c>
      <c r="AB156" s="44">
        <v>0</v>
      </c>
      <c r="AC156" s="44">
        <v>0</v>
      </c>
      <c r="AD156" s="44">
        <v>0</v>
      </c>
      <c r="AE156" s="44">
        <v>0</v>
      </c>
      <c r="AF156" s="44">
        <v>0</v>
      </c>
      <c r="AG156" s="44">
        <v>0</v>
      </c>
      <c r="AH156" s="44">
        <v>0</v>
      </c>
      <c r="AI156" s="44">
        <v>0</v>
      </c>
      <c r="AJ156" s="44">
        <v>0</v>
      </c>
      <c r="AK156" s="44">
        <v>0</v>
      </c>
      <c r="AL156" s="44">
        <v>0</v>
      </c>
      <c r="AM156" s="22" t="str">
        <f t="shared" si="6"/>
        <v>SUBS - UK</v>
      </c>
      <c r="AN156" s="333" t="s">
        <v>543</v>
      </c>
      <c r="AP156" s="471"/>
      <c r="AQ156" s="11"/>
      <c r="AR156" s="11"/>
      <c r="AS156" s="354"/>
      <c r="AU156" s="406"/>
      <c r="AV156" s="55"/>
      <c r="AW156" s="333"/>
      <c r="AX156" s="406"/>
      <c r="AY156" s="406"/>
      <c r="AZ156" s="538"/>
    </row>
    <row r="157" spans="1:52">
      <c r="A157" s="5"/>
      <c r="B157" s="44" t="s">
        <v>3369</v>
      </c>
      <c r="C157" s="44" t="s">
        <v>1281</v>
      </c>
      <c r="D157" s="44" t="s">
        <v>1182</v>
      </c>
      <c r="E157" s="44" t="s">
        <v>1927</v>
      </c>
      <c r="F157" s="44" t="s">
        <v>2960</v>
      </c>
      <c r="G157" s="44" t="s">
        <v>1932</v>
      </c>
      <c r="H157" s="44" t="s">
        <v>116</v>
      </c>
      <c r="I157" s="44" t="s">
        <v>2571</v>
      </c>
      <c r="J157" s="328">
        <v>77.063299999999998</v>
      </c>
      <c r="K157" s="44">
        <v>0</v>
      </c>
      <c r="L157" s="44">
        <v>0</v>
      </c>
      <c r="M157" s="44">
        <v>0</v>
      </c>
      <c r="N157" s="44">
        <v>0</v>
      </c>
      <c r="O157" s="44">
        <v>0</v>
      </c>
      <c r="P157" s="44">
        <v>0</v>
      </c>
      <c r="Q157" s="44">
        <v>0</v>
      </c>
      <c r="R157" s="44">
        <v>0</v>
      </c>
      <c r="S157" s="44">
        <v>0</v>
      </c>
      <c r="T157" s="44">
        <v>0</v>
      </c>
      <c r="U157" s="44">
        <v>0</v>
      </c>
      <c r="V157" s="44">
        <v>0.04</v>
      </c>
      <c r="W157" s="44">
        <v>22.5</v>
      </c>
      <c r="X157" s="44">
        <v>17.28</v>
      </c>
      <c r="Y157" s="44">
        <v>16.66</v>
      </c>
      <c r="Z157" s="44">
        <v>10.02</v>
      </c>
      <c r="AA157" s="44">
        <v>6.94</v>
      </c>
      <c r="AB157" s="44">
        <v>3.85</v>
      </c>
      <c r="AC157" s="44">
        <v>2.31</v>
      </c>
      <c r="AD157" s="44">
        <v>1.54</v>
      </c>
      <c r="AE157" s="44">
        <v>0</v>
      </c>
      <c r="AF157" s="44">
        <v>0</v>
      </c>
      <c r="AG157" s="44">
        <v>0</v>
      </c>
      <c r="AH157" s="44">
        <v>0</v>
      </c>
      <c r="AI157" s="44">
        <v>0</v>
      </c>
      <c r="AJ157" s="44">
        <v>0</v>
      </c>
      <c r="AK157" s="44">
        <v>0</v>
      </c>
      <c r="AL157" s="44">
        <v>0</v>
      </c>
      <c r="AM157" s="22" t="str">
        <f t="shared" si="6"/>
        <v>SUBS - UK</v>
      </c>
      <c r="AN157" s="333" t="s">
        <v>543</v>
      </c>
      <c r="AP157" s="471"/>
      <c r="AQ157" s="11"/>
      <c r="AR157" s="11"/>
      <c r="AS157" s="354"/>
      <c r="AU157" s="406"/>
      <c r="AV157" s="55"/>
      <c r="AW157" s="333"/>
      <c r="AX157" s="406"/>
      <c r="AY157" s="406"/>
      <c r="AZ157" s="538"/>
    </row>
    <row r="158" spans="1:52">
      <c r="A158" s="5"/>
      <c r="B158" s="44" t="s">
        <v>3369</v>
      </c>
      <c r="C158" s="44" t="s">
        <v>1281</v>
      </c>
      <c r="D158" s="44" t="s">
        <v>1183</v>
      </c>
      <c r="E158" s="44" t="s">
        <v>1927</v>
      </c>
      <c r="F158" s="44" t="s">
        <v>2960</v>
      </c>
      <c r="G158" s="44" t="s">
        <v>1931</v>
      </c>
      <c r="H158" s="44" t="s">
        <v>116</v>
      </c>
      <c r="I158" s="44" t="s">
        <v>2600</v>
      </c>
      <c r="J158" s="328">
        <v>22.22</v>
      </c>
      <c r="K158" s="44">
        <v>0.67</v>
      </c>
      <c r="L158" s="44">
        <v>0.67</v>
      </c>
      <c r="M158" s="44">
        <v>0.55000000000000004</v>
      </c>
      <c r="N158" s="44">
        <v>0.54</v>
      </c>
      <c r="O158" s="44">
        <v>0.35</v>
      </c>
      <c r="P158" s="44">
        <v>0</v>
      </c>
      <c r="Q158" s="44">
        <v>0</v>
      </c>
      <c r="R158" s="44">
        <v>0</v>
      </c>
      <c r="S158" s="44">
        <v>0</v>
      </c>
      <c r="T158" s="44">
        <v>0</v>
      </c>
      <c r="U158" s="44">
        <v>0</v>
      </c>
      <c r="V158" s="44">
        <v>0</v>
      </c>
      <c r="W158" s="44">
        <v>0</v>
      </c>
      <c r="X158" s="44">
        <v>0</v>
      </c>
      <c r="Y158" s="44">
        <v>0</v>
      </c>
      <c r="Z158" s="44">
        <v>0</v>
      </c>
      <c r="AA158" s="44">
        <v>0</v>
      </c>
      <c r="AB158" s="44">
        <v>0</v>
      </c>
      <c r="AC158" s="44">
        <v>0</v>
      </c>
      <c r="AD158" s="44">
        <v>0</v>
      </c>
      <c r="AE158" s="44">
        <v>0</v>
      </c>
      <c r="AF158" s="44">
        <v>0</v>
      </c>
      <c r="AG158" s="44">
        <v>0</v>
      </c>
      <c r="AH158" s="44">
        <v>0</v>
      </c>
      <c r="AI158" s="44">
        <v>0</v>
      </c>
      <c r="AJ158" s="44">
        <v>0</v>
      </c>
      <c r="AK158" s="44">
        <v>0</v>
      </c>
      <c r="AL158" s="44">
        <v>0</v>
      </c>
      <c r="AM158" s="22" t="str">
        <f t="shared" si="6"/>
        <v>SUBS - UK</v>
      </c>
      <c r="AN158" s="333" t="s">
        <v>543</v>
      </c>
      <c r="AP158" s="471"/>
      <c r="AQ158" s="11"/>
      <c r="AR158" s="11"/>
      <c r="AS158" s="354"/>
      <c r="AU158" s="406"/>
      <c r="AV158" s="55"/>
      <c r="AW158" s="333"/>
      <c r="AX158" s="406"/>
      <c r="AY158" s="406"/>
      <c r="AZ158" s="538"/>
    </row>
    <row r="159" spans="1:52">
      <c r="A159" s="5"/>
      <c r="B159" s="44" t="s">
        <v>3369</v>
      </c>
      <c r="C159" s="44" t="s">
        <v>1281</v>
      </c>
      <c r="D159" s="44" t="s">
        <v>1184</v>
      </c>
      <c r="E159" s="44" t="s">
        <v>1927</v>
      </c>
      <c r="F159" s="44" t="s">
        <v>2973</v>
      </c>
      <c r="G159" s="44" t="s">
        <v>3374</v>
      </c>
      <c r="H159" s="44" t="s">
        <v>116</v>
      </c>
      <c r="I159" s="44" t="s">
        <v>2571</v>
      </c>
      <c r="J159" s="328">
        <v>50</v>
      </c>
      <c r="K159" s="44">
        <v>9.43</v>
      </c>
      <c r="L159" s="44">
        <v>8.48</v>
      </c>
      <c r="M159" s="44">
        <v>6.32</v>
      </c>
      <c r="N159" s="44">
        <v>5.98</v>
      </c>
      <c r="O159" s="44">
        <v>4.25</v>
      </c>
      <c r="P159" s="44">
        <v>3.52</v>
      </c>
      <c r="Q159" s="44">
        <v>1.41</v>
      </c>
      <c r="R159" s="44">
        <v>0.32</v>
      </c>
      <c r="S159" s="44">
        <v>0.01</v>
      </c>
      <c r="T159" s="44">
        <v>0.41</v>
      </c>
      <c r="U159" s="44">
        <v>0</v>
      </c>
      <c r="V159" s="44">
        <v>0</v>
      </c>
      <c r="W159" s="44">
        <v>0</v>
      </c>
      <c r="X159" s="44">
        <v>0</v>
      </c>
      <c r="Y159" s="44">
        <v>0</v>
      </c>
      <c r="Z159" s="44">
        <v>7</v>
      </c>
      <c r="AA159" s="44">
        <v>8.5</v>
      </c>
      <c r="AB159" s="44">
        <v>8.25</v>
      </c>
      <c r="AC159" s="44">
        <v>7.43</v>
      </c>
      <c r="AD159" s="44">
        <v>6.69</v>
      </c>
      <c r="AE159" s="44">
        <v>6.02</v>
      </c>
      <c r="AF159" s="44">
        <v>5.42</v>
      </c>
      <c r="AG159" s="44">
        <v>4.87</v>
      </c>
      <c r="AH159" s="44">
        <v>4.3899999999999997</v>
      </c>
      <c r="AI159" s="44">
        <v>3.95</v>
      </c>
      <c r="AJ159" s="44">
        <v>3.55</v>
      </c>
      <c r="AK159" s="44">
        <v>3.2</v>
      </c>
      <c r="AL159" s="44">
        <v>2.88</v>
      </c>
      <c r="AM159" s="22" t="str">
        <f t="shared" si="6"/>
        <v>SUBS - UK</v>
      </c>
      <c r="AN159" s="333" t="s">
        <v>543</v>
      </c>
      <c r="AP159" s="471"/>
      <c r="AQ159" s="11"/>
      <c r="AR159" s="11"/>
      <c r="AS159" s="354"/>
      <c r="AU159" s="406"/>
      <c r="AV159" s="55"/>
      <c r="AW159" s="333"/>
      <c r="AX159" s="406"/>
      <c r="AY159" s="406"/>
      <c r="AZ159" s="538"/>
    </row>
    <row r="160" spans="1:52">
      <c r="A160" s="5"/>
      <c r="B160" s="44" t="s">
        <v>3369</v>
      </c>
      <c r="C160" s="44" t="s">
        <v>1281</v>
      </c>
      <c r="D160" s="44" t="s">
        <v>1185</v>
      </c>
      <c r="E160" s="44" t="s">
        <v>1927</v>
      </c>
      <c r="F160" s="44" t="s">
        <v>2960</v>
      </c>
      <c r="G160" s="44" t="s">
        <v>1932</v>
      </c>
      <c r="H160" s="44" t="s">
        <v>116</v>
      </c>
      <c r="I160" s="44" t="s">
        <v>2571</v>
      </c>
      <c r="J160" s="328">
        <v>100</v>
      </c>
      <c r="K160" s="44">
        <v>9.4499999999999993</v>
      </c>
      <c r="L160" s="44">
        <v>14.85</v>
      </c>
      <c r="M160" s="44">
        <v>13.87</v>
      </c>
      <c r="N160" s="44">
        <v>18.84</v>
      </c>
      <c r="O160" s="44">
        <v>11.06</v>
      </c>
      <c r="P160" s="44">
        <v>7.6</v>
      </c>
      <c r="Q160" s="44">
        <v>11.75</v>
      </c>
      <c r="R160" s="44">
        <v>9.68</v>
      </c>
      <c r="S160" s="44">
        <v>9.4</v>
      </c>
      <c r="T160" s="44">
        <v>6</v>
      </c>
      <c r="U160" s="44">
        <v>12</v>
      </c>
      <c r="V160" s="44">
        <v>11.51</v>
      </c>
      <c r="W160" s="44">
        <v>8.56</v>
      </c>
      <c r="X160" s="44">
        <v>8.82</v>
      </c>
      <c r="Y160" s="44">
        <v>11.17</v>
      </c>
      <c r="Z160" s="44">
        <v>10.56</v>
      </c>
      <c r="AA160" s="44">
        <v>8</v>
      </c>
      <c r="AB160" s="44">
        <v>6.67</v>
      </c>
      <c r="AC160" s="44">
        <v>5.33</v>
      </c>
      <c r="AD160" s="44">
        <v>4.1100000000000003</v>
      </c>
      <c r="AE160" s="44">
        <v>3.33</v>
      </c>
      <c r="AF160" s="44">
        <v>2.56</v>
      </c>
      <c r="AG160" s="44">
        <v>2</v>
      </c>
      <c r="AH160" s="44">
        <v>1.56</v>
      </c>
      <c r="AI160" s="44">
        <v>1.33</v>
      </c>
      <c r="AJ160" s="44">
        <v>1.22</v>
      </c>
      <c r="AK160" s="44">
        <v>1.1100000000000001</v>
      </c>
      <c r="AL160" s="44">
        <v>1</v>
      </c>
      <c r="AM160" s="22" t="str">
        <f t="shared" si="6"/>
        <v>SUBS - UK</v>
      </c>
      <c r="AN160" s="333" t="s">
        <v>543</v>
      </c>
      <c r="AP160" s="471"/>
      <c r="AQ160" s="11"/>
      <c r="AR160" s="11"/>
      <c r="AS160" s="354"/>
      <c r="AU160" s="406"/>
      <c r="AV160" s="55"/>
      <c r="AW160" s="333"/>
      <c r="AX160" s="406"/>
      <c r="AY160" s="406"/>
      <c r="AZ160" s="538"/>
    </row>
    <row r="161" spans="1:52">
      <c r="A161" s="5"/>
      <c r="B161" s="44" t="s">
        <v>3369</v>
      </c>
      <c r="C161" s="44" t="s">
        <v>1281</v>
      </c>
      <c r="D161" s="44" t="s">
        <v>1186</v>
      </c>
      <c r="E161" s="44" t="s">
        <v>1927</v>
      </c>
      <c r="F161" s="44" t="s">
        <v>2960</v>
      </c>
      <c r="G161" s="44" t="s">
        <v>3374</v>
      </c>
      <c r="H161" s="44" t="s">
        <v>116</v>
      </c>
      <c r="I161" s="44" t="s">
        <v>2571</v>
      </c>
      <c r="J161" s="328">
        <v>33.33</v>
      </c>
      <c r="K161" s="44">
        <v>2.56</v>
      </c>
      <c r="L161" s="44">
        <v>3.08</v>
      </c>
      <c r="M161" s="44">
        <v>3.57</v>
      </c>
      <c r="N161" s="44">
        <v>3.3</v>
      </c>
      <c r="O161" s="44">
        <v>1.99</v>
      </c>
      <c r="P161" s="44">
        <v>2.71</v>
      </c>
      <c r="Q161" s="44">
        <v>2.42</v>
      </c>
      <c r="R161" s="44">
        <v>1.66</v>
      </c>
      <c r="S161" s="44">
        <v>0.19</v>
      </c>
      <c r="T161" s="44">
        <v>0</v>
      </c>
      <c r="U161" s="44">
        <v>0</v>
      </c>
      <c r="V161" s="44">
        <v>0</v>
      </c>
      <c r="W161" s="44">
        <v>0</v>
      </c>
      <c r="X161" s="44">
        <v>0</v>
      </c>
      <c r="Y161" s="44">
        <v>0</v>
      </c>
      <c r="Z161" s="44">
        <v>0</v>
      </c>
      <c r="AA161" s="44">
        <v>0</v>
      </c>
      <c r="AB161" s="44">
        <v>0</v>
      </c>
      <c r="AC161" s="44">
        <v>0</v>
      </c>
      <c r="AD161" s="44">
        <v>0</v>
      </c>
      <c r="AE161" s="44">
        <v>0</v>
      </c>
      <c r="AF161" s="44">
        <v>0</v>
      </c>
      <c r="AG161" s="44">
        <v>0</v>
      </c>
      <c r="AH161" s="44">
        <v>0</v>
      </c>
      <c r="AI161" s="44">
        <v>0</v>
      </c>
      <c r="AJ161" s="44">
        <v>0</v>
      </c>
      <c r="AK161" s="44">
        <v>0</v>
      </c>
      <c r="AL161" s="44">
        <v>0</v>
      </c>
      <c r="AM161" s="22" t="str">
        <f t="shared" si="6"/>
        <v>SUBS - UK</v>
      </c>
      <c r="AN161" s="333" t="s">
        <v>543</v>
      </c>
      <c r="AP161" s="471"/>
      <c r="AQ161" s="11"/>
      <c r="AR161" s="11"/>
      <c r="AS161" s="354"/>
      <c r="AU161" s="406"/>
      <c r="AV161" s="55"/>
      <c r="AW161" s="333"/>
      <c r="AX161" s="406"/>
      <c r="AY161" s="406"/>
      <c r="AZ161" s="538"/>
    </row>
    <row r="162" spans="1:52">
      <c r="A162" s="5"/>
      <c r="B162" s="44" t="s">
        <v>3369</v>
      </c>
      <c r="C162" s="44" t="s">
        <v>1281</v>
      </c>
      <c r="D162" s="44" t="s">
        <v>1187</v>
      </c>
      <c r="E162" s="44" t="s">
        <v>1927</v>
      </c>
      <c r="F162" s="44" t="s">
        <v>2960</v>
      </c>
      <c r="G162" s="44" t="s">
        <v>1932</v>
      </c>
      <c r="H162" s="44" t="s">
        <v>116</v>
      </c>
      <c r="I162" s="44" t="s">
        <v>2571</v>
      </c>
      <c r="J162" s="328">
        <v>50</v>
      </c>
      <c r="K162" s="44">
        <v>8.3699999999999992</v>
      </c>
      <c r="L162" s="44">
        <v>9.2799999999999994</v>
      </c>
      <c r="M162" s="44">
        <v>6.84</v>
      </c>
      <c r="N162" s="44">
        <v>4.07</v>
      </c>
      <c r="O162" s="44">
        <v>2.21</v>
      </c>
      <c r="P162" s="44">
        <v>3.07</v>
      </c>
      <c r="Q162" s="44">
        <v>3.67</v>
      </c>
      <c r="R162" s="44">
        <v>1.62</v>
      </c>
      <c r="S162" s="44">
        <v>1.39</v>
      </c>
      <c r="T162" s="44">
        <v>0.08</v>
      </c>
      <c r="U162" s="44">
        <v>0.49</v>
      </c>
      <c r="V162" s="44">
        <v>1.1200000000000001</v>
      </c>
      <c r="W162" s="44">
        <v>1.3</v>
      </c>
      <c r="X162" s="44">
        <v>1.34</v>
      </c>
      <c r="Y162" s="44">
        <v>1.37</v>
      </c>
      <c r="Z162" s="44">
        <v>1.4</v>
      </c>
      <c r="AA162" s="44">
        <v>1.25</v>
      </c>
      <c r="AB162" s="44">
        <v>1.05</v>
      </c>
      <c r="AC162" s="44">
        <v>0.9</v>
      </c>
      <c r="AD162" s="44">
        <v>0.75</v>
      </c>
      <c r="AE162" s="44">
        <v>0.65</v>
      </c>
      <c r="AF162" s="44">
        <v>0.55000000000000004</v>
      </c>
      <c r="AG162" s="44">
        <v>0.45</v>
      </c>
      <c r="AH162" s="44">
        <v>0.4</v>
      </c>
      <c r="AI162" s="44">
        <v>0.35</v>
      </c>
      <c r="AJ162" s="44">
        <v>0.3</v>
      </c>
      <c r="AK162" s="44">
        <v>0.25</v>
      </c>
      <c r="AL162" s="44">
        <v>0.2</v>
      </c>
      <c r="AM162" s="22" t="str">
        <f t="shared" si="6"/>
        <v>SUBS - UK</v>
      </c>
      <c r="AN162" s="333" t="s">
        <v>543</v>
      </c>
      <c r="AP162" s="471"/>
      <c r="AQ162" s="11"/>
      <c r="AR162" s="11"/>
      <c r="AS162" s="354"/>
      <c r="AU162" s="406"/>
      <c r="AV162" s="55"/>
      <c r="AW162" s="333"/>
      <c r="AX162" s="406"/>
      <c r="AY162" s="406"/>
      <c r="AZ162" s="538"/>
    </row>
    <row r="163" spans="1:52">
      <c r="A163" s="5"/>
      <c r="B163" s="44" t="s">
        <v>3369</v>
      </c>
      <c r="C163" s="44" t="s">
        <v>1281</v>
      </c>
      <c r="D163" s="44" t="s">
        <v>1188</v>
      </c>
      <c r="E163" s="44" t="s">
        <v>1927</v>
      </c>
      <c r="F163" s="44" t="s">
        <v>2960</v>
      </c>
      <c r="G163" s="44" t="s">
        <v>1932</v>
      </c>
      <c r="H163" s="44" t="s">
        <v>116</v>
      </c>
      <c r="I163" s="44" t="s">
        <v>2604</v>
      </c>
      <c r="J163" s="328">
        <v>75</v>
      </c>
      <c r="K163" s="44">
        <v>39.65</v>
      </c>
      <c r="L163" s="44">
        <v>35.869999999999997</v>
      </c>
      <c r="M163" s="44">
        <v>30.86</v>
      </c>
      <c r="N163" s="44">
        <v>28.28</v>
      </c>
      <c r="O163" s="44">
        <v>17.86</v>
      </c>
      <c r="P163" s="44">
        <v>19.010000000000002</v>
      </c>
      <c r="Q163" s="44">
        <v>19.82</v>
      </c>
      <c r="R163" s="44">
        <v>16.059999999999999</v>
      </c>
      <c r="S163" s="44">
        <v>16.14</v>
      </c>
      <c r="T163" s="44">
        <v>14.19</v>
      </c>
      <c r="U163" s="44">
        <v>6.18</v>
      </c>
      <c r="V163" s="44">
        <v>10.28</v>
      </c>
      <c r="W163" s="44">
        <v>11.55</v>
      </c>
      <c r="X163" s="44">
        <v>13.3</v>
      </c>
      <c r="Y163" s="44">
        <v>9.9</v>
      </c>
      <c r="Z163" s="44">
        <v>10.5</v>
      </c>
      <c r="AA163" s="44">
        <v>14.25</v>
      </c>
      <c r="AB163" s="44">
        <v>12.75</v>
      </c>
      <c r="AC163" s="44">
        <v>11.25</v>
      </c>
      <c r="AD163" s="44">
        <v>10.5</v>
      </c>
      <c r="AE163" s="44">
        <v>9</v>
      </c>
      <c r="AF163" s="44">
        <v>7.88</v>
      </c>
      <c r="AG163" s="44">
        <v>7.5</v>
      </c>
      <c r="AH163" s="44">
        <v>0</v>
      </c>
      <c r="AI163" s="44">
        <v>0</v>
      </c>
      <c r="AJ163" s="44">
        <v>0</v>
      </c>
      <c r="AK163" s="44">
        <v>0</v>
      </c>
      <c r="AL163" s="44">
        <v>0</v>
      </c>
      <c r="AM163" s="22" t="str">
        <f t="shared" si="6"/>
        <v>SUBS - UK</v>
      </c>
      <c r="AN163" s="333" t="s">
        <v>543</v>
      </c>
      <c r="AP163" s="471"/>
      <c r="AQ163" s="11"/>
      <c r="AR163" s="11"/>
      <c r="AS163" s="354"/>
      <c r="AU163" s="406"/>
      <c r="AV163" s="55"/>
      <c r="AW163" s="333"/>
      <c r="AX163" s="406"/>
      <c r="AY163" s="406"/>
      <c r="AZ163" s="538"/>
    </row>
    <row r="164" spans="1:52">
      <c r="A164" s="5"/>
      <c r="B164" s="44" t="s">
        <v>3369</v>
      </c>
      <c r="C164" s="44" t="s">
        <v>1281</v>
      </c>
      <c r="D164" s="44" t="s">
        <v>1189</v>
      </c>
      <c r="E164" s="44" t="s">
        <v>1927</v>
      </c>
      <c r="F164" s="44" t="s">
        <v>2960</v>
      </c>
      <c r="G164" s="44" t="s">
        <v>1929</v>
      </c>
      <c r="H164" s="44" t="s">
        <v>116</v>
      </c>
      <c r="I164" s="44" t="s">
        <v>2600</v>
      </c>
      <c r="J164" s="328">
        <v>70</v>
      </c>
      <c r="K164" s="328">
        <v>4.3899999999999997</v>
      </c>
      <c r="L164" s="328">
        <v>2.67</v>
      </c>
      <c r="M164" s="328">
        <v>1.4</v>
      </c>
      <c r="N164" s="328">
        <v>1.37</v>
      </c>
      <c r="O164" s="328">
        <v>0.74</v>
      </c>
      <c r="P164" s="328">
        <v>0.62</v>
      </c>
      <c r="Q164" s="328">
        <v>0.65</v>
      </c>
      <c r="R164" s="328">
        <v>0.37</v>
      </c>
      <c r="S164" s="328">
        <v>0.47</v>
      </c>
      <c r="T164" s="328">
        <v>0.28000000000000003</v>
      </c>
      <c r="U164" s="328">
        <v>0.15</v>
      </c>
      <c r="V164" s="328">
        <v>0.08</v>
      </c>
      <c r="W164" s="328">
        <v>0.34</v>
      </c>
      <c r="X164" s="328">
        <v>0.31</v>
      </c>
      <c r="Y164" s="328">
        <v>0.38</v>
      </c>
      <c r="Z164" s="328">
        <v>0.42</v>
      </c>
      <c r="AA164" s="328">
        <v>0.39</v>
      </c>
      <c r="AB164" s="328">
        <v>0.35</v>
      </c>
      <c r="AC164" s="328">
        <v>0.32</v>
      </c>
      <c r="AD164" s="328">
        <v>0.28999999999999998</v>
      </c>
      <c r="AE164" s="328">
        <v>0.27</v>
      </c>
      <c r="AF164" s="328">
        <v>0.24</v>
      </c>
      <c r="AG164" s="328">
        <v>0.22</v>
      </c>
      <c r="AH164" s="328">
        <v>0.21</v>
      </c>
      <c r="AI164" s="328">
        <v>0.2</v>
      </c>
      <c r="AJ164" s="328">
        <v>0.19</v>
      </c>
      <c r="AK164" s="328">
        <v>0.18</v>
      </c>
      <c r="AL164" s="328">
        <v>0.18</v>
      </c>
      <c r="AM164" s="22" t="str">
        <f t="shared" ref="AM164:AM179" si="13">AN164&amp;" - "&amp;C164</f>
        <v>SUBS - UK</v>
      </c>
      <c r="AN164" s="333" t="s">
        <v>543</v>
      </c>
      <c r="AP164" s="471"/>
      <c r="AQ164" s="11"/>
      <c r="AR164" s="11"/>
      <c r="AS164" s="354"/>
      <c r="AU164" s="406"/>
      <c r="AV164" s="55"/>
      <c r="AW164" s="333"/>
      <c r="AX164" s="406"/>
      <c r="AY164" s="406"/>
      <c r="AZ164" s="538"/>
    </row>
    <row r="165" spans="1:52">
      <c r="A165" s="5"/>
      <c r="B165" s="44" t="s">
        <v>3369</v>
      </c>
      <c r="C165" s="44" t="s">
        <v>1281</v>
      </c>
      <c r="D165" s="44" t="s">
        <v>1190</v>
      </c>
      <c r="E165" s="44" t="s">
        <v>1927</v>
      </c>
      <c r="F165" s="44" t="s">
        <v>2960</v>
      </c>
      <c r="G165" s="44" t="s">
        <v>1931</v>
      </c>
      <c r="H165" s="44" t="s">
        <v>116</v>
      </c>
      <c r="I165" s="44" t="s">
        <v>2571</v>
      </c>
      <c r="J165" s="328">
        <v>73.33</v>
      </c>
      <c r="K165" s="44">
        <v>0</v>
      </c>
      <c r="L165" s="44">
        <v>0</v>
      </c>
      <c r="M165" s="44">
        <v>0</v>
      </c>
      <c r="N165" s="44">
        <v>0</v>
      </c>
      <c r="O165" s="44">
        <v>0</v>
      </c>
      <c r="P165" s="44">
        <v>0.01</v>
      </c>
      <c r="Q165" s="44">
        <v>0.01</v>
      </c>
      <c r="R165" s="44">
        <v>0</v>
      </c>
      <c r="S165" s="44">
        <v>0</v>
      </c>
      <c r="T165" s="44">
        <v>0</v>
      </c>
      <c r="U165" s="44">
        <v>0</v>
      </c>
      <c r="V165" s="44">
        <v>0</v>
      </c>
      <c r="W165" s="44">
        <v>0</v>
      </c>
      <c r="X165" s="44">
        <v>0</v>
      </c>
      <c r="Y165" s="44">
        <v>0</v>
      </c>
      <c r="Z165" s="44">
        <v>0</v>
      </c>
      <c r="AA165" s="44">
        <v>0</v>
      </c>
      <c r="AB165" s="44">
        <v>0</v>
      </c>
      <c r="AC165" s="44">
        <v>0</v>
      </c>
      <c r="AD165" s="44">
        <v>0</v>
      </c>
      <c r="AE165" s="44">
        <v>0</v>
      </c>
      <c r="AF165" s="44">
        <v>0</v>
      </c>
      <c r="AG165" s="44">
        <v>0</v>
      </c>
      <c r="AH165" s="44">
        <v>0</v>
      </c>
      <c r="AI165" s="44">
        <v>0</v>
      </c>
      <c r="AJ165" s="44">
        <v>0</v>
      </c>
      <c r="AK165" s="44">
        <v>0</v>
      </c>
      <c r="AL165" s="44">
        <v>0</v>
      </c>
      <c r="AM165" s="22" t="str">
        <f t="shared" si="13"/>
        <v>SUBS - UK</v>
      </c>
      <c r="AN165" s="333" t="s">
        <v>543</v>
      </c>
      <c r="AP165" s="471"/>
      <c r="AQ165" s="11"/>
      <c r="AR165" s="11"/>
      <c r="AS165" s="354"/>
      <c r="AU165" s="406"/>
      <c r="AV165" s="55"/>
      <c r="AW165" s="333"/>
      <c r="AX165" s="406"/>
      <c r="AY165" s="406"/>
      <c r="AZ165" s="538"/>
    </row>
    <row r="166" spans="1:52">
      <c r="A166" s="5"/>
      <c r="B166" s="44" t="s">
        <v>3369</v>
      </c>
      <c r="C166" s="44" t="s">
        <v>1281</v>
      </c>
      <c r="D166" s="44" t="s">
        <v>1191</v>
      </c>
      <c r="E166" s="44" t="s">
        <v>2254</v>
      </c>
      <c r="F166" s="44" t="s">
        <v>2960</v>
      </c>
      <c r="G166" s="44" t="s">
        <v>3374</v>
      </c>
      <c r="H166" s="44" t="s">
        <v>116</v>
      </c>
      <c r="I166" s="44" t="s">
        <v>2600</v>
      </c>
      <c r="J166" s="328">
        <v>52</v>
      </c>
      <c r="K166" s="44">
        <v>4.38</v>
      </c>
      <c r="L166" s="44">
        <v>5.55</v>
      </c>
      <c r="M166" s="44">
        <v>4.33</v>
      </c>
      <c r="N166" s="44">
        <v>2.69</v>
      </c>
      <c r="O166" s="44">
        <v>0.54</v>
      </c>
      <c r="P166" s="44">
        <v>0</v>
      </c>
      <c r="Q166" s="44">
        <v>0</v>
      </c>
      <c r="R166" s="44">
        <v>0</v>
      </c>
      <c r="S166" s="44">
        <v>0</v>
      </c>
      <c r="T166" s="44">
        <v>0</v>
      </c>
      <c r="U166" s="44">
        <v>0</v>
      </c>
      <c r="V166" s="44">
        <v>0</v>
      </c>
      <c r="W166" s="44">
        <v>0</v>
      </c>
      <c r="X166" s="44">
        <v>0</v>
      </c>
      <c r="Y166" s="44">
        <v>0</v>
      </c>
      <c r="Z166" s="44">
        <v>0</v>
      </c>
      <c r="AA166" s="44">
        <v>0</v>
      </c>
      <c r="AB166" s="44">
        <v>0</v>
      </c>
      <c r="AC166" s="44">
        <v>0</v>
      </c>
      <c r="AD166" s="44">
        <v>0</v>
      </c>
      <c r="AE166" s="44">
        <v>0</v>
      </c>
      <c r="AF166" s="44">
        <v>0</v>
      </c>
      <c r="AG166" s="44">
        <v>0</v>
      </c>
      <c r="AH166" s="44">
        <v>0</v>
      </c>
      <c r="AI166" s="44">
        <v>0</v>
      </c>
      <c r="AJ166" s="44">
        <v>0</v>
      </c>
      <c r="AK166" s="44">
        <v>0</v>
      </c>
      <c r="AL166" s="44">
        <v>0</v>
      </c>
      <c r="AM166" s="22" t="str">
        <f t="shared" si="13"/>
        <v>SUBS - UK</v>
      </c>
      <c r="AN166" s="333" t="s">
        <v>543</v>
      </c>
      <c r="AP166" s="471"/>
      <c r="AQ166" s="11"/>
      <c r="AR166" s="11"/>
      <c r="AS166" s="354"/>
      <c r="AU166" s="406"/>
      <c r="AV166" s="55"/>
      <c r="AW166" s="333"/>
      <c r="AX166" s="406"/>
      <c r="AY166" s="406"/>
      <c r="AZ166" s="538"/>
    </row>
    <row r="167" spans="1:52">
      <c r="A167" s="5"/>
      <c r="B167" s="44" t="s">
        <v>3369</v>
      </c>
      <c r="C167" s="44" t="s">
        <v>1281</v>
      </c>
      <c r="D167" s="44" t="s">
        <v>1192</v>
      </c>
      <c r="E167" s="44" t="s">
        <v>1927</v>
      </c>
      <c r="F167" s="44" t="s">
        <v>2960</v>
      </c>
      <c r="G167" s="44" t="s">
        <v>1932</v>
      </c>
      <c r="H167" s="44" t="s">
        <v>116</v>
      </c>
      <c r="I167" s="44" t="s">
        <v>2571</v>
      </c>
      <c r="J167" s="328">
        <v>58</v>
      </c>
      <c r="K167" s="44">
        <v>4.17</v>
      </c>
      <c r="L167" s="44">
        <v>2.59</v>
      </c>
      <c r="M167" s="44">
        <v>2.77</v>
      </c>
      <c r="N167" s="44">
        <v>2.89</v>
      </c>
      <c r="O167" s="44">
        <v>2.2000000000000002</v>
      </c>
      <c r="P167" s="44">
        <v>2.0099999999999998</v>
      </c>
      <c r="Q167" s="44">
        <v>1.24</v>
      </c>
      <c r="R167" s="44">
        <v>0.3</v>
      </c>
      <c r="S167" s="44">
        <v>0.53</v>
      </c>
      <c r="T167" s="44">
        <v>0.4</v>
      </c>
      <c r="U167" s="44">
        <v>0.47</v>
      </c>
      <c r="V167" s="44">
        <v>0.32</v>
      </c>
      <c r="W167" s="44">
        <v>0</v>
      </c>
      <c r="X167" s="44">
        <v>0</v>
      </c>
      <c r="Y167" s="44">
        <v>0</v>
      </c>
      <c r="Z167" s="44">
        <v>0.12</v>
      </c>
      <c r="AA167" s="44">
        <v>0.52</v>
      </c>
      <c r="AB167" s="44">
        <v>0.46</v>
      </c>
      <c r="AC167" s="44">
        <v>0.42</v>
      </c>
      <c r="AD167" s="44">
        <v>0.38</v>
      </c>
      <c r="AE167" s="44">
        <v>0.34</v>
      </c>
      <c r="AF167" s="44">
        <v>0.3</v>
      </c>
      <c r="AG167" s="44">
        <v>0.27</v>
      </c>
      <c r="AH167" s="44">
        <v>0.25</v>
      </c>
      <c r="AI167" s="44">
        <v>0.22</v>
      </c>
      <c r="AJ167" s="44">
        <v>0.21</v>
      </c>
      <c r="AK167" s="44">
        <v>0.2</v>
      </c>
      <c r="AL167" s="44">
        <v>0.19</v>
      </c>
      <c r="AM167" s="22" t="str">
        <f t="shared" si="13"/>
        <v>SUBS - UK</v>
      </c>
      <c r="AN167" s="333" t="s">
        <v>543</v>
      </c>
      <c r="AP167" s="471"/>
      <c r="AQ167" s="11"/>
      <c r="AR167" s="11"/>
      <c r="AS167" s="354"/>
      <c r="AU167" s="406"/>
      <c r="AV167" s="55"/>
      <c r="AW167" s="333"/>
      <c r="AX167" s="406"/>
      <c r="AY167" s="406"/>
      <c r="AZ167" s="538"/>
    </row>
    <row r="168" spans="1:52">
      <c r="A168" s="5"/>
      <c r="B168" s="44" t="s">
        <v>3369</v>
      </c>
      <c r="C168" s="44" t="s">
        <v>1281</v>
      </c>
      <c r="D168" s="44" t="s">
        <v>1193</v>
      </c>
      <c r="E168" s="44" t="s">
        <v>1927</v>
      </c>
      <c r="F168" s="44" t="s">
        <v>2960</v>
      </c>
      <c r="G168" s="44" t="s">
        <v>1932</v>
      </c>
      <c r="H168" s="44" t="s">
        <v>116</v>
      </c>
      <c r="I168" s="44" t="s">
        <v>2571</v>
      </c>
      <c r="J168" s="328">
        <v>87.354900000000001</v>
      </c>
      <c r="K168" s="44">
        <v>0.39</v>
      </c>
      <c r="L168" s="44">
        <v>0.46</v>
      </c>
      <c r="M168" s="44">
        <v>0.12</v>
      </c>
      <c r="N168" s="44">
        <v>0</v>
      </c>
      <c r="O168" s="44">
        <v>0</v>
      </c>
      <c r="P168" s="44">
        <v>0</v>
      </c>
      <c r="Q168" s="44">
        <v>0.56999999999999995</v>
      </c>
      <c r="R168" s="44">
        <v>1.05</v>
      </c>
      <c r="S168" s="44">
        <v>0.71</v>
      </c>
      <c r="T168" s="44">
        <v>0.24</v>
      </c>
      <c r="U168" s="44">
        <v>0</v>
      </c>
      <c r="V168" s="44">
        <v>0</v>
      </c>
      <c r="W168" s="44">
        <v>0.81</v>
      </c>
      <c r="X168" s="44">
        <v>0.96</v>
      </c>
      <c r="Y168" s="44">
        <v>0.64</v>
      </c>
      <c r="Z168" s="44">
        <v>1.4</v>
      </c>
      <c r="AA168" s="44">
        <v>1.31</v>
      </c>
      <c r="AB168" s="44">
        <v>1.18</v>
      </c>
      <c r="AC168" s="44">
        <v>1.07</v>
      </c>
      <c r="AD168" s="44">
        <v>0.94</v>
      </c>
      <c r="AE168" s="44">
        <v>0.84</v>
      </c>
      <c r="AF168" s="44">
        <v>0.73</v>
      </c>
      <c r="AG168" s="44">
        <v>0.63</v>
      </c>
      <c r="AH168" s="44">
        <v>0.53</v>
      </c>
      <c r="AI168" s="44">
        <v>0.44</v>
      </c>
      <c r="AJ168" s="44">
        <v>0.39</v>
      </c>
      <c r="AK168" s="44">
        <v>0.35</v>
      </c>
      <c r="AL168" s="44">
        <v>0.31</v>
      </c>
      <c r="AM168" s="22" t="str">
        <f t="shared" si="13"/>
        <v>SUBS - UK</v>
      </c>
      <c r="AN168" s="333" t="s">
        <v>543</v>
      </c>
      <c r="AP168" s="471"/>
      <c r="AQ168" s="11"/>
      <c r="AR168" s="11"/>
      <c r="AS168" s="354"/>
      <c r="AU168" s="406"/>
      <c r="AV168" s="55"/>
      <c r="AW168" s="333"/>
      <c r="AX168" s="406"/>
      <c r="AY168" s="406"/>
      <c r="AZ168" s="538"/>
    </row>
    <row r="169" spans="1:52">
      <c r="A169" s="5"/>
      <c r="B169" s="44" t="s">
        <v>3369</v>
      </c>
      <c r="C169" s="44" t="s">
        <v>1281</v>
      </c>
      <c r="D169" s="44" t="s">
        <v>1194</v>
      </c>
      <c r="E169" s="44" t="s">
        <v>1927</v>
      </c>
      <c r="F169" s="44" t="s">
        <v>2960</v>
      </c>
      <c r="G169" s="44" t="s">
        <v>3374</v>
      </c>
      <c r="H169" s="44" t="s">
        <v>116</v>
      </c>
      <c r="I169" s="44" t="s">
        <v>2600</v>
      </c>
      <c r="J169" s="328">
        <v>87.354900000000001</v>
      </c>
      <c r="K169" s="44">
        <v>0</v>
      </c>
      <c r="L169" s="44">
        <v>0</v>
      </c>
      <c r="M169" s="44">
        <v>0</v>
      </c>
      <c r="N169" s="44">
        <v>0</v>
      </c>
      <c r="O169" s="44">
        <v>0</v>
      </c>
      <c r="P169" s="44">
        <v>0</v>
      </c>
      <c r="Q169" s="44">
        <v>0</v>
      </c>
      <c r="R169" s="44">
        <v>0</v>
      </c>
      <c r="S169" s="44">
        <v>4.9400000000000004</v>
      </c>
      <c r="T169" s="44">
        <v>5.1100000000000003</v>
      </c>
      <c r="U169" s="44">
        <v>8.0399999999999991</v>
      </c>
      <c r="V169" s="44">
        <v>6.09</v>
      </c>
      <c r="W169" s="44">
        <v>4.5999999999999996</v>
      </c>
      <c r="X169" s="44">
        <v>8.0399999999999991</v>
      </c>
      <c r="Y169" s="44">
        <v>8.41</v>
      </c>
      <c r="Z169" s="44">
        <v>13.1</v>
      </c>
      <c r="AA169" s="44">
        <v>11.88</v>
      </c>
      <c r="AB169" s="44">
        <v>10.66</v>
      </c>
      <c r="AC169" s="44">
        <v>9.61</v>
      </c>
      <c r="AD169" s="44">
        <v>8.65</v>
      </c>
      <c r="AE169" s="44">
        <v>7.34</v>
      </c>
      <c r="AF169" s="44">
        <v>6.29</v>
      </c>
      <c r="AG169" s="44">
        <v>5.33</v>
      </c>
      <c r="AH169" s="44">
        <v>4.54</v>
      </c>
      <c r="AI169" s="44">
        <v>3.84</v>
      </c>
      <c r="AJ169" s="44">
        <v>3.32</v>
      </c>
      <c r="AK169" s="44">
        <v>2.8</v>
      </c>
      <c r="AL169" s="44">
        <v>2.4500000000000002</v>
      </c>
      <c r="AM169" s="22" t="str">
        <f t="shared" si="13"/>
        <v>SUBS - UK</v>
      </c>
      <c r="AN169" s="333" t="s">
        <v>543</v>
      </c>
      <c r="AP169" s="471"/>
      <c r="AQ169" s="11"/>
      <c r="AR169" s="11"/>
      <c r="AS169" s="354"/>
      <c r="AU169" s="406"/>
      <c r="AV169" s="55"/>
      <c r="AW169" s="333"/>
      <c r="AX169" s="406"/>
      <c r="AY169" s="406"/>
      <c r="AZ169" s="538"/>
    </row>
    <row r="170" spans="1:52">
      <c r="A170" s="5"/>
      <c r="B170" s="44" t="s">
        <v>3369</v>
      </c>
      <c r="C170" s="44" t="s">
        <v>1281</v>
      </c>
      <c r="D170" s="44" t="s">
        <v>1850</v>
      </c>
      <c r="E170" s="44" t="s">
        <v>1927</v>
      </c>
      <c r="F170" s="44" t="s">
        <v>2960</v>
      </c>
      <c r="G170" s="44" t="s">
        <v>1931</v>
      </c>
      <c r="H170" s="44" t="s">
        <v>116</v>
      </c>
      <c r="I170" s="44" t="s">
        <v>2600</v>
      </c>
      <c r="J170" s="328">
        <v>100</v>
      </c>
      <c r="K170" s="44">
        <v>0</v>
      </c>
      <c r="L170" s="44">
        <v>0</v>
      </c>
      <c r="M170" s="44">
        <v>0</v>
      </c>
      <c r="N170" s="44">
        <v>0</v>
      </c>
      <c r="O170" s="44">
        <v>0</v>
      </c>
      <c r="P170" s="44">
        <v>0.28000000000000003</v>
      </c>
      <c r="Q170" s="44">
        <v>0.18</v>
      </c>
      <c r="R170" s="44">
        <v>0.15</v>
      </c>
      <c r="S170" s="44">
        <v>0</v>
      </c>
      <c r="T170" s="44">
        <v>0</v>
      </c>
      <c r="U170" s="44">
        <v>0</v>
      </c>
      <c r="V170" s="44">
        <v>0</v>
      </c>
      <c r="W170" s="44">
        <v>0</v>
      </c>
      <c r="X170" s="44">
        <v>0</v>
      </c>
      <c r="Y170" s="44">
        <v>0</v>
      </c>
      <c r="Z170" s="44">
        <v>0</v>
      </c>
      <c r="AA170" s="44">
        <v>0</v>
      </c>
      <c r="AB170" s="44">
        <v>0</v>
      </c>
      <c r="AC170" s="44">
        <v>0</v>
      </c>
      <c r="AD170" s="44">
        <v>0</v>
      </c>
      <c r="AE170" s="44">
        <v>0</v>
      </c>
      <c r="AF170" s="44">
        <v>0</v>
      </c>
      <c r="AG170" s="44">
        <v>0</v>
      </c>
      <c r="AH170" s="44">
        <v>0</v>
      </c>
      <c r="AI170" s="44">
        <v>0</v>
      </c>
      <c r="AJ170" s="44">
        <v>0</v>
      </c>
      <c r="AK170" s="44">
        <v>0</v>
      </c>
      <c r="AL170" s="44">
        <v>0</v>
      </c>
      <c r="AM170" s="22" t="str">
        <f t="shared" si="13"/>
        <v>SUBS - UK</v>
      </c>
      <c r="AN170" s="333" t="s">
        <v>543</v>
      </c>
      <c r="AP170" s="471"/>
      <c r="AQ170" s="11"/>
      <c r="AR170" s="11"/>
      <c r="AS170" s="354"/>
      <c r="AU170" s="406"/>
      <c r="AV170" s="55"/>
      <c r="AW170" s="333"/>
      <c r="AX170" s="406"/>
      <c r="AY170" s="406"/>
      <c r="AZ170" s="538"/>
    </row>
    <row r="171" spans="1:52">
      <c r="A171" s="5"/>
      <c r="B171" s="44" t="s">
        <v>3369</v>
      </c>
      <c r="C171" s="44" t="s">
        <v>1281</v>
      </c>
      <c r="D171" s="44" t="s">
        <v>1851</v>
      </c>
      <c r="E171" s="44" t="s">
        <v>1927</v>
      </c>
      <c r="F171" s="44" t="s">
        <v>2960</v>
      </c>
      <c r="G171" s="44" t="s">
        <v>1931</v>
      </c>
      <c r="H171" s="44" t="s">
        <v>116</v>
      </c>
      <c r="I171" s="44" t="s">
        <v>1181</v>
      </c>
      <c r="J171" s="328">
        <v>50</v>
      </c>
      <c r="K171" s="44">
        <v>0</v>
      </c>
      <c r="L171" s="44">
        <v>0</v>
      </c>
      <c r="M171" s="44">
        <v>0.03</v>
      </c>
      <c r="N171" s="44">
        <v>0.52</v>
      </c>
      <c r="O171" s="44">
        <v>0.67</v>
      </c>
      <c r="P171" s="44">
        <v>0.54</v>
      </c>
      <c r="Q171" s="44">
        <v>0.34</v>
      </c>
      <c r="R171" s="44">
        <v>0.37</v>
      </c>
      <c r="S171" s="44">
        <v>0</v>
      </c>
      <c r="T171" s="44">
        <v>0</v>
      </c>
      <c r="U171" s="44">
        <v>0</v>
      </c>
      <c r="V171" s="44">
        <v>0.04</v>
      </c>
      <c r="W171" s="44">
        <v>0.34</v>
      </c>
      <c r="X171" s="44">
        <v>0.3</v>
      </c>
      <c r="Y171" s="44">
        <v>0.53</v>
      </c>
      <c r="Z171" s="44">
        <v>0</v>
      </c>
      <c r="AA171" s="44">
        <v>0</v>
      </c>
      <c r="AB171" s="44">
        <v>0</v>
      </c>
      <c r="AC171" s="44">
        <v>0</v>
      </c>
      <c r="AD171" s="44">
        <v>0</v>
      </c>
      <c r="AE171" s="44">
        <v>0</v>
      </c>
      <c r="AF171" s="44">
        <v>0</v>
      </c>
      <c r="AG171" s="44">
        <v>0</v>
      </c>
      <c r="AH171" s="44">
        <v>0</v>
      </c>
      <c r="AI171" s="44">
        <v>0</v>
      </c>
      <c r="AJ171" s="44">
        <v>0</v>
      </c>
      <c r="AK171" s="44">
        <v>0</v>
      </c>
      <c r="AL171" s="44">
        <v>0</v>
      </c>
      <c r="AM171" s="22" t="str">
        <f t="shared" si="13"/>
        <v>SUBS - UK</v>
      </c>
      <c r="AN171" s="333" t="s">
        <v>543</v>
      </c>
      <c r="AP171" s="471"/>
      <c r="AQ171" s="11"/>
      <c r="AR171" s="11"/>
      <c r="AS171" s="354"/>
      <c r="AU171" s="406"/>
      <c r="AV171" s="333"/>
      <c r="AW171" s="333"/>
      <c r="AX171" s="406"/>
      <c r="AY171" s="406"/>
      <c r="AZ171" s="538"/>
    </row>
    <row r="172" spans="1:52">
      <c r="A172" s="5"/>
      <c r="B172" s="44" t="s">
        <v>3369</v>
      </c>
      <c r="C172" s="44" t="s">
        <v>1281</v>
      </c>
      <c r="D172" s="44" t="s">
        <v>1852</v>
      </c>
      <c r="E172" s="44" t="s">
        <v>1927</v>
      </c>
      <c r="F172" s="44" t="s">
        <v>2960</v>
      </c>
      <c r="G172" s="44" t="s">
        <v>3374</v>
      </c>
      <c r="H172" s="44" t="s">
        <v>116</v>
      </c>
      <c r="I172" s="44" t="s">
        <v>2971</v>
      </c>
      <c r="J172" s="328">
        <v>33.35</v>
      </c>
      <c r="K172" s="44">
        <v>32.880000000000003</v>
      </c>
      <c r="L172" s="44">
        <v>29.88</v>
      </c>
      <c r="M172" s="44">
        <v>21.32</v>
      </c>
      <c r="N172" s="44">
        <v>20.79</v>
      </c>
      <c r="O172" s="44">
        <v>14.48</v>
      </c>
      <c r="P172" s="44">
        <v>12.24</v>
      </c>
      <c r="Q172" s="44">
        <v>4.9000000000000004</v>
      </c>
      <c r="R172" s="44">
        <v>6.7</v>
      </c>
      <c r="S172" s="44">
        <v>4.6100000000000003</v>
      </c>
      <c r="T172" s="44">
        <v>12.97</v>
      </c>
      <c r="U172" s="44">
        <v>0.53</v>
      </c>
      <c r="V172" s="44">
        <v>0</v>
      </c>
      <c r="W172" s="44">
        <v>0</v>
      </c>
      <c r="X172" s="44">
        <v>0</v>
      </c>
      <c r="Y172" s="44">
        <v>12.02</v>
      </c>
      <c r="Z172" s="44">
        <v>28.35</v>
      </c>
      <c r="AA172" s="44">
        <v>30.02</v>
      </c>
      <c r="AB172" s="44">
        <v>27.01</v>
      </c>
      <c r="AC172" s="44">
        <v>24.31</v>
      </c>
      <c r="AD172" s="44">
        <v>21.88</v>
      </c>
      <c r="AE172" s="44">
        <v>19.690000000000001</v>
      </c>
      <c r="AF172" s="44">
        <v>17.72</v>
      </c>
      <c r="AG172" s="44">
        <v>15.95</v>
      </c>
      <c r="AH172" s="44">
        <v>14.36</v>
      </c>
      <c r="AI172" s="44">
        <v>12.92</v>
      </c>
      <c r="AJ172" s="44">
        <v>11.63</v>
      </c>
      <c r="AK172" s="44">
        <v>10.47</v>
      </c>
      <c r="AL172" s="44">
        <v>9.42</v>
      </c>
      <c r="AM172" s="22" t="str">
        <f t="shared" si="13"/>
        <v>SUBS - UK</v>
      </c>
      <c r="AN172" s="333" t="s">
        <v>543</v>
      </c>
      <c r="AP172" s="471"/>
      <c r="AQ172" s="11"/>
      <c r="AR172" s="11"/>
      <c r="AS172" s="354"/>
      <c r="AU172" s="406"/>
      <c r="AV172" s="55"/>
      <c r="AW172" s="333"/>
      <c r="AX172" s="406"/>
      <c r="AY172" s="406"/>
      <c r="AZ172" s="538"/>
    </row>
    <row r="173" spans="1:52">
      <c r="A173" s="5"/>
      <c r="B173" s="44" t="s">
        <v>3369</v>
      </c>
      <c r="C173" s="44" t="s">
        <v>1281</v>
      </c>
      <c r="D173" s="44" t="s">
        <v>3739</v>
      </c>
      <c r="E173" s="44" t="s">
        <v>3372</v>
      </c>
      <c r="F173" s="44" t="s">
        <v>2960</v>
      </c>
      <c r="G173" s="44" t="s">
        <v>1932</v>
      </c>
      <c r="H173" s="44" t="s">
        <v>116</v>
      </c>
      <c r="I173" s="44" t="s">
        <v>1181</v>
      </c>
      <c r="J173" s="328">
        <v>50</v>
      </c>
      <c r="K173" s="44">
        <v>0</v>
      </c>
      <c r="L173" s="44">
        <v>0</v>
      </c>
      <c r="M173" s="44">
        <v>0</v>
      </c>
      <c r="N173" s="44">
        <v>0</v>
      </c>
      <c r="O173" s="44">
        <v>0</v>
      </c>
      <c r="P173" s="44">
        <v>0</v>
      </c>
      <c r="Q173" s="44">
        <v>0</v>
      </c>
      <c r="R173" s="44">
        <v>0</v>
      </c>
      <c r="S173" s="44">
        <v>0</v>
      </c>
      <c r="T173" s="44">
        <v>0</v>
      </c>
      <c r="U173" s="44">
        <v>0</v>
      </c>
      <c r="V173" s="44">
        <v>0</v>
      </c>
      <c r="W173" s="44">
        <v>0</v>
      </c>
      <c r="X173" s="44">
        <v>0</v>
      </c>
      <c r="Y173" s="44">
        <v>0</v>
      </c>
      <c r="Z173" s="44">
        <v>0</v>
      </c>
      <c r="AA173" s="44">
        <v>0</v>
      </c>
      <c r="AB173" s="44">
        <v>0</v>
      </c>
      <c r="AC173" s="44">
        <v>2</v>
      </c>
      <c r="AD173" s="44">
        <v>13.5</v>
      </c>
      <c r="AE173" s="44">
        <v>10.8</v>
      </c>
      <c r="AF173" s="44">
        <v>8.65</v>
      </c>
      <c r="AG173" s="44">
        <v>6.9</v>
      </c>
      <c r="AH173" s="44">
        <v>5.55</v>
      </c>
      <c r="AI173" s="44">
        <v>4.4000000000000004</v>
      </c>
      <c r="AJ173" s="44">
        <v>3.55</v>
      </c>
      <c r="AK173" s="44">
        <v>2.85</v>
      </c>
      <c r="AL173" s="44">
        <v>2.25</v>
      </c>
      <c r="AM173" s="22" t="str">
        <f t="shared" ref="AM173" si="14">AN173&amp;" - "&amp;C173</f>
        <v>SUBS - UK</v>
      </c>
      <c r="AN173" s="333" t="s">
        <v>543</v>
      </c>
      <c r="AP173" s="471"/>
      <c r="AQ173" s="11"/>
      <c r="AR173" s="11"/>
      <c r="AS173" s="354"/>
      <c r="AU173" s="406"/>
      <c r="AV173" s="55"/>
      <c r="AW173" s="333"/>
      <c r="AX173" s="406"/>
      <c r="AY173" s="406"/>
      <c r="AZ173" s="538"/>
    </row>
    <row r="174" spans="1:52">
      <c r="A174" s="5"/>
      <c r="B174" s="44" t="s">
        <v>3369</v>
      </c>
      <c r="C174" s="44" t="s">
        <v>1281</v>
      </c>
      <c r="D174" s="44" t="s">
        <v>1853</v>
      </c>
      <c r="E174" s="44" t="s">
        <v>1927</v>
      </c>
      <c r="F174" s="44" t="s">
        <v>2960</v>
      </c>
      <c r="G174" s="44" t="s">
        <v>1931</v>
      </c>
      <c r="H174" s="44" t="s">
        <v>116</v>
      </c>
      <c r="I174" s="44" t="s">
        <v>2600</v>
      </c>
      <c r="J174" s="328">
        <v>50</v>
      </c>
      <c r="K174" s="44">
        <v>7.0000000000000007E-2</v>
      </c>
      <c r="L174" s="44">
        <v>0.02</v>
      </c>
      <c r="M174" s="44">
        <v>0.09</v>
      </c>
      <c r="N174" s="44">
        <v>0.05</v>
      </c>
      <c r="O174" s="44">
        <v>0</v>
      </c>
      <c r="P174" s="44">
        <v>0.04</v>
      </c>
      <c r="Q174" s="44">
        <v>0.04</v>
      </c>
      <c r="R174" s="44">
        <v>0.02</v>
      </c>
      <c r="S174" s="44">
        <v>0.01</v>
      </c>
      <c r="T174" s="44">
        <v>0</v>
      </c>
      <c r="U174" s="44">
        <v>0</v>
      </c>
      <c r="V174" s="44">
        <v>0</v>
      </c>
      <c r="W174" s="44">
        <v>0</v>
      </c>
      <c r="X174" s="44">
        <v>0</v>
      </c>
      <c r="Y174" s="44">
        <v>0</v>
      </c>
      <c r="Z174" s="44">
        <v>0</v>
      </c>
      <c r="AA174" s="44">
        <v>0</v>
      </c>
      <c r="AB174" s="44">
        <v>0</v>
      </c>
      <c r="AC174" s="44">
        <v>0</v>
      </c>
      <c r="AD174" s="44">
        <v>0</v>
      </c>
      <c r="AE174" s="44">
        <v>0</v>
      </c>
      <c r="AF174" s="44">
        <v>0</v>
      </c>
      <c r="AG174" s="44">
        <v>0</v>
      </c>
      <c r="AH174" s="44">
        <v>0</v>
      </c>
      <c r="AI174" s="44">
        <v>0</v>
      </c>
      <c r="AJ174" s="44">
        <v>0</v>
      </c>
      <c r="AK174" s="44">
        <v>0</v>
      </c>
      <c r="AL174" s="44">
        <v>0</v>
      </c>
      <c r="AM174" s="22" t="str">
        <f t="shared" si="13"/>
        <v>SUBS - UK</v>
      </c>
      <c r="AN174" s="333" t="s">
        <v>543</v>
      </c>
      <c r="AP174" s="471"/>
      <c r="AQ174" s="11"/>
      <c r="AR174" s="11"/>
      <c r="AS174" s="354"/>
      <c r="AU174" s="406"/>
      <c r="AV174" s="55"/>
      <c r="AW174" s="333"/>
      <c r="AX174" s="406"/>
      <c r="AY174" s="406"/>
      <c r="AZ174" s="538"/>
    </row>
    <row r="175" spans="1:52">
      <c r="A175" s="5"/>
      <c r="B175" s="44" t="s">
        <v>3369</v>
      </c>
      <c r="C175" s="44" t="s">
        <v>1281</v>
      </c>
      <c r="D175" s="44" t="s">
        <v>3683</v>
      </c>
      <c r="E175" s="44" t="s">
        <v>1927</v>
      </c>
      <c r="F175" s="44" t="s">
        <v>2960</v>
      </c>
      <c r="G175" s="44" t="s">
        <v>1929</v>
      </c>
      <c r="H175" s="44" t="s">
        <v>116</v>
      </c>
      <c r="I175" s="44" t="s">
        <v>2602</v>
      </c>
      <c r="J175" s="328">
        <v>27.5</v>
      </c>
      <c r="K175" s="44">
        <v>15.41</v>
      </c>
      <c r="L175" s="44">
        <v>16.37</v>
      </c>
      <c r="M175" s="44">
        <v>8.69</v>
      </c>
      <c r="N175" s="44">
        <v>6.04</v>
      </c>
      <c r="O175" s="44">
        <v>3.36</v>
      </c>
      <c r="P175" s="44">
        <v>1.34</v>
      </c>
      <c r="Q175" s="44">
        <v>1.82</v>
      </c>
      <c r="R175" s="44">
        <v>1.86</v>
      </c>
      <c r="S175" s="44">
        <v>0.79</v>
      </c>
      <c r="T175" s="44">
        <v>0.21</v>
      </c>
      <c r="U175" s="44">
        <v>0</v>
      </c>
      <c r="V175" s="44">
        <v>0</v>
      </c>
      <c r="W175" s="44">
        <v>2.7</v>
      </c>
      <c r="X175" s="44">
        <v>3.94</v>
      </c>
      <c r="Y175" s="44">
        <v>4.26</v>
      </c>
      <c r="Z175" s="44">
        <v>5.61</v>
      </c>
      <c r="AA175" s="44">
        <v>3.04</v>
      </c>
      <c r="AB175" s="44">
        <v>1.64</v>
      </c>
      <c r="AC175" s="44">
        <v>3.74</v>
      </c>
      <c r="AD175" s="44">
        <v>3.3</v>
      </c>
      <c r="AE175" s="44">
        <v>2.42</v>
      </c>
      <c r="AF175" s="44">
        <v>1.72</v>
      </c>
      <c r="AG175" s="44">
        <v>1.19</v>
      </c>
      <c r="AH175" s="44">
        <v>0.84</v>
      </c>
      <c r="AI175" s="44">
        <v>1.32</v>
      </c>
      <c r="AJ175" s="44">
        <v>0.99</v>
      </c>
      <c r="AK175" s="44">
        <v>0.78</v>
      </c>
      <c r="AL175" s="44">
        <v>0.62</v>
      </c>
      <c r="AM175" s="22" t="str">
        <f t="shared" si="13"/>
        <v>SUBS - UK</v>
      </c>
      <c r="AN175" s="333" t="s">
        <v>543</v>
      </c>
      <c r="AP175" s="471"/>
      <c r="AQ175" s="11"/>
      <c r="AR175" s="11"/>
      <c r="AS175" s="354"/>
      <c r="AU175" s="406"/>
      <c r="AV175" s="55"/>
      <c r="AW175" s="333"/>
      <c r="AX175" s="406"/>
      <c r="AY175" s="406"/>
      <c r="AZ175" s="538"/>
    </row>
    <row r="176" spans="1:52">
      <c r="A176" s="5"/>
      <c r="B176" s="44" t="s">
        <v>3369</v>
      </c>
      <c r="C176" s="44" t="s">
        <v>1281</v>
      </c>
      <c r="D176" s="44" t="s">
        <v>1854</v>
      </c>
      <c r="E176" s="44" t="s">
        <v>1927</v>
      </c>
      <c r="F176" s="44" t="s">
        <v>2960</v>
      </c>
      <c r="G176" s="44" t="s">
        <v>1932</v>
      </c>
      <c r="H176" s="44" t="s">
        <v>116</v>
      </c>
      <c r="I176" s="44" t="s">
        <v>2600</v>
      </c>
      <c r="J176" s="328">
        <v>33.333300000000001</v>
      </c>
      <c r="K176" s="44">
        <v>5.27</v>
      </c>
      <c r="L176" s="44">
        <v>4.62</v>
      </c>
      <c r="M176" s="44">
        <v>3.11</v>
      </c>
      <c r="N176" s="44">
        <v>0</v>
      </c>
      <c r="O176" s="44">
        <v>0</v>
      </c>
      <c r="P176" s="44">
        <v>0</v>
      </c>
      <c r="Q176" s="44">
        <v>0</v>
      </c>
      <c r="R176" s="44">
        <v>0</v>
      </c>
      <c r="S176" s="44">
        <v>0</v>
      </c>
      <c r="T176" s="44">
        <v>0</v>
      </c>
      <c r="U176" s="44">
        <v>0</v>
      </c>
      <c r="V176" s="44">
        <v>0</v>
      </c>
      <c r="W176" s="44">
        <v>0</v>
      </c>
      <c r="X176" s="44">
        <v>0</v>
      </c>
      <c r="Y176" s="44">
        <v>0</v>
      </c>
      <c r="Z176" s="44">
        <v>0</v>
      </c>
      <c r="AA176" s="44">
        <v>0</v>
      </c>
      <c r="AB176" s="44">
        <v>0</v>
      </c>
      <c r="AC176" s="44">
        <v>0</v>
      </c>
      <c r="AD176" s="44">
        <v>0</v>
      </c>
      <c r="AE176" s="44">
        <v>0</v>
      </c>
      <c r="AF176" s="44">
        <v>0</v>
      </c>
      <c r="AG176" s="44">
        <v>0</v>
      </c>
      <c r="AH176" s="44">
        <v>0</v>
      </c>
      <c r="AI176" s="44">
        <v>0</v>
      </c>
      <c r="AJ176" s="44">
        <v>0</v>
      </c>
      <c r="AK176" s="44">
        <v>0</v>
      </c>
      <c r="AL176" s="44">
        <v>0</v>
      </c>
      <c r="AM176" s="22" t="str">
        <f t="shared" si="13"/>
        <v>SUBS - UK</v>
      </c>
      <c r="AN176" s="333" t="s">
        <v>543</v>
      </c>
      <c r="AP176" s="471"/>
      <c r="AQ176" s="11"/>
      <c r="AR176" s="11"/>
      <c r="AS176" s="354"/>
      <c r="AU176" s="406"/>
      <c r="AV176" s="55"/>
      <c r="AW176" s="333"/>
      <c r="AX176" s="406"/>
      <c r="AY176" s="406"/>
      <c r="AZ176" s="538"/>
    </row>
    <row r="177" spans="1:52">
      <c r="A177" s="5"/>
      <c r="B177" s="44" t="s">
        <v>3369</v>
      </c>
      <c r="C177" s="44" t="s">
        <v>1281</v>
      </c>
      <c r="D177" s="44" t="s">
        <v>1855</v>
      </c>
      <c r="E177" s="44" t="s">
        <v>1927</v>
      </c>
      <c r="F177" s="44" t="s">
        <v>2960</v>
      </c>
      <c r="G177" s="44" t="s">
        <v>1932</v>
      </c>
      <c r="H177" s="44" t="s">
        <v>116</v>
      </c>
      <c r="I177" s="44" t="s">
        <v>2600</v>
      </c>
      <c r="J177" s="328">
        <v>1</v>
      </c>
      <c r="K177" s="44">
        <v>0.05</v>
      </c>
      <c r="L177" s="44">
        <v>0.04</v>
      </c>
      <c r="M177" s="44">
        <v>0.03</v>
      </c>
      <c r="N177" s="44">
        <v>0.04</v>
      </c>
      <c r="O177" s="44">
        <v>0.04</v>
      </c>
      <c r="P177" s="44">
        <v>0.02</v>
      </c>
      <c r="Q177" s="44">
        <v>0.03</v>
      </c>
      <c r="R177" s="44">
        <v>0.04</v>
      </c>
      <c r="S177" s="44">
        <v>0.05</v>
      </c>
      <c r="T177" s="44">
        <v>0.08</v>
      </c>
      <c r="U177" s="44">
        <v>0.08</v>
      </c>
      <c r="V177" s="44">
        <v>0.09</v>
      </c>
      <c r="W177" s="44">
        <v>0.09</v>
      </c>
      <c r="X177" s="44">
        <v>0.08</v>
      </c>
      <c r="Y177" s="44">
        <v>0.08</v>
      </c>
      <c r="Z177" s="44">
        <v>0.09</v>
      </c>
      <c r="AA177" s="44">
        <v>0.08</v>
      </c>
      <c r="AB177" s="44">
        <v>0.08</v>
      </c>
      <c r="AC177" s="44">
        <v>7.0000000000000007E-2</v>
      </c>
      <c r="AD177" s="44">
        <v>0.06</v>
      </c>
      <c r="AE177" s="44">
        <v>0.05</v>
      </c>
      <c r="AF177" s="44">
        <v>0.05</v>
      </c>
      <c r="AG177" s="44">
        <v>0</v>
      </c>
      <c r="AH177" s="44">
        <v>0</v>
      </c>
      <c r="AI177" s="44">
        <v>0</v>
      </c>
      <c r="AJ177" s="44">
        <v>0</v>
      </c>
      <c r="AK177" s="44">
        <v>0</v>
      </c>
      <c r="AL177" s="44">
        <v>0</v>
      </c>
      <c r="AM177" s="22" t="str">
        <f t="shared" si="13"/>
        <v>SUBS - UK</v>
      </c>
      <c r="AN177" s="333" t="s">
        <v>543</v>
      </c>
      <c r="AP177" s="471"/>
      <c r="AQ177" s="11"/>
      <c r="AR177" s="11"/>
      <c r="AS177" s="354"/>
      <c r="AU177" s="406"/>
      <c r="AV177" s="55"/>
      <c r="AW177" s="333"/>
      <c r="AX177" s="406"/>
      <c r="AY177" s="406"/>
      <c r="AZ177" s="538"/>
    </row>
    <row r="178" spans="1:52">
      <c r="A178" s="5"/>
      <c r="B178" s="44" t="s">
        <v>3369</v>
      </c>
      <c r="C178" s="44" t="s">
        <v>1281</v>
      </c>
      <c r="D178" s="44" t="s">
        <v>3669</v>
      </c>
      <c r="E178" s="44" t="s">
        <v>3372</v>
      </c>
      <c r="F178" s="44" t="s">
        <v>2960</v>
      </c>
      <c r="G178" s="44" t="s">
        <v>3374</v>
      </c>
      <c r="H178" s="44" t="s">
        <v>116</v>
      </c>
      <c r="I178" s="44" t="s">
        <v>2571</v>
      </c>
      <c r="J178" s="328">
        <v>68</v>
      </c>
      <c r="K178" s="44">
        <v>0</v>
      </c>
      <c r="L178" s="44">
        <v>0</v>
      </c>
      <c r="M178" s="44">
        <v>0</v>
      </c>
      <c r="N178" s="44">
        <v>0</v>
      </c>
      <c r="O178" s="44">
        <v>0</v>
      </c>
      <c r="P178" s="44">
        <v>0</v>
      </c>
      <c r="Q178" s="44">
        <v>0</v>
      </c>
      <c r="R178" s="44">
        <v>0</v>
      </c>
      <c r="S178" s="44">
        <v>0</v>
      </c>
      <c r="T178" s="44">
        <v>0</v>
      </c>
      <c r="U178" s="44">
        <v>0</v>
      </c>
      <c r="V178" s="44">
        <v>0</v>
      </c>
      <c r="W178" s="44">
        <v>0</v>
      </c>
      <c r="X178" s="44">
        <v>0</v>
      </c>
      <c r="Y178" s="44">
        <v>0</v>
      </c>
      <c r="Z178" s="44">
        <v>0</v>
      </c>
      <c r="AA178" s="44">
        <v>0</v>
      </c>
      <c r="AB178" s="44">
        <v>4.42</v>
      </c>
      <c r="AC178" s="44">
        <v>6.8</v>
      </c>
      <c r="AD178" s="44">
        <v>5.0999999999999996</v>
      </c>
      <c r="AE178" s="44">
        <v>3.74</v>
      </c>
      <c r="AF178" s="44">
        <v>2.72</v>
      </c>
      <c r="AG178" s="44">
        <v>2.04</v>
      </c>
      <c r="AH178" s="44">
        <v>1.7</v>
      </c>
      <c r="AI178" s="44">
        <v>1.36</v>
      </c>
      <c r="AJ178" s="44">
        <v>0</v>
      </c>
      <c r="AK178" s="44">
        <v>0</v>
      </c>
      <c r="AL178" s="44">
        <v>0</v>
      </c>
      <c r="AM178" s="22" t="str">
        <f t="shared" ref="AM178" si="15">AN178&amp;" - "&amp;C178</f>
        <v>SUBS - UK</v>
      </c>
      <c r="AN178" s="333" t="s">
        <v>543</v>
      </c>
      <c r="AP178" s="471"/>
      <c r="AQ178" s="11"/>
      <c r="AR178" s="11"/>
      <c r="AS178" s="354"/>
      <c r="AU178" s="406"/>
      <c r="AV178" s="55"/>
      <c r="AW178" s="333"/>
      <c r="AX178" s="406"/>
      <c r="AY178" s="406"/>
      <c r="AZ178" s="538"/>
    </row>
    <row r="179" spans="1:52">
      <c r="A179" s="5"/>
      <c r="B179" s="44" t="s">
        <v>3369</v>
      </c>
      <c r="C179" s="44" t="s">
        <v>1281</v>
      </c>
      <c r="D179" s="44" t="s">
        <v>1856</v>
      </c>
      <c r="E179" s="44" t="s">
        <v>1927</v>
      </c>
      <c r="F179" s="44" t="s">
        <v>2960</v>
      </c>
      <c r="G179" s="44" t="s">
        <v>1932</v>
      </c>
      <c r="H179" s="44" t="s">
        <v>116</v>
      </c>
      <c r="I179" s="44" t="s">
        <v>1931</v>
      </c>
      <c r="J179" s="328">
        <v>67.81</v>
      </c>
      <c r="K179" s="44">
        <v>32.83</v>
      </c>
      <c r="L179" s="44">
        <v>25.64</v>
      </c>
      <c r="M179" s="44">
        <v>21.53</v>
      </c>
      <c r="N179" s="44">
        <v>17.329999999999998</v>
      </c>
      <c r="O179" s="44">
        <v>14.76</v>
      </c>
      <c r="P179" s="44">
        <v>15.08</v>
      </c>
      <c r="Q179" s="44">
        <v>14.1</v>
      </c>
      <c r="R179" s="44">
        <v>10.9</v>
      </c>
      <c r="S179" s="44">
        <v>0</v>
      </c>
      <c r="T179" s="44">
        <v>0</v>
      </c>
      <c r="U179" s="44">
        <v>0</v>
      </c>
      <c r="V179" s="44">
        <v>0</v>
      </c>
      <c r="W179" s="44">
        <v>0</v>
      </c>
      <c r="X179" s="44">
        <v>0</v>
      </c>
      <c r="Y179" s="44">
        <v>0</v>
      </c>
      <c r="Z179" s="44">
        <v>0</v>
      </c>
      <c r="AA179" s="44">
        <v>0</v>
      </c>
      <c r="AB179" s="44">
        <v>0</v>
      </c>
      <c r="AC179" s="44">
        <v>0</v>
      </c>
      <c r="AD179" s="44">
        <v>0</v>
      </c>
      <c r="AE179" s="44">
        <v>0</v>
      </c>
      <c r="AF179" s="44">
        <v>0</v>
      </c>
      <c r="AG179" s="44">
        <v>0</v>
      </c>
      <c r="AH179" s="44">
        <v>0</v>
      </c>
      <c r="AI179" s="44">
        <v>0</v>
      </c>
      <c r="AJ179" s="44">
        <v>0</v>
      </c>
      <c r="AK179" s="44">
        <v>0</v>
      </c>
      <c r="AL179" s="44">
        <v>0</v>
      </c>
      <c r="AM179" s="22" t="str">
        <f t="shared" si="13"/>
        <v>SUBS - UK</v>
      </c>
      <c r="AN179" s="333" t="s">
        <v>543</v>
      </c>
      <c r="AP179" s="471"/>
      <c r="AQ179" s="11"/>
      <c r="AR179" s="11"/>
      <c r="AS179" s="354"/>
      <c r="AU179" s="406"/>
      <c r="AV179" s="55"/>
      <c r="AW179" s="333"/>
      <c r="AX179" s="406"/>
      <c r="AY179" s="406"/>
      <c r="AZ179" s="538"/>
    </row>
    <row r="180" spans="1:52">
      <c r="A180" s="5"/>
      <c r="B180" s="44" t="s">
        <v>3369</v>
      </c>
      <c r="C180" s="44" t="s">
        <v>2924</v>
      </c>
      <c r="D180" s="44" t="s">
        <v>3528</v>
      </c>
      <c r="E180" s="44" t="s">
        <v>1927</v>
      </c>
      <c r="F180" s="44" t="s">
        <v>1928</v>
      </c>
      <c r="G180" s="44" t="s">
        <v>1932</v>
      </c>
      <c r="H180" s="44" t="s">
        <v>1930</v>
      </c>
      <c r="I180" s="44" t="s">
        <v>1933</v>
      </c>
      <c r="J180" s="328">
        <v>9.5</v>
      </c>
      <c r="K180" s="44">
        <v>108.25</v>
      </c>
      <c r="L180" s="44">
        <v>115.12</v>
      </c>
      <c r="M180" s="44">
        <v>115.02</v>
      </c>
      <c r="N180" s="44">
        <v>128.08000000000001</v>
      </c>
      <c r="O180" s="44">
        <v>128.25</v>
      </c>
      <c r="P180" s="44">
        <v>128.22999999999999</v>
      </c>
      <c r="Q180" s="44">
        <v>110.37</v>
      </c>
      <c r="R180" s="44">
        <v>116.99</v>
      </c>
      <c r="S180" s="44">
        <v>124.28</v>
      </c>
      <c r="T180" s="44">
        <v>126.82</v>
      </c>
      <c r="U180" s="44">
        <v>139.01</v>
      </c>
      <c r="V180" s="44">
        <v>11.58</v>
      </c>
      <c r="W180" s="44">
        <v>0</v>
      </c>
      <c r="X180" s="44">
        <v>0</v>
      </c>
      <c r="Y180" s="44">
        <v>0</v>
      </c>
      <c r="Z180" s="44">
        <v>0</v>
      </c>
      <c r="AA180" s="44">
        <v>0</v>
      </c>
      <c r="AB180" s="44">
        <v>0</v>
      </c>
      <c r="AC180" s="44">
        <v>0</v>
      </c>
      <c r="AD180" s="44">
        <v>0</v>
      </c>
      <c r="AE180" s="44">
        <v>0</v>
      </c>
      <c r="AF180" s="44">
        <v>0</v>
      </c>
      <c r="AG180" s="44">
        <v>0</v>
      </c>
      <c r="AH180" s="44">
        <v>0</v>
      </c>
      <c r="AI180" s="44">
        <v>0</v>
      </c>
      <c r="AJ180" s="44">
        <v>0</v>
      </c>
      <c r="AK180" s="44">
        <v>0</v>
      </c>
      <c r="AL180" s="44">
        <v>0</v>
      </c>
      <c r="AM180" s="22" t="str">
        <f t="shared" ref="AM180:AM224" si="16">AN180&amp;" - "&amp;C180</f>
        <v>EAI - United Arab Emirates</v>
      </c>
      <c r="AN180" s="333" t="s">
        <v>3119</v>
      </c>
      <c r="AP180" s="471"/>
      <c r="AQ180" s="11"/>
      <c r="AR180" s="11"/>
      <c r="AS180" s="354"/>
      <c r="AU180" s="406"/>
      <c r="AV180" s="55"/>
      <c r="AW180" s="333"/>
      <c r="AX180" s="406"/>
      <c r="AY180" s="406"/>
      <c r="AZ180" s="538"/>
    </row>
    <row r="181" spans="1:52">
      <c r="A181" s="5"/>
      <c r="B181" s="44" t="s">
        <v>3369</v>
      </c>
      <c r="C181" s="44" t="s">
        <v>2924</v>
      </c>
      <c r="D181" s="44" t="s">
        <v>3676</v>
      </c>
      <c r="E181" s="44" t="s">
        <v>1927</v>
      </c>
      <c r="F181" s="44" t="s">
        <v>1928</v>
      </c>
      <c r="G181" s="44" t="s">
        <v>1932</v>
      </c>
      <c r="H181" s="44" t="s">
        <v>1930</v>
      </c>
      <c r="I181" s="44" t="s">
        <v>1933</v>
      </c>
      <c r="J181" s="328">
        <v>10</v>
      </c>
      <c r="K181" s="44">
        <v>0</v>
      </c>
      <c r="L181" s="44">
        <v>0</v>
      </c>
      <c r="M181" s="44">
        <v>0</v>
      </c>
      <c r="N181" s="44">
        <v>0</v>
      </c>
      <c r="O181" s="44">
        <v>0</v>
      </c>
      <c r="P181" s="44">
        <v>0</v>
      </c>
      <c r="Q181" s="44">
        <v>0</v>
      </c>
      <c r="R181" s="44">
        <v>0</v>
      </c>
      <c r="S181" s="44">
        <v>0</v>
      </c>
      <c r="T181" s="44">
        <v>0</v>
      </c>
      <c r="U181" s="44">
        <v>0</v>
      </c>
      <c r="V181" s="44">
        <v>0</v>
      </c>
      <c r="W181" s="44">
        <v>158.4</v>
      </c>
      <c r="X181" s="44">
        <v>165.1</v>
      </c>
      <c r="Y181" s="44">
        <v>167.07</v>
      </c>
      <c r="Z181" s="44">
        <v>169.07</v>
      </c>
      <c r="AA181" s="44">
        <v>169.34</v>
      </c>
      <c r="AB181" s="44">
        <v>170.17</v>
      </c>
      <c r="AC181" s="44">
        <v>172.44</v>
      </c>
      <c r="AD181" s="44">
        <v>174.21</v>
      </c>
      <c r="AE181" s="44">
        <v>177</v>
      </c>
      <c r="AF181" s="44">
        <v>176.79</v>
      </c>
      <c r="AG181" s="44">
        <v>175.8</v>
      </c>
      <c r="AH181" s="44">
        <v>174.88</v>
      </c>
      <c r="AI181" s="44">
        <v>174.03</v>
      </c>
      <c r="AJ181" s="44">
        <v>173.23</v>
      </c>
      <c r="AK181" s="44">
        <v>172.4</v>
      </c>
      <c r="AL181" s="44">
        <v>171.61</v>
      </c>
      <c r="AM181" s="687" t="str">
        <f t="shared" ref="AM181" si="17">AN181&amp;" - "&amp;C181</f>
        <v>SUBS - United Arab Emirates</v>
      </c>
      <c r="AN181" s="687" t="s">
        <v>543</v>
      </c>
      <c r="AP181" s="471"/>
      <c r="AQ181" s="11"/>
      <c r="AR181" s="11"/>
      <c r="AS181" s="354"/>
      <c r="AU181" s="406"/>
      <c r="AV181" s="55"/>
      <c r="AW181" s="333"/>
      <c r="AX181" s="406"/>
      <c r="AY181" s="406"/>
      <c r="AZ181" s="538"/>
    </row>
    <row r="182" spans="1:52">
      <c r="A182" s="5"/>
      <c r="B182" s="44" t="s">
        <v>3369</v>
      </c>
      <c r="C182" s="44" t="s">
        <v>2924</v>
      </c>
      <c r="D182" s="44" t="s">
        <v>2932</v>
      </c>
      <c r="E182" s="44" t="s">
        <v>1927</v>
      </c>
      <c r="F182" s="44" t="s">
        <v>2960</v>
      </c>
      <c r="G182" s="44" t="s">
        <v>1932</v>
      </c>
      <c r="H182" s="44" t="s">
        <v>2966</v>
      </c>
      <c r="I182" s="44" t="s">
        <v>2600</v>
      </c>
      <c r="J182" s="328">
        <v>14.66</v>
      </c>
      <c r="K182" s="44">
        <v>64.400000000000006</v>
      </c>
      <c r="L182" s="44">
        <v>64.23</v>
      </c>
      <c r="M182" s="44">
        <v>69.97</v>
      </c>
      <c r="N182" s="44">
        <v>78.180000000000007</v>
      </c>
      <c r="O182" s="44">
        <v>71.849999999999994</v>
      </c>
      <c r="P182" s="44">
        <v>79.709999999999994</v>
      </c>
      <c r="Q182" s="44">
        <v>69.510000000000005</v>
      </c>
      <c r="R182" s="44">
        <v>70.459999999999994</v>
      </c>
      <c r="S182" s="44">
        <v>81.73</v>
      </c>
      <c r="T182" s="44">
        <v>87.99</v>
      </c>
      <c r="U182" s="44">
        <v>89.41</v>
      </c>
      <c r="V182" s="44">
        <v>90.93</v>
      </c>
      <c r="W182" s="44">
        <v>95.49</v>
      </c>
      <c r="X182" s="44">
        <v>101.35</v>
      </c>
      <c r="Y182" s="44">
        <v>102.65</v>
      </c>
      <c r="Z182" s="44">
        <v>19.8</v>
      </c>
      <c r="AA182" s="44">
        <v>0</v>
      </c>
      <c r="AB182" s="44">
        <v>0</v>
      </c>
      <c r="AC182" s="44">
        <v>0</v>
      </c>
      <c r="AD182" s="44">
        <v>0</v>
      </c>
      <c r="AE182" s="44">
        <v>0</v>
      </c>
      <c r="AF182" s="44">
        <v>0</v>
      </c>
      <c r="AG182" s="44">
        <v>0</v>
      </c>
      <c r="AH182" s="44">
        <v>0</v>
      </c>
      <c r="AI182" s="44">
        <v>0</v>
      </c>
      <c r="AJ182" s="44">
        <v>0</v>
      </c>
      <c r="AK182" s="44">
        <v>0</v>
      </c>
      <c r="AL182" s="44">
        <v>0</v>
      </c>
      <c r="AM182" s="22" t="str">
        <f t="shared" si="16"/>
        <v>EAI - United Arab Emirates</v>
      </c>
      <c r="AN182" s="333" t="s">
        <v>3119</v>
      </c>
      <c r="AP182" s="471"/>
      <c r="AQ182" s="11"/>
      <c r="AR182" s="11"/>
      <c r="AS182" s="354"/>
      <c r="AU182" s="406"/>
      <c r="AV182" s="55"/>
      <c r="AW182" s="333"/>
      <c r="AX182" s="406"/>
      <c r="AY182" s="406"/>
      <c r="AZ182" s="538"/>
    </row>
    <row r="183" spans="1:52">
      <c r="A183" s="5"/>
      <c r="B183" s="44" t="s">
        <v>3369</v>
      </c>
      <c r="C183" s="44" t="s">
        <v>2924</v>
      </c>
      <c r="D183" s="44" t="s">
        <v>1702</v>
      </c>
      <c r="E183" s="44" t="s">
        <v>1927</v>
      </c>
      <c r="F183" s="44" t="s">
        <v>2960</v>
      </c>
      <c r="G183" s="44" t="s">
        <v>1932</v>
      </c>
      <c r="H183" s="44" t="s">
        <v>1930</v>
      </c>
      <c r="I183" s="44" t="s">
        <v>2600</v>
      </c>
      <c r="J183" s="328">
        <v>3</v>
      </c>
      <c r="K183" s="44">
        <v>0.32</v>
      </c>
      <c r="L183" s="44">
        <v>0.3</v>
      </c>
      <c r="M183" s="44">
        <v>0.27</v>
      </c>
      <c r="N183" s="44">
        <v>0.26</v>
      </c>
      <c r="O183" s="44">
        <v>0.24</v>
      </c>
      <c r="P183" s="44">
        <v>0.21</v>
      </c>
      <c r="Q183" s="44">
        <v>0.21</v>
      </c>
      <c r="R183" s="44">
        <v>0.2</v>
      </c>
      <c r="S183" s="44">
        <v>0.16</v>
      </c>
      <c r="T183" s="44">
        <v>0.2</v>
      </c>
      <c r="U183" s="44">
        <v>0.18</v>
      </c>
      <c r="V183" s="44">
        <v>0.2</v>
      </c>
      <c r="W183" s="44">
        <v>0</v>
      </c>
      <c r="X183" s="44">
        <v>0</v>
      </c>
      <c r="Y183" s="44">
        <v>0</v>
      </c>
      <c r="Z183" s="44">
        <v>0</v>
      </c>
      <c r="AA183" s="44">
        <v>0</v>
      </c>
      <c r="AB183" s="44">
        <v>0</v>
      </c>
      <c r="AC183" s="44">
        <v>0</v>
      </c>
      <c r="AD183" s="44">
        <v>0</v>
      </c>
      <c r="AE183" s="44">
        <v>0</v>
      </c>
      <c r="AF183" s="44">
        <v>0</v>
      </c>
      <c r="AG183" s="44">
        <v>0</v>
      </c>
      <c r="AH183" s="44">
        <v>0</v>
      </c>
      <c r="AI183" s="44">
        <v>0</v>
      </c>
      <c r="AJ183" s="44">
        <v>0</v>
      </c>
      <c r="AK183" s="44">
        <v>0</v>
      </c>
      <c r="AL183" s="44">
        <v>0</v>
      </c>
      <c r="AM183" s="22" t="str">
        <f t="shared" si="16"/>
        <v>EAI - United Arab Emirates</v>
      </c>
      <c r="AN183" s="333" t="s">
        <v>3119</v>
      </c>
      <c r="AP183" s="471"/>
      <c r="AQ183" s="11"/>
      <c r="AR183" s="11"/>
      <c r="AS183" s="354"/>
      <c r="AU183" s="406"/>
      <c r="AV183" s="55"/>
      <c r="AW183" s="333"/>
      <c r="AX183" s="406"/>
      <c r="AY183" s="406"/>
      <c r="AZ183" s="538"/>
    </row>
    <row r="184" spans="1:52">
      <c r="A184" s="5"/>
      <c r="B184" s="44" t="s">
        <v>3369</v>
      </c>
      <c r="C184" s="44" t="s">
        <v>2924</v>
      </c>
      <c r="D184" s="44" t="s">
        <v>2925</v>
      </c>
      <c r="E184" s="44" t="s">
        <v>1927</v>
      </c>
      <c r="F184" s="44" t="s">
        <v>1928</v>
      </c>
      <c r="G184" s="44" t="s">
        <v>1929</v>
      </c>
      <c r="H184" s="44" t="s">
        <v>116</v>
      </c>
      <c r="I184" s="44" t="s">
        <v>1931</v>
      </c>
      <c r="J184" s="328">
        <v>40</v>
      </c>
      <c r="K184" s="44">
        <v>11.2</v>
      </c>
      <c r="L184" s="44">
        <v>11.18</v>
      </c>
      <c r="M184" s="44">
        <v>11.5</v>
      </c>
      <c r="N184" s="44">
        <v>11.81</v>
      </c>
      <c r="O184" s="44">
        <v>8.7100000000000009</v>
      </c>
      <c r="P184" s="44">
        <v>6.99</v>
      </c>
      <c r="Q184" s="44">
        <v>5.52</v>
      </c>
      <c r="R184" s="44">
        <v>4.3899999999999997</v>
      </c>
      <c r="S184" s="44">
        <v>2.99</v>
      </c>
      <c r="T184" s="44">
        <v>0</v>
      </c>
      <c r="U184" s="44">
        <v>0</v>
      </c>
      <c r="V184" s="44">
        <v>0</v>
      </c>
      <c r="W184" s="44">
        <v>0</v>
      </c>
      <c r="X184" s="44">
        <v>0</v>
      </c>
      <c r="Y184" s="44">
        <v>0</v>
      </c>
      <c r="Z184" s="44">
        <v>0</v>
      </c>
      <c r="AA184" s="44">
        <v>0</v>
      </c>
      <c r="AB184" s="44">
        <v>0</v>
      </c>
      <c r="AC184" s="44">
        <v>0</v>
      </c>
      <c r="AD184" s="44">
        <v>0</v>
      </c>
      <c r="AE184" s="44">
        <v>0</v>
      </c>
      <c r="AF184" s="44">
        <v>0</v>
      </c>
      <c r="AG184" s="44">
        <v>0</v>
      </c>
      <c r="AH184" s="44">
        <v>0</v>
      </c>
      <c r="AI184" s="44">
        <v>0</v>
      </c>
      <c r="AJ184" s="44">
        <v>0</v>
      </c>
      <c r="AK184" s="44">
        <v>0</v>
      </c>
      <c r="AL184" s="44">
        <v>0</v>
      </c>
      <c r="AM184" s="22" t="str">
        <f t="shared" si="16"/>
        <v>EAI - United Arab Emirates</v>
      </c>
      <c r="AN184" s="333" t="s">
        <v>3119</v>
      </c>
      <c r="AP184" s="471"/>
      <c r="AQ184" s="11"/>
      <c r="AR184" s="11"/>
      <c r="AS184" s="354"/>
      <c r="AU184" s="406"/>
      <c r="AV184" s="55"/>
      <c r="AW184" s="333"/>
      <c r="AX184" s="406"/>
      <c r="AY184" s="406"/>
      <c r="AZ184" s="538"/>
    </row>
    <row r="185" spans="1:52">
      <c r="A185" s="5"/>
      <c r="B185" s="44" t="s">
        <v>3369</v>
      </c>
      <c r="C185" s="44" t="s">
        <v>2926</v>
      </c>
      <c r="D185" s="44" t="s">
        <v>2927</v>
      </c>
      <c r="E185" s="44" t="s">
        <v>1927</v>
      </c>
      <c r="F185" s="44" t="s">
        <v>1928</v>
      </c>
      <c r="G185" s="44" t="s">
        <v>3374</v>
      </c>
      <c r="H185" s="44" t="s">
        <v>1930</v>
      </c>
      <c r="I185" s="44" t="s">
        <v>1931</v>
      </c>
      <c r="J185" s="328">
        <v>100</v>
      </c>
      <c r="K185" s="44">
        <v>0.2</v>
      </c>
      <c r="L185" s="44">
        <v>0</v>
      </c>
      <c r="M185" s="44">
        <v>0.41</v>
      </c>
      <c r="N185" s="44">
        <v>1.1599999999999999</v>
      </c>
      <c r="O185" s="44">
        <v>0.53</v>
      </c>
      <c r="P185" s="44">
        <v>0</v>
      </c>
      <c r="Q185" s="44">
        <v>0</v>
      </c>
      <c r="R185" s="44">
        <v>0.15</v>
      </c>
      <c r="S185" s="44">
        <v>0</v>
      </c>
      <c r="T185" s="44">
        <v>0</v>
      </c>
      <c r="U185" s="44">
        <v>0</v>
      </c>
      <c r="V185" s="44">
        <v>0</v>
      </c>
      <c r="W185" s="44">
        <v>0</v>
      </c>
      <c r="X185" s="44">
        <v>0</v>
      </c>
      <c r="Y185" s="44">
        <v>0</v>
      </c>
      <c r="Z185" s="44">
        <v>0</v>
      </c>
      <c r="AA185" s="44">
        <v>0</v>
      </c>
      <c r="AB185" s="44">
        <v>0</v>
      </c>
      <c r="AC185" s="44">
        <v>0</v>
      </c>
      <c r="AD185" s="44">
        <v>0</v>
      </c>
      <c r="AE185" s="44">
        <v>0</v>
      </c>
      <c r="AF185" s="44">
        <v>0</v>
      </c>
      <c r="AG185" s="44">
        <v>0</v>
      </c>
      <c r="AH185" s="44">
        <v>0</v>
      </c>
      <c r="AI185" s="44">
        <v>0</v>
      </c>
      <c r="AJ185" s="44">
        <v>0</v>
      </c>
      <c r="AK185" s="44">
        <v>0</v>
      </c>
      <c r="AL185" s="44">
        <v>0</v>
      </c>
      <c r="AM185" s="22" t="str">
        <f t="shared" si="16"/>
        <v>SUBS - US (Alaska)</v>
      </c>
      <c r="AN185" s="333" t="s">
        <v>543</v>
      </c>
      <c r="AP185" s="471"/>
      <c r="AQ185" s="11"/>
      <c r="AR185" s="11"/>
      <c r="AS185" s="354"/>
      <c r="AU185" s="406"/>
      <c r="AV185" s="55"/>
      <c r="AW185" s="333"/>
      <c r="AX185" s="406"/>
      <c r="AY185" s="406"/>
      <c r="AZ185" s="538"/>
    </row>
    <row r="186" spans="1:52">
      <c r="A186" s="5"/>
      <c r="B186" s="44" t="s">
        <v>3369</v>
      </c>
      <c r="C186" s="44" t="s">
        <v>2926</v>
      </c>
      <c r="D186" s="44" t="s">
        <v>2928</v>
      </c>
      <c r="E186" s="44" t="s">
        <v>1927</v>
      </c>
      <c r="F186" s="44" t="s">
        <v>2960</v>
      </c>
      <c r="G186" s="44" t="s">
        <v>3374</v>
      </c>
      <c r="H186" s="44" t="s">
        <v>1930</v>
      </c>
      <c r="I186" s="44" t="s">
        <v>2605</v>
      </c>
      <c r="J186" s="328">
        <v>100</v>
      </c>
      <c r="K186" s="44">
        <v>0.59</v>
      </c>
      <c r="L186" s="44">
        <v>0.28000000000000003</v>
      </c>
      <c r="M186" s="44">
        <v>0.08</v>
      </c>
      <c r="N186" s="44">
        <v>0.09</v>
      </c>
      <c r="O186" s="44">
        <v>0</v>
      </c>
      <c r="P186" s="44">
        <v>0</v>
      </c>
      <c r="Q186" s="44">
        <v>0.56000000000000005</v>
      </c>
      <c r="R186" s="44">
        <v>0.35</v>
      </c>
      <c r="S186" s="44">
        <v>0.51</v>
      </c>
      <c r="T186" s="44">
        <v>0.48</v>
      </c>
      <c r="U186" s="44">
        <v>0.51</v>
      </c>
      <c r="V186" s="44">
        <v>0.37</v>
      </c>
      <c r="W186" s="44">
        <v>0</v>
      </c>
      <c r="X186" s="44">
        <v>0</v>
      </c>
      <c r="Y186" s="44">
        <v>0</v>
      </c>
      <c r="Z186" s="44">
        <v>0</v>
      </c>
      <c r="AA186" s="44">
        <v>0</v>
      </c>
      <c r="AB186" s="44">
        <v>0</v>
      </c>
      <c r="AC186" s="44">
        <v>0</v>
      </c>
      <c r="AD186" s="44">
        <v>0</v>
      </c>
      <c r="AE186" s="44">
        <v>0</v>
      </c>
      <c r="AF186" s="44">
        <v>0</v>
      </c>
      <c r="AG186" s="44">
        <v>0</v>
      </c>
      <c r="AH186" s="44">
        <v>0</v>
      </c>
      <c r="AI186" s="44">
        <v>0</v>
      </c>
      <c r="AJ186" s="44">
        <v>0</v>
      </c>
      <c r="AK186" s="44">
        <v>0</v>
      </c>
      <c r="AL186" s="44">
        <v>0</v>
      </c>
      <c r="AM186" s="22" t="str">
        <f t="shared" si="16"/>
        <v>SUBS - US (Alaska)</v>
      </c>
      <c r="AN186" s="333" t="s">
        <v>543</v>
      </c>
      <c r="AP186" s="471"/>
      <c r="AQ186" s="11"/>
      <c r="AR186" s="11"/>
      <c r="AS186" s="354"/>
      <c r="AU186" s="406"/>
      <c r="AV186" s="55"/>
      <c r="AW186" s="333"/>
      <c r="AX186" s="406"/>
      <c r="AY186" s="406"/>
      <c r="AZ186" s="538"/>
    </row>
    <row r="187" spans="1:52">
      <c r="A187" s="5"/>
      <c r="B187" s="44" t="s">
        <v>3369</v>
      </c>
      <c r="C187" s="44" t="s">
        <v>2926</v>
      </c>
      <c r="D187" s="44" t="s">
        <v>2984</v>
      </c>
      <c r="E187" s="44" t="s">
        <v>1927</v>
      </c>
      <c r="F187" s="44" t="s">
        <v>2960</v>
      </c>
      <c r="G187" s="44" t="s">
        <v>3374</v>
      </c>
      <c r="H187" s="44" t="s">
        <v>1930</v>
      </c>
      <c r="I187" s="44" t="s">
        <v>2605</v>
      </c>
      <c r="J187" s="328">
        <v>67.92</v>
      </c>
      <c r="K187" s="44">
        <v>16.93</v>
      </c>
      <c r="L187" s="44">
        <v>13.6</v>
      </c>
      <c r="M187" s="44">
        <v>11.85</v>
      </c>
      <c r="N187" s="44">
        <v>9.5</v>
      </c>
      <c r="O187" s="44">
        <v>8.75</v>
      </c>
      <c r="P187" s="44">
        <v>8.7100000000000009</v>
      </c>
      <c r="Q187" s="44">
        <v>7.18</v>
      </c>
      <c r="R187" s="44">
        <v>7.11</v>
      </c>
      <c r="S187" s="44">
        <v>5.32</v>
      </c>
      <c r="T187" s="44">
        <v>5.21</v>
      </c>
      <c r="U187" s="44">
        <v>4.5</v>
      </c>
      <c r="V187" s="44">
        <v>3.76</v>
      </c>
      <c r="W187" s="44">
        <v>0</v>
      </c>
      <c r="X187" s="44">
        <v>0</v>
      </c>
      <c r="Y187" s="44">
        <v>0</v>
      </c>
      <c r="Z187" s="44">
        <v>0</v>
      </c>
      <c r="AA187" s="44">
        <v>0</v>
      </c>
      <c r="AB187" s="44">
        <v>0</v>
      </c>
      <c r="AC187" s="44">
        <v>0</v>
      </c>
      <c r="AD187" s="44">
        <v>0</v>
      </c>
      <c r="AE187" s="44">
        <v>0</v>
      </c>
      <c r="AF187" s="44">
        <v>0</v>
      </c>
      <c r="AG187" s="44">
        <v>0</v>
      </c>
      <c r="AH187" s="44">
        <v>0</v>
      </c>
      <c r="AI187" s="44">
        <v>0</v>
      </c>
      <c r="AJ187" s="44">
        <v>0</v>
      </c>
      <c r="AK187" s="44">
        <v>0</v>
      </c>
      <c r="AL187" s="44">
        <v>0</v>
      </c>
      <c r="AM187" s="22" t="str">
        <f t="shared" si="16"/>
        <v>SUBS - US (Alaska)</v>
      </c>
      <c r="AN187" s="333" t="s">
        <v>543</v>
      </c>
      <c r="AP187" s="471"/>
      <c r="AQ187" s="11"/>
      <c r="AR187" s="11"/>
      <c r="AS187" s="354"/>
      <c r="AU187" s="406"/>
      <c r="AV187" s="55"/>
      <c r="AW187" s="333"/>
      <c r="AX187" s="406"/>
      <c r="AY187" s="406"/>
      <c r="AZ187" s="538"/>
    </row>
    <row r="188" spans="1:52">
      <c r="A188" s="5"/>
      <c r="B188" s="44" t="s">
        <v>3369</v>
      </c>
      <c r="C188" s="44" t="s">
        <v>2926</v>
      </c>
      <c r="D188" s="44" t="s">
        <v>2985</v>
      </c>
      <c r="E188" s="44" t="s">
        <v>1927</v>
      </c>
      <c r="F188" s="44" t="s">
        <v>1928</v>
      </c>
      <c r="G188" s="44" t="s">
        <v>3374</v>
      </c>
      <c r="H188" s="44" t="s">
        <v>1930</v>
      </c>
      <c r="I188" s="44" t="s">
        <v>1933</v>
      </c>
      <c r="J188" s="328">
        <v>39.200000000000003</v>
      </c>
      <c r="K188" s="44">
        <v>54.9</v>
      </c>
      <c r="L188" s="44">
        <v>50.49</v>
      </c>
      <c r="M188" s="44">
        <v>48.17</v>
      </c>
      <c r="N188" s="44">
        <v>43.36</v>
      </c>
      <c r="O188" s="44">
        <v>40.98</v>
      </c>
      <c r="P188" s="44">
        <v>37.25</v>
      </c>
      <c r="Q188" s="44">
        <v>36.299999999999997</v>
      </c>
      <c r="R188" s="44">
        <v>33.26</v>
      </c>
      <c r="S188" s="44">
        <v>31.63</v>
      </c>
      <c r="T188" s="44">
        <v>30.51</v>
      </c>
      <c r="U188" s="44">
        <v>29.82</v>
      </c>
      <c r="V188" s="44">
        <v>29.03</v>
      </c>
      <c r="W188" s="44">
        <v>29.07</v>
      </c>
      <c r="X188" s="44">
        <v>29.49</v>
      </c>
      <c r="Y188" s="44">
        <v>29.6</v>
      </c>
      <c r="Z188" s="44">
        <v>29.24</v>
      </c>
      <c r="AA188" s="44">
        <v>29</v>
      </c>
      <c r="AB188" s="44">
        <v>28.74</v>
      </c>
      <c r="AC188" s="44">
        <v>28.33</v>
      </c>
      <c r="AD188" s="44">
        <v>27.04</v>
      </c>
      <c r="AE188" s="44">
        <v>25.8</v>
      </c>
      <c r="AF188" s="44">
        <v>24.58</v>
      </c>
      <c r="AG188" s="44">
        <v>23.35</v>
      </c>
      <c r="AH188" s="44">
        <v>21.57</v>
      </c>
      <c r="AI188" s="44">
        <v>19.920000000000002</v>
      </c>
      <c r="AJ188" s="44">
        <v>18.399999999999999</v>
      </c>
      <c r="AK188" s="44">
        <v>17</v>
      </c>
      <c r="AL188" s="44">
        <v>15.65</v>
      </c>
      <c r="AM188" s="22" t="str">
        <f t="shared" si="16"/>
        <v>SUBS - US (Alaska)</v>
      </c>
      <c r="AN188" s="333" t="s">
        <v>543</v>
      </c>
      <c r="AP188" s="471"/>
      <c r="AQ188" s="11"/>
      <c r="AR188" s="11"/>
      <c r="AS188" s="354"/>
      <c r="AU188" s="406"/>
      <c r="AV188" s="55"/>
      <c r="AW188" s="333"/>
      <c r="AX188" s="406"/>
      <c r="AY188" s="406"/>
      <c r="AZ188" s="538"/>
    </row>
    <row r="189" spans="1:52">
      <c r="A189" s="5"/>
      <c r="B189" s="44" t="s">
        <v>3369</v>
      </c>
      <c r="C189" s="44" t="s">
        <v>2926</v>
      </c>
      <c r="D189" s="44" t="s">
        <v>3529</v>
      </c>
      <c r="E189" s="44" t="s">
        <v>3372</v>
      </c>
      <c r="F189" s="44" t="s">
        <v>2960</v>
      </c>
      <c r="G189" s="44" t="s">
        <v>3374</v>
      </c>
      <c r="H189" s="44" t="s">
        <v>1930</v>
      </c>
      <c r="I189" s="44" t="s">
        <v>2605</v>
      </c>
      <c r="J189" s="328">
        <v>50</v>
      </c>
      <c r="K189" s="44">
        <v>0</v>
      </c>
      <c r="L189" s="44">
        <v>0</v>
      </c>
      <c r="M189" s="44">
        <v>0</v>
      </c>
      <c r="N189" s="44">
        <v>0</v>
      </c>
      <c r="O189" s="44">
        <v>0</v>
      </c>
      <c r="P189" s="44">
        <v>0</v>
      </c>
      <c r="Q189" s="44">
        <v>0</v>
      </c>
      <c r="R189" s="44">
        <v>0</v>
      </c>
      <c r="S189" s="44">
        <v>0</v>
      </c>
      <c r="T189" s="44">
        <v>0</v>
      </c>
      <c r="U189" s="44">
        <v>0</v>
      </c>
      <c r="V189" s="44">
        <v>0</v>
      </c>
      <c r="W189" s="44">
        <v>0</v>
      </c>
      <c r="X189" s="44">
        <v>0</v>
      </c>
      <c r="Y189" s="44">
        <v>0</v>
      </c>
      <c r="Z189" s="44">
        <v>0</v>
      </c>
      <c r="AA189" s="44">
        <v>0</v>
      </c>
      <c r="AB189" s="44">
        <v>0</v>
      </c>
      <c r="AC189" s="44">
        <v>2.06</v>
      </c>
      <c r="AD189" s="44">
        <v>14.13</v>
      </c>
      <c r="AE189" s="44">
        <v>22.91</v>
      </c>
      <c r="AF189" s="44">
        <v>20.3</v>
      </c>
      <c r="AG189" s="44">
        <v>16.62</v>
      </c>
      <c r="AH189" s="44">
        <v>13.61</v>
      </c>
      <c r="AI189" s="44">
        <v>11.14</v>
      </c>
      <c r="AJ189" s="44">
        <v>10.54</v>
      </c>
      <c r="AK189" s="44">
        <v>8.8800000000000008</v>
      </c>
      <c r="AL189" s="44">
        <v>7.27</v>
      </c>
      <c r="AM189" s="22" t="str">
        <f t="shared" si="16"/>
        <v>SUBS - US (Alaska)</v>
      </c>
      <c r="AN189" s="333" t="s">
        <v>543</v>
      </c>
      <c r="AP189" s="471"/>
      <c r="AQ189" s="11"/>
      <c r="AR189" s="11"/>
      <c r="AS189" s="354"/>
      <c r="AU189" s="406"/>
      <c r="AV189" s="55"/>
      <c r="AW189" s="333"/>
      <c r="AX189" s="406"/>
      <c r="AY189" s="406"/>
      <c r="AZ189" s="538"/>
    </row>
    <row r="190" spans="1:52">
      <c r="A190" s="5"/>
      <c r="B190" s="44" t="s">
        <v>3369</v>
      </c>
      <c r="C190" s="44" t="s">
        <v>2926</v>
      </c>
      <c r="D190" s="44" t="s">
        <v>2986</v>
      </c>
      <c r="E190" s="44" t="s">
        <v>1927</v>
      </c>
      <c r="F190" s="44" t="s">
        <v>1928</v>
      </c>
      <c r="G190" s="44" t="s">
        <v>3374</v>
      </c>
      <c r="H190" s="44" t="s">
        <v>1930</v>
      </c>
      <c r="I190" s="44" t="s">
        <v>1933</v>
      </c>
      <c r="J190" s="328">
        <v>39.4</v>
      </c>
      <c r="K190" s="44">
        <v>2.06</v>
      </c>
      <c r="L190" s="44">
        <v>2.38</v>
      </c>
      <c r="M190" s="44">
        <v>2.0099999999999998</v>
      </c>
      <c r="N190" s="44">
        <v>1.33</v>
      </c>
      <c r="O190" s="44">
        <v>1.04</v>
      </c>
      <c r="P190" s="44">
        <v>0.82</v>
      </c>
      <c r="Q190" s="44">
        <v>0.96</v>
      </c>
      <c r="R190" s="44">
        <v>0.96</v>
      </c>
      <c r="S190" s="44">
        <v>0.93</v>
      </c>
      <c r="T190" s="44">
        <v>0.95</v>
      </c>
      <c r="U190" s="44">
        <v>0.69</v>
      </c>
      <c r="V190" s="44">
        <v>0.5</v>
      </c>
      <c r="W190" s="44">
        <v>0.46</v>
      </c>
      <c r="X190" s="44">
        <v>0.41</v>
      </c>
      <c r="Y190" s="44">
        <v>0.34</v>
      </c>
      <c r="Z190" s="44">
        <v>0.28000000000000003</v>
      </c>
      <c r="AA190" s="44">
        <v>0.22</v>
      </c>
      <c r="AB190" s="44">
        <v>0.18</v>
      </c>
      <c r="AC190" s="44">
        <v>0.14000000000000001</v>
      </c>
      <c r="AD190" s="44">
        <v>7.0000000000000007E-2</v>
      </c>
      <c r="AE190" s="44">
        <v>0</v>
      </c>
      <c r="AF190" s="44">
        <v>0</v>
      </c>
      <c r="AG190" s="44">
        <v>0</v>
      </c>
      <c r="AH190" s="44">
        <v>0</v>
      </c>
      <c r="AI190" s="44">
        <v>0</v>
      </c>
      <c r="AJ190" s="44">
        <v>0</v>
      </c>
      <c r="AK190" s="44">
        <v>0</v>
      </c>
      <c r="AL190" s="44">
        <v>0</v>
      </c>
      <c r="AM190" s="22" t="str">
        <f t="shared" si="16"/>
        <v>SUBS - US (Alaska)</v>
      </c>
      <c r="AN190" s="333" t="s">
        <v>543</v>
      </c>
      <c r="AP190" s="471"/>
      <c r="AQ190" s="11"/>
      <c r="AR190" s="11"/>
      <c r="AS190" s="354"/>
      <c r="AU190" s="406"/>
      <c r="AV190" s="55"/>
      <c r="AW190" s="333"/>
      <c r="AX190" s="406"/>
      <c r="AY190" s="406"/>
      <c r="AZ190" s="538"/>
    </row>
    <row r="191" spans="1:52">
      <c r="A191" s="5"/>
      <c r="B191" s="44" t="s">
        <v>3369</v>
      </c>
      <c r="C191" s="44" t="s">
        <v>2926</v>
      </c>
      <c r="D191" s="44" t="s">
        <v>3684</v>
      </c>
      <c r="E191" s="44" t="s">
        <v>1927</v>
      </c>
      <c r="F191" s="44" t="s">
        <v>1928</v>
      </c>
      <c r="G191" s="44" t="s">
        <v>3374</v>
      </c>
      <c r="H191" s="44" t="s">
        <v>1930</v>
      </c>
      <c r="I191" s="44" t="s">
        <v>1931</v>
      </c>
      <c r="J191" s="328">
        <v>50</v>
      </c>
      <c r="K191" s="44">
        <v>45.11</v>
      </c>
      <c r="L191" s="44">
        <v>44.83</v>
      </c>
      <c r="M191" s="44">
        <v>38.18</v>
      </c>
      <c r="N191" s="44">
        <v>31.63</v>
      </c>
      <c r="O191" s="44">
        <v>29.13</v>
      </c>
      <c r="P191" s="44">
        <v>27.97</v>
      </c>
      <c r="Q191" s="44">
        <v>25.21</v>
      </c>
      <c r="R191" s="44">
        <v>23.11</v>
      </c>
      <c r="S191" s="44">
        <v>19</v>
      </c>
      <c r="T191" s="44">
        <v>15.2</v>
      </c>
      <c r="U191" s="44">
        <v>16.21</v>
      </c>
      <c r="V191" s="44">
        <v>15.48</v>
      </c>
      <c r="W191" s="44">
        <v>8.27</v>
      </c>
      <c r="X191" s="44">
        <v>8.9600000000000009</v>
      </c>
      <c r="Y191" s="44">
        <v>10.77</v>
      </c>
      <c r="Z191" s="44">
        <v>10.89</v>
      </c>
      <c r="AA191" s="44">
        <v>10.6</v>
      </c>
      <c r="AB191" s="44">
        <v>9.98</v>
      </c>
      <c r="AC191" s="44">
        <v>9.16</v>
      </c>
      <c r="AD191" s="44">
        <v>8.23</v>
      </c>
      <c r="AE191" s="44">
        <v>7.38</v>
      </c>
      <c r="AF191" s="44">
        <v>6.3</v>
      </c>
      <c r="AG191" s="44">
        <v>5.0199999999999996</v>
      </c>
      <c r="AH191" s="44">
        <v>3.98</v>
      </c>
      <c r="AI191" s="44">
        <v>3.16</v>
      </c>
      <c r="AJ191" s="44">
        <v>2.5099999999999998</v>
      </c>
      <c r="AK191" s="44">
        <v>2</v>
      </c>
      <c r="AL191" s="44">
        <v>1.59</v>
      </c>
      <c r="AM191" s="22" t="str">
        <f t="shared" si="16"/>
        <v>SUBS - US (Alaska)</v>
      </c>
      <c r="AN191" s="333" t="s">
        <v>543</v>
      </c>
      <c r="AP191" s="471"/>
      <c r="AQ191" s="11"/>
      <c r="AR191" s="11"/>
      <c r="AS191" s="354"/>
      <c r="AU191" s="406"/>
      <c r="AV191" s="55"/>
      <c r="AW191" s="333"/>
      <c r="AX191" s="406"/>
      <c r="AY191" s="406"/>
      <c r="AZ191" s="538"/>
    </row>
    <row r="192" spans="1:52">
      <c r="A192" s="5"/>
      <c r="B192" s="44" t="s">
        <v>3369</v>
      </c>
      <c r="C192" s="44" t="s">
        <v>2926</v>
      </c>
      <c r="D192" s="44" t="s">
        <v>2987</v>
      </c>
      <c r="E192" s="44" t="s">
        <v>1927</v>
      </c>
      <c r="F192" s="44" t="s">
        <v>2960</v>
      </c>
      <c r="G192" s="44" t="s">
        <v>1932</v>
      </c>
      <c r="H192" s="44" t="s">
        <v>1930</v>
      </c>
      <c r="I192" s="44" t="s">
        <v>2606</v>
      </c>
      <c r="J192" s="328">
        <v>99.84</v>
      </c>
      <c r="K192" s="44">
        <v>47.22</v>
      </c>
      <c r="L192" s="44">
        <v>51.23</v>
      </c>
      <c r="M192" s="44">
        <v>45.82</v>
      </c>
      <c r="N192" s="44">
        <v>38.94</v>
      </c>
      <c r="O192" s="44">
        <v>28.64</v>
      </c>
      <c r="P192" s="44">
        <v>23.52</v>
      </c>
      <c r="Q192" s="44">
        <v>16.600000000000001</v>
      </c>
      <c r="R192" s="44">
        <v>12.64</v>
      </c>
      <c r="S192" s="44">
        <v>10.68</v>
      </c>
      <c r="T192" s="44">
        <v>6.21</v>
      </c>
      <c r="U192" s="44">
        <v>7.04</v>
      </c>
      <c r="V192" s="44">
        <v>6.1</v>
      </c>
      <c r="W192" s="44">
        <v>0</v>
      </c>
      <c r="X192" s="44">
        <v>0</v>
      </c>
      <c r="Y192" s="44">
        <v>0</v>
      </c>
      <c r="Z192" s="44">
        <v>0</v>
      </c>
      <c r="AA192" s="44">
        <v>0</v>
      </c>
      <c r="AB192" s="44">
        <v>0</v>
      </c>
      <c r="AC192" s="44">
        <v>0</v>
      </c>
      <c r="AD192" s="44">
        <v>0</v>
      </c>
      <c r="AE192" s="44">
        <v>0</v>
      </c>
      <c r="AF192" s="44">
        <v>0</v>
      </c>
      <c r="AG192" s="44">
        <v>0</v>
      </c>
      <c r="AH192" s="44">
        <v>0</v>
      </c>
      <c r="AI192" s="44">
        <v>0</v>
      </c>
      <c r="AJ192" s="44">
        <v>0</v>
      </c>
      <c r="AK192" s="44">
        <v>0</v>
      </c>
      <c r="AL192" s="44">
        <v>0</v>
      </c>
      <c r="AM192" s="22" t="str">
        <f t="shared" si="16"/>
        <v>SUBS - US (Alaska)</v>
      </c>
      <c r="AN192" s="333" t="s">
        <v>543</v>
      </c>
      <c r="AP192" s="471"/>
      <c r="AQ192" s="11"/>
      <c r="AR192" s="11"/>
      <c r="AS192" s="354"/>
      <c r="AU192" s="406"/>
      <c r="AV192" s="55"/>
      <c r="AW192" s="333"/>
      <c r="AX192" s="406"/>
      <c r="AY192" s="406"/>
      <c r="AZ192" s="538"/>
    </row>
    <row r="193" spans="1:52">
      <c r="A193" s="5"/>
      <c r="B193" s="44" t="s">
        <v>3369</v>
      </c>
      <c r="C193" s="44" t="s">
        <v>2926</v>
      </c>
      <c r="D193" s="44" t="s">
        <v>2933</v>
      </c>
      <c r="E193" s="44" t="s">
        <v>1927</v>
      </c>
      <c r="F193" s="44" t="s">
        <v>1928</v>
      </c>
      <c r="G193" s="44" t="s">
        <v>1929</v>
      </c>
      <c r="H193" s="44" t="s">
        <v>2966</v>
      </c>
      <c r="I193" s="44" t="s">
        <v>1931</v>
      </c>
      <c r="J193" s="328">
        <v>31.92</v>
      </c>
      <c r="K193" s="44">
        <v>0</v>
      </c>
      <c r="L193" s="44">
        <v>0</v>
      </c>
      <c r="M193" s="44">
        <v>0</v>
      </c>
      <c r="N193" s="44">
        <v>0</v>
      </c>
      <c r="O193" s="44">
        <v>0</v>
      </c>
      <c r="P193" s="44">
        <v>0</v>
      </c>
      <c r="Q193" s="44">
        <v>0</v>
      </c>
      <c r="R193" s="44">
        <v>0</v>
      </c>
      <c r="S193" s="44">
        <v>0</v>
      </c>
      <c r="T193" s="44">
        <v>0</v>
      </c>
      <c r="U193" s="44">
        <v>0</v>
      </c>
      <c r="V193" s="44">
        <v>0</v>
      </c>
      <c r="W193" s="44">
        <v>0</v>
      </c>
      <c r="X193" s="44">
        <v>0.4</v>
      </c>
      <c r="Y193" s="44">
        <v>2.69</v>
      </c>
      <c r="Z193" s="44">
        <v>2.89</v>
      </c>
      <c r="AA193" s="44">
        <v>2.89</v>
      </c>
      <c r="AB193" s="44">
        <v>2.9</v>
      </c>
      <c r="AC193" s="44">
        <v>2.9</v>
      </c>
      <c r="AD193" s="44">
        <v>2.92</v>
      </c>
      <c r="AE193" s="44">
        <v>4.24</v>
      </c>
      <c r="AF193" s="44">
        <v>12.22</v>
      </c>
      <c r="AG193" s="44">
        <v>13.84</v>
      </c>
      <c r="AH193" s="44">
        <v>13.7</v>
      </c>
      <c r="AI193" s="44">
        <v>12.5</v>
      </c>
      <c r="AJ193" s="44">
        <v>11.42</v>
      </c>
      <c r="AK193" s="44">
        <v>10.47</v>
      </c>
      <c r="AL193" s="44">
        <v>9.61</v>
      </c>
      <c r="AM193" s="22" t="str">
        <f t="shared" si="16"/>
        <v>SUBS - US (Alaska)</v>
      </c>
      <c r="AN193" s="333" t="s">
        <v>543</v>
      </c>
      <c r="AP193" s="471"/>
      <c r="AQ193" s="11"/>
      <c r="AR193" s="11"/>
      <c r="AS193" s="354"/>
      <c r="AU193" s="406"/>
      <c r="AV193" s="55"/>
      <c r="AW193" s="333"/>
      <c r="AX193" s="406"/>
      <c r="AY193" s="406"/>
      <c r="AZ193" s="538"/>
    </row>
    <row r="194" spans="1:52">
      <c r="A194" s="5"/>
      <c r="B194" s="44" t="s">
        <v>3369</v>
      </c>
      <c r="C194" s="44" t="s">
        <v>2926</v>
      </c>
      <c r="D194" s="44" t="s">
        <v>3685</v>
      </c>
      <c r="E194" s="44" t="s">
        <v>1927</v>
      </c>
      <c r="F194" s="44" t="s">
        <v>1928</v>
      </c>
      <c r="G194" s="44" t="s">
        <v>3374</v>
      </c>
      <c r="H194" s="44" t="s">
        <v>116</v>
      </c>
      <c r="I194" s="44" t="s">
        <v>1931</v>
      </c>
      <c r="J194" s="328">
        <v>26.360600000000002</v>
      </c>
      <c r="K194" s="44">
        <v>124.11</v>
      </c>
      <c r="L194" s="44">
        <v>114.27</v>
      </c>
      <c r="M194" s="44">
        <v>101.33</v>
      </c>
      <c r="N194" s="44">
        <v>88.18</v>
      </c>
      <c r="O194" s="44">
        <v>93.3</v>
      </c>
      <c r="P194" s="44">
        <v>91.69</v>
      </c>
      <c r="Q194" s="44">
        <v>88.11</v>
      </c>
      <c r="R194" s="44">
        <v>82.48</v>
      </c>
      <c r="S194" s="44">
        <v>78.89</v>
      </c>
      <c r="T194" s="44">
        <v>77.08</v>
      </c>
      <c r="U194" s="44">
        <v>74.3</v>
      </c>
      <c r="V194" s="44">
        <v>73.59</v>
      </c>
      <c r="W194" s="44">
        <v>71.42</v>
      </c>
      <c r="X194" s="44">
        <v>67.040000000000006</v>
      </c>
      <c r="Y194" s="44">
        <v>70.31</v>
      </c>
      <c r="Z194" s="44">
        <v>69.760000000000005</v>
      </c>
      <c r="AA194" s="44">
        <v>69.23</v>
      </c>
      <c r="AB194" s="44">
        <v>67.02</v>
      </c>
      <c r="AC194" s="44">
        <v>64.64</v>
      </c>
      <c r="AD194" s="44">
        <v>62.6</v>
      </c>
      <c r="AE194" s="44">
        <v>60.23</v>
      </c>
      <c r="AF194" s="44">
        <v>58.04</v>
      </c>
      <c r="AG194" s="44">
        <v>56.01</v>
      </c>
      <c r="AH194" s="44">
        <v>53.61</v>
      </c>
      <c r="AI194" s="44">
        <v>52.1</v>
      </c>
      <c r="AJ194" s="44">
        <v>50.8</v>
      </c>
      <c r="AK194" s="44">
        <v>49.88</v>
      </c>
      <c r="AL194" s="44">
        <v>44.78</v>
      </c>
      <c r="AM194" s="22" t="str">
        <f t="shared" si="16"/>
        <v>SUBS - US (Alaska)</v>
      </c>
      <c r="AN194" s="333" t="s">
        <v>543</v>
      </c>
      <c r="AP194" s="471"/>
      <c r="AQ194" s="11"/>
      <c r="AR194" s="11"/>
      <c r="AS194" s="354"/>
      <c r="AU194" s="406"/>
      <c r="AV194" s="55"/>
      <c r="AW194" s="333"/>
      <c r="AX194" s="406"/>
      <c r="AY194" s="406"/>
      <c r="AZ194" s="538"/>
    </row>
    <row r="195" spans="1:52">
      <c r="A195" s="5"/>
      <c r="B195" s="44" t="s">
        <v>3369</v>
      </c>
      <c r="C195" s="44" t="s">
        <v>2926</v>
      </c>
      <c r="D195" s="44" t="s">
        <v>2988</v>
      </c>
      <c r="E195" s="44" t="s">
        <v>1927</v>
      </c>
      <c r="F195" s="44" t="s">
        <v>2960</v>
      </c>
      <c r="G195" s="44" t="s">
        <v>3374</v>
      </c>
      <c r="H195" s="44" t="s">
        <v>1930</v>
      </c>
      <c r="I195" s="44" t="s">
        <v>2605</v>
      </c>
      <c r="J195" s="328">
        <v>98.1</v>
      </c>
      <c r="K195" s="44">
        <v>0.21</v>
      </c>
      <c r="L195" s="44">
        <v>7.0000000000000007E-2</v>
      </c>
      <c r="M195" s="44">
        <v>0.1</v>
      </c>
      <c r="N195" s="44">
        <v>0.14000000000000001</v>
      </c>
      <c r="O195" s="44">
        <v>0.02</v>
      </c>
      <c r="P195" s="44">
        <v>0.19</v>
      </c>
      <c r="Q195" s="44">
        <v>0.12</v>
      </c>
      <c r="R195" s="44">
        <v>0.18</v>
      </c>
      <c r="S195" s="44">
        <v>0.21</v>
      </c>
      <c r="T195" s="44">
        <v>0.22</v>
      </c>
      <c r="U195" s="44">
        <v>0.17</v>
      </c>
      <c r="V195" s="44">
        <v>0.16</v>
      </c>
      <c r="W195" s="44">
        <v>0</v>
      </c>
      <c r="X195" s="44">
        <v>0</v>
      </c>
      <c r="Y195" s="44">
        <v>0</v>
      </c>
      <c r="Z195" s="44">
        <v>0</v>
      </c>
      <c r="AA195" s="44">
        <v>0</v>
      </c>
      <c r="AB195" s="44">
        <v>0</v>
      </c>
      <c r="AC195" s="44">
        <v>0</v>
      </c>
      <c r="AD195" s="44">
        <v>0</v>
      </c>
      <c r="AE195" s="44">
        <v>0</v>
      </c>
      <c r="AF195" s="44">
        <v>0</v>
      </c>
      <c r="AG195" s="44">
        <v>0</v>
      </c>
      <c r="AH195" s="44">
        <v>0</v>
      </c>
      <c r="AI195" s="44">
        <v>0</v>
      </c>
      <c r="AJ195" s="44">
        <v>0</v>
      </c>
      <c r="AK195" s="44">
        <v>0</v>
      </c>
      <c r="AL195" s="44">
        <v>0</v>
      </c>
      <c r="AM195" s="22" t="str">
        <f t="shared" si="16"/>
        <v>SUBS - US (Alaska)</v>
      </c>
      <c r="AN195" s="333" t="s">
        <v>543</v>
      </c>
      <c r="AP195" s="471"/>
      <c r="AQ195" s="11"/>
      <c r="AR195" s="11"/>
      <c r="AS195" s="354"/>
      <c r="AU195" s="406"/>
      <c r="AV195" s="55"/>
      <c r="AW195" s="333"/>
      <c r="AX195" s="406"/>
      <c r="AY195" s="406"/>
      <c r="AZ195" s="538"/>
    </row>
    <row r="196" spans="1:52">
      <c r="A196" s="5"/>
      <c r="B196" s="44" t="s">
        <v>3369</v>
      </c>
      <c r="C196" s="44" t="s">
        <v>2926</v>
      </c>
      <c r="D196" s="44" t="s">
        <v>2989</v>
      </c>
      <c r="E196" s="44" t="s">
        <v>1927</v>
      </c>
      <c r="F196" s="44" t="s">
        <v>1928</v>
      </c>
      <c r="G196" s="44" t="s">
        <v>217</v>
      </c>
      <c r="H196" s="44" t="s">
        <v>1930</v>
      </c>
      <c r="I196" s="44" t="s">
        <v>1933</v>
      </c>
      <c r="J196" s="328">
        <v>39.299999999999997</v>
      </c>
      <c r="K196" s="44">
        <v>1.49</v>
      </c>
      <c r="L196" s="44">
        <v>1.41</v>
      </c>
      <c r="M196" s="44">
        <v>1.47</v>
      </c>
      <c r="N196" s="44">
        <v>1.36</v>
      </c>
      <c r="O196" s="44">
        <v>1.01</v>
      </c>
      <c r="P196" s="44">
        <v>1.1100000000000001</v>
      </c>
      <c r="Q196" s="44">
        <v>0.68</v>
      </c>
      <c r="R196" s="44">
        <v>0.72</v>
      </c>
      <c r="S196" s="44">
        <v>0.56000000000000005</v>
      </c>
      <c r="T196" s="44">
        <v>0.38</v>
      </c>
      <c r="U196" s="44">
        <v>0.6</v>
      </c>
      <c r="V196" s="44">
        <v>0.54</v>
      </c>
      <c r="W196" s="44">
        <v>0.52</v>
      </c>
      <c r="X196" s="44">
        <v>0.49</v>
      </c>
      <c r="Y196" s="44">
        <v>0.44</v>
      </c>
      <c r="Z196" s="44">
        <v>0.39</v>
      </c>
      <c r="AA196" s="44">
        <v>0.34</v>
      </c>
      <c r="AB196" s="44">
        <v>0.2</v>
      </c>
      <c r="AC196" s="44">
        <v>0</v>
      </c>
      <c r="AD196" s="44">
        <v>0</v>
      </c>
      <c r="AE196" s="44">
        <v>0</v>
      </c>
      <c r="AF196" s="44">
        <v>0</v>
      </c>
      <c r="AG196" s="44">
        <v>0</v>
      </c>
      <c r="AH196" s="44">
        <v>0</v>
      </c>
      <c r="AI196" s="44">
        <v>0</v>
      </c>
      <c r="AJ196" s="44">
        <v>0</v>
      </c>
      <c r="AK196" s="44">
        <v>0</v>
      </c>
      <c r="AL196" s="44">
        <v>0</v>
      </c>
      <c r="AM196" s="22" t="str">
        <f t="shared" si="16"/>
        <v>SUBS - US (Alaska)</v>
      </c>
      <c r="AN196" s="333" t="s">
        <v>543</v>
      </c>
      <c r="AP196" s="471"/>
      <c r="AQ196" s="11"/>
      <c r="AR196" s="11"/>
      <c r="AS196" s="354"/>
      <c r="AU196" s="406"/>
      <c r="AV196" s="55"/>
      <c r="AW196" s="333"/>
      <c r="AX196" s="406"/>
      <c r="AY196" s="406"/>
      <c r="AZ196" s="538"/>
    </row>
    <row r="197" spans="1:52">
      <c r="A197" s="5"/>
      <c r="B197" s="44" t="s">
        <v>3369</v>
      </c>
      <c r="C197" s="44" t="s">
        <v>2926</v>
      </c>
      <c r="D197" s="44" t="s">
        <v>2990</v>
      </c>
      <c r="E197" s="44" t="s">
        <v>1927</v>
      </c>
      <c r="F197" s="44" t="s">
        <v>1928</v>
      </c>
      <c r="G197" s="44" t="s">
        <v>3374</v>
      </c>
      <c r="H197" s="44" t="s">
        <v>1930</v>
      </c>
      <c r="I197" s="44" t="s">
        <v>1933</v>
      </c>
      <c r="J197" s="328">
        <v>39.299999999999997</v>
      </c>
      <c r="K197" s="44">
        <v>11.75</v>
      </c>
      <c r="L197" s="44">
        <v>9.9</v>
      </c>
      <c r="M197" s="44">
        <v>7.72</v>
      </c>
      <c r="N197" s="44">
        <v>7.2</v>
      </c>
      <c r="O197" s="44">
        <v>5.52</v>
      </c>
      <c r="P197" s="44">
        <v>5.31</v>
      </c>
      <c r="Q197" s="44">
        <v>4.92</v>
      </c>
      <c r="R197" s="44">
        <v>4.07</v>
      </c>
      <c r="S197" s="44">
        <v>3.62</v>
      </c>
      <c r="T197" s="44">
        <v>2.48</v>
      </c>
      <c r="U197" s="44">
        <v>1.97</v>
      </c>
      <c r="V197" s="44">
        <v>2.7</v>
      </c>
      <c r="W197" s="44">
        <v>2.6</v>
      </c>
      <c r="X197" s="44">
        <v>2.48</v>
      </c>
      <c r="Y197" s="44">
        <v>2.21</v>
      </c>
      <c r="Z197" s="44">
        <v>1.99</v>
      </c>
      <c r="AA197" s="44">
        <v>1.76</v>
      </c>
      <c r="AB197" s="44">
        <v>1.54</v>
      </c>
      <c r="AC197" s="44">
        <v>1.29</v>
      </c>
      <c r="AD197" s="44">
        <v>1.08</v>
      </c>
      <c r="AE197" s="44">
        <v>0.92</v>
      </c>
      <c r="AF197" s="44">
        <v>0.77</v>
      </c>
      <c r="AG197" s="44">
        <v>0.63</v>
      </c>
      <c r="AH197" s="44">
        <v>0.51</v>
      </c>
      <c r="AI197" s="44">
        <v>0.39</v>
      </c>
      <c r="AJ197" s="44">
        <v>0</v>
      </c>
      <c r="AK197" s="44">
        <v>0</v>
      </c>
      <c r="AL197" s="44">
        <v>0</v>
      </c>
      <c r="AM197" s="22" t="str">
        <f t="shared" si="16"/>
        <v>SUBS - US (Alaska)</v>
      </c>
      <c r="AN197" s="333" t="s">
        <v>543</v>
      </c>
      <c r="AP197" s="471"/>
      <c r="AQ197" s="11"/>
      <c r="AR197" s="11"/>
      <c r="AS197" s="354"/>
      <c r="AU197" s="406"/>
      <c r="AV197" s="55"/>
      <c r="AW197" s="333"/>
      <c r="AX197" s="406"/>
      <c r="AY197" s="406"/>
      <c r="AZ197" s="538"/>
    </row>
    <row r="198" spans="1:52">
      <c r="A198" s="5"/>
      <c r="B198" s="44" t="s">
        <v>3369</v>
      </c>
      <c r="C198" s="44" t="s">
        <v>2926</v>
      </c>
      <c r="D198" s="44" t="s">
        <v>159</v>
      </c>
      <c r="E198" s="44" t="s">
        <v>1927</v>
      </c>
      <c r="F198" s="44" t="s">
        <v>1928</v>
      </c>
      <c r="G198" s="44" t="s">
        <v>217</v>
      </c>
      <c r="H198" s="44" t="s">
        <v>1930</v>
      </c>
      <c r="I198" s="44" t="s">
        <v>1931</v>
      </c>
      <c r="J198" s="328">
        <v>38.299999999999997</v>
      </c>
      <c r="K198" s="44">
        <v>2.75</v>
      </c>
      <c r="L198" s="44">
        <v>4.1100000000000003</v>
      </c>
      <c r="M198" s="44">
        <v>3.82</v>
      </c>
      <c r="N198" s="44">
        <v>5.96</v>
      </c>
      <c r="O198" s="44">
        <v>5.77</v>
      </c>
      <c r="P198" s="44">
        <v>5.56</v>
      </c>
      <c r="Q198" s="44">
        <v>6.23</v>
      </c>
      <c r="R198" s="44">
        <v>5.15</v>
      </c>
      <c r="S198" s="44">
        <v>5.14</v>
      </c>
      <c r="T198" s="44">
        <v>4.66</v>
      </c>
      <c r="U198" s="44">
        <v>5.28</v>
      </c>
      <c r="V198" s="44">
        <v>5.55</v>
      </c>
      <c r="W198" s="44">
        <v>5.55</v>
      </c>
      <c r="X198" s="44">
        <v>6.56</v>
      </c>
      <c r="Y198" s="44">
        <v>8.17</v>
      </c>
      <c r="Z198" s="44">
        <v>9.17</v>
      </c>
      <c r="AA198" s="44">
        <v>9.1999999999999993</v>
      </c>
      <c r="AB198" s="44">
        <v>8.93</v>
      </c>
      <c r="AC198" s="44">
        <v>8.57</v>
      </c>
      <c r="AD198" s="44">
        <v>8.1999999999999993</v>
      </c>
      <c r="AE198" s="44">
        <v>7.77</v>
      </c>
      <c r="AF198" s="44">
        <v>7.19</v>
      </c>
      <c r="AG198" s="44">
        <v>6.68</v>
      </c>
      <c r="AH198" s="44">
        <v>6.03</v>
      </c>
      <c r="AI198" s="44">
        <v>5.45</v>
      </c>
      <c r="AJ198" s="44">
        <v>4.8099999999999996</v>
      </c>
      <c r="AK198" s="44">
        <v>4.18</v>
      </c>
      <c r="AL198" s="44">
        <v>3.57</v>
      </c>
      <c r="AM198" s="22" t="str">
        <f t="shared" si="16"/>
        <v>SUBS - US (Alaska)</v>
      </c>
      <c r="AN198" s="333" t="s">
        <v>543</v>
      </c>
      <c r="AP198" s="471"/>
      <c r="AQ198" s="11"/>
      <c r="AR198" s="11"/>
      <c r="AS198" s="354"/>
      <c r="AU198" s="406"/>
      <c r="AV198" s="55"/>
      <c r="AW198" s="333"/>
      <c r="AX198" s="406"/>
      <c r="AY198" s="406"/>
      <c r="AZ198" s="538"/>
    </row>
    <row r="199" spans="1:52">
      <c r="A199" s="5"/>
      <c r="B199" s="44" t="s">
        <v>3369</v>
      </c>
      <c r="C199" s="44" t="s">
        <v>160</v>
      </c>
      <c r="D199" s="44" t="s">
        <v>161</v>
      </c>
      <c r="E199" s="44" t="s">
        <v>1927</v>
      </c>
      <c r="F199" s="44" t="s">
        <v>3373</v>
      </c>
      <c r="G199" s="44" t="s">
        <v>3374</v>
      </c>
      <c r="H199" s="44" t="s">
        <v>116</v>
      </c>
      <c r="I199" s="44" t="s">
        <v>2607</v>
      </c>
      <c r="J199" s="328">
        <v>56</v>
      </c>
      <c r="K199" s="44">
        <v>0</v>
      </c>
      <c r="L199" s="44">
        <v>0</v>
      </c>
      <c r="M199" s="44">
        <v>0</v>
      </c>
      <c r="N199" s="44">
        <v>0</v>
      </c>
      <c r="O199" s="44">
        <v>2.21</v>
      </c>
      <c r="P199" s="44">
        <v>39.54</v>
      </c>
      <c r="Q199" s="44">
        <v>51.26</v>
      </c>
      <c r="R199" s="44">
        <v>45.28</v>
      </c>
      <c r="S199" s="44">
        <v>31.81</v>
      </c>
      <c r="T199" s="44">
        <v>21.91</v>
      </c>
      <c r="U199" s="44">
        <v>38.42</v>
      </c>
      <c r="V199" s="44">
        <v>63.95</v>
      </c>
      <c r="W199" s="44">
        <v>51.04</v>
      </c>
      <c r="X199" s="44">
        <v>50.11</v>
      </c>
      <c r="Y199" s="44">
        <v>54.95</v>
      </c>
      <c r="Z199" s="44">
        <v>53.03</v>
      </c>
      <c r="AA199" s="44">
        <v>48.55</v>
      </c>
      <c r="AB199" s="44">
        <v>44.73</v>
      </c>
      <c r="AC199" s="44">
        <v>38.33</v>
      </c>
      <c r="AD199" s="44">
        <v>37.32</v>
      </c>
      <c r="AE199" s="44">
        <v>38.82</v>
      </c>
      <c r="AF199" s="44">
        <v>39.67</v>
      </c>
      <c r="AG199" s="44">
        <v>40.44</v>
      </c>
      <c r="AH199" s="44">
        <v>36.89</v>
      </c>
      <c r="AI199" s="44">
        <v>31.94</v>
      </c>
      <c r="AJ199" s="44">
        <v>27.83</v>
      </c>
      <c r="AK199" s="44">
        <v>23.34</v>
      </c>
      <c r="AL199" s="44">
        <v>18.309999999999999</v>
      </c>
      <c r="AM199" s="22" t="str">
        <f t="shared" si="16"/>
        <v>SUBS - US (Deepwater GOM)</v>
      </c>
      <c r="AN199" s="333" t="s">
        <v>543</v>
      </c>
      <c r="AP199" s="471"/>
      <c r="AQ199" s="11"/>
      <c r="AR199" s="11"/>
      <c r="AS199" s="354"/>
      <c r="AU199" s="406"/>
      <c r="AV199" s="55"/>
      <c r="AW199" s="333"/>
      <c r="AX199" s="406"/>
      <c r="AY199" s="406"/>
      <c r="AZ199" s="538"/>
    </row>
    <row r="200" spans="1:52">
      <c r="A200" s="5"/>
      <c r="B200" s="44" t="s">
        <v>3369</v>
      </c>
      <c r="C200" s="44" t="s">
        <v>160</v>
      </c>
      <c r="D200" s="44" t="s">
        <v>2301</v>
      </c>
      <c r="E200" s="44" t="s">
        <v>1927</v>
      </c>
      <c r="F200" s="44" t="s">
        <v>2960</v>
      </c>
      <c r="G200" s="44" t="s">
        <v>3374</v>
      </c>
      <c r="H200" s="44" t="s">
        <v>116</v>
      </c>
      <c r="I200" s="44" t="s">
        <v>2600</v>
      </c>
      <c r="J200" s="328">
        <v>24.09</v>
      </c>
      <c r="K200" s="44">
        <v>1.28</v>
      </c>
      <c r="L200" s="44">
        <v>1.21</v>
      </c>
      <c r="M200" s="44">
        <v>0.61</v>
      </c>
      <c r="N200" s="44">
        <v>0</v>
      </c>
      <c r="O200" s="44">
        <v>0</v>
      </c>
      <c r="P200" s="44">
        <v>0</v>
      </c>
      <c r="Q200" s="44">
        <v>0</v>
      </c>
      <c r="R200" s="44">
        <v>0</v>
      </c>
      <c r="S200" s="44">
        <v>0</v>
      </c>
      <c r="T200" s="44">
        <v>0</v>
      </c>
      <c r="U200" s="44">
        <v>0</v>
      </c>
      <c r="V200" s="44">
        <v>0</v>
      </c>
      <c r="W200" s="44">
        <v>0</v>
      </c>
      <c r="X200" s="44">
        <v>0</v>
      </c>
      <c r="Y200" s="44">
        <v>0</v>
      </c>
      <c r="Z200" s="44">
        <v>0</v>
      </c>
      <c r="AA200" s="44">
        <v>0</v>
      </c>
      <c r="AB200" s="44">
        <v>0</v>
      </c>
      <c r="AC200" s="44">
        <v>0</v>
      </c>
      <c r="AD200" s="44">
        <v>0</v>
      </c>
      <c r="AE200" s="44">
        <v>0</v>
      </c>
      <c r="AF200" s="44">
        <v>0</v>
      </c>
      <c r="AG200" s="44">
        <v>0</v>
      </c>
      <c r="AH200" s="44">
        <v>0</v>
      </c>
      <c r="AI200" s="44">
        <v>0</v>
      </c>
      <c r="AJ200" s="44">
        <v>0</v>
      </c>
      <c r="AK200" s="44">
        <v>0</v>
      </c>
      <c r="AL200" s="44">
        <v>0</v>
      </c>
      <c r="AM200" s="22" t="str">
        <f t="shared" si="16"/>
        <v>SUBS - US (Deepwater GOM)</v>
      </c>
      <c r="AN200" s="333" t="s">
        <v>543</v>
      </c>
      <c r="AP200" s="471"/>
      <c r="AQ200" s="11"/>
      <c r="AR200" s="11"/>
      <c r="AS200" s="354"/>
      <c r="AU200" s="406"/>
      <c r="AV200" s="55"/>
      <c r="AW200" s="333"/>
      <c r="AX200" s="406"/>
      <c r="AY200" s="406"/>
      <c r="AZ200" s="538"/>
    </row>
    <row r="201" spans="1:52">
      <c r="A201" s="5"/>
      <c r="B201" s="44" t="s">
        <v>3369</v>
      </c>
      <c r="C201" s="44" t="s">
        <v>160</v>
      </c>
      <c r="D201" s="44" t="s">
        <v>3686</v>
      </c>
      <c r="E201" s="44" t="s">
        <v>2970</v>
      </c>
      <c r="F201" s="44" t="s">
        <v>2973</v>
      </c>
      <c r="G201" s="44" t="s">
        <v>3374</v>
      </c>
      <c r="H201" s="44" t="s">
        <v>116</v>
      </c>
      <c r="I201" s="44" t="s">
        <v>2571</v>
      </c>
      <c r="J201" s="328">
        <v>66.67</v>
      </c>
      <c r="K201" s="44">
        <v>0</v>
      </c>
      <c r="L201" s="44">
        <v>0</v>
      </c>
      <c r="M201" s="44">
        <v>0</v>
      </c>
      <c r="N201" s="44">
        <v>0</v>
      </c>
      <c r="O201" s="44">
        <v>0</v>
      </c>
      <c r="P201" s="44">
        <v>0</v>
      </c>
      <c r="Q201" s="44">
        <v>0</v>
      </c>
      <c r="R201" s="44">
        <v>0</v>
      </c>
      <c r="S201" s="44">
        <v>0</v>
      </c>
      <c r="T201" s="44">
        <v>0</v>
      </c>
      <c r="U201" s="44">
        <v>0</v>
      </c>
      <c r="V201" s="44">
        <v>0</v>
      </c>
      <c r="W201" s="44">
        <v>0</v>
      </c>
      <c r="X201" s="44">
        <v>0</v>
      </c>
      <c r="Y201" s="44">
        <v>0</v>
      </c>
      <c r="Z201" s="44">
        <v>5.43</v>
      </c>
      <c r="AA201" s="44">
        <v>8.9499999999999993</v>
      </c>
      <c r="AB201" s="44">
        <v>6.97</v>
      </c>
      <c r="AC201" s="44">
        <v>5.41</v>
      </c>
      <c r="AD201" s="44">
        <v>4.21</v>
      </c>
      <c r="AE201" s="44">
        <v>3.28</v>
      </c>
      <c r="AF201" s="44">
        <v>2.5499999999999998</v>
      </c>
      <c r="AG201" s="44">
        <v>1.99</v>
      </c>
      <c r="AH201" s="44">
        <v>1.55</v>
      </c>
      <c r="AI201" s="44">
        <v>1.21</v>
      </c>
      <c r="AJ201" s="44">
        <v>3.83</v>
      </c>
      <c r="AK201" s="44">
        <v>2.74</v>
      </c>
      <c r="AL201" s="44">
        <v>2.13</v>
      </c>
      <c r="AM201" s="22" t="str">
        <f t="shared" ref="AM201" si="18">AN201&amp;" - "&amp;C201</f>
        <v>SUBS - US (Deepwater GOM)</v>
      </c>
      <c r="AN201" s="333" t="s">
        <v>543</v>
      </c>
      <c r="AP201" s="471"/>
      <c r="AQ201" s="11"/>
      <c r="AR201" s="11"/>
      <c r="AS201" s="354"/>
      <c r="AU201" s="406"/>
      <c r="AV201" s="55"/>
      <c r="AW201" s="333"/>
      <c r="AX201" s="406"/>
      <c r="AY201" s="406"/>
      <c r="AZ201" s="538"/>
    </row>
    <row r="202" spans="1:52">
      <c r="A202" s="5"/>
      <c r="B202" s="44" t="s">
        <v>3369</v>
      </c>
      <c r="C202" s="44" t="s">
        <v>160</v>
      </c>
      <c r="D202" s="44" t="s">
        <v>2302</v>
      </c>
      <c r="E202" s="44" t="s">
        <v>1927</v>
      </c>
      <c r="F202" s="44" t="s">
        <v>2973</v>
      </c>
      <c r="G202" s="44" t="s">
        <v>3374</v>
      </c>
      <c r="H202" s="44" t="s">
        <v>116</v>
      </c>
      <c r="I202" s="44" t="s">
        <v>2571</v>
      </c>
      <c r="J202" s="328">
        <v>50</v>
      </c>
      <c r="K202" s="44">
        <v>11.96</v>
      </c>
      <c r="L202" s="44">
        <v>5.97</v>
      </c>
      <c r="M202" s="44">
        <v>2.88</v>
      </c>
      <c r="N202" s="44">
        <v>2.66</v>
      </c>
      <c r="O202" s="44">
        <v>0.86</v>
      </c>
      <c r="P202" s="44">
        <v>0.76</v>
      </c>
      <c r="Q202" s="44">
        <v>0.93</v>
      </c>
      <c r="R202" s="44">
        <v>0.76</v>
      </c>
      <c r="S202" s="44">
        <v>0.46</v>
      </c>
      <c r="T202" s="44">
        <v>0.55000000000000004</v>
      </c>
      <c r="U202" s="44">
        <v>0.62</v>
      </c>
      <c r="V202" s="44">
        <v>0.7</v>
      </c>
      <c r="W202" s="44">
        <v>0.53</v>
      </c>
      <c r="X202" s="44">
        <v>0.42</v>
      </c>
      <c r="Y202" s="44">
        <v>0.35</v>
      </c>
      <c r="Z202" s="44">
        <v>0.28000000000000003</v>
      </c>
      <c r="AA202" s="44">
        <v>7.0000000000000007E-2</v>
      </c>
      <c r="AB202" s="44">
        <v>0</v>
      </c>
      <c r="AC202" s="44">
        <v>0</v>
      </c>
      <c r="AD202" s="44">
        <v>0</v>
      </c>
      <c r="AE202" s="44">
        <v>0</v>
      </c>
      <c r="AF202" s="44">
        <v>0</v>
      </c>
      <c r="AG202" s="44">
        <v>0</v>
      </c>
      <c r="AH202" s="44">
        <v>0</v>
      </c>
      <c r="AI202" s="44">
        <v>0</v>
      </c>
      <c r="AJ202" s="44">
        <v>0</v>
      </c>
      <c r="AK202" s="44">
        <v>0</v>
      </c>
      <c r="AL202" s="44">
        <v>0</v>
      </c>
      <c r="AM202" s="22" t="str">
        <f t="shared" si="16"/>
        <v>SUBS - US (Deepwater GOM)</v>
      </c>
      <c r="AN202" s="333" t="s">
        <v>543</v>
      </c>
      <c r="AP202" s="471"/>
      <c r="AQ202" s="11"/>
      <c r="AR202" s="11"/>
      <c r="AS202" s="354"/>
      <c r="AU202" s="406"/>
      <c r="AV202" s="55"/>
      <c r="AW202" s="333"/>
      <c r="AX202" s="406"/>
      <c r="AY202" s="406"/>
      <c r="AZ202" s="538"/>
    </row>
    <row r="203" spans="1:52">
      <c r="A203" s="5"/>
      <c r="B203" s="44" t="s">
        <v>3369</v>
      </c>
      <c r="C203" s="44" t="s">
        <v>160</v>
      </c>
      <c r="D203" s="44" t="s">
        <v>2303</v>
      </c>
      <c r="E203" s="44" t="s">
        <v>1927</v>
      </c>
      <c r="F203" s="44" t="s">
        <v>2973</v>
      </c>
      <c r="G203" s="44" t="s">
        <v>1932</v>
      </c>
      <c r="H203" s="44" t="s">
        <v>116</v>
      </c>
      <c r="I203" s="44" t="s">
        <v>2571</v>
      </c>
      <c r="J203" s="328">
        <v>100</v>
      </c>
      <c r="K203" s="44">
        <v>0</v>
      </c>
      <c r="L203" s="44">
        <v>0</v>
      </c>
      <c r="M203" s="44">
        <v>0</v>
      </c>
      <c r="N203" s="44">
        <v>0</v>
      </c>
      <c r="O203" s="44">
        <v>0</v>
      </c>
      <c r="P203" s="44">
        <v>0</v>
      </c>
      <c r="Q203" s="44">
        <v>10.32</v>
      </c>
      <c r="R203" s="44">
        <v>12.84</v>
      </c>
      <c r="S203" s="44">
        <v>12.53</v>
      </c>
      <c r="T203" s="44">
        <v>7.79</v>
      </c>
      <c r="U203" s="44">
        <v>0</v>
      </c>
      <c r="V203" s="44">
        <v>0</v>
      </c>
      <c r="W203" s="44">
        <v>0</v>
      </c>
      <c r="X203" s="44">
        <v>0</v>
      </c>
      <c r="Y203" s="44">
        <v>0</v>
      </c>
      <c r="Z203" s="44">
        <v>0</v>
      </c>
      <c r="AA203" s="44">
        <v>0</v>
      </c>
      <c r="AB203" s="44">
        <v>0</v>
      </c>
      <c r="AC203" s="44">
        <v>0</v>
      </c>
      <c r="AD203" s="44">
        <v>0</v>
      </c>
      <c r="AE203" s="44">
        <v>0</v>
      </c>
      <c r="AF203" s="44">
        <v>0</v>
      </c>
      <c r="AG203" s="44">
        <v>0</v>
      </c>
      <c r="AH203" s="44">
        <v>0</v>
      </c>
      <c r="AI203" s="44">
        <v>0</v>
      </c>
      <c r="AJ203" s="44">
        <v>0</v>
      </c>
      <c r="AK203" s="44">
        <v>0</v>
      </c>
      <c r="AL203" s="44">
        <v>0</v>
      </c>
      <c r="AM203" s="22" t="str">
        <f t="shared" si="16"/>
        <v>SUBS - US (Deepwater GOM)</v>
      </c>
      <c r="AN203" s="333" t="s">
        <v>543</v>
      </c>
      <c r="AP203" s="471"/>
      <c r="AQ203" s="11"/>
      <c r="AR203" s="11"/>
      <c r="AS203" s="354"/>
      <c r="AU203" s="406"/>
      <c r="AV203" s="55"/>
      <c r="AW203" s="333"/>
      <c r="AX203" s="406"/>
      <c r="AY203" s="406"/>
      <c r="AZ203" s="538"/>
    </row>
    <row r="204" spans="1:52">
      <c r="A204" s="5"/>
      <c r="B204" s="44" t="s">
        <v>3369</v>
      </c>
      <c r="C204" s="44" t="s">
        <v>160</v>
      </c>
      <c r="D204" s="44" t="s">
        <v>324</v>
      </c>
      <c r="E204" s="44" t="s">
        <v>1927</v>
      </c>
      <c r="F204" s="44" t="s">
        <v>2973</v>
      </c>
      <c r="G204" s="44" t="s">
        <v>3374</v>
      </c>
      <c r="H204" s="44" t="s">
        <v>116</v>
      </c>
      <c r="I204" s="44" t="s">
        <v>3558</v>
      </c>
      <c r="J204" s="328">
        <v>33.33</v>
      </c>
      <c r="K204" s="44">
        <v>3.37</v>
      </c>
      <c r="L204" s="44">
        <v>0.7</v>
      </c>
      <c r="M204" s="44">
        <v>1.34</v>
      </c>
      <c r="N204" s="44">
        <v>3.28</v>
      </c>
      <c r="O204" s="44">
        <v>6.08</v>
      </c>
      <c r="P204" s="44">
        <v>4.17</v>
      </c>
      <c r="Q204" s="44">
        <v>3.24</v>
      </c>
      <c r="R204" s="44">
        <v>1.53</v>
      </c>
      <c r="S204" s="44">
        <v>1.51</v>
      </c>
      <c r="T204" s="44">
        <v>1.1599999999999999</v>
      </c>
      <c r="U204" s="44">
        <v>1.29</v>
      </c>
      <c r="V204" s="44">
        <v>2.72</v>
      </c>
      <c r="W204" s="44">
        <v>4.09</v>
      </c>
      <c r="X204" s="44">
        <v>2.8</v>
      </c>
      <c r="Y204" s="44">
        <v>2.0699999999999998</v>
      </c>
      <c r="Z204" s="44">
        <v>1.17</v>
      </c>
      <c r="AA204" s="44">
        <v>0.69</v>
      </c>
      <c r="AB204" s="44">
        <v>0.42</v>
      </c>
      <c r="AC204" s="44">
        <v>0.26</v>
      </c>
      <c r="AD204" s="44">
        <v>0.17</v>
      </c>
      <c r="AE204" s="44">
        <v>0.12</v>
      </c>
      <c r="AF204" s="44">
        <v>0.08</v>
      </c>
      <c r="AG204" s="44">
        <v>0.06</v>
      </c>
      <c r="AH204" s="44">
        <v>0</v>
      </c>
      <c r="AI204" s="44">
        <v>0</v>
      </c>
      <c r="AJ204" s="44">
        <v>0</v>
      </c>
      <c r="AK204" s="44">
        <v>0</v>
      </c>
      <c r="AL204" s="44">
        <v>0</v>
      </c>
      <c r="AM204" s="22" t="str">
        <f t="shared" si="16"/>
        <v>SUBS - US (Deepwater GOM)</v>
      </c>
      <c r="AN204" s="333" t="s">
        <v>543</v>
      </c>
      <c r="AP204" s="471"/>
      <c r="AQ204" s="11"/>
      <c r="AR204" s="11"/>
      <c r="AS204" s="354"/>
      <c r="AU204" s="406"/>
      <c r="AV204" s="55"/>
      <c r="AW204" s="333"/>
      <c r="AX204" s="406"/>
      <c r="AY204" s="406"/>
      <c r="AZ204" s="538"/>
    </row>
    <row r="205" spans="1:52">
      <c r="A205" s="5"/>
      <c r="B205" s="44" t="s">
        <v>3369</v>
      </c>
      <c r="C205" s="44" t="s">
        <v>160</v>
      </c>
      <c r="D205" s="44" t="s">
        <v>325</v>
      </c>
      <c r="E205" s="44" t="s">
        <v>1927</v>
      </c>
      <c r="F205" s="44" t="s">
        <v>3373</v>
      </c>
      <c r="G205" s="44" t="s">
        <v>3374</v>
      </c>
      <c r="H205" s="44" t="s">
        <v>116</v>
      </c>
      <c r="I205" s="44" t="s">
        <v>2608</v>
      </c>
      <c r="J205" s="328">
        <v>33.33</v>
      </c>
      <c r="K205" s="44">
        <v>0</v>
      </c>
      <c r="L205" s="44">
        <v>0</v>
      </c>
      <c r="M205" s="44">
        <v>0</v>
      </c>
      <c r="N205" s="44">
        <v>0</v>
      </c>
      <c r="O205" s="44">
        <v>0</v>
      </c>
      <c r="P205" s="44">
        <v>0</v>
      </c>
      <c r="Q205" s="44">
        <v>0</v>
      </c>
      <c r="R205" s="44">
        <v>0.9</v>
      </c>
      <c r="S205" s="44">
        <v>8.3699999999999992</v>
      </c>
      <c r="T205" s="44">
        <v>16.5</v>
      </c>
      <c r="U205" s="44">
        <v>20.059999999999999</v>
      </c>
      <c r="V205" s="44">
        <v>20.9</v>
      </c>
      <c r="W205" s="44">
        <v>21.32</v>
      </c>
      <c r="X205" s="44">
        <v>19.3</v>
      </c>
      <c r="Y205" s="44">
        <v>18.53</v>
      </c>
      <c r="Z205" s="44">
        <v>18.37</v>
      </c>
      <c r="AA205" s="44">
        <v>18.34</v>
      </c>
      <c r="AB205" s="44">
        <v>17.5</v>
      </c>
      <c r="AC205" s="44">
        <v>14.97</v>
      </c>
      <c r="AD205" s="44">
        <v>12.77</v>
      </c>
      <c r="AE205" s="44">
        <v>10.14</v>
      </c>
      <c r="AF205" s="44">
        <v>7.64</v>
      </c>
      <c r="AG205" s="44">
        <v>6.26</v>
      </c>
      <c r="AH205" s="44">
        <v>5.91</v>
      </c>
      <c r="AI205" s="44">
        <v>4.67</v>
      </c>
      <c r="AJ205" s="44">
        <v>3.76</v>
      </c>
      <c r="AK205" s="44">
        <v>3.08</v>
      </c>
      <c r="AL205" s="44">
        <v>2.56</v>
      </c>
      <c r="AM205" s="22" t="str">
        <f t="shared" si="16"/>
        <v>SUBS - US (Deepwater GOM)</v>
      </c>
      <c r="AN205" s="333" t="s">
        <v>543</v>
      </c>
      <c r="AP205" s="471"/>
      <c r="AQ205" s="11"/>
      <c r="AR205" s="11"/>
      <c r="AS205" s="354"/>
      <c r="AU205" s="406"/>
      <c r="AV205" s="55"/>
      <c r="AW205" s="333"/>
      <c r="AX205" s="406"/>
      <c r="AY205" s="406"/>
      <c r="AZ205" s="538"/>
    </row>
    <row r="206" spans="1:52">
      <c r="A206" s="5"/>
      <c r="B206" s="44" t="s">
        <v>3369</v>
      </c>
      <c r="C206" s="44" t="s">
        <v>160</v>
      </c>
      <c r="D206" s="44" t="s">
        <v>326</v>
      </c>
      <c r="E206" s="44" t="s">
        <v>1927</v>
      </c>
      <c r="F206" s="44" t="s">
        <v>2973</v>
      </c>
      <c r="G206" s="44" t="s">
        <v>3374</v>
      </c>
      <c r="H206" s="44" t="s">
        <v>116</v>
      </c>
      <c r="I206" s="44" t="s">
        <v>2608</v>
      </c>
      <c r="J206" s="328">
        <v>33.33</v>
      </c>
      <c r="K206" s="44">
        <v>8.3800000000000008</v>
      </c>
      <c r="L206" s="44">
        <v>6.41</v>
      </c>
      <c r="M206" s="44">
        <v>5</v>
      </c>
      <c r="N206" s="44">
        <v>3.6</v>
      </c>
      <c r="O206" s="44">
        <v>2.33</v>
      </c>
      <c r="P206" s="44">
        <v>2.0099999999999998</v>
      </c>
      <c r="Q206" s="44">
        <v>1.44</v>
      </c>
      <c r="R206" s="44">
        <v>1.61</v>
      </c>
      <c r="S206" s="44">
        <v>1.82</v>
      </c>
      <c r="T206" s="44">
        <v>2.6</v>
      </c>
      <c r="U206" s="44">
        <v>0</v>
      </c>
      <c r="V206" s="44">
        <v>0</v>
      </c>
      <c r="W206" s="44">
        <v>0</v>
      </c>
      <c r="X206" s="44">
        <v>0</v>
      </c>
      <c r="Y206" s="44">
        <v>0</v>
      </c>
      <c r="Z206" s="44">
        <v>0</v>
      </c>
      <c r="AA206" s="44">
        <v>0</v>
      </c>
      <c r="AB206" s="44">
        <v>0</v>
      </c>
      <c r="AC206" s="44">
        <v>0</v>
      </c>
      <c r="AD206" s="44">
        <v>0</v>
      </c>
      <c r="AE206" s="44">
        <v>0</v>
      </c>
      <c r="AF206" s="44">
        <v>0</v>
      </c>
      <c r="AG206" s="44">
        <v>0</v>
      </c>
      <c r="AH206" s="44">
        <v>0</v>
      </c>
      <c r="AI206" s="44">
        <v>0</v>
      </c>
      <c r="AJ206" s="44">
        <v>0</v>
      </c>
      <c r="AK206" s="44">
        <v>0</v>
      </c>
      <c r="AL206" s="44">
        <v>0</v>
      </c>
      <c r="AM206" s="22" t="str">
        <f t="shared" si="16"/>
        <v>SUBS - US (Deepwater GOM)</v>
      </c>
      <c r="AN206" s="333" t="s">
        <v>543</v>
      </c>
      <c r="AP206" s="471"/>
      <c r="AQ206" s="11"/>
      <c r="AR206" s="11"/>
      <c r="AS206" s="354"/>
      <c r="AU206" s="406"/>
      <c r="AV206" s="55"/>
      <c r="AW206" s="333"/>
      <c r="AX206" s="406"/>
      <c r="AY206" s="406"/>
      <c r="AZ206" s="538"/>
    </row>
    <row r="207" spans="1:52">
      <c r="A207" s="5"/>
      <c r="B207" s="44" t="s">
        <v>3369</v>
      </c>
      <c r="C207" s="44" t="s">
        <v>160</v>
      </c>
      <c r="D207" s="44" t="s">
        <v>327</v>
      </c>
      <c r="E207" s="44" t="s">
        <v>1927</v>
      </c>
      <c r="F207" s="44" t="s">
        <v>3373</v>
      </c>
      <c r="G207" s="44" t="s">
        <v>3374</v>
      </c>
      <c r="H207" s="44" t="s">
        <v>116</v>
      </c>
      <c r="I207" s="44" t="s">
        <v>2608</v>
      </c>
      <c r="J207" s="328">
        <v>100</v>
      </c>
      <c r="K207" s="44">
        <v>43.85</v>
      </c>
      <c r="L207" s="44">
        <v>44.11</v>
      </c>
      <c r="M207" s="44">
        <v>29.75</v>
      </c>
      <c r="N207" s="44">
        <v>27.06</v>
      </c>
      <c r="O207" s="44">
        <v>26.9</v>
      </c>
      <c r="P207" s="44">
        <v>21.34</v>
      </c>
      <c r="Q207" s="44">
        <v>18.670000000000002</v>
      </c>
      <c r="R207" s="44">
        <v>13.18</v>
      </c>
      <c r="S207" s="44">
        <v>7.99</v>
      </c>
      <c r="T207" s="44">
        <v>5.84</v>
      </c>
      <c r="U207" s="44">
        <v>0</v>
      </c>
      <c r="V207" s="44">
        <v>0</v>
      </c>
      <c r="W207" s="44">
        <v>0</v>
      </c>
      <c r="X207" s="44">
        <v>0</v>
      </c>
      <c r="Y207" s="44">
        <v>0</v>
      </c>
      <c r="Z207" s="44">
        <v>0</v>
      </c>
      <c r="AA207" s="44">
        <v>0</v>
      </c>
      <c r="AB207" s="44">
        <v>0</v>
      </c>
      <c r="AC207" s="44">
        <v>0</v>
      </c>
      <c r="AD207" s="44">
        <v>0</v>
      </c>
      <c r="AE207" s="44">
        <v>0</v>
      </c>
      <c r="AF207" s="44">
        <v>0</v>
      </c>
      <c r="AG207" s="44">
        <v>0</v>
      </c>
      <c r="AH207" s="44">
        <v>0</v>
      </c>
      <c r="AI207" s="44">
        <v>0</v>
      </c>
      <c r="AJ207" s="44">
        <v>0</v>
      </c>
      <c r="AK207" s="44">
        <v>0</v>
      </c>
      <c r="AL207" s="44">
        <v>0</v>
      </c>
      <c r="AM207" s="22" t="str">
        <f t="shared" si="16"/>
        <v>SUBS - US (Deepwater GOM)</v>
      </c>
      <c r="AN207" s="333" t="s">
        <v>543</v>
      </c>
      <c r="AP207" s="471"/>
      <c r="AQ207" s="11"/>
      <c r="AR207" s="11"/>
      <c r="AS207" s="354"/>
      <c r="AU207" s="406"/>
      <c r="AV207" s="55"/>
      <c r="AW207" s="333"/>
      <c r="AX207" s="406"/>
      <c r="AY207" s="406"/>
      <c r="AZ207" s="538"/>
    </row>
    <row r="208" spans="1:52">
      <c r="A208" s="5"/>
      <c r="B208" s="44" t="s">
        <v>3369</v>
      </c>
      <c r="C208" s="44" t="s">
        <v>160</v>
      </c>
      <c r="D208" s="44" t="s">
        <v>1511</v>
      </c>
      <c r="E208" s="44" t="s">
        <v>1927</v>
      </c>
      <c r="F208" s="44" t="s">
        <v>3373</v>
      </c>
      <c r="G208" s="44" t="s">
        <v>3374</v>
      </c>
      <c r="H208" s="44" t="s">
        <v>116</v>
      </c>
      <c r="I208" s="44" t="s">
        <v>2571</v>
      </c>
      <c r="J208" s="328">
        <v>66.67</v>
      </c>
      <c r="K208" s="44">
        <v>0</v>
      </c>
      <c r="L208" s="44">
        <v>0</v>
      </c>
      <c r="M208" s="44">
        <v>0</v>
      </c>
      <c r="N208" s="44">
        <v>0</v>
      </c>
      <c r="O208" s="44">
        <v>0</v>
      </c>
      <c r="P208" s="44">
        <v>0</v>
      </c>
      <c r="Q208" s="44">
        <v>0</v>
      </c>
      <c r="R208" s="44">
        <v>0</v>
      </c>
      <c r="S208" s="44">
        <v>0</v>
      </c>
      <c r="T208" s="44">
        <v>5.19</v>
      </c>
      <c r="U208" s="44">
        <v>6.47</v>
      </c>
      <c r="V208" s="44">
        <v>5.28</v>
      </c>
      <c r="W208" s="44">
        <v>1.61</v>
      </c>
      <c r="X208" s="44">
        <v>2.33</v>
      </c>
      <c r="Y208" s="44">
        <v>5.37</v>
      </c>
      <c r="Z208" s="44">
        <v>3.96</v>
      </c>
      <c r="AA208" s="44">
        <v>2.92</v>
      </c>
      <c r="AB208" s="44">
        <v>2.15</v>
      </c>
      <c r="AC208" s="44">
        <v>1.59</v>
      </c>
      <c r="AD208" s="44">
        <v>1.17</v>
      </c>
      <c r="AE208" s="44">
        <v>0.86</v>
      </c>
      <c r="AF208" s="44">
        <v>0.63</v>
      </c>
      <c r="AG208" s="44">
        <v>0.47</v>
      </c>
      <c r="AH208" s="44">
        <v>0.35</v>
      </c>
      <c r="AI208" s="44">
        <v>0.25</v>
      </c>
      <c r="AJ208" s="44">
        <v>0.19</v>
      </c>
      <c r="AK208" s="44">
        <v>0.14000000000000001</v>
      </c>
      <c r="AL208" s="44">
        <v>0.1</v>
      </c>
      <c r="AM208" s="22" t="str">
        <f t="shared" si="16"/>
        <v>SUBS - US (Deepwater GOM)</v>
      </c>
      <c r="AN208" s="333" t="s">
        <v>543</v>
      </c>
      <c r="AP208" s="471"/>
      <c r="AQ208" s="11"/>
      <c r="AR208" s="11"/>
      <c r="AS208" s="354"/>
      <c r="AU208" s="406"/>
      <c r="AV208" s="55"/>
      <c r="AW208" s="333"/>
      <c r="AX208" s="406"/>
      <c r="AY208" s="406"/>
      <c r="AZ208" s="538"/>
    </row>
    <row r="209" spans="1:52">
      <c r="A209" s="5"/>
      <c r="B209" s="44" t="s">
        <v>3369</v>
      </c>
      <c r="C209" s="44" t="s">
        <v>160</v>
      </c>
      <c r="D209" s="44" t="s">
        <v>505</v>
      </c>
      <c r="E209" s="44" t="s">
        <v>1927</v>
      </c>
      <c r="F209" s="44" t="s">
        <v>2973</v>
      </c>
      <c r="G209" s="44" t="s">
        <v>3374</v>
      </c>
      <c r="H209" s="44" t="s">
        <v>116</v>
      </c>
      <c r="I209" s="44" t="s">
        <v>2571</v>
      </c>
      <c r="J209" s="328">
        <v>28.5</v>
      </c>
      <c r="K209" s="44">
        <v>2.21</v>
      </c>
      <c r="L209" s="44">
        <v>1.53</v>
      </c>
      <c r="M209" s="44">
        <v>0.89</v>
      </c>
      <c r="N209" s="44">
        <v>0.57999999999999996</v>
      </c>
      <c r="O209" s="44">
        <v>1.87</v>
      </c>
      <c r="P209" s="44">
        <v>1.48</v>
      </c>
      <c r="Q209" s="44">
        <v>1.67</v>
      </c>
      <c r="R209" s="44">
        <v>0.36</v>
      </c>
      <c r="S209" s="44">
        <v>0.54</v>
      </c>
      <c r="T209" s="44">
        <v>0.59</v>
      </c>
      <c r="U209" s="44">
        <v>0.35</v>
      </c>
      <c r="V209" s="44">
        <v>0.17</v>
      </c>
      <c r="W209" s="44">
        <v>0.19</v>
      </c>
      <c r="X209" s="44">
        <v>0.14000000000000001</v>
      </c>
      <c r="Y209" s="44">
        <v>0.11</v>
      </c>
      <c r="Z209" s="44">
        <v>0.08</v>
      </c>
      <c r="AA209" s="44">
        <v>0.06</v>
      </c>
      <c r="AB209" s="44">
        <v>0</v>
      </c>
      <c r="AC209" s="44">
        <v>0</v>
      </c>
      <c r="AD209" s="44">
        <v>0</v>
      </c>
      <c r="AE209" s="44">
        <v>0</v>
      </c>
      <c r="AF209" s="44">
        <v>0</v>
      </c>
      <c r="AG209" s="44">
        <v>0</v>
      </c>
      <c r="AH209" s="44">
        <v>0</v>
      </c>
      <c r="AI209" s="44">
        <v>0</v>
      </c>
      <c r="AJ209" s="44">
        <v>0</v>
      </c>
      <c r="AK209" s="44">
        <v>0</v>
      </c>
      <c r="AL209" s="44">
        <v>0</v>
      </c>
      <c r="AM209" s="22" t="str">
        <f t="shared" si="16"/>
        <v>SUBS - US (Deepwater GOM)</v>
      </c>
      <c r="AN209" s="333" t="s">
        <v>543</v>
      </c>
      <c r="AP209" s="471"/>
      <c r="AQ209" s="11"/>
      <c r="AR209" s="11"/>
      <c r="AS209" s="354"/>
      <c r="AU209" s="406"/>
      <c r="AV209" s="55"/>
      <c r="AW209" s="333"/>
      <c r="AX209" s="406"/>
      <c r="AY209" s="406"/>
      <c r="AZ209" s="538"/>
    </row>
    <row r="210" spans="1:52">
      <c r="A210" s="5"/>
      <c r="B210" s="44" t="s">
        <v>3369</v>
      </c>
      <c r="C210" s="44" t="s">
        <v>160</v>
      </c>
      <c r="D210" s="44" t="s">
        <v>615</v>
      </c>
      <c r="E210" s="44" t="s">
        <v>1927</v>
      </c>
      <c r="F210" s="44" t="s">
        <v>3373</v>
      </c>
      <c r="G210" s="44" t="s">
        <v>3374</v>
      </c>
      <c r="H210" s="44" t="s">
        <v>116</v>
      </c>
      <c r="I210" s="44" t="s">
        <v>2571</v>
      </c>
      <c r="J210" s="328">
        <v>100</v>
      </c>
      <c r="K210" s="44">
        <v>30.35</v>
      </c>
      <c r="L210" s="44">
        <v>25.4</v>
      </c>
      <c r="M210" s="44">
        <v>22.69</v>
      </c>
      <c r="N210" s="44">
        <v>24.93</v>
      </c>
      <c r="O210" s="44">
        <v>20.29</v>
      </c>
      <c r="P210" s="44">
        <v>20.63</v>
      </c>
      <c r="Q210" s="44">
        <v>20.350000000000001</v>
      </c>
      <c r="R210" s="44">
        <v>18.52</v>
      </c>
      <c r="S210" s="44">
        <v>14.53</v>
      </c>
      <c r="T210" s="44">
        <v>10.87</v>
      </c>
      <c r="U210" s="44">
        <v>0</v>
      </c>
      <c r="V210" s="44">
        <v>0</v>
      </c>
      <c r="W210" s="44">
        <v>0</v>
      </c>
      <c r="X210" s="44">
        <v>0</v>
      </c>
      <c r="Y210" s="44">
        <v>0</v>
      </c>
      <c r="Z210" s="44">
        <v>0</v>
      </c>
      <c r="AA210" s="44">
        <v>0</v>
      </c>
      <c r="AB210" s="44">
        <v>0</v>
      </c>
      <c r="AC210" s="44">
        <v>0</v>
      </c>
      <c r="AD210" s="44">
        <v>0</v>
      </c>
      <c r="AE210" s="44">
        <v>0</v>
      </c>
      <c r="AF210" s="44">
        <v>0</v>
      </c>
      <c r="AG210" s="44">
        <v>0</v>
      </c>
      <c r="AH210" s="44">
        <v>0</v>
      </c>
      <c r="AI210" s="44">
        <v>0</v>
      </c>
      <c r="AJ210" s="44">
        <v>0</v>
      </c>
      <c r="AK210" s="44">
        <v>0</v>
      </c>
      <c r="AL210" s="44">
        <v>0</v>
      </c>
      <c r="AM210" s="22" t="str">
        <f t="shared" si="16"/>
        <v>SUBS - US (Deepwater GOM)</v>
      </c>
      <c r="AN210" s="333" t="s">
        <v>543</v>
      </c>
      <c r="AP210" s="471"/>
      <c r="AQ210" s="11"/>
      <c r="AR210" s="11"/>
      <c r="AS210" s="354"/>
      <c r="AU210" s="406"/>
      <c r="AV210" s="55"/>
      <c r="AW210" s="333"/>
      <c r="AX210" s="406"/>
      <c r="AY210" s="406"/>
      <c r="AZ210" s="538"/>
    </row>
    <row r="211" spans="1:52">
      <c r="A211" s="5"/>
      <c r="B211" s="44" t="s">
        <v>3369</v>
      </c>
      <c r="C211" s="44" t="s">
        <v>160</v>
      </c>
      <c r="D211" s="44" t="s">
        <v>3530</v>
      </c>
      <c r="E211" s="44" t="s">
        <v>1927</v>
      </c>
      <c r="F211" s="44" t="s">
        <v>3373</v>
      </c>
      <c r="G211" s="44" t="s">
        <v>3374</v>
      </c>
      <c r="H211" s="44" t="s">
        <v>116</v>
      </c>
      <c r="I211" s="44" t="s">
        <v>2608</v>
      </c>
      <c r="J211" s="328">
        <v>60.5</v>
      </c>
      <c r="K211" s="44">
        <v>0</v>
      </c>
      <c r="L211" s="44">
        <v>0</v>
      </c>
      <c r="M211" s="44">
        <v>14.74</v>
      </c>
      <c r="N211" s="44">
        <v>18.41</v>
      </c>
      <c r="O211" s="44">
        <v>27.34</v>
      </c>
      <c r="P211" s="44">
        <v>33.93</v>
      </c>
      <c r="Q211" s="44">
        <v>39.04</v>
      </c>
      <c r="R211" s="44">
        <v>34.08</v>
      </c>
      <c r="S211" s="44">
        <v>8.51</v>
      </c>
      <c r="T211" s="44">
        <v>10.14</v>
      </c>
      <c r="U211" s="44">
        <v>21.16</v>
      </c>
      <c r="V211" s="44">
        <v>17.309999999999999</v>
      </c>
      <c r="W211" s="44">
        <v>19.95</v>
      </c>
      <c r="X211" s="44">
        <v>33.409999999999997</v>
      </c>
      <c r="Y211" s="44">
        <v>41.15</v>
      </c>
      <c r="Z211" s="44">
        <v>47.35</v>
      </c>
      <c r="AA211" s="44">
        <v>42.99</v>
      </c>
      <c r="AB211" s="44">
        <v>43.09</v>
      </c>
      <c r="AC211" s="44">
        <v>49.18</v>
      </c>
      <c r="AD211" s="44">
        <v>89.73</v>
      </c>
      <c r="AE211" s="44">
        <v>77.38</v>
      </c>
      <c r="AF211" s="44">
        <v>76.33</v>
      </c>
      <c r="AG211" s="44">
        <v>75.849999999999994</v>
      </c>
      <c r="AH211" s="44">
        <v>66.42</v>
      </c>
      <c r="AI211" s="44">
        <v>61.27</v>
      </c>
      <c r="AJ211" s="44">
        <v>61.33</v>
      </c>
      <c r="AK211" s="44">
        <v>56.36</v>
      </c>
      <c r="AL211" s="44">
        <v>55.97</v>
      </c>
      <c r="AM211" s="22" t="str">
        <f t="shared" si="16"/>
        <v>SUBS - US (Deepwater GOM)</v>
      </c>
      <c r="AN211" s="333" t="s">
        <v>543</v>
      </c>
      <c r="AP211" s="471"/>
      <c r="AQ211" s="11"/>
      <c r="AR211" s="11"/>
      <c r="AS211" s="354"/>
      <c r="AU211" s="406"/>
      <c r="AV211" s="55"/>
      <c r="AW211" s="333"/>
      <c r="AX211" s="406"/>
      <c r="AY211" s="406"/>
      <c r="AZ211" s="538"/>
    </row>
    <row r="212" spans="1:52">
      <c r="A212" s="5"/>
      <c r="B212" s="44" t="s">
        <v>3369</v>
      </c>
      <c r="C212" s="44" t="s">
        <v>160</v>
      </c>
      <c r="D212" s="44" t="s">
        <v>616</v>
      </c>
      <c r="E212" s="44" t="s">
        <v>1927</v>
      </c>
      <c r="F212" s="44" t="s">
        <v>2973</v>
      </c>
      <c r="G212" s="44" t="s">
        <v>1932</v>
      </c>
      <c r="H212" s="44" t="s">
        <v>116</v>
      </c>
      <c r="I212" s="44" t="s">
        <v>2599</v>
      </c>
      <c r="J212" s="328">
        <v>25</v>
      </c>
      <c r="K212" s="44">
        <v>0</v>
      </c>
      <c r="L212" s="44">
        <v>0</v>
      </c>
      <c r="M212" s="44">
        <v>0</v>
      </c>
      <c r="N212" s="44">
        <v>0</v>
      </c>
      <c r="O212" s="44">
        <v>0</v>
      </c>
      <c r="P212" s="44">
        <v>0</v>
      </c>
      <c r="Q212" s="44">
        <v>0</v>
      </c>
      <c r="R212" s="44">
        <v>0.99</v>
      </c>
      <c r="S212" s="44">
        <v>0</v>
      </c>
      <c r="T212" s="44">
        <v>0</v>
      </c>
      <c r="U212" s="44">
        <v>0</v>
      </c>
      <c r="V212" s="44">
        <v>0</v>
      </c>
      <c r="W212" s="44">
        <v>0</v>
      </c>
      <c r="X212" s="44">
        <v>0</v>
      </c>
      <c r="Y212" s="44">
        <v>0</v>
      </c>
      <c r="Z212" s="44">
        <v>0</v>
      </c>
      <c r="AA212" s="44">
        <v>0</v>
      </c>
      <c r="AB212" s="44">
        <v>0</v>
      </c>
      <c r="AC212" s="44">
        <v>0</v>
      </c>
      <c r="AD212" s="44">
        <v>0</v>
      </c>
      <c r="AE212" s="44">
        <v>0</v>
      </c>
      <c r="AF212" s="44">
        <v>0</v>
      </c>
      <c r="AG212" s="44">
        <v>0</v>
      </c>
      <c r="AH212" s="44">
        <v>0</v>
      </c>
      <c r="AI212" s="44">
        <v>0</v>
      </c>
      <c r="AJ212" s="44">
        <v>0</v>
      </c>
      <c r="AK212" s="44">
        <v>0</v>
      </c>
      <c r="AL212" s="44">
        <v>0</v>
      </c>
      <c r="AM212" s="22" t="str">
        <f t="shared" si="16"/>
        <v>SUBS - US (Deepwater GOM)</v>
      </c>
      <c r="AN212" s="333" t="s">
        <v>543</v>
      </c>
      <c r="AP212" s="471"/>
      <c r="AQ212" s="11"/>
      <c r="AR212" s="11"/>
      <c r="AS212" s="354"/>
      <c r="AU212" s="406"/>
      <c r="AV212" s="55"/>
      <c r="AW212" s="333"/>
      <c r="AX212" s="406"/>
      <c r="AY212" s="406"/>
      <c r="AZ212" s="538"/>
    </row>
    <row r="213" spans="1:52">
      <c r="A213" s="5"/>
      <c r="B213" s="44" t="s">
        <v>3369</v>
      </c>
      <c r="C213" s="44" t="s">
        <v>160</v>
      </c>
      <c r="D213" s="44" t="s">
        <v>617</v>
      </c>
      <c r="E213" s="44" t="s">
        <v>1927</v>
      </c>
      <c r="F213" s="44" t="s">
        <v>2973</v>
      </c>
      <c r="G213" s="44" t="s">
        <v>1929</v>
      </c>
      <c r="H213" s="44" t="s">
        <v>116</v>
      </c>
      <c r="I213" s="44" t="s">
        <v>2599</v>
      </c>
      <c r="J213" s="328">
        <v>100</v>
      </c>
      <c r="K213" s="44">
        <v>5.27</v>
      </c>
      <c r="L213" s="44">
        <v>3.22</v>
      </c>
      <c r="M213" s="44">
        <v>4.28</v>
      </c>
      <c r="N213" s="44">
        <v>3.2</v>
      </c>
      <c r="O213" s="44">
        <v>3.17</v>
      </c>
      <c r="P213" s="44">
        <v>3.56</v>
      </c>
      <c r="Q213" s="44">
        <v>2.2799999999999998</v>
      </c>
      <c r="R213" s="44">
        <v>1.67</v>
      </c>
      <c r="S213" s="44">
        <v>0.84</v>
      </c>
      <c r="T213" s="44">
        <v>0.87</v>
      </c>
      <c r="U213" s="44">
        <v>0</v>
      </c>
      <c r="V213" s="44">
        <v>0</v>
      </c>
      <c r="W213" s="44">
        <v>0</v>
      </c>
      <c r="X213" s="44">
        <v>0</v>
      </c>
      <c r="Y213" s="44">
        <v>0</v>
      </c>
      <c r="Z213" s="44">
        <v>0</v>
      </c>
      <c r="AA213" s="44">
        <v>0</v>
      </c>
      <c r="AB213" s="44">
        <v>0</v>
      </c>
      <c r="AC213" s="44">
        <v>0</v>
      </c>
      <c r="AD213" s="44">
        <v>0</v>
      </c>
      <c r="AE213" s="44">
        <v>0</v>
      </c>
      <c r="AF213" s="44">
        <v>0</v>
      </c>
      <c r="AG213" s="44">
        <v>0</v>
      </c>
      <c r="AH213" s="44">
        <v>0</v>
      </c>
      <c r="AI213" s="44">
        <v>0</v>
      </c>
      <c r="AJ213" s="44">
        <v>0</v>
      </c>
      <c r="AK213" s="44">
        <v>0</v>
      </c>
      <c r="AL213" s="44">
        <v>0</v>
      </c>
      <c r="AM213" s="22" t="str">
        <f t="shared" si="16"/>
        <v>SUBS - US (Deepwater GOM)</v>
      </c>
      <c r="AN213" s="333" t="s">
        <v>543</v>
      </c>
      <c r="AP213" s="471"/>
      <c r="AQ213" s="11"/>
      <c r="AR213" s="11"/>
      <c r="AS213" s="354"/>
      <c r="AU213" s="406"/>
      <c r="AV213" s="55"/>
      <c r="AW213" s="333"/>
      <c r="AX213" s="406"/>
      <c r="AY213" s="406"/>
      <c r="AZ213" s="538"/>
    </row>
    <row r="214" spans="1:52">
      <c r="A214" s="5"/>
      <c r="B214" s="44" t="s">
        <v>3369</v>
      </c>
      <c r="C214" s="44" t="s">
        <v>160</v>
      </c>
      <c r="D214" s="44" t="s">
        <v>618</v>
      </c>
      <c r="E214" s="44" t="s">
        <v>1927</v>
      </c>
      <c r="F214" s="44" t="s">
        <v>2973</v>
      </c>
      <c r="G214" s="44" t="s">
        <v>3374</v>
      </c>
      <c r="H214" s="44" t="s">
        <v>116</v>
      </c>
      <c r="I214" s="44" t="s">
        <v>2599</v>
      </c>
      <c r="J214" s="328">
        <v>28.5</v>
      </c>
      <c r="K214" s="44">
        <v>40.14</v>
      </c>
      <c r="L214" s="44">
        <v>33.6</v>
      </c>
      <c r="M214" s="44">
        <v>20.65</v>
      </c>
      <c r="N214" s="44">
        <v>17.98</v>
      </c>
      <c r="O214" s="44">
        <v>28.9</v>
      </c>
      <c r="P214" s="44">
        <v>25.92</v>
      </c>
      <c r="Q214" s="44">
        <v>25.87</v>
      </c>
      <c r="R214" s="44">
        <v>20.39</v>
      </c>
      <c r="S214" s="44">
        <v>16.53</v>
      </c>
      <c r="T214" s="44">
        <v>12.83</v>
      </c>
      <c r="U214" s="44">
        <v>13.14</v>
      </c>
      <c r="V214" s="44">
        <v>19.34</v>
      </c>
      <c r="W214" s="44">
        <v>20.79</v>
      </c>
      <c r="X214" s="44">
        <v>21.5</v>
      </c>
      <c r="Y214" s="44">
        <v>21.88</v>
      </c>
      <c r="Z214" s="44">
        <v>27.81</v>
      </c>
      <c r="AA214" s="44">
        <v>32.43</v>
      </c>
      <c r="AB214" s="44">
        <v>32.24</v>
      </c>
      <c r="AC214" s="44">
        <v>31.31</v>
      </c>
      <c r="AD214" s="44">
        <v>30.44</v>
      </c>
      <c r="AE214" s="44">
        <v>29.92</v>
      </c>
      <c r="AF214" s="44">
        <v>28.59</v>
      </c>
      <c r="AG214" s="44">
        <v>23.99</v>
      </c>
      <c r="AH214" s="44">
        <v>20.12</v>
      </c>
      <c r="AI214" s="44">
        <v>17.579999999999998</v>
      </c>
      <c r="AJ214" s="44">
        <v>13.38</v>
      </c>
      <c r="AK214" s="44">
        <v>10.15</v>
      </c>
      <c r="AL214" s="44">
        <v>7.95</v>
      </c>
      <c r="AM214" s="22" t="str">
        <f t="shared" si="16"/>
        <v>SUBS - US (Deepwater GOM)</v>
      </c>
      <c r="AN214" s="333" t="s">
        <v>543</v>
      </c>
      <c r="AP214" s="471"/>
      <c r="AQ214" s="11"/>
      <c r="AR214" s="11"/>
      <c r="AS214" s="354"/>
      <c r="AU214" s="406"/>
      <c r="AV214" s="55"/>
      <c r="AW214" s="333"/>
      <c r="AX214" s="406"/>
      <c r="AY214" s="406"/>
      <c r="AZ214" s="538"/>
    </row>
    <row r="215" spans="1:52">
      <c r="A215" s="5"/>
      <c r="B215" s="44" t="s">
        <v>3369</v>
      </c>
      <c r="C215" s="44" t="s">
        <v>160</v>
      </c>
      <c r="D215" s="44" t="s">
        <v>519</v>
      </c>
      <c r="E215" s="44" t="s">
        <v>1927</v>
      </c>
      <c r="F215" s="44" t="s">
        <v>2973</v>
      </c>
      <c r="G215" s="44" t="s">
        <v>1931</v>
      </c>
      <c r="H215" s="44" t="s">
        <v>116</v>
      </c>
      <c r="I215" s="44" t="s">
        <v>2571</v>
      </c>
      <c r="J215" s="328">
        <v>50</v>
      </c>
      <c r="K215" s="44">
        <v>0.85</v>
      </c>
      <c r="L215" s="44">
        <v>0.73</v>
      </c>
      <c r="M215" s="44">
        <v>0.42</v>
      </c>
      <c r="N215" s="44">
        <v>0.47</v>
      </c>
      <c r="O215" s="44">
        <v>0.73</v>
      </c>
      <c r="P215" s="44">
        <v>0.27</v>
      </c>
      <c r="Q215" s="44">
        <v>7.0000000000000007E-2</v>
      </c>
      <c r="R215" s="44">
        <v>0.04</v>
      </c>
      <c r="S215" s="44">
        <v>0.02</v>
      </c>
      <c r="T215" s="44">
        <v>0</v>
      </c>
      <c r="U215" s="44">
        <v>0</v>
      </c>
      <c r="V215" s="44">
        <v>0</v>
      </c>
      <c r="W215" s="44">
        <v>0</v>
      </c>
      <c r="X215" s="44">
        <v>0</v>
      </c>
      <c r="Y215" s="44">
        <v>0</v>
      </c>
      <c r="Z215" s="44">
        <v>0</v>
      </c>
      <c r="AA215" s="44">
        <v>0</v>
      </c>
      <c r="AB215" s="44">
        <v>0</v>
      </c>
      <c r="AC215" s="44">
        <v>0</v>
      </c>
      <c r="AD215" s="44">
        <v>0</v>
      </c>
      <c r="AE215" s="44">
        <v>0</v>
      </c>
      <c r="AF215" s="44">
        <v>0</v>
      </c>
      <c r="AG215" s="44">
        <v>0</v>
      </c>
      <c r="AH215" s="44">
        <v>0</v>
      </c>
      <c r="AI215" s="44">
        <v>0</v>
      </c>
      <c r="AJ215" s="44">
        <v>0</v>
      </c>
      <c r="AK215" s="44">
        <v>0</v>
      </c>
      <c r="AL215" s="44">
        <v>0</v>
      </c>
      <c r="AM215" s="22" t="str">
        <f t="shared" si="16"/>
        <v>SUBS - US (Deepwater GOM)</v>
      </c>
      <c r="AN215" s="333" t="s">
        <v>543</v>
      </c>
      <c r="AP215" s="471"/>
      <c r="AQ215" s="11"/>
      <c r="AR215" s="11"/>
      <c r="AS215" s="354"/>
      <c r="AU215" s="406"/>
      <c r="AV215" s="55"/>
      <c r="AW215" s="333"/>
      <c r="AX215" s="406"/>
      <c r="AY215" s="406"/>
      <c r="AZ215" s="538"/>
    </row>
    <row r="216" spans="1:52">
      <c r="A216" s="5"/>
      <c r="B216" s="44" t="s">
        <v>3369</v>
      </c>
      <c r="C216" s="44" t="s">
        <v>160</v>
      </c>
      <c r="D216" s="44" t="s">
        <v>520</v>
      </c>
      <c r="E216" s="44" t="s">
        <v>1927</v>
      </c>
      <c r="F216" s="44" t="s">
        <v>3373</v>
      </c>
      <c r="G216" s="44" t="s">
        <v>3374</v>
      </c>
      <c r="H216" s="44" t="s">
        <v>116</v>
      </c>
      <c r="I216" s="44" t="s">
        <v>2607</v>
      </c>
      <c r="J216" s="328">
        <v>50</v>
      </c>
      <c r="K216" s="44">
        <v>0.42</v>
      </c>
      <c r="L216" s="44">
        <v>24.61</v>
      </c>
      <c r="M216" s="44">
        <v>40.68</v>
      </c>
      <c r="N216" s="44">
        <v>38.270000000000003</v>
      </c>
      <c r="O216" s="44">
        <v>30.39</v>
      </c>
      <c r="P216" s="44">
        <v>27.39</v>
      </c>
      <c r="Q216" s="44">
        <v>25.73</v>
      </c>
      <c r="R216" s="44">
        <v>23.1</v>
      </c>
      <c r="S216" s="44">
        <v>13.71</v>
      </c>
      <c r="T216" s="44">
        <v>8.73</v>
      </c>
      <c r="U216" s="44">
        <v>9.35</v>
      </c>
      <c r="V216" s="44">
        <v>14.36</v>
      </c>
      <c r="W216" s="44">
        <v>13.47</v>
      </c>
      <c r="X216" s="44">
        <v>10.4</v>
      </c>
      <c r="Y216" s="44">
        <v>11.36</v>
      </c>
      <c r="Z216" s="44">
        <v>12.43</v>
      </c>
      <c r="AA216" s="44">
        <v>10.51</v>
      </c>
      <c r="AB216" s="44">
        <v>8.61</v>
      </c>
      <c r="AC216" s="44">
        <v>6.35</v>
      </c>
      <c r="AD216" s="44">
        <v>4.5999999999999996</v>
      </c>
      <c r="AE216" s="44">
        <v>3.35</v>
      </c>
      <c r="AF216" s="44">
        <v>2.44</v>
      </c>
      <c r="AG216" s="44">
        <v>1.79</v>
      </c>
      <c r="AH216" s="44">
        <v>1.31</v>
      </c>
      <c r="AI216" s="44">
        <v>0.96</v>
      </c>
      <c r="AJ216" s="44">
        <v>0.65</v>
      </c>
      <c r="AK216" s="44">
        <v>0.49</v>
      </c>
      <c r="AL216" s="44">
        <v>0.37</v>
      </c>
      <c r="AM216" s="22" t="str">
        <f t="shared" si="16"/>
        <v>SUBS - US (Deepwater GOM)</v>
      </c>
      <c r="AN216" s="333" t="s">
        <v>543</v>
      </c>
      <c r="AP216" s="471"/>
      <c r="AQ216" s="11"/>
      <c r="AR216" s="11"/>
      <c r="AS216" s="354"/>
      <c r="AU216" s="406"/>
      <c r="AV216" s="55"/>
      <c r="AW216" s="333"/>
      <c r="AX216" s="406"/>
      <c r="AY216" s="406"/>
      <c r="AZ216" s="538"/>
    </row>
    <row r="217" spans="1:52">
      <c r="A217" s="5"/>
      <c r="B217" s="44" t="s">
        <v>3369</v>
      </c>
      <c r="C217" s="44" t="s">
        <v>160</v>
      </c>
      <c r="D217" s="44" t="s">
        <v>521</v>
      </c>
      <c r="E217" s="44" t="s">
        <v>1927</v>
      </c>
      <c r="F217" s="44" t="s">
        <v>2973</v>
      </c>
      <c r="G217" s="44" t="s">
        <v>3374</v>
      </c>
      <c r="H217" s="44" t="s">
        <v>116</v>
      </c>
      <c r="I217" s="44" t="s">
        <v>2608</v>
      </c>
      <c r="J217" s="328">
        <v>50</v>
      </c>
      <c r="K217" s="44">
        <v>0</v>
      </c>
      <c r="L217" s="44">
        <v>0</v>
      </c>
      <c r="M217" s="44">
        <v>0</v>
      </c>
      <c r="N217" s="44">
        <v>0</v>
      </c>
      <c r="O217" s="44">
        <v>0</v>
      </c>
      <c r="P217" s="44">
        <v>0</v>
      </c>
      <c r="Q217" s="44">
        <v>0</v>
      </c>
      <c r="R217" s="44">
        <v>0.92</v>
      </c>
      <c r="S217" s="44">
        <v>0</v>
      </c>
      <c r="T217" s="44">
        <v>0</v>
      </c>
      <c r="U217" s="44">
        <v>0</v>
      </c>
      <c r="V217" s="44">
        <v>0</v>
      </c>
      <c r="W217" s="44">
        <v>0</v>
      </c>
      <c r="X217" s="44">
        <v>0</v>
      </c>
      <c r="Y217" s="44">
        <v>0</v>
      </c>
      <c r="Z217" s="44">
        <v>0</v>
      </c>
      <c r="AA217" s="44">
        <v>0</v>
      </c>
      <c r="AB217" s="44">
        <v>0</v>
      </c>
      <c r="AC217" s="44">
        <v>0</v>
      </c>
      <c r="AD217" s="44">
        <v>0</v>
      </c>
      <c r="AE217" s="44">
        <v>0</v>
      </c>
      <c r="AF217" s="44">
        <v>0</v>
      </c>
      <c r="AG217" s="44">
        <v>0</v>
      </c>
      <c r="AH217" s="44">
        <v>0</v>
      </c>
      <c r="AI217" s="44">
        <v>0</v>
      </c>
      <c r="AJ217" s="44">
        <v>0</v>
      </c>
      <c r="AK217" s="44">
        <v>0</v>
      </c>
      <c r="AL217" s="44">
        <v>0</v>
      </c>
      <c r="AM217" s="22" t="str">
        <f t="shared" si="16"/>
        <v>SUBS - US (Deepwater GOM)</v>
      </c>
      <c r="AN217" s="333" t="s">
        <v>543</v>
      </c>
      <c r="AP217" s="471"/>
      <c r="AQ217" s="11"/>
      <c r="AR217" s="11"/>
      <c r="AS217" s="354"/>
      <c r="AU217" s="406"/>
      <c r="AV217" s="55"/>
      <c r="AW217" s="333"/>
      <c r="AX217" s="406"/>
      <c r="AY217" s="406"/>
      <c r="AZ217" s="538"/>
    </row>
    <row r="218" spans="1:52">
      <c r="A218" s="5"/>
      <c r="B218" s="44" t="s">
        <v>3369</v>
      </c>
      <c r="C218" s="44" t="s">
        <v>160</v>
      </c>
      <c r="D218" s="44" t="s">
        <v>522</v>
      </c>
      <c r="E218" s="44" t="s">
        <v>2254</v>
      </c>
      <c r="F218" s="44" t="s">
        <v>2973</v>
      </c>
      <c r="G218" s="44" t="s">
        <v>3374</v>
      </c>
      <c r="H218" s="44" t="s">
        <v>116</v>
      </c>
      <c r="I218" s="44" t="s">
        <v>2571</v>
      </c>
      <c r="J218" s="328">
        <v>50</v>
      </c>
      <c r="K218" s="44">
        <v>0</v>
      </c>
      <c r="L218" s="44">
        <v>0</v>
      </c>
      <c r="M218" s="44">
        <v>0</v>
      </c>
      <c r="N218" s="44">
        <v>0</v>
      </c>
      <c r="O218" s="44">
        <v>0</v>
      </c>
      <c r="P218" s="44">
        <v>0</v>
      </c>
      <c r="Q218" s="44">
        <v>0</v>
      </c>
      <c r="R218" s="44">
        <v>0.05</v>
      </c>
      <c r="S218" s="44">
        <v>0</v>
      </c>
      <c r="T218" s="44">
        <v>0</v>
      </c>
      <c r="U218" s="44">
        <v>0</v>
      </c>
      <c r="V218" s="44">
        <v>0</v>
      </c>
      <c r="W218" s="44">
        <v>0</v>
      </c>
      <c r="X218" s="44">
        <v>0</v>
      </c>
      <c r="Y218" s="44">
        <v>0</v>
      </c>
      <c r="Z218" s="44">
        <v>0</v>
      </c>
      <c r="AA218" s="44">
        <v>0</v>
      </c>
      <c r="AB218" s="44">
        <v>0</v>
      </c>
      <c r="AC218" s="44">
        <v>0</v>
      </c>
      <c r="AD218" s="44">
        <v>0</v>
      </c>
      <c r="AE218" s="44">
        <v>0</v>
      </c>
      <c r="AF218" s="44">
        <v>0</v>
      </c>
      <c r="AG218" s="44">
        <v>0</v>
      </c>
      <c r="AH218" s="44">
        <v>0</v>
      </c>
      <c r="AI218" s="44">
        <v>0</v>
      </c>
      <c r="AJ218" s="44">
        <v>0</v>
      </c>
      <c r="AK218" s="44">
        <v>0</v>
      </c>
      <c r="AL218" s="44">
        <v>0</v>
      </c>
      <c r="AM218" s="22" t="str">
        <f t="shared" si="16"/>
        <v>SUBS - US (Deepwater GOM)</v>
      </c>
      <c r="AN218" s="333" t="s">
        <v>543</v>
      </c>
      <c r="AP218" s="471"/>
      <c r="AQ218" s="11"/>
      <c r="AR218" s="11"/>
      <c r="AS218" s="354"/>
      <c r="AU218" s="406"/>
      <c r="AV218" s="55"/>
      <c r="AW218" s="333"/>
      <c r="AX218" s="406"/>
      <c r="AY218" s="406"/>
      <c r="AZ218" s="538"/>
    </row>
    <row r="219" spans="1:52">
      <c r="A219" s="5"/>
      <c r="B219" s="44" t="s">
        <v>3369</v>
      </c>
      <c r="C219" s="44" t="s">
        <v>160</v>
      </c>
      <c r="D219" s="44" t="s">
        <v>3064</v>
      </c>
      <c r="E219" s="44" t="s">
        <v>2934</v>
      </c>
      <c r="F219" s="44" t="s">
        <v>2973</v>
      </c>
      <c r="G219" s="44" t="s">
        <v>1931</v>
      </c>
      <c r="H219" s="44" t="s">
        <v>116</v>
      </c>
      <c r="I219" s="44" t="s">
        <v>2571</v>
      </c>
      <c r="J219" s="328">
        <v>50</v>
      </c>
      <c r="K219" s="44">
        <v>0.56000000000000005</v>
      </c>
      <c r="L219" s="44">
        <v>0.21</v>
      </c>
      <c r="M219" s="44">
        <v>0.13</v>
      </c>
      <c r="N219" s="44">
        <v>0.14000000000000001</v>
      </c>
      <c r="O219" s="44">
        <v>0.14000000000000001</v>
      </c>
      <c r="P219" s="44">
        <v>0.09</v>
      </c>
      <c r="Q219" s="44">
        <v>0</v>
      </c>
      <c r="R219" s="44">
        <v>0</v>
      </c>
      <c r="S219" s="44">
        <v>0</v>
      </c>
      <c r="T219" s="44">
        <v>0</v>
      </c>
      <c r="U219" s="44">
        <v>0</v>
      </c>
      <c r="V219" s="44">
        <v>0</v>
      </c>
      <c r="W219" s="44">
        <v>0</v>
      </c>
      <c r="X219" s="44">
        <v>0</v>
      </c>
      <c r="Y219" s="44">
        <v>0</v>
      </c>
      <c r="Z219" s="44">
        <v>0</v>
      </c>
      <c r="AA219" s="44">
        <v>0</v>
      </c>
      <c r="AB219" s="44">
        <v>0</v>
      </c>
      <c r="AC219" s="44">
        <v>0</v>
      </c>
      <c r="AD219" s="44">
        <v>0</v>
      </c>
      <c r="AE219" s="44">
        <v>0</v>
      </c>
      <c r="AF219" s="44">
        <v>0</v>
      </c>
      <c r="AG219" s="44">
        <v>0</v>
      </c>
      <c r="AH219" s="44">
        <v>0</v>
      </c>
      <c r="AI219" s="44">
        <v>0</v>
      </c>
      <c r="AJ219" s="44">
        <v>0</v>
      </c>
      <c r="AK219" s="44">
        <v>0</v>
      </c>
      <c r="AL219" s="44">
        <v>0</v>
      </c>
      <c r="AM219" s="22" t="str">
        <f t="shared" si="16"/>
        <v>SUBS - US (Deepwater GOM)</v>
      </c>
      <c r="AN219" s="333" t="s">
        <v>543</v>
      </c>
      <c r="AP219" s="471"/>
      <c r="AQ219" s="11"/>
      <c r="AR219" s="11"/>
      <c r="AS219" s="354"/>
      <c r="AU219" s="406"/>
      <c r="AV219" s="55"/>
      <c r="AW219" s="333"/>
      <c r="AX219" s="406"/>
      <c r="AY219" s="406"/>
      <c r="AZ219" s="538"/>
    </row>
    <row r="220" spans="1:52">
      <c r="A220" s="5"/>
      <c r="B220" s="44" t="s">
        <v>3369</v>
      </c>
      <c r="C220" s="44" t="s">
        <v>160</v>
      </c>
      <c r="D220" s="44" t="s">
        <v>3065</v>
      </c>
      <c r="E220" s="44" t="s">
        <v>1927</v>
      </c>
      <c r="F220" s="44" t="s">
        <v>2973</v>
      </c>
      <c r="G220" s="44" t="s">
        <v>3374</v>
      </c>
      <c r="H220" s="44" t="s">
        <v>116</v>
      </c>
      <c r="I220" s="44" t="s">
        <v>2600</v>
      </c>
      <c r="J220" s="328">
        <v>75</v>
      </c>
      <c r="K220" s="44">
        <v>14.73</v>
      </c>
      <c r="L220" s="44">
        <v>9.1</v>
      </c>
      <c r="M220" s="44">
        <v>6.17</v>
      </c>
      <c r="N220" s="44">
        <v>7.13</v>
      </c>
      <c r="O220" s="44">
        <v>6.41</v>
      </c>
      <c r="P220" s="44">
        <v>5.17</v>
      </c>
      <c r="Q220" s="44">
        <v>4.8899999999999997</v>
      </c>
      <c r="R220" s="44">
        <v>4.34</v>
      </c>
      <c r="S220" s="44">
        <v>1.34</v>
      </c>
      <c r="T220" s="44">
        <v>0</v>
      </c>
      <c r="U220" s="44">
        <v>0</v>
      </c>
      <c r="V220" s="44">
        <v>0</v>
      </c>
      <c r="W220" s="44">
        <v>0</v>
      </c>
      <c r="X220" s="44">
        <v>0</v>
      </c>
      <c r="Y220" s="44">
        <v>0</v>
      </c>
      <c r="Z220" s="44">
        <v>0</v>
      </c>
      <c r="AA220" s="44">
        <v>0</v>
      </c>
      <c r="AB220" s="44">
        <v>0</v>
      </c>
      <c r="AC220" s="44">
        <v>0</v>
      </c>
      <c r="AD220" s="44">
        <v>0</v>
      </c>
      <c r="AE220" s="44">
        <v>0</v>
      </c>
      <c r="AF220" s="44">
        <v>0</v>
      </c>
      <c r="AG220" s="44">
        <v>0</v>
      </c>
      <c r="AH220" s="44">
        <v>0</v>
      </c>
      <c r="AI220" s="44">
        <v>0</v>
      </c>
      <c r="AJ220" s="44">
        <v>0</v>
      </c>
      <c r="AK220" s="44">
        <v>0</v>
      </c>
      <c r="AL220" s="44">
        <v>0</v>
      </c>
      <c r="AM220" s="22" t="str">
        <f t="shared" si="16"/>
        <v>SUBS - US (Deepwater GOM)</v>
      </c>
      <c r="AN220" s="333" t="s">
        <v>543</v>
      </c>
      <c r="AP220" s="471"/>
      <c r="AQ220" s="11"/>
      <c r="AR220" s="11"/>
      <c r="AS220" s="354"/>
      <c r="AU220" s="406"/>
      <c r="AV220" s="55"/>
      <c r="AW220" s="333"/>
      <c r="AX220" s="406"/>
      <c r="AY220" s="406"/>
      <c r="AZ220" s="538"/>
    </row>
    <row r="221" spans="1:52">
      <c r="A221" s="5"/>
      <c r="B221" s="44" t="s">
        <v>3369</v>
      </c>
      <c r="C221" s="44" t="s">
        <v>160</v>
      </c>
      <c r="D221" s="44" t="s">
        <v>3066</v>
      </c>
      <c r="E221" s="44" t="s">
        <v>1927</v>
      </c>
      <c r="F221" s="44" t="s">
        <v>2973</v>
      </c>
      <c r="G221" s="44" t="s">
        <v>3374</v>
      </c>
      <c r="H221" s="44" t="s">
        <v>116</v>
      </c>
      <c r="I221" s="44" t="s">
        <v>2571</v>
      </c>
      <c r="J221" s="328">
        <v>22.69</v>
      </c>
      <c r="K221" s="44">
        <v>3.77</v>
      </c>
      <c r="L221" s="44">
        <v>9.18</v>
      </c>
      <c r="M221" s="44">
        <v>6.38</v>
      </c>
      <c r="N221" s="44">
        <v>7.03</v>
      </c>
      <c r="O221" s="44">
        <v>5.54</v>
      </c>
      <c r="P221" s="44">
        <v>4.25</v>
      </c>
      <c r="Q221" s="44">
        <v>4.68</v>
      </c>
      <c r="R221" s="44">
        <v>5.24</v>
      </c>
      <c r="S221" s="44">
        <v>5.2</v>
      </c>
      <c r="T221" s="44">
        <v>4.29</v>
      </c>
      <c r="U221" s="44">
        <v>4.5599999999999996</v>
      </c>
      <c r="V221" s="44">
        <v>5.77</v>
      </c>
      <c r="W221" s="44">
        <v>6.05</v>
      </c>
      <c r="X221" s="44">
        <v>7.39</v>
      </c>
      <c r="Y221" s="44">
        <v>6.02</v>
      </c>
      <c r="Z221" s="44">
        <v>5.27</v>
      </c>
      <c r="AA221" s="44">
        <v>6.61</v>
      </c>
      <c r="AB221" s="44">
        <v>7.07</v>
      </c>
      <c r="AC221" s="44">
        <v>7.05</v>
      </c>
      <c r="AD221" s="44">
        <v>6.37</v>
      </c>
      <c r="AE221" s="44">
        <v>4.8099999999999996</v>
      </c>
      <c r="AF221" s="44">
        <v>3.55</v>
      </c>
      <c r="AG221" s="44">
        <v>2.61</v>
      </c>
      <c r="AH221" s="44">
        <v>1.93</v>
      </c>
      <c r="AI221" s="44">
        <v>1.42</v>
      </c>
      <c r="AJ221" s="44">
        <v>1.05</v>
      </c>
      <c r="AK221" s="44">
        <v>0.77</v>
      </c>
      <c r="AL221" s="44">
        <v>0.56999999999999995</v>
      </c>
      <c r="AM221" s="22" t="str">
        <f t="shared" si="16"/>
        <v>SUBS - US (Deepwater GOM)</v>
      </c>
      <c r="AN221" s="333" t="s">
        <v>543</v>
      </c>
      <c r="AP221" s="471"/>
      <c r="AQ221" s="11"/>
      <c r="AR221" s="11"/>
      <c r="AS221" s="354"/>
      <c r="AU221" s="406"/>
      <c r="AV221" s="55"/>
      <c r="AW221" s="333"/>
      <c r="AX221" s="406"/>
      <c r="AY221" s="406"/>
      <c r="AZ221" s="538"/>
    </row>
    <row r="222" spans="1:52">
      <c r="A222" s="5"/>
      <c r="B222" s="44" t="s">
        <v>3369</v>
      </c>
      <c r="C222" s="44" t="s">
        <v>160</v>
      </c>
      <c r="D222" s="44" t="s">
        <v>3067</v>
      </c>
      <c r="E222" s="44" t="s">
        <v>1927</v>
      </c>
      <c r="F222" s="44" t="s">
        <v>2973</v>
      </c>
      <c r="G222" s="44" t="s">
        <v>3374</v>
      </c>
      <c r="H222" s="44" t="s">
        <v>116</v>
      </c>
      <c r="I222" s="44" t="s">
        <v>2599</v>
      </c>
      <c r="J222" s="328">
        <v>31</v>
      </c>
      <c r="K222" s="44">
        <v>4.76</v>
      </c>
      <c r="L222" s="44">
        <v>4.16</v>
      </c>
      <c r="M222" s="44">
        <v>3.16</v>
      </c>
      <c r="N222" s="44">
        <v>3.09</v>
      </c>
      <c r="O222" s="44">
        <v>2.25</v>
      </c>
      <c r="P222" s="44">
        <v>1.31</v>
      </c>
      <c r="Q222" s="44">
        <v>1</v>
      </c>
      <c r="R222" s="44">
        <v>1.1399999999999999</v>
      </c>
      <c r="S222" s="44">
        <v>1.1000000000000001</v>
      </c>
      <c r="T222" s="44">
        <v>0.74</v>
      </c>
      <c r="U222" s="44">
        <v>0</v>
      </c>
      <c r="V222" s="44">
        <v>0</v>
      </c>
      <c r="W222" s="44">
        <v>0</v>
      </c>
      <c r="X222" s="44">
        <v>0</v>
      </c>
      <c r="Y222" s="44">
        <v>0</v>
      </c>
      <c r="Z222" s="44">
        <v>0</v>
      </c>
      <c r="AA222" s="44">
        <v>0</v>
      </c>
      <c r="AB222" s="44">
        <v>0</v>
      </c>
      <c r="AC222" s="44">
        <v>0</v>
      </c>
      <c r="AD222" s="44">
        <v>0</v>
      </c>
      <c r="AE222" s="44">
        <v>0</v>
      </c>
      <c r="AF222" s="44">
        <v>0</v>
      </c>
      <c r="AG222" s="44">
        <v>0</v>
      </c>
      <c r="AH222" s="44">
        <v>0</v>
      </c>
      <c r="AI222" s="44">
        <v>0</v>
      </c>
      <c r="AJ222" s="44">
        <v>0</v>
      </c>
      <c r="AK222" s="44">
        <v>0</v>
      </c>
      <c r="AL222" s="44">
        <v>0</v>
      </c>
      <c r="AM222" s="22" t="str">
        <f t="shared" si="16"/>
        <v>SUBS - US (Deepwater GOM)</v>
      </c>
      <c r="AN222" s="333" t="s">
        <v>543</v>
      </c>
      <c r="AP222" s="471"/>
      <c r="AQ222" s="11"/>
      <c r="AR222" s="11"/>
      <c r="AS222" s="354"/>
      <c r="AU222" s="406"/>
      <c r="AV222" s="55"/>
      <c r="AW222" s="333"/>
      <c r="AX222" s="406"/>
      <c r="AY222" s="406"/>
      <c r="AZ222" s="538"/>
    </row>
    <row r="223" spans="1:52">
      <c r="A223" s="5"/>
      <c r="B223" s="44" t="s">
        <v>3369</v>
      </c>
      <c r="C223" s="44" t="s">
        <v>160</v>
      </c>
      <c r="D223" s="44" t="s">
        <v>2051</v>
      </c>
      <c r="E223" s="44" t="s">
        <v>1927</v>
      </c>
      <c r="F223" s="44" t="s">
        <v>3373</v>
      </c>
      <c r="G223" s="44" t="s">
        <v>3374</v>
      </c>
      <c r="H223" s="44" t="s">
        <v>116</v>
      </c>
      <c r="I223" s="44" t="s">
        <v>2571</v>
      </c>
      <c r="J223" s="328">
        <v>46.5</v>
      </c>
      <c r="K223" s="44">
        <v>0</v>
      </c>
      <c r="L223" s="44">
        <v>0</v>
      </c>
      <c r="M223" s="44">
        <v>0</v>
      </c>
      <c r="N223" s="44">
        <v>0</v>
      </c>
      <c r="O223" s="44">
        <v>0</v>
      </c>
      <c r="P223" s="44">
        <v>0</v>
      </c>
      <c r="Q223" s="44">
        <v>0</v>
      </c>
      <c r="R223" s="44">
        <v>0</v>
      </c>
      <c r="S223" s="44">
        <v>0</v>
      </c>
      <c r="T223" s="44">
        <v>6.28</v>
      </c>
      <c r="U223" s="44">
        <v>11.2</v>
      </c>
      <c r="V223" s="44">
        <v>11.34</v>
      </c>
      <c r="W223" s="44">
        <v>8.16</v>
      </c>
      <c r="X223" s="44">
        <v>6.35</v>
      </c>
      <c r="Y223" s="44">
        <v>3.68</v>
      </c>
      <c r="Z223" s="44">
        <v>3</v>
      </c>
      <c r="AA223" s="44">
        <v>2.33</v>
      </c>
      <c r="AB223" s="44">
        <v>1.72</v>
      </c>
      <c r="AC223" s="44">
        <v>1.26</v>
      </c>
      <c r="AD223" s="44">
        <v>0.93</v>
      </c>
      <c r="AE223" s="44">
        <v>0.69</v>
      </c>
      <c r="AF223" s="44">
        <v>0.51</v>
      </c>
      <c r="AG223" s="44">
        <v>0.38</v>
      </c>
      <c r="AH223" s="44">
        <v>0.27</v>
      </c>
      <c r="AI223" s="44">
        <v>0.2</v>
      </c>
      <c r="AJ223" s="44">
        <v>0.15</v>
      </c>
      <c r="AK223" s="44">
        <v>0.11</v>
      </c>
      <c r="AL223" s="44">
        <v>0.08</v>
      </c>
      <c r="AM223" s="22" t="str">
        <f t="shared" si="16"/>
        <v>SUBS - US (Deepwater GOM)</v>
      </c>
      <c r="AN223" s="333" t="s">
        <v>543</v>
      </c>
      <c r="AP223" s="471"/>
      <c r="AQ223" s="11"/>
      <c r="AR223" s="11"/>
      <c r="AS223" s="354"/>
      <c r="AU223" s="406"/>
      <c r="AV223" s="55"/>
      <c r="AW223" s="333"/>
      <c r="AX223" s="406"/>
      <c r="AY223" s="406"/>
      <c r="AZ223" s="538"/>
    </row>
    <row r="224" spans="1:52">
      <c r="A224" s="5"/>
      <c r="B224" s="44" t="s">
        <v>3369</v>
      </c>
      <c r="C224" s="44" t="s">
        <v>160</v>
      </c>
      <c r="D224" s="44" t="s">
        <v>3068</v>
      </c>
      <c r="E224" s="44" t="s">
        <v>1927</v>
      </c>
      <c r="F224" s="44" t="s">
        <v>3373</v>
      </c>
      <c r="G224" s="44" t="s">
        <v>3374</v>
      </c>
      <c r="H224" s="44" t="s">
        <v>116</v>
      </c>
      <c r="I224" s="44" t="s">
        <v>2607</v>
      </c>
      <c r="J224" s="328">
        <v>75</v>
      </c>
      <c r="K224" s="44">
        <v>0</v>
      </c>
      <c r="L224" s="44">
        <v>0</v>
      </c>
      <c r="M224" s="44">
        <v>0</v>
      </c>
      <c r="N224" s="44">
        <v>0</v>
      </c>
      <c r="O224" s="44">
        <v>0</v>
      </c>
      <c r="P224" s="44">
        <v>25.68</v>
      </c>
      <c r="Q224" s="44">
        <v>139.25</v>
      </c>
      <c r="R224" s="44">
        <v>112.27</v>
      </c>
      <c r="S224" s="44">
        <v>70.89</v>
      </c>
      <c r="T224" s="44">
        <v>44.96</v>
      </c>
      <c r="U224" s="44">
        <v>27.08</v>
      </c>
      <c r="V224" s="44">
        <v>50.87</v>
      </c>
      <c r="W224" s="44">
        <v>53.45</v>
      </c>
      <c r="X224" s="44">
        <v>61.74</v>
      </c>
      <c r="Y224" s="44">
        <v>65.78</v>
      </c>
      <c r="Z224" s="44">
        <v>73.41</v>
      </c>
      <c r="AA224" s="44">
        <v>75.81</v>
      </c>
      <c r="AB224" s="44">
        <v>67.849999999999994</v>
      </c>
      <c r="AC224" s="44">
        <v>69.77</v>
      </c>
      <c r="AD224" s="44">
        <v>73.099999999999994</v>
      </c>
      <c r="AE224" s="44">
        <v>75.05</v>
      </c>
      <c r="AF224" s="44">
        <v>74.33</v>
      </c>
      <c r="AG224" s="44">
        <v>68.84</v>
      </c>
      <c r="AH224" s="44">
        <v>63.85</v>
      </c>
      <c r="AI224" s="44">
        <v>59.93</v>
      </c>
      <c r="AJ224" s="44">
        <v>55.89</v>
      </c>
      <c r="AK224" s="44">
        <v>50.83</v>
      </c>
      <c r="AL224" s="44">
        <v>43.04</v>
      </c>
      <c r="AM224" s="22" t="str">
        <f t="shared" si="16"/>
        <v>SUBS - US (Deepwater GOM)</v>
      </c>
      <c r="AN224" s="333" t="s">
        <v>543</v>
      </c>
      <c r="AP224" s="471"/>
      <c r="AQ224" s="11"/>
      <c r="AR224" s="11"/>
      <c r="AS224" s="354"/>
      <c r="AU224" s="406"/>
      <c r="AV224" s="55"/>
      <c r="AW224" s="333"/>
      <c r="AX224" s="406"/>
      <c r="AY224" s="406"/>
      <c r="AZ224" s="538"/>
    </row>
    <row r="225" spans="1:52">
      <c r="A225" s="5"/>
      <c r="B225" s="44" t="s">
        <v>3369</v>
      </c>
      <c r="C225" s="44" t="s">
        <v>160</v>
      </c>
      <c r="D225" s="44" t="s">
        <v>3069</v>
      </c>
      <c r="E225" s="44" t="s">
        <v>1927</v>
      </c>
      <c r="F225" s="44" t="s">
        <v>2973</v>
      </c>
      <c r="G225" s="44" t="s">
        <v>3374</v>
      </c>
      <c r="H225" s="44" t="s">
        <v>116</v>
      </c>
      <c r="I225" s="44" t="s">
        <v>2571</v>
      </c>
      <c r="J225" s="328">
        <v>33.340000000000003</v>
      </c>
      <c r="K225" s="44">
        <v>10.15</v>
      </c>
      <c r="L225" s="44">
        <v>2.08</v>
      </c>
      <c r="M225" s="44">
        <v>0</v>
      </c>
      <c r="N225" s="44">
        <v>0</v>
      </c>
      <c r="O225" s="44">
        <v>0</v>
      </c>
      <c r="P225" s="44">
        <v>0</v>
      </c>
      <c r="Q225" s="44">
        <v>0</v>
      </c>
      <c r="R225" s="44">
        <v>0</v>
      </c>
      <c r="S225" s="44">
        <v>0</v>
      </c>
      <c r="T225" s="44">
        <v>0</v>
      </c>
      <c r="U225" s="44">
        <v>0</v>
      </c>
      <c r="V225" s="44">
        <v>0</v>
      </c>
      <c r="W225" s="44">
        <v>0</v>
      </c>
      <c r="X225" s="44">
        <v>0</v>
      </c>
      <c r="Y225" s="44">
        <v>0</v>
      </c>
      <c r="Z225" s="44">
        <v>0</v>
      </c>
      <c r="AA225" s="44">
        <v>0</v>
      </c>
      <c r="AB225" s="44">
        <v>0</v>
      </c>
      <c r="AC225" s="44">
        <v>0</v>
      </c>
      <c r="AD225" s="44">
        <v>0</v>
      </c>
      <c r="AE225" s="44">
        <v>0</v>
      </c>
      <c r="AF225" s="44">
        <v>0</v>
      </c>
      <c r="AG225" s="44">
        <v>0</v>
      </c>
      <c r="AH225" s="44">
        <v>0</v>
      </c>
      <c r="AI225" s="44">
        <v>0</v>
      </c>
      <c r="AJ225" s="44">
        <v>0</v>
      </c>
      <c r="AK225" s="44">
        <v>0</v>
      </c>
      <c r="AL225" s="44">
        <v>0</v>
      </c>
      <c r="AM225" s="22" t="str">
        <f t="shared" ref="AM225:AM264" si="19">AN225&amp;" - "&amp;C225</f>
        <v>SUBS - US (Deepwater GOM)</v>
      </c>
      <c r="AN225" s="333" t="s">
        <v>543</v>
      </c>
      <c r="AP225" s="471"/>
      <c r="AQ225" s="11"/>
      <c r="AR225" s="11"/>
      <c r="AS225" s="354"/>
      <c r="AU225" s="406"/>
      <c r="AV225" s="55"/>
      <c r="AW225" s="333"/>
      <c r="AX225" s="406"/>
      <c r="AY225" s="406"/>
      <c r="AZ225" s="538"/>
    </row>
    <row r="226" spans="1:52">
      <c r="A226" s="5"/>
      <c r="B226" s="44" t="s">
        <v>3369</v>
      </c>
      <c r="C226" s="44" t="s">
        <v>160</v>
      </c>
      <c r="D226" s="44" t="s">
        <v>3070</v>
      </c>
      <c r="E226" s="44" t="s">
        <v>1927</v>
      </c>
      <c r="F226" s="44" t="s">
        <v>2973</v>
      </c>
      <c r="G226" s="44" t="s">
        <v>3374</v>
      </c>
      <c r="H226" s="44" t="s">
        <v>116</v>
      </c>
      <c r="I226" s="44" t="s">
        <v>2599</v>
      </c>
      <c r="J226" s="328">
        <v>22.69</v>
      </c>
      <c r="K226" s="44">
        <v>16.86</v>
      </c>
      <c r="L226" s="44">
        <v>18.13</v>
      </c>
      <c r="M226" s="44">
        <v>10.89</v>
      </c>
      <c r="N226" s="44">
        <v>12.13</v>
      </c>
      <c r="O226" s="44">
        <v>11.94</v>
      </c>
      <c r="P226" s="44">
        <v>8.44</v>
      </c>
      <c r="Q226" s="44">
        <v>9.27</v>
      </c>
      <c r="R226" s="44">
        <v>8.5500000000000007</v>
      </c>
      <c r="S226" s="44">
        <v>8.6199999999999992</v>
      </c>
      <c r="T226" s="44">
        <v>7.22</v>
      </c>
      <c r="U226" s="44">
        <v>6.01</v>
      </c>
      <c r="V226" s="44">
        <v>5.77</v>
      </c>
      <c r="W226" s="44">
        <v>5.1100000000000003</v>
      </c>
      <c r="X226" s="44">
        <v>5.21</v>
      </c>
      <c r="Y226" s="44">
        <v>4.18</v>
      </c>
      <c r="Z226" s="44">
        <v>3.56</v>
      </c>
      <c r="AA226" s="44">
        <v>3.92</v>
      </c>
      <c r="AB226" s="44">
        <v>3.29</v>
      </c>
      <c r="AC226" s="44">
        <v>2.78</v>
      </c>
      <c r="AD226" s="44">
        <v>2.57</v>
      </c>
      <c r="AE226" s="44">
        <v>3.18</v>
      </c>
      <c r="AF226" s="44">
        <v>3.94</v>
      </c>
      <c r="AG226" s="44">
        <v>4.53</v>
      </c>
      <c r="AH226" s="44">
        <v>3.51</v>
      </c>
      <c r="AI226" s="44">
        <v>2.5499999999999998</v>
      </c>
      <c r="AJ226" s="44">
        <v>1.83</v>
      </c>
      <c r="AK226" s="44">
        <v>1.33</v>
      </c>
      <c r="AL226" s="44">
        <v>0.96</v>
      </c>
      <c r="AM226" s="22" t="str">
        <f t="shared" si="19"/>
        <v>SUBS - US (Deepwater GOM)</v>
      </c>
      <c r="AN226" s="333" t="s">
        <v>543</v>
      </c>
      <c r="AP226" s="471"/>
      <c r="AQ226" s="11"/>
      <c r="AR226" s="11"/>
      <c r="AS226" s="354"/>
      <c r="AU226" s="406"/>
      <c r="AV226" s="55"/>
      <c r="AW226" s="333"/>
      <c r="AX226" s="406"/>
      <c r="AY226" s="406"/>
      <c r="AZ226" s="538"/>
    </row>
    <row r="227" spans="1:52">
      <c r="A227" s="5"/>
      <c r="B227" s="44" t="s">
        <v>3369</v>
      </c>
      <c r="C227" s="44" t="s">
        <v>160</v>
      </c>
      <c r="D227" s="44" t="s">
        <v>3071</v>
      </c>
      <c r="E227" s="44" t="s">
        <v>1927</v>
      </c>
      <c r="F227" s="44" t="s">
        <v>2973</v>
      </c>
      <c r="G227" s="44" t="s">
        <v>3374</v>
      </c>
      <c r="H227" s="44" t="s">
        <v>116</v>
      </c>
      <c r="I227" s="44" t="s">
        <v>2571</v>
      </c>
      <c r="J227" s="328">
        <v>65</v>
      </c>
      <c r="K227" s="44">
        <v>0</v>
      </c>
      <c r="L227" s="44">
        <v>0</v>
      </c>
      <c r="M227" s="44">
        <v>0</v>
      </c>
      <c r="N227" s="44">
        <v>0</v>
      </c>
      <c r="O227" s="44">
        <v>0</v>
      </c>
      <c r="P227" s="44">
        <v>0</v>
      </c>
      <c r="Q227" s="44">
        <v>0</v>
      </c>
      <c r="R227" s="44">
        <v>0.16</v>
      </c>
      <c r="S227" s="44">
        <v>0</v>
      </c>
      <c r="T227" s="44">
        <v>0</v>
      </c>
      <c r="U227" s="44">
        <v>0</v>
      </c>
      <c r="V227" s="44">
        <v>0</v>
      </c>
      <c r="W227" s="44">
        <v>0</v>
      </c>
      <c r="X227" s="44">
        <v>0</v>
      </c>
      <c r="Y227" s="44">
        <v>0</v>
      </c>
      <c r="Z227" s="44">
        <v>0</v>
      </c>
      <c r="AA227" s="44">
        <v>0</v>
      </c>
      <c r="AB227" s="44">
        <v>0</v>
      </c>
      <c r="AC227" s="44">
        <v>0</v>
      </c>
      <c r="AD227" s="44">
        <v>0</v>
      </c>
      <c r="AE227" s="44">
        <v>0</v>
      </c>
      <c r="AF227" s="44">
        <v>0</v>
      </c>
      <c r="AG227" s="44">
        <v>0</v>
      </c>
      <c r="AH227" s="44">
        <v>0</v>
      </c>
      <c r="AI227" s="44">
        <v>0</v>
      </c>
      <c r="AJ227" s="44">
        <v>0</v>
      </c>
      <c r="AK227" s="44">
        <v>0</v>
      </c>
      <c r="AL227" s="44">
        <v>0</v>
      </c>
      <c r="AM227" s="22" t="str">
        <f t="shared" si="19"/>
        <v>SUBS - US (Deepwater GOM)</v>
      </c>
      <c r="AN227" s="333" t="s">
        <v>543</v>
      </c>
      <c r="AP227" s="471"/>
      <c r="AQ227" s="11"/>
      <c r="AR227" s="11"/>
      <c r="AS227" s="354"/>
      <c r="AU227" s="406"/>
      <c r="AV227" s="55"/>
      <c r="AW227" s="333"/>
      <c r="AX227" s="406"/>
      <c r="AY227" s="406"/>
      <c r="AZ227" s="538"/>
    </row>
    <row r="228" spans="1:52">
      <c r="A228" s="5"/>
      <c r="B228" s="44" t="s">
        <v>3369</v>
      </c>
      <c r="C228" s="44" t="s">
        <v>3072</v>
      </c>
      <c r="D228" s="44" t="s">
        <v>3073</v>
      </c>
      <c r="E228" s="44" t="s">
        <v>1927</v>
      </c>
      <c r="F228" s="44" t="s">
        <v>2960</v>
      </c>
      <c r="G228" s="44" t="s">
        <v>1929</v>
      </c>
      <c r="H228" s="44" t="s">
        <v>116</v>
      </c>
      <c r="I228" s="44" t="s">
        <v>1931</v>
      </c>
      <c r="J228" s="328">
        <v>100</v>
      </c>
      <c r="K228" s="44">
        <v>7.63</v>
      </c>
      <c r="L228" s="44">
        <v>4.0999999999999996</v>
      </c>
      <c r="M228" s="44">
        <v>3.01</v>
      </c>
      <c r="N228" s="44">
        <v>1.33</v>
      </c>
      <c r="O228" s="44">
        <v>0</v>
      </c>
      <c r="P228" s="44">
        <v>0</v>
      </c>
      <c r="Q228" s="44">
        <v>0</v>
      </c>
      <c r="R228" s="44">
        <v>0</v>
      </c>
      <c r="S228" s="44">
        <v>0</v>
      </c>
      <c r="T228" s="44">
        <v>0</v>
      </c>
      <c r="U228" s="44">
        <v>0</v>
      </c>
      <c r="V228" s="44">
        <v>0</v>
      </c>
      <c r="W228" s="44">
        <v>0</v>
      </c>
      <c r="X228" s="44">
        <v>0</v>
      </c>
      <c r="Y228" s="44">
        <v>0</v>
      </c>
      <c r="Z228" s="44">
        <v>0</v>
      </c>
      <c r="AA228" s="44">
        <v>0</v>
      </c>
      <c r="AB228" s="44">
        <v>0</v>
      </c>
      <c r="AC228" s="44">
        <v>0</v>
      </c>
      <c r="AD228" s="44">
        <v>0</v>
      </c>
      <c r="AE228" s="44">
        <v>0</v>
      </c>
      <c r="AF228" s="44">
        <v>0</v>
      </c>
      <c r="AG228" s="44">
        <v>0</v>
      </c>
      <c r="AH228" s="44">
        <v>0</v>
      </c>
      <c r="AI228" s="44">
        <v>0</v>
      </c>
      <c r="AJ228" s="44">
        <v>0</v>
      </c>
      <c r="AK228" s="44">
        <v>0</v>
      </c>
      <c r="AL228" s="44">
        <v>0</v>
      </c>
      <c r="AM228" s="22" t="str">
        <f t="shared" si="19"/>
        <v>SUBS - US (GoM Shelf)</v>
      </c>
      <c r="AN228" s="333" t="s">
        <v>543</v>
      </c>
      <c r="AP228" s="471"/>
      <c r="AQ228" s="11"/>
      <c r="AR228" s="11"/>
      <c r="AS228" s="354"/>
      <c r="AU228" s="406"/>
      <c r="AV228" s="55"/>
      <c r="AW228" s="333"/>
      <c r="AX228" s="406"/>
      <c r="AY228" s="406"/>
      <c r="AZ228" s="538"/>
    </row>
    <row r="229" spans="1:52">
      <c r="A229" s="5"/>
      <c r="B229" s="44" t="s">
        <v>3369</v>
      </c>
      <c r="C229" s="44" t="s">
        <v>3072</v>
      </c>
      <c r="D229" s="44" t="s">
        <v>3074</v>
      </c>
      <c r="E229" s="44" t="s">
        <v>1927</v>
      </c>
      <c r="F229" s="44" t="s">
        <v>2960</v>
      </c>
      <c r="G229" s="44" t="s">
        <v>1931</v>
      </c>
      <c r="H229" s="44" t="s">
        <v>116</v>
      </c>
      <c r="I229" s="44" t="s">
        <v>1931</v>
      </c>
      <c r="J229" s="328">
        <v>100</v>
      </c>
      <c r="K229" s="44">
        <v>33</v>
      </c>
      <c r="L229" s="44">
        <v>16.3</v>
      </c>
      <c r="M229" s="44">
        <v>10.23</v>
      </c>
      <c r="N229" s="44">
        <v>1.38</v>
      </c>
      <c r="O229" s="44">
        <v>0</v>
      </c>
      <c r="P229" s="44">
        <v>0</v>
      </c>
      <c r="Q229" s="44">
        <v>0</v>
      </c>
      <c r="R229" s="44">
        <v>0</v>
      </c>
      <c r="S229" s="44">
        <v>0</v>
      </c>
      <c r="T229" s="44">
        <v>0</v>
      </c>
      <c r="U229" s="44">
        <v>0</v>
      </c>
      <c r="V229" s="44">
        <v>0</v>
      </c>
      <c r="W229" s="44">
        <v>0</v>
      </c>
      <c r="X229" s="44">
        <v>0</v>
      </c>
      <c r="Y229" s="44">
        <v>0</v>
      </c>
      <c r="Z229" s="44">
        <v>0</v>
      </c>
      <c r="AA229" s="44">
        <v>0</v>
      </c>
      <c r="AB229" s="44">
        <v>0</v>
      </c>
      <c r="AC229" s="44">
        <v>0</v>
      </c>
      <c r="AD229" s="44">
        <v>0</v>
      </c>
      <c r="AE229" s="44">
        <v>0</v>
      </c>
      <c r="AF229" s="44">
        <v>0</v>
      </c>
      <c r="AG229" s="44">
        <v>0</v>
      </c>
      <c r="AH229" s="44">
        <v>0</v>
      </c>
      <c r="AI229" s="44">
        <v>0</v>
      </c>
      <c r="AJ229" s="44">
        <v>0</v>
      </c>
      <c r="AK229" s="44">
        <v>0</v>
      </c>
      <c r="AL229" s="44">
        <v>0</v>
      </c>
      <c r="AM229" s="22" t="str">
        <f t="shared" si="19"/>
        <v>SUBS - US (GoM Shelf)</v>
      </c>
      <c r="AN229" s="333" t="s">
        <v>543</v>
      </c>
      <c r="AP229" s="471"/>
      <c r="AQ229" s="11"/>
      <c r="AR229" s="11"/>
      <c r="AS229" s="354"/>
      <c r="AU229" s="406"/>
      <c r="AV229" s="55"/>
      <c r="AW229" s="333"/>
      <c r="AX229" s="406"/>
      <c r="AY229" s="406"/>
      <c r="AZ229" s="538"/>
    </row>
    <row r="230" spans="1:52">
      <c r="A230" s="5"/>
      <c r="B230" s="44" t="s">
        <v>3369</v>
      </c>
      <c r="C230" s="44" t="s">
        <v>3072</v>
      </c>
      <c r="D230" s="44" t="s">
        <v>674</v>
      </c>
      <c r="E230" s="44" t="s">
        <v>1927</v>
      </c>
      <c r="F230" s="44" t="s">
        <v>2960</v>
      </c>
      <c r="G230" s="44" t="s">
        <v>1929</v>
      </c>
      <c r="H230" s="44" t="s">
        <v>116</v>
      </c>
      <c r="I230" s="44" t="s">
        <v>1931</v>
      </c>
      <c r="J230" s="328">
        <v>100</v>
      </c>
      <c r="K230" s="44">
        <v>0.04</v>
      </c>
      <c r="L230" s="44">
        <v>0.02</v>
      </c>
      <c r="M230" s="44">
        <v>0.5</v>
      </c>
      <c r="N230" s="44">
        <v>0</v>
      </c>
      <c r="O230" s="44">
        <v>0</v>
      </c>
      <c r="P230" s="44">
        <v>0</v>
      </c>
      <c r="Q230" s="44">
        <v>0</v>
      </c>
      <c r="R230" s="44">
        <v>0</v>
      </c>
      <c r="S230" s="44">
        <v>0</v>
      </c>
      <c r="T230" s="44">
        <v>0</v>
      </c>
      <c r="U230" s="44">
        <v>0</v>
      </c>
      <c r="V230" s="44">
        <v>0</v>
      </c>
      <c r="W230" s="44">
        <v>0</v>
      </c>
      <c r="X230" s="44">
        <v>0</v>
      </c>
      <c r="Y230" s="44">
        <v>0</v>
      </c>
      <c r="Z230" s="44">
        <v>0</v>
      </c>
      <c r="AA230" s="44">
        <v>0</v>
      </c>
      <c r="AB230" s="44">
        <v>0</v>
      </c>
      <c r="AC230" s="44">
        <v>0</v>
      </c>
      <c r="AD230" s="44">
        <v>0</v>
      </c>
      <c r="AE230" s="44">
        <v>0</v>
      </c>
      <c r="AF230" s="44">
        <v>0</v>
      </c>
      <c r="AG230" s="44">
        <v>0</v>
      </c>
      <c r="AH230" s="44">
        <v>0</v>
      </c>
      <c r="AI230" s="44">
        <v>0</v>
      </c>
      <c r="AJ230" s="44">
        <v>0</v>
      </c>
      <c r="AK230" s="44">
        <v>0</v>
      </c>
      <c r="AL230" s="44">
        <v>0</v>
      </c>
      <c r="AM230" s="22" t="str">
        <f t="shared" si="19"/>
        <v>SUBS - US (GoM Shelf)</v>
      </c>
      <c r="AN230" s="333" t="s">
        <v>543</v>
      </c>
      <c r="AP230" s="471"/>
      <c r="AQ230" s="11"/>
      <c r="AR230" s="11"/>
      <c r="AS230" s="354"/>
      <c r="AU230" s="406"/>
      <c r="AV230" s="55"/>
      <c r="AW230" s="333"/>
      <c r="AX230" s="406"/>
      <c r="AY230" s="406"/>
      <c r="AZ230" s="538"/>
    </row>
    <row r="231" spans="1:52">
      <c r="A231" s="5"/>
      <c r="B231" s="44" t="s">
        <v>3369</v>
      </c>
      <c r="C231" s="44" t="s">
        <v>3072</v>
      </c>
      <c r="D231" s="44" t="s">
        <v>1343</v>
      </c>
      <c r="E231" s="44" t="s">
        <v>1927</v>
      </c>
      <c r="F231" s="44" t="s">
        <v>2960</v>
      </c>
      <c r="G231" s="44" t="s">
        <v>1929</v>
      </c>
      <c r="H231" s="44" t="s">
        <v>116</v>
      </c>
      <c r="I231" s="44" t="s">
        <v>1931</v>
      </c>
      <c r="J231" s="328">
        <v>100</v>
      </c>
      <c r="K231" s="44">
        <v>0.64</v>
      </c>
      <c r="L231" s="44">
        <v>0.32</v>
      </c>
      <c r="M231" s="44">
        <v>0.27</v>
      </c>
      <c r="N231" s="44">
        <v>0.06</v>
      </c>
      <c r="O231" s="44">
        <v>0</v>
      </c>
      <c r="P231" s="44">
        <v>0</v>
      </c>
      <c r="Q231" s="44">
        <v>0</v>
      </c>
      <c r="R231" s="44">
        <v>0</v>
      </c>
      <c r="S231" s="44">
        <v>0</v>
      </c>
      <c r="T231" s="44">
        <v>0</v>
      </c>
      <c r="U231" s="44">
        <v>0</v>
      </c>
      <c r="V231" s="44">
        <v>0</v>
      </c>
      <c r="W231" s="44">
        <v>0</v>
      </c>
      <c r="X231" s="44">
        <v>0</v>
      </c>
      <c r="Y231" s="44">
        <v>0</v>
      </c>
      <c r="Z231" s="44">
        <v>0</v>
      </c>
      <c r="AA231" s="44">
        <v>0</v>
      </c>
      <c r="AB231" s="44">
        <v>0</v>
      </c>
      <c r="AC231" s="44">
        <v>0</v>
      </c>
      <c r="AD231" s="44">
        <v>0</v>
      </c>
      <c r="AE231" s="44">
        <v>0</v>
      </c>
      <c r="AF231" s="44">
        <v>0</v>
      </c>
      <c r="AG231" s="44">
        <v>0</v>
      </c>
      <c r="AH231" s="44">
        <v>0</v>
      </c>
      <c r="AI231" s="44">
        <v>0</v>
      </c>
      <c r="AJ231" s="44">
        <v>0</v>
      </c>
      <c r="AK231" s="44">
        <v>0</v>
      </c>
      <c r="AL231" s="44">
        <v>0</v>
      </c>
      <c r="AM231" s="22" t="str">
        <f t="shared" si="19"/>
        <v>SUBS - US (GoM Shelf)</v>
      </c>
      <c r="AN231" s="333" t="s">
        <v>543</v>
      </c>
      <c r="AP231" s="471"/>
      <c r="AQ231" s="11"/>
      <c r="AR231" s="11"/>
      <c r="AS231" s="354"/>
      <c r="AU231" s="406"/>
      <c r="AV231" s="55"/>
      <c r="AW231" s="333"/>
      <c r="AX231" s="406"/>
      <c r="AY231" s="406"/>
      <c r="AZ231" s="538"/>
    </row>
    <row r="232" spans="1:52">
      <c r="A232" s="5"/>
      <c r="B232" s="44" t="s">
        <v>3369</v>
      </c>
      <c r="C232" s="44" t="s">
        <v>3072</v>
      </c>
      <c r="D232" s="44" t="s">
        <v>1344</v>
      </c>
      <c r="E232" s="44" t="s">
        <v>1927</v>
      </c>
      <c r="F232" s="44" t="s">
        <v>2960</v>
      </c>
      <c r="G232" s="44" t="s">
        <v>1931</v>
      </c>
      <c r="H232" s="44" t="s">
        <v>116</v>
      </c>
      <c r="I232" s="44" t="s">
        <v>1931</v>
      </c>
      <c r="J232" s="328">
        <v>100</v>
      </c>
      <c r="K232" s="44">
        <v>0</v>
      </c>
      <c r="L232" s="44">
        <v>0</v>
      </c>
      <c r="M232" s="44">
        <v>0.04</v>
      </c>
      <c r="N232" s="44">
        <v>0</v>
      </c>
      <c r="O232" s="44">
        <v>0</v>
      </c>
      <c r="P232" s="44">
        <v>0</v>
      </c>
      <c r="Q232" s="44">
        <v>0</v>
      </c>
      <c r="R232" s="44">
        <v>0</v>
      </c>
      <c r="S232" s="44">
        <v>0</v>
      </c>
      <c r="T232" s="44">
        <v>0</v>
      </c>
      <c r="U232" s="44">
        <v>0</v>
      </c>
      <c r="V232" s="44">
        <v>0</v>
      </c>
      <c r="W232" s="44">
        <v>0</v>
      </c>
      <c r="X232" s="44">
        <v>0</v>
      </c>
      <c r="Y232" s="44">
        <v>0</v>
      </c>
      <c r="Z232" s="44">
        <v>0</v>
      </c>
      <c r="AA232" s="44">
        <v>0</v>
      </c>
      <c r="AB232" s="44">
        <v>0</v>
      </c>
      <c r="AC232" s="44">
        <v>0</v>
      </c>
      <c r="AD232" s="44">
        <v>0</v>
      </c>
      <c r="AE232" s="44">
        <v>0</v>
      </c>
      <c r="AF232" s="44">
        <v>0</v>
      </c>
      <c r="AG232" s="44">
        <v>0</v>
      </c>
      <c r="AH232" s="44">
        <v>0</v>
      </c>
      <c r="AI232" s="44">
        <v>0</v>
      </c>
      <c r="AJ232" s="44">
        <v>0</v>
      </c>
      <c r="AK232" s="44">
        <v>0</v>
      </c>
      <c r="AL232" s="44">
        <v>0</v>
      </c>
      <c r="AM232" s="22" t="str">
        <f t="shared" si="19"/>
        <v>SUBS - US (GoM Shelf)</v>
      </c>
      <c r="AN232" s="333" t="s">
        <v>543</v>
      </c>
      <c r="AP232" s="471"/>
      <c r="AQ232" s="11"/>
      <c r="AR232" s="11"/>
      <c r="AS232" s="354"/>
      <c r="AU232" s="406"/>
      <c r="AV232" s="55"/>
      <c r="AW232" s="333"/>
      <c r="AX232" s="406"/>
      <c r="AY232" s="406"/>
      <c r="AZ232" s="538"/>
    </row>
    <row r="233" spans="1:52">
      <c r="A233" s="5"/>
      <c r="B233" s="44" t="s">
        <v>3369</v>
      </c>
      <c r="C233" s="44" t="s">
        <v>3072</v>
      </c>
      <c r="D233" s="44" t="s">
        <v>1345</v>
      </c>
      <c r="E233" s="44" t="s">
        <v>1927</v>
      </c>
      <c r="F233" s="44" t="s">
        <v>2960</v>
      </c>
      <c r="G233" s="44" t="s">
        <v>1929</v>
      </c>
      <c r="H233" s="44" t="s">
        <v>116</v>
      </c>
      <c r="I233" s="44" t="s">
        <v>1931</v>
      </c>
      <c r="J233" s="328">
        <v>100</v>
      </c>
      <c r="K233" s="44">
        <v>0.06</v>
      </c>
      <c r="L233" s="44">
        <v>0.02</v>
      </c>
      <c r="M233" s="44">
        <v>0.03</v>
      </c>
      <c r="N233" s="44">
        <v>0.01</v>
      </c>
      <c r="O233" s="44">
        <v>0</v>
      </c>
      <c r="P233" s="44">
        <v>0</v>
      </c>
      <c r="Q233" s="44">
        <v>0</v>
      </c>
      <c r="R233" s="44">
        <v>0</v>
      </c>
      <c r="S233" s="44">
        <v>0</v>
      </c>
      <c r="T233" s="44">
        <v>0</v>
      </c>
      <c r="U233" s="44">
        <v>0</v>
      </c>
      <c r="V233" s="44">
        <v>0</v>
      </c>
      <c r="W233" s="44">
        <v>0</v>
      </c>
      <c r="X233" s="44">
        <v>0</v>
      </c>
      <c r="Y233" s="44">
        <v>0</v>
      </c>
      <c r="Z233" s="44">
        <v>0</v>
      </c>
      <c r="AA233" s="44">
        <v>0</v>
      </c>
      <c r="AB233" s="44">
        <v>0</v>
      </c>
      <c r="AC233" s="44">
        <v>0</v>
      </c>
      <c r="AD233" s="44">
        <v>0</v>
      </c>
      <c r="AE233" s="44">
        <v>0</v>
      </c>
      <c r="AF233" s="44">
        <v>0</v>
      </c>
      <c r="AG233" s="44">
        <v>0</v>
      </c>
      <c r="AH233" s="44">
        <v>0</v>
      </c>
      <c r="AI233" s="44">
        <v>0</v>
      </c>
      <c r="AJ233" s="44">
        <v>0</v>
      </c>
      <c r="AK233" s="44">
        <v>0</v>
      </c>
      <c r="AL233" s="44">
        <v>0</v>
      </c>
      <c r="AM233" s="22" t="str">
        <f t="shared" si="19"/>
        <v>SUBS - US (GoM Shelf)</v>
      </c>
      <c r="AN233" s="333" t="s">
        <v>543</v>
      </c>
      <c r="AP233" s="471"/>
      <c r="AQ233" s="11"/>
      <c r="AR233" s="11"/>
      <c r="AS233" s="354"/>
      <c r="AU233" s="406"/>
      <c r="AV233" s="55"/>
      <c r="AW233" s="333"/>
      <c r="AX233" s="406"/>
      <c r="AY233" s="406"/>
      <c r="AZ233" s="538"/>
    </row>
    <row r="234" spans="1:52">
      <c r="A234" s="5"/>
      <c r="B234" s="44" t="s">
        <v>3369</v>
      </c>
      <c r="C234" s="44" t="s">
        <v>1346</v>
      </c>
      <c r="D234" s="44" t="s">
        <v>1347</v>
      </c>
      <c r="E234" s="44" t="s">
        <v>1927</v>
      </c>
      <c r="F234" s="44" t="s">
        <v>1928</v>
      </c>
      <c r="G234" s="44" t="s">
        <v>1929</v>
      </c>
      <c r="H234" s="44" t="s">
        <v>117</v>
      </c>
      <c r="I234" s="44" t="s">
        <v>1931</v>
      </c>
      <c r="J234" s="328">
        <v>100</v>
      </c>
      <c r="K234" s="44">
        <v>0</v>
      </c>
      <c r="L234" s="44">
        <v>0</v>
      </c>
      <c r="M234" s="44">
        <v>0</v>
      </c>
      <c r="N234" s="44">
        <v>0</v>
      </c>
      <c r="O234" s="44">
        <v>0.05</v>
      </c>
      <c r="P234" s="44">
        <v>0.1</v>
      </c>
      <c r="Q234" s="44">
        <v>0.17</v>
      </c>
      <c r="R234" s="44">
        <v>0.14000000000000001</v>
      </c>
      <c r="S234" s="44">
        <v>0.17</v>
      </c>
      <c r="T234" s="44">
        <v>0.35</v>
      </c>
      <c r="U234" s="44">
        <v>0.57999999999999996</v>
      </c>
      <c r="V234" s="44">
        <v>0.72</v>
      </c>
      <c r="W234" s="44">
        <v>0.49</v>
      </c>
      <c r="X234" s="44">
        <v>0.41</v>
      </c>
      <c r="Y234" s="44">
        <v>0.34</v>
      </c>
      <c r="Z234" s="44">
        <v>0.3</v>
      </c>
      <c r="AA234" s="44">
        <v>0.26</v>
      </c>
      <c r="AB234" s="44">
        <v>0.24</v>
      </c>
      <c r="AC234" s="44">
        <v>0.22</v>
      </c>
      <c r="AD234" s="44">
        <v>0.2</v>
      </c>
      <c r="AE234" s="44">
        <v>0.18</v>
      </c>
      <c r="AF234" s="44">
        <v>0.17</v>
      </c>
      <c r="AG234" s="44">
        <v>0.15</v>
      </c>
      <c r="AH234" s="44">
        <v>0.14000000000000001</v>
      </c>
      <c r="AI234" s="44">
        <v>0.13</v>
      </c>
      <c r="AJ234" s="44">
        <v>0.12</v>
      </c>
      <c r="AK234" s="44">
        <v>0.11</v>
      </c>
      <c r="AL234" s="44">
        <v>0.11</v>
      </c>
      <c r="AM234" s="22" t="str">
        <f t="shared" si="19"/>
        <v>SUBS - US (Gulf Coast)</v>
      </c>
      <c r="AN234" s="333" t="s">
        <v>543</v>
      </c>
      <c r="AP234" s="471"/>
      <c r="AQ234" s="11"/>
      <c r="AR234" s="11"/>
      <c r="AS234" s="354"/>
      <c r="AU234" s="406"/>
      <c r="AV234" s="55"/>
      <c r="AW234" s="333"/>
      <c r="AX234" s="406"/>
      <c r="AY234" s="406"/>
      <c r="AZ234" s="538"/>
    </row>
    <row r="235" spans="1:52">
      <c r="A235" s="5"/>
      <c r="B235" s="44" t="s">
        <v>3369</v>
      </c>
      <c r="C235" s="44" t="s">
        <v>1346</v>
      </c>
      <c r="D235" s="44" t="s">
        <v>1348</v>
      </c>
      <c r="E235" s="44" t="s">
        <v>1927</v>
      </c>
      <c r="F235" s="44" t="s">
        <v>1928</v>
      </c>
      <c r="G235" s="44" t="s">
        <v>1929</v>
      </c>
      <c r="H235" s="44" t="s">
        <v>117</v>
      </c>
      <c r="I235" s="44" t="s">
        <v>1931</v>
      </c>
      <c r="J235" s="328">
        <v>100</v>
      </c>
      <c r="K235" s="44">
        <v>4.75</v>
      </c>
      <c r="L235" s="44">
        <v>4.45</v>
      </c>
      <c r="M235" s="44">
        <v>4.7699999999999996</v>
      </c>
      <c r="N235" s="44">
        <v>4.8</v>
      </c>
      <c r="O235" s="44">
        <v>4.78</v>
      </c>
      <c r="P235" s="44">
        <v>4.7300000000000004</v>
      </c>
      <c r="Q235" s="44">
        <v>4.67</v>
      </c>
      <c r="R235" s="44">
        <v>4.29</v>
      </c>
      <c r="S235" s="44">
        <v>4</v>
      </c>
      <c r="T235" s="44">
        <v>4.4400000000000004</v>
      </c>
      <c r="U235" s="44">
        <v>3.67</v>
      </c>
      <c r="V235" s="44">
        <v>4.25</v>
      </c>
      <c r="W235" s="44">
        <v>3.42</v>
      </c>
      <c r="X235" s="44">
        <v>3.28</v>
      </c>
      <c r="Y235" s="44">
        <v>2.7</v>
      </c>
      <c r="Z235" s="44">
        <v>2.3199999999999998</v>
      </c>
      <c r="AA235" s="44">
        <v>2.06</v>
      </c>
      <c r="AB235" s="44">
        <v>1.86</v>
      </c>
      <c r="AC235" s="44">
        <v>1.69</v>
      </c>
      <c r="AD235" s="44">
        <v>1.56</v>
      </c>
      <c r="AE235" s="44">
        <v>1.43</v>
      </c>
      <c r="AF235" s="44">
        <v>1.32</v>
      </c>
      <c r="AG235" s="44">
        <v>1.21</v>
      </c>
      <c r="AH235" s="44">
        <v>1.1100000000000001</v>
      </c>
      <c r="AI235" s="44">
        <v>1.02</v>
      </c>
      <c r="AJ235" s="44">
        <v>0.95</v>
      </c>
      <c r="AK235" s="44">
        <v>0.89</v>
      </c>
      <c r="AL235" s="44">
        <v>0.82</v>
      </c>
      <c r="AM235" s="22" t="str">
        <f t="shared" si="19"/>
        <v>SUBS - US (Gulf Coast)</v>
      </c>
      <c r="AN235" s="333" t="s">
        <v>543</v>
      </c>
      <c r="AP235" s="471"/>
      <c r="AQ235" s="11"/>
      <c r="AR235" s="11"/>
      <c r="AS235" s="354"/>
      <c r="AU235" s="406"/>
      <c r="AV235" s="55"/>
      <c r="AW235" s="333"/>
      <c r="AX235" s="406"/>
      <c r="AY235" s="406"/>
      <c r="AZ235" s="538"/>
    </row>
    <row r="236" spans="1:52">
      <c r="A236" s="5"/>
      <c r="B236" s="44" t="s">
        <v>3369</v>
      </c>
      <c r="C236" s="44" t="s">
        <v>1346</v>
      </c>
      <c r="D236" s="44" t="s">
        <v>3564</v>
      </c>
      <c r="E236" s="44" t="s">
        <v>1927</v>
      </c>
      <c r="F236" s="44" t="s">
        <v>1928</v>
      </c>
      <c r="G236" s="44" t="s">
        <v>1930</v>
      </c>
      <c r="H236" s="44" t="s">
        <v>2962</v>
      </c>
      <c r="I236" s="44" t="s">
        <v>1931</v>
      </c>
      <c r="J236" s="328">
        <v>100</v>
      </c>
      <c r="K236" s="44">
        <v>0</v>
      </c>
      <c r="L236" s="44">
        <v>0</v>
      </c>
      <c r="M236" s="44">
        <v>0</v>
      </c>
      <c r="N236" s="44">
        <v>0</v>
      </c>
      <c r="O236" s="44">
        <v>0</v>
      </c>
      <c r="P236" s="44">
        <v>0</v>
      </c>
      <c r="Q236" s="44">
        <v>2.2999999999999998</v>
      </c>
      <c r="R236" s="44">
        <v>2.16</v>
      </c>
      <c r="S236" s="44">
        <v>9.58</v>
      </c>
      <c r="T236" s="44">
        <v>11.2</v>
      </c>
      <c r="U236" s="44">
        <v>4.17</v>
      </c>
      <c r="V236" s="44">
        <v>3.3</v>
      </c>
      <c r="W236" s="44">
        <v>0.9</v>
      </c>
      <c r="X236" s="44">
        <v>0</v>
      </c>
      <c r="Y236" s="44">
        <v>0</v>
      </c>
      <c r="Z236" s="44">
        <v>0</v>
      </c>
      <c r="AA236" s="44">
        <v>0</v>
      </c>
      <c r="AB236" s="44">
        <v>0</v>
      </c>
      <c r="AC236" s="44">
        <v>0</v>
      </c>
      <c r="AD236" s="44">
        <v>0</v>
      </c>
      <c r="AE236" s="44">
        <v>0</v>
      </c>
      <c r="AF236" s="44">
        <v>0</v>
      </c>
      <c r="AG236" s="44">
        <v>0</v>
      </c>
      <c r="AH236" s="44">
        <v>0</v>
      </c>
      <c r="AI236" s="44">
        <v>0</v>
      </c>
      <c r="AJ236" s="44">
        <v>0</v>
      </c>
      <c r="AK236" s="44">
        <v>0</v>
      </c>
      <c r="AL236" s="44">
        <v>0</v>
      </c>
      <c r="AM236" s="22" t="str">
        <f>AN236&amp;" - "&amp;C236</f>
        <v>SUBS - US (Gulf Coast)</v>
      </c>
      <c r="AN236" s="333" t="s">
        <v>543</v>
      </c>
      <c r="AP236" s="471"/>
      <c r="AQ236" s="11"/>
      <c r="AR236" s="11"/>
      <c r="AS236" s="354"/>
      <c r="AU236" s="406"/>
      <c r="AV236" s="55"/>
      <c r="AW236" s="333"/>
      <c r="AX236" s="406"/>
      <c r="AY236" s="406"/>
      <c r="AZ236" s="538"/>
    </row>
    <row r="237" spans="1:52">
      <c r="A237" s="5"/>
      <c r="B237" s="44" t="s">
        <v>3369</v>
      </c>
      <c r="C237" s="44" t="s">
        <v>1346</v>
      </c>
      <c r="D237" s="44" t="s">
        <v>1349</v>
      </c>
      <c r="E237" s="44" t="s">
        <v>1927</v>
      </c>
      <c r="F237" s="44" t="s">
        <v>1928</v>
      </c>
      <c r="G237" s="44" t="s">
        <v>1929</v>
      </c>
      <c r="H237" s="44" t="s">
        <v>117</v>
      </c>
      <c r="I237" s="44" t="s">
        <v>1931</v>
      </c>
      <c r="J237" s="328">
        <v>100</v>
      </c>
      <c r="K237" s="44">
        <v>0.88</v>
      </c>
      <c r="L237" s="44">
        <v>0.82</v>
      </c>
      <c r="M237" s="44">
        <v>0.87</v>
      </c>
      <c r="N237" s="44">
        <v>0.87</v>
      </c>
      <c r="O237" s="44">
        <v>0.87</v>
      </c>
      <c r="P237" s="44">
        <v>0.87</v>
      </c>
      <c r="Q237" s="44">
        <v>0.72</v>
      </c>
      <c r="R237" s="44">
        <v>0.66</v>
      </c>
      <c r="S237" s="44">
        <v>0.62</v>
      </c>
      <c r="T237" s="44">
        <v>0.68</v>
      </c>
      <c r="U237" s="44">
        <v>0.56000000000000005</v>
      </c>
      <c r="V237" s="44">
        <v>0.62</v>
      </c>
      <c r="W237" s="44">
        <v>0.51</v>
      </c>
      <c r="X237" s="44">
        <v>0.5</v>
      </c>
      <c r="Y237" s="44">
        <v>0.41</v>
      </c>
      <c r="Z237" s="44">
        <v>0.35</v>
      </c>
      <c r="AA237" s="44">
        <v>0.31</v>
      </c>
      <c r="AB237" s="44">
        <v>0.28000000000000003</v>
      </c>
      <c r="AC237" s="44">
        <v>0.26</v>
      </c>
      <c r="AD237" s="44">
        <v>0.24</v>
      </c>
      <c r="AE237" s="44">
        <v>0.22</v>
      </c>
      <c r="AF237" s="44">
        <v>0.2</v>
      </c>
      <c r="AG237" s="44">
        <v>0.18</v>
      </c>
      <c r="AH237" s="44">
        <v>0.17</v>
      </c>
      <c r="AI237" s="44">
        <v>0.16</v>
      </c>
      <c r="AJ237" s="44">
        <v>0.14000000000000001</v>
      </c>
      <c r="AK237" s="44">
        <v>0.13</v>
      </c>
      <c r="AL237" s="44">
        <v>0.12</v>
      </c>
      <c r="AM237" s="22" t="str">
        <f>AN237&amp;" - "&amp;C237</f>
        <v>SUBS - US (Gulf Coast)</v>
      </c>
      <c r="AN237" s="333" t="s">
        <v>543</v>
      </c>
      <c r="AP237" s="471"/>
      <c r="AQ237" s="11"/>
      <c r="AR237" s="11"/>
      <c r="AS237" s="354"/>
      <c r="AU237" s="406"/>
      <c r="AV237" s="55"/>
      <c r="AW237" s="333"/>
      <c r="AX237" s="406"/>
      <c r="AY237" s="406"/>
      <c r="AZ237" s="538"/>
    </row>
    <row r="238" spans="1:52">
      <c r="A238" s="5"/>
      <c r="B238" s="44" t="s">
        <v>3369</v>
      </c>
      <c r="C238" s="44" t="s">
        <v>1346</v>
      </c>
      <c r="D238" s="44" t="s">
        <v>2549</v>
      </c>
      <c r="E238" s="44" t="s">
        <v>1927</v>
      </c>
      <c r="F238" s="44" t="s">
        <v>1928</v>
      </c>
      <c r="G238" s="44" t="s">
        <v>1929</v>
      </c>
      <c r="H238" s="44" t="s">
        <v>117</v>
      </c>
      <c r="I238" s="44" t="s">
        <v>1931</v>
      </c>
      <c r="J238" s="328">
        <v>100</v>
      </c>
      <c r="K238" s="44">
        <v>3.41</v>
      </c>
      <c r="L238" s="44">
        <v>3.17</v>
      </c>
      <c r="M238" s="44">
        <v>3.35</v>
      </c>
      <c r="N238" s="44">
        <v>3.34</v>
      </c>
      <c r="O238" s="44">
        <v>3.33</v>
      </c>
      <c r="P238" s="44">
        <v>3.3</v>
      </c>
      <c r="Q238" s="44">
        <v>2.94</v>
      </c>
      <c r="R238" s="44">
        <v>2.58</v>
      </c>
      <c r="S238" s="44">
        <v>2.41</v>
      </c>
      <c r="T238" s="44">
        <v>2.64</v>
      </c>
      <c r="U238" s="44">
        <v>2.11</v>
      </c>
      <c r="V238" s="44">
        <v>2.36</v>
      </c>
      <c r="W238" s="44">
        <v>1.89</v>
      </c>
      <c r="X238" s="44">
        <v>1.86</v>
      </c>
      <c r="Y238" s="44">
        <v>1.52</v>
      </c>
      <c r="Z238" s="44">
        <v>1.31</v>
      </c>
      <c r="AA238" s="44">
        <v>1.1599999999999999</v>
      </c>
      <c r="AB238" s="44">
        <v>1.05</v>
      </c>
      <c r="AC238" s="44">
        <v>0.95</v>
      </c>
      <c r="AD238" s="44">
        <v>0.88</v>
      </c>
      <c r="AE238" s="44">
        <v>0.81</v>
      </c>
      <c r="AF238" s="44">
        <v>0.74</v>
      </c>
      <c r="AG238" s="44">
        <v>0.68</v>
      </c>
      <c r="AH238" s="44">
        <v>0.63</v>
      </c>
      <c r="AI238" s="44">
        <v>0.57999999999999996</v>
      </c>
      <c r="AJ238" s="44">
        <v>0.54</v>
      </c>
      <c r="AK238" s="44">
        <v>0.5</v>
      </c>
      <c r="AL238" s="44">
        <v>0.46</v>
      </c>
      <c r="AM238" s="22" t="str">
        <f>AN238&amp;" - "&amp;C238</f>
        <v>SUBS - US (Gulf Coast)</v>
      </c>
      <c r="AN238" s="333" t="s">
        <v>543</v>
      </c>
      <c r="AP238" s="471"/>
      <c r="AQ238" s="11"/>
      <c r="AR238" s="11"/>
      <c r="AS238" s="354"/>
      <c r="AU238" s="406"/>
      <c r="AV238" s="55"/>
      <c r="AW238" s="333"/>
      <c r="AX238" s="406"/>
      <c r="AY238" s="406"/>
      <c r="AZ238" s="538"/>
    </row>
    <row r="239" spans="1:52">
      <c r="A239" s="5"/>
      <c r="B239" s="44" t="s">
        <v>3369</v>
      </c>
      <c r="C239" s="44" t="s">
        <v>1346</v>
      </c>
      <c r="D239" s="44" t="s">
        <v>3612</v>
      </c>
      <c r="E239" s="44" t="s">
        <v>1927</v>
      </c>
      <c r="F239" s="44" t="s">
        <v>1928</v>
      </c>
      <c r="G239" s="44" t="s">
        <v>1930</v>
      </c>
      <c r="H239" s="44" t="s">
        <v>116</v>
      </c>
      <c r="I239" s="44" t="s">
        <v>1931</v>
      </c>
      <c r="J239" s="328">
        <v>100</v>
      </c>
      <c r="K239" s="44">
        <v>34.06</v>
      </c>
      <c r="L239" s="44">
        <v>31.1</v>
      </c>
      <c r="M239" s="44">
        <v>14.5</v>
      </c>
      <c r="N239" s="44">
        <v>13.33</v>
      </c>
      <c r="O239" s="44">
        <v>10.73</v>
      </c>
      <c r="P239" s="44">
        <v>10.58</v>
      </c>
      <c r="Q239" s="44">
        <v>11.44</v>
      </c>
      <c r="R239" s="44">
        <v>11.2</v>
      </c>
      <c r="S239" s="44">
        <v>9.76</v>
      </c>
      <c r="T239" s="44">
        <v>0.26</v>
      </c>
      <c r="U239" s="44">
        <v>0.24</v>
      </c>
      <c r="V239" s="44">
        <v>0.27</v>
      </c>
      <c r="W239" s="44">
        <v>0.26</v>
      </c>
      <c r="X239" s="44">
        <v>0</v>
      </c>
      <c r="Y239" s="44">
        <v>0</v>
      </c>
      <c r="Z239" s="44">
        <v>0</v>
      </c>
      <c r="AA239" s="44">
        <v>0</v>
      </c>
      <c r="AB239" s="44">
        <v>0</v>
      </c>
      <c r="AC239" s="44">
        <v>0</v>
      </c>
      <c r="AD239" s="44">
        <v>0</v>
      </c>
      <c r="AE239" s="44">
        <v>0</v>
      </c>
      <c r="AF239" s="44">
        <v>0</v>
      </c>
      <c r="AG239" s="44">
        <v>0</v>
      </c>
      <c r="AH239" s="44">
        <v>0</v>
      </c>
      <c r="AI239" s="44">
        <v>0</v>
      </c>
      <c r="AJ239" s="44">
        <v>0</v>
      </c>
      <c r="AK239" s="44">
        <v>0</v>
      </c>
      <c r="AL239" s="44">
        <v>0</v>
      </c>
      <c r="AM239" s="22" t="str">
        <f t="shared" ref="AM239:AM259" si="20">AN239&amp;" - "&amp;C239</f>
        <v>SUBS - US (Gulf Coast)</v>
      </c>
      <c r="AN239" s="333" t="s">
        <v>543</v>
      </c>
      <c r="AP239" s="471"/>
      <c r="AQ239" s="11"/>
      <c r="AR239" s="11"/>
      <c r="AS239" s="354"/>
      <c r="AU239" s="406"/>
      <c r="AV239" s="55"/>
      <c r="AW239" s="333"/>
      <c r="AX239" s="406"/>
      <c r="AY239" s="406"/>
      <c r="AZ239" s="538"/>
    </row>
    <row r="240" spans="1:52">
      <c r="A240" s="5"/>
      <c r="B240" s="44" t="s">
        <v>3369</v>
      </c>
      <c r="C240" s="44" t="s">
        <v>1346</v>
      </c>
      <c r="D240" s="44" t="s">
        <v>3461</v>
      </c>
      <c r="E240" s="44" t="s">
        <v>1927</v>
      </c>
      <c r="F240" s="44" t="s">
        <v>1928</v>
      </c>
      <c r="G240" s="44" t="s">
        <v>1931</v>
      </c>
      <c r="H240" s="44" t="s">
        <v>2962</v>
      </c>
      <c r="I240" s="44" t="s">
        <v>1931</v>
      </c>
      <c r="J240" s="328">
        <v>100</v>
      </c>
      <c r="K240" s="44">
        <v>0</v>
      </c>
      <c r="L240" s="44">
        <v>0</v>
      </c>
      <c r="M240" s="44">
        <v>0</v>
      </c>
      <c r="N240" s="44">
        <v>0</v>
      </c>
      <c r="O240" s="44">
        <v>0</v>
      </c>
      <c r="P240" s="44">
        <v>0</v>
      </c>
      <c r="Q240" s="44">
        <v>0</v>
      </c>
      <c r="R240" s="44">
        <v>0</v>
      </c>
      <c r="S240" s="44">
        <v>0.1</v>
      </c>
      <c r="T240" s="44">
        <v>0.31</v>
      </c>
      <c r="U240" s="44">
        <v>0.74</v>
      </c>
      <c r="V240" s="44">
        <v>3.42</v>
      </c>
      <c r="W240" s="44">
        <v>3.95</v>
      </c>
      <c r="X240" s="44">
        <v>3.42</v>
      </c>
      <c r="Y240" s="44">
        <v>2.57</v>
      </c>
      <c r="Z240" s="44">
        <v>2.1</v>
      </c>
      <c r="AA240" s="44">
        <v>1.82</v>
      </c>
      <c r="AB240" s="44">
        <v>1.62</v>
      </c>
      <c r="AC240" s="44">
        <v>1.45</v>
      </c>
      <c r="AD240" s="44">
        <v>1.34</v>
      </c>
      <c r="AE240" s="44">
        <v>1.23</v>
      </c>
      <c r="AF240" s="44">
        <v>1.1399999999999999</v>
      </c>
      <c r="AG240" s="44">
        <v>1.05</v>
      </c>
      <c r="AH240" s="44">
        <v>0.97</v>
      </c>
      <c r="AI240" s="44">
        <v>0.89</v>
      </c>
      <c r="AJ240" s="44">
        <v>0.83</v>
      </c>
      <c r="AK240" s="44">
        <v>0.78</v>
      </c>
      <c r="AL240" s="44">
        <v>0.72</v>
      </c>
      <c r="AM240" s="22" t="str">
        <f t="shared" si="20"/>
        <v>SUBS - US (Gulf Coast)</v>
      </c>
      <c r="AN240" s="333" t="s">
        <v>543</v>
      </c>
      <c r="AP240" s="471"/>
      <c r="AQ240" s="11"/>
      <c r="AR240" s="11"/>
      <c r="AS240" s="354"/>
      <c r="AU240" s="406"/>
      <c r="AV240" s="55"/>
      <c r="AW240" s="333"/>
      <c r="AX240" s="406"/>
      <c r="AY240" s="406"/>
      <c r="AZ240" s="538"/>
    </row>
    <row r="241" spans="1:52">
      <c r="A241" s="5"/>
      <c r="B241" s="44" t="s">
        <v>3369</v>
      </c>
      <c r="C241" s="44" t="s">
        <v>1346</v>
      </c>
      <c r="D241" s="44" t="s">
        <v>3462</v>
      </c>
      <c r="E241" s="44" t="s">
        <v>1927</v>
      </c>
      <c r="F241" s="44" t="s">
        <v>1928</v>
      </c>
      <c r="G241" s="44" t="s">
        <v>1931</v>
      </c>
      <c r="H241" s="44" t="s">
        <v>2962</v>
      </c>
      <c r="I241" s="44" t="s">
        <v>1931</v>
      </c>
      <c r="J241" s="328">
        <v>100</v>
      </c>
      <c r="K241" s="44">
        <v>0</v>
      </c>
      <c r="L241" s="44">
        <v>0</v>
      </c>
      <c r="M241" s="44">
        <v>0</v>
      </c>
      <c r="N241" s="44">
        <v>0</v>
      </c>
      <c r="O241" s="44">
        <v>0</v>
      </c>
      <c r="P241" s="44">
        <v>0</v>
      </c>
      <c r="Q241" s="44">
        <v>0</v>
      </c>
      <c r="R241" s="44">
        <v>0</v>
      </c>
      <c r="S241" s="44">
        <v>0.01</v>
      </c>
      <c r="T241" s="44">
        <v>0.31</v>
      </c>
      <c r="U241" s="44">
        <v>0.74</v>
      </c>
      <c r="V241" s="44">
        <v>8.18</v>
      </c>
      <c r="W241" s="44">
        <v>9.19</v>
      </c>
      <c r="X241" s="44">
        <v>7.22</v>
      </c>
      <c r="Y241" s="44">
        <v>5.32</v>
      </c>
      <c r="Z241" s="44">
        <v>4.25</v>
      </c>
      <c r="AA241" s="44">
        <v>3.58</v>
      </c>
      <c r="AB241" s="44">
        <v>3.12</v>
      </c>
      <c r="AC241" s="44">
        <v>2.77</v>
      </c>
      <c r="AD241" s="44">
        <v>2.5499999999999998</v>
      </c>
      <c r="AE241" s="44">
        <v>2.34</v>
      </c>
      <c r="AF241" s="44">
        <v>2.16</v>
      </c>
      <c r="AG241" s="44">
        <v>1.98</v>
      </c>
      <c r="AH241" s="44">
        <v>1.82</v>
      </c>
      <c r="AI241" s="44">
        <v>1.68</v>
      </c>
      <c r="AJ241" s="44">
        <v>1.58</v>
      </c>
      <c r="AK241" s="44">
        <v>1.48</v>
      </c>
      <c r="AL241" s="44">
        <v>1.39</v>
      </c>
      <c r="AM241" s="22" t="str">
        <f t="shared" si="20"/>
        <v>SUBS - US (Gulf Coast)</v>
      </c>
      <c r="AN241" s="333" t="s">
        <v>543</v>
      </c>
      <c r="AP241" s="471"/>
      <c r="AQ241" s="11"/>
      <c r="AR241" s="11"/>
      <c r="AS241" s="354"/>
      <c r="AU241" s="406"/>
      <c r="AV241" s="55"/>
      <c r="AW241" s="333"/>
      <c r="AX241" s="406"/>
      <c r="AY241" s="406"/>
      <c r="AZ241" s="538"/>
    </row>
    <row r="242" spans="1:52">
      <c r="A242" s="5"/>
      <c r="B242" s="44" t="s">
        <v>3369</v>
      </c>
      <c r="C242" s="44" t="s">
        <v>1346</v>
      </c>
      <c r="D242" s="44" t="s">
        <v>3463</v>
      </c>
      <c r="E242" s="44" t="s">
        <v>1927</v>
      </c>
      <c r="F242" s="44" t="s">
        <v>1928</v>
      </c>
      <c r="G242" s="44" t="s">
        <v>1931</v>
      </c>
      <c r="H242" s="44" t="s">
        <v>2962</v>
      </c>
      <c r="I242" s="44" t="s">
        <v>1931</v>
      </c>
      <c r="J242" s="328">
        <v>100</v>
      </c>
      <c r="K242" s="44">
        <v>0</v>
      </c>
      <c r="L242" s="44">
        <v>0</v>
      </c>
      <c r="M242" s="44">
        <v>0</v>
      </c>
      <c r="N242" s="44">
        <v>0</v>
      </c>
      <c r="O242" s="44">
        <v>0</v>
      </c>
      <c r="P242" s="44">
        <v>0</v>
      </c>
      <c r="Q242" s="44">
        <v>0</v>
      </c>
      <c r="R242" s="44">
        <v>0</v>
      </c>
      <c r="S242" s="44">
        <v>0</v>
      </c>
      <c r="T242" s="44">
        <v>0.01</v>
      </c>
      <c r="U242" s="44">
        <v>1.04</v>
      </c>
      <c r="V242" s="44">
        <v>3.11</v>
      </c>
      <c r="W242" s="44">
        <v>3.87</v>
      </c>
      <c r="X242" s="44">
        <v>5.25</v>
      </c>
      <c r="Y242" s="44">
        <v>6.08</v>
      </c>
      <c r="Z242" s="44">
        <v>6.85</v>
      </c>
      <c r="AA242" s="44">
        <v>8.7200000000000006</v>
      </c>
      <c r="AB242" s="44">
        <v>10.08</v>
      </c>
      <c r="AC242" s="44">
        <v>11.17</v>
      </c>
      <c r="AD242" s="44">
        <v>12.1</v>
      </c>
      <c r="AE242" s="44">
        <v>13</v>
      </c>
      <c r="AF242" s="44">
        <v>13.81</v>
      </c>
      <c r="AG242" s="44">
        <v>14.54</v>
      </c>
      <c r="AH242" s="44">
        <v>15.2</v>
      </c>
      <c r="AI242" s="44">
        <v>15.8</v>
      </c>
      <c r="AJ242" s="44">
        <v>16.39</v>
      </c>
      <c r="AK242" s="44">
        <v>16.940000000000001</v>
      </c>
      <c r="AL242" s="44">
        <v>17.45</v>
      </c>
      <c r="AM242" s="22" t="str">
        <f t="shared" si="20"/>
        <v>SUBS - US (Gulf Coast)</v>
      </c>
      <c r="AN242" s="333" t="s">
        <v>543</v>
      </c>
      <c r="AP242" s="471"/>
      <c r="AQ242" s="11"/>
      <c r="AR242" s="11"/>
      <c r="AS242" s="354"/>
      <c r="AU242" s="406"/>
      <c r="AV242" s="55"/>
      <c r="AW242" s="333"/>
      <c r="AX242" s="406"/>
      <c r="AY242" s="406"/>
      <c r="AZ242" s="538"/>
    </row>
    <row r="243" spans="1:52">
      <c r="A243" s="5"/>
      <c r="B243" s="44" t="s">
        <v>3369</v>
      </c>
      <c r="C243" s="44" t="s">
        <v>2463</v>
      </c>
      <c r="D243" s="44" t="s">
        <v>3670</v>
      </c>
      <c r="E243" s="44" t="s">
        <v>1927</v>
      </c>
      <c r="F243" s="44" t="s">
        <v>1928</v>
      </c>
      <c r="G243" s="44" t="s">
        <v>1931</v>
      </c>
      <c r="H243" s="44" t="s">
        <v>116</v>
      </c>
      <c r="I243" s="44" t="s">
        <v>1931</v>
      </c>
      <c r="J243" s="328">
        <v>100</v>
      </c>
      <c r="K243" s="44">
        <v>0</v>
      </c>
      <c r="L243" s="44">
        <v>0</v>
      </c>
      <c r="M243" s="44">
        <v>0</v>
      </c>
      <c r="N243" s="44">
        <v>0</v>
      </c>
      <c r="O243" s="44">
        <v>0</v>
      </c>
      <c r="P243" s="44">
        <v>0</v>
      </c>
      <c r="Q243" s="44">
        <v>0</v>
      </c>
      <c r="R243" s="44">
        <v>0</v>
      </c>
      <c r="S243" s="44">
        <v>0</v>
      </c>
      <c r="T243" s="44">
        <v>0</v>
      </c>
      <c r="U243" s="44">
        <v>0</v>
      </c>
      <c r="V243" s="44">
        <v>0</v>
      </c>
      <c r="W243" s="44">
        <v>0</v>
      </c>
      <c r="X243" s="44">
        <v>0.61</v>
      </c>
      <c r="Y243" s="44">
        <v>0.89</v>
      </c>
      <c r="Z243" s="44">
        <v>1.1100000000000001</v>
      </c>
      <c r="AA243" s="44">
        <v>1.47</v>
      </c>
      <c r="AB243" s="44">
        <v>1.71</v>
      </c>
      <c r="AC243" s="44">
        <v>1.89</v>
      </c>
      <c r="AD243" s="44">
        <v>2.04</v>
      </c>
      <c r="AE243" s="44">
        <v>2.1800000000000002</v>
      </c>
      <c r="AF243" s="44">
        <v>2.31</v>
      </c>
      <c r="AG243" s="44">
        <v>2.42</v>
      </c>
      <c r="AH243" s="44">
        <v>2.52</v>
      </c>
      <c r="AI243" s="44">
        <v>2.62</v>
      </c>
      <c r="AJ243" s="44">
        <v>2.7</v>
      </c>
      <c r="AK243" s="44">
        <v>2.79</v>
      </c>
      <c r="AL243" s="44">
        <v>2.87</v>
      </c>
      <c r="AM243" s="22" t="str">
        <f t="shared" ref="AM243:AM244" si="21">AN243&amp;" - "&amp;C243</f>
        <v>SUBS - US (Mid-Continent)</v>
      </c>
      <c r="AN243" s="333" t="s">
        <v>543</v>
      </c>
      <c r="AP243" s="471"/>
      <c r="AQ243" s="11"/>
      <c r="AR243" s="11"/>
      <c r="AS243" s="354"/>
      <c r="AU243" s="406"/>
      <c r="AV243" s="55"/>
      <c r="AW243" s="333"/>
      <c r="AX243" s="406"/>
      <c r="AY243" s="406"/>
      <c r="AZ243" s="538"/>
    </row>
    <row r="244" spans="1:52">
      <c r="A244" s="5"/>
      <c r="B244" s="44" t="s">
        <v>3369</v>
      </c>
      <c r="C244" s="44" t="s">
        <v>2463</v>
      </c>
      <c r="D244" s="44" t="s">
        <v>3613</v>
      </c>
      <c r="E244" s="44" t="s">
        <v>1927</v>
      </c>
      <c r="F244" s="44" t="s">
        <v>1928</v>
      </c>
      <c r="G244" s="44" t="s">
        <v>1930</v>
      </c>
      <c r="H244" s="44" t="s">
        <v>116</v>
      </c>
      <c r="I244" s="44" t="s">
        <v>1931</v>
      </c>
      <c r="J244" s="328">
        <v>100</v>
      </c>
      <c r="K244" s="44">
        <v>12.71</v>
      </c>
      <c r="L244" s="44">
        <v>13.4</v>
      </c>
      <c r="M244" s="44">
        <v>14.48</v>
      </c>
      <c r="N244" s="44">
        <v>14.22</v>
      </c>
      <c r="O244" s="44">
        <v>14.17</v>
      </c>
      <c r="P244" s="44">
        <v>14.43</v>
      </c>
      <c r="Q244" s="44">
        <v>14.49</v>
      </c>
      <c r="R244" s="44">
        <v>14.18</v>
      </c>
      <c r="S244" s="44">
        <v>13.65</v>
      </c>
      <c r="T244" s="44">
        <v>15.33</v>
      </c>
      <c r="U244" s="44">
        <v>13.05</v>
      </c>
      <c r="V244" s="44">
        <v>11.48</v>
      </c>
      <c r="W244" s="44">
        <v>14.01</v>
      </c>
      <c r="X244" s="44">
        <v>2.93</v>
      </c>
      <c r="Y244" s="44">
        <v>2.5299999999999998</v>
      </c>
      <c r="Z244" s="44">
        <v>2.25</v>
      </c>
      <c r="AA244" s="44">
        <v>2.0299999999999998</v>
      </c>
      <c r="AB244" s="44">
        <v>1.85</v>
      </c>
      <c r="AC244" s="44">
        <v>1.7</v>
      </c>
      <c r="AD244" s="44">
        <v>1.56</v>
      </c>
      <c r="AE244" s="44">
        <v>1.44</v>
      </c>
      <c r="AF244" s="44">
        <v>1.32</v>
      </c>
      <c r="AG244" s="44">
        <v>1.22</v>
      </c>
      <c r="AH244" s="44">
        <v>1.1200000000000001</v>
      </c>
      <c r="AI244" s="44">
        <v>1.03</v>
      </c>
      <c r="AJ244" s="44">
        <v>0.95</v>
      </c>
      <c r="AK244" s="44">
        <v>0.87</v>
      </c>
      <c r="AL244" s="44">
        <v>0.8</v>
      </c>
      <c r="AM244" s="22" t="str">
        <f t="shared" si="21"/>
        <v>SUBS - US (Mid-Continent)</v>
      </c>
      <c r="AN244" s="333" t="s">
        <v>543</v>
      </c>
      <c r="AP244" s="471"/>
      <c r="AQ244" s="11"/>
      <c r="AR244" s="11"/>
      <c r="AS244" s="354"/>
      <c r="AU244" s="406"/>
      <c r="AV244" s="55"/>
      <c r="AW244" s="333"/>
      <c r="AX244" s="406"/>
      <c r="AY244" s="406"/>
      <c r="AZ244" s="538"/>
    </row>
    <row r="245" spans="1:52">
      <c r="A245" s="5"/>
      <c r="B245" s="44" t="s">
        <v>3369</v>
      </c>
      <c r="C245" s="44" t="s">
        <v>2463</v>
      </c>
      <c r="D245" s="44" t="s">
        <v>3614</v>
      </c>
      <c r="E245" s="44" t="s">
        <v>1927</v>
      </c>
      <c r="F245" s="44" t="s">
        <v>1928</v>
      </c>
      <c r="G245" s="44" t="s">
        <v>1930</v>
      </c>
      <c r="H245" s="44" t="s">
        <v>116</v>
      </c>
      <c r="I245" s="44" t="s">
        <v>1931</v>
      </c>
      <c r="J245" s="328">
        <v>100</v>
      </c>
      <c r="K245" s="44">
        <v>0</v>
      </c>
      <c r="L245" s="44">
        <v>0</v>
      </c>
      <c r="M245" s="44">
        <v>0</v>
      </c>
      <c r="N245" s="44">
        <v>0</v>
      </c>
      <c r="O245" s="44">
        <v>0</v>
      </c>
      <c r="P245" s="44">
        <v>0</v>
      </c>
      <c r="Q245" s="44">
        <v>0</v>
      </c>
      <c r="R245" s="44">
        <v>0</v>
      </c>
      <c r="S245" s="44">
        <v>0.03</v>
      </c>
      <c r="T245" s="44">
        <v>7.0000000000000007E-2</v>
      </c>
      <c r="U245" s="44">
        <v>0.12</v>
      </c>
      <c r="V245" s="44">
        <v>0.1</v>
      </c>
      <c r="W245" s="44">
        <v>0</v>
      </c>
      <c r="X245" s="44">
        <v>0.01</v>
      </c>
      <c r="Y245" s="44">
        <v>0</v>
      </c>
      <c r="Z245" s="44">
        <v>0</v>
      </c>
      <c r="AA245" s="44">
        <v>0</v>
      </c>
      <c r="AB245" s="44">
        <v>0</v>
      </c>
      <c r="AC245" s="44">
        <v>0</v>
      </c>
      <c r="AD245" s="44">
        <v>0</v>
      </c>
      <c r="AE245" s="44">
        <v>0</v>
      </c>
      <c r="AF245" s="44">
        <v>0</v>
      </c>
      <c r="AG245" s="44">
        <v>0</v>
      </c>
      <c r="AH245" s="44">
        <v>0</v>
      </c>
      <c r="AI245" s="44">
        <v>0</v>
      </c>
      <c r="AJ245" s="44">
        <v>0</v>
      </c>
      <c r="AK245" s="44">
        <v>0</v>
      </c>
      <c r="AL245" s="44">
        <v>0</v>
      </c>
      <c r="AM245" s="22" t="str">
        <f t="shared" ref="AM245:AM258" si="22">AN245&amp;" - "&amp;C245</f>
        <v>SUBS - US (Mid-Continent)</v>
      </c>
      <c r="AN245" s="333" t="s">
        <v>543</v>
      </c>
      <c r="AP245" s="471"/>
      <c r="AQ245" s="11"/>
      <c r="AR245" s="11"/>
      <c r="AS245" s="354"/>
      <c r="AU245" s="406"/>
      <c r="AV245" s="55"/>
      <c r="AW245" s="333"/>
      <c r="AX245" s="406"/>
      <c r="AY245" s="406"/>
      <c r="AZ245" s="538"/>
    </row>
    <row r="246" spans="1:52">
      <c r="A246" s="5"/>
      <c r="B246" s="44" t="s">
        <v>3369</v>
      </c>
      <c r="C246" s="44" t="s">
        <v>2463</v>
      </c>
      <c r="D246" s="44" t="s">
        <v>2618</v>
      </c>
      <c r="E246" s="44" t="s">
        <v>1927</v>
      </c>
      <c r="F246" s="44" t="s">
        <v>1928</v>
      </c>
      <c r="G246" s="44" t="s">
        <v>1929</v>
      </c>
      <c r="H246" s="44" t="s">
        <v>2962</v>
      </c>
      <c r="I246" s="44" t="s">
        <v>1931</v>
      </c>
      <c r="J246" s="328">
        <v>100</v>
      </c>
      <c r="K246" s="44">
        <v>0</v>
      </c>
      <c r="L246" s="44">
        <v>0</v>
      </c>
      <c r="M246" s="44">
        <v>0</v>
      </c>
      <c r="N246" s="44">
        <v>0</v>
      </c>
      <c r="O246" s="44">
        <v>0</v>
      </c>
      <c r="P246" s="44">
        <v>0</v>
      </c>
      <c r="Q246" s="44">
        <v>0</v>
      </c>
      <c r="R246" s="44">
        <v>0</v>
      </c>
      <c r="S246" s="44">
        <v>0</v>
      </c>
      <c r="T246" s="44">
        <v>1.28</v>
      </c>
      <c r="U246" s="44">
        <v>2.68</v>
      </c>
      <c r="V246" s="44">
        <v>3.25</v>
      </c>
      <c r="W246" s="44">
        <v>2.37</v>
      </c>
      <c r="X246" s="44">
        <v>3.97</v>
      </c>
      <c r="Y246" s="44">
        <v>3.62</v>
      </c>
      <c r="Z246" s="44">
        <v>3.38</v>
      </c>
      <c r="AA246" s="44">
        <v>3.84</v>
      </c>
      <c r="AB246" s="44">
        <v>4.1100000000000003</v>
      </c>
      <c r="AC246" s="44">
        <v>4.33</v>
      </c>
      <c r="AD246" s="44">
        <v>4.51</v>
      </c>
      <c r="AE246" s="44">
        <v>4.68</v>
      </c>
      <c r="AF246" s="44">
        <v>4.83</v>
      </c>
      <c r="AG246" s="44">
        <v>4.95</v>
      </c>
      <c r="AH246" s="44">
        <v>5.07</v>
      </c>
      <c r="AI246" s="44">
        <v>5.16</v>
      </c>
      <c r="AJ246" s="44">
        <v>5.26</v>
      </c>
      <c r="AK246" s="44">
        <v>5.35</v>
      </c>
      <c r="AL246" s="44">
        <v>5.44</v>
      </c>
      <c r="AM246" s="22" t="str">
        <f t="shared" si="22"/>
        <v>SUBS - US (Mid-Continent)</v>
      </c>
      <c r="AN246" s="333" t="s">
        <v>543</v>
      </c>
      <c r="AP246" s="471"/>
      <c r="AQ246" s="11"/>
      <c r="AR246" s="11"/>
      <c r="AS246" s="354"/>
      <c r="AU246" s="406"/>
      <c r="AV246" s="55"/>
      <c r="AW246" s="333"/>
      <c r="AX246" s="406"/>
      <c r="AY246" s="406"/>
      <c r="AZ246" s="538"/>
    </row>
    <row r="247" spans="1:52">
      <c r="A247" s="5"/>
      <c r="B247" s="44" t="s">
        <v>3369</v>
      </c>
      <c r="C247" s="44" t="s">
        <v>2463</v>
      </c>
      <c r="D247" s="44" t="s">
        <v>3615</v>
      </c>
      <c r="E247" s="44" t="s">
        <v>1927</v>
      </c>
      <c r="F247" s="44" t="s">
        <v>1928</v>
      </c>
      <c r="G247" s="44" t="s">
        <v>1930</v>
      </c>
      <c r="H247" s="44" t="s">
        <v>116</v>
      </c>
      <c r="I247" s="44" t="s">
        <v>1931</v>
      </c>
      <c r="J247" s="328">
        <v>100</v>
      </c>
      <c r="K247" s="44">
        <v>9.09</v>
      </c>
      <c r="L247" s="44">
        <v>7.12</v>
      </c>
      <c r="M247" s="44">
        <v>7.5</v>
      </c>
      <c r="N247" s="44">
        <v>7.62</v>
      </c>
      <c r="O247" s="44">
        <v>4.53</v>
      </c>
      <c r="P247" s="44">
        <v>2.64</v>
      </c>
      <c r="Q247" s="44">
        <v>2.1</v>
      </c>
      <c r="R247" s="44">
        <v>1.1299999999999999</v>
      </c>
      <c r="S247" s="44">
        <v>1.05</v>
      </c>
      <c r="T247" s="44">
        <v>0</v>
      </c>
      <c r="U247" s="44">
        <v>0</v>
      </c>
      <c r="V247" s="44">
        <v>0</v>
      </c>
      <c r="W247" s="44">
        <v>0</v>
      </c>
      <c r="X247" s="44">
        <v>0</v>
      </c>
      <c r="Y247" s="44">
        <v>0</v>
      </c>
      <c r="Z247" s="44">
        <v>0</v>
      </c>
      <c r="AA247" s="44">
        <v>0</v>
      </c>
      <c r="AB247" s="44">
        <v>0</v>
      </c>
      <c r="AC247" s="44">
        <v>0</v>
      </c>
      <c r="AD247" s="44">
        <v>0</v>
      </c>
      <c r="AE247" s="44">
        <v>0</v>
      </c>
      <c r="AF247" s="44">
        <v>0</v>
      </c>
      <c r="AG247" s="44">
        <v>0</v>
      </c>
      <c r="AH247" s="44">
        <v>0</v>
      </c>
      <c r="AI247" s="44">
        <v>0</v>
      </c>
      <c r="AJ247" s="44">
        <v>0</v>
      </c>
      <c r="AK247" s="44">
        <v>0</v>
      </c>
      <c r="AL247" s="44">
        <v>0</v>
      </c>
      <c r="AM247" s="22" t="str">
        <f t="shared" si="22"/>
        <v>SUBS - US (Mid-Continent)</v>
      </c>
      <c r="AN247" s="333" t="s">
        <v>543</v>
      </c>
      <c r="AP247" s="471"/>
      <c r="AQ247" s="11"/>
      <c r="AR247" s="11"/>
      <c r="AS247" s="354"/>
      <c r="AU247" s="406"/>
      <c r="AV247" s="55"/>
      <c r="AW247" s="333"/>
      <c r="AX247" s="406"/>
      <c r="AY247" s="406"/>
      <c r="AZ247" s="538"/>
    </row>
    <row r="248" spans="1:52">
      <c r="A248" s="5"/>
      <c r="B248" s="44" t="s">
        <v>3369</v>
      </c>
      <c r="C248" s="44" t="s">
        <v>664</v>
      </c>
      <c r="D248" s="44" t="s">
        <v>146</v>
      </c>
      <c r="E248" s="44" t="s">
        <v>1927</v>
      </c>
      <c r="F248" s="44" t="s">
        <v>1928</v>
      </c>
      <c r="G248" s="44" t="s">
        <v>1929</v>
      </c>
      <c r="H248" s="44" t="s">
        <v>117</v>
      </c>
      <c r="I248" s="44" t="s">
        <v>1931</v>
      </c>
      <c r="J248" s="328">
        <v>100</v>
      </c>
      <c r="K248" s="44">
        <v>3.01</v>
      </c>
      <c r="L248" s="44">
        <v>2.64</v>
      </c>
      <c r="M248" s="44">
        <v>2.4900000000000002</v>
      </c>
      <c r="N248" s="44">
        <v>2.08</v>
      </c>
      <c r="O248" s="44">
        <v>1.88</v>
      </c>
      <c r="P248" s="44">
        <v>1.96</v>
      </c>
      <c r="Q248" s="44">
        <v>1.02</v>
      </c>
      <c r="R248" s="44">
        <v>0.36</v>
      </c>
      <c r="S248" s="44">
        <v>0</v>
      </c>
      <c r="T248" s="44">
        <v>0</v>
      </c>
      <c r="U248" s="44">
        <v>0</v>
      </c>
      <c r="V248" s="44">
        <v>0</v>
      </c>
      <c r="W248" s="44">
        <v>0</v>
      </c>
      <c r="X248" s="44">
        <v>0</v>
      </c>
      <c r="Y248" s="44">
        <v>0</v>
      </c>
      <c r="Z248" s="44">
        <v>0</v>
      </c>
      <c r="AA248" s="44">
        <v>0</v>
      </c>
      <c r="AB248" s="44">
        <v>0</v>
      </c>
      <c r="AC248" s="44">
        <v>0</v>
      </c>
      <c r="AD248" s="44">
        <v>0</v>
      </c>
      <c r="AE248" s="44">
        <v>0</v>
      </c>
      <c r="AF248" s="44">
        <v>0</v>
      </c>
      <c r="AG248" s="44">
        <v>0</v>
      </c>
      <c r="AH248" s="44">
        <v>0</v>
      </c>
      <c r="AI248" s="44">
        <v>0</v>
      </c>
      <c r="AJ248" s="44">
        <v>0</v>
      </c>
      <c r="AK248" s="44">
        <v>0</v>
      </c>
      <c r="AL248" s="44">
        <v>0</v>
      </c>
      <c r="AM248" s="22" t="str">
        <f t="shared" si="22"/>
        <v>SUBS - US (Permian)</v>
      </c>
      <c r="AN248" s="333" t="s">
        <v>543</v>
      </c>
      <c r="AP248" s="471"/>
      <c r="AQ248" s="11"/>
      <c r="AR248" s="11"/>
      <c r="AS248" s="354"/>
      <c r="AU248" s="406"/>
      <c r="AV248" s="55"/>
      <c r="AW248" s="333"/>
      <c r="AX248" s="406"/>
      <c r="AY248" s="406"/>
      <c r="AZ248" s="538"/>
    </row>
    <row r="249" spans="1:52">
      <c r="A249" s="5"/>
      <c r="B249" s="44" t="s">
        <v>3369</v>
      </c>
      <c r="C249" s="44" t="s">
        <v>664</v>
      </c>
      <c r="D249" s="44" t="s">
        <v>147</v>
      </c>
      <c r="E249" s="44" t="s">
        <v>1927</v>
      </c>
      <c r="F249" s="44" t="s">
        <v>1928</v>
      </c>
      <c r="G249" s="44" t="s">
        <v>1931</v>
      </c>
      <c r="H249" s="44" t="s">
        <v>116</v>
      </c>
      <c r="I249" s="44" t="s">
        <v>1931</v>
      </c>
      <c r="J249" s="328">
        <v>100</v>
      </c>
      <c r="K249" s="44">
        <v>33.79</v>
      </c>
      <c r="L249" s="44">
        <v>30.95</v>
      </c>
      <c r="M249" s="44">
        <v>32.54</v>
      </c>
      <c r="N249" s="44">
        <v>29.4</v>
      </c>
      <c r="O249" s="44">
        <v>17.48</v>
      </c>
      <c r="P249" s="44">
        <v>6.61</v>
      </c>
      <c r="Q249" s="44">
        <v>6.55</v>
      </c>
      <c r="R249" s="44">
        <v>3.24</v>
      </c>
      <c r="S249" s="44">
        <v>0</v>
      </c>
      <c r="T249" s="44">
        <v>0</v>
      </c>
      <c r="U249" s="44">
        <v>0</v>
      </c>
      <c r="V249" s="44">
        <v>0</v>
      </c>
      <c r="W249" s="44">
        <v>0</v>
      </c>
      <c r="X249" s="44">
        <v>0</v>
      </c>
      <c r="Y249" s="44">
        <v>0</v>
      </c>
      <c r="Z249" s="44">
        <v>0</v>
      </c>
      <c r="AA249" s="44">
        <v>0</v>
      </c>
      <c r="AB249" s="44">
        <v>0</v>
      </c>
      <c r="AC249" s="44">
        <v>0</v>
      </c>
      <c r="AD249" s="44">
        <v>0</v>
      </c>
      <c r="AE249" s="44">
        <v>0</v>
      </c>
      <c r="AF249" s="44">
        <v>0</v>
      </c>
      <c r="AG249" s="44">
        <v>0</v>
      </c>
      <c r="AH249" s="44">
        <v>0</v>
      </c>
      <c r="AI249" s="44">
        <v>0</v>
      </c>
      <c r="AJ249" s="44">
        <v>0</v>
      </c>
      <c r="AK249" s="44">
        <v>0</v>
      </c>
      <c r="AL249" s="44">
        <v>0</v>
      </c>
      <c r="AM249" s="22" t="str">
        <f t="shared" si="22"/>
        <v>SUBS - US (Permian)</v>
      </c>
      <c r="AN249" s="333" t="s">
        <v>543</v>
      </c>
      <c r="AP249" s="471"/>
      <c r="AQ249" s="11"/>
      <c r="AR249" s="11"/>
      <c r="AS249" s="354"/>
      <c r="AU249" s="406"/>
      <c r="AV249" s="55"/>
      <c r="AW249" s="333"/>
      <c r="AX249" s="406"/>
      <c r="AY249" s="406"/>
      <c r="AZ249" s="538"/>
    </row>
    <row r="250" spans="1:52">
      <c r="A250" s="5"/>
      <c r="B250" s="44" t="s">
        <v>3369</v>
      </c>
      <c r="C250" s="44" t="s">
        <v>664</v>
      </c>
      <c r="D250" s="44" t="s">
        <v>1765</v>
      </c>
      <c r="E250" s="44" t="s">
        <v>1927</v>
      </c>
      <c r="F250" s="44" t="s">
        <v>1928</v>
      </c>
      <c r="G250" s="44" t="s">
        <v>1929</v>
      </c>
      <c r="H250" s="44" t="s">
        <v>117</v>
      </c>
      <c r="I250" s="44" t="s">
        <v>1931</v>
      </c>
      <c r="J250" s="328">
        <v>100</v>
      </c>
      <c r="K250" s="44">
        <v>0.85</v>
      </c>
      <c r="L250" s="44">
        <v>0.76</v>
      </c>
      <c r="M250" s="44">
        <v>0.77</v>
      </c>
      <c r="N250" s="44">
        <v>0.75</v>
      </c>
      <c r="O250" s="44">
        <v>0.63</v>
      </c>
      <c r="P250" s="44">
        <v>0.63</v>
      </c>
      <c r="Q250" s="44">
        <v>0.62</v>
      </c>
      <c r="R250" s="44">
        <v>0.31</v>
      </c>
      <c r="S250" s="44">
        <v>0</v>
      </c>
      <c r="T250" s="44">
        <v>0</v>
      </c>
      <c r="U250" s="44">
        <v>0</v>
      </c>
      <c r="V250" s="44">
        <v>0</v>
      </c>
      <c r="W250" s="44">
        <v>0</v>
      </c>
      <c r="X250" s="44">
        <v>0</v>
      </c>
      <c r="Y250" s="44">
        <v>0</v>
      </c>
      <c r="Z250" s="44">
        <v>0</v>
      </c>
      <c r="AA250" s="44">
        <v>0</v>
      </c>
      <c r="AB250" s="44">
        <v>0</v>
      </c>
      <c r="AC250" s="44">
        <v>0</v>
      </c>
      <c r="AD250" s="44">
        <v>0</v>
      </c>
      <c r="AE250" s="44">
        <v>0</v>
      </c>
      <c r="AF250" s="44">
        <v>0</v>
      </c>
      <c r="AG250" s="44">
        <v>0</v>
      </c>
      <c r="AH250" s="44">
        <v>0</v>
      </c>
      <c r="AI250" s="44">
        <v>0</v>
      </c>
      <c r="AJ250" s="44">
        <v>0</v>
      </c>
      <c r="AK250" s="44">
        <v>0</v>
      </c>
      <c r="AL250" s="44">
        <v>0</v>
      </c>
      <c r="AM250" s="22" t="str">
        <f t="shared" si="22"/>
        <v>SUBS - US (Permian)</v>
      </c>
      <c r="AN250" s="333" t="s">
        <v>543</v>
      </c>
      <c r="AP250" s="471"/>
      <c r="AQ250" s="11"/>
      <c r="AR250" s="11"/>
      <c r="AS250" s="354"/>
      <c r="AU250" s="406"/>
      <c r="AV250" s="55"/>
      <c r="AW250" s="333"/>
      <c r="AX250" s="406"/>
      <c r="AY250" s="406"/>
      <c r="AZ250" s="538"/>
    </row>
    <row r="251" spans="1:52">
      <c r="A251" s="5"/>
      <c r="B251" s="44" t="s">
        <v>3369</v>
      </c>
      <c r="C251" s="44" t="s">
        <v>664</v>
      </c>
      <c r="D251" s="44" t="s">
        <v>1766</v>
      </c>
      <c r="E251" s="44" t="s">
        <v>1927</v>
      </c>
      <c r="F251" s="44" t="s">
        <v>1928</v>
      </c>
      <c r="G251" s="44" t="s">
        <v>1929</v>
      </c>
      <c r="H251" s="44" t="s">
        <v>117</v>
      </c>
      <c r="I251" s="44" t="s">
        <v>1931</v>
      </c>
      <c r="J251" s="328">
        <v>100</v>
      </c>
      <c r="K251" s="44">
        <v>28.14</v>
      </c>
      <c r="L251" s="44">
        <v>22.66</v>
      </c>
      <c r="M251" s="44">
        <v>20.66</v>
      </c>
      <c r="N251" s="44">
        <v>16.559999999999999</v>
      </c>
      <c r="O251" s="44">
        <v>16.28</v>
      </c>
      <c r="P251" s="44">
        <v>16.2</v>
      </c>
      <c r="Q251" s="44">
        <v>16.22</v>
      </c>
      <c r="R251" s="44">
        <v>14.58</v>
      </c>
      <c r="S251" s="44">
        <v>0</v>
      </c>
      <c r="T251" s="44">
        <v>0</v>
      </c>
      <c r="U251" s="44">
        <v>0</v>
      </c>
      <c r="V251" s="44">
        <v>0</v>
      </c>
      <c r="W251" s="44">
        <v>0</v>
      </c>
      <c r="X251" s="44">
        <v>0</v>
      </c>
      <c r="Y251" s="44">
        <v>0</v>
      </c>
      <c r="Z251" s="44">
        <v>0</v>
      </c>
      <c r="AA251" s="44">
        <v>0</v>
      </c>
      <c r="AB251" s="44">
        <v>0</v>
      </c>
      <c r="AC251" s="44">
        <v>0</v>
      </c>
      <c r="AD251" s="44">
        <v>0</v>
      </c>
      <c r="AE251" s="44">
        <v>0</v>
      </c>
      <c r="AF251" s="44">
        <v>0</v>
      </c>
      <c r="AG251" s="44">
        <v>0</v>
      </c>
      <c r="AH251" s="44">
        <v>0</v>
      </c>
      <c r="AI251" s="44">
        <v>0</v>
      </c>
      <c r="AJ251" s="44">
        <v>0</v>
      </c>
      <c r="AK251" s="44">
        <v>0</v>
      </c>
      <c r="AL251" s="44">
        <v>0</v>
      </c>
      <c r="AM251" s="22" t="str">
        <f t="shared" si="22"/>
        <v>SUBS - US (Permian)</v>
      </c>
      <c r="AN251" s="333" t="s">
        <v>543</v>
      </c>
      <c r="AP251" s="471"/>
      <c r="AQ251" s="11"/>
      <c r="AR251" s="11"/>
      <c r="AS251" s="354"/>
      <c r="AU251" s="406"/>
      <c r="AV251" s="55"/>
      <c r="AW251" s="333"/>
      <c r="AX251" s="406"/>
      <c r="AY251" s="406"/>
      <c r="AZ251" s="538"/>
    </row>
    <row r="252" spans="1:52">
      <c r="A252" s="5"/>
      <c r="B252" s="44" t="s">
        <v>3369</v>
      </c>
      <c r="C252" s="44" t="s">
        <v>664</v>
      </c>
      <c r="D252" s="44" t="s">
        <v>3616</v>
      </c>
      <c r="E252" s="44" t="s">
        <v>1927</v>
      </c>
      <c r="F252" s="44" t="s">
        <v>1928</v>
      </c>
      <c r="G252" s="44" t="s">
        <v>1931</v>
      </c>
      <c r="H252" s="44" t="s">
        <v>1930</v>
      </c>
      <c r="I252" s="44" t="s">
        <v>1931</v>
      </c>
      <c r="J252" s="328">
        <v>100</v>
      </c>
      <c r="K252" s="44">
        <v>2.23</v>
      </c>
      <c r="L252" s="44">
        <v>2.0299999999999998</v>
      </c>
      <c r="M252" s="44">
        <v>1.99</v>
      </c>
      <c r="N252" s="44">
        <v>1.9</v>
      </c>
      <c r="O252" s="44">
        <v>1.91</v>
      </c>
      <c r="P252" s="44">
        <v>2.14</v>
      </c>
      <c r="Q252" s="44">
        <v>2.1</v>
      </c>
      <c r="R252" s="44">
        <v>1.1299999999999999</v>
      </c>
      <c r="S252" s="44">
        <v>0</v>
      </c>
      <c r="T252" s="44">
        <v>0</v>
      </c>
      <c r="U252" s="44">
        <v>0</v>
      </c>
      <c r="V252" s="44">
        <v>0</v>
      </c>
      <c r="W252" s="44">
        <v>0</v>
      </c>
      <c r="X252" s="44">
        <v>0</v>
      </c>
      <c r="Y252" s="44">
        <v>0</v>
      </c>
      <c r="Z252" s="44">
        <v>0</v>
      </c>
      <c r="AA252" s="44">
        <v>0</v>
      </c>
      <c r="AB252" s="44">
        <v>0</v>
      </c>
      <c r="AC252" s="44">
        <v>0</v>
      </c>
      <c r="AD252" s="44">
        <v>0</v>
      </c>
      <c r="AE252" s="44">
        <v>0</v>
      </c>
      <c r="AF252" s="44">
        <v>0</v>
      </c>
      <c r="AG252" s="44">
        <v>0</v>
      </c>
      <c r="AH252" s="44">
        <v>0</v>
      </c>
      <c r="AI252" s="44">
        <v>0</v>
      </c>
      <c r="AJ252" s="44">
        <v>0</v>
      </c>
      <c r="AK252" s="44">
        <v>0</v>
      </c>
      <c r="AL252" s="44">
        <v>0</v>
      </c>
      <c r="AM252" s="22" t="str">
        <f t="shared" si="22"/>
        <v>SUBS - US (Permian)</v>
      </c>
      <c r="AN252" s="333" t="s">
        <v>543</v>
      </c>
      <c r="AP252" s="471"/>
      <c r="AQ252" s="11"/>
      <c r="AR252" s="11"/>
      <c r="AS252" s="354"/>
      <c r="AU252" s="406"/>
      <c r="AV252" s="55"/>
      <c r="AW252" s="333"/>
      <c r="AX252" s="406"/>
      <c r="AY252" s="406"/>
      <c r="AZ252" s="538"/>
    </row>
    <row r="253" spans="1:52">
      <c r="A253" s="5"/>
      <c r="B253" s="44" t="s">
        <v>3369</v>
      </c>
      <c r="C253" s="44" t="s">
        <v>1767</v>
      </c>
      <c r="D253" s="44" t="s">
        <v>3671</v>
      </c>
      <c r="E253" s="44" t="s">
        <v>1927</v>
      </c>
      <c r="F253" s="44" t="s">
        <v>1928</v>
      </c>
      <c r="G253" s="44" t="s">
        <v>1929</v>
      </c>
      <c r="H253" s="44" t="s">
        <v>117</v>
      </c>
      <c r="I253" s="44" t="s">
        <v>1931</v>
      </c>
      <c r="J253" s="328">
        <v>100</v>
      </c>
      <c r="K253" s="44">
        <v>0</v>
      </c>
      <c r="L253" s="44">
        <v>0</v>
      </c>
      <c r="M253" s="44">
        <v>0</v>
      </c>
      <c r="N253" s="44">
        <v>0</v>
      </c>
      <c r="O253" s="44">
        <v>0</v>
      </c>
      <c r="P253" s="44">
        <v>0</v>
      </c>
      <c r="Q253" s="44">
        <v>0</v>
      </c>
      <c r="R253" s="44">
        <v>0</v>
      </c>
      <c r="S253" s="44">
        <v>0</v>
      </c>
      <c r="T253" s="44">
        <v>0</v>
      </c>
      <c r="U253" s="44">
        <v>0</v>
      </c>
      <c r="V253" s="44">
        <v>0</v>
      </c>
      <c r="W253" s="44">
        <v>0</v>
      </c>
      <c r="X253" s="44">
        <v>0.9</v>
      </c>
      <c r="Y253" s="44">
        <v>1.04</v>
      </c>
      <c r="Z253" s="44">
        <v>1.1299999999999999</v>
      </c>
      <c r="AA253" s="44">
        <v>1.82</v>
      </c>
      <c r="AB253" s="44">
        <v>2.35</v>
      </c>
      <c r="AC253" s="44">
        <v>2.65</v>
      </c>
      <c r="AD253" s="44">
        <v>2.88</v>
      </c>
      <c r="AE253" s="44">
        <v>3.06</v>
      </c>
      <c r="AF253" s="44">
        <v>3.21</v>
      </c>
      <c r="AG253" s="44">
        <v>3.35</v>
      </c>
      <c r="AH253" s="44">
        <v>3.46</v>
      </c>
      <c r="AI253" s="44">
        <v>3.57</v>
      </c>
      <c r="AJ253" s="44">
        <v>3.66</v>
      </c>
      <c r="AK253" s="44">
        <v>3.75</v>
      </c>
      <c r="AL253" s="44">
        <v>3.83</v>
      </c>
      <c r="AM253" s="22" t="str">
        <f t="shared" si="22"/>
        <v>SUBS - US (Rocky Mountains)</v>
      </c>
      <c r="AN253" s="333" t="s">
        <v>543</v>
      </c>
      <c r="AP253" s="471"/>
      <c r="AQ253" s="11"/>
      <c r="AR253" s="11"/>
      <c r="AS253" s="354"/>
      <c r="AU253" s="406"/>
      <c r="AV253" s="55"/>
      <c r="AW253" s="333"/>
      <c r="AX253" s="406"/>
      <c r="AY253" s="406"/>
      <c r="AZ253" s="538"/>
    </row>
    <row r="254" spans="1:52">
      <c r="A254" s="5"/>
      <c r="B254" s="44" t="s">
        <v>3369</v>
      </c>
      <c r="C254" s="44" t="s">
        <v>1767</v>
      </c>
      <c r="D254" s="44" t="s">
        <v>1768</v>
      </c>
      <c r="E254" s="44" t="s">
        <v>1927</v>
      </c>
      <c r="F254" s="44" t="s">
        <v>1928</v>
      </c>
      <c r="G254" s="44" t="s">
        <v>1929</v>
      </c>
      <c r="H254" s="44" t="s">
        <v>117</v>
      </c>
      <c r="I254" s="44" t="s">
        <v>1931</v>
      </c>
      <c r="J254" s="328">
        <v>100</v>
      </c>
      <c r="K254" s="44">
        <v>11.83</v>
      </c>
      <c r="L254" s="44">
        <v>10.48</v>
      </c>
      <c r="M254" s="44">
        <v>11.95</v>
      </c>
      <c r="N254" s="44">
        <v>11.71</v>
      </c>
      <c r="O254" s="44">
        <v>11.62</v>
      </c>
      <c r="P254" s="44">
        <v>12.71</v>
      </c>
      <c r="Q254" s="44">
        <v>14.02</v>
      </c>
      <c r="R254" s="44">
        <v>15.26</v>
      </c>
      <c r="S254" s="44">
        <v>15.7</v>
      </c>
      <c r="T254" s="44">
        <v>18.559999999999999</v>
      </c>
      <c r="U254" s="44">
        <v>16.59</v>
      </c>
      <c r="V254" s="44">
        <v>11.99</v>
      </c>
      <c r="W254" s="44">
        <v>11.55</v>
      </c>
      <c r="X254" s="44">
        <v>10.88</v>
      </c>
      <c r="Y254" s="44">
        <v>8.85</v>
      </c>
      <c r="Z254" s="44">
        <v>7.35</v>
      </c>
      <c r="AA254" s="44">
        <v>6.37</v>
      </c>
      <c r="AB254" s="44">
        <v>5.74</v>
      </c>
      <c r="AC254" s="44">
        <v>5.26</v>
      </c>
      <c r="AD254" s="44">
        <v>4.8600000000000003</v>
      </c>
      <c r="AE254" s="44">
        <v>4.5</v>
      </c>
      <c r="AF254" s="44">
        <v>4.17</v>
      </c>
      <c r="AG254" s="44">
        <v>3.86</v>
      </c>
      <c r="AH254" s="44">
        <v>3.58</v>
      </c>
      <c r="AI254" s="44">
        <v>3.31</v>
      </c>
      <c r="AJ254" s="44">
        <v>3.07</v>
      </c>
      <c r="AK254" s="44">
        <v>2.84</v>
      </c>
      <c r="AL254" s="44">
        <v>2.64</v>
      </c>
      <c r="AM254" s="22" t="str">
        <f t="shared" si="22"/>
        <v>SUBS - US (Rocky Mountains)</v>
      </c>
      <c r="AN254" s="333" t="s">
        <v>543</v>
      </c>
      <c r="AP254" s="471"/>
      <c r="AQ254" s="11"/>
      <c r="AR254" s="11"/>
      <c r="AS254" s="354"/>
      <c r="AU254" s="406"/>
      <c r="AV254" s="55"/>
      <c r="AW254" s="333"/>
      <c r="AX254" s="406"/>
      <c r="AY254" s="406"/>
      <c r="AZ254" s="538"/>
    </row>
    <row r="255" spans="1:52">
      <c r="A255" s="5"/>
      <c r="B255" s="44" t="s">
        <v>3369</v>
      </c>
      <c r="C255" s="44" t="s">
        <v>1767</v>
      </c>
      <c r="D255" s="44" t="s">
        <v>3617</v>
      </c>
      <c r="E255" s="44" t="s">
        <v>1927</v>
      </c>
      <c r="F255" s="44" t="s">
        <v>1928</v>
      </c>
      <c r="G255" s="44" t="s">
        <v>1930</v>
      </c>
      <c r="H255" s="44" t="s">
        <v>116</v>
      </c>
      <c r="I255" s="44" t="s">
        <v>1931</v>
      </c>
      <c r="J255" s="328">
        <v>100</v>
      </c>
      <c r="K255" s="44">
        <v>0.87</v>
      </c>
      <c r="L255" s="44">
        <v>0.68</v>
      </c>
      <c r="M255" s="44">
        <v>0.62</v>
      </c>
      <c r="N255" s="44">
        <v>0.48</v>
      </c>
      <c r="O255" s="44">
        <v>0.48</v>
      </c>
      <c r="P255" s="44">
        <v>0.41</v>
      </c>
      <c r="Q255" s="44">
        <v>0.35</v>
      </c>
      <c r="R255" s="44">
        <v>0.32</v>
      </c>
      <c r="S255" s="44">
        <v>0.36</v>
      </c>
      <c r="T255" s="44">
        <v>0.44</v>
      </c>
      <c r="U255" s="44">
        <v>0.42</v>
      </c>
      <c r="V255" s="44">
        <v>0.39</v>
      </c>
      <c r="W255" s="44">
        <v>0.34</v>
      </c>
      <c r="X255" s="44">
        <v>0.32</v>
      </c>
      <c r="Y255" s="44">
        <v>0.27</v>
      </c>
      <c r="Z255" s="44">
        <v>0.24</v>
      </c>
      <c r="AA255" s="44">
        <v>0.21</v>
      </c>
      <c r="AB255" s="44">
        <v>0.2</v>
      </c>
      <c r="AC255" s="44">
        <v>0.18</v>
      </c>
      <c r="AD255" s="44">
        <v>0.17</v>
      </c>
      <c r="AE255" s="44">
        <v>0.16</v>
      </c>
      <c r="AF255" s="44">
        <v>0.15</v>
      </c>
      <c r="AG255" s="44">
        <v>0.14000000000000001</v>
      </c>
      <c r="AH255" s="44">
        <v>0.13</v>
      </c>
      <c r="AI255" s="44">
        <v>0.13</v>
      </c>
      <c r="AJ255" s="44">
        <v>0.12</v>
      </c>
      <c r="AK255" s="44">
        <v>0.11</v>
      </c>
      <c r="AL255" s="44">
        <v>0.1</v>
      </c>
      <c r="AM255" s="22" t="str">
        <f t="shared" si="22"/>
        <v>SUBS - US (Rocky Mountains)</v>
      </c>
      <c r="AN255" s="333" t="s">
        <v>543</v>
      </c>
      <c r="AP255" s="471"/>
      <c r="AQ255" s="11"/>
      <c r="AR255" s="11"/>
      <c r="AS255" s="354"/>
      <c r="AU255" s="406"/>
      <c r="AV255" s="55"/>
      <c r="AW255" s="333"/>
      <c r="AX255" s="406"/>
      <c r="AY255" s="406"/>
      <c r="AZ255" s="538"/>
    </row>
    <row r="256" spans="1:52">
      <c r="A256" s="5"/>
      <c r="B256" s="44" t="s">
        <v>3369</v>
      </c>
      <c r="C256" s="44" t="s">
        <v>1767</v>
      </c>
      <c r="D256" s="44" t="s">
        <v>1769</v>
      </c>
      <c r="E256" s="44" t="s">
        <v>1927</v>
      </c>
      <c r="F256" s="44" t="s">
        <v>1928</v>
      </c>
      <c r="G256" s="44" t="s">
        <v>1929</v>
      </c>
      <c r="H256" s="44" t="s">
        <v>117</v>
      </c>
      <c r="I256" s="44" t="s">
        <v>1931</v>
      </c>
      <c r="J256" s="328">
        <v>100</v>
      </c>
      <c r="K256" s="44">
        <v>0.33</v>
      </c>
      <c r="L256" s="44">
        <v>0.24</v>
      </c>
      <c r="M256" s="44">
        <v>0.26</v>
      </c>
      <c r="N256" s="44">
        <v>0.25</v>
      </c>
      <c r="O256" s="44">
        <v>0.25</v>
      </c>
      <c r="P256" s="44">
        <v>0.25</v>
      </c>
      <c r="Q256" s="44">
        <v>0.25</v>
      </c>
      <c r="R256" s="44">
        <v>0.22</v>
      </c>
      <c r="S256" s="44">
        <v>0.25</v>
      </c>
      <c r="T256" s="44">
        <v>0.31</v>
      </c>
      <c r="U256" s="44">
        <v>0.3</v>
      </c>
      <c r="V256" s="44">
        <v>0.19</v>
      </c>
      <c r="W256" s="44">
        <v>0.08</v>
      </c>
      <c r="X256" s="44">
        <v>7.0000000000000007E-2</v>
      </c>
      <c r="Y256" s="44">
        <v>0.06</v>
      </c>
      <c r="Z256" s="44">
        <v>0.05</v>
      </c>
      <c r="AA256" s="44">
        <v>0.05</v>
      </c>
      <c r="AB256" s="44">
        <v>0.05</v>
      </c>
      <c r="AC256" s="44">
        <v>0.04</v>
      </c>
      <c r="AD256" s="44">
        <v>0.04</v>
      </c>
      <c r="AE256" s="44">
        <v>0.04</v>
      </c>
      <c r="AF256" s="44">
        <v>0.03</v>
      </c>
      <c r="AG256" s="44">
        <v>0.03</v>
      </c>
      <c r="AH256" s="44">
        <v>0.03</v>
      </c>
      <c r="AI256" s="44">
        <v>0.03</v>
      </c>
      <c r="AJ256" s="44">
        <v>0.03</v>
      </c>
      <c r="AK256" s="44">
        <v>0.03</v>
      </c>
      <c r="AL256" s="44">
        <v>0.02</v>
      </c>
      <c r="AM256" s="22" t="str">
        <f t="shared" si="22"/>
        <v>SUBS - US (Rocky Mountains)</v>
      </c>
      <c r="AN256" s="333" t="s">
        <v>543</v>
      </c>
      <c r="AP256" s="471"/>
      <c r="AQ256" s="11"/>
      <c r="AR256" s="11"/>
      <c r="AS256" s="354"/>
      <c r="AU256" s="406"/>
      <c r="AV256" s="55"/>
      <c r="AW256" s="333"/>
      <c r="AX256" s="406"/>
      <c r="AY256" s="406"/>
      <c r="AZ256" s="538"/>
    </row>
    <row r="257" spans="1:52">
      <c r="A257" s="5"/>
      <c r="B257" s="44" t="s">
        <v>3369</v>
      </c>
      <c r="C257" s="44" t="s">
        <v>1767</v>
      </c>
      <c r="D257" s="44" t="s">
        <v>2016</v>
      </c>
      <c r="E257" s="44" t="s">
        <v>1927</v>
      </c>
      <c r="F257" s="44" t="s">
        <v>1928</v>
      </c>
      <c r="G257" s="44" t="s">
        <v>1929</v>
      </c>
      <c r="H257" s="44" t="s">
        <v>117</v>
      </c>
      <c r="I257" s="44" t="s">
        <v>1931</v>
      </c>
      <c r="J257" s="328">
        <v>100</v>
      </c>
      <c r="K257" s="44">
        <v>1.78</v>
      </c>
      <c r="L257" s="44">
        <v>1.88</v>
      </c>
      <c r="M257" s="44">
        <v>1.72</v>
      </c>
      <c r="N257" s="44">
        <v>2.5099999999999998</v>
      </c>
      <c r="O257" s="44">
        <v>3.41</v>
      </c>
      <c r="P257" s="44">
        <v>4</v>
      </c>
      <c r="Q257" s="44">
        <v>4.22</v>
      </c>
      <c r="R257" s="44">
        <v>4.42</v>
      </c>
      <c r="S257" s="44">
        <v>5.88</v>
      </c>
      <c r="T257" s="44">
        <v>0</v>
      </c>
      <c r="U257" s="44">
        <v>0</v>
      </c>
      <c r="V257" s="44">
        <v>0</v>
      </c>
      <c r="W257" s="44">
        <v>0</v>
      </c>
      <c r="X257" s="44">
        <v>0</v>
      </c>
      <c r="Y257" s="44">
        <v>0</v>
      </c>
      <c r="Z257" s="44">
        <v>0</v>
      </c>
      <c r="AA257" s="44">
        <v>0</v>
      </c>
      <c r="AB257" s="44">
        <v>0</v>
      </c>
      <c r="AC257" s="44">
        <v>0</v>
      </c>
      <c r="AD257" s="44">
        <v>0</v>
      </c>
      <c r="AE257" s="44">
        <v>0</v>
      </c>
      <c r="AF257" s="44">
        <v>0</v>
      </c>
      <c r="AG257" s="44">
        <v>0</v>
      </c>
      <c r="AH257" s="44">
        <v>0</v>
      </c>
      <c r="AI257" s="44">
        <v>0</v>
      </c>
      <c r="AJ257" s="44">
        <v>0</v>
      </c>
      <c r="AK257" s="44">
        <v>0</v>
      </c>
      <c r="AL257" s="44">
        <v>0</v>
      </c>
      <c r="AM257" s="22" t="str">
        <f t="shared" si="22"/>
        <v>SUBS - US (Rocky Mountains)</v>
      </c>
      <c r="AN257" s="333" t="s">
        <v>543</v>
      </c>
      <c r="AP257" s="471"/>
      <c r="AQ257" s="11"/>
      <c r="AR257" s="11"/>
      <c r="AS257" s="354"/>
      <c r="AU257" s="406"/>
      <c r="AV257" s="55"/>
      <c r="AW257" s="333"/>
      <c r="AX257" s="406"/>
      <c r="AY257" s="406"/>
      <c r="AZ257" s="538"/>
    </row>
    <row r="258" spans="1:52">
      <c r="A258" s="5"/>
      <c r="B258" s="44" t="s">
        <v>3369</v>
      </c>
      <c r="C258" s="44" t="s">
        <v>1767</v>
      </c>
      <c r="D258" s="44" t="s">
        <v>3672</v>
      </c>
      <c r="E258" s="44" t="s">
        <v>1927</v>
      </c>
      <c r="F258" s="44" t="s">
        <v>1928</v>
      </c>
      <c r="G258" s="44" t="s">
        <v>1931</v>
      </c>
      <c r="H258" s="44" t="s">
        <v>1930</v>
      </c>
      <c r="I258" s="44" t="s">
        <v>1931</v>
      </c>
      <c r="J258" s="328">
        <v>100</v>
      </c>
      <c r="K258" s="44">
        <v>0</v>
      </c>
      <c r="L258" s="44">
        <v>0</v>
      </c>
      <c r="M258" s="44">
        <v>0</v>
      </c>
      <c r="N258" s="44">
        <v>0</v>
      </c>
      <c r="O258" s="44">
        <v>0</v>
      </c>
      <c r="P258" s="44">
        <v>0</v>
      </c>
      <c r="Q258" s="44">
        <v>0</v>
      </c>
      <c r="R258" s="44">
        <v>0</v>
      </c>
      <c r="S258" s="44">
        <v>0</v>
      </c>
      <c r="T258" s="44">
        <v>0</v>
      </c>
      <c r="U258" s="44">
        <v>0</v>
      </c>
      <c r="V258" s="44">
        <v>0</v>
      </c>
      <c r="W258" s="44">
        <v>0</v>
      </c>
      <c r="X258" s="44">
        <v>1.5</v>
      </c>
      <c r="Y258" s="44">
        <v>1.68</v>
      </c>
      <c r="Z258" s="44">
        <v>1.79</v>
      </c>
      <c r="AA258" s="44">
        <v>2.97</v>
      </c>
      <c r="AB258" s="44">
        <v>3.87</v>
      </c>
      <c r="AC258" s="44">
        <v>4.4000000000000004</v>
      </c>
      <c r="AD258" s="44">
        <v>4.79</v>
      </c>
      <c r="AE258" s="44">
        <v>5.1100000000000003</v>
      </c>
      <c r="AF258" s="44">
        <v>5.38</v>
      </c>
      <c r="AG258" s="44">
        <v>5.62</v>
      </c>
      <c r="AH258" s="44">
        <v>5.83</v>
      </c>
      <c r="AI258" s="44">
        <v>6.01</v>
      </c>
      <c r="AJ258" s="44">
        <v>4.67</v>
      </c>
      <c r="AK258" s="44">
        <v>3.51</v>
      </c>
      <c r="AL258" s="44">
        <v>2.91</v>
      </c>
      <c r="AM258" s="22" t="str">
        <f t="shared" si="22"/>
        <v>SUBS - US (Rocky Mountains)</v>
      </c>
      <c r="AN258" s="333" t="s">
        <v>543</v>
      </c>
      <c r="AP258" s="471"/>
      <c r="AQ258" s="11"/>
      <c r="AR258" s="11"/>
      <c r="AS258" s="354"/>
      <c r="AU258" s="406"/>
      <c r="AV258" s="55"/>
      <c r="AW258" s="333"/>
      <c r="AX258" s="406"/>
      <c r="AY258" s="406"/>
      <c r="AZ258" s="538"/>
    </row>
    <row r="259" spans="1:52">
      <c r="A259" s="5"/>
      <c r="B259" s="44" t="s">
        <v>3369</v>
      </c>
      <c r="C259" s="44" t="s">
        <v>1767</v>
      </c>
      <c r="D259" s="44" t="s">
        <v>13</v>
      </c>
      <c r="E259" s="44" t="s">
        <v>1927</v>
      </c>
      <c r="F259" s="44" t="s">
        <v>1928</v>
      </c>
      <c r="G259" s="44" t="s">
        <v>1929</v>
      </c>
      <c r="H259" s="44" t="s">
        <v>117</v>
      </c>
      <c r="I259" s="44" t="s">
        <v>1931</v>
      </c>
      <c r="J259" s="328">
        <v>100</v>
      </c>
      <c r="K259" s="44">
        <v>14.14</v>
      </c>
      <c r="L259" s="44">
        <v>14.14</v>
      </c>
      <c r="M259" s="44">
        <v>16.25</v>
      </c>
      <c r="N259" s="44">
        <v>15.54</v>
      </c>
      <c r="O259" s="44">
        <v>13.53</v>
      </c>
      <c r="P259" s="44">
        <v>13.97</v>
      </c>
      <c r="Q259" s="44">
        <v>13.02</v>
      </c>
      <c r="R259" s="44">
        <v>13.65</v>
      </c>
      <c r="S259" s="44">
        <v>12.89</v>
      </c>
      <c r="T259" s="44">
        <v>14.29</v>
      </c>
      <c r="U259" s="44">
        <v>11.5</v>
      </c>
      <c r="V259" s="44">
        <v>10.81</v>
      </c>
      <c r="W259" s="44">
        <v>11.44</v>
      </c>
      <c r="X259" s="44">
        <v>10.76</v>
      </c>
      <c r="Y259" s="44">
        <v>8.61</v>
      </c>
      <c r="Z259" s="44">
        <v>7.4</v>
      </c>
      <c r="AA259" s="44">
        <v>6.66</v>
      </c>
      <c r="AB259" s="44">
        <v>6.13</v>
      </c>
      <c r="AC259" s="44">
        <v>5.63</v>
      </c>
      <c r="AD259" s="44">
        <v>5.18</v>
      </c>
      <c r="AE259" s="44">
        <v>4.7699999999999996</v>
      </c>
      <c r="AF259" s="44">
        <v>4.3899999999999997</v>
      </c>
      <c r="AG259" s="44">
        <v>4.04</v>
      </c>
      <c r="AH259" s="44">
        <v>3.72</v>
      </c>
      <c r="AI259" s="44">
        <v>3.42</v>
      </c>
      <c r="AJ259" s="44">
        <v>3.15</v>
      </c>
      <c r="AK259" s="44">
        <v>2.9</v>
      </c>
      <c r="AL259" s="44">
        <v>2.67</v>
      </c>
      <c r="AM259" s="22" t="str">
        <f t="shared" si="20"/>
        <v>SUBS - US (Rocky Mountains)</v>
      </c>
      <c r="AN259" s="333" t="s">
        <v>543</v>
      </c>
      <c r="AP259" s="471"/>
      <c r="AQ259" s="11"/>
      <c r="AR259" s="11"/>
      <c r="AS259" s="354"/>
      <c r="AU259" s="406"/>
      <c r="AV259" s="55"/>
      <c r="AW259" s="333"/>
      <c r="AX259" s="406"/>
      <c r="AY259" s="406"/>
      <c r="AZ259" s="538"/>
    </row>
    <row r="260" spans="1:52">
      <c r="A260" s="5"/>
      <c r="B260" s="44" t="s">
        <v>3369</v>
      </c>
      <c r="C260" s="44" t="s">
        <v>1036</v>
      </c>
      <c r="D260" s="44" t="s">
        <v>1037</v>
      </c>
      <c r="E260" s="44" t="s">
        <v>1927</v>
      </c>
      <c r="F260" s="44" t="s">
        <v>1928</v>
      </c>
      <c r="G260" s="44" t="s">
        <v>3374</v>
      </c>
      <c r="H260" s="44" t="s">
        <v>1930</v>
      </c>
      <c r="I260" s="44" t="s">
        <v>1931</v>
      </c>
      <c r="J260" s="328">
        <v>26.67</v>
      </c>
      <c r="K260" s="44">
        <v>0.25</v>
      </c>
      <c r="L260" s="44">
        <v>0.2</v>
      </c>
      <c r="M260" s="44">
        <v>0.13</v>
      </c>
      <c r="N260" s="44">
        <v>2.14</v>
      </c>
      <c r="O260" s="44">
        <v>2.19</v>
      </c>
      <c r="P260" s="44">
        <v>2.08</v>
      </c>
      <c r="Q260" s="44">
        <v>1.97</v>
      </c>
      <c r="R260" s="44">
        <v>1.87</v>
      </c>
      <c r="S260" s="44">
        <v>0.88</v>
      </c>
      <c r="T260" s="44">
        <v>0</v>
      </c>
      <c r="U260" s="44">
        <v>0</v>
      </c>
      <c r="V260" s="44">
        <v>0</v>
      </c>
      <c r="W260" s="44">
        <v>0</v>
      </c>
      <c r="X260" s="44">
        <v>0</v>
      </c>
      <c r="Y260" s="44">
        <v>0</v>
      </c>
      <c r="Z260" s="44">
        <v>0</v>
      </c>
      <c r="AA260" s="44">
        <v>0</v>
      </c>
      <c r="AB260" s="44">
        <v>0</v>
      </c>
      <c r="AC260" s="44">
        <v>0</v>
      </c>
      <c r="AD260" s="44">
        <v>0</v>
      </c>
      <c r="AE260" s="44">
        <v>0</v>
      </c>
      <c r="AF260" s="44">
        <v>0</v>
      </c>
      <c r="AG260" s="44">
        <v>0</v>
      </c>
      <c r="AH260" s="44">
        <v>0</v>
      </c>
      <c r="AI260" s="44">
        <v>0</v>
      </c>
      <c r="AJ260" s="44">
        <v>0</v>
      </c>
      <c r="AK260" s="44">
        <v>0</v>
      </c>
      <c r="AL260" s="44">
        <v>0</v>
      </c>
      <c r="AM260" s="22" t="str">
        <f t="shared" si="19"/>
        <v>EAI - Venezuela</v>
      </c>
      <c r="AN260" s="333" t="s">
        <v>3119</v>
      </c>
      <c r="AP260" s="471"/>
      <c r="AQ260" s="11"/>
      <c r="AR260" s="11"/>
      <c r="AS260" s="354"/>
      <c r="AU260" s="406"/>
      <c r="AV260" s="55"/>
      <c r="AW260" s="333"/>
      <c r="AX260" s="406"/>
      <c r="AY260" s="406"/>
      <c r="AZ260" s="538"/>
    </row>
    <row r="261" spans="1:52">
      <c r="A261" s="5"/>
      <c r="B261" s="44" t="s">
        <v>3369</v>
      </c>
      <c r="C261" s="44" t="s">
        <v>1036</v>
      </c>
      <c r="D261" s="44" t="s">
        <v>1038</v>
      </c>
      <c r="E261" s="44" t="s">
        <v>1927</v>
      </c>
      <c r="F261" s="44" t="s">
        <v>1928</v>
      </c>
      <c r="G261" s="44" t="s">
        <v>3374</v>
      </c>
      <c r="H261" s="44" t="s">
        <v>1930</v>
      </c>
      <c r="I261" s="44" t="s">
        <v>1931</v>
      </c>
      <c r="J261" s="328">
        <v>45</v>
      </c>
      <c r="K261" s="44">
        <v>8.15</v>
      </c>
      <c r="L261" s="44">
        <v>7.01</v>
      </c>
      <c r="M261" s="44">
        <v>4.78</v>
      </c>
      <c r="N261" s="44">
        <v>2.84</v>
      </c>
      <c r="O261" s="44">
        <v>0</v>
      </c>
      <c r="P261" s="44">
        <v>0</v>
      </c>
      <c r="Q261" s="44">
        <v>0</v>
      </c>
      <c r="R261" s="44">
        <v>0</v>
      </c>
      <c r="S261" s="44">
        <v>0</v>
      </c>
      <c r="T261" s="44">
        <v>0</v>
      </c>
      <c r="U261" s="44">
        <v>0</v>
      </c>
      <c r="V261" s="44">
        <v>0</v>
      </c>
      <c r="W261" s="44">
        <v>0</v>
      </c>
      <c r="X261" s="44">
        <v>0</v>
      </c>
      <c r="Y261" s="44">
        <v>0</v>
      </c>
      <c r="Z261" s="44">
        <v>0</v>
      </c>
      <c r="AA261" s="44">
        <v>0</v>
      </c>
      <c r="AB261" s="44">
        <v>0</v>
      </c>
      <c r="AC261" s="44">
        <v>0</v>
      </c>
      <c r="AD261" s="44">
        <v>0</v>
      </c>
      <c r="AE261" s="44">
        <v>0</v>
      </c>
      <c r="AF261" s="44">
        <v>0</v>
      </c>
      <c r="AG261" s="44">
        <v>0</v>
      </c>
      <c r="AH261" s="44">
        <v>0</v>
      </c>
      <c r="AI261" s="44">
        <v>0</v>
      </c>
      <c r="AJ261" s="44">
        <v>0</v>
      </c>
      <c r="AK261" s="44">
        <v>0</v>
      </c>
      <c r="AL261" s="44">
        <v>0</v>
      </c>
      <c r="AM261" s="22" t="str">
        <f t="shared" si="19"/>
        <v>EAI - Venezuela</v>
      </c>
      <c r="AN261" s="333" t="s">
        <v>3119</v>
      </c>
      <c r="AP261" s="471"/>
      <c r="AQ261" s="11"/>
      <c r="AR261" s="11"/>
      <c r="AS261" s="354"/>
      <c r="AU261" s="406"/>
      <c r="AV261" s="55"/>
      <c r="AW261" s="333"/>
      <c r="AX261" s="406"/>
      <c r="AY261" s="406"/>
      <c r="AZ261" s="538"/>
    </row>
    <row r="262" spans="1:52">
      <c r="A262" s="5"/>
      <c r="B262" s="44" t="s">
        <v>3369</v>
      </c>
      <c r="C262" s="44" t="s">
        <v>1036</v>
      </c>
      <c r="D262" s="44" t="s">
        <v>1039</v>
      </c>
      <c r="E262" s="44" t="s">
        <v>1927</v>
      </c>
      <c r="F262" s="44" t="s">
        <v>2960</v>
      </c>
      <c r="G262" s="44" t="s">
        <v>3374</v>
      </c>
      <c r="H262" s="44" t="s">
        <v>116</v>
      </c>
      <c r="I262" s="44" t="s">
        <v>2600</v>
      </c>
      <c r="J262" s="328">
        <v>36</v>
      </c>
      <c r="K262" s="44">
        <v>1.1399999999999999</v>
      </c>
      <c r="L262" s="44">
        <v>0</v>
      </c>
      <c r="M262" s="44">
        <v>0</v>
      </c>
      <c r="N262" s="44">
        <v>0</v>
      </c>
      <c r="O262" s="44">
        <v>0</v>
      </c>
      <c r="P262" s="44">
        <v>0</v>
      </c>
      <c r="Q262" s="44">
        <v>0</v>
      </c>
      <c r="R262" s="44">
        <v>0</v>
      </c>
      <c r="S262" s="44">
        <v>0</v>
      </c>
      <c r="T262" s="44">
        <v>0</v>
      </c>
      <c r="U262" s="44">
        <v>0</v>
      </c>
      <c r="V262" s="44">
        <v>0</v>
      </c>
      <c r="W262" s="44">
        <v>0</v>
      </c>
      <c r="X262" s="44">
        <v>0</v>
      </c>
      <c r="Y262" s="44">
        <v>0</v>
      </c>
      <c r="Z262" s="44">
        <v>0</v>
      </c>
      <c r="AA262" s="44">
        <v>0</v>
      </c>
      <c r="AB262" s="44">
        <v>0</v>
      </c>
      <c r="AC262" s="44">
        <v>0</v>
      </c>
      <c r="AD262" s="44">
        <v>0</v>
      </c>
      <c r="AE262" s="44">
        <v>0</v>
      </c>
      <c r="AF262" s="44">
        <v>0</v>
      </c>
      <c r="AG262" s="44">
        <v>0</v>
      </c>
      <c r="AH262" s="44">
        <v>0</v>
      </c>
      <c r="AI262" s="44">
        <v>0</v>
      </c>
      <c r="AJ262" s="44">
        <v>0</v>
      </c>
      <c r="AK262" s="44">
        <v>0</v>
      </c>
      <c r="AL262" s="44">
        <v>0</v>
      </c>
      <c r="AM262" s="22" t="str">
        <f t="shared" si="19"/>
        <v>EAI - Venezuela</v>
      </c>
      <c r="AN262" s="333" t="s">
        <v>3119</v>
      </c>
      <c r="AP262" s="471"/>
      <c r="AQ262" s="11"/>
      <c r="AR262" s="11"/>
      <c r="AS262" s="354"/>
      <c r="AU262" s="406"/>
      <c r="AV262" s="55"/>
      <c r="AW262" s="333"/>
      <c r="AX262" s="406"/>
      <c r="AY262" s="406"/>
      <c r="AZ262" s="538"/>
    </row>
    <row r="263" spans="1:52">
      <c r="A263" s="5"/>
      <c r="B263" s="44" t="s">
        <v>3369</v>
      </c>
      <c r="C263" s="44" t="s">
        <v>1036</v>
      </c>
      <c r="D263" s="44" t="s">
        <v>1373</v>
      </c>
      <c r="E263" s="44" t="s">
        <v>1927</v>
      </c>
      <c r="F263" s="44" t="s">
        <v>1928</v>
      </c>
      <c r="G263" s="44" t="s">
        <v>217</v>
      </c>
      <c r="H263" s="44" t="s">
        <v>116</v>
      </c>
      <c r="I263" s="44" t="s">
        <v>1933</v>
      </c>
      <c r="J263" s="328">
        <v>16.66</v>
      </c>
      <c r="K263" s="44">
        <v>15.33</v>
      </c>
      <c r="L263" s="44">
        <v>17.489999999999998</v>
      </c>
      <c r="M263" s="44">
        <v>18.329999999999998</v>
      </c>
      <c r="N263" s="44">
        <v>16.829999999999998</v>
      </c>
      <c r="O263" s="44">
        <v>6.15</v>
      </c>
      <c r="P263" s="44">
        <v>17.690000000000001</v>
      </c>
      <c r="Q263" s="44">
        <v>7.5</v>
      </c>
      <c r="R263" s="44">
        <v>10</v>
      </c>
      <c r="S263" s="44">
        <v>6</v>
      </c>
      <c r="T263" s="44">
        <v>0</v>
      </c>
      <c r="U263" s="44">
        <v>0</v>
      </c>
      <c r="V263" s="44">
        <v>0</v>
      </c>
      <c r="W263" s="44">
        <v>0</v>
      </c>
      <c r="X263" s="44">
        <v>0</v>
      </c>
      <c r="Y263" s="44">
        <v>0</v>
      </c>
      <c r="Z263" s="44">
        <v>0</v>
      </c>
      <c r="AA263" s="44">
        <v>0</v>
      </c>
      <c r="AB263" s="44">
        <v>0</v>
      </c>
      <c r="AC263" s="44">
        <v>0</v>
      </c>
      <c r="AD263" s="44">
        <v>0</v>
      </c>
      <c r="AE263" s="44">
        <v>0</v>
      </c>
      <c r="AF263" s="44">
        <v>0</v>
      </c>
      <c r="AG263" s="44">
        <v>0</v>
      </c>
      <c r="AH263" s="44">
        <v>0</v>
      </c>
      <c r="AI263" s="44">
        <v>0</v>
      </c>
      <c r="AJ263" s="44">
        <v>0</v>
      </c>
      <c r="AK263" s="44">
        <v>0</v>
      </c>
      <c r="AL263" s="44">
        <v>0</v>
      </c>
      <c r="AM263" s="22" t="str">
        <f t="shared" si="19"/>
        <v>EAI - Venezuela</v>
      </c>
      <c r="AN263" s="333" t="s">
        <v>3119</v>
      </c>
      <c r="AP263" s="471"/>
      <c r="AQ263" s="11"/>
      <c r="AR263" s="11"/>
      <c r="AS263" s="354"/>
      <c r="AU263" s="406"/>
      <c r="AV263" s="55"/>
      <c r="AW263" s="333"/>
      <c r="AX263" s="406"/>
      <c r="AY263" s="406"/>
      <c r="AZ263" s="538"/>
    </row>
    <row r="264" spans="1:52">
      <c r="A264" s="5"/>
      <c r="B264" s="44" t="s">
        <v>3369</v>
      </c>
      <c r="C264" s="44" t="s">
        <v>1374</v>
      </c>
      <c r="D264" s="44" t="s">
        <v>1375</v>
      </c>
      <c r="E264" s="44" t="s">
        <v>1927</v>
      </c>
      <c r="F264" s="44" t="s">
        <v>2960</v>
      </c>
      <c r="G264" s="44" t="s">
        <v>1931</v>
      </c>
      <c r="H264" s="44" t="s">
        <v>116</v>
      </c>
      <c r="I264" s="44" t="s">
        <v>2600</v>
      </c>
      <c r="J264" s="328">
        <v>35</v>
      </c>
      <c r="K264" s="44">
        <v>0.23</v>
      </c>
      <c r="L264" s="44">
        <v>0.71</v>
      </c>
      <c r="M264" s="44">
        <v>0.92</v>
      </c>
      <c r="N264" s="44">
        <v>1.05</v>
      </c>
      <c r="O264" s="44">
        <v>0.82</v>
      </c>
      <c r="P264" s="44">
        <v>0.7</v>
      </c>
      <c r="Q264" s="44">
        <v>0.77</v>
      </c>
      <c r="R264" s="44">
        <v>0.79</v>
      </c>
      <c r="S264" s="44">
        <v>0</v>
      </c>
      <c r="T264" s="44">
        <v>0</v>
      </c>
      <c r="U264" s="44">
        <v>0</v>
      </c>
      <c r="V264" s="44">
        <v>0</v>
      </c>
      <c r="W264" s="44">
        <v>0</v>
      </c>
      <c r="X264" s="44">
        <v>0</v>
      </c>
      <c r="Y264" s="44">
        <v>0</v>
      </c>
      <c r="Z264" s="44">
        <v>0</v>
      </c>
      <c r="AA264" s="44">
        <v>0</v>
      </c>
      <c r="AB264" s="44">
        <v>0</v>
      </c>
      <c r="AC264" s="44">
        <v>0</v>
      </c>
      <c r="AD264" s="44">
        <v>0</v>
      </c>
      <c r="AE264" s="44">
        <v>0</v>
      </c>
      <c r="AF264" s="44">
        <v>0</v>
      </c>
      <c r="AG264" s="44">
        <v>0</v>
      </c>
      <c r="AH264" s="44">
        <v>0</v>
      </c>
      <c r="AI264" s="44">
        <v>0</v>
      </c>
      <c r="AJ264" s="44">
        <v>0</v>
      </c>
      <c r="AK264" s="44">
        <v>0</v>
      </c>
      <c r="AL264" s="44">
        <v>0</v>
      </c>
      <c r="AM264" s="22" t="str">
        <f t="shared" si="19"/>
        <v>EAI - Vietnam</v>
      </c>
      <c r="AN264" s="333" t="s">
        <v>3119</v>
      </c>
      <c r="AP264" s="354"/>
      <c r="AQ264" s="11"/>
      <c r="AR264" s="11"/>
      <c r="AS264" s="354"/>
      <c r="AU264" s="406"/>
      <c r="AV264" s="55"/>
      <c r="AW264" s="333"/>
      <c r="AX264" s="406"/>
      <c r="AY264" s="406"/>
      <c r="AZ264" s="538"/>
    </row>
    <row r="265" spans="1:52">
      <c r="A265" s="5"/>
      <c r="B265" s="44"/>
      <c r="C265" s="44"/>
      <c r="D265" s="44"/>
      <c r="E265" s="44"/>
      <c r="F265" s="44"/>
      <c r="G265" s="44"/>
      <c r="H265" s="44"/>
      <c r="I265" s="44"/>
      <c r="J265" s="328"/>
      <c r="K265" s="44"/>
      <c r="L265" s="44"/>
      <c r="M265" s="44"/>
      <c r="N265" s="44"/>
      <c r="O265" s="44"/>
      <c r="P265" s="44"/>
      <c r="Q265" s="44"/>
      <c r="R265" s="44"/>
      <c r="S265" s="44"/>
      <c r="T265" s="44"/>
      <c r="U265" s="44"/>
      <c r="V265" s="44"/>
      <c r="W265" s="44"/>
      <c r="X265" s="44"/>
      <c r="Y265" s="44"/>
      <c r="Z265" s="44"/>
      <c r="AA265" s="44"/>
      <c r="AB265" s="44"/>
      <c r="AC265" s="44"/>
      <c r="AD265" s="44"/>
      <c r="AE265" s="44"/>
      <c r="AF265" s="44"/>
      <c r="AG265" s="44"/>
      <c r="AH265" s="44"/>
      <c r="AI265" s="44"/>
      <c r="AJ265" s="44"/>
      <c r="AK265" s="44"/>
      <c r="AL265" s="44"/>
      <c r="AM265" s="22"/>
      <c r="AN265" s="333"/>
      <c r="AP265" s="354"/>
      <c r="AQ265" s="11"/>
      <c r="AR265" s="11"/>
      <c r="AS265" s="354"/>
      <c r="AU265" s="406"/>
      <c r="AV265" s="406"/>
      <c r="AW265" s="406"/>
      <c r="AX265" s="406"/>
      <c r="AY265" s="406"/>
      <c r="AZ265" s="406"/>
    </row>
    <row r="266" spans="1:52">
      <c r="A266" s="5"/>
      <c r="B266" s="44"/>
      <c r="C266" s="44"/>
      <c r="D266" s="44"/>
      <c r="E266" s="44"/>
      <c r="F266" s="44"/>
      <c r="G266" s="44"/>
      <c r="H266" s="44"/>
      <c r="I266" s="44"/>
      <c r="J266" s="328"/>
      <c r="K266" s="44"/>
      <c r="L266" s="44"/>
      <c r="M266" s="44"/>
      <c r="N266" s="44"/>
      <c r="O266" s="44"/>
      <c r="P266" s="44"/>
      <c r="Q266" s="44"/>
      <c r="R266" s="44"/>
      <c r="S266" s="328"/>
      <c r="T266" s="328"/>
      <c r="U266" s="328"/>
      <c r="V266" s="328"/>
      <c r="W266" s="328"/>
      <c r="X266" s="328"/>
      <c r="Y266" s="328"/>
      <c r="Z266" s="328"/>
      <c r="AA266" s="328"/>
      <c r="AB266" s="328"/>
      <c r="AC266" s="328"/>
      <c r="AD266" s="328"/>
      <c r="AE266" s="328"/>
      <c r="AF266" s="328"/>
      <c r="AG266" s="328"/>
      <c r="AH266" s="328"/>
      <c r="AI266" s="328"/>
      <c r="AJ266" s="328"/>
      <c r="AK266" s="328"/>
      <c r="AL266" s="328"/>
      <c r="AM266" s="22"/>
      <c r="AN266" s="333"/>
      <c r="AO266" s="406"/>
      <c r="AP266" s="354"/>
      <c r="AQ266" s="11"/>
      <c r="AR266" s="11"/>
      <c r="AS266" s="354"/>
      <c r="AT266" s="406"/>
      <c r="AU266" s="406"/>
      <c r="AV266" s="406"/>
      <c r="AW266" s="406"/>
      <c r="AX266" s="406"/>
      <c r="AY266" s="406"/>
      <c r="AZ266" s="406"/>
    </row>
    <row r="267" spans="1:52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173"/>
      <c r="AN267" s="341"/>
      <c r="AO267" s="406"/>
      <c r="AP267" s="354"/>
      <c r="AQ267" s="11"/>
      <c r="AR267" s="11"/>
      <c r="AS267" s="485"/>
      <c r="AT267" s="406"/>
      <c r="AU267" s="406"/>
      <c r="AV267" s="406"/>
      <c r="AW267" s="406"/>
      <c r="AX267" s="406"/>
      <c r="AY267" s="406"/>
      <c r="AZ267" s="406"/>
    </row>
    <row r="268" spans="1:52">
      <c r="A268" s="5"/>
      <c r="B268" s="785" t="s">
        <v>3383</v>
      </c>
      <c r="C268" s="786"/>
      <c r="D268" s="419">
        <v>0.19750000000000001</v>
      </c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173"/>
      <c r="AN268" s="341"/>
      <c r="AO268" s="406"/>
      <c r="AP268" s="354"/>
      <c r="AQ268" s="11"/>
      <c r="AR268" s="11"/>
      <c r="AS268" s="485"/>
      <c r="AT268" s="406"/>
      <c r="AU268" s="406"/>
      <c r="AV268" s="406"/>
      <c r="AW268" s="406"/>
      <c r="AX268" s="406"/>
      <c r="AY268" s="406"/>
      <c r="AZ268" s="406"/>
    </row>
    <row r="269" spans="1:52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173"/>
      <c r="AN269" s="341"/>
      <c r="AO269" s="406"/>
      <c r="AP269" s="354"/>
      <c r="AQ269" s="11"/>
      <c r="AR269" s="11"/>
      <c r="AS269" s="485"/>
      <c r="AT269" s="406"/>
      <c r="AU269" s="406"/>
      <c r="AV269" s="406"/>
      <c r="AW269" s="406"/>
      <c r="AX269" s="406"/>
      <c r="AY269" s="406"/>
      <c r="AZ269" s="406"/>
    </row>
    <row r="270" spans="1:52">
      <c r="A270" s="5"/>
      <c r="B270" s="44" t="s">
        <v>3210</v>
      </c>
      <c r="C270" s="44" t="s">
        <v>1703</v>
      </c>
      <c r="D270" s="44" t="s">
        <v>2936</v>
      </c>
      <c r="E270" s="44" t="s">
        <v>1927</v>
      </c>
      <c r="F270" s="44" t="s">
        <v>1928</v>
      </c>
      <c r="G270" s="44" t="s">
        <v>3374</v>
      </c>
      <c r="H270" s="44" t="s">
        <v>1930</v>
      </c>
      <c r="I270" s="44" t="s">
        <v>1931</v>
      </c>
      <c r="J270" s="328">
        <v>50</v>
      </c>
      <c r="K270" s="44">
        <v>4.84</v>
      </c>
      <c r="L270" s="44">
        <v>6.34</v>
      </c>
      <c r="M270" s="44">
        <v>5.53</v>
      </c>
      <c r="N270" s="44">
        <v>4.62</v>
      </c>
      <c r="O270" s="44">
        <v>4.8</v>
      </c>
      <c r="P270" s="44">
        <v>4.21</v>
      </c>
      <c r="Q270" s="44">
        <v>3.39</v>
      </c>
      <c r="R270" s="44">
        <v>2.52</v>
      </c>
      <c r="S270" s="328">
        <v>2.02</v>
      </c>
      <c r="T270" s="328">
        <v>1.92</v>
      </c>
      <c r="U270" s="328">
        <v>1.83</v>
      </c>
      <c r="V270" s="328">
        <v>1.71</v>
      </c>
      <c r="W270" s="328">
        <v>1.47</v>
      </c>
      <c r="X270" s="328">
        <v>0</v>
      </c>
      <c r="Y270" s="328">
        <v>0</v>
      </c>
      <c r="Z270" s="328">
        <v>0</v>
      </c>
      <c r="AA270" s="328">
        <v>0</v>
      </c>
      <c r="AB270" s="328">
        <v>0</v>
      </c>
      <c r="AC270" s="328">
        <v>0</v>
      </c>
      <c r="AD270" s="328">
        <v>0</v>
      </c>
      <c r="AE270" s="328">
        <v>0</v>
      </c>
      <c r="AF270" s="328">
        <v>0</v>
      </c>
      <c r="AG270" s="328">
        <v>0</v>
      </c>
      <c r="AH270" s="328">
        <v>0</v>
      </c>
      <c r="AI270" s="328">
        <v>0</v>
      </c>
      <c r="AJ270" s="328">
        <v>0</v>
      </c>
      <c r="AK270" s="328">
        <v>0</v>
      </c>
      <c r="AL270" s="328">
        <v>0</v>
      </c>
      <c r="AM270" s="173"/>
      <c r="AN270" s="341"/>
      <c r="AO270" s="406"/>
      <c r="AP270" s="354"/>
      <c r="AQ270" s="11"/>
      <c r="AR270" s="11"/>
      <c r="AS270" s="485"/>
      <c r="AT270" s="406"/>
    </row>
    <row r="271" spans="1:52">
      <c r="A271" s="5"/>
      <c r="B271" s="44" t="s">
        <v>3210</v>
      </c>
      <c r="C271" s="44" t="s">
        <v>1703</v>
      </c>
      <c r="D271" s="44" t="s">
        <v>3707</v>
      </c>
      <c r="E271" s="44" t="s">
        <v>1927</v>
      </c>
      <c r="F271" s="44" t="s">
        <v>1928</v>
      </c>
      <c r="G271" s="44" t="s">
        <v>3374</v>
      </c>
      <c r="H271" s="44" t="s">
        <v>116</v>
      </c>
      <c r="I271" s="44" t="s">
        <v>1931</v>
      </c>
      <c r="J271" s="328">
        <v>69.3</v>
      </c>
      <c r="K271" s="44">
        <v>0</v>
      </c>
      <c r="L271" s="44">
        <v>0</v>
      </c>
      <c r="M271" s="44">
        <v>0</v>
      </c>
      <c r="N271" s="44">
        <v>0</v>
      </c>
      <c r="O271" s="44">
        <v>0</v>
      </c>
      <c r="P271" s="44">
        <v>0</v>
      </c>
      <c r="Q271" s="44">
        <v>0</v>
      </c>
      <c r="R271" s="44">
        <v>0</v>
      </c>
      <c r="S271" s="328">
        <v>0</v>
      </c>
      <c r="T271" s="328">
        <v>0</v>
      </c>
      <c r="U271" s="328">
        <v>0</v>
      </c>
      <c r="V271" s="328">
        <v>0</v>
      </c>
      <c r="W271" s="328">
        <v>0</v>
      </c>
      <c r="X271" s="328">
        <v>0</v>
      </c>
      <c r="Y271" s="328">
        <v>112.94499999999999</v>
      </c>
      <c r="Z271" s="328">
        <v>132.80000000000001</v>
      </c>
      <c r="AA271" s="328">
        <v>138.392</v>
      </c>
      <c r="AB271" s="328">
        <v>135.75200000000001</v>
      </c>
      <c r="AC271" s="328">
        <v>133.24299999999999</v>
      </c>
      <c r="AD271" s="328">
        <v>130.49199999999999</v>
      </c>
      <c r="AE271" s="328">
        <v>127.935</v>
      </c>
      <c r="AF271" s="328">
        <v>119.875</v>
      </c>
      <c r="AG271" s="328">
        <v>112.37</v>
      </c>
      <c r="AH271" s="328">
        <v>105.378</v>
      </c>
      <c r="AI271" s="328">
        <v>98.683000000000007</v>
      </c>
      <c r="AJ271" s="328">
        <v>92.480999999999995</v>
      </c>
      <c r="AK271" s="328">
        <v>86.721999999999994</v>
      </c>
      <c r="AL271" s="328">
        <v>81.343999999999994</v>
      </c>
      <c r="AM271" s="173"/>
      <c r="AN271" s="341"/>
      <c r="AO271" s="406"/>
      <c r="AP271" s="354"/>
      <c r="AQ271" s="11"/>
      <c r="AR271" s="11"/>
      <c r="AS271" s="485"/>
      <c r="AT271" s="406"/>
    </row>
    <row r="272" spans="1:52">
      <c r="A272" s="5"/>
      <c r="B272" s="44" t="s">
        <v>3210</v>
      </c>
      <c r="C272" s="44" t="s">
        <v>1703</v>
      </c>
      <c r="D272" s="44" t="s">
        <v>3708</v>
      </c>
      <c r="E272" s="44" t="s">
        <v>1927</v>
      </c>
      <c r="F272" s="44" t="s">
        <v>1928</v>
      </c>
      <c r="G272" s="44" t="s">
        <v>3374</v>
      </c>
      <c r="H272" s="44" t="s">
        <v>1930</v>
      </c>
      <c r="I272" s="44" t="s">
        <v>1933</v>
      </c>
      <c r="J272" s="328">
        <v>69.3</v>
      </c>
      <c r="K272" s="44">
        <v>0</v>
      </c>
      <c r="L272" s="44">
        <v>0</v>
      </c>
      <c r="M272" s="44">
        <v>0</v>
      </c>
      <c r="N272" s="44">
        <v>0</v>
      </c>
      <c r="O272" s="44">
        <v>0</v>
      </c>
      <c r="P272" s="44">
        <v>0</v>
      </c>
      <c r="Q272" s="44">
        <v>0</v>
      </c>
      <c r="R272" s="44">
        <v>0</v>
      </c>
      <c r="S272" s="328">
        <v>0</v>
      </c>
      <c r="T272" s="328">
        <v>0</v>
      </c>
      <c r="U272" s="328">
        <v>0</v>
      </c>
      <c r="V272" s="328">
        <v>0</v>
      </c>
      <c r="W272" s="328">
        <v>0</v>
      </c>
      <c r="X272" s="328">
        <v>0</v>
      </c>
      <c r="Y272" s="328">
        <v>100.751</v>
      </c>
      <c r="Z272" s="328">
        <v>117.048</v>
      </c>
      <c r="AA272" s="328">
        <v>110.145</v>
      </c>
      <c r="AB272" s="328">
        <v>103.721</v>
      </c>
      <c r="AC272" s="328">
        <v>97.727000000000004</v>
      </c>
      <c r="AD272" s="328">
        <v>92.155000000000001</v>
      </c>
      <c r="AE272" s="328">
        <v>86.93</v>
      </c>
      <c r="AF272" s="328">
        <v>82.051000000000002</v>
      </c>
      <c r="AG272" s="328">
        <v>77.498000000000005</v>
      </c>
      <c r="AH272" s="328">
        <v>73.25</v>
      </c>
      <c r="AI272" s="328">
        <v>69.245000000000005</v>
      </c>
      <c r="AJ272" s="328">
        <v>65.516000000000005</v>
      </c>
      <c r="AK272" s="328">
        <v>62.024000000000001</v>
      </c>
      <c r="AL272" s="328">
        <v>58.746000000000002</v>
      </c>
      <c r="AM272" s="173"/>
      <c r="AN272" s="341"/>
      <c r="AO272" s="406"/>
      <c r="AP272" s="354"/>
      <c r="AQ272" s="11"/>
      <c r="AR272" s="11"/>
      <c r="AS272" s="485"/>
      <c r="AT272" s="406"/>
    </row>
    <row r="273" spans="1:46">
      <c r="A273" s="5"/>
      <c r="B273" s="44" t="s">
        <v>3210</v>
      </c>
      <c r="C273" s="44" t="s">
        <v>1703</v>
      </c>
      <c r="D273" s="44" t="s">
        <v>701</v>
      </c>
      <c r="E273" s="44" t="s">
        <v>1927</v>
      </c>
      <c r="F273" s="44" t="s">
        <v>1928</v>
      </c>
      <c r="G273" s="44" t="s">
        <v>3374</v>
      </c>
      <c r="H273" s="44" t="s">
        <v>116</v>
      </c>
      <c r="I273" s="44" t="s">
        <v>1931</v>
      </c>
      <c r="J273" s="328">
        <v>100</v>
      </c>
      <c r="K273" s="44">
        <v>0</v>
      </c>
      <c r="L273" s="44">
        <v>0</v>
      </c>
      <c r="M273" s="44">
        <v>0</v>
      </c>
      <c r="N273" s="44">
        <v>0</v>
      </c>
      <c r="O273" s="44">
        <v>0</v>
      </c>
      <c r="P273" s="44">
        <v>0</v>
      </c>
      <c r="Q273" s="44">
        <v>0</v>
      </c>
      <c r="R273" s="44">
        <v>0</v>
      </c>
      <c r="S273" s="328">
        <v>0</v>
      </c>
      <c r="T273" s="328">
        <v>0</v>
      </c>
      <c r="U273" s="328">
        <v>13.603</v>
      </c>
      <c r="V273" s="328">
        <v>31.762</v>
      </c>
      <c r="W273" s="328">
        <v>32.54</v>
      </c>
      <c r="X273" s="328">
        <v>31.66</v>
      </c>
      <c r="Y273" s="328">
        <v>30.8</v>
      </c>
      <c r="Z273" s="328">
        <v>30.66</v>
      </c>
      <c r="AA273" s="328">
        <v>30.04</v>
      </c>
      <c r="AB273" s="328">
        <v>29.14</v>
      </c>
      <c r="AC273" s="328">
        <v>28.26</v>
      </c>
      <c r="AD273" s="328">
        <v>27.42</v>
      </c>
      <c r="AE273" s="328">
        <v>26.6</v>
      </c>
      <c r="AF273" s="328">
        <v>25.8</v>
      </c>
      <c r="AG273" s="328">
        <v>25.02</v>
      </c>
      <c r="AH273" s="328">
        <v>24.28</v>
      </c>
      <c r="AI273" s="328">
        <v>23.54</v>
      </c>
      <c r="AJ273" s="328">
        <v>22.84</v>
      </c>
      <c r="AK273" s="328">
        <v>22.16</v>
      </c>
      <c r="AL273" s="328">
        <v>21.48</v>
      </c>
      <c r="AM273" s="173"/>
      <c r="AN273" s="341"/>
      <c r="AO273" s="406"/>
      <c r="AP273" s="354"/>
      <c r="AQ273" s="11"/>
      <c r="AR273" s="11"/>
      <c r="AS273" s="485"/>
      <c r="AT273" s="406"/>
    </row>
    <row r="274" spans="1:46">
      <c r="A274" s="5"/>
      <c r="B274" s="44" t="s">
        <v>3210</v>
      </c>
      <c r="C274" s="44" t="s">
        <v>1703</v>
      </c>
      <c r="D274" s="44" t="s">
        <v>2976</v>
      </c>
      <c r="E274" s="44" t="s">
        <v>2254</v>
      </c>
      <c r="F274" s="44" t="s">
        <v>1928</v>
      </c>
      <c r="G274" s="44" t="s">
        <v>1932</v>
      </c>
      <c r="H274" s="44" t="s">
        <v>1930</v>
      </c>
      <c r="I274" s="44" t="s">
        <v>1931</v>
      </c>
      <c r="J274" s="328">
        <v>50</v>
      </c>
      <c r="K274" s="44">
        <v>0</v>
      </c>
      <c r="L274" s="44">
        <v>0</v>
      </c>
      <c r="M274" s="44">
        <v>0</v>
      </c>
      <c r="N274" s="44">
        <v>0</v>
      </c>
      <c r="O274" s="44">
        <v>0</v>
      </c>
      <c r="P274" s="44">
        <v>0.51</v>
      </c>
      <c r="Q274" s="44">
        <v>1.22</v>
      </c>
      <c r="R274" s="44">
        <v>0.55000000000000004</v>
      </c>
      <c r="S274" s="328">
        <v>0.37</v>
      </c>
      <c r="T274" s="328">
        <v>0.35</v>
      </c>
      <c r="U274" s="328">
        <v>0.25</v>
      </c>
      <c r="V274" s="328">
        <v>0.18</v>
      </c>
      <c r="W274" s="328">
        <v>0.09</v>
      </c>
      <c r="X274" s="328">
        <v>0</v>
      </c>
      <c r="Y274" s="328">
        <v>0</v>
      </c>
      <c r="Z274" s="328">
        <v>0</v>
      </c>
      <c r="AA274" s="328">
        <v>0</v>
      </c>
      <c r="AB274" s="328">
        <v>0</v>
      </c>
      <c r="AC274" s="328">
        <v>0</v>
      </c>
      <c r="AD274" s="328">
        <v>0</v>
      </c>
      <c r="AE274" s="328">
        <v>0</v>
      </c>
      <c r="AF274" s="328">
        <v>0</v>
      </c>
      <c r="AG274" s="328">
        <v>0</v>
      </c>
      <c r="AH274" s="328">
        <v>0</v>
      </c>
      <c r="AI274" s="328">
        <v>0</v>
      </c>
      <c r="AJ274" s="328">
        <v>0</v>
      </c>
      <c r="AK274" s="328">
        <v>0</v>
      </c>
      <c r="AL274" s="328">
        <v>0</v>
      </c>
      <c r="AM274" s="173"/>
      <c r="AN274" s="341"/>
      <c r="AO274" s="406"/>
      <c r="AP274" s="354"/>
      <c r="AQ274" s="11"/>
      <c r="AR274" s="11"/>
      <c r="AS274" s="485"/>
      <c r="AT274" s="406"/>
    </row>
    <row r="275" spans="1:46">
      <c r="A275" s="5"/>
      <c r="B275" s="44" t="s">
        <v>3210</v>
      </c>
      <c r="C275" s="44" t="s">
        <v>1703</v>
      </c>
      <c r="D275" s="44" t="s">
        <v>3211</v>
      </c>
      <c r="E275" s="44" t="s">
        <v>1927</v>
      </c>
      <c r="F275" s="44" t="s">
        <v>1928</v>
      </c>
      <c r="G275" s="44" t="s">
        <v>1932</v>
      </c>
      <c r="H275" s="44" t="s">
        <v>106</v>
      </c>
      <c r="I275" s="44" t="s">
        <v>1931</v>
      </c>
      <c r="J275" s="328">
        <v>68.7</v>
      </c>
      <c r="K275" s="44">
        <v>5.33</v>
      </c>
      <c r="L275" s="44">
        <v>5.35</v>
      </c>
      <c r="M275" s="44">
        <v>4.78</v>
      </c>
      <c r="N275" s="44">
        <v>4.9000000000000004</v>
      </c>
      <c r="O275" s="44">
        <v>4.5199999999999996</v>
      </c>
      <c r="P275" s="44">
        <v>3.51</v>
      </c>
      <c r="Q275" s="44">
        <v>3.01</v>
      </c>
      <c r="R275" s="44">
        <v>2.98</v>
      </c>
      <c r="S275" s="328">
        <v>2.95</v>
      </c>
      <c r="T275" s="328">
        <v>2.23</v>
      </c>
      <c r="U275" s="328">
        <v>1.76</v>
      </c>
      <c r="V275" s="328">
        <v>1.63</v>
      </c>
      <c r="W275" s="328">
        <v>1.74</v>
      </c>
      <c r="X275" s="328">
        <v>1.54</v>
      </c>
      <c r="Y275" s="328">
        <v>1.35</v>
      </c>
      <c r="Z275" s="328">
        <v>1.19</v>
      </c>
      <c r="AA275" s="328">
        <v>1.04</v>
      </c>
      <c r="AB275" s="328">
        <v>0.92</v>
      </c>
      <c r="AC275" s="328">
        <v>0.81</v>
      </c>
      <c r="AD275" s="328">
        <v>0.71</v>
      </c>
      <c r="AE275" s="328">
        <v>0</v>
      </c>
      <c r="AF275" s="328">
        <v>0</v>
      </c>
      <c r="AG275" s="328">
        <v>0</v>
      </c>
      <c r="AH275" s="328">
        <v>0</v>
      </c>
      <c r="AI275" s="328">
        <v>0</v>
      </c>
      <c r="AJ275" s="328">
        <v>0</v>
      </c>
      <c r="AK275" s="328">
        <v>0</v>
      </c>
      <c r="AL275" s="328">
        <v>0</v>
      </c>
      <c r="AM275" s="173"/>
      <c r="AN275" s="341"/>
      <c r="AO275" s="406"/>
      <c r="AP275" s="354"/>
      <c r="AQ275" s="11"/>
      <c r="AR275" s="11"/>
      <c r="AS275" s="485"/>
      <c r="AT275" s="406"/>
    </row>
    <row r="276" spans="1:46">
      <c r="A276" s="5"/>
      <c r="B276" s="44" t="s">
        <v>3210</v>
      </c>
      <c r="C276" s="44" t="s">
        <v>1703</v>
      </c>
      <c r="D276" s="44" t="s">
        <v>3212</v>
      </c>
      <c r="E276" s="44" t="s">
        <v>1927</v>
      </c>
      <c r="F276" s="44" t="s">
        <v>1928</v>
      </c>
      <c r="G276" s="44" t="s">
        <v>1932</v>
      </c>
      <c r="H276" s="44" t="s">
        <v>106</v>
      </c>
      <c r="I276" s="44" t="s">
        <v>1931</v>
      </c>
      <c r="J276" s="328">
        <v>81.22</v>
      </c>
      <c r="K276" s="44">
        <v>0</v>
      </c>
      <c r="L276" s="44">
        <v>0.97</v>
      </c>
      <c r="M276" s="44">
        <v>0.8</v>
      </c>
      <c r="N276" s="44">
        <v>0.72</v>
      </c>
      <c r="O276" s="44">
        <v>0.74</v>
      </c>
      <c r="P276" s="44">
        <v>0.6</v>
      </c>
      <c r="Q276" s="44">
        <v>0.56999999999999995</v>
      </c>
      <c r="R276" s="44">
        <v>0.6</v>
      </c>
      <c r="S276" s="328">
        <v>0.54</v>
      </c>
      <c r="T276" s="328">
        <v>0.45</v>
      </c>
      <c r="U276" s="328">
        <v>0.42</v>
      </c>
      <c r="V276" s="328">
        <v>0.39</v>
      </c>
      <c r="W276" s="328">
        <v>0.38</v>
      </c>
      <c r="X276" s="328">
        <v>0.35</v>
      </c>
      <c r="Y276" s="328">
        <v>0.32</v>
      </c>
      <c r="Z276" s="328">
        <v>0.3</v>
      </c>
      <c r="AA276" s="328">
        <v>0.28000000000000003</v>
      </c>
      <c r="AB276" s="328">
        <v>0.26</v>
      </c>
      <c r="AC276" s="328">
        <v>0.24</v>
      </c>
      <c r="AD276" s="328">
        <v>0.23</v>
      </c>
      <c r="AE276" s="328">
        <v>0.21</v>
      </c>
      <c r="AF276" s="328">
        <v>0.19</v>
      </c>
      <c r="AG276" s="328">
        <v>0.19</v>
      </c>
      <c r="AH276" s="328">
        <v>0.17</v>
      </c>
      <c r="AI276" s="328">
        <v>0.16</v>
      </c>
      <c r="AJ276" s="328">
        <v>0.15</v>
      </c>
      <c r="AK276" s="328">
        <v>0.14000000000000001</v>
      </c>
      <c r="AL276" s="328">
        <v>0.13</v>
      </c>
      <c r="AM276" s="173"/>
      <c r="AN276" s="341"/>
      <c r="AO276" s="406"/>
      <c r="AP276" s="354"/>
      <c r="AQ276" s="11"/>
      <c r="AR276" s="11"/>
      <c r="AS276" s="485"/>
      <c r="AT276" s="406"/>
    </row>
    <row r="277" spans="1:46">
      <c r="A277" s="5"/>
      <c r="B277" s="44" t="s">
        <v>3210</v>
      </c>
      <c r="C277" s="44" t="s">
        <v>1703</v>
      </c>
      <c r="D277" s="44" t="s">
        <v>3717</v>
      </c>
      <c r="E277" s="44" t="s">
        <v>3372</v>
      </c>
      <c r="F277" s="44" t="s">
        <v>1928</v>
      </c>
      <c r="G277" s="44" t="s">
        <v>3374</v>
      </c>
      <c r="H277" s="44" t="s">
        <v>1930</v>
      </c>
      <c r="I277" s="44" t="s">
        <v>1931</v>
      </c>
      <c r="J277" s="328">
        <v>100</v>
      </c>
      <c r="K277" s="44">
        <v>0</v>
      </c>
      <c r="L277" s="44">
        <v>0</v>
      </c>
      <c r="M277" s="44">
        <v>0</v>
      </c>
      <c r="N277" s="44">
        <v>0</v>
      </c>
      <c r="O277" s="44">
        <v>0</v>
      </c>
      <c r="P277" s="44">
        <v>0</v>
      </c>
      <c r="Q277" s="44">
        <v>0</v>
      </c>
      <c r="R277" s="44">
        <v>0</v>
      </c>
      <c r="S277" s="328">
        <v>0</v>
      </c>
      <c r="T277" s="328">
        <v>0</v>
      </c>
      <c r="U277" s="328">
        <v>0</v>
      </c>
      <c r="V277" s="328">
        <v>0</v>
      </c>
      <c r="W277" s="328">
        <v>0</v>
      </c>
      <c r="X277" s="328">
        <v>0</v>
      </c>
      <c r="Y277" s="328">
        <v>0</v>
      </c>
      <c r="Z277" s="328">
        <v>0</v>
      </c>
      <c r="AA277" s="328">
        <v>1.68</v>
      </c>
      <c r="AB277" s="328">
        <v>15.44</v>
      </c>
      <c r="AC277" s="328">
        <v>45.08</v>
      </c>
      <c r="AD277" s="328">
        <v>90.31</v>
      </c>
      <c r="AE277" s="328">
        <v>94.73</v>
      </c>
      <c r="AF277" s="328">
        <v>92.52</v>
      </c>
      <c r="AG277" s="328">
        <v>87.33</v>
      </c>
      <c r="AH277" s="328">
        <v>79.75</v>
      </c>
      <c r="AI277" s="328">
        <v>73.23</v>
      </c>
      <c r="AJ277" s="328">
        <v>67.42</v>
      </c>
      <c r="AK277" s="328">
        <v>62.14</v>
      </c>
      <c r="AL277" s="328">
        <v>57.28</v>
      </c>
      <c r="AM277" s="173"/>
      <c r="AN277" s="341"/>
      <c r="AO277" s="406"/>
      <c r="AP277" s="354"/>
      <c r="AQ277" s="11"/>
      <c r="AR277" s="11"/>
      <c r="AS277" s="485"/>
      <c r="AT277" s="406"/>
    </row>
    <row r="278" spans="1:46">
      <c r="A278" s="5"/>
      <c r="B278" s="44" t="s">
        <v>3210</v>
      </c>
      <c r="C278" s="44" t="s">
        <v>1703</v>
      </c>
      <c r="D278" s="44" t="s">
        <v>3464</v>
      </c>
      <c r="E278" s="44" t="s">
        <v>1927</v>
      </c>
      <c r="F278" s="44" t="s">
        <v>1928</v>
      </c>
      <c r="G278" s="44" t="s">
        <v>1932</v>
      </c>
      <c r="H278" s="44" t="s">
        <v>116</v>
      </c>
      <c r="I278" s="44" t="s">
        <v>1931</v>
      </c>
      <c r="J278" s="328">
        <v>51</v>
      </c>
      <c r="K278" s="44">
        <v>18.170000000000002</v>
      </c>
      <c r="L278" s="44">
        <v>20.12</v>
      </c>
      <c r="M278" s="44">
        <v>22.5</v>
      </c>
      <c r="N278" s="44">
        <v>21.66</v>
      </c>
      <c r="O278" s="44">
        <v>21.8</v>
      </c>
      <c r="P278" s="44">
        <v>19.420000000000002</v>
      </c>
      <c r="Q278" s="44">
        <v>15.93</v>
      </c>
      <c r="R278" s="44">
        <v>10.35</v>
      </c>
      <c r="S278" s="328">
        <v>8.16</v>
      </c>
      <c r="T278" s="328">
        <v>6.53</v>
      </c>
      <c r="U278" s="328">
        <v>5.0199999999999996</v>
      </c>
      <c r="V278" s="328">
        <v>4.55</v>
      </c>
      <c r="W278" s="328">
        <v>3.77</v>
      </c>
      <c r="X278" s="328">
        <v>1.9</v>
      </c>
      <c r="Y278" s="328">
        <v>2.2999999999999998</v>
      </c>
      <c r="Z278" s="328">
        <v>3.07</v>
      </c>
      <c r="AA278" s="328">
        <v>2.78</v>
      </c>
      <c r="AB278" s="328">
        <v>2.52</v>
      </c>
      <c r="AC278" s="328">
        <v>2.2799999999999998</v>
      </c>
      <c r="AD278" s="328">
        <v>2.0699999999999998</v>
      </c>
      <c r="AE278" s="328">
        <v>1.88</v>
      </c>
      <c r="AF278" s="328">
        <v>1.7</v>
      </c>
      <c r="AG278" s="328">
        <v>1.55</v>
      </c>
      <c r="AH278" s="328">
        <v>1.4</v>
      </c>
      <c r="AI278" s="328">
        <v>1.27</v>
      </c>
      <c r="AJ278" s="328">
        <v>1.1499999999999999</v>
      </c>
      <c r="AK278" s="328">
        <v>1.04</v>
      </c>
      <c r="AL278" s="328">
        <v>0.94</v>
      </c>
      <c r="AM278" s="173"/>
      <c r="AN278" s="341"/>
      <c r="AO278" s="406"/>
      <c r="AP278" s="354"/>
      <c r="AQ278" s="11"/>
      <c r="AR278" s="11"/>
      <c r="AS278" s="485"/>
      <c r="AT278" s="406"/>
    </row>
    <row r="279" spans="1:46">
      <c r="A279" s="5"/>
      <c r="B279" s="44" t="s">
        <v>3210</v>
      </c>
      <c r="C279" s="44" t="s">
        <v>1703</v>
      </c>
      <c r="D279" s="44" t="s">
        <v>2271</v>
      </c>
      <c r="E279" s="44" t="s">
        <v>1927</v>
      </c>
      <c r="F279" s="44" t="s">
        <v>1928</v>
      </c>
      <c r="G279" s="44" t="s">
        <v>1931</v>
      </c>
      <c r="H279" s="44" t="s">
        <v>116</v>
      </c>
      <c r="I279" s="44" t="s">
        <v>1931</v>
      </c>
      <c r="J279" s="328">
        <v>100</v>
      </c>
      <c r="K279" s="44">
        <v>30.19</v>
      </c>
      <c r="L279" s="44">
        <v>30.9</v>
      </c>
      <c r="M279" s="44">
        <v>26.74</v>
      </c>
      <c r="N279" s="44">
        <v>25.57</v>
      </c>
      <c r="O279" s="44">
        <v>30.09</v>
      </c>
      <c r="P279" s="44">
        <v>26.54</v>
      </c>
      <c r="Q279" s="44">
        <v>23.05</v>
      </c>
      <c r="R279" s="44">
        <v>20.6</v>
      </c>
      <c r="S279" s="328">
        <v>20.3</v>
      </c>
      <c r="T279" s="328">
        <v>20.010000000000002</v>
      </c>
      <c r="U279" s="328">
        <v>17.329999999999998</v>
      </c>
      <c r="V279" s="328">
        <v>16.21</v>
      </c>
      <c r="W279" s="328">
        <v>15.83</v>
      </c>
      <c r="X279" s="328">
        <v>17.05</v>
      </c>
      <c r="Y279" s="328">
        <v>16.75</v>
      </c>
      <c r="Z279" s="328">
        <v>16.48</v>
      </c>
      <c r="AA279" s="328">
        <v>16.22</v>
      </c>
      <c r="AB279" s="328">
        <v>15.8</v>
      </c>
      <c r="AC279" s="328">
        <v>15.42</v>
      </c>
      <c r="AD279" s="328">
        <v>15.05</v>
      </c>
      <c r="AE279" s="328">
        <v>14.71</v>
      </c>
      <c r="AF279" s="328">
        <v>14.36</v>
      </c>
      <c r="AG279" s="328">
        <v>14.03</v>
      </c>
      <c r="AH279" s="328">
        <v>13.17</v>
      </c>
      <c r="AI279" s="328">
        <v>12.36</v>
      </c>
      <c r="AJ279" s="328">
        <v>11.61</v>
      </c>
      <c r="AK279" s="328">
        <v>10.9</v>
      </c>
      <c r="AL279" s="328">
        <v>10.220000000000001</v>
      </c>
      <c r="AM279" s="173"/>
      <c r="AN279" s="341"/>
      <c r="AO279" s="406"/>
      <c r="AP279" s="354"/>
      <c r="AQ279" s="11"/>
      <c r="AR279" s="11"/>
      <c r="AS279" s="485"/>
      <c r="AT279" s="406"/>
    </row>
    <row r="280" spans="1:46">
      <c r="A280" s="5"/>
      <c r="B280" s="44" t="s">
        <v>3210</v>
      </c>
      <c r="C280" s="44" t="s">
        <v>1703</v>
      </c>
      <c r="D280" s="44" t="s">
        <v>3709</v>
      </c>
      <c r="E280" s="44" t="s">
        <v>2970</v>
      </c>
      <c r="F280" s="44" t="s">
        <v>1928</v>
      </c>
      <c r="G280" s="44" t="s">
        <v>3374</v>
      </c>
      <c r="H280" s="44" t="s">
        <v>1930</v>
      </c>
      <c r="I280" s="44" t="s">
        <v>1931</v>
      </c>
      <c r="J280" s="328">
        <v>100</v>
      </c>
      <c r="K280" s="44">
        <v>0</v>
      </c>
      <c r="L280" s="44">
        <v>0</v>
      </c>
      <c r="M280" s="44">
        <v>0</v>
      </c>
      <c r="N280" s="44">
        <v>0</v>
      </c>
      <c r="O280" s="44">
        <v>0</v>
      </c>
      <c r="P280" s="44">
        <v>0</v>
      </c>
      <c r="Q280" s="44">
        <v>0</v>
      </c>
      <c r="R280" s="44">
        <v>0</v>
      </c>
      <c r="S280" s="328">
        <v>0</v>
      </c>
      <c r="T280" s="328">
        <v>0</v>
      </c>
      <c r="U280" s="328">
        <v>0</v>
      </c>
      <c r="V280" s="328">
        <v>0</v>
      </c>
      <c r="W280" s="328">
        <v>0</v>
      </c>
      <c r="X280" s="328">
        <v>0</v>
      </c>
      <c r="Y280" s="328">
        <v>1.49</v>
      </c>
      <c r="Z280" s="328">
        <v>4.57</v>
      </c>
      <c r="AA280" s="328">
        <v>13.38</v>
      </c>
      <c r="AB280" s="328">
        <v>36.74</v>
      </c>
      <c r="AC280" s="328">
        <v>61.7</v>
      </c>
      <c r="AD280" s="328">
        <v>70.89</v>
      </c>
      <c r="AE280" s="328">
        <v>79.83</v>
      </c>
      <c r="AF280" s="328">
        <v>82.73</v>
      </c>
      <c r="AG280" s="328">
        <v>82.25</v>
      </c>
      <c r="AH280" s="328">
        <v>80.09</v>
      </c>
      <c r="AI280" s="328">
        <v>79.099999999999994</v>
      </c>
      <c r="AJ280" s="328">
        <v>79.040000000000006</v>
      </c>
      <c r="AK280" s="328">
        <v>76.16</v>
      </c>
      <c r="AL280" s="328">
        <v>71.61</v>
      </c>
      <c r="AM280" s="173"/>
      <c r="AN280" s="341"/>
      <c r="AO280" s="406"/>
      <c r="AP280" s="354"/>
      <c r="AQ280" s="11"/>
      <c r="AR280" s="11"/>
      <c r="AS280" s="485"/>
      <c r="AT280" s="406"/>
    </row>
    <row r="281" spans="1:46">
      <c r="A281" s="5"/>
      <c r="B281" s="44" t="s">
        <v>3210</v>
      </c>
      <c r="C281" s="44" t="s">
        <v>1703</v>
      </c>
      <c r="D281" s="44" t="s">
        <v>3465</v>
      </c>
      <c r="E281" s="44" t="s">
        <v>1927</v>
      </c>
      <c r="F281" s="44" t="s">
        <v>1928</v>
      </c>
      <c r="G281" s="44" t="s">
        <v>3374</v>
      </c>
      <c r="H281" s="44" t="s">
        <v>116</v>
      </c>
      <c r="I281" s="44" t="s">
        <v>1931</v>
      </c>
      <c r="J281" s="328">
        <v>100</v>
      </c>
      <c r="K281" s="44">
        <v>13.19</v>
      </c>
      <c r="L281" s="44">
        <v>11.82</v>
      </c>
      <c r="M281" s="44">
        <v>15.03</v>
      </c>
      <c r="N281" s="44">
        <v>20.309999999999999</v>
      </c>
      <c r="O281" s="44">
        <v>31.18</v>
      </c>
      <c r="P281" s="44">
        <v>25.04</v>
      </c>
      <c r="Q281" s="44">
        <v>21.07</v>
      </c>
      <c r="R281" s="44">
        <v>18.989999999999998</v>
      </c>
      <c r="S281" s="328">
        <v>18.48</v>
      </c>
      <c r="T281" s="328">
        <v>18.440000000000001</v>
      </c>
      <c r="U281" s="328">
        <v>18.100000000000001</v>
      </c>
      <c r="V281" s="328">
        <v>17.36</v>
      </c>
      <c r="W281" s="328">
        <v>17.38</v>
      </c>
      <c r="X281" s="328">
        <v>16.5</v>
      </c>
      <c r="Y281" s="328">
        <v>15.91</v>
      </c>
      <c r="Z281" s="328">
        <v>15.35</v>
      </c>
      <c r="AA281" s="328">
        <v>14.78</v>
      </c>
      <c r="AB281" s="328">
        <v>14.26</v>
      </c>
      <c r="AC281" s="328">
        <v>13.76</v>
      </c>
      <c r="AD281" s="328">
        <v>13.27</v>
      </c>
      <c r="AE281" s="328">
        <v>12.81</v>
      </c>
      <c r="AF281" s="328">
        <v>12.34</v>
      </c>
      <c r="AG281" s="328">
        <v>11.91</v>
      </c>
      <c r="AH281" s="328">
        <v>11.5</v>
      </c>
      <c r="AI281" s="328">
        <v>11.11</v>
      </c>
      <c r="AJ281" s="328">
        <v>10.71</v>
      </c>
      <c r="AK281" s="328">
        <v>10.33</v>
      </c>
      <c r="AL281" s="328">
        <v>9.9700000000000006</v>
      </c>
      <c r="AM281" s="173"/>
      <c r="AN281" s="341"/>
      <c r="AO281" s="406"/>
      <c r="AP281" s="354"/>
      <c r="AQ281" s="11"/>
      <c r="AR281" s="11"/>
      <c r="AS281" s="485"/>
      <c r="AT281" s="406"/>
    </row>
    <row r="282" spans="1:46">
      <c r="A282" s="5"/>
      <c r="B282" s="44" t="s">
        <v>3210</v>
      </c>
      <c r="C282" s="44" t="s">
        <v>1703</v>
      </c>
      <c r="D282" s="44" t="s">
        <v>3532</v>
      </c>
      <c r="E282" s="44" t="s">
        <v>1927</v>
      </c>
      <c r="F282" s="44" t="s">
        <v>1928</v>
      </c>
      <c r="G282" s="44" t="s">
        <v>1932</v>
      </c>
      <c r="H282" s="44" t="s">
        <v>116</v>
      </c>
      <c r="I282" s="44" t="s">
        <v>1931</v>
      </c>
      <c r="J282" s="328">
        <v>100</v>
      </c>
      <c r="K282" s="44">
        <v>0</v>
      </c>
      <c r="L282" s="44">
        <v>0</v>
      </c>
      <c r="M282" s="44">
        <v>0</v>
      </c>
      <c r="N282" s="44">
        <v>0</v>
      </c>
      <c r="O282" s="44">
        <v>0</v>
      </c>
      <c r="P282" s="44">
        <v>0</v>
      </c>
      <c r="Q282" s="44">
        <v>0</v>
      </c>
      <c r="R282" s="44">
        <v>0</v>
      </c>
      <c r="S282" s="328">
        <v>0</v>
      </c>
      <c r="T282" s="328">
        <v>0</v>
      </c>
      <c r="U282" s="328">
        <v>52.414999999999999</v>
      </c>
      <c r="V282" s="328">
        <v>122.315</v>
      </c>
      <c r="W282" s="328">
        <v>120.91</v>
      </c>
      <c r="X282" s="328">
        <v>117.95</v>
      </c>
      <c r="Y282" s="328">
        <v>122.09</v>
      </c>
      <c r="Z282" s="328">
        <v>121.1</v>
      </c>
      <c r="AA282" s="328">
        <v>120.61</v>
      </c>
      <c r="AB282" s="328">
        <v>120.63</v>
      </c>
      <c r="AC282" s="328">
        <v>120.4</v>
      </c>
      <c r="AD282" s="328">
        <v>119.2</v>
      </c>
      <c r="AE282" s="328">
        <v>118</v>
      </c>
      <c r="AF282" s="328">
        <v>116.83</v>
      </c>
      <c r="AG282" s="328">
        <v>115.65</v>
      </c>
      <c r="AH282" s="328">
        <v>113.81</v>
      </c>
      <c r="AI282" s="328">
        <v>111.31</v>
      </c>
      <c r="AJ282" s="328">
        <v>108.24</v>
      </c>
      <c r="AK282" s="328">
        <v>104.62</v>
      </c>
      <c r="AL282" s="328">
        <v>100.74</v>
      </c>
      <c r="AM282" s="173"/>
      <c r="AN282" s="341"/>
      <c r="AO282" s="406"/>
      <c r="AP282" s="354"/>
      <c r="AQ282" s="11"/>
      <c r="AR282" s="11"/>
      <c r="AS282" s="485"/>
      <c r="AT282" s="406"/>
    </row>
    <row r="283" spans="1:46">
      <c r="A283" s="5"/>
      <c r="B283" s="44" t="s">
        <v>3210</v>
      </c>
      <c r="C283" s="44" t="s">
        <v>1703</v>
      </c>
      <c r="D283" s="44" t="s">
        <v>2272</v>
      </c>
      <c r="E283" s="44" t="s">
        <v>1927</v>
      </c>
      <c r="F283" s="44" t="s">
        <v>1928</v>
      </c>
      <c r="G283" s="44" t="s">
        <v>1932</v>
      </c>
      <c r="H283" s="44" t="s">
        <v>116</v>
      </c>
      <c r="I283" s="44" t="s">
        <v>1931</v>
      </c>
      <c r="J283" s="328">
        <v>100</v>
      </c>
      <c r="K283" s="44">
        <v>2.65</v>
      </c>
      <c r="L283" s="44">
        <v>6.71</v>
      </c>
      <c r="M283" s="44">
        <v>13.13</v>
      </c>
      <c r="N283" s="44">
        <v>15.99</v>
      </c>
      <c r="O283" s="44">
        <v>12.29</v>
      </c>
      <c r="P283" s="44">
        <v>0</v>
      </c>
      <c r="Q283" s="44">
        <v>0</v>
      </c>
      <c r="R283" s="44">
        <v>0</v>
      </c>
      <c r="S283" s="328">
        <v>0</v>
      </c>
      <c r="T283" s="328">
        <v>0</v>
      </c>
      <c r="U283" s="328">
        <v>0</v>
      </c>
      <c r="V283" s="328">
        <v>0</v>
      </c>
      <c r="W283" s="328">
        <v>0</v>
      </c>
      <c r="X283" s="328">
        <v>0</v>
      </c>
      <c r="Y283" s="328">
        <v>0</v>
      </c>
      <c r="Z283" s="328">
        <v>0</v>
      </c>
      <c r="AA283" s="328">
        <v>3.77</v>
      </c>
      <c r="AB283" s="328">
        <v>10.09</v>
      </c>
      <c r="AC283" s="328">
        <v>13.92</v>
      </c>
      <c r="AD283" s="328">
        <v>17.25</v>
      </c>
      <c r="AE283" s="328">
        <v>19.100000000000001</v>
      </c>
      <c r="AF283" s="328">
        <v>18.04</v>
      </c>
      <c r="AG283" s="328">
        <v>16.64</v>
      </c>
      <c r="AH283" s="328">
        <v>15.31</v>
      </c>
      <c r="AI283" s="328">
        <v>13.95</v>
      </c>
      <c r="AJ283" s="328">
        <v>12.68</v>
      </c>
      <c r="AK283" s="328">
        <v>11.53</v>
      </c>
      <c r="AL283" s="328">
        <v>10.35</v>
      </c>
      <c r="AM283" s="173"/>
      <c r="AN283" s="341"/>
      <c r="AO283" s="406"/>
      <c r="AP283" s="354"/>
      <c r="AQ283" s="11"/>
      <c r="AR283" s="11"/>
      <c r="AS283" s="485"/>
      <c r="AT283" s="406"/>
    </row>
    <row r="284" spans="1:46">
      <c r="A284" s="5"/>
      <c r="B284" s="44" t="s">
        <v>3210</v>
      </c>
      <c r="C284" s="44" t="s">
        <v>1703</v>
      </c>
      <c r="D284" s="44" t="s">
        <v>2977</v>
      </c>
      <c r="E284" s="44" t="s">
        <v>1927</v>
      </c>
      <c r="F284" s="44" t="s">
        <v>1928</v>
      </c>
      <c r="G284" s="44" t="s">
        <v>3374</v>
      </c>
      <c r="H284" s="44" t="s">
        <v>1930</v>
      </c>
      <c r="I284" s="44" t="s">
        <v>1931</v>
      </c>
      <c r="J284" s="328">
        <v>100</v>
      </c>
      <c r="K284" s="44">
        <v>0</v>
      </c>
      <c r="L284" s="44">
        <v>0</v>
      </c>
      <c r="M284" s="44">
        <v>0</v>
      </c>
      <c r="N284" s="44">
        <v>0</v>
      </c>
      <c r="O284" s="44">
        <v>0</v>
      </c>
      <c r="P284" s="44">
        <v>0</v>
      </c>
      <c r="Q284" s="44">
        <v>0</v>
      </c>
      <c r="R284" s="44">
        <v>0</v>
      </c>
      <c r="S284" s="328">
        <v>0</v>
      </c>
      <c r="T284" s="328">
        <v>0</v>
      </c>
      <c r="U284" s="328">
        <v>0</v>
      </c>
      <c r="V284" s="328">
        <v>0.03</v>
      </c>
      <c r="W284" s="328">
        <v>4.17</v>
      </c>
      <c r="X284" s="328">
        <v>18.38</v>
      </c>
      <c r="Y284" s="328">
        <v>17.43</v>
      </c>
      <c r="Z284" s="328">
        <v>23</v>
      </c>
      <c r="AA284" s="328">
        <v>26.5</v>
      </c>
      <c r="AB284" s="328">
        <v>24</v>
      </c>
      <c r="AC284" s="328">
        <v>22</v>
      </c>
      <c r="AD284" s="328">
        <v>20</v>
      </c>
      <c r="AE284" s="328">
        <v>18.2</v>
      </c>
      <c r="AF284" s="328">
        <v>16.559999999999999</v>
      </c>
      <c r="AG284" s="328">
        <v>15.07</v>
      </c>
      <c r="AH284" s="328">
        <v>13.72</v>
      </c>
      <c r="AI284" s="328">
        <v>12.48</v>
      </c>
      <c r="AJ284" s="328">
        <v>11.35</v>
      </c>
      <c r="AK284" s="328">
        <v>10.33</v>
      </c>
      <c r="AL284" s="328">
        <v>8.7100000000000009</v>
      </c>
      <c r="AM284" s="173"/>
      <c r="AN284" s="341"/>
      <c r="AO284" s="406"/>
      <c r="AP284" s="354"/>
      <c r="AQ284" s="11"/>
      <c r="AR284" s="11"/>
      <c r="AS284" s="485"/>
      <c r="AT284" s="406"/>
    </row>
    <row r="285" spans="1:46">
      <c r="A285" s="5"/>
      <c r="B285" s="44" t="s">
        <v>3210</v>
      </c>
      <c r="C285" s="44" t="s">
        <v>1703</v>
      </c>
      <c r="D285" s="44" t="s">
        <v>2273</v>
      </c>
      <c r="E285" s="44" t="s">
        <v>1927</v>
      </c>
      <c r="F285" s="44" t="s">
        <v>1928</v>
      </c>
      <c r="G285" s="44" t="s">
        <v>3374</v>
      </c>
      <c r="H285" s="44" t="s">
        <v>116</v>
      </c>
      <c r="I285" s="44" t="s">
        <v>1931</v>
      </c>
      <c r="J285" s="328">
        <v>100</v>
      </c>
      <c r="K285" s="44">
        <v>0</v>
      </c>
      <c r="L285" s="44">
        <v>0</v>
      </c>
      <c r="M285" s="44">
        <v>0</v>
      </c>
      <c r="N285" s="44">
        <v>0</v>
      </c>
      <c r="O285" s="44">
        <v>0</v>
      </c>
      <c r="P285" s="44">
        <v>0</v>
      </c>
      <c r="Q285" s="44">
        <v>0</v>
      </c>
      <c r="R285" s="44">
        <v>0.35</v>
      </c>
      <c r="S285" s="328">
        <v>0.72</v>
      </c>
      <c r="T285" s="328">
        <v>0.68</v>
      </c>
      <c r="U285" s="328">
        <v>0.71</v>
      </c>
      <c r="V285" s="328">
        <v>0.74</v>
      </c>
      <c r="W285" s="328">
        <v>0.77</v>
      </c>
      <c r="X285" s="328">
        <v>0.7</v>
      </c>
      <c r="Y285" s="328">
        <v>0.74</v>
      </c>
      <c r="Z285" s="328">
        <v>0.69</v>
      </c>
      <c r="AA285" s="328">
        <v>0.64</v>
      </c>
      <c r="AB285" s="328">
        <v>0.6</v>
      </c>
      <c r="AC285" s="328">
        <v>0.55000000000000004</v>
      </c>
      <c r="AD285" s="328">
        <v>0.51</v>
      </c>
      <c r="AE285" s="328">
        <v>0.48</v>
      </c>
      <c r="AF285" s="328">
        <v>0.45</v>
      </c>
      <c r="AG285" s="328">
        <v>0.41</v>
      </c>
      <c r="AH285" s="328">
        <v>0.39</v>
      </c>
      <c r="AI285" s="328">
        <v>0.36</v>
      </c>
      <c r="AJ285" s="328">
        <v>0.33</v>
      </c>
      <c r="AK285" s="328">
        <v>0.31</v>
      </c>
      <c r="AL285" s="328">
        <v>0.28999999999999998</v>
      </c>
      <c r="AM285" s="173"/>
      <c r="AN285" s="341"/>
      <c r="AO285" s="406"/>
      <c r="AP285" s="354"/>
      <c r="AQ285" s="11"/>
      <c r="AR285" s="11"/>
      <c r="AS285" s="485"/>
      <c r="AT285" s="406"/>
    </row>
    <row r="286" spans="1:46">
      <c r="A286" s="5"/>
      <c r="B286" s="44" t="s">
        <v>3210</v>
      </c>
      <c r="C286" s="44" t="s">
        <v>1703</v>
      </c>
      <c r="D286" s="44" t="s">
        <v>2274</v>
      </c>
      <c r="E286" s="44" t="s">
        <v>1927</v>
      </c>
      <c r="F286" s="44" t="s">
        <v>1928</v>
      </c>
      <c r="G286" s="44" t="s">
        <v>3374</v>
      </c>
      <c r="H286" s="44" t="s">
        <v>116</v>
      </c>
      <c r="I286" s="44" t="s">
        <v>1931</v>
      </c>
      <c r="J286" s="328">
        <v>100</v>
      </c>
      <c r="K286" s="44">
        <v>0</v>
      </c>
      <c r="L286" s="44">
        <v>8.48</v>
      </c>
      <c r="M286" s="44">
        <v>101.25</v>
      </c>
      <c r="N286" s="44">
        <v>112.08</v>
      </c>
      <c r="O286" s="44">
        <v>115.71</v>
      </c>
      <c r="P286" s="44">
        <v>125.96</v>
      </c>
      <c r="Q286" s="44">
        <v>140.97</v>
      </c>
      <c r="R286" s="44">
        <v>204.25</v>
      </c>
      <c r="S286" s="328">
        <v>223.5</v>
      </c>
      <c r="T286" s="328">
        <v>233.39</v>
      </c>
      <c r="U286" s="328">
        <v>232.36</v>
      </c>
      <c r="V286" s="328">
        <v>228.28</v>
      </c>
      <c r="W286" s="328">
        <v>191.69</v>
      </c>
      <c r="X286" s="328">
        <v>180.22</v>
      </c>
      <c r="Y286" s="328">
        <v>161.18</v>
      </c>
      <c r="Z286" s="328">
        <v>146</v>
      </c>
      <c r="AA286" s="328">
        <v>145</v>
      </c>
      <c r="AB286" s="328">
        <v>142</v>
      </c>
      <c r="AC286" s="328">
        <v>139.15</v>
      </c>
      <c r="AD286" s="328">
        <v>136.38999999999999</v>
      </c>
      <c r="AE286" s="328">
        <v>133.65</v>
      </c>
      <c r="AF286" s="328">
        <v>130.97</v>
      </c>
      <c r="AG286" s="328">
        <v>128.36000000000001</v>
      </c>
      <c r="AH286" s="328">
        <v>125.79</v>
      </c>
      <c r="AI286" s="328">
        <v>123.28</v>
      </c>
      <c r="AJ286" s="328">
        <v>120.82</v>
      </c>
      <c r="AK286" s="328">
        <v>118.39</v>
      </c>
      <c r="AL286" s="328">
        <v>116.03</v>
      </c>
      <c r="AM286" s="173"/>
      <c r="AN286" s="341"/>
      <c r="AO286" s="406"/>
      <c r="AP286" s="354"/>
      <c r="AQ286" s="11"/>
      <c r="AR286" s="11"/>
      <c r="AS286" s="485"/>
      <c r="AT286" s="406"/>
    </row>
    <row r="287" spans="1:46">
      <c r="A287" s="5"/>
      <c r="B287" s="44" t="s">
        <v>3210</v>
      </c>
      <c r="C287" s="44" t="s">
        <v>1703</v>
      </c>
      <c r="D287" s="44" t="s">
        <v>1816</v>
      </c>
      <c r="E287" s="44" t="s">
        <v>1927</v>
      </c>
      <c r="F287" s="44" t="s">
        <v>1928</v>
      </c>
      <c r="G287" s="44" t="s">
        <v>1932</v>
      </c>
      <c r="H287" s="44" t="s">
        <v>116</v>
      </c>
      <c r="I287" s="44" t="s">
        <v>1931</v>
      </c>
      <c r="J287" s="328">
        <v>80</v>
      </c>
      <c r="K287" s="44">
        <v>0</v>
      </c>
      <c r="L287" s="44">
        <v>0</v>
      </c>
      <c r="M287" s="44">
        <v>0</v>
      </c>
      <c r="N287" s="44">
        <v>0</v>
      </c>
      <c r="O287" s="44">
        <v>0</v>
      </c>
      <c r="P287" s="44">
        <v>0</v>
      </c>
      <c r="Q287" s="44">
        <v>0</v>
      </c>
      <c r="R287" s="44">
        <v>0</v>
      </c>
      <c r="S287" s="328">
        <v>0</v>
      </c>
      <c r="T287" s="328">
        <v>0</v>
      </c>
      <c r="U287" s="328">
        <v>1.6539999999999999</v>
      </c>
      <c r="V287" s="328">
        <v>3.298</v>
      </c>
      <c r="W287" s="328">
        <v>2.98</v>
      </c>
      <c r="X287" s="328">
        <v>2.68</v>
      </c>
      <c r="Y287" s="328">
        <v>2.42</v>
      </c>
      <c r="Z287" s="328">
        <v>2.17</v>
      </c>
      <c r="AA287" s="328">
        <v>1.95</v>
      </c>
      <c r="AB287" s="328">
        <v>1.76</v>
      </c>
      <c r="AC287" s="328">
        <v>1.66</v>
      </c>
      <c r="AD287" s="328">
        <v>1.55</v>
      </c>
      <c r="AE287" s="328">
        <v>1.46</v>
      </c>
      <c r="AF287" s="328">
        <v>1.37</v>
      </c>
      <c r="AG287" s="328">
        <v>1.3</v>
      </c>
      <c r="AH287" s="328">
        <v>1.21</v>
      </c>
      <c r="AI287" s="328">
        <v>1.1399999999999999</v>
      </c>
      <c r="AJ287" s="328">
        <v>1.07</v>
      </c>
      <c r="AK287" s="328">
        <v>1.01</v>
      </c>
      <c r="AL287" s="328">
        <v>0.94</v>
      </c>
      <c r="AM287" s="173"/>
      <c r="AN287" s="341"/>
      <c r="AO287" s="406"/>
      <c r="AP287" s="354"/>
      <c r="AQ287" s="11"/>
      <c r="AR287" s="11"/>
      <c r="AS287" s="485"/>
      <c r="AT287" s="406"/>
    </row>
    <row r="288" spans="1:46">
      <c r="A288" s="5"/>
      <c r="B288" s="44" t="s">
        <v>3210</v>
      </c>
      <c r="C288" s="44" t="s">
        <v>1703</v>
      </c>
      <c r="D288" s="44" t="s">
        <v>2275</v>
      </c>
      <c r="E288" s="44" t="s">
        <v>1927</v>
      </c>
      <c r="F288" s="44" t="s">
        <v>1928</v>
      </c>
      <c r="G288" s="44" t="s">
        <v>3374</v>
      </c>
      <c r="H288" s="44" t="s">
        <v>116</v>
      </c>
      <c r="I288" s="44" t="s">
        <v>1933</v>
      </c>
      <c r="J288" s="328">
        <v>100</v>
      </c>
      <c r="K288" s="44">
        <v>0</v>
      </c>
      <c r="L288" s="44">
        <v>13.83</v>
      </c>
      <c r="M288" s="44">
        <v>155</v>
      </c>
      <c r="N288" s="44">
        <v>148.5</v>
      </c>
      <c r="O288" s="44">
        <v>139.29</v>
      </c>
      <c r="P288" s="44">
        <v>129.25</v>
      </c>
      <c r="Q288" s="44">
        <v>125.86</v>
      </c>
      <c r="R288" s="44">
        <v>125.46</v>
      </c>
      <c r="S288" s="328">
        <v>119.5</v>
      </c>
      <c r="T288" s="328">
        <v>112.42</v>
      </c>
      <c r="U288" s="328">
        <v>96.9</v>
      </c>
      <c r="V288" s="328">
        <v>96.28</v>
      </c>
      <c r="W288" s="328">
        <v>95.54</v>
      </c>
      <c r="X288" s="328">
        <v>98.1</v>
      </c>
      <c r="Y288" s="328">
        <v>93.71</v>
      </c>
      <c r="Z288" s="328">
        <v>89</v>
      </c>
      <c r="AA288" s="328">
        <v>87.22</v>
      </c>
      <c r="AB288" s="328">
        <v>85.47</v>
      </c>
      <c r="AC288" s="328">
        <v>83.76</v>
      </c>
      <c r="AD288" s="328">
        <v>82.1</v>
      </c>
      <c r="AE288" s="328">
        <v>80.459999999999994</v>
      </c>
      <c r="AF288" s="328">
        <v>78.849999999999994</v>
      </c>
      <c r="AG288" s="328">
        <v>77.260000000000005</v>
      </c>
      <c r="AH288" s="328">
        <v>73.400000000000006</v>
      </c>
      <c r="AI288" s="328">
        <v>69.72</v>
      </c>
      <c r="AJ288" s="328">
        <v>66.25</v>
      </c>
      <c r="AK288" s="328">
        <v>62.93</v>
      </c>
      <c r="AL288" s="328">
        <v>59.79</v>
      </c>
      <c r="AM288" s="173"/>
      <c r="AN288" s="341"/>
      <c r="AO288" s="406"/>
      <c r="AP288" s="354"/>
      <c r="AQ288" s="11"/>
      <c r="AR288" s="11"/>
      <c r="AS288" s="485"/>
      <c r="AT288" s="406"/>
    </row>
    <row r="289" spans="1:46">
      <c r="A289" s="5"/>
      <c r="B289" s="44" t="s">
        <v>3210</v>
      </c>
      <c r="C289" s="44" t="s">
        <v>1703</v>
      </c>
      <c r="D289" s="44" t="s">
        <v>1704</v>
      </c>
      <c r="E289" s="44" t="s">
        <v>1927</v>
      </c>
      <c r="F289" s="44" t="s">
        <v>1928</v>
      </c>
      <c r="G289" s="44" t="s">
        <v>3374</v>
      </c>
      <c r="H289" s="44" t="s">
        <v>1930</v>
      </c>
      <c r="I289" s="44" t="s">
        <v>1931</v>
      </c>
      <c r="J289" s="328">
        <v>50</v>
      </c>
      <c r="K289" s="44">
        <v>0</v>
      </c>
      <c r="L289" s="44">
        <v>0</v>
      </c>
      <c r="M289" s="44">
        <v>0</v>
      </c>
      <c r="N289" s="44">
        <v>0</v>
      </c>
      <c r="O289" s="44">
        <v>0</v>
      </c>
      <c r="P289" s="44">
        <v>0</v>
      </c>
      <c r="Q289" s="44">
        <v>0</v>
      </c>
      <c r="R289" s="44">
        <v>0</v>
      </c>
      <c r="S289" s="328">
        <v>0</v>
      </c>
      <c r="T289" s="328">
        <v>0</v>
      </c>
      <c r="U289" s="328">
        <v>0</v>
      </c>
      <c r="V289" s="328">
        <v>3.9E-2</v>
      </c>
      <c r="W289" s="328">
        <v>0.04</v>
      </c>
      <c r="X289" s="328">
        <v>7.02</v>
      </c>
      <c r="Y289" s="328">
        <v>20</v>
      </c>
      <c r="Z289" s="328">
        <v>30</v>
      </c>
      <c r="AA289" s="328">
        <v>42.5</v>
      </c>
      <c r="AB289" s="328">
        <v>56</v>
      </c>
      <c r="AC289" s="328">
        <v>56</v>
      </c>
      <c r="AD289" s="328">
        <v>56</v>
      </c>
      <c r="AE289" s="328">
        <v>56.75</v>
      </c>
      <c r="AF289" s="328">
        <v>58.5</v>
      </c>
      <c r="AG289" s="328">
        <v>60.96</v>
      </c>
      <c r="AH289" s="328">
        <v>63.54</v>
      </c>
      <c r="AI289" s="328">
        <v>68.73</v>
      </c>
      <c r="AJ289" s="328">
        <v>74.03</v>
      </c>
      <c r="AK289" s="328">
        <v>74.92</v>
      </c>
      <c r="AL289" s="328">
        <v>76.41</v>
      </c>
      <c r="AM289" s="173"/>
      <c r="AN289" s="341"/>
      <c r="AO289" s="406"/>
      <c r="AP289" s="354"/>
      <c r="AQ289" s="11"/>
      <c r="AR289" s="11"/>
      <c r="AS289" s="485"/>
      <c r="AT289" s="406"/>
    </row>
    <row r="290" spans="1:46">
      <c r="A290" s="5"/>
      <c r="B290" s="44" t="s">
        <v>3210</v>
      </c>
      <c r="C290" s="44" t="s">
        <v>1703</v>
      </c>
      <c r="D290" s="44" t="s">
        <v>2565</v>
      </c>
      <c r="E290" s="44" t="s">
        <v>1927</v>
      </c>
      <c r="F290" s="44" t="s">
        <v>1928</v>
      </c>
      <c r="G290" s="44" t="s">
        <v>3374</v>
      </c>
      <c r="H290" s="44" t="s">
        <v>1930</v>
      </c>
      <c r="I290" s="44" t="s">
        <v>1931</v>
      </c>
      <c r="J290" s="328">
        <v>100</v>
      </c>
      <c r="K290" s="44">
        <v>0</v>
      </c>
      <c r="L290" s="44">
        <v>0</v>
      </c>
      <c r="M290" s="44">
        <v>0</v>
      </c>
      <c r="N290" s="44">
        <v>0</v>
      </c>
      <c r="O290" s="44">
        <v>0</v>
      </c>
      <c r="P290" s="44">
        <v>0</v>
      </c>
      <c r="Q290" s="44">
        <v>0</v>
      </c>
      <c r="R290" s="44">
        <v>0</v>
      </c>
      <c r="S290" s="328">
        <v>0</v>
      </c>
      <c r="T290" s="328">
        <v>0</v>
      </c>
      <c r="U290" s="328">
        <v>0</v>
      </c>
      <c r="V290" s="328">
        <v>0</v>
      </c>
      <c r="W290" s="328">
        <v>0</v>
      </c>
      <c r="X290" s="328">
        <v>0.2</v>
      </c>
      <c r="Y290" s="328">
        <v>8.2100000000000009</v>
      </c>
      <c r="Z290" s="328">
        <v>19</v>
      </c>
      <c r="AA290" s="328">
        <v>22.85</v>
      </c>
      <c r="AB290" s="328">
        <v>22.47</v>
      </c>
      <c r="AC290" s="328">
        <v>21.88</v>
      </c>
      <c r="AD290" s="328">
        <v>21.3</v>
      </c>
      <c r="AE290" s="328">
        <v>20.55</v>
      </c>
      <c r="AF290" s="328">
        <v>19.73</v>
      </c>
      <c r="AG290" s="328">
        <v>18.739999999999998</v>
      </c>
      <c r="AH290" s="328">
        <v>17.43</v>
      </c>
      <c r="AI290" s="328">
        <v>15.67</v>
      </c>
      <c r="AJ290" s="328">
        <v>14.09</v>
      </c>
      <c r="AK290" s="328">
        <v>12.67</v>
      </c>
      <c r="AL290" s="328">
        <v>11.4</v>
      </c>
      <c r="AM290" s="173"/>
      <c r="AN290" s="341"/>
      <c r="AO290" s="406"/>
      <c r="AP290" s="354"/>
      <c r="AQ290" s="11"/>
      <c r="AR290" s="11"/>
      <c r="AS290" s="485"/>
      <c r="AT290" s="406"/>
    </row>
    <row r="291" spans="1:46">
      <c r="A291" s="5"/>
      <c r="B291" s="44" t="s">
        <v>3210</v>
      </c>
      <c r="C291" s="44" t="s">
        <v>1703</v>
      </c>
      <c r="D291" s="44" t="s">
        <v>3523</v>
      </c>
      <c r="E291" s="44" t="s">
        <v>1927</v>
      </c>
      <c r="F291" s="44" t="s">
        <v>1928</v>
      </c>
      <c r="G291" s="44" t="s">
        <v>1932</v>
      </c>
      <c r="H291" s="44" t="s">
        <v>1930</v>
      </c>
      <c r="I291" s="44" t="s">
        <v>1931</v>
      </c>
      <c r="J291" s="328">
        <v>100</v>
      </c>
      <c r="K291" s="44">
        <v>0</v>
      </c>
      <c r="L291" s="44">
        <v>0</v>
      </c>
      <c r="M291" s="44">
        <v>0</v>
      </c>
      <c r="N291" s="44">
        <v>0</v>
      </c>
      <c r="O291" s="44">
        <v>0</v>
      </c>
      <c r="P291" s="44">
        <v>0</v>
      </c>
      <c r="Q291" s="44">
        <v>0</v>
      </c>
      <c r="R291" s="44">
        <v>0</v>
      </c>
      <c r="S291" s="328">
        <v>0</v>
      </c>
      <c r="T291" s="328">
        <v>0</v>
      </c>
      <c r="U291" s="328">
        <v>20.356000000000002</v>
      </c>
      <c r="V291" s="328">
        <v>45.914999999999999</v>
      </c>
      <c r="W291" s="328">
        <v>46.47</v>
      </c>
      <c r="X291" s="328">
        <v>43.09</v>
      </c>
      <c r="Y291" s="328">
        <v>40.4</v>
      </c>
      <c r="Z291" s="328">
        <v>36.17</v>
      </c>
      <c r="AA291" s="328">
        <v>32.92</v>
      </c>
      <c r="AB291" s="328">
        <v>30.73</v>
      </c>
      <c r="AC291" s="328">
        <v>28.78</v>
      </c>
      <c r="AD291" s="328">
        <v>27.06</v>
      </c>
      <c r="AE291" s="328">
        <v>25.5</v>
      </c>
      <c r="AF291" s="328">
        <v>24.1</v>
      </c>
      <c r="AG291" s="328">
        <v>22.81</v>
      </c>
      <c r="AH291" s="328">
        <v>21.63</v>
      </c>
      <c r="AI291" s="328">
        <v>20.55</v>
      </c>
      <c r="AJ291" s="328">
        <v>19.52</v>
      </c>
      <c r="AK291" s="328">
        <v>18.57</v>
      </c>
      <c r="AL291" s="328">
        <v>17.690000000000001</v>
      </c>
      <c r="AM291" s="173"/>
      <c r="AN291" s="341"/>
      <c r="AO291" s="406"/>
      <c r="AP291" s="354"/>
      <c r="AQ291" s="11"/>
      <c r="AR291" s="11"/>
      <c r="AS291" s="485"/>
      <c r="AT291" s="406"/>
    </row>
    <row r="292" spans="1:46">
      <c r="A292" s="5"/>
      <c r="B292" s="44" t="s">
        <v>3210</v>
      </c>
      <c r="C292" s="44" t="s">
        <v>1703</v>
      </c>
      <c r="D292" s="44" t="s">
        <v>3524</v>
      </c>
      <c r="E292" s="44" t="s">
        <v>1927</v>
      </c>
      <c r="F292" s="44" t="s">
        <v>2960</v>
      </c>
      <c r="G292" s="44" t="s">
        <v>3374</v>
      </c>
      <c r="H292" s="44" t="s">
        <v>1930</v>
      </c>
      <c r="I292" s="44" t="s">
        <v>2601</v>
      </c>
      <c r="J292" s="328">
        <v>100</v>
      </c>
      <c r="K292" s="44">
        <v>0</v>
      </c>
      <c r="L292" s="44">
        <v>0</v>
      </c>
      <c r="M292" s="44">
        <v>0</v>
      </c>
      <c r="N292" s="44">
        <v>0</v>
      </c>
      <c r="O292" s="44">
        <v>0</v>
      </c>
      <c r="P292" s="44">
        <v>0</v>
      </c>
      <c r="Q292" s="44">
        <v>0</v>
      </c>
      <c r="R292" s="44">
        <v>0</v>
      </c>
      <c r="S292" s="328">
        <v>0</v>
      </c>
      <c r="T292" s="328">
        <v>0</v>
      </c>
      <c r="U292" s="328">
        <v>0</v>
      </c>
      <c r="V292" s="328">
        <v>5.88</v>
      </c>
      <c r="W292" s="328">
        <v>40.590000000000003</v>
      </c>
      <c r="X292" s="328">
        <v>47.78</v>
      </c>
      <c r="Y292" s="328">
        <v>45.03</v>
      </c>
      <c r="Z292" s="328">
        <v>40.53</v>
      </c>
      <c r="AA292" s="328">
        <v>35.659999999999997</v>
      </c>
      <c r="AB292" s="328">
        <v>28.45</v>
      </c>
      <c r="AC292" s="328">
        <v>17.510000000000002</v>
      </c>
      <c r="AD292" s="328">
        <v>10.74</v>
      </c>
      <c r="AE292" s="328">
        <v>6.59</v>
      </c>
      <c r="AF292" s="328">
        <v>4.03</v>
      </c>
      <c r="AG292" s="328">
        <v>2.48</v>
      </c>
      <c r="AH292" s="328">
        <v>1.52</v>
      </c>
      <c r="AI292" s="328">
        <v>0.93</v>
      </c>
      <c r="AJ292" s="328">
        <v>0</v>
      </c>
      <c r="AK292" s="328">
        <v>0</v>
      </c>
      <c r="AL292" s="328">
        <v>0</v>
      </c>
      <c r="AM292" s="173"/>
      <c r="AN292" s="341"/>
      <c r="AO292" s="406"/>
      <c r="AP292" s="354"/>
      <c r="AQ292" s="11"/>
      <c r="AR292" s="11"/>
      <c r="AS292" s="485"/>
      <c r="AT292" s="406"/>
    </row>
    <row r="293" spans="1:46">
      <c r="A293" s="5"/>
      <c r="B293" s="44" t="s">
        <v>3210</v>
      </c>
      <c r="C293" s="44" t="s">
        <v>1703</v>
      </c>
      <c r="D293" s="44" t="s">
        <v>3731</v>
      </c>
      <c r="E293" s="44" t="s">
        <v>1927</v>
      </c>
      <c r="F293" s="44" t="s">
        <v>1928</v>
      </c>
      <c r="G293" s="44" t="s">
        <v>3374</v>
      </c>
      <c r="H293" s="44" t="s">
        <v>116</v>
      </c>
      <c r="I293" s="44" t="s">
        <v>1931</v>
      </c>
      <c r="J293" s="328">
        <v>100</v>
      </c>
      <c r="K293" s="44">
        <v>2.15</v>
      </c>
      <c r="L293" s="44">
        <v>2.39</v>
      </c>
      <c r="M293" s="44">
        <v>1.6</v>
      </c>
      <c r="N293" s="44">
        <v>0.72</v>
      </c>
      <c r="O293" s="44">
        <v>1.83</v>
      </c>
      <c r="P293" s="44">
        <v>1.58</v>
      </c>
      <c r="Q293" s="44">
        <v>1.42</v>
      </c>
      <c r="R293" s="44">
        <v>1.22</v>
      </c>
      <c r="S293" s="328">
        <v>1.0900000000000001</v>
      </c>
      <c r="T293" s="328">
        <v>1.48</v>
      </c>
      <c r="U293" s="328">
        <v>1.75</v>
      </c>
      <c r="V293" s="328">
        <v>2.29</v>
      </c>
      <c r="W293" s="328">
        <v>3.56</v>
      </c>
      <c r="X293" s="328">
        <v>5.38</v>
      </c>
      <c r="Y293" s="328">
        <v>3.79</v>
      </c>
      <c r="Z293" s="328">
        <v>4.0199999999999996</v>
      </c>
      <c r="AA293" s="328">
        <v>12.64</v>
      </c>
      <c r="AB293" s="328">
        <v>36.28</v>
      </c>
      <c r="AC293" s="328">
        <v>97.33</v>
      </c>
      <c r="AD293" s="328">
        <v>72.099999999999994</v>
      </c>
      <c r="AE293" s="328">
        <v>55.99</v>
      </c>
      <c r="AF293" s="328">
        <v>46.77</v>
      </c>
      <c r="AG293" s="328">
        <v>40.020000000000003</v>
      </c>
      <c r="AH293" s="328">
        <v>34.659999999999997</v>
      </c>
      <c r="AI293" s="328">
        <v>31.2</v>
      </c>
      <c r="AJ293" s="328">
        <v>28.08</v>
      </c>
      <c r="AK293" s="328">
        <v>25.25</v>
      </c>
      <c r="AL293" s="328">
        <v>22.75</v>
      </c>
      <c r="AM293" s="173"/>
      <c r="AN293" s="341"/>
      <c r="AO293" s="406"/>
      <c r="AP293" s="354"/>
      <c r="AQ293" s="11"/>
      <c r="AR293" s="11"/>
      <c r="AS293" s="485"/>
      <c r="AT293" s="406"/>
    </row>
    <row r="294" spans="1:46">
      <c r="A294" s="5"/>
      <c r="B294" s="44" t="s">
        <v>3210</v>
      </c>
      <c r="C294" s="44" t="s">
        <v>1703</v>
      </c>
      <c r="D294" s="44" t="s">
        <v>2030</v>
      </c>
      <c r="E294" s="44" t="s">
        <v>1927</v>
      </c>
      <c r="F294" s="44" t="s">
        <v>1928</v>
      </c>
      <c r="G294" s="44" t="s">
        <v>1932</v>
      </c>
      <c r="H294" s="44" t="s">
        <v>116</v>
      </c>
      <c r="I294" s="44" t="s">
        <v>1931</v>
      </c>
      <c r="J294" s="328">
        <v>97.08</v>
      </c>
      <c r="K294" s="44">
        <v>0</v>
      </c>
      <c r="L294" s="44">
        <v>0</v>
      </c>
      <c r="M294" s="44">
        <v>0</v>
      </c>
      <c r="N294" s="44">
        <v>0</v>
      </c>
      <c r="O294" s="44">
        <v>0</v>
      </c>
      <c r="P294" s="44">
        <v>0</v>
      </c>
      <c r="Q294" s="44">
        <v>0</v>
      </c>
      <c r="R294" s="44">
        <v>0</v>
      </c>
      <c r="S294" s="328">
        <v>0</v>
      </c>
      <c r="T294" s="328">
        <v>0</v>
      </c>
      <c r="U294" s="328">
        <v>145.297</v>
      </c>
      <c r="V294" s="328">
        <v>331.15100000000001</v>
      </c>
      <c r="W294" s="328">
        <v>307.45</v>
      </c>
      <c r="X294" s="328">
        <v>280.68</v>
      </c>
      <c r="Y294" s="328">
        <v>267.98</v>
      </c>
      <c r="Z294" s="328">
        <v>252.41</v>
      </c>
      <c r="AA294" s="328">
        <v>244.43</v>
      </c>
      <c r="AB294" s="328">
        <v>236.43</v>
      </c>
      <c r="AC294" s="328">
        <v>228.37</v>
      </c>
      <c r="AD294" s="328">
        <v>220.53</v>
      </c>
      <c r="AE294" s="328">
        <v>213.03</v>
      </c>
      <c r="AF294" s="328">
        <v>205.73</v>
      </c>
      <c r="AG294" s="328">
        <v>198.74</v>
      </c>
      <c r="AH294" s="328">
        <v>184.9</v>
      </c>
      <c r="AI294" s="328">
        <v>172.2</v>
      </c>
      <c r="AJ294" s="328">
        <v>160.43</v>
      </c>
      <c r="AK294" s="328">
        <v>149.58000000000001</v>
      </c>
      <c r="AL294" s="328">
        <v>139.56</v>
      </c>
      <c r="AM294" s="173"/>
      <c r="AN294" s="341"/>
      <c r="AO294" s="406"/>
      <c r="AP294" s="354"/>
      <c r="AQ294" s="11"/>
      <c r="AR294" s="11"/>
      <c r="AS294" s="485"/>
      <c r="AT294" s="406"/>
    </row>
    <row r="295" spans="1:46">
      <c r="A295" s="5"/>
      <c r="B295" s="44" t="s">
        <v>3210</v>
      </c>
      <c r="C295" s="44" t="s">
        <v>1703</v>
      </c>
      <c r="D295" s="44" t="s">
        <v>2566</v>
      </c>
      <c r="E295" s="44" t="s">
        <v>1927</v>
      </c>
      <c r="F295" s="44" t="s">
        <v>1928</v>
      </c>
      <c r="G295" s="44" t="s">
        <v>3374</v>
      </c>
      <c r="H295" s="44" t="s">
        <v>1930</v>
      </c>
      <c r="I295" s="44" t="s">
        <v>1931</v>
      </c>
      <c r="J295" s="328">
        <v>100</v>
      </c>
      <c r="K295" s="44">
        <v>0</v>
      </c>
      <c r="L295" s="44">
        <v>0</v>
      </c>
      <c r="M295" s="44">
        <v>0</v>
      </c>
      <c r="N295" s="44">
        <v>0</v>
      </c>
      <c r="O295" s="44">
        <v>0</v>
      </c>
      <c r="P295" s="44">
        <v>0</v>
      </c>
      <c r="Q295" s="44">
        <v>0.36</v>
      </c>
      <c r="R295" s="44">
        <v>0.19</v>
      </c>
      <c r="S295" s="328">
        <v>0.41</v>
      </c>
      <c r="T295" s="328">
        <v>0.49</v>
      </c>
      <c r="U295" s="328">
        <v>0.49</v>
      </c>
      <c r="V295" s="328">
        <v>0.92</v>
      </c>
      <c r="W295" s="328">
        <v>1.3</v>
      </c>
      <c r="X295" s="328">
        <v>1.95</v>
      </c>
      <c r="Y295" s="328">
        <v>1.83</v>
      </c>
      <c r="Z295" s="328">
        <v>5</v>
      </c>
      <c r="AA295" s="328">
        <v>11</v>
      </c>
      <c r="AB295" s="328">
        <v>13</v>
      </c>
      <c r="AC295" s="328">
        <v>12.7</v>
      </c>
      <c r="AD295" s="328">
        <v>12.38</v>
      </c>
      <c r="AE295" s="328">
        <v>11.77</v>
      </c>
      <c r="AF295" s="328">
        <v>10.88</v>
      </c>
      <c r="AG295" s="328">
        <v>10.07</v>
      </c>
      <c r="AH295" s="328">
        <v>9.31</v>
      </c>
      <c r="AI295" s="328">
        <v>8.61</v>
      </c>
      <c r="AJ295" s="328">
        <v>7.97</v>
      </c>
      <c r="AK295" s="328">
        <v>6.9</v>
      </c>
      <c r="AL295" s="328">
        <v>5.99</v>
      </c>
      <c r="AM295" s="173"/>
      <c r="AN295" s="341"/>
      <c r="AO295" s="406"/>
      <c r="AP295" s="354"/>
      <c r="AQ295" s="11"/>
      <c r="AR295" s="11"/>
      <c r="AS295" s="485"/>
      <c r="AT295" s="406"/>
    </row>
    <row r="296" spans="1:46">
      <c r="A296" s="5"/>
      <c r="B296" s="44" t="s">
        <v>3210</v>
      </c>
      <c r="C296" s="44" t="s">
        <v>1703</v>
      </c>
      <c r="D296" s="44" t="s">
        <v>2567</v>
      </c>
      <c r="E296" s="44" t="s">
        <v>1927</v>
      </c>
      <c r="F296" s="44" t="s">
        <v>1928</v>
      </c>
      <c r="G296" s="44" t="s">
        <v>3374</v>
      </c>
      <c r="H296" s="44" t="s">
        <v>1930</v>
      </c>
      <c r="I296" s="44" t="s">
        <v>1931</v>
      </c>
      <c r="J296" s="328">
        <v>50</v>
      </c>
      <c r="K296" s="44">
        <v>3.89</v>
      </c>
      <c r="L296" s="44">
        <v>7.1</v>
      </c>
      <c r="M296" s="44">
        <v>7.32</v>
      </c>
      <c r="N296" s="44">
        <v>7.59</v>
      </c>
      <c r="O296" s="44">
        <v>7.07</v>
      </c>
      <c r="P296" s="44">
        <v>6.1</v>
      </c>
      <c r="Q296" s="44">
        <v>4.43</v>
      </c>
      <c r="R296" s="44">
        <v>3.44</v>
      </c>
      <c r="S296" s="328">
        <v>3.22</v>
      </c>
      <c r="T296" s="328">
        <v>2.4900000000000002</v>
      </c>
      <c r="U296" s="328">
        <v>2.12</v>
      </c>
      <c r="V296" s="328">
        <v>2.02</v>
      </c>
      <c r="W296" s="328">
        <v>1.64</v>
      </c>
      <c r="X296" s="328">
        <v>0</v>
      </c>
      <c r="Y296" s="328">
        <v>0</v>
      </c>
      <c r="Z296" s="328">
        <v>0</v>
      </c>
      <c r="AA296" s="328">
        <v>0</v>
      </c>
      <c r="AB296" s="328">
        <v>0</v>
      </c>
      <c r="AC296" s="328">
        <v>0</v>
      </c>
      <c r="AD296" s="328">
        <v>0</v>
      </c>
      <c r="AE296" s="328">
        <v>0</v>
      </c>
      <c r="AF296" s="328">
        <v>0</v>
      </c>
      <c r="AG296" s="328">
        <v>0</v>
      </c>
      <c r="AH296" s="328">
        <v>0</v>
      </c>
      <c r="AI296" s="328">
        <v>0</v>
      </c>
      <c r="AJ296" s="328">
        <v>0</v>
      </c>
      <c r="AK296" s="328">
        <v>0</v>
      </c>
      <c r="AL296" s="328">
        <v>0</v>
      </c>
      <c r="AM296" s="173"/>
      <c r="AN296" s="341"/>
      <c r="AO296" s="406"/>
      <c r="AP296" s="354"/>
      <c r="AQ296" s="11"/>
      <c r="AR296" s="11"/>
      <c r="AS296" s="485"/>
      <c r="AT296" s="406"/>
    </row>
    <row r="297" spans="1:46">
      <c r="A297" s="5"/>
      <c r="B297" s="44" t="s">
        <v>3210</v>
      </c>
      <c r="C297" s="44" t="s">
        <v>1703</v>
      </c>
      <c r="D297" s="44" t="s">
        <v>1749</v>
      </c>
      <c r="E297" s="44" t="s">
        <v>1927</v>
      </c>
      <c r="F297" s="44" t="s">
        <v>1928</v>
      </c>
      <c r="G297" s="44" t="s">
        <v>3374</v>
      </c>
      <c r="H297" s="44" t="s">
        <v>116</v>
      </c>
      <c r="I297" s="44" t="s">
        <v>1931</v>
      </c>
      <c r="J297" s="328">
        <v>100</v>
      </c>
      <c r="K297" s="44">
        <v>0</v>
      </c>
      <c r="L297" s="44">
        <v>34.08</v>
      </c>
      <c r="M297" s="44">
        <v>418.9</v>
      </c>
      <c r="N297" s="44">
        <v>484.5</v>
      </c>
      <c r="O297" s="44">
        <v>557.1</v>
      </c>
      <c r="P297" s="44">
        <v>678.7</v>
      </c>
      <c r="Q297" s="44">
        <v>682.2</v>
      </c>
      <c r="R297" s="44">
        <v>605.77</v>
      </c>
      <c r="S297" s="328">
        <v>558.59</v>
      </c>
      <c r="T297" s="328">
        <v>528.9</v>
      </c>
      <c r="U297" s="328">
        <v>529.73</v>
      </c>
      <c r="V297" s="328">
        <v>509.16</v>
      </c>
      <c r="W297" s="328">
        <v>489.5</v>
      </c>
      <c r="X297" s="328">
        <v>497.63</v>
      </c>
      <c r="Y297" s="328">
        <v>481.27</v>
      </c>
      <c r="Z297" s="328">
        <v>470</v>
      </c>
      <c r="AA297" s="328">
        <v>480</v>
      </c>
      <c r="AB297" s="328">
        <v>500</v>
      </c>
      <c r="AC297" s="328">
        <v>520</v>
      </c>
      <c r="AD297" s="328">
        <v>540</v>
      </c>
      <c r="AE297" s="328">
        <v>540</v>
      </c>
      <c r="AF297" s="328">
        <v>522.66999999999996</v>
      </c>
      <c r="AG297" s="328">
        <v>517.44000000000005</v>
      </c>
      <c r="AH297" s="328">
        <v>512.27</v>
      </c>
      <c r="AI297" s="328">
        <v>507.14</v>
      </c>
      <c r="AJ297" s="328">
        <v>502.07</v>
      </c>
      <c r="AK297" s="328">
        <v>497.06</v>
      </c>
      <c r="AL297" s="328">
        <v>492.07</v>
      </c>
      <c r="AM297" s="173"/>
      <c r="AN297" s="341"/>
      <c r="AO297" s="406"/>
      <c r="AP297" s="354"/>
      <c r="AQ297" s="11"/>
      <c r="AR297" s="11"/>
      <c r="AS297" s="485"/>
      <c r="AT297" s="406"/>
    </row>
    <row r="298" spans="1:46">
      <c r="A298" s="5"/>
      <c r="B298" s="44" t="s">
        <v>3210</v>
      </c>
      <c r="C298" s="44" t="s">
        <v>1703</v>
      </c>
      <c r="D298" s="44" t="s">
        <v>1750</v>
      </c>
      <c r="E298" s="44" t="s">
        <v>1927</v>
      </c>
      <c r="F298" s="44" t="s">
        <v>1928</v>
      </c>
      <c r="G298" s="44" t="s">
        <v>3374</v>
      </c>
      <c r="H298" s="44" t="s">
        <v>116</v>
      </c>
      <c r="I298" s="44" t="s">
        <v>1931</v>
      </c>
      <c r="J298" s="328">
        <v>100</v>
      </c>
      <c r="K298" s="44">
        <v>0</v>
      </c>
      <c r="L298" s="44">
        <v>6.43</v>
      </c>
      <c r="M298" s="44">
        <v>76.180000000000007</v>
      </c>
      <c r="N298" s="44">
        <v>83.1</v>
      </c>
      <c r="O298" s="44">
        <v>85.65</v>
      </c>
      <c r="P298" s="44">
        <v>81.319999999999993</v>
      </c>
      <c r="Q298" s="44">
        <v>76.709999999999994</v>
      </c>
      <c r="R298" s="44">
        <v>82.61</v>
      </c>
      <c r="S298" s="328">
        <v>117.47</v>
      </c>
      <c r="T298" s="328">
        <v>148.88999999999999</v>
      </c>
      <c r="U298" s="328">
        <v>167.89</v>
      </c>
      <c r="V298" s="328">
        <v>173.08</v>
      </c>
      <c r="W298" s="328">
        <v>174.75</v>
      </c>
      <c r="X298" s="328">
        <v>172.35</v>
      </c>
      <c r="Y298" s="328">
        <v>174.97</v>
      </c>
      <c r="Z298" s="328">
        <v>170</v>
      </c>
      <c r="AA298" s="328">
        <v>165</v>
      </c>
      <c r="AB298" s="328">
        <v>162</v>
      </c>
      <c r="AC298" s="328">
        <v>157.13999999999999</v>
      </c>
      <c r="AD298" s="328">
        <v>152.43</v>
      </c>
      <c r="AE298" s="328">
        <v>144.81</v>
      </c>
      <c r="AF298" s="328">
        <v>137.57</v>
      </c>
      <c r="AG298" s="328">
        <v>130.68</v>
      </c>
      <c r="AH298" s="328">
        <v>124.15</v>
      </c>
      <c r="AI298" s="328">
        <v>117.94</v>
      </c>
      <c r="AJ298" s="328">
        <v>112.04</v>
      </c>
      <c r="AK298" s="328">
        <v>106.44</v>
      </c>
      <c r="AL298" s="328">
        <v>101.11</v>
      </c>
      <c r="AM298" s="173"/>
      <c r="AN298" s="341"/>
      <c r="AO298" s="406"/>
      <c r="AP298" s="354"/>
      <c r="AQ298" s="11"/>
      <c r="AR298" s="11"/>
      <c r="AS298" s="485"/>
      <c r="AT298" s="406"/>
    </row>
    <row r="299" spans="1:46">
      <c r="A299" s="5"/>
      <c r="B299" s="44" t="s">
        <v>3210</v>
      </c>
      <c r="C299" s="44" t="s">
        <v>1703</v>
      </c>
      <c r="D299" s="44" t="s">
        <v>108</v>
      </c>
      <c r="E299" s="44" t="s">
        <v>1927</v>
      </c>
      <c r="F299" s="44" t="s">
        <v>1928</v>
      </c>
      <c r="G299" s="44" t="s">
        <v>3374</v>
      </c>
      <c r="H299" s="44" t="s">
        <v>116</v>
      </c>
      <c r="I299" s="44" t="s">
        <v>1931</v>
      </c>
      <c r="J299" s="328">
        <v>100</v>
      </c>
      <c r="K299" s="44">
        <v>0</v>
      </c>
      <c r="L299" s="44">
        <v>0</v>
      </c>
      <c r="M299" s="44">
        <v>0</v>
      </c>
      <c r="N299" s="44">
        <v>38.06</v>
      </c>
      <c r="O299" s="44">
        <v>142.88</v>
      </c>
      <c r="P299" s="44">
        <v>136.69</v>
      </c>
      <c r="Q299" s="44">
        <v>137.97999999999999</v>
      </c>
      <c r="R299" s="44">
        <v>126.13</v>
      </c>
      <c r="S299" s="328">
        <v>123.69</v>
      </c>
      <c r="T299" s="328">
        <v>119.52</v>
      </c>
      <c r="U299" s="328">
        <v>112.09</v>
      </c>
      <c r="V299" s="328">
        <v>104.79</v>
      </c>
      <c r="W299" s="328">
        <v>91.17</v>
      </c>
      <c r="X299" s="328">
        <v>82.52</v>
      </c>
      <c r="Y299" s="328">
        <v>79.94</v>
      </c>
      <c r="Z299" s="328">
        <v>76.55</v>
      </c>
      <c r="AA299" s="328">
        <v>72.180000000000007</v>
      </c>
      <c r="AB299" s="328">
        <v>67.959999999999994</v>
      </c>
      <c r="AC299" s="328">
        <v>63.67</v>
      </c>
      <c r="AD299" s="328">
        <v>59.69</v>
      </c>
      <c r="AE299" s="328">
        <v>55.92</v>
      </c>
      <c r="AF299" s="328">
        <v>52.42</v>
      </c>
      <c r="AG299" s="328">
        <v>49.12</v>
      </c>
      <c r="AH299" s="328">
        <v>46.06</v>
      </c>
      <c r="AI299" s="328">
        <v>43.19</v>
      </c>
      <c r="AJ299" s="328">
        <v>40.56</v>
      </c>
      <c r="AK299" s="328">
        <v>38.04</v>
      </c>
      <c r="AL299" s="328">
        <v>35.700000000000003</v>
      </c>
      <c r="AM299" s="173"/>
      <c r="AN299" s="341"/>
      <c r="AO299" s="406"/>
      <c r="AP299" s="354"/>
      <c r="AQ299" s="11"/>
      <c r="AR299" s="11"/>
      <c r="AS299" s="485"/>
      <c r="AT299" s="406"/>
    </row>
    <row r="300" spans="1:46">
      <c r="A300" s="5"/>
      <c r="B300" s="44" t="s">
        <v>3210</v>
      </c>
      <c r="C300" s="44" t="s">
        <v>1703</v>
      </c>
      <c r="D300" s="44" t="s">
        <v>2031</v>
      </c>
      <c r="E300" s="44" t="s">
        <v>2970</v>
      </c>
      <c r="F300" s="44" t="s">
        <v>1928</v>
      </c>
      <c r="G300" s="44" t="s">
        <v>217</v>
      </c>
      <c r="H300" s="44" t="s">
        <v>1930</v>
      </c>
      <c r="I300" s="44" t="s">
        <v>1933</v>
      </c>
      <c r="J300" s="328">
        <v>100</v>
      </c>
      <c r="K300" s="44">
        <v>0</v>
      </c>
      <c r="L300" s="44">
        <v>0</v>
      </c>
      <c r="M300" s="44">
        <v>0</v>
      </c>
      <c r="N300" s="44">
        <v>0</v>
      </c>
      <c r="O300" s="44">
        <v>0</v>
      </c>
      <c r="P300" s="44">
        <v>0</v>
      </c>
      <c r="Q300" s="44">
        <v>0</v>
      </c>
      <c r="R300" s="44">
        <v>0</v>
      </c>
      <c r="S300" s="328">
        <v>0</v>
      </c>
      <c r="T300" s="328">
        <v>0</v>
      </c>
      <c r="U300" s="328">
        <v>0.79800000000000004</v>
      </c>
      <c r="V300" s="328">
        <v>2.601</v>
      </c>
      <c r="W300" s="328">
        <v>3.47</v>
      </c>
      <c r="X300" s="328">
        <v>4.74</v>
      </c>
      <c r="Y300" s="328">
        <v>5.71</v>
      </c>
      <c r="Z300" s="328">
        <v>10.210000000000001</v>
      </c>
      <c r="AA300" s="328">
        <v>26.96</v>
      </c>
      <c r="AB300" s="328">
        <v>57.05</v>
      </c>
      <c r="AC300" s="328">
        <v>83.69</v>
      </c>
      <c r="AD300" s="328">
        <v>107.74</v>
      </c>
      <c r="AE300" s="328">
        <v>128.34</v>
      </c>
      <c r="AF300" s="328">
        <v>139.63</v>
      </c>
      <c r="AG300" s="328">
        <v>139.61000000000001</v>
      </c>
      <c r="AH300" s="328">
        <v>136.63999999999999</v>
      </c>
      <c r="AI300" s="328">
        <v>131.38999999999999</v>
      </c>
      <c r="AJ300" s="328">
        <v>125.76</v>
      </c>
      <c r="AK300" s="328">
        <v>120.82</v>
      </c>
      <c r="AL300" s="328">
        <v>116.37</v>
      </c>
      <c r="AM300" s="173"/>
      <c r="AN300" s="341"/>
      <c r="AO300" s="406"/>
      <c r="AP300" s="354"/>
      <c r="AQ300" s="11"/>
      <c r="AR300" s="11"/>
      <c r="AS300" s="485"/>
      <c r="AT300" s="406"/>
    </row>
    <row r="301" spans="1:46">
      <c r="A301" s="5"/>
      <c r="B301" s="44" t="s">
        <v>3210</v>
      </c>
      <c r="C301" s="44" t="s">
        <v>1703</v>
      </c>
      <c r="D301" s="44" t="s">
        <v>1751</v>
      </c>
      <c r="E301" s="44" t="s">
        <v>1927</v>
      </c>
      <c r="F301" s="44" t="s">
        <v>2960</v>
      </c>
      <c r="G301" s="44" t="s">
        <v>3374</v>
      </c>
      <c r="H301" s="44" t="s">
        <v>2966</v>
      </c>
      <c r="I301" s="44" t="s">
        <v>2600</v>
      </c>
      <c r="J301" s="328">
        <v>20</v>
      </c>
      <c r="K301" s="44">
        <v>0</v>
      </c>
      <c r="L301" s="44">
        <v>0</v>
      </c>
      <c r="M301" s="44">
        <v>1.22</v>
      </c>
      <c r="N301" s="44">
        <v>8.2100000000000009</v>
      </c>
      <c r="O301" s="44">
        <v>40.340000000000003</v>
      </c>
      <c r="P301" s="44">
        <v>32.99</v>
      </c>
      <c r="Q301" s="44">
        <v>28.28</v>
      </c>
      <c r="R301" s="44">
        <v>24.08</v>
      </c>
      <c r="S301" s="328">
        <v>26.66</v>
      </c>
      <c r="T301" s="328">
        <v>24.27</v>
      </c>
      <c r="U301" s="328">
        <v>24.1</v>
      </c>
      <c r="V301" s="328">
        <v>26.12</v>
      </c>
      <c r="W301" s="328">
        <v>30.08</v>
      </c>
      <c r="X301" s="328">
        <v>29.71</v>
      </c>
      <c r="Y301" s="328">
        <v>36.5</v>
      </c>
      <c r="Z301" s="328">
        <v>38.159999999999997</v>
      </c>
      <c r="AA301" s="328">
        <v>38.270000000000003</v>
      </c>
      <c r="AB301" s="328">
        <v>37.450000000000003</v>
      </c>
      <c r="AC301" s="328">
        <v>34.479999999999997</v>
      </c>
      <c r="AD301" s="328">
        <v>33.200000000000003</v>
      </c>
      <c r="AE301" s="328">
        <v>32.32</v>
      </c>
      <c r="AF301" s="328">
        <v>31.63</v>
      </c>
      <c r="AG301" s="328">
        <v>28.77</v>
      </c>
      <c r="AH301" s="328">
        <v>26.48</v>
      </c>
      <c r="AI301" s="328">
        <v>24.58</v>
      </c>
      <c r="AJ301" s="328">
        <v>21.86</v>
      </c>
      <c r="AK301" s="328">
        <v>19.45</v>
      </c>
      <c r="AL301" s="328">
        <v>17.309999999999999</v>
      </c>
      <c r="AM301" s="173"/>
      <c r="AN301" s="341"/>
      <c r="AO301" s="406"/>
      <c r="AP301" s="354"/>
      <c r="AQ301" s="11"/>
      <c r="AR301" s="11"/>
      <c r="AS301" s="485"/>
      <c r="AT301" s="406"/>
    </row>
    <row r="302" spans="1:46">
      <c r="A302" s="5"/>
      <c r="B302" s="44" t="s">
        <v>3210</v>
      </c>
      <c r="C302" s="44" t="s">
        <v>1703</v>
      </c>
      <c r="D302" s="44" t="s">
        <v>1752</v>
      </c>
      <c r="E302" s="44" t="s">
        <v>1927</v>
      </c>
      <c r="F302" s="44" t="s">
        <v>1928</v>
      </c>
      <c r="G302" s="44" t="s">
        <v>3374</v>
      </c>
      <c r="H302" s="44" t="s">
        <v>116</v>
      </c>
      <c r="I302" s="44" t="s">
        <v>1933</v>
      </c>
      <c r="J302" s="328">
        <v>100</v>
      </c>
      <c r="K302" s="44">
        <v>19.010000000000002</v>
      </c>
      <c r="L302" s="44">
        <v>19.98</v>
      </c>
      <c r="M302" s="44">
        <v>20.94</v>
      </c>
      <c r="N302" s="44">
        <v>24.02</v>
      </c>
      <c r="O302" s="44">
        <v>30.78</v>
      </c>
      <c r="P302" s="44">
        <v>35.299999999999997</v>
      </c>
      <c r="Q302" s="44">
        <v>32.729999999999997</v>
      </c>
      <c r="R302" s="44">
        <v>33.299999999999997</v>
      </c>
      <c r="S302" s="328">
        <v>30.32</v>
      </c>
      <c r="T302" s="328">
        <v>28.4</v>
      </c>
      <c r="U302" s="328">
        <v>28.35</v>
      </c>
      <c r="V302" s="328">
        <v>26.21</v>
      </c>
      <c r="W302" s="328">
        <v>23.21</v>
      </c>
      <c r="X302" s="328">
        <v>22.15</v>
      </c>
      <c r="Y302" s="328">
        <v>20.99</v>
      </c>
      <c r="Z302" s="328">
        <v>19.78</v>
      </c>
      <c r="AA302" s="328">
        <v>18.399999999999999</v>
      </c>
      <c r="AB302" s="328">
        <v>16.97</v>
      </c>
      <c r="AC302" s="328">
        <v>15.65</v>
      </c>
      <c r="AD302" s="328">
        <v>14.4</v>
      </c>
      <c r="AE302" s="328">
        <v>13.25</v>
      </c>
      <c r="AF302" s="328">
        <v>12.25</v>
      </c>
      <c r="AG302" s="328">
        <v>11.34</v>
      </c>
      <c r="AH302" s="328">
        <v>10.5</v>
      </c>
      <c r="AI302" s="328">
        <v>9.74</v>
      </c>
      <c r="AJ302" s="328">
        <v>9.01</v>
      </c>
      <c r="AK302" s="328">
        <v>8.36</v>
      </c>
      <c r="AL302" s="328">
        <v>7.66</v>
      </c>
      <c r="AM302" s="173"/>
      <c r="AN302" s="341"/>
      <c r="AO302" s="406"/>
      <c r="AP302" s="354"/>
      <c r="AQ302" s="11"/>
      <c r="AR302" s="11"/>
      <c r="AS302" s="485"/>
      <c r="AT302" s="406"/>
    </row>
    <row r="303" spans="1:46">
      <c r="A303" s="5"/>
      <c r="B303" s="44" t="s">
        <v>3210</v>
      </c>
      <c r="C303" s="44" t="s">
        <v>1703</v>
      </c>
      <c r="D303" s="44" t="s">
        <v>1753</v>
      </c>
      <c r="E303" s="44" t="s">
        <v>1927</v>
      </c>
      <c r="F303" s="44" t="s">
        <v>1928</v>
      </c>
      <c r="G303" s="44" t="s">
        <v>3374</v>
      </c>
      <c r="H303" s="44" t="s">
        <v>116</v>
      </c>
      <c r="I303" s="44" t="s">
        <v>1933</v>
      </c>
      <c r="J303" s="328">
        <v>100</v>
      </c>
      <c r="K303" s="44">
        <v>0</v>
      </c>
      <c r="L303" s="44">
        <v>0</v>
      </c>
      <c r="M303" s="44">
        <v>0</v>
      </c>
      <c r="N303" s="44">
        <v>0</v>
      </c>
      <c r="O303" s="44">
        <v>125.22</v>
      </c>
      <c r="P303" s="44">
        <v>189.4</v>
      </c>
      <c r="Q303" s="44">
        <v>199.86</v>
      </c>
      <c r="R303" s="44">
        <v>205.64</v>
      </c>
      <c r="S303" s="328">
        <v>210.52</v>
      </c>
      <c r="T303" s="328">
        <v>213.22</v>
      </c>
      <c r="U303" s="328">
        <v>219.14</v>
      </c>
      <c r="V303" s="328">
        <v>223.51</v>
      </c>
      <c r="W303" s="328">
        <v>235.59</v>
      </c>
      <c r="X303" s="328">
        <v>242.8</v>
      </c>
      <c r="Y303" s="328">
        <v>245.59</v>
      </c>
      <c r="Z303" s="328">
        <v>240</v>
      </c>
      <c r="AA303" s="328">
        <v>245</v>
      </c>
      <c r="AB303" s="328">
        <v>250</v>
      </c>
      <c r="AC303" s="328">
        <v>250</v>
      </c>
      <c r="AD303" s="328">
        <v>250</v>
      </c>
      <c r="AE303" s="328">
        <v>250</v>
      </c>
      <c r="AF303" s="328">
        <v>250</v>
      </c>
      <c r="AG303" s="328">
        <v>250</v>
      </c>
      <c r="AH303" s="328">
        <v>242.5</v>
      </c>
      <c r="AI303" s="328">
        <v>235.23</v>
      </c>
      <c r="AJ303" s="328">
        <v>228.17</v>
      </c>
      <c r="AK303" s="328">
        <v>221.32</v>
      </c>
      <c r="AL303" s="328">
        <v>214.68</v>
      </c>
      <c r="AM303" s="173"/>
      <c r="AN303" s="341"/>
      <c r="AO303" s="406"/>
      <c r="AP303" s="354"/>
      <c r="AQ303" s="11"/>
      <c r="AR303" s="11"/>
      <c r="AS303" s="485"/>
      <c r="AT303" s="406"/>
    </row>
    <row r="304" spans="1:46">
      <c r="A304" s="5"/>
      <c r="B304" s="44" t="s">
        <v>3210</v>
      </c>
      <c r="C304" s="44" t="s">
        <v>1703</v>
      </c>
      <c r="D304" s="44" t="s">
        <v>673</v>
      </c>
      <c r="E304" s="44" t="s">
        <v>1927</v>
      </c>
      <c r="F304" s="44" t="s">
        <v>1928</v>
      </c>
      <c r="G304" s="44" t="s">
        <v>3374</v>
      </c>
      <c r="H304" s="44" t="s">
        <v>116</v>
      </c>
      <c r="I304" s="44" t="s">
        <v>1933</v>
      </c>
      <c r="J304" s="328">
        <v>100</v>
      </c>
      <c r="K304" s="44">
        <v>0</v>
      </c>
      <c r="L304" s="44">
        <v>0</v>
      </c>
      <c r="M304" s="44">
        <v>0</v>
      </c>
      <c r="N304" s="44">
        <v>0</v>
      </c>
      <c r="O304" s="44">
        <v>0</v>
      </c>
      <c r="P304" s="44">
        <v>0</v>
      </c>
      <c r="Q304" s="44">
        <v>0</v>
      </c>
      <c r="R304" s="44">
        <v>0</v>
      </c>
      <c r="S304" s="328">
        <v>0</v>
      </c>
      <c r="T304" s="328">
        <v>0</v>
      </c>
      <c r="U304" s="328">
        <v>179.49100000000001</v>
      </c>
      <c r="V304" s="328">
        <v>414.84399999999999</v>
      </c>
      <c r="W304" s="328">
        <v>406.12</v>
      </c>
      <c r="X304" s="328">
        <v>386.95</v>
      </c>
      <c r="Y304" s="328">
        <v>363.93</v>
      </c>
      <c r="Z304" s="328">
        <v>344</v>
      </c>
      <c r="AA304" s="328">
        <v>344.65</v>
      </c>
      <c r="AB304" s="328">
        <v>342.41</v>
      </c>
      <c r="AC304" s="328">
        <v>337.45</v>
      </c>
      <c r="AD304" s="328">
        <v>332.57</v>
      </c>
      <c r="AE304" s="328">
        <v>327.78</v>
      </c>
      <c r="AF304" s="328">
        <v>323.10000000000002</v>
      </c>
      <c r="AG304" s="328">
        <v>315.94</v>
      </c>
      <c r="AH304" s="328">
        <v>308.97000000000003</v>
      </c>
      <c r="AI304" s="328">
        <v>302.14</v>
      </c>
      <c r="AJ304" s="328">
        <v>295.47000000000003</v>
      </c>
      <c r="AK304" s="328">
        <v>288.95999999999998</v>
      </c>
      <c r="AL304" s="328">
        <v>280.27999999999997</v>
      </c>
      <c r="AM304" s="173"/>
      <c r="AN304" s="341"/>
      <c r="AO304" s="406"/>
      <c r="AP304" s="354"/>
      <c r="AQ304" s="11"/>
      <c r="AR304" s="11"/>
      <c r="AS304" s="485"/>
      <c r="AT304" s="406"/>
    </row>
    <row r="305" spans="1:46">
      <c r="A305" s="5"/>
      <c r="B305" s="44" t="s">
        <v>3210</v>
      </c>
      <c r="C305" s="44" t="s">
        <v>1703</v>
      </c>
      <c r="D305" s="44" t="s">
        <v>3466</v>
      </c>
      <c r="E305" s="44" t="s">
        <v>1927</v>
      </c>
      <c r="F305" s="44" t="s">
        <v>1928</v>
      </c>
      <c r="G305" s="44" t="s">
        <v>1932</v>
      </c>
      <c r="H305" s="44" t="s">
        <v>116</v>
      </c>
      <c r="I305" s="44" t="s">
        <v>1931</v>
      </c>
      <c r="J305" s="328">
        <v>19.600000000000001</v>
      </c>
      <c r="K305" s="44">
        <v>0</v>
      </c>
      <c r="L305" s="44">
        <v>0</v>
      </c>
      <c r="M305" s="44">
        <v>0</v>
      </c>
      <c r="N305" s="44">
        <v>0</v>
      </c>
      <c r="O305" s="44">
        <v>0</v>
      </c>
      <c r="P305" s="44">
        <v>0</v>
      </c>
      <c r="Q305" s="44">
        <v>0</v>
      </c>
      <c r="R305" s="44">
        <v>0</v>
      </c>
      <c r="S305" s="328">
        <v>0</v>
      </c>
      <c r="T305" s="328">
        <v>0</v>
      </c>
      <c r="U305" s="328">
        <v>0.52</v>
      </c>
      <c r="V305" s="328">
        <v>0</v>
      </c>
      <c r="W305" s="328">
        <v>0</v>
      </c>
      <c r="X305" s="328">
        <v>0</v>
      </c>
      <c r="Y305" s="328">
        <v>0</v>
      </c>
      <c r="Z305" s="328">
        <v>0</v>
      </c>
      <c r="AA305" s="328">
        <v>0</v>
      </c>
      <c r="AB305" s="328">
        <v>0</v>
      </c>
      <c r="AC305" s="328">
        <v>0</v>
      </c>
      <c r="AD305" s="328">
        <v>0</v>
      </c>
      <c r="AE305" s="328">
        <v>0</v>
      </c>
      <c r="AF305" s="328">
        <v>0</v>
      </c>
      <c r="AG305" s="328">
        <v>0</v>
      </c>
      <c r="AH305" s="328">
        <v>0</v>
      </c>
      <c r="AI305" s="328">
        <v>0</v>
      </c>
      <c r="AJ305" s="328">
        <v>0</v>
      </c>
      <c r="AK305" s="328">
        <v>0</v>
      </c>
      <c r="AL305" s="328">
        <v>0</v>
      </c>
      <c r="AM305" s="173"/>
      <c r="AN305" s="341"/>
      <c r="AO305" s="406"/>
      <c r="AP305" s="354"/>
      <c r="AQ305" s="11"/>
      <c r="AR305" s="11"/>
      <c r="AS305" s="485"/>
      <c r="AT305" s="406"/>
    </row>
    <row r="306" spans="1:46">
      <c r="A306" s="5"/>
      <c r="B306" s="44" t="s">
        <v>3210</v>
      </c>
      <c r="C306" s="44" t="s">
        <v>1703</v>
      </c>
      <c r="D306" s="44" t="s">
        <v>3470</v>
      </c>
      <c r="E306" s="44" t="s">
        <v>1927</v>
      </c>
      <c r="F306" s="44" t="s">
        <v>1928</v>
      </c>
      <c r="G306" s="44" t="s">
        <v>3374</v>
      </c>
      <c r="H306" s="44" t="s">
        <v>1930</v>
      </c>
      <c r="I306" s="44" t="s">
        <v>1931</v>
      </c>
      <c r="J306" s="328">
        <v>100</v>
      </c>
      <c r="K306" s="44">
        <v>44.28</v>
      </c>
      <c r="L306" s="44">
        <v>66.63</v>
      </c>
      <c r="M306" s="44">
        <v>93.57</v>
      </c>
      <c r="N306" s="44">
        <v>109.22</v>
      </c>
      <c r="O306" s="44">
        <v>110.57</v>
      </c>
      <c r="P306" s="44">
        <v>105.14</v>
      </c>
      <c r="Q306" s="44">
        <v>94.81</v>
      </c>
      <c r="R306" s="44">
        <v>81.489999999999995</v>
      </c>
      <c r="S306" s="328">
        <v>72.260000000000005</v>
      </c>
      <c r="T306" s="328">
        <v>69.62</v>
      </c>
      <c r="U306" s="328">
        <v>61.24</v>
      </c>
      <c r="V306" s="328">
        <v>55.44</v>
      </c>
      <c r="W306" s="328">
        <v>51.67</v>
      </c>
      <c r="X306" s="328">
        <v>46.47</v>
      </c>
      <c r="Y306" s="328">
        <v>40.770000000000003</v>
      </c>
      <c r="Z306" s="328">
        <v>42.27</v>
      </c>
      <c r="AA306" s="328">
        <v>43.47</v>
      </c>
      <c r="AB306" s="328">
        <v>42.55</v>
      </c>
      <c r="AC306" s="328">
        <v>42.14</v>
      </c>
      <c r="AD306" s="328">
        <v>43.74</v>
      </c>
      <c r="AE306" s="328">
        <v>42.39</v>
      </c>
      <c r="AF306" s="328">
        <v>39.54</v>
      </c>
      <c r="AG306" s="328">
        <v>36.909999999999997</v>
      </c>
      <c r="AH306" s="328">
        <v>34.29</v>
      </c>
      <c r="AI306" s="328">
        <v>31.81</v>
      </c>
      <c r="AJ306" s="328">
        <v>29.51</v>
      </c>
      <c r="AK306" s="328">
        <v>27.39</v>
      </c>
      <c r="AL306" s="328">
        <v>25.35</v>
      </c>
      <c r="AM306" s="173"/>
      <c r="AN306" s="341"/>
      <c r="AO306" s="406"/>
      <c r="AP306" s="354"/>
      <c r="AQ306" s="11"/>
      <c r="AR306" s="11"/>
      <c r="AS306" s="485"/>
      <c r="AT306" s="406"/>
    </row>
    <row r="307" spans="1:46">
      <c r="A307" s="5"/>
      <c r="B307" s="44" t="s">
        <v>3210</v>
      </c>
      <c r="C307" s="44" t="s">
        <v>1703</v>
      </c>
      <c r="D307" s="44" t="s">
        <v>3468</v>
      </c>
      <c r="E307" s="44" t="s">
        <v>1927</v>
      </c>
      <c r="F307" s="44" t="s">
        <v>1928</v>
      </c>
      <c r="G307" s="44" t="s">
        <v>3374</v>
      </c>
      <c r="H307" s="44" t="s">
        <v>1930</v>
      </c>
      <c r="I307" s="44" t="s">
        <v>1931</v>
      </c>
      <c r="J307" s="328">
        <v>50.1</v>
      </c>
      <c r="K307" s="44">
        <v>0</v>
      </c>
      <c r="L307" s="44">
        <v>0</v>
      </c>
      <c r="M307" s="44">
        <v>0</v>
      </c>
      <c r="N307" s="44">
        <v>0</v>
      </c>
      <c r="O307" s="44">
        <v>0</v>
      </c>
      <c r="P307" s="44">
        <v>0</v>
      </c>
      <c r="Q307" s="44">
        <v>0</v>
      </c>
      <c r="R307" s="44">
        <v>0</v>
      </c>
      <c r="S307" s="328">
        <v>0</v>
      </c>
      <c r="T307" s="328">
        <v>0.53</v>
      </c>
      <c r="U307" s="328">
        <v>2.3199999999999998</v>
      </c>
      <c r="V307" s="328">
        <v>18.399999999999999</v>
      </c>
      <c r="W307" s="328">
        <v>18.43</v>
      </c>
      <c r="X307" s="328">
        <v>15.84</v>
      </c>
      <c r="Y307" s="328">
        <v>13.58</v>
      </c>
      <c r="Z307" s="328">
        <v>23.57</v>
      </c>
      <c r="AA307" s="328">
        <v>39.04</v>
      </c>
      <c r="AB307" s="328">
        <v>50.32</v>
      </c>
      <c r="AC307" s="328">
        <v>50.38</v>
      </c>
      <c r="AD307" s="328">
        <v>46.51</v>
      </c>
      <c r="AE307" s="328">
        <v>45.68</v>
      </c>
      <c r="AF307" s="328">
        <v>47.25</v>
      </c>
      <c r="AG307" s="328">
        <v>51.85</v>
      </c>
      <c r="AH307" s="328">
        <v>55.03</v>
      </c>
      <c r="AI307" s="328">
        <v>56.25</v>
      </c>
      <c r="AJ307" s="328">
        <v>51.48</v>
      </c>
      <c r="AK307" s="328">
        <v>47.64</v>
      </c>
      <c r="AL307" s="328">
        <v>43.02</v>
      </c>
      <c r="AM307" s="173"/>
      <c r="AN307" s="341"/>
      <c r="AO307" s="406"/>
      <c r="AP307" s="354"/>
      <c r="AQ307" s="11"/>
      <c r="AR307" s="11"/>
      <c r="AS307" s="485"/>
      <c r="AT307" s="406"/>
    </row>
    <row r="308" spans="1:46">
      <c r="A308" s="5"/>
      <c r="B308" s="44" t="s">
        <v>3210</v>
      </c>
      <c r="C308" s="44" t="s">
        <v>1703</v>
      </c>
      <c r="D308" s="44" t="s">
        <v>3378</v>
      </c>
      <c r="E308" s="44" t="s">
        <v>1927</v>
      </c>
      <c r="F308" s="44" t="s">
        <v>1928</v>
      </c>
      <c r="G308" s="44" t="s">
        <v>1932</v>
      </c>
      <c r="H308" s="44" t="s">
        <v>116</v>
      </c>
      <c r="I308" s="44" t="s">
        <v>1931</v>
      </c>
      <c r="J308" s="328">
        <v>100</v>
      </c>
      <c r="K308" s="44">
        <v>20.5</v>
      </c>
      <c r="L308" s="44">
        <v>20.059999999999999</v>
      </c>
      <c r="M308" s="44">
        <v>19.579999999999998</v>
      </c>
      <c r="N308" s="44">
        <v>22.55</v>
      </c>
      <c r="O308" s="44">
        <v>21.39</v>
      </c>
      <c r="P308" s="44">
        <v>20.72</v>
      </c>
      <c r="Q308" s="44">
        <v>20</v>
      </c>
      <c r="R308" s="44">
        <v>19.14</v>
      </c>
      <c r="S308" s="328">
        <v>18.54</v>
      </c>
      <c r="T308" s="328">
        <v>16.77</v>
      </c>
      <c r="U308" s="328">
        <v>16.71</v>
      </c>
      <c r="V308" s="328">
        <v>15.88</v>
      </c>
      <c r="W308" s="328">
        <v>16.940000000000001</v>
      </c>
      <c r="X308" s="328">
        <v>16.600000000000001</v>
      </c>
      <c r="Y308" s="328">
        <v>15.99</v>
      </c>
      <c r="Z308" s="328">
        <v>15.4</v>
      </c>
      <c r="AA308" s="328">
        <v>14.83</v>
      </c>
      <c r="AB308" s="328">
        <v>14.28</v>
      </c>
      <c r="AC308" s="328">
        <v>13.75</v>
      </c>
      <c r="AD308" s="328">
        <v>13.24</v>
      </c>
      <c r="AE308" s="328">
        <v>12.75</v>
      </c>
      <c r="AF308" s="328">
        <v>12.28</v>
      </c>
      <c r="AG308" s="328">
        <v>11.83</v>
      </c>
      <c r="AH308" s="328">
        <v>11.39</v>
      </c>
      <c r="AI308" s="328">
        <v>10.97</v>
      </c>
      <c r="AJ308" s="328">
        <v>10.56</v>
      </c>
      <c r="AK308" s="328">
        <v>10.17</v>
      </c>
      <c r="AL308" s="328">
        <v>9.7899999999999991</v>
      </c>
      <c r="AM308" s="173"/>
      <c r="AN308" s="341"/>
      <c r="AO308" s="406"/>
      <c r="AP308" s="354"/>
      <c r="AQ308" s="11"/>
      <c r="AR308" s="11"/>
      <c r="AS308" s="485"/>
      <c r="AT308" s="406"/>
    </row>
    <row r="309" spans="1:46">
      <c r="A309" s="5"/>
      <c r="B309" s="44" t="s">
        <v>3210</v>
      </c>
      <c r="C309" s="44" t="s">
        <v>1703</v>
      </c>
      <c r="D309" s="44" t="s">
        <v>3525</v>
      </c>
      <c r="E309" s="44" t="s">
        <v>1927</v>
      </c>
      <c r="F309" s="44" t="s">
        <v>1928</v>
      </c>
      <c r="G309" s="44" t="s">
        <v>1932</v>
      </c>
      <c r="H309" s="44" t="s">
        <v>1930</v>
      </c>
      <c r="I309" s="44" t="s">
        <v>1931</v>
      </c>
      <c r="J309" s="328">
        <v>100</v>
      </c>
      <c r="K309" s="44">
        <v>0</v>
      </c>
      <c r="L309" s="44">
        <v>0</v>
      </c>
      <c r="M309" s="44">
        <v>0</v>
      </c>
      <c r="N309" s="44">
        <v>0</v>
      </c>
      <c r="O309" s="44">
        <v>0</v>
      </c>
      <c r="P309" s="44">
        <v>0</v>
      </c>
      <c r="Q309" s="44">
        <v>0</v>
      </c>
      <c r="R309" s="44">
        <v>0</v>
      </c>
      <c r="S309" s="328">
        <v>0</v>
      </c>
      <c r="T309" s="328">
        <v>0</v>
      </c>
      <c r="U309" s="328">
        <v>3.4790000000000001</v>
      </c>
      <c r="V309" s="328">
        <v>8.1760000000000002</v>
      </c>
      <c r="W309" s="328">
        <v>8.25</v>
      </c>
      <c r="X309" s="328">
        <v>8.4499999999999993</v>
      </c>
      <c r="Y309" s="328">
        <v>8.31</v>
      </c>
      <c r="Z309" s="328">
        <v>8.18</v>
      </c>
      <c r="AA309" s="328">
        <v>8.0500000000000007</v>
      </c>
      <c r="AB309" s="328">
        <v>7.94</v>
      </c>
      <c r="AC309" s="328">
        <v>7.74</v>
      </c>
      <c r="AD309" s="328">
        <v>7.55</v>
      </c>
      <c r="AE309" s="328">
        <v>7.38</v>
      </c>
      <c r="AF309" s="328">
        <v>7.21</v>
      </c>
      <c r="AG309" s="328">
        <v>7.04</v>
      </c>
      <c r="AH309" s="328">
        <v>6.69</v>
      </c>
      <c r="AI309" s="328">
        <v>6.36</v>
      </c>
      <c r="AJ309" s="328">
        <v>6.06</v>
      </c>
      <c r="AK309" s="328">
        <v>5.75</v>
      </c>
      <c r="AL309" s="328">
        <v>5.48</v>
      </c>
      <c r="AM309" s="173"/>
      <c r="AN309" s="341"/>
      <c r="AO309" s="406"/>
      <c r="AP309" s="354"/>
      <c r="AQ309" s="11"/>
      <c r="AR309" s="11"/>
      <c r="AS309" s="485"/>
      <c r="AT309" s="406"/>
    </row>
    <row r="310" spans="1:46">
      <c r="A310" s="5"/>
      <c r="B310" s="44" t="s">
        <v>3210</v>
      </c>
      <c r="C310" s="44" t="s">
        <v>1703</v>
      </c>
      <c r="D310" s="44" t="s">
        <v>3379</v>
      </c>
      <c r="E310" s="44" t="s">
        <v>1927</v>
      </c>
      <c r="F310" s="44" t="s">
        <v>1928</v>
      </c>
      <c r="G310" s="44" t="s">
        <v>3374</v>
      </c>
      <c r="H310" s="44" t="s">
        <v>116</v>
      </c>
      <c r="I310" s="44" t="s">
        <v>1931</v>
      </c>
      <c r="J310" s="328">
        <v>50</v>
      </c>
      <c r="K310" s="44">
        <v>0</v>
      </c>
      <c r="L310" s="44">
        <v>0</v>
      </c>
      <c r="M310" s="44">
        <v>0</v>
      </c>
      <c r="N310" s="44">
        <v>0</v>
      </c>
      <c r="O310" s="44">
        <v>9.44</v>
      </c>
      <c r="P310" s="44">
        <v>110.04</v>
      </c>
      <c r="Q310" s="44">
        <v>104.59</v>
      </c>
      <c r="R310" s="44">
        <v>103</v>
      </c>
      <c r="S310" s="328">
        <v>103.49</v>
      </c>
      <c r="T310" s="328">
        <v>102.27</v>
      </c>
      <c r="U310" s="328">
        <v>101.52</v>
      </c>
      <c r="V310" s="328">
        <v>99.39</v>
      </c>
      <c r="W310" s="328">
        <v>98.99</v>
      </c>
      <c r="X310" s="328">
        <v>95.58</v>
      </c>
      <c r="Y310" s="328">
        <v>92.81</v>
      </c>
      <c r="Z310" s="328">
        <v>91.58</v>
      </c>
      <c r="AA310" s="328">
        <v>90.35</v>
      </c>
      <c r="AB310" s="328">
        <v>89.35</v>
      </c>
      <c r="AC310" s="328">
        <v>86.41</v>
      </c>
      <c r="AD310" s="328">
        <v>83.78</v>
      </c>
      <c r="AE310" s="328">
        <v>81.22</v>
      </c>
      <c r="AF310" s="328">
        <v>78.75</v>
      </c>
      <c r="AG310" s="328">
        <v>73.430000000000007</v>
      </c>
      <c r="AH310" s="328">
        <v>68.47</v>
      </c>
      <c r="AI310" s="328">
        <v>63.87</v>
      </c>
      <c r="AJ310" s="328">
        <v>59.58</v>
      </c>
      <c r="AK310" s="328">
        <v>55.6</v>
      </c>
      <c r="AL310" s="328">
        <v>51.88</v>
      </c>
      <c r="AM310" s="173"/>
      <c r="AN310" s="341"/>
      <c r="AO310" s="406"/>
      <c r="AP310" s="354"/>
      <c r="AQ310" s="11"/>
      <c r="AR310" s="11"/>
      <c r="AS310" s="485"/>
      <c r="AT310" s="406"/>
    </row>
    <row r="311" spans="1:46">
      <c r="A311" s="5"/>
      <c r="B311" s="44" t="s">
        <v>3210</v>
      </c>
      <c r="C311" s="44" t="s">
        <v>1703</v>
      </c>
      <c r="D311" s="44" t="s">
        <v>3710</v>
      </c>
      <c r="E311" s="44" t="s">
        <v>1927</v>
      </c>
      <c r="F311" s="44" t="s">
        <v>1928</v>
      </c>
      <c r="G311" s="44" t="s">
        <v>3374</v>
      </c>
      <c r="H311" s="44" t="s">
        <v>1930</v>
      </c>
      <c r="I311" s="44" t="s">
        <v>1931</v>
      </c>
      <c r="J311" s="328">
        <v>51.905700000000003</v>
      </c>
      <c r="K311" s="44">
        <v>0</v>
      </c>
      <c r="L311" s="44">
        <v>0</v>
      </c>
      <c r="M311" s="44">
        <v>0</v>
      </c>
      <c r="N311" s="44">
        <v>0</v>
      </c>
      <c r="O311" s="44">
        <v>0</v>
      </c>
      <c r="P311" s="44">
        <v>0</v>
      </c>
      <c r="Q311" s="44">
        <v>0</v>
      </c>
      <c r="R311" s="44">
        <v>0</v>
      </c>
      <c r="S311" s="328">
        <v>0</v>
      </c>
      <c r="T311" s="328">
        <v>0</v>
      </c>
      <c r="U311" s="328">
        <v>0</v>
      </c>
      <c r="V311" s="328">
        <v>0</v>
      </c>
      <c r="W311" s="328">
        <v>0</v>
      </c>
      <c r="X311" s="328">
        <v>0</v>
      </c>
      <c r="Y311" s="328">
        <v>17.312000000000001</v>
      </c>
      <c r="Z311" s="328">
        <v>11.212999999999999</v>
      </c>
      <c r="AA311" s="328">
        <v>31.143000000000001</v>
      </c>
      <c r="AB311" s="328">
        <v>45.676000000000002</v>
      </c>
      <c r="AC311" s="328">
        <v>51.905999999999999</v>
      </c>
      <c r="AD311" s="328">
        <v>51.905999999999999</v>
      </c>
      <c r="AE311" s="328">
        <v>49.21</v>
      </c>
      <c r="AF311" s="328">
        <v>44.283000000000001</v>
      </c>
      <c r="AG311" s="328">
        <v>39.860999999999997</v>
      </c>
      <c r="AH311" s="328">
        <v>36.673999999999999</v>
      </c>
      <c r="AI311" s="328">
        <v>33.741999999999997</v>
      </c>
      <c r="AJ311" s="328">
        <v>31.039000000000001</v>
      </c>
      <c r="AK311" s="328">
        <v>28.552</v>
      </c>
      <c r="AL311" s="328">
        <v>26.271999999999998</v>
      </c>
      <c r="AM311" s="173"/>
      <c r="AN311" s="341"/>
      <c r="AO311" s="406"/>
      <c r="AP311" s="354"/>
      <c r="AQ311" s="11"/>
      <c r="AR311" s="11"/>
      <c r="AS311" s="485"/>
      <c r="AT311" s="406"/>
    </row>
    <row r="312" spans="1:46">
      <c r="A312" s="5"/>
      <c r="B312" s="44" t="s">
        <v>3210</v>
      </c>
      <c r="C312" s="44" t="s">
        <v>1703</v>
      </c>
      <c r="D312" s="44" t="s">
        <v>96</v>
      </c>
      <c r="E312" s="44" t="s">
        <v>1927</v>
      </c>
      <c r="F312" s="44" t="s">
        <v>1928</v>
      </c>
      <c r="G312" s="44" t="s">
        <v>3374</v>
      </c>
      <c r="H312" s="44" t="s">
        <v>1930</v>
      </c>
      <c r="I312" s="44" t="s">
        <v>1933</v>
      </c>
      <c r="J312" s="328">
        <v>49.54</v>
      </c>
      <c r="K312" s="44">
        <v>0</v>
      </c>
      <c r="L312" s="44">
        <v>0</v>
      </c>
      <c r="M312" s="44">
        <v>0</v>
      </c>
      <c r="N312" s="44">
        <v>4.92</v>
      </c>
      <c r="O312" s="44">
        <v>60.78</v>
      </c>
      <c r="P312" s="44">
        <v>62.24</v>
      </c>
      <c r="Q312" s="44">
        <v>62.92</v>
      </c>
      <c r="R312" s="44">
        <v>63.37</v>
      </c>
      <c r="S312" s="328">
        <v>64.010000000000005</v>
      </c>
      <c r="T312" s="328">
        <v>64.099999999999994</v>
      </c>
      <c r="U312" s="328">
        <v>63.99</v>
      </c>
      <c r="V312" s="328">
        <v>63.61</v>
      </c>
      <c r="W312" s="328">
        <v>63.64</v>
      </c>
      <c r="X312" s="328">
        <v>61.46</v>
      </c>
      <c r="Y312" s="328">
        <v>59.36</v>
      </c>
      <c r="Z312" s="328">
        <v>58.05</v>
      </c>
      <c r="AA312" s="328">
        <v>59.94</v>
      </c>
      <c r="AB312" s="328">
        <v>61.08</v>
      </c>
      <c r="AC312" s="328">
        <v>61.92</v>
      </c>
      <c r="AD312" s="328">
        <v>61.05</v>
      </c>
      <c r="AE312" s="328">
        <v>58.87</v>
      </c>
      <c r="AF312" s="328">
        <v>55.77</v>
      </c>
      <c r="AG312" s="328">
        <v>52.89</v>
      </c>
      <c r="AH312" s="328">
        <v>49.78</v>
      </c>
      <c r="AI312" s="328">
        <v>46.94</v>
      </c>
      <c r="AJ312" s="328">
        <v>44.61</v>
      </c>
      <c r="AK312" s="328">
        <v>42.4</v>
      </c>
      <c r="AL312" s="328">
        <v>40.32</v>
      </c>
      <c r="AM312" s="173"/>
      <c r="AN312" s="341"/>
      <c r="AO312" s="406"/>
      <c r="AP312" s="354"/>
      <c r="AQ312" s="11"/>
      <c r="AR312" s="11"/>
      <c r="AS312" s="485"/>
      <c r="AT312" s="406"/>
    </row>
    <row r="313" spans="1:46">
      <c r="A313" s="5"/>
      <c r="B313" s="44" t="s">
        <v>3210</v>
      </c>
      <c r="C313" s="44" t="s">
        <v>1703</v>
      </c>
      <c r="D313" s="44" t="s">
        <v>2049</v>
      </c>
      <c r="E313" s="44" t="s">
        <v>1927</v>
      </c>
      <c r="F313" s="44" t="s">
        <v>1928</v>
      </c>
      <c r="G313" s="44" t="s">
        <v>1929</v>
      </c>
      <c r="H313" s="44" t="s">
        <v>116</v>
      </c>
      <c r="I313" s="44" t="s">
        <v>1931</v>
      </c>
      <c r="J313" s="328">
        <v>100</v>
      </c>
      <c r="K313" s="44">
        <v>0</v>
      </c>
      <c r="L313" s="44">
        <v>0</v>
      </c>
      <c r="M313" s="44">
        <v>0</v>
      </c>
      <c r="N313" s="44">
        <v>0</v>
      </c>
      <c r="O313" s="44">
        <v>0</v>
      </c>
      <c r="P313" s="44">
        <v>0</v>
      </c>
      <c r="Q313" s="44">
        <v>0</v>
      </c>
      <c r="R313" s="44">
        <v>0</v>
      </c>
      <c r="S313" s="328">
        <v>0</v>
      </c>
      <c r="T313" s="328">
        <v>0</v>
      </c>
      <c r="U313" s="328">
        <v>6.7919999999999998</v>
      </c>
      <c r="V313" s="328">
        <v>17.460999999999999</v>
      </c>
      <c r="W313" s="328">
        <v>18.78</v>
      </c>
      <c r="X313" s="328">
        <v>28.39</v>
      </c>
      <c r="Y313" s="328">
        <v>33.58</v>
      </c>
      <c r="Z313" s="328">
        <v>100.48</v>
      </c>
      <c r="AA313" s="328">
        <v>133</v>
      </c>
      <c r="AB313" s="328">
        <v>131.74</v>
      </c>
      <c r="AC313" s="328">
        <v>128.22999999999999</v>
      </c>
      <c r="AD313" s="328">
        <v>123.13</v>
      </c>
      <c r="AE313" s="328">
        <v>116.58</v>
      </c>
      <c r="AF313" s="328">
        <v>109.33</v>
      </c>
      <c r="AG313" s="328">
        <v>101.55</v>
      </c>
      <c r="AH313" s="328">
        <v>92.22</v>
      </c>
      <c r="AI313" s="328">
        <v>83.75</v>
      </c>
      <c r="AJ313" s="328">
        <v>76.05</v>
      </c>
      <c r="AK313" s="328">
        <v>69.06</v>
      </c>
      <c r="AL313" s="328">
        <v>62.72</v>
      </c>
      <c r="AM313" s="173"/>
      <c r="AN313" s="341"/>
      <c r="AO313" s="406"/>
      <c r="AP313" s="354"/>
      <c r="AQ313" s="11"/>
      <c r="AR313" s="11"/>
      <c r="AS313" s="485"/>
      <c r="AT313" s="406"/>
    </row>
    <row r="314" spans="1:46">
      <c r="A314" s="5"/>
      <c r="B314" s="44" t="s">
        <v>3210</v>
      </c>
      <c r="C314" s="44" t="s">
        <v>1703</v>
      </c>
      <c r="D314" s="44" t="s">
        <v>3732</v>
      </c>
      <c r="E314" s="44" t="s">
        <v>1927</v>
      </c>
      <c r="F314" s="44" t="s">
        <v>1928</v>
      </c>
      <c r="G314" s="44" t="s">
        <v>3374</v>
      </c>
      <c r="H314" s="44" t="s">
        <v>1930</v>
      </c>
      <c r="I314" s="44" t="s">
        <v>1931</v>
      </c>
      <c r="J314" s="328">
        <v>100</v>
      </c>
      <c r="K314" s="44">
        <v>0</v>
      </c>
      <c r="L314" s="44">
        <v>0</v>
      </c>
      <c r="M314" s="44">
        <v>0</v>
      </c>
      <c r="N314" s="44">
        <v>0</v>
      </c>
      <c r="O314" s="44">
        <v>0</v>
      </c>
      <c r="P314" s="44">
        <v>0</v>
      </c>
      <c r="Q314" s="44">
        <v>0</v>
      </c>
      <c r="R314" s="44">
        <v>0</v>
      </c>
      <c r="S314" s="328">
        <v>0</v>
      </c>
      <c r="T314" s="328">
        <v>0</v>
      </c>
      <c r="U314" s="328">
        <v>71.376000000000005</v>
      </c>
      <c r="V314" s="328">
        <v>195.762</v>
      </c>
      <c r="W314" s="328">
        <v>219.96</v>
      </c>
      <c r="X314" s="328">
        <v>231.71</v>
      </c>
      <c r="Y314" s="328">
        <v>196.08</v>
      </c>
      <c r="Z314" s="328">
        <v>180.77</v>
      </c>
      <c r="AA314" s="328">
        <v>191.71</v>
      </c>
      <c r="AB314" s="328">
        <v>209.15</v>
      </c>
      <c r="AC314" s="328">
        <v>199.88</v>
      </c>
      <c r="AD314" s="328">
        <v>177.54</v>
      </c>
      <c r="AE314" s="328">
        <v>156.63</v>
      </c>
      <c r="AF314" s="328">
        <v>139.44</v>
      </c>
      <c r="AG314" s="328">
        <v>124.71</v>
      </c>
      <c r="AH314" s="328">
        <v>113.88</v>
      </c>
      <c r="AI314" s="328">
        <v>104.23</v>
      </c>
      <c r="AJ314" s="328">
        <v>95.36</v>
      </c>
      <c r="AK314" s="328">
        <v>87.3</v>
      </c>
      <c r="AL314" s="328">
        <v>79.89</v>
      </c>
      <c r="AM314" s="173"/>
      <c r="AN314" s="341"/>
      <c r="AO314" s="406"/>
      <c r="AP314" s="354"/>
      <c r="AQ314" s="11"/>
      <c r="AR314" s="11"/>
      <c r="AS314" s="485"/>
      <c r="AT314" s="406"/>
    </row>
    <row r="315" spans="1:46">
      <c r="A315" s="5"/>
      <c r="B315" s="44" t="s">
        <v>3210</v>
      </c>
      <c r="C315" s="44" t="s">
        <v>1703</v>
      </c>
      <c r="D315" s="44" t="s">
        <v>3675</v>
      </c>
      <c r="E315" s="44" t="s">
        <v>1927</v>
      </c>
      <c r="F315" s="44" t="s">
        <v>1928</v>
      </c>
      <c r="G315" s="44" t="s">
        <v>3374</v>
      </c>
      <c r="H315" s="44" t="s">
        <v>116</v>
      </c>
      <c r="I315" s="44" t="s">
        <v>1931</v>
      </c>
      <c r="J315" s="328">
        <v>100</v>
      </c>
      <c r="K315" s="44">
        <v>0</v>
      </c>
      <c r="L315" s="44">
        <v>0</v>
      </c>
      <c r="M315" s="44">
        <v>0</v>
      </c>
      <c r="N315" s="44">
        <v>0</v>
      </c>
      <c r="O315" s="44">
        <v>0</v>
      </c>
      <c r="P315" s="44">
        <v>0</v>
      </c>
      <c r="Q315" s="44">
        <v>0</v>
      </c>
      <c r="R315" s="44">
        <v>0</v>
      </c>
      <c r="S315" s="328">
        <v>0</v>
      </c>
      <c r="T315" s="328">
        <v>0</v>
      </c>
      <c r="U315" s="328">
        <v>0</v>
      </c>
      <c r="V315" s="328">
        <v>0.02</v>
      </c>
      <c r="W315" s="328">
        <v>0.06</v>
      </c>
      <c r="X315" s="328">
        <v>28.65</v>
      </c>
      <c r="Y315" s="328">
        <v>96.93</v>
      </c>
      <c r="Z315" s="328">
        <v>99.36</v>
      </c>
      <c r="AA315" s="328">
        <v>121.41</v>
      </c>
      <c r="AB315" s="328">
        <v>147.27000000000001</v>
      </c>
      <c r="AC315" s="328">
        <v>168.67</v>
      </c>
      <c r="AD315" s="328">
        <v>183.72</v>
      </c>
      <c r="AE315" s="328">
        <v>177.17</v>
      </c>
      <c r="AF315" s="328">
        <v>173.61</v>
      </c>
      <c r="AG315" s="328">
        <v>176.81</v>
      </c>
      <c r="AH315" s="328">
        <v>172.3</v>
      </c>
      <c r="AI315" s="328">
        <v>163.87</v>
      </c>
      <c r="AJ315" s="328">
        <v>153.97999999999999</v>
      </c>
      <c r="AK315" s="328">
        <v>142.32</v>
      </c>
      <c r="AL315" s="328">
        <v>130.38</v>
      </c>
      <c r="AM315" s="173"/>
      <c r="AN315" s="341"/>
      <c r="AO315" s="406"/>
      <c r="AP315" s="354"/>
      <c r="AQ315" s="11"/>
      <c r="AR315" s="11"/>
      <c r="AS315" s="485"/>
      <c r="AT315" s="406"/>
    </row>
    <row r="316" spans="1:46">
      <c r="A316" s="5"/>
      <c r="B316" s="44" t="s">
        <v>3210</v>
      </c>
      <c r="C316" s="44" t="s">
        <v>1703</v>
      </c>
      <c r="D316" s="44" t="s">
        <v>3469</v>
      </c>
      <c r="E316" s="44" t="s">
        <v>1927</v>
      </c>
      <c r="F316" s="44" t="s">
        <v>1928</v>
      </c>
      <c r="G316" s="44" t="s">
        <v>3374</v>
      </c>
      <c r="H316" s="44" t="s">
        <v>116</v>
      </c>
      <c r="I316" s="44" t="s">
        <v>1931</v>
      </c>
      <c r="J316" s="328">
        <v>50.1</v>
      </c>
      <c r="K316" s="44">
        <v>0</v>
      </c>
      <c r="L316" s="44">
        <v>0</v>
      </c>
      <c r="M316" s="44">
        <v>0</v>
      </c>
      <c r="N316" s="44">
        <v>0</v>
      </c>
      <c r="O316" s="44">
        <v>0</v>
      </c>
      <c r="P316" s="44">
        <v>0</v>
      </c>
      <c r="Q316" s="44">
        <v>67.08</v>
      </c>
      <c r="R316" s="44">
        <v>234.03</v>
      </c>
      <c r="S316" s="328">
        <v>277.05</v>
      </c>
      <c r="T316" s="328">
        <v>337.49</v>
      </c>
      <c r="U316" s="328">
        <v>396.45</v>
      </c>
      <c r="V316" s="328">
        <v>416.39</v>
      </c>
      <c r="W316" s="328">
        <v>435.41</v>
      </c>
      <c r="X316" s="328">
        <v>332.38</v>
      </c>
      <c r="Y316" s="328">
        <v>180.22</v>
      </c>
      <c r="Z316" s="328">
        <v>165.96</v>
      </c>
      <c r="AA316" s="328">
        <v>152.99</v>
      </c>
      <c r="AB316" s="328">
        <v>140.05000000000001</v>
      </c>
      <c r="AC316" s="328">
        <v>132.41</v>
      </c>
      <c r="AD316" s="328">
        <v>125.38</v>
      </c>
      <c r="AE316" s="328">
        <v>118.85</v>
      </c>
      <c r="AF316" s="328">
        <v>112.76</v>
      </c>
      <c r="AG316" s="328">
        <v>107.05</v>
      </c>
      <c r="AH316" s="328">
        <v>101.69</v>
      </c>
      <c r="AI316" s="328">
        <v>96.64</v>
      </c>
      <c r="AJ316" s="328">
        <v>91.87</v>
      </c>
      <c r="AK316" s="328">
        <v>87.34</v>
      </c>
      <c r="AL316" s="328">
        <v>83.06</v>
      </c>
      <c r="AM316" s="173"/>
      <c r="AN316" s="341"/>
      <c r="AO316" s="406"/>
      <c r="AP316" s="354"/>
      <c r="AQ316" s="11"/>
      <c r="AR316" s="11"/>
      <c r="AS316" s="485"/>
      <c r="AT316" s="406"/>
    </row>
    <row r="317" spans="1:46">
      <c r="A317" s="5"/>
      <c r="B317" s="44" t="s">
        <v>3210</v>
      </c>
      <c r="C317" s="44" t="s">
        <v>1703</v>
      </c>
      <c r="D317" s="44" t="s">
        <v>2048</v>
      </c>
      <c r="E317" s="44" t="s">
        <v>1927</v>
      </c>
      <c r="F317" s="44" t="s">
        <v>1928</v>
      </c>
      <c r="G317" s="44" t="s">
        <v>3374</v>
      </c>
      <c r="H317" s="44" t="s">
        <v>1930</v>
      </c>
      <c r="I317" s="44" t="s">
        <v>1931</v>
      </c>
      <c r="J317" s="328">
        <v>100</v>
      </c>
      <c r="K317" s="44">
        <v>0</v>
      </c>
      <c r="L317" s="44">
        <v>0</v>
      </c>
      <c r="M317" s="44">
        <v>0</v>
      </c>
      <c r="N317" s="44">
        <v>0</v>
      </c>
      <c r="O317" s="44">
        <v>0</v>
      </c>
      <c r="P317" s="44">
        <v>0</v>
      </c>
      <c r="Q317" s="44">
        <v>0</v>
      </c>
      <c r="R317" s="44">
        <v>0</v>
      </c>
      <c r="S317" s="328">
        <v>0</v>
      </c>
      <c r="T317" s="328">
        <v>0</v>
      </c>
      <c r="U317" s="328">
        <v>11.063000000000001</v>
      </c>
      <c r="V317" s="328">
        <v>26.745999999999999</v>
      </c>
      <c r="W317" s="328">
        <v>24.41</v>
      </c>
      <c r="X317" s="328">
        <v>23.65</v>
      </c>
      <c r="Y317" s="328">
        <v>22.9</v>
      </c>
      <c r="Z317" s="328">
        <v>22.18</v>
      </c>
      <c r="AA317" s="328">
        <v>21.49</v>
      </c>
      <c r="AB317" s="328">
        <v>20.81</v>
      </c>
      <c r="AC317" s="328">
        <v>20.16</v>
      </c>
      <c r="AD317" s="328">
        <v>19.52</v>
      </c>
      <c r="AE317" s="328">
        <v>18.920000000000002</v>
      </c>
      <c r="AF317" s="328">
        <v>18.309999999999999</v>
      </c>
      <c r="AG317" s="328">
        <v>17.73</v>
      </c>
      <c r="AH317" s="328">
        <v>17.170000000000002</v>
      </c>
      <c r="AI317" s="328">
        <v>16.649999999999999</v>
      </c>
      <c r="AJ317" s="328">
        <v>16.12</v>
      </c>
      <c r="AK317" s="328">
        <v>15.62</v>
      </c>
      <c r="AL317" s="328">
        <v>15.13</v>
      </c>
      <c r="AM317" s="173"/>
      <c r="AN317" s="341"/>
      <c r="AO317" s="406"/>
      <c r="AP317" s="354"/>
      <c r="AQ317" s="11"/>
      <c r="AR317" s="11"/>
      <c r="AS317" s="485"/>
      <c r="AT317" s="406"/>
    </row>
    <row r="318" spans="1:46">
      <c r="A318" s="5"/>
      <c r="B318" s="44" t="s">
        <v>3210</v>
      </c>
      <c r="C318" s="44" t="s">
        <v>1703</v>
      </c>
      <c r="D318" s="44" t="s">
        <v>1279</v>
      </c>
      <c r="E318" s="44" t="s">
        <v>1927</v>
      </c>
      <c r="F318" s="44" t="s">
        <v>1928</v>
      </c>
      <c r="G318" s="44" t="s">
        <v>1932</v>
      </c>
      <c r="H318" s="44" t="s">
        <v>116</v>
      </c>
      <c r="I318" s="44" t="s">
        <v>1931</v>
      </c>
      <c r="J318" s="328">
        <v>85</v>
      </c>
      <c r="K318" s="44">
        <v>0</v>
      </c>
      <c r="L318" s="44">
        <v>0</v>
      </c>
      <c r="M318" s="44">
        <v>0</v>
      </c>
      <c r="N318" s="44">
        <v>0</v>
      </c>
      <c r="O318" s="44">
        <v>0</v>
      </c>
      <c r="P318" s="44">
        <v>0</v>
      </c>
      <c r="Q318" s="44">
        <v>0</v>
      </c>
      <c r="R318" s="44">
        <v>0</v>
      </c>
      <c r="S318" s="328">
        <v>0</v>
      </c>
      <c r="T318" s="328">
        <v>0</v>
      </c>
      <c r="U318" s="328">
        <v>15.262</v>
      </c>
      <c r="V318" s="328">
        <v>35.814999999999998</v>
      </c>
      <c r="W318" s="328">
        <v>35.81</v>
      </c>
      <c r="X318" s="328">
        <v>36.880000000000003</v>
      </c>
      <c r="Y318" s="328">
        <v>39.020000000000003</v>
      </c>
      <c r="Z318" s="328">
        <v>39.19</v>
      </c>
      <c r="AA318" s="328">
        <v>39.369999999999997</v>
      </c>
      <c r="AB318" s="328">
        <v>38.5</v>
      </c>
      <c r="AC318" s="328">
        <v>37.57</v>
      </c>
      <c r="AD318" s="328">
        <v>35.67</v>
      </c>
      <c r="AE318" s="328">
        <v>33.840000000000003</v>
      </c>
      <c r="AF318" s="328">
        <v>32.11</v>
      </c>
      <c r="AG318" s="328">
        <v>30.51</v>
      </c>
      <c r="AH318" s="328">
        <v>28.93</v>
      </c>
      <c r="AI318" s="328">
        <v>27.47</v>
      </c>
      <c r="AJ318" s="328">
        <v>26.07</v>
      </c>
      <c r="AK318" s="328">
        <v>24.75</v>
      </c>
      <c r="AL318" s="328">
        <v>23.5</v>
      </c>
      <c r="AM318" s="173"/>
      <c r="AN318" s="341"/>
      <c r="AO318" s="406"/>
      <c r="AP318" s="354"/>
      <c r="AQ318" s="11"/>
      <c r="AR318" s="11"/>
      <c r="AS318" s="485"/>
      <c r="AT318" s="406"/>
    </row>
    <row r="319" spans="1:46">
      <c r="A319" s="5"/>
      <c r="B319" s="44" t="s">
        <v>3210</v>
      </c>
      <c r="C319" s="44" t="s">
        <v>1703</v>
      </c>
      <c r="D319" s="44" t="s">
        <v>3380</v>
      </c>
      <c r="E319" s="44" t="s">
        <v>1927</v>
      </c>
      <c r="F319" s="44" t="s">
        <v>1928</v>
      </c>
      <c r="G319" s="44" t="s">
        <v>3374</v>
      </c>
      <c r="H319" s="44" t="s">
        <v>116</v>
      </c>
      <c r="I319" s="44" t="s">
        <v>1931</v>
      </c>
      <c r="J319" s="328">
        <v>19.93</v>
      </c>
      <c r="K319" s="44">
        <v>0</v>
      </c>
      <c r="L319" s="44">
        <v>0</v>
      </c>
      <c r="M319" s="44">
        <v>0</v>
      </c>
      <c r="N319" s="44">
        <v>0</v>
      </c>
      <c r="O319" s="44">
        <v>0</v>
      </c>
      <c r="P319" s="44">
        <v>0</v>
      </c>
      <c r="Q319" s="44">
        <v>0</v>
      </c>
      <c r="R319" s="44">
        <v>0</v>
      </c>
      <c r="S319" s="328">
        <v>0</v>
      </c>
      <c r="T319" s="328">
        <v>1.44</v>
      </c>
      <c r="U319" s="328">
        <v>1.49</v>
      </c>
      <c r="V319" s="328">
        <v>1.46</v>
      </c>
      <c r="W319" s="328">
        <v>1.23</v>
      </c>
      <c r="X319" s="328">
        <v>1.1299999999999999</v>
      </c>
      <c r="Y319" s="328">
        <v>1.04</v>
      </c>
      <c r="Z319" s="328">
        <v>0.96</v>
      </c>
      <c r="AA319" s="328">
        <v>0.88</v>
      </c>
      <c r="AB319" s="328">
        <v>0.81</v>
      </c>
      <c r="AC319" s="328">
        <v>0.78</v>
      </c>
      <c r="AD319" s="328">
        <v>0.75</v>
      </c>
      <c r="AE319" s="328">
        <v>0.72</v>
      </c>
      <c r="AF319" s="328">
        <v>0.69</v>
      </c>
      <c r="AG319" s="328">
        <v>0.66</v>
      </c>
      <c r="AH319" s="328">
        <v>0.64</v>
      </c>
      <c r="AI319" s="328">
        <v>0.61</v>
      </c>
      <c r="AJ319" s="328">
        <v>0.59</v>
      </c>
      <c r="AK319" s="328">
        <v>0.56000000000000005</v>
      </c>
      <c r="AL319" s="328">
        <v>0.54</v>
      </c>
      <c r="AM319" s="173"/>
      <c r="AN319" s="341"/>
      <c r="AO319" s="406"/>
      <c r="AP319" s="354"/>
      <c r="AQ319" s="11"/>
      <c r="AR319" s="11"/>
      <c r="AS319" s="485"/>
      <c r="AT319" s="406"/>
    </row>
    <row r="320" spans="1:46">
      <c r="A320" s="5"/>
      <c r="B320" s="44" t="s">
        <v>3210</v>
      </c>
      <c r="C320" s="44" t="s">
        <v>1703</v>
      </c>
      <c r="D320" s="44" t="s">
        <v>3050</v>
      </c>
      <c r="E320" s="44" t="s">
        <v>1927</v>
      </c>
      <c r="F320" s="44" t="s">
        <v>1928</v>
      </c>
      <c r="G320" s="44" t="s">
        <v>3374</v>
      </c>
      <c r="H320" s="44" t="s">
        <v>1930</v>
      </c>
      <c r="I320" s="44" t="s">
        <v>1931</v>
      </c>
      <c r="J320" s="328">
        <v>74</v>
      </c>
      <c r="K320" s="44">
        <v>0</v>
      </c>
      <c r="L320" s="44">
        <v>0</v>
      </c>
      <c r="M320" s="44">
        <v>0</v>
      </c>
      <c r="N320" s="44">
        <v>0</v>
      </c>
      <c r="O320" s="44">
        <v>0</v>
      </c>
      <c r="P320" s="44">
        <v>0</v>
      </c>
      <c r="Q320" s="44">
        <v>0</v>
      </c>
      <c r="R320" s="44">
        <v>0</v>
      </c>
      <c r="S320" s="328">
        <v>0</v>
      </c>
      <c r="T320" s="328">
        <v>0</v>
      </c>
      <c r="U320" s="328">
        <v>46.509</v>
      </c>
      <c r="V320" s="328">
        <v>119.16500000000001</v>
      </c>
      <c r="W320" s="328">
        <v>127.55</v>
      </c>
      <c r="X320" s="328">
        <v>127.97</v>
      </c>
      <c r="Y320" s="328">
        <v>125.91</v>
      </c>
      <c r="Z320" s="328">
        <v>124.42</v>
      </c>
      <c r="AA320" s="328">
        <v>120.68</v>
      </c>
      <c r="AB320" s="328">
        <v>115.85</v>
      </c>
      <c r="AC320" s="328">
        <v>111.21</v>
      </c>
      <c r="AD320" s="328">
        <v>106.76</v>
      </c>
      <c r="AE320" s="328">
        <v>102.48</v>
      </c>
      <c r="AF320" s="328">
        <v>95.82</v>
      </c>
      <c r="AG320" s="328">
        <v>89.59</v>
      </c>
      <c r="AH320" s="328">
        <v>83.77</v>
      </c>
      <c r="AI320" s="328">
        <v>78.31</v>
      </c>
      <c r="AJ320" s="328">
        <v>73.23</v>
      </c>
      <c r="AK320" s="328">
        <v>68.459999999999994</v>
      </c>
      <c r="AL320" s="328">
        <v>64.02</v>
      </c>
      <c r="AM320" s="173"/>
      <c r="AN320" s="341"/>
      <c r="AO320" s="406"/>
      <c r="AP320" s="354"/>
      <c r="AQ320" s="11"/>
      <c r="AR320" s="11"/>
      <c r="AS320" s="485"/>
      <c r="AT320" s="406"/>
    </row>
    <row r="321" spans="1:46">
      <c r="A321" s="5"/>
      <c r="B321" s="44" t="s">
        <v>3210</v>
      </c>
      <c r="C321" s="44" t="s">
        <v>1703</v>
      </c>
      <c r="D321" s="44" t="s">
        <v>3050</v>
      </c>
      <c r="E321" s="44" t="s">
        <v>1927</v>
      </c>
      <c r="F321" s="44" t="s">
        <v>1928</v>
      </c>
      <c r="G321" s="44" t="s">
        <v>3374</v>
      </c>
      <c r="H321" s="44" t="s">
        <v>1930</v>
      </c>
      <c r="I321" s="44" t="s">
        <v>1931</v>
      </c>
      <c r="J321" s="328">
        <v>5.94</v>
      </c>
      <c r="K321" s="44">
        <v>0</v>
      </c>
      <c r="L321" s="44">
        <v>0</v>
      </c>
      <c r="M321" s="44">
        <v>0</v>
      </c>
      <c r="N321" s="44">
        <v>0.02</v>
      </c>
      <c r="O321" s="44">
        <v>0.2</v>
      </c>
      <c r="P321" s="44">
        <v>0.78</v>
      </c>
      <c r="Q321" s="44">
        <v>6.36</v>
      </c>
      <c r="R321" s="44">
        <v>13.5</v>
      </c>
      <c r="S321" s="328">
        <v>26.06</v>
      </c>
      <c r="T321" s="328">
        <v>36.56</v>
      </c>
      <c r="U321" s="328">
        <v>39.979999999999997</v>
      </c>
      <c r="V321" s="328">
        <v>42.56</v>
      </c>
      <c r="W321" s="328">
        <v>44.71</v>
      </c>
      <c r="X321" s="328">
        <v>44.86</v>
      </c>
      <c r="Y321" s="328">
        <v>24.29</v>
      </c>
      <c r="Z321" s="328">
        <v>9.99</v>
      </c>
      <c r="AA321" s="328">
        <v>9.69</v>
      </c>
      <c r="AB321" s="328">
        <v>9.3000000000000007</v>
      </c>
      <c r="AC321" s="328">
        <v>8.93</v>
      </c>
      <c r="AD321" s="328">
        <v>8.57</v>
      </c>
      <c r="AE321" s="328">
        <v>8.23</v>
      </c>
      <c r="AF321" s="328">
        <v>7.69</v>
      </c>
      <c r="AG321" s="328">
        <v>7.19</v>
      </c>
      <c r="AH321" s="328">
        <v>6.72</v>
      </c>
      <c r="AI321" s="328">
        <v>6.29</v>
      </c>
      <c r="AJ321" s="328">
        <v>5.88</v>
      </c>
      <c r="AK321" s="328">
        <v>5.5</v>
      </c>
      <c r="AL321" s="328">
        <v>5.14</v>
      </c>
      <c r="AM321" s="173"/>
      <c r="AN321" s="341"/>
      <c r="AO321" s="406"/>
      <c r="AP321" s="354"/>
      <c r="AQ321" s="11"/>
      <c r="AR321" s="11"/>
      <c r="AS321" s="485"/>
      <c r="AT321" s="406"/>
    </row>
    <row r="322" spans="1:46">
      <c r="A322" s="5"/>
      <c r="B322" s="44" t="s">
        <v>3210</v>
      </c>
      <c r="C322" s="44" t="s">
        <v>1703</v>
      </c>
      <c r="D322" s="44" t="s">
        <v>2568</v>
      </c>
      <c r="E322" s="44" t="s">
        <v>2254</v>
      </c>
      <c r="F322" s="44" t="s">
        <v>1928</v>
      </c>
      <c r="G322" s="44" t="s">
        <v>3374</v>
      </c>
      <c r="H322" s="44" t="s">
        <v>1930</v>
      </c>
      <c r="I322" s="44" t="s">
        <v>1931</v>
      </c>
      <c r="J322" s="328">
        <v>50</v>
      </c>
      <c r="K322" s="44">
        <v>0</v>
      </c>
      <c r="L322" s="44">
        <v>0</v>
      </c>
      <c r="M322" s="44">
        <v>0</v>
      </c>
      <c r="N322" s="44">
        <v>0</v>
      </c>
      <c r="O322" s="44">
        <v>0</v>
      </c>
      <c r="P322" s="44">
        <v>0</v>
      </c>
      <c r="Q322" s="44">
        <v>0.49</v>
      </c>
      <c r="R322" s="44">
        <v>0.49</v>
      </c>
      <c r="S322" s="328">
        <v>0.51</v>
      </c>
      <c r="T322" s="328">
        <v>0.87</v>
      </c>
      <c r="U322" s="328">
        <v>0.25</v>
      </c>
      <c r="V322" s="328">
        <v>0.28999999999999998</v>
      </c>
      <c r="W322" s="328">
        <v>0.32</v>
      </c>
      <c r="X322" s="328">
        <v>0</v>
      </c>
      <c r="Y322" s="328">
        <v>0</v>
      </c>
      <c r="Z322" s="328">
        <v>0</v>
      </c>
      <c r="AA322" s="328">
        <v>0</v>
      </c>
      <c r="AB322" s="328">
        <v>0</v>
      </c>
      <c r="AC322" s="328">
        <v>0</v>
      </c>
      <c r="AD322" s="328">
        <v>0</v>
      </c>
      <c r="AE322" s="328">
        <v>0</v>
      </c>
      <c r="AF322" s="328">
        <v>0</v>
      </c>
      <c r="AG322" s="328">
        <v>0</v>
      </c>
      <c r="AH322" s="328">
        <v>0</v>
      </c>
      <c r="AI322" s="328">
        <v>0</v>
      </c>
      <c r="AJ322" s="328">
        <v>0</v>
      </c>
      <c r="AK322" s="328">
        <v>0</v>
      </c>
      <c r="AL322" s="328">
        <v>0</v>
      </c>
      <c r="AM322" s="173"/>
      <c r="AN322" s="341"/>
      <c r="AO322" s="406"/>
      <c r="AP322" s="354"/>
      <c r="AQ322" s="11"/>
      <c r="AR322" s="11"/>
      <c r="AS322" s="485"/>
      <c r="AT322" s="406"/>
    </row>
    <row r="323" spans="1:46">
      <c r="A323" s="5"/>
      <c r="B323" s="44" t="s">
        <v>3210</v>
      </c>
      <c r="C323" s="44" t="s">
        <v>1703</v>
      </c>
      <c r="D323" s="44" t="s">
        <v>3526</v>
      </c>
      <c r="E323" s="44" t="s">
        <v>1927</v>
      </c>
      <c r="F323" s="44" t="s">
        <v>1928</v>
      </c>
      <c r="G323" s="44" t="s">
        <v>3374</v>
      </c>
      <c r="H323" s="44" t="s">
        <v>1930</v>
      </c>
      <c r="I323" s="44" t="s">
        <v>1931</v>
      </c>
      <c r="J323" s="328">
        <v>100</v>
      </c>
      <c r="K323" s="44">
        <v>0</v>
      </c>
      <c r="L323" s="44">
        <v>0</v>
      </c>
      <c r="M323" s="44">
        <v>0</v>
      </c>
      <c r="N323" s="44">
        <v>0</v>
      </c>
      <c r="O323" s="44">
        <v>0</v>
      </c>
      <c r="P323" s="44">
        <v>0</v>
      </c>
      <c r="Q323" s="44">
        <v>0</v>
      </c>
      <c r="R323" s="44">
        <v>0</v>
      </c>
      <c r="S323" s="328">
        <v>0</v>
      </c>
      <c r="T323" s="328">
        <v>0</v>
      </c>
      <c r="U323" s="328">
        <v>6.41</v>
      </c>
      <c r="V323" s="328">
        <v>12.544</v>
      </c>
      <c r="W323" s="328">
        <v>13.27</v>
      </c>
      <c r="X323" s="328">
        <v>12.76</v>
      </c>
      <c r="Y323" s="328">
        <v>12.28</v>
      </c>
      <c r="Z323" s="328">
        <v>11.81</v>
      </c>
      <c r="AA323" s="328">
        <v>11.38</v>
      </c>
      <c r="AB323" s="328">
        <v>10.91</v>
      </c>
      <c r="AC323" s="328">
        <v>10.52</v>
      </c>
      <c r="AD323" s="328">
        <v>10.130000000000001</v>
      </c>
      <c r="AE323" s="328">
        <v>9.74</v>
      </c>
      <c r="AF323" s="328">
        <v>9.36</v>
      </c>
      <c r="AG323" s="328">
        <v>9.01</v>
      </c>
      <c r="AH323" s="328">
        <v>8.68</v>
      </c>
      <c r="AI323" s="328">
        <v>8.35</v>
      </c>
      <c r="AJ323" s="328">
        <v>8.0399999999999991</v>
      </c>
      <c r="AK323" s="328">
        <v>7.73</v>
      </c>
      <c r="AL323" s="328">
        <v>7.44</v>
      </c>
      <c r="AM323" s="173"/>
      <c r="AN323" s="341"/>
      <c r="AO323" s="406"/>
      <c r="AP323" s="354"/>
      <c r="AQ323" s="11"/>
      <c r="AR323" s="11"/>
      <c r="AS323" s="485"/>
      <c r="AT323" s="406"/>
    </row>
    <row r="324" spans="1:46">
      <c r="A324" s="5"/>
      <c r="B324" s="44" t="s">
        <v>3210</v>
      </c>
      <c r="C324" s="44" t="s">
        <v>1703</v>
      </c>
      <c r="D324" s="44" t="s">
        <v>3381</v>
      </c>
      <c r="E324" s="44" t="s">
        <v>1927</v>
      </c>
      <c r="F324" s="44" t="s">
        <v>1928</v>
      </c>
      <c r="G324" s="44" t="s">
        <v>3374</v>
      </c>
      <c r="H324" s="44" t="s">
        <v>116</v>
      </c>
      <c r="I324" s="44" t="s">
        <v>1931</v>
      </c>
      <c r="J324" s="328">
        <v>100</v>
      </c>
      <c r="K324" s="44">
        <v>0</v>
      </c>
      <c r="L324" s="44">
        <v>24.19</v>
      </c>
      <c r="M324" s="44">
        <v>279.7</v>
      </c>
      <c r="N324" s="44">
        <v>299.33</v>
      </c>
      <c r="O324" s="44">
        <v>318.10000000000002</v>
      </c>
      <c r="P324" s="44">
        <v>312.18</v>
      </c>
      <c r="Q324" s="44">
        <v>302.20999999999998</v>
      </c>
      <c r="R324" s="44">
        <v>302.76</v>
      </c>
      <c r="S324" s="328">
        <v>311.23</v>
      </c>
      <c r="T324" s="328">
        <v>313.39999999999998</v>
      </c>
      <c r="U324" s="328">
        <v>281.5</v>
      </c>
      <c r="V324" s="328">
        <v>282.87</v>
      </c>
      <c r="W324" s="328">
        <v>299.89</v>
      </c>
      <c r="X324" s="328">
        <v>314.42</v>
      </c>
      <c r="Y324" s="328">
        <v>318.27</v>
      </c>
      <c r="Z324" s="328">
        <v>273.72000000000003</v>
      </c>
      <c r="AA324" s="328">
        <v>275.33999999999997</v>
      </c>
      <c r="AB324" s="328">
        <v>261.99</v>
      </c>
      <c r="AC324" s="328">
        <v>247.93</v>
      </c>
      <c r="AD324" s="328">
        <v>235.15</v>
      </c>
      <c r="AE324" s="328">
        <v>220.42</v>
      </c>
      <c r="AF324" s="328">
        <v>206.92</v>
      </c>
      <c r="AG324" s="328">
        <v>194.28</v>
      </c>
      <c r="AH324" s="328">
        <v>182.55</v>
      </c>
      <c r="AI324" s="328">
        <v>171.52</v>
      </c>
      <c r="AJ324" s="328">
        <v>161.37</v>
      </c>
      <c r="AK324" s="328">
        <v>151.85</v>
      </c>
      <c r="AL324" s="328">
        <v>143.03</v>
      </c>
      <c r="AM324" s="173"/>
      <c r="AN324" s="341"/>
      <c r="AO324" s="406"/>
      <c r="AP324" s="354"/>
      <c r="AQ324" s="11"/>
      <c r="AR324" s="11"/>
      <c r="AS324" s="485"/>
      <c r="AT324" s="406"/>
    </row>
    <row r="325" spans="1:46">
      <c r="A325" s="5"/>
      <c r="B325" s="44" t="s">
        <v>3210</v>
      </c>
      <c r="C325" s="44" t="s">
        <v>1703</v>
      </c>
      <c r="D325" s="44" t="s">
        <v>3382</v>
      </c>
      <c r="E325" s="44" t="s">
        <v>2970</v>
      </c>
      <c r="F325" s="44" t="s">
        <v>1928</v>
      </c>
      <c r="G325" s="44" t="s">
        <v>1932</v>
      </c>
      <c r="H325" s="44" t="s">
        <v>1930</v>
      </c>
      <c r="I325" s="44" t="s">
        <v>1931</v>
      </c>
      <c r="J325" s="328">
        <v>99.87</v>
      </c>
      <c r="K325" s="44">
        <v>0</v>
      </c>
      <c r="L325" s="44">
        <v>0</v>
      </c>
      <c r="M325" s="44">
        <v>0</v>
      </c>
      <c r="N325" s="44">
        <v>0</v>
      </c>
      <c r="O325" s="44">
        <v>0.37</v>
      </c>
      <c r="P325" s="44">
        <v>0.4</v>
      </c>
      <c r="Q325" s="44">
        <v>0.65</v>
      </c>
      <c r="R325" s="44">
        <v>0.89</v>
      </c>
      <c r="S325" s="328">
        <v>0.89</v>
      </c>
      <c r="T325" s="328">
        <v>0.96</v>
      </c>
      <c r="U325" s="328">
        <v>1.05</v>
      </c>
      <c r="V325" s="328">
        <v>1.0900000000000001</v>
      </c>
      <c r="W325" s="328">
        <v>1.1000000000000001</v>
      </c>
      <c r="X325" s="328">
        <v>2.08</v>
      </c>
      <c r="Y325" s="328">
        <v>11.7</v>
      </c>
      <c r="Z325" s="328">
        <v>32.17</v>
      </c>
      <c r="AA325" s="328">
        <v>90.05</v>
      </c>
      <c r="AB325" s="328">
        <v>100.72</v>
      </c>
      <c r="AC325" s="328">
        <v>98.36</v>
      </c>
      <c r="AD325" s="328">
        <v>101.49</v>
      </c>
      <c r="AE325" s="328">
        <v>119.24</v>
      </c>
      <c r="AF325" s="328">
        <v>132.47999999999999</v>
      </c>
      <c r="AG325" s="328">
        <v>143.72</v>
      </c>
      <c r="AH325" s="328">
        <v>146.13</v>
      </c>
      <c r="AI325" s="328">
        <v>136.13999999999999</v>
      </c>
      <c r="AJ325" s="328">
        <v>127.59</v>
      </c>
      <c r="AK325" s="328">
        <v>119.91</v>
      </c>
      <c r="AL325" s="328">
        <v>112.73</v>
      </c>
      <c r="AM325" s="173"/>
      <c r="AN325" s="341"/>
      <c r="AO325" s="406"/>
      <c r="AP325" s="354"/>
      <c r="AQ325" s="11"/>
      <c r="AR325" s="11"/>
      <c r="AS325" s="485"/>
      <c r="AT325" s="406"/>
    </row>
    <row r="326" spans="1:46">
      <c r="A326" s="5"/>
      <c r="B326" s="44" t="s">
        <v>3210</v>
      </c>
      <c r="C326" s="44" t="s">
        <v>1036</v>
      </c>
      <c r="D326" s="44" t="s">
        <v>1037</v>
      </c>
      <c r="E326" s="44" t="s">
        <v>1927</v>
      </c>
      <c r="F326" s="44" t="s">
        <v>1928</v>
      </c>
      <c r="G326" s="44" t="s">
        <v>3374</v>
      </c>
      <c r="H326" s="44" t="s">
        <v>1930</v>
      </c>
      <c r="I326" s="44" t="s">
        <v>1931</v>
      </c>
      <c r="J326" s="328">
        <v>26.67</v>
      </c>
      <c r="K326" s="44">
        <v>0</v>
      </c>
      <c r="L326" s="44">
        <v>0</v>
      </c>
      <c r="M326" s="44">
        <v>0</v>
      </c>
      <c r="N326" s="44">
        <v>0</v>
      </c>
      <c r="O326" s="44">
        <v>0</v>
      </c>
      <c r="P326" s="44">
        <v>0</v>
      </c>
      <c r="Q326" s="44">
        <v>0</v>
      </c>
      <c r="R326" s="44">
        <v>0</v>
      </c>
      <c r="S326" s="328">
        <v>0</v>
      </c>
      <c r="T326" s="328">
        <v>0</v>
      </c>
      <c r="U326" s="328">
        <v>1.78</v>
      </c>
      <c r="V326" s="328">
        <v>1.87</v>
      </c>
      <c r="W326" s="328">
        <v>1.33</v>
      </c>
      <c r="X326" s="328">
        <v>1.1299999999999999</v>
      </c>
      <c r="Y326" s="328">
        <v>0.96</v>
      </c>
      <c r="Z326" s="328">
        <v>0.82</v>
      </c>
      <c r="AA326" s="328">
        <v>0.7</v>
      </c>
      <c r="AB326" s="328">
        <v>0.59</v>
      </c>
      <c r="AC326" s="328">
        <v>0.5</v>
      </c>
      <c r="AD326" s="328">
        <v>0.43</v>
      </c>
      <c r="AE326" s="328">
        <v>0.36</v>
      </c>
      <c r="AF326" s="328">
        <v>0.31</v>
      </c>
      <c r="AG326" s="328">
        <v>0.26</v>
      </c>
      <c r="AH326" s="328">
        <v>0.22</v>
      </c>
      <c r="AI326" s="328">
        <v>0</v>
      </c>
      <c r="AJ326" s="328">
        <v>0</v>
      </c>
      <c r="AK326" s="328">
        <v>0</v>
      </c>
      <c r="AL326" s="328">
        <v>0</v>
      </c>
      <c r="AM326" s="173"/>
      <c r="AN326" s="341"/>
      <c r="AO326" s="406"/>
      <c r="AP326" s="354"/>
      <c r="AQ326" s="11"/>
      <c r="AR326" s="11"/>
      <c r="AS326" s="485"/>
      <c r="AT326" s="406"/>
    </row>
    <row r="327" spans="1:46">
      <c r="A327" s="5"/>
      <c r="B327" s="44" t="s">
        <v>3210</v>
      </c>
      <c r="C327" s="44" t="s">
        <v>1036</v>
      </c>
      <c r="D327" s="44" t="s">
        <v>3711</v>
      </c>
      <c r="E327" s="44" t="s">
        <v>1927</v>
      </c>
      <c r="F327" s="44" t="s">
        <v>1928</v>
      </c>
      <c r="G327" s="44" t="s">
        <v>217</v>
      </c>
      <c r="H327" s="44" t="s">
        <v>1930</v>
      </c>
      <c r="I327" s="44" t="s">
        <v>1931</v>
      </c>
      <c r="J327" s="328">
        <v>32</v>
      </c>
      <c r="K327" s="44">
        <v>0</v>
      </c>
      <c r="L327" s="44">
        <v>0</v>
      </c>
      <c r="M327" s="44">
        <v>0</v>
      </c>
      <c r="N327" s="44">
        <v>0</v>
      </c>
      <c r="O327" s="44">
        <v>0</v>
      </c>
      <c r="P327" s="44">
        <v>0</v>
      </c>
      <c r="Q327" s="44">
        <v>0</v>
      </c>
      <c r="R327" s="44">
        <v>0</v>
      </c>
      <c r="S327" s="328">
        <v>0</v>
      </c>
      <c r="T327" s="328">
        <v>3.6999999999999998E-2</v>
      </c>
      <c r="U327" s="328">
        <v>1.5589999999999999</v>
      </c>
      <c r="V327" s="328">
        <v>1.2090000000000001</v>
      </c>
      <c r="W327" s="328">
        <v>2.8319999999999999</v>
      </c>
      <c r="X327" s="328">
        <v>3.2</v>
      </c>
      <c r="Y327" s="328">
        <v>2.56</v>
      </c>
      <c r="Z327" s="328">
        <v>3.512</v>
      </c>
      <c r="AA327" s="328">
        <v>3.504</v>
      </c>
      <c r="AB327" s="328">
        <v>3.512</v>
      </c>
      <c r="AC327" s="328">
        <v>3.8719999999999999</v>
      </c>
      <c r="AD327" s="328">
        <v>5.2240000000000002</v>
      </c>
      <c r="AE327" s="328">
        <v>7.6879999999999997</v>
      </c>
      <c r="AF327" s="328">
        <v>11.263999999999999</v>
      </c>
      <c r="AG327" s="328">
        <v>15.808</v>
      </c>
      <c r="AH327" s="328">
        <v>20.327999999999999</v>
      </c>
      <c r="AI327" s="328">
        <v>24.16</v>
      </c>
      <c r="AJ327" s="328">
        <v>27.423999999999999</v>
      </c>
      <c r="AK327" s="328">
        <v>30.103999999999999</v>
      </c>
      <c r="AL327" s="328">
        <v>32.088000000000001</v>
      </c>
      <c r="AM327" s="173"/>
      <c r="AN327" s="341"/>
      <c r="AO327" s="406"/>
      <c r="AP327" s="354"/>
      <c r="AQ327" s="11"/>
      <c r="AR327" s="11"/>
      <c r="AS327" s="485"/>
      <c r="AT327" s="406"/>
    </row>
    <row r="328" spans="1:46">
      <c r="A328" s="5"/>
      <c r="B328" s="44" t="s">
        <v>3210</v>
      </c>
      <c r="C328" s="44" t="s">
        <v>1036</v>
      </c>
      <c r="D328" s="44" t="s">
        <v>1373</v>
      </c>
      <c r="E328" s="44" t="s">
        <v>1927</v>
      </c>
      <c r="F328" s="44" t="s">
        <v>1928</v>
      </c>
      <c r="G328" s="44" t="s">
        <v>217</v>
      </c>
      <c r="H328" s="44" t="s">
        <v>116</v>
      </c>
      <c r="I328" s="44" t="s">
        <v>1933</v>
      </c>
      <c r="J328" s="328">
        <v>40</v>
      </c>
      <c r="K328" s="44">
        <v>0</v>
      </c>
      <c r="L328" s="44">
        <v>0</v>
      </c>
      <c r="M328" s="44">
        <v>0</v>
      </c>
      <c r="N328" s="44">
        <v>0</v>
      </c>
      <c r="O328" s="44">
        <v>0</v>
      </c>
      <c r="P328" s="44">
        <v>0</v>
      </c>
      <c r="Q328" s="44">
        <v>0</v>
      </c>
      <c r="R328" s="44">
        <v>0</v>
      </c>
      <c r="S328" s="328">
        <v>0</v>
      </c>
      <c r="T328" s="328">
        <v>0</v>
      </c>
      <c r="U328" s="328">
        <v>17.77</v>
      </c>
      <c r="V328" s="328">
        <v>20.16</v>
      </c>
      <c r="W328" s="328">
        <v>19.989999999999998</v>
      </c>
      <c r="X328" s="328">
        <v>38.659999999999997</v>
      </c>
      <c r="Y328" s="328">
        <v>47.34</v>
      </c>
      <c r="Z328" s="328">
        <v>49.31</v>
      </c>
      <c r="AA328" s="328">
        <v>49.09</v>
      </c>
      <c r="AB328" s="328">
        <v>51.52</v>
      </c>
      <c r="AC328" s="328">
        <v>51.83</v>
      </c>
      <c r="AD328" s="328">
        <v>53.31</v>
      </c>
      <c r="AE328" s="328">
        <v>51.56</v>
      </c>
      <c r="AF328" s="328">
        <v>51.62</v>
      </c>
      <c r="AG328" s="328">
        <v>49.46</v>
      </c>
      <c r="AH328" s="328">
        <v>50.85</v>
      </c>
      <c r="AI328" s="328">
        <v>50</v>
      </c>
      <c r="AJ328" s="328">
        <v>51.06</v>
      </c>
      <c r="AK328" s="328">
        <v>50.28</v>
      </c>
      <c r="AL328" s="328">
        <v>51.82</v>
      </c>
      <c r="AM328" s="173"/>
      <c r="AN328" s="341"/>
      <c r="AO328" s="406"/>
      <c r="AP328" s="354"/>
      <c r="AQ328" s="11"/>
      <c r="AR328" s="11"/>
      <c r="AS328" s="485"/>
      <c r="AT328" s="406"/>
    </row>
    <row r="329" spans="1:46">
      <c r="A329" s="5"/>
      <c r="B329" s="44" t="s">
        <v>3210</v>
      </c>
      <c r="C329" s="44" t="s">
        <v>1374</v>
      </c>
      <c r="D329" s="44" t="s">
        <v>1375</v>
      </c>
      <c r="E329" s="44" t="s">
        <v>1927</v>
      </c>
      <c r="F329" s="44" t="s">
        <v>2960</v>
      </c>
      <c r="G329" s="44" t="s">
        <v>1931</v>
      </c>
      <c r="H329" s="44" t="s">
        <v>116</v>
      </c>
      <c r="I329" s="44" t="s">
        <v>2600</v>
      </c>
      <c r="J329" s="328">
        <v>35</v>
      </c>
      <c r="K329" s="44">
        <v>0</v>
      </c>
      <c r="L329" s="44">
        <v>0</v>
      </c>
      <c r="M329" s="44">
        <v>0</v>
      </c>
      <c r="N329" s="44">
        <v>0</v>
      </c>
      <c r="O329" s="44">
        <v>0</v>
      </c>
      <c r="P329" s="44">
        <v>0</v>
      </c>
      <c r="Q329" s="44">
        <v>0</v>
      </c>
      <c r="R329" s="44">
        <v>0</v>
      </c>
      <c r="S329" s="328">
        <v>0</v>
      </c>
      <c r="T329" s="328">
        <v>0</v>
      </c>
      <c r="U329" s="328">
        <v>0.62</v>
      </c>
      <c r="V329" s="328">
        <v>0.45</v>
      </c>
      <c r="W329" s="328">
        <v>0.39</v>
      </c>
      <c r="X329" s="328">
        <v>0.32</v>
      </c>
      <c r="Y329" s="328">
        <v>0.3</v>
      </c>
      <c r="Z329" s="328">
        <v>0.33</v>
      </c>
      <c r="AA329" s="328">
        <v>0.26</v>
      </c>
      <c r="AB329" s="328">
        <v>0.25</v>
      </c>
      <c r="AC329" s="328">
        <v>0.28000000000000003</v>
      </c>
      <c r="AD329" s="328">
        <v>0.22</v>
      </c>
      <c r="AE329" s="328">
        <v>0.15</v>
      </c>
      <c r="AF329" s="328">
        <v>0.11</v>
      </c>
      <c r="AG329" s="328">
        <v>7.0000000000000007E-2</v>
      </c>
      <c r="AH329" s="328">
        <v>0.05</v>
      </c>
      <c r="AI329" s="328">
        <v>0.04</v>
      </c>
      <c r="AJ329" s="328">
        <v>0.04</v>
      </c>
      <c r="AK329" s="328">
        <v>0</v>
      </c>
      <c r="AL329" s="328">
        <v>0</v>
      </c>
      <c r="AM329" s="173"/>
      <c r="AN329" s="341"/>
      <c r="AO329" s="406"/>
      <c r="AP329" s="354"/>
      <c r="AQ329" s="11"/>
      <c r="AR329" s="11"/>
      <c r="AS329" s="485"/>
      <c r="AT329" s="406"/>
    </row>
    <row r="330" spans="1:46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173"/>
      <c r="AN330" s="341"/>
      <c r="AO330" s="406"/>
      <c r="AP330" s="486"/>
      <c r="AQ330" s="11"/>
      <c r="AR330" s="11"/>
      <c r="AS330" s="485"/>
      <c r="AT330" s="485"/>
    </row>
    <row r="331" spans="1:46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173"/>
      <c r="AN331" s="341"/>
      <c r="AO331" s="406"/>
      <c r="AP331" s="486"/>
      <c r="AQ331" s="11"/>
      <c r="AR331" s="11"/>
      <c r="AS331" s="485"/>
      <c r="AT331" s="485"/>
    </row>
    <row r="332" spans="1:46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173"/>
      <c r="AN332" s="341"/>
      <c r="AO332" s="406"/>
      <c r="AP332" s="486"/>
      <c r="AQ332" s="11"/>
      <c r="AR332" s="11"/>
      <c r="AS332" s="485"/>
      <c r="AT332" s="485"/>
    </row>
    <row r="333" spans="1:46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173"/>
      <c r="AN333" s="341"/>
      <c r="AO333" s="406"/>
      <c r="AP333" s="486"/>
      <c r="AQ333" s="11"/>
      <c r="AR333" s="11"/>
      <c r="AS333" s="485"/>
      <c r="AT333" s="406"/>
    </row>
    <row r="334" spans="1:46">
      <c r="A334" s="5"/>
      <c r="B334" s="329" t="s">
        <v>2427</v>
      </c>
      <c r="C334" s="5"/>
      <c r="D334" s="5"/>
      <c r="E334" s="5"/>
      <c r="F334" s="5"/>
      <c r="G334" s="5"/>
      <c r="H334" s="5"/>
      <c r="I334" s="5"/>
      <c r="J334" s="5"/>
      <c r="K334" s="104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173"/>
      <c r="AN334" s="341"/>
      <c r="AO334" s="406"/>
      <c r="AP334" s="486"/>
      <c r="AQ334" s="11"/>
      <c r="AR334" s="11"/>
      <c r="AS334" s="485"/>
      <c r="AT334" s="406"/>
    </row>
    <row r="335" spans="1:46">
      <c r="A335" s="5"/>
      <c r="B335" s="34" t="s">
        <v>398</v>
      </c>
      <c r="C335" s="34" t="s">
        <v>399</v>
      </c>
      <c r="D335" s="34" t="s">
        <v>400</v>
      </c>
      <c r="E335" s="34" t="s">
        <v>368</v>
      </c>
      <c r="F335" s="34" t="s">
        <v>369</v>
      </c>
      <c r="G335" s="34" t="s">
        <v>370</v>
      </c>
      <c r="H335" s="34" t="s">
        <v>371</v>
      </c>
      <c r="I335" s="34" t="s">
        <v>372</v>
      </c>
      <c r="J335" s="32" t="s">
        <v>1472</v>
      </c>
      <c r="K335" s="32">
        <v>2003</v>
      </c>
      <c r="L335" s="32">
        <v>2004</v>
      </c>
      <c r="M335" s="32">
        <v>2005</v>
      </c>
      <c r="N335" s="32">
        <v>2006</v>
      </c>
      <c r="O335" s="32">
        <v>2007</v>
      </c>
      <c r="P335" s="32">
        <v>2008</v>
      </c>
      <c r="Q335" s="32">
        <v>2009</v>
      </c>
      <c r="R335" s="32">
        <v>2010</v>
      </c>
      <c r="S335" s="32">
        <v>2011</v>
      </c>
      <c r="T335" s="32">
        <v>2012</v>
      </c>
      <c r="U335" s="32">
        <v>2013</v>
      </c>
      <c r="V335" s="32">
        <v>2014</v>
      </c>
      <c r="W335" s="32">
        <v>2015</v>
      </c>
      <c r="X335" s="32">
        <v>2016</v>
      </c>
      <c r="Y335" s="32">
        <v>2017</v>
      </c>
      <c r="Z335" s="32">
        <v>2018</v>
      </c>
      <c r="AA335" s="32">
        <v>2019</v>
      </c>
      <c r="AB335" s="32">
        <v>2020</v>
      </c>
      <c r="AC335" s="32">
        <v>2021</v>
      </c>
      <c r="AD335" s="32">
        <v>2022</v>
      </c>
      <c r="AE335" s="32">
        <v>2023</v>
      </c>
      <c r="AF335" s="32">
        <v>2024</v>
      </c>
      <c r="AG335" s="32">
        <v>2025</v>
      </c>
      <c r="AH335" s="32">
        <v>2026</v>
      </c>
      <c r="AI335" s="32">
        <v>2027</v>
      </c>
      <c r="AJ335" s="32">
        <v>2028</v>
      </c>
      <c r="AK335" s="32">
        <v>2029</v>
      </c>
      <c r="AL335" s="32">
        <v>2030</v>
      </c>
      <c r="AM335" s="534" t="s">
        <v>307</v>
      </c>
      <c r="AN335" s="34" t="s">
        <v>308</v>
      </c>
      <c r="AP335" s="471"/>
      <c r="AQ335" s="11"/>
      <c r="AR335" s="11"/>
      <c r="AS335" s="354"/>
    </row>
    <row r="336" spans="1:46">
      <c r="A336" s="5"/>
      <c r="B336" s="55" t="s">
        <v>3369</v>
      </c>
      <c r="C336" s="55" t="s">
        <v>2926</v>
      </c>
      <c r="D336" s="55" t="s">
        <v>3522</v>
      </c>
      <c r="E336" s="55" t="s">
        <v>1927</v>
      </c>
      <c r="F336" s="55" t="s">
        <v>1928</v>
      </c>
      <c r="G336" s="55" t="s">
        <v>3374</v>
      </c>
      <c r="H336" s="55" t="s">
        <v>1930</v>
      </c>
      <c r="I336" s="55" t="s">
        <v>1931</v>
      </c>
      <c r="J336" s="418">
        <v>49.4</v>
      </c>
      <c r="K336" s="296"/>
      <c r="L336" s="296"/>
      <c r="M336" s="296"/>
      <c r="N336" s="296"/>
      <c r="O336" s="296"/>
      <c r="P336" s="296"/>
      <c r="Q336" s="296"/>
      <c r="R336" s="296"/>
      <c r="S336" s="296"/>
      <c r="T336" s="296"/>
      <c r="U336" s="330"/>
      <c r="V336" s="330">
        <f t="shared" ref="V336:AL336" si="23">(INDEX(V$9:V$266,MATCH($D336,$D$9:$D$266,0))/(INDEX($J$9:$J$266,MATCH($D336,$D$9:$D$266,0))/100))*($J336/100-INDEX($J$9:$J$266,MATCH($D336,$D$9:$D$266,0))/100)</f>
        <v>-0.18576000000000017</v>
      </c>
      <c r="W336" s="330">
        <f t="shared" si="23"/>
        <v>-9.9240000000000078E-2</v>
      </c>
      <c r="X336" s="330">
        <f t="shared" si="23"/>
        <v>-0.1075200000000001</v>
      </c>
      <c r="Y336" s="330">
        <f t="shared" si="23"/>
        <v>-0.1292400000000001</v>
      </c>
      <c r="Z336" s="330">
        <f t="shared" si="23"/>
        <v>-0.13068000000000013</v>
      </c>
      <c r="AA336" s="330">
        <f t="shared" si="23"/>
        <v>-0.12720000000000012</v>
      </c>
      <c r="AB336" s="330">
        <f t="shared" si="23"/>
        <v>-0.11976000000000012</v>
      </c>
      <c r="AC336" s="330">
        <f t="shared" si="23"/>
        <v>-0.1099200000000001</v>
      </c>
      <c r="AD336" s="330">
        <f t="shared" si="23"/>
        <v>-9.8760000000000098E-2</v>
      </c>
      <c r="AE336" s="330">
        <f t="shared" si="23"/>
        <v>-8.8560000000000083E-2</v>
      </c>
      <c r="AF336" s="330">
        <f t="shared" si="23"/>
        <v>-7.560000000000007E-2</v>
      </c>
      <c r="AG336" s="330">
        <f t="shared" si="23"/>
        <v>-6.024000000000005E-2</v>
      </c>
      <c r="AH336" s="330">
        <f t="shared" si="23"/>
        <v>-4.7760000000000045E-2</v>
      </c>
      <c r="AI336" s="330">
        <f t="shared" si="23"/>
        <v>-3.7920000000000037E-2</v>
      </c>
      <c r="AJ336" s="330">
        <f t="shared" si="23"/>
        <v>-3.0120000000000025E-2</v>
      </c>
      <c r="AK336" s="330">
        <f t="shared" si="23"/>
        <v>-2.4000000000000021E-2</v>
      </c>
      <c r="AL336" s="330">
        <f t="shared" si="23"/>
        <v>-1.9080000000000017E-2</v>
      </c>
      <c r="AM336" s="535" t="str">
        <f>INDEX(AM$9:AM$266,MATCH($D336,$D$9:$D$266,0),0)</f>
        <v>SUBS - US (Alaska)</v>
      </c>
      <c r="AN336" s="536" t="str">
        <f>INDEX(AN$9:AN$266,MATCH($D336,$D$9:$D$266,0),0)</f>
        <v>SUBS</v>
      </c>
      <c r="AP336" s="354"/>
      <c r="AQ336" s="11"/>
      <c r="AR336" s="11"/>
      <c r="AS336" s="354"/>
    </row>
    <row r="337" spans="1:52">
      <c r="A337" s="5"/>
      <c r="B337" s="44"/>
      <c r="C337" s="44"/>
      <c r="D337" s="44"/>
      <c r="E337" s="44"/>
      <c r="F337" s="44"/>
      <c r="G337" s="44"/>
      <c r="H337" s="44"/>
      <c r="I337" s="44"/>
      <c r="J337" s="328"/>
      <c r="K337" s="44"/>
      <c r="L337" s="44"/>
      <c r="M337" s="44"/>
      <c r="N337" s="44"/>
      <c r="O337" s="44"/>
      <c r="P337" s="44"/>
      <c r="Q337" s="44"/>
      <c r="R337" s="44"/>
      <c r="S337" s="44"/>
      <c r="T337" s="44"/>
      <c r="U337" s="44"/>
      <c r="V337" s="44"/>
      <c r="W337" s="44"/>
      <c r="X337" s="44"/>
      <c r="Y337" s="330"/>
      <c r="Z337" s="330"/>
      <c r="AA337" s="330"/>
      <c r="AB337" s="330"/>
      <c r="AC337" s="330"/>
      <c r="AD337" s="330"/>
      <c r="AE337" s="330"/>
      <c r="AF337" s="330"/>
      <c r="AG337" s="330"/>
      <c r="AH337" s="330"/>
      <c r="AI337" s="330"/>
      <c r="AJ337" s="330"/>
      <c r="AK337" s="330"/>
      <c r="AL337" s="330"/>
      <c r="AM337" s="535"/>
      <c r="AN337" s="536"/>
      <c r="AP337" s="471"/>
      <c r="AQ337" s="11"/>
      <c r="AR337" s="11"/>
      <c r="AS337" s="354"/>
      <c r="AU337" s="406"/>
      <c r="AV337" s="55"/>
      <c r="AW337" s="333"/>
      <c r="AX337" s="406"/>
      <c r="AY337" s="406"/>
      <c r="AZ337" s="538"/>
    </row>
    <row r="338" spans="1:52">
      <c r="A338" s="5"/>
      <c r="B338" s="57"/>
      <c r="C338" s="57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  <c r="O338" s="57"/>
      <c r="P338" s="57"/>
      <c r="Q338" s="57"/>
      <c r="R338" s="57"/>
      <c r="S338" s="57"/>
      <c r="T338" s="57"/>
      <c r="U338" s="57"/>
      <c r="V338" s="57"/>
      <c r="W338" s="57"/>
      <c r="X338" s="57"/>
      <c r="Y338" s="330"/>
      <c r="Z338" s="330"/>
      <c r="AA338" s="330"/>
      <c r="AB338" s="330"/>
      <c r="AC338" s="330"/>
      <c r="AD338" s="330"/>
      <c r="AE338" s="330"/>
      <c r="AF338" s="330"/>
      <c r="AG338" s="330"/>
      <c r="AH338" s="330"/>
      <c r="AI338" s="330"/>
      <c r="AJ338" s="330"/>
      <c r="AK338" s="330"/>
      <c r="AL338" s="330"/>
      <c r="AM338" s="22"/>
      <c r="AN338" s="22"/>
      <c r="AO338" s="22"/>
      <c r="AP338" s="22"/>
      <c r="AQ338" s="11"/>
      <c r="AR338" s="11"/>
      <c r="AS338" s="354"/>
    </row>
    <row r="339" spans="1:52">
      <c r="A339" s="5"/>
      <c r="B339" s="55"/>
      <c r="C339" s="55"/>
      <c r="D339" s="55"/>
      <c r="E339" s="55"/>
      <c r="F339" s="55"/>
      <c r="G339" s="55"/>
      <c r="H339" s="55"/>
      <c r="I339" s="55"/>
      <c r="J339" s="418"/>
      <c r="K339" s="330"/>
      <c r="L339" s="330"/>
      <c r="M339" s="330"/>
      <c r="N339" s="330"/>
      <c r="O339" s="330"/>
      <c r="P339" s="330"/>
      <c r="Q339" s="330"/>
      <c r="R339" s="330"/>
      <c r="S339" s="330"/>
      <c r="T339" s="330"/>
      <c r="U339" s="330"/>
      <c r="V339" s="330"/>
      <c r="W339" s="330"/>
      <c r="X339" s="330"/>
      <c r="Y339" s="330"/>
      <c r="Z339" s="330"/>
      <c r="AA339" s="330"/>
      <c r="AB339" s="330"/>
      <c r="AC339" s="330"/>
      <c r="AD339" s="330"/>
      <c r="AE339" s="330"/>
      <c r="AF339" s="330"/>
      <c r="AG339" s="330"/>
      <c r="AH339" s="330"/>
      <c r="AI339" s="330"/>
      <c r="AJ339" s="330"/>
      <c r="AK339" s="330"/>
      <c r="AL339" s="330"/>
      <c r="AM339" s="22"/>
      <c r="AN339" s="536"/>
      <c r="AP339" s="354"/>
      <c r="AQ339" s="11"/>
      <c r="AR339" s="11"/>
      <c r="AS339" s="354"/>
    </row>
    <row r="340" spans="1:52">
      <c r="A340" s="5"/>
      <c r="B340" s="55"/>
      <c r="C340" s="55"/>
      <c r="D340" s="55"/>
      <c r="E340" s="55"/>
      <c r="F340" s="55"/>
      <c r="G340" s="55"/>
      <c r="H340" s="55"/>
      <c r="I340" s="55"/>
      <c r="J340" s="418"/>
      <c r="K340" s="330"/>
      <c r="L340" s="330"/>
      <c r="M340" s="330"/>
      <c r="N340" s="330"/>
      <c r="O340" s="330"/>
      <c r="P340" s="330"/>
      <c r="Q340" s="330"/>
      <c r="R340" s="330"/>
      <c r="S340" s="330"/>
      <c r="T340" s="330"/>
      <c r="U340" s="330"/>
      <c r="V340" s="330"/>
      <c r="W340" s="330"/>
      <c r="X340" s="330"/>
      <c r="Y340" s="330"/>
      <c r="Z340" s="330"/>
      <c r="AA340" s="330"/>
      <c r="AB340" s="330"/>
      <c r="AC340" s="330"/>
      <c r="AD340" s="330"/>
      <c r="AE340" s="330"/>
      <c r="AF340" s="330"/>
      <c r="AG340" s="330"/>
      <c r="AH340" s="330"/>
      <c r="AI340" s="330"/>
      <c r="AJ340" s="330"/>
      <c r="AK340" s="330"/>
      <c r="AL340" s="330"/>
      <c r="AM340" s="22"/>
      <c r="AN340" s="536"/>
      <c r="AP340" s="354"/>
      <c r="AQ340" s="11"/>
      <c r="AR340" s="11"/>
      <c r="AS340" s="354"/>
    </row>
    <row r="341" spans="1:52">
      <c r="A341" s="5"/>
      <c r="B341" s="55"/>
      <c r="C341" s="55"/>
      <c r="D341" s="55"/>
      <c r="E341" s="55"/>
      <c r="F341" s="55"/>
      <c r="G341" s="55"/>
      <c r="H341" s="55"/>
      <c r="I341" s="55"/>
      <c r="J341" s="55"/>
      <c r="K341" s="55"/>
      <c r="L341" s="55"/>
      <c r="M341" s="55"/>
      <c r="N341" s="55"/>
      <c r="O341" s="55"/>
      <c r="P341" s="55"/>
      <c r="Q341" s="55"/>
      <c r="R341" s="55"/>
      <c r="S341" s="55"/>
      <c r="T341" s="55"/>
      <c r="U341" s="55"/>
      <c r="V341" s="55"/>
      <c r="W341" s="55"/>
      <c r="X341" s="55"/>
      <c r="Y341" s="55"/>
      <c r="Z341" s="55"/>
      <c r="AA341" s="55"/>
      <c r="AB341" s="55"/>
      <c r="AC341" s="55"/>
      <c r="AD341" s="55"/>
      <c r="AE341" s="55"/>
      <c r="AF341" s="55"/>
      <c r="AG341" s="55"/>
      <c r="AH341" s="55"/>
      <c r="AI341" s="55"/>
      <c r="AJ341" s="55"/>
      <c r="AK341" s="55"/>
      <c r="AL341" s="55"/>
      <c r="AM341" s="55"/>
      <c r="AN341" s="55"/>
      <c r="AP341" s="354"/>
      <c r="AQ341" s="11"/>
      <c r="AR341" s="11"/>
      <c r="AS341" s="354"/>
    </row>
    <row r="342" spans="1:52">
      <c r="A342" s="5"/>
      <c r="B342" s="410"/>
      <c r="C342" s="138"/>
      <c r="D342" s="138"/>
      <c r="E342" s="138"/>
      <c r="F342" s="138"/>
      <c r="G342" s="138"/>
      <c r="H342" s="138"/>
      <c r="I342" s="138"/>
      <c r="J342" s="138"/>
      <c r="K342" s="138"/>
      <c r="L342" s="138"/>
      <c r="M342" s="138"/>
      <c r="N342" s="138"/>
      <c r="O342" s="138"/>
      <c r="P342" s="138"/>
      <c r="Q342" s="138"/>
      <c r="R342" s="138"/>
      <c r="S342" s="138"/>
      <c r="T342" s="138"/>
      <c r="U342" s="138"/>
      <c r="V342" s="138"/>
      <c r="W342" s="138"/>
      <c r="X342" s="138"/>
      <c r="Y342" s="138"/>
      <c r="Z342" s="138"/>
      <c r="AA342" s="138"/>
      <c r="AB342" s="138"/>
      <c r="AC342" s="138"/>
      <c r="AD342" s="138"/>
      <c r="AE342" s="138"/>
      <c r="AF342" s="138"/>
      <c r="AG342" s="138"/>
      <c r="AH342" s="138"/>
      <c r="AI342" s="138"/>
      <c r="AJ342" s="138"/>
      <c r="AK342" s="138"/>
      <c r="AL342" s="138"/>
      <c r="AM342" s="341"/>
      <c r="AN342" s="341"/>
      <c r="AP342" s="354"/>
      <c r="AQ342" s="11"/>
      <c r="AR342" s="11"/>
      <c r="AS342" s="354"/>
    </row>
    <row r="343" spans="1:52">
      <c r="A343" s="5"/>
      <c r="B343" s="327"/>
      <c r="C343" s="138"/>
      <c r="D343" s="138"/>
      <c r="E343" s="138"/>
      <c r="F343" s="138"/>
      <c r="G343" s="138"/>
      <c r="H343" s="138"/>
      <c r="I343" s="138"/>
      <c r="J343" s="138"/>
      <c r="K343" s="138"/>
      <c r="L343" s="138"/>
      <c r="M343" s="138"/>
      <c r="N343" s="138"/>
      <c r="O343" s="138"/>
      <c r="P343" s="138"/>
      <c r="Q343" s="138"/>
      <c r="R343" s="138"/>
      <c r="S343" s="138"/>
      <c r="T343" s="138"/>
      <c r="U343" s="138"/>
      <c r="V343" s="138"/>
      <c r="W343" s="138"/>
      <c r="X343" s="138"/>
      <c r="Y343" s="138"/>
      <c r="Z343" s="138"/>
      <c r="AA343" s="138"/>
      <c r="AB343" s="138"/>
      <c r="AC343" s="138"/>
      <c r="AD343" s="138"/>
      <c r="AE343" s="138"/>
      <c r="AF343" s="138"/>
      <c r="AG343" s="138"/>
      <c r="AH343" s="138"/>
      <c r="AI343" s="138"/>
      <c r="AJ343" s="138"/>
      <c r="AK343" s="138"/>
      <c r="AL343" s="138"/>
      <c r="AM343" s="341"/>
      <c r="AN343" s="341"/>
      <c r="AP343" s="354"/>
      <c r="AQ343" s="11"/>
      <c r="AR343" s="11"/>
    </row>
    <row r="344" spans="1:52">
      <c r="A344" s="5"/>
      <c r="C344" s="5"/>
      <c r="D344" s="5"/>
      <c r="E344" s="5"/>
      <c r="F344" s="5"/>
      <c r="G344" s="5"/>
      <c r="H344" s="5"/>
      <c r="I344" s="5"/>
      <c r="J344" s="5"/>
      <c r="K344" s="104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173"/>
      <c r="AN344" s="341"/>
      <c r="AP344" s="354"/>
      <c r="AQ344" s="11"/>
      <c r="AR344" s="11"/>
      <c r="AS344" s="354"/>
    </row>
    <row r="345" spans="1:52">
      <c r="A345" s="5"/>
      <c r="B345" s="34" t="s">
        <v>398</v>
      </c>
      <c r="C345" s="34" t="s">
        <v>399</v>
      </c>
      <c r="D345" s="34" t="s">
        <v>400</v>
      </c>
      <c r="E345" s="34" t="s">
        <v>368</v>
      </c>
      <c r="F345" s="34" t="s">
        <v>369</v>
      </c>
      <c r="G345" s="34" t="s">
        <v>370</v>
      </c>
      <c r="H345" s="34" t="s">
        <v>371</v>
      </c>
      <c r="I345" s="34" t="s">
        <v>372</v>
      </c>
      <c r="J345" s="32" t="s">
        <v>1472</v>
      </c>
      <c r="K345" s="32">
        <v>2003</v>
      </c>
      <c r="L345" s="32">
        <v>2004</v>
      </c>
      <c r="M345" s="32">
        <v>2005</v>
      </c>
      <c r="N345" s="32">
        <v>2006</v>
      </c>
      <c r="O345" s="32">
        <v>2007</v>
      </c>
      <c r="P345" s="32">
        <v>2008</v>
      </c>
      <c r="Q345" s="32">
        <v>2009</v>
      </c>
      <c r="R345" s="32">
        <v>2010</v>
      </c>
      <c r="S345" s="32">
        <v>2011</v>
      </c>
      <c r="T345" s="32">
        <v>2012</v>
      </c>
      <c r="U345" s="32">
        <v>2013</v>
      </c>
      <c r="V345" s="32">
        <v>2014</v>
      </c>
      <c r="W345" s="32">
        <v>2015</v>
      </c>
      <c r="X345" s="32">
        <v>2016</v>
      </c>
      <c r="Y345" s="32">
        <v>2017</v>
      </c>
      <c r="Z345" s="32">
        <v>2018</v>
      </c>
      <c r="AA345" s="32">
        <v>2019</v>
      </c>
      <c r="AB345" s="32">
        <v>2020</v>
      </c>
      <c r="AC345" s="32">
        <v>2021</v>
      </c>
      <c r="AD345" s="32">
        <v>2022</v>
      </c>
      <c r="AE345" s="32">
        <v>2023</v>
      </c>
      <c r="AF345" s="32">
        <v>2024</v>
      </c>
      <c r="AG345" s="32">
        <v>2025</v>
      </c>
      <c r="AH345" s="32">
        <v>2026</v>
      </c>
      <c r="AI345" s="32">
        <v>2027</v>
      </c>
      <c r="AJ345" s="32">
        <v>2028</v>
      </c>
      <c r="AK345" s="32">
        <v>2029</v>
      </c>
      <c r="AL345" s="32">
        <v>2030</v>
      </c>
      <c r="AM345" s="534" t="s">
        <v>307</v>
      </c>
      <c r="AN345" s="34" t="s">
        <v>308</v>
      </c>
      <c r="AP345" s="354"/>
      <c r="AQ345" s="11"/>
      <c r="AR345" s="11"/>
    </row>
    <row r="346" spans="1:52">
      <c r="A346" s="5"/>
      <c r="B346" s="329" t="str">
        <f>ROUND(D268*100,2)&amp;"% of Rosneft"</f>
        <v>19.75% of Rosneft</v>
      </c>
      <c r="C346" s="138"/>
      <c r="D346" s="138"/>
      <c r="E346" s="138"/>
      <c r="F346" s="138"/>
      <c r="G346" s="138"/>
      <c r="H346" s="138"/>
      <c r="I346" s="138"/>
      <c r="J346" s="138"/>
      <c r="K346" s="138"/>
      <c r="L346" s="138"/>
      <c r="M346" s="138"/>
      <c r="N346" s="138"/>
      <c r="O346" s="138"/>
      <c r="P346" s="138"/>
      <c r="Q346" s="138"/>
      <c r="R346" s="138"/>
      <c r="S346" s="138"/>
      <c r="T346" s="138"/>
      <c r="U346" s="138"/>
      <c r="V346" s="330"/>
      <c r="W346" s="330"/>
      <c r="X346" s="330"/>
      <c r="Y346" s="330"/>
      <c r="Z346" s="330"/>
      <c r="AA346" s="330"/>
      <c r="AB346" s="330"/>
      <c r="AC346" s="330"/>
      <c r="AD346" s="330"/>
      <c r="AE346" s="330"/>
      <c r="AF346" s="330"/>
      <c r="AG346" s="330"/>
      <c r="AH346" s="330"/>
      <c r="AI346" s="330"/>
      <c r="AJ346" s="330"/>
      <c r="AK346" s="330"/>
      <c r="AL346" s="330"/>
      <c r="AM346" s="535"/>
      <c r="AN346" s="536"/>
      <c r="AQ346" s="11"/>
      <c r="AR346" s="11"/>
    </row>
    <row r="347" spans="1:52">
      <c r="A347" s="5"/>
      <c r="B347" s="55" t="s">
        <v>3210</v>
      </c>
      <c r="C347" s="55" t="s">
        <v>1703</v>
      </c>
      <c r="D347" s="55" t="s">
        <v>2936</v>
      </c>
      <c r="E347" s="55" t="s">
        <v>1927</v>
      </c>
      <c r="F347" s="55" t="s">
        <v>1928</v>
      </c>
      <c r="G347" s="55" t="s">
        <v>3374</v>
      </c>
      <c r="H347" s="55" t="s">
        <v>1930</v>
      </c>
      <c r="I347" s="55" t="s">
        <v>1931</v>
      </c>
      <c r="J347" s="418">
        <v>50</v>
      </c>
      <c r="K347" s="296"/>
      <c r="L347" s="296"/>
      <c r="M347" s="296"/>
      <c r="N347" s="296"/>
      <c r="O347" s="296"/>
      <c r="P347" s="296"/>
      <c r="Q347" s="296"/>
      <c r="R347" s="296"/>
      <c r="S347" s="296"/>
      <c r="T347" s="296"/>
      <c r="U347" s="418">
        <f t="shared" ref="U347:AD356" si="24">INDEX(U$270:U$332,MATCH($D347,$D$270:$D$332,0))*$D$268</f>
        <v>0.36142500000000005</v>
      </c>
      <c r="V347" s="418">
        <f t="shared" si="24"/>
        <v>0.337725</v>
      </c>
      <c r="W347" s="418">
        <f t="shared" si="24"/>
        <v>0.290325</v>
      </c>
      <c r="X347" s="418">
        <f t="shared" si="24"/>
        <v>0</v>
      </c>
      <c r="Y347" s="418">
        <f t="shared" si="24"/>
        <v>0</v>
      </c>
      <c r="Z347" s="418">
        <f t="shared" si="24"/>
        <v>0</v>
      </c>
      <c r="AA347" s="418">
        <f t="shared" si="24"/>
        <v>0</v>
      </c>
      <c r="AB347" s="418">
        <f t="shared" si="24"/>
        <v>0</v>
      </c>
      <c r="AC347" s="418">
        <f t="shared" si="24"/>
        <v>0</v>
      </c>
      <c r="AD347" s="418">
        <f t="shared" si="24"/>
        <v>0</v>
      </c>
      <c r="AE347" s="418">
        <f t="shared" ref="AE347:AL356" si="25">INDEX(AE$270:AE$332,MATCH($D347,$D$270:$D$332,0))*$D$268</f>
        <v>0</v>
      </c>
      <c r="AF347" s="418">
        <f t="shared" si="25"/>
        <v>0</v>
      </c>
      <c r="AG347" s="418">
        <f t="shared" si="25"/>
        <v>0</v>
      </c>
      <c r="AH347" s="418">
        <f t="shared" si="25"/>
        <v>0</v>
      </c>
      <c r="AI347" s="418">
        <f t="shared" si="25"/>
        <v>0</v>
      </c>
      <c r="AJ347" s="418">
        <f t="shared" si="25"/>
        <v>0</v>
      </c>
      <c r="AK347" s="418">
        <f t="shared" si="25"/>
        <v>0</v>
      </c>
      <c r="AL347" s="418">
        <f t="shared" si="25"/>
        <v>0</v>
      </c>
      <c r="AM347" s="22" t="str">
        <f t="shared" ref="AM347:AM369" si="26">AN347&amp;" - "&amp;C347</f>
        <v>EAI - Russia</v>
      </c>
      <c r="AN347" s="333" t="s">
        <v>3119</v>
      </c>
      <c r="AQ347" s="11"/>
      <c r="AR347" s="11"/>
    </row>
    <row r="348" spans="1:52">
      <c r="A348" s="5"/>
      <c r="B348" s="55" t="s">
        <v>3210</v>
      </c>
      <c r="C348" s="55" t="s">
        <v>1703</v>
      </c>
      <c r="D348" s="55" t="s">
        <v>3707</v>
      </c>
      <c r="E348" s="55" t="s">
        <v>1927</v>
      </c>
      <c r="F348" s="55" t="s">
        <v>1928</v>
      </c>
      <c r="G348" s="55" t="s">
        <v>3374</v>
      </c>
      <c r="H348" s="55" t="s">
        <v>116</v>
      </c>
      <c r="I348" s="55" t="s">
        <v>1931</v>
      </c>
      <c r="J348" s="418">
        <v>69.3</v>
      </c>
      <c r="K348" s="296"/>
      <c r="L348" s="296"/>
      <c r="M348" s="296"/>
      <c r="N348" s="296"/>
      <c r="O348" s="296"/>
      <c r="P348" s="296"/>
      <c r="Q348" s="296"/>
      <c r="R348" s="296"/>
      <c r="S348" s="296"/>
      <c r="T348" s="296"/>
      <c r="U348" s="418">
        <f t="shared" si="24"/>
        <v>0</v>
      </c>
      <c r="V348" s="418">
        <f t="shared" si="24"/>
        <v>0</v>
      </c>
      <c r="W348" s="418">
        <f t="shared" si="24"/>
        <v>0</v>
      </c>
      <c r="X348" s="418">
        <f t="shared" si="24"/>
        <v>0</v>
      </c>
      <c r="Y348" s="418">
        <f t="shared" si="24"/>
        <v>22.306637500000001</v>
      </c>
      <c r="Z348" s="418">
        <f t="shared" si="24"/>
        <v>26.228000000000005</v>
      </c>
      <c r="AA348" s="418">
        <f t="shared" si="24"/>
        <v>27.332419999999999</v>
      </c>
      <c r="AB348" s="418">
        <f t="shared" si="24"/>
        <v>26.811020000000003</v>
      </c>
      <c r="AC348" s="418">
        <f t="shared" si="24"/>
        <v>26.315492500000001</v>
      </c>
      <c r="AD348" s="418">
        <f t="shared" si="24"/>
        <v>25.772169999999999</v>
      </c>
      <c r="AE348" s="418">
        <f t="shared" si="25"/>
        <v>25.267162500000001</v>
      </c>
      <c r="AF348" s="418">
        <f t="shared" si="25"/>
        <v>23.6753125</v>
      </c>
      <c r="AG348" s="418">
        <f t="shared" si="25"/>
        <v>22.193075</v>
      </c>
      <c r="AH348" s="418">
        <f t="shared" si="25"/>
        <v>20.812155000000001</v>
      </c>
      <c r="AI348" s="418">
        <f t="shared" si="25"/>
        <v>19.489892500000003</v>
      </c>
      <c r="AJ348" s="418">
        <f t="shared" si="25"/>
        <v>18.2649975</v>
      </c>
      <c r="AK348" s="418">
        <f t="shared" si="25"/>
        <v>17.127594999999999</v>
      </c>
      <c r="AL348" s="418">
        <f t="shared" si="25"/>
        <v>16.065439999999999</v>
      </c>
      <c r="AM348" s="22" t="str">
        <f t="shared" si="26"/>
        <v>EAI - Russia</v>
      </c>
      <c r="AN348" s="333" t="s">
        <v>3119</v>
      </c>
      <c r="AQ348" s="11"/>
      <c r="AR348" s="11"/>
    </row>
    <row r="349" spans="1:52">
      <c r="A349" s="5"/>
      <c r="B349" s="55" t="s">
        <v>3210</v>
      </c>
      <c r="C349" s="55" t="s">
        <v>1703</v>
      </c>
      <c r="D349" s="55" t="s">
        <v>3708</v>
      </c>
      <c r="E349" s="55" t="s">
        <v>1927</v>
      </c>
      <c r="F349" s="55" t="s">
        <v>1928</v>
      </c>
      <c r="G349" s="55" t="s">
        <v>3374</v>
      </c>
      <c r="H349" s="55" t="s">
        <v>1930</v>
      </c>
      <c r="I349" s="55" t="s">
        <v>1933</v>
      </c>
      <c r="J349" s="418">
        <v>69.3</v>
      </c>
      <c r="K349" s="296"/>
      <c r="L349" s="296"/>
      <c r="M349" s="296"/>
      <c r="N349" s="296"/>
      <c r="O349" s="296"/>
      <c r="P349" s="296"/>
      <c r="Q349" s="296"/>
      <c r="R349" s="296"/>
      <c r="S349" s="296"/>
      <c r="T349" s="296"/>
      <c r="U349" s="418">
        <f t="shared" si="24"/>
        <v>0</v>
      </c>
      <c r="V349" s="418">
        <f t="shared" si="24"/>
        <v>0</v>
      </c>
      <c r="W349" s="418">
        <f t="shared" si="24"/>
        <v>0</v>
      </c>
      <c r="X349" s="418">
        <f t="shared" si="24"/>
        <v>0</v>
      </c>
      <c r="Y349" s="418">
        <f t="shared" si="24"/>
        <v>19.898322500000003</v>
      </c>
      <c r="Z349" s="418">
        <f t="shared" si="24"/>
        <v>23.116980000000002</v>
      </c>
      <c r="AA349" s="418">
        <f t="shared" si="24"/>
        <v>21.7536375</v>
      </c>
      <c r="AB349" s="418">
        <f t="shared" si="24"/>
        <v>20.484897500000002</v>
      </c>
      <c r="AC349" s="418">
        <f t="shared" si="24"/>
        <v>19.301082500000003</v>
      </c>
      <c r="AD349" s="418">
        <f t="shared" si="24"/>
        <v>18.200612500000002</v>
      </c>
      <c r="AE349" s="418">
        <f t="shared" si="25"/>
        <v>17.168675</v>
      </c>
      <c r="AF349" s="418">
        <f t="shared" si="25"/>
        <v>16.2050725</v>
      </c>
      <c r="AG349" s="418">
        <f t="shared" si="25"/>
        <v>15.305855000000001</v>
      </c>
      <c r="AH349" s="418">
        <f t="shared" si="25"/>
        <v>14.466875</v>
      </c>
      <c r="AI349" s="418">
        <f t="shared" si="25"/>
        <v>13.675887500000002</v>
      </c>
      <c r="AJ349" s="418">
        <f t="shared" si="25"/>
        <v>12.939410000000002</v>
      </c>
      <c r="AK349" s="418">
        <f t="shared" si="25"/>
        <v>12.249740000000001</v>
      </c>
      <c r="AL349" s="418">
        <f t="shared" si="25"/>
        <v>11.602335000000002</v>
      </c>
      <c r="AM349" s="22" t="str">
        <f t="shared" si="26"/>
        <v>EAI - Russia</v>
      </c>
      <c r="AN349" s="333" t="s">
        <v>3119</v>
      </c>
      <c r="AQ349" s="11"/>
      <c r="AR349" s="11"/>
    </row>
    <row r="350" spans="1:52">
      <c r="A350" s="5"/>
      <c r="B350" s="55" t="s">
        <v>3210</v>
      </c>
      <c r="C350" s="55" t="s">
        <v>1703</v>
      </c>
      <c r="D350" s="55" t="s">
        <v>701</v>
      </c>
      <c r="E350" s="55" t="s">
        <v>1927</v>
      </c>
      <c r="F350" s="55" t="s">
        <v>1928</v>
      </c>
      <c r="G350" s="55" t="s">
        <v>3374</v>
      </c>
      <c r="H350" s="55" t="s">
        <v>116</v>
      </c>
      <c r="I350" s="55" t="s">
        <v>1931</v>
      </c>
      <c r="J350" s="418">
        <v>100</v>
      </c>
      <c r="K350" s="296"/>
      <c r="L350" s="296"/>
      <c r="M350" s="296"/>
      <c r="N350" s="296"/>
      <c r="O350" s="296"/>
      <c r="P350" s="296"/>
      <c r="Q350" s="296"/>
      <c r="R350" s="296"/>
      <c r="S350" s="296"/>
      <c r="T350" s="296"/>
      <c r="U350" s="418">
        <f t="shared" si="24"/>
        <v>2.6865925000000002</v>
      </c>
      <c r="V350" s="418">
        <f t="shared" si="24"/>
        <v>6.2729950000000008</v>
      </c>
      <c r="W350" s="418">
        <f t="shared" si="24"/>
        <v>6.4266500000000004</v>
      </c>
      <c r="X350" s="418">
        <f t="shared" si="24"/>
        <v>6.2528500000000005</v>
      </c>
      <c r="Y350" s="418">
        <f t="shared" si="24"/>
        <v>6.0830000000000002</v>
      </c>
      <c r="Z350" s="418">
        <f t="shared" si="24"/>
        <v>6.0553500000000007</v>
      </c>
      <c r="AA350" s="418">
        <f t="shared" si="24"/>
        <v>5.9329000000000001</v>
      </c>
      <c r="AB350" s="418">
        <f t="shared" si="24"/>
        <v>5.7551500000000004</v>
      </c>
      <c r="AC350" s="418">
        <f t="shared" si="24"/>
        <v>5.5813500000000005</v>
      </c>
      <c r="AD350" s="418">
        <f t="shared" si="24"/>
        <v>5.4154500000000008</v>
      </c>
      <c r="AE350" s="418">
        <f t="shared" si="25"/>
        <v>5.2535000000000007</v>
      </c>
      <c r="AF350" s="418">
        <f t="shared" si="25"/>
        <v>5.0955000000000004</v>
      </c>
      <c r="AG350" s="418">
        <f t="shared" si="25"/>
        <v>4.9414500000000006</v>
      </c>
      <c r="AH350" s="418">
        <f t="shared" si="25"/>
        <v>4.7953000000000001</v>
      </c>
      <c r="AI350" s="418">
        <f t="shared" si="25"/>
        <v>4.6491499999999997</v>
      </c>
      <c r="AJ350" s="418">
        <f t="shared" si="25"/>
        <v>4.5109000000000004</v>
      </c>
      <c r="AK350" s="418">
        <f t="shared" si="25"/>
        <v>4.3765999999999998</v>
      </c>
      <c r="AL350" s="418">
        <f t="shared" si="25"/>
        <v>4.2423000000000002</v>
      </c>
      <c r="AM350" s="22" t="str">
        <f t="shared" si="26"/>
        <v>EAI - Russia</v>
      </c>
      <c r="AN350" s="333" t="s">
        <v>3119</v>
      </c>
      <c r="AQ350" s="11"/>
      <c r="AR350" s="11"/>
    </row>
    <row r="351" spans="1:52">
      <c r="A351" s="5"/>
      <c r="B351" s="55" t="s">
        <v>3210</v>
      </c>
      <c r="C351" s="55" t="s">
        <v>1703</v>
      </c>
      <c r="D351" s="55" t="s">
        <v>2976</v>
      </c>
      <c r="E351" s="55" t="s">
        <v>2254</v>
      </c>
      <c r="F351" s="55" t="s">
        <v>1928</v>
      </c>
      <c r="G351" s="55" t="s">
        <v>1932</v>
      </c>
      <c r="H351" s="55" t="s">
        <v>1930</v>
      </c>
      <c r="I351" s="55" t="s">
        <v>1931</v>
      </c>
      <c r="J351" s="418">
        <v>50</v>
      </c>
      <c r="K351" s="296"/>
      <c r="L351" s="296"/>
      <c r="M351" s="296"/>
      <c r="N351" s="296"/>
      <c r="O351" s="296"/>
      <c r="P351" s="296"/>
      <c r="Q351" s="296"/>
      <c r="R351" s="296"/>
      <c r="S351" s="296"/>
      <c r="T351" s="296"/>
      <c r="U351" s="418">
        <f t="shared" si="24"/>
        <v>4.9375000000000002E-2</v>
      </c>
      <c r="V351" s="418">
        <f t="shared" si="24"/>
        <v>3.5549999999999998E-2</v>
      </c>
      <c r="W351" s="418">
        <f t="shared" si="24"/>
        <v>1.7774999999999999E-2</v>
      </c>
      <c r="X351" s="418">
        <f t="shared" si="24"/>
        <v>0</v>
      </c>
      <c r="Y351" s="418">
        <f t="shared" si="24"/>
        <v>0</v>
      </c>
      <c r="Z351" s="418">
        <f t="shared" si="24"/>
        <v>0</v>
      </c>
      <c r="AA351" s="418">
        <f t="shared" si="24"/>
        <v>0</v>
      </c>
      <c r="AB351" s="418">
        <f t="shared" si="24"/>
        <v>0</v>
      </c>
      <c r="AC351" s="418">
        <f t="shared" si="24"/>
        <v>0</v>
      </c>
      <c r="AD351" s="418">
        <f t="shared" si="24"/>
        <v>0</v>
      </c>
      <c r="AE351" s="418">
        <f t="shared" si="25"/>
        <v>0</v>
      </c>
      <c r="AF351" s="418">
        <f t="shared" si="25"/>
        <v>0</v>
      </c>
      <c r="AG351" s="418">
        <f t="shared" si="25"/>
        <v>0</v>
      </c>
      <c r="AH351" s="418">
        <f t="shared" si="25"/>
        <v>0</v>
      </c>
      <c r="AI351" s="418">
        <f t="shared" si="25"/>
        <v>0</v>
      </c>
      <c r="AJ351" s="418">
        <f t="shared" si="25"/>
        <v>0</v>
      </c>
      <c r="AK351" s="418">
        <f t="shared" si="25"/>
        <v>0</v>
      </c>
      <c r="AL351" s="418">
        <f t="shared" si="25"/>
        <v>0</v>
      </c>
      <c r="AM351" s="22" t="str">
        <f t="shared" si="26"/>
        <v>EAI - Russia</v>
      </c>
      <c r="AN351" s="333" t="s">
        <v>3119</v>
      </c>
      <c r="AQ351" s="11"/>
      <c r="AR351" s="11"/>
    </row>
    <row r="352" spans="1:52">
      <c r="A352" s="5"/>
      <c r="B352" s="55" t="s">
        <v>3210</v>
      </c>
      <c r="C352" s="55" t="s">
        <v>1703</v>
      </c>
      <c r="D352" s="55" t="s">
        <v>3211</v>
      </c>
      <c r="E352" s="55" t="s">
        <v>1927</v>
      </c>
      <c r="F352" s="55" t="s">
        <v>1928</v>
      </c>
      <c r="G352" s="55" t="s">
        <v>1932</v>
      </c>
      <c r="H352" s="55" t="s">
        <v>106</v>
      </c>
      <c r="I352" s="55" t="s">
        <v>1931</v>
      </c>
      <c r="J352" s="418">
        <v>68.7</v>
      </c>
      <c r="K352" s="296"/>
      <c r="L352" s="296"/>
      <c r="M352" s="296"/>
      <c r="N352" s="296"/>
      <c r="O352" s="296"/>
      <c r="P352" s="296"/>
      <c r="Q352" s="296"/>
      <c r="R352" s="296"/>
      <c r="S352" s="296"/>
      <c r="T352" s="296"/>
      <c r="U352" s="418">
        <f t="shared" si="24"/>
        <v>0.34760000000000002</v>
      </c>
      <c r="V352" s="418">
        <f t="shared" si="24"/>
        <v>0.32192500000000002</v>
      </c>
      <c r="W352" s="418">
        <f t="shared" si="24"/>
        <v>0.34365000000000001</v>
      </c>
      <c r="X352" s="418">
        <f t="shared" si="24"/>
        <v>0.30415000000000003</v>
      </c>
      <c r="Y352" s="418">
        <f t="shared" si="24"/>
        <v>0.26662500000000006</v>
      </c>
      <c r="Z352" s="418">
        <f t="shared" si="24"/>
        <v>0.23502500000000001</v>
      </c>
      <c r="AA352" s="418">
        <f t="shared" si="24"/>
        <v>0.20540000000000003</v>
      </c>
      <c r="AB352" s="418">
        <f t="shared" si="24"/>
        <v>0.18170000000000003</v>
      </c>
      <c r="AC352" s="418">
        <f t="shared" si="24"/>
        <v>0.15997500000000001</v>
      </c>
      <c r="AD352" s="418">
        <f t="shared" si="24"/>
        <v>0.14022499999999999</v>
      </c>
      <c r="AE352" s="418">
        <f t="shared" si="25"/>
        <v>0</v>
      </c>
      <c r="AF352" s="418">
        <f t="shared" si="25"/>
        <v>0</v>
      </c>
      <c r="AG352" s="418">
        <f t="shared" si="25"/>
        <v>0</v>
      </c>
      <c r="AH352" s="418">
        <f t="shared" si="25"/>
        <v>0</v>
      </c>
      <c r="AI352" s="418">
        <f t="shared" si="25"/>
        <v>0</v>
      </c>
      <c r="AJ352" s="418">
        <f t="shared" si="25"/>
        <v>0</v>
      </c>
      <c r="AK352" s="418">
        <f t="shared" si="25"/>
        <v>0</v>
      </c>
      <c r="AL352" s="418">
        <f t="shared" si="25"/>
        <v>0</v>
      </c>
      <c r="AM352" s="22" t="str">
        <f t="shared" si="26"/>
        <v>EAI - Russia</v>
      </c>
      <c r="AN352" s="333" t="s">
        <v>3119</v>
      </c>
      <c r="AQ352" s="11"/>
      <c r="AR352" s="11"/>
    </row>
    <row r="353" spans="1:44">
      <c r="A353" s="5"/>
      <c r="B353" s="55" t="s">
        <v>3210</v>
      </c>
      <c r="C353" s="55" t="s">
        <v>1703</v>
      </c>
      <c r="D353" s="55" t="s">
        <v>3212</v>
      </c>
      <c r="E353" s="55" t="s">
        <v>1927</v>
      </c>
      <c r="F353" s="55" t="s">
        <v>1928</v>
      </c>
      <c r="G353" s="55" t="s">
        <v>1932</v>
      </c>
      <c r="H353" s="55" t="s">
        <v>106</v>
      </c>
      <c r="I353" s="55" t="s">
        <v>1931</v>
      </c>
      <c r="J353" s="418">
        <v>81.22</v>
      </c>
      <c r="K353" s="296"/>
      <c r="L353" s="296"/>
      <c r="M353" s="296"/>
      <c r="N353" s="296"/>
      <c r="O353" s="296"/>
      <c r="P353" s="296"/>
      <c r="Q353" s="296"/>
      <c r="R353" s="296"/>
      <c r="S353" s="296"/>
      <c r="T353" s="296"/>
      <c r="U353" s="418">
        <f t="shared" si="24"/>
        <v>8.2949999999999996E-2</v>
      </c>
      <c r="V353" s="418">
        <f t="shared" si="24"/>
        <v>7.702500000000001E-2</v>
      </c>
      <c r="W353" s="418">
        <f t="shared" si="24"/>
        <v>7.5050000000000006E-2</v>
      </c>
      <c r="X353" s="418">
        <f t="shared" si="24"/>
        <v>6.9124999999999992E-2</v>
      </c>
      <c r="Y353" s="418">
        <f t="shared" si="24"/>
        <v>6.3200000000000006E-2</v>
      </c>
      <c r="Z353" s="418">
        <f t="shared" si="24"/>
        <v>5.9249999999999997E-2</v>
      </c>
      <c r="AA353" s="418">
        <f t="shared" si="24"/>
        <v>5.5300000000000009E-2</v>
      </c>
      <c r="AB353" s="418">
        <f t="shared" si="24"/>
        <v>5.1350000000000007E-2</v>
      </c>
      <c r="AC353" s="418">
        <f t="shared" si="24"/>
        <v>4.7399999999999998E-2</v>
      </c>
      <c r="AD353" s="418">
        <f t="shared" si="24"/>
        <v>4.5425000000000007E-2</v>
      </c>
      <c r="AE353" s="418">
        <f t="shared" si="25"/>
        <v>4.1474999999999998E-2</v>
      </c>
      <c r="AF353" s="418">
        <f t="shared" si="25"/>
        <v>3.7525000000000003E-2</v>
      </c>
      <c r="AG353" s="418">
        <f t="shared" si="25"/>
        <v>3.7525000000000003E-2</v>
      </c>
      <c r="AH353" s="418">
        <f t="shared" si="25"/>
        <v>3.3575000000000001E-2</v>
      </c>
      <c r="AI353" s="418">
        <f t="shared" si="25"/>
        <v>3.1600000000000003E-2</v>
      </c>
      <c r="AJ353" s="418">
        <f t="shared" si="25"/>
        <v>2.9624999999999999E-2</v>
      </c>
      <c r="AK353" s="418">
        <f t="shared" si="25"/>
        <v>2.7650000000000004E-2</v>
      </c>
      <c r="AL353" s="418">
        <f t="shared" si="25"/>
        <v>2.5675000000000003E-2</v>
      </c>
      <c r="AM353" s="22" t="str">
        <f t="shared" si="26"/>
        <v>EAI - Russia</v>
      </c>
      <c r="AN353" s="333" t="s">
        <v>3119</v>
      </c>
      <c r="AQ353" s="11"/>
      <c r="AR353" s="11"/>
    </row>
    <row r="354" spans="1:44">
      <c r="A354" s="5"/>
      <c r="B354" s="55" t="s">
        <v>3210</v>
      </c>
      <c r="C354" s="55" t="s">
        <v>1703</v>
      </c>
      <c r="D354" s="55" t="s">
        <v>3717</v>
      </c>
      <c r="E354" s="55" t="s">
        <v>3372</v>
      </c>
      <c r="F354" s="55" t="s">
        <v>1928</v>
      </c>
      <c r="G354" s="55" t="s">
        <v>3374</v>
      </c>
      <c r="H354" s="55" t="s">
        <v>1930</v>
      </c>
      <c r="I354" s="55" t="s">
        <v>1931</v>
      </c>
      <c r="J354" s="418">
        <v>100</v>
      </c>
      <c r="K354" s="296"/>
      <c r="L354" s="296"/>
      <c r="M354" s="296"/>
      <c r="N354" s="296"/>
      <c r="O354" s="296"/>
      <c r="P354" s="296"/>
      <c r="Q354" s="296"/>
      <c r="R354" s="296"/>
      <c r="S354" s="296"/>
      <c r="T354" s="296"/>
      <c r="U354" s="418">
        <f t="shared" si="24"/>
        <v>0</v>
      </c>
      <c r="V354" s="418">
        <f t="shared" si="24"/>
        <v>0</v>
      </c>
      <c r="W354" s="418">
        <f t="shared" si="24"/>
        <v>0</v>
      </c>
      <c r="X354" s="418">
        <f t="shared" si="24"/>
        <v>0</v>
      </c>
      <c r="Y354" s="418">
        <f t="shared" si="24"/>
        <v>0</v>
      </c>
      <c r="Z354" s="418">
        <f t="shared" si="24"/>
        <v>0</v>
      </c>
      <c r="AA354" s="418">
        <f t="shared" si="24"/>
        <v>0.33179999999999998</v>
      </c>
      <c r="AB354" s="418">
        <f t="shared" si="24"/>
        <v>3.0493999999999999</v>
      </c>
      <c r="AC354" s="418">
        <f t="shared" si="24"/>
        <v>8.9032999999999998</v>
      </c>
      <c r="AD354" s="418">
        <f t="shared" si="24"/>
        <v>17.836225000000002</v>
      </c>
      <c r="AE354" s="418">
        <f t="shared" si="25"/>
        <v>18.709175000000002</v>
      </c>
      <c r="AF354" s="418">
        <f t="shared" si="25"/>
        <v>18.2727</v>
      </c>
      <c r="AG354" s="418">
        <f t="shared" si="25"/>
        <v>17.247675000000001</v>
      </c>
      <c r="AH354" s="418">
        <f t="shared" si="25"/>
        <v>15.750625000000001</v>
      </c>
      <c r="AI354" s="418">
        <f t="shared" si="25"/>
        <v>14.462925000000002</v>
      </c>
      <c r="AJ354" s="418">
        <f t="shared" si="25"/>
        <v>13.31545</v>
      </c>
      <c r="AK354" s="418">
        <f t="shared" si="25"/>
        <v>12.272650000000001</v>
      </c>
      <c r="AL354" s="418">
        <f t="shared" si="25"/>
        <v>11.312800000000001</v>
      </c>
      <c r="AM354" s="22" t="str">
        <f t="shared" ref="AM354" si="27">AN354&amp;" - "&amp;C354</f>
        <v>EAI - Russia</v>
      </c>
      <c r="AN354" s="333" t="s">
        <v>3119</v>
      </c>
      <c r="AQ354" s="11"/>
      <c r="AR354" s="11"/>
    </row>
    <row r="355" spans="1:44">
      <c r="A355" s="5"/>
      <c r="B355" s="55" t="s">
        <v>3210</v>
      </c>
      <c r="C355" s="55" t="s">
        <v>1703</v>
      </c>
      <c r="D355" s="333" t="s">
        <v>3464</v>
      </c>
      <c r="E355" s="55" t="s">
        <v>1927</v>
      </c>
      <c r="F355" s="55" t="s">
        <v>1928</v>
      </c>
      <c r="G355" s="55" t="s">
        <v>1932</v>
      </c>
      <c r="H355" s="55" t="s">
        <v>116</v>
      </c>
      <c r="I355" s="55" t="s">
        <v>1931</v>
      </c>
      <c r="J355" s="418">
        <v>51</v>
      </c>
      <c r="K355" s="296"/>
      <c r="L355" s="296"/>
      <c r="M355" s="296"/>
      <c r="N355" s="296"/>
      <c r="O355" s="296"/>
      <c r="P355" s="296"/>
      <c r="Q355" s="296"/>
      <c r="R355" s="296"/>
      <c r="S355" s="296"/>
      <c r="T355" s="296"/>
      <c r="U355" s="418">
        <f t="shared" si="24"/>
        <v>0.99144999999999994</v>
      </c>
      <c r="V355" s="418">
        <f t="shared" si="24"/>
        <v>0.89862500000000001</v>
      </c>
      <c r="W355" s="418">
        <f t="shared" si="24"/>
        <v>0.74457499999999999</v>
      </c>
      <c r="X355" s="418">
        <f t="shared" si="24"/>
        <v>0.37524999999999997</v>
      </c>
      <c r="Y355" s="418">
        <f t="shared" si="24"/>
        <v>0.45424999999999999</v>
      </c>
      <c r="Z355" s="418">
        <f t="shared" si="24"/>
        <v>0.606325</v>
      </c>
      <c r="AA355" s="418">
        <f t="shared" si="24"/>
        <v>0.54905000000000004</v>
      </c>
      <c r="AB355" s="418">
        <f t="shared" si="24"/>
        <v>0.49770000000000003</v>
      </c>
      <c r="AC355" s="418">
        <f t="shared" si="24"/>
        <v>0.45029999999999998</v>
      </c>
      <c r="AD355" s="418">
        <f t="shared" si="24"/>
        <v>0.40882499999999999</v>
      </c>
      <c r="AE355" s="418">
        <f t="shared" si="25"/>
        <v>0.37130000000000002</v>
      </c>
      <c r="AF355" s="418">
        <f t="shared" si="25"/>
        <v>0.33574999999999999</v>
      </c>
      <c r="AG355" s="418">
        <f t="shared" si="25"/>
        <v>0.30612500000000004</v>
      </c>
      <c r="AH355" s="418">
        <f t="shared" si="25"/>
        <v>0.27649999999999997</v>
      </c>
      <c r="AI355" s="418">
        <f t="shared" si="25"/>
        <v>0.25082500000000002</v>
      </c>
      <c r="AJ355" s="418">
        <f t="shared" si="25"/>
        <v>0.22712499999999999</v>
      </c>
      <c r="AK355" s="418">
        <f t="shared" si="25"/>
        <v>0.20540000000000003</v>
      </c>
      <c r="AL355" s="418">
        <f t="shared" si="25"/>
        <v>0.18565000000000001</v>
      </c>
      <c r="AM355" s="22" t="str">
        <f t="shared" si="26"/>
        <v>EAI - Russia</v>
      </c>
      <c r="AN355" s="333" t="s">
        <v>3119</v>
      </c>
      <c r="AQ355" s="11"/>
      <c r="AR355" s="11"/>
    </row>
    <row r="356" spans="1:44">
      <c r="A356" s="5"/>
      <c r="B356" s="55" t="s">
        <v>3210</v>
      </c>
      <c r="C356" s="55" t="s">
        <v>1703</v>
      </c>
      <c r="D356" s="55" t="s">
        <v>2271</v>
      </c>
      <c r="E356" s="55" t="s">
        <v>1927</v>
      </c>
      <c r="F356" s="55" t="s">
        <v>1928</v>
      </c>
      <c r="G356" s="55" t="s">
        <v>1931</v>
      </c>
      <c r="H356" s="55" t="s">
        <v>116</v>
      </c>
      <c r="I356" s="55" t="s">
        <v>1931</v>
      </c>
      <c r="J356" s="418">
        <v>100</v>
      </c>
      <c r="K356" s="296"/>
      <c r="L356" s="296"/>
      <c r="M356" s="296"/>
      <c r="N356" s="296"/>
      <c r="O356" s="296"/>
      <c r="P356" s="296"/>
      <c r="Q356" s="296"/>
      <c r="R356" s="296"/>
      <c r="S356" s="296"/>
      <c r="T356" s="296"/>
      <c r="U356" s="418">
        <f t="shared" si="24"/>
        <v>3.4226749999999999</v>
      </c>
      <c r="V356" s="418">
        <f t="shared" si="24"/>
        <v>3.2014750000000003</v>
      </c>
      <c r="W356" s="418">
        <f t="shared" si="24"/>
        <v>3.1264250000000002</v>
      </c>
      <c r="X356" s="418">
        <f t="shared" si="24"/>
        <v>3.3673750000000005</v>
      </c>
      <c r="Y356" s="418">
        <f t="shared" si="24"/>
        <v>3.308125</v>
      </c>
      <c r="Z356" s="418">
        <f t="shared" si="24"/>
        <v>3.2548000000000004</v>
      </c>
      <c r="AA356" s="418">
        <f t="shared" si="24"/>
        <v>3.2034500000000001</v>
      </c>
      <c r="AB356" s="418">
        <f t="shared" si="24"/>
        <v>3.1205000000000003</v>
      </c>
      <c r="AC356" s="418">
        <f t="shared" si="24"/>
        <v>3.0454500000000002</v>
      </c>
      <c r="AD356" s="418">
        <f t="shared" si="24"/>
        <v>2.9723750000000004</v>
      </c>
      <c r="AE356" s="418">
        <f t="shared" si="25"/>
        <v>2.9052250000000002</v>
      </c>
      <c r="AF356" s="418">
        <f t="shared" si="25"/>
        <v>2.8361000000000001</v>
      </c>
      <c r="AG356" s="418">
        <f t="shared" si="25"/>
        <v>2.7709250000000001</v>
      </c>
      <c r="AH356" s="418">
        <f t="shared" si="25"/>
        <v>2.6010750000000002</v>
      </c>
      <c r="AI356" s="418">
        <f t="shared" si="25"/>
        <v>2.4411</v>
      </c>
      <c r="AJ356" s="418">
        <f t="shared" si="25"/>
        <v>2.2929750000000002</v>
      </c>
      <c r="AK356" s="418">
        <f t="shared" si="25"/>
        <v>2.1527500000000002</v>
      </c>
      <c r="AL356" s="418">
        <f t="shared" si="25"/>
        <v>2.0184500000000001</v>
      </c>
      <c r="AM356" s="22" t="str">
        <f t="shared" si="26"/>
        <v>EAI - Russia</v>
      </c>
      <c r="AN356" s="333" t="s">
        <v>3119</v>
      </c>
      <c r="AQ356" s="11"/>
      <c r="AR356" s="11"/>
    </row>
    <row r="357" spans="1:44">
      <c r="A357" s="5"/>
      <c r="B357" s="55" t="s">
        <v>3210</v>
      </c>
      <c r="C357" s="55" t="s">
        <v>1703</v>
      </c>
      <c r="D357" s="55" t="s">
        <v>3709</v>
      </c>
      <c r="E357" s="55" t="s">
        <v>2970</v>
      </c>
      <c r="F357" s="55" t="s">
        <v>1928</v>
      </c>
      <c r="G357" s="55" t="s">
        <v>3374</v>
      </c>
      <c r="H357" s="55" t="s">
        <v>1930</v>
      </c>
      <c r="I357" s="55" t="s">
        <v>1931</v>
      </c>
      <c r="J357" s="418">
        <v>100</v>
      </c>
      <c r="K357" s="296"/>
      <c r="L357" s="296"/>
      <c r="M357" s="296"/>
      <c r="N357" s="296"/>
      <c r="O357" s="296"/>
      <c r="P357" s="296"/>
      <c r="Q357" s="296"/>
      <c r="R357" s="296"/>
      <c r="S357" s="296"/>
      <c r="T357" s="296"/>
      <c r="U357" s="418">
        <f t="shared" ref="U357:AD366" si="28">INDEX(U$270:U$332,MATCH($D357,$D$270:$D$332,0))*$D$268</f>
        <v>0</v>
      </c>
      <c r="V357" s="418">
        <f t="shared" si="28"/>
        <v>0</v>
      </c>
      <c r="W357" s="418">
        <f t="shared" si="28"/>
        <v>0</v>
      </c>
      <c r="X357" s="418">
        <f t="shared" si="28"/>
        <v>0</v>
      </c>
      <c r="Y357" s="418">
        <f t="shared" si="28"/>
        <v>0.29427500000000001</v>
      </c>
      <c r="Z357" s="418">
        <f t="shared" si="28"/>
        <v>0.90257500000000013</v>
      </c>
      <c r="AA357" s="418">
        <f t="shared" si="28"/>
        <v>2.6425500000000004</v>
      </c>
      <c r="AB357" s="418">
        <f t="shared" si="28"/>
        <v>7.2561500000000008</v>
      </c>
      <c r="AC357" s="418">
        <f t="shared" si="28"/>
        <v>12.185750000000001</v>
      </c>
      <c r="AD357" s="418">
        <f t="shared" si="28"/>
        <v>14.000775000000001</v>
      </c>
      <c r="AE357" s="418">
        <f t="shared" ref="AE357:AL366" si="29">INDEX(AE$270:AE$332,MATCH($D357,$D$270:$D$332,0))*$D$268</f>
        <v>15.766425</v>
      </c>
      <c r="AF357" s="418">
        <f t="shared" si="29"/>
        <v>16.339175000000001</v>
      </c>
      <c r="AG357" s="418">
        <f t="shared" si="29"/>
        <v>16.244375000000002</v>
      </c>
      <c r="AH357" s="418">
        <f t="shared" si="29"/>
        <v>15.817775000000001</v>
      </c>
      <c r="AI357" s="418">
        <f t="shared" si="29"/>
        <v>15.622249999999999</v>
      </c>
      <c r="AJ357" s="418">
        <f t="shared" si="29"/>
        <v>15.610400000000002</v>
      </c>
      <c r="AK357" s="418">
        <f t="shared" si="29"/>
        <v>15.041600000000001</v>
      </c>
      <c r="AL357" s="418">
        <f t="shared" si="29"/>
        <v>14.142975</v>
      </c>
      <c r="AM357" s="22" t="str">
        <f t="shared" si="26"/>
        <v>EAI - Russia</v>
      </c>
      <c r="AN357" s="333" t="s">
        <v>3119</v>
      </c>
      <c r="AQ357" s="11"/>
      <c r="AR357" s="11"/>
    </row>
    <row r="358" spans="1:44">
      <c r="A358" s="5"/>
      <c r="B358" s="55" t="s">
        <v>3210</v>
      </c>
      <c r="C358" s="55" t="s">
        <v>1703</v>
      </c>
      <c r="D358" s="55" t="s">
        <v>3465</v>
      </c>
      <c r="E358" s="55" t="s">
        <v>1927</v>
      </c>
      <c r="F358" s="55" t="s">
        <v>1928</v>
      </c>
      <c r="G358" s="55" t="s">
        <v>3374</v>
      </c>
      <c r="H358" s="55" t="s">
        <v>116</v>
      </c>
      <c r="I358" s="55" t="s">
        <v>1931</v>
      </c>
      <c r="J358" s="418">
        <v>100</v>
      </c>
      <c r="K358" s="296"/>
      <c r="L358" s="296"/>
      <c r="M358" s="296"/>
      <c r="N358" s="296"/>
      <c r="O358" s="296"/>
      <c r="P358" s="296"/>
      <c r="Q358" s="296"/>
      <c r="R358" s="296"/>
      <c r="S358" s="296"/>
      <c r="T358" s="296"/>
      <c r="U358" s="418">
        <f t="shared" si="28"/>
        <v>3.5747500000000003</v>
      </c>
      <c r="V358" s="418">
        <f t="shared" si="28"/>
        <v>3.4285999999999999</v>
      </c>
      <c r="W358" s="418">
        <f t="shared" si="28"/>
        <v>3.43255</v>
      </c>
      <c r="X358" s="418">
        <f t="shared" si="28"/>
        <v>3.25875</v>
      </c>
      <c r="Y358" s="418">
        <f t="shared" si="28"/>
        <v>3.1422250000000003</v>
      </c>
      <c r="Z358" s="418">
        <f t="shared" si="28"/>
        <v>3.031625</v>
      </c>
      <c r="AA358" s="418">
        <f t="shared" si="28"/>
        <v>2.9190499999999999</v>
      </c>
      <c r="AB358" s="418">
        <f t="shared" si="28"/>
        <v>2.8163499999999999</v>
      </c>
      <c r="AC358" s="418">
        <f t="shared" si="28"/>
        <v>2.7176</v>
      </c>
      <c r="AD358" s="418">
        <f t="shared" si="28"/>
        <v>2.620825</v>
      </c>
      <c r="AE358" s="418">
        <f t="shared" si="29"/>
        <v>2.5299750000000003</v>
      </c>
      <c r="AF358" s="418">
        <f t="shared" si="29"/>
        <v>2.4371499999999999</v>
      </c>
      <c r="AG358" s="418">
        <f t="shared" si="29"/>
        <v>2.3522250000000002</v>
      </c>
      <c r="AH358" s="418">
        <f t="shared" si="29"/>
        <v>2.2712500000000002</v>
      </c>
      <c r="AI358" s="418">
        <f t="shared" si="29"/>
        <v>2.1942249999999999</v>
      </c>
      <c r="AJ358" s="418">
        <f t="shared" si="29"/>
        <v>2.1152250000000001</v>
      </c>
      <c r="AK358" s="418">
        <f t="shared" si="29"/>
        <v>2.0401750000000001</v>
      </c>
      <c r="AL358" s="418">
        <f t="shared" si="29"/>
        <v>1.9690750000000001</v>
      </c>
      <c r="AM358" s="22" t="str">
        <f t="shared" si="26"/>
        <v>EAI - Russia</v>
      </c>
      <c r="AN358" s="333" t="s">
        <v>3119</v>
      </c>
      <c r="AQ358" s="11"/>
      <c r="AR358" s="11"/>
    </row>
    <row r="359" spans="1:44">
      <c r="A359" s="5"/>
      <c r="B359" s="55" t="s">
        <v>3210</v>
      </c>
      <c r="C359" s="55" t="s">
        <v>1703</v>
      </c>
      <c r="D359" s="55" t="s">
        <v>3532</v>
      </c>
      <c r="E359" s="55" t="s">
        <v>1927</v>
      </c>
      <c r="F359" s="55" t="s">
        <v>1928</v>
      </c>
      <c r="G359" s="55" t="s">
        <v>1932</v>
      </c>
      <c r="H359" s="55" t="s">
        <v>1930</v>
      </c>
      <c r="I359" s="55" t="s">
        <v>1931</v>
      </c>
      <c r="J359" s="418">
        <v>100</v>
      </c>
      <c r="K359" s="296"/>
      <c r="L359" s="296"/>
      <c r="M359" s="296"/>
      <c r="N359" s="296"/>
      <c r="O359" s="296"/>
      <c r="P359" s="296"/>
      <c r="Q359" s="296"/>
      <c r="R359" s="296"/>
      <c r="S359" s="296"/>
      <c r="T359" s="296"/>
      <c r="U359" s="418">
        <f t="shared" si="28"/>
        <v>10.351962500000001</v>
      </c>
      <c r="V359" s="418">
        <f t="shared" si="28"/>
        <v>24.1572125</v>
      </c>
      <c r="W359" s="418">
        <f t="shared" si="28"/>
        <v>23.879725000000001</v>
      </c>
      <c r="X359" s="418">
        <f t="shared" si="28"/>
        <v>23.295125000000002</v>
      </c>
      <c r="Y359" s="418">
        <f t="shared" si="28"/>
        <v>24.112775000000003</v>
      </c>
      <c r="Z359" s="418">
        <f t="shared" si="28"/>
        <v>23.917249999999999</v>
      </c>
      <c r="AA359" s="418">
        <f t="shared" si="28"/>
        <v>23.820475000000002</v>
      </c>
      <c r="AB359" s="418">
        <f t="shared" si="28"/>
        <v>23.824425000000002</v>
      </c>
      <c r="AC359" s="418">
        <f t="shared" si="28"/>
        <v>23.779000000000003</v>
      </c>
      <c r="AD359" s="418">
        <f t="shared" si="28"/>
        <v>23.542000000000002</v>
      </c>
      <c r="AE359" s="418">
        <f t="shared" si="29"/>
        <v>23.305</v>
      </c>
      <c r="AF359" s="418">
        <f t="shared" si="29"/>
        <v>23.073924999999999</v>
      </c>
      <c r="AG359" s="418">
        <f t="shared" si="29"/>
        <v>22.840875</v>
      </c>
      <c r="AH359" s="418">
        <f t="shared" si="29"/>
        <v>22.477475000000002</v>
      </c>
      <c r="AI359" s="418">
        <f t="shared" si="29"/>
        <v>21.983725</v>
      </c>
      <c r="AJ359" s="418">
        <f t="shared" si="29"/>
        <v>21.377400000000002</v>
      </c>
      <c r="AK359" s="418">
        <f t="shared" si="29"/>
        <v>20.662450000000003</v>
      </c>
      <c r="AL359" s="418">
        <f t="shared" si="29"/>
        <v>19.896149999999999</v>
      </c>
      <c r="AM359" s="22" t="str">
        <f t="shared" si="26"/>
        <v>EAI - Russia</v>
      </c>
      <c r="AN359" s="333" t="s">
        <v>3119</v>
      </c>
      <c r="AQ359" s="11"/>
      <c r="AR359" s="11"/>
    </row>
    <row r="360" spans="1:44">
      <c r="A360" s="5"/>
      <c r="B360" s="55" t="s">
        <v>3210</v>
      </c>
      <c r="C360" s="55" t="s">
        <v>1703</v>
      </c>
      <c r="D360" s="55" t="s">
        <v>2272</v>
      </c>
      <c r="E360" s="55" t="s">
        <v>1927</v>
      </c>
      <c r="F360" s="55" t="s">
        <v>1928</v>
      </c>
      <c r="G360" s="55" t="s">
        <v>1932</v>
      </c>
      <c r="H360" s="55" t="s">
        <v>116</v>
      </c>
      <c r="I360" s="55" t="s">
        <v>1931</v>
      </c>
      <c r="J360" s="418">
        <v>100</v>
      </c>
      <c r="K360" s="296"/>
      <c r="L360" s="296"/>
      <c r="M360" s="296"/>
      <c r="N360" s="296"/>
      <c r="O360" s="296"/>
      <c r="P360" s="296"/>
      <c r="Q360" s="296"/>
      <c r="R360" s="296"/>
      <c r="S360" s="296"/>
      <c r="T360" s="296"/>
      <c r="U360" s="418">
        <f t="shared" si="28"/>
        <v>0</v>
      </c>
      <c r="V360" s="418">
        <f t="shared" si="28"/>
        <v>0</v>
      </c>
      <c r="W360" s="418">
        <f t="shared" si="28"/>
        <v>0</v>
      </c>
      <c r="X360" s="418">
        <f t="shared" si="28"/>
        <v>0</v>
      </c>
      <c r="Y360" s="418">
        <f t="shared" si="28"/>
        <v>0</v>
      </c>
      <c r="Z360" s="418">
        <f t="shared" si="28"/>
        <v>0</v>
      </c>
      <c r="AA360" s="418">
        <f t="shared" si="28"/>
        <v>0.74457499999999999</v>
      </c>
      <c r="AB360" s="418">
        <f t="shared" si="28"/>
        <v>1.992775</v>
      </c>
      <c r="AC360" s="418">
        <f t="shared" si="28"/>
        <v>2.7492000000000001</v>
      </c>
      <c r="AD360" s="418">
        <f t="shared" si="28"/>
        <v>3.4068750000000003</v>
      </c>
      <c r="AE360" s="418">
        <f t="shared" si="29"/>
        <v>3.7722500000000005</v>
      </c>
      <c r="AF360" s="418">
        <f t="shared" si="29"/>
        <v>3.5629</v>
      </c>
      <c r="AG360" s="418">
        <f t="shared" si="29"/>
        <v>3.2864000000000004</v>
      </c>
      <c r="AH360" s="418">
        <f t="shared" si="29"/>
        <v>3.0237250000000002</v>
      </c>
      <c r="AI360" s="418">
        <f t="shared" si="29"/>
        <v>2.755125</v>
      </c>
      <c r="AJ360" s="418">
        <f t="shared" si="29"/>
        <v>2.5043000000000002</v>
      </c>
      <c r="AK360" s="418">
        <f t="shared" si="29"/>
        <v>2.2771750000000002</v>
      </c>
      <c r="AL360" s="418">
        <f t="shared" si="29"/>
        <v>2.0441250000000002</v>
      </c>
      <c r="AM360" s="22" t="str">
        <f t="shared" si="26"/>
        <v>EAI - Russia</v>
      </c>
      <c r="AN360" s="333" t="s">
        <v>3119</v>
      </c>
      <c r="AQ360" s="11"/>
      <c r="AR360" s="11"/>
    </row>
    <row r="361" spans="1:44">
      <c r="A361" s="5"/>
      <c r="B361" s="55" t="s">
        <v>3210</v>
      </c>
      <c r="C361" s="55" t="s">
        <v>1703</v>
      </c>
      <c r="D361" s="55" t="s">
        <v>2977</v>
      </c>
      <c r="E361" s="55" t="s">
        <v>1927</v>
      </c>
      <c r="F361" s="55" t="s">
        <v>1928</v>
      </c>
      <c r="G361" s="55" t="s">
        <v>3374</v>
      </c>
      <c r="H361" s="55" t="s">
        <v>1930</v>
      </c>
      <c r="I361" s="55" t="s">
        <v>1931</v>
      </c>
      <c r="J361" s="418">
        <v>100</v>
      </c>
      <c r="K361" s="296"/>
      <c r="L361" s="296"/>
      <c r="M361" s="296"/>
      <c r="N361" s="296"/>
      <c r="O361" s="296"/>
      <c r="P361" s="296"/>
      <c r="Q361" s="296"/>
      <c r="R361" s="296"/>
      <c r="S361" s="296"/>
      <c r="T361" s="296"/>
      <c r="U361" s="418">
        <f t="shared" si="28"/>
        <v>0</v>
      </c>
      <c r="V361" s="418">
        <f t="shared" si="28"/>
        <v>5.9249999999999997E-3</v>
      </c>
      <c r="W361" s="418">
        <f t="shared" si="28"/>
        <v>0.82357500000000006</v>
      </c>
      <c r="X361" s="418">
        <f t="shared" si="28"/>
        <v>3.6300499999999998</v>
      </c>
      <c r="Y361" s="418">
        <f t="shared" si="28"/>
        <v>3.4424250000000001</v>
      </c>
      <c r="Z361" s="418">
        <f t="shared" si="28"/>
        <v>4.5425000000000004</v>
      </c>
      <c r="AA361" s="418">
        <f t="shared" si="28"/>
        <v>5.2337500000000006</v>
      </c>
      <c r="AB361" s="418">
        <f t="shared" si="28"/>
        <v>4.74</v>
      </c>
      <c r="AC361" s="418">
        <f t="shared" si="28"/>
        <v>4.3450000000000006</v>
      </c>
      <c r="AD361" s="418">
        <f t="shared" si="28"/>
        <v>3.95</v>
      </c>
      <c r="AE361" s="418">
        <f t="shared" si="29"/>
        <v>3.5945</v>
      </c>
      <c r="AF361" s="418">
        <f t="shared" si="29"/>
        <v>3.2706</v>
      </c>
      <c r="AG361" s="418">
        <f t="shared" si="29"/>
        <v>2.9763250000000001</v>
      </c>
      <c r="AH361" s="418">
        <f t="shared" si="29"/>
        <v>2.7097000000000002</v>
      </c>
      <c r="AI361" s="418">
        <f t="shared" si="29"/>
        <v>2.4648000000000003</v>
      </c>
      <c r="AJ361" s="418">
        <f t="shared" si="29"/>
        <v>2.241625</v>
      </c>
      <c r="AK361" s="418">
        <f t="shared" si="29"/>
        <v>2.0401750000000001</v>
      </c>
      <c r="AL361" s="418">
        <f t="shared" si="29"/>
        <v>1.7202250000000003</v>
      </c>
      <c r="AM361" s="22" t="str">
        <f t="shared" si="26"/>
        <v>EAI - Russia</v>
      </c>
      <c r="AN361" s="333" t="s">
        <v>3119</v>
      </c>
      <c r="AQ361" s="11"/>
      <c r="AR361" s="11"/>
    </row>
    <row r="362" spans="1:44">
      <c r="A362" s="5"/>
      <c r="B362" s="55" t="s">
        <v>3210</v>
      </c>
      <c r="C362" s="55" t="s">
        <v>1703</v>
      </c>
      <c r="D362" s="55" t="s">
        <v>2273</v>
      </c>
      <c r="E362" s="55" t="s">
        <v>1927</v>
      </c>
      <c r="F362" s="55" t="s">
        <v>1928</v>
      </c>
      <c r="G362" s="55" t="s">
        <v>3374</v>
      </c>
      <c r="H362" s="55" t="s">
        <v>116</v>
      </c>
      <c r="I362" s="55" t="s">
        <v>1931</v>
      </c>
      <c r="J362" s="418">
        <v>100</v>
      </c>
      <c r="K362" s="296"/>
      <c r="L362" s="296"/>
      <c r="M362" s="296"/>
      <c r="N362" s="296"/>
      <c r="O362" s="296"/>
      <c r="P362" s="296"/>
      <c r="Q362" s="296"/>
      <c r="R362" s="296"/>
      <c r="S362" s="296"/>
      <c r="T362" s="296"/>
      <c r="U362" s="418">
        <f t="shared" si="28"/>
        <v>0.14022499999999999</v>
      </c>
      <c r="V362" s="418">
        <f t="shared" si="28"/>
        <v>0.14615</v>
      </c>
      <c r="W362" s="418">
        <f t="shared" si="28"/>
        <v>0.15207500000000002</v>
      </c>
      <c r="X362" s="418">
        <f t="shared" si="28"/>
        <v>0.13824999999999998</v>
      </c>
      <c r="Y362" s="418">
        <f t="shared" si="28"/>
        <v>0.14615</v>
      </c>
      <c r="Z362" s="418">
        <f t="shared" si="28"/>
        <v>0.13627500000000001</v>
      </c>
      <c r="AA362" s="418">
        <f t="shared" si="28"/>
        <v>0.12640000000000001</v>
      </c>
      <c r="AB362" s="418">
        <f t="shared" si="28"/>
        <v>0.11849999999999999</v>
      </c>
      <c r="AC362" s="418">
        <f t="shared" si="28"/>
        <v>0.10862500000000001</v>
      </c>
      <c r="AD362" s="418">
        <f t="shared" si="28"/>
        <v>0.10072500000000001</v>
      </c>
      <c r="AE362" s="418">
        <f t="shared" si="29"/>
        <v>9.4799999999999995E-2</v>
      </c>
      <c r="AF362" s="418">
        <f t="shared" si="29"/>
        <v>8.887500000000001E-2</v>
      </c>
      <c r="AG362" s="418">
        <f t="shared" si="29"/>
        <v>8.0975000000000005E-2</v>
      </c>
      <c r="AH362" s="418">
        <f t="shared" si="29"/>
        <v>7.702500000000001E-2</v>
      </c>
      <c r="AI362" s="418">
        <f t="shared" si="29"/>
        <v>7.1099999999999997E-2</v>
      </c>
      <c r="AJ362" s="418">
        <f t="shared" si="29"/>
        <v>6.5175000000000011E-2</v>
      </c>
      <c r="AK362" s="418">
        <f t="shared" si="29"/>
        <v>6.1225000000000002E-2</v>
      </c>
      <c r="AL362" s="418">
        <f t="shared" si="29"/>
        <v>5.7275E-2</v>
      </c>
      <c r="AM362" s="22" t="str">
        <f t="shared" si="26"/>
        <v>EAI - Russia</v>
      </c>
      <c r="AN362" s="333" t="s">
        <v>3119</v>
      </c>
      <c r="AQ362" s="11"/>
      <c r="AR362" s="11"/>
    </row>
    <row r="363" spans="1:44">
      <c r="A363" s="5"/>
      <c r="B363" s="55" t="s">
        <v>3210</v>
      </c>
      <c r="C363" s="55" t="s">
        <v>1703</v>
      </c>
      <c r="D363" s="55" t="s">
        <v>2274</v>
      </c>
      <c r="E363" s="55" t="s">
        <v>1927</v>
      </c>
      <c r="F363" s="55" t="s">
        <v>1928</v>
      </c>
      <c r="G363" s="55" t="s">
        <v>3374</v>
      </c>
      <c r="H363" s="55" t="s">
        <v>116</v>
      </c>
      <c r="I363" s="55" t="s">
        <v>1931</v>
      </c>
      <c r="J363" s="418">
        <v>100</v>
      </c>
      <c r="K363" s="296"/>
      <c r="L363" s="296"/>
      <c r="M363" s="296"/>
      <c r="N363" s="296"/>
      <c r="O363" s="296"/>
      <c r="P363" s="296"/>
      <c r="Q363" s="296"/>
      <c r="R363" s="296"/>
      <c r="S363" s="296"/>
      <c r="T363" s="296"/>
      <c r="U363" s="418">
        <f t="shared" si="28"/>
        <v>45.891100000000002</v>
      </c>
      <c r="V363" s="418">
        <f t="shared" si="28"/>
        <v>45.085300000000004</v>
      </c>
      <c r="W363" s="418">
        <f t="shared" si="28"/>
        <v>37.858775000000001</v>
      </c>
      <c r="X363" s="418">
        <f t="shared" si="28"/>
        <v>35.593450000000004</v>
      </c>
      <c r="Y363" s="418">
        <f t="shared" si="28"/>
        <v>31.833050000000004</v>
      </c>
      <c r="Z363" s="418">
        <f t="shared" si="28"/>
        <v>28.835000000000001</v>
      </c>
      <c r="AA363" s="418">
        <f t="shared" si="28"/>
        <v>28.637500000000003</v>
      </c>
      <c r="AB363" s="418">
        <f t="shared" si="28"/>
        <v>28.045000000000002</v>
      </c>
      <c r="AC363" s="418">
        <f t="shared" si="28"/>
        <v>27.482125000000003</v>
      </c>
      <c r="AD363" s="418">
        <f t="shared" si="28"/>
        <v>26.937024999999998</v>
      </c>
      <c r="AE363" s="418">
        <f t="shared" si="29"/>
        <v>26.395875000000004</v>
      </c>
      <c r="AF363" s="418">
        <f t="shared" si="29"/>
        <v>25.866575000000001</v>
      </c>
      <c r="AG363" s="418">
        <f t="shared" si="29"/>
        <v>25.351100000000002</v>
      </c>
      <c r="AH363" s="418">
        <f t="shared" si="29"/>
        <v>24.843525000000003</v>
      </c>
      <c r="AI363" s="418">
        <f t="shared" si="29"/>
        <v>24.347800000000003</v>
      </c>
      <c r="AJ363" s="418">
        <f t="shared" si="29"/>
        <v>23.86195</v>
      </c>
      <c r="AK363" s="418">
        <f t="shared" si="29"/>
        <v>23.382025000000002</v>
      </c>
      <c r="AL363" s="418">
        <f t="shared" si="29"/>
        <v>22.915925000000001</v>
      </c>
      <c r="AM363" s="22" t="str">
        <f t="shared" si="26"/>
        <v>EAI - Russia</v>
      </c>
      <c r="AN363" s="333" t="s">
        <v>3119</v>
      </c>
      <c r="AQ363" s="11"/>
      <c r="AR363" s="11"/>
    </row>
    <row r="364" spans="1:44">
      <c r="A364" s="5"/>
      <c r="B364" s="55" t="s">
        <v>3210</v>
      </c>
      <c r="C364" s="55" t="s">
        <v>1703</v>
      </c>
      <c r="D364" s="55" t="s">
        <v>1816</v>
      </c>
      <c r="E364" s="55" t="s">
        <v>1927</v>
      </c>
      <c r="F364" s="55" t="s">
        <v>1928</v>
      </c>
      <c r="G364" s="55" t="s">
        <v>1932</v>
      </c>
      <c r="H364" s="55" t="s">
        <v>116</v>
      </c>
      <c r="I364" s="55" t="s">
        <v>1931</v>
      </c>
      <c r="J364" s="418">
        <v>80</v>
      </c>
      <c r="K364" s="296"/>
      <c r="L364" s="296"/>
      <c r="M364" s="296"/>
      <c r="N364" s="296"/>
      <c r="O364" s="296"/>
      <c r="P364" s="296"/>
      <c r="Q364" s="296"/>
      <c r="R364" s="296"/>
      <c r="S364" s="296"/>
      <c r="T364" s="296"/>
      <c r="U364" s="418">
        <f t="shared" si="28"/>
        <v>0.32666499999999998</v>
      </c>
      <c r="V364" s="418">
        <f t="shared" si="28"/>
        <v>0.65135500000000002</v>
      </c>
      <c r="W364" s="418">
        <f t="shared" si="28"/>
        <v>0.58855000000000002</v>
      </c>
      <c r="X364" s="418">
        <f t="shared" si="28"/>
        <v>0.5293000000000001</v>
      </c>
      <c r="Y364" s="418">
        <f t="shared" si="28"/>
        <v>0.47794999999999999</v>
      </c>
      <c r="Z364" s="418">
        <f t="shared" si="28"/>
        <v>0.42857499999999998</v>
      </c>
      <c r="AA364" s="418">
        <f t="shared" si="28"/>
        <v>0.385125</v>
      </c>
      <c r="AB364" s="418">
        <f t="shared" si="28"/>
        <v>0.34760000000000002</v>
      </c>
      <c r="AC364" s="418">
        <f t="shared" si="28"/>
        <v>0.32784999999999997</v>
      </c>
      <c r="AD364" s="418">
        <f t="shared" si="28"/>
        <v>0.30612500000000004</v>
      </c>
      <c r="AE364" s="418">
        <f t="shared" si="29"/>
        <v>0.28835</v>
      </c>
      <c r="AF364" s="418">
        <f t="shared" si="29"/>
        <v>0.27057500000000001</v>
      </c>
      <c r="AG364" s="418">
        <f t="shared" si="29"/>
        <v>0.25675000000000003</v>
      </c>
      <c r="AH364" s="418">
        <f t="shared" si="29"/>
        <v>0.23897499999999999</v>
      </c>
      <c r="AI364" s="418">
        <f t="shared" si="29"/>
        <v>0.22514999999999999</v>
      </c>
      <c r="AJ364" s="418">
        <f t="shared" si="29"/>
        <v>0.21132500000000001</v>
      </c>
      <c r="AK364" s="418">
        <f t="shared" si="29"/>
        <v>0.19947500000000001</v>
      </c>
      <c r="AL364" s="418">
        <f t="shared" si="29"/>
        <v>0.18565000000000001</v>
      </c>
      <c r="AM364" s="22" t="str">
        <f t="shared" si="26"/>
        <v>EAI - Russia</v>
      </c>
      <c r="AN364" s="333" t="s">
        <v>3119</v>
      </c>
      <c r="AQ364" s="11"/>
      <c r="AR364" s="11"/>
    </row>
    <row r="365" spans="1:44">
      <c r="A365" s="5"/>
      <c r="B365" s="55" t="s">
        <v>3210</v>
      </c>
      <c r="C365" s="55" t="s">
        <v>1703</v>
      </c>
      <c r="D365" s="55" t="s">
        <v>2275</v>
      </c>
      <c r="E365" s="55" t="s">
        <v>1927</v>
      </c>
      <c r="F365" s="55" t="s">
        <v>1928</v>
      </c>
      <c r="G365" s="55" t="s">
        <v>3374</v>
      </c>
      <c r="H365" s="55" t="s">
        <v>116</v>
      </c>
      <c r="I365" s="55" t="s">
        <v>1933</v>
      </c>
      <c r="J365" s="418">
        <v>100</v>
      </c>
      <c r="K365" s="296"/>
      <c r="L365" s="296"/>
      <c r="M365" s="296"/>
      <c r="N365" s="296"/>
      <c r="O365" s="296"/>
      <c r="P365" s="296"/>
      <c r="Q365" s="296"/>
      <c r="R365" s="296"/>
      <c r="S365" s="296"/>
      <c r="T365" s="296"/>
      <c r="U365" s="418">
        <f t="shared" si="28"/>
        <v>19.13775</v>
      </c>
      <c r="V365" s="418">
        <f t="shared" si="28"/>
        <v>19.0153</v>
      </c>
      <c r="W365" s="418">
        <f t="shared" si="28"/>
        <v>18.869150000000001</v>
      </c>
      <c r="X365" s="418">
        <f t="shared" si="28"/>
        <v>19.374749999999999</v>
      </c>
      <c r="Y365" s="418">
        <f t="shared" si="28"/>
        <v>18.507725000000001</v>
      </c>
      <c r="Z365" s="418">
        <f t="shared" si="28"/>
        <v>17.577500000000001</v>
      </c>
      <c r="AA365" s="418">
        <f t="shared" si="28"/>
        <v>17.225950000000001</v>
      </c>
      <c r="AB365" s="418">
        <f t="shared" si="28"/>
        <v>16.880324999999999</v>
      </c>
      <c r="AC365" s="418">
        <f t="shared" si="28"/>
        <v>16.5426</v>
      </c>
      <c r="AD365" s="418">
        <f t="shared" si="28"/>
        <v>16.214749999999999</v>
      </c>
      <c r="AE365" s="418">
        <f t="shared" si="29"/>
        <v>15.89085</v>
      </c>
      <c r="AF365" s="418">
        <f t="shared" si="29"/>
        <v>15.572875</v>
      </c>
      <c r="AG365" s="418">
        <f t="shared" si="29"/>
        <v>15.258850000000002</v>
      </c>
      <c r="AH365" s="418">
        <f t="shared" si="29"/>
        <v>14.496500000000001</v>
      </c>
      <c r="AI365" s="418">
        <f t="shared" si="29"/>
        <v>13.7697</v>
      </c>
      <c r="AJ365" s="418">
        <f t="shared" si="29"/>
        <v>13.084375000000001</v>
      </c>
      <c r="AK365" s="418">
        <f t="shared" si="29"/>
        <v>12.428675</v>
      </c>
      <c r="AL365" s="418">
        <f t="shared" si="29"/>
        <v>11.808524999999999</v>
      </c>
      <c r="AM365" s="22" t="str">
        <f t="shared" si="26"/>
        <v>EAI - Russia</v>
      </c>
      <c r="AN365" s="333" t="s">
        <v>3119</v>
      </c>
      <c r="AQ365" s="11"/>
      <c r="AR365" s="11"/>
    </row>
    <row r="366" spans="1:44">
      <c r="A366" s="5"/>
      <c r="B366" s="55" t="s">
        <v>3210</v>
      </c>
      <c r="C366" s="55" t="s">
        <v>1703</v>
      </c>
      <c r="D366" s="55" t="s">
        <v>1704</v>
      </c>
      <c r="E366" s="55" t="s">
        <v>1927</v>
      </c>
      <c r="F366" s="55" t="s">
        <v>1928</v>
      </c>
      <c r="G366" s="55" t="s">
        <v>3374</v>
      </c>
      <c r="H366" s="55" t="s">
        <v>1930</v>
      </c>
      <c r="I366" s="55" t="s">
        <v>1931</v>
      </c>
      <c r="J366" s="418">
        <v>50</v>
      </c>
      <c r="K366" s="296"/>
      <c r="L366" s="296"/>
      <c r="M366" s="296"/>
      <c r="N366" s="296"/>
      <c r="O366" s="296"/>
      <c r="P366" s="296"/>
      <c r="Q366" s="296"/>
      <c r="R366" s="296"/>
      <c r="S366" s="296"/>
      <c r="T366" s="296"/>
      <c r="U366" s="418">
        <f t="shared" si="28"/>
        <v>0</v>
      </c>
      <c r="V366" s="418">
        <f t="shared" si="28"/>
        <v>7.7025000000000001E-3</v>
      </c>
      <c r="W366" s="418">
        <f t="shared" si="28"/>
        <v>7.9000000000000008E-3</v>
      </c>
      <c r="X366" s="418">
        <f t="shared" si="28"/>
        <v>1.38645</v>
      </c>
      <c r="Y366" s="418">
        <f t="shared" si="28"/>
        <v>3.95</v>
      </c>
      <c r="Z366" s="418">
        <f t="shared" si="28"/>
        <v>5.9250000000000007</v>
      </c>
      <c r="AA366" s="418">
        <f t="shared" si="28"/>
        <v>8.3937500000000007</v>
      </c>
      <c r="AB366" s="418">
        <f t="shared" si="28"/>
        <v>11.06</v>
      </c>
      <c r="AC366" s="418">
        <f t="shared" si="28"/>
        <v>11.06</v>
      </c>
      <c r="AD366" s="418">
        <f t="shared" si="28"/>
        <v>11.06</v>
      </c>
      <c r="AE366" s="418">
        <f t="shared" si="29"/>
        <v>11.208125000000001</v>
      </c>
      <c r="AF366" s="418">
        <f t="shared" si="29"/>
        <v>11.553750000000001</v>
      </c>
      <c r="AG366" s="418">
        <f t="shared" si="29"/>
        <v>12.0396</v>
      </c>
      <c r="AH366" s="418">
        <f t="shared" si="29"/>
        <v>12.549150000000001</v>
      </c>
      <c r="AI366" s="418">
        <f t="shared" si="29"/>
        <v>13.574175000000002</v>
      </c>
      <c r="AJ366" s="418">
        <f t="shared" si="29"/>
        <v>14.620925000000002</v>
      </c>
      <c r="AK366" s="418">
        <f t="shared" si="29"/>
        <v>14.796700000000001</v>
      </c>
      <c r="AL366" s="418">
        <f t="shared" si="29"/>
        <v>15.090975</v>
      </c>
      <c r="AM366" s="22" t="str">
        <f t="shared" si="26"/>
        <v>EAI - Russia</v>
      </c>
      <c r="AN366" s="333" t="s">
        <v>3119</v>
      </c>
      <c r="AQ366" s="11"/>
      <c r="AR366" s="11"/>
    </row>
    <row r="367" spans="1:44">
      <c r="A367" s="5"/>
      <c r="B367" s="55" t="s">
        <v>3210</v>
      </c>
      <c r="C367" s="55" t="s">
        <v>1703</v>
      </c>
      <c r="D367" s="55" t="s">
        <v>2565</v>
      </c>
      <c r="E367" s="55" t="s">
        <v>1927</v>
      </c>
      <c r="F367" s="55" t="s">
        <v>1928</v>
      </c>
      <c r="G367" s="55" t="s">
        <v>3374</v>
      </c>
      <c r="H367" s="55" t="s">
        <v>1930</v>
      </c>
      <c r="I367" s="55" t="s">
        <v>1931</v>
      </c>
      <c r="J367" s="418">
        <v>100</v>
      </c>
      <c r="K367" s="296"/>
      <c r="L367" s="296"/>
      <c r="M367" s="296"/>
      <c r="N367" s="296"/>
      <c r="O367" s="296"/>
      <c r="P367" s="296"/>
      <c r="Q367" s="296"/>
      <c r="R367" s="296"/>
      <c r="S367" s="296"/>
      <c r="T367" s="296"/>
      <c r="U367" s="418">
        <f t="shared" ref="U367:AD376" si="30">INDEX(U$270:U$332,MATCH($D367,$D$270:$D$332,0))*$D$268</f>
        <v>0</v>
      </c>
      <c r="V367" s="418">
        <f t="shared" si="30"/>
        <v>0</v>
      </c>
      <c r="W367" s="418">
        <f t="shared" si="30"/>
        <v>0</v>
      </c>
      <c r="X367" s="418">
        <f t="shared" si="30"/>
        <v>3.9500000000000007E-2</v>
      </c>
      <c r="Y367" s="418">
        <f t="shared" si="30"/>
        <v>1.6214750000000002</v>
      </c>
      <c r="Z367" s="418">
        <f t="shared" si="30"/>
        <v>3.7525000000000004</v>
      </c>
      <c r="AA367" s="418">
        <f t="shared" si="30"/>
        <v>4.5128750000000002</v>
      </c>
      <c r="AB367" s="418">
        <f t="shared" si="30"/>
        <v>4.4378250000000001</v>
      </c>
      <c r="AC367" s="418">
        <f t="shared" si="30"/>
        <v>4.3212999999999999</v>
      </c>
      <c r="AD367" s="418">
        <f t="shared" si="30"/>
        <v>4.2067500000000004</v>
      </c>
      <c r="AE367" s="418">
        <f t="shared" ref="AE367:AL376" si="31">INDEX(AE$270:AE$332,MATCH($D367,$D$270:$D$332,0))*$D$268</f>
        <v>4.0586250000000001</v>
      </c>
      <c r="AF367" s="418">
        <f t="shared" si="31"/>
        <v>3.8966750000000001</v>
      </c>
      <c r="AG367" s="418">
        <f t="shared" si="31"/>
        <v>3.7011499999999997</v>
      </c>
      <c r="AH367" s="418">
        <f t="shared" si="31"/>
        <v>3.4424250000000001</v>
      </c>
      <c r="AI367" s="418">
        <f t="shared" si="31"/>
        <v>3.0948250000000002</v>
      </c>
      <c r="AJ367" s="418">
        <f t="shared" si="31"/>
        <v>2.782775</v>
      </c>
      <c r="AK367" s="418">
        <f t="shared" si="31"/>
        <v>2.5023249999999999</v>
      </c>
      <c r="AL367" s="418">
        <f t="shared" si="31"/>
        <v>2.2515000000000001</v>
      </c>
      <c r="AM367" s="22" t="str">
        <f t="shared" si="26"/>
        <v>EAI - Russia</v>
      </c>
      <c r="AN367" s="333" t="s">
        <v>3119</v>
      </c>
      <c r="AQ367" s="11"/>
      <c r="AR367" s="11"/>
    </row>
    <row r="368" spans="1:44">
      <c r="A368" s="5"/>
      <c r="B368" s="55" t="s">
        <v>3210</v>
      </c>
      <c r="C368" s="55" t="s">
        <v>1703</v>
      </c>
      <c r="D368" s="55" t="s">
        <v>3523</v>
      </c>
      <c r="E368" s="55" t="s">
        <v>1927</v>
      </c>
      <c r="F368" s="55" t="s">
        <v>1928</v>
      </c>
      <c r="G368" s="55" t="s">
        <v>1932</v>
      </c>
      <c r="H368" s="55" t="s">
        <v>1930</v>
      </c>
      <c r="I368" s="55" t="s">
        <v>1931</v>
      </c>
      <c r="J368" s="418">
        <v>100</v>
      </c>
      <c r="K368" s="296"/>
      <c r="L368" s="296"/>
      <c r="M368" s="296"/>
      <c r="N368" s="296"/>
      <c r="O368" s="296"/>
      <c r="P368" s="296"/>
      <c r="Q368" s="296"/>
      <c r="R368" s="296"/>
      <c r="S368" s="296"/>
      <c r="T368" s="296"/>
      <c r="U368" s="418">
        <f t="shared" si="30"/>
        <v>4.0203100000000003</v>
      </c>
      <c r="V368" s="418">
        <f t="shared" si="30"/>
        <v>9.0682124999999996</v>
      </c>
      <c r="W368" s="418">
        <f t="shared" si="30"/>
        <v>9.1778250000000003</v>
      </c>
      <c r="X368" s="418">
        <f t="shared" si="30"/>
        <v>8.5102750000000018</v>
      </c>
      <c r="Y368" s="418">
        <f t="shared" si="30"/>
        <v>7.9790000000000001</v>
      </c>
      <c r="Z368" s="418">
        <f t="shared" si="30"/>
        <v>7.1435750000000002</v>
      </c>
      <c r="AA368" s="418">
        <f t="shared" si="30"/>
        <v>6.5017000000000005</v>
      </c>
      <c r="AB368" s="418">
        <f t="shared" si="30"/>
        <v>6.0691750000000004</v>
      </c>
      <c r="AC368" s="418">
        <f t="shared" si="30"/>
        <v>5.68405</v>
      </c>
      <c r="AD368" s="418">
        <f t="shared" si="30"/>
        <v>5.3443500000000004</v>
      </c>
      <c r="AE368" s="418">
        <f t="shared" si="31"/>
        <v>5.0362499999999999</v>
      </c>
      <c r="AF368" s="418">
        <f t="shared" si="31"/>
        <v>4.7597500000000004</v>
      </c>
      <c r="AG368" s="418">
        <f t="shared" si="31"/>
        <v>4.504975</v>
      </c>
      <c r="AH368" s="418">
        <f t="shared" si="31"/>
        <v>4.2719250000000004</v>
      </c>
      <c r="AI368" s="418">
        <f t="shared" si="31"/>
        <v>4.0586250000000001</v>
      </c>
      <c r="AJ368" s="418">
        <f t="shared" si="31"/>
        <v>3.8552</v>
      </c>
      <c r="AK368" s="418">
        <f t="shared" si="31"/>
        <v>3.6675750000000003</v>
      </c>
      <c r="AL368" s="418">
        <f t="shared" si="31"/>
        <v>3.4937750000000003</v>
      </c>
      <c r="AM368" s="22" t="str">
        <f t="shared" si="26"/>
        <v>EAI - Russia</v>
      </c>
      <c r="AN368" s="333" t="s">
        <v>3119</v>
      </c>
      <c r="AQ368" s="11"/>
      <c r="AR368" s="11"/>
    </row>
    <row r="369" spans="1:44">
      <c r="A369" s="5"/>
      <c r="B369" s="55" t="s">
        <v>3210</v>
      </c>
      <c r="C369" s="55" t="s">
        <v>1703</v>
      </c>
      <c r="D369" s="55" t="s">
        <v>3524</v>
      </c>
      <c r="E369" s="55" t="s">
        <v>1927</v>
      </c>
      <c r="F369" s="55" t="s">
        <v>2960</v>
      </c>
      <c r="G369" s="55" t="s">
        <v>3374</v>
      </c>
      <c r="H369" s="55" t="s">
        <v>1930</v>
      </c>
      <c r="I369" s="55" t="s">
        <v>2601</v>
      </c>
      <c r="J369" s="418">
        <v>100</v>
      </c>
      <c r="K369" s="296"/>
      <c r="L369" s="296"/>
      <c r="M369" s="296"/>
      <c r="N369" s="296"/>
      <c r="O369" s="296"/>
      <c r="P369" s="296"/>
      <c r="Q369" s="296"/>
      <c r="R369" s="296"/>
      <c r="S369" s="296"/>
      <c r="T369" s="296"/>
      <c r="U369" s="418">
        <f t="shared" si="30"/>
        <v>0</v>
      </c>
      <c r="V369" s="418">
        <f t="shared" si="30"/>
        <v>1.1613</v>
      </c>
      <c r="W369" s="418">
        <f t="shared" si="30"/>
        <v>8.0165250000000015</v>
      </c>
      <c r="X369" s="418">
        <f t="shared" si="30"/>
        <v>9.4365500000000004</v>
      </c>
      <c r="Y369" s="418">
        <f t="shared" si="30"/>
        <v>8.8934250000000006</v>
      </c>
      <c r="Z369" s="418">
        <f t="shared" si="30"/>
        <v>8.0046750000000007</v>
      </c>
      <c r="AA369" s="418">
        <f t="shared" si="30"/>
        <v>7.0428499999999996</v>
      </c>
      <c r="AB369" s="418">
        <f t="shared" si="30"/>
        <v>5.6188750000000001</v>
      </c>
      <c r="AC369" s="418">
        <f t="shared" si="30"/>
        <v>3.4582250000000005</v>
      </c>
      <c r="AD369" s="418">
        <f t="shared" si="30"/>
        <v>2.1211500000000001</v>
      </c>
      <c r="AE369" s="418">
        <f t="shared" si="31"/>
        <v>1.301525</v>
      </c>
      <c r="AF369" s="418">
        <f t="shared" si="31"/>
        <v>0.7959250000000001</v>
      </c>
      <c r="AG369" s="418">
        <f t="shared" si="31"/>
        <v>0.48980000000000001</v>
      </c>
      <c r="AH369" s="418">
        <f t="shared" si="31"/>
        <v>0.30020000000000002</v>
      </c>
      <c r="AI369" s="418">
        <f t="shared" si="31"/>
        <v>0.183675</v>
      </c>
      <c r="AJ369" s="418">
        <f t="shared" si="31"/>
        <v>0</v>
      </c>
      <c r="AK369" s="418">
        <f t="shared" si="31"/>
        <v>0</v>
      </c>
      <c r="AL369" s="418">
        <f t="shared" si="31"/>
        <v>0</v>
      </c>
      <c r="AM369" s="22" t="str">
        <f t="shared" si="26"/>
        <v>EAI - Russia</v>
      </c>
      <c r="AN369" s="333" t="s">
        <v>3119</v>
      </c>
      <c r="AQ369" s="11"/>
      <c r="AR369" s="11"/>
    </row>
    <row r="370" spans="1:44">
      <c r="A370" s="5"/>
      <c r="B370" s="55" t="s">
        <v>3210</v>
      </c>
      <c r="C370" s="55" t="s">
        <v>1703</v>
      </c>
      <c r="D370" s="55" t="s">
        <v>3731</v>
      </c>
      <c r="E370" s="55" t="s">
        <v>1927</v>
      </c>
      <c r="F370" s="55" t="s">
        <v>1928</v>
      </c>
      <c r="G370" s="55" t="s">
        <v>3374</v>
      </c>
      <c r="H370" s="55" t="s">
        <v>116</v>
      </c>
      <c r="I370" s="55" t="s">
        <v>1931</v>
      </c>
      <c r="J370" s="418">
        <v>100</v>
      </c>
      <c r="K370" s="296"/>
      <c r="L370" s="296"/>
      <c r="M370" s="296"/>
      <c r="N370" s="296"/>
      <c r="O370" s="296"/>
      <c r="P370" s="296"/>
      <c r="Q370" s="296"/>
      <c r="R370" s="296"/>
      <c r="S370" s="296"/>
      <c r="T370" s="296"/>
      <c r="U370" s="418">
        <f t="shared" si="30"/>
        <v>0.34562500000000002</v>
      </c>
      <c r="V370" s="418">
        <f t="shared" si="30"/>
        <v>0.45227500000000004</v>
      </c>
      <c r="W370" s="418">
        <f t="shared" si="30"/>
        <v>0.70310000000000006</v>
      </c>
      <c r="X370" s="418">
        <f t="shared" si="30"/>
        <v>1.0625500000000001</v>
      </c>
      <c r="Y370" s="418">
        <f t="shared" si="30"/>
        <v>0.748525</v>
      </c>
      <c r="Z370" s="418">
        <f t="shared" si="30"/>
        <v>0.79394999999999993</v>
      </c>
      <c r="AA370" s="418">
        <f t="shared" si="30"/>
        <v>2.4964000000000004</v>
      </c>
      <c r="AB370" s="418">
        <f t="shared" si="30"/>
        <v>7.1653000000000002</v>
      </c>
      <c r="AC370" s="418">
        <f t="shared" si="30"/>
        <v>19.222674999999999</v>
      </c>
      <c r="AD370" s="418">
        <f t="shared" si="30"/>
        <v>14.239749999999999</v>
      </c>
      <c r="AE370" s="418">
        <f t="shared" si="31"/>
        <v>11.058025000000001</v>
      </c>
      <c r="AF370" s="418">
        <f t="shared" si="31"/>
        <v>9.2370750000000008</v>
      </c>
      <c r="AG370" s="418">
        <f t="shared" si="31"/>
        <v>7.9039500000000009</v>
      </c>
      <c r="AH370" s="418">
        <f t="shared" si="31"/>
        <v>6.8453499999999998</v>
      </c>
      <c r="AI370" s="418">
        <f t="shared" si="31"/>
        <v>6.1619999999999999</v>
      </c>
      <c r="AJ370" s="418">
        <f t="shared" si="31"/>
        <v>5.5457999999999998</v>
      </c>
      <c r="AK370" s="418">
        <f t="shared" si="31"/>
        <v>4.9868750000000004</v>
      </c>
      <c r="AL370" s="418">
        <f t="shared" si="31"/>
        <v>4.493125</v>
      </c>
      <c r="AM370" s="22" t="str">
        <f t="shared" ref="AM370" si="32">AN370&amp;" - "&amp;C370</f>
        <v>EAI - Russia</v>
      </c>
      <c r="AN370" s="333" t="s">
        <v>3119</v>
      </c>
      <c r="AQ370" s="11"/>
      <c r="AR370" s="11"/>
    </row>
    <row r="371" spans="1:44">
      <c r="A371" s="5"/>
      <c r="B371" s="55" t="s">
        <v>3210</v>
      </c>
      <c r="C371" s="55" t="s">
        <v>1703</v>
      </c>
      <c r="D371" s="55" t="s">
        <v>2030</v>
      </c>
      <c r="E371" s="55" t="s">
        <v>1927</v>
      </c>
      <c r="F371" s="55" t="s">
        <v>1928</v>
      </c>
      <c r="G371" s="55" t="s">
        <v>1932</v>
      </c>
      <c r="H371" s="55" t="s">
        <v>116</v>
      </c>
      <c r="I371" s="55" t="s">
        <v>1931</v>
      </c>
      <c r="J371" s="418">
        <v>97.08</v>
      </c>
      <c r="K371" s="296"/>
      <c r="L371" s="296"/>
      <c r="M371" s="296"/>
      <c r="N371" s="296"/>
      <c r="O371" s="296"/>
      <c r="P371" s="296"/>
      <c r="Q371" s="296"/>
      <c r="R371" s="296"/>
      <c r="S371" s="296"/>
      <c r="T371" s="296"/>
      <c r="U371" s="418">
        <f t="shared" si="30"/>
        <v>28.696157500000002</v>
      </c>
      <c r="V371" s="418">
        <f t="shared" si="30"/>
        <v>65.402322500000011</v>
      </c>
      <c r="W371" s="418">
        <f t="shared" si="30"/>
        <v>60.721375000000002</v>
      </c>
      <c r="X371" s="418">
        <f t="shared" si="30"/>
        <v>55.4343</v>
      </c>
      <c r="Y371" s="418">
        <f t="shared" si="30"/>
        <v>52.926050000000004</v>
      </c>
      <c r="Z371" s="418">
        <f t="shared" si="30"/>
        <v>49.850974999999998</v>
      </c>
      <c r="AA371" s="418">
        <f t="shared" si="30"/>
        <v>48.274925000000003</v>
      </c>
      <c r="AB371" s="418">
        <f t="shared" si="30"/>
        <v>46.694925000000005</v>
      </c>
      <c r="AC371" s="418">
        <f t="shared" si="30"/>
        <v>45.103075000000004</v>
      </c>
      <c r="AD371" s="418">
        <f t="shared" si="30"/>
        <v>43.554675000000003</v>
      </c>
      <c r="AE371" s="418">
        <f t="shared" si="31"/>
        <v>42.073425</v>
      </c>
      <c r="AF371" s="418">
        <f t="shared" si="31"/>
        <v>40.631675000000001</v>
      </c>
      <c r="AG371" s="418">
        <f t="shared" si="31"/>
        <v>39.251150000000003</v>
      </c>
      <c r="AH371" s="418">
        <f t="shared" si="31"/>
        <v>36.517749999999999</v>
      </c>
      <c r="AI371" s="418">
        <f t="shared" si="31"/>
        <v>34.009500000000003</v>
      </c>
      <c r="AJ371" s="418">
        <f t="shared" si="31"/>
        <v>31.684925000000003</v>
      </c>
      <c r="AK371" s="418">
        <f t="shared" si="31"/>
        <v>29.542050000000003</v>
      </c>
      <c r="AL371" s="418">
        <f t="shared" si="31"/>
        <v>27.563100000000002</v>
      </c>
      <c r="AM371" s="22" t="str">
        <f t="shared" ref="AM371:AM401" si="33">AN371&amp;" - "&amp;C371</f>
        <v>EAI - Russia</v>
      </c>
      <c r="AN371" s="333" t="s">
        <v>3119</v>
      </c>
      <c r="AQ371" s="11"/>
      <c r="AR371" s="11"/>
    </row>
    <row r="372" spans="1:44">
      <c r="A372" s="5"/>
      <c r="B372" s="55" t="s">
        <v>3210</v>
      </c>
      <c r="C372" s="55" t="s">
        <v>1703</v>
      </c>
      <c r="D372" s="55" t="s">
        <v>2566</v>
      </c>
      <c r="E372" s="55" t="s">
        <v>1927</v>
      </c>
      <c r="F372" s="55" t="s">
        <v>1928</v>
      </c>
      <c r="G372" s="55" t="s">
        <v>3374</v>
      </c>
      <c r="H372" s="55" t="s">
        <v>1930</v>
      </c>
      <c r="I372" s="55" t="s">
        <v>1931</v>
      </c>
      <c r="J372" s="418">
        <v>100</v>
      </c>
      <c r="K372" s="296"/>
      <c r="L372" s="296"/>
      <c r="M372" s="296"/>
      <c r="N372" s="296"/>
      <c r="O372" s="296"/>
      <c r="P372" s="296"/>
      <c r="Q372" s="296"/>
      <c r="R372" s="296"/>
      <c r="S372" s="296"/>
      <c r="T372" s="296"/>
      <c r="U372" s="418">
        <f t="shared" si="30"/>
        <v>9.6775E-2</v>
      </c>
      <c r="V372" s="418">
        <f t="shared" si="30"/>
        <v>0.18170000000000003</v>
      </c>
      <c r="W372" s="418">
        <f t="shared" si="30"/>
        <v>0.25675000000000003</v>
      </c>
      <c r="X372" s="418">
        <f t="shared" si="30"/>
        <v>0.385125</v>
      </c>
      <c r="Y372" s="418">
        <f t="shared" si="30"/>
        <v>0.36142500000000005</v>
      </c>
      <c r="Z372" s="418">
        <f t="shared" si="30"/>
        <v>0.98750000000000004</v>
      </c>
      <c r="AA372" s="418">
        <f t="shared" si="30"/>
        <v>2.1725000000000003</v>
      </c>
      <c r="AB372" s="418">
        <f t="shared" si="30"/>
        <v>2.5674999999999999</v>
      </c>
      <c r="AC372" s="418">
        <f t="shared" si="30"/>
        <v>2.5082499999999999</v>
      </c>
      <c r="AD372" s="418">
        <f t="shared" si="30"/>
        <v>2.4450500000000002</v>
      </c>
      <c r="AE372" s="418">
        <f t="shared" si="31"/>
        <v>2.3245749999999998</v>
      </c>
      <c r="AF372" s="418">
        <f t="shared" si="31"/>
        <v>2.1488</v>
      </c>
      <c r="AG372" s="418">
        <f t="shared" si="31"/>
        <v>1.9888250000000001</v>
      </c>
      <c r="AH372" s="418">
        <f t="shared" si="31"/>
        <v>1.8387250000000002</v>
      </c>
      <c r="AI372" s="418">
        <f t="shared" si="31"/>
        <v>1.700475</v>
      </c>
      <c r="AJ372" s="418">
        <f t="shared" si="31"/>
        <v>1.5740750000000001</v>
      </c>
      <c r="AK372" s="418">
        <f t="shared" si="31"/>
        <v>1.3627500000000001</v>
      </c>
      <c r="AL372" s="418">
        <f t="shared" si="31"/>
        <v>1.183025</v>
      </c>
      <c r="AM372" s="22" t="str">
        <f t="shared" si="33"/>
        <v>EAI - Russia</v>
      </c>
      <c r="AN372" s="333" t="s">
        <v>3119</v>
      </c>
      <c r="AQ372" s="11"/>
      <c r="AR372" s="11"/>
    </row>
    <row r="373" spans="1:44">
      <c r="A373" s="5"/>
      <c r="B373" s="55" t="s">
        <v>3210</v>
      </c>
      <c r="C373" s="55" t="s">
        <v>1703</v>
      </c>
      <c r="D373" s="55" t="s">
        <v>2567</v>
      </c>
      <c r="E373" s="55" t="s">
        <v>1927</v>
      </c>
      <c r="F373" s="55" t="s">
        <v>1928</v>
      </c>
      <c r="G373" s="55" t="s">
        <v>3374</v>
      </c>
      <c r="H373" s="55" t="s">
        <v>1930</v>
      </c>
      <c r="I373" s="55" t="s">
        <v>1931</v>
      </c>
      <c r="J373" s="418">
        <v>50</v>
      </c>
      <c r="K373" s="296"/>
      <c r="L373" s="296"/>
      <c r="M373" s="296"/>
      <c r="N373" s="296"/>
      <c r="O373" s="296"/>
      <c r="P373" s="296"/>
      <c r="Q373" s="296"/>
      <c r="R373" s="296"/>
      <c r="S373" s="296"/>
      <c r="T373" s="296"/>
      <c r="U373" s="418">
        <f t="shared" si="30"/>
        <v>0.41870000000000002</v>
      </c>
      <c r="V373" s="418">
        <f t="shared" si="30"/>
        <v>0.39895000000000003</v>
      </c>
      <c r="W373" s="418">
        <f t="shared" si="30"/>
        <v>0.32390000000000002</v>
      </c>
      <c r="X373" s="418">
        <f t="shared" si="30"/>
        <v>0</v>
      </c>
      <c r="Y373" s="418">
        <f t="shared" si="30"/>
        <v>0</v>
      </c>
      <c r="Z373" s="418">
        <f t="shared" si="30"/>
        <v>0</v>
      </c>
      <c r="AA373" s="418">
        <f t="shared" si="30"/>
        <v>0</v>
      </c>
      <c r="AB373" s="418">
        <f t="shared" si="30"/>
        <v>0</v>
      </c>
      <c r="AC373" s="418">
        <f t="shared" si="30"/>
        <v>0</v>
      </c>
      <c r="AD373" s="418">
        <f t="shared" si="30"/>
        <v>0</v>
      </c>
      <c r="AE373" s="418">
        <f t="shared" si="31"/>
        <v>0</v>
      </c>
      <c r="AF373" s="418">
        <f t="shared" si="31"/>
        <v>0</v>
      </c>
      <c r="AG373" s="418">
        <f t="shared" si="31"/>
        <v>0</v>
      </c>
      <c r="AH373" s="418">
        <f t="shared" si="31"/>
        <v>0</v>
      </c>
      <c r="AI373" s="418">
        <f t="shared" si="31"/>
        <v>0</v>
      </c>
      <c r="AJ373" s="418">
        <f t="shared" si="31"/>
        <v>0</v>
      </c>
      <c r="AK373" s="418">
        <f t="shared" si="31"/>
        <v>0</v>
      </c>
      <c r="AL373" s="418">
        <f t="shared" si="31"/>
        <v>0</v>
      </c>
      <c r="AM373" s="22" t="str">
        <f t="shared" si="33"/>
        <v>EAI - Russia</v>
      </c>
      <c r="AN373" s="333" t="s">
        <v>3119</v>
      </c>
      <c r="AQ373" s="11"/>
      <c r="AR373" s="11"/>
    </row>
    <row r="374" spans="1:44">
      <c r="A374" s="5"/>
      <c r="B374" s="55" t="s">
        <v>3210</v>
      </c>
      <c r="C374" s="55" t="s">
        <v>1703</v>
      </c>
      <c r="D374" s="55" t="s">
        <v>1749</v>
      </c>
      <c r="E374" s="55" t="s">
        <v>1927</v>
      </c>
      <c r="F374" s="55" t="s">
        <v>1928</v>
      </c>
      <c r="G374" s="55" t="s">
        <v>3374</v>
      </c>
      <c r="H374" s="55" t="s">
        <v>116</v>
      </c>
      <c r="I374" s="55" t="s">
        <v>1931</v>
      </c>
      <c r="J374" s="418">
        <v>100</v>
      </c>
      <c r="K374" s="296"/>
      <c r="L374" s="296"/>
      <c r="M374" s="296"/>
      <c r="N374" s="296"/>
      <c r="O374" s="296"/>
      <c r="P374" s="296"/>
      <c r="Q374" s="296"/>
      <c r="R374" s="296"/>
      <c r="S374" s="296"/>
      <c r="T374" s="296"/>
      <c r="U374" s="418">
        <f t="shared" si="30"/>
        <v>104.62167500000001</v>
      </c>
      <c r="V374" s="418">
        <f t="shared" si="30"/>
        <v>100.55910000000002</v>
      </c>
      <c r="W374" s="418">
        <f t="shared" si="30"/>
        <v>96.67625000000001</v>
      </c>
      <c r="X374" s="418">
        <f t="shared" si="30"/>
        <v>98.281925000000001</v>
      </c>
      <c r="Y374" s="418">
        <f t="shared" si="30"/>
        <v>95.050825000000003</v>
      </c>
      <c r="Z374" s="418">
        <f t="shared" si="30"/>
        <v>92.825000000000003</v>
      </c>
      <c r="AA374" s="418">
        <f t="shared" si="30"/>
        <v>94.800000000000011</v>
      </c>
      <c r="AB374" s="418">
        <f t="shared" si="30"/>
        <v>98.75</v>
      </c>
      <c r="AC374" s="418">
        <f t="shared" si="30"/>
        <v>102.7</v>
      </c>
      <c r="AD374" s="418">
        <f t="shared" si="30"/>
        <v>106.65</v>
      </c>
      <c r="AE374" s="418">
        <f t="shared" si="31"/>
        <v>106.65</v>
      </c>
      <c r="AF374" s="418">
        <f t="shared" si="31"/>
        <v>103.22732499999999</v>
      </c>
      <c r="AG374" s="418">
        <f t="shared" si="31"/>
        <v>102.19440000000002</v>
      </c>
      <c r="AH374" s="418">
        <f t="shared" si="31"/>
        <v>101.17332500000001</v>
      </c>
      <c r="AI374" s="418">
        <f t="shared" si="31"/>
        <v>100.16015</v>
      </c>
      <c r="AJ374" s="418">
        <f t="shared" si="31"/>
        <v>99.158825000000007</v>
      </c>
      <c r="AK374" s="418">
        <f t="shared" si="31"/>
        <v>98.169350000000009</v>
      </c>
      <c r="AL374" s="418">
        <f t="shared" si="31"/>
        <v>97.183824999999999</v>
      </c>
      <c r="AM374" s="22" t="str">
        <f t="shared" si="33"/>
        <v>EAI - Russia</v>
      </c>
      <c r="AN374" s="333" t="s">
        <v>3119</v>
      </c>
      <c r="AQ374" s="11"/>
      <c r="AR374" s="11"/>
    </row>
    <row r="375" spans="1:44">
      <c r="A375" s="5"/>
      <c r="B375" s="55" t="s">
        <v>3210</v>
      </c>
      <c r="C375" s="55" t="s">
        <v>1703</v>
      </c>
      <c r="D375" s="55" t="s">
        <v>1750</v>
      </c>
      <c r="E375" s="55" t="s">
        <v>1927</v>
      </c>
      <c r="F375" s="55" t="s">
        <v>1928</v>
      </c>
      <c r="G375" s="55" t="s">
        <v>3374</v>
      </c>
      <c r="H375" s="55" t="s">
        <v>116</v>
      </c>
      <c r="I375" s="55" t="s">
        <v>1931</v>
      </c>
      <c r="J375" s="418">
        <v>100</v>
      </c>
      <c r="K375" s="296"/>
      <c r="L375" s="296"/>
      <c r="M375" s="296"/>
      <c r="N375" s="296"/>
      <c r="O375" s="296"/>
      <c r="P375" s="296"/>
      <c r="Q375" s="296"/>
      <c r="R375" s="296"/>
      <c r="S375" s="296"/>
      <c r="T375" s="296"/>
      <c r="U375" s="418">
        <f t="shared" si="30"/>
        <v>33.158274999999996</v>
      </c>
      <c r="V375" s="418">
        <f t="shared" si="30"/>
        <v>34.183300000000003</v>
      </c>
      <c r="W375" s="418">
        <f t="shared" si="30"/>
        <v>34.513125000000002</v>
      </c>
      <c r="X375" s="418">
        <f t="shared" si="30"/>
        <v>34.039124999999999</v>
      </c>
      <c r="Y375" s="418">
        <f t="shared" si="30"/>
        <v>34.556575000000002</v>
      </c>
      <c r="Z375" s="418">
        <f t="shared" si="30"/>
        <v>33.575000000000003</v>
      </c>
      <c r="AA375" s="418">
        <f t="shared" si="30"/>
        <v>32.587499999999999</v>
      </c>
      <c r="AB375" s="418">
        <f t="shared" si="30"/>
        <v>31.995000000000001</v>
      </c>
      <c r="AC375" s="418">
        <f t="shared" si="30"/>
        <v>31.035149999999998</v>
      </c>
      <c r="AD375" s="418">
        <f t="shared" si="30"/>
        <v>30.104925000000001</v>
      </c>
      <c r="AE375" s="418">
        <f t="shared" si="31"/>
        <v>28.599975000000001</v>
      </c>
      <c r="AF375" s="418">
        <f t="shared" si="31"/>
        <v>27.170075000000001</v>
      </c>
      <c r="AG375" s="418">
        <f t="shared" si="31"/>
        <v>25.809300000000004</v>
      </c>
      <c r="AH375" s="418">
        <f t="shared" si="31"/>
        <v>24.519625000000001</v>
      </c>
      <c r="AI375" s="418">
        <f t="shared" si="31"/>
        <v>23.293150000000001</v>
      </c>
      <c r="AJ375" s="418">
        <f t="shared" si="31"/>
        <v>22.127900000000004</v>
      </c>
      <c r="AK375" s="418">
        <f t="shared" si="31"/>
        <v>21.021900000000002</v>
      </c>
      <c r="AL375" s="418">
        <f t="shared" si="31"/>
        <v>19.969225000000002</v>
      </c>
      <c r="AM375" s="22" t="str">
        <f t="shared" si="33"/>
        <v>EAI - Russia</v>
      </c>
      <c r="AN375" s="333" t="s">
        <v>3119</v>
      </c>
      <c r="AQ375" s="11"/>
      <c r="AR375" s="11"/>
    </row>
    <row r="376" spans="1:44">
      <c r="A376" s="5"/>
      <c r="B376" s="55" t="s">
        <v>3210</v>
      </c>
      <c r="C376" s="55" t="s">
        <v>1703</v>
      </c>
      <c r="D376" s="55" t="s">
        <v>108</v>
      </c>
      <c r="E376" s="55" t="s">
        <v>1927</v>
      </c>
      <c r="F376" s="55" t="s">
        <v>1928</v>
      </c>
      <c r="G376" s="55" t="s">
        <v>3374</v>
      </c>
      <c r="H376" s="55" t="s">
        <v>116</v>
      </c>
      <c r="I376" s="55" t="s">
        <v>1931</v>
      </c>
      <c r="J376" s="418">
        <v>100</v>
      </c>
      <c r="K376" s="296"/>
      <c r="L376" s="296"/>
      <c r="M376" s="296"/>
      <c r="N376" s="296"/>
      <c r="O376" s="296"/>
      <c r="P376" s="296"/>
      <c r="Q376" s="296"/>
      <c r="R376" s="296"/>
      <c r="S376" s="296"/>
      <c r="T376" s="296"/>
      <c r="U376" s="418">
        <f t="shared" si="30"/>
        <v>22.137775000000001</v>
      </c>
      <c r="V376" s="418">
        <f t="shared" si="30"/>
        <v>20.696025000000002</v>
      </c>
      <c r="W376" s="418">
        <f t="shared" si="30"/>
        <v>18.006075000000003</v>
      </c>
      <c r="X376" s="418">
        <f t="shared" si="30"/>
        <v>16.297699999999999</v>
      </c>
      <c r="Y376" s="418">
        <f t="shared" si="30"/>
        <v>15.78815</v>
      </c>
      <c r="Z376" s="418">
        <f t="shared" si="30"/>
        <v>15.118625</v>
      </c>
      <c r="AA376" s="418">
        <f t="shared" si="30"/>
        <v>14.255550000000001</v>
      </c>
      <c r="AB376" s="418">
        <f t="shared" si="30"/>
        <v>13.422099999999999</v>
      </c>
      <c r="AC376" s="418">
        <f t="shared" si="30"/>
        <v>12.574825000000001</v>
      </c>
      <c r="AD376" s="418">
        <f t="shared" si="30"/>
        <v>11.788774999999999</v>
      </c>
      <c r="AE376" s="418">
        <f t="shared" si="31"/>
        <v>11.0442</v>
      </c>
      <c r="AF376" s="418">
        <f t="shared" si="31"/>
        <v>10.352950000000002</v>
      </c>
      <c r="AG376" s="418">
        <f t="shared" si="31"/>
        <v>9.7012</v>
      </c>
      <c r="AH376" s="418">
        <f t="shared" si="31"/>
        <v>9.0968500000000017</v>
      </c>
      <c r="AI376" s="418">
        <f t="shared" si="31"/>
        <v>8.5300250000000002</v>
      </c>
      <c r="AJ376" s="418">
        <f t="shared" si="31"/>
        <v>8.0106000000000002</v>
      </c>
      <c r="AK376" s="418">
        <f t="shared" si="31"/>
        <v>7.5129000000000001</v>
      </c>
      <c r="AL376" s="418">
        <f t="shared" si="31"/>
        <v>7.0507500000000007</v>
      </c>
      <c r="AM376" s="22" t="str">
        <f t="shared" si="33"/>
        <v>EAI - Russia</v>
      </c>
      <c r="AN376" s="333" t="s">
        <v>3119</v>
      </c>
      <c r="AQ376" s="11"/>
      <c r="AR376" s="11"/>
    </row>
    <row r="377" spans="1:44">
      <c r="A377" s="5"/>
      <c r="B377" s="55" t="s">
        <v>3210</v>
      </c>
      <c r="C377" s="55" t="s">
        <v>1703</v>
      </c>
      <c r="D377" s="55" t="s">
        <v>2031</v>
      </c>
      <c r="E377" s="55" t="s">
        <v>2970</v>
      </c>
      <c r="F377" s="55" t="s">
        <v>1928</v>
      </c>
      <c r="G377" s="55" t="s">
        <v>217</v>
      </c>
      <c r="H377" s="55" t="s">
        <v>1930</v>
      </c>
      <c r="I377" s="55" t="s">
        <v>1933</v>
      </c>
      <c r="J377" s="418">
        <v>100</v>
      </c>
      <c r="K377" s="296"/>
      <c r="L377" s="296"/>
      <c r="M377" s="296"/>
      <c r="N377" s="296"/>
      <c r="O377" s="296"/>
      <c r="P377" s="296"/>
      <c r="Q377" s="296"/>
      <c r="R377" s="296"/>
      <c r="S377" s="296"/>
      <c r="T377" s="296"/>
      <c r="U377" s="418">
        <f t="shared" ref="U377:AD386" si="34">INDEX(U$270:U$332,MATCH($D377,$D$270:$D$332,0))*$D$268</f>
        <v>0.15760500000000002</v>
      </c>
      <c r="V377" s="418">
        <f t="shared" si="34"/>
        <v>0.51369750000000003</v>
      </c>
      <c r="W377" s="418">
        <f t="shared" si="34"/>
        <v>0.68532500000000007</v>
      </c>
      <c r="X377" s="418">
        <f t="shared" si="34"/>
        <v>0.93615000000000004</v>
      </c>
      <c r="Y377" s="418">
        <f t="shared" si="34"/>
        <v>1.1277250000000001</v>
      </c>
      <c r="Z377" s="418">
        <f t="shared" si="34"/>
        <v>2.0164750000000002</v>
      </c>
      <c r="AA377" s="418">
        <f t="shared" si="34"/>
        <v>5.3246000000000002</v>
      </c>
      <c r="AB377" s="418">
        <f t="shared" si="34"/>
        <v>11.267374999999999</v>
      </c>
      <c r="AC377" s="418">
        <f t="shared" si="34"/>
        <v>16.528775</v>
      </c>
      <c r="AD377" s="418">
        <f t="shared" si="34"/>
        <v>21.278649999999999</v>
      </c>
      <c r="AE377" s="418">
        <f t="shared" ref="AE377:AL386" si="35">INDEX(AE$270:AE$332,MATCH($D377,$D$270:$D$332,0))*$D$268</f>
        <v>25.347150000000003</v>
      </c>
      <c r="AF377" s="418">
        <f t="shared" si="35"/>
        <v>27.576924999999999</v>
      </c>
      <c r="AG377" s="418">
        <f t="shared" si="35"/>
        <v>27.572975000000003</v>
      </c>
      <c r="AH377" s="418">
        <f t="shared" si="35"/>
        <v>26.9864</v>
      </c>
      <c r="AI377" s="418">
        <f t="shared" si="35"/>
        <v>25.949524999999998</v>
      </c>
      <c r="AJ377" s="418">
        <f t="shared" si="35"/>
        <v>24.837600000000002</v>
      </c>
      <c r="AK377" s="418">
        <f t="shared" si="35"/>
        <v>23.86195</v>
      </c>
      <c r="AL377" s="418">
        <f t="shared" si="35"/>
        <v>22.983075000000003</v>
      </c>
      <c r="AM377" s="22" t="str">
        <f t="shared" si="33"/>
        <v>EAI - Russia</v>
      </c>
      <c r="AN377" s="333" t="s">
        <v>3119</v>
      </c>
      <c r="AQ377" s="11"/>
      <c r="AR377" s="11"/>
    </row>
    <row r="378" spans="1:44">
      <c r="A378" s="5"/>
      <c r="B378" s="55" t="s">
        <v>3210</v>
      </c>
      <c r="C378" s="55" t="s">
        <v>1703</v>
      </c>
      <c r="D378" s="55" t="s">
        <v>1751</v>
      </c>
      <c r="E378" s="55" t="s">
        <v>1927</v>
      </c>
      <c r="F378" s="55" t="s">
        <v>2960</v>
      </c>
      <c r="G378" s="55" t="s">
        <v>3374</v>
      </c>
      <c r="H378" s="55" t="s">
        <v>2966</v>
      </c>
      <c r="I378" s="55" t="s">
        <v>2600</v>
      </c>
      <c r="J378" s="418">
        <v>20</v>
      </c>
      <c r="K378" s="296"/>
      <c r="L378" s="296"/>
      <c r="M378" s="296"/>
      <c r="N378" s="296"/>
      <c r="O378" s="296"/>
      <c r="P378" s="296"/>
      <c r="Q378" s="296"/>
      <c r="R378" s="296"/>
      <c r="S378" s="296"/>
      <c r="T378" s="296"/>
      <c r="U378" s="418">
        <f t="shared" si="34"/>
        <v>4.7597500000000004</v>
      </c>
      <c r="V378" s="418">
        <f t="shared" si="34"/>
        <v>5.1587000000000005</v>
      </c>
      <c r="W378" s="418">
        <f t="shared" si="34"/>
        <v>5.9408000000000003</v>
      </c>
      <c r="X378" s="418">
        <f t="shared" si="34"/>
        <v>5.8677250000000001</v>
      </c>
      <c r="Y378" s="418">
        <f t="shared" si="34"/>
        <v>7.2087500000000002</v>
      </c>
      <c r="Z378" s="418">
        <f t="shared" si="34"/>
        <v>7.5366</v>
      </c>
      <c r="AA378" s="418">
        <f t="shared" si="34"/>
        <v>7.5583250000000008</v>
      </c>
      <c r="AB378" s="418">
        <f t="shared" si="34"/>
        <v>7.3963750000000008</v>
      </c>
      <c r="AC378" s="418">
        <f t="shared" si="34"/>
        <v>6.8098000000000001</v>
      </c>
      <c r="AD378" s="418">
        <f t="shared" si="34"/>
        <v>6.5570000000000013</v>
      </c>
      <c r="AE378" s="418">
        <f t="shared" si="35"/>
        <v>6.3832000000000004</v>
      </c>
      <c r="AF378" s="418">
        <f t="shared" si="35"/>
        <v>6.2469250000000001</v>
      </c>
      <c r="AG378" s="418">
        <f t="shared" si="35"/>
        <v>5.6820750000000002</v>
      </c>
      <c r="AH378" s="418">
        <f t="shared" si="35"/>
        <v>5.2298</v>
      </c>
      <c r="AI378" s="418">
        <f t="shared" si="35"/>
        <v>4.8545499999999997</v>
      </c>
      <c r="AJ378" s="418">
        <f t="shared" si="35"/>
        <v>4.3173500000000002</v>
      </c>
      <c r="AK378" s="418">
        <f t="shared" si="35"/>
        <v>3.8413750000000002</v>
      </c>
      <c r="AL378" s="418">
        <f t="shared" si="35"/>
        <v>3.4187249999999998</v>
      </c>
      <c r="AM378" s="22" t="str">
        <f t="shared" si="33"/>
        <v>EAI - Russia</v>
      </c>
      <c r="AN378" s="333" t="s">
        <v>3119</v>
      </c>
      <c r="AQ378" s="11"/>
      <c r="AR378" s="11"/>
    </row>
    <row r="379" spans="1:44">
      <c r="A379" s="5"/>
      <c r="B379" s="55" t="s">
        <v>3210</v>
      </c>
      <c r="C379" s="55" t="s">
        <v>1703</v>
      </c>
      <c r="D379" s="55" t="s">
        <v>1752</v>
      </c>
      <c r="E379" s="55" t="s">
        <v>1927</v>
      </c>
      <c r="F379" s="55" t="s">
        <v>1928</v>
      </c>
      <c r="G379" s="55" t="s">
        <v>3374</v>
      </c>
      <c r="H379" s="55" t="s">
        <v>116</v>
      </c>
      <c r="I379" s="55" t="s">
        <v>1933</v>
      </c>
      <c r="J379" s="418">
        <v>100</v>
      </c>
      <c r="K379" s="296"/>
      <c r="L379" s="296"/>
      <c r="M379" s="296"/>
      <c r="N379" s="296"/>
      <c r="O379" s="296"/>
      <c r="P379" s="296"/>
      <c r="Q379" s="296"/>
      <c r="R379" s="296"/>
      <c r="S379" s="296"/>
      <c r="T379" s="296"/>
      <c r="U379" s="418">
        <f t="shared" si="34"/>
        <v>5.5991250000000008</v>
      </c>
      <c r="V379" s="418">
        <f t="shared" si="34"/>
        <v>5.1764750000000008</v>
      </c>
      <c r="W379" s="418">
        <f t="shared" si="34"/>
        <v>4.5839750000000006</v>
      </c>
      <c r="X379" s="418">
        <f t="shared" si="34"/>
        <v>4.374625</v>
      </c>
      <c r="Y379" s="418">
        <f t="shared" si="34"/>
        <v>4.1455250000000001</v>
      </c>
      <c r="Z379" s="418">
        <f t="shared" si="34"/>
        <v>3.9065500000000002</v>
      </c>
      <c r="AA379" s="418">
        <f t="shared" si="34"/>
        <v>3.6339999999999999</v>
      </c>
      <c r="AB379" s="418">
        <f t="shared" si="34"/>
        <v>3.351575</v>
      </c>
      <c r="AC379" s="418">
        <f t="shared" si="34"/>
        <v>3.090875</v>
      </c>
      <c r="AD379" s="418">
        <f t="shared" si="34"/>
        <v>2.8440000000000003</v>
      </c>
      <c r="AE379" s="418">
        <f t="shared" si="35"/>
        <v>2.6168750000000003</v>
      </c>
      <c r="AF379" s="418">
        <f t="shared" si="35"/>
        <v>2.4193750000000001</v>
      </c>
      <c r="AG379" s="418">
        <f t="shared" si="35"/>
        <v>2.2396500000000001</v>
      </c>
      <c r="AH379" s="418">
        <f t="shared" si="35"/>
        <v>2.07375</v>
      </c>
      <c r="AI379" s="418">
        <f t="shared" si="35"/>
        <v>1.9236500000000001</v>
      </c>
      <c r="AJ379" s="418">
        <f t="shared" si="35"/>
        <v>1.7794750000000001</v>
      </c>
      <c r="AK379" s="418">
        <f t="shared" si="35"/>
        <v>1.6511</v>
      </c>
      <c r="AL379" s="418">
        <f t="shared" si="35"/>
        <v>1.51285</v>
      </c>
      <c r="AM379" s="22" t="str">
        <f t="shared" si="33"/>
        <v>EAI - Russia</v>
      </c>
      <c r="AN379" s="333" t="s">
        <v>3119</v>
      </c>
      <c r="AQ379" s="11"/>
      <c r="AR379" s="11"/>
    </row>
    <row r="380" spans="1:44">
      <c r="A380" s="5"/>
      <c r="B380" s="55" t="s">
        <v>3210</v>
      </c>
      <c r="C380" s="55" t="s">
        <v>1703</v>
      </c>
      <c r="D380" s="55" t="s">
        <v>1753</v>
      </c>
      <c r="E380" s="55" t="s">
        <v>1927</v>
      </c>
      <c r="F380" s="55" t="s">
        <v>1928</v>
      </c>
      <c r="G380" s="55" t="s">
        <v>3374</v>
      </c>
      <c r="H380" s="55" t="s">
        <v>116</v>
      </c>
      <c r="I380" s="55" t="s">
        <v>1933</v>
      </c>
      <c r="J380" s="418">
        <v>100</v>
      </c>
      <c r="K380" s="296"/>
      <c r="L380" s="296"/>
      <c r="M380" s="296"/>
      <c r="N380" s="296"/>
      <c r="O380" s="296"/>
      <c r="P380" s="296"/>
      <c r="Q380" s="296"/>
      <c r="R380" s="296"/>
      <c r="S380" s="296"/>
      <c r="T380" s="296"/>
      <c r="U380" s="418">
        <f t="shared" si="34"/>
        <v>43.280149999999999</v>
      </c>
      <c r="V380" s="418">
        <f t="shared" si="34"/>
        <v>44.143225000000001</v>
      </c>
      <c r="W380" s="418">
        <f t="shared" si="34"/>
        <v>46.529025000000004</v>
      </c>
      <c r="X380" s="418">
        <f t="shared" si="34"/>
        <v>47.953000000000003</v>
      </c>
      <c r="Y380" s="418">
        <f t="shared" si="34"/>
        <v>48.504025000000006</v>
      </c>
      <c r="Z380" s="418">
        <f t="shared" si="34"/>
        <v>47.400000000000006</v>
      </c>
      <c r="AA380" s="418">
        <f t="shared" si="34"/>
        <v>48.387500000000003</v>
      </c>
      <c r="AB380" s="418">
        <f t="shared" si="34"/>
        <v>49.375</v>
      </c>
      <c r="AC380" s="418">
        <f t="shared" si="34"/>
        <v>49.375</v>
      </c>
      <c r="AD380" s="418">
        <f t="shared" si="34"/>
        <v>49.375</v>
      </c>
      <c r="AE380" s="418">
        <f t="shared" si="35"/>
        <v>49.375</v>
      </c>
      <c r="AF380" s="418">
        <f t="shared" si="35"/>
        <v>49.375</v>
      </c>
      <c r="AG380" s="418">
        <f t="shared" si="35"/>
        <v>49.375</v>
      </c>
      <c r="AH380" s="418">
        <f t="shared" si="35"/>
        <v>47.893750000000004</v>
      </c>
      <c r="AI380" s="418">
        <f t="shared" si="35"/>
        <v>46.457925000000003</v>
      </c>
      <c r="AJ380" s="418">
        <f t="shared" si="35"/>
        <v>45.063575</v>
      </c>
      <c r="AK380" s="418">
        <f t="shared" si="35"/>
        <v>43.710700000000003</v>
      </c>
      <c r="AL380" s="418">
        <f t="shared" si="35"/>
        <v>42.399300000000004</v>
      </c>
      <c r="AM380" s="22" t="str">
        <f t="shared" si="33"/>
        <v>EAI - Russia</v>
      </c>
      <c r="AN380" s="333" t="s">
        <v>3119</v>
      </c>
      <c r="AQ380" s="11"/>
      <c r="AR380" s="11"/>
    </row>
    <row r="381" spans="1:44" s="406" customFormat="1">
      <c r="A381" s="138"/>
      <c r="B381" s="55" t="s">
        <v>3210</v>
      </c>
      <c r="C381" s="55" t="s">
        <v>1703</v>
      </c>
      <c r="D381" s="55" t="s">
        <v>673</v>
      </c>
      <c r="E381" s="55" t="s">
        <v>1927</v>
      </c>
      <c r="F381" s="55" t="s">
        <v>1928</v>
      </c>
      <c r="G381" s="55" t="s">
        <v>3374</v>
      </c>
      <c r="H381" s="55" t="s">
        <v>116</v>
      </c>
      <c r="I381" s="55" t="s">
        <v>1933</v>
      </c>
      <c r="J381" s="418">
        <v>100</v>
      </c>
      <c r="K381" s="296"/>
      <c r="L381" s="296"/>
      <c r="M381" s="296"/>
      <c r="N381" s="296"/>
      <c r="O381" s="296"/>
      <c r="P381" s="296"/>
      <c r="Q381" s="296"/>
      <c r="R381" s="296"/>
      <c r="S381" s="296"/>
      <c r="T381" s="296"/>
      <c r="U381" s="418">
        <f t="shared" si="34"/>
        <v>35.449472500000006</v>
      </c>
      <c r="V381" s="418">
        <f t="shared" si="34"/>
        <v>81.931690000000003</v>
      </c>
      <c r="W381" s="418">
        <f t="shared" si="34"/>
        <v>80.208700000000007</v>
      </c>
      <c r="X381" s="418">
        <f t="shared" si="34"/>
        <v>76.422624999999996</v>
      </c>
      <c r="Y381" s="418">
        <f t="shared" si="34"/>
        <v>71.876175000000003</v>
      </c>
      <c r="Z381" s="418">
        <f t="shared" si="34"/>
        <v>67.94</v>
      </c>
      <c r="AA381" s="418">
        <f t="shared" si="34"/>
        <v>68.068375000000003</v>
      </c>
      <c r="AB381" s="418">
        <f t="shared" si="34"/>
        <v>67.625975000000011</v>
      </c>
      <c r="AC381" s="418">
        <f t="shared" si="34"/>
        <v>66.646375000000006</v>
      </c>
      <c r="AD381" s="418">
        <f t="shared" si="34"/>
        <v>65.682575</v>
      </c>
      <c r="AE381" s="418">
        <f t="shared" si="35"/>
        <v>64.736549999999994</v>
      </c>
      <c r="AF381" s="418">
        <f t="shared" si="35"/>
        <v>63.812250000000006</v>
      </c>
      <c r="AG381" s="418">
        <f t="shared" si="35"/>
        <v>62.398150000000001</v>
      </c>
      <c r="AH381" s="418">
        <f t="shared" si="35"/>
        <v>61.021575000000006</v>
      </c>
      <c r="AI381" s="418">
        <f t="shared" si="35"/>
        <v>59.672649999999997</v>
      </c>
      <c r="AJ381" s="418">
        <f t="shared" si="35"/>
        <v>58.355325000000008</v>
      </c>
      <c r="AK381" s="418">
        <f t="shared" si="35"/>
        <v>57.069600000000001</v>
      </c>
      <c r="AL381" s="418">
        <f t="shared" si="35"/>
        <v>55.3553</v>
      </c>
      <c r="AM381" s="22" t="str">
        <f t="shared" si="33"/>
        <v>EAI - Russia</v>
      </c>
      <c r="AN381" s="333" t="s">
        <v>3119</v>
      </c>
      <c r="AQ381" s="11"/>
      <c r="AR381" s="11"/>
    </row>
    <row r="382" spans="1:44" s="406" customFormat="1">
      <c r="A382" s="138"/>
      <c r="B382" s="55" t="s">
        <v>3210</v>
      </c>
      <c r="C382" s="55" t="s">
        <v>1703</v>
      </c>
      <c r="D382" s="55" t="s">
        <v>3466</v>
      </c>
      <c r="E382" s="55" t="s">
        <v>1927</v>
      </c>
      <c r="F382" s="55" t="s">
        <v>1928</v>
      </c>
      <c r="G382" s="55" t="s">
        <v>1932</v>
      </c>
      <c r="H382" s="55" t="s">
        <v>116</v>
      </c>
      <c r="I382" s="55" t="s">
        <v>1931</v>
      </c>
      <c r="J382" s="418">
        <v>19.600000000000001</v>
      </c>
      <c r="K382" s="296"/>
      <c r="L382" s="296"/>
      <c r="M382" s="296"/>
      <c r="N382" s="296"/>
      <c r="O382" s="296"/>
      <c r="P382" s="296"/>
      <c r="Q382" s="296"/>
      <c r="R382" s="296"/>
      <c r="S382" s="296"/>
      <c r="T382" s="296"/>
      <c r="U382" s="418">
        <f t="shared" si="34"/>
        <v>0.10270000000000001</v>
      </c>
      <c r="V382" s="418">
        <f t="shared" si="34"/>
        <v>0</v>
      </c>
      <c r="W382" s="418">
        <f t="shared" si="34"/>
        <v>0</v>
      </c>
      <c r="X382" s="418">
        <f t="shared" si="34"/>
        <v>0</v>
      </c>
      <c r="Y382" s="418">
        <f t="shared" si="34"/>
        <v>0</v>
      </c>
      <c r="Z382" s="418">
        <f t="shared" si="34"/>
        <v>0</v>
      </c>
      <c r="AA382" s="418">
        <f t="shared" si="34"/>
        <v>0</v>
      </c>
      <c r="AB382" s="418">
        <f t="shared" si="34"/>
        <v>0</v>
      </c>
      <c r="AC382" s="418">
        <f t="shared" si="34"/>
        <v>0</v>
      </c>
      <c r="AD382" s="418">
        <f t="shared" si="34"/>
        <v>0</v>
      </c>
      <c r="AE382" s="418">
        <f t="shared" si="35"/>
        <v>0</v>
      </c>
      <c r="AF382" s="418">
        <f t="shared" si="35"/>
        <v>0</v>
      </c>
      <c r="AG382" s="418">
        <f t="shared" si="35"/>
        <v>0</v>
      </c>
      <c r="AH382" s="418">
        <f t="shared" si="35"/>
        <v>0</v>
      </c>
      <c r="AI382" s="418">
        <f t="shared" si="35"/>
        <v>0</v>
      </c>
      <c r="AJ382" s="418">
        <f t="shared" si="35"/>
        <v>0</v>
      </c>
      <c r="AK382" s="418">
        <f t="shared" si="35"/>
        <v>0</v>
      </c>
      <c r="AL382" s="418">
        <f t="shared" si="35"/>
        <v>0</v>
      </c>
      <c r="AM382" s="22" t="str">
        <f t="shared" si="33"/>
        <v>EAI - Russia</v>
      </c>
      <c r="AN382" s="333" t="s">
        <v>3119</v>
      </c>
      <c r="AQ382" s="11"/>
      <c r="AR382" s="11"/>
    </row>
    <row r="383" spans="1:44" s="406" customFormat="1">
      <c r="A383" s="138"/>
      <c r="B383" s="55" t="s">
        <v>3210</v>
      </c>
      <c r="C383" s="55" t="s">
        <v>1703</v>
      </c>
      <c r="D383" s="55" t="s">
        <v>3470</v>
      </c>
      <c r="E383" s="55" t="s">
        <v>1927</v>
      </c>
      <c r="F383" s="55" t="s">
        <v>1928</v>
      </c>
      <c r="G383" s="55" t="s">
        <v>3374</v>
      </c>
      <c r="H383" s="55" t="s">
        <v>1930</v>
      </c>
      <c r="I383" s="55" t="s">
        <v>1931</v>
      </c>
      <c r="J383" s="418">
        <v>100</v>
      </c>
      <c r="K383" s="296"/>
      <c r="L383" s="296"/>
      <c r="M383" s="296"/>
      <c r="N383" s="296"/>
      <c r="O383" s="296"/>
      <c r="P383" s="296"/>
      <c r="Q383" s="296"/>
      <c r="R383" s="296"/>
      <c r="S383" s="296"/>
      <c r="T383" s="296"/>
      <c r="U383" s="418">
        <f t="shared" si="34"/>
        <v>12.094900000000001</v>
      </c>
      <c r="V383" s="418">
        <f t="shared" si="34"/>
        <v>10.949400000000001</v>
      </c>
      <c r="W383" s="418">
        <f t="shared" si="34"/>
        <v>10.204825000000001</v>
      </c>
      <c r="X383" s="418">
        <f t="shared" si="34"/>
        <v>9.1778250000000003</v>
      </c>
      <c r="Y383" s="418">
        <f t="shared" si="34"/>
        <v>8.0520750000000003</v>
      </c>
      <c r="Z383" s="418">
        <f t="shared" si="34"/>
        <v>8.3483250000000009</v>
      </c>
      <c r="AA383" s="418">
        <f t="shared" si="34"/>
        <v>8.585325000000001</v>
      </c>
      <c r="AB383" s="418">
        <f t="shared" si="34"/>
        <v>8.4036249999999999</v>
      </c>
      <c r="AC383" s="418">
        <f t="shared" si="34"/>
        <v>8.3226500000000012</v>
      </c>
      <c r="AD383" s="418">
        <f t="shared" si="34"/>
        <v>8.6386500000000002</v>
      </c>
      <c r="AE383" s="418">
        <f t="shared" si="35"/>
        <v>8.3720250000000007</v>
      </c>
      <c r="AF383" s="418">
        <f t="shared" si="35"/>
        <v>7.8091499999999998</v>
      </c>
      <c r="AG383" s="418">
        <f t="shared" si="35"/>
        <v>7.2897249999999998</v>
      </c>
      <c r="AH383" s="418">
        <f t="shared" si="35"/>
        <v>6.7722750000000005</v>
      </c>
      <c r="AI383" s="418">
        <f t="shared" si="35"/>
        <v>6.2824749999999998</v>
      </c>
      <c r="AJ383" s="418">
        <f t="shared" si="35"/>
        <v>5.8282250000000007</v>
      </c>
      <c r="AK383" s="418">
        <f t="shared" si="35"/>
        <v>5.4095250000000004</v>
      </c>
      <c r="AL383" s="418">
        <f t="shared" si="35"/>
        <v>5.0066250000000005</v>
      </c>
      <c r="AM383" s="22" t="str">
        <f t="shared" si="33"/>
        <v>EAI - Russia</v>
      </c>
      <c r="AN383" s="333" t="s">
        <v>3119</v>
      </c>
      <c r="AQ383" s="11"/>
      <c r="AR383" s="11"/>
    </row>
    <row r="384" spans="1:44" s="406" customFormat="1">
      <c r="A384" s="138"/>
      <c r="B384" s="55" t="s">
        <v>3210</v>
      </c>
      <c r="C384" s="55" t="s">
        <v>1703</v>
      </c>
      <c r="D384" s="55" t="s">
        <v>3468</v>
      </c>
      <c r="E384" s="55" t="s">
        <v>1927</v>
      </c>
      <c r="F384" s="55" t="s">
        <v>1928</v>
      </c>
      <c r="G384" s="55" t="s">
        <v>3374</v>
      </c>
      <c r="H384" s="55" t="s">
        <v>1930</v>
      </c>
      <c r="I384" s="55" t="s">
        <v>1931</v>
      </c>
      <c r="J384" s="418">
        <v>50.1</v>
      </c>
      <c r="K384" s="296"/>
      <c r="L384" s="296"/>
      <c r="M384" s="296"/>
      <c r="N384" s="296"/>
      <c r="O384" s="296"/>
      <c r="P384" s="296"/>
      <c r="Q384" s="296"/>
      <c r="R384" s="296"/>
      <c r="S384" s="296"/>
      <c r="T384" s="296"/>
      <c r="U384" s="418">
        <f t="shared" si="34"/>
        <v>0.4582</v>
      </c>
      <c r="V384" s="418">
        <f t="shared" si="34"/>
        <v>3.6339999999999999</v>
      </c>
      <c r="W384" s="418">
        <f t="shared" si="34"/>
        <v>3.6399250000000003</v>
      </c>
      <c r="X384" s="418">
        <f t="shared" si="34"/>
        <v>3.1284000000000001</v>
      </c>
      <c r="Y384" s="418">
        <f t="shared" si="34"/>
        <v>2.6820500000000003</v>
      </c>
      <c r="Z384" s="418">
        <f t="shared" si="34"/>
        <v>4.6550750000000001</v>
      </c>
      <c r="AA384" s="418">
        <f t="shared" si="34"/>
        <v>7.7103999999999999</v>
      </c>
      <c r="AB384" s="418">
        <f t="shared" si="34"/>
        <v>9.9382000000000001</v>
      </c>
      <c r="AC384" s="418">
        <f t="shared" si="34"/>
        <v>9.9500500000000009</v>
      </c>
      <c r="AD384" s="418">
        <f t="shared" si="34"/>
        <v>9.1857249999999997</v>
      </c>
      <c r="AE384" s="418">
        <f t="shared" si="35"/>
        <v>9.0218000000000007</v>
      </c>
      <c r="AF384" s="418">
        <f t="shared" si="35"/>
        <v>9.3318750000000001</v>
      </c>
      <c r="AG384" s="418">
        <f t="shared" si="35"/>
        <v>10.240375</v>
      </c>
      <c r="AH384" s="418">
        <f t="shared" si="35"/>
        <v>10.868425</v>
      </c>
      <c r="AI384" s="418">
        <f t="shared" si="35"/>
        <v>11.109375</v>
      </c>
      <c r="AJ384" s="418">
        <f t="shared" si="35"/>
        <v>10.167299999999999</v>
      </c>
      <c r="AK384" s="418">
        <f t="shared" si="35"/>
        <v>9.4089000000000009</v>
      </c>
      <c r="AL384" s="418">
        <f t="shared" si="35"/>
        <v>8.4964500000000012</v>
      </c>
      <c r="AM384" s="22" t="str">
        <f t="shared" si="33"/>
        <v>EAI - Russia</v>
      </c>
      <c r="AN384" s="333" t="s">
        <v>3119</v>
      </c>
      <c r="AQ384" s="11"/>
      <c r="AR384" s="11"/>
    </row>
    <row r="385" spans="1:44" s="406" customFormat="1">
      <c r="A385" s="138"/>
      <c r="B385" s="55" t="s">
        <v>3210</v>
      </c>
      <c r="C385" s="55" t="s">
        <v>1703</v>
      </c>
      <c r="D385" s="55" t="s">
        <v>3378</v>
      </c>
      <c r="E385" s="55" t="s">
        <v>1927</v>
      </c>
      <c r="F385" s="55" t="s">
        <v>1928</v>
      </c>
      <c r="G385" s="55" t="s">
        <v>1932</v>
      </c>
      <c r="H385" s="55" t="s">
        <v>116</v>
      </c>
      <c r="I385" s="55" t="s">
        <v>1931</v>
      </c>
      <c r="J385" s="418">
        <v>100</v>
      </c>
      <c r="K385" s="296"/>
      <c r="L385" s="296"/>
      <c r="M385" s="296"/>
      <c r="N385" s="296"/>
      <c r="O385" s="296"/>
      <c r="P385" s="296"/>
      <c r="Q385" s="296"/>
      <c r="R385" s="296"/>
      <c r="S385" s="296"/>
      <c r="T385" s="296"/>
      <c r="U385" s="418">
        <f t="shared" si="34"/>
        <v>3.3002250000000002</v>
      </c>
      <c r="V385" s="418">
        <f t="shared" si="34"/>
        <v>3.1363000000000003</v>
      </c>
      <c r="W385" s="418">
        <f t="shared" si="34"/>
        <v>3.3456500000000005</v>
      </c>
      <c r="X385" s="418">
        <f t="shared" si="34"/>
        <v>3.2785000000000006</v>
      </c>
      <c r="Y385" s="418">
        <f t="shared" si="34"/>
        <v>3.1580250000000003</v>
      </c>
      <c r="Z385" s="418">
        <f t="shared" si="34"/>
        <v>3.0415000000000001</v>
      </c>
      <c r="AA385" s="418">
        <f t="shared" si="34"/>
        <v>2.928925</v>
      </c>
      <c r="AB385" s="418">
        <f t="shared" si="34"/>
        <v>2.8203</v>
      </c>
      <c r="AC385" s="418">
        <f t="shared" si="34"/>
        <v>2.7156250000000002</v>
      </c>
      <c r="AD385" s="418">
        <f t="shared" si="34"/>
        <v>2.6149</v>
      </c>
      <c r="AE385" s="418">
        <f t="shared" si="35"/>
        <v>2.5181249999999999</v>
      </c>
      <c r="AF385" s="418">
        <f t="shared" si="35"/>
        <v>2.4253</v>
      </c>
      <c r="AG385" s="418">
        <f t="shared" si="35"/>
        <v>2.3364250000000002</v>
      </c>
      <c r="AH385" s="418">
        <f t="shared" si="35"/>
        <v>2.2495250000000002</v>
      </c>
      <c r="AI385" s="418">
        <f t="shared" si="35"/>
        <v>2.1665750000000004</v>
      </c>
      <c r="AJ385" s="418">
        <f t="shared" si="35"/>
        <v>2.0856000000000003</v>
      </c>
      <c r="AK385" s="418">
        <f t="shared" si="35"/>
        <v>2.008575</v>
      </c>
      <c r="AL385" s="418">
        <f t="shared" si="35"/>
        <v>1.9335249999999999</v>
      </c>
      <c r="AM385" s="22" t="str">
        <f t="shared" si="33"/>
        <v>EAI - Russia</v>
      </c>
      <c r="AN385" s="333" t="s">
        <v>3119</v>
      </c>
      <c r="AQ385" s="11"/>
      <c r="AR385" s="11"/>
    </row>
    <row r="386" spans="1:44" s="406" customFormat="1">
      <c r="A386" s="138"/>
      <c r="B386" s="55" t="s">
        <v>3210</v>
      </c>
      <c r="C386" s="55" t="s">
        <v>1703</v>
      </c>
      <c r="D386" s="55" t="s">
        <v>3525</v>
      </c>
      <c r="E386" s="55" t="s">
        <v>1927</v>
      </c>
      <c r="F386" s="55" t="s">
        <v>1928</v>
      </c>
      <c r="G386" s="55" t="s">
        <v>1932</v>
      </c>
      <c r="H386" s="55" t="s">
        <v>1930</v>
      </c>
      <c r="I386" s="55" t="s">
        <v>1931</v>
      </c>
      <c r="J386" s="418">
        <v>100</v>
      </c>
      <c r="K386" s="296"/>
      <c r="L386" s="296"/>
      <c r="M386" s="296"/>
      <c r="N386" s="296"/>
      <c r="O386" s="296"/>
      <c r="P386" s="296"/>
      <c r="Q386" s="296"/>
      <c r="R386" s="296"/>
      <c r="S386" s="296"/>
      <c r="T386" s="296"/>
      <c r="U386" s="418">
        <f t="shared" si="34"/>
        <v>0.68710250000000006</v>
      </c>
      <c r="V386" s="418">
        <f t="shared" si="34"/>
        <v>1.6147600000000002</v>
      </c>
      <c r="W386" s="418">
        <f t="shared" si="34"/>
        <v>1.629375</v>
      </c>
      <c r="X386" s="418">
        <f t="shared" si="34"/>
        <v>1.6688749999999999</v>
      </c>
      <c r="Y386" s="418">
        <f t="shared" si="34"/>
        <v>1.6412250000000002</v>
      </c>
      <c r="Z386" s="418">
        <f t="shared" si="34"/>
        <v>1.61555</v>
      </c>
      <c r="AA386" s="418">
        <f t="shared" si="34"/>
        <v>1.5898750000000001</v>
      </c>
      <c r="AB386" s="418">
        <f t="shared" si="34"/>
        <v>1.5681500000000002</v>
      </c>
      <c r="AC386" s="418">
        <f t="shared" si="34"/>
        <v>1.5286500000000001</v>
      </c>
      <c r="AD386" s="418">
        <f t="shared" si="34"/>
        <v>1.491125</v>
      </c>
      <c r="AE386" s="418">
        <f t="shared" si="35"/>
        <v>1.4575500000000001</v>
      </c>
      <c r="AF386" s="418">
        <f t="shared" si="35"/>
        <v>1.423975</v>
      </c>
      <c r="AG386" s="418">
        <f t="shared" si="35"/>
        <v>1.3904000000000001</v>
      </c>
      <c r="AH386" s="418">
        <f t="shared" si="35"/>
        <v>1.3212750000000002</v>
      </c>
      <c r="AI386" s="418">
        <f t="shared" si="35"/>
        <v>1.2561000000000002</v>
      </c>
      <c r="AJ386" s="418">
        <f t="shared" si="35"/>
        <v>1.19685</v>
      </c>
      <c r="AK386" s="418">
        <f t="shared" si="35"/>
        <v>1.1356250000000001</v>
      </c>
      <c r="AL386" s="418">
        <f t="shared" si="35"/>
        <v>1.0823</v>
      </c>
      <c r="AM386" s="22" t="str">
        <f t="shared" si="33"/>
        <v>EAI - Russia</v>
      </c>
      <c r="AN386" s="333" t="s">
        <v>3119</v>
      </c>
      <c r="AQ386" s="11"/>
      <c r="AR386" s="11"/>
    </row>
    <row r="387" spans="1:44" s="406" customFormat="1">
      <c r="A387" s="138"/>
      <c r="B387" s="55" t="s">
        <v>3210</v>
      </c>
      <c r="C387" s="55" t="s">
        <v>1703</v>
      </c>
      <c r="D387" s="55" t="s">
        <v>3379</v>
      </c>
      <c r="E387" s="55" t="s">
        <v>1927</v>
      </c>
      <c r="F387" s="55" t="s">
        <v>1928</v>
      </c>
      <c r="G387" s="55" t="s">
        <v>3374</v>
      </c>
      <c r="H387" s="55" t="s">
        <v>116</v>
      </c>
      <c r="I387" s="55" t="s">
        <v>1931</v>
      </c>
      <c r="J387" s="418">
        <v>50</v>
      </c>
      <c r="K387" s="296"/>
      <c r="L387" s="296"/>
      <c r="M387" s="296"/>
      <c r="N387" s="296"/>
      <c r="O387" s="296"/>
      <c r="P387" s="296"/>
      <c r="Q387" s="296"/>
      <c r="R387" s="296"/>
      <c r="S387" s="296"/>
      <c r="T387" s="296"/>
      <c r="U387" s="418">
        <f t="shared" ref="U387:AD397" si="36">INDEX(U$270:U$332,MATCH($D387,$D$270:$D$332,0))*$D$268</f>
        <v>20.0502</v>
      </c>
      <c r="V387" s="418">
        <f t="shared" si="36"/>
        <v>19.629525000000001</v>
      </c>
      <c r="W387" s="418">
        <f t="shared" si="36"/>
        <v>19.550525</v>
      </c>
      <c r="X387" s="418">
        <f t="shared" si="36"/>
        <v>18.877050000000001</v>
      </c>
      <c r="Y387" s="418">
        <f t="shared" si="36"/>
        <v>18.329975000000001</v>
      </c>
      <c r="Z387" s="418">
        <f t="shared" si="36"/>
        <v>18.087050000000001</v>
      </c>
      <c r="AA387" s="418">
        <f t="shared" si="36"/>
        <v>17.844124999999998</v>
      </c>
      <c r="AB387" s="418">
        <f t="shared" si="36"/>
        <v>17.646625</v>
      </c>
      <c r="AC387" s="418">
        <f t="shared" si="36"/>
        <v>17.065975000000002</v>
      </c>
      <c r="AD387" s="418">
        <f t="shared" si="36"/>
        <v>16.54655</v>
      </c>
      <c r="AE387" s="418">
        <f t="shared" ref="AE387:AL397" si="37">INDEX(AE$270:AE$332,MATCH($D387,$D$270:$D$332,0))*$D$268</f>
        <v>16.040950000000002</v>
      </c>
      <c r="AF387" s="418">
        <f t="shared" si="37"/>
        <v>15.553125000000001</v>
      </c>
      <c r="AG387" s="418">
        <f t="shared" si="37"/>
        <v>14.502425000000002</v>
      </c>
      <c r="AH387" s="418">
        <f t="shared" si="37"/>
        <v>13.522825000000001</v>
      </c>
      <c r="AI387" s="418">
        <f t="shared" si="37"/>
        <v>12.614325000000001</v>
      </c>
      <c r="AJ387" s="418">
        <f t="shared" si="37"/>
        <v>11.767049999999999</v>
      </c>
      <c r="AK387" s="418">
        <f t="shared" si="37"/>
        <v>10.981000000000002</v>
      </c>
      <c r="AL387" s="418">
        <f t="shared" si="37"/>
        <v>10.246300000000002</v>
      </c>
      <c r="AM387" s="22" t="str">
        <f t="shared" si="33"/>
        <v>EAI - Russia</v>
      </c>
      <c r="AN387" s="333" t="s">
        <v>3119</v>
      </c>
      <c r="AQ387" s="11"/>
      <c r="AR387" s="11"/>
    </row>
    <row r="388" spans="1:44" s="406" customFormat="1">
      <c r="A388" s="138"/>
      <c r="B388" s="55" t="s">
        <v>3210</v>
      </c>
      <c r="C388" s="55" t="s">
        <v>1703</v>
      </c>
      <c r="D388" s="55" t="s">
        <v>3710</v>
      </c>
      <c r="E388" s="55" t="s">
        <v>1927</v>
      </c>
      <c r="F388" s="55" t="s">
        <v>1928</v>
      </c>
      <c r="G388" s="55" t="s">
        <v>3374</v>
      </c>
      <c r="H388" s="55" t="s">
        <v>1930</v>
      </c>
      <c r="I388" s="55" t="s">
        <v>1931</v>
      </c>
      <c r="J388" s="418">
        <v>51.905700000000003</v>
      </c>
      <c r="K388" s="296"/>
      <c r="L388" s="296"/>
      <c r="M388" s="296"/>
      <c r="N388" s="296"/>
      <c r="O388" s="296"/>
      <c r="P388" s="296"/>
      <c r="Q388" s="296"/>
      <c r="R388" s="296"/>
      <c r="S388" s="296"/>
      <c r="T388" s="296"/>
      <c r="U388" s="418">
        <f t="shared" si="36"/>
        <v>0</v>
      </c>
      <c r="V388" s="418">
        <f t="shared" si="36"/>
        <v>0</v>
      </c>
      <c r="W388" s="418">
        <f t="shared" si="36"/>
        <v>0</v>
      </c>
      <c r="X388" s="418">
        <f t="shared" si="36"/>
        <v>0</v>
      </c>
      <c r="Y388" s="418">
        <f t="shared" si="36"/>
        <v>3.4191200000000004</v>
      </c>
      <c r="Z388" s="418">
        <f t="shared" si="36"/>
        <v>2.2145674999999998</v>
      </c>
      <c r="AA388" s="418">
        <f t="shared" si="36"/>
        <v>6.1507425000000007</v>
      </c>
      <c r="AB388" s="418">
        <f t="shared" si="36"/>
        <v>9.0210100000000004</v>
      </c>
      <c r="AC388" s="418">
        <f t="shared" si="36"/>
        <v>10.251435000000001</v>
      </c>
      <c r="AD388" s="418">
        <f t="shared" si="36"/>
        <v>10.251435000000001</v>
      </c>
      <c r="AE388" s="418">
        <f t="shared" si="37"/>
        <v>9.7189750000000004</v>
      </c>
      <c r="AF388" s="418">
        <f t="shared" si="37"/>
        <v>8.7458925000000001</v>
      </c>
      <c r="AG388" s="418">
        <f t="shared" si="37"/>
        <v>7.8725474999999996</v>
      </c>
      <c r="AH388" s="418">
        <f t="shared" si="37"/>
        <v>7.2431150000000004</v>
      </c>
      <c r="AI388" s="418">
        <f t="shared" si="37"/>
        <v>6.6640449999999998</v>
      </c>
      <c r="AJ388" s="418">
        <f t="shared" si="37"/>
        <v>6.1302025000000002</v>
      </c>
      <c r="AK388" s="418">
        <f t="shared" si="37"/>
        <v>5.6390200000000004</v>
      </c>
      <c r="AL388" s="418">
        <f t="shared" si="37"/>
        <v>5.18872</v>
      </c>
      <c r="AM388" s="22" t="str">
        <f t="shared" si="33"/>
        <v>EAI - Russia</v>
      </c>
      <c r="AN388" s="333" t="s">
        <v>3119</v>
      </c>
      <c r="AQ388" s="11"/>
      <c r="AR388" s="11"/>
    </row>
    <row r="389" spans="1:44" s="406" customFormat="1">
      <c r="A389" s="138"/>
      <c r="B389" s="55" t="s">
        <v>3210</v>
      </c>
      <c r="C389" s="55" t="s">
        <v>1703</v>
      </c>
      <c r="D389" s="55" t="s">
        <v>96</v>
      </c>
      <c r="E389" s="55" t="s">
        <v>1927</v>
      </c>
      <c r="F389" s="55" t="s">
        <v>1928</v>
      </c>
      <c r="G389" s="55" t="s">
        <v>3374</v>
      </c>
      <c r="H389" s="55" t="s">
        <v>1930</v>
      </c>
      <c r="I389" s="55" t="s">
        <v>1933</v>
      </c>
      <c r="J389" s="418">
        <v>49.54</v>
      </c>
      <c r="K389" s="296"/>
      <c r="L389" s="296"/>
      <c r="M389" s="296"/>
      <c r="N389" s="296"/>
      <c r="O389" s="296"/>
      <c r="P389" s="296"/>
      <c r="Q389" s="296"/>
      <c r="R389" s="296"/>
      <c r="S389" s="296"/>
      <c r="T389" s="296"/>
      <c r="U389" s="418">
        <f t="shared" si="36"/>
        <v>12.638025000000001</v>
      </c>
      <c r="V389" s="418">
        <f t="shared" si="36"/>
        <v>12.562975</v>
      </c>
      <c r="W389" s="418">
        <f t="shared" si="36"/>
        <v>12.568900000000001</v>
      </c>
      <c r="X389" s="418">
        <f t="shared" si="36"/>
        <v>12.138350000000001</v>
      </c>
      <c r="Y389" s="418">
        <f t="shared" si="36"/>
        <v>11.723600000000001</v>
      </c>
      <c r="Z389" s="418">
        <f t="shared" si="36"/>
        <v>11.464874999999999</v>
      </c>
      <c r="AA389" s="418">
        <f t="shared" si="36"/>
        <v>11.838150000000001</v>
      </c>
      <c r="AB389" s="418">
        <f t="shared" si="36"/>
        <v>12.0633</v>
      </c>
      <c r="AC389" s="418">
        <f t="shared" si="36"/>
        <v>12.229200000000001</v>
      </c>
      <c r="AD389" s="418">
        <f t="shared" si="36"/>
        <v>12.057375</v>
      </c>
      <c r="AE389" s="418">
        <f t="shared" si="37"/>
        <v>11.626825</v>
      </c>
      <c r="AF389" s="418">
        <f t="shared" si="37"/>
        <v>11.014575000000001</v>
      </c>
      <c r="AG389" s="418">
        <f t="shared" si="37"/>
        <v>10.445775000000001</v>
      </c>
      <c r="AH389" s="418">
        <f t="shared" si="37"/>
        <v>9.83155</v>
      </c>
      <c r="AI389" s="418">
        <f t="shared" si="37"/>
        <v>9.2706499999999998</v>
      </c>
      <c r="AJ389" s="418">
        <f t="shared" si="37"/>
        <v>8.8104750000000003</v>
      </c>
      <c r="AK389" s="418">
        <f t="shared" si="37"/>
        <v>8.3740000000000006</v>
      </c>
      <c r="AL389" s="418">
        <f t="shared" si="37"/>
        <v>7.9632000000000005</v>
      </c>
      <c r="AM389" s="22" t="str">
        <f t="shared" si="33"/>
        <v>EAI - Russia</v>
      </c>
      <c r="AN389" s="333" t="s">
        <v>3119</v>
      </c>
      <c r="AQ389" s="11"/>
      <c r="AR389" s="11"/>
    </row>
    <row r="390" spans="1:44" s="406" customFormat="1">
      <c r="A390" s="138"/>
      <c r="B390" s="55" t="s">
        <v>3210</v>
      </c>
      <c r="C390" s="55" t="s">
        <v>1703</v>
      </c>
      <c r="D390" s="55" t="s">
        <v>2049</v>
      </c>
      <c r="E390" s="55" t="s">
        <v>1927</v>
      </c>
      <c r="F390" s="55" t="s">
        <v>1928</v>
      </c>
      <c r="G390" s="55" t="s">
        <v>1929</v>
      </c>
      <c r="H390" s="55" t="s">
        <v>116</v>
      </c>
      <c r="I390" s="55" t="s">
        <v>1931</v>
      </c>
      <c r="J390" s="418">
        <v>100</v>
      </c>
      <c r="K390" s="296"/>
      <c r="L390" s="296"/>
      <c r="M390" s="296"/>
      <c r="N390" s="296"/>
      <c r="O390" s="296"/>
      <c r="P390" s="296"/>
      <c r="Q390" s="296"/>
      <c r="R390" s="296"/>
      <c r="S390" s="296"/>
      <c r="T390" s="296"/>
      <c r="U390" s="418">
        <f t="shared" si="36"/>
        <v>1.3414200000000001</v>
      </c>
      <c r="V390" s="418">
        <f t="shared" si="36"/>
        <v>3.4485474999999997</v>
      </c>
      <c r="W390" s="418">
        <f t="shared" si="36"/>
        <v>3.7090500000000004</v>
      </c>
      <c r="X390" s="418">
        <f t="shared" si="36"/>
        <v>5.6070250000000001</v>
      </c>
      <c r="Y390" s="418">
        <f t="shared" si="36"/>
        <v>6.6320499999999996</v>
      </c>
      <c r="Z390" s="418">
        <f t="shared" si="36"/>
        <v>19.844800000000003</v>
      </c>
      <c r="AA390" s="418">
        <f t="shared" si="36"/>
        <v>26.267500000000002</v>
      </c>
      <c r="AB390" s="418">
        <f t="shared" si="36"/>
        <v>26.018650000000004</v>
      </c>
      <c r="AC390" s="418">
        <f t="shared" si="36"/>
        <v>25.325424999999999</v>
      </c>
      <c r="AD390" s="418">
        <f t="shared" si="36"/>
        <v>24.318175</v>
      </c>
      <c r="AE390" s="418">
        <f t="shared" si="37"/>
        <v>23.024550000000001</v>
      </c>
      <c r="AF390" s="418">
        <f t="shared" si="37"/>
        <v>21.592675</v>
      </c>
      <c r="AG390" s="418">
        <f t="shared" si="37"/>
        <v>20.056125000000002</v>
      </c>
      <c r="AH390" s="418">
        <f t="shared" si="37"/>
        <v>18.213450000000002</v>
      </c>
      <c r="AI390" s="418">
        <f t="shared" si="37"/>
        <v>16.540625000000002</v>
      </c>
      <c r="AJ390" s="418">
        <f t="shared" si="37"/>
        <v>15.019875000000001</v>
      </c>
      <c r="AK390" s="418">
        <f t="shared" si="37"/>
        <v>13.63935</v>
      </c>
      <c r="AL390" s="418">
        <f t="shared" si="37"/>
        <v>12.3872</v>
      </c>
      <c r="AM390" s="22" t="str">
        <f t="shared" si="33"/>
        <v>EAI - Russia</v>
      </c>
      <c r="AN390" s="333" t="s">
        <v>3119</v>
      </c>
      <c r="AQ390" s="11"/>
      <c r="AR390" s="11"/>
    </row>
    <row r="391" spans="1:44" s="406" customFormat="1">
      <c r="A391" s="138"/>
      <c r="B391" s="55" t="s">
        <v>3210</v>
      </c>
      <c r="C391" s="55" t="s">
        <v>1703</v>
      </c>
      <c r="D391" s="55" t="s">
        <v>2050</v>
      </c>
      <c r="E391" s="55" t="s">
        <v>1927</v>
      </c>
      <c r="F391" s="55" t="s">
        <v>1928</v>
      </c>
      <c r="G391" s="55" t="s">
        <v>3374</v>
      </c>
      <c r="H391" s="55" t="s">
        <v>1930</v>
      </c>
      <c r="I391" s="55" t="s">
        <v>1931</v>
      </c>
      <c r="J391" s="418">
        <v>100</v>
      </c>
      <c r="K391" s="296"/>
      <c r="L391" s="296"/>
      <c r="M391" s="296"/>
      <c r="N391" s="296"/>
      <c r="O391" s="296"/>
      <c r="P391" s="296"/>
      <c r="Q391" s="296"/>
      <c r="R391" s="296"/>
      <c r="S391" s="296"/>
      <c r="T391" s="296"/>
      <c r="U391" s="418">
        <f t="shared" si="36"/>
        <v>14.096760000000002</v>
      </c>
      <c r="V391" s="418">
        <f t="shared" si="36"/>
        <v>38.662995000000002</v>
      </c>
      <c r="W391" s="418">
        <f t="shared" si="36"/>
        <v>43.442100000000003</v>
      </c>
      <c r="X391" s="418">
        <f t="shared" si="36"/>
        <v>45.762725000000003</v>
      </c>
      <c r="Y391" s="418">
        <f t="shared" si="36"/>
        <v>38.725800000000007</v>
      </c>
      <c r="Z391" s="418">
        <f t="shared" si="36"/>
        <v>35.702075000000001</v>
      </c>
      <c r="AA391" s="418">
        <f t="shared" si="36"/>
        <v>37.862725000000005</v>
      </c>
      <c r="AB391" s="418">
        <f t="shared" si="36"/>
        <v>41.307125000000006</v>
      </c>
      <c r="AC391" s="418">
        <f t="shared" si="36"/>
        <v>39.476300000000002</v>
      </c>
      <c r="AD391" s="418">
        <f t="shared" si="36"/>
        <v>35.064149999999998</v>
      </c>
      <c r="AE391" s="418">
        <f t="shared" si="37"/>
        <v>30.934425000000001</v>
      </c>
      <c r="AF391" s="418">
        <f t="shared" si="37"/>
        <v>27.539400000000001</v>
      </c>
      <c r="AG391" s="418">
        <f t="shared" si="37"/>
        <v>24.630224999999999</v>
      </c>
      <c r="AH391" s="418">
        <f t="shared" si="37"/>
        <v>22.491299999999999</v>
      </c>
      <c r="AI391" s="418">
        <f t="shared" si="37"/>
        <v>20.585425000000001</v>
      </c>
      <c r="AJ391" s="418">
        <f t="shared" si="37"/>
        <v>18.833600000000001</v>
      </c>
      <c r="AK391" s="418">
        <f t="shared" si="37"/>
        <v>17.24175</v>
      </c>
      <c r="AL391" s="418">
        <f t="shared" si="37"/>
        <v>15.778275000000001</v>
      </c>
      <c r="AM391" s="22" t="str">
        <f t="shared" si="33"/>
        <v>EAI - Russia</v>
      </c>
      <c r="AN391" s="333" t="s">
        <v>3119</v>
      </c>
      <c r="AQ391" s="11"/>
      <c r="AR391" s="11"/>
    </row>
    <row r="392" spans="1:44" s="406" customFormat="1">
      <c r="A392" s="138"/>
      <c r="B392" s="55" t="s">
        <v>3210</v>
      </c>
      <c r="C392" s="55" t="s">
        <v>1703</v>
      </c>
      <c r="D392" s="55" t="s">
        <v>3675</v>
      </c>
      <c r="E392" s="55" t="s">
        <v>1927</v>
      </c>
      <c r="F392" s="55" t="s">
        <v>1928</v>
      </c>
      <c r="G392" s="55" t="s">
        <v>3374</v>
      </c>
      <c r="H392" s="55" t="s">
        <v>116</v>
      </c>
      <c r="I392" s="55" t="s">
        <v>1931</v>
      </c>
      <c r="J392" s="418">
        <v>100</v>
      </c>
      <c r="K392" s="296"/>
      <c r="L392" s="296"/>
      <c r="M392" s="296"/>
      <c r="N392" s="296"/>
      <c r="O392" s="296"/>
      <c r="P392" s="296"/>
      <c r="Q392" s="296"/>
      <c r="R392" s="296"/>
      <c r="S392" s="296"/>
      <c r="T392" s="296"/>
      <c r="U392" s="418">
        <f t="shared" si="36"/>
        <v>0</v>
      </c>
      <c r="V392" s="418">
        <f t="shared" si="36"/>
        <v>3.9500000000000004E-3</v>
      </c>
      <c r="W392" s="418">
        <f t="shared" si="36"/>
        <v>1.1849999999999999E-2</v>
      </c>
      <c r="X392" s="418">
        <f t="shared" si="36"/>
        <v>5.6583750000000004</v>
      </c>
      <c r="Y392" s="418">
        <f t="shared" si="36"/>
        <v>19.143675000000002</v>
      </c>
      <c r="Z392" s="418">
        <f t="shared" si="36"/>
        <v>19.6236</v>
      </c>
      <c r="AA392" s="418">
        <f t="shared" si="36"/>
        <v>23.978475</v>
      </c>
      <c r="AB392" s="418">
        <f t="shared" si="36"/>
        <v>29.085825000000003</v>
      </c>
      <c r="AC392" s="418">
        <f t="shared" si="36"/>
        <v>33.312325000000001</v>
      </c>
      <c r="AD392" s="418">
        <f t="shared" si="36"/>
        <v>36.284700000000001</v>
      </c>
      <c r="AE392" s="418">
        <f t="shared" si="37"/>
        <v>34.991075000000002</v>
      </c>
      <c r="AF392" s="418">
        <f t="shared" si="37"/>
        <v>34.287975000000003</v>
      </c>
      <c r="AG392" s="418">
        <f t="shared" si="37"/>
        <v>34.919975000000001</v>
      </c>
      <c r="AH392" s="418">
        <f t="shared" si="37"/>
        <v>34.029250000000005</v>
      </c>
      <c r="AI392" s="418">
        <f t="shared" si="37"/>
        <v>32.364325000000001</v>
      </c>
      <c r="AJ392" s="418">
        <f t="shared" si="37"/>
        <v>30.411049999999999</v>
      </c>
      <c r="AK392" s="418">
        <f t="shared" si="37"/>
        <v>28.1082</v>
      </c>
      <c r="AL392" s="418">
        <f t="shared" si="37"/>
        <v>25.750050000000002</v>
      </c>
      <c r="AM392" s="22" t="str">
        <f t="shared" si="33"/>
        <v>EAI - Russia</v>
      </c>
      <c r="AN392" s="333" t="s">
        <v>3119</v>
      </c>
      <c r="AQ392" s="11"/>
      <c r="AR392" s="11"/>
    </row>
    <row r="393" spans="1:44" s="406" customFormat="1">
      <c r="A393" s="138"/>
      <c r="B393" s="55" t="s">
        <v>3210</v>
      </c>
      <c r="C393" s="55" t="s">
        <v>1703</v>
      </c>
      <c r="D393" s="55" t="s">
        <v>3469</v>
      </c>
      <c r="E393" s="55" t="s">
        <v>1927</v>
      </c>
      <c r="F393" s="55" t="s">
        <v>1928</v>
      </c>
      <c r="G393" s="55" t="s">
        <v>3374</v>
      </c>
      <c r="H393" s="55" t="s">
        <v>116</v>
      </c>
      <c r="I393" s="55" t="s">
        <v>1931</v>
      </c>
      <c r="J393" s="418">
        <v>50.1</v>
      </c>
      <c r="K393" s="296"/>
      <c r="L393" s="296"/>
      <c r="M393" s="296"/>
      <c r="N393" s="296"/>
      <c r="O393" s="296"/>
      <c r="P393" s="296"/>
      <c r="Q393" s="296"/>
      <c r="R393" s="296"/>
      <c r="S393" s="296"/>
      <c r="T393" s="296"/>
      <c r="U393" s="418">
        <f t="shared" si="36"/>
        <v>78.298874999999995</v>
      </c>
      <c r="V393" s="418">
        <f t="shared" si="36"/>
        <v>82.237025000000003</v>
      </c>
      <c r="W393" s="418">
        <f t="shared" si="36"/>
        <v>85.993475000000004</v>
      </c>
      <c r="X393" s="418">
        <f t="shared" si="36"/>
        <v>65.645049999999998</v>
      </c>
      <c r="Y393" s="418">
        <f t="shared" si="36"/>
        <v>35.593450000000004</v>
      </c>
      <c r="Z393" s="418">
        <f t="shared" si="36"/>
        <v>32.777100000000004</v>
      </c>
      <c r="AA393" s="418">
        <f t="shared" si="36"/>
        <v>30.215525000000003</v>
      </c>
      <c r="AB393" s="418">
        <f t="shared" si="36"/>
        <v>27.659875000000003</v>
      </c>
      <c r="AC393" s="418">
        <f t="shared" si="36"/>
        <v>26.150974999999999</v>
      </c>
      <c r="AD393" s="418">
        <f t="shared" si="36"/>
        <v>24.762550000000001</v>
      </c>
      <c r="AE393" s="418">
        <f t="shared" si="37"/>
        <v>23.472874999999998</v>
      </c>
      <c r="AF393" s="418">
        <f t="shared" si="37"/>
        <v>22.270100000000003</v>
      </c>
      <c r="AG393" s="418">
        <f t="shared" si="37"/>
        <v>21.142375000000001</v>
      </c>
      <c r="AH393" s="418">
        <f t="shared" si="37"/>
        <v>20.083774999999999</v>
      </c>
      <c r="AI393" s="418">
        <f t="shared" si="37"/>
        <v>19.086400000000001</v>
      </c>
      <c r="AJ393" s="418">
        <f t="shared" si="37"/>
        <v>18.144325000000002</v>
      </c>
      <c r="AK393" s="418">
        <f t="shared" si="37"/>
        <v>17.249650000000003</v>
      </c>
      <c r="AL393" s="418">
        <f t="shared" si="37"/>
        <v>16.404350000000001</v>
      </c>
      <c r="AM393" s="22" t="str">
        <f t="shared" si="33"/>
        <v>EAI - Russia</v>
      </c>
      <c r="AN393" s="333" t="s">
        <v>3119</v>
      </c>
      <c r="AQ393" s="11"/>
      <c r="AR393" s="11"/>
    </row>
    <row r="394" spans="1:44" s="406" customFormat="1">
      <c r="A394" s="138"/>
      <c r="B394" s="55" t="s">
        <v>3210</v>
      </c>
      <c r="C394" s="55" t="s">
        <v>1703</v>
      </c>
      <c r="D394" s="55" t="s">
        <v>2048</v>
      </c>
      <c r="E394" s="55" t="s">
        <v>1927</v>
      </c>
      <c r="F394" s="55" t="s">
        <v>1928</v>
      </c>
      <c r="G394" s="55" t="s">
        <v>3374</v>
      </c>
      <c r="H394" s="55" t="s">
        <v>1930</v>
      </c>
      <c r="I394" s="55" t="s">
        <v>1931</v>
      </c>
      <c r="J394" s="418">
        <v>100</v>
      </c>
      <c r="K394" s="296"/>
      <c r="L394" s="296"/>
      <c r="M394" s="296"/>
      <c r="N394" s="296"/>
      <c r="O394" s="296"/>
      <c r="P394" s="296"/>
      <c r="Q394" s="296"/>
      <c r="R394" s="296"/>
      <c r="S394" s="296"/>
      <c r="T394" s="296"/>
      <c r="U394" s="418">
        <f t="shared" si="36"/>
        <v>2.1849425</v>
      </c>
      <c r="V394" s="418">
        <f t="shared" si="36"/>
        <v>5.2823349999999998</v>
      </c>
      <c r="W394" s="418">
        <f t="shared" si="36"/>
        <v>4.8209750000000007</v>
      </c>
      <c r="X394" s="418">
        <f t="shared" si="36"/>
        <v>4.6708749999999997</v>
      </c>
      <c r="Y394" s="418">
        <f t="shared" si="36"/>
        <v>4.5227500000000003</v>
      </c>
      <c r="Z394" s="418">
        <f t="shared" si="36"/>
        <v>4.3805500000000004</v>
      </c>
      <c r="AA394" s="418">
        <f t="shared" si="36"/>
        <v>4.244275</v>
      </c>
      <c r="AB394" s="418">
        <f t="shared" si="36"/>
        <v>4.1099749999999995</v>
      </c>
      <c r="AC394" s="418">
        <f t="shared" si="36"/>
        <v>3.9816000000000003</v>
      </c>
      <c r="AD394" s="418">
        <f t="shared" si="36"/>
        <v>3.8552</v>
      </c>
      <c r="AE394" s="418">
        <f t="shared" si="37"/>
        <v>3.7367000000000004</v>
      </c>
      <c r="AF394" s="418">
        <f t="shared" si="37"/>
        <v>3.616225</v>
      </c>
      <c r="AG394" s="418">
        <f t="shared" si="37"/>
        <v>3.5016750000000001</v>
      </c>
      <c r="AH394" s="418">
        <f t="shared" si="37"/>
        <v>3.3910750000000003</v>
      </c>
      <c r="AI394" s="418">
        <f t="shared" si="37"/>
        <v>3.2883749999999998</v>
      </c>
      <c r="AJ394" s="418">
        <f t="shared" si="37"/>
        <v>3.1837000000000004</v>
      </c>
      <c r="AK394" s="418">
        <f t="shared" si="37"/>
        <v>3.0849500000000001</v>
      </c>
      <c r="AL394" s="418">
        <f t="shared" si="37"/>
        <v>2.9881750000000005</v>
      </c>
      <c r="AM394" s="22" t="str">
        <f t="shared" si="33"/>
        <v>EAI - Russia</v>
      </c>
      <c r="AN394" s="333" t="s">
        <v>3119</v>
      </c>
      <c r="AQ394" s="11"/>
      <c r="AR394" s="11"/>
    </row>
    <row r="395" spans="1:44" s="406" customFormat="1">
      <c r="A395" s="138"/>
      <c r="B395" s="55" t="s">
        <v>3210</v>
      </c>
      <c r="C395" s="55" t="s">
        <v>1703</v>
      </c>
      <c r="D395" s="55" t="s">
        <v>1279</v>
      </c>
      <c r="E395" s="55" t="s">
        <v>1927</v>
      </c>
      <c r="F395" s="55" t="s">
        <v>1928</v>
      </c>
      <c r="G395" s="55" t="s">
        <v>1932</v>
      </c>
      <c r="H395" s="55" t="s">
        <v>116</v>
      </c>
      <c r="I395" s="55" t="s">
        <v>1931</v>
      </c>
      <c r="J395" s="418">
        <v>85</v>
      </c>
      <c r="K395" s="296"/>
      <c r="L395" s="296"/>
      <c r="M395" s="296"/>
      <c r="N395" s="296"/>
      <c r="O395" s="296"/>
      <c r="P395" s="296"/>
      <c r="Q395" s="296"/>
      <c r="R395" s="296"/>
      <c r="S395" s="296"/>
      <c r="T395" s="296"/>
      <c r="U395" s="418">
        <f t="shared" si="36"/>
        <v>3.0142450000000003</v>
      </c>
      <c r="V395" s="418">
        <f t="shared" si="36"/>
        <v>7.0734624999999998</v>
      </c>
      <c r="W395" s="418">
        <f t="shared" si="36"/>
        <v>7.0724750000000007</v>
      </c>
      <c r="X395" s="418">
        <f t="shared" si="36"/>
        <v>7.2838000000000012</v>
      </c>
      <c r="Y395" s="418">
        <f t="shared" si="36"/>
        <v>7.7064500000000011</v>
      </c>
      <c r="Z395" s="418">
        <f t="shared" si="36"/>
        <v>7.7400250000000002</v>
      </c>
      <c r="AA395" s="418">
        <f t="shared" si="36"/>
        <v>7.7755749999999999</v>
      </c>
      <c r="AB395" s="418">
        <f t="shared" si="36"/>
        <v>7.6037500000000007</v>
      </c>
      <c r="AC395" s="418">
        <f t="shared" si="36"/>
        <v>7.4200750000000006</v>
      </c>
      <c r="AD395" s="418">
        <f t="shared" si="36"/>
        <v>7.0448250000000003</v>
      </c>
      <c r="AE395" s="418">
        <f t="shared" si="37"/>
        <v>6.6834000000000007</v>
      </c>
      <c r="AF395" s="418">
        <f t="shared" si="37"/>
        <v>6.3417250000000003</v>
      </c>
      <c r="AG395" s="418">
        <f t="shared" si="37"/>
        <v>6.0257250000000004</v>
      </c>
      <c r="AH395" s="418">
        <f t="shared" si="37"/>
        <v>5.7136750000000003</v>
      </c>
      <c r="AI395" s="418">
        <f t="shared" si="37"/>
        <v>5.425325</v>
      </c>
      <c r="AJ395" s="418">
        <f t="shared" si="37"/>
        <v>5.1488250000000004</v>
      </c>
      <c r="AK395" s="418">
        <f t="shared" si="37"/>
        <v>4.8881250000000005</v>
      </c>
      <c r="AL395" s="418">
        <f t="shared" si="37"/>
        <v>4.6412500000000003</v>
      </c>
      <c r="AM395" s="22" t="str">
        <f t="shared" si="33"/>
        <v>EAI - Russia</v>
      </c>
      <c r="AN395" s="333" t="s">
        <v>3119</v>
      </c>
      <c r="AQ395" s="11"/>
      <c r="AR395" s="11"/>
    </row>
    <row r="396" spans="1:44" s="406" customFormat="1">
      <c r="A396" s="138"/>
      <c r="B396" s="55" t="s">
        <v>3210</v>
      </c>
      <c r="C396" s="55" t="s">
        <v>1703</v>
      </c>
      <c r="D396" s="55" t="s">
        <v>3380</v>
      </c>
      <c r="E396" s="55" t="s">
        <v>1927</v>
      </c>
      <c r="F396" s="55" t="s">
        <v>1928</v>
      </c>
      <c r="G396" s="55" t="s">
        <v>3374</v>
      </c>
      <c r="H396" s="55" t="s">
        <v>116</v>
      </c>
      <c r="I396" s="55" t="s">
        <v>1931</v>
      </c>
      <c r="J396" s="418">
        <v>19.93</v>
      </c>
      <c r="K396" s="296"/>
      <c r="L396" s="296"/>
      <c r="M396" s="296"/>
      <c r="N396" s="296"/>
      <c r="O396" s="296"/>
      <c r="P396" s="296"/>
      <c r="Q396" s="296"/>
      <c r="R396" s="296"/>
      <c r="S396" s="296"/>
      <c r="T396" s="296"/>
      <c r="U396" s="418">
        <f t="shared" si="36"/>
        <v>0.29427500000000001</v>
      </c>
      <c r="V396" s="418">
        <f t="shared" si="36"/>
        <v>0.28835</v>
      </c>
      <c r="W396" s="418">
        <f t="shared" si="36"/>
        <v>0.242925</v>
      </c>
      <c r="X396" s="418">
        <f t="shared" si="36"/>
        <v>0.22317499999999998</v>
      </c>
      <c r="Y396" s="418">
        <f t="shared" si="36"/>
        <v>0.20540000000000003</v>
      </c>
      <c r="Z396" s="418">
        <f t="shared" si="36"/>
        <v>0.18959999999999999</v>
      </c>
      <c r="AA396" s="418">
        <f t="shared" si="36"/>
        <v>0.17380000000000001</v>
      </c>
      <c r="AB396" s="418">
        <f t="shared" si="36"/>
        <v>0.15997500000000001</v>
      </c>
      <c r="AC396" s="418">
        <f t="shared" si="36"/>
        <v>0.15405000000000002</v>
      </c>
      <c r="AD396" s="418">
        <f t="shared" si="36"/>
        <v>0.14812500000000001</v>
      </c>
      <c r="AE396" s="418">
        <f t="shared" si="37"/>
        <v>0.14219999999999999</v>
      </c>
      <c r="AF396" s="418">
        <f t="shared" si="37"/>
        <v>0.13627500000000001</v>
      </c>
      <c r="AG396" s="418">
        <f t="shared" si="37"/>
        <v>0.13035000000000002</v>
      </c>
      <c r="AH396" s="418">
        <f t="shared" si="37"/>
        <v>0.12640000000000001</v>
      </c>
      <c r="AI396" s="418">
        <f t="shared" si="37"/>
        <v>0.120475</v>
      </c>
      <c r="AJ396" s="418">
        <f t="shared" si="37"/>
        <v>0.116525</v>
      </c>
      <c r="AK396" s="418">
        <f t="shared" si="37"/>
        <v>0.11060000000000002</v>
      </c>
      <c r="AL396" s="418">
        <f t="shared" si="37"/>
        <v>0.10665000000000001</v>
      </c>
      <c r="AM396" s="22" t="str">
        <f t="shared" si="33"/>
        <v>EAI - Russia</v>
      </c>
      <c r="AN396" s="333" t="s">
        <v>3119</v>
      </c>
      <c r="AQ396" s="11"/>
      <c r="AR396" s="11"/>
    </row>
    <row r="397" spans="1:44" s="406" customFormat="1">
      <c r="A397" s="138"/>
      <c r="B397" s="55" t="s">
        <v>3210</v>
      </c>
      <c r="C397" s="55" t="s">
        <v>1703</v>
      </c>
      <c r="D397" s="55" t="s">
        <v>3050</v>
      </c>
      <c r="E397" s="55" t="s">
        <v>1927</v>
      </c>
      <c r="F397" s="55" t="s">
        <v>1928</v>
      </c>
      <c r="G397" s="55" t="s">
        <v>3374</v>
      </c>
      <c r="H397" s="55" t="s">
        <v>1930</v>
      </c>
      <c r="I397" s="55" t="s">
        <v>1931</v>
      </c>
      <c r="J397" s="418">
        <v>74</v>
      </c>
      <c r="K397" s="296"/>
      <c r="L397" s="296"/>
      <c r="M397" s="296"/>
      <c r="N397" s="296"/>
      <c r="O397" s="296"/>
      <c r="P397" s="296"/>
      <c r="Q397" s="296"/>
      <c r="R397" s="296"/>
      <c r="S397" s="296"/>
      <c r="T397" s="296"/>
      <c r="U397" s="418">
        <f t="shared" si="36"/>
        <v>9.185527500000001</v>
      </c>
      <c r="V397" s="418">
        <f t="shared" si="36"/>
        <v>23.535087500000003</v>
      </c>
      <c r="W397" s="418">
        <f t="shared" si="36"/>
        <v>25.191125</v>
      </c>
      <c r="X397" s="418">
        <f t="shared" si="36"/>
        <v>25.274075</v>
      </c>
      <c r="Y397" s="418">
        <f t="shared" si="36"/>
        <v>24.867225000000001</v>
      </c>
      <c r="Z397" s="418">
        <f t="shared" si="36"/>
        <v>24.572950000000002</v>
      </c>
      <c r="AA397" s="418">
        <f t="shared" si="36"/>
        <v>23.834300000000002</v>
      </c>
      <c r="AB397" s="418">
        <f t="shared" si="36"/>
        <v>22.880375000000001</v>
      </c>
      <c r="AC397" s="418">
        <f t="shared" si="36"/>
        <v>21.963975000000001</v>
      </c>
      <c r="AD397" s="418">
        <f t="shared" si="36"/>
        <v>21.085100000000001</v>
      </c>
      <c r="AE397" s="418">
        <f t="shared" si="37"/>
        <v>20.239800000000002</v>
      </c>
      <c r="AF397" s="418">
        <f t="shared" si="37"/>
        <v>18.92445</v>
      </c>
      <c r="AG397" s="418">
        <f t="shared" si="37"/>
        <v>17.694025</v>
      </c>
      <c r="AH397" s="418">
        <f t="shared" si="37"/>
        <v>16.544574999999998</v>
      </c>
      <c r="AI397" s="418">
        <f t="shared" si="37"/>
        <v>15.466225000000001</v>
      </c>
      <c r="AJ397" s="418">
        <f t="shared" si="37"/>
        <v>14.462925000000002</v>
      </c>
      <c r="AK397" s="418">
        <f t="shared" si="37"/>
        <v>13.520849999999999</v>
      </c>
      <c r="AL397" s="418">
        <f t="shared" si="37"/>
        <v>12.64395</v>
      </c>
      <c r="AM397" s="22" t="str">
        <f t="shared" si="33"/>
        <v>EAI - Russia</v>
      </c>
      <c r="AN397" s="333" t="s">
        <v>3119</v>
      </c>
      <c r="AQ397" s="11"/>
      <c r="AR397" s="11"/>
    </row>
    <row r="398" spans="1:44" s="406" customFormat="1">
      <c r="A398" s="138"/>
      <c r="B398" s="55" t="s">
        <v>3210</v>
      </c>
      <c r="C398" s="55" t="s">
        <v>1703</v>
      </c>
      <c r="D398" s="55" t="s">
        <v>3050</v>
      </c>
      <c r="E398" s="55" t="s">
        <v>1927</v>
      </c>
      <c r="F398" s="55" t="s">
        <v>1928</v>
      </c>
      <c r="G398" s="55" t="s">
        <v>3374</v>
      </c>
      <c r="H398" s="55" t="s">
        <v>1930</v>
      </c>
      <c r="I398" s="55" t="s">
        <v>1931</v>
      </c>
      <c r="J398" s="418">
        <v>5.94</v>
      </c>
      <c r="K398" s="296"/>
      <c r="L398" s="296"/>
      <c r="M398" s="296"/>
      <c r="N398" s="296"/>
      <c r="O398" s="296"/>
      <c r="P398" s="296"/>
      <c r="Q398" s="296"/>
      <c r="R398" s="296"/>
      <c r="S398" s="296"/>
      <c r="T398" s="296"/>
      <c r="U398" s="418">
        <f t="shared" ref="U398:AL398" si="38">INDEX(U$270:U$332,MATCH($D398,$D$270:$D$332,0)+1)*$D$268</f>
        <v>7.8960499999999998</v>
      </c>
      <c r="V398" s="418">
        <f t="shared" si="38"/>
        <v>8.4056000000000015</v>
      </c>
      <c r="W398" s="418">
        <f t="shared" si="38"/>
        <v>8.8302250000000004</v>
      </c>
      <c r="X398" s="418">
        <f t="shared" si="38"/>
        <v>8.8598499999999998</v>
      </c>
      <c r="Y398" s="418">
        <f t="shared" si="38"/>
        <v>4.797275</v>
      </c>
      <c r="Z398" s="418">
        <f t="shared" si="38"/>
        <v>1.973025</v>
      </c>
      <c r="AA398" s="418">
        <f t="shared" si="38"/>
        <v>1.913775</v>
      </c>
      <c r="AB398" s="418">
        <f t="shared" si="38"/>
        <v>1.8367500000000003</v>
      </c>
      <c r="AC398" s="418">
        <f t="shared" si="38"/>
        <v>1.7636750000000001</v>
      </c>
      <c r="AD398" s="418">
        <f t="shared" si="38"/>
        <v>1.6925750000000002</v>
      </c>
      <c r="AE398" s="418">
        <f t="shared" si="38"/>
        <v>1.6254250000000001</v>
      </c>
      <c r="AF398" s="418">
        <f t="shared" si="38"/>
        <v>1.5187750000000002</v>
      </c>
      <c r="AG398" s="418">
        <f t="shared" si="38"/>
        <v>1.4200250000000001</v>
      </c>
      <c r="AH398" s="418">
        <f t="shared" si="38"/>
        <v>1.3271999999999999</v>
      </c>
      <c r="AI398" s="418">
        <f t="shared" si="38"/>
        <v>1.242275</v>
      </c>
      <c r="AJ398" s="418">
        <f t="shared" si="38"/>
        <v>1.1613</v>
      </c>
      <c r="AK398" s="418">
        <f t="shared" si="38"/>
        <v>1.0862500000000002</v>
      </c>
      <c r="AL398" s="418">
        <f t="shared" si="38"/>
        <v>1.01515</v>
      </c>
      <c r="AM398" s="22" t="str">
        <f t="shared" si="33"/>
        <v>EAI - Russia</v>
      </c>
      <c r="AN398" s="333" t="s">
        <v>3119</v>
      </c>
      <c r="AQ398" s="11"/>
      <c r="AR398" s="11"/>
    </row>
    <row r="399" spans="1:44" s="406" customFormat="1">
      <c r="A399" s="138"/>
      <c r="B399" s="55" t="s">
        <v>3210</v>
      </c>
      <c r="C399" s="55" t="s">
        <v>1703</v>
      </c>
      <c r="D399" s="55" t="s">
        <v>2568</v>
      </c>
      <c r="E399" s="55" t="s">
        <v>2254</v>
      </c>
      <c r="F399" s="55" t="s">
        <v>1928</v>
      </c>
      <c r="G399" s="55" t="s">
        <v>3374</v>
      </c>
      <c r="H399" s="55" t="s">
        <v>1930</v>
      </c>
      <c r="I399" s="55" t="s">
        <v>1931</v>
      </c>
      <c r="J399" s="418">
        <v>50</v>
      </c>
      <c r="K399" s="296"/>
      <c r="L399" s="296"/>
      <c r="M399" s="296"/>
      <c r="N399" s="296"/>
      <c r="O399" s="296"/>
      <c r="P399" s="296"/>
      <c r="Q399" s="296"/>
      <c r="R399" s="296"/>
      <c r="S399" s="296"/>
      <c r="T399" s="296"/>
      <c r="U399" s="418">
        <f t="shared" ref="U399:AD405" si="39">INDEX(U$270:U$332,MATCH($D399,$D$270:$D$332,0))*$D$268</f>
        <v>4.9375000000000002E-2</v>
      </c>
      <c r="V399" s="418">
        <f t="shared" si="39"/>
        <v>5.7275E-2</v>
      </c>
      <c r="W399" s="418">
        <f t="shared" si="39"/>
        <v>6.3200000000000006E-2</v>
      </c>
      <c r="X399" s="418">
        <f t="shared" si="39"/>
        <v>0</v>
      </c>
      <c r="Y399" s="418">
        <f t="shared" si="39"/>
        <v>0</v>
      </c>
      <c r="Z399" s="418">
        <f t="shared" si="39"/>
        <v>0</v>
      </c>
      <c r="AA399" s="418">
        <f t="shared" si="39"/>
        <v>0</v>
      </c>
      <c r="AB399" s="418">
        <f t="shared" si="39"/>
        <v>0</v>
      </c>
      <c r="AC399" s="418">
        <f t="shared" si="39"/>
        <v>0</v>
      </c>
      <c r="AD399" s="418">
        <f t="shared" si="39"/>
        <v>0</v>
      </c>
      <c r="AE399" s="418">
        <f t="shared" ref="AE399:AL405" si="40">INDEX(AE$270:AE$332,MATCH($D399,$D$270:$D$332,0))*$D$268</f>
        <v>0</v>
      </c>
      <c r="AF399" s="418">
        <f t="shared" si="40"/>
        <v>0</v>
      </c>
      <c r="AG399" s="418">
        <f t="shared" si="40"/>
        <v>0</v>
      </c>
      <c r="AH399" s="418">
        <f t="shared" si="40"/>
        <v>0</v>
      </c>
      <c r="AI399" s="418">
        <f t="shared" si="40"/>
        <v>0</v>
      </c>
      <c r="AJ399" s="418">
        <f t="shared" si="40"/>
        <v>0</v>
      </c>
      <c r="AK399" s="418">
        <f t="shared" si="40"/>
        <v>0</v>
      </c>
      <c r="AL399" s="418">
        <f t="shared" si="40"/>
        <v>0</v>
      </c>
      <c r="AM399" s="22" t="str">
        <f t="shared" si="33"/>
        <v>EAI - Russia</v>
      </c>
      <c r="AN399" s="333" t="s">
        <v>3119</v>
      </c>
      <c r="AQ399" s="11"/>
      <c r="AR399" s="11"/>
    </row>
    <row r="400" spans="1:44" s="406" customFormat="1">
      <c r="A400" s="138"/>
      <c r="B400" s="55" t="s">
        <v>3210</v>
      </c>
      <c r="C400" s="55" t="s">
        <v>1703</v>
      </c>
      <c r="D400" s="55" t="s">
        <v>3526</v>
      </c>
      <c r="E400" s="55" t="s">
        <v>1927</v>
      </c>
      <c r="F400" s="55" t="s">
        <v>1928</v>
      </c>
      <c r="G400" s="55" t="s">
        <v>3374</v>
      </c>
      <c r="H400" s="55" t="s">
        <v>1930</v>
      </c>
      <c r="I400" s="55" t="s">
        <v>1931</v>
      </c>
      <c r="J400" s="418">
        <v>100</v>
      </c>
      <c r="K400" s="296"/>
      <c r="L400" s="296"/>
      <c r="M400" s="296"/>
      <c r="N400" s="296"/>
      <c r="O400" s="296"/>
      <c r="P400" s="296"/>
      <c r="Q400" s="296"/>
      <c r="R400" s="296"/>
      <c r="S400" s="296"/>
      <c r="T400" s="296"/>
      <c r="U400" s="418">
        <f t="shared" si="39"/>
        <v>1.2659750000000001</v>
      </c>
      <c r="V400" s="418">
        <f t="shared" si="39"/>
        <v>2.4774400000000001</v>
      </c>
      <c r="W400" s="418">
        <f t="shared" si="39"/>
        <v>2.620825</v>
      </c>
      <c r="X400" s="418">
        <f t="shared" si="39"/>
        <v>2.5201000000000002</v>
      </c>
      <c r="Y400" s="418">
        <f t="shared" si="39"/>
        <v>2.4253</v>
      </c>
      <c r="Z400" s="418">
        <f t="shared" si="39"/>
        <v>2.3324750000000001</v>
      </c>
      <c r="AA400" s="418">
        <f t="shared" si="39"/>
        <v>2.2475500000000004</v>
      </c>
      <c r="AB400" s="418">
        <f t="shared" si="39"/>
        <v>2.154725</v>
      </c>
      <c r="AC400" s="418">
        <f t="shared" si="39"/>
        <v>2.0777000000000001</v>
      </c>
      <c r="AD400" s="418">
        <f t="shared" si="39"/>
        <v>2.0006750000000002</v>
      </c>
      <c r="AE400" s="418">
        <f t="shared" si="40"/>
        <v>1.9236500000000001</v>
      </c>
      <c r="AF400" s="418">
        <f t="shared" si="40"/>
        <v>1.8486</v>
      </c>
      <c r="AG400" s="418">
        <f t="shared" si="40"/>
        <v>1.7794750000000001</v>
      </c>
      <c r="AH400" s="418">
        <f t="shared" si="40"/>
        <v>1.7142999999999999</v>
      </c>
      <c r="AI400" s="418">
        <f t="shared" si="40"/>
        <v>1.649125</v>
      </c>
      <c r="AJ400" s="418">
        <f t="shared" si="40"/>
        <v>1.5878999999999999</v>
      </c>
      <c r="AK400" s="418">
        <f t="shared" si="40"/>
        <v>1.5266750000000002</v>
      </c>
      <c r="AL400" s="418">
        <f t="shared" si="40"/>
        <v>1.4694</v>
      </c>
      <c r="AM400" s="22" t="str">
        <f t="shared" si="33"/>
        <v>EAI - Russia</v>
      </c>
      <c r="AN400" s="333" t="s">
        <v>3119</v>
      </c>
      <c r="AQ400" s="11"/>
      <c r="AR400" s="11"/>
    </row>
    <row r="401" spans="1:45" s="406" customFormat="1">
      <c r="A401" s="138"/>
      <c r="B401" s="55" t="s">
        <v>3210</v>
      </c>
      <c r="C401" s="55" t="s">
        <v>1703</v>
      </c>
      <c r="D401" s="55" t="s">
        <v>3381</v>
      </c>
      <c r="E401" s="55" t="s">
        <v>1927</v>
      </c>
      <c r="F401" s="55" t="s">
        <v>1928</v>
      </c>
      <c r="G401" s="55" t="s">
        <v>3374</v>
      </c>
      <c r="H401" s="55" t="s">
        <v>116</v>
      </c>
      <c r="I401" s="55" t="s">
        <v>1931</v>
      </c>
      <c r="J401" s="418">
        <v>100</v>
      </c>
      <c r="K401" s="296"/>
      <c r="L401" s="296"/>
      <c r="M401" s="296"/>
      <c r="N401" s="296"/>
      <c r="O401" s="296"/>
      <c r="P401" s="296"/>
      <c r="Q401" s="296"/>
      <c r="R401" s="296"/>
      <c r="S401" s="296"/>
      <c r="T401" s="296"/>
      <c r="U401" s="418">
        <f t="shared" si="39"/>
        <v>55.596250000000005</v>
      </c>
      <c r="V401" s="418">
        <f t="shared" si="39"/>
        <v>55.866825000000006</v>
      </c>
      <c r="W401" s="418">
        <f t="shared" si="39"/>
        <v>59.228274999999996</v>
      </c>
      <c r="X401" s="418">
        <f t="shared" si="39"/>
        <v>62.097950000000004</v>
      </c>
      <c r="Y401" s="418">
        <f t="shared" si="39"/>
        <v>62.858325000000001</v>
      </c>
      <c r="Z401" s="418">
        <f t="shared" si="39"/>
        <v>54.059700000000007</v>
      </c>
      <c r="AA401" s="418">
        <f t="shared" si="39"/>
        <v>54.379649999999998</v>
      </c>
      <c r="AB401" s="418">
        <f t="shared" si="39"/>
        <v>51.743025000000003</v>
      </c>
      <c r="AC401" s="418">
        <f t="shared" si="39"/>
        <v>48.966175000000007</v>
      </c>
      <c r="AD401" s="418">
        <f t="shared" si="39"/>
        <v>46.442125000000004</v>
      </c>
      <c r="AE401" s="418">
        <f t="shared" si="40"/>
        <v>43.53295</v>
      </c>
      <c r="AF401" s="418">
        <f t="shared" si="40"/>
        <v>40.866700000000002</v>
      </c>
      <c r="AG401" s="418">
        <f t="shared" si="40"/>
        <v>38.3703</v>
      </c>
      <c r="AH401" s="418">
        <f t="shared" si="40"/>
        <v>36.053625000000004</v>
      </c>
      <c r="AI401" s="418">
        <f t="shared" si="40"/>
        <v>33.875200000000007</v>
      </c>
      <c r="AJ401" s="418">
        <f t="shared" si="40"/>
        <v>31.870575000000002</v>
      </c>
      <c r="AK401" s="418">
        <f t="shared" si="40"/>
        <v>29.990375</v>
      </c>
      <c r="AL401" s="418">
        <f t="shared" si="40"/>
        <v>28.248425000000001</v>
      </c>
      <c r="AM401" s="22" t="str">
        <f t="shared" si="33"/>
        <v>EAI - Russia</v>
      </c>
      <c r="AN401" s="333" t="s">
        <v>3119</v>
      </c>
      <c r="AQ401" s="11"/>
      <c r="AR401" s="11"/>
    </row>
    <row r="402" spans="1:45" s="406" customFormat="1">
      <c r="A402" s="138"/>
      <c r="B402" s="55" t="s">
        <v>3210</v>
      </c>
      <c r="C402" s="55" t="s">
        <v>1703</v>
      </c>
      <c r="D402" s="55" t="s">
        <v>3382</v>
      </c>
      <c r="E402" s="55" t="s">
        <v>2970</v>
      </c>
      <c r="F402" s="55" t="s">
        <v>1928</v>
      </c>
      <c r="G402" s="55" t="s">
        <v>1932</v>
      </c>
      <c r="H402" s="55" t="s">
        <v>1930</v>
      </c>
      <c r="I402" s="55" t="s">
        <v>1931</v>
      </c>
      <c r="J402" s="418">
        <v>99.87</v>
      </c>
      <c r="K402" s="296"/>
      <c r="L402" s="296"/>
      <c r="M402" s="296"/>
      <c r="N402" s="296"/>
      <c r="O402" s="296"/>
      <c r="P402" s="296"/>
      <c r="Q402" s="296"/>
      <c r="R402" s="296"/>
      <c r="S402" s="296"/>
      <c r="T402" s="296"/>
      <c r="U402" s="418">
        <f t="shared" si="39"/>
        <v>0.20737500000000003</v>
      </c>
      <c r="V402" s="418">
        <f t="shared" si="39"/>
        <v>0.21527500000000002</v>
      </c>
      <c r="W402" s="418">
        <f t="shared" si="39"/>
        <v>0.21725000000000003</v>
      </c>
      <c r="X402" s="418">
        <f t="shared" si="39"/>
        <v>0.41080000000000005</v>
      </c>
      <c r="Y402" s="418">
        <f t="shared" si="39"/>
        <v>2.3107500000000001</v>
      </c>
      <c r="Z402" s="418">
        <f t="shared" si="39"/>
        <v>6.3535750000000002</v>
      </c>
      <c r="AA402" s="418">
        <f t="shared" si="39"/>
        <v>17.784875</v>
      </c>
      <c r="AB402" s="418">
        <f t="shared" si="39"/>
        <v>19.892199999999999</v>
      </c>
      <c r="AC402" s="418">
        <f t="shared" si="39"/>
        <v>19.426100000000002</v>
      </c>
      <c r="AD402" s="418">
        <f t="shared" si="39"/>
        <v>20.044274999999999</v>
      </c>
      <c r="AE402" s="418">
        <f t="shared" si="40"/>
        <v>23.549900000000001</v>
      </c>
      <c r="AF402" s="418">
        <f t="shared" si="40"/>
        <v>26.1648</v>
      </c>
      <c r="AG402" s="418">
        <f t="shared" si="40"/>
        <v>28.384700000000002</v>
      </c>
      <c r="AH402" s="418">
        <f t="shared" si="40"/>
        <v>28.860675000000001</v>
      </c>
      <c r="AI402" s="418">
        <f t="shared" si="40"/>
        <v>26.887649999999997</v>
      </c>
      <c r="AJ402" s="418">
        <f t="shared" si="40"/>
        <v>25.199025000000002</v>
      </c>
      <c r="AK402" s="418">
        <f t="shared" si="40"/>
        <v>23.682224999999999</v>
      </c>
      <c r="AL402" s="418">
        <f t="shared" si="40"/>
        <v>22.264175000000002</v>
      </c>
      <c r="AM402" s="22" t="s">
        <v>1805</v>
      </c>
      <c r="AN402" s="333" t="s">
        <v>3119</v>
      </c>
      <c r="AQ402" s="11"/>
      <c r="AR402" s="11"/>
    </row>
    <row r="403" spans="1:45" s="406" customFormat="1">
      <c r="A403" s="138"/>
      <c r="B403" s="55" t="s">
        <v>3210</v>
      </c>
      <c r="C403" s="55" t="s">
        <v>1036</v>
      </c>
      <c r="D403" s="55" t="s">
        <v>1037</v>
      </c>
      <c r="E403" s="55" t="s">
        <v>1927</v>
      </c>
      <c r="F403" s="55" t="s">
        <v>1928</v>
      </c>
      <c r="G403" s="55" t="s">
        <v>3374</v>
      </c>
      <c r="H403" s="55" t="s">
        <v>1930</v>
      </c>
      <c r="I403" s="55" t="s">
        <v>1931</v>
      </c>
      <c r="J403" s="418">
        <v>26.67</v>
      </c>
      <c r="K403" s="296"/>
      <c r="L403" s="296"/>
      <c r="M403" s="296"/>
      <c r="N403" s="296"/>
      <c r="O403" s="296"/>
      <c r="P403" s="296"/>
      <c r="Q403" s="296"/>
      <c r="R403" s="296"/>
      <c r="S403" s="296"/>
      <c r="T403" s="296"/>
      <c r="U403" s="418">
        <f t="shared" si="39"/>
        <v>0.35155000000000003</v>
      </c>
      <c r="V403" s="418">
        <f t="shared" si="39"/>
        <v>0.36932500000000001</v>
      </c>
      <c r="W403" s="418">
        <f t="shared" si="39"/>
        <v>0.26267500000000005</v>
      </c>
      <c r="X403" s="418">
        <f t="shared" si="39"/>
        <v>0.22317499999999998</v>
      </c>
      <c r="Y403" s="418">
        <f t="shared" si="39"/>
        <v>0.18959999999999999</v>
      </c>
      <c r="Z403" s="418">
        <f t="shared" si="39"/>
        <v>0.16195000000000001</v>
      </c>
      <c r="AA403" s="418">
        <f t="shared" si="39"/>
        <v>0.13824999999999998</v>
      </c>
      <c r="AB403" s="418">
        <f t="shared" si="39"/>
        <v>0.116525</v>
      </c>
      <c r="AC403" s="418">
        <f t="shared" si="39"/>
        <v>9.8750000000000004E-2</v>
      </c>
      <c r="AD403" s="418">
        <f t="shared" si="39"/>
        <v>8.4925E-2</v>
      </c>
      <c r="AE403" s="418">
        <f t="shared" si="40"/>
        <v>7.1099999999999997E-2</v>
      </c>
      <c r="AF403" s="418">
        <f t="shared" si="40"/>
        <v>6.1225000000000002E-2</v>
      </c>
      <c r="AG403" s="418">
        <f t="shared" si="40"/>
        <v>5.1350000000000007E-2</v>
      </c>
      <c r="AH403" s="418">
        <f t="shared" si="40"/>
        <v>4.3450000000000003E-2</v>
      </c>
      <c r="AI403" s="418">
        <f t="shared" si="40"/>
        <v>0</v>
      </c>
      <c r="AJ403" s="418">
        <f t="shared" si="40"/>
        <v>0</v>
      </c>
      <c r="AK403" s="418">
        <f t="shared" si="40"/>
        <v>0</v>
      </c>
      <c r="AL403" s="418">
        <f t="shared" si="40"/>
        <v>0</v>
      </c>
      <c r="AM403" s="498" t="s">
        <v>1805</v>
      </c>
      <c r="AN403" s="333" t="s">
        <v>3119</v>
      </c>
      <c r="AQ403" s="11"/>
      <c r="AR403" s="11"/>
    </row>
    <row r="404" spans="1:45" s="406" customFormat="1">
      <c r="A404" s="138"/>
      <c r="B404" s="55" t="s">
        <v>3210</v>
      </c>
      <c r="C404" s="55" t="s">
        <v>1036</v>
      </c>
      <c r="D404" s="55" t="s">
        <v>3711</v>
      </c>
      <c r="E404" s="55" t="s">
        <v>1927</v>
      </c>
      <c r="F404" s="55" t="s">
        <v>1928</v>
      </c>
      <c r="G404" s="55" t="s">
        <v>217</v>
      </c>
      <c r="H404" s="55" t="s">
        <v>1930</v>
      </c>
      <c r="I404" s="55" t="s">
        <v>1931</v>
      </c>
      <c r="J404" s="418">
        <v>32</v>
      </c>
      <c r="K404" s="296"/>
      <c r="L404" s="296"/>
      <c r="M404" s="296"/>
      <c r="N404" s="296"/>
      <c r="O404" s="296"/>
      <c r="P404" s="296"/>
      <c r="Q404" s="296"/>
      <c r="R404" s="296"/>
      <c r="S404" s="296"/>
      <c r="T404" s="296"/>
      <c r="U404" s="418">
        <f t="shared" si="39"/>
        <v>0.30790250000000002</v>
      </c>
      <c r="V404" s="418">
        <f t="shared" si="39"/>
        <v>0.23877750000000003</v>
      </c>
      <c r="W404" s="418">
        <f t="shared" si="39"/>
        <v>0.55932000000000004</v>
      </c>
      <c r="X404" s="418">
        <f t="shared" si="39"/>
        <v>0.63200000000000012</v>
      </c>
      <c r="Y404" s="418">
        <f t="shared" si="39"/>
        <v>0.50560000000000005</v>
      </c>
      <c r="Z404" s="418">
        <f t="shared" si="39"/>
        <v>0.69362000000000001</v>
      </c>
      <c r="AA404" s="418">
        <f t="shared" si="39"/>
        <v>0.69203999999999999</v>
      </c>
      <c r="AB404" s="418">
        <f t="shared" si="39"/>
        <v>0.69362000000000001</v>
      </c>
      <c r="AC404" s="418">
        <f t="shared" si="39"/>
        <v>0.76472000000000007</v>
      </c>
      <c r="AD404" s="418">
        <f t="shared" si="39"/>
        <v>1.0317400000000001</v>
      </c>
      <c r="AE404" s="418">
        <f t="shared" si="40"/>
        <v>1.5183800000000001</v>
      </c>
      <c r="AF404" s="418">
        <f t="shared" si="40"/>
        <v>2.22464</v>
      </c>
      <c r="AG404" s="418">
        <f t="shared" si="40"/>
        <v>3.12208</v>
      </c>
      <c r="AH404" s="418">
        <f t="shared" si="40"/>
        <v>4.01478</v>
      </c>
      <c r="AI404" s="418">
        <f t="shared" si="40"/>
        <v>4.7716000000000003</v>
      </c>
      <c r="AJ404" s="418">
        <f t="shared" si="40"/>
        <v>5.4162400000000002</v>
      </c>
      <c r="AK404" s="418">
        <f t="shared" si="40"/>
        <v>5.9455400000000003</v>
      </c>
      <c r="AL404" s="418">
        <f t="shared" si="40"/>
        <v>6.3373800000000005</v>
      </c>
      <c r="AM404" s="498" t="s">
        <v>1805</v>
      </c>
      <c r="AN404" s="333" t="s">
        <v>3119</v>
      </c>
      <c r="AQ404" s="11"/>
      <c r="AR404" s="11"/>
    </row>
    <row r="405" spans="1:45" s="406" customFormat="1">
      <c r="A405" s="138"/>
      <c r="B405" s="55" t="s">
        <v>3210</v>
      </c>
      <c r="C405" s="55" t="s">
        <v>1036</v>
      </c>
      <c r="D405" s="333" t="s">
        <v>1373</v>
      </c>
      <c r="E405" s="55" t="s">
        <v>1927</v>
      </c>
      <c r="F405" s="55" t="s">
        <v>1928</v>
      </c>
      <c r="G405" s="55" t="s">
        <v>217</v>
      </c>
      <c r="H405" s="55" t="s">
        <v>116</v>
      </c>
      <c r="I405" s="55" t="s">
        <v>1933</v>
      </c>
      <c r="J405" s="418">
        <v>40</v>
      </c>
      <c r="K405" s="296"/>
      <c r="L405" s="296"/>
      <c r="M405" s="296"/>
      <c r="N405" s="296"/>
      <c r="O405" s="296"/>
      <c r="P405" s="296"/>
      <c r="Q405" s="296"/>
      <c r="R405" s="296"/>
      <c r="S405" s="296"/>
      <c r="T405" s="296"/>
      <c r="U405" s="418">
        <f t="shared" si="39"/>
        <v>3.5095749999999999</v>
      </c>
      <c r="V405" s="418">
        <f t="shared" si="39"/>
        <v>3.9816000000000003</v>
      </c>
      <c r="W405" s="418">
        <f t="shared" si="39"/>
        <v>3.9480249999999999</v>
      </c>
      <c r="X405" s="418">
        <f t="shared" si="39"/>
        <v>7.6353499999999999</v>
      </c>
      <c r="Y405" s="418">
        <f t="shared" si="39"/>
        <v>9.3496500000000005</v>
      </c>
      <c r="Z405" s="418">
        <f t="shared" si="39"/>
        <v>9.7387250000000005</v>
      </c>
      <c r="AA405" s="418">
        <f t="shared" si="39"/>
        <v>9.6952750000000005</v>
      </c>
      <c r="AB405" s="418">
        <f t="shared" si="39"/>
        <v>10.1752</v>
      </c>
      <c r="AC405" s="418">
        <f t="shared" si="39"/>
        <v>10.236425000000001</v>
      </c>
      <c r="AD405" s="418">
        <f t="shared" si="39"/>
        <v>10.528725000000001</v>
      </c>
      <c r="AE405" s="418">
        <f t="shared" si="40"/>
        <v>10.183100000000001</v>
      </c>
      <c r="AF405" s="418">
        <f t="shared" si="40"/>
        <v>10.19495</v>
      </c>
      <c r="AG405" s="418">
        <f t="shared" si="40"/>
        <v>9.7683499999999999</v>
      </c>
      <c r="AH405" s="418">
        <f t="shared" si="40"/>
        <v>10.042875</v>
      </c>
      <c r="AI405" s="418">
        <f t="shared" si="40"/>
        <v>9.875</v>
      </c>
      <c r="AJ405" s="418">
        <f t="shared" si="40"/>
        <v>10.084350000000001</v>
      </c>
      <c r="AK405" s="418">
        <f t="shared" si="40"/>
        <v>9.9303000000000008</v>
      </c>
      <c r="AL405" s="418">
        <f t="shared" si="40"/>
        <v>10.234450000000001</v>
      </c>
      <c r="AM405" s="498" t="s">
        <v>1805</v>
      </c>
      <c r="AN405" s="333" t="s">
        <v>3119</v>
      </c>
      <c r="AQ405" s="11"/>
      <c r="AR405" s="11"/>
    </row>
    <row r="406" spans="1:45" s="406" customFormat="1">
      <c r="A406" s="138"/>
      <c r="B406" s="55" t="s">
        <v>3210</v>
      </c>
      <c r="C406" s="55" t="s">
        <v>1374</v>
      </c>
      <c r="D406" s="55" t="s">
        <v>1375</v>
      </c>
      <c r="E406" s="55" t="s">
        <v>1927</v>
      </c>
      <c r="F406" s="55" t="s">
        <v>2960</v>
      </c>
      <c r="G406" s="55" t="s">
        <v>1931</v>
      </c>
      <c r="H406" s="55" t="s">
        <v>116</v>
      </c>
      <c r="I406" s="55" t="s">
        <v>2600</v>
      </c>
      <c r="J406" s="418">
        <v>35</v>
      </c>
      <c r="K406" s="296"/>
      <c r="L406" s="296"/>
      <c r="M406" s="296"/>
      <c r="N406" s="296"/>
      <c r="O406" s="296"/>
      <c r="P406" s="296"/>
      <c r="Q406" s="296"/>
      <c r="R406" s="296"/>
      <c r="S406" s="296"/>
      <c r="T406" s="296"/>
      <c r="U406" s="418">
        <f t="shared" ref="U406:AL406" si="41">INDEX(U$270:U$332,MATCH($D406,$D$270:$D$332,0))*$D$268</f>
        <v>0.12245</v>
      </c>
      <c r="V406" s="418">
        <f t="shared" si="41"/>
        <v>8.887500000000001E-2</v>
      </c>
      <c r="W406" s="418">
        <f t="shared" si="41"/>
        <v>7.702500000000001E-2</v>
      </c>
      <c r="X406" s="418">
        <f t="shared" si="41"/>
        <v>6.3200000000000006E-2</v>
      </c>
      <c r="Y406" s="418">
        <f t="shared" si="41"/>
        <v>5.9249999999999997E-2</v>
      </c>
      <c r="Z406" s="418">
        <f t="shared" si="41"/>
        <v>6.5175000000000011E-2</v>
      </c>
      <c r="AA406" s="418">
        <f t="shared" si="41"/>
        <v>5.1350000000000007E-2</v>
      </c>
      <c r="AB406" s="418">
        <f t="shared" si="41"/>
        <v>4.9375000000000002E-2</v>
      </c>
      <c r="AC406" s="418">
        <f t="shared" si="41"/>
        <v>5.5300000000000009E-2</v>
      </c>
      <c r="AD406" s="418">
        <f t="shared" si="41"/>
        <v>4.3450000000000003E-2</v>
      </c>
      <c r="AE406" s="418">
        <f t="shared" si="41"/>
        <v>2.9624999999999999E-2</v>
      </c>
      <c r="AF406" s="418">
        <f t="shared" si="41"/>
        <v>2.1725000000000001E-2</v>
      </c>
      <c r="AG406" s="418">
        <f t="shared" si="41"/>
        <v>1.3825000000000002E-2</v>
      </c>
      <c r="AH406" s="418">
        <f t="shared" si="41"/>
        <v>9.8750000000000018E-3</v>
      </c>
      <c r="AI406" s="418">
        <f t="shared" si="41"/>
        <v>7.9000000000000008E-3</v>
      </c>
      <c r="AJ406" s="418">
        <f t="shared" si="41"/>
        <v>7.9000000000000008E-3</v>
      </c>
      <c r="AK406" s="418">
        <f t="shared" si="41"/>
        <v>0</v>
      </c>
      <c r="AL406" s="418">
        <f t="shared" si="41"/>
        <v>0</v>
      </c>
      <c r="AM406" s="498" t="s">
        <v>1805</v>
      </c>
      <c r="AN406" s="333" t="s">
        <v>3119</v>
      </c>
      <c r="AQ406" s="11"/>
      <c r="AR406" s="11"/>
    </row>
    <row r="407" spans="1:45" s="406" customFormat="1">
      <c r="A407" s="138"/>
      <c r="B407" s="410"/>
      <c r="C407" s="55"/>
      <c r="D407" s="55"/>
      <c r="E407" s="138"/>
      <c r="F407" s="138"/>
      <c r="G407" s="138"/>
      <c r="H407" s="138"/>
      <c r="I407" s="138"/>
      <c r="J407" s="418"/>
      <c r="K407" s="501"/>
      <c r="L407" s="501"/>
      <c r="M407" s="501"/>
      <c r="N407" s="501"/>
      <c r="O407" s="501"/>
      <c r="P407" s="501"/>
      <c r="Q407" s="501"/>
      <c r="R407" s="501"/>
      <c r="S407" s="501"/>
      <c r="T407" s="501"/>
      <c r="U407" s="418"/>
      <c r="V407" s="418"/>
      <c r="W407" s="418"/>
      <c r="X407" s="418"/>
      <c r="Y407" s="418"/>
      <c r="Z407" s="418"/>
      <c r="AA407" s="418"/>
      <c r="AB407" s="418"/>
      <c r="AC407" s="418"/>
      <c r="AD407" s="418"/>
      <c r="AE407" s="418"/>
      <c r="AF407" s="418"/>
      <c r="AG407" s="418"/>
      <c r="AH407" s="418"/>
      <c r="AI407" s="418"/>
      <c r="AJ407" s="418"/>
      <c r="AK407" s="418"/>
      <c r="AL407" s="418"/>
      <c r="AM407" s="333"/>
      <c r="AN407" s="333"/>
      <c r="AQ407" s="11"/>
      <c r="AR407" s="11"/>
    </row>
    <row r="408" spans="1:45" s="406" customFormat="1">
      <c r="A408" s="138"/>
      <c r="C408" s="55"/>
      <c r="D408" s="55"/>
      <c r="E408" s="138"/>
      <c r="F408" s="138"/>
      <c r="G408" s="138"/>
      <c r="H408" s="138"/>
      <c r="I408" s="138"/>
      <c r="J408" s="418"/>
      <c r="K408" s="501"/>
      <c r="L408" s="501"/>
      <c r="M408" s="501"/>
      <c r="N408" s="501"/>
      <c r="O408" s="501"/>
      <c r="P408" s="501"/>
      <c r="Q408" s="501"/>
      <c r="R408" s="501"/>
      <c r="S408" s="501"/>
      <c r="T408" s="501"/>
      <c r="U408" s="418"/>
      <c r="V408" s="418"/>
      <c r="W408" s="418"/>
      <c r="X408" s="418"/>
      <c r="Y408" s="418"/>
      <c r="Z408" s="418"/>
      <c r="AA408" s="418"/>
      <c r="AB408" s="418"/>
      <c r="AC408" s="418"/>
      <c r="AD408" s="418"/>
      <c r="AE408" s="418"/>
      <c r="AF408" s="418"/>
      <c r="AG408" s="418"/>
      <c r="AH408" s="418"/>
      <c r="AI408" s="418"/>
      <c r="AJ408" s="418"/>
      <c r="AK408" s="418"/>
      <c r="AL408" s="418"/>
      <c r="AM408" s="333"/>
      <c r="AN408" s="333"/>
      <c r="AQ408" s="11"/>
      <c r="AR408" s="11"/>
    </row>
    <row r="409" spans="1:45" s="406" customFormat="1">
      <c r="A409" s="138"/>
      <c r="B409" s="329"/>
      <c r="C409" s="55"/>
      <c r="D409" s="55"/>
      <c r="E409" s="138"/>
      <c r="F409" s="138"/>
      <c r="G409" s="138"/>
      <c r="H409" s="138"/>
      <c r="I409" s="138"/>
      <c r="J409" s="418"/>
      <c r="K409" s="501"/>
      <c r="L409" s="501"/>
      <c r="M409" s="501"/>
      <c r="N409" s="501"/>
      <c r="O409" s="501"/>
      <c r="P409" s="501"/>
      <c r="Q409" s="501"/>
      <c r="R409" s="501"/>
      <c r="S409" s="501"/>
      <c r="T409" s="501"/>
      <c r="U409" s="418"/>
      <c r="V409" s="418"/>
      <c r="W409" s="418"/>
      <c r="X409" s="418"/>
      <c r="Y409" s="418"/>
      <c r="Z409" s="418"/>
      <c r="AA409" s="418"/>
      <c r="AB409" s="418"/>
      <c r="AC409" s="418"/>
      <c r="AD409" s="418"/>
      <c r="AE409" s="418"/>
      <c r="AF409" s="418"/>
      <c r="AG409" s="418"/>
      <c r="AH409" s="418"/>
      <c r="AI409" s="418"/>
      <c r="AJ409" s="418"/>
      <c r="AK409" s="418"/>
      <c r="AL409" s="418"/>
      <c r="AM409" s="333"/>
      <c r="AN409" s="333"/>
      <c r="AQ409" s="11"/>
      <c r="AR409" s="11"/>
    </row>
    <row r="410" spans="1:45">
      <c r="A410" s="5"/>
      <c r="B410" s="327"/>
      <c r="C410" s="138"/>
      <c r="D410" s="138"/>
      <c r="E410" s="5"/>
      <c r="F410" s="5"/>
      <c r="G410" s="5"/>
      <c r="H410" s="5"/>
      <c r="I410" s="5"/>
      <c r="J410" s="104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173"/>
      <c r="AN410" s="341"/>
      <c r="AP410" s="354"/>
      <c r="AQ410" s="11"/>
      <c r="AR410" s="11"/>
      <c r="AS410" s="354"/>
    </row>
    <row r="411" spans="1:45" ht="12.75" customHeight="1">
      <c r="A411" s="22"/>
      <c r="B411" s="24" t="s">
        <v>2727</v>
      </c>
      <c r="C411" s="22"/>
      <c r="D411" s="22"/>
      <c r="E411" s="22"/>
      <c r="F411" s="22"/>
      <c r="G411" s="22"/>
      <c r="H411" s="22"/>
      <c r="I411" s="22"/>
      <c r="J411" s="22"/>
      <c r="K411" s="25"/>
      <c r="L411" s="25"/>
      <c r="M411" s="25"/>
      <c r="N411" s="25"/>
      <c r="O411" s="25"/>
      <c r="P411" s="25"/>
      <c r="Q411" s="25"/>
      <c r="R411" s="25"/>
      <c r="S411" s="25"/>
      <c r="T411" s="25"/>
      <c r="U411" s="25"/>
      <c r="V411" s="25"/>
      <c r="W411" s="25"/>
      <c r="X411" s="25"/>
      <c r="Y411" s="25"/>
      <c r="Z411" s="25"/>
      <c r="AA411" s="25"/>
      <c r="AB411" s="25"/>
      <c r="AC411" s="25"/>
      <c r="AD411" s="25"/>
      <c r="AE411" s="25"/>
      <c r="AF411" s="25"/>
      <c r="AG411" s="25"/>
      <c r="AH411" s="25"/>
      <c r="AI411" s="25"/>
      <c r="AJ411" s="25"/>
      <c r="AK411" s="25"/>
      <c r="AL411" s="25"/>
      <c r="AM411" s="22"/>
      <c r="AN411" s="333"/>
      <c r="AP411" s="354"/>
      <c r="AQ411" s="11"/>
      <c r="AR411" s="11"/>
      <c r="AS411" s="354"/>
    </row>
    <row r="412" spans="1:45" ht="12.75" customHeight="1">
      <c r="A412" s="35"/>
      <c r="B412" s="34" t="s">
        <v>399</v>
      </c>
      <c r="C412" s="34" t="s">
        <v>898</v>
      </c>
      <c r="D412" s="34"/>
      <c r="E412" s="34"/>
      <c r="F412" s="34"/>
      <c r="G412" s="34"/>
      <c r="H412" s="34"/>
      <c r="I412" s="34"/>
      <c r="J412" s="34"/>
      <c r="K412" s="32">
        <v>2003</v>
      </c>
      <c r="L412" s="32">
        <v>2004</v>
      </c>
      <c r="M412" s="32">
        <v>2005</v>
      </c>
      <c r="N412" s="32">
        <v>2006</v>
      </c>
      <c r="O412" s="32">
        <v>2007</v>
      </c>
      <c r="P412" s="32">
        <v>2008</v>
      </c>
      <c r="Q412" s="32">
        <v>2009</v>
      </c>
      <c r="R412" s="32">
        <v>2010</v>
      </c>
      <c r="S412" s="32">
        <v>2011</v>
      </c>
      <c r="T412" s="32">
        <v>2012</v>
      </c>
      <c r="U412" s="32">
        <v>2013</v>
      </c>
      <c r="V412" s="32">
        <v>2014</v>
      </c>
      <c r="W412" s="32">
        <v>2015</v>
      </c>
      <c r="X412" s="32">
        <v>2016</v>
      </c>
      <c r="Y412" s="32">
        <v>2017</v>
      </c>
      <c r="Z412" s="32">
        <v>2018</v>
      </c>
      <c r="AA412" s="32">
        <v>2019</v>
      </c>
      <c r="AB412" s="32">
        <v>2020</v>
      </c>
      <c r="AC412" s="32">
        <v>2021</v>
      </c>
      <c r="AD412" s="32">
        <v>2022</v>
      </c>
      <c r="AE412" s="32">
        <v>2023</v>
      </c>
      <c r="AF412" s="32">
        <v>2024</v>
      </c>
      <c r="AG412" s="32">
        <v>2025</v>
      </c>
      <c r="AH412" s="32">
        <v>2026</v>
      </c>
      <c r="AI412" s="32">
        <v>2027</v>
      </c>
      <c r="AJ412" s="32">
        <v>2028</v>
      </c>
      <c r="AK412" s="32">
        <v>2029</v>
      </c>
      <c r="AL412" s="32">
        <v>2030</v>
      </c>
      <c r="AM412" s="35"/>
      <c r="AN412" s="361"/>
      <c r="AP412" s="354"/>
      <c r="AQ412" s="11"/>
      <c r="AR412" s="11"/>
      <c r="AS412" s="354"/>
    </row>
    <row r="413" spans="1:45" ht="12.75" customHeight="1">
      <c r="A413" s="24"/>
      <c r="B413" s="24" t="s">
        <v>895</v>
      </c>
      <c r="C413" s="24"/>
      <c r="D413" s="24"/>
      <c r="E413" s="24"/>
      <c r="F413" s="24"/>
      <c r="G413" s="24"/>
      <c r="H413" s="24"/>
      <c r="I413" s="24"/>
      <c r="J413" s="24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13"/>
      <c r="W413" s="13"/>
      <c r="X413" s="13"/>
      <c r="Y413" s="13"/>
      <c r="Z413" s="13"/>
      <c r="AA413" s="13"/>
      <c r="AB413" s="13"/>
      <c r="AC413" s="13"/>
      <c r="AD413" s="13"/>
      <c r="AE413" s="13"/>
      <c r="AF413" s="13"/>
      <c r="AG413" s="13"/>
      <c r="AH413" s="13"/>
      <c r="AI413" s="13"/>
      <c r="AJ413" s="13"/>
      <c r="AK413" s="13"/>
      <c r="AL413" s="207"/>
      <c r="AM413" s="22"/>
      <c r="AN413" s="333"/>
      <c r="AP413" s="354"/>
      <c r="AQ413" s="11"/>
      <c r="AR413" s="11"/>
      <c r="AS413" s="354"/>
    </row>
    <row r="414" spans="1:45">
      <c r="A414" s="5"/>
      <c r="B414" s="27" t="s">
        <v>542</v>
      </c>
      <c r="C414" s="63" t="s">
        <v>1473</v>
      </c>
      <c r="D414" s="296"/>
      <c r="E414" s="296"/>
      <c r="F414" s="296"/>
      <c r="G414" s="296"/>
      <c r="H414" s="296"/>
      <c r="I414" s="296"/>
      <c r="J414" s="296"/>
      <c r="K414" s="5">
        <f t="shared" ref="K414:T423" si="42">SUMIF($AM$10:$AM$409,$B414,K$10:K$409)</f>
        <v>0</v>
      </c>
      <c r="L414" s="5">
        <f t="shared" si="42"/>
        <v>0</v>
      </c>
      <c r="M414" s="5">
        <f t="shared" si="42"/>
        <v>0</v>
      </c>
      <c r="N414" s="5">
        <f t="shared" si="42"/>
        <v>12.56</v>
      </c>
      <c r="O414" s="5">
        <f t="shared" si="42"/>
        <v>16.559999999999999</v>
      </c>
      <c r="P414" s="5">
        <f t="shared" si="42"/>
        <v>13.83</v>
      </c>
      <c r="Q414" s="5">
        <f t="shared" si="42"/>
        <v>18.64</v>
      </c>
      <c r="R414" s="5">
        <f t="shared" si="42"/>
        <v>12.43</v>
      </c>
      <c r="S414" s="5">
        <f t="shared" si="42"/>
        <v>10.07</v>
      </c>
      <c r="T414" s="5">
        <f t="shared" si="42"/>
        <v>9.61</v>
      </c>
      <c r="U414" s="5">
        <f t="shared" ref="U414:AD423" si="43">SUMIF($AM$10:$AM$409,$B414,U$10:U$409)</f>
        <v>6.42</v>
      </c>
      <c r="V414" s="5">
        <f t="shared" si="43"/>
        <v>8.99</v>
      </c>
      <c r="W414" s="5">
        <f t="shared" si="43"/>
        <v>13.33</v>
      </c>
      <c r="X414" s="5">
        <f t="shared" si="43"/>
        <v>12.77</v>
      </c>
      <c r="Y414" s="5">
        <f t="shared" si="43"/>
        <v>18.14</v>
      </c>
      <c r="Z414" s="5">
        <f t="shared" si="43"/>
        <v>18.18</v>
      </c>
      <c r="AA414" s="5">
        <f t="shared" si="43"/>
        <v>18.239999999999998</v>
      </c>
      <c r="AB414" s="5">
        <f t="shared" si="43"/>
        <v>17.940000000000001</v>
      </c>
      <c r="AC414" s="5">
        <f t="shared" si="43"/>
        <v>14.5</v>
      </c>
      <c r="AD414" s="5">
        <f t="shared" si="43"/>
        <v>14.27</v>
      </c>
      <c r="AE414" s="5">
        <f t="shared" ref="AE414:AL423" si="44">SUMIF($AM$10:$AM$409,$B414,AE$10:AE$409)</f>
        <v>12.96</v>
      </c>
      <c r="AF414" s="5">
        <f t="shared" si="44"/>
        <v>13.49</v>
      </c>
      <c r="AG414" s="5">
        <f t="shared" si="44"/>
        <v>12.28</v>
      </c>
      <c r="AH414" s="5">
        <f t="shared" si="44"/>
        <v>11.26</v>
      </c>
      <c r="AI414" s="5">
        <f t="shared" si="44"/>
        <v>10.51</v>
      </c>
      <c r="AJ414" s="5">
        <f t="shared" si="44"/>
        <v>0</v>
      </c>
      <c r="AK414" s="5">
        <f t="shared" si="44"/>
        <v>0</v>
      </c>
      <c r="AL414" s="175">
        <f t="shared" si="44"/>
        <v>0</v>
      </c>
      <c r="AM414" s="537"/>
      <c r="AN414" s="341"/>
      <c r="AP414" s="354"/>
      <c r="AQ414" s="11"/>
      <c r="AR414" s="11"/>
      <c r="AS414" s="354"/>
    </row>
    <row r="415" spans="1:45">
      <c r="A415" s="5"/>
      <c r="B415" s="27" t="s">
        <v>544</v>
      </c>
      <c r="C415" s="63" t="s">
        <v>1934</v>
      </c>
      <c r="D415" s="296"/>
      <c r="E415" s="296"/>
      <c r="F415" s="296"/>
      <c r="G415" s="296"/>
      <c r="H415" s="296"/>
      <c r="I415" s="296"/>
      <c r="J415" s="296"/>
      <c r="K415" s="5">
        <f t="shared" si="42"/>
        <v>31.29</v>
      </c>
      <c r="L415" s="5">
        <f t="shared" si="42"/>
        <v>50.449999999999996</v>
      </c>
      <c r="M415" s="5">
        <f t="shared" si="42"/>
        <v>115.1</v>
      </c>
      <c r="N415" s="5">
        <f t="shared" si="42"/>
        <v>124.82999999999998</v>
      </c>
      <c r="O415" s="5">
        <f t="shared" si="42"/>
        <v>163.27999999999997</v>
      </c>
      <c r="P415" s="5">
        <f t="shared" si="42"/>
        <v>200.28</v>
      </c>
      <c r="Q415" s="5">
        <f t="shared" si="42"/>
        <v>211.08999999999997</v>
      </c>
      <c r="R415" s="5">
        <f t="shared" si="42"/>
        <v>164.73</v>
      </c>
      <c r="S415" s="5">
        <f t="shared" si="42"/>
        <v>123.45</v>
      </c>
      <c r="T415" s="5">
        <f t="shared" si="42"/>
        <v>155</v>
      </c>
      <c r="U415" s="5">
        <f t="shared" si="43"/>
        <v>190.09</v>
      </c>
      <c r="V415" s="5">
        <f t="shared" si="43"/>
        <v>194.70999999999995</v>
      </c>
      <c r="W415" s="5">
        <f t="shared" si="43"/>
        <v>219.66999999999996</v>
      </c>
      <c r="X415" s="5">
        <f t="shared" si="43"/>
        <v>210.61999999999998</v>
      </c>
      <c r="Y415" s="5">
        <f t="shared" si="43"/>
        <v>187.63</v>
      </c>
      <c r="Z415" s="5">
        <f t="shared" si="43"/>
        <v>170.45</v>
      </c>
      <c r="AA415" s="5">
        <f t="shared" si="43"/>
        <v>148.31000000000006</v>
      </c>
      <c r="AB415" s="5">
        <f t="shared" si="43"/>
        <v>133.56</v>
      </c>
      <c r="AC415" s="5">
        <f t="shared" si="43"/>
        <v>113.34999999999998</v>
      </c>
      <c r="AD415" s="5">
        <f t="shared" si="43"/>
        <v>92.86999999999999</v>
      </c>
      <c r="AE415" s="5">
        <f t="shared" si="44"/>
        <v>74.419999999999987</v>
      </c>
      <c r="AF415" s="5">
        <f t="shared" si="44"/>
        <v>56.890000000000008</v>
      </c>
      <c r="AG415" s="5">
        <f t="shared" si="44"/>
        <v>43.48</v>
      </c>
      <c r="AH415" s="5">
        <f t="shared" si="44"/>
        <v>29.95</v>
      </c>
      <c r="AI415" s="5">
        <f t="shared" si="44"/>
        <v>18.55</v>
      </c>
      <c r="AJ415" s="5">
        <f t="shared" si="44"/>
        <v>12.84</v>
      </c>
      <c r="AK415" s="5">
        <f t="shared" si="44"/>
        <v>9.5299999999999994</v>
      </c>
      <c r="AL415" s="175">
        <f t="shared" si="44"/>
        <v>4.43</v>
      </c>
      <c r="AM415" s="537"/>
      <c r="AN415" s="341"/>
      <c r="AP415" s="354"/>
      <c r="AQ415" s="11"/>
      <c r="AR415" s="11"/>
      <c r="AS415" s="354"/>
    </row>
    <row r="416" spans="1:45">
      <c r="A416" s="5"/>
      <c r="B416" s="27" t="s">
        <v>3118</v>
      </c>
      <c r="C416" s="63" t="s">
        <v>2965</v>
      </c>
      <c r="D416" s="296"/>
      <c r="E416" s="296"/>
      <c r="F416" s="296"/>
      <c r="G416" s="296"/>
      <c r="H416" s="296"/>
      <c r="I416" s="296"/>
      <c r="J416" s="296"/>
      <c r="K416" s="5">
        <f t="shared" si="42"/>
        <v>36.17</v>
      </c>
      <c r="L416" s="5">
        <f t="shared" si="42"/>
        <v>30.78</v>
      </c>
      <c r="M416" s="5">
        <f t="shared" si="42"/>
        <v>31.119999999999997</v>
      </c>
      <c r="N416" s="5">
        <f t="shared" si="42"/>
        <v>28.39</v>
      </c>
      <c r="O416" s="5">
        <f t="shared" si="42"/>
        <v>28.99</v>
      </c>
      <c r="P416" s="5">
        <f t="shared" si="42"/>
        <v>25.01</v>
      </c>
      <c r="Q416" s="5">
        <f t="shared" si="42"/>
        <v>25.86</v>
      </c>
      <c r="R416" s="5">
        <f t="shared" si="42"/>
        <v>25.269999999999996</v>
      </c>
      <c r="S416" s="5">
        <f t="shared" si="42"/>
        <v>18.3</v>
      </c>
      <c r="T416" s="5">
        <f t="shared" si="42"/>
        <v>20.14</v>
      </c>
      <c r="U416" s="5">
        <f t="shared" si="43"/>
        <v>19</v>
      </c>
      <c r="V416" s="5">
        <f t="shared" si="43"/>
        <v>16.989999999999998</v>
      </c>
      <c r="W416" s="5">
        <f t="shared" si="43"/>
        <v>15.26</v>
      </c>
      <c r="X416" s="5">
        <f t="shared" si="43"/>
        <v>15.809999999999999</v>
      </c>
      <c r="Y416" s="5">
        <f t="shared" si="43"/>
        <v>15.75</v>
      </c>
      <c r="Z416" s="5">
        <f t="shared" si="43"/>
        <v>14.35</v>
      </c>
      <c r="AA416" s="5">
        <f t="shared" si="43"/>
        <v>12.899999999999999</v>
      </c>
      <c r="AB416" s="5">
        <f t="shared" si="43"/>
        <v>12.290000000000001</v>
      </c>
      <c r="AC416" s="5">
        <f t="shared" si="43"/>
        <v>10.940000000000001</v>
      </c>
      <c r="AD416" s="5">
        <f t="shared" si="43"/>
        <v>9.8899999999999988</v>
      </c>
      <c r="AE416" s="5">
        <f t="shared" si="44"/>
        <v>8.26</v>
      </c>
      <c r="AF416" s="5">
        <f t="shared" si="44"/>
        <v>7.3500000000000005</v>
      </c>
      <c r="AG416" s="5">
        <f t="shared" si="44"/>
        <v>6.58</v>
      </c>
      <c r="AH416" s="5">
        <f t="shared" si="44"/>
        <v>5.93</v>
      </c>
      <c r="AI416" s="5">
        <f t="shared" si="44"/>
        <v>5.27</v>
      </c>
      <c r="AJ416" s="5">
        <f t="shared" si="44"/>
        <v>4.6399999999999997</v>
      </c>
      <c r="AK416" s="5">
        <f t="shared" si="44"/>
        <v>3.38</v>
      </c>
      <c r="AL416" s="175">
        <f t="shared" si="44"/>
        <v>2.91</v>
      </c>
      <c r="AM416" s="537"/>
      <c r="AN416" s="341"/>
      <c r="AP416" s="354"/>
      <c r="AQ416" s="11"/>
      <c r="AR416" s="11"/>
      <c r="AS416" s="354"/>
    </row>
    <row r="417" spans="1:45">
      <c r="A417" s="5"/>
      <c r="B417" s="27" t="s">
        <v>3120</v>
      </c>
      <c r="C417" s="63" t="s">
        <v>726</v>
      </c>
      <c r="D417" s="296"/>
      <c r="E417" s="296"/>
      <c r="F417" s="296"/>
      <c r="G417" s="296"/>
      <c r="H417" s="296"/>
      <c r="I417" s="296"/>
      <c r="J417" s="296"/>
      <c r="K417" s="5">
        <f t="shared" si="42"/>
        <v>39.01</v>
      </c>
      <c r="L417" s="5">
        <f t="shared" si="42"/>
        <v>39.090000000000003</v>
      </c>
      <c r="M417" s="5">
        <f t="shared" si="42"/>
        <v>75.37</v>
      </c>
      <c r="N417" s="5">
        <f t="shared" si="42"/>
        <v>143.1</v>
      </c>
      <c r="O417" s="5">
        <f t="shared" si="42"/>
        <v>205.18</v>
      </c>
      <c r="P417" s="5">
        <f t="shared" si="42"/>
        <v>95.58</v>
      </c>
      <c r="Q417" s="5">
        <f t="shared" si="42"/>
        <v>115.8</v>
      </c>
      <c r="R417" s="5">
        <f t="shared" si="42"/>
        <v>124.39</v>
      </c>
      <c r="S417" s="5">
        <f t="shared" si="42"/>
        <v>100.44999999999999</v>
      </c>
      <c r="T417" s="5">
        <f t="shared" si="42"/>
        <v>97.76</v>
      </c>
      <c r="U417" s="5">
        <f t="shared" si="43"/>
        <v>102.42999999999999</v>
      </c>
      <c r="V417" s="5">
        <f t="shared" si="43"/>
        <v>104.36999999999999</v>
      </c>
      <c r="W417" s="5">
        <f t="shared" si="43"/>
        <v>127.1</v>
      </c>
      <c r="X417" s="5">
        <f t="shared" si="43"/>
        <v>123.38</v>
      </c>
      <c r="Y417" s="5">
        <f t="shared" si="43"/>
        <v>91.240000000000009</v>
      </c>
      <c r="Z417" s="5">
        <f t="shared" si="43"/>
        <v>88.53</v>
      </c>
      <c r="AA417" s="5">
        <f t="shared" si="43"/>
        <v>94.929999999999993</v>
      </c>
      <c r="AB417" s="5">
        <f t="shared" si="43"/>
        <v>99.330000000000013</v>
      </c>
      <c r="AC417" s="5">
        <f t="shared" si="43"/>
        <v>99.1</v>
      </c>
      <c r="AD417" s="5">
        <f t="shared" si="43"/>
        <v>96.01</v>
      </c>
      <c r="AE417" s="5">
        <f t="shared" si="44"/>
        <v>94.72</v>
      </c>
      <c r="AF417" s="5">
        <f t="shared" si="44"/>
        <v>93.34</v>
      </c>
      <c r="AG417" s="5">
        <f t="shared" si="44"/>
        <v>89.679999999999993</v>
      </c>
      <c r="AH417" s="5">
        <f t="shared" si="44"/>
        <v>80.8</v>
      </c>
      <c r="AI417" s="5">
        <f t="shared" si="44"/>
        <v>75.58</v>
      </c>
      <c r="AJ417" s="5">
        <f t="shared" si="44"/>
        <v>70.680000000000007</v>
      </c>
      <c r="AK417" s="5">
        <f t="shared" si="44"/>
        <v>66.33</v>
      </c>
      <c r="AL417" s="175">
        <f t="shared" si="44"/>
        <v>62.180000000000007</v>
      </c>
      <c r="AM417" s="537"/>
      <c r="AN417" s="341"/>
      <c r="AP417" s="354"/>
      <c r="AQ417" s="11"/>
      <c r="AR417" s="11"/>
      <c r="AS417" s="354"/>
    </row>
    <row r="418" spans="1:45" ht="12.75" customHeight="1">
      <c r="A418" s="5"/>
      <c r="B418" s="27" t="s">
        <v>2097</v>
      </c>
      <c r="C418" s="63" t="s">
        <v>2502</v>
      </c>
      <c r="D418" s="296"/>
      <c r="E418" s="296"/>
      <c r="F418" s="296"/>
      <c r="G418" s="296"/>
      <c r="H418" s="296"/>
      <c r="I418" s="296"/>
      <c r="J418" s="296"/>
      <c r="K418" s="5">
        <f t="shared" si="42"/>
        <v>0</v>
      </c>
      <c r="L418" s="5">
        <f t="shared" si="42"/>
        <v>0</v>
      </c>
      <c r="M418" s="5">
        <f t="shared" si="42"/>
        <v>0</v>
      </c>
      <c r="N418" s="5">
        <f t="shared" si="42"/>
        <v>0</v>
      </c>
      <c r="O418" s="5">
        <f t="shared" si="42"/>
        <v>0</v>
      </c>
      <c r="P418" s="5">
        <f t="shared" si="42"/>
        <v>0</v>
      </c>
      <c r="Q418" s="5">
        <f t="shared" si="42"/>
        <v>0</v>
      </c>
      <c r="R418" s="5">
        <f t="shared" si="42"/>
        <v>0</v>
      </c>
      <c r="S418" s="5">
        <f t="shared" si="42"/>
        <v>0</v>
      </c>
      <c r="T418" s="5">
        <f t="shared" si="42"/>
        <v>0</v>
      </c>
      <c r="U418" s="5">
        <f t="shared" si="43"/>
        <v>0</v>
      </c>
      <c r="V418" s="5">
        <f t="shared" si="43"/>
        <v>0</v>
      </c>
      <c r="W418" s="5">
        <f t="shared" si="43"/>
        <v>158.4</v>
      </c>
      <c r="X418" s="5">
        <f t="shared" si="43"/>
        <v>165.1</v>
      </c>
      <c r="Y418" s="5">
        <f t="shared" si="43"/>
        <v>167.07</v>
      </c>
      <c r="Z418" s="5">
        <f t="shared" si="43"/>
        <v>169.07</v>
      </c>
      <c r="AA418" s="5">
        <f t="shared" si="43"/>
        <v>169.34</v>
      </c>
      <c r="AB418" s="5">
        <f t="shared" si="43"/>
        <v>170.17</v>
      </c>
      <c r="AC418" s="5">
        <f t="shared" si="43"/>
        <v>172.44</v>
      </c>
      <c r="AD418" s="5">
        <f t="shared" si="43"/>
        <v>174.21</v>
      </c>
      <c r="AE418" s="5">
        <f t="shared" si="44"/>
        <v>177</v>
      </c>
      <c r="AF418" s="5">
        <f t="shared" si="44"/>
        <v>176.79</v>
      </c>
      <c r="AG418" s="5">
        <f t="shared" si="44"/>
        <v>175.8</v>
      </c>
      <c r="AH418" s="5">
        <f t="shared" si="44"/>
        <v>174.88</v>
      </c>
      <c r="AI418" s="5">
        <f t="shared" si="44"/>
        <v>174.03</v>
      </c>
      <c r="AJ418" s="5">
        <f t="shared" si="44"/>
        <v>173.23</v>
      </c>
      <c r="AK418" s="5">
        <f t="shared" si="44"/>
        <v>172.4</v>
      </c>
      <c r="AL418" s="175">
        <f t="shared" si="44"/>
        <v>171.61</v>
      </c>
      <c r="AM418" s="537"/>
      <c r="AN418" s="341"/>
      <c r="AP418" s="354"/>
      <c r="AQ418" s="11"/>
      <c r="AR418" s="11"/>
      <c r="AS418" s="354"/>
    </row>
    <row r="419" spans="1:45">
      <c r="A419" s="5"/>
      <c r="B419" s="27" t="s">
        <v>211</v>
      </c>
      <c r="C419" s="63" t="s">
        <v>2428</v>
      </c>
      <c r="D419" s="296"/>
      <c r="E419" s="296"/>
      <c r="F419" s="296"/>
      <c r="G419" s="296"/>
      <c r="H419" s="296"/>
      <c r="I419" s="296"/>
      <c r="J419" s="296"/>
      <c r="K419" s="5">
        <f t="shared" si="42"/>
        <v>0</v>
      </c>
      <c r="L419" s="5">
        <f t="shared" si="42"/>
        <v>0</v>
      </c>
      <c r="M419" s="5">
        <f t="shared" si="42"/>
        <v>0</v>
      </c>
      <c r="N419" s="5">
        <f t="shared" si="42"/>
        <v>0</v>
      </c>
      <c r="O419" s="5">
        <f t="shared" si="42"/>
        <v>0</v>
      </c>
      <c r="P419" s="5">
        <f t="shared" si="42"/>
        <v>0</v>
      </c>
      <c r="Q419" s="5">
        <f t="shared" si="42"/>
        <v>0</v>
      </c>
      <c r="R419" s="5">
        <f t="shared" si="42"/>
        <v>0</v>
      </c>
      <c r="S419" s="5">
        <f t="shared" si="42"/>
        <v>6.29</v>
      </c>
      <c r="T419" s="5">
        <f t="shared" si="42"/>
        <v>7.23</v>
      </c>
      <c r="U419" s="5">
        <f t="shared" si="43"/>
        <v>0</v>
      </c>
      <c r="V419" s="5">
        <f t="shared" si="43"/>
        <v>0</v>
      </c>
      <c r="W419" s="5">
        <f t="shared" si="43"/>
        <v>0</v>
      </c>
      <c r="X419" s="5">
        <f t="shared" si="43"/>
        <v>0</v>
      </c>
      <c r="Y419" s="5">
        <f t="shared" si="43"/>
        <v>0</v>
      </c>
      <c r="Z419" s="5">
        <f t="shared" si="43"/>
        <v>0</v>
      </c>
      <c r="AA419" s="5">
        <f t="shared" si="43"/>
        <v>0</v>
      </c>
      <c r="AB419" s="5">
        <f t="shared" si="43"/>
        <v>0</v>
      </c>
      <c r="AC419" s="5">
        <f t="shared" si="43"/>
        <v>0</v>
      </c>
      <c r="AD419" s="5">
        <f t="shared" si="43"/>
        <v>0</v>
      </c>
      <c r="AE419" s="5">
        <f t="shared" si="44"/>
        <v>0</v>
      </c>
      <c r="AF419" s="5">
        <f t="shared" si="44"/>
        <v>0</v>
      </c>
      <c r="AG419" s="5">
        <f t="shared" si="44"/>
        <v>0</v>
      </c>
      <c r="AH419" s="5">
        <f t="shared" si="44"/>
        <v>0</v>
      </c>
      <c r="AI419" s="5">
        <f t="shared" si="44"/>
        <v>0</v>
      </c>
      <c r="AJ419" s="5">
        <f t="shared" si="44"/>
        <v>0</v>
      </c>
      <c r="AK419" s="5">
        <f t="shared" si="44"/>
        <v>0</v>
      </c>
      <c r="AL419" s="175">
        <f t="shared" si="44"/>
        <v>0</v>
      </c>
      <c r="AM419" s="537"/>
      <c r="AN419" s="341"/>
      <c r="AP419" s="354"/>
      <c r="AQ419" s="11"/>
      <c r="AR419" s="11"/>
      <c r="AS419" s="354"/>
    </row>
    <row r="420" spans="1:45">
      <c r="A420" s="5"/>
      <c r="B420" s="27" t="s">
        <v>2645</v>
      </c>
      <c r="C420" s="63" t="s">
        <v>727</v>
      </c>
      <c r="D420" s="296"/>
      <c r="E420" s="296"/>
      <c r="F420" s="296"/>
      <c r="G420" s="296"/>
      <c r="H420" s="296"/>
      <c r="I420" s="296"/>
      <c r="J420" s="296"/>
      <c r="K420" s="5">
        <f t="shared" si="42"/>
        <v>12.25</v>
      </c>
      <c r="L420" s="5">
        <f t="shared" si="42"/>
        <v>10.25</v>
      </c>
      <c r="M420" s="5">
        <f t="shared" si="42"/>
        <v>9.15</v>
      </c>
      <c r="N420" s="5">
        <f t="shared" si="42"/>
        <v>7.31</v>
      </c>
      <c r="O420" s="5">
        <f t="shared" si="42"/>
        <v>7.39</v>
      </c>
      <c r="P420" s="5">
        <f t="shared" si="42"/>
        <v>8.25</v>
      </c>
      <c r="Q420" s="5">
        <f t="shared" si="42"/>
        <v>7.32</v>
      </c>
      <c r="R420" s="5">
        <f t="shared" si="42"/>
        <v>6.5</v>
      </c>
      <c r="S420" s="5">
        <f t="shared" si="42"/>
        <v>2</v>
      </c>
      <c r="T420" s="5">
        <f t="shared" si="42"/>
        <v>1</v>
      </c>
      <c r="U420" s="5">
        <f t="shared" si="43"/>
        <v>0.02</v>
      </c>
      <c r="V420" s="5">
        <f t="shared" si="43"/>
        <v>0</v>
      </c>
      <c r="W420" s="5">
        <f t="shared" si="43"/>
        <v>0</v>
      </c>
      <c r="X420" s="5">
        <f t="shared" si="43"/>
        <v>0</v>
      </c>
      <c r="Y420" s="5">
        <f t="shared" si="43"/>
        <v>0</v>
      </c>
      <c r="Z420" s="5">
        <f t="shared" si="43"/>
        <v>0</v>
      </c>
      <c r="AA420" s="5">
        <f t="shared" si="43"/>
        <v>0</v>
      </c>
      <c r="AB420" s="5">
        <f t="shared" si="43"/>
        <v>0</v>
      </c>
      <c r="AC420" s="5">
        <f t="shared" si="43"/>
        <v>0</v>
      </c>
      <c r="AD420" s="5">
        <f t="shared" si="43"/>
        <v>0</v>
      </c>
      <c r="AE420" s="5">
        <f t="shared" si="44"/>
        <v>0</v>
      </c>
      <c r="AF420" s="5">
        <f t="shared" si="44"/>
        <v>0</v>
      </c>
      <c r="AG420" s="5">
        <f t="shared" si="44"/>
        <v>0</v>
      </c>
      <c r="AH420" s="5">
        <f t="shared" si="44"/>
        <v>0</v>
      </c>
      <c r="AI420" s="5">
        <f t="shared" si="44"/>
        <v>0</v>
      </c>
      <c r="AJ420" s="5">
        <f t="shared" si="44"/>
        <v>0</v>
      </c>
      <c r="AK420" s="5">
        <f t="shared" si="44"/>
        <v>0</v>
      </c>
      <c r="AL420" s="175">
        <f t="shared" si="44"/>
        <v>0</v>
      </c>
      <c r="AM420" s="537"/>
      <c r="AN420" s="341"/>
      <c r="AP420" s="354"/>
      <c r="AQ420" s="11"/>
      <c r="AR420" s="11"/>
      <c r="AS420" s="354"/>
    </row>
    <row r="421" spans="1:45">
      <c r="A421" s="5"/>
      <c r="B421" s="103" t="s">
        <v>3111</v>
      </c>
      <c r="C421" s="63" t="s">
        <v>727</v>
      </c>
      <c r="D421" s="296"/>
      <c r="E421" s="296"/>
      <c r="F421" s="296"/>
      <c r="G421" s="296"/>
      <c r="H421" s="296"/>
      <c r="I421" s="296"/>
      <c r="J421" s="296"/>
      <c r="K421" s="5">
        <f t="shared" si="42"/>
        <v>0.74</v>
      </c>
      <c r="L421" s="5">
        <f t="shared" si="42"/>
        <v>0.75</v>
      </c>
      <c r="M421" s="5">
        <f t="shared" si="42"/>
        <v>0.84</v>
      </c>
      <c r="N421" s="5">
        <f t="shared" si="42"/>
        <v>0.7</v>
      </c>
      <c r="O421" s="5">
        <f t="shared" si="42"/>
        <v>0.73</v>
      </c>
      <c r="P421" s="5">
        <f t="shared" si="42"/>
        <v>0.76</v>
      </c>
      <c r="Q421" s="5">
        <f t="shared" si="42"/>
        <v>0.72</v>
      </c>
      <c r="R421" s="5">
        <f t="shared" si="42"/>
        <v>0.55000000000000004</v>
      </c>
      <c r="S421" s="5">
        <f t="shared" si="42"/>
        <v>0</v>
      </c>
      <c r="T421" s="5">
        <f t="shared" si="42"/>
        <v>0</v>
      </c>
      <c r="U421" s="5">
        <f t="shared" si="43"/>
        <v>0</v>
      </c>
      <c r="V421" s="5">
        <f t="shared" si="43"/>
        <v>0</v>
      </c>
      <c r="W421" s="5">
        <f t="shared" si="43"/>
        <v>0</v>
      </c>
      <c r="X421" s="5">
        <f t="shared" si="43"/>
        <v>0</v>
      </c>
      <c r="Y421" s="5">
        <f t="shared" si="43"/>
        <v>0</v>
      </c>
      <c r="Z421" s="5">
        <f t="shared" si="43"/>
        <v>0</v>
      </c>
      <c r="AA421" s="5">
        <f t="shared" si="43"/>
        <v>0</v>
      </c>
      <c r="AB421" s="5">
        <f t="shared" si="43"/>
        <v>0</v>
      </c>
      <c r="AC421" s="5">
        <f t="shared" si="43"/>
        <v>0</v>
      </c>
      <c r="AD421" s="5">
        <f t="shared" si="43"/>
        <v>0</v>
      </c>
      <c r="AE421" s="5">
        <f t="shared" si="44"/>
        <v>0</v>
      </c>
      <c r="AF421" s="5">
        <f t="shared" si="44"/>
        <v>0</v>
      </c>
      <c r="AG421" s="5">
        <f t="shared" si="44"/>
        <v>0</v>
      </c>
      <c r="AH421" s="5">
        <f t="shared" si="44"/>
        <v>0</v>
      </c>
      <c r="AI421" s="5">
        <f t="shared" si="44"/>
        <v>0</v>
      </c>
      <c r="AJ421" s="5">
        <f t="shared" si="44"/>
        <v>0</v>
      </c>
      <c r="AK421" s="5">
        <f t="shared" si="44"/>
        <v>0</v>
      </c>
      <c r="AL421" s="175">
        <f t="shared" si="44"/>
        <v>0</v>
      </c>
      <c r="AM421" s="537"/>
      <c r="AN421" s="341"/>
      <c r="AP421" s="354"/>
      <c r="AQ421" s="11"/>
      <c r="AR421" s="11"/>
      <c r="AS421" s="354"/>
    </row>
    <row r="422" spans="1:45">
      <c r="A422" s="5"/>
      <c r="B422" s="27" t="s">
        <v>3112</v>
      </c>
      <c r="C422" s="63" t="s">
        <v>727</v>
      </c>
      <c r="D422" s="296"/>
      <c r="E422" s="296"/>
      <c r="F422" s="296"/>
      <c r="G422" s="296"/>
      <c r="H422" s="296"/>
      <c r="I422" s="296"/>
      <c r="J422" s="296"/>
      <c r="K422" s="5">
        <f t="shared" si="42"/>
        <v>0</v>
      </c>
      <c r="L422" s="5">
        <f t="shared" si="42"/>
        <v>0</v>
      </c>
      <c r="M422" s="5">
        <f t="shared" si="42"/>
        <v>0</v>
      </c>
      <c r="N422" s="5">
        <f t="shared" si="42"/>
        <v>0</v>
      </c>
      <c r="O422" s="5">
        <f t="shared" si="42"/>
        <v>0</v>
      </c>
      <c r="P422" s="5">
        <f t="shared" si="42"/>
        <v>0</v>
      </c>
      <c r="Q422" s="5">
        <f t="shared" si="42"/>
        <v>0</v>
      </c>
      <c r="R422" s="5">
        <f t="shared" si="42"/>
        <v>0</v>
      </c>
      <c r="S422" s="5">
        <f t="shared" si="42"/>
        <v>0</v>
      </c>
      <c r="T422" s="5">
        <f t="shared" si="42"/>
        <v>0</v>
      </c>
      <c r="U422" s="5">
        <f t="shared" si="43"/>
        <v>0</v>
      </c>
      <c r="V422" s="5">
        <f t="shared" si="43"/>
        <v>0</v>
      </c>
      <c r="W422" s="5">
        <f t="shared" si="43"/>
        <v>3.19</v>
      </c>
      <c r="X422" s="5">
        <f t="shared" si="43"/>
        <v>12.81</v>
      </c>
      <c r="Y422" s="5">
        <f t="shared" si="43"/>
        <v>20.6</v>
      </c>
      <c r="Z422" s="5">
        <f t="shared" si="43"/>
        <v>29.34</v>
      </c>
      <c r="AA422" s="5">
        <f t="shared" si="43"/>
        <v>26.98</v>
      </c>
      <c r="AB422" s="5">
        <f t="shared" si="43"/>
        <v>29.56</v>
      </c>
      <c r="AC422" s="5">
        <f t="shared" si="43"/>
        <v>31.52</v>
      </c>
      <c r="AD422" s="5">
        <f t="shared" si="43"/>
        <v>33.880000000000003</v>
      </c>
      <c r="AE422" s="5">
        <f t="shared" si="44"/>
        <v>43.49</v>
      </c>
      <c r="AF422" s="5">
        <f t="shared" si="44"/>
        <v>48.23</v>
      </c>
      <c r="AG422" s="5">
        <f t="shared" si="44"/>
        <v>48.55</v>
      </c>
      <c r="AH422" s="5">
        <f t="shared" si="44"/>
        <v>52.87</v>
      </c>
      <c r="AI422" s="5">
        <f t="shared" si="44"/>
        <v>52.77</v>
      </c>
      <c r="AJ422" s="5">
        <f t="shared" si="44"/>
        <v>48.29</v>
      </c>
      <c r="AK422" s="5">
        <f t="shared" si="44"/>
        <v>52.57</v>
      </c>
      <c r="AL422" s="175">
        <f t="shared" si="44"/>
        <v>52.47</v>
      </c>
      <c r="AM422" s="537"/>
      <c r="AN422" s="341"/>
      <c r="AP422" s="354"/>
      <c r="AQ422" s="11"/>
      <c r="AR422" s="11"/>
      <c r="AS422" s="354"/>
    </row>
    <row r="423" spans="1:45">
      <c r="A423" s="5"/>
      <c r="B423" s="27" t="s">
        <v>1797</v>
      </c>
      <c r="C423" s="63" t="s">
        <v>2247</v>
      </c>
      <c r="D423" s="296"/>
      <c r="E423" s="296"/>
      <c r="F423" s="296"/>
      <c r="G423" s="296"/>
      <c r="H423" s="296"/>
      <c r="I423" s="296"/>
      <c r="J423" s="296"/>
      <c r="K423" s="5">
        <f t="shared" si="42"/>
        <v>68.540000000000006</v>
      </c>
      <c r="L423" s="5">
        <f t="shared" si="42"/>
        <v>58.339999999999996</v>
      </c>
      <c r="M423" s="5">
        <f t="shared" si="42"/>
        <v>47.160000000000011</v>
      </c>
      <c r="N423" s="5">
        <f t="shared" si="42"/>
        <v>39.049999999999997</v>
      </c>
      <c r="O423" s="5">
        <f t="shared" si="42"/>
        <v>32.03</v>
      </c>
      <c r="P423" s="5">
        <f t="shared" si="42"/>
        <v>30.410000000000004</v>
      </c>
      <c r="Q423" s="5">
        <f t="shared" si="42"/>
        <v>28.43</v>
      </c>
      <c r="R423" s="5">
        <f t="shared" si="42"/>
        <v>26.22</v>
      </c>
      <c r="S423" s="5">
        <f t="shared" si="42"/>
        <v>0</v>
      </c>
      <c r="T423" s="5">
        <f t="shared" si="42"/>
        <v>0</v>
      </c>
      <c r="U423" s="5">
        <f t="shared" si="43"/>
        <v>0</v>
      </c>
      <c r="V423" s="5">
        <f t="shared" si="43"/>
        <v>0</v>
      </c>
      <c r="W423" s="5">
        <f t="shared" si="43"/>
        <v>0</v>
      </c>
      <c r="X423" s="5">
        <f t="shared" si="43"/>
        <v>0</v>
      </c>
      <c r="Y423" s="5">
        <f t="shared" si="43"/>
        <v>0</v>
      </c>
      <c r="Z423" s="5">
        <f t="shared" si="43"/>
        <v>0</v>
      </c>
      <c r="AA423" s="5">
        <f t="shared" si="43"/>
        <v>0</v>
      </c>
      <c r="AB423" s="5">
        <f t="shared" si="43"/>
        <v>0</v>
      </c>
      <c r="AC423" s="5">
        <f t="shared" si="43"/>
        <v>0</v>
      </c>
      <c r="AD423" s="5">
        <f t="shared" si="43"/>
        <v>0</v>
      </c>
      <c r="AE423" s="5">
        <f t="shared" si="44"/>
        <v>0</v>
      </c>
      <c r="AF423" s="5">
        <f t="shared" si="44"/>
        <v>0</v>
      </c>
      <c r="AG423" s="5">
        <f t="shared" si="44"/>
        <v>0</v>
      </c>
      <c r="AH423" s="5">
        <f t="shared" si="44"/>
        <v>0</v>
      </c>
      <c r="AI423" s="5">
        <f t="shared" si="44"/>
        <v>0</v>
      </c>
      <c r="AJ423" s="5">
        <f t="shared" si="44"/>
        <v>0</v>
      </c>
      <c r="AK423" s="5">
        <f t="shared" si="44"/>
        <v>0</v>
      </c>
      <c r="AL423" s="175">
        <f t="shared" si="44"/>
        <v>0</v>
      </c>
      <c r="AM423" s="537"/>
      <c r="AN423" s="341"/>
      <c r="AP423" s="354"/>
      <c r="AQ423" s="11"/>
      <c r="AR423" s="11"/>
      <c r="AS423" s="354"/>
    </row>
    <row r="424" spans="1:45">
      <c r="A424" s="5"/>
      <c r="B424" s="27" t="s">
        <v>1798</v>
      </c>
      <c r="C424" s="63" t="s">
        <v>2251</v>
      </c>
      <c r="D424" s="296"/>
      <c r="E424" s="296"/>
      <c r="F424" s="296"/>
      <c r="G424" s="296"/>
      <c r="H424" s="296"/>
      <c r="I424" s="296"/>
      <c r="J424" s="296"/>
      <c r="K424" s="5">
        <f t="shared" ref="K424:T429" si="45">SUMIF($AM$10:$AM$409,$B424,K$10:K$409)</f>
        <v>83.089999999999989</v>
      </c>
      <c r="L424" s="5">
        <f t="shared" si="45"/>
        <v>71.97</v>
      </c>
      <c r="M424" s="5">
        <f t="shared" si="45"/>
        <v>67.739999999999995</v>
      </c>
      <c r="N424" s="5">
        <f t="shared" si="45"/>
        <v>46.17</v>
      </c>
      <c r="O424" s="5">
        <f t="shared" si="45"/>
        <v>52.019999999999996</v>
      </c>
      <c r="P424" s="5">
        <f t="shared" si="45"/>
        <v>41.37</v>
      </c>
      <c r="Q424" s="5">
        <f t="shared" si="45"/>
        <v>48.51</v>
      </c>
      <c r="R424" s="5">
        <f t="shared" si="45"/>
        <v>41.820000000000007</v>
      </c>
      <c r="S424" s="5">
        <f t="shared" si="45"/>
        <v>33.690000000000005</v>
      </c>
      <c r="T424" s="5">
        <f t="shared" si="45"/>
        <v>31.419999999999995</v>
      </c>
      <c r="U424" s="5">
        <f t="shared" ref="U424:AD429" si="46">SUMIF($AM$10:$AM$409,$B424,U$10:U$409)</f>
        <v>28.880000000000003</v>
      </c>
      <c r="V424" s="5">
        <f t="shared" si="46"/>
        <v>37.169999999999995</v>
      </c>
      <c r="W424" s="5">
        <f t="shared" si="46"/>
        <v>44.87</v>
      </c>
      <c r="X424" s="5">
        <f t="shared" si="46"/>
        <v>46.7</v>
      </c>
      <c r="Y424" s="5">
        <f t="shared" si="46"/>
        <v>44.47</v>
      </c>
      <c r="Z424" s="5">
        <f t="shared" si="46"/>
        <v>44.06</v>
      </c>
      <c r="AA424" s="5">
        <f t="shared" si="46"/>
        <v>46.94</v>
      </c>
      <c r="AB424" s="5">
        <f t="shared" si="46"/>
        <v>49.70000000000001</v>
      </c>
      <c r="AC424" s="5">
        <f t="shared" si="46"/>
        <v>51.559999999999988</v>
      </c>
      <c r="AD424" s="5">
        <f t="shared" si="46"/>
        <v>50.19</v>
      </c>
      <c r="AE424" s="5">
        <f t="shared" ref="AE424:AL429" si="47">SUMIF($AM$10:$AM$409,$B424,AE$10:AE$409)</f>
        <v>49.6</v>
      </c>
      <c r="AF424" s="5">
        <f t="shared" si="47"/>
        <v>46.71</v>
      </c>
      <c r="AG424" s="5">
        <f t="shared" si="47"/>
        <v>42.139999999999993</v>
      </c>
      <c r="AH424" s="5">
        <f t="shared" si="47"/>
        <v>37.97</v>
      </c>
      <c r="AI424" s="5">
        <f t="shared" si="47"/>
        <v>31.810000000000002</v>
      </c>
      <c r="AJ424" s="5">
        <f t="shared" si="47"/>
        <v>28.479999999999997</v>
      </c>
      <c r="AK424" s="5">
        <f t="shared" si="47"/>
        <v>27.05</v>
      </c>
      <c r="AL424" s="175">
        <f t="shared" si="47"/>
        <v>25.36</v>
      </c>
      <c r="AM424" s="537"/>
      <c r="AN424" s="341"/>
      <c r="AP424" s="354"/>
      <c r="AQ424" s="11"/>
      <c r="AR424" s="11"/>
      <c r="AS424" s="354"/>
    </row>
    <row r="425" spans="1:45">
      <c r="A425" s="5"/>
      <c r="B425" s="11" t="s">
        <v>1819</v>
      </c>
      <c r="C425" s="50" t="s">
        <v>3399</v>
      </c>
      <c r="D425" s="296"/>
      <c r="E425" s="296"/>
      <c r="F425" s="296"/>
      <c r="G425" s="296"/>
      <c r="H425" s="296"/>
      <c r="I425" s="296"/>
      <c r="J425" s="296"/>
      <c r="K425" s="5">
        <f t="shared" si="45"/>
        <v>12.77</v>
      </c>
      <c r="L425" s="5">
        <f t="shared" si="45"/>
        <v>9.86</v>
      </c>
      <c r="M425" s="5">
        <f t="shared" si="45"/>
        <v>7.9</v>
      </c>
      <c r="N425" s="5">
        <f t="shared" si="45"/>
        <v>7.55</v>
      </c>
      <c r="O425" s="5">
        <f t="shared" si="45"/>
        <v>6.67</v>
      </c>
      <c r="P425" s="5">
        <f t="shared" si="45"/>
        <v>6.79</v>
      </c>
      <c r="Q425" s="5">
        <f t="shared" si="45"/>
        <v>4.7799999999999994</v>
      </c>
      <c r="R425" s="5">
        <f t="shared" si="45"/>
        <v>1.96</v>
      </c>
      <c r="S425" s="5">
        <f t="shared" si="45"/>
        <v>1.54</v>
      </c>
      <c r="T425" s="5">
        <f t="shared" si="45"/>
        <v>1.6</v>
      </c>
      <c r="U425" s="5">
        <f t="shared" si="46"/>
        <v>1.5</v>
      </c>
      <c r="V425" s="5">
        <f t="shared" si="46"/>
        <v>1.54</v>
      </c>
      <c r="W425" s="5">
        <f t="shared" si="46"/>
        <v>2.0499999999999998</v>
      </c>
      <c r="X425" s="5">
        <f t="shared" si="46"/>
        <v>1.51</v>
      </c>
      <c r="Y425" s="5">
        <f t="shared" si="46"/>
        <v>0</v>
      </c>
      <c r="Z425" s="5">
        <f t="shared" si="46"/>
        <v>0</v>
      </c>
      <c r="AA425" s="5">
        <f t="shared" si="46"/>
        <v>0</v>
      </c>
      <c r="AB425" s="5">
        <f t="shared" si="46"/>
        <v>0</v>
      </c>
      <c r="AC425" s="5">
        <f t="shared" si="46"/>
        <v>0.49</v>
      </c>
      <c r="AD425" s="5">
        <f t="shared" si="46"/>
        <v>0.84</v>
      </c>
      <c r="AE425" s="5">
        <f t="shared" si="47"/>
        <v>0.9</v>
      </c>
      <c r="AF425" s="5">
        <f t="shared" si="47"/>
        <v>0.91</v>
      </c>
      <c r="AG425" s="5">
        <f t="shared" si="47"/>
        <v>0.91</v>
      </c>
      <c r="AH425" s="5">
        <f t="shared" si="47"/>
        <v>0.93</v>
      </c>
      <c r="AI425" s="5">
        <f t="shared" si="47"/>
        <v>0.94</v>
      </c>
      <c r="AJ425" s="5">
        <f t="shared" si="47"/>
        <v>0.96</v>
      </c>
      <c r="AK425" s="5">
        <f t="shared" si="47"/>
        <v>0.95</v>
      </c>
      <c r="AL425" s="175">
        <f t="shared" si="47"/>
        <v>0.92</v>
      </c>
      <c r="AM425" s="537"/>
      <c r="AN425" s="341"/>
      <c r="AP425" s="354"/>
      <c r="AQ425" s="11"/>
      <c r="AR425" s="11"/>
      <c r="AS425" s="354"/>
    </row>
    <row r="426" spans="1:45">
      <c r="A426" s="5"/>
      <c r="B426" s="11" t="s">
        <v>1818</v>
      </c>
      <c r="C426" s="55" t="s">
        <v>3403</v>
      </c>
      <c r="D426" s="296"/>
      <c r="E426" s="296"/>
      <c r="F426" s="296"/>
      <c r="G426" s="296"/>
      <c r="H426" s="296"/>
      <c r="I426" s="296"/>
      <c r="J426" s="296"/>
      <c r="K426" s="5">
        <f t="shared" si="45"/>
        <v>0</v>
      </c>
      <c r="L426" s="5">
        <f t="shared" si="45"/>
        <v>0</v>
      </c>
      <c r="M426" s="5">
        <f t="shared" si="45"/>
        <v>0</v>
      </c>
      <c r="N426" s="5">
        <f t="shared" si="45"/>
        <v>0</v>
      </c>
      <c r="O426" s="5">
        <f t="shared" si="45"/>
        <v>0</v>
      </c>
      <c r="P426" s="5">
        <f t="shared" si="45"/>
        <v>0</v>
      </c>
      <c r="Q426" s="5">
        <f t="shared" si="45"/>
        <v>0.24</v>
      </c>
      <c r="R426" s="5">
        <f t="shared" si="45"/>
        <v>1.59</v>
      </c>
      <c r="S426" s="5">
        <f t="shared" si="45"/>
        <v>1.35</v>
      </c>
      <c r="T426" s="5">
        <f t="shared" si="45"/>
        <v>1.5</v>
      </c>
      <c r="U426" s="5">
        <f t="shared" si="46"/>
        <v>1.5</v>
      </c>
      <c r="V426" s="5">
        <f t="shared" si="46"/>
        <v>1.55</v>
      </c>
      <c r="W426" s="5">
        <f t="shared" si="46"/>
        <v>1.58</v>
      </c>
      <c r="X426" s="5">
        <f t="shared" si="46"/>
        <v>1.63</v>
      </c>
      <c r="Y426" s="5">
        <f t="shared" si="46"/>
        <v>1.67</v>
      </c>
      <c r="Z426" s="5">
        <f t="shared" si="46"/>
        <v>1.69</v>
      </c>
      <c r="AA426" s="5">
        <f t="shared" si="46"/>
        <v>1.67</v>
      </c>
      <c r="AB426" s="5">
        <f t="shared" si="46"/>
        <v>1.65</v>
      </c>
      <c r="AC426" s="5">
        <f t="shared" si="46"/>
        <v>1.71</v>
      </c>
      <c r="AD426" s="5">
        <f t="shared" si="46"/>
        <v>1.71</v>
      </c>
      <c r="AE426" s="5">
        <f t="shared" si="47"/>
        <v>1.75</v>
      </c>
      <c r="AF426" s="5">
        <f t="shared" si="47"/>
        <v>1.75</v>
      </c>
      <c r="AG426" s="5">
        <f t="shared" si="47"/>
        <v>1.81</v>
      </c>
      <c r="AH426" s="5">
        <f t="shared" si="47"/>
        <v>1.83</v>
      </c>
      <c r="AI426" s="5">
        <f t="shared" si="47"/>
        <v>1.81</v>
      </c>
      <c r="AJ426" s="5">
        <f t="shared" si="47"/>
        <v>1.8</v>
      </c>
      <c r="AK426" s="5">
        <f t="shared" si="47"/>
        <v>1.77</v>
      </c>
      <c r="AL426" s="175">
        <f t="shared" si="47"/>
        <v>1.74</v>
      </c>
      <c r="AM426" s="537"/>
      <c r="AN426" s="341"/>
      <c r="AP426" s="354"/>
      <c r="AQ426" s="11"/>
      <c r="AR426" s="11"/>
      <c r="AS426" s="354"/>
    </row>
    <row r="427" spans="1:45">
      <c r="A427" s="5"/>
      <c r="B427" s="11" t="s">
        <v>377</v>
      </c>
      <c r="C427" s="63" t="s">
        <v>3400</v>
      </c>
      <c r="D427" s="296"/>
      <c r="E427" s="296"/>
      <c r="F427" s="296"/>
      <c r="G427" s="296"/>
      <c r="H427" s="296"/>
      <c r="I427" s="296"/>
      <c r="J427" s="296"/>
      <c r="K427" s="5">
        <f t="shared" si="45"/>
        <v>0</v>
      </c>
      <c r="L427" s="5">
        <f t="shared" si="45"/>
        <v>0</v>
      </c>
      <c r="M427" s="5">
        <f t="shared" si="45"/>
        <v>0</v>
      </c>
      <c r="N427" s="5">
        <f t="shared" si="45"/>
        <v>0</v>
      </c>
      <c r="O427" s="5">
        <f t="shared" si="45"/>
        <v>0</v>
      </c>
      <c r="P427" s="5">
        <f t="shared" si="45"/>
        <v>0</v>
      </c>
      <c r="Q427" s="5">
        <f t="shared" si="45"/>
        <v>0</v>
      </c>
      <c r="R427" s="5">
        <f t="shared" si="45"/>
        <v>0</v>
      </c>
      <c r="S427" s="5">
        <f t="shared" si="45"/>
        <v>1.58</v>
      </c>
      <c r="T427" s="5">
        <f t="shared" si="45"/>
        <v>2.66</v>
      </c>
      <c r="U427" s="5">
        <f t="shared" si="46"/>
        <v>2</v>
      </c>
      <c r="V427" s="5">
        <f t="shared" si="46"/>
        <v>1.86</v>
      </c>
      <c r="W427" s="5">
        <f t="shared" si="46"/>
        <v>1.54</v>
      </c>
      <c r="X427" s="5">
        <f t="shared" si="46"/>
        <v>1.05</v>
      </c>
      <c r="Y427" s="5">
        <f t="shared" si="46"/>
        <v>0.79</v>
      </c>
      <c r="Z427" s="5">
        <f t="shared" si="46"/>
        <v>0.59</v>
      </c>
      <c r="AA427" s="5">
        <f t="shared" si="46"/>
        <v>0.44</v>
      </c>
      <c r="AB427" s="5">
        <f t="shared" si="46"/>
        <v>0.35</v>
      </c>
      <c r="AC427" s="5">
        <f t="shared" si="46"/>
        <v>0.28000000000000003</v>
      </c>
      <c r="AD427" s="5">
        <f t="shared" si="46"/>
        <v>0.65</v>
      </c>
      <c r="AE427" s="5">
        <f t="shared" si="47"/>
        <v>2.35</v>
      </c>
      <c r="AF427" s="5">
        <f t="shared" si="47"/>
        <v>3.09</v>
      </c>
      <c r="AG427" s="5">
        <f t="shared" si="47"/>
        <v>4.53</v>
      </c>
      <c r="AH427" s="5">
        <f t="shared" si="47"/>
        <v>4.42</v>
      </c>
      <c r="AI427" s="5">
        <f t="shared" si="47"/>
        <v>4.42</v>
      </c>
      <c r="AJ427" s="5">
        <f t="shared" si="47"/>
        <v>3.82</v>
      </c>
      <c r="AK427" s="5">
        <f t="shared" si="47"/>
        <v>2.76</v>
      </c>
      <c r="AL427" s="175">
        <f t="shared" si="47"/>
        <v>2.59</v>
      </c>
      <c r="AM427" s="537"/>
      <c r="AN427" s="341"/>
      <c r="AP427" s="354"/>
      <c r="AQ427" s="11"/>
      <c r="AR427" s="11"/>
      <c r="AS427" s="354"/>
    </row>
    <row r="428" spans="1:45">
      <c r="A428" s="5"/>
      <c r="B428" s="11" t="s">
        <v>3281</v>
      </c>
      <c r="C428" s="50" t="s">
        <v>138</v>
      </c>
      <c r="D428" s="296"/>
      <c r="E428" s="296"/>
      <c r="F428" s="296"/>
      <c r="G428" s="296"/>
      <c r="H428" s="296"/>
      <c r="I428" s="296"/>
      <c r="J428" s="296"/>
      <c r="K428" s="5">
        <f t="shared" si="45"/>
        <v>0</v>
      </c>
      <c r="L428" s="5">
        <f t="shared" si="45"/>
        <v>0</v>
      </c>
      <c r="M428" s="5">
        <f t="shared" si="45"/>
        <v>0</v>
      </c>
      <c r="N428" s="5">
        <f t="shared" si="45"/>
        <v>0</v>
      </c>
      <c r="O428" s="5">
        <f t="shared" si="45"/>
        <v>0</v>
      </c>
      <c r="P428" s="5">
        <f t="shared" si="45"/>
        <v>0</v>
      </c>
      <c r="Q428" s="5">
        <f t="shared" si="45"/>
        <v>0</v>
      </c>
      <c r="R428" s="5">
        <f t="shared" si="45"/>
        <v>0</v>
      </c>
      <c r="S428" s="5">
        <f t="shared" si="45"/>
        <v>34.25</v>
      </c>
      <c r="T428" s="5">
        <f t="shared" si="45"/>
        <v>39.47</v>
      </c>
      <c r="U428" s="5">
        <f t="shared" si="46"/>
        <v>40.81</v>
      </c>
      <c r="V428" s="5">
        <f t="shared" si="46"/>
        <v>49.7</v>
      </c>
      <c r="W428" s="5">
        <f t="shared" si="46"/>
        <v>82.36</v>
      </c>
      <c r="X428" s="5">
        <f t="shared" si="46"/>
        <v>95.86</v>
      </c>
      <c r="Y428" s="5">
        <f t="shared" si="46"/>
        <v>71.95</v>
      </c>
      <c r="Z428" s="5">
        <f t="shared" si="46"/>
        <v>67.2</v>
      </c>
      <c r="AA428" s="5">
        <f t="shared" si="46"/>
        <v>67.87</v>
      </c>
      <c r="AB428" s="5">
        <f t="shared" si="46"/>
        <v>65.489999999999995</v>
      </c>
      <c r="AC428" s="5">
        <f t="shared" si="46"/>
        <v>51.66</v>
      </c>
      <c r="AD428" s="5">
        <f t="shared" si="46"/>
        <v>49.86</v>
      </c>
      <c r="AE428" s="5">
        <f t="shared" si="47"/>
        <v>47.11</v>
      </c>
      <c r="AF428" s="5">
        <f t="shared" si="47"/>
        <v>46.33</v>
      </c>
      <c r="AG428" s="5">
        <f t="shared" si="47"/>
        <v>45.43</v>
      </c>
      <c r="AH428" s="5">
        <f t="shared" si="47"/>
        <v>42.61</v>
      </c>
      <c r="AI428" s="5">
        <f t="shared" si="47"/>
        <v>41.18</v>
      </c>
      <c r="AJ428" s="5">
        <f t="shared" si="47"/>
        <v>38.56</v>
      </c>
      <c r="AK428" s="5">
        <f t="shared" si="47"/>
        <v>37.74</v>
      </c>
      <c r="AL428" s="175">
        <f t="shared" si="47"/>
        <v>36.44</v>
      </c>
      <c r="AM428" s="537"/>
      <c r="AN428" s="341"/>
      <c r="AP428" s="354"/>
      <c r="AQ428" s="11"/>
      <c r="AR428" s="11"/>
      <c r="AS428" s="354"/>
    </row>
    <row r="429" spans="1:45">
      <c r="A429" s="5"/>
      <c r="B429" s="27" t="s">
        <v>1800</v>
      </c>
      <c r="C429" s="63" t="s">
        <v>139</v>
      </c>
      <c r="D429" s="296"/>
      <c r="E429" s="296"/>
      <c r="F429" s="296"/>
      <c r="G429" s="296"/>
      <c r="H429" s="296"/>
      <c r="I429" s="296"/>
      <c r="J429" s="296"/>
      <c r="K429" s="5">
        <f t="shared" si="45"/>
        <v>0.72</v>
      </c>
      <c r="L429" s="5">
        <f t="shared" si="45"/>
        <v>0.79999999999999993</v>
      </c>
      <c r="M429" s="5">
        <f t="shared" si="45"/>
        <v>0.64</v>
      </c>
      <c r="N429" s="5">
        <f t="shared" si="45"/>
        <v>0.4</v>
      </c>
      <c r="O429" s="5">
        <f t="shared" si="45"/>
        <v>0</v>
      </c>
      <c r="P429" s="5">
        <f t="shared" si="45"/>
        <v>0</v>
      </c>
      <c r="Q429" s="5">
        <f t="shared" si="45"/>
        <v>0</v>
      </c>
      <c r="R429" s="5">
        <f t="shared" si="45"/>
        <v>0</v>
      </c>
      <c r="S429" s="5">
        <f t="shared" si="45"/>
        <v>0</v>
      </c>
      <c r="T429" s="5">
        <f t="shared" si="45"/>
        <v>0</v>
      </c>
      <c r="U429" s="5">
        <f t="shared" si="46"/>
        <v>0</v>
      </c>
      <c r="V429" s="5">
        <f t="shared" si="46"/>
        <v>0</v>
      </c>
      <c r="W429" s="5">
        <f t="shared" si="46"/>
        <v>0</v>
      </c>
      <c r="X429" s="5">
        <f t="shared" si="46"/>
        <v>0</v>
      </c>
      <c r="Y429" s="5">
        <f t="shared" si="46"/>
        <v>0</v>
      </c>
      <c r="Z429" s="5">
        <f t="shared" si="46"/>
        <v>0</v>
      </c>
      <c r="AA429" s="5">
        <f t="shared" si="46"/>
        <v>0</v>
      </c>
      <c r="AB429" s="5">
        <f t="shared" si="46"/>
        <v>0</v>
      </c>
      <c r="AC429" s="5">
        <f t="shared" si="46"/>
        <v>0</v>
      </c>
      <c r="AD429" s="5">
        <f t="shared" si="46"/>
        <v>0</v>
      </c>
      <c r="AE429" s="5">
        <f t="shared" si="47"/>
        <v>0</v>
      </c>
      <c r="AF429" s="5">
        <f t="shared" si="47"/>
        <v>0</v>
      </c>
      <c r="AG429" s="5">
        <f t="shared" si="47"/>
        <v>0</v>
      </c>
      <c r="AH429" s="5">
        <f t="shared" si="47"/>
        <v>0</v>
      </c>
      <c r="AI429" s="5">
        <f t="shared" si="47"/>
        <v>0</v>
      </c>
      <c r="AJ429" s="5">
        <f t="shared" si="47"/>
        <v>0</v>
      </c>
      <c r="AK429" s="5">
        <f t="shared" si="47"/>
        <v>0</v>
      </c>
      <c r="AL429" s="175">
        <f t="shared" si="47"/>
        <v>0</v>
      </c>
      <c r="AM429" s="537"/>
      <c r="AN429" s="341"/>
      <c r="AP429" s="354"/>
      <c r="AQ429" s="11"/>
      <c r="AR429" s="11"/>
      <c r="AS429" s="354"/>
    </row>
    <row r="430" spans="1:45">
      <c r="A430" s="5"/>
      <c r="B430" s="27" t="s">
        <v>1801</v>
      </c>
      <c r="C430" s="63" t="s">
        <v>1745</v>
      </c>
      <c r="D430" s="296"/>
      <c r="E430" s="296"/>
      <c r="F430" s="296"/>
      <c r="G430" s="296"/>
      <c r="H430" s="296"/>
      <c r="I430" s="296"/>
      <c r="J430" s="296"/>
      <c r="K430" s="5">
        <f t="shared" ref="K430:W430" si="48">SUMIF($AM$10:$AM$409,$B430,K$10:K$409)</f>
        <v>78.13</v>
      </c>
      <c r="L430" s="5">
        <f t="shared" si="48"/>
        <v>76.319999999999993</v>
      </c>
      <c r="M430" s="5">
        <f t="shared" si="48"/>
        <v>74.460000000000008</v>
      </c>
      <c r="N430" s="5">
        <f t="shared" si="48"/>
        <v>61.6</v>
      </c>
      <c r="O430" s="5">
        <f t="shared" si="48"/>
        <v>50.79</v>
      </c>
      <c r="P430" s="5">
        <f t="shared" si="48"/>
        <v>42.650000000000006</v>
      </c>
      <c r="Q430" s="5">
        <f t="shared" si="48"/>
        <v>37.93</v>
      </c>
      <c r="R430" s="5">
        <f t="shared" si="48"/>
        <v>41.519999999999996</v>
      </c>
      <c r="S430" s="5">
        <f t="shared" si="48"/>
        <v>31.82</v>
      </c>
      <c r="T430" s="5">
        <f t="shared" si="48"/>
        <v>15.98</v>
      </c>
      <c r="U430" s="5">
        <f t="shared" si="48"/>
        <v>32.81</v>
      </c>
      <c r="V430" s="5">
        <f t="shared" si="48"/>
        <v>44.7</v>
      </c>
      <c r="W430" s="5">
        <f t="shared" si="48"/>
        <v>38.099999999999994</v>
      </c>
      <c r="X430" s="750">
        <f>SUMIF($AM$10:$AM$409,$B487,X$10:X$409)</f>
        <v>27.639000000000003</v>
      </c>
      <c r="Y430" s="296"/>
      <c r="Z430" s="296"/>
      <c r="AA430" s="296"/>
      <c r="AB430" s="296"/>
      <c r="AC430" s="296"/>
      <c r="AD430" s="296"/>
      <c r="AE430" s="296"/>
      <c r="AF430" s="296"/>
      <c r="AG430" s="296"/>
      <c r="AH430" s="296"/>
      <c r="AI430" s="296"/>
      <c r="AJ430" s="296"/>
      <c r="AK430" s="296"/>
      <c r="AL430" s="296"/>
      <c r="AM430" s="537"/>
      <c r="AN430" s="341"/>
      <c r="AP430" s="354"/>
      <c r="AQ430" s="11"/>
      <c r="AR430" s="11"/>
      <c r="AS430" s="354"/>
    </row>
    <row r="431" spans="1:45">
      <c r="A431" s="5"/>
      <c r="B431" s="27" t="s">
        <v>1417</v>
      </c>
      <c r="C431" s="63" t="s">
        <v>3277</v>
      </c>
      <c r="D431" s="296"/>
      <c r="E431" s="296"/>
      <c r="F431" s="296"/>
      <c r="G431" s="296"/>
      <c r="H431" s="296"/>
      <c r="I431" s="296"/>
      <c r="J431" s="296"/>
      <c r="K431" s="5"/>
      <c r="L431" s="5"/>
      <c r="M431" s="5"/>
      <c r="N431" s="5"/>
      <c r="O431" s="5"/>
      <c r="P431" s="5"/>
      <c r="Q431" s="5"/>
      <c r="R431" s="5">
        <f t="shared" ref="R431:AA443" si="49">SUMIF($AM$10:$AM$409,$B431,R$10:R$409)</f>
        <v>0</v>
      </c>
      <c r="S431" s="5">
        <f t="shared" si="49"/>
        <v>0</v>
      </c>
      <c r="T431" s="5">
        <f t="shared" si="49"/>
        <v>0</v>
      </c>
      <c r="U431" s="5">
        <f t="shared" si="49"/>
        <v>0</v>
      </c>
      <c r="V431" s="5">
        <f t="shared" si="49"/>
        <v>0</v>
      </c>
      <c r="W431" s="5">
        <f t="shared" si="49"/>
        <v>0</v>
      </c>
      <c r="X431" s="5">
        <f t="shared" si="49"/>
        <v>0</v>
      </c>
      <c r="Y431" s="5">
        <f t="shared" si="49"/>
        <v>0</v>
      </c>
      <c r="Z431" s="5">
        <f t="shared" si="49"/>
        <v>0</v>
      </c>
      <c r="AA431" s="5">
        <f t="shared" si="49"/>
        <v>0</v>
      </c>
      <c r="AB431" s="5">
        <f t="shared" ref="AB431:AL443" si="50">SUMIF($AM$10:$AM$409,$B431,AB$10:AB$409)</f>
        <v>0</v>
      </c>
      <c r="AC431" s="5">
        <f t="shared" si="50"/>
        <v>0</v>
      </c>
      <c r="AD431" s="5">
        <f t="shared" si="50"/>
        <v>0</v>
      </c>
      <c r="AE431" s="5">
        <f t="shared" si="50"/>
        <v>0</v>
      </c>
      <c r="AF431" s="5">
        <f t="shared" si="50"/>
        <v>0</v>
      </c>
      <c r="AG431" s="5">
        <f t="shared" si="50"/>
        <v>0</v>
      </c>
      <c r="AH431" s="5">
        <f t="shared" si="50"/>
        <v>0</v>
      </c>
      <c r="AI431" s="5">
        <f t="shared" si="50"/>
        <v>0</v>
      </c>
      <c r="AJ431" s="5">
        <f t="shared" si="50"/>
        <v>0</v>
      </c>
      <c r="AK431" s="5">
        <f t="shared" si="50"/>
        <v>0</v>
      </c>
      <c r="AL431" s="175">
        <f t="shared" si="50"/>
        <v>0</v>
      </c>
      <c r="AM431" s="537"/>
      <c r="AN431" s="341"/>
      <c r="AP431" s="354"/>
      <c r="AQ431" s="11"/>
      <c r="AR431" s="11"/>
      <c r="AS431" s="354"/>
    </row>
    <row r="432" spans="1:45">
      <c r="A432" s="5"/>
      <c r="B432" s="27" t="s">
        <v>1806</v>
      </c>
      <c r="C432" s="63" t="s">
        <v>1280</v>
      </c>
      <c r="D432" s="296"/>
      <c r="E432" s="296"/>
      <c r="F432" s="296"/>
      <c r="G432" s="296"/>
      <c r="H432" s="296"/>
      <c r="I432" s="296"/>
      <c r="J432" s="296"/>
      <c r="K432" s="5">
        <f t="shared" ref="K432:Q443" si="51">SUMIF($AM$10:$AM$409,$B432,K$10:K$409)</f>
        <v>74.19</v>
      </c>
      <c r="L432" s="5">
        <f t="shared" si="51"/>
        <v>60.19</v>
      </c>
      <c r="M432" s="5">
        <f t="shared" si="51"/>
        <v>37.97</v>
      </c>
      <c r="N432" s="5">
        <f t="shared" si="51"/>
        <v>26.38</v>
      </c>
      <c r="O432" s="5">
        <f t="shared" si="51"/>
        <v>20.32</v>
      </c>
      <c r="P432" s="5">
        <f t="shared" si="51"/>
        <v>22.66</v>
      </c>
      <c r="Q432" s="5">
        <f t="shared" si="51"/>
        <v>26.19</v>
      </c>
      <c r="R432" s="5">
        <f t="shared" si="49"/>
        <v>25.73</v>
      </c>
      <c r="S432" s="5">
        <f t="shared" si="49"/>
        <v>20.97</v>
      </c>
      <c r="T432" s="5">
        <f t="shared" si="49"/>
        <v>14.97</v>
      </c>
      <c r="U432" s="5">
        <f t="shared" si="49"/>
        <v>16.18</v>
      </c>
      <c r="V432" s="5">
        <f t="shared" si="49"/>
        <v>17.239999999999998</v>
      </c>
      <c r="W432" s="5">
        <f t="shared" si="49"/>
        <v>15.58</v>
      </c>
      <c r="X432" s="5">
        <f t="shared" si="49"/>
        <v>13.51</v>
      </c>
      <c r="Y432" s="5">
        <f t="shared" si="49"/>
        <v>15.25</v>
      </c>
      <c r="Z432" s="5">
        <f t="shared" si="49"/>
        <v>14.22</v>
      </c>
      <c r="AA432" s="5">
        <f t="shared" si="49"/>
        <v>14.13</v>
      </c>
      <c r="AB432" s="5">
        <f t="shared" si="50"/>
        <v>13.01</v>
      </c>
      <c r="AC432" s="5">
        <f t="shared" si="50"/>
        <v>11.66</v>
      </c>
      <c r="AD432" s="5">
        <f t="shared" si="50"/>
        <v>10.44</v>
      </c>
      <c r="AE432" s="5">
        <f t="shared" si="50"/>
        <v>9.11</v>
      </c>
      <c r="AF432" s="5">
        <f t="shared" si="50"/>
        <v>3.65</v>
      </c>
      <c r="AG432" s="5">
        <f t="shared" si="50"/>
        <v>2.86</v>
      </c>
      <c r="AH432" s="5">
        <f t="shared" si="50"/>
        <v>2.11</v>
      </c>
      <c r="AI432" s="5">
        <f t="shared" si="50"/>
        <v>1.55</v>
      </c>
      <c r="AJ432" s="5">
        <f t="shared" si="50"/>
        <v>0</v>
      </c>
      <c r="AK432" s="5">
        <f t="shared" si="50"/>
        <v>0</v>
      </c>
      <c r="AL432" s="175">
        <f t="shared" si="50"/>
        <v>0</v>
      </c>
      <c r="AM432" s="537"/>
      <c r="AN432" s="341"/>
      <c r="AP432" s="354"/>
      <c r="AQ432" s="11"/>
      <c r="AR432" s="11"/>
      <c r="AS432" s="354"/>
    </row>
    <row r="433" spans="1:45">
      <c r="A433" s="5"/>
      <c r="B433" s="27" t="s">
        <v>1807</v>
      </c>
      <c r="C433" s="63" t="s">
        <v>1281</v>
      </c>
      <c r="D433" s="296"/>
      <c r="E433" s="296"/>
      <c r="F433" s="296"/>
      <c r="G433" s="296"/>
      <c r="H433" s="296"/>
      <c r="I433" s="296"/>
      <c r="J433" s="296"/>
      <c r="K433" s="5">
        <f t="shared" si="51"/>
        <v>329.49999999999994</v>
      </c>
      <c r="L433" s="5">
        <f t="shared" si="51"/>
        <v>293.5</v>
      </c>
      <c r="M433" s="5">
        <f t="shared" si="51"/>
        <v>243.00000000000009</v>
      </c>
      <c r="N433" s="5">
        <f t="shared" si="51"/>
        <v>222.77000000000004</v>
      </c>
      <c r="O433" s="5">
        <f t="shared" si="51"/>
        <v>171.96999999999997</v>
      </c>
      <c r="P433" s="5">
        <f t="shared" si="51"/>
        <v>149.5</v>
      </c>
      <c r="Q433" s="5">
        <f t="shared" si="51"/>
        <v>144.22000000000003</v>
      </c>
      <c r="R433" s="5">
        <f t="shared" si="49"/>
        <v>116.59</v>
      </c>
      <c r="S433" s="5">
        <f t="shared" si="49"/>
        <v>95.11</v>
      </c>
      <c r="T433" s="5">
        <f t="shared" si="49"/>
        <v>62.44</v>
      </c>
      <c r="U433" s="5">
        <f t="shared" si="49"/>
        <v>50.78</v>
      </c>
      <c r="V433" s="5">
        <f t="shared" si="49"/>
        <v>46.660000000000004</v>
      </c>
      <c r="W433" s="5">
        <f t="shared" si="49"/>
        <v>75.570000000000007</v>
      </c>
      <c r="X433" s="5">
        <f t="shared" si="49"/>
        <v>81.16</v>
      </c>
      <c r="Y433" s="5">
        <f t="shared" si="49"/>
        <v>93.41</v>
      </c>
      <c r="Z433" s="5">
        <f t="shared" si="49"/>
        <v>123.06000000000002</v>
      </c>
      <c r="AA433" s="5">
        <f t="shared" si="49"/>
        <v>132.1</v>
      </c>
      <c r="AB433" s="5">
        <f t="shared" si="50"/>
        <v>128.60999999999999</v>
      </c>
      <c r="AC433" s="5">
        <f t="shared" si="50"/>
        <v>133.59</v>
      </c>
      <c r="AD433" s="5">
        <f t="shared" si="50"/>
        <v>128.41</v>
      </c>
      <c r="AE433" s="5">
        <f t="shared" si="50"/>
        <v>109.58</v>
      </c>
      <c r="AF433" s="5">
        <f t="shared" si="50"/>
        <v>96.850000000000009</v>
      </c>
      <c r="AG433" s="5">
        <f t="shared" si="50"/>
        <v>89.7</v>
      </c>
      <c r="AH433" s="5">
        <f t="shared" si="50"/>
        <v>79.28</v>
      </c>
      <c r="AI433" s="5">
        <f t="shared" si="50"/>
        <v>76.38000000000001</v>
      </c>
      <c r="AJ433" s="5">
        <f t="shared" si="50"/>
        <v>69.119999999999976</v>
      </c>
      <c r="AK433" s="5">
        <f t="shared" si="50"/>
        <v>63.810000000000009</v>
      </c>
      <c r="AL433" s="175">
        <f t="shared" si="50"/>
        <v>57.290000000000006</v>
      </c>
      <c r="AM433" s="537"/>
      <c r="AN433" s="341"/>
      <c r="AP433" s="354"/>
      <c r="AQ433" s="11"/>
      <c r="AR433" s="11"/>
      <c r="AS433" s="354"/>
    </row>
    <row r="434" spans="1:45">
      <c r="A434" s="5"/>
      <c r="B434" s="27" t="s">
        <v>1809</v>
      </c>
      <c r="C434" s="63" t="s">
        <v>728</v>
      </c>
      <c r="D434" s="296"/>
      <c r="E434" s="296"/>
      <c r="F434" s="296"/>
      <c r="G434" s="296"/>
      <c r="H434" s="296"/>
      <c r="I434" s="296"/>
      <c r="J434" s="296"/>
      <c r="K434" s="5">
        <f t="shared" si="51"/>
        <v>307.32</v>
      </c>
      <c r="L434" s="5">
        <f t="shared" si="51"/>
        <v>292.57</v>
      </c>
      <c r="M434" s="5">
        <f t="shared" si="51"/>
        <v>260.96000000000004</v>
      </c>
      <c r="N434" s="5">
        <f t="shared" si="51"/>
        <v>228.85</v>
      </c>
      <c r="O434" s="5">
        <f t="shared" si="51"/>
        <v>214.69000000000003</v>
      </c>
      <c r="P434" s="5">
        <f t="shared" si="51"/>
        <v>202.13</v>
      </c>
      <c r="Q434" s="5">
        <f t="shared" si="51"/>
        <v>186.87</v>
      </c>
      <c r="R434" s="5">
        <f t="shared" si="49"/>
        <v>170.18</v>
      </c>
      <c r="S434" s="5">
        <f t="shared" si="49"/>
        <v>156.48999999999998</v>
      </c>
      <c r="T434" s="5">
        <f t="shared" si="49"/>
        <v>143.38</v>
      </c>
      <c r="U434" s="5">
        <f t="shared" si="49"/>
        <v>141.08999999999997</v>
      </c>
      <c r="V434" s="5">
        <f t="shared" si="49"/>
        <v>137.59424000000001</v>
      </c>
      <c r="W434" s="5">
        <f t="shared" si="49"/>
        <v>117.79075999999999</v>
      </c>
      <c r="X434" s="5">
        <f t="shared" si="49"/>
        <v>115.72248000000002</v>
      </c>
      <c r="Y434" s="5">
        <f t="shared" si="49"/>
        <v>124.40076000000001</v>
      </c>
      <c r="Z434" s="5">
        <f t="shared" si="49"/>
        <v>124.47932</v>
      </c>
      <c r="AA434" s="5">
        <f t="shared" si="49"/>
        <v>123.11280000000001</v>
      </c>
      <c r="AB434" s="5">
        <f t="shared" si="50"/>
        <v>119.37024000000001</v>
      </c>
      <c r="AC434" s="5">
        <f t="shared" si="50"/>
        <v>116.98008</v>
      </c>
      <c r="AD434" s="5">
        <f t="shared" si="50"/>
        <v>124.17124000000001</v>
      </c>
      <c r="AE434" s="5">
        <f t="shared" si="50"/>
        <v>129.16144</v>
      </c>
      <c r="AF434" s="5">
        <f t="shared" si="50"/>
        <v>129.3244</v>
      </c>
      <c r="AG434" s="5">
        <f t="shared" si="50"/>
        <v>122.08976000000001</v>
      </c>
      <c r="AH434" s="5">
        <f t="shared" si="50"/>
        <v>112.96224000000001</v>
      </c>
      <c r="AI434" s="5">
        <f t="shared" si="50"/>
        <v>104.62208</v>
      </c>
      <c r="AJ434" s="5">
        <f t="shared" si="50"/>
        <v>98.449879999999993</v>
      </c>
      <c r="AK434" s="5">
        <f t="shared" si="50"/>
        <v>92.385999999999996</v>
      </c>
      <c r="AL434" s="175">
        <f t="shared" si="50"/>
        <v>82.450919999999996</v>
      </c>
      <c r="AM434" s="537"/>
      <c r="AN434" s="341"/>
      <c r="AP434" s="354"/>
      <c r="AQ434" s="11"/>
      <c r="AR434" s="11"/>
      <c r="AS434" s="354"/>
    </row>
    <row r="435" spans="1:45">
      <c r="A435" s="5"/>
      <c r="B435" s="103" t="s">
        <v>1810</v>
      </c>
      <c r="C435" s="63" t="s">
        <v>728</v>
      </c>
      <c r="D435" s="296"/>
      <c r="E435" s="296"/>
      <c r="F435" s="296"/>
      <c r="G435" s="296"/>
      <c r="H435" s="296"/>
      <c r="I435" s="296"/>
      <c r="J435" s="296"/>
      <c r="K435" s="5">
        <f t="shared" si="51"/>
        <v>198.90999999999997</v>
      </c>
      <c r="L435" s="5">
        <f t="shared" si="51"/>
        <v>190.35000000000002</v>
      </c>
      <c r="M435" s="5">
        <f t="shared" si="51"/>
        <v>170.65999999999997</v>
      </c>
      <c r="N435" s="5">
        <f t="shared" si="51"/>
        <v>169.95999999999998</v>
      </c>
      <c r="O435" s="5">
        <f t="shared" si="51"/>
        <v>177.34999999999997</v>
      </c>
      <c r="P435" s="5">
        <f t="shared" si="51"/>
        <v>225.94</v>
      </c>
      <c r="Q435" s="5">
        <f t="shared" si="51"/>
        <v>359.95999999999992</v>
      </c>
      <c r="R435" s="5">
        <f t="shared" si="49"/>
        <v>307.92</v>
      </c>
      <c r="S435" s="5">
        <f t="shared" si="49"/>
        <v>206.32000000000002</v>
      </c>
      <c r="T435" s="5">
        <f t="shared" si="49"/>
        <v>169.06</v>
      </c>
      <c r="U435" s="5">
        <f t="shared" si="49"/>
        <v>159.70999999999998</v>
      </c>
      <c r="V435" s="5">
        <f t="shared" si="49"/>
        <v>218.48000000000005</v>
      </c>
      <c r="W435" s="5">
        <f t="shared" si="49"/>
        <v>205.76</v>
      </c>
      <c r="X435" s="5">
        <f t="shared" si="49"/>
        <v>221.1</v>
      </c>
      <c r="Y435" s="5">
        <f t="shared" si="49"/>
        <v>235.43</v>
      </c>
      <c r="Z435" s="5">
        <f t="shared" si="49"/>
        <v>255.15</v>
      </c>
      <c r="AA435" s="5">
        <f t="shared" si="49"/>
        <v>254.18</v>
      </c>
      <c r="AB435" s="5">
        <f t="shared" si="50"/>
        <v>235.64000000000001</v>
      </c>
      <c r="AC435" s="5">
        <f t="shared" si="50"/>
        <v>228.25999999999996</v>
      </c>
      <c r="AD435" s="5">
        <f t="shared" si="50"/>
        <v>263.38</v>
      </c>
      <c r="AE435" s="5">
        <f t="shared" si="50"/>
        <v>247.59999999999997</v>
      </c>
      <c r="AF435" s="5">
        <f t="shared" si="50"/>
        <v>240.26</v>
      </c>
      <c r="AG435" s="5">
        <f t="shared" si="50"/>
        <v>227.21</v>
      </c>
      <c r="AH435" s="5">
        <f t="shared" si="50"/>
        <v>202.11</v>
      </c>
      <c r="AI435" s="5">
        <f t="shared" si="50"/>
        <v>181.98000000000002</v>
      </c>
      <c r="AJ435" s="5">
        <f t="shared" si="50"/>
        <v>169.89000000000001</v>
      </c>
      <c r="AK435" s="5">
        <f t="shared" si="50"/>
        <v>149.34</v>
      </c>
      <c r="AL435" s="175">
        <f t="shared" si="50"/>
        <v>132.04</v>
      </c>
      <c r="AM435" s="537"/>
      <c r="AN435" s="341"/>
      <c r="AP435" s="354"/>
      <c r="AQ435" s="11"/>
      <c r="AR435" s="11"/>
      <c r="AS435" s="354"/>
    </row>
    <row r="436" spans="1:45">
      <c r="A436" s="5"/>
      <c r="B436" s="27" t="s">
        <v>1811</v>
      </c>
      <c r="C436" s="63" t="s">
        <v>728</v>
      </c>
      <c r="D436" s="296"/>
      <c r="E436" s="296"/>
      <c r="F436" s="296"/>
      <c r="G436" s="296"/>
      <c r="H436" s="296"/>
      <c r="I436" s="296"/>
      <c r="J436" s="296"/>
      <c r="K436" s="5">
        <f t="shared" si="51"/>
        <v>41.370000000000005</v>
      </c>
      <c r="L436" s="5">
        <f t="shared" si="51"/>
        <v>20.759999999999998</v>
      </c>
      <c r="M436" s="5">
        <f t="shared" si="51"/>
        <v>14.079999999999998</v>
      </c>
      <c r="N436" s="5">
        <f t="shared" si="51"/>
        <v>2.78</v>
      </c>
      <c r="O436" s="5">
        <f t="shared" si="51"/>
        <v>0</v>
      </c>
      <c r="P436" s="5">
        <f t="shared" si="51"/>
        <v>0</v>
      </c>
      <c r="Q436" s="5">
        <f t="shared" si="51"/>
        <v>0</v>
      </c>
      <c r="R436" s="5">
        <f t="shared" si="49"/>
        <v>0</v>
      </c>
      <c r="S436" s="5">
        <f t="shared" si="49"/>
        <v>0</v>
      </c>
      <c r="T436" s="5">
        <f t="shared" si="49"/>
        <v>0</v>
      </c>
      <c r="U436" s="5">
        <f t="shared" si="49"/>
        <v>0</v>
      </c>
      <c r="V436" s="5">
        <f t="shared" si="49"/>
        <v>0</v>
      </c>
      <c r="W436" s="5">
        <f t="shared" si="49"/>
        <v>0</v>
      </c>
      <c r="X436" s="5">
        <f t="shared" si="49"/>
        <v>0</v>
      </c>
      <c r="Y436" s="5">
        <f t="shared" si="49"/>
        <v>0</v>
      </c>
      <c r="Z436" s="5">
        <f t="shared" si="49"/>
        <v>0</v>
      </c>
      <c r="AA436" s="5">
        <f t="shared" si="49"/>
        <v>0</v>
      </c>
      <c r="AB436" s="5">
        <f t="shared" si="50"/>
        <v>0</v>
      </c>
      <c r="AC436" s="5">
        <f t="shared" si="50"/>
        <v>0</v>
      </c>
      <c r="AD436" s="5">
        <f t="shared" si="50"/>
        <v>0</v>
      </c>
      <c r="AE436" s="5">
        <f t="shared" si="50"/>
        <v>0</v>
      </c>
      <c r="AF436" s="5">
        <f t="shared" si="50"/>
        <v>0</v>
      </c>
      <c r="AG436" s="5">
        <f t="shared" si="50"/>
        <v>0</v>
      </c>
      <c r="AH436" s="5">
        <f t="shared" si="50"/>
        <v>0</v>
      </c>
      <c r="AI436" s="5">
        <f t="shared" si="50"/>
        <v>0</v>
      </c>
      <c r="AJ436" s="5">
        <f t="shared" si="50"/>
        <v>0</v>
      </c>
      <c r="AK436" s="5">
        <f t="shared" si="50"/>
        <v>0</v>
      </c>
      <c r="AL436" s="175">
        <f t="shared" si="50"/>
        <v>0</v>
      </c>
      <c r="AM436" s="537"/>
      <c r="AN436" s="341"/>
      <c r="AP436" s="354"/>
      <c r="AQ436" s="11"/>
      <c r="AR436" s="11"/>
      <c r="AS436" s="354"/>
    </row>
    <row r="437" spans="1:45">
      <c r="A437" s="5"/>
      <c r="B437" s="27" t="s">
        <v>2028</v>
      </c>
      <c r="C437" s="63" t="s">
        <v>728</v>
      </c>
      <c r="D437" s="296"/>
      <c r="E437" s="296"/>
      <c r="F437" s="296"/>
      <c r="G437" s="296"/>
      <c r="H437" s="296"/>
      <c r="I437" s="296"/>
      <c r="J437" s="296"/>
      <c r="K437" s="5">
        <f t="shared" si="51"/>
        <v>43.1</v>
      </c>
      <c r="L437" s="5">
        <f t="shared" si="51"/>
        <v>39.540000000000006</v>
      </c>
      <c r="M437" s="5">
        <f t="shared" si="51"/>
        <v>23.490000000000002</v>
      </c>
      <c r="N437" s="5">
        <f t="shared" si="51"/>
        <v>22.34</v>
      </c>
      <c r="O437" s="5">
        <f t="shared" si="51"/>
        <v>19.760000000000002</v>
      </c>
      <c r="P437" s="5">
        <f t="shared" si="51"/>
        <v>19.579999999999998</v>
      </c>
      <c r="Q437" s="5">
        <f t="shared" si="51"/>
        <v>22.24</v>
      </c>
      <c r="R437" s="5">
        <f t="shared" si="49"/>
        <v>21.03</v>
      </c>
      <c r="S437" s="5">
        <f t="shared" si="49"/>
        <v>26.650000000000002</v>
      </c>
      <c r="T437" s="5">
        <f t="shared" si="49"/>
        <v>20.2</v>
      </c>
      <c r="U437" s="5">
        <f t="shared" si="49"/>
        <v>13.850000000000001</v>
      </c>
      <c r="V437" s="5">
        <f t="shared" si="49"/>
        <v>26.229999999999997</v>
      </c>
      <c r="W437" s="5">
        <f t="shared" si="49"/>
        <v>24.48</v>
      </c>
      <c r="X437" s="5">
        <f t="shared" si="49"/>
        <v>21.939999999999998</v>
      </c>
      <c r="Y437" s="5">
        <f t="shared" si="49"/>
        <v>18.940000000000001</v>
      </c>
      <c r="Z437" s="5">
        <f t="shared" si="49"/>
        <v>17.479999999999997</v>
      </c>
      <c r="AA437" s="5">
        <f t="shared" si="49"/>
        <v>17.910000000000004</v>
      </c>
      <c r="AB437" s="5">
        <f t="shared" si="50"/>
        <v>18.25</v>
      </c>
      <c r="AC437" s="5">
        <f t="shared" si="50"/>
        <v>18.509999999999998</v>
      </c>
      <c r="AD437" s="5">
        <f t="shared" si="50"/>
        <v>18.869999999999997</v>
      </c>
      <c r="AE437" s="5">
        <f t="shared" si="50"/>
        <v>19.21</v>
      </c>
      <c r="AF437" s="5">
        <f t="shared" si="50"/>
        <v>19.54</v>
      </c>
      <c r="AG437" s="5">
        <f t="shared" si="50"/>
        <v>19.79</v>
      </c>
      <c r="AH437" s="5">
        <f t="shared" si="50"/>
        <v>20.04</v>
      </c>
      <c r="AI437" s="5">
        <f t="shared" si="50"/>
        <v>20.260000000000002</v>
      </c>
      <c r="AJ437" s="5">
        <f t="shared" si="50"/>
        <v>20.55</v>
      </c>
      <c r="AK437" s="5">
        <f t="shared" si="50"/>
        <v>20.830000000000002</v>
      </c>
      <c r="AL437" s="175">
        <f t="shared" si="50"/>
        <v>21.07</v>
      </c>
      <c r="AM437" s="537"/>
      <c r="AN437" s="341"/>
      <c r="AP437" s="354"/>
      <c r="AQ437" s="11"/>
      <c r="AR437" s="11"/>
      <c r="AS437" s="354"/>
    </row>
    <row r="438" spans="1:45">
      <c r="A438" s="5"/>
      <c r="B438" s="27" t="s">
        <v>2029</v>
      </c>
      <c r="C438" s="63" t="s">
        <v>728</v>
      </c>
      <c r="D438" s="296"/>
      <c r="E438" s="296"/>
      <c r="F438" s="296"/>
      <c r="G438" s="296"/>
      <c r="H438" s="296"/>
      <c r="I438" s="296"/>
      <c r="J438" s="296"/>
      <c r="K438" s="5">
        <f t="shared" si="51"/>
        <v>21.8</v>
      </c>
      <c r="L438" s="5">
        <f t="shared" si="51"/>
        <v>20.52</v>
      </c>
      <c r="M438" s="5">
        <f t="shared" si="51"/>
        <v>21.98</v>
      </c>
      <c r="N438" s="5">
        <f t="shared" si="51"/>
        <v>21.84</v>
      </c>
      <c r="O438" s="5">
        <f t="shared" si="51"/>
        <v>18.7</v>
      </c>
      <c r="P438" s="5">
        <f t="shared" si="51"/>
        <v>17.07</v>
      </c>
      <c r="Q438" s="5">
        <f t="shared" si="51"/>
        <v>16.59</v>
      </c>
      <c r="R438" s="5">
        <f t="shared" si="49"/>
        <v>15.309999999999999</v>
      </c>
      <c r="S438" s="5">
        <f t="shared" si="49"/>
        <v>14.73</v>
      </c>
      <c r="T438" s="5">
        <f t="shared" si="49"/>
        <v>16.68</v>
      </c>
      <c r="U438" s="5">
        <f t="shared" si="49"/>
        <v>15.85</v>
      </c>
      <c r="V438" s="5">
        <f t="shared" si="49"/>
        <v>14.83</v>
      </c>
      <c r="W438" s="5">
        <f t="shared" si="49"/>
        <v>16.38</v>
      </c>
      <c r="X438" s="5">
        <f t="shared" si="49"/>
        <v>7.52</v>
      </c>
      <c r="Y438" s="5">
        <f t="shared" si="49"/>
        <v>7.04</v>
      </c>
      <c r="Z438" s="5">
        <f t="shared" si="49"/>
        <v>6.74</v>
      </c>
      <c r="AA438" s="5">
        <f t="shared" si="49"/>
        <v>7.34</v>
      </c>
      <c r="AB438" s="5">
        <f t="shared" si="50"/>
        <v>7.67</v>
      </c>
      <c r="AC438" s="5">
        <f t="shared" si="50"/>
        <v>7.92</v>
      </c>
      <c r="AD438" s="5">
        <f t="shared" si="50"/>
        <v>8.11</v>
      </c>
      <c r="AE438" s="5">
        <f t="shared" si="50"/>
        <v>8.3000000000000007</v>
      </c>
      <c r="AF438" s="5">
        <f t="shared" si="50"/>
        <v>8.4600000000000009</v>
      </c>
      <c r="AG438" s="5">
        <f t="shared" si="50"/>
        <v>8.59</v>
      </c>
      <c r="AH438" s="5">
        <f t="shared" si="50"/>
        <v>8.7100000000000009</v>
      </c>
      <c r="AI438" s="5">
        <f t="shared" si="50"/>
        <v>8.81</v>
      </c>
      <c r="AJ438" s="5">
        <f t="shared" si="50"/>
        <v>8.91</v>
      </c>
      <c r="AK438" s="5">
        <f t="shared" si="50"/>
        <v>9.01</v>
      </c>
      <c r="AL438" s="175">
        <f t="shared" si="50"/>
        <v>9.11</v>
      </c>
      <c r="AM438" s="537"/>
      <c r="AN438" s="341"/>
      <c r="AQ438" s="11"/>
      <c r="AR438" s="11"/>
    </row>
    <row r="439" spans="1:45">
      <c r="A439" s="5"/>
      <c r="B439" s="27" t="s">
        <v>2935</v>
      </c>
      <c r="C439" s="63" t="s">
        <v>728</v>
      </c>
      <c r="D439" s="296"/>
      <c r="E439" s="296"/>
      <c r="F439" s="296"/>
      <c r="G439" s="296"/>
      <c r="H439" s="296"/>
      <c r="I439" s="296"/>
      <c r="J439" s="296"/>
      <c r="K439" s="5">
        <f t="shared" si="51"/>
        <v>0</v>
      </c>
      <c r="L439" s="5">
        <f t="shared" si="51"/>
        <v>0</v>
      </c>
      <c r="M439" s="5">
        <f t="shared" si="51"/>
        <v>0</v>
      </c>
      <c r="N439" s="5">
        <f t="shared" si="51"/>
        <v>0</v>
      </c>
      <c r="O439" s="5">
        <f t="shared" si="51"/>
        <v>0</v>
      </c>
      <c r="P439" s="5">
        <f t="shared" si="51"/>
        <v>0</v>
      </c>
      <c r="Q439" s="5">
        <f t="shared" si="51"/>
        <v>0</v>
      </c>
      <c r="R439" s="5">
        <f t="shared" si="49"/>
        <v>0</v>
      </c>
      <c r="S439" s="5">
        <f t="shared" si="49"/>
        <v>0</v>
      </c>
      <c r="T439" s="5">
        <f t="shared" si="49"/>
        <v>0</v>
      </c>
      <c r="U439" s="5">
        <f t="shared" si="49"/>
        <v>0</v>
      </c>
      <c r="V439" s="5">
        <f t="shared" si="49"/>
        <v>0</v>
      </c>
      <c r="W439" s="5">
        <f t="shared" si="49"/>
        <v>0</v>
      </c>
      <c r="X439" s="5">
        <f t="shared" si="49"/>
        <v>0</v>
      </c>
      <c r="Y439" s="5">
        <f t="shared" si="49"/>
        <v>0</v>
      </c>
      <c r="Z439" s="5">
        <f t="shared" si="49"/>
        <v>0</v>
      </c>
      <c r="AA439" s="5">
        <f t="shared" si="49"/>
        <v>0</v>
      </c>
      <c r="AB439" s="5">
        <f t="shared" si="50"/>
        <v>0</v>
      </c>
      <c r="AC439" s="5">
        <f t="shared" si="50"/>
        <v>0</v>
      </c>
      <c r="AD439" s="5">
        <f t="shared" si="50"/>
        <v>0</v>
      </c>
      <c r="AE439" s="5">
        <f t="shared" si="50"/>
        <v>0</v>
      </c>
      <c r="AF439" s="5">
        <f t="shared" si="50"/>
        <v>0</v>
      </c>
      <c r="AG439" s="5">
        <f t="shared" si="50"/>
        <v>0</v>
      </c>
      <c r="AH439" s="5">
        <f t="shared" si="50"/>
        <v>0</v>
      </c>
      <c r="AI439" s="5">
        <f t="shared" si="50"/>
        <v>0</v>
      </c>
      <c r="AJ439" s="5">
        <f t="shared" si="50"/>
        <v>0</v>
      </c>
      <c r="AK439" s="5">
        <f t="shared" si="50"/>
        <v>0</v>
      </c>
      <c r="AL439" s="175">
        <f t="shared" si="50"/>
        <v>0</v>
      </c>
      <c r="AM439" s="537"/>
      <c r="AN439" s="341"/>
      <c r="AQ439" s="11"/>
      <c r="AR439" s="11"/>
    </row>
    <row r="440" spans="1:45">
      <c r="A440" s="5"/>
      <c r="B440" s="27" t="s">
        <v>652</v>
      </c>
      <c r="C440" s="63" t="s">
        <v>728</v>
      </c>
      <c r="D440" s="296"/>
      <c r="E440" s="296"/>
      <c r="F440" s="296"/>
      <c r="G440" s="296"/>
      <c r="H440" s="296"/>
      <c r="I440" s="296"/>
      <c r="J440" s="296"/>
      <c r="K440" s="5">
        <f t="shared" si="51"/>
        <v>68.02</v>
      </c>
      <c r="L440" s="5">
        <f t="shared" si="51"/>
        <v>59.039999999999992</v>
      </c>
      <c r="M440" s="5">
        <f t="shared" si="51"/>
        <v>58.45000000000001</v>
      </c>
      <c r="N440" s="5">
        <f t="shared" si="51"/>
        <v>50.689999999999991</v>
      </c>
      <c r="O440" s="5">
        <f t="shared" si="51"/>
        <v>38.179999999999993</v>
      </c>
      <c r="P440" s="5">
        <f t="shared" si="51"/>
        <v>27.54</v>
      </c>
      <c r="Q440" s="5">
        <f t="shared" si="51"/>
        <v>26.509999999999998</v>
      </c>
      <c r="R440" s="5">
        <f t="shared" si="49"/>
        <v>19.62</v>
      </c>
      <c r="S440" s="5">
        <f t="shared" si="49"/>
        <v>0</v>
      </c>
      <c r="T440" s="5">
        <f t="shared" si="49"/>
        <v>0</v>
      </c>
      <c r="U440" s="5">
        <f t="shared" si="49"/>
        <v>0</v>
      </c>
      <c r="V440" s="5">
        <f t="shared" si="49"/>
        <v>0</v>
      </c>
      <c r="W440" s="5">
        <f t="shared" si="49"/>
        <v>0</v>
      </c>
      <c r="X440" s="5">
        <f t="shared" si="49"/>
        <v>0</v>
      </c>
      <c r="Y440" s="5">
        <f t="shared" si="49"/>
        <v>0</v>
      </c>
      <c r="Z440" s="5">
        <f t="shared" si="49"/>
        <v>0</v>
      </c>
      <c r="AA440" s="5">
        <f t="shared" si="49"/>
        <v>0</v>
      </c>
      <c r="AB440" s="5">
        <f t="shared" si="50"/>
        <v>0</v>
      </c>
      <c r="AC440" s="5">
        <f t="shared" si="50"/>
        <v>0</v>
      </c>
      <c r="AD440" s="5">
        <f t="shared" si="50"/>
        <v>0</v>
      </c>
      <c r="AE440" s="5">
        <f t="shared" si="50"/>
        <v>0</v>
      </c>
      <c r="AF440" s="5">
        <f t="shared" si="50"/>
        <v>0</v>
      </c>
      <c r="AG440" s="5">
        <f t="shared" si="50"/>
        <v>0</v>
      </c>
      <c r="AH440" s="5">
        <f t="shared" si="50"/>
        <v>0</v>
      </c>
      <c r="AI440" s="5">
        <f t="shared" si="50"/>
        <v>0</v>
      </c>
      <c r="AJ440" s="5">
        <f t="shared" si="50"/>
        <v>0</v>
      </c>
      <c r="AK440" s="5">
        <f t="shared" si="50"/>
        <v>0</v>
      </c>
      <c r="AL440" s="175">
        <f t="shared" si="50"/>
        <v>0</v>
      </c>
      <c r="AM440" s="537"/>
      <c r="AN440" s="341"/>
      <c r="AQ440" s="11"/>
      <c r="AR440" s="11"/>
    </row>
    <row r="441" spans="1:45">
      <c r="A441" s="5"/>
      <c r="B441" s="103" t="s">
        <v>653</v>
      </c>
      <c r="C441" s="63" t="s">
        <v>728</v>
      </c>
      <c r="D441" s="296"/>
      <c r="E441" s="296"/>
      <c r="F441" s="296"/>
      <c r="G441" s="296"/>
      <c r="H441" s="296"/>
      <c r="I441" s="296"/>
      <c r="J441" s="296"/>
      <c r="K441" s="5">
        <f t="shared" si="51"/>
        <v>28.95</v>
      </c>
      <c r="L441" s="5">
        <f t="shared" si="51"/>
        <v>27.42</v>
      </c>
      <c r="M441" s="5">
        <f t="shared" si="51"/>
        <v>30.799999999999997</v>
      </c>
      <c r="N441" s="5">
        <f t="shared" si="51"/>
        <v>30.490000000000002</v>
      </c>
      <c r="O441" s="5">
        <f t="shared" si="51"/>
        <v>29.29</v>
      </c>
      <c r="P441" s="5">
        <f t="shared" si="51"/>
        <v>31.340000000000003</v>
      </c>
      <c r="Q441" s="5">
        <f t="shared" si="51"/>
        <v>31.86</v>
      </c>
      <c r="R441" s="5">
        <f t="shared" si="49"/>
        <v>33.869999999999997</v>
      </c>
      <c r="S441" s="5">
        <f t="shared" si="49"/>
        <v>35.08</v>
      </c>
      <c r="T441" s="5">
        <f t="shared" si="49"/>
        <v>33.599999999999994</v>
      </c>
      <c r="U441" s="5">
        <f t="shared" si="49"/>
        <v>28.810000000000002</v>
      </c>
      <c r="V441" s="5">
        <f t="shared" si="49"/>
        <v>23.380000000000003</v>
      </c>
      <c r="W441" s="5">
        <f t="shared" si="49"/>
        <v>23.41</v>
      </c>
      <c r="X441" s="5">
        <f t="shared" si="49"/>
        <v>24.43</v>
      </c>
      <c r="Y441" s="5">
        <f t="shared" si="49"/>
        <v>20.509999999999998</v>
      </c>
      <c r="Z441" s="5">
        <f t="shared" si="49"/>
        <v>17.96</v>
      </c>
      <c r="AA441" s="5">
        <f t="shared" si="49"/>
        <v>18.080000000000002</v>
      </c>
      <c r="AB441" s="5">
        <f t="shared" si="50"/>
        <v>18.34</v>
      </c>
      <c r="AC441" s="5">
        <f t="shared" si="50"/>
        <v>18.16</v>
      </c>
      <c r="AD441" s="5">
        <f t="shared" si="50"/>
        <v>17.920000000000002</v>
      </c>
      <c r="AE441" s="5">
        <f t="shared" si="50"/>
        <v>17.64</v>
      </c>
      <c r="AF441" s="5">
        <f t="shared" si="50"/>
        <v>17.330000000000002</v>
      </c>
      <c r="AG441" s="5">
        <f t="shared" si="50"/>
        <v>17.04</v>
      </c>
      <c r="AH441" s="5">
        <f t="shared" si="50"/>
        <v>16.75</v>
      </c>
      <c r="AI441" s="5">
        <f t="shared" si="50"/>
        <v>16.47</v>
      </c>
      <c r="AJ441" s="5">
        <f t="shared" si="50"/>
        <v>14.700000000000001</v>
      </c>
      <c r="AK441" s="5">
        <f t="shared" si="50"/>
        <v>13.14</v>
      </c>
      <c r="AL441" s="175">
        <f t="shared" si="50"/>
        <v>12.17</v>
      </c>
      <c r="AM441" s="537"/>
      <c r="AN441" s="341"/>
      <c r="AQ441" s="11"/>
      <c r="AR441" s="11"/>
    </row>
    <row r="442" spans="1:45">
      <c r="A442" s="5"/>
      <c r="B442" s="27" t="s">
        <v>654</v>
      </c>
      <c r="C442" s="63" t="s">
        <v>1036</v>
      </c>
      <c r="D442" s="296"/>
      <c r="E442" s="296"/>
      <c r="F442" s="296"/>
      <c r="G442" s="296"/>
      <c r="H442" s="296"/>
      <c r="I442" s="296"/>
      <c r="J442" s="296"/>
      <c r="K442" s="5">
        <f t="shared" si="51"/>
        <v>0</v>
      </c>
      <c r="L442" s="5">
        <f t="shared" si="51"/>
        <v>0</v>
      </c>
      <c r="M442" s="5">
        <f t="shared" si="51"/>
        <v>0</v>
      </c>
      <c r="N442" s="5">
        <f t="shared" si="51"/>
        <v>0</v>
      </c>
      <c r="O442" s="5">
        <f t="shared" si="51"/>
        <v>0</v>
      </c>
      <c r="P442" s="5">
        <f t="shared" si="51"/>
        <v>0</v>
      </c>
      <c r="Q442" s="5">
        <f t="shared" si="51"/>
        <v>0</v>
      </c>
      <c r="R442" s="5">
        <f t="shared" si="49"/>
        <v>0</v>
      </c>
      <c r="S442" s="5">
        <f t="shared" si="49"/>
        <v>0</v>
      </c>
      <c r="T442" s="5">
        <f t="shared" si="49"/>
        <v>0</v>
      </c>
      <c r="U442" s="5">
        <f t="shared" si="49"/>
        <v>0</v>
      </c>
      <c r="V442" s="5">
        <f t="shared" si="49"/>
        <v>0</v>
      </c>
      <c r="W442" s="5">
        <f t="shared" si="49"/>
        <v>0</v>
      </c>
      <c r="X442" s="5">
        <f t="shared" si="49"/>
        <v>0</v>
      </c>
      <c r="Y442" s="5">
        <f t="shared" si="49"/>
        <v>0</v>
      </c>
      <c r="Z442" s="5">
        <f t="shared" si="49"/>
        <v>0</v>
      </c>
      <c r="AA442" s="5">
        <f t="shared" si="49"/>
        <v>0</v>
      </c>
      <c r="AB442" s="5">
        <f t="shared" si="50"/>
        <v>0</v>
      </c>
      <c r="AC442" s="5">
        <f t="shared" si="50"/>
        <v>0</v>
      </c>
      <c r="AD442" s="5">
        <f t="shared" si="50"/>
        <v>0</v>
      </c>
      <c r="AE442" s="5">
        <f t="shared" si="50"/>
        <v>0</v>
      </c>
      <c r="AF442" s="5">
        <f t="shared" si="50"/>
        <v>0</v>
      </c>
      <c r="AG442" s="5">
        <f t="shared" si="50"/>
        <v>0</v>
      </c>
      <c r="AH442" s="5">
        <f t="shared" si="50"/>
        <v>0</v>
      </c>
      <c r="AI442" s="5">
        <f t="shared" si="50"/>
        <v>0</v>
      </c>
      <c r="AJ442" s="5">
        <f t="shared" si="50"/>
        <v>0</v>
      </c>
      <c r="AK442" s="5">
        <f t="shared" si="50"/>
        <v>0</v>
      </c>
      <c r="AL442" s="175">
        <f t="shared" si="50"/>
        <v>0</v>
      </c>
      <c r="AM442" s="537"/>
      <c r="AN442" s="341"/>
      <c r="AQ442" s="11"/>
      <c r="AR442" s="11"/>
    </row>
    <row r="443" spans="1:45">
      <c r="A443" s="5"/>
      <c r="B443" s="27" t="s">
        <v>2726</v>
      </c>
      <c r="C443" s="63" t="s">
        <v>3400</v>
      </c>
      <c r="D443" s="296"/>
      <c r="E443" s="296"/>
      <c r="F443" s="296"/>
      <c r="G443" s="296"/>
      <c r="H443" s="296"/>
      <c r="I443" s="296"/>
      <c r="J443" s="296"/>
      <c r="K443" s="5">
        <f t="shared" si="51"/>
        <v>0</v>
      </c>
      <c r="L443" s="5">
        <f t="shared" si="51"/>
        <v>0</v>
      </c>
      <c r="M443" s="5">
        <f t="shared" si="51"/>
        <v>0</v>
      </c>
      <c r="N443" s="5">
        <f t="shared" si="51"/>
        <v>0</v>
      </c>
      <c r="O443" s="5">
        <f t="shared" si="51"/>
        <v>0</v>
      </c>
      <c r="P443" s="5">
        <f t="shared" si="51"/>
        <v>0</v>
      </c>
      <c r="Q443" s="5">
        <f t="shared" si="51"/>
        <v>0</v>
      </c>
      <c r="R443" s="5">
        <f t="shared" si="49"/>
        <v>0</v>
      </c>
      <c r="S443" s="5">
        <f t="shared" si="49"/>
        <v>0</v>
      </c>
      <c r="T443" s="5">
        <f t="shared" si="49"/>
        <v>0</v>
      </c>
      <c r="U443" s="5">
        <f t="shared" si="49"/>
        <v>0</v>
      </c>
      <c r="V443" s="5">
        <f t="shared" si="49"/>
        <v>0</v>
      </c>
      <c r="W443" s="5">
        <f t="shared" si="49"/>
        <v>0</v>
      </c>
      <c r="X443" s="5">
        <f t="shared" si="49"/>
        <v>0</v>
      </c>
      <c r="Y443" s="5">
        <f t="shared" si="49"/>
        <v>0</v>
      </c>
      <c r="Z443" s="5">
        <f t="shared" si="49"/>
        <v>0</v>
      </c>
      <c r="AA443" s="5">
        <f t="shared" si="49"/>
        <v>0</v>
      </c>
      <c r="AB443" s="5">
        <f t="shared" si="50"/>
        <v>0</v>
      </c>
      <c r="AC443" s="5">
        <f t="shared" si="50"/>
        <v>0</v>
      </c>
      <c r="AD443" s="5">
        <f t="shared" si="50"/>
        <v>0</v>
      </c>
      <c r="AE443" s="5">
        <f t="shared" si="50"/>
        <v>0</v>
      </c>
      <c r="AF443" s="5">
        <f t="shared" si="50"/>
        <v>0</v>
      </c>
      <c r="AG443" s="5">
        <f t="shared" si="50"/>
        <v>0</v>
      </c>
      <c r="AH443" s="5">
        <f t="shared" si="50"/>
        <v>0</v>
      </c>
      <c r="AI443" s="5">
        <f t="shared" si="50"/>
        <v>0</v>
      </c>
      <c r="AJ443" s="5">
        <f t="shared" si="50"/>
        <v>0</v>
      </c>
      <c r="AK443" s="5">
        <f t="shared" si="50"/>
        <v>0</v>
      </c>
      <c r="AL443" s="175">
        <f t="shared" si="50"/>
        <v>0</v>
      </c>
      <c r="AM443" s="537"/>
      <c r="AN443" s="341"/>
      <c r="AQ443" s="11"/>
      <c r="AR443" s="11"/>
    </row>
    <row r="444" spans="1:45">
      <c r="A444" s="8"/>
      <c r="B444" s="28" t="s">
        <v>896</v>
      </c>
      <c r="C444" s="8"/>
      <c r="D444" s="296"/>
      <c r="E444" s="296"/>
      <c r="F444" s="296"/>
      <c r="G444" s="296"/>
      <c r="H444" s="296"/>
      <c r="I444" s="296"/>
      <c r="J444" s="296"/>
      <c r="K444" s="8">
        <f t="shared" ref="K444:AL444" si="52">SUM(K414:K443)</f>
        <v>1475.8699999999994</v>
      </c>
      <c r="L444" s="8">
        <f t="shared" si="52"/>
        <v>1352.4999999999998</v>
      </c>
      <c r="M444" s="8">
        <f t="shared" si="52"/>
        <v>1290.8700000000001</v>
      </c>
      <c r="N444" s="8">
        <f t="shared" si="52"/>
        <v>1247.76</v>
      </c>
      <c r="O444" s="8">
        <f t="shared" si="52"/>
        <v>1253.8999999999999</v>
      </c>
      <c r="P444" s="8">
        <f t="shared" si="52"/>
        <v>1160.6899999999998</v>
      </c>
      <c r="Q444" s="8">
        <f t="shared" si="52"/>
        <v>1313.7599999999998</v>
      </c>
      <c r="R444" s="8">
        <f t="shared" si="52"/>
        <v>1157.2299999999998</v>
      </c>
      <c r="S444" s="8">
        <f t="shared" si="52"/>
        <v>920.1400000000001</v>
      </c>
      <c r="T444" s="8">
        <f t="shared" si="52"/>
        <v>843.7</v>
      </c>
      <c r="U444" s="8">
        <f t="shared" si="52"/>
        <v>851.73</v>
      </c>
      <c r="V444" s="8">
        <f t="shared" si="52"/>
        <v>945.9942400000001</v>
      </c>
      <c r="W444" s="8">
        <f t="shared" si="52"/>
        <v>1186.4207600000002</v>
      </c>
      <c r="X444" s="8">
        <f t="shared" si="52"/>
        <v>1200.2614799999999</v>
      </c>
      <c r="Y444" s="8">
        <f t="shared" si="52"/>
        <v>1134.2907599999999</v>
      </c>
      <c r="Z444" s="8">
        <f t="shared" si="52"/>
        <v>1162.5493200000003</v>
      </c>
      <c r="AA444" s="8">
        <f t="shared" si="52"/>
        <v>1154.4728</v>
      </c>
      <c r="AB444" s="8">
        <f t="shared" si="52"/>
        <v>1120.9302399999999</v>
      </c>
      <c r="AC444" s="8">
        <f t="shared" si="52"/>
        <v>1082.6300800000001</v>
      </c>
      <c r="AD444" s="8">
        <f t="shared" si="52"/>
        <v>1095.6812399999997</v>
      </c>
      <c r="AE444" s="8">
        <f t="shared" si="52"/>
        <v>1053.1614400000001</v>
      </c>
      <c r="AF444" s="8">
        <f t="shared" si="52"/>
        <v>1010.2944</v>
      </c>
      <c r="AG444" s="8">
        <f t="shared" si="52"/>
        <v>958.46976000000006</v>
      </c>
      <c r="AH444" s="8">
        <f t="shared" si="52"/>
        <v>885.41224</v>
      </c>
      <c r="AI444" s="8">
        <f t="shared" si="52"/>
        <v>826.94208000000003</v>
      </c>
      <c r="AJ444" s="8">
        <f t="shared" si="52"/>
        <v>764.91987999999992</v>
      </c>
      <c r="AK444" s="8">
        <f t="shared" si="52"/>
        <v>722.99599999999998</v>
      </c>
      <c r="AL444" s="76">
        <f t="shared" si="52"/>
        <v>674.78092000000004</v>
      </c>
      <c r="AM444" s="76"/>
      <c r="AN444" s="179"/>
      <c r="AQ444" s="11"/>
      <c r="AR444" s="11"/>
    </row>
    <row r="445" spans="1:4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346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173"/>
      <c r="AN445" s="341"/>
      <c r="AQ445" s="11"/>
      <c r="AR445" s="11"/>
    </row>
    <row r="446" spans="1:45">
      <c r="A446" s="5"/>
      <c r="B446" s="24" t="s">
        <v>2728</v>
      </c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173"/>
      <c r="AN446" s="341"/>
      <c r="AQ446" s="11"/>
      <c r="AR446" s="11"/>
    </row>
    <row r="447" spans="1:45">
      <c r="A447" s="5"/>
      <c r="B447" s="50" t="s">
        <v>2502</v>
      </c>
      <c r="C447" s="5"/>
      <c r="D447" s="296"/>
      <c r="E447" s="296"/>
      <c r="F447" s="296"/>
      <c r="G447" s="296"/>
      <c r="H447" s="296"/>
      <c r="I447" s="296"/>
      <c r="J447" s="296"/>
      <c r="K447" s="5">
        <f t="shared" ref="K447:T456" si="53">SUMIF($C$414:$C$443,$B447,K$414:K$443)</f>
        <v>0</v>
      </c>
      <c r="L447" s="5">
        <f t="shared" si="53"/>
        <v>0</v>
      </c>
      <c r="M447" s="5">
        <f t="shared" si="53"/>
        <v>0</v>
      </c>
      <c r="N447" s="5">
        <f t="shared" si="53"/>
        <v>0</v>
      </c>
      <c r="O447" s="5">
        <f t="shared" si="53"/>
        <v>0</v>
      </c>
      <c r="P447" s="5">
        <f t="shared" si="53"/>
        <v>0</v>
      </c>
      <c r="Q447" s="5">
        <f t="shared" si="53"/>
        <v>0</v>
      </c>
      <c r="R447" s="5">
        <f t="shared" si="53"/>
        <v>0</v>
      </c>
      <c r="S447" s="5">
        <f t="shared" si="53"/>
        <v>0</v>
      </c>
      <c r="T447" s="5">
        <f t="shared" si="53"/>
        <v>0</v>
      </c>
      <c r="U447" s="5">
        <f t="shared" ref="U447:AD456" si="54">SUMIF($C$414:$C$443,$B447,U$414:U$443)</f>
        <v>0</v>
      </c>
      <c r="V447" s="5">
        <f t="shared" si="54"/>
        <v>0</v>
      </c>
      <c r="W447" s="5">
        <f t="shared" si="54"/>
        <v>158.4</v>
      </c>
      <c r="X447" s="5">
        <f t="shared" si="54"/>
        <v>165.1</v>
      </c>
      <c r="Y447" s="5">
        <f t="shared" si="54"/>
        <v>167.07</v>
      </c>
      <c r="Z447" s="5">
        <f t="shared" si="54"/>
        <v>169.07</v>
      </c>
      <c r="AA447" s="5">
        <f t="shared" si="54"/>
        <v>169.34</v>
      </c>
      <c r="AB447" s="5">
        <f t="shared" si="54"/>
        <v>170.17</v>
      </c>
      <c r="AC447" s="5">
        <f t="shared" si="54"/>
        <v>172.44</v>
      </c>
      <c r="AD447" s="5">
        <f t="shared" si="54"/>
        <v>174.21</v>
      </c>
      <c r="AE447" s="5">
        <f t="shared" ref="AE447:AL456" si="55">SUMIF($C$414:$C$443,$B447,AE$414:AE$443)</f>
        <v>177</v>
      </c>
      <c r="AF447" s="5">
        <f t="shared" si="55"/>
        <v>176.79</v>
      </c>
      <c r="AG447" s="5">
        <f t="shared" si="55"/>
        <v>175.8</v>
      </c>
      <c r="AH447" s="5">
        <f t="shared" si="55"/>
        <v>174.88</v>
      </c>
      <c r="AI447" s="5">
        <f t="shared" si="55"/>
        <v>174.03</v>
      </c>
      <c r="AJ447" s="5">
        <f t="shared" si="55"/>
        <v>173.23</v>
      </c>
      <c r="AK447" s="5">
        <f t="shared" si="55"/>
        <v>172.4</v>
      </c>
      <c r="AL447" s="5">
        <f t="shared" si="55"/>
        <v>171.61</v>
      </c>
      <c r="AM447" s="173"/>
      <c r="AN447" s="341"/>
      <c r="AQ447" s="11"/>
      <c r="AR447" s="11"/>
    </row>
    <row r="448" spans="1:45">
      <c r="A448" s="5"/>
      <c r="B448" s="50" t="s">
        <v>1473</v>
      </c>
      <c r="C448" s="5"/>
      <c r="D448" s="296"/>
      <c r="E448" s="296"/>
      <c r="F448" s="296"/>
      <c r="G448" s="296"/>
      <c r="H448" s="296"/>
      <c r="I448" s="296"/>
      <c r="J448" s="296"/>
      <c r="K448" s="5">
        <f t="shared" si="53"/>
        <v>0</v>
      </c>
      <c r="L448" s="5">
        <f t="shared" si="53"/>
        <v>0</v>
      </c>
      <c r="M448" s="5">
        <f t="shared" si="53"/>
        <v>0</v>
      </c>
      <c r="N448" s="5">
        <f t="shared" si="53"/>
        <v>12.56</v>
      </c>
      <c r="O448" s="5">
        <f t="shared" si="53"/>
        <v>16.559999999999999</v>
      </c>
      <c r="P448" s="5">
        <f t="shared" si="53"/>
        <v>13.83</v>
      </c>
      <c r="Q448" s="5">
        <f t="shared" si="53"/>
        <v>18.64</v>
      </c>
      <c r="R448" s="5">
        <f t="shared" si="53"/>
        <v>12.43</v>
      </c>
      <c r="S448" s="5">
        <f t="shared" si="53"/>
        <v>10.07</v>
      </c>
      <c r="T448" s="5">
        <f t="shared" si="53"/>
        <v>9.61</v>
      </c>
      <c r="U448" s="5">
        <f t="shared" si="54"/>
        <v>6.42</v>
      </c>
      <c r="V448" s="5">
        <f t="shared" si="54"/>
        <v>8.99</v>
      </c>
      <c r="W448" s="5">
        <f t="shared" si="54"/>
        <v>13.33</v>
      </c>
      <c r="X448" s="5">
        <f t="shared" si="54"/>
        <v>12.77</v>
      </c>
      <c r="Y448" s="5">
        <f t="shared" si="54"/>
        <v>18.14</v>
      </c>
      <c r="Z448" s="5">
        <f t="shared" si="54"/>
        <v>18.18</v>
      </c>
      <c r="AA448" s="5">
        <f t="shared" si="54"/>
        <v>18.239999999999998</v>
      </c>
      <c r="AB448" s="5">
        <f t="shared" si="54"/>
        <v>17.940000000000001</v>
      </c>
      <c r="AC448" s="5">
        <f t="shared" si="54"/>
        <v>14.5</v>
      </c>
      <c r="AD448" s="5">
        <f t="shared" si="54"/>
        <v>14.27</v>
      </c>
      <c r="AE448" s="5">
        <f t="shared" si="55"/>
        <v>12.96</v>
      </c>
      <c r="AF448" s="5">
        <f t="shared" si="55"/>
        <v>13.49</v>
      </c>
      <c r="AG448" s="5">
        <f t="shared" si="55"/>
        <v>12.28</v>
      </c>
      <c r="AH448" s="5">
        <f t="shared" si="55"/>
        <v>11.26</v>
      </c>
      <c r="AI448" s="5">
        <f t="shared" si="55"/>
        <v>10.51</v>
      </c>
      <c r="AJ448" s="5">
        <f t="shared" si="55"/>
        <v>0</v>
      </c>
      <c r="AK448" s="5">
        <f t="shared" si="55"/>
        <v>0</v>
      </c>
      <c r="AL448" s="5">
        <f t="shared" si="55"/>
        <v>0</v>
      </c>
      <c r="AM448" s="173"/>
      <c r="AN448" s="341"/>
      <c r="AQ448" s="11"/>
      <c r="AR448" s="11"/>
    </row>
    <row r="449" spans="1:44">
      <c r="A449" s="5"/>
      <c r="B449" s="50" t="s">
        <v>1934</v>
      </c>
      <c r="C449" s="5"/>
      <c r="D449" s="296"/>
      <c r="E449" s="296"/>
      <c r="F449" s="296"/>
      <c r="G449" s="296"/>
      <c r="H449" s="296"/>
      <c r="I449" s="296"/>
      <c r="J449" s="296"/>
      <c r="K449" s="5">
        <f t="shared" si="53"/>
        <v>31.29</v>
      </c>
      <c r="L449" s="5">
        <f t="shared" si="53"/>
        <v>50.449999999999996</v>
      </c>
      <c r="M449" s="5">
        <f t="shared" si="53"/>
        <v>115.1</v>
      </c>
      <c r="N449" s="5">
        <f t="shared" si="53"/>
        <v>124.82999999999998</v>
      </c>
      <c r="O449" s="5">
        <f t="shared" si="53"/>
        <v>163.27999999999997</v>
      </c>
      <c r="P449" s="5">
        <f t="shared" si="53"/>
        <v>200.28</v>
      </c>
      <c r="Q449" s="5">
        <f t="shared" si="53"/>
        <v>211.08999999999997</v>
      </c>
      <c r="R449" s="5">
        <f t="shared" si="53"/>
        <v>164.73</v>
      </c>
      <c r="S449" s="5">
        <f t="shared" si="53"/>
        <v>123.45</v>
      </c>
      <c r="T449" s="5">
        <f t="shared" si="53"/>
        <v>155</v>
      </c>
      <c r="U449" s="5">
        <f t="shared" si="54"/>
        <v>190.09</v>
      </c>
      <c r="V449" s="5">
        <f t="shared" si="54"/>
        <v>194.70999999999995</v>
      </c>
      <c r="W449" s="5">
        <f t="shared" si="54"/>
        <v>219.66999999999996</v>
      </c>
      <c r="X449" s="5">
        <f t="shared" si="54"/>
        <v>210.61999999999998</v>
      </c>
      <c r="Y449" s="5">
        <f t="shared" si="54"/>
        <v>187.63</v>
      </c>
      <c r="Z449" s="5">
        <f t="shared" si="54"/>
        <v>170.45</v>
      </c>
      <c r="AA449" s="5">
        <f t="shared" si="54"/>
        <v>148.31000000000006</v>
      </c>
      <c r="AB449" s="5">
        <f t="shared" si="54"/>
        <v>133.56</v>
      </c>
      <c r="AC449" s="5">
        <f t="shared" si="54"/>
        <v>113.34999999999998</v>
      </c>
      <c r="AD449" s="5">
        <f t="shared" si="54"/>
        <v>92.86999999999999</v>
      </c>
      <c r="AE449" s="5">
        <f t="shared" si="55"/>
        <v>74.419999999999987</v>
      </c>
      <c r="AF449" s="5">
        <f t="shared" si="55"/>
        <v>56.890000000000008</v>
      </c>
      <c r="AG449" s="5">
        <f t="shared" si="55"/>
        <v>43.48</v>
      </c>
      <c r="AH449" s="5">
        <f t="shared" si="55"/>
        <v>29.95</v>
      </c>
      <c r="AI449" s="5">
        <f t="shared" si="55"/>
        <v>18.55</v>
      </c>
      <c r="AJ449" s="5">
        <f t="shared" si="55"/>
        <v>12.84</v>
      </c>
      <c r="AK449" s="5">
        <f t="shared" si="55"/>
        <v>9.5299999999999994</v>
      </c>
      <c r="AL449" s="5">
        <f t="shared" si="55"/>
        <v>4.43</v>
      </c>
      <c r="AM449" s="173"/>
      <c r="AN449" s="341"/>
      <c r="AQ449" s="11"/>
      <c r="AR449" s="11"/>
    </row>
    <row r="450" spans="1:44">
      <c r="A450" s="5"/>
      <c r="B450" s="50" t="s">
        <v>2921</v>
      </c>
      <c r="C450" s="5"/>
      <c r="D450" s="296"/>
      <c r="E450" s="296"/>
      <c r="F450" s="296"/>
      <c r="G450" s="296"/>
      <c r="H450" s="296"/>
      <c r="I450" s="296"/>
      <c r="J450" s="296"/>
      <c r="K450" s="5">
        <f t="shared" si="53"/>
        <v>0</v>
      </c>
      <c r="L450" s="5">
        <f t="shared" si="53"/>
        <v>0</v>
      </c>
      <c r="M450" s="5">
        <f t="shared" si="53"/>
        <v>0</v>
      </c>
      <c r="N450" s="5">
        <f t="shared" si="53"/>
        <v>0</v>
      </c>
      <c r="O450" s="5">
        <f t="shared" si="53"/>
        <v>0</v>
      </c>
      <c r="P450" s="5">
        <f t="shared" si="53"/>
        <v>0</v>
      </c>
      <c r="Q450" s="5">
        <f t="shared" si="53"/>
        <v>0</v>
      </c>
      <c r="R450" s="5">
        <f t="shared" si="53"/>
        <v>0</v>
      </c>
      <c r="S450" s="5">
        <f t="shared" si="53"/>
        <v>0</v>
      </c>
      <c r="T450" s="5">
        <f t="shared" si="53"/>
        <v>0</v>
      </c>
      <c r="U450" s="5">
        <f t="shared" si="54"/>
        <v>0</v>
      </c>
      <c r="V450" s="5">
        <f t="shared" si="54"/>
        <v>0</v>
      </c>
      <c r="W450" s="5">
        <f t="shared" si="54"/>
        <v>0</v>
      </c>
      <c r="X450" s="5">
        <f t="shared" si="54"/>
        <v>0</v>
      </c>
      <c r="Y450" s="5">
        <f t="shared" si="54"/>
        <v>0</v>
      </c>
      <c r="Z450" s="5">
        <f t="shared" si="54"/>
        <v>0</v>
      </c>
      <c r="AA450" s="5">
        <f t="shared" si="54"/>
        <v>0</v>
      </c>
      <c r="AB450" s="5">
        <f t="shared" si="54"/>
        <v>0</v>
      </c>
      <c r="AC450" s="5">
        <f t="shared" si="54"/>
        <v>0</v>
      </c>
      <c r="AD450" s="5">
        <f t="shared" si="54"/>
        <v>0</v>
      </c>
      <c r="AE450" s="5">
        <f t="shared" si="55"/>
        <v>0</v>
      </c>
      <c r="AF450" s="5">
        <f t="shared" si="55"/>
        <v>0</v>
      </c>
      <c r="AG450" s="5">
        <f t="shared" si="55"/>
        <v>0</v>
      </c>
      <c r="AH450" s="5">
        <f t="shared" si="55"/>
        <v>0</v>
      </c>
      <c r="AI450" s="5">
        <f t="shared" si="55"/>
        <v>0</v>
      </c>
      <c r="AJ450" s="5">
        <f t="shared" si="55"/>
        <v>0</v>
      </c>
      <c r="AK450" s="5">
        <f t="shared" si="55"/>
        <v>0</v>
      </c>
      <c r="AL450" s="5">
        <f t="shared" si="55"/>
        <v>0</v>
      </c>
      <c r="AM450" s="173"/>
      <c r="AN450" s="341"/>
      <c r="AQ450" s="11"/>
      <c r="AR450" s="11"/>
    </row>
    <row r="451" spans="1:44">
      <c r="A451" s="5"/>
      <c r="B451" s="50" t="s">
        <v>2965</v>
      </c>
      <c r="C451" s="5"/>
      <c r="D451" s="296"/>
      <c r="E451" s="296"/>
      <c r="F451" s="296"/>
      <c r="G451" s="296"/>
      <c r="H451" s="296"/>
      <c r="I451" s="296"/>
      <c r="J451" s="296"/>
      <c r="K451" s="5">
        <f t="shared" si="53"/>
        <v>36.17</v>
      </c>
      <c r="L451" s="5">
        <f t="shared" si="53"/>
        <v>30.78</v>
      </c>
      <c r="M451" s="5">
        <f t="shared" si="53"/>
        <v>31.119999999999997</v>
      </c>
      <c r="N451" s="5">
        <f t="shared" si="53"/>
        <v>28.39</v>
      </c>
      <c r="O451" s="5">
        <f t="shared" si="53"/>
        <v>28.99</v>
      </c>
      <c r="P451" s="5">
        <f t="shared" si="53"/>
        <v>25.01</v>
      </c>
      <c r="Q451" s="5">
        <f t="shared" si="53"/>
        <v>25.86</v>
      </c>
      <c r="R451" s="5">
        <f t="shared" si="53"/>
        <v>25.269999999999996</v>
      </c>
      <c r="S451" s="5">
        <f t="shared" si="53"/>
        <v>18.3</v>
      </c>
      <c r="T451" s="5">
        <f t="shared" si="53"/>
        <v>20.14</v>
      </c>
      <c r="U451" s="5">
        <f t="shared" si="54"/>
        <v>19</v>
      </c>
      <c r="V451" s="5">
        <f t="shared" si="54"/>
        <v>16.989999999999998</v>
      </c>
      <c r="W451" s="5">
        <f t="shared" si="54"/>
        <v>15.26</v>
      </c>
      <c r="X451" s="5">
        <f t="shared" si="54"/>
        <v>15.809999999999999</v>
      </c>
      <c r="Y451" s="5">
        <f t="shared" si="54"/>
        <v>15.75</v>
      </c>
      <c r="Z451" s="5">
        <f t="shared" si="54"/>
        <v>14.35</v>
      </c>
      <c r="AA451" s="5">
        <f t="shared" si="54"/>
        <v>12.899999999999999</v>
      </c>
      <c r="AB451" s="5">
        <f t="shared" si="54"/>
        <v>12.290000000000001</v>
      </c>
      <c r="AC451" s="5">
        <f t="shared" si="54"/>
        <v>10.940000000000001</v>
      </c>
      <c r="AD451" s="5">
        <f t="shared" si="54"/>
        <v>9.8899999999999988</v>
      </c>
      <c r="AE451" s="5">
        <f t="shared" si="55"/>
        <v>8.26</v>
      </c>
      <c r="AF451" s="5">
        <f t="shared" si="55"/>
        <v>7.3500000000000005</v>
      </c>
      <c r="AG451" s="5">
        <f t="shared" si="55"/>
        <v>6.58</v>
      </c>
      <c r="AH451" s="5">
        <f t="shared" si="55"/>
        <v>5.93</v>
      </c>
      <c r="AI451" s="5">
        <f t="shared" si="55"/>
        <v>5.27</v>
      </c>
      <c r="AJ451" s="5">
        <f t="shared" si="55"/>
        <v>4.6399999999999997</v>
      </c>
      <c r="AK451" s="5">
        <f t="shared" si="55"/>
        <v>3.38</v>
      </c>
      <c r="AL451" s="5">
        <f t="shared" si="55"/>
        <v>2.91</v>
      </c>
      <c r="AM451" s="173"/>
      <c r="AN451" s="341"/>
      <c r="AQ451" s="11"/>
      <c r="AR451" s="11"/>
    </row>
    <row r="452" spans="1:44">
      <c r="A452" s="5"/>
      <c r="B452" s="50" t="s">
        <v>726</v>
      </c>
      <c r="C452" s="5"/>
      <c r="D452" s="296"/>
      <c r="E452" s="296"/>
      <c r="F452" s="296"/>
      <c r="G452" s="296"/>
      <c r="H452" s="296"/>
      <c r="I452" s="296"/>
      <c r="J452" s="296"/>
      <c r="K452" s="5">
        <f t="shared" si="53"/>
        <v>39.01</v>
      </c>
      <c r="L452" s="5">
        <f t="shared" si="53"/>
        <v>39.090000000000003</v>
      </c>
      <c r="M452" s="5">
        <f t="shared" si="53"/>
        <v>75.37</v>
      </c>
      <c r="N452" s="5">
        <f t="shared" si="53"/>
        <v>143.1</v>
      </c>
      <c r="O452" s="5">
        <f t="shared" si="53"/>
        <v>205.18</v>
      </c>
      <c r="P452" s="5">
        <f t="shared" si="53"/>
        <v>95.58</v>
      </c>
      <c r="Q452" s="5">
        <f t="shared" si="53"/>
        <v>115.8</v>
      </c>
      <c r="R452" s="5">
        <f t="shared" si="53"/>
        <v>124.39</v>
      </c>
      <c r="S452" s="5">
        <f t="shared" si="53"/>
        <v>100.44999999999999</v>
      </c>
      <c r="T452" s="5">
        <f t="shared" si="53"/>
        <v>97.76</v>
      </c>
      <c r="U452" s="5">
        <f t="shared" si="54"/>
        <v>102.42999999999999</v>
      </c>
      <c r="V452" s="5">
        <f t="shared" si="54"/>
        <v>104.36999999999999</v>
      </c>
      <c r="W452" s="5">
        <f t="shared" si="54"/>
        <v>127.1</v>
      </c>
      <c r="X452" s="5">
        <f t="shared" si="54"/>
        <v>123.38</v>
      </c>
      <c r="Y452" s="5">
        <f t="shared" si="54"/>
        <v>91.240000000000009</v>
      </c>
      <c r="Z452" s="5">
        <f t="shared" si="54"/>
        <v>88.53</v>
      </c>
      <c r="AA452" s="5">
        <f t="shared" si="54"/>
        <v>94.929999999999993</v>
      </c>
      <c r="AB452" s="5">
        <f t="shared" si="54"/>
        <v>99.330000000000013</v>
      </c>
      <c r="AC452" s="5">
        <f t="shared" si="54"/>
        <v>99.1</v>
      </c>
      <c r="AD452" s="5">
        <f t="shared" si="54"/>
        <v>96.01</v>
      </c>
      <c r="AE452" s="5">
        <f t="shared" si="55"/>
        <v>94.72</v>
      </c>
      <c r="AF452" s="5">
        <f t="shared" si="55"/>
        <v>93.34</v>
      </c>
      <c r="AG452" s="5">
        <f t="shared" si="55"/>
        <v>89.679999999999993</v>
      </c>
      <c r="AH452" s="5">
        <f t="shared" si="55"/>
        <v>80.8</v>
      </c>
      <c r="AI452" s="5">
        <f t="shared" si="55"/>
        <v>75.58</v>
      </c>
      <c r="AJ452" s="5">
        <f t="shared" si="55"/>
        <v>70.680000000000007</v>
      </c>
      <c r="AK452" s="5">
        <f t="shared" si="55"/>
        <v>66.33</v>
      </c>
      <c r="AL452" s="5">
        <f t="shared" si="55"/>
        <v>62.180000000000007</v>
      </c>
      <c r="AM452" s="173"/>
      <c r="AN452" s="341"/>
      <c r="AQ452" s="11"/>
      <c r="AR452" s="11"/>
    </row>
    <row r="453" spans="1:44">
      <c r="A453" s="5"/>
      <c r="B453" s="336" t="s">
        <v>785</v>
      </c>
      <c r="C453" s="5"/>
      <c r="D453" s="296"/>
      <c r="E453" s="296"/>
      <c r="F453" s="296"/>
      <c r="G453" s="296"/>
      <c r="H453" s="296"/>
      <c r="I453" s="296"/>
      <c r="J453" s="296"/>
      <c r="K453" s="5">
        <f t="shared" si="53"/>
        <v>0</v>
      </c>
      <c r="L453" s="5">
        <f t="shared" si="53"/>
        <v>0</v>
      </c>
      <c r="M453" s="5">
        <f t="shared" si="53"/>
        <v>0</v>
      </c>
      <c r="N453" s="5">
        <f t="shared" si="53"/>
        <v>0</v>
      </c>
      <c r="O453" s="5">
        <f t="shared" si="53"/>
        <v>0</v>
      </c>
      <c r="P453" s="5">
        <f t="shared" si="53"/>
        <v>0</v>
      </c>
      <c r="Q453" s="5">
        <f t="shared" si="53"/>
        <v>0</v>
      </c>
      <c r="R453" s="5">
        <f t="shared" si="53"/>
        <v>0</v>
      </c>
      <c r="S453" s="5">
        <f t="shared" si="53"/>
        <v>0</v>
      </c>
      <c r="T453" s="5">
        <f t="shared" si="53"/>
        <v>0</v>
      </c>
      <c r="U453" s="5">
        <f t="shared" si="54"/>
        <v>0</v>
      </c>
      <c r="V453" s="5">
        <f t="shared" si="54"/>
        <v>0</v>
      </c>
      <c r="W453" s="5">
        <f t="shared" si="54"/>
        <v>0</v>
      </c>
      <c r="X453" s="5">
        <f t="shared" si="54"/>
        <v>0</v>
      </c>
      <c r="Y453" s="5">
        <f t="shared" si="54"/>
        <v>0</v>
      </c>
      <c r="Z453" s="5">
        <f t="shared" si="54"/>
        <v>0</v>
      </c>
      <c r="AA453" s="5">
        <f t="shared" si="54"/>
        <v>0</v>
      </c>
      <c r="AB453" s="5">
        <f t="shared" si="54"/>
        <v>0</v>
      </c>
      <c r="AC453" s="5">
        <f t="shared" si="54"/>
        <v>0</v>
      </c>
      <c r="AD453" s="5">
        <f t="shared" si="54"/>
        <v>0</v>
      </c>
      <c r="AE453" s="5">
        <f t="shared" si="55"/>
        <v>0</v>
      </c>
      <c r="AF453" s="5">
        <f t="shared" si="55"/>
        <v>0</v>
      </c>
      <c r="AG453" s="5">
        <f t="shared" si="55"/>
        <v>0</v>
      </c>
      <c r="AH453" s="5">
        <f t="shared" si="55"/>
        <v>0</v>
      </c>
      <c r="AI453" s="5">
        <f t="shared" si="55"/>
        <v>0</v>
      </c>
      <c r="AJ453" s="5">
        <f t="shared" si="55"/>
        <v>0</v>
      </c>
      <c r="AK453" s="5">
        <f t="shared" si="55"/>
        <v>0</v>
      </c>
      <c r="AL453" s="5">
        <f t="shared" si="55"/>
        <v>0</v>
      </c>
      <c r="AM453" s="173"/>
      <c r="AN453" s="341"/>
      <c r="AQ453" s="11"/>
      <c r="AR453" s="11"/>
    </row>
    <row r="454" spans="1:44">
      <c r="A454" s="5"/>
      <c r="B454" s="50" t="s">
        <v>2428</v>
      </c>
      <c r="C454" s="5"/>
      <c r="D454" s="296"/>
      <c r="E454" s="296"/>
      <c r="F454" s="296"/>
      <c r="G454" s="296"/>
      <c r="H454" s="296"/>
      <c r="I454" s="296"/>
      <c r="J454" s="296"/>
      <c r="K454" s="5">
        <f t="shared" si="53"/>
        <v>0</v>
      </c>
      <c r="L454" s="5">
        <f t="shared" si="53"/>
        <v>0</v>
      </c>
      <c r="M454" s="5">
        <f t="shared" si="53"/>
        <v>0</v>
      </c>
      <c r="N454" s="5">
        <f t="shared" si="53"/>
        <v>0</v>
      </c>
      <c r="O454" s="5">
        <f t="shared" si="53"/>
        <v>0</v>
      </c>
      <c r="P454" s="5">
        <f t="shared" si="53"/>
        <v>0</v>
      </c>
      <c r="Q454" s="5">
        <f t="shared" si="53"/>
        <v>0</v>
      </c>
      <c r="R454" s="5">
        <f t="shared" si="53"/>
        <v>0</v>
      </c>
      <c r="S454" s="5">
        <f t="shared" si="53"/>
        <v>6.29</v>
      </c>
      <c r="T454" s="5">
        <f t="shared" si="53"/>
        <v>7.23</v>
      </c>
      <c r="U454" s="5">
        <f t="shared" si="54"/>
        <v>0</v>
      </c>
      <c r="V454" s="5">
        <f t="shared" si="54"/>
        <v>0</v>
      </c>
      <c r="W454" s="5">
        <f t="shared" si="54"/>
        <v>0</v>
      </c>
      <c r="X454" s="5">
        <f t="shared" si="54"/>
        <v>0</v>
      </c>
      <c r="Y454" s="5">
        <f t="shared" si="54"/>
        <v>0</v>
      </c>
      <c r="Z454" s="5">
        <f t="shared" si="54"/>
        <v>0</v>
      </c>
      <c r="AA454" s="5">
        <f t="shared" si="54"/>
        <v>0</v>
      </c>
      <c r="AB454" s="5">
        <f t="shared" si="54"/>
        <v>0</v>
      </c>
      <c r="AC454" s="5">
        <f t="shared" si="54"/>
        <v>0</v>
      </c>
      <c r="AD454" s="5">
        <f t="shared" si="54"/>
        <v>0</v>
      </c>
      <c r="AE454" s="5">
        <f t="shared" si="55"/>
        <v>0</v>
      </c>
      <c r="AF454" s="5">
        <f t="shared" si="55"/>
        <v>0</v>
      </c>
      <c r="AG454" s="5">
        <f t="shared" si="55"/>
        <v>0</v>
      </c>
      <c r="AH454" s="5">
        <f t="shared" si="55"/>
        <v>0</v>
      </c>
      <c r="AI454" s="5">
        <f t="shared" si="55"/>
        <v>0</v>
      </c>
      <c r="AJ454" s="5">
        <f t="shared" si="55"/>
        <v>0</v>
      </c>
      <c r="AK454" s="5">
        <f t="shared" si="55"/>
        <v>0</v>
      </c>
      <c r="AL454" s="5">
        <f t="shared" si="55"/>
        <v>0</v>
      </c>
      <c r="AM454" s="173"/>
      <c r="AN454" s="341"/>
      <c r="AQ454" s="11"/>
      <c r="AR454" s="11"/>
    </row>
    <row r="455" spans="1:44">
      <c r="A455" s="5"/>
      <c r="B455" s="50" t="s">
        <v>727</v>
      </c>
      <c r="C455" s="5"/>
      <c r="D455" s="296"/>
      <c r="E455" s="296"/>
      <c r="F455" s="296"/>
      <c r="G455" s="296"/>
      <c r="H455" s="296"/>
      <c r="I455" s="296"/>
      <c r="J455" s="296"/>
      <c r="K455" s="5">
        <f t="shared" si="53"/>
        <v>12.99</v>
      </c>
      <c r="L455" s="5">
        <f t="shared" si="53"/>
        <v>11</v>
      </c>
      <c r="M455" s="5">
        <f t="shared" si="53"/>
        <v>9.99</v>
      </c>
      <c r="N455" s="5">
        <f t="shared" si="53"/>
        <v>8.01</v>
      </c>
      <c r="O455" s="5">
        <f t="shared" si="53"/>
        <v>8.1199999999999992</v>
      </c>
      <c r="P455" s="5">
        <f t="shared" si="53"/>
        <v>9.01</v>
      </c>
      <c r="Q455" s="5">
        <f t="shared" si="53"/>
        <v>8.0400000000000009</v>
      </c>
      <c r="R455" s="5">
        <f t="shared" si="53"/>
        <v>7.05</v>
      </c>
      <c r="S455" s="5">
        <f t="shared" si="53"/>
        <v>2</v>
      </c>
      <c r="T455" s="5">
        <f t="shared" si="53"/>
        <v>1</v>
      </c>
      <c r="U455" s="5">
        <f t="shared" si="54"/>
        <v>0.02</v>
      </c>
      <c r="V455" s="5">
        <f t="shared" si="54"/>
        <v>0</v>
      </c>
      <c r="W455" s="5">
        <f t="shared" si="54"/>
        <v>3.19</v>
      </c>
      <c r="X455" s="5">
        <f t="shared" si="54"/>
        <v>12.81</v>
      </c>
      <c r="Y455" s="5">
        <f t="shared" si="54"/>
        <v>20.6</v>
      </c>
      <c r="Z455" s="5">
        <f t="shared" si="54"/>
        <v>29.34</v>
      </c>
      <c r="AA455" s="5">
        <f t="shared" si="54"/>
        <v>26.98</v>
      </c>
      <c r="AB455" s="5">
        <f t="shared" si="54"/>
        <v>29.56</v>
      </c>
      <c r="AC455" s="5">
        <f t="shared" si="54"/>
        <v>31.52</v>
      </c>
      <c r="AD455" s="5">
        <f t="shared" si="54"/>
        <v>33.880000000000003</v>
      </c>
      <c r="AE455" s="5">
        <f t="shared" si="55"/>
        <v>43.49</v>
      </c>
      <c r="AF455" s="5">
        <f t="shared" si="55"/>
        <v>48.23</v>
      </c>
      <c r="AG455" s="5">
        <f t="shared" si="55"/>
        <v>48.55</v>
      </c>
      <c r="AH455" s="5">
        <f t="shared" si="55"/>
        <v>52.87</v>
      </c>
      <c r="AI455" s="5">
        <f t="shared" si="55"/>
        <v>52.77</v>
      </c>
      <c r="AJ455" s="5">
        <f t="shared" si="55"/>
        <v>48.29</v>
      </c>
      <c r="AK455" s="5">
        <f t="shared" si="55"/>
        <v>52.57</v>
      </c>
      <c r="AL455" s="5">
        <f t="shared" si="55"/>
        <v>52.47</v>
      </c>
      <c r="AM455" s="173"/>
      <c r="AN455" s="341"/>
      <c r="AQ455" s="11"/>
      <c r="AR455" s="11"/>
    </row>
    <row r="456" spans="1:44">
      <c r="A456" s="5"/>
      <c r="B456" s="50" t="s">
        <v>216</v>
      </c>
      <c r="C456" s="5"/>
      <c r="D456" s="296"/>
      <c r="E456" s="296"/>
      <c r="F456" s="296"/>
      <c r="G456" s="296"/>
      <c r="H456" s="296"/>
      <c r="I456" s="296"/>
      <c r="J456" s="296"/>
      <c r="K456" s="5">
        <f t="shared" si="53"/>
        <v>0</v>
      </c>
      <c r="L456" s="5">
        <f t="shared" si="53"/>
        <v>0</v>
      </c>
      <c r="M456" s="5">
        <f t="shared" si="53"/>
        <v>0</v>
      </c>
      <c r="N456" s="5">
        <f t="shared" si="53"/>
        <v>0</v>
      </c>
      <c r="O456" s="5">
        <f t="shared" si="53"/>
        <v>0</v>
      </c>
      <c r="P456" s="5">
        <f t="shared" si="53"/>
        <v>0</v>
      </c>
      <c r="Q456" s="5">
        <f t="shared" si="53"/>
        <v>0</v>
      </c>
      <c r="R456" s="5">
        <f t="shared" si="53"/>
        <v>0</v>
      </c>
      <c r="S456" s="5">
        <f t="shared" si="53"/>
        <v>0</v>
      </c>
      <c r="T456" s="5">
        <f t="shared" si="53"/>
        <v>0</v>
      </c>
      <c r="U456" s="5">
        <f t="shared" si="54"/>
        <v>0</v>
      </c>
      <c r="V456" s="5">
        <f t="shared" si="54"/>
        <v>0</v>
      </c>
      <c r="W456" s="5">
        <f t="shared" si="54"/>
        <v>0</v>
      </c>
      <c r="X456" s="5">
        <f t="shared" si="54"/>
        <v>0</v>
      </c>
      <c r="Y456" s="5">
        <f t="shared" si="54"/>
        <v>0</v>
      </c>
      <c r="Z456" s="5">
        <f t="shared" si="54"/>
        <v>0</v>
      </c>
      <c r="AA456" s="5">
        <f t="shared" si="54"/>
        <v>0</v>
      </c>
      <c r="AB456" s="5">
        <f t="shared" si="54"/>
        <v>0</v>
      </c>
      <c r="AC456" s="5">
        <f t="shared" si="54"/>
        <v>0</v>
      </c>
      <c r="AD456" s="5">
        <f t="shared" si="54"/>
        <v>0</v>
      </c>
      <c r="AE456" s="5">
        <f t="shared" si="55"/>
        <v>0</v>
      </c>
      <c r="AF456" s="5">
        <f t="shared" si="55"/>
        <v>0</v>
      </c>
      <c r="AG456" s="5">
        <f t="shared" si="55"/>
        <v>0</v>
      </c>
      <c r="AH456" s="5">
        <f t="shared" si="55"/>
        <v>0</v>
      </c>
      <c r="AI456" s="5">
        <f t="shared" si="55"/>
        <v>0</v>
      </c>
      <c r="AJ456" s="5">
        <f t="shared" si="55"/>
        <v>0</v>
      </c>
      <c r="AK456" s="5">
        <f t="shared" si="55"/>
        <v>0</v>
      </c>
      <c r="AL456" s="5">
        <f t="shared" si="55"/>
        <v>0</v>
      </c>
      <c r="AM456" s="173"/>
      <c r="AN456" s="341"/>
      <c r="AQ456" s="11"/>
      <c r="AR456" s="11"/>
    </row>
    <row r="457" spans="1:44">
      <c r="A457" s="5"/>
      <c r="B457" s="50" t="s">
        <v>2247</v>
      </c>
      <c r="C457" s="5"/>
      <c r="D457" s="296"/>
      <c r="E457" s="296"/>
      <c r="F457" s="296"/>
      <c r="G457" s="296"/>
      <c r="H457" s="296"/>
      <c r="I457" s="296"/>
      <c r="J457" s="296"/>
      <c r="K457" s="5">
        <f t="shared" ref="K457:T462" si="56">SUMIF($C$414:$C$443,$B457,K$414:K$443)</f>
        <v>68.540000000000006</v>
      </c>
      <c r="L457" s="5">
        <f t="shared" si="56"/>
        <v>58.339999999999996</v>
      </c>
      <c r="M457" s="5">
        <f t="shared" si="56"/>
        <v>47.160000000000011</v>
      </c>
      <c r="N457" s="5">
        <f t="shared" si="56"/>
        <v>39.049999999999997</v>
      </c>
      <c r="O457" s="5">
        <f t="shared" si="56"/>
        <v>32.03</v>
      </c>
      <c r="P457" s="5">
        <f t="shared" si="56"/>
        <v>30.410000000000004</v>
      </c>
      <c r="Q457" s="5">
        <f t="shared" si="56"/>
        <v>28.43</v>
      </c>
      <c r="R457" s="5">
        <f t="shared" si="56"/>
        <v>26.22</v>
      </c>
      <c r="S457" s="5">
        <f t="shared" si="56"/>
        <v>0</v>
      </c>
      <c r="T457" s="5">
        <f t="shared" si="56"/>
        <v>0</v>
      </c>
      <c r="U457" s="5">
        <f t="shared" ref="U457:AD462" si="57">SUMIF($C$414:$C$443,$B457,U$414:U$443)</f>
        <v>0</v>
      </c>
      <c r="V457" s="5">
        <f t="shared" si="57"/>
        <v>0</v>
      </c>
      <c r="W457" s="5">
        <f t="shared" si="57"/>
        <v>0</v>
      </c>
      <c r="X457" s="5">
        <f t="shared" si="57"/>
        <v>0</v>
      </c>
      <c r="Y457" s="5">
        <f t="shared" si="57"/>
        <v>0</v>
      </c>
      <c r="Z457" s="5">
        <f t="shared" si="57"/>
        <v>0</v>
      </c>
      <c r="AA457" s="5">
        <f t="shared" si="57"/>
        <v>0</v>
      </c>
      <c r="AB457" s="5">
        <f t="shared" si="57"/>
        <v>0</v>
      </c>
      <c r="AC457" s="5">
        <f t="shared" si="57"/>
        <v>0</v>
      </c>
      <c r="AD457" s="5">
        <f t="shared" si="57"/>
        <v>0</v>
      </c>
      <c r="AE457" s="5">
        <f t="shared" ref="AE457:AL462" si="58">SUMIF($C$414:$C$443,$B457,AE$414:AE$443)</f>
        <v>0</v>
      </c>
      <c r="AF457" s="5">
        <f t="shared" si="58"/>
        <v>0</v>
      </c>
      <c r="AG457" s="5">
        <f t="shared" si="58"/>
        <v>0</v>
      </c>
      <c r="AH457" s="5">
        <f t="shared" si="58"/>
        <v>0</v>
      </c>
      <c r="AI457" s="5">
        <f t="shared" si="58"/>
        <v>0</v>
      </c>
      <c r="AJ457" s="5">
        <f t="shared" si="58"/>
        <v>0</v>
      </c>
      <c r="AK457" s="5">
        <f t="shared" si="58"/>
        <v>0</v>
      </c>
      <c r="AL457" s="5">
        <f t="shared" si="58"/>
        <v>0</v>
      </c>
      <c r="AM457" s="173"/>
      <c r="AN457" s="341"/>
      <c r="AQ457" s="11"/>
      <c r="AR457" s="11"/>
    </row>
    <row r="458" spans="1:44">
      <c r="A458" s="5"/>
      <c r="B458" s="50" t="s">
        <v>2251</v>
      </c>
      <c r="C458" s="5"/>
      <c r="D458" s="296"/>
      <c r="E458" s="296"/>
      <c r="F458" s="296"/>
      <c r="G458" s="296"/>
      <c r="H458" s="296"/>
      <c r="I458" s="296"/>
      <c r="J458" s="296"/>
      <c r="K458" s="5">
        <f t="shared" si="56"/>
        <v>83.089999999999989</v>
      </c>
      <c r="L458" s="5">
        <f t="shared" si="56"/>
        <v>71.97</v>
      </c>
      <c r="M458" s="5">
        <f t="shared" si="56"/>
        <v>67.739999999999995</v>
      </c>
      <c r="N458" s="5">
        <f t="shared" si="56"/>
        <v>46.17</v>
      </c>
      <c r="O458" s="5">
        <f t="shared" si="56"/>
        <v>52.019999999999996</v>
      </c>
      <c r="P458" s="5">
        <f t="shared" si="56"/>
        <v>41.37</v>
      </c>
      <c r="Q458" s="5">
        <f t="shared" si="56"/>
        <v>48.51</v>
      </c>
      <c r="R458" s="5">
        <f t="shared" si="56"/>
        <v>41.820000000000007</v>
      </c>
      <c r="S458" s="5">
        <f t="shared" si="56"/>
        <v>33.690000000000005</v>
      </c>
      <c r="T458" s="5">
        <f t="shared" si="56"/>
        <v>31.419999999999995</v>
      </c>
      <c r="U458" s="5">
        <f t="shared" si="57"/>
        <v>28.880000000000003</v>
      </c>
      <c r="V458" s="5">
        <f t="shared" si="57"/>
        <v>37.169999999999995</v>
      </c>
      <c r="W458" s="5">
        <f t="shared" si="57"/>
        <v>44.87</v>
      </c>
      <c r="X458" s="5">
        <f t="shared" si="57"/>
        <v>46.7</v>
      </c>
      <c r="Y458" s="5">
        <f t="shared" si="57"/>
        <v>44.47</v>
      </c>
      <c r="Z458" s="5">
        <f t="shared" si="57"/>
        <v>44.06</v>
      </c>
      <c r="AA458" s="5">
        <f t="shared" si="57"/>
        <v>46.94</v>
      </c>
      <c r="AB458" s="5">
        <f t="shared" si="57"/>
        <v>49.70000000000001</v>
      </c>
      <c r="AC458" s="5">
        <f t="shared" si="57"/>
        <v>51.559999999999988</v>
      </c>
      <c r="AD458" s="5">
        <f t="shared" si="57"/>
        <v>50.19</v>
      </c>
      <c r="AE458" s="5">
        <f t="shared" si="58"/>
        <v>49.6</v>
      </c>
      <c r="AF458" s="5">
        <f t="shared" si="58"/>
        <v>46.71</v>
      </c>
      <c r="AG458" s="5">
        <f t="shared" si="58"/>
        <v>42.139999999999993</v>
      </c>
      <c r="AH458" s="5">
        <f t="shared" si="58"/>
        <v>37.97</v>
      </c>
      <c r="AI458" s="5">
        <f t="shared" si="58"/>
        <v>31.810000000000002</v>
      </c>
      <c r="AJ458" s="5">
        <f t="shared" si="58"/>
        <v>28.479999999999997</v>
      </c>
      <c r="AK458" s="5">
        <f t="shared" si="58"/>
        <v>27.05</v>
      </c>
      <c r="AL458" s="5">
        <f t="shared" si="58"/>
        <v>25.36</v>
      </c>
      <c r="AM458" s="173"/>
      <c r="AN458" s="341"/>
      <c r="AQ458" s="11"/>
      <c r="AR458" s="11"/>
    </row>
    <row r="459" spans="1:44">
      <c r="A459" s="5"/>
      <c r="B459" s="50" t="s">
        <v>138</v>
      </c>
      <c r="C459" s="5"/>
      <c r="D459" s="296"/>
      <c r="E459" s="296"/>
      <c r="F459" s="296"/>
      <c r="G459" s="296"/>
      <c r="H459" s="296"/>
      <c r="I459" s="296"/>
      <c r="J459" s="296"/>
      <c r="K459" s="5">
        <f t="shared" si="56"/>
        <v>0</v>
      </c>
      <c r="L459" s="5">
        <f t="shared" si="56"/>
        <v>0</v>
      </c>
      <c r="M459" s="5">
        <f t="shared" si="56"/>
        <v>0</v>
      </c>
      <c r="N459" s="5">
        <f t="shared" si="56"/>
        <v>0</v>
      </c>
      <c r="O459" s="5">
        <f t="shared" si="56"/>
        <v>0</v>
      </c>
      <c r="P459" s="5">
        <f t="shared" si="56"/>
        <v>0</v>
      </c>
      <c r="Q459" s="5">
        <f t="shared" si="56"/>
        <v>0</v>
      </c>
      <c r="R459" s="5">
        <f t="shared" si="56"/>
        <v>0</v>
      </c>
      <c r="S459" s="5">
        <f t="shared" si="56"/>
        <v>34.25</v>
      </c>
      <c r="T459" s="5">
        <f t="shared" si="56"/>
        <v>39.47</v>
      </c>
      <c r="U459" s="5">
        <f t="shared" si="57"/>
        <v>40.81</v>
      </c>
      <c r="V459" s="5">
        <f t="shared" si="57"/>
        <v>49.7</v>
      </c>
      <c r="W459" s="5">
        <f t="shared" si="57"/>
        <v>82.36</v>
      </c>
      <c r="X459" s="5">
        <f t="shared" si="57"/>
        <v>95.86</v>
      </c>
      <c r="Y459" s="5">
        <f t="shared" si="57"/>
        <v>71.95</v>
      </c>
      <c r="Z459" s="5">
        <f t="shared" si="57"/>
        <v>67.2</v>
      </c>
      <c r="AA459" s="5">
        <f t="shared" si="57"/>
        <v>67.87</v>
      </c>
      <c r="AB459" s="5">
        <f t="shared" si="57"/>
        <v>65.489999999999995</v>
      </c>
      <c r="AC459" s="5">
        <f t="shared" si="57"/>
        <v>51.66</v>
      </c>
      <c r="AD459" s="5">
        <f t="shared" si="57"/>
        <v>49.86</v>
      </c>
      <c r="AE459" s="5">
        <f t="shared" si="58"/>
        <v>47.11</v>
      </c>
      <c r="AF459" s="5">
        <f t="shared" si="58"/>
        <v>46.33</v>
      </c>
      <c r="AG459" s="5">
        <f t="shared" si="58"/>
        <v>45.43</v>
      </c>
      <c r="AH459" s="5">
        <f t="shared" si="58"/>
        <v>42.61</v>
      </c>
      <c r="AI459" s="5">
        <f t="shared" si="58"/>
        <v>41.18</v>
      </c>
      <c r="AJ459" s="5">
        <f t="shared" si="58"/>
        <v>38.56</v>
      </c>
      <c r="AK459" s="5">
        <f t="shared" si="58"/>
        <v>37.74</v>
      </c>
      <c r="AL459" s="5">
        <f t="shared" si="58"/>
        <v>36.44</v>
      </c>
      <c r="AM459" s="173"/>
      <c r="AN459" s="341"/>
      <c r="AQ459" s="11"/>
      <c r="AR459" s="11"/>
    </row>
    <row r="460" spans="1:44">
      <c r="A460" s="5"/>
      <c r="B460" s="50" t="s">
        <v>816</v>
      </c>
      <c r="C460" s="5"/>
      <c r="D460" s="296"/>
      <c r="E460" s="296"/>
      <c r="F460" s="296"/>
      <c r="G460" s="296"/>
      <c r="H460" s="296"/>
      <c r="I460" s="296"/>
      <c r="J460" s="296"/>
      <c r="K460" s="5">
        <f t="shared" si="56"/>
        <v>0</v>
      </c>
      <c r="L460" s="5">
        <f t="shared" si="56"/>
        <v>0</v>
      </c>
      <c r="M460" s="5">
        <f t="shared" si="56"/>
        <v>0</v>
      </c>
      <c r="N460" s="5">
        <f t="shared" si="56"/>
        <v>0</v>
      </c>
      <c r="O460" s="5">
        <f t="shared" si="56"/>
        <v>0</v>
      </c>
      <c r="P460" s="5">
        <f t="shared" si="56"/>
        <v>0</v>
      </c>
      <c r="Q460" s="5">
        <f t="shared" si="56"/>
        <v>0</v>
      </c>
      <c r="R460" s="5">
        <f t="shared" si="56"/>
        <v>0</v>
      </c>
      <c r="S460" s="5">
        <f t="shared" si="56"/>
        <v>0</v>
      </c>
      <c r="T460" s="5">
        <f t="shared" si="56"/>
        <v>0</v>
      </c>
      <c r="U460" s="5">
        <f t="shared" si="57"/>
        <v>0</v>
      </c>
      <c r="V460" s="5">
        <f t="shared" si="57"/>
        <v>0</v>
      </c>
      <c r="W460" s="5">
        <f t="shared" si="57"/>
        <v>0</v>
      </c>
      <c r="X460" s="5">
        <f t="shared" si="57"/>
        <v>0</v>
      </c>
      <c r="Y460" s="5">
        <f t="shared" si="57"/>
        <v>0</v>
      </c>
      <c r="Z460" s="5">
        <f t="shared" si="57"/>
        <v>0</v>
      </c>
      <c r="AA460" s="5">
        <f t="shared" si="57"/>
        <v>0</v>
      </c>
      <c r="AB460" s="5">
        <f t="shared" si="57"/>
        <v>0</v>
      </c>
      <c r="AC460" s="5">
        <f t="shared" si="57"/>
        <v>0</v>
      </c>
      <c r="AD460" s="5">
        <f t="shared" si="57"/>
        <v>0</v>
      </c>
      <c r="AE460" s="5">
        <f t="shared" si="58"/>
        <v>0</v>
      </c>
      <c r="AF460" s="5">
        <f t="shared" si="58"/>
        <v>0</v>
      </c>
      <c r="AG460" s="5">
        <f t="shared" si="58"/>
        <v>0</v>
      </c>
      <c r="AH460" s="5">
        <f t="shared" si="58"/>
        <v>0</v>
      </c>
      <c r="AI460" s="5">
        <f t="shared" si="58"/>
        <v>0</v>
      </c>
      <c r="AJ460" s="5">
        <f t="shared" si="58"/>
        <v>0</v>
      </c>
      <c r="AK460" s="5">
        <f t="shared" si="58"/>
        <v>0</v>
      </c>
      <c r="AL460" s="5">
        <f t="shared" si="58"/>
        <v>0</v>
      </c>
      <c r="AM460" s="173"/>
      <c r="AN460" s="341"/>
      <c r="AQ460" s="11"/>
      <c r="AR460" s="11"/>
    </row>
    <row r="461" spans="1:44">
      <c r="A461" s="5"/>
      <c r="B461" s="50" t="s">
        <v>1962</v>
      </c>
      <c r="C461" s="5"/>
      <c r="D461" s="296"/>
      <c r="E461" s="296"/>
      <c r="F461" s="296"/>
      <c r="G461" s="296"/>
      <c r="H461" s="296"/>
      <c r="I461" s="296"/>
      <c r="J461" s="296"/>
      <c r="K461" s="5">
        <f t="shared" si="56"/>
        <v>0</v>
      </c>
      <c r="L461" s="5">
        <f t="shared" si="56"/>
        <v>0</v>
      </c>
      <c r="M461" s="5">
        <f t="shared" si="56"/>
        <v>0</v>
      </c>
      <c r="N461" s="5">
        <f t="shared" si="56"/>
        <v>0</v>
      </c>
      <c r="O461" s="5">
        <f t="shared" si="56"/>
        <v>0</v>
      </c>
      <c r="P461" s="5">
        <f t="shared" si="56"/>
        <v>0</v>
      </c>
      <c r="Q461" s="5">
        <f t="shared" si="56"/>
        <v>0</v>
      </c>
      <c r="R461" s="5">
        <f t="shared" si="56"/>
        <v>0</v>
      </c>
      <c r="S461" s="5">
        <f t="shared" si="56"/>
        <v>0</v>
      </c>
      <c r="T461" s="5">
        <f t="shared" si="56"/>
        <v>0</v>
      </c>
      <c r="U461" s="5">
        <f t="shared" si="57"/>
        <v>0</v>
      </c>
      <c r="V461" s="5">
        <f t="shared" si="57"/>
        <v>0</v>
      </c>
      <c r="W461" s="5">
        <f t="shared" si="57"/>
        <v>0</v>
      </c>
      <c r="X461" s="5">
        <f t="shared" si="57"/>
        <v>0</v>
      </c>
      <c r="Y461" s="5">
        <f t="shared" si="57"/>
        <v>0</v>
      </c>
      <c r="Z461" s="5">
        <f t="shared" si="57"/>
        <v>0</v>
      </c>
      <c r="AA461" s="5">
        <f t="shared" si="57"/>
        <v>0</v>
      </c>
      <c r="AB461" s="5">
        <f t="shared" si="57"/>
        <v>0</v>
      </c>
      <c r="AC461" s="5">
        <f t="shared" si="57"/>
        <v>0</v>
      </c>
      <c r="AD461" s="5">
        <f t="shared" si="57"/>
        <v>0</v>
      </c>
      <c r="AE461" s="5">
        <f t="shared" si="58"/>
        <v>0</v>
      </c>
      <c r="AF461" s="5">
        <f t="shared" si="58"/>
        <v>0</v>
      </c>
      <c r="AG461" s="5">
        <f t="shared" si="58"/>
        <v>0</v>
      </c>
      <c r="AH461" s="5">
        <f t="shared" si="58"/>
        <v>0</v>
      </c>
      <c r="AI461" s="5">
        <f t="shared" si="58"/>
        <v>0</v>
      </c>
      <c r="AJ461" s="5">
        <f t="shared" si="58"/>
        <v>0</v>
      </c>
      <c r="AK461" s="5">
        <f t="shared" si="58"/>
        <v>0</v>
      </c>
      <c r="AL461" s="5">
        <f t="shared" si="58"/>
        <v>0</v>
      </c>
      <c r="AM461" s="173"/>
      <c r="AN461" s="341"/>
      <c r="AQ461" s="11"/>
      <c r="AR461" s="11"/>
    </row>
    <row r="462" spans="1:44">
      <c r="A462" s="5"/>
      <c r="B462" s="50" t="s">
        <v>139</v>
      </c>
      <c r="C462" s="5"/>
      <c r="D462" s="296"/>
      <c r="E462" s="296"/>
      <c r="F462" s="296"/>
      <c r="G462" s="296"/>
      <c r="H462" s="296"/>
      <c r="I462" s="296"/>
      <c r="J462" s="296"/>
      <c r="K462" s="5">
        <f t="shared" si="56"/>
        <v>0.72</v>
      </c>
      <c r="L462" s="5">
        <f t="shared" si="56"/>
        <v>0.79999999999999993</v>
      </c>
      <c r="M462" s="5">
        <f t="shared" si="56"/>
        <v>0.64</v>
      </c>
      <c r="N462" s="5">
        <f t="shared" si="56"/>
        <v>0.4</v>
      </c>
      <c r="O462" s="5">
        <f t="shared" si="56"/>
        <v>0</v>
      </c>
      <c r="P462" s="5">
        <f t="shared" si="56"/>
        <v>0</v>
      </c>
      <c r="Q462" s="5">
        <f t="shared" si="56"/>
        <v>0</v>
      </c>
      <c r="R462" s="5">
        <f t="shared" si="56"/>
        <v>0</v>
      </c>
      <c r="S462" s="5">
        <f t="shared" si="56"/>
        <v>0</v>
      </c>
      <c r="T462" s="5">
        <f t="shared" si="56"/>
        <v>0</v>
      </c>
      <c r="U462" s="5">
        <f t="shared" si="57"/>
        <v>0</v>
      </c>
      <c r="V462" s="5">
        <f t="shared" si="57"/>
        <v>0</v>
      </c>
      <c r="W462" s="5">
        <f t="shared" si="57"/>
        <v>0</v>
      </c>
      <c r="X462" s="5">
        <f t="shared" si="57"/>
        <v>0</v>
      </c>
      <c r="Y462" s="5">
        <f t="shared" si="57"/>
        <v>0</v>
      </c>
      <c r="Z462" s="5">
        <f t="shared" si="57"/>
        <v>0</v>
      </c>
      <c r="AA462" s="5">
        <f t="shared" si="57"/>
        <v>0</v>
      </c>
      <c r="AB462" s="5">
        <f t="shared" si="57"/>
        <v>0</v>
      </c>
      <c r="AC462" s="5">
        <f t="shared" si="57"/>
        <v>0</v>
      </c>
      <c r="AD462" s="5">
        <f t="shared" si="57"/>
        <v>0</v>
      </c>
      <c r="AE462" s="5">
        <f t="shared" si="58"/>
        <v>0</v>
      </c>
      <c r="AF462" s="5">
        <f t="shared" si="58"/>
        <v>0</v>
      </c>
      <c r="AG462" s="5">
        <f t="shared" si="58"/>
        <v>0</v>
      </c>
      <c r="AH462" s="5">
        <f t="shared" si="58"/>
        <v>0</v>
      </c>
      <c r="AI462" s="5">
        <f t="shared" si="58"/>
        <v>0</v>
      </c>
      <c r="AJ462" s="5">
        <f t="shared" si="58"/>
        <v>0</v>
      </c>
      <c r="AK462" s="5">
        <f t="shared" si="58"/>
        <v>0</v>
      </c>
      <c r="AL462" s="5">
        <f t="shared" si="58"/>
        <v>0</v>
      </c>
      <c r="AM462" s="173"/>
      <c r="AN462" s="341"/>
      <c r="AQ462" s="11"/>
      <c r="AR462" s="11"/>
    </row>
    <row r="463" spans="1:44">
      <c r="A463" s="5"/>
      <c r="B463" s="50" t="s">
        <v>1745</v>
      </c>
      <c r="C463" s="5"/>
      <c r="D463" s="296"/>
      <c r="E463" s="296"/>
      <c r="F463" s="296"/>
      <c r="G463" s="296"/>
      <c r="H463" s="296"/>
      <c r="I463" s="296"/>
      <c r="J463" s="296"/>
      <c r="K463" s="5">
        <f t="shared" ref="K463:X474" si="59">SUMIF($C$414:$C$443,$B463,K$414:K$443)</f>
        <v>78.13</v>
      </c>
      <c r="L463" s="5">
        <f t="shared" si="59"/>
        <v>76.319999999999993</v>
      </c>
      <c r="M463" s="5">
        <f t="shared" si="59"/>
        <v>74.460000000000008</v>
      </c>
      <c r="N463" s="5">
        <f t="shared" si="59"/>
        <v>61.6</v>
      </c>
      <c r="O463" s="5">
        <f t="shared" si="59"/>
        <v>50.79</v>
      </c>
      <c r="P463" s="5">
        <f t="shared" si="59"/>
        <v>42.650000000000006</v>
      </c>
      <c r="Q463" s="5">
        <f t="shared" si="59"/>
        <v>37.93</v>
      </c>
      <c r="R463" s="5">
        <f t="shared" si="59"/>
        <v>41.519999999999996</v>
      </c>
      <c r="S463" s="5">
        <f t="shared" si="59"/>
        <v>31.82</v>
      </c>
      <c r="T463" s="5">
        <f t="shared" si="59"/>
        <v>15.98</v>
      </c>
      <c r="U463" s="5">
        <f t="shared" si="59"/>
        <v>32.81</v>
      </c>
      <c r="V463" s="5">
        <f t="shared" si="59"/>
        <v>44.7</v>
      </c>
      <c r="W463" s="5">
        <f t="shared" si="59"/>
        <v>38.099999999999994</v>
      </c>
      <c r="X463" s="5">
        <f t="shared" si="59"/>
        <v>27.639000000000003</v>
      </c>
      <c r="Y463" s="296"/>
      <c r="Z463" s="296"/>
      <c r="AA463" s="296"/>
      <c r="AB463" s="296"/>
      <c r="AC463" s="296"/>
      <c r="AD463" s="296"/>
      <c r="AE463" s="296"/>
      <c r="AF463" s="296"/>
      <c r="AG463" s="296"/>
      <c r="AH463" s="296"/>
      <c r="AI463" s="296"/>
      <c r="AJ463" s="296"/>
      <c r="AK463" s="296"/>
      <c r="AL463" s="296"/>
      <c r="AM463" s="173"/>
      <c r="AN463" s="341"/>
      <c r="AQ463" s="11"/>
      <c r="AR463" s="11"/>
    </row>
    <row r="464" spans="1:44">
      <c r="A464" s="5"/>
      <c r="B464" s="50" t="s">
        <v>3277</v>
      </c>
      <c r="C464" s="5"/>
      <c r="D464" s="296"/>
      <c r="E464" s="296"/>
      <c r="F464" s="296"/>
      <c r="G464" s="296"/>
      <c r="H464" s="296"/>
      <c r="I464" s="296"/>
      <c r="J464" s="296"/>
      <c r="K464" s="5">
        <f t="shared" si="59"/>
        <v>0</v>
      </c>
      <c r="L464" s="5">
        <f t="shared" si="59"/>
        <v>0</v>
      </c>
      <c r="M464" s="5">
        <f t="shared" si="59"/>
        <v>0</v>
      </c>
      <c r="N464" s="5">
        <f t="shared" si="59"/>
        <v>0</v>
      </c>
      <c r="O464" s="5">
        <f t="shared" si="59"/>
        <v>0</v>
      </c>
      <c r="P464" s="5">
        <f t="shared" si="59"/>
        <v>0</v>
      </c>
      <c r="Q464" s="5">
        <f t="shared" si="59"/>
        <v>0</v>
      </c>
      <c r="R464" s="5">
        <f t="shared" si="59"/>
        <v>0</v>
      </c>
      <c r="S464" s="5">
        <f t="shared" si="59"/>
        <v>0</v>
      </c>
      <c r="T464" s="5">
        <f t="shared" si="59"/>
        <v>0</v>
      </c>
      <c r="U464" s="5">
        <f t="shared" si="59"/>
        <v>0</v>
      </c>
      <c r="V464" s="5">
        <f t="shared" si="59"/>
        <v>0</v>
      </c>
      <c r="W464" s="5">
        <f t="shared" si="59"/>
        <v>0</v>
      </c>
      <c r="X464" s="5">
        <f t="shared" si="59"/>
        <v>0</v>
      </c>
      <c r="Y464" s="5">
        <f t="shared" ref="Y464:AL474" si="60">SUMIF($C$414:$C$443,$B464,Y$414:Y$443)</f>
        <v>0</v>
      </c>
      <c r="Z464" s="5">
        <f t="shared" si="60"/>
        <v>0</v>
      </c>
      <c r="AA464" s="5">
        <f t="shared" si="60"/>
        <v>0</v>
      </c>
      <c r="AB464" s="5">
        <f t="shared" si="60"/>
        <v>0</v>
      </c>
      <c r="AC464" s="5">
        <f t="shared" si="60"/>
        <v>0</v>
      </c>
      <c r="AD464" s="5">
        <f t="shared" si="60"/>
        <v>0</v>
      </c>
      <c r="AE464" s="5">
        <f t="shared" si="60"/>
        <v>0</v>
      </c>
      <c r="AF464" s="5">
        <f t="shared" si="60"/>
        <v>0</v>
      </c>
      <c r="AG464" s="5">
        <f t="shared" si="60"/>
        <v>0</v>
      </c>
      <c r="AH464" s="5">
        <f t="shared" si="60"/>
        <v>0</v>
      </c>
      <c r="AI464" s="5">
        <f t="shared" si="60"/>
        <v>0</v>
      </c>
      <c r="AJ464" s="5">
        <f t="shared" si="60"/>
        <v>0</v>
      </c>
      <c r="AK464" s="5">
        <f t="shared" si="60"/>
        <v>0</v>
      </c>
      <c r="AL464" s="5">
        <f t="shared" si="60"/>
        <v>0</v>
      </c>
      <c r="AM464" s="173"/>
      <c r="AN464" s="341"/>
      <c r="AQ464" s="11"/>
      <c r="AR464" s="11"/>
    </row>
    <row r="465" spans="1:44">
      <c r="A465" s="5"/>
      <c r="B465" s="50" t="s">
        <v>3400</v>
      </c>
      <c r="C465" s="5"/>
      <c r="D465" s="296"/>
      <c r="E465" s="296"/>
      <c r="F465" s="296"/>
      <c r="G465" s="296"/>
      <c r="H465" s="296"/>
      <c r="I465" s="296"/>
      <c r="J465" s="296"/>
      <c r="K465" s="5">
        <f t="shared" si="59"/>
        <v>0</v>
      </c>
      <c r="L465" s="5">
        <f t="shared" si="59"/>
        <v>0</v>
      </c>
      <c r="M465" s="5">
        <f t="shared" si="59"/>
        <v>0</v>
      </c>
      <c r="N465" s="5">
        <f t="shared" si="59"/>
        <v>0</v>
      </c>
      <c r="O465" s="5">
        <f t="shared" si="59"/>
        <v>0</v>
      </c>
      <c r="P465" s="5">
        <f t="shared" si="59"/>
        <v>0</v>
      </c>
      <c r="Q465" s="5">
        <f t="shared" si="59"/>
        <v>0</v>
      </c>
      <c r="R465" s="5">
        <f t="shared" si="59"/>
        <v>0</v>
      </c>
      <c r="S465" s="5">
        <f t="shared" si="59"/>
        <v>1.58</v>
      </c>
      <c r="T465" s="5">
        <f t="shared" si="59"/>
        <v>2.66</v>
      </c>
      <c r="U465" s="5">
        <f t="shared" si="59"/>
        <v>2</v>
      </c>
      <c r="V465" s="5">
        <f t="shared" si="59"/>
        <v>1.86</v>
      </c>
      <c r="W465" s="5">
        <f t="shared" si="59"/>
        <v>1.54</v>
      </c>
      <c r="X465" s="5">
        <f t="shared" si="59"/>
        <v>1.05</v>
      </c>
      <c r="Y465" s="5">
        <f t="shared" si="60"/>
        <v>0.79</v>
      </c>
      <c r="Z465" s="5">
        <f t="shared" si="60"/>
        <v>0.59</v>
      </c>
      <c r="AA465" s="5">
        <f t="shared" si="60"/>
        <v>0.44</v>
      </c>
      <c r="AB465" s="5">
        <f t="shared" si="60"/>
        <v>0.35</v>
      </c>
      <c r="AC465" s="5">
        <f t="shared" si="60"/>
        <v>0.28000000000000003</v>
      </c>
      <c r="AD465" s="5">
        <f t="shared" si="60"/>
        <v>0.65</v>
      </c>
      <c r="AE465" s="5">
        <f t="shared" si="60"/>
        <v>2.35</v>
      </c>
      <c r="AF465" s="5">
        <f t="shared" si="60"/>
        <v>3.09</v>
      </c>
      <c r="AG465" s="5">
        <f t="shared" si="60"/>
        <v>4.53</v>
      </c>
      <c r="AH465" s="5">
        <f t="shared" si="60"/>
        <v>4.42</v>
      </c>
      <c r="AI465" s="5">
        <f t="shared" si="60"/>
        <v>4.42</v>
      </c>
      <c r="AJ465" s="5">
        <f t="shared" si="60"/>
        <v>3.82</v>
      </c>
      <c r="AK465" s="5">
        <f t="shared" si="60"/>
        <v>2.76</v>
      </c>
      <c r="AL465" s="5">
        <f t="shared" si="60"/>
        <v>2.59</v>
      </c>
      <c r="AM465" s="173"/>
      <c r="AN465" s="341"/>
      <c r="AQ465" s="11"/>
      <c r="AR465" s="11"/>
    </row>
    <row r="466" spans="1:44">
      <c r="A466" s="5"/>
      <c r="B466" s="63" t="s">
        <v>3403</v>
      </c>
      <c r="C466" s="5"/>
      <c r="D466" s="296"/>
      <c r="E466" s="296"/>
      <c r="F466" s="296"/>
      <c r="G466" s="296"/>
      <c r="H466" s="296"/>
      <c r="I466" s="296"/>
      <c r="J466" s="296"/>
      <c r="K466" s="5">
        <f t="shared" si="59"/>
        <v>0</v>
      </c>
      <c r="L466" s="5">
        <f t="shared" si="59"/>
        <v>0</v>
      </c>
      <c r="M466" s="5">
        <f t="shared" si="59"/>
        <v>0</v>
      </c>
      <c r="N466" s="5">
        <f t="shared" si="59"/>
        <v>0</v>
      </c>
      <c r="O466" s="5">
        <f t="shared" si="59"/>
        <v>0</v>
      </c>
      <c r="P466" s="5">
        <f t="shared" si="59"/>
        <v>0</v>
      </c>
      <c r="Q466" s="5">
        <f t="shared" si="59"/>
        <v>0.24</v>
      </c>
      <c r="R466" s="5">
        <f t="shared" si="59"/>
        <v>1.59</v>
      </c>
      <c r="S466" s="5">
        <f t="shared" si="59"/>
        <v>1.35</v>
      </c>
      <c r="T466" s="5">
        <f t="shared" si="59"/>
        <v>1.5</v>
      </c>
      <c r="U466" s="5">
        <f t="shared" si="59"/>
        <v>1.5</v>
      </c>
      <c r="V466" s="5">
        <f t="shared" si="59"/>
        <v>1.55</v>
      </c>
      <c r="W466" s="5">
        <f t="shared" si="59"/>
        <v>1.58</v>
      </c>
      <c r="X466" s="5">
        <f t="shared" si="59"/>
        <v>1.63</v>
      </c>
      <c r="Y466" s="5">
        <f t="shared" si="60"/>
        <v>1.67</v>
      </c>
      <c r="Z466" s="5">
        <f t="shared" si="60"/>
        <v>1.69</v>
      </c>
      <c r="AA466" s="5">
        <f t="shared" si="60"/>
        <v>1.67</v>
      </c>
      <c r="AB466" s="5">
        <f t="shared" si="60"/>
        <v>1.65</v>
      </c>
      <c r="AC466" s="5">
        <f t="shared" si="60"/>
        <v>1.71</v>
      </c>
      <c r="AD466" s="5">
        <f t="shared" si="60"/>
        <v>1.71</v>
      </c>
      <c r="AE466" s="5">
        <f t="shared" si="60"/>
        <v>1.75</v>
      </c>
      <c r="AF466" s="5">
        <f t="shared" si="60"/>
        <v>1.75</v>
      </c>
      <c r="AG466" s="5">
        <f t="shared" si="60"/>
        <v>1.81</v>
      </c>
      <c r="AH466" s="5">
        <f t="shared" si="60"/>
        <v>1.83</v>
      </c>
      <c r="AI466" s="5">
        <f t="shared" si="60"/>
        <v>1.81</v>
      </c>
      <c r="AJ466" s="5">
        <f t="shared" si="60"/>
        <v>1.8</v>
      </c>
      <c r="AK466" s="5">
        <f t="shared" si="60"/>
        <v>1.77</v>
      </c>
      <c r="AL466" s="5">
        <f t="shared" si="60"/>
        <v>1.74</v>
      </c>
      <c r="AM466" s="173"/>
      <c r="AN466" s="341"/>
      <c r="AQ466" s="11"/>
      <c r="AR466" s="11"/>
    </row>
    <row r="467" spans="1:44">
      <c r="A467" s="5"/>
      <c r="B467" s="50" t="s">
        <v>3278</v>
      </c>
      <c r="C467" s="5"/>
      <c r="D467" s="296"/>
      <c r="E467" s="296"/>
      <c r="F467" s="296"/>
      <c r="G467" s="296"/>
      <c r="H467" s="296"/>
      <c r="I467" s="296"/>
      <c r="J467" s="296"/>
      <c r="K467" s="5">
        <f t="shared" si="59"/>
        <v>0</v>
      </c>
      <c r="L467" s="5">
        <f t="shared" si="59"/>
        <v>0</v>
      </c>
      <c r="M467" s="5">
        <f t="shared" si="59"/>
        <v>0</v>
      </c>
      <c r="N467" s="5">
        <f t="shared" si="59"/>
        <v>0</v>
      </c>
      <c r="O467" s="5">
        <f t="shared" si="59"/>
        <v>0</v>
      </c>
      <c r="P467" s="5">
        <f t="shared" si="59"/>
        <v>0</v>
      </c>
      <c r="Q467" s="5">
        <f t="shared" si="59"/>
        <v>0</v>
      </c>
      <c r="R467" s="5">
        <f t="shared" si="59"/>
        <v>0</v>
      </c>
      <c r="S467" s="5">
        <f t="shared" si="59"/>
        <v>0</v>
      </c>
      <c r="T467" s="5">
        <f t="shared" si="59"/>
        <v>0</v>
      </c>
      <c r="U467" s="5">
        <f t="shared" si="59"/>
        <v>0</v>
      </c>
      <c r="V467" s="5">
        <f t="shared" si="59"/>
        <v>0</v>
      </c>
      <c r="W467" s="5">
        <f t="shared" si="59"/>
        <v>0</v>
      </c>
      <c r="X467" s="5">
        <f t="shared" si="59"/>
        <v>0</v>
      </c>
      <c r="Y467" s="5">
        <f t="shared" si="60"/>
        <v>0</v>
      </c>
      <c r="Z467" s="5">
        <f t="shared" si="60"/>
        <v>0</v>
      </c>
      <c r="AA467" s="5">
        <f t="shared" si="60"/>
        <v>0</v>
      </c>
      <c r="AB467" s="5">
        <f t="shared" si="60"/>
        <v>0</v>
      </c>
      <c r="AC467" s="5">
        <f t="shared" si="60"/>
        <v>0</v>
      </c>
      <c r="AD467" s="5">
        <f t="shared" si="60"/>
        <v>0</v>
      </c>
      <c r="AE467" s="5">
        <f t="shared" si="60"/>
        <v>0</v>
      </c>
      <c r="AF467" s="5">
        <f t="shared" si="60"/>
        <v>0</v>
      </c>
      <c r="AG467" s="5">
        <f t="shared" si="60"/>
        <v>0</v>
      </c>
      <c r="AH467" s="5">
        <f t="shared" si="60"/>
        <v>0</v>
      </c>
      <c r="AI467" s="5">
        <f t="shared" si="60"/>
        <v>0</v>
      </c>
      <c r="AJ467" s="5">
        <f t="shared" si="60"/>
        <v>0</v>
      </c>
      <c r="AK467" s="5">
        <f t="shared" si="60"/>
        <v>0</v>
      </c>
      <c r="AL467" s="5">
        <f t="shared" si="60"/>
        <v>0</v>
      </c>
      <c r="AM467" s="173"/>
      <c r="AN467" s="341"/>
      <c r="AQ467" s="11"/>
      <c r="AR467" s="11"/>
    </row>
    <row r="468" spans="1:44">
      <c r="A468" s="5"/>
      <c r="B468" s="47" t="s">
        <v>1703</v>
      </c>
      <c r="C468" s="5"/>
      <c r="D468" s="296"/>
      <c r="E468" s="296"/>
      <c r="F468" s="296"/>
      <c r="G468" s="296"/>
      <c r="H468" s="296"/>
      <c r="I468" s="296"/>
      <c r="J468" s="296"/>
      <c r="K468" s="5">
        <f t="shared" si="59"/>
        <v>0</v>
      </c>
      <c r="L468" s="5">
        <f t="shared" si="59"/>
        <v>0</v>
      </c>
      <c r="M468" s="5">
        <f t="shared" si="59"/>
        <v>0</v>
      </c>
      <c r="N468" s="5">
        <f t="shared" si="59"/>
        <v>0</v>
      </c>
      <c r="O468" s="5">
        <f t="shared" si="59"/>
        <v>0</v>
      </c>
      <c r="P468" s="5">
        <f t="shared" si="59"/>
        <v>0</v>
      </c>
      <c r="Q468" s="5">
        <f t="shared" si="59"/>
        <v>0</v>
      </c>
      <c r="R468" s="5">
        <f t="shared" si="59"/>
        <v>0</v>
      </c>
      <c r="S468" s="5">
        <f t="shared" si="59"/>
        <v>0</v>
      </c>
      <c r="T468" s="5">
        <f t="shared" si="59"/>
        <v>0</v>
      </c>
      <c r="U468" s="5">
        <f t="shared" si="59"/>
        <v>0</v>
      </c>
      <c r="V468" s="5">
        <f t="shared" si="59"/>
        <v>0</v>
      </c>
      <c r="W468" s="5">
        <f t="shared" si="59"/>
        <v>0</v>
      </c>
      <c r="X468" s="5">
        <f t="shared" si="59"/>
        <v>0</v>
      </c>
      <c r="Y468" s="5">
        <f t="shared" si="60"/>
        <v>0</v>
      </c>
      <c r="Z468" s="5">
        <f t="shared" si="60"/>
        <v>0</v>
      </c>
      <c r="AA468" s="5">
        <f t="shared" si="60"/>
        <v>0</v>
      </c>
      <c r="AB468" s="5">
        <f t="shared" si="60"/>
        <v>0</v>
      </c>
      <c r="AC468" s="5">
        <f t="shared" si="60"/>
        <v>0</v>
      </c>
      <c r="AD468" s="5">
        <f t="shared" si="60"/>
        <v>0</v>
      </c>
      <c r="AE468" s="5">
        <f t="shared" si="60"/>
        <v>0</v>
      </c>
      <c r="AF468" s="5">
        <f t="shared" si="60"/>
        <v>0</v>
      </c>
      <c r="AG468" s="5">
        <f t="shared" si="60"/>
        <v>0</v>
      </c>
      <c r="AH468" s="5">
        <f t="shared" si="60"/>
        <v>0</v>
      </c>
      <c r="AI468" s="5">
        <f t="shared" si="60"/>
        <v>0</v>
      </c>
      <c r="AJ468" s="5">
        <f t="shared" si="60"/>
        <v>0</v>
      </c>
      <c r="AK468" s="5">
        <f t="shared" si="60"/>
        <v>0</v>
      </c>
      <c r="AL468" s="5">
        <f t="shared" si="60"/>
        <v>0</v>
      </c>
      <c r="AM468" s="173"/>
      <c r="AN468" s="341"/>
      <c r="AQ468" s="11"/>
      <c r="AR468" s="11"/>
    </row>
    <row r="469" spans="1:44">
      <c r="A469" s="5"/>
      <c r="B469" s="50" t="s">
        <v>1961</v>
      </c>
      <c r="C469" s="5"/>
      <c r="D469" s="296"/>
      <c r="E469" s="296"/>
      <c r="F469" s="296"/>
      <c r="G469" s="296"/>
      <c r="H469" s="296"/>
      <c r="I469" s="296"/>
      <c r="J469" s="296"/>
      <c r="K469" s="5">
        <f t="shared" si="59"/>
        <v>0</v>
      </c>
      <c r="L469" s="5">
        <f t="shared" si="59"/>
        <v>0</v>
      </c>
      <c r="M469" s="5">
        <f t="shared" si="59"/>
        <v>0</v>
      </c>
      <c r="N469" s="5">
        <f t="shared" si="59"/>
        <v>0</v>
      </c>
      <c r="O469" s="5">
        <f t="shared" si="59"/>
        <v>0</v>
      </c>
      <c r="P469" s="5">
        <f t="shared" si="59"/>
        <v>0</v>
      </c>
      <c r="Q469" s="5">
        <f t="shared" si="59"/>
        <v>0</v>
      </c>
      <c r="R469" s="5">
        <f t="shared" si="59"/>
        <v>0</v>
      </c>
      <c r="S469" s="5">
        <f t="shared" si="59"/>
        <v>0</v>
      </c>
      <c r="T469" s="5">
        <f t="shared" si="59"/>
        <v>0</v>
      </c>
      <c r="U469" s="5">
        <f t="shared" si="59"/>
        <v>0</v>
      </c>
      <c r="V469" s="5">
        <f t="shared" si="59"/>
        <v>0</v>
      </c>
      <c r="W469" s="5">
        <f t="shared" si="59"/>
        <v>0</v>
      </c>
      <c r="X469" s="5">
        <f t="shared" si="59"/>
        <v>0</v>
      </c>
      <c r="Y469" s="5">
        <f t="shared" si="60"/>
        <v>0</v>
      </c>
      <c r="Z469" s="5">
        <f t="shared" si="60"/>
        <v>0</v>
      </c>
      <c r="AA469" s="5">
        <f t="shared" si="60"/>
        <v>0</v>
      </c>
      <c r="AB469" s="5">
        <f t="shared" si="60"/>
        <v>0</v>
      </c>
      <c r="AC469" s="5">
        <f t="shared" si="60"/>
        <v>0</v>
      </c>
      <c r="AD469" s="5">
        <f t="shared" si="60"/>
        <v>0</v>
      </c>
      <c r="AE469" s="5">
        <f t="shared" si="60"/>
        <v>0</v>
      </c>
      <c r="AF469" s="5">
        <f t="shared" si="60"/>
        <v>0</v>
      </c>
      <c r="AG469" s="5">
        <f t="shared" si="60"/>
        <v>0</v>
      </c>
      <c r="AH469" s="5">
        <f t="shared" si="60"/>
        <v>0</v>
      </c>
      <c r="AI469" s="5">
        <f t="shared" si="60"/>
        <v>0</v>
      </c>
      <c r="AJ469" s="5">
        <f t="shared" si="60"/>
        <v>0</v>
      </c>
      <c r="AK469" s="5">
        <f t="shared" si="60"/>
        <v>0</v>
      </c>
      <c r="AL469" s="5">
        <f t="shared" si="60"/>
        <v>0</v>
      </c>
      <c r="AM469" s="173"/>
      <c r="AN469" s="341"/>
      <c r="AQ469" s="11"/>
      <c r="AR469" s="11"/>
    </row>
    <row r="470" spans="1:44">
      <c r="A470" s="5"/>
      <c r="B470" s="50" t="s">
        <v>1280</v>
      </c>
      <c r="C470" s="5"/>
      <c r="D470" s="296"/>
      <c r="E470" s="296"/>
      <c r="F470" s="296"/>
      <c r="G470" s="296"/>
      <c r="H470" s="296"/>
      <c r="I470" s="296"/>
      <c r="J470" s="296"/>
      <c r="K470" s="5">
        <f t="shared" si="59"/>
        <v>74.19</v>
      </c>
      <c r="L470" s="5">
        <f t="shared" si="59"/>
        <v>60.19</v>
      </c>
      <c r="M470" s="5">
        <f t="shared" si="59"/>
        <v>37.97</v>
      </c>
      <c r="N470" s="5">
        <f t="shared" si="59"/>
        <v>26.38</v>
      </c>
      <c r="O470" s="5">
        <f t="shared" si="59"/>
        <v>20.32</v>
      </c>
      <c r="P470" s="5">
        <f t="shared" si="59"/>
        <v>22.66</v>
      </c>
      <c r="Q470" s="5">
        <f t="shared" si="59"/>
        <v>26.19</v>
      </c>
      <c r="R470" s="5">
        <f t="shared" si="59"/>
        <v>25.73</v>
      </c>
      <c r="S470" s="5">
        <f t="shared" si="59"/>
        <v>20.97</v>
      </c>
      <c r="T470" s="5">
        <f t="shared" si="59"/>
        <v>14.97</v>
      </c>
      <c r="U470" s="5">
        <f t="shared" si="59"/>
        <v>16.18</v>
      </c>
      <c r="V470" s="5">
        <f t="shared" si="59"/>
        <v>17.239999999999998</v>
      </c>
      <c r="W470" s="5">
        <f t="shared" si="59"/>
        <v>15.58</v>
      </c>
      <c r="X470" s="5">
        <f t="shared" si="59"/>
        <v>13.51</v>
      </c>
      <c r="Y470" s="5">
        <f t="shared" si="60"/>
        <v>15.25</v>
      </c>
      <c r="Z470" s="5">
        <f t="shared" si="60"/>
        <v>14.22</v>
      </c>
      <c r="AA470" s="5">
        <f t="shared" si="60"/>
        <v>14.13</v>
      </c>
      <c r="AB470" s="5">
        <f t="shared" si="60"/>
        <v>13.01</v>
      </c>
      <c r="AC470" s="5">
        <f t="shared" si="60"/>
        <v>11.66</v>
      </c>
      <c r="AD470" s="5">
        <f t="shared" si="60"/>
        <v>10.44</v>
      </c>
      <c r="AE470" s="5">
        <f t="shared" si="60"/>
        <v>9.11</v>
      </c>
      <c r="AF470" s="5">
        <f t="shared" si="60"/>
        <v>3.65</v>
      </c>
      <c r="AG470" s="5">
        <f t="shared" si="60"/>
        <v>2.86</v>
      </c>
      <c r="AH470" s="5">
        <f t="shared" si="60"/>
        <v>2.11</v>
      </c>
      <c r="AI470" s="5">
        <f t="shared" si="60"/>
        <v>1.55</v>
      </c>
      <c r="AJ470" s="5">
        <f t="shared" si="60"/>
        <v>0</v>
      </c>
      <c r="AK470" s="5">
        <f t="shared" si="60"/>
        <v>0</v>
      </c>
      <c r="AL470" s="5">
        <f t="shared" si="60"/>
        <v>0</v>
      </c>
      <c r="AM470" s="173"/>
      <c r="AN470" s="341"/>
      <c r="AQ470" s="11"/>
      <c r="AR470" s="11"/>
    </row>
    <row r="471" spans="1:44">
      <c r="A471" s="5"/>
      <c r="B471" s="50" t="s">
        <v>1281</v>
      </c>
      <c r="C471" s="5"/>
      <c r="D471" s="296"/>
      <c r="E471" s="296"/>
      <c r="F471" s="296"/>
      <c r="G471" s="296"/>
      <c r="H471" s="296"/>
      <c r="I471" s="296"/>
      <c r="J471" s="296"/>
      <c r="K471" s="5">
        <f t="shared" si="59"/>
        <v>329.49999999999994</v>
      </c>
      <c r="L471" s="5">
        <f t="shared" si="59"/>
        <v>293.5</v>
      </c>
      <c r="M471" s="5">
        <f t="shared" si="59"/>
        <v>243.00000000000009</v>
      </c>
      <c r="N471" s="5">
        <f t="shared" si="59"/>
        <v>222.77000000000004</v>
      </c>
      <c r="O471" s="5">
        <f t="shared" si="59"/>
        <v>171.96999999999997</v>
      </c>
      <c r="P471" s="5">
        <f t="shared" si="59"/>
        <v>149.5</v>
      </c>
      <c r="Q471" s="5">
        <f t="shared" si="59"/>
        <v>144.22000000000003</v>
      </c>
      <c r="R471" s="5">
        <f t="shared" si="59"/>
        <v>116.59</v>
      </c>
      <c r="S471" s="5">
        <f t="shared" si="59"/>
        <v>95.11</v>
      </c>
      <c r="T471" s="5">
        <f t="shared" si="59"/>
        <v>62.44</v>
      </c>
      <c r="U471" s="5">
        <f t="shared" si="59"/>
        <v>50.78</v>
      </c>
      <c r="V471" s="5">
        <f t="shared" si="59"/>
        <v>46.660000000000004</v>
      </c>
      <c r="W471" s="5">
        <f t="shared" si="59"/>
        <v>75.570000000000007</v>
      </c>
      <c r="X471" s="5">
        <f t="shared" si="59"/>
        <v>81.16</v>
      </c>
      <c r="Y471" s="5">
        <f t="shared" si="60"/>
        <v>93.41</v>
      </c>
      <c r="Z471" s="5">
        <f t="shared" si="60"/>
        <v>123.06000000000002</v>
      </c>
      <c r="AA471" s="5">
        <f t="shared" si="60"/>
        <v>132.1</v>
      </c>
      <c r="AB471" s="5">
        <f t="shared" si="60"/>
        <v>128.60999999999999</v>
      </c>
      <c r="AC471" s="5">
        <f t="shared" si="60"/>
        <v>133.59</v>
      </c>
      <c r="AD471" s="5">
        <f t="shared" si="60"/>
        <v>128.41</v>
      </c>
      <c r="AE471" s="5">
        <f t="shared" si="60"/>
        <v>109.58</v>
      </c>
      <c r="AF471" s="5">
        <f t="shared" si="60"/>
        <v>96.850000000000009</v>
      </c>
      <c r="AG471" s="5">
        <f t="shared" si="60"/>
        <v>89.7</v>
      </c>
      <c r="AH471" s="5">
        <f t="shared" si="60"/>
        <v>79.28</v>
      </c>
      <c r="AI471" s="5">
        <f t="shared" si="60"/>
        <v>76.38000000000001</v>
      </c>
      <c r="AJ471" s="5">
        <f t="shared" si="60"/>
        <v>69.119999999999976</v>
      </c>
      <c r="AK471" s="5">
        <f t="shared" si="60"/>
        <v>63.810000000000009</v>
      </c>
      <c r="AL471" s="5">
        <f t="shared" si="60"/>
        <v>57.290000000000006</v>
      </c>
      <c r="AM471" s="173"/>
      <c r="AN471" s="341"/>
      <c r="AQ471" s="11"/>
      <c r="AR471" s="11"/>
    </row>
    <row r="472" spans="1:44">
      <c r="A472" s="5"/>
      <c r="B472" s="50" t="s">
        <v>728</v>
      </c>
      <c r="C472" s="5"/>
      <c r="D472" s="296"/>
      <c r="E472" s="296"/>
      <c r="F472" s="296"/>
      <c r="G472" s="296"/>
      <c r="H472" s="296"/>
      <c r="I472" s="296"/>
      <c r="J472" s="296"/>
      <c r="K472" s="5">
        <f t="shared" si="59"/>
        <v>709.46999999999991</v>
      </c>
      <c r="L472" s="5">
        <f t="shared" si="59"/>
        <v>650.19999999999993</v>
      </c>
      <c r="M472" s="5">
        <f t="shared" si="59"/>
        <v>580.41999999999996</v>
      </c>
      <c r="N472" s="5">
        <f t="shared" si="59"/>
        <v>526.94999999999982</v>
      </c>
      <c r="O472" s="5">
        <f t="shared" si="59"/>
        <v>497.96999999999997</v>
      </c>
      <c r="P472" s="5">
        <f t="shared" si="59"/>
        <v>523.6</v>
      </c>
      <c r="Q472" s="5">
        <f t="shared" si="59"/>
        <v>644.03</v>
      </c>
      <c r="R472" s="5">
        <f t="shared" si="59"/>
        <v>567.92999999999995</v>
      </c>
      <c r="S472" s="5">
        <f t="shared" si="59"/>
        <v>439.27</v>
      </c>
      <c r="T472" s="5">
        <f t="shared" si="59"/>
        <v>382.91999999999996</v>
      </c>
      <c r="U472" s="5">
        <f t="shared" si="59"/>
        <v>359.31</v>
      </c>
      <c r="V472" s="5">
        <f t="shared" si="59"/>
        <v>420.51424000000003</v>
      </c>
      <c r="W472" s="5">
        <f t="shared" si="59"/>
        <v>387.82076000000001</v>
      </c>
      <c r="X472" s="5">
        <f t="shared" si="59"/>
        <v>390.71248000000003</v>
      </c>
      <c r="Y472" s="5">
        <f t="shared" si="60"/>
        <v>406.32076000000001</v>
      </c>
      <c r="Z472" s="5">
        <f t="shared" si="60"/>
        <v>421.80932000000001</v>
      </c>
      <c r="AA472" s="5">
        <f t="shared" si="60"/>
        <v>420.62279999999998</v>
      </c>
      <c r="AB472" s="5">
        <f t="shared" si="60"/>
        <v>399.27024</v>
      </c>
      <c r="AC472" s="5">
        <f t="shared" si="60"/>
        <v>389.83008000000001</v>
      </c>
      <c r="AD472" s="5">
        <f t="shared" si="60"/>
        <v>432.45124000000004</v>
      </c>
      <c r="AE472" s="5">
        <f t="shared" si="60"/>
        <v>421.91143999999997</v>
      </c>
      <c r="AF472" s="5">
        <f t="shared" si="60"/>
        <v>414.91439999999994</v>
      </c>
      <c r="AG472" s="5">
        <f t="shared" si="60"/>
        <v>394.71976000000001</v>
      </c>
      <c r="AH472" s="5">
        <f t="shared" si="60"/>
        <v>360.57224000000002</v>
      </c>
      <c r="AI472" s="5">
        <f t="shared" si="60"/>
        <v>332.14207999999996</v>
      </c>
      <c r="AJ472" s="5">
        <f t="shared" si="60"/>
        <v>312.49988000000002</v>
      </c>
      <c r="AK472" s="5">
        <f t="shared" si="60"/>
        <v>284.70599999999996</v>
      </c>
      <c r="AL472" s="5">
        <f t="shared" si="60"/>
        <v>256.84091999999998</v>
      </c>
      <c r="AM472" s="173"/>
      <c r="AN472" s="341"/>
      <c r="AQ472" s="11"/>
      <c r="AR472" s="11"/>
    </row>
    <row r="473" spans="1:44">
      <c r="A473" s="5"/>
      <c r="B473" s="50" t="s">
        <v>1036</v>
      </c>
      <c r="C473" s="5"/>
      <c r="D473" s="296"/>
      <c r="E473" s="296"/>
      <c r="F473" s="296"/>
      <c r="G473" s="296"/>
      <c r="H473" s="296"/>
      <c r="I473" s="296"/>
      <c r="J473" s="296"/>
      <c r="K473" s="5">
        <f t="shared" si="59"/>
        <v>0</v>
      </c>
      <c r="L473" s="5">
        <f t="shared" si="59"/>
        <v>0</v>
      </c>
      <c r="M473" s="5">
        <f t="shared" si="59"/>
        <v>0</v>
      </c>
      <c r="N473" s="5">
        <f t="shared" si="59"/>
        <v>0</v>
      </c>
      <c r="O473" s="5">
        <f t="shared" si="59"/>
        <v>0</v>
      </c>
      <c r="P473" s="5">
        <f t="shared" si="59"/>
        <v>0</v>
      </c>
      <c r="Q473" s="5">
        <f t="shared" si="59"/>
        <v>0</v>
      </c>
      <c r="R473" s="5">
        <f t="shared" si="59"/>
        <v>0</v>
      </c>
      <c r="S473" s="5">
        <f t="shared" si="59"/>
        <v>0</v>
      </c>
      <c r="T473" s="5">
        <f t="shared" si="59"/>
        <v>0</v>
      </c>
      <c r="U473" s="5">
        <f t="shared" si="59"/>
        <v>0</v>
      </c>
      <c r="V473" s="5">
        <f t="shared" si="59"/>
        <v>0</v>
      </c>
      <c r="W473" s="5">
        <f t="shared" si="59"/>
        <v>0</v>
      </c>
      <c r="X473" s="5">
        <f t="shared" si="59"/>
        <v>0</v>
      </c>
      <c r="Y473" s="5">
        <f t="shared" si="60"/>
        <v>0</v>
      </c>
      <c r="Z473" s="5">
        <f t="shared" si="60"/>
        <v>0</v>
      </c>
      <c r="AA473" s="5">
        <f t="shared" si="60"/>
        <v>0</v>
      </c>
      <c r="AB473" s="5">
        <f t="shared" si="60"/>
        <v>0</v>
      </c>
      <c r="AC473" s="5">
        <f t="shared" si="60"/>
        <v>0</v>
      </c>
      <c r="AD473" s="5">
        <f t="shared" si="60"/>
        <v>0</v>
      </c>
      <c r="AE473" s="5">
        <f t="shared" si="60"/>
        <v>0</v>
      </c>
      <c r="AF473" s="5">
        <f t="shared" si="60"/>
        <v>0</v>
      </c>
      <c r="AG473" s="5">
        <f t="shared" si="60"/>
        <v>0</v>
      </c>
      <c r="AH473" s="5">
        <f t="shared" si="60"/>
        <v>0</v>
      </c>
      <c r="AI473" s="5">
        <f t="shared" si="60"/>
        <v>0</v>
      </c>
      <c r="AJ473" s="5">
        <f t="shared" si="60"/>
        <v>0</v>
      </c>
      <c r="AK473" s="5">
        <f t="shared" si="60"/>
        <v>0</v>
      </c>
      <c r="AL473" s="5">
        <f t="shared" si="60"/>
        <v>0</v>
      </c>
      <c r="AM473" s="173"/>
      <c r="AN473" s="341"/>
      <c r="AQ473" s="11"/>
      <c r="AR473" s="11"/>
    </row>
    <row r="474" spans="1:44">
      <c r="A474" s="5"/>
      <c r="B474" s="50" t="s">
        <v>3399</v>
      </c>
      <c r="C474" s="5"/>
      <c r="D474" s="296"/>
      <c r="E474" s="296"/>
      <c r="F474" s="296"/>
      <c r="G474" s="296"/>
      <c r="H474" s="296"/>
      <c r="I474" s="296"/>
      <c r="J474" s="296"/>
      <c r="K474" s="5">
        <f t="shared" si="59"/>
        <v>12.77</v>
      </c>
      <c r="L474" s="5">
        <f t="shared" si="59"/>
        <v>9.86</v>
      </c>
      <c r="M474" s="5">
        <f t="shared" si="59"/>
        <v>7.9</v>
      </c>
      <c r="N474" s="5">
        <f t="shared" si="59"/>
        <v>7.55</v>
      </c>
      <c r="O474" s="5">
        <f t="shared" si="59"/>
        <v>6.67</v>
      </c>
      <c r="P474" s="5">
        <f t="shared" si="59"/>
        <v>6.79</v>
      </c>
      <c r="Q474" s="5">
        <f t="shared" si="59"/>
        <v>4.7799999999999994</v>
      </c>
      <c r="R474" s="5">
        <f t="shared" si="59"/>
        <v>1.96</v>
      </c>
      <c r="S474" s="5">
        <f t="shared" si="59"/>
        <v>1.54</v>
      </c>
      <c r="T474" s="5">
        <f t="shared" si="59"/>
        <v>1.6</v>
      </c>
      <c r="U474" s="5">
        <f t="shared" si="59"/>
        <v>1.5</v>
      </c>
      <c r="V474" s="5">
        <f t="shared" si="59"/>
        <v>1.54</v>
      </c>
      <c r="W474" s="5">
        <f t="shared" si="59"/>
        <v>2.0499999999999998</v>
      </c>
      <c r="X474" s="5">
        <f t="shared" si="59"/>
        <v>1.51</v>
      </c>
      <c r="Y474" s="5">
        <f t="shared" si="60"/>
        <v>0</v>
      </c>
      <c r="Z474" s="5">
        <f t="shared" si="60"/>
        <v>0</v>
      </c>
      <c r="AA474" s="5">
        <f t="shared" si="60"/>
        <v>0</v>
      </c>
      <c r="AB474" s="5">
        <f t="shared" si="60"/>
        <v>0</v>
      </c>
      <c r="AC474" s="5">
        <f t="shared" si="60"/>
        <v>0.49</v>
      </c>
      <c r="AD474" s="5">
        <f t="shared" si="60"/>
        <v>0.84</v>
      </c>
      <c r="AE474" s="5">
        <f t="shared" si="60"/>
        <v>0.9</v>
      </c>
      <c r="AF474" s="5">
        <f t="shared" si="60"/>
        <v>0.91</v>
      </c>
      <c r="AG474" s="5">
        <f t="shared" si="60"/>
        <v>0.91</v>
      </c>
      <c r="AH474" s="5">
        <f t="shared" si="60"/>
        <v>0.93</v>
      </c>
      <c r="AI474" s="5">
        <f t="shared" si="60"/>
        <v>0.94</v>
      </c>
      <c r="AJ474" s="5">
        <f t="shared" si="60"/>
        <v>0.96</v>
      </c>
      <c r="AK474" s="5">
        <f t="shared" si="60"/>
        <v>0.95</v>
      </c>
      <c r="AL474" s="5">
        <f t="shared" si="60"/>
        <v>0.92</v>
      </c>
      <c r="AM474" s="173"/>
      <c r="AN474" s="341"/>
      <c r="AQ474" s="11"/>
      <c r="AR474" s="11"/>
    </row>
    <row r="475" spans="1:44">
      <c r="A475" s="8"/>
      <c r="B475" s="28" t="s">
        <v>896</v>
      </c>
      <c r="C475" s="8"/>
      <c r="D475" s="296"/>
      <c r="E475" s="296"/>
      <c r="F475" s="296"/>
      <c r="G475" s="296"/>
      <c r="H475" s="296"/>
      <c r="I475" s="296"/>
      <c r="J475" s="296"/>
      <c r="K475" s="8">
        <f t="shared" ref="K475:AL475" si="61">SUM(K447:K474)</f>
        <v>1475.87</v>
      </c>
      <c r="L475" s="8">
        <f t="shared" si="61"/>
        <v>1352.4999999999998</v>
      </c>
      <c r="M475" s="8">
        <f t="shared" si="61"/>
        <v>1290.8700000000003</v>
      </c>
      <c r="N475" s="8">
        <f t="shared" si="61"/>
        <v>1247.7599999999998</v>
      </c>
      <c r="O475" s="8">
        <f t="shared" si="61"/>
        <v>1253.9000000000001</v>
      </c>
      <c r="P475" s="8">
        <f t="shared" si="61"/>
        <v>1160.69</v>
      </c>
      <c r="Q475" s="8">
        <f t="shared" si="61"/>
        <v>1313.76</v>
      </c>
      <c r="R475" s="8">
        <f t="shared" si="61"/>
        <v>1157.23</v>
      </c>
      <c r="S475" s="8">
        <f t="shared" si="61"/>
        <v>920.14</v>
      </c>
      <c r="T475" s="8">
        <f t="shared" si="61"/>
        <v>843.7</v>
      </c>
      <c r="U475" s="8">
        <f t="shared" si="61"/>
        <v>851.73</v>
      </c>
      <c r="V475" s="8">
        <f t="shared" si="61"/>
        <v>945.99423999999999</v>
      </c>
      <c r="W475" s="8">
        <f t="shared" si="61"/>
        <v>1186.4207600000002</v>
      </c>
      <c r="X475" s="8">
        <f>SUM(X447:X474)</f>
        <v>1200.2614799999999</v>
      </c>
      <c r="Y475" s="8">
        <f t="shared" si="61"/>
        <v>1134.2907599999999</v>
      </c>
      <c r="Z475" s="8">
        <f t="shared" si="61"/>
        <v>1162.5493200000003</v>
      </c>
      <c r="AA475" s="8">
        <f t="shared" si="61"/>
        <v>1154.4728</v>
      </c>
      <c r="AB475" s="8">
        <f t="shared" si="61"/>
        <v>1120.9302399999999</v>
      </c>
      <c r="AC475" s="8">
        <f t="shared" si="61"/>
        <v>1082.6300799999999</v>
      </c>
      <c r="AD475" s="8">
        <f t="shared" si="61"/>
        <v>1095.6812399999999</v>
      </c>
      <c r="AE475" s="8">
        <f t="shared" si="61"/>
        <v>1053.1614400000003</v>
      </c>
      <c r="AF475" s="8">
        <f t="shared" si="61"/>
        <v>1010.2943999999999</v>
      </c>
      <c r="AG475" s="8">
        <f t="shared" si="61"/>
        <v>958.46976000000006</v>
      </c>
      <c r="AH475" s="8">
        <f t="shared" si="61"/>
        <v>885.41224</v>
      </c>
      <c r="AI475" s="8">
        <f t="shared" si="61"/>
        <v>826.94208000000003</v>
      </c>
      <c r="AJ475" s="8">
        <f t="shared" si="61"/>
        <v>764.91988000000015</v>
      </c>
      <c r="AK475" s="8">
        <f t="shared" si="61"/>
        <v>722.99599999999998</v>
      </c>
      <c r="AL475" s="8">
        <f t="shared" si="61"/>
        <v>674.78092000000004</v>
      </c>
      <c r="AM475" s="8"/>
      <c r="AN475" s="179"/>
      <c r="AQ475" s="11"/>
      <c r="AR475" s="11"/>
    </row>
    <row r="476" spans="1:44">
      <c r="A476" s="29"/>
      <c r="B476" s="30" t="s">
        <v>897</v>
      </c>
      <c r="C476" s="29"/>
      <c r="D476" s="296"/>
      <c r="E476" s="296"/>
      <c r="F476" s="296"/>
      <c r="G476" s="296"/>
      <c r="H476" s="296"/>
      <c r="I476" s="296"/>
      <c r="J476" s="296"/>
      <c r="K476" s="29">
        <f t="shared" ref="K476:AL476" si="62">K475-K444</f>
        <v>0</v>
      </c>
      <c r="L476" s="29">
        <f t="shared" si="62"/>
        <v>0</v>
      </c>
      <c r="M476" s="29">
        <f t="shared" si="62"/>
        <v>0</v>
      </c>
      <c r="N476" s="29">
        <f t="shared" si="62"/>
        <v>0</v>
      </c>
      <c r="O476" s="29">
        <f t="shared" si="62"/>
        <v>0</v>
      </c>
      <c r="P476" s="29">
        <f t="shared" si="62"/>
        <v>0</v>
      </c>
      <c r="Q476" s="29">
        <f t="shared" si="62"/>
        <v>0</v>
      </c>
      <c r="R476" s="29">
        <f t="shared" si="62"/>
        <v>0</v>
      </c>
      <c r="S476" s="29">
        <f t="shared" si="62"/>
        <v>0</v>
      </c>
      <c r="T476" s="29">
        <f t="shared" si="62"/>
        <v>0</v>
      </c>
      <c r="U476" s="29">
        <f t="shared" si="62"/>
        <v>0</v>
      </c>
      <c r="V476" s="29">
        <f t="shared" si="62"/>
        <v>0</v>
      </c>
      <c r="W476" s="29">
        <f t="shared" si="62"/>
        <v>0</v>
      </c>
      <c r="X476" s="29">
        <f>X475-X444</f>
        <v>0</v>
      </c>
      <c r="Y476" s="29">
        <f t="shared" si="62"/>
        <v>0</v>
      </c>
      <c r="Z476" s="29">
        <f t="shared" si="62"/>
        <v>0</v>
      </c>
      <c r="AA476" s="29">
        <f t="shared" si="62"/>
        <v>0</v>
      </c>
      <c r="AB476" s="29">
        <f t="shared" si="62"/>
        <v>0</v>
      </c>
      <c r="AC476" s="29">
        <f>AC475-AC444</f>
        <v>0</v>
      </c>
      <c r="AD476" s="29">
        <f t="shared" si="62"/>
        <v>0</v>
      </c>
      <c r="AE476" s="29">
        <f t="shared" si="62"/>
        <v>0</v>
      </c>
      <c r="AF476" s="29">
        <f t="shared" si="62"/>
        <v>0</v>
      </c>
      <c r="AG476" s="29">
        <f t="shared" si="62"/>
        <v>0</v>
      </c>
      <c r="AH476" s="29">
        <f t="shared" si="62"/>
        <v>0</v>
      </c>
      <c r="AI476" s="29">
        <f t="shared" si="62"/>
        <v>0</v>
      </c>
      <c r="AJ476" s="29">
        <f t="shared" si="62"/>
        <v>0</v>
      </c>
      <c r="AK476" s="29">
        <f t="shared" si="62"/>
        <v>0</v>
      </c>
      <c r="AL476" s="29">
        <f t="shared" si="62"/>
        <v>0</v>
      </c>
      <c r="AM476" s="29"/>
      <c r="AN476" s="322"/>
      <c r="AQ476" s="11"/>
      <c r="AR476" s="11"/>
    </row>
    <row r="477" spans="1:44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173"/>
      <c r="AN477" s="341"/>
      <c r="AQ477" s="11"/>
      <c r="AR477" s="11"/>
    </row>
    <row r="478" spans="1:44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173"/>
      <c r="AN478" s="341"/>
      <c r="AQ478" s="11"/>
      <c r="AR478" s="11"/>
    </row>
    <row r="479" spans="1:44" ht="12.75" customHeight="1">
      <c r="A479" s="22"/>
      <c r="B479" s="24" t="s">
        <v>2729</v>
      </c>
      <c r="C479" s="22"/>
      <c r="D479" s="22"/>
      <c r="E479" s="22"/>
      <c r="F479" s="22"/>
      <c r="G479" s="22"/>
      <c r="H479" s="22"/>
      <c r="I479" s="22"/>
      <c r="J479" s="22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2"/>
      <c r="AN479" s="333"/>
      <c r="AQ479" s="11"/>
      <c r="AR479" s="11"/>
    </row>
    <row r="480" spans="1:44" ht="12.75" customHeight="1">
      <c r="A480" s="35"/>
      <c r="B480" s="34" t="s">
        <v>399</v>
      </c>
      <c r="C480" s="34" t="s">
        <v>898</v>
      </c>
      <c r="D480" s="34"/>
      <c r="E480" s="34"/>
      <c r="F480" s="34"/>
      <c r="G480" s="34"/>
      <c r="H480" s="34"/>
      <c r="I480" s="34"/>
      <c r="J480" s="34"/>
      <c r="K480" s="32">
        <v>2003</v>
      </c>
      <c r="L480" s="32">
        <v>2004</v>
      </c>
      <c r="M480" s="32">
        <v>2005</v>
      </c>
      <c r="N480" s="32">
        <v>2006</v>
      </c>
      <c r="O480" s="32">
        <v>2007</v>
      </c>
      <c r="P480" s="32">
        <v>2008</v>
      </c>
      <c r="Q480" s="32">
        <v>2009</v>
      </c>
      <c r="R480" s="32">
        <v>2010</v>
      </c>
      <c r="S480" s="32">
        <v>2011</v>
      </c>
      <c r="T480" s="32">
        <v>2012</v>
      </c>
      <c r="U480" s="32">
        <v>2013</v>
      </c>
      <c r="V480" s="32">
        <v>2014</v>
      </c>
      <c r="W480" s="32">
        <v>2015</v>
      </c>
      <c r="X480" s="32">
        <v>2016</v>
      </c>
      <c r="Y480" s="32">
        <v>2017</v>
      </c>
      <c r="Z480" s="32">
        <v>2018</v>
      </c>
      <c r="AA480" s="32">
        <v>2019</v>
      </c>
      <c r="AB480" s="32">
        <v>2020</v>
      </c>
      <c r="AC480" s="32">
        <v>2021</v>
      </c>
      <c r="AD480" s="32">
        <v>2022</v>
      </c>
      <c r="AE480" s="32">
        <v>2023</v>
      </c>
      <c r="AF480" s="32">
        <v>2024</v>
      </c>
      <c r="AG480" s="32">
        <v>2025</v>
      </c>
      <c r="AH480" s="32">
        <v>2026</v>
      </c>
      <c r="AI480" s="32">
        <v>2027</v>
      </c>
      <c r="AJ480" s="32">
        <v>2028</v>
      </c>
      <c r="AK480" s="32">
        <v>2029</v>
      </c>
      <c r="AL480" s="32">
        <v>2030</v>
      </c>
      <c r="AM480" s="35"/>
      <c r="AN480" s="361"/>
    </row>
    <row r="481" spans="1:40" ht="12.75" customHeight="1">
      <c r="A481" s="24"/>
      <c r="B481" s="24" t="s">
        <v>895</v>
      </c>
      <c r="C481" s="24"/>
      <c r="D481" s="24"/>
      <c r="E481" s="24"/>
      <c r="F481" s="24"/>
      <c r="G481" s="24"/>
      <c r="H481" s="24"/>
      <c r="I481" s="24"/>
      <c r="J481" s="24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6"/>
      <c r="AB481" s="26"/>
      <c r="AC481" s="26"/>
      <c r="AD481" s="26"/>
      <c r="AE481" s="26"/>
      <c r="AF481" s="26"/>
      <c r="AG481" s="26"/>
      <c r="AH481" s="26"/>
      <c r="AI481" s="26"/>
      <c r="AJ481" s="26"/>
      <c r="AK481" s="26"/>
      <c r="AL481" s="26"/>
      <c r="AM481" s="22"/>
      <c r="AN481" s="333"/>
    </row>
    <row r="482" spans="1:40">
      <c r="A482" s="5"/>
      <c r="B482" s="50" t="s">
        <v>545</v>
      </c>
      <c r="C482" s="27" t="s">
        <v>2921</v>
      </c>
      <c r="D482" s="296"/>
      <c r="E482" s="296"/>
      <c r="F482" s="296"/>
      <c r="G482" s="296"/>
      <c r="H482" s="296"/>
      <c r="I482" s="296"/>
      <c r="J482" s="296"/>
      <c r="K482" s="5">
        <f t="shared" ref="K482:T486" si="63">SUMIF($AM$10:$AM$409,$B482,K$10:K$409)</f>
        <v>59.291999999999994</v>
      </c>
      <c r="L482" s="5">
        <f t="shared" si="63"/>
        <v>63.21</v>
      </c>
      <c r="M482" s="5">
        <f t="shared" si="63"/>
        <v>65.34</v>
      </c>
      <c r="N482" s="5">
        <f t="shared" si="63"/>
        <v>67.440000000000012</v>
      </c>
      <c r="O482" s="5">
        <f t="shared" si="63"/>
        <v>66.75</v>
      </c>
      <c r="P482" s="5">
        <f t="shared" si="63"/>
        <v>66.114000000000004</v>
      </c>
      <c r="Q482" s="5">
        <f t="shared" si="63"/>
        <v>71.063999999999993</v>
      </c>
      <c r="R482" s="5">
        <f t="shared" si="63"/>
        <v>70.932000000000016</v>
      </c>
      <c r="S482" s="5">
        <f t="shared" si="63"/>
        <v>70.698000000000008</v>
      </c>
      <c r="T482" s="5">
        <f t="shared" si="63"/>
        <v>64.266000000000005</v>
      </c>
      <c r="U482" s="5">
        <f t="shared" ref="U482:AD486" si="64">SUMIF($AM$10:$AM$409,$B482,U$10:U$409)</f>
        <v>62.069999999999993</v>
      </c>
      <c r="V482" s="5">
        <f t="shared" si="64"/>
        <v>63.611999999999995</v>
      </c>
      <c r="W482" s="5">
        <f t="shared" si="64"/>
        <v>64.571999999999989</v>
      </c>
      <c r="X482" s="5">
        <f t="shared" si="64"/>
        <v>61.488000000000007</v>
      </c>
      <c r="Y482" s="5">
        <f t="shared" si="64"/>
        <v>59.611999999999995</v>
      </c>
      <c r="Z482" s="5">
        <f t="shared" si="64"/>
        <v>53.980000000000004</v>
      </c>
      <c r="AA482" s="5">
        <f t="shared" si="64"/>
        <v>54.410000000000004</v>
      </c>
      <c r="AB482" s="5">
        <f t="shared" si="64"/>
        <v>55.105000000000004</v>
      </c>
      <c r="AC482" s="5">
        <f t="shared" si="64"/>
        <v>55.884999999999998</v>
      </c>
      <c r="AD482" s="5">
        <f t="shared" si="64"/>
        <v>56.12</v>
      </c>
      <c r="AE482" s="5">
        <f t="shared" ref="AE482:AL486" si="65">SUMIF($AM$10:$AM$409,$B482,AE$10:AE$409)</f>
        <v>55.545000000000002</v>
      </c>
      <c r="AF482" s="5">
        <f t="shared" si="65"/>
        <v>54.14</v>
      </c>
      <c r="AG482" s="5">
        <f t="shared" si="65"/>
        <v>52.94</v>
      </c>
      <c r="AH482" s="5">
        <f t="shared" si="65"/>
        <v>47.515000000000001</v>
      </c>
      <c r="AI482" s="5">
        <f t="shared" si="65"/>
        <v>43.005000000000003</v>
      </c>
      <c r="AJ482" s="5">
        <f t="shared" si="65"/>
        <v>38.419999999999995</v>
      </c>
      <c r="AK482" s="5">
        <f t="shared" si="65"/>
        <v>34.729999999999997</v>
      </c>
      <c r="AL482" s="5">
        <f t="shared" si="65"/>
        <v>31.515000000000001</v>
      </c>
      <c r="AM482" s="173"/>
      <c r="AN482" s="341"/>
    </row>
    <row r="483" spans="1:40">
      <c r="A483" s="5"/>
      <c r="B483" s="50" t="s">
        <v>3384</v>
      </c>
      <c r="C483" s="27" t="s">
        <v>1473</v>
      </c>
      <c r="D483" s="296"/>
      <c r="E483" s="296"/>
      <c r="F483" s="296"/>
      <c r="G483" s="296"/>
      <c r="H483" s="296"/>
      <c r="I483" s="296"/>
      <c r="J483" s="296"/>
      <c r="K483" s="5">
        <f t="shared" si="63"/>
        <v>0</v>
      </c>
      <c r="L483" s="5">
        <f t="shared" si="63"/>
        <v>0</v>
      </c>
      <c r="M483" s="5">
        <f t="shared" si="63"/>
        <v>0</v>
      </c>
      <c r="N483" s="5">
        <f t="shared" si="63"/>
        <v>0</v>
      </c>
      <c r="O483" s="5">
        <f t="shared" si="63"/>
        <v>0</v>
      </c>
      <c r="P483" s="5">
        <f t="shared" si="63"/>
        <v>0</v>
      </c>
      <c r="Q483" s="5">
        <f t="shared" si="63"/>
        <v>0</v>
      </c>
      <c r="R483" s="5">
        <f t="shared" si="63"/>
        <v>0</v>
      </c>
      <c r="S483" s="5">
        <f t="shared" si="63"/>
        <v>0</v>
      </c>
      <c r="T483" s="5">
        <f t="shared" si="63"/>
        <v>0</v>
      </c>
      <c r="U483" s="5">
        <f t="shared" si="64"/>
        <v>0</v>
      </c>
      <c r="V483" s="5">
        <f t="shared" si="64"/>
        <v>0</v>
      </c>
      <c r="W483" s="5">
        <f t="shared" si="64"/>
        <v>0</v>
      </c>
      <c r="X483" s="5">
        <f t="shared" si="64"/>
        <v>0</v>
      </c>
      <c r="Y483" s="5">
        <f t="shared" si="64"/>
        <v>0</v>
      </c>
      <c r="Z483" s="5">
        <f t="shared" si="64"/>
        <v>0</v>
      </c>
      <c r="AA483" s="5">
        <f t="shared" si="64"/>
        <v>0</v>
      </c>
      <c r="AB483" s="5">
        <f t="shared" si="64"/>
        <v>0</v>
      </c>
      <c r="AC483" s="5">
        <f t="shared" si="64"/>
        <v>0</v>
      </c>
      <c r="AD483" s="5">
        <f t="shared" si="64"/>
        <v>0</v>
      </c>
      <c r="AE483" s="5">
        <f t="shared" si="65"/>
        <v>0</v>
      </c>
      <c r="AF483" s="5">
        <f t="shared" si="65"/>
        <v>0</v>
      </c>
      <c r="AG483" s="5">
        <f t="shared" si="65"/>
        <v>0</v>
      </c>
      <c r="AH483" s="5">
        <f t="shared" si="65"/>
        <v>0</v>
      </c>
      <c r="AI483" s="5">
        <f t="shared" si="65"/>
        <v>0</v>
      </c>
      <c r="AJ483" s="5">
        <f t="shared" si="65"/>
        <v>0</v>
      </c>
      <c r="AK483" s="5">
        <f t="shared" si="65"/>
        <v>0</v>
      </c>
      <c r="AL483" s="5">
        <f t="shared" si="65"/>
        <v>0</v>
      </c>
      <c r="AM483" s="173"/>
      <c r="AN483" s="341"/>
    </row>
    <row r="484" spans="1:40">
      <c r="A484" s="5"/>
      <c r="B484" s="50" t="s">
        <v>3121</v>
      </c>
      <c r="C484" s="27" t="s">
        <v>785</v>
      </c>
      <c r="D484" s="296"/>
      <c r="E484" s="296"/>
      <c r="F484" s="296"/>
      <c r="G484" s="296"/>
      <c r="H484" s="296"/>
      <c r="I484" s="296"/>
      <c r="J484" s="296"/>
      <c r="K484" s="5">
        <f t="shared" si="63"/>
        <v>0</v>
      </c>
      <c r="L484" s="5">
        <f t="shared" si="63"/>
        <v>1.7999999999999999E-2</v>
      </c>
      <c r="M484" s="5">
        <f t="shared" si="63"/>
        <v>0.40200000000000002</v>
      </c>
      <c r="N484" s="5">
        <f t="shared" si="63"/>
        <v>0.23400000000000001</v>
      </c>
      <c r="O484" s="5">
        <f t="shared" si="63"/>
        <v>0.33</v>
      </c>
      <c r="P484" s="5">
        <f t="shared" si="63"/>
        <v>0.28199999999999997</v>
      </c>
      <c r="Q484" s="5">
        <f t="shared" si="63"/>
        <v>0.25800000000000001</v>
      </c>
      <c r="R484" s="5">
        <f t="shared" si="63"/>
        <v>0.318</v>
      </c>
      <c r="S484" s="5">
        <f t="shared" si="63"/>
        <v>0.372</v>
      </c>
      <c r="T484" s="5">
        <f t="shared" si="63"/>
        <v>0.78600000000000003</v>
      </c>
      <c r="U484" s="5">
        <f t="shared" si="64"/>
        <v>1.206</v>
      </c>
      <c r="V484" s="5">
        <f t="shared" si="64"/>
        <v>1.758</v>
      </c>
      <c r="W484" s="5">
        <f t="shared" si="64"/>
        <v>2.0640000000000001</v>
      </c>
      <c r="X484" s="5">
        <f t="shared" si="64"/>
        <v>2.0699999999999998</v>
      </c>
      <c r="Y484" s="5">
        <f t="shared" si="64"/>
        <v>1.89</v>
      </c>
      <c r="Z484" s="5">
        <f t="shared" si="64"/>
        <v>1.595</v>
      </c>
      <c r="AA484" s="5">
        <f t="shared" si="64"/>
        <v>1.75</v>
      </c>
      <c r="AB484" s="5">
        <f t="shared" si="64"/>
        <v>1.7949999999999999</v>
      </c>
      <c r="AC484" s="5">
        <f t="shared" si="64"/>
        <v>1.9</v>
      </c>
      <c r="AD484" s="5">
        <f t="shared" si="64"/>
        <v>2.1850000000000001</v>
      </c>
      <c r="AE484" s="5">
        <f t="shared" si="65"/>
        <v>2.1800000000000002</v>
      </c>
      <c r="AF484" s="5">
        <f t="shared" si="65"/>
        <v>2.1800000000000002</v>
      </c>
      <c r="AG484" s="5">
        <f t="shared" si="65"/>
        <v>2.1549999999999998</v>
      </c>
      <c r="AH484" s="5">
        <f t="shared" si="65"/>
        <v>2.1549999999999998</v>
      </c>
      <c r="AI484" s="5">
        <f t="shared" si="65"/>
        <v>2.1549999999999998</v>
      </c>
      <c r="AJ484" s="5">
        <f t="shared" si="65"/>
        <v>2.1549999999999998</v>
      </c>
      <c r="AK484" s="5">
        <f t="shared" si="65"/>
        <v>2.15</v>
      </c>
      <c r="AL484" s="5">
        <f t="shared" si="65"/>
        <v>2.15</v>
      </c>
      <c r="AM484" s="173"/>
      <c r="AN484" s="341"/>
    </row>
    <row r="485" spans="1:40">
      <c r="A485" s="5"/>
      <c r="B485" s="50" t="s">
        <v>3113</v>
      </c>
      <c r="C485" s="11" t="s">
        <v>3400</v>
      </c>
      <c r="D485" s="296"/>
      <c r="E485" s="296"/>
      <c r="F485" s="296"/>
      <c r="G485" s="296"/>
      <c r="H485" s="296"/>
      <c r="I485" s="296"/>
      <c r="J485" s="296"/>
      <c r="K485" s="5">
        <f t="shared" si="63"/>
        <v>6.9</v>
      </c>
      <c r="L485" s="5">
        <f t="shared" si="63"/>
        <v>0.33</v>
      </c>
      <c r="M485" s="5">
        <f t="shared" si="63"/>
        <v>0.31</v>
      </c>
      <c r="N485" s="5">
        <f t="shared" si="63"/>
        <v>0.51</v>
      </c>
      <c r="O485" s="5">
        <f t="shared" si="63"/>
        <v>0.69</v>
      </c>
      <c r="P485" s="5">
        <f t="shared" si="63"/>
        <v>0.69</v>
      </c>
      <c r="Q485" s="5">
        <f t="shared" si="63"/>
        <v>0.51</v>
      </c>
      <c r="R485" s="5">
        <f t="shared" si="63"/>
        <v>0.32</v>
      </c>
      <c r="S485" s="5">
        <f t="shared" si="63"/>
        <v>0.32</v>
      </c>
      <c r="T485" s="5">
        <f t="shared" si="63"/>
        <v>0.28999999999999998</v>
      </c>
      <c r="U485" s="5">
        <f t="shared" si="64"/>
        <v>0</v>
      </c>
      <c r="V485" s="5">
        <f t="shared" si="64"/>
        <v>0</v>
      </c>
      <c r="W485" s="5">
        <f t="shared" si="64"/>
        <v>0</v>
      </c>
      <c r="X485" s="5">
        <f t="shared" si="64"/>
        <v>0</v>
      </c>
      <c r="Y485" s="5">
        <f t="shared" si="64"/>
        <v>0</v>
      </c>
      <c r="Z485" s="5">
        <f t="shared" si="64"/>
        <v>0</v>
      </c>
      <c r="AA485" s="5">
        <f t="shared" si="64"/>
        <v>0</v>
      </c>
      <c r="AB485" s="5">
        <f t="shared" si="64"/>
        <v>0</v>
      </c>
      <c r="AC485" s="5">
        <f t="shared" si="64"/>
        <v>0</v>
      </c>
      <c r="AD485" s="5">
        <f t="shared" si="64"/>
        <v>0</v>
      </c>
      <c r="AE485" s="5">
        <f t="shared" si="65"/>
        <v>0</v>
      </c>
      <c r="AF485" s="5">
        <f t="shared" si="65"/>
        <v>0</v>
      </c>
      <c r="AG485" s="5">
        <f t="shared" si="65"/>
        <v>0</v>
      </c>
      <c r="AH485" s="5">
        <f t="shared" si="65"/>
        <v>0</v>
      </c>
      <c r="AI485" s="5">
        <f t="shared" si="65"/>
        <v>0</v>
      </c>
      <c r="AJ485" s="5">
        <f t="shared" si="65"/>
        <v>0</v>
      </c>
      <c r="AK485" s="5">
        <f t="shared" si="65"/>
        <v>0</v>
      </c>
      <c r="AL485" s="5">
        <f t="shared" si="65"/>
        <v>0</v>
      </c>
      <c r="AM485" s="173"/>
      <c r="AN485" s="341"/>
    </row>
    <row r="486" spans="1:40">
      <c r="A486" s="5"/>
      <c r="B486" s="50" t="s">
        <v>1799</v>
      </c>
      <c r="C486" s="27" t="s">
        <v>138</v>
      </c>
      <c r="D486" s="296"/>
      <c r="E486" s="296"/>
      <c r="F486" s="296"/>
      <c r="G486" s="296"/>
      <c r="H486" s="296"/>
      <c r="I486" s="296"/>
      <c r="J486" s="296"/>
      <c r="K486" s="5">
        <f t="shared" si="63"/>
        <v>0</v>
      </c>
      <c r="L486" s="5">
        <f t="shared" si="63"/>
        <v>0</v>
      </c>
      <c r="M486" s="5">
        <f t="shared" si="63"/>
        <v>0</v>
      </c>
      <c r="N486" s="5">
        <f t="shared" si="63"/>
        <v>0</v>
      </c>
      <c r="O486" s="5">
        <f t="shared" si="63"/>
        <v>0</v>
      </c>
      <c r="P486" s="5">
        <f t="shared" si="63"/>
        <v>0</v>
      </c>
      <c r="Q486" s="5">
        <f t="shared" si="63"/>
        <v>0</v>
      </c>
      <c r="R486" s="5">
        <f t="shared" si="63"/>
        <v>0</v>
      </c>
      <c r="S486" s="5">
        <f t="shared" si="63"/>
        <v>0</v>
      </c>
      <c r="T486" s="5">
        <f t="shared" si="63"/>
        <v>0</v>
      </c>
      <c r="U486" s="5">
        <f t="shared" si="64"/>
        <v>0</v>
      </c>
      <c r="V486" s="5">
        <f t="shared" si="64"/>
        <v>0</v>
      </c>
      <c r="W486" s="5">
        <f t="shared" si="64"/>
        <v>0</v>
      </c>
      <c r="X486" s="5">
        <f t="shared" si="64"/>
        <v>0</v>
      </c>
      <c r="Y486" s="5">
        <f t="shared" si="64"/>
        <v>0</v>
      </c>
      <c r="Z486" s="5">
        <f t="shared" si="64"/>
        <v>0</v>
      </c>
      <c r="AA486" s="5">
        <f t="shared" si="64"/>
        <v>0</v>
      </c>
      <c r="AB486" s="5">
        <f t="shared" si="64"/>
        <v>0</v>
      </c>
      <c r="AC486" s="5">
        <f t="shared" si="64"/>
        <v>0</v>
      </c>
      <c r="AD486" s="5">
        <f t="shared" si="64"/>
        <v>0</v>
      </c>
      <c r="AE486" s="5">
        <f t="shared" si="65"/>
        <v>0</v>
      </c>
      <c r="AF486" s="5">
        <f t="shared" si="65"/>
        <v>0</v>
      </c>
      <c r="AG486" s="5">
        <f t="shared" si="65"/>
        <v>0</v>
      </c>
      <c r="AH486" s="5">
        <f t="shared" si="65"/>
        <v>0</v>
      </c>
      <c r="AI486" s="5">
        <f t="shared" si="65"/>
        <v>0</v>
      </c>
      <c r="AJ486" s="5">
        <f t="shared" si="65"/>
        <v>0</v>
      </c>
      <c r="AK486" s="5">
        <f t="shared" si="65"/>
        <v>0</v>
      </c>
      <c r="AL486" s="5">
        <f t="shared" si="65"/>
        <v>0</v>
      </c>
      <c r="AM486" s="173"/>
      <c r="AN486" s="341"/>
    </row>
    <row r="487" spans="1:40">
      <c r="A487" s="5"/>
      <c r="B487" s="50" t="s">
        <v>3572</v>
      </c>
      <c r="C487" s="27" t="s">
        <v>1745</v>
      </c>
      <c r="D487" s="296"/>
      <c r="E487" s="296"/>
      <c r="F487" s="296"/>
      <c r="G487" s="296"/>
      <c r="H487" s="296"/>
      <c r="I487" s="296"/>
      <c r="J487" s="296"/>
      <c r="K487" s="5">
        <f t="shared" ref="K487:W494" si="66">SUMIF($AM$10:$AM$409,$B487,K$10:K$409)</f>
        <v>0</v>
      </c>
      <c r="L487" s="5">
        <f t="shared" si="66"/>
        <v>0</v>
      </c>
      <c r="M487" s="5">
        <f t="shared" si="66"/>
        <v>0</v>
      </c>
      <c r="N487" s="5">
        <f t="shared" si="66"/>
        <v>0</v>
      </c>
      <c r="O487" s="5">
        <f t="shared" si="66"/>
        <v>0</v>
      </c>
      <c r="P487" s="5">
        <f t="shared" si="66"/>
        <v>0</v>
      </c>
      <c r="Q487" s="5">
        <f t="shared" si="66"/>
        <v>0</v>
      </c>
      <c r="R487" s="5">
        <f t="shared" si="66"/>
        <v>0</v>
      </c>
      <c r="S487" s="5">
        <f t="shared" si="66"/>
        <v>0</v>
      </c>
      <c r="T487" s="5">
        <f t="shared" si="66"/>
        <v>0</v>
      </c>
      <c r="U487" s="5">
        <f t="shared" si="66"/>
        <v>0</v>
      </c>
      <c r="V487" s="5">
        <f t="shared" si="66"/>
        <v>0</v>
      </c>
      <c r="W487" s="5">
        <f t="shared" si="66"/>
        <v>0</v>
      </c>
      <c r="X487" s="750">
        <v>0</v>
      </c>
      <c r="Y487" s="5">
        <f t="shared" ref="Y487:AL494" si="67">SUMIF($AM$10:$AM$409,$B487,Y$10:Y$409)</f>
        <v>40.032000000000004</v>
      </c>
      <c r="Z487" s="5">
        <f t="shared" si="67"/>
        <v>38.978999999999999</v>
      </c>
      <c r="AA487" s="5">
        <f t="shared" si="67"/>
        <v>36.6</v>
      </c>
      <c r="AB487" s="5">
        <f t="shared" si="67"/>
        <v>50.259000000000007</v>
      </c>
      <c r="AC487" s="5">
        <f t="shared" si="67"/>
        <v>53.696999999999996</v>
      </c>
      <c r="AD487" s="5">
        <f t="shared" si="67"/>
        <v>61.305000000000007</v>
      </c>
      <c r="AE487" s="5">
        <f t="shared" si="67"/>
        <v>74.120999999999995</v>
      </c>
      <c r="AF487" s="5">
        <f t="shared" si="67"/>
        <v>74.037000000000006</v>
      </c>
      <c r="AG487" s="5">
        <f t="shared" si="67"/>
        <v>67.512</v>
      </c>
      <c r="AH487" s="5">
        <f t="shared" si="67"/>
        <v>59.417999999999999</v>
      </c>
      <c r="AI487" s="5">
        <f t="shared" si="67"/>
        <v>51.435000000000009</v>
      </c>
      <c r="AJ487" s="5">
        <f t="shared" si="67"/>
        <v>44.538000000000004</v>
      </c>
      <c r="AK487" s="5">
        <f t="shared" si="67"/>
        <v>38.262</v>
      </c>
      <c r="AL487" s="5">
        <f t="shared" si="67"/>
        <v>33.393000000000001</v>
      </c>
      <c r="AM487" s="173"/>
      <c r="AN487" s="341"/>
    </row>
    <row r="488" spans="1:40">
      <c r="A488" s="5"/>
      <c r="B488" s="50" t="s">
        <v>1802</v>
      </c>
      <c r="C488" s="11" t="s">
        <v>3400</v>
      </c>
      <c r="D488" s="296"/>
      <c r="E488" s="296"/>
      <c r="F488" s="296"/>
      <c r="G488" s="296"/>
      <c r="H488" s="296"/>
      <c r="I488" s="296"/>
      <c r="J488" s="296"/>
      <c r="K488" s="5">
        <f t="shared" si="66"/>
        <v>0</v>
      </c>
      <c r="L488" s="5">
        <f t="shared" si="66"/>
        <v>0</v>
      </c>
      <c r="M488" s="5">
        <f t="shared" si="66"/>
        <v>0</v>
      </c>
      <c r="N488" s="5">
        <f t="shared" si="66"/>
        <v>0</v>
      </c>
      <c r="O488" s="5">
        <f t="shared" si="66"/>
        <v>0</v>
      </c>
      <c r="P488" s="5">
        <f t="shared" si="66"/>
        <v>0</v>
      </c>
      <c r="Q488" s="5">
        <f t="shared" si="66"/>
        <v>0</v>
      </c>
      <c r="R488" s="5">
        <f t="shared" si="66"/>
        <v>0</v>
      </c>
      <c r="S488" s="5">
        <f t="shared" si="66"/>
        <v>0</v>
      </c>
      <c r="T488" s="5">
        <f t="shared" si="66"/>
        <v>0</v>
      </c>
      <c r="U488" s="5">
        <f t="shared" si="66"/>
        <v>0</v>
      </c>
      <c r="V488" s="5">
        <f t="shared" si="66"/>
        <v>0</v>
      </c>
      <c r="W488" s="5">
        <f t="shared" si="66"/>
        <v>0</v>
      </c>
      <c r="X488" s="5">
        <f t="shared" ref="X488:X494" si="68">SUMIF($AM$10:$AM$409,$B488,X$10:X$409)</f>
        <v>0</v>
      </c>
      <c r="Y488" s="5">
        <f t="shared" si="67"/>
        <v>1.24</v>
      </c>
      <c r="Z488" s="5">
        <f t="shared" si="67"/>
        <v>10.02</v>
      </c>
      <c r="AA488" s="5">
        <f t="shared" si="67"/>
        <v>12.94</v>
      </c>
      <c r="AB488" s="5">
        <f t="shared" si="67"/>
        <v>15.3</v>
      </c>
      <c r="AC488" s="5">
        <f t="shared" si="67"/>
        <v>18.77</v>
      </c>
      <c r="AD488" s="5">
        <f t="shared" si="67"/>
        <v>19.399999999999999</v>
      </c>
      <c r="AE488" s="5">
        <f t="shared" si="67"/>
        <v>29.79</v>
      </c>
      <c r="AF488" s="5">
        <f t="shared" si="67"/>
        <v>35.36</v>
      </c>
      <c r="AG488" s="5">
        <f t="shared" si="67"/>
        <v>36.869999999999997</v>
      </c>
      <c r="AH488" s="5">
        <f t="shared" si="67"/>
        <v>33.35</v>
      </c>
      <c r="AI488" s="5">
        <f t="shared" si="67"/>
        <v>21.97</v>
      </c>
      <c r="AJ488" s="5">
        <f t="shared" si="67"/>
        <v>21.96</v>
      </c>
      <c r="AK488" s="5">
        <f t="shared" si="67"/>
        <v>20.75</v>
      </c>
      <c r="AL488" s="5">
        <f t="shared" si="67"/>
        <v>19.27</v>
      </c>
      <c r="AM488" s="173"/>
      <c r="AN488" s="341"/>
    </row>
    <row r="489" spans="1:40">
      <c r="A489" s="5"/>
      <c r="B489" s="50" t="s">
        <v>1803</v>
      </c>
      <c r="C489" s="11" t="s">
        <v>3400</v>
      </c>
      <c r="D489" s="296"/>
      <c r="E489" s="296"/>
      <c r="F489" s="296"/>
      <c r="G489" s="296"/>
      <c r="H489" s="296"/>
      <c r="I489" s="296"/>
      <c r="J489" s="296"/>
      <c r="K489" s="5">
        <f t="shared" si="66"/>
        <v>10.61</v>
      </c>
      <c r="L489" s="5">
        <f t="shared" si="66"/>
        <v>7.72</v>
      </c>
      <c r="M489" s="5">
        <f t="shared" si="66"/>
        <v>5.0699999999999994</v>
      </c>
      <c r="N489" s="5">
        <f t="shared" si="66"/>
        <v>4.22</v>
      </c>
      <c r="O489" s="5">
        <f t="shared" si="66"/>
        <v>5.25</v>
      </c>
      <c r="P489" s="5">
        <f t="shared" si="66"/>
        <v>8.4300000000000015</v>
      </c>
      <c r="Q489" s="5">
        <f t="shared" si="66"/>
        <v>8.740000000000002</v>
      </c>
      <c r="R489" s="5">
        <f t="shared" si="66"/>
        <v>7.97</v>
      </c>
      <c r="S489" s="5">
        <f t="shared" si="66"/>
        <v>4.28</v>
      </c>
      <c r="T489" s="5">
        <f t="shared" si="66"/>
        <v>0</v>
      </c>
      <c r="U489" s="5">
        <f t="shared" si="66"/>
        <v>0</v>
      </c>
      <c r="V489" s="5">
        <f t="shared" si="66"/>
        <v>0</v>
      </c>
      <c r="W489" s="5">
        <f t="shared" si="66"/>
        <v>0</v>
      </c>
      <c r="X489" s="5">
        <f t="shared" si="68"/>
        <v>0</v>
      </c>
      <c r="Y489" s="5">
        <f t="shared" si="67"/>
        <v>0</v>
      </c>
      <c r="Z489" s="5">
        <f t="shared" si="67"/>
        <v>0</v>
      </c>
      <c r="AA489" s="5">
        <f t="shared" si="67"/>
        <v>0</v>
      </c>
      <c r="AB489" s="5">
        <f t="shared" si="67"/>
        <v>0</v>
      </c>
      <c r="AC489" s="5">
        <f t="shared" si="67"/>
        <v>0</v>
      </c>
      <c r="AD489" s="5">
        <f t="shared" si="67"/>
        <v>0</v>
      </c>
      <c r="AE489" s="5">
        <f t="shared" si="67"/>
        <v>0</v>
      </c>
      <c r="AF489" s="5">
        <f t="shared" si="67"/>
        <v>0</v>
      </c>
      <c r="AG489" s="5">
        <f t="shared" si="67"/>
        <v>0</v>
      </c>
      <c r="AH489" s="5">
        <f t="shared" si="67"/>
        <v>0</v>
      </c>
      <c r="AI489" s="5">
        <f t="shared" si="67"/>
        <v>0</v>
      </c>
      <c r="AJ489" s="5">
        <f t="shared" si="67"/>
        <v>0</v>
      </c>
      <c r="AK489" s="5">
        <f t="shared" si="67"/>
        <v>0</v>
      </c>
      <c r="AL489" s="5">
        <f t="shared" si="67"/>
        <v>0</v>
      </c>
      <c r="AM489" s="173"/>
      <c r="AN489" s="341"/>
    </row>
    <row r="490" spans="1:40">
      <c r="A490" s="5"/>
      <c r="B490" s="50" t="s">
        <v>1804</v>
      </c>
      <c r="C490" s="11" t="s">
        <v>3400</v>
      </c>
      <c r="D490" s="296"/>
      <c r="E490" s="296"/>
      <c r="F490" s="296"/>
      <c r="G490" s="296"/>
      <c r="H490" s="296"/>
      <c r="I490" s="296"/>
      <c r="J490" s="296"/>
      <c r="K490" s="5">
        <f t="shared" si="66"/>
        <v>0.32</v>
      </c>
      <c r="L490" s="5">
        <f t="shared" si="66"/>
        <v>0.3</v>
      </c>
      <c r="M490" s="5">
        <f t="shared" si="66"/>
        <v>0.27</v>
      </c>
      <c r="N490" s="5">
        <f t="shared" si="66"/>
        <v>0.26</v>
      </c>
      <c r="O490" s="5">
        <f t="shared" si="66"/>
        <v>0.24</v>
      </c>
      <c r="P490" s="5">
        <f t="shared" si="66"/>
        <v>0.21</v>
      </c>
      <c r="Q490" s="5">
        <f t="shared" si="66"/>
        <v>0.21</v>
      </c>
      <c r="R490" s="5">
        <f t="shared" si="66"/>
        <v>0.2</v>
      </c>
      <c r="S490" s="5">
        <f t="shared" si="66"/>
        <v>0.16</v>
      </c>
      <c r="T490" s="5">
        <f t="shared" si="66"/>
        <v>0.2</v>
      </c>
      <c r="U490" s="5">
        <f t="shared" si="66"/>
        <v>0.18</v>
      </c>
      <c r="V490" s="5">
        <f t="shared" si="66"/>
        <v>0.2</v>
      </c>
      <c r="W490" s="5">
        <f t="shared" si="66"/>
        <v>0</v>
      </c>
      <c r="X490" s="5">
        <f t="shared" si="68"/>
        <v>0</v>
      </c>
      <c r="Y490" s="5">
        <f t="shared" si="67"/>
        <v>0</v>
      </c>
      <c r="Z490" s="5">
        <f t="shared" si="67"/>
        <v>0</v>
      </c>
      <c r="AA490" s="5">
        <f t="shared" si="67"/>
        <v>0</v>
      </c>
      <c r="AB490" s="5">
        <f t="shared" si="67"/>
        <v>0</v>
      </c>
      <c r="AC490" s="5">
        <f t="shared" si="67"/>
        <v>0</v>
      </c>
      <c r="AD490" s="5">
        <f t="shared" si="67"/>
        <v>0</v>
      </c>
      <c r="AE490" s="5">
        <f t="shared" si="67"/>
        <v>0</v>
      </c>
      <c r="AF490" s="5">
        <f t="shared" si="67"/>
        <v>0</v>
      </c>
      <c r="AG490" s="5">
        <f t="shared" si="67"/>
        <v>0</v>
      </c>
      <c r="AH490" s="5">
        <f t="shared" si="67"/>
        <v>0</v>
      </c>
      <c r="AI490" s="5">
        <f t="shared" si="67"/>
        <v>0</v>
      </c>
      <c r="AJ490" s="5">
        <f t="shared" si="67"/>
        <v>0</v>
      </c>
      <c r="AK490" s="5">
        <f t="shared" si="67"/>
        <v>0</v>
      </c>
      <c r="AL490" s="5">
        <f t="shared" si="67"/>
        <v>0</v>
      </c>
      <c r="AM490" s="173"/>
      <c r="AN490" s="341"/>
    </row>
    <row r="491" spans="1:40">
      <c r="A491" s="5"/>
      <c r="B491" s="50" t="s">
        <v>1805</v>
      </c>
      <c r="C491" s="47" t="s">
        <v>1703</v>
      </c>
      <c r="D491" s="296"/>
      <c r="E491" s="296"/>
      <c r="F491" s="296"/>
      <c r="G491" s="296"/>
      <c r="H491" s="296"/>
      <c r="I491" s="296"/>
      <c r="J491" s="296"/>
      <c r="K491" s="5">
        <f t="shared" si="66"/>
        <v>3.89</v>
      </c>
      <c r="L491" s="5">
        <f t="shared" si="66"/>
        <v>0</v>
      </c>
      <c r="M491" s="5">
        <f t="shared" si="66"/>
        <v>0</v>
      </c>
      <c r="N491" s="5">
        <f t="shared" si="66"/>
        <v>0</v>
      </c>
      <c r="O491" s="5">
        <f t="shared" si="66"/>
        <v>0</v>
      </c>
      <c r="P491" s="5">
        <f t="shared" si="66"/>
        <v>0</v>
      </c>
      <c r="Q491" s="5">
        <f t="shared" si="66"/>
        <v>0</v>
      </c>
      <c r="R491" s="5">
        <f t="shared" si="66"/>
        <v>0</v>
      </c>
      <c r="S491" s="5">
        <f t="shared" si="66"/>
        <v>0</v>
      </c>
      <c r="T491" s="5">
        <f t="shared" si="66"/>
        <v>0</v>
      </c>
      <c r="U491" s="5">
        <f t="shared" si="66"/>
        <v>597.15981499999998</v>
      </c>
      <c r="V491" s="5">
        <f t="shared" si="66"/>
        <v>756.42954250000014</v>
      </c>
      <c r="W491" s="5">
        <f t="shared" si="66"/>
        <v>760.20949500000017</v>
      </c>
      <c r="X491" s="5">
        <f t="shared" si="68"/>
        <v>751.82257500000003</v>
      </c>
      <c r="Y491" s="5">
        <f t="shared" si="67"/>
        <v>763.39300500000024</v>
      </c>
      <c r="Z491" s="5">
        <f t="shared" si="67"/>
        <v>764.74934250000024</v>
      </c>
      <c r="AA491" s="5">
        <f t="shared" si="67"/>
        <v>808.602665</v>
      </c>
      <c r="AB491" s="5">
        <f t="shared" si="67"/>
        <v>839.80802250000022</v>
      </c>
      <c r="AC491" s="5">
        <f t="shared" si="67"/>
        <v>857.50763000000006</v>
      </c>
      <c r="AD491" s="5">
        <f t="shared" si="67"/>
        <v>852.91013250000015</v>
      </c>
      <c r="AE491" s="5">
        <f t="shared" si="67"/>
        <v>835.82344250000006</v>
      </c>
      <c r="AF491" s="5">
        <f t="shared" si="67"/>
        <v>812.91921749999995</v>
      </c>
      <c r="AG491" s="5">
        <f t="shared" si="67"/>
        <v>792.09095749999994</v>
      </c>
      <c r="AH491" s="5">
        <f t="shared" si="67"/>
        <v>764.8919249999999</v>
      </c>
      <c r="AI491" s="5">
        <f t="shared" si="67"/>
        <v>735.0596250000001</v>
      </c>
      <c r="AJ491" s="5">
        <f t="shared" si="67"/>
        <v>703.55042500000002</v>
      </c>
      <c r="AK491" s="5">
        <f t="shared" si="67"/>
        <v>672.22399500000006</v>
      </c>
      <c r="AL491" s="5">
        <f t="shared" si="67"/>
        <v>641.49712499999987</v>
      </c>
      <c r="AM491" s="173"/>
      <c r="AN491" s="341"/>
    </row>
    <row r="492" spans="1:40">
      <c r="A492" s="5"/>
      <c r="B492" s="50" t="s">
        <v>1808</v>
      </c>
      <c r="C492" s="27" t="s">
        <v>2502</v>
      </c>
      <c r="D492" s="296"/>
      <c r="E492" s="296"/>
      <c r="F492" s="296"/>
      <c r="G492" s="296"/>
      <c r="H492" s="296"/>
      <c r="I492" s="296"/>
      <c r="J492" s="296"/>
      <c r="K492" s="5">
        <f t="shared" si="66"/>
        <v>184.17</v>
      </c>
      <c r="L492" s="5">
        <f t="shared" si="66"/>
        <v>190.83000000000004</v>
      </c>
      <c r="M492" s="5">
        <f t="shared" si="66"/>
        <v>196.76000000000002</v>
      </c>
      <c r="N492" s="5">
        <f t="shared" si="66"/>
        <v>218.33</v>
      </c>
      <c r="O492" s="5">
        <f t="shared" si="66"/>
        <v>209.05</v>
      </c>
      <c r="P492" s="5">
        <f t="shared" si="66"/>
        <v>215.14000000000001</v>
      </c>
      <c r="Q492" s="5">
        <f t="shared" si="66"/>
        <v>185.61</v>
      </c>
      <c r="R492" s="5">
        <f t="shared" si="66"/>
        <v>192.03999999999996</v>
      </c>
      <c r="S492" s="5">
        <f t="shared" si="66"/>
        <v>209.16</v>
      </c>
      <c r="T492" s="5">
        <f t="shared" si="66"/>
        <v>215.01</v>
      </c>
      <c r="U492" s="5">
        <f t="shared" si="66"/>
        <v>228.6</v>
      </c>
      <c r="V492" s="5">
        <f t="shared" si="66"/>
        <v>102.71000000000001</v>
      </c>
      <c r="W492" s="5">
        <f t="shared" si="66"/>
        <v>95.49</v>
      </c>
      <c r="X492" s="5">
        <f t="shared" si="68"/>
        <v>101.35</v>
      </c>
      <c r="Y492" s="5">
        <f t="shared" si="67"/>
        <v>102.65</v>
      </c>
      <c r="Z492" s="5">
        <f t="shared" si="67"/>
        <v>19.8</v>
      </c>
      <c r="AA492" s="5">
        <f t="shared" si="67"/>
        <v>0</v>
      </c>
      <c r="AB492" s="5">
        <f t="shared" si="67"/>
        <v>0</v>
      </c>
      <c r="AC492" s="5">
        <f t="shared" si="67"/>
        <v>0</v>
      </c>
      <c r="AD492" s="5">
        <f t="shared" si="67"/>
        <v>0</v>
      </c>
      <c r="AE492" s="5">
        <f t="shared" si="67"/>
        <v>0</v>
      </c>
      <c r="AF492" s="5">
        <f t="shared" si="67"/>
        <v>0</v>
      </c>
      <c r="AG492" s="5">
        <f t="shared" si="67"/>
        <v>0</v>
      </c>
      <c r="AH492" s="5">
        <f t="shared" si="67"/>
        <v>0</v>
      </c>
      <c r="AI492" s="5">
        <f t="shared" si="67"/>
        <v>0</v>
      </c>
      <c r="AJ492" s="5">
        <f t="shared" si="67"/>
        <v>0</v>
      </c>
      <c r="AK492" s="5">
        <f t="shared" si="67"/>
        <v>0</v>
      </c>
      <c r="AL492" s="5">
        <f t="shared" si="67"/>
        <v>0</v>
      </c>
      <c r="AM492" s="173"/>
      <c r="AN492" s="341"/>
    </row>
    <row r="493" spans="1:40">
      <c r="A493" s="5"/>
      <c r="B493" s="50" t="s">
        <v>2429</v>
      </c>
      <c r="C493" s="27" t="s">
        <v>3400</v>
      </c>
      <c r="D493" s="296"/>
      <c r="E493" s="296"/>
      <c r="F493" s="296"/>
      <c r="G493" s="296"/>
      <c r="H493" s="296"/>
      <c r="I493" s="296"/>
      <c r="J493" s="296"/>
      <c r="K493" s="5">
        <f t="shared" si="66"/>
        <v>0.23</v>
      </c>
      <c r="L493" s="5">
        <f t="shared" si="66"/>
        <v>0.71</v>
      </c>
      <c r="M493" s="5">
        <f t="shared" si="66"/>
        <v>0.92</v>
      </c>
      <c r="N493" s="5">
        <f t="shared" si="66"/>
        <v>1.05</v>
      </c>
      <c r="O493" s="5">
        <f t="shared" si="66"/>
        <v>0.82</v>
      </c>
      <c r="P493" s="5">
        <f t="shared" si="66"/>
        <v>0.7</v>
      </c>
      <c r="Q493" s="5">
        <f t="shared" si="66"/>
        <v>0.77</v>
      </c>
      <c r="R493" s="5">
        <f t="shared" si="66"/>
        <v>0.79</v>
      </c>
      <c r="S493" s="5">
        <f t="shared" si="66"/>
        <v>0</v>
      </c>
      <c r="T493" s="5">
        <f t="shared" si="66"/>
        <v>0</v>
      </c>
      <c r="U493" s="5">
        <f t="shared" si="66"/>
        <v>0</v>
      </c>
      <c r="V493" s="5">
        <f t="shared" si="66"/>
        <v>0</v>
      </c>
      <c r="W493" s="5">
        <f t="shared" si="66"/>
        <v>0</v>
      </c>
      <c r="X493" s="5">
        <f t="shared" si="68"/>
        <v>0</v>
      </c>
      <c r="Y493" s="5">
        <f t="shared" si="67"/>
        <v>0</v>
      </c>
      <c r="Z493" s="5">
        <f t="shared" si="67"/>
        <v>0</v>
      </c>
      <c r="AA493" s="5">
        <f t="shared" si="67"/>
        <v>0</v>
      </c>
      <c r="AB493" s="5">
        <f t="shared" si="67"/>
        <v>0</v>
      </c>
      <c r="AC493" s="5">
        <f t="shared" si="67"/>
        <v>0</v>
      </c>
      <c r="AD493" s="5">
        <f t="shared" si="67"/>
        <v>0</v>
      </c>
      <c r="AE493" s="5">
        <f t="shared" si="67"/>
        <v>0</v>
      </c>
      <c r="AF493" s="5">
        <f t="shared" si="67"/>
        <v>0</v>
      </c>
      <c r="AG493" s="5">
        <f t="shared" si="67"/>
        <v>0</v>
      </c>
      <c r="AH493" s="5">
        <f t="shared" si="67"/>
        <v>0</v>
      </c>
      <c r="AI493" s="5">
        <f t="shared" si="67"/>
        <v>0</v>
      </c>
      <c r="AJ493" s="5">
        <f t="shared" si="67"/>
        <v>0</v>
      </c>
      <c r="AK493" s="5">
        <f t="shared" si="67"/>
        <v>0</v>
      </c>
      <c r="AL493" s="5">
        <f t="shared" si="67"/>
        <v>0</v>
      </c>
      <c r="AM493" s="173"/>
      <c r="AN493" s="341"/>
    </row>
    <row r="494" spans="1:40">
      <c r="A494" s="5"/>
      <c r="B494" s="50" t="s">
        <v>655</v>
      </c>
      <c r="C494" s="27" t="s">
        <v>1036</v>
      </c>
      <c r="D494" s="296"/>
      <c r="E494" s="296"/>
      <c r="F494" s="296"/>
      <c r="G494" s="296"/>
      <c r="H494" s="296"/>
      <c r="I494" s="296"/>
      <c r="J494" s="296"/>
      <c r="K494" s="5">
        <f t="shared" si="66"/>
        <v>24.87</v>
      </c>
      <c r="L494" s="5">
        <f t="shared" si="66"/>
        <v>24.7</v>
      </c>
      <c r="M494" s="5">
        <f t="shared" si="66"/>
        <v>23.24</v>
      </c>
      <c r="N494" s="5">
        <f t="shared" si="66"/>
        <v>21.81</v>
      </c>
      <c r="O494" s="5">
        <f t="shared" si="66"/>
        <v>8.34</v>
      </c>
      <c r="P494" s="5">
        <f t="shared" si="66"/>
        <v>19.770000000000003</v>
      </c>
      <c r="Q494" s="5">
        <f t="shared" si="66"/>
        <v>9.4700000000000006</v>
      </c>
      <c r="R494" s="5">
        <f t="shared" si="66"/>
        <v>11.870000000000001</v>
      </c>
      <c r="S494" s="5">
        <f t="shared" si="66"/>
        <v>6.88</v>
      </c>
      <c r="T494" s="5">
        <f t="shared" si="66"/>
        <v>0</v>
      </c>
      <c r="U494" s="5">
        <f t="shared" si="66"/>
        <v>0</v>
      </c>
      <c r="V494" s="5">
        <f t="shared" si="66"/>
        <v>0</v>
      </c>
      <c r="W494" s="5">
        <f t="shared" si="66"/>
        <v>0</v>
      </c>
      <c r="X494" s="5">
        <f t="shared" si="68"/>
        <v>0</v>
      </c>
      <c r="Y494" s="5">
        <f t="shared" si="67"/>
        <v>0</v>
      </c>
      <c r="Z494" s="5">
        <f t="shared" si="67"/>
        <v>0</v>
      </c>
      <c r="AA494" s="5">
        <f t="shared" si="67"/>
        <v>0</v>
      </c>
      <c r="AB494" s="5">
        <f t="shared" si="67"/>
        <v>0</v>
      </c>
      <c r="AC494" s="5">
        <f t="shared" si="67"/>
        <v>0</v>
      </c>
      <c r="AD494" s="5">
        <f t="shared" si="67"/>
        <v>0</v>
      </c>
      <c r="AE494" s="5">
        <f t="shared" si="67"/>
        <v>0</v>
      </c>
      <c r="AF494" s="5">
        <f t="shared" si="67"/>
        <v>0</v>
      </c>
      <c r="AG494" s="5">
        <f t="shared" si="67"/>
        <v>0</v>
      </c>
      <c r="AH494" s="5">
        <f t="shared" si="67"/>
        <v>0</v>
      </c>
      <c r="AI494" s="5">
        <f t="shared" si="67"/>
        <v>0</v>
      </c>
      <c r="AJ494" s="5">
        <f t="shared" si="67"/>
        <v>0</v>
      </c>
      <c r="AK494" s="5">
        <f t="shared" si="67"/>
        <v>0</v>
      </c>
      <c r="AL494" s="5">
        <f t="shared" si="67"/>
        <v>0</v>
      </c>
      <c r="AM494" s="173"/>
      <c r="AN494" s="341"/>
    </row>
    <row r="495" spans="1:40">
      <c r="A495" s="8"/>
      <c r="B495" s="28" t="s">
        <v>896</v>
      </c>
      <c r="C495" s="8"/>
      <c r="D495" s="296"/>
      <c r="E495" s="296"/>
      <c r="F495" s="296"/>
      <c r="G495" s="296"/>
      <c r="H495" s="296"/>
      <c r="I495" s="296"/>
      <c r="J495" s="296"/>
      <c r="K495" s="8">
        <f t="shared" ref="K495:AL495" si="69">SUM(K482:K494)</f>
        <v>290.28199999999998</v>
      </c>
      <c r="L495" s="8">
        <f t="shared" si="69"/>
        <v>287.81799999999998</v>
      </c>
      <c r="M495" s="8">
        <f t="shared" si="69"/>
        <v>292.31200000000007</v>
      </c>
      <c r="N495" s="8">
        <f t="shared" si="69"/>
        <v>313.85400000000004</v>
      </c>
      <c r="O495" s="8">
        <f t="shared" si="69"/>
        <v>291.46999999999997</v>
      </c>
      <c r="P495" s="8">
        <f t="shared" si="69"/>
        <v>311.33599999999996</v>
      </c>
      <c r="Q495" s="8">
        <f t="shared" si="69"/>
        <v>276.63200000000001</v>
      </c>
      <c r="R495" s="8">
        <f t="shared" si="69"/>
        <v>284.44</v>
      </c>
      <c r="S495" s="8">
        <f t="shared" si="69"/>
        <v>291.87</v>
      </c>
      <c r="T495" s="8">
        <f t="shared" si="69"/>
        <v>280.55200000000002</v>
      </c>
      <c r="U495" s="8">
        <f t="shared" si="69"/>
        <v>889.21581500000002</v>
      </c>
      <c r="V495" s="8">
        <f t="shared" si="69"/>
        <v>924.70954250000023</v>
      </c>
      <c r="W495" s="8">
        <f t="shared" si="69"/>
        <v>922.33549500000015</v>
      </c>
      <c r="X495" s="8">
        <f t="shared" si="69"/>
        <v>916.73057500000004</v>
      </c>
      <c r="Y495" s="8">
        <f t="shared" si="69"/>
        <v>968.81700500000022</v>
      </c>
      <c r="Z495" s="8">
        <f t="shared" si="69"/>
        <v>889.12334250000015</v>
      </c>
      <c r="AA495" s="8">
        <f t="shared" si="69"/>
        <v>914.30266500000005</v>
      </c>
      <c r="AB495" s="8">
        <f t="shared" si="69"/>
        <v>962.26702250000028</v>
      </c>
      <c r="AC495" s="8">
        <f t="shared" si="69"/>
        <v>987.75963000000002</v>
      </c>
      <c r="AD495" s="8">
        <f t="shared" si="69"/>
        <v>991.92013250000014</v>
      </c>
      <c r="AE495" s="8">
        <f t="shared" si="69"/>
        <v>997.45944250000002</v>
      </c>
      <c r="AF495" s="8">
        <f t="shared" si="69"/>
        <v>978.63621749999993</v>
      </c>
      <c r="AG495" s="8">
        <f t="shared" si="69"/>
        <v>951.56795749999992</v>
      </c>
      <c r="AH495" s="8">
        <f t="shared" si="69"/>
        <v>907.32992499999989</v>
      </c>
      <c r="AI495" s="8">
        <f t="shared" si="69"/>
        <v>853.62462500000015</v>
      </c>
      <c r="AJ495" s="8">
        <f t="shared" si="69"/>
        <v>810.623425</v>
      </c>
      <c r="AK495" s="8">
        <f t="shared" si="69"/>
        <v>768.11599500000011</v>
      </c>
      <c r="AL495" s="8">
        <f t="shared" si="69"/>
        <v>727.82512499999984</v>
      </c>
      <c r="AM495" s="8"/>
      <c r="AN495" s="179"/>
    </row>
    <row r="496" spans="1:40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173"/>
      <c r="AN496" s="341"/>
    </row>
    <row r="497" spans="1:40">
      <c r="A497" s="5"/>
      <c r="B497" s="24" t="s">
        <v>2730</v>
      </c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173"/>
      <c r="AN497" s="341"/>
    </row>
    <row r="498" spans="1:40">
      <c r="A498" s="5"/>
      <c r="B498" s="50" t="s">
        <v>2502</v>
      </c>
      <c r="C498" s="296"/>
      <c r="D498" s="296"/>
      <c r="E498" s="296"/>
      <c r="F498" s="296"/>
      <c r="G498" s="296"/>
      <c r="H498" s="296"/>
      <c r="I498" s="296"/>
      <c r="J498" s="296"/>
      <c r="K498" s="5">
        <f t="shared" ref="K498:K513" si="70">SUMIF($C$482:$C$494,$B498,K$482:K$494)</f>
        <v>184.17</v>
      </c>
      <c r="L498" s="5">
        <f t="shared" ref="L498:AL498" si="71">SUMIF($C$482:$C$494,$B498,L$482:L$494)</f>
        <v>190.83000000000004</v>
      </c>
      <c r="M498" s="5">
        <f t="shared" si="71"/>
        <v>196.76000000000002</v>
      </c>
      <c r="N498" s="5">
        <f t="shared" si="71"/>
        <v>218.33</v>
      </c>
      <c r="O498" s="5">
        <f t="shared" si="71"/>
        <v>209.05</v>
      </c>
      <c r="P498" s="5">
        <f t="shared" si="71"/>
        <v>215.14000000000001</v>
      </c>
      <c r="Q498" s="5">
        <f t="shared" si="71"/>
        <v>185.61</v>
      </c>
      <c r="R498" s="5">
        <f t="shared" si="71"/>
        <v>192.03999999999996</v>
      </c>
      <c r="S498" s="5">
        <f t="shared" si="71"/>
        <v>209.16</v>
      </c>
      <c r="T498" s="5">
        <f>SUMIF($C$482:$C$494,$B498,T$482:T$494)</f>
        <v>215.01</v>
      </c>
      <c r="U498" s="5">
        <f t="shared" si="71"/>
        <v>228.6</v>
      </c>
      <c r="V498" s="5">
        <f t="shared" si="71"/>
        <v>102.71000000000001</v>
      </c>
      <c r="W498" s="5">
        <f t="shared" si="71"/>
        <v>95.49</v>
      </c>
      <c r="X498" s="5">
        <f t="shared" si="71"/>
        <v>101.35</v>
      </c>
      <c r="Y498" s="5">
        <f t="shared" si="71"/>
        <v>102.65</v>
      </c>
      <c r="Z498" s="5">
        <f t="shared" si="71"/>
        <v>19.8</v>
      </c>
      <c r="AA498" s="5">
        <f t="shared" si="71"/>
        <v>0</v>
      </c>
      <c r="AB498" s="5">
        <f t="shared" si="71"/>
        <v>0</v>
      </c>
      <c r="AC498" s="5">
        <f t="shared" si="71"/>
        <v>0</v>
      </c>
      <c r="AD498" s="5">
        <f t="shared" si="71"/>
        <v>0</v>
      </c>
      <c r="AE498" s="5">
        <f t="shared" si="71"/>
        <v>0</v>
      </c>
      <c r="AF498" s="5">
        <f t="shared" si="71"/>
        <v>0</v>
      </c>
      <c r="AG498" s="5">
        <f t="shared" si="71"/>
        <v>0</v>
      </c>
      <c r="AH498" s="5">
        <f t="shared" si="71"/>
        <v>0</v>
      </c>
      <c r="AI498" s="5">
        <f t="shared" si="71"/>
        <v>0</v>
      </c>
      <c r="AJ498" s="5">
        <f t="shared" si="71"/>
        <v>0</v>
      </c>
      <c r="AK498" s="5">
        <f t="shared" si="71"/>
        <v>0</v>
      </c>
      <c r="AL498" s="5">
        <f t="shared" si="71"/>
        <v>0</v>
      </c>
      <c r="AM498" s="173"/>
      <c r="AN498" s="341"/>
    </row>
    <row r="499" spans="1:40">
      <c r="A499" s="5"/>
      <c r="B499" s="50" t="s">
        <v>1473</v>
      </c>
      <c r="C499" s="296"/>
      <c r="D499" s="296"/>
      <c r="E499" s="296"/>
      <c r="F499" s="296"/>
      <c r="G499" s="296"/>
      <c r="H499" s="296"/>
      <c r="I499" s="296"/>
      <c r="J499" s="296"/>
      <c r="K499" s="5">
        <f t="shared" si="70"/>
        <v>0</v>
      </c>
      <c r="L499" s="5">
        <f t="shared" ref="L499:U508" si="72">SUMIF($C$482:$C$494,$B499,L$482:L$494)</f>
        <v>0</v>
      </c>
      <c r="M499" s="5">
        <f t="shared" si="72"/>
        <v>0</v>
      </c>
      <c r="N499" s="5">
        <f t="shared" si="72"/>
        <v>0</v>
      </c>
      <c r="O499" s="5">
        <f t="shared" si="72"/>
        <v>0</v>
      </c>
      <c r="P499" s="5">
        <f t="shared" si="72"/>
        <v>0</v>
      </c>
      <c r="Q499" s="5">
        <f t="shared" si="72"/>
        <v>0</v>
      </c>
      <c r="R499" s="5">
        <f t="shared" si="72"/>
        <v>0</v>
      </c>
      <c r="S499" s="5">
        <f t="shared" si="72"/>
        <v>0</v>
      </c>
      <c r="T499" s="5">
        <f t="shared" si="72"/>
        <v>0</v>
      </c>
      <c r="U499" s="5">
        <f t="shared" si="72"/>
        <v>0</v>
      </c>
      <c r="V499" s="5">
        <f t="shared" ref="V499:AE508" si="73">SUMIF($C$482:$C$494,$B499,V$482:V$494)</f>
        <v>0</v>
      </c>
      <c r="W499" s="5">
        <f t="shared" si="73"/>
        <v>0</v>
      </c>
      <c r="X499" s="5">
        <f t="shared" si="73"/>
        <v>0</v>
      </c>
      <c r="Y499" s="5">
        <f t="shared" si="73"/>
        <v>0</v>
      </c>
      <c r="Z499" s="5">
        <f t="shared" si="73"/>
        <v>0</v>
      </c>
      <c r="AA499" s="5">
        <f t="shared" si="73"/>
        <v>0</v>
      </c>
      <c r="AB499" s="5">
        <f t="shared" si="73"/>
        <v>0</v>
      </c>
      <c r="AC499" s="5">
        <f t="shared" si="73"/>
        <v>0</v>
      </c>
      <c r="AD499" s="5">
        <f t="shared" si="73"/>
        <v>0</v>
      </c>
      <c r="AE499" s="5">
        <f t="shared" si="73"/>
        <v>0</v>
      </c>
      <c r="AF499" s="5">
        <f t="shared" ref="AF499:AL508" si="74">SUMIF($C$482:$C$494,$B499,AF$482:AF$494)</f>
        <v>0</v>
      </c>
      <c r="AG499" s="5">
        <f t="shared" si="74"/>
        <v>0</v>
      </c>
      <c r="AH499" s="5">
        <f t="shared" si="74"/>
        <v>0</v>
      </c>
      <c r="AI499" s="5">
        <f t="shared" si="74"/>
        <v>0</v>
      </c>
      <c r="AJ499" s="5">
        <f t="shared" si="74"/>
        <v>0</v>
      </c>
      <c r="AK499" s="5">
        <f t="shared" si="74"/>
        <v>0</v>
      </c>
      <c r="AL499" s="5">
        <f t="shared" si="74"/>
        <v>0</v>
      </c>
      <c r="AM499" s="173"/>
      <c r="AN499" s="341"/>
    </row>
    <row r="500" spans="1:40">
      <c r="A500" s="5"/>
      <c r="B500" s="50" t="s">
        <v>1934</v>
      </c>
      <c r="C500" s="296"/>
      <c r="D500" s="296"/>
      <c r="E500" s="296"/>
      <c r="F500" s="296"/>
      <c r="G500" s="296"/>
      <c r="H500" s="296"/>
      <c r="I500" s="296"/>
      <c r="J500" s="296"/>
      <c r="K500" s="5">
        <f t="shared" si="70"/>
        <v>0</v>
      </c>
      <c r="L500" s="5">
        <f t="shared" si="72"/>
        <v>0</v>
      </c>
      <c r="M500" s="5">
        <f t="shared" si="72"/>
        <v>0</v>
      </c>
      <c r="N500" s="5">
        <f t="shared" si="72"/>
        <v>0</v>
      </c>
      <c r="O500" s="5">
        <f t="shared" si="72"/>
        <v>0</v>
      </c>
      <c r="P500" s="5">
        <f t="shared" si="72"/>
        <v>0</v>
      </c>
      <c r="Q500" s="5">
        <f t="shared" si="72"/>
        <v>0</v>
      </c>
      <c r="R500" s="5">
        <f t="shared" si="72"/>
        <v>0</v>
      </c>
      <c r="S500" s="5">
        <f t="shared" si="72"/>
        <v>0</v>
      </c>
      <c r="T500" s="5">
        <f t="shared" si="72"/>
        <v>0</v>
      </c>
      <c r="U500" s="5">
        <f t="shared" si="72"/>
        <v>0</v>
      </c>
      <c r="V500" s="5">
        <f t="shared" si="73"/>
        <v>0</v>
      </c>
      <c r="W500" s="5">
        <f t="shared" si="73"/>
        <v>0</v>
      </c>
      <c r="X500" s="5">
        <f t="shared" si="73"/>
        <v>0</v>
      </c>
      <c r="Y500" s="5">
        <f t="shared" si="73"/>
        <v>0</v>
      </c>
      <c r="Z500" s="5">
        <f t="shared" si="73"/>
        <v>0</v>
      </c>
      <c r="AA500" s="5">
        <f t="shared" si="73"/>
        <v>0</v>
      </c>
      <c r="AB500" s="5">
        <f t="shared" si="73"/>
        <v>0</v>
      </c>
      <c r="AC500" s="5">
        <f t="shared" si="73"/>
        <v>0</v>
      </c>
      <c r="AD500" s="5">
        <f t="shared" si="73"/>
        <v>0</v>
      </c>
      <c r="AE500" s="5">
        <f t="shared" si="73"/>
        <v>0</v>
      </c>
      <c r="AF500" s="5">
        <f t="shared" si="74"/>
        <v>0</v>
      </c>
      <c r="AG500" s="5">
        <f t="shared" si="74"/>
        <v>0</v>
      </c>
      <c r="AH500" s="5">
        <f t="shared" si="74"/>
        <v>0</v>
      </c>
      <c r="AI500" s="5">
        <f t="shared" si="74"/>
        <v>0</v>
      </c>
      <c r="AJ500" s="5">
        <f t="shared" si="74"/>
        <v>0</v>
      </c>
      <c r="AK500" s="5">
        <f t="shared" si="74"/>
        <v>0</v>
      </c>
      <c r="AL500" s="5">
        <f t="shared" si="74"/>
        <v>0</v>
      </c>
      <c r="AM500" s="173"/>
      <c r="AN500" s="341"/>
    </row>
    <row r="501" spans="1:40">
      <c r="A501" s="5"/>
      <c r="B501" s="50" t="s">
        <v>2921</v>
      </c>
      <c r="C501" s="296"/>
      <c r="D501" s="296"/>
      <c r="E501" s="296"/>
      <c r="F501" s="296"/>
      <c r="G501" s="296"/>
      <c r="H501" s="296"/>
      <c r="I501" s="296"/>
      <c r="J501" s="296"/>
      <c r="K501" s="5">
        <f t="shared" si="70"/>
        <v>59.291999999999994</v>
      </c>
      <c r="L501" s="5">
        <f t="shared" si="72"/>
        <v>63.21</v>
      </c>
      <c r="M501" s="5">
        <f t="shared" si="72"/>
        <v>65.34</v>
      </c>
      <c r="N501" s="5">
        <f t="shared" si="72"/>
        <v>67.440000000000012</v>
      </c>
      <c r="O501" s="5">
        <f t="shared" si="72"/>
        <v>66.75</v>
      </c>
      <c r="P501" s="5">
        <f t="shared" si="72"/>
        <v>66.114000000000004</v>
      </c>
      <c r="Q501" s="5">
        <f t="shared" si="72"/>
        <v>71.063999999999993</v>
      </c>
      <c r="R501" s="5">
        <f t="shared" si="72"/>
        <v>70.932000000000016</v>
      </c>
      <c r="S501" s="5">
        <f t="shared" si="72"/>
        <v>70.698000000000008</v>
      </c>
      <c r="T501" s="5">
        <f t="shared" si="72"/>
        <v>64.266000000000005</v>
      </c>
      <c r="U501" s="5">
        <f t="shared" si="72"/>
        <v>62.069999999999993</v>
      </c>
      <c r="V501" s="5">
        <f t="shared" si="73"/>
        <v>63.611999999999995</v>
      </c>
      <c r="W501" s="5">
        <f t="shared" si="73"/>
        <v>64.571999999999989</v>
      </c>
      <c r="X501" s="5">
        <f t="shared" si="73"/>
        <v>61.488000000000007</v>
      </c>
      <c r="Y501" s="5">
        <f t="shared" si="73"/>
        <v>59.611999999999995</v>
      </c>
      <c r="Z501" s="5">
        <f t="shared" si="73"/>
        <v>53.980000000000004</v>
      </c>
      <c r="AA501" s="5">
        <f t="shared" si="73"/>
        <v>54.410000000000004</v>
      </c>
      <c r="AB501" s="5">
        <f t="shared" si="73"/>
        <v>55.105000000000004</v>
      </c>
      <c r="AC501" s="5">
        <f t="shared" si="73"/>
        <v>55.884999999999998</v>
      </c>
      <c r="AD501" s="5">
        <f t="shared" si="73"/>
        <v>56.12</v>
      </c>
      <c r="AE501" s="5">
        <f t="shared" si="73"/>
        <v>55.545000000000002</v>
      </c>
      <c r="AF501" s="5">
        <f t="shared" si="74"/>
        <v>54.14</v>
      </c>
      <c r="AG501" s="5">
        <f t="shared" si="74"/>
        <v>52.94</v>
      </c>
      <c r="AH501" s="5">
        <f t="shared" si="74"/>
        <v>47.515000000000001</v>
      </c>
      <c r="AI501" s="5">
        <f t="shared" si="74"/>
        <v>43.005000000000003</v>
      </c>
      <c r="AJ501" s="5">
        <f t="shared" si="74"/>
        <v>38.419999999999995</v>
      </c>
      <c r="AK501" s="5">
        <f t="shared" si="74"/>
        <v>34.729999999999997</v>
      </c>
      <c r="AL501" s="5">
        <f t="shared" si="74"/>
        <v>31.515000000000001</v>
      </c>
      <c r="AM501" s="173"/>
      <c r="AN501" s="341"/>
    </row>
    <row r="502" spans="1:40">
      <c r="A502" s="5"/>
      <c r="B502" s="50" t="s">
        <v>2965</v>
      </c>
      <c r="C502" s="296"/>
      <c r="D502" s="296"/>
      <c r="E502" s="296"/>
      <c r="F502" s="296"/>
      <c r="G502" s="296"/>
      <c r="H502" s="296"/>
      <c r="I502" s="296"/>
      <c r="J502" s="296"/>
      <c r="K502" s="5">
        <f t="shared" si="70"/>
        <v>0</v>
      </c>
      <c r="L502" s="5">
        <f t="shared" si="72"/>
        <v>0</v>
      </c>
      <c r="M502" s="5">
        <f t="shared" si="72"/>
        <v>0</v>
      </c>
      <c r="N502" s="5">
        <f t="shared" si="72"/>
        <v>0</v>
      </c>
      <c r="O502" s="5">
        <f t="shared" si="72"/>
        <v>0</v>
      </c>
      <c r="P502" s="5">
        <f t="shared" si="72"/>
        <v>0</v>
      </c>
      <c r="Q502" s="5">
        <f t="shared" si="72"/>
        <v>0</v>
      </c>
      <c r="R502" s="5">
        <f t="shared" si="72"/>
        <v>0</v>
      </c>
      <c r="S502" s="5">
        <f t="shared" si="72"/>
        <v>0</v>
      </c>
      <c r="T502" s="5">
        <f t="shared" si="72"/>
        <v>0</v>
      </c>
      <c r="U502" s="5">
        <f t="shared" si="72"/>
        <v>0</v>
      </c>
      <c r="V502" s="5">
        <f t="shared" si="73"/>
        <v>0</v>
      </c>
      <c r="W502" s="5">
        <f t="shared" si="73"/>
        <v>0</v>
      </c>
      <c r="X502" s="5">
        <f t="shared" si="73"/>
        <v>0</v>
      </c>
      <c r="Y502" s="5">
        <f t="shared" si="73"/>
        <v>0</v>
      </c>
      <c r="Z502" s="5">
        <f t="shared" si="73"/>
        <v>0</v>
      </c>
      <c r="AA502" s="5">
        <f t="shared" si="73"/>
        <v>0</v>
      </c>
      <c r="AB502" s="5">
        <f t="shared" si="73"/>
        <v>0</v>
      </c>
      <c r="AC502" s="5">
        <f t="shared" si="73"/>
        <v>0</v>
      </c>
      <c r="AD502" s="5">
        <f t="shared" si="73"/>
        <v>0</v>
      </c>
      <c r="AE502" s="5">
        <f t="shared" si="73"/>
        <v>0</v>
      </c>
      <c r="AF502" s="5">
        <f t="shared" si="74"/>
        <v>0</v>
      </c>
      <c r="AG502" s="5">
        <f t="shared" si="74"/>
        <v>0</v>
      </c>
      <c r="AH502" s="5">
        <f t="shared" si="74"/>
        <v>0</v>
      </c>
      <c r="AI502" s="5">
        <f t="shared" si="74"/>
        <v>0</v>
      </c>
      <c r="AJ502" s="5">
        <f t="shared" si="74"/>
        <v>0</v>
      </c>
      <c r="AK502" s="5">
        <f t="shared" si="74"/>
        <v>0</v>
      </c>
      <c r="AL502" s="5">
        <f t="shared" si="74"/>
        <v>0</v>
      </c>
      <c r="AM502" s="173"/>
      <c r="AN502" s="341"/>
    </row>
    <row r="503" spans="1:40">
      <c r="A503" s="5"/>
      <c r="B503" s="50" t="s">
        <v>726</v>
      </c>
      <c r="C503" s="296"/>
      <c r="D503" s="296"/>
      <c r="E503" s="296"/>
      <c r="F503" s="296"/>
      <c r="G503" s="296"/>
      <c r="H503" s="296"/>
      <c r="I503" s="296"/>
      <c r="J503" s="296"/>
      <c r="K503" s="5">
        <f t="shared" si="70"/>
        <v>0</v>
      </c>
      <c r="L503" s="5">
        <f t="shared" si="72"/>
        <v>0</v>
      </c>
      <c r="M503" s="5">
        <f t="shared" si="72"/>
        <v>0</v>
      </c>
      <c r="N503" s="5">
        <f t="shared" si="72"/>
        <v>0</v>
      </c>
      <c r="O503" s="5">
        <f t="shared" si="72"/>
        <v>0</v>
      </c>
      <c r="P503" s="5">
        <f t="shared" si="72"/>
        <v>0</v>
      </c>
      <c r="Q503" s="5">
        <f t="shared" si="72"/>
        <v>0</v>
      </c>
      <c r="R503" s="5">
        <f t="shared" si="72"/>
        <v>0</v>
      </c>
      <c r="S503" s="5">
        <f t="shared" si="72"/>
        <v>0</v>
      </c>
      <c r="T503" s="5">
        <f t="shared" si="72"/>
        <v>0</v>
      </c>
      <c r="U503" s="5">
        <f t="shared" si="72"/>
        <v>0</v>
      </c>
      <c r="V503" s="5">
        <f t="shared" si="73"/>
        <v>0</v>
      </c>
      <c r="W503" s="5">
        <f t="shared" si="73"/>
        <v>0</v>
      </c>
      <c r="X503" s="5">
        <f t="shared" si="73"/>
        <v>0</v>
      </c>
      <c r="Y503" s="5">
        <f t="shared" si="73"/>
        <v>0</v>
      </c>
      <c r="Z503" s="5">
        <f t="shared" si="73"/>
        <v>0</v>
      </c>
      <c r="AA503" s="5">
        <f t="shared" si="73"/>
        <v>0</v>
      </c>
      <c r="AB503" s="5">
        <f t="shared" si="73"/>
        <v>0</v>
      </c>
      <c r="AC503" s="5">
        <f t="shared" si="73"/>
        <v>0</v>
      </c>
      <c r="AD503" s="5">
        <f t="shared" si="73"/>
        <v>0</v>
      </c>
      <c r="AE503" s="5">
        <f t="shared" si="73"/>
        <v>0</v>
      </c>
      <c r="AF503" s="5">
        <f t="shared" si="74"/>
        <v>0</v>
      </c>
      <c r="AG503" s="5">
        <f t="shared" si="74"/>
        <v>0</v>
      </c>
      <c r="AH503" s="5">
        <f t="shared" si="74"/>
        <v>0</v>
      </c>
      <c r="AI503" s="5">
        <f t="shared" si="74"/>
        <v>0</v>
      </c>
      <c r="AJ503" s="5">
        <f t="shared" si="74"/>
        <v>0</v>
      </c>
      <c r="AK503" s="5">
        <f t="shared" si="74"/>
        <v>0</v>
      </c>
      <c r="AL503" s="5">
        <f t="shared" si="74"/>
        <v>0</v>
      </c>
      <c r="AM503" s="173"/>
      <c r="AN503" s="341"/>
    </row>
    <row r="504" spans="1:40">
      <c r="A504" s="5"/>
      <c r="B504" s="336" t="s">
        <v>785</v>
      </c>
      <c r="C504" s="296"/>
      <c r="D504" s="296"/>
      <c r="E504" s="296"/>
      <c r="F504" s="296"/>
      <c r="G504" s="296"/>
      <c r="H504" s="296"/>
      <c r="I504" s="296"/>
      <c r="J504" s="296"/>
      <c r="K504" s="5">
        <f t="shared" si="70"/>
        <v>0</v>
      </c>
      <c r="L504" s="5">
        <f t="shared" si="72"/>
        <v>1.7999999999999999E-2</v>
      </c>
      <c r="M504" s="5">
        <f t="shared" si="72"/>
        <v>0.40200000000000002</v>
      </c>
      <c r="N504" s="5">
        <f t="shared" si="72"/>
        <v>0.23400000000000001</v>
      </c>
      <c r="O504" s="5">
        <f t="shared" si="72"/>
        <v>0.33</v>
      </c>
      <c r="P504" s="5">
        <f t="shared" si="72"/>
        <v>0.28199999999999997</v>
      </c>
      <c r="Q504" s="5">
        <f t="shared" si="72"/>
        <v>0.25800000000000001</v>
      </c>
      <c r="R504" s="5">
        <f t="shared" si="72"/>
        <v>0.318</v>
      </c>
      <c r="S504" s="5">
        <f t="shared" si="72"/>
        <v>0.372</v>
      </c>
      <c r="T504" s="5">
        <f t="shared" si="72"/>
        <v>0.78600000000000003</v>
      </c>
      <c r="U504" s="5">
        <f t="shared" si="72"/>
        <v>1.206</v>
      </c>
      <c r="V504" s="5">
        <f t="shared" si="73"/>
        <v>1.758</v>
      </c>
      <c r="W504" s="5">
        <f t="shared" si="73"/>
        <v>2.0640000000000001</v>
      </c>
      <c r="X504" s="5">
        <f t="shared" si="73"/>
        <v>2.0699999999999998</v>
      </c>
      <c r="Y504" s="5">
        <f t="shared" si="73"/>
        <v>1.89</v>
      </c>
      <c r="Z504" s="5">
        <f t="shared" si="73"/>
        <v>1.595</v>
      </c>
      <c r="AA504" s="5">
        <f t="shared" si="73"/>
        <v>1.75</v>
      </c>
      <c r="AB504" s="5">
        <f t="shared" si="73"/>
        <v>1.7949999999999999</v>
      </c>
      <c r="AC504" s="5">
        <f t="shared" si="73"/>
        <v>1.9</v>
      </c>
      <c r="AD504" s="5">
        <f t="shared" si="73"/>
        <v>2.1850000000000001</v>
      </c>
      <c r="AE504" s="5">
        <f t="shared" si="73"/>
        <v>2.1800000000000002</v>
      </c>
      <c r="AF504" s="5">
        <f t="shared" si="74"/>
        <v>2.1800000000000002</v>
      </c>
      <c r="AG504" s="5">
        <f t="shared" si="74"/>
        <v>2.1549999999999998</v>
      </c>
      <c r="AH504" s="5">
        <f t="shared" si="74"/>
        <v>2.1549999999999998</v>
      </c>
      <c r="AI504" s="5">
        <f t="shared" si="74"/>
        <v>2.1549999999999998</v>
      </c>
      <c r="AJ504" s="5">
        <f t="shared" si="74"/>
        <v>2.1549999999999998</v>
      </c>
      <c r="AK504" s="5">
        <f t="shared" si="74"/>
        <v>2.15</v>
      </c>
      <c r="AL504" s="5">
        <f t="shared" si="74"/>
        <v>2.15</v>
      </c>
      <c r="AM504" s="173"/>
      <c r="AN504" s="341"/>
    </row>
    <row r="505" spans="1:40">
      <c r="A505" s="5"/>
      <c r="B505" s="50" t="s">
        <v>2428</v>
      </c>
      <c r="C505" s="296"/>
      <c r="D505" s="296"/>
      <c r="E505" s="296"/>
      <c r="F505" s="296"/>
      <c r="G505" s="296"/>
      <c r="H505" s="296"/>
      <c r="I505" s="296"/>
      <c r="J505" s="296"/>
      <c r="K505" s="5">
        <f t="shared" si="70"/>
        <v>0</v>
      </c>
      <c r="L505" s="5">
        <f t="shared" si="72"/>
        <v>0</v>
      </c>
      <c r="M505" s="5">
        <f t="shared" si="72"/>
        <v>0</v>
      </c>
      <c r="N505" s="5">
        <f t="shared" si="72"/>
        <v>0</v>
      </c>
      <c r="O505" s="5">
        <f t="shared" si="72"/>
        <v>0</v>
      </c>
      <c r="P505" s="5">
        <f t="shared" si="72"/>
        <v>0</v>
      </c>
      <c r="Q505" s="5">
        <f t="shared" si="72"/>
        <v>0</v>
      </c>
      <c r="R505" s="5">
        <f t="shared" si="72"/>
        <v>0</v>
      </c>
      <c r="S505" s="5">
        <f t="shared" si="72"/>
        <v>0</v>
      </c>
      <c r="T505" s="5">
        <f t="shared" si="72"/>
        <v>0</v>
      </c>
      <c r="U505" s="5">
        <f t="shared" si="72"/>
        <v>0</v>
      </c>
      <c r="V505" s="5">
        <f t="shared" si="73"/>
        <v>0</v>
      </c>
      <c r="W505" s="5">
        <f t="shared" si="73"/>
        <v>0</v>
      </c>
      <c r="X505" s="5">
        <f t="shared" si="73"/>
        <v>0</v>
      </c>
      <c r="Y505" s="5">
        <f t="shared" si="73"/>
        <v>0</v>
      </c>
      <c r="Z505" s="5">
        <f t="shared" si="73"/>
        <v>0</v>
      </c>
      <c r="AA505" s="5">
        <f t="shared" si="73"/>
        <v>0</v>
      </c>
      <c r="AB505" s="5">
        <f t="shared" si="73"/>
        <v>0</v>
      </c>
      <c r="AC505" s="5">
        <f t="shared" si="73"/>
        <v>0</v>
      </c>
      <c r="AD505" s="5">
        <f t="shared" si="73"/>
        <v>0</v>
      </c>
      <c r="AE505" s="5">
        <f t="shared" si="73"/>
        <v>0</v>
      </c>
      <c r="AF505" s="5">
        <f t="shared" si="74"/>
        <v>0</v>
      </c>
      <c r="AG505" s="5">
        <f t="shared" si="74"/>
        <v>0</v>
      </c>
      <c r="AH505" s="5">
        <f t="shared" si="74"/>
        <v>0</v>
      </c>
      <c r="AI505" s="5">
        <f t="shared" si="74"/>
        <v>0</v>
      </c>
      <c r="AJ505" s="5">
        <f t="shared" si="74"/>
        <v>0</v>
      </c>
      <c r="AK505" s="5">
        <f t="shared" si="74"/>
        <v>0</v>
      </c>
      <c r="AL505" s="5">
        <f t="shared" si="74"/>
        <v>0</v>
      </c>
      <c r="AM505" s="173"/>
      <c r="AN505" s="341"/>
    </row>
    <row r="506" spans="1:40">
      <c r="A506" s="5"/>
      <c r="B506" s="50" t="s">
        <v>727</v>
      </c>
      <c r="C506" s="296"/>
      <c r="D506" s="296"/>
      <c r="E506" s="296"/>
      <c r="F506" s="296"/>
      <c r="G506" s="296"/>
      <c r="H506" s="296"/>
      <c r="I506" s="296"/>
      <c r="J506" s="296"/>
      <c r="K506" s="5">
        <f t="shared" si="70"/>
        <v>0</v>
      </c>
      <c r="L506" s="5">
        <f t="shared" si="72"/>
        <v>0</v>
      </c>
      <c r="M506" s="5">
        <f t="shared" si="72"/>
        <v>0</v>
      </c>
      <c r="N506" s="5">
        <f t="shared" si="72"/>
        <v>0</v>
      </c>
      <c r="O506" s="5">
        <f t="shared" si="72"/>
        <v>0</v>
      </c>
      <c r="P506" s="5">
        <f t="shared" si="72"/>
        <v>0</v>
      </c>
      <c r="Q506" s="5">
        <f t="shared" si="72"/>
        <v>0</v>
      </c>
      <c r="R506" s="5">
        <f t="shared" si="72"/>
        <v>0</v>
      </c>
      <c r="S506" s="5">
        <f t="shared" si="72"/>
        <v>0</v>
      </c>
      <c r="T506" s="5">
        <f t="shared" si="72"/>
        <v>0</v>
      </c>
      <c r="U506" s="5">
        <f t="shared" si="72"/>
        <v>0</v>
      </c>
      <c r="V506" s="5">
        <f t="shared" si="73"/>
        <v>0</v>
      </c>
      <c r="W506" s="5">
        <f t="shared" si="73"/>
        <v>0</v>
      </c>
      <c r="X506" s="5">
        <f t="shared" si="73"/>
        <v>0</v>
      </c>
      <c r="Y506" s="5">
        <f t="shared" si="73"/>
        <v>0</v>
      </c>
      <c r="Z506" s="5">
        <f t="shared" si="73"/>
        <v>0</v>
      </c>
      <c r="AA506" s="5">
        <f t="shared" si="73"/>
        <v>0</v>
      </c>
      <c r="AB506" s="5">
        <f t="shared" si="73"/>
        <v>0</v>
      </c>
      <c r="AC506" s="5">
        <f t="shared" si="73"/>
        <v>0</v>
      </c>
      <c r="AD506" s="5">
        <f t="shared" si="73"/>
        <v>0</v>
      </c>
      <c r="AE506" s="5">
        <f t="shared" si="73"/>
        <v>0</v>
      </c>
      <c r="AF506" s="5">
        <f t="shared" si="74"/>
        <v>0</v>
      </c>
      <c r="AG506" s="5">
        <f t="shared" si="74"/>
        <v>0</v>
      </c>
      <c r="AH506" s="5">
        <f t="shared" si="74"/>
        <v>0</v>
      </c>
      <c r="AI506" s="5">
        <f t="shared" si="74"/>
        <v>0</v>
      </c>
      <c r="AJ506" s="5">
        <f t="shared" si="74"/>
        <v>0</v>
      </c>
      <c r="AK506" s="5">
        <f t="shared" si="74"/>
        <v>0</v>
      </c>
      <c r="AL506" s="5">
        <f t="shared" si="74"/>
        <v>0</v>
      </c>
      <c r="AM506" s="173"/>
      <c r="AN506" s="341"/>
    </row>
    <row r="507" spans="1:40">
      <c r="A507" s="5"/>
      <c r="B507" s="50" t="s">
        <v>216</v>
      </c>
      <c r="C507" s="296"/>
      <c r="D507" s="296"/>
      <c r="E507" s="296"/>
      <c r="F507" s="296"/>
      <c r="G507" s="296"/>
      <c r="H507" s="296"/>
      <c r="I507" s="296"/>
      <c r="J507" s="296"/>
      <c r="K507" s="5">
        <f t="shared" si="70"/>
        <v>0</v>
      </c>
      <c r="L507" s="5">
        <f t="shared" si="72"/>
        <v>0</v>
      </c>
      <c r="M507" s="5">
        <f t="shared" si="72"/>
        <v>0</v>
      </c>
      <c r="N507" s="5">
        <f t="shared" si="72"/>
        <v>0</v>
      </c>
      <c r="O507" s="5">
        <f t="shared" si="72"/>
        <v>0</v>
      </c>
      <c r="P507" s="5">
        <f t="shared" si="72"/>
        <v>0</v>
      </c>
      <c r="Q507" s="5">
        <f t="shared" si="72"/>
        <v>0</v>
      </c>
      <c r="R507" s="5">
        <f t="shared" si="72"/>
        <v>0</v>
      </c>
      <c r="S507" s="5">
        <f t="shared" si="72"/>
        <v>0</v>
      </c>
      <c r="T507" s="5">
        <f t="shared" si="72"/>
        <v>0</v>
      </c>
      <c r="U507" s="5">
        <f t="shared" si="72"/>
        <v>0</v>
      </c>
      <c r="V507" s="5">
        <f t="shared" si="73"/>
        <v>0</v>
      </c>
      <c r="W507" s="5">
        <f t="shared" si="73"/>
        <v>0</v>
      </c>
      <c r="X507" s="5">
        <f t="shared" si="73"/>
        <v>0</v>
      </c>
      <c r="Y507" s="5">
        <f t="shared" si="73"/>
        <v>0</v>
      </c>
      <c r="Z507" s="5">
        <f t="shared" si="73"/>
        <v>0</v>
      </c>
      <c r="AA507" s="5">
        <f t="shared" si="73"/>
        <v>0</v>
      </c>
      <c r="AB507" s="5">
        <f t="shared" si="73"/>
        <v>0</v>
      </c>
      <c r="AC507" s="5">
        <f t="shared" si="73"/>
        <v>0</v>
      </c>
      <c r="AD507" s="5">
        <f t="shared" si="73"/>
        <v>0</v>
      </c>
      <c r="AE507" s="5">
        <f t="shared" si="73"/>
        <v>0</v>
      </c>
      <c r="AF507" s="5">
        <f t="shared" si="74"/>
        <v>0</v>
      </c>
      <c r="AG507" s="5">
        <f t="shared" si="74"/>
        <v>0</v>
      </c>
      <c r="AH507" s="5">
        <f t="shared" si="74"/>
        <v>0</v>
      </c>
      <c r="AI507" s="5">
        <f t="shared" si="74"/>
        <v>0</v>
      </c>
      <c r="AJ507" s="5">
        <f t="shared" si="74"/>
        <v>0</v>
      </c>
      <c r="AK507" s="5">
        <f t="shared" si="74"/>
        <v>0</v>
      </c>
      <c r="AL507" s="5">
        <f t="shared" si="74"/>
        <v>0</v>
      </c>
      <c r="AM507" s="173"/>
      <c r="AN507" s="341"/>
    </row>
    <row r="508" spans="1:40">
      <c r="A508" s="5"/>
      <c r="B508" s="50" t="s">
        <v>2247</v>
      </c>
      <c r="C508" s="296"/>
      <c r="D508" s="296"/>
      <c r="E508" s="296"/>
      <c r="F508" s="296"/>
      <c r="G508" s="296"/>
      <c r="H508" s="296"/>
      <c r="I508" s="296"/>
      <c r="J508" s="296"/>
      <c r="K508" s="5">
        <f t="shared" si="70"/>
        <v>0</v>
      </c>
      <c r="L508" s="5">
        <f t="shared" si="72"/>
        <v>0</v>
      </c>
      <c r="M508" s="5">
        <f t="shared" si="72"/>
        <v>0</v>
      </c>
      <c r="N508" s="5">
        <f t="shared" si="72"/>
        <v>0</v>
      </c>
      <c r="O508" s="5">
        <f t="shared" si="72"/>
        <v>0</v>
      </c>
      <c r="P508" s="5">
        <f t="shared" si="72"/>
        <v>0</v>
      </c>
      <c r="Q508" s="5">
        <f t="shared" si="72"/>
        <v>0</v>
      </c>
      <c r="R508" s="5">
        <f t="shared" si="72"/>
        <v>0</v>
      </c>
      <c r="S508" s="5">
        <f t="shared" si="72"/>
        <v>0</v>
      </c>
      <c r="T508" s="5">
        <f t="shared" si="72"/>
        <v>0</v>
      </c>
      <c r="U508" s="5">
        <f t="shared" si="72"/>
        <v>0</v>
      </c>
      <c r="V508" s="5">
        <f t="shared" si="73"/>
        <v>0</v>
      </c>
      <c r="W508" s="5">
        <f t="shared" si="73"/>
        <v>0</v>
      </c>
      <c r="X508" s="5">
        <f t="shared" si="73"/>
        <v>0</v>
      </c>
      <c r="Y508" s="5">
        <f t="shared" si="73"/>
        <v>0</v>
      </c>
      <c r="Z508" s="5">
        <f t="shared" si="73"/>
        <v>0</v>
      </c>
      <c r="AA508" s="5">
        <f t="shared" si="73"/>
        <v>0</v>
      </c>
      <c r="AB508" s="5">
        <f t="shared" si="73"/>
        <v>0</v>
      </c>
      <c r="AC508" s="5">
        <f t="shared" si="73"/>
        <v>0</v>
      </c>
      <c r="AD508" s="5">
        <f t="shared" si="73"/>
        <v>0</v>
      </c>
      <c r="AE508" s="5">
        <f t="shared" si="73"/>
        <v>0</v>
      </c>
      <c r="AF508" s="5">
        <f t="shared" si="74"/>
        <v>0</v>
      </c>
      <c r="AG508" s="5">
        <f t="shared" si="74"/>
        <v>0</v>
      </c>
      <c r="AH508" s="5">
        <f t="shared" si="74"/>
        <v>0</v>
      </c>
      <c r="AI508" s="5">
        <f t="shared" si="74"/>
        <v>0</v>
      </c>
      <c r="AJ508" s="5">
        <f t="shared" si="74"/>
        <v>0</v>
      </c>
      <c r="AK508" s="5">
        <f t="shared" si="74"/>
        <v>0</v>
      </c>
      <c r="AL508" s="5">
        <f t="shared" si="74"/>
        <v>0</v>
      </c>
      <c r="AM508" s="173"/>
      <c r="AN508" s="341"/>
    </row>
    <row r="509" spans="1:40">
      <c r="A509" s="5"/>
      <c r="B509" s="50" t="s">
        <v>2251</v>
      </c>
      <c r="C509" s="296"/>
      <c r="D509" s="296"/>
      <c r="E509" s="296"/>
      <c r="F509" s="296"/>
      <c r="G509" s="296"/>
      <c r="H509" s="296"/>
      <c r="I509" s="296"/>
      <c r="J509" s="296"/>
      <c r="K509" s="5">
        <f t="shared" si="70"/>
        <v>0</v>
      </c>
      <c r="L509" s="5">
        <f t="shared" ref="L509:U513" si="75">SUMIF($C$482:$C$494,$B509,L$482:L$494)</f>
        <v>0</v>
      </c>
      <c r="M509" s="5">
        <f t="shared" si="75"/>
        <v>0</v>
      </c>
      <c r="N509" s="5">
        <f t="shared" si="75"/>
        <v>0</v>
      </c>
      <c r="O509" s="5">
        <f t="shared" si="75"/>
        <v>0</v>
      </c>
      <c r="P509" s="5">
        <f t="shared" si="75"/>
        <v>0</v>
      </c>
      <c r="Q509" s="5">
        <f t="shared" si="75"/>
        <v>0</v>
      </c>
      <c r="R509" s="5">
        <f t="shared" si="75"/>
        <v>0</v>
      </c>
      <c r="S509" s="5">
        <f t="shared" si="75"/>
        <v>0</v>
      </c>
      <c r="T509" s="5">
        <f t="shared" si="75"/>
        <v>0</v>
      </c>
      <c r="U509" s="5">
        <f t="shared" si="75"/>
        <v>0</v>
      </c>
      <c r="V509" s="5">
        <f t="shared" ref="V509:AE513" si="76">SUMIF($C$482:$C$494,$B509,V$482:V$494)</f>
        <v>0</v>
      </c>
      <c r="W509" s="5">
        <f t="shared" si="76"/>
        <v>0</v>
      </c>
      <c r="X509" s="5">
        <f t="shared" si="76"/>
        <v>0</v>
      </c>
      <c r="Y509" s="5">
        <f t="shared" si="76"/>
        <v>0</v>
      </c>
      <c r="Z509" s="5">
        <f t="shared" si="76"/>
        <v>0</v>
      </c>
      <c r="AA509" s="5">
        <f t="shared" si="76"/>
        <v>0</v>
      </c>
      <c r="AB509" s="5">
        <f t="shared" si="76"/>
        <v>0</v>
      </c>
      <c r="AC509" s="5">
        <f t="shared" si="76"/>
        <v>0</v>
      </c>
      <c r="AD509" s="5">
        <f t="shared" si="76"/>
        <v>0</v>
      </c>
      <c r="AE509" s="5">
        <f t="shared" si="76"/>
        <v>0</v>
      </c>
      <c r="AF509" s="5">
        <f t="shared" ref="AF509:AL518" si="77">SUMIF($C$482:$C$494,$B509,AF$482:AF$494)</f>
        <v>0</v>
      </c>
      <c r="AG509" s="5">
        <f t="shared" si="77"/>
        <v>0</v>
      </c>
      <c r="AH509" s="5">
        <f t="shared" si="77"/>
        <v>0</v>
      </c>
      <c r="AI509" s="5">
        <f t="shared" si="77"/>
        <v>0</v>
      </c>
      <c r="AJ509" s="5">
        <f t="shared" si="77"/>
        <v>0</v>
      </c>
      <c r="AK509" s="5">
        <f t="shared" si="77"/>
        <v>0</v>
      </c>
      <c r="AL509" s="5">
        <f t="shared" si="77"/>
        <v>0</v>
      </c>
      <c r="AM509" s="173"/>
      <c r="AN509" s="341"/>
    </row>
    <row r="510" spans="1:40">
      <c r="A510" s="5"/>
      <c r="B510" s="50" t="s">
        <v>138</v>
      </c>
      <c r="C510" s="296"/>
      <c r="D510" s="296"/>
      <c r="E510" s="296"/>
      <c r="F510" s="296"/>
      <c r="G510" s="296"/>
      <c r="H510" s="296"/>
      <c r="I510" s="296"/>
      <c r="J510" s="296"/>
      <c r="K510" s="5">
        <f t="shared" si="70"/>
        <v>0</v>
      </c>
      <c r="L510" s="5">
        <f t="shared" si="75"/>
        <v>0</v>
      </c>
      <c r="M510" s="5">
        <f t="shared" si="75"/>
        <v>0</v>
      </c>
      <c r="N510" s="5">
        <f t="shared" si="75"/>
        <v>0</v>
      </c>
      <c r="O510" s="5">
        <f t="shared" si="75"/>
        <v>0</v>
      </c>
      <c r="P510" s="5">
        <f t="shared" si="75"/>
        <v>0</v>
      </c>
      <c r="Q510" s="5">
        <f t="shared" si="75"/>
        <v>0</v>
      </c>
      <c r="R510" s="5">
        <f t="shared" si="75"/>
        <v>0</v>
      </c>
      <c r="S510" s="5">
        <f t="shared" si="75"/>
        <v>0</v>
      </c>
      <c r="T510" s="5">
        <f t="shared" si="75"/>
        <v>0</v>
      </c>
      <c r="U510" s="5">
        <f t="shared" si="75"/>
        <v>0</v>
      </c>
      <c r="V510" s="5">
        <f t="shared" si="76"/>
        <v>0</v>
      </c>
      <c r="W510" s="5">
        <f t="shared" si="76"/>
        <v>0</v>
      </c>
      <c r="X510" s="5">
        <f t="shared" si="76"/>
        <v>0</v>
      </c>
      <c r="Y510" s="5">
        <f t="shared" si="76"/>
        <v>0</v>
      </c>
      <c r="Z510" s="5">
        <f t="shared" si="76"/>
        <v>0</v>
      </c>
      <c r="AA510" s="5">
        <f t="shared" si="76"/>
        <v>0</v>
      </c>
      <c r="AB510" s="5">
        <f t="shared" si="76"/>
        <v>0</v>
      </c>
      <c r="AC510" s="5">
        <f t="shared" si="76"/>
        <v>0</v>
      </c>
      <c r="AD510" s="5">
        <f t="shared" si="76"/>
        <v>0</v>
      </c>
      <c r="AE510" s="5">
        <f t="shared" si="76"/>
        <v>0</v>
      </c>
      <c r="AF510" s="5">
        <f t="shared" si="77"/>
        <v>0</v>
      </c>
      <c r="AG510" s="5">
        <f t="shared" si="77"/>
        <v>0</v>
      </c>
      <c r="AH510" s="5">
        <f t="shared" si="77"/>
        <v>0</v>
      </c>
      <c r="AI510" s="5">
        <f t="shared" si="77"/>
        <v>0</v>
      </c>
      <c r="AJ510" s="5">
        <f t="shared" si="77"/>
        <v>0</v>
      </c>
      <c r="AK510" s="5">
        <f t="shared" si="77"/>
        <v>0</v>
      </c>
      <c r="AL510" s="5">
        <f t="shared" si="77"/>
        <v>0</v>
      </c>
      <c r="AM510" s="173"/>
      <c r="AN510" s="341"/>
    </row>
    <row r="511" spans="1:40">
      <c r="A511" s="5"/>
      <c r="B511" s="50" t="s">
        <v>816</v>
      </c>
      <c r="C511" s="296"/>
      <c r="D511" s="296"/>
      <c r="E511" s="296"/>
      <c r="F511" s="296"/>
      <c r="G511" s="296"/>
      <c r="H511" s="296"/>
      <c r="I511" s="296"/>
      <c r="J511" s="296"/>
      <c r="K511" s="5">
        <f t="shared" si="70"/>
        <v>0</v>
      </c>
      <c r="L511" s="5">
        <f t="shared" si="75"/>
        <v>0</v>
      </c>
      <c r="M511" s="5">
        <f t="shared" si="75"/>
        <v>0</v>
      </c>
      <c r="N511" s="5">
        <f t="shared" si="75"/>
        <v>0</v>
      </c>
      <c r="O511" s="5">
        <f t="shared" si="75"/>
        <v>0</v>
      </c>
      <c r="P511" s="5">
        <f t="shared" si="75"/>
        <v>0</v>
      </c>
      <c r="Q511" s="5">
        <f t="shared" si="75"/>
        <v>0</v>
      </c>
      <c r="R511" s="5">
        <f t="shared" si="75"/>
        <v>0</v>
      </c>
      <c r="S511" s="5">
        <f t="shared" si="75"/>
        <v>0</v>
      </c>
      <c r="T511" s="5">
        <f t="shared" si="75"/>
        <v>0</v>
      </c>
      <c r="U511" s="5">
        <f t="shared" si="75"/>
        <v>0</v>
      </c>
      <c r="V511" s="5">
        <f t="shared" si="76"/>
        <v>0</v>
      </c>
      <c r="W511" s="5">
        <f t="shared" si="76"/>
        <v>0</v>
      </c>
      <c r="X511" s="5">
        <f t="shared" si="76"/>
        <v>0</v>
      </c>
      <c r="Y511" s="5">
        <f t="shared" si="76"/>
        <v>0</v>
      </c>
      <c r="Z511" s="5">
        <f t="shared" si="76"/>
        <v>0</v>
      </c>
      <c r="AA511" s="5">
        <f t="shared" si="76"/>
        <v>0</v>
      </c>
      <c r="AB511" s="5">
        <f t="shared" si="76"/>
        <v>0</v>
      </c>
      <c r="AC511" s="5">
        <f t="shared" si="76"/>
        <v>0</v>
      </c>
      <c r="AD511" s="5">
        <f t="shared" si="76"/>
        <v>0</v>
      </c>
      <c r="AE511" s="5">
        <f t="shared" si="76"/>
        <v>0</v>
      </c>
      <c r="AF511" s="5">
        <f t="shared" si="77"/>
        <v>0</v>
      </c>
      <c r="AG511" s="5">
        <f t="shared" si="77"/>
        <v>0</v>
      </c>
      <c r="AH511" s="5">
        <f t="shared" si="77"/>
        <v>0</v>
      </c>
      <c r="AI511" s="5">
        <f t="shared" si="77"/>
        <v>0</v>
      </c>
      <c r="AJ511" s="5">
        <f t="shared" si="77"/>
        <v>0</v>
      </c>
      <c r="AK511" s="5">
        <f t="shared" si="77"/>
        <v>0</v>
      </c>
      <c r="AL511" s="5">
        <f t="shared" si="77"/>
        <v>0</v>
      </c>
      <c r="AM511" s="173"/>
      <c r="AN511" s="341"/>
    </row>
    <row r="512" spans="1:40">
      <c r="A512" s="5"/>
      <c r="B512" s="50" t="s">
        <v>1962</v>
      </c>
      <c r="C512" s="296"/>
      <c r="D512" s="296"/>
      <c r="E512" s="296"/>
      <c r="F512" s="296"/>
      <c r="G512" s="296"/>
      <c r="H512" s="296"/>
      <c r="I512" s="296"/>
      <c r="J512" s="296"/>
      <c r="K512" s="5">
        <f t="shared" si="70"/>
        <v>0</v>
      </c>
      <c r="L512" s="5">
        <f t="shared" si="75"/>
        <v>0</v>
      </c>
      <c r="M512" s="5">
        <f t="shared" si="75"/>
        <v>0</v>
      </c>
      <c r="N512" s="5">
        <f t="shared" si="75"/>
        <v>0</v>
      </c>
      <c r="O512" s="5">
        <f t="shared" si="75"/>
        <v>0</v>
      </c>
      <c r="P512" s="5">
        <f t="shared" si="75"/>
        <v>0</v>
      </c>
      <c r="Q512" s="5">
        <f t="shared" si="75"/>
        <v>0</v>
      </c>
      <c r="R512" s="5">
        <f t="shared" si="75"/>
        <v>0</v>
      </c>
      <c r="S512" s="5">
        <f t="shared" si="75"/>
        <v>0</v>
      </c>
      <c r="T512" s="5">
        <f t="shared" si="75"/>
        <v>0</v>
      </c>
      <c r="U512" s="5">
        <f t="shared" si="75"/>
        <v>0</v>
      </c>
      <c r="V512" s="5">
        <f t="shared" si="76"/>
        <v>0</v>
      </c>
      <c r="W512" s="5">
        <f t="shared" si="76"/>
        <v>0</v>
      </c>
      <c r="X512" s="5">
        <f t="shared" si="76"/>
        <v>0</v>
      </c>
      <c r="Y512" s="5">
        <f t="shared" si="76"/>
        <v>0</v>
      </c>
      <c r="Z512" s="5">
        <f t="shared" si="76"/>
        <v>0</v>
      </c>
      <c r="AA512" s="5">
        <f t="shared" si="76"/>
        <v>0</v>
      </c>
      <c r="AB512" s="5">
        <f t="shared" si="76"/>
        <v>0</v>
      </c>
      <c r="AC512" s="5">
        <f t="shared" si="76"/>
        <v>0</v>
      </c>
      <c r="AD512" s="5">
        <f t="shared" si="76"/>
        <v>0</v>
      </c>
      <c r="AE512" s="5">
        <f t="shared" si="76"/>
        <v>0</v>
      </c>
      <c r="AF512" s="5">
        <f t="shared" si="77"/>
        <v>0</v>
      </c>
      <c r="AG512" s="5">
        <f t="shared" si="77"/>
        <v>0</v>
      </c>
      <c r="AH512" s="5">
        <f t="shared" si="77"/>
        <v>0</v>
      </c>
      <c r="AI512" s="5">
        <f t="shared" si="77"/>
        <v>0</v>
      </c>
      <c r="AJ512" s="5">
        <f t="shared" si="77"/>
        <v>0</v>
      </c>
      <c r="AK512" s="5">
        <f t="shared" si="77"/>
        <v>0</v>
      </c>
      <c r="AL512" s="5">
        <f t="shared" si="77"/>
        <v>0</v>
      </c>
      <c r="AM512" s="173"/>
      <c r="AN512" s="341"/>
    </row>
    <row r="513" spans="1:40">
      <c r="A513" s="5"/>
      <c r="B513" s="50" t="s">
        <v>139</v>
      </c>
      <c r="C513" s="296"/>
      <c r="D513" s="296"/>
      <c r="E513" s="296"/>
      <c r="F513" s="296"/>
      <c r="G513" s="296"/>
      <c r="H513" s="296"/>
      <c r="I513" s="296"/>
      <c r="J513" s="296"/>
      <c r="K513" s="5">
        <f t="shared" si="70"/>
        <v>0</v>
      </c>
      <c r="L513" s="5">
        <f t="shared" si="75"/>
        <v>0</v>
      </c>
      <c r="M513" s="5">
        <f t="shared" si="75"/>
        <v>0</v>
      </c>
      <c r="N513" s="5">
        <f t="shared" si="75"/>
        <v>0</v>
      </c>
      <c r="O513" s="5">
        <f t="shared" si="75"/>
        <v>0</v>
      </c>
      <c r="P513" s="5">
        <f t="shared" si="75"/>
        <v>0</v>
      </c>
      <c r="Q513" s="5">
        <f t="shared" si="75"/>
        <v>0</v>
      </c>
      <c r="R513" s="5">
        <f t="shared" si="75"/>
        <v>0</v>
      </c>
      <c r="S513" s="5">
        <f t="shared" si="75"/>
        <v>0</v>
      </c>
      <c r="T513" s="5">
        <f t="shared" si="75"/>
        <v>0</v>
      </c>
      <c r="U513" s="5">
        <f t="shared" si="75"/>
        <v>0</v>
      </c>
      <c r="V513" s="5">
        <f t="shared" si="76"/>
        <v>0</v>
      </c>
      <c r="W513" s="5">
        <f t="shared" si="76"/>
        <v>0</v>
      </c>
      <c r="X513" s="5">
        <f t="shared" si="76"/>
        <v>0</v>
      </c>
      <c r="Y513" s="5">
        <f t="shared" si="76"/>
        <v>0</v>
      </c>
      <c r="Z513" s="5">
        <f t="shared" si="76"/>
        <v>0</v>
      </c>
      <c r="AA513" s="5">
        <f t="shared" si="76"/>
        <v>0</v>
      </c>
      <c r="AB513" s="5">
        <f t="shared" si="76"/>
        <v>0</v>
      </c>
      <c r="AC513" s="5">
        <f t="shared" si="76"/>
        <v>0</v>
      </c>
      <c r="AD513" s="5">
        <f t="shared" si="76"/>
        <v>0</v>
      </c>
      <c r="AE513" s="5">
        <f t="shared" si="76"/>
        <v>0</v>
      </c>
      <c r="AF513" s="5">
        <f t="shared" si="77"/>
        <v>0</v>
      </c>
      <c r="AG513" s="5">
        <f t="shared" si="77"/>
        <v>0</v>
      </c>
      <c r="AH513" s="5">
        <f t="shared" si="77"/>
        <v>0</v>
      </c>
      <c r="AI513" s="5">
        <f t="shared" si="77"/>
        <v>0</v>
      </c>
      <c r="AJ513" s="5">
        <f t="shared" si="77"/>
        <v>0</v>
      </c>
      <c r="AK513" s="5">
        <f t="shared" si="77"/>
        <v>0</v>
      </c>
      <c r="AL513" s="5">
        <f t="shared" si="77"/>
        <v>0</v>
      </c>
      <c r="AM513" s="173"/>
      <c r="AN513" s="341"/>
    </row>
    <row r="514" spans="1:40">
      <c r="A514" s="5"/>
      <c r="B514" s="50" t="s">
        <v>1745</v>
      </c>
      <c r="C514" s="296"/>
      <c r="D514" s="296"/>
      <c r="E514" s="296"/>
      <c r="F514" s="296"/>
      <c r="G514" s="296"/>
      <c r="H514" s="296"/>
      <c r="I514" s="296"/>
      <c r="J514" s="296"/>
      <c r="K514" s="296"/>
      <c r="L514" s="296"/>
      <c r="M514" s="296"/>
      <c r="N514" s="296"/>
      <c r="O514" s="296"/>
      <c r="P514" s="296"/>
      <c r="Q514" s="296"/>
      <c r="R514" s="296"/>
      <c r="S514" s="296"/>
      <c r="T514" s="296"/>
      <c r="U514" s="296"/>
      <c r="V514" s="296"/>
      <c r="W514" s="296"/>
      <c r="X514" s="296"/>
      <c r="Y514" s="5">
        <f t="shared" ref="Y514:AE518" si="78">SUMIF($C$482:$C$494,$B514,Y$482:Y$494)</f>
        <v>40.032000000000004</v>
      </c>
      <c r="Z514" s="5">
        <f t="shared" si="78"/>
        <v>38.978999999999999</v>
      </c>
      <c r="AA514" s="5">
        <f t="shared" si="78"/>
        <v>36.6</v>
      </c>
      <c r="AB514" s="5">
        <f t="shared" si="78"/>
        <v>50.259000000000007</v>
      </c>
      <c r="AC514" s="5">
        <f t="shared" si="78"/>
        <v>53.696999999999996</v>
      </c>
      <c r="AD514" s="5">
        <f t="shared" si="78"/>
        <v>61.305000000000007</v>
      </c>
      <c r="AE514" s="5">
        <f t="shared" si="78"/>
        <v>74.120999999999995</v>
      </c>
      <c r="AF514" s="5">
        <f t="shared" si="77"/>
        <v>74.037000000000006</v>
      </c>
      <c r="AG514" s="5">
        <f t="shared" si="77"/>
        <v>67.512</v>
      </c>
      <c r="AH514" s="5">
        <f t="shared" si="77"/>
        <v>59.417999999999999</v>
      </c>
      <c r="AI514" s="5">
        <f t="shared" si="77"/>
        <v>51.435000000000009</v>
      </c>
      <c r="AJ514" s="5">
        <f t="shared" si="77"/>
        <v>44.538000000000004</v>
      </c>
      <c r="AK514" s="5">
        <f t="shared" si="77"/>
        <v>38.262</v>
      </c>
      <c r="AL514" s="5">
        <f t="shared" si="77"/>
        <v>33.393000000000001</v>
      </c>
      <c r="AM514" s="173"/>
      <c r="AN514" s="341"/>
    </row>
    <row r="515" spans="1:40">
      <c r="A515" s="5"/>
      <c r="B515" s="50" t="s">
        <v>3277</v>
      </c>
      <c r="C515" s="296"/>
      <c r="D515" s="296"/>
      <c r="E515" s="296"/>
      <c r="F515" s="296"/>
      <c r="G515" s="296"/>
      <c r="H515" s="296"/>
      <c r="I515" s="296"/>
      <c r="J515" s="296"/>
      <c r="K515" s="5">
        <f t="shared" ref="K515:X518" si="79">SUMIF($C$482:$C$494,$B515,K$482:K$494)</f>
        <v>0</v>
      </c>
      <c r="L515" s="5">
        <f t="shared" si="79"/>
        <v>0</v>
      </c>
      <c r="M515" s="5">
        <f t="shared" si="79"/>
        <v>0</v>
      </c>
      <c r="N515" s="5">
        <f t="shared" si="79"/>
        <v>0</v>
      </c>
      <c r="O515" s="5">
        <f t="shared" si="79"/>
        <v>0</v>
      </c>
      <c r="P515" s="5">
        <f t="shared" si="79"/>
        <v>0</v>
      </c>
      <c r="Q515" s="5">
        <f t="shared" si="79"/>
        <v>0</v>
      </c>
      <c r="R515" s="5">
        <f t="shared" si="79"/>
        <v>0</v>
      </c>
      <c r="S515" s="5">
        <f t="shared" si="79"/>
        <v>0</v>
      </c>
      <c r="T515" s="5">
        <f t="shared" si="79"/>
        <v>0</v>
      </c>
      <c r="U515" s="5">
        <f t="shared" si="79"/>
        <v>0</v>
      </c>
      <c r="V515" s="5">
        <f t="shared" si="79"/>
        <v>0</v>
      </c>
      <c r="W515" s="5">
        <f t="shared" si="79"/>
        <v>0</v>
      </c>
      <c r="X515" s="5">
        <f t="shared" si="79"/>
        <v>0</v>
      </c>
      <c r="Y515" s="5">
        <f t="shared" si="78"/>
        <v>0</v>
      </c>
      <c r="Z515" s="5">
        <f t="shared" si="78"/>
        <v>0</v>
      </c>
      <c r="AA515" s="5">
        <f t="shared" si="78"/>
        <v>0</v>
      </c>
      <c r="AB515" s="5">
        <f t="shared" si="78"/>
        <v>0</v>
      </c>
      <c r="AC515" s="5">
        <f t="shared" si="78"/>
        <v>0</v>
      </c>
      <c r="AD515" s="5">
        <f t="shared" si="78"/>
        <v>0</v>
      </c>
      <c r="AE515" s="5">
        <f t="shared" si="78"/>
        <v>0</v>
      </c>
      <c r="AF515" s="5">
        <f t="shared" si="77"/>
        <v>0</v>
      </c>
      <c r="AG515" s="5">
        <f t="shared" si="77"/>
        <v>0</v>
      </c>
      <c r="AH515" s="5">
        <f t="shared" si="77"/>
        <v>0</v>
      </c>
      <c r="AI515" s="5">
        <f t="shared" si="77"/>
        <v>0</v>
      </c>
      <c r="AJ515" s="5">
        <f t="shared" si="77"/>
        <v>0</v>
      </c>
      <c r="AK515" s="5">
        <f t="shared" si="77"/>
        <v>0</v>
      </c>
      <c r="AL515" s="5">
        <f t="shared" si="77"/>
        <v>0</v>
      </c>
      <c r="AM515" s="173"/>
      <c r="AN515" s="341"/>
    </row>
    <row r="516" spans="1:40">
      <c r="A516" s="5"/>
      <c r="B516" s="50" t="s">
        <v>3400</v>
      </c>
      <c r="C516" s="296"/>
      <c r="D516" s="296"/>
      <c r="E516" s="296"/>
      <c r="F516" s="296"/>
      <c r="G516" s="296"/>
      <c r="H516" s="296"/>
      <c r="I516" s="296"/>
      <c r="J516" s="296"/>
      <c r="K516" s="5">
        <f t="shared" si="79"/>
        <v>18.059999999999999</v>
      </c>
      <c r="L516" s="5">
        <f t="shared" si="79"/>
        <v>9.0599999999999987</v>
      </c>
      <c r="M516" s="5">
        <f t="shared" si="79"/>
        <v>6.5699999999999985</v>
      </c>
      <c r="N516" s="5">
        <f t="shared" si="79"/>
        <v>6.0399999999999991</v>
      </c>
      <c r="O516" s="5">
        <f t="shared" si="79"/>
        <v>7</v>
      </c>
      <c r="P516" s="5">
        <f t="shared" si="79"/>
        <v>10.030000000000001</v>
      </c>
      <c r="Q516" s="5">
        <f t="shared" si="79"/>
        <v>10.230000000000002</v>
      </c>
      <c r="R516" s="5">
        <f t="shared" si="79"/>
        <v>9.2799999999999976</v>
      </c>
      <c r="S516" s="5">
        <f t="shared" si="79"/>
        <v>4.7600000000000007</v>
      </c>
      <c r="T516" s="5">
        <f t="shared" si="79"/>
        <v>0.49</v>
      </c>
      <c r="U516" s="5">
        <f t="shared" si="79"/>
        <v>0.18</v>
      </c>
      <c r="V516" s="5">
        <f t="shared" si="79"/>
        <v>0.2</v>
      </c>
      <c r="W516" s="5">
        <f t="shared" si="79"/>
        <v>0</v>
      </c>
      <c r="X516" s="5">
        <f t="shared" si="79"/>
        <v>0</v>
      </c>
      <c r="Y516" s="5">
        <f t="shared" si="78"/>
        <v>1.24</v>
      </c>
      <c r="Z516" s="5">
        <f t="shared" si="78"/>
        <v>10.02</v>
      </c>
      <c r="AA516" s="5">
        <f t="shared" si="78"/>
        <v>12.94</v>
      </c>
      <c r="AB516" s="5">
        <f t="shared" si="78"/>
        <v>15.3</v>
      </c>
      <c r="AC516" s="5">
        <f t="shared" si="78"/>
        <v>18.77</v>
      </c>
      <c r="AD516" s="5">
        <f t="shared" si="78"/>
        <v>19.399999999999999</v>
      </c>
      <c r="AE516" s="5">
        <f t="shared" si="78"/>
        <v>29.79</v>
      </c>
      <c r="AF516" s="5">
        <f t="shared" si="77"/>
        <v>35.36</v>
      </c>
      <c r="AG516" s="5">
        <f t="shared" si="77"/>
        <v>36.869999999999997</v>
      </c>
      <c r="AH516" s="5">
        <f t="shared" si="77"/>
        <v>33.35</v>
      </c>
      <c r="AI516" s="5">
        <f t="shared" si="77"/>
        <v>21.97</v>
      </c>
      <c r="AJ516" s="5">
        <f t="shared" si="77"/>
        <v>21.96</v>
      </c>
      <c r="AK516" s="5">
        <f t="shared" si="77"/>
        <v>20.75</v>
      </c>
      <c r="AL516" s="5">
        <f t="shared" si="77"/>
        <v>19.27</v>
      </c>
      <c r="AM516" s="173"/>
      <c r="AN516" s="341"/>
    </row>
    <row r="517" spans="1:40">
      <c r="A517" s="5"/>
      <c r="B517" s="63" t="s">
        <v>3403</v>
      </c>
      <c r="C517" s="296"/>
      <c r="D517" s="296"/>
      <c r="E517" s="296"/>
      <c r="F517" s="296"/>
      <c r="G517" s="296"/>
      <c r="H517" s="296"/>
      <c r="I517" s="296"/>
      <c r="J517" s="296"/>
      <c r="K517" s="5">
        <f t="shared" si="79"/>
        <v>0</v>
      </c>
      <c r="L517" s="5">
        <f t="shared" si="79"/>
        <v>0</v>
      </c>
      <c r="M517" s="5">
        <f t="shared" si="79"/>
        <v>0</v>
      </c>
      <c r="N517" s="5">
        <f t="shared" si="79"/>
        <v>0</v>
      </c>
      <c r="O517" s="5">
        <f t="shared" si="79"/>
        <v>0</v>
      </c>
      <c r="P517" s="5">
        <f t="shared" si="79"/>
        <v>0</v>
      </c>
      <c r="Q517" s="5">
        <f t="shared" si="79"/>
        <v>0</v>
      </c>
      <c r="R517" s="5">
        <f t="shared" si="79"/>
        <v>0</v>
      </c>
      <c r="S517" s="5">
        <f t="shared" si="79"/>
        <v>0</v>
      </c>
      <c r="T517" s="5">
        <f t="shared" si="79"/>
        <v>0</v>
      </c>
      <c r="U517" s="5">
        <f t="shared" si="79"/>
        <v>0</v>
      </c>
      <c r="V517" s="5">
        <f t="shared" si="79"/>
        <v>0</v>
      </c>
      <c r="W517" s="5">
        <f t="shared" si="79"/>
        <v>0</v>
      </c>
      <c r="X517" s="5">
        <f t="shared" si="79"/>
        <v>0</v>
      </c>
      <c r="Y517" s="5">
        <f t="shared" si="78"/>
        <v>0</v>
      </c>
      <c r="Z517" s="5">
        <f t="shared" si="78"/>
        <v>0</v>
      </c>
      <c r="AA517" s="5">
        <f t="shared" si="78"/>
        <v>0</v>
      </c>
      <c r="AB517" s="5">
        <f t="shared" si="78"/>
        <v>0</v>
      </c>
      <c r="AC517" s="5">
        <f t="shared" si="78"/>
        <v>0</v>
      </c>
      <c r="AD517" s="5">
        <f t="shared" si="78"/>
        <v>0</v>
      </c>
      <c r="AE517" s="5">
        <f t="shared" si="78"/>
        <v>0</v>
      </c>
      <c r="AF517" s="5">
        <f t="shared" si="77"/>
        <v>0</v>
      </c>
      <c r="AG517" s="5">
        <f t="shared" si="77"/>
        <v>0</v>
      </c>
      <c r="AH517" s="5">
        <f t="shared" si="77"/>
        <v>0</v>
      </c>
      <c r="AI517" s="5">
        <f t="shared" si="77"/>
        <v>0</v>
      </c>
      <c r="AJ517" s="5">
        <f t="shared" si="77"/>
        <v>0</v>
      </c>
      <c r="AK517" s="5">
        <f t="shared" si="77"/>
        <v>0</v>
      </c>
      <c r="AL517" s="5">
        <f t="shared" si="77"/>
        <v>0</v>
      </c>
      <c r="AM517" s="173"/>
      <c r="AN517" s="341"/>
    </row>
    <row r="518" spans="1:40">
      <c r="A518" s="5"/>
      <c r="B518" s="50" t="s">
        <v>3278</v>
      </c>
      <c r="C518" s="296"/>
      <c r="D518" s="296"/>
      <c r="E518" s="296"/>
      <c r="F518" s="296"/>
      <c r="G518" s="296"/>
      <c r="H518" s="296"/>
      <c r="I518" s="296"/>
      <c r="J518" s="296"/>
      <c r="K518" s="5">
        <f t="shared" si="79"/>
        <v>0</v>
      </c>
      <c r="L518" s="5">
        <f t="shared" si="79"/>
        <v>0</v>
      </c>
      <c r="M518" s="5">
        <f t="shared" si="79"/>
        <v>0</v>
      </c>
      <c r="N518" s="5">
        <f t="shared" si="79"/>
        <v>0</v>
      </c>
      <c r="O518" s="5">
        <f t="shared" si="79"/>
        <v>0</v>
      </c>
      <c r="P518" s="5">
        <f t="shared" si="79"/>
        <v>0</v>
      </c>
      <c r="Q518" s="5">
        <f t="shared" si="79"/>
        <v>0</v>
      </c>
      <c r="R518" s="5">
        <f t="shared" si="79"/>
        <v>0</v>
      </c>
      <c r="S518" s="5">
        <f t="shared" si="79"/>
        <v>0</v>
      </c>
      <c r="T518" s="5">
        <f t="shared" si="79"/>
        <v>0</v>
      </c>
      <c r="U518" s="5">
        <f t="shared" si="79"/>
        <v>0</v>
      </c>
      <c r="V518" s="5">
        <f t="shared" si="79"/>
        <v>0</v>
      </c>
      <c r="W518" s="5">
        <f t="shared" si="79"/>
        <v>0</v>
      </c>
      <c r="X518" s="5">
        <f t="shared" si="79"/>
        <v>0</v>
      </c>
      <c r="Y518" s="5">
        <f t="shared" si="78"/>
        <v>0</v>
      </c>
      <c r="Z518" s="5">
        <f t="shared" si="78"/>
        <v>0</v>
      </c>
      <c r="AA518" s="5">
        <f t="shared" si="78"/>
        <v>0</v>
      </c>
      <c r="AB518" s="5">
        <f t="shared" si="78"/>
        <v>0</v>
      </c>
      <c r="AC518" s="5">
        <f t="shared" si="78"/>
        <v>0</v>
      </c>
      <c r="AD518" s="5">
        <f t="shared" si="78"/>
        <v>0</v>
      </c>
      <c r="AE518" s="5">
        <f t="shared" si="78"/>
        <v>0</v>
      </c>
      <c r="AF518" s="5">
        <f t="shared" si="77"/>
        <v>0</v>
      </c>
      <c r="AG518" s="5">
        <f t="shared" si="77"/>
        <v>0</v>
      </c>
      <c r="AH518" s="5">
        <f t="shared" si="77"/>
        <v>0</v>
      </c>
      <c r="AI518" s="5">
        <f t="shared" si="77"/>
        <v>0</v>
      </c>
      <c r="AJ518" s="5">
        <f t="shared" si="77"/>
        <v>0</v>
      </c>
      <c r="AK518" s="5">
        <f t="shared" si="77"/>
        <v>0</v>
      </c>
      <c r="AL518" s="5">
        <f t="shared" si="77"/>
        <v>0</v>
      </c>
      <c r="AM518" s="173"/>
      <c r="AN518" s="341"/>
    </row>
    <row r="519" spans="1:40">
      <c r="A519" s="5"/>
      <c r="B519" s="47" t="s">
        <v>1703</v>
      </c>
      <c r="C519" s="296"/>
      <c r="D519" s="296"/>
      <c r="E519" s="296"/>
      <c r="F519" s="296"/>
      <c r="G519" s="296"/>
      <c r="H519" s="296"/>
      <c r="I519" s="296"/>
      <c r="J519" s="296"/>
      <c r="K519" s="5">
        <f t="shared" ref="K519:K525" si="80">SUMIF($C$482:$C$494,$B519,K$482:K$494)</f>
        <v>3.89</v>
      </c>
      <c r="L519" s="5">
        <f t="shared" ref="L519:U525" si="81">SUMIF($C$482:$C$494,$B519,L$482:L$494)</f>
        <v>0</v>
      </c>
      <c r="M519" s="5">
        <f t="shared" si="81"/>
        <v>0</v>
      </c>
      <c r="N519" s="5">
        <f t="shared" si="81"/>
        <v>0</v>
      </c>
      <c r="O519" s="5">
        <f t="shared" si="81"/>
        <v>0</v>
      </c>
      <c r="P519" s="5">
        <f t="shared" si="81"/>
        <v>0</v>
      </c>
      <c r="Q519" s="5">
        <f t="shared" si="81"/>
        <v>0</v>
      </c>
      <c r="R519" s="5">
        <f t="shared" si="81"/>
        <v>0</v>
      </c>
      <c r="S519" s="5">
        <f t="shared" si="81"/>
        <v>0</v>
      </c>
      <c r="T519" s="5">
        <f t="shared" si="81"/>
        <v>0</v>
      </c>
      <c r="U519" s="5">
        <f t="shared" si="81"/>
        <v>597.15981499999998</v>
      </c>
      <c r="V519" s="5">
        <f t="shared" ref="V519:AE525" si="82">SUMIF($C$482:$C$494,$B519,V$482:V$494)</f>
        <v>756.42954250000014</v>
      </c>
      <c r="W519" s="5">
        <f t="shared" si="82"/>
        <v>760.20949500000017</v>
      </c>
      <c r="X519" s="5">
        <f t="shared" si="82"/>
        <v>751.82257500000003</v>
      </c>
      <c r="Y519" s="5">
        <f t="shared" si="82"/>
        <v>763.39300500000024</v>
      </c>
      <c r="Z519" s="5">
        <f t="shared" si="82"/>
        <v>764.74934250000024</v>
      </c>
      <c r="AA519" s="5">
        <f t="shared" si="82"/>
        <v>808.602665</v>
      </c>
      <c r="AB519" s="5">
        <f t="shared" si="82"/>
        <v>839.80802250000022</v>
      </c>
      <c r="AC519" s="5">
        <f t="shared" si="82"/>
        <v>857.50763000000006</v>
      </c>
      <c r="AD519" s="5">
        <f t="shared" si="82"/>
        <v>852.91013250000015</v>
      </c>
      <c r="AE519" s="5">
        <f t="shared" si="82"/>
        <v>835.82344250000006</v>
      </c>
      <c r="AF519" s="5">
        <f t="shared" ref="AF519:AL525" si="83">SUMIF($C$482:$C$494,$B519,AF$482:AF$494)</f>
        <v>812.91921749999995</v>
      </c>
      <c r="AG519" s="5">
        <f t="shared" si="83"/>
        <v>792.09095749999994</v>
      </c>
      <c r="AH519" s="5">
        <f t="shared" si="83"/>
        <v>764.8919249999999</v>
      </c>
      <c r="AI519" s="5">
        <f t="shared" si="83"/>
        <v>735.0596250000001</v>
      </c>
      <c r="AJ519" s="5">
        <f t="shared" si="83"/>
        <v>703.55042500000002</v>
      </c>
      <c r="AK519" s="5">
        <f t="shared" si="83"/>
        <v>672.22399500000006</v>
      </c>
      <c r="AL519" s="5">
        <f t="shared" si="83"/>
        <v>641.49712499999987</v>
      </c>
      <c r="AM519" s="173"/>
      <c r="AN519" s="341"/>
    </row>
    <row r="520" spans="1:40">
      <c r="A520" s="5"/>
      <c r="B520" s="50" t="s">
        <v>1961</v>
      </c>
      <c r="C520" s="296"/>
      <c r="D520" s="296"/>
      <c r="E520" s="296"/>
      <c r="F520" s="296"/>
      <c r="G520" s="296"/>
      <c r="H520" s="296"/>
      <c r="I520" s="296"/>
      <c r="J520" s="296"/>
      <c r="K520" s="5">
        <f t="shared" si="80"/>
        <v>0</v>
      </c>
      <c r="L520" s="5">
        <f t="shared" si="81"/>
        <v>0</v>
      </c>
      <c r="M520" s="5">
        <f t="shared" si="81"/>
        <v>0</v>
      </c>
      <c r="N520" s="5">
        <f t="shared" si="81"/>
        <v>0</v>
      </c>
      <c r="O520" s="5">
        <f t="shared" si="81"/>
        <v>0</v>
      </c>
      <c r="P520" s="5">
        <f t="shared" si="81"/>
        <v>0</v>
      </c>
      <c r="Q520" s="5">
        <f t="shared" si="81"/>
        <v>0</v>
      </c>
      <c r="R520" s="5">
        <f t="shared" si="81"/>
        <v>0</v>
      </c>
      <c r="S520" s="5">
        <f t="shared" si="81"/>
        <v>0</v>
      </c>
      <c r="T520" s="5">
        <f t="shared" si="81"/>
        <v>0</v>
      </c>
      <c r="U520" s="5">
        <f t="shared" si="81"/>
        <v>0</v>
      </c>
      <c r="V520" s="5">
        <f t="shared" si="82"/>
        <v>0</v>
      </c>
      <c r="W520" s="5">
        <f t="shared" si="82"/>
        <v>0</v>
      </c>
      <c r="X520" s="5">
        <f t="shared" si="82"/>
        <v>0</v>
      </c>
      <c r="Y520" s="5">
        <f t="shared" si="82"/>
        <v>0</v>
      </c>
      <c r="Z520" s="5">
        <f t="shared" si="82"/>
        <v>0</v>
      </c>
      <c r="AA520" s="5">
        <f t="shared" si="82"/>
        <v>0</v>
      </c>
      <c r="AB520" s="5">
        <f t="shared" si="82"/>
        <v>0</v>
      </c>
      <c r="AC520" s="5">
        <f t="shared" si="82"/>
        <v>0</v>
      </c>
      <c r="AD520" s="5">
        <f t="shared" si="82"/>
        <v>0</v>
      </c>
      <c r="AE520" s="5">
        <f t="shared" si="82"/>
        <v>0</v>
      </c>
      <c r="AF520" s="5">
        <f t="shared" si="83"/>
        <v>0</v>
      </c>
      <c r="AG520" s="5">
        <f t="shared" si="83"/>
        <v>0</v>
      </c>
      <c r="AH520" s="5">
        <f t="shared" si="83"/>
        <v>0</v>
      </c>
      <c r="AI520" s="5">
        <f t="shared" si="83"/>
        <v>0</v>
      </c>
      <c r="AJ520" s="5">
        <f t="shared" si="83"/>
        <v>0</v>
      </c>
      <c r="AK520" s="5">
        <f t="shared" si="83"/>
        <v>0</v>
      </c>
      <c r="AL520" s="5">
        <f t="shared" si="83"/>
        <v>0</v>
      </c>
      <c r="AM520" s="173"/>
      <c r="AN520" s="341"/>
    </row>
    <row r="521" spans="1:40">
      <c r="A521" s="5"/>
      <c r="B521" s="50" t="s">
        <v>1280</v>
      </c>
      <c r="C521" s="296"/>
      <c r="D521" s="296"/>
      <c r="E521" s="296"/>
      <c r="F521" s="296"/>
      <c r="G521" s="296"/>
      <c r="H521" s="296"/>
      <c r="I521" s="296"/>
      <c r="J521" s="296"/>
      <c r="K521" s="5">
        <f t="shared" si="80"/>
        <v>0</v>
      </c>
      <c r="L521" s="5">
        <f t="shared" si="81"/>
        <v>0</v>
      </c>
      <c r="M521" s="5">
        <f t="shared" si="81"/>
        <v>0</v>
      </c>
      <c r="N521" s="5">
        <f t="shared" si="81"/>
        <v>0</v>
      </c>
      <c r="O521" s="5">
        <f t="shared" si="81"/>
        <v>0</v>
      </c>
      <c r="P521" s="5">
        <f t="shared" si="81"/>
        <v>0</v>
      </c>
      <c r="Q521" s="5">
        <f t="shared" si="81"/>
        <v>0</v>
      </c>
      <c r="R521" s="5">
        <f t="shared" si="81"/>
        <v>0</v>
      </c>
      <c r="S521" s="5">
        <f t="shared" si="81"/>
        <v>0</v>
      </c>
      <c r="T521" s="5">
        <f t="shared" si="81"/>
        <v>0</v>
      </c>
      <c r="U521" s="5">
        <f t="shared" si="81"/>
        <v>0</v>
      </c>
      <c r="V521" s="5">
        <f t="shared" si="82"/>
        <v>0</v>
      </c>
      <c r="W521" s="5">
        <f t="shared" si="82"/>
        <v>0</v>
      </c>
      <c r="X521" s="5">
        <f t="shared" si="82"/>
        <v>0</v>
      </c>
      <c r="Y521" s="5">
        <f t="shared" si="82"/>
        <v>0</v>
      </c>
      <c r="Z521" s="5">
        <f t="shared" si="82"/>
        <v>0</v>
      </c>
      <c r="AA521" s="5">
        <f t="shared" si="82"/>
        <v>0</v>
      </c>
      <c r="AB521" s="5">
        <f t="shared" si="82"/>
        <v>0</v>
      </c>
      <c r="AC521" s="5">
        <f t="shared" si="82"/>
        <v>0</v>
      </c>
      <c r="AD521" s="5">
        <f t="shared" si="82"/>
        <v>0</v>
      </c>
      <c r="AE521" s="5">
        <f t="shared" si="82"/>
        <v>0</v>
      </c>
      <c r="AF521" s="5">
        <f t="shared" si="83"/>
        <v>0</v>
      </c>
      <c r="AG521" s="5">
        <f t="shared" si="83"/>
        <v>0</v>
      </c>
      <c r="AH521" s="5">
        <f t="shared" si="83"/>
        <v>0</v>
      </c>
      <c r="AI521" s="5">
        <f t="shared" si="83"/>
        <v>0</v>
      </c>
      <c r="AJ521" s="5">
        <f t="shared" si="83"/>
        <v>0</v>
      </c>
      <c r="AK521" s="5">
        <f t="shared" si="83"/>
        <v>0</v>
      </c>
      <c r="AL521" s="5">
        <f t="shared" si="83"/>
        <v>0</v>
      </c>
      <c r="AM521" s="173"/>
      <c r="AN521" s="341"/>
    </row>
    <row r="522" spans="1:40">
      <c r="A522" s="5"/>
      <c r="B522" s="50" t="s">
        <v>1281</v>
      </c>
      <c r="C522" s="296"/>
      <c r="D522" s="296"/>
      <c r="E522" s="296"/>
      <c r="F522" s="296"/>
      <c r="G522" s="296"/>
      <c r="H522" s="296"/>
      <c r="I522" s="296"/>
      <c r="J522" s="296"/>
      <c r="K522" s="5">
        <f t="shared" si="80"/>
        <v>0</v>
      </c>
      <c r="L522" s="5">
        <f t="shared" si="81"/>
        <v>0</v>
      </c>
      <c r="M522" s="5">
        <f t="shared" si="81"/>
        <v>0</v>
      </c>
      <c r="N522" s="5">
        <f t="shared" si="81"/>
        <v>0</v>
      </c>
      <c r="O522" s="5">
        <f t="shared" si="81"/>
        <v>0</v>
      </c>
      <c r="P522" s="5">
        <f t="shared" si="81"/>
        <v>0</v>
      </c>
      <c r="Q522" s="5">
        <f t="shared" si="81"/>
        <v>0</v>
      </c>
      <c r="R522" s="5">
        <f t="shared" si="81"/>
        <v>0</v>
      </c>
      <c r="S522" s="5">
        <f t="shared" si="81"/>
        <v>0</v>
      </c>
      <c r="T522" s="5">
        <f t="shared" si="81"/>
        <v>0</v>
      </c>
      <c r="U522" s="5">
        <f t="shared" si="81"/>
        <v>0</v>
      </c>
      <c r="V522" s="5">
        <f t="shared" si="82"/>
        <v>0</v>
      </c>
      <c r="W522" s="5">
        <f t="shared" si="82"/>
        <v>0</v>
      </c>
      <c r="X522" s="5">
        <f t="shared" si="82"/>
        <v>0</v>
      </c>
      <c r="Y522" s="5">
        <f t="shared" si="82"/>
        <v>0</v>
      </c>
      <c r="Z522" s="5">
        <f t="shared" si="82"/>
        <v>0</v>
      </c>
      <c r="AA522" s="5">
        <f t="shared" si="82"/>
        <v>0</v>
      </c>
      <c r="AB522" s="5">
        <f t="shared" si="82"/>
        <v>0</v>
      </c>
      <c r="AC522" s="5">
        <f t="shared" si="82"/>
        <v>0</v>
      </c>
      <c r="AD522" s="5">
        <f t="shared" si="82"/>
        <v>0</v>
      </c>
      <c r="AE522" s="5">
        <f t="shared" si="82"/>
        <v>0</v>
      </c>
      <c r="AF522" s="5">
        <f t="shared" si="83"/>
        <v>0</v>
      </c>
      <c r="AG522" s="5">
        <f t="shared" si="83"/>
        <v>0</v>
      </c>
      <c r="AH522" s="5">
        <f t="shared" si="83"/>
        <v>0</v>
      </c>
      <c r="AI522" s="5">
        <f t="shared" si="83"/>
        <v>0</v>
      </c>
      <c r="AJ522" s="5">
        <f t="shared" si="83"/>
        <v>0</v>
      </c>
      <c r="AK522" s="5">
        <f t="shared" si="83"/>
        <v>0</v>
      </c>
      <c r="AL522" s="5">
        <f t="shared" si="83"/>
        <v>0</v>
      </c>
      <c r="AM522" s="173"/>
      <c r="AN522" s="341"/>
    </row>
    <row r="523" spans="1:40">
      <c r="A523" s="5"/>
      <c r="B523" s="50" t="s">
        <v>728</v>
      </c>
      <c r="C523" s="296"/>
      <c r="D523" s="296"/>
      <c r="E523" s="296"/>
      <c r="F523" s="296"/>
      <c r="G523" s="296"/>
      <c r="H523" s="296"/>
      <c r="I523" s="296"/>
      <c r="J523" s="296"/>
      <c r="K523" s="5">
        <f t="shared" si="80"/>
        <v>0</v>
      </c>
      <c r="L523" s="5">
        <f t="shared" si="81"/>
        <v>0</v>
      </c>
      <c r="M523" s="5">
        <f t="shared" si="81"/>
        <v>0</v>
      </c>
      <c r="N523" s="5">
        <f t="shared" si="81"/>
        <v>0</v>
      </c>
      <c r="O523" s="5">
        <f t="shared" si="81"/>
        <v>0</v>
      </c>
      <c r="P523" s="5">
        <f t="shared" si="81"/>
        <v>0</v>
      </c>
      <c r="Q523" s="5">
        <f t="shared" si="81"/>
        <v>0</v>
      </c>
      <c r="R523" s="5">
        <f t="shared" si="81"/>
        <v>0</v>
      </c>
      <c r="S523" s="5">
        <f t="shared" si="81"/>
        <v>0</v>
      </c>
      <c r="T523" s="5">
        <f t="shared" si="81"/>
        <v>0</v>
      </c>
      <c r="U523" s="5">
        <f t="shared" si="81"/>
        <v>0</v>
      </c>
      <c r="V523" s="5">
        <f t="shared" si="82"/>
        <v>0</v>
      </c>
      <c r="W523" s="5">
        <f t="shared" si="82"/>
        <v>0</v>
      </c>
      <c r="X523" s="5">
        <f t="shared" si="82"/>
        <v>0</v>
      </c>
      <c r="Y523" s="5">
        <f t="shared" si="82"/>
        <v>0</v>
      </c>
      <c r="Z523" s="5">
        <f t="shared" si="82"/>
        <v>0</v>
      </c>
      <c r="AA523" s="5">
        <f t="shared" si="82"/>
        <v>0</v>
      </c>
      <c r="AB523" s="5">
        <f t="shared" si="82"/>
        <v>0</v>
      </c>
      <c r="AC523" s="5">
        <f t="shared" si="82"/>
        <v>0</v>
      </c>
      <c r="AD523" s="5">
        <f t="shared" si="82"/>
        <v>0</v>
      </c>
      <c r="AE523" s="5">
        <f t="shared" si="82"/>
        <v>0</v>
      </c>
      <c r="AF523" s="5">
        <f t="shared" si="83"/>
        <v>0</v>
      </c>
      <c r="AG523" s="5">
        <f t="shared" si="83"/>
        <v>0</v>
      </c>
      <c r="AH523" s="5">
        <f t="shared" si="83"/>
        <v>0</v>
      </c>
      <c r="AI523" s="5">
        <f t="shared" si="83"/>
        <v>0</v>
      </c>
      <c r="AJ523" s="5">
        <f t="shared" si="83"/>
        <v>0</v>
      </c>
      <c r="AK523" s="5">
        <f t="shared" si="83"/>
        <v>0</v>
      </c>
      <c r="AL523" s="5">
        <f t="shared" si="83"/>
        <v>0</v>
      </c>
      <c r="AM523" s="173"/>
      <c r="AN523" s="341"/>
    </row>
    <row r="524" spans="1:40">
      <c r="A524" s="5"/>
      <c r="B524" s="50" t="s">
        <v>1036</v>
      </c>
      <c r="C524" s="296"/>
      <c r="D524" s="296"/>
      <c r="E524" s="296"/>
      <c r="F524" s="296"/>
      <c r="G524" s="296"/>
      <c r="H524" s="296"/>
      <c r="I524" s="296"/>
      <c r="J524" s="296"/>
      <c r="K524" s="5">
        <f t="shared" si="80"/>
        <v>24.87</v>
      </c>
      <c r="L524" s="5">
        <f t="shared" si="81"/>
        <v>24.7</v>
      </c>
      <c r="M524" s="5">
        <f t="shared" si="81"/>
        <v>23.24</v>
      </c>
      <c r="N524" s="5">
        <f t="shared" si="81"/>
        <v>21.81</v>
      </c>
      <c r="O524" s="5">
        <f t="shared" si="81"/>
        <v>8.34</v>
      </c>
      <c r="P524" s="5">
        <f t="shared" si="81"/>
        <v>19.770000000000003</v>
      </c>
      <c r="Q524" s="5">
        <f t="shared" si="81"/>
        <v>9.4700000000000006</v>
      </c>
      <c r="R524" s="5">
        <f t="shared" si="81"/>
        <v>11.870000000000001</v>
      </c>
      <c r="S524" s="5">
        <f t="shared" si="81"/>
        <v>6.88</v>
      </c>
      <c r="T524" s="5">
        <f t="shared" si="81"/>
        <v>0</v>
      </c>
      <c r="U524" s="5">
        <f t="shared" si="81"/>
        <v>0</v>
      </c>
      <c r="V524" s="5">
        <f t="shared" si="82"/>
        <v>0</v>
      </c>
      <c r="W524" s="5">
        <f t="shared" si="82"/>
        <v>0</v>
      </c>
      <c r="X524" s="5">
        <f t="shared" si="82"/>
        <v>0</v>
      </c>
      <c r="Y524" s="5">
        <f t="shared" si="82"/>
        <v>0</v>
      </c>
      <c r="Z524" s="5">
        <f t="shared" si="82"/>
        <v>0</v>
      </c>
      <c r="AA524" s="5">
        <f t="shared" si="82"/>
        <v>0</v>
      </c>
      <c r="AB524" s="5">
        <f t="shared" si="82"/>
        <v>0</v>
      </c>
      <c r="AC524" s="5">
        <f t="shared" si="82"/>
        <v>0</v>
      </c>
      <c r="AD524" s="5">
        <f t="shared" si="82"/>
        <v>0</v>
      </c>
      <c r="AE524" s="5">
        <f t="shared" si="82"/>
        <v>0</v>
      </c>
      <c r="AF524" s="5">
        <f t="shared" si="83"/>
        <v>0</v>
      </c>
      <c r="AG524" s="5">
        <f t="shared" si="83"/>
        <v>0</v>
      </c>
      <c r="AH524" s="5">
        <f t="shared" si="83"/>
        <v>0</v>
      </c>
      <c r="AI524" s="5">
        <f t="shared" si="83"/>
        <v>0</v>
      </c>
      <c r="AJ524" s="5">
        <f t="shared" si="83"/>
        <v>0</v>
      </c>
      <c r="AK524" s="5">
        <f t="shared" si="83"/>
        <v>0</v>
      </c>
      <c r="AL524" s="5">
        <f t="shared" si="83"/>
        <v>0</v>
      </c>
      <c r="AM524" s="173"/>
      <c r="AN524" s="341"/>
    </row>
    <row r="525" spans="1:40">
      <c r="A525" s="5"/>
      <c r="B525" s="50" t="s">
        <v>3399</v>
      </c>
      <c r="C525" s="296"/>
      <c r="D525" s="296"/>
      <c r="E525" s="296"/>
      <c r="F525" s="296"/>
      <c r="G525" s="296"/>
      <c r="H525" s="296"/>
      <c r="I525" s="296"/>
      <c r="J525" s="296"/>
      <c r="K525" s="5">
        <f t="shared" si="80"/>
        <v>0</v>
      </c>
      <c r="L525" s="5">
        <f t="shared" si="81"/>
        <v>0</v>
      </c>
      <c r="M525" s="5">
        <f t="shared" si="81"/>
        <v>0</v>
      </c>
      <c r="N525" s="5">
        <f t="shared" si="81"/>
        <v>0</v>
      </c>
      <c r="O525" s="5">
        <f t="shared" si="81"/>
        <v>0</v>
      </c>
      <c r="P525" s="5">
        <f t="shared" si="81"/>
        <v>0</v>
      </c>
      <c r="Q525" s="5">
        <f t="shared" si="81"/>
        <v>0</v>
      </c>
      <c r="R525" s="5">
        <f t="shared" si="81"/>
        <v>0</v>
      </c>
      <c r="S525" s="5">
        <f t="shared" si="81"/>
        <v>0</v>
      </c>
      <c r="T525" s="5">
        <f t="shared" si="81"/>
        <v>0</v>
      </c>
      <c r="U525" s="5">
        <f t="shared" si="81"/>
        <v>0</v>
      </c>
      <c r="V525" s="5">
        <f t="shared" si="82"/>
        <v>0</v>
      </c>
      <c r="W525" s="5">
        <f t="shared" si="82"/>
        <v>0</v>
      </c>
      <c r="X525" s="5">
        <f t="shared" si="82"/>
        <v>0</v>
      </c>
      <c r="Y525" s="5">
        <f t="shared" si="82"/>
        <v>0</v>
      </c>
      <c r="Z525" s="5">
        <f t="shared" si="82"/>
        <v>0</v>
      </c>
      <c r="AA525" s="5">
        <f t="shared" si="82"/>
        <v>0</v>
      </c>
      <c r="AB525" s="5">
        <f t="shared" si="82"/>
        <v>0</v>
      </c>
      <c r="AC525" s="5">
        <f t="shared" si="82"/>
        <v>0</v>
      </c>
      <c r="AD525" s="5">
        <f t="shared" si="82"/>
        <v>0</v>
      </c>
      <c r="AE525" s="5">
        <f t="shared" si="82"/>
        <v>0</v>
      </c>
      <c r="AF525" s="5">
        <f t="shared" si="83"/>
        <v>0</v>
      </c>
      <c r="AG525" s="5">
        <f t="shared" si="83"/>
        <v>0</v>
      </c>
      <c r="AH525" s="5">
        <f t="shared" si="83"/>
        <v>0</v>
      </c>
      <c r="AI525" s="5">
        <f t="shared" si="83"/>
        <v>0</v>
      </c>
      <c r="AJ525" s="5">
        <f t="shared" si="83"/>
        <v>0</v>
      </c>
      <c r="AK525" s="5">
        <f t="shared" si="83"/>
        <v>0</v>
      </c>
      <c r="AL525" s="5">
        <f t="shared" si="83"/>
        <v>0</v>
      </c>
      <c r="AM525" s="173"/>
      <c r="AN525" s="341"/>
    </row>
    <row r="526" spans="1:40">
      <c r="A526" s="8"/>
      <c r="B526" s="28" t="s">
        <v>896</v>
      </c>
      <c r="C526" s="296"/>
      <c r="D526" s="296"/>
      <c r="E526" s="296"/>
      <c r="F526" s="296"/>
      <c r="G526" s="296"/>
      <c r="H526" s="296"/>
      <c r="I526" s="296"/>
      <c r="J526" s="296"/>
      <c r="K526" s="8">
        <f t="shared" ref="K526:AL526" si="84">SUM(K498:K525)</f>
        <v>290.28199999999998</v>
      </c>
      <c r="L526" s="8">
        <f t="shared" si="84"/>
        <v>287.81800000000004</v>
      </c>
      <c r="M526" s="8">
        <f t="shared" si="84"/>
        <v>292.31200000000001</v>
      </c>
      <c r="N526" s="8">
        <f t="shared" si="84"/>
        <v>313.85400000000004</v>
      </c>
      <c r="O526" s="8">
        <f t="shared" si="84"/>
        <v>291.46999999999997</v>
      </c>
      <c r="P526" s="8">
        <f t="shared" si="84"/>
        <v>311.33600000000001</v>
      </c>
      <c r="Q526" s="8">
        <f t="shared" si="84"/>
        <v>276.63200000000001</v>
      </c>
      <c r="R526" s="8">
        <f t="shared" si="84"/>
        <v>284.43999999999994</v>
      </c>
      <c r="S526" s="8">
        <f t="shared" si="84"/>
        <v>291.87</v>
      </c>
      <c r="T526" s="8">
        <f>SUM(T498:T525)</f>
        <v>280.55200000000002</v>
      </c>
      <c r="U526" s="8">
        <f t="shared" si="84"/>
        <v>889.21581500000002</v>
      </c>
      <c r="V526" s="8">
        <f t="shared" si="84"/>
        <v>924.70954250000011</v>
      </c>
      <c r="W526" s="8">
        <f t="shared" si="84"/>
        <v>922.33549500000015</v>
      </c>
      <c r="X526" s="8">
        <f t="shared" si="84"/>
        <v>916.73057500000004</v>
      </c>
      <c r="Y526" s="8">
        <f t="shared" si="84"/>
        <v>968.81700500000022</v>
      </c>
      <c r="Z526" s="8">
        <f t="shared" si="84"/>
        <v>889.12334250000026</v>
      </c>
      <c r="AA526" s="8">
        <f t="shared" si="84"/>
        <v>914.30266500000005</v>
      </c>
      <c r="AB526" s="8">
        <f t="shared" si="84"/>
        <v>962.26702250000028</v>
      </c>
      <c r="AC526" s="8">
        <f t="shared" si="84"/>
        <v>987.75963000000002</v>
      </c>
      <c r="AD526" s="8">
        <f t="shared" si="84"/>
        <v>991.92013250000014</v>
      </c>
      <c r="AE526" s="8">
        <f t="shared" si="84"/>
        <v>997.45944250000002</v>
      </c>
      <c r="AF526" s="8">
        <f t="shared" si="84"/>
        <v>978.63621749999993</v>
      </c>
      <c r="AG526" s="8">
        <f t="shared" si="84"/>
        <v>951.56795749999992</v>
      </c>
      <c r="AH526" s="8">
        <f t="shared" si="84"/>
        <v>907.32992499999989</v>
      </c>
      <c r="AI526" s="8">
        <f t="shared" si="84"/>
        <v>853.62462500000015</v>
      </c>
      <c r="AJ526" s="8">
        <f t="shared" si="84"/>
        <v>810.623425</v>
      </c>
      <c r="AK526" s="8">
        <f t="shared" si="84"/>
        <v>768.11599500000011</v>
      </c>
      <c r="AL526" s="8">
        <f t="shared" si="84"/>
        <v>727.82512499999984</v>
      </c>
      <c r="AM526" s="8"/>
      <c r="AN526" s="179"/>
    </row>
    <row r="527" spans="1:40">
      <c r="A527" s="29"/>
      <c r="B527" s="30" t="s">
        <v>897</v>
      </c>
      <c r="C527" s="296"/>
      <c r="D527" s="296"/>
      <c r="E527" s="296"/>
      <c r="F527" s="296"/>
      <c r="G527" s="296"/>
      <c r="H527" s="296"/>
      <c r="I527" s="296"/>
      <c r="J527" s="296"/>
      <c r="K527" s="29">
        <f t="shared" ref="K527:AL527" si="85">K526-K495</f>
        <v>0</v>
      </c>
      <c r="L527" s="29">
        <f t="shared" si="85"/>
        <v>0</v>
      </c>
      <c r="M527" s="29">
        <f t="shared" si="85"/>
        <v>0</v>
      </c>
      <c r="N527" s="29">
        <f t="shared" si="85"/>
        <v>0</v>
      </c>
      <c r="O527" s="29">
        <f t="shared" si="85"/>
        <v>0</v>
      </c>
      <c r="P527" s="29">
        <f t="shared" si="85"/>
        <v>0</v>
      </c>
      <c r="Q527" s="29">
        <f t="shared" si="85"/>
        <v>0</v>
      </c>
      <c r="R527" s="29">
        <f t="shared" si="85"/>
        <v>0</v>
      </c>
      <c r="S527" s="29">
        <f t="shared" si="85"/>
        <v>0</v>
      </c>
      <c r="T527" s="29">
        <f t="shared" si="85"/>
        <v>0</v>
      </c>
      <c r="U527" s="29">
        <f t="shared" si="85"/>
        <v>0</v>
      </c>
      <c r="V527" s="29">
        <f t="shared" si="85"/>
        <v>0</v>
      </c>
      <c r="W527" s="29">
        <f t="shared" si="85"/>
        <v>0</v>
      </c>
      <c r="X527" s="29">
        <f t="shared" si="85"/>
        <v>0</v>
      </c>
      <c r="Y527" s="29">
        <f t="shared" si="85"/>
        <v>0</v>
      </c>
      <c r="Z527" s="29">
        <f t="shared" si="85"/>
        <v>0</v>
      </c>
      <c r="AA527" s="29">
        <f t="shared" si="85"/>
        <v>0</v>
      </c>
      <c r="AB527" s="29">
        <f t="shared" si="85"/>
        <v>0</v>
      </c>
      <c r="AC527" s="29">
        <f t="shared" si="85"/>
        <v>0</v>
      </c>
      <c r="AD527" s="29">
        <f t="shared" si="85"/>
        <v>0</v>
      </c>
      <c r="AE527" s="29">
        <f t="shared" si="85"/>
        <v>0</v>
      </c>
      <c r="AF527" s="29">
        <f t="shared" si="85"/>
        <v>0</v>
      </c>
      <c r="AG527" s="29">
        <f t="shared" si="85"/>
        <v>0</v>
      </c>
      <c r="AH527" s="29">
        <f t="shared" si="85"/>
        <v>0</v>
      </c>
      <c r="AI527" s="29">
        <f t="shared" si="85"/>
        <v>0</v>
      </c>
      <c r="AJ527" s="29">
        <f t="shared" si="85"/>
        <v>0</v>
      </c>
      <c r="AK527" s="29">
        <f t="shared" si="85"/>
        <v>0</v>
      </c>
      <c r="AL527" s="29">
        <f t="shared" si="85"/>
        <v>0</v>
      </c>
      <c r="AM527" s="29"/>
      <c r="AN527" s="322"/>
    </row>
    <row r="528" spans="1:40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49"/>
      <c r="V528" s="49"/>
      <c r="W528" s="49"/>
      <c r="X528" s="49"/>
      <c r="Y528" s="49"/>
      <c r="Z528" s="49"/>
      <c r="AA528" s="49"/>
      <c r="AB528" s="49"/>
      <c r="AC528" s="49"/>
      <c r="AD528" s="49"/>
      <c r="AE528" s="49"/>
      <c r="AF528" s="49"/>
      <c r="AG528" s="49"/>
      <c r="AH528" s="49"/>
      <c r="AI528" s="49"/>
      <c r="AJ528" s="49"/>
      <c r="AK528" s="49"/>
      <c r="AL528" s="49"/>
      <c r="AM528" s="173"/>
      <c r="AN528" s="341"/>
    </row>
    <row r="529" spans="1:40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173"/>
      <c r="AN529" s="341"/>
    </row>
    <row r="530" spans="1:40">
      <c r="A530" s="8"/>
      <c r="B530" s="8" t="s">
        <v>2659</v>
      </c>
      <c r="C530" s="296"/>
      <c r="D530" s="296"/>
      <c r="E530" s="296"/>
      <c r="F530" s="296"/>
      <c r="G530" s="296"/>
      <c r="H530" s="296"/>
      <c r="I530" s="296"/>
      <c r="J530" s="296"/>
      <c r="K530" s="8">
        <f t="shared" ref="K530:AL530" si="86">K475+K526</f>
        <v>1766.1519999999998</v>
      </c>
      <c r="L530" s="8">
        <f t="shared" si="86"/>
        <v>1640.3179999999998</v>
      </c>
      <c r="M530" s="8">
        <f t="shared" si="86"/>
        <v>1583.1820000000002</v>
      </c>
      <c r="N530" s="8">
        <f t="shared" si="86"/>
        <v>1561.6139999999998</v>
      </c>
      <c r="O530" s="8">
        <f t="shared" si="86"/>
        <v>1545.3700000000001</v>
      </c>
      <c r="P530" s="8">
        <f t="shared" si="86"/>
        <v>1472.0260000000001</v>
      </c>
      <c r="Q530" s="8">
        <f t="shared" si="86"/>
        <v>1590.3920000000001</v>
      </c>
      <c r="R530" s="8">
        <f t="shared" si="86"/>
        <v>1441.67</v>
      </c>
      <c r="S530" s="8">
        <f t="shared" si="86"/>
        <v>1212.01</v>
      </c>
      <c r="T530" s="8">
        <f>T475+T526</f>
        <v>1124.252</v>
      </c>
      <c r="U530" s="8">
        <f t="shared" si="86"/>
        <v>1740.945815</v>
      </c>
      <c r="V530" s="8">
        <f t="shared" si="86"/>
        <v>1870.7037825000002</v>
      </c>
      <c r="W530" s="8">
        <f t="shared" si="86"/>
        <v>2108.7562550000002</v>
      </c>
      <c r="X530" s="8">
        <f t="shared" si="86"/>
        <v>2116.9920549999997</v>
      </c>
      <c r="Y530" s="8">
        <f t="shared" si="86"/>
        <v>2103.1077650000002</v>
      </c>
      <c r="Z530" s="8">
        <f t="shared" si="86"/>
        <v>2051.6726625000006</v>
      </c>
      <c r="AA530" s="8">
        <f t="shared" si="86"/>
        <v>2068.7754650000002</v>
      </c>
      <c r="AB530" s="8">
        <f t="shared" si="86"/>
        <v>2083.1972625000003</v>
      </c>
      <c r="AC530" s="8">
        <f>AC475+AC526</f>
        <v>2070.3897099999999</v>
      </c>
      <c r="AD530" s="8">
        <f t="shared" si="86"/>
        <v>2087.6013725000003</v>
      </c>
      <c r="AE530" s="8">
        <f t="shared" si="86"/>
        <v>2050.6208825000003</v>
      </c>
      <c r="AF530" s="8">
        <f t="shared" si="86"/>
        <v>1988.9306174999997</v>
      </c>
      <c r="AG530" s="8">
        <f t="shared" si="86"/>
        <v>1910.0377174999999</v>
      </c>
      <c r="AH530" s="8">
        <f t="shared" si="86"/>
        <v>1792.7421649999999</v>
      </c>
      <c r="AI530" s="8">
        <f t="shared" si="86"/>
        <v>1680.5667050000002</v>
      </c>
      <c r="AJ530" s="8">
        <f t="shared" si="86"/>
        <v>1575.5433050000001</v>
      </c>
      <c r="AK530" s="8">
        <f t="shared" si="86"/>
        <v>1491.1119950000002</v>
      </c>
      <c r="AL530" s="8">
        <f t="shared" si="86"/>
        <v>1402.606045</v>
      </c>
      <c r="AM530" s="8"/>
      <c r="AN530" s="179"/>
    </row>
    <row r="531" spans="1:40" s="495" customFormat="1">
      <c r="A531" s="493"/>
      <c r="B531" s="493" t="s">
        <v>897</v>
      </c>
      <c r="C531" s="296"/>
      <c r="D531" s="296"/>
      <c r="E531" s="296"/>
      <c r="F531" s="296"/>
      <c r="G531" s="296"/>
      <c r="H531" s="296"/>
      <c r="I531" s="296"/>
      <c r="J531" s="296"/>
      <c r="K531" s="493">
        <f t="shared" ref="K531:AL531" si="87">K530-SUM(K10:K266,K336:K409)+K345</f>
        <v>0</v>
      </c>
      <c r="L531" s="493">
        <f t="shared" si="87"/>
        <v>0</v>
      </c>
      <c r="M531" s="493">
        <f t="shared" si="87"/>
        <v>0</v>
      </c>
      <c r="N531" s="493">
        <f t="shared" si="87"/>
        <v>0</v>
      </c>
      <c r="O531" s="493">
        <f t="shared" si="87"/>
        <v>0</v>
      </c>
      <c r="P531" s="493">
        <f t="shared" si="87"/>
        <v>0</v>
      </c>
      <c r="Q531" s="493">
        <f t="shared" si="87"/>
        <v>0</v>
      </c>
      <c r="R531" s="493">
        <f t="shared" si="87"/>
        <v>0</v>
      </c>
      <c r="S531" s="493">
        <f t="shared" si="87"/>
        <v>0</v>
      </c>
      <c r="T531" s="493">
        <f t="shared" si="87"/>
        <v>0</v>
      </c>
      <c r="U531" s="493">
        <f t="shared" si="87"/>
        <v>0</v>
      </c>
      <c r="V531" s="493">
        <f t="shared" si="87"/>
        <v>0</v>
      </c>
      <c r="W531" s="493">
        <f t="shared" si="87"/>
        <v>1.8189894035458565E-12</v>
      </c>
      <c r="X531" s="493">
        <f t="shared" si="87"/>
        <v>0</v>
      </c>
      <c r="Y531" s="493">
        <f t="shared" si="87"/>
        <v>0</v>
      </c>
      <c r="Z531" s="493">
        <f t="shared" si="87"/>
        <v>0</v>
      </c>
      <c r="AA531" s="493">
        <f t="shared" si="87"/>
        <v>-0.85999999999921783</v>
      </c>
      <c r="AB531" s="493">
        <f t="shared" si="87"/>
        <v>-1.5699999999965257</v>
      </c>
      <c r="AC531" s="493">
        <f t="shared" si="87"/>
        <v>-2.1550000000002001</v>
      </c>
      <c r="AD531" s="493">
        <f t="shared" si="87"/>
        <v>-2.6399999999985084</v>
      </c>
      <c r="AE531" s="493">
        <f t="shared" si="87"/>
        <v>-3.0449999999991633</v>
      </c>
      <c r="AF531" s="493">
        <f t="shared" si="87"/>
        <v>-3.3800000000005639</v>
      </c>
      <c r="AG531" s="493">
        <f t="shared" si="87"/>
        <v>-2.5949999999993452</v>
      </c>
      <c r="AH531" s="493">
        <f t="shared" si="87"/>
        <v>-1.345000000002301</v>
      </c>
      <c r="AI531" s="493">
        <f t="shared" si="87"/>
        <v>-1.1450000000027103</v>
      </c>
      <c r="AJ531" s="493">
        <f t="shared" si="87"/>
        <v>-0.98000000000047294</v>
      </c>
      <c r="AK531" s="493">
        <f t="shared" si="87"/>
        <v>-0.84499999999979991</v>
      </c>
      <c r="AL531" s="493">
        <f t="shared" si="87"/>
        <v>-0.73000000000001819</v>
      </c>
      <c r="AM531" s="62" t="s">
        <v>3740</v>
      </c>
      <c r="AN531" s="494"/>
    </row>
    <row r="532" spans="1:40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173"/>
      <c r="AN532" s="341"/>
    </row>
    <row r="533" spans="1:40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173"/>
      <c r="AN533" s="341"/>
    </row>
    <row r="534" spans="1:40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173"/>
      <c r="AN534" s="341"/>
    </row>
    <row r="535" spans="1:40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318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N535" s="341"/>
    </row>
    <row r="536" spans="1:40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318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173"/>
      <c r="AN536" s="341"/>
    </row>
    <row r="537" spans="1:40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318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173"/>
      <c r="AN537" s="341"/>
    </row>
    <row r="538" spans="1:40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318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173"/>
      <c r="AN538" s="341"/>
    </row>
    <row r="539" spans="1:40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318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173"/>
      <c r="AN539" s="341"/>
    </row>
    <row r="540" spans="1:40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318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173"/>
      <c r="AN540" s="341"/>
    </row>
    <row r="541" spans="1:40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318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173"/>
      <c r="AN541" s="341"/>
    </row>
    <row r="542" spans="1:40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318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173"/>
      <c r="AN542" s="341"/>
    </row>
    <row r="543" spans="1:40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318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173"/>
      <c r="AN543" s="341"/>
    </row>
    <row r="544" spans="1:40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318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173"/>
      <c r="AN544" s="341"/>
    </row>
    <row r="545" spans="1:40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318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173"/>
      <c r="AN545" s="341"/>
    </row>
    <row r="546" spans="1:40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318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173"/>
      <c r="AN546" s="341"/>
    </row>
    <row r="547" spans="1:40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318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173"/>
      <c r="AN547" s="341"/>
    </row>
  </sheetData>
  <mergeCells count="1">
    <mergeCell ref="B268:C268"/>
  </mergeCells>
  <phoneticPr fontId="1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 enableFormatConditionsCalculation="0">
    <tabColor rgb="FF0070C0"/>
  </sheetPr>
  <dimension ref="A1:BT514"/>
  <sheetViews>
    <sheetView zoomScale="85" zoomScaleNormal="85" workbookViewId="0">
      <pane xSplit="4" ySplit="9" topLeftCell="E10" activePane="bottomRight" state="frozen"/>
      <selection sqref="A1:IV65536"/>
      <selection pane="topRight" sqref="A1:IV65536"/>
      <selection pane="bottomLeft" sqref="A1:IV65536"/>
      <selection pane="bottomRight" sqref="A1:XFD1048576"/>
    </sheetView>
  </sheetViews>
  <sheetFormatPr defaultColWidth="9.7109375" defaultRowHeight="12.75" outlineLevelCol="1"/>
  <cols>
    <col min="1" max="1" width="3.7109375" customWidth="1"/>
    <col min="2" max="2" width="24.85546875" customWidth="1"/>
    <col min="3" max="3" width="21.140625" hidden="1" customWidth="1" outlineLevel="1"/>
    <col min="4" max="4" width="33.42578125" hidden="1" customWidth="1" outlineLevel="1"/>
    <col min="5" max="5" width="19" hidden="1" customWidth="1" outlineLevel="1"/>
    <col min="6" max="6" width="14.5703125" hidden="1" customWidth="1" outlineLevel="1"/>
    <col min="7" max="7" width="14.140625" hidden="1" customWidth="1" outlineLevel="1"/>
    <col min="8" max="8" width="17.85546875" hidden="1" customWidth="1" outlineLevel="1"/>
    <col min="9" max="9" width="25" hidden="1" customWidth="1" outlineLevel="1"/>
    <col min="10" max="10" width="13" hidden="1" customWidth="1" outlineLevel="1"/>
    <col min="11" max="12" width="9.7109375" customWidth="1" collapsed="1"/>
    <col min="13" max="16" width="9.7109375" customWidth="1"/>
    <col min="17" max="17" width="9.7109375" customWidth="1" collapsed="1"/>
    <col min="18" max="21" width="9.7109375" customWidth="1"/>
    <col min="22" max="22" width="9.7109375" customWidth="1" collapsed="1"/>
    <col min="23" max="26" width="9.7109375" customWidth="1"/>
    <col min="27" max="27" width="9.7109375" customWidth="1" collapsed="1"/>
    <col min="28" max="31" width="9.7109375" customWidth="1"/>
    <col min="32" max="32" width="9.7109375" customWidth="1" collapsed="1"/>
    <col min="33" max="36" width="9.7109375" customWidth="1"/>
    <col min="37" max="37" width="9.7109375" customWidth="1" collapsed="1"/>
    <col min="38" max="38" width="9.7109375" customWidth="1"/>
    <col min="39" max="39" width="30.7109375" style="391" customWidth="1"/>
    <col min="40" max="40" width="9.7109375" style="391" customWidth="1"/>
    <col min="41" max="41" width="9.7109375" customWidth="1"/>
    <col min="42" max="42" width="9.7109375" customWidth="1" collapsed="1"/>
    <col min="43" max="43" width="42.5703125" customWidth="1"/>
    <col min="44" max="46" width="9.7109375" customWidth="1"/>
    <col min="47" max="47" width="9.7109375" customWidth="1" collapsed="1"/>
    <col min="48" max="51" width="9.7109375" customWidth="1"/>
    <col min="52" max="52" width="9.7109375" customWidth="1" collapsed="1"/>
    <col min="53" max="56" width="9.7109375" customWidth="1"/>
    <col min="57" max="57" width="9.7109375" customWidth="1" collapsed="1"/>
    <col min="58" max="61" width="9.7109375" customWidth="1"/>
    <col min="62" max="62" width="9.7109375" customWidth="1" collapsed="1"/>
    <col min="63" max="66" width="9.7109375" customWidth="1"/>
    <col min="67" max="67" width="9.7109375" customWidth="1" collapsed="1"/>
    <col min="68" max="71" width="9.7109375" customWidth="1"/>
    <col min="72" max="72" width="9.7109375" customWidth="1" collapsed="1"/>
  </cols>
  <sheetData>
    <row r="1" spans="1:50" ht="12.75" customHeight="1">
      <c r="A1" s="1"/>
      <c r="B1" s="36"/>
      <c r="C1" s="36"/>
      <c r="D1" s="37"/>
      <c r="E1" s="37"/>
      <c r="F1" s="37"/>
      <c r="G1" s="36"/>
      <c r="H1" s="36"/>
      <c r="I1" s="36"/>
      <c r="J1" s="36"/>
      <c r="K1" s="1"/>
      <c r="L1" s="1"/>
      <c r="M1" s="1"/>
      <c r="N1" s="1"/>
      <c r="O1" s="1"/>
      <c r="P1" s="1"/>
      <c r="Q1" s="1"/>
      <c r="R1" s="1"/>
      <c r="S1" s="3"/>
      <c r="T1" s="3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533"/>
      <c r="AN1" s="533"/>
      <c r="AO1" s="1"/>
    </row>
    <row r="2" spans="1:50" ht="18" customHeight="1">
      <c r="A2" s="1"/>
      <c r="B2" s="20" t="s">
        <v>3369</v>
      </c>
      <c r="C2" s="36"/>
      <c r="D2" s="37"/>
      <c r="E2" s="37"/>
      <c r="F2" s="37"/>
      <c r="G2" s="36"/>
      <c r="H2" s="36"/>
      <c r="I2" s="36"/>
      <c r="J2" s="36"/>
      <c r="K2" s="1"/>
      <c r="L2" s="1"/>
      <c r="M2" s="1"/>
      <c r="N2" s="1"/>
      <c r="O2" s="1"/>
      <c r="P2" s="1"/>
      <c r="Q2" s="1"/>
      <c r="R2" s="1"/>
      <c r="S2" s="3"/>
      <c r="T2" s="3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533"/>
      <c r="AN2" s="533"/>
      <c r="AO2" s="1"/>
    </row>
    <row r="3" spans="1:50" ht="12.75" customHeight="1">
      <c r="A3" s="1"/>
      <c r="B3" s="21" t="s">
        <v>2850</v>
      </c>
      <c r="C3" s="36"/>
      <c r="D3" s="37"/>
      <c r="E3" s="37"/>
      <c r="F3" s="37"/>
      <c r="G3" s="36"/>
      <c r="H3" s="36"/>
      <c r="I3" s="36"/>
      <c r="J3" s="36"/>
      <c r="K3" s="1"/>
      <c r="L3" s="1"/>
      <c r="M3" s="1"/>
      <c r="N3" s="1"/>
      <c r="O3" s="1"/>
      <c r="P3" s="1"/>
      <c r="Q3" s="1"/>
      <c r="R3" s="1"/>
      <c r="S3" s="3"/>
      <c r="T3" s="3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533"/>
      <c r="AN3" s="533"/>
      <c r="AO3" s="1"/>
    </row>
    <row r="4" spans="1:50" ht="12.75" customHeight="1">
      <c r="A4" s="1"/>
      <c r="B4" s="36"/>
      <c r="C4" s="36"/>
      <c r="D4" s="37"/>
      <c r="E4" s="37"/>
      <c r="F4" s="37"/>
      <c r="G4" s="36"/>
      <c r="H4" s="36"/>
      <c r="I4" s="36"/>
      <c r="J4" s="36"/>
      <c r="K4" s="1"/>
      <c r="L4" s="1"/>
      <c r="M4" s="1"/>
      <c r="N4" s="1"/>
      <c r="O4" s="1"/>
      <c r="P4" s="1"/>
      <c r="Q4" s="1"/>
      <c r="R4" s="1"/>
      <c r="S4" s="3"/>
      <c r="T4" s="3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533"/>
      <c r="AN4" s="533"/>
      <c r="AO4" s="1"/>
    </row>
    <row r="5" spans="1:50" ht="12.75" customHeight="1">
      <c r="A5" s="4"/>
      <c r="B5" s="22"/>
      <c r="C5" s="22"/>
      <c r="D5" s="22"/>
      <c r="E5" s="22"/>
      <c r="F5" s="22"/>
      <c r="G5" s="22"/>
      <c r="H5" s="22"/>
      <c r="I5" s="22"/>
      <c r="J5" s="22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173"/>
      <c r="AN5" s="173"/>
      <c r="AO5" s="5"/>
    </row>
    <row r="6" spans="1:50" ht="12.75" customHeight="1">
      <c r="A6" s="23" t="s">
        <v>1376</v>
      </c>
      <c r="B6" s="22"/>
      <c r="C6" s="22"/>
      <c r="D6" s="22"/>
      <c r="E6" s="22"/>
      <c r="F6" s="22"/>
      <c r="G6" s="22"/>
      <c r="H6" s="22"/>
      <c r="I6" s="22"/>
      <c r="J6" s="22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</row>
    <row r="7" spans="1:50" ht="12.75" customHeight="1">
      <c r="A7" s="4"/>
      <c r="B7" s="22"/>
      <c r="C7" s="22"/>
      <c r="D7" s="22"/>
      <c r="E7" s="22"/>
      <c r="F7" s="22"/>
      <c r="G7" s="22"/>
      <c r="H7" s="22"/>
      <c r="I7" s="22"/>
      <c r="J7" s="22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173"/>
      <c r="AN7" s="173"/>
      <c r="AO7" s="5"/>
    </row>
    <row r="8" spans="1:50" ht="12.75" customHeight="1">
      <c r="A8" s="9"/>
      <c r="B8" s="22"/>
      <c r="C8" s="22"/>
      <c r="D8" s="22"/>
      <c r="E8" s="22"/>
      <c r="F8" s="22"/>
      <c r="G8" s="22"/>
      <c r="H8" s="22"/>
      <c r="I8" s="22"/>
      <c r="J8" s="22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173"/>
      <c r="AN8" s="173"/>
      <c r="AO8" s="5"/>
    </row>
    <row r="9" spans="1:50" ht="12.75" customHeight="1">
      <c r="A9" s="35"/>
      <c r="B9" s="34" t="s">
        <v>398</v>
      </c>
      <c r="C9" s="34" t="s">
        <v>399</v>
      </c>
      <c r="D9" s="34" t="s">
        <v>400</v>
      </c>
      <c r="E9" s="34" t="s">
        <v>368</v>
      </c>
      <c r="F9" s="34" t="s">
        <v>369</v>
      </c>
      <c r="G9" s="34" t="s">
        <v>370</v>
      </c>
      <c r="H9" s="34" t="s">
        <v>371</v>
      </c>
      <c r="I9" s="34" t="s">
        <v>372</v>
      </c>
      <c r="J9" s="32" t="s">
        <v>1472</v>
      </c>
      <c r="K9" s="32">
        <v>2003</v>
      </c>
      <c r="L9" s="32">
        <v>2004</v>
      </c>
      <c r="M9" s="32">
        <v>2005</v>
      </c>
      <c r="N9" s="32">
        <v>2006</v>
      </c>
      <c r="O9" s="32">
        <v>2007</v>
      </c>
      <c r="P9" s="32">
        <v>2008</v>
      </c>
      <c r="Q9" s="32">
        <v>2009</v>
      </c>
      <c r="R9" s="32">
        <v>2010</v>
      </c>
      <c r="S9" s="32">
        <v>2011</v>
      </c>
      <c r="T9" s="32">
        <v>2012</v>
      </c>
      <c r="U9" s="32">
        <v>2013</v>
      </c>
      <c r="V9" s="32">
        <v>2014</v>
      </c>
      <c r="W9" s="32">
        <v>2015</v>
      </c>
      <c r="X9" s="32">
        <v>2016</v>
      </c>
      <c r="Y9" s="32">
        <v>2017</v>
      </c>
      <c r="Z9" s="32">
        <v>2018</v>
      </c>
      <c r="AA9" s="32">
        <v>2019</v>
      </c>
      <c r="AB9" s="32">
        <v>2020</v>
      </c>
      <c r="AC9" s="32">
        <v>2021</v>
      </c>
      <c r="AD9" s="32">
        <v>2022</v>
      </c>
      <c r="AE9" s="32">
        <v>2023</v>
      </c>
      <c r="AF9" s="32">
        <v>2024</v>
      </c>
      <c r="AG9" s="32">
        <v>2025</v>
      </c>
      <c r="AH9" s="32">
        <v>2026</v>
      </c>
      <c r="AI9" s="32">
        <v>2027</v>
      </c>
      <c r="AJ9" s="32">
        <v>2028</v>
      </c>
      <c r="AK9" s="32">
        <v>2029</v>
      </c>
      <c r="AL9" s="32">
        <v>2030</v>
      </c>
      <c r="AM9" s="647" t="s">
        <v>307</v>
      </c>
      <c r="AN9" s="647" t="s">
        <v>308</v>
      </c>
      <c r="AO9" s="35"/>
    </row>
    <row r="10" spans="1:50">
      <c r="A10" s="5"/>
      <c r="B10" s="44" t="s">
        <v>3369</v>
      </c>
      <c r="C10" s="44" t="s">
        <v>1473</v>
      </c>
      <c r="D10" s="44" t="s">
        <v>1877</v>
      </c>
      <c r="E10" s="44" t="s">
        <v>1927</v>
      </c>
      <c r="F10" s="44" t="s">
        <v>1928</v>
      </c>
      <c r="G10" s="44" t="s">
        <v>1930</v>
      </c>
      <c r="H10" s="44" t="s">
        <v>116</v>
      </c>
      <c r="I10" s="44" t="s">
        <v>1931</v>
      </c>
      <c r="J10" s="328">
        <v>33.15</v>
      </c>
      <c r="K10" s="550">
        <v>0</v>
      </c>
      <c r="L10" s="550">
        <v>78.84</v>
      </c>
      <c r="M10" s="550">
        <v>174.51</v>
      </c>
      <c r="N10" s="550">
        <v>157.80000000000001</v>
      </c>
      <c r="O10" s="550">
        <v>156.08000000000001</v>
      </c>
      <c r="P10" s="550">
        <v>123.65</v>
      </c>
      <c r="Q10" s="550">
        <v>140.22999999999999</v>
      </c>
      <c r="R10" s="550">
        <v>136.04</v>
      </c>
      <c r="S10" s="550">
        <v>127.26</v>
      </c>
      <c r="T10" s="550">
        <v>137.94</v>
      </c>
      <c r="U10" s="550">
        <v>135.74</v>
      </c>
      <c r="V10" s="550">
        <v>124.37</v>
      </c>
      <c r="W10" s="550">
        <v>149.24</v>
      </c>
      <c r="X10" s="550">
        <v>163.52000000000001</v>
      </c>
      <c r="Y10" s="550">
        <v>151.71</v>
      </c>
      <c r="Z10" s="550">
        <v>135.86000000000001</v>
      </c>
      <c r="AA10" s="550">
        <v>119.69</v>
      </c>
      <c r="AB10" s="550">
        <v>108.96</v>
      </c>
      <c r="AC10" s="550">
        <v>101.35</v>
      </c>
      <c r="AD10" s="550">
        <v>95.95</v>
      </c>
      <c r="AE10" s="550">
        <v>91.01</v>
      </c>
      <c r="AF10" s="550">
        <v>86.02</v>
      </c>
      <c r="AG10" s="550">
        <v>80.37</v>
      </c>
      <c r="AH10" s="550">
        <v>74.069999999999993</v>
      </c>
      <c r="AI10" s="550">
        <v>67.599999999999994</v>
      </c>
      <c r="AJ10" s="550">
        <v>0</v>
      </c>
      <c r="AK10" s="550">
        <v>0</v>
      </c>
      <c r="AL10" s="550">
        <v>0</v>
      </c>
      <c r="AM10" s="173" t="str">
        <f>AN10&amp;" - "&amp;C10</f>
        <v>SUBS - Algeria</v>
      </c>
      <c r="AN10" s="173" t="s">
        <v>543</v>
      </c>
      <c r="AO10" s="5"/>
      <c r="AS10" s="486"/>
      <c r="AT10" s="55"/>
      <c r="AU10" s="341"/>
      <c r="AV10" s="406"/>
      <c r="AW10" s="406"/>
      <c r="AX10" s="538"/>
    </row>
    <row r="11" spans="1:50">
      <c r="A11" s="5"/>
      <c r="B11" s="44" t="s">
        <v>3369</v>
      </c>
      <c r="C11" s="44" t="s">
        <v>1934</v>
      </c>
      <c r="D11" s="44" t="s">
        <v>3660</v>
      </c>
      <c r="E11" s="44" t="s">
        <v>1927</v>
      </c>
      <c r="F11" s="44" t="s">
        <v>2973</v>
      </c>
      <c r="G11" s="44" t="s">
        <v>1930</v>
      </c>
      <c r="H11" s="44" t="s">
        <v>2966</v>
      </c>
      <c r="I11" s="44" t="s">
        <v>2971</v>
      </c>
      <c r="J11" s="328">
        <v>13.6</v>
      </c>
      <c r="K11" s="550">
        <v>0</v>
      </c>
      <c r="L11" s="550">
        <v>0</v>
      </c>
      <c r="M11" s="550">
        <v>0</v>
      </c>
      <c r="N11" s="550">
        <v>0</v>
      </c>
      <c r="O11" s="550">
        <v>0</v>
      </c>
      <c r="P11" s="550">
        <v>0</v>
      </c>
      <c r="Q11" s="550">
        <v>0</v>
      </c>
      <c r="R11" s="550">
        <v>0</v>
      </c>
      <c r="S11" s="550">
        <v>0</v>
      </c>
      <c r="T11" s="550">
        <v>0</v>
      </c>
      <c r="U11" s="550">
        <v>27.15</v>
      </c>
      <c r="V11" s="550">
        <v>23.7</v>
      </c>
      <c r="W11" s="550">
        <v>17</v>
      </c>
      <c r="X11" s="550">
        <v>38.08</v>
      </c>
      <c r="Y11" s="550">
        <v>104.46</v>
      </c>
      <c r="Z11" s="550">
        <v>124.92</v>
      </c>
      <c r="AA11" s="550">
        <v>124.93</v>
      </c>
      <c r="AB11" s="550">
        <v>124.89</v>
      </c>
      <c r="AC11" s="550">
        <v>124.93</v>
      </c>
      <c r="AD11" s="550">
        <v>124.9</v>
      </c>
      <c r="AE11" s="550">
        <v>124.94</v>
      </c>
      <c r="AF11" s="550">
        <v>124.89</v>
      </c>
      <c r="AG11" s="550">
        <v>124.93</v>
      </c>
      <c r="AH11" s="550">
        <v>124.96</v>
      </c>
      <c r="AI11" s="550">
        <v>124.9</v>
      </c>
      <c r="AJ11" s="550">
        <v>124.89</v>
      </c>
      <c r="AK11" s="550">
        <v>110.77</v>
      </c>
      <c r="AL11" s="550">
        <v>97.19</v>
      </c>
      <c r="AM11" s="173" t="str">
        <f>AN11&amp;" - "&amp;C11</f>
        <v>SUBS - Angola</v>
      </c>
      <c r="AN11" s="173" t="s">
        <v>543</v>
      </c>
      <c r="AO11" s="5"/>
      <c r="AS11" s="486"/>
      <c r="AT11" s="55"/>
      <c r="AU11" s="341"/>
      <c r="AV11" s="406"/>
      <c r="AW11" s="406"/>
      <c r="AX11" s="538"/>
    </row>
    <row r="12" spans="1:50">
      <c r="A12" s="5"/>
      <c r="B12" s="44" t="s">
        <v>3369</v>
      </c>
      <c r="C12" s="44" t="s">
        <v>2921</v>
      </c>
      <c r="D12" s="44" t="s">
        <v>2922</v>
      </c>
      <c r="E12" s="44" t="s">
        <v>1927</v>
      </c>
      <c r="F12" s="44" t="s">
        <v>1928</v>
      </c>
      <c r="G12" s="44" t="s">
        <v>1931</v>
      </c>
      <c r="H12" s="44" t="s">
        <v>116</v>
      </c>
      <c r="I12" s="44" t="s">
        <v>1931</v>
      </c>
      <c r="J12" s="328">
        <v>26</v>
      </c>
      <c r="K12" s="550">
        <v>49.607999999999997</v>
      </c>
      <c r="L12" s="550">
        <v>57.095999999999997</v>
      </c>
      <c r="M12" s="550">
        <v>57.408000000000001</v>
      </c>
      <c r="N12" s="550">
        <v>68.298000000000002</v>
      </c>
      <c r="O12" s="550">
        <v>78.84</v>
      </c>
      <c r="P12" s="550">
        <v>93.006</v>
      </c>
      <c r="Q12" s="550">
        <v>83.802000000000007</v>
      </c>
      <c r="R12" s="550">
        <v>71.945999999999998</v>
      </c>
      <c r="S12" s="550">
        <v>63.366</v>
      </c>
      <c r="T12" s="550">
        <v>53.88</v>
      </c>
      <c r="U12" s="550">
        <v>42.588000000000001</v>
      </c>
      <c r="V12" s="550">
        <v>36.845999999999997</v>
      </c>
      <c r="W12" s="550">
        <v>37.625999999999998</v>
      </c>
      <c r="X12" s="550">
        <v>34.475999999999999</v>
      </c>
      <c r="Y12" s="550">
        <v>30.548999999999999</v>
      </c>
      <c r="Z12" s="550">
        <v>23.954999999999998</v>
      </c>
      <c r="AA12" s="550">
        <v>21.395</v>
      </c>
      <c r="AB12" s="550">
        <v>19.105</v>
      </c>
      <c r="AC12" s="550">
        <v>17.065000000000001</v>
      </c>
      <c r="AD12" s="550">
        <v>15.24</v>
      </c>
      <c r="AE12" s="550">
        <v>13.61</v>
      </c>
      <c r="AF12" s="550">
        <v>12.16</v>
      </c>
      <c r="AG12" s="550">
        <v>10.86</v>
      </c>
      <c r="AH12" s="550">
        <v>9.6999999999999993</v>
      </c>
      <c r="AI12" s="550">
        <v>8.66</v>
      </c>
      <c r="AJ12" s="550">
        <v>7.7350000000000003</v>
      </c>
      <c r="AK12" s="550">
        <v>6.91</v>
      </c>
      <c r="AL12" s="550">
        <v>6.17</v>
      </c>
      <c r="AM12" s="173" t="str">
        <f t="shared" ref="AM12:AM109" si="0">AN12&amp;" - "&amp;C12</f>
        <v>EAI - Argentina</v>
      </c>
      <c r="AN12" s="173" t="s">
        <v>3119</v>
      </c>
      <c r="AO12" s="5"/>
      <c r="AS12" s="486"/>
      <c r="AT12" s="55"/>
      <c r="AU12" s="341"/>
      <c r="AV12" s="406"/>
      <c r="AW12" s="406"/>
      <c r="AX12" s="538"/>
    </row>
    <row r="13" spans="1:50">
      <c r="A13" s="5"/>
      <c r="B13" s="44" t="s">
        <v>3369</v>
      </c>
      <c r="C13" s="44" t="s">
        <v>2921</v>
      </c>
      <c r="D13" s="44" t="s">
        <v>3727</v>
      </c>
      <c r="E13" s="44" t="s">
        <v>3372</v>
      </c>
      <c r="F13" s="44" t="s">
        <v>1928</v>
      </c>
      <c r="G13" s="44" t="s">
        <v>1930</v>
      </c>
      <c r="H13" s="44" t="s">
        <v>2962</v>
      </c>
      <c r="I13" s="44" t="s">
        <v>1931</v>
      </c>
      <c r="J13" s="328">
        <v>22.5</v>
      </c>
      <c r="K13" s="550">
        <v>0</v>
      </c>
      <c r="L13" s="550">
        <v>0</v>
      </c>
      <c r="M13" s="550">
        <v>0</v>
      </c>
      <c r="N13" s="550">
        <v>0</v>
      </c>
      <c r="O13" s="550">
        <v>0</v>
      </c>
      <c r="P13" s="550">
        <v>0</v>
      </c>
      <c r="Q13" s="550">
        <v>0</v>
      </c>
      <c r="R13" s="550">
        <v>0</v>
      </c>
      <c r="S13" s="550">
        <v>0</v>
      </c>
      <c r="T13" s="550">
        <v>0</v>
      </c>
      <c r="U13" s="550">
        <v>0</v>
      </c>
      <c r="V13" s="550">
        <v>0</v>
      </c>
      <c r="W13" s="550">
        <v>0</v>
      </c>
      <c r="X13" s="550">
        <v>0</v>
      </c>
      <c r="Y13" s="550">
        <v>0</v>
      </c>
      <c r="Z13" s="550">
        <v>0.73</v>
      </c>
      <c r="AA13" s="550">
        <v>1.7949999999999999</v>
      </c>
      <c r="AB13" s="550">
        <v>3.085</v>
      </c>
      <c r="AC13" s="550">
        <v>4.55</v>
      </c>
      <c r="AD13" s="550">
        <v>3.98</v>
      </c>
      <c r="AE13" s="550">
        <v>2.5499999999999998</v>
      </c>
      <c r="AF13" s="550">
        <v>2.0299999999999998</v>
      </c>
      <c r="AG13" s="550">
        <v>1.74</v>
      </c>
      <c r="AH13" s="550">
        <v>1.53</v>
      </c>
      <c r="AI13" s="550">
        <v>1.365</v>
      </c>
      <c r="AJ13" s="550">
        <v>1.22</v>
      </c>
      <c r="AK13" s="550">
        <v>1.1000000000000001</v>
      </c>
      <c r="AL13" s="550">
        <v>1</v>
      </c>
      <c r="AM13" s="173" t="str">
        <f t="shared" ref="AM13:AM16" si="1">AN13&amp;" - "&amp;C13</f>
        <v>EAI - Argentina</v>
      </c>
      <c r="AN13" s="173" t="s">
        <v>3119</v>
      </c>
      <c r="AO13" s="5"/>
      <c r="AS13" s="486"/>
      <c r="AT13" s="55"/>
      <c r="AU13" s="341"/>
      <c r="AV13" s="406"/>
      <c r="AW13" s="406"/>
      <c r="AX13" s="538"/>
    </row>
    <row r="14" spans="1:50">
      <c r="A14" s="5"/>
      <c r="B14" s="44" t="s">
        <v>3369</v>
      </c>
      <c r="C14" s="44" t="s">
        <v>2921</v>
      </c>
      <c r="D14" s="44" t="s">
        <v>3723</v>
      </c>
      <c r="E14" s="44" t="s">
        <v>1927</v>
      </c>
      <c r="F14" s="44" t="s">
        <v>1928</v>
      </c>
      <c r="G14" s="44" t="s">
        <v>1931</v>
      </c>
      <c r="H14" s="44" t="s">
        <v>117</v>
      </c>
      <c r="I14" s="44" t="s">
        <v>1931</v>
      </c>
      <c r="J14" s="328">
        <v>7</v>
      </c>
      <c r="K14" s="550">
        <v>26.52</v>
      </c>
      <c r="L14" s="550">
        <v>41.694000000000003</v>
      </c>
      <c r="M14" s="550">
        <v>45.51</v>
      </c>
      <c r="N14" s="550">
        <v>45.948</v>
      </c>
      <c r="O14" s="550">
        <v>49.332000000000001</v>
      </c>
      <c r="P14" s="550">
        <v>49.116</v>
      </c>
      <c r="Q14" s="550">
        <v>41.256</v>
      </c>
      <c r="R14" s="550">
        <v>40.271999999999998</v>
      </c>
      <c r="S14" s="550">
        <v>38.082000000000001</v>
      </c>
      <c r="T14" s="550">
        <v>36.281999999999996</v>
      </c>
      <c r="U14" s="550">
        <v>30.852</v>
      </c>
      <c r="V14" s="550">
        <v>29.4</v>
      </c>
      <c r="W14" s="550">
        <v>28.53</v>
      </c>
      <c r="X14" s="550">
        <v>30.27</v>
      </c>
      <c r="Y14" s="550">
        <v>24.378</v>
      </c>
      <c r="Z14" s="550">
        <v>22.72</v>
      </c>
      <c r="AA14" s="550">
        <v>32.380000000000003</v>
      </c>
      <c r="AB14" s="550">
        <v>35.225000000000001</v>
      </c>
      <c r="AC14" s="550">
        <v>35.005000000000003</v>
      </c>
      <c r="AD14" s="550">
        <v>32.895000000000003</v>
      </c>
      <c r="AE14" s="550">
        <v>36.414999999999999</v>
      </c>
      <c r="AF14" s="550">
        <v>40.115000000000002</v>
      </c>
      <c r="AG14" s="550">
        <v>40.994999999999997</v>
      </c>
      <c r="AH14" s="550">
        <v>40.445</v>
      </c>
      <c r="AI14" s="550">
        <v>38.765000000000001</v>
      </c>
      <c r="AJ14" s="550">
        <v>39.865000000000002</v>
      </c>
      <c r="AK14" s="550">
        <v>39.625</v>
      </c>
      <c r="AL14" s="550">
        <v>39.380000000000003</v>
      </c>
      <c r="AM14" s="173" t="str">
        <f t="shared" si="1"/>
        <v>EAI - Argentina</v>
      </c>
      <c r="AN14" s="173" t="s">
        <v>3119</v>
      </c>
      <c r="AO14" s="5"/>
      <c r="AS14" s="486"/>
      <c r="AT14" s="55"/>
      <c r="AU14" s="341"/>
      <c r="AV14" s="406"/>
      <c r="AW14" s="406"/>
      <c r="AX14" s="538"/>
    </row>
    <row r="15" spans="1:50">
      <c r="A15" s="5"/>
      <c r="B15" s="44" t="s">
        <v>3369</v>
      </c>
      <c r="C15" s="44" t="s">
        <v>2921</v>
      </c>
      <c r="D15" s="44" t="s">
        <v>3728</v>
      </c>
      <c r="E15" s="44" t="s">
        <v>2970</v>
      </c>
      <c r="F15" s="44" t="s">
        <v>1928</v>
      </c>
      <c r="G15" s="44" t="s">
        <v>1930</v>
      </c>
      <c r="H15" s="44" t="s">
        <v>2962</v>
      </c>
      <c r="I15" s="44" t="s">
        <v>1931</v>
      </c>
      <c r="J15" s="328">
        <v>22.5</v>
      </c>
      <c r="K15" s="550">
        <v>0</v>
      </c>
      <c r="L15" s="550">
        <v>0</v>
      </c>
      <c r="M15" s="550">
        <v>0</v>
      </c>
      <c r="N15" s="550">
        <v>0</v>
      </c>
      <c r="O15" s="550">
        <v>0</v>
      </c>
      <c r="P15" s="550">
        <v>0</v>
      </c>
      <c r="Q15" s="550">
        <v>0</v>
      </c>
      <c r="R15" s="550">
        <v>0</v>
      </c>
      <c r="S15" s="550">
        <v>0</v>
      </c>
      <c r="T15" s="550">
        <v>0</v>
      </c>
      <c r="U15" s="550">
        <v>0</v>
      </c>
      <c r="V15" s="550">
        <v>0</v>
      </c>
      <c r="W15" s="550">
        <v>0</v>
      </c>
      <c r="X15" s="550">
        <v>0</v>
      </c>
      <c r="Y15" s="550">
        <v>0</v>
      </c>
      <c r="Z15" s="550">
        <v>2.9249999999999998</v>
      </c>
      <c r="AA15" s="550">
        <v>7.1749999999999998</v>
      </c>
      <c r="AB15" s="550">
        <v>10.130000000000001</v>
      </c>
      <c r="AC15" s="550">
        <v>12.82</v>
      </c>
      <c r="AD15" s="550">
        <v>11.055</v>
      </c>
      <c r="AE15" s="550">
        <v>7.3150000000000004</v>
      </c>
      <c r="AF15" s="550">
        <v>5.9</v>
      </c>
      <c r="AG15" s="550">
        <v>5.08</v>
      </c>
      <c r="AH15" s="550">
        <v>4.4850000000000003</v>
      </c>
      <c r="AI15" s="550">
        <v>3.9950000000000001</v>
      </c>
      <c r="AJ15" s="550">
        <v>3.5750000000000002</v>
      </c>
      <c r="AK15" s="550">
        <v>3.2349999999999999</v>
      </c>
      <c r="AL15" s="550">
        <v>2.96</v>
      </c>
      <c r="AM15" s="173" t="str">
        <f t="shared" si="1"/>
        <v>EAI - Argentina</v>
      </c>
      <c r="AN15" s="173" t="s">
        <v>3119</v>
      </c>
      <c r="AO15" s="5"/>
      <c r="AS15" s="486"/>
      <c r="AT15" s="55"/>
      <c r="AU15" s="341"/>
      <c r="AV15" s="406"/>
      <c r="AW15" s="406"/>
      <c r="AX15" s="538"/>
    </row>
    <row r="16" spans="1:50">
      <c r="A16" s="5"/>
      <c r="B16" s="44" t="s">
        <v>3369</v>
      </c>
      <c r="C16" s="44" t="s">
        <v>2921</v>
      </c>
      <c r="D16" s="44" t="s">
        <v>3724</v>
      </c>
      <c r="E16" s="44" t="s">
        <v>1927</v>
      </c>
      <c r="F16" s="44" t="s">
        <v>1928</v>
      </c>
      <c r="G16" s="44" t="s">
        <v>1932</v>
      </c>
      <c r="H16" s="44" t="s">
        <v>116</v>
      </c>
      <c r="I16" s="44" t="s">
        <v>1931</v>
      </c>
      <c r="J16" s="328">
        <v>50</v>
      </c>
      <c r="K16" s="550">
        <v>0</v>
      </c>
      <c r="L16" s="550">
        <v>0</v>
      </c>
      <c r="M16" s="550">
        <v>0</v>
      </c>
      <c r="N16" s="550">
        <v>0</v>
      </c>
      <c r="O16" s="550">
        <v>0</v>
      </c>
      <c r="P16" s="550">
        <v>0</v>
      </c>
      <c r="Q16" s="550">
        <v>0</v>
      </c>
      <c r="R16" s="550">
        <v>0</v>
      </c>
      <c r="S16" s="550">
        <v>0</v>
      </c>
      <c r="T16" s="550">
        <v>0</v>
      </c>
      <c r="U16" s="550">
        <v>0</v>
      </c>
      <c r="V16" s="550">
        <v>0</v>
      </c>
      <c r="W16" s="550">
        <v>0</v>
      </c>
      <c r="X16" s="550">
        <v>1.2E-2</v>
      </c>
      <c r="Y16" s="550">
        <v>0</v>
      </c>
      <c r="Z16" s="550">
        <v>0</v>
      </c>
      <c r="AA16" s="550">
        <v>0</v>
      </c>
      <c r="AB16" s="550">
        <v>10.11</v>
      </c>
      <c r="AC16" s="550">
        <v>15.57</v>
      </c>
      <c r="AD16" s="550">
        <v>18.440000000000001</v>
      </c>
      <c r="AE16" s="550">
        <v>17.824999999999999</v>
      </c>
      <c r="AF16" s="550">
        <v>13.03</v>
      </c>
      <c r="AG16" s="550">
        <v>8.9600000000000009</v>
      </c>
      <c r="AH16" s="550">
        <v>7.2750000000000004</v>
      </c>
      <c r="AI16" s="550">
        <v>6.2</v>
      </c>
      <c r="AJ16" s="550">
        <v>5.3849999999999998</v>
      </c>
      <c r="AK16" s="550">
        <v>4.71</v>
      </c>
      <c r="AL16" s="550">
        <v>4.1550000000000002</v>
      </c>
      <c r="AM16" s="173" t="str">
        <f t="shared" si="1"/>
        <v>EAI - Argentina</v>
      </c>
      <c r="AN16" s="173" t="s">
        <v>3119</v>
      </c>
      <c r="AO16" s="5"/>
      <c r="AS16" s="486"/>
      <c r="AT16" s="55"/>
      <c r="AU16" s="341"/>
      <c r="AV16" s="406"/>
      <c r="AW16" s="406"/>
      <c r="AX16" s="538"/>
    </row>
    <row r="17" spans="1:50">
      <c r="A17" s="5"/>
      <c r="B17" s="44" t="s">
        <v>3369</v>
      </c>
      <c r="C17" s="44" t="s">
        <v>2921</v>
      </c>
      <c r="D17" s="44" t="s">
        <v>280</v>
      </c>
      <c r="E17" s="44" t="s">
        <v>1927</v>
      </c>
      <c r="F17" s="44" t="s">
        <v>1928</v>
      </c>
      <c r="G17" s="44" t="s">
        <v>3374</v>
      </c>
      <c r="H17" s="44" t="s">
        <v>116</v>
      </c>
      <c r="I17" s="44" t="s">
        <v>1933</v>
      </c>
      <c r="J17" s="328">
        <v>50</v>
      </c>
      <c r="K17" s="550">
        <v>62.4</v>
      </c>
      <c r="L17" s="550">
        <v>87</v>
      </c>
      <c r="M17" s="550">
        <v>105</v>
      </c>
      <c r="N17" s="550">
        <v>120.58799999999999</v>
      </c>
      <c r="O17" s="550">
        <v>124.938</v>
      </c>
      <c r="P17" s="550">
        <v>135.58799999999999</v>
      </c>
      <c r="Q17" s="550">
        <v>134.73599999999999</v>
      </c>
      <c r="R17" s="550">
        <v>133.464</v>
      </c>
      <c r="S17" s="550">
        <v>133.00200000000001</v>
      </c>
      <c r="T17" s="550">
        <v>129.52799999999999</v>
      </c>
      <c r="U17" s="550">
        <v>121.062</v>
      </c>
      <c r="V17" s="550">
        <v>118.56</v>
      </c>
      <c r="W17" s="550">
        <v>125.184</v>
      </c>
      <c r="X17" s="550">
        <v>114.792</v>
      </c>
      <c r="Y17" s="550">
        <v>102.70399999999999</v>
      </c>
      <c r="Z17" s="550">
        <v>92.57</v>
      </c>
      <c r="AA17" s="550">
        <v>92.57</v>
      </c>
      <c r="AB17" s="550">
        <v>92.57</v>
      </c>
      <c r="AC17" s="550">
        <v>92.57</v>
      </c>
      <c r="AD17" s="550">
        <v>92.57</v>
      </c>
      <c r="AE17" s="550">
        <v>92.57</v>
      </c>
      <c r="AF17" s="550">
        <v>92.57</v>
      </c>
      <c r="AG17" s="550">
        <v>92.57</v>
      </c>
      <c r="AH17" s="550">
        <v>83.79</v>
      </c>
      <c r="AI17" s="550">
        <v>75.86</v>
      </c>
      <c r="AJ17" s="550">
        <v>68.7</v>
      </c>
      <c r="AK17" s="550">
        <v>62.234999999999999</v>
      </c>
      <c r="AL17" s="550">
        <v>56.4</v>
      </c>
      <c r="AM17" s="173" t="str">
        <f t="shared" si="0"/>
        <v>EAI - Argentina</v>
      </c>
      <c r="AN17" s="173" t="s">
        <v>3119</v>
      </c>
      <c r="AO17" s="5"/>
      <c r="AS17" s="486"/>
      <c r="AT17" s="55"/>
      <c r="AU17" s="341"/>
      <c r="AV17" s="406"/>
      <c r="AW17" s="406"/>
      <c r="AX17" s="538"/>
    </row>
    <row r="18" spans="1:50">
      <c r="A18" s="5"/>
      <c r="B18" s="44" t="s">
        <v>3369</v>
      </c>
      <c r="C18" s="44" t="s">
        <v>2921</v>
      </c>
      <c r="D18" s="44" t="s">
        <v>3681</v>
      </c>
      <c r="E18" s="44" t="s">
        <v>1927</v>
      </c>
      <c r="F18" s="44" t="s">
        <v>1928</v>
      </c>
      <c r="G18" s="44" t="s">
        <v>3374</v>
      </c>
      <c r="H18" s="44" t="s">
        <v>116</v>
      </c>
      <c r="I18" s="44" t="s">
        <v>1931</v>
      </c>
      <c r="J18" s="328">
        <v>27.5</v>
      </c>
      <c r="K18" s="550">
        <v>0</v>
      </c>
      <c r="L18" s="550">
        <v>0</v>
      </c>
      <c r="M18" s="550">
        <v>0</v>
      </c>
      <c r="N18" s="550">
        <v>0</v>
      </c>
      <c r="O18" s="550">
        <v>0</v>
      </c>
      <c r="P18" s="550">
        <v>0</v>
      </c>
      <c r="Q18" s="550">
        <v>0</v>
      </c>
      <c r="R18" s="550">
        <v>0</v>
      </c>
      <c r="S18" s="550">
        <v>0</v>
      </c>
      <c r="T18" s="550">
        <v>0</v>
      </c>
      <c r="U18" s="550">
        <v>0</v>
      </c>
      <c r="V18" s="550">
        <v>0</v>
      </c>
      <c r="W18" s="550">
        <v>0</v>
      </c>
      <c r="X18" s="550">
        <v>0</v>
      </c>
      <c r="Y18" s="550">
        <v>0.46700000000000003</v>
      </c>
      <c r="Z18" s="550">
        <v>0.46500000000000002</v>
      </c>
      <c r="AA18" s="550">
        <v>0.39500000000000002</v>
      </c>
      <c r="AB18" s="550">
        <v>0.33500000000000002</v>
      </c>
      <c r="AC18" s="550">
        <v>0.28499999999999998</v>
      </c>
      <c r="AD18" s="550">
        <v>0.24</v>
      </c>
      <c r="AE18" s="550">
        <v>0</v>
      </c>
      <c r="AF18" s="550">
        <v>0</v>
      </c>
      <c r="AG18" s="550">
        <v>0</v>
      </c>
      <c r="AH18" s="550">
        <v>0</v>
      </c>
      <c r="AI18" s="550">
        <v>0</v>
      </c>
      <c r="AJ18" s="550">
        <v>0</v>
      </c>
      <c r="AK18" s="550">
        <v>0</v>
      </c>
      <c r="AL18" s="550">
        <v>0</v>
      </c>
      <c r="AM18" s="173" t="str">
        <f t="shared" ref="AM18" si="2">AN18&amp;" - "&amp;C18</f>
        <v>EAI - Argentina</v>
      </c>
      <c r="AN18" s="173" t="s">
        <v>3119</v>
      </c>
      <c r="AO18" s="5"/>
      <c r="AS18" s="486"/>
      <c r="AT18" s="55"/>
      <c r="AU18" s="341"/>
      <c r="AV18" s="406"/>
      <c r="AW18" s="406"/>
      <c r="AX18" s="538"/>
    </row>
    <row r="19" spans="1:50">
      <c r="A19" s="5"/>
      <c r="B19" s="44" t="s">
        <v>3369</v>
      </c>
      <c r="C19" s="44" t="s">
        <v>2921</v>
      </c>
      <c r="D19" s="44" t="s">
        <v>2959</v>
      </c>
      <c r="E19" s="44" t="s">
        <v>1927</v>
      </c>
      <c r="F19" s="44" t="s">
        <v>2960</v>
      </c>
      <c r="G19" s="44" t="s">
        <v>1932</v>
      </c>
      <c r="H19" s="44" t="s">
        <v>116</v>
      </c>
      <c r="I19" s="44" t="s">
        <v>2600</v>
      </c>
      <c r="J19" s="328">
        <v>12.5</v>
      </c>
      <c r="K19" s="550">
        <v>42.15</v>
      </c>
      <c r="L19" s="550">
        <v>38.4</v>
      </c>
      <c r="M19" s="550">
        <v>49.043999999999997</v>
      </c>
      <c r="N19" s="550">
        <v>53.88</v>
      </c>
      <c r="O19" s="550">
        <v>52.722000000000001</v>
      </c>
      <c r="P19" s="550">
        <v>48.887999999999998</v>
      </c>
      <c r="Q19" s="550">
        <v>58.35</v>
      </c>
      <c r="R19" s="550">
        <v>71.921999999999997</v>
      </c>
      <c r="S19" s="550">
        <v>84.233999999999995</v>
      </c>
      <c r="T19" s="550">
        <v>89.364000000000004</v>
      </c>
      <c r="U19" s="550">
        <v>90.552000000000007</v>
      </c>
      <c r="V19" s="550">
        <v>88.524000000000001</v>
      </c>
      <c r="W19" s="550">
        <v>87.72</v>
      </c>
      <c r="X19" s="550">
        <v>104.352</v>
      </c>
      <c r="Y19" s="550">
        <v>95.941000000000003</v>
      </c>
      <c r="Z19" s="550">
        <v>85.72</v>
      </c>
      <c r="AA19" s="550">
        <v>83.355000000000004</v>
      </c>
      <c r="AB19" s="550">
        <v>83.954999999999998</v>
      </c>
      <c r="AC19" s="550">
        <v>84.325000000000003</v>
      </c>
      <c r="AD19" s="550">
        <v>83.614999999999995</v>
      </c>
      <c r="AE19" s="550">
        <v>83.575000000000003</v>
      </c>
      <c r="AF19" s="550">
        <v>83.394999999999996</v>
      </c>
      <c r="AG19" s="550">
        <v>78.305000000000007</v>
      </c>
      <c r="AH19" s="550">
        <v>67.594999999999999</v>
      </c>
      <c r="AI19" s="550">
        <v>58.344999999999999</v>
      </c>
      <c r="AJ19" s="550">
        <v>50.365000000000002</v>
      </c>
      <c r="AK19" s="550">
        <v>43.475000000000001</v>
      </c>
      <c r="AL19" s="550">
        <v>37.53</v>
      </c>
      <c r="AM19" s="173" t="str">
        <f t="shared" si="0"/>
        <v>EAI - Argentina</v>
      </c>
      <c r="AN19" s="173" t="s">
        <v>3119</v>
      </c>
      <c r="AO19" s="5"/>
      <c r="AS19" s="486"/>
      <c r="AT19" s="55"/>
      <c r="AU19" s="341"/>
      <c r="AV19" s="406"/>
      <c r="AW19" s="406"/>
      <c r="AX19" s="538"/>
    </row>
    <row r="20" spans="1:50">
      <c r="A20" s="5"/>
      <c r="B20" s="44" t="s">
        <v>3369</v>
      </c>
      <c r="C20" s="44" t="s">
        <v>2921</v>
      </c>
      <c r="D20" s="44" t="s">
        <v>2961</v>
      </c>
      <c r="E20" s="44" t="s">
        <v>1927</v>
      </c>
      <c r="F20" s="44" t="s">
        <v>1928</v>
      </c>
      <c r="G20" s="44" t="s">
        <v>1931</v>
      </c>
      <c r="H20" s="44" t="s">
        <v>116</v>
      </c>
      <c r="I20" s="44" t="s">
        <v>1931</v>
      </c>
      <c r="J20" s="328">
        <v>31.25</v>
      </c>
      <c r="K20" s="550">
        <v>18</v>
      </c>
      <c r="L20" s="550">
        <v>15</v>
      </c>
      <c r="M20" s="550">
        <v>13.5</v>
      </c>
      <c r="N20" s="550">
        <v>13.013999999999999</v>
      </c>
      <c r="O20" s="550">
        <v>12.528</v>
      </c>
      <c r="P20" s="550">
        <v>11.268000000000001</v>
      </c>
      <c r="Q20" s="550">
        <v>9.66</v>
      </c>
      <c r="R20" s="550">
        <v>8.7240000000000002</v>
      </c>
      <c r="S20" s="550">
        <v>8.0340000000000007</v>
      </c>
      <c r="T20" s="550">
        <v>7.1820000000000004</v>
      </c>
      <c r="U20" s="550">
        <v>7.056</v>
      </c>
      <c r="V20" s="550">
        <v>14.478</v>
      </c>
      <c r="W20" s="550">
        <v>31.866</v>
      </c>
      <c r="X20" s="550">
        <v>43.65</v>
      </c>
      <c r="Y20" s="550">
        <v>39.590000000000003</v>
      </c>
      <c r="Z20" s="550">
        <v>34.53</v>
      </c>
      <c r="AA20" s="550">
        <v>36.704999999999998</v>
      </c>
      <c r="AB20" s="550">
        <v>38.325000000000003</v>
      </c>
      <c r="AC20" s="550">
        <v>39.784999999999997</v>
      </c>
      <c r="AD20" s="550">
        <v>41.08</v>
      </c>
      <c r="AE20" s="550">
        <v>42.255000000000003</v>
      </c>
      <c r="AF20" s="550">
        <v>42.85</v>
      </c>
      <c r="AG20" s="550">
        <v>43.435000000000002</v>
      </c>
      <c r="AH20" s="550">
        <v>44.01</v>
      </c>
      <c r="AI20" s="550">
        <v>43.23</v>
      </c>
      <c r="AJ20" s="550">
        <v>31.355</v>
      </c>
      <c r="AK20" s="550">
        <v>26.5</v>
      </c>
      <c r="AL20" s="550">
        <v>23.38</v>
      </c>
      <c r="AM20" s="173" t="str">
        <f>AN20&amp;" - "&amp;C20</f>
        <v>EAI - Argentina</v>
      </c>
      <c r="AN20" s="173" t="s">
        <v>3119</v>
      </c>
      <c r="AO20" s="5"/>
      <c r="AS20" s="486"/>
      <c r="AT20" s="55"/>
      <c r="AU20" s="341"/>
      <c r="AV20" s="406"/>
      <c r="AW20" s="406"/>
      <c r="AX20" s="538"/>
    </row>
    <row r="21" spans="1:50">
      <c r="A21" s="5"/>
      <c r="B21" s="44" t="s">
        <v>3369</v>
      </c>
      <c r="C21" s="44" t="s">
        <v>2921</v>
      </c>
      <c r="D21" s="44" t="s">
        <v>2963</v>
      </c>
      <c r="E21" s="44" t="s">
        <v>1927</v>
      </c>
      <c r="F21" s="44" t="s">
        <v>1928</v>
      </c>
      <c r="G21" s="44" t="s">
        <v>1929</v>
      </c>
      <c r="H21" s="44" t="s">
        <v>117</v>
      </c>
      <c r="I21" s="44" t="s">
        <v>1931</v>
      </c>
      <c r="J21" s="328">
        <v>8.2349999999999994</v>
      </c>
      <c r="K21" s="550">
        <v>39.432000000000002</v>
      </c>
      <c r="L21" s="550">
        <v>39.33</v>
      </c>
      <c r="M21" s="550">
        <v>38.244</v>
      </c>
      <c r="N21" s="550">
        <v>38.340000000000003</v>
      </c>
      <c r="O21" s="550">
        <v>39.432000000000002</v>
      </c>
      <c r="P21" s="550">
        <v>38.045999999999999</v>
      </c>
      <c r="Q21" s="550">
        <v>37.356000000000002</v>
      </c>
      <c r="R21" s="550">
        <v>35.573999999999998</v>
      </c>
      <c r="S21" s="550">
        <v>33.54</v>
      </c>
      <c r="T21" s="550">
        <v>28.638000000000002</v>
      </c>
      <c r="U21" s="550">
        <v>24.713999999999999</v>
      </c>
      <c r="V21" s="550">
        <v>21</v>
      </c>
      <c r="W21" s="550">
        <v>17.436</v>
      </c>
      <c r="X21" s="550">
        <v>14.472</v>
      </c>
      <c r="Y21" s="550">
        <v>12.394</v>
      </c>
      <c r="Z21" s="550">
        <v>9.7949999999999999</v>
      </c>
      <c r="AA21" s="550">
        <v>8.8149999999999995</v>
      </c>
      <c r="AB21" s="550">
        <v>7.4950000000000001</v>
      </c>
      <c r="AC21" s="550">
        <v>6.37</v>
      </c>
      <c r="AD21" s="550">
        <v>5.415</v>
      </c>
      <c r="AE21" s="550">
        <v>4.6050000000000004</v>
      </c>
      <c r="AF21" s="550">
        <v>3.91</v>
      </c>
      <c r="AG21" s="550">
        <v>3.3250000000000002</v>
      </c>
      <c r="AH21" s="550">
        <v>2.8250000000000002</v>
      </c>
      <c r="AI21" s="550">
        <v>2.4049999999999998</v>
      </c>
      <c r="AJ21" s="550">
        <v>2.04</v>
      </c>
      <c r="AK21" s="550">
        <v>0</v>
      </c>
      <c r="AL21" s="550">
        <v>0</v>
      </c>
      <c r="AM21" s="173" t="str">
        <f t="shared" si="0"/>
        <v>EAI - Argentina</v>
      </c>
      <c r="AN21" s="173" t="s">
        <v>3119</v>
      </c>
      <c r="AO21" s="5"/>
      <c r="AS21" s="486"/>
      <c r="AT21" s="55"/>
      <c r="AU21" s="341"/>
      <c r="AV21" s="406"/>
      <c r="AW21" s="406"/>
      <c r="AX21" s="538"/>
    </row>
    <row r="22" spans="1:50">
      <c r="A22" s="5"/>
      <c r="B22" s="44" t="s">
        <v>3369</v>
      </c>
      <c r="C22" s="44" t="s">
        <v>2921</v>
      </c>
      <c r="D22" s="44" t="s">
        <v>2964</v>
      </c>
      <c r="E22" s="44" t="s">
        <v>1927</v>
      </c>
      <c r="F22" s="44" t="s">
        <v>1928</v>
      </c>
      <c r="G22" s="44" t="s">
        <v>1932</v>
      </c>
      <c r="H22" s="44" t="s">
        <v>116</v>
      </c>
      <c r="I22" s="44" t="s">
        <v>1931</v>
      </c>
      <c r="J22" s="328">
        <v>17.5</v>
      </c>
      <c r="K22" s="550">
        <v>31.92</v>
      </c>
      <c r="L22" s="550">
        <v>35.909999999999997</v>
      </c>
      <c r="M22" s="550">
        <v>37.17</v>
      </c>
      <c r="N22" s="550">
        <v>35.658000000000001</v>
      </c>
      <c r="O22" s="550">
        <v>0</v>
      </c>
      <c r="P22" s="550">
        <v>0</v>
      </c>
      <c r="Q22" s="550">
        <v>0</v>
      </c>
      <c r="R22" s="550">
        <v>0</v>
      </c>
      <c r="S22" s="550">
        <v>0</v>
      </c>
      <c r="T22" s="550">
        <v>0</v>
      </c>
      <c r="U22" s="550">
        <v>0</v>
      </c>
      <c r="V22" s="550">
        <v>0</v>
      </c>
      <c r="W22" s="550">
        <v>0</v>
      </c>
      <c r="X22" s="550">
        <v>0</v>
      </c>
      <c r="Y22" s="550">
        <v>0</v>
      </c>
      <c r="Z22" s="550">
        <v>0</v>
      </c>
      <c r="AA22" s="550">
        <v>0</v>
      </c>
      <c r="AB22" s="550">
        <v>0</v>
      </c>
      <c r="AC22" s="550">
        <v>0</v>
      </c>
      <c r="AD22" s="550">
        <v>0</v>
      </c>
      <c r="AE22" s="550">
        <v>0</v>
      </c>
      <c r="AF22" s="550">
        <v>0</v>
      </c>
      <c r="AG22" s="550">
        <v>0</v>
      </c>
      <c r="AH22" s="550">
        <v>0</v>
      </c>
      <c r="AI22" s="550">
        <v>0</v>
      </c>
      <c r="AJ22" s="550">
        <v>0</v>
      </c>
      <c r="AK22" s="550">
        <v>0</v>
      </c>
      <c r="AL22" s="550">
        <v>0</v>
      </c>
      <c r="AM22" s="173" t="str">
        <f t="shared" si="0"/>
        <v>EAI - Argentina</v>
      </c>
      <c r="AN22" s="173" t="s">
        <v>3119</v>
      </c>
      <c r="AO22" s="5"/>
      <c r="AS22" s="486"/>
      <c r="AT22" s="55"/>
      <c r="AU22" s="341"/>
      <c r="AV22" s="406"/>
      <c r="AW22" s="406"/>
      <c r="AX22" s="538"/>
    </row>
    <row r="23" spans="1:50">
      <c r="A23" s="5"/>
      <c r="B23" s="44" t="s">
        <v>3369</v>
      </c>
      <c r="C23" s="44" t="s">
        <v>2965</v>
      </c>
      <c r="D23" s="44" t="s">
        <v>2967</v>
      </c>
      <c r="E23" s="44" t="s">
        <v>1927</v>
      </c>
      <c r="F23" s="44" t="s">
        <v>2960</v>
      </c>
      <c r="G23" s="44" t="s">
        <v>1929</v>
      </c>
      <c r="H23" s="44" t="s">
        <v>116</v>
      </c>
      <c r="I23" s="44" t="s">
        <v>2600</v>
      </c>
      <c r="J23" s="328">
        <v>16.667000000000002</v>
      </c>
      <c r="K23" s="550">
        <v>80.430000000000007</v>
      </c>
      <c r="L23" s="550">
        <v>80.430000000000007</v>
      </c>
      <c r="M23" s="550">
        <v>75.67</v>
      </c>
      <c r="N23" s="550">
        <v>77.02</v>
      </c>
      <c r="O23" s="550">
        <v>77.72</v>
      </c>
      <c r="P23" s="550">
        <v>62.17</v>
      </c>
      <c r="Q23" s="550">
        <v>62.17</v>
      </c>
      <c r="R23" s="550">
        <v>62.17</v>
      </c>
      <c r="S23" s="550">
        <v>62.17</v>
      </c>
      <c r="T23" s="550">
        <v>62.17</v>
      </c>
      <c r="U23" s="550">
        <v>62.17</v>
      </c>
      <c r="V23" s="550">
        <v>62.17</v>
      </c>
      <c r="W23" s="550">
        <v>62.17</v>
      </c>
      <c r="X23" s="550">
        <v>62.17</v>
      </c>
      <c r="Y23" s="550">
        <v>0</v>
      </c>
      <c r="Z23" s="550">
        <v>0</v>
      </c>
      <c r="AA23" s="550">
        <v>0</v>
      </c>
      <c r="AB23" s="550">
        <v>0</v>
      </c>
      <c r="AC23" s="550">
        <v>0</v>
      </c>
      <c r="AD23" s="550">
        <v>0</v>
      </c>
      <c r="AE23" s="550">
        <v>0</v>
      </c>
      <c r="AF23" s="550">
        <v>0</v>
      </c>
      <c r="AG23" s="550">
        <v>0</v>
      </c>
      <c r="AH23" s="550">
        <v>0</v>
      </c>
      <c r="AI23" s="550">
        <v>0</v>
      </c>
      <c r="AJ23" s="550">
        <v>0</v>
      </c>
      <c r="AK23" s="550">
        <v>0</v>
      </c>
      <c r="AL23" s="550">
        <v>0</v>
      </c>
      <c r="AM23" s="173" t="str">
        <f t="shared" si="0"/>
        <v>SUBS - Australia</v>
      </c>
      <c r="AN23" s="173" t="s">
        <v>543</v>
      </c>
      <c r="AO23" s="5"/>
      <c r="AS23" s="486"/>
      <c r="AT23" s="55"/>
      <c r="AU23" s="341"/>
      <c r="AV23" s="406"/>
      <c r="AW23" s="406"/>
      <c r="AX23" s="538"/>
    </row>
    <row r="24" spans="1:50">
      <c r="A24" s="5"/>
      <c r="B24" s="44" t="s">
        <v>3369</v>
      </c>
      <c r="C24" s="44" t="s">
        <v>2965</v>
      </c>
      <c r="D24" s="44" t="s">
        <v>723</v>
      </c>
      <c r="E24" s="44" t="s">
        <v>1927</v>
      </c>
      <c r="F24" s="44" t="s">
        <v>2960</v>
      </c>
      <c r="G24" s="44" t="s">
        <v>1931</v>
      </c>
      <c r="H24" s="44" t="s">
        <v>116</v>
      </c>
      <c r="I24" s="44" t="s">
        <v>2600</v>
      </c>
      <c r="J24" s="328">
        <v>16.667000000000002</v>
      </c>
      <c r="K24" s="550">
        <v>7.83</v>
      </c>
      <c r="L24" s="550">
        <v>0.83</v>
      </c>
      <c r="M24" s="550">
        <v>7.72</v>
      </c>
      <c r="N24" s="550">
        <v>1.87</v>
      </c>
      <c r="O24" s="550">
        <v>13.94</v>
      </c>
      <c r="P24" s="550">
        <v>34.54</v>
      </c>
      <c r="Q24" s="550">
        <v>29.6</v>
      </c>
      <c r="R24" s="550">
        <v>24.8</v>
      </c>
      <c r="S24" s="550">
        <v>24.23</v>
      </c>
      <c r="T24" s="550">
        <v>15.17</v>
      </c>
      <c r="U24" s="550">
        <v>13.97</v>
      </c>
      <c r="V24" s="550">
        <v>9.01</v>
      </c>
      <c r="W24" s="550">
        <v>11.03</v>
      </c>
      <c r="X24" s="550">
        <v>9.9</v>
      </c>
      <c r="Y24" s="550">
        <v>53.03</v>
      </c>
      <c r="Z24" s="550">
        <v>52.2</v>
      </c>
      <c r="AA24" s="550">
        <v>52.2</v>
      </c>
      <c r="AB24" s="550">
        <v>31.31</v>
      </c>
      <c r="AC24" s="550">
        <v>15.84</v>
      </c>
      <c r="AD24" s="550">
        <v>15.84</v>
      </c>
      <c r="AE24" s="550">
        <v>15.84</v>
      </c>
      <c r="AF24" s="550">
        <v>15.84</v>
      </c>
      <c r="AG24" s="550">
        <v>15.84</v>
      </c>
      <c r="AH24" s="550">
        <v>15.84</v>
      </c>
      <c r="AI24" s="550">
        <v>15.84</v>
      </c>
      <c r="AJ24" s="550">
        <v>15.84</v>
      </c>
      <c r="AK24" s="550">
        <v>15.84</v>
      </c>
      <c r="AL24" s="550">
        <v>8.23</v>
      </c>
      <c r="AM24" s="173" t="str">
        <f t="shared" si="0"/>
        <v>SUBS - Australia</v>
      </c>
      <c r="AN24" s="173" t="s">
        <v>543</v>
      </c>
      <c r="AO24" s="5"/>
      <c r="AS24" s="486"/>
      <c r="AT24" s="55"/>
      <c r="AU24" s="341"/>
      <c r="AV24" s="406"/>
      <c r="AW24" s="406"/>
      <c r="AX24" s="538"/>
    </row>
    <row r="25" spans="1:50">
      <c r="A25" s="5"/>
      <c r="B25" s="44" t="s">
        <v>3369</v>
      </c>
      <c r="C25" s="44" t="s">
        <v>2965</v>
      </c>
      <c r="D25" s="44" t="s">
        <v>724</v>
      </c>
      <c r="E25" s="44" t="s">
        <v>1927</v>
      </c>
      <c r="F25" s="44" t="s">
        <v>2960</v>
      </c>
      <c r="G25" s="44" t="s">
        <v>1929</v>
      </c>
      <c r="H25" s="44" t="s">
        <v>2966</v>
      </c>
      <c r="I25" s="44" t="s">
        <v>2600</v>
      </c>
      <c r="J25" s="328">
        <v>16.667000000000002</v>
      </c>
      <c r="K25" s="550">
        <v>194.74</v>
      </c>
      <c r="L25" s="550">
        <v>228.55</v>
      </c>
      <c r="M25" s="550">
        <v>302.11</v>
      </c>
      <c r="N25" s="550">
        <v>295.29000000000002</v>
      </c>
      <c r="O25" s="550">
        <v>299.04000000000002</v>
      </c>
      <c r="P25" s="550">
        <v>302.02999999999997</v>
      </c>
      <c r="Q25" s="550">
        <v>385.42</v>
      </c>
      <c r="R25" s="550">
        <v>416.52</v>
      </c>
      <c r="S25" s="550">
        <v>375.72</v>
      </c>
      <c r="T25" s="550">
        <v>361.88</v>
      </c>
      <c r="U25" s="550">
        <v>353.68</v>
      </c>
      <c r="V25" s="550">
        <v>380.75</v>
      </c>
      <c r="W25" s="550">
        <v>379.27</v>
      </c>
      <c r="X25" s="550">
        <v>386.79</v>
      </c>
      <c r="Y25" s="550">
        <v>386.79</v>
      </c>
      <c r="Z25" s="550">
        <v>387.72</v>
      </c>
      <c r="AA25" s="550">
        <v>387.72</v>
      </c>
      <c r="AB25" s="550">
        <v>389.25</v>
      </c>
      <c r="AC25" s="550">
        <v>362.19</v>
      </c>
      <c r="AD25" s="550">
        <v>336.91</v>
      </c>
      <c r="AE25" s="550">
        <v>313.31</v>
      </c>
      <c r="AF25" s="550">
        <v>291.27</v>
      </c>
      <c r="AG25" s="550">
        <v>270.69</v>
      </c>
      <c r="AH25" s="550">
        <v>233.52</v>
      </c>
      <c r="AI25" s="550">
        <v>201.12</v>
      </c>
      <c r="AJ25" s="550">
        <v>172.85</v>
      </c>
      <c r="AK25" s="550">
        <v>148.21</v>
      </c>
      <c r="AL25" s="550">
        <v>126.52</v>
      </c>
      <c r="AM25" s="173" t="str">
        <f t="shared" si="0"/>
        <v>SUBS - Australia</v>
      </c>
      <c r="AN25" s="173" t="s">
        <v>543</v>
      </c>
      <c r="AO25" s="5"/>
      <c r="AS25" s="486"/>
      <c r="AT25" s="55"/>
      <c r="AU25" s="341"/>
      <c r="AV25" s="406"/>
      <c r="AW25" s="406"/>
      <c r="AX25" s="538"/>
    </row>
    <row r="26" spans="1:50">
      <c r="A26" s="5"/>
      <c r="B26" s="44" t="s">
        <v>3369</v>
      </c>
      <c r="C26" s="44" t="s">
        <v>726</v>
      </c>
      <c r="D26" s="44" t="s">
        <v>784</v>
      </c>
      <c r="E26" s="44" t="s">
        <v>1927</v>
      </c>
      <c r="F26" s="44" t="s">
        <v>2960</v>
      </c>
      <c r="G26" s="44" t="s">
        <v>1929</v>
      </c>
      <c r="H26" s="44" t="s">
        <v>116</v>
      </c>
      <c r="I26" s="44" t="s">
        <v>2600</v>
      </c>
      <c r="J26" s="328">
        <v>28.83</v>
      </c>
      <c r="K26" s="550">
        <v>0</v>
      </c>
      <c r="L26" s="550">
        <v>0</v>
      </c>
      <c r="M26" s="550">
        <v>0</v>
      </c>
      <c r="N26" s="550">
        <v>2.79</v>
      </c>
      <c r="O26" s="550">
        <v>66.45</v>
      </c>
      <c r="P26" s="550">
        <v>141.47</v>
      </c>
      <c r="Q26" s="550">
        <v>129.33000000000001</v>
      </c>
      <c r="R26" s="550">
        <v>154.36000000000001</v>
      </c>
      <c r="S26" s="550">
        <v>135.63999999999999</v>
      </c>
      <c r="T26" s="550">
        <v>156.56</v>
      </c>
      <c r="U26" s="550">
        <v>199.3</v>
      </c>
      <c r="V26" s="550">
        <v>226.71</v>
      </c>
      <c r="W26" s="550">
        <v>231.22</v>
      </c>
      <c r="X26" s="550">
        <v>255.71</v>
      </c>
      <c r="Y26" s="550">
        <v>242.31</v>
      </c>
      <c r="Z26" s="550">
        <v>268.58999999999997</v>
      </c>
      <c r="AA26" s="550">
        <v>304.81</v>
      </c>
      <c r="AB26" s="550">
        <v>449.56</v>
      </c>
      <c r="AC26" s="550">
        <v>547.32000000000005</v>
      </c>
      <c r="AD26" s="550">
        <v>688.98</v>
      </c>
      <c r="AE26" s="550">
        <v>689.86</v>
      </c>
      <c r="AF26" s="550">
        <v>684.34</v>
      </c>
      <c r="AG26" s="550">
        <v>669.42</v>
      </c>
      <c r="AH26" s="550">
        <v>652.30999999999995</v>
      </c>
      <c r="AI26" s="550">
        <v>642.71</v>
      </c>
      <c r="AJ26" s="550">
        <v>630.71</v>
      </c>
      <c r="AK26" s="550">
        <v>620.09</v>
      </c>
      <c r="AL26" s="550">
        <v>610.12</v>
      </c>
      <c r="AM26" s="173" t="str">
        <f t="shared" si="0"/>
        <v>SUBS - Azerbaijan</v>
      </c>
      <c r="AN26" s="173" t="s">
        <v>543</v>
      </c>
      <c r="AO26" s="5"/>
      <c r="AS26" s="486"/>
      <c r="AT26" s="55"/>
      <c r="AU26" s="341"/>
      <c r="AV26" s="406"/>
      <c r="AW26" s="406"/>
      <c r="AX26" s="538"/>
    </row>
    <row r="27" spans="1:50">
      <c r="A27" s="5"/>
      <c r="B27" s="44" t="s">
        <v>3369</v>
      </c>
      <c r="C27" s="44" t="s">
        <v>785</v>
      </c>
      <c r="D27" s="44" t="s">
        <v>2499</v>
      </c>
      <c r="E27" s="44" t="s">
        <v>1927</v>
      </c>
      <c r="F27" s="44" t="s">
        <v>1928</v>
      </c>
      <c r="G27" s="44" t="s">
        <v>1929</v>
      </c>
      <c r="H27" s="44" t="s">
        <v>116</v>
      </c>
      <c r="I27" s="44" t="s">
        <v>1931</v>
      </c>
      <c r="J27" s="328">
        <v>12.5</v>
      </c>
      <c r="K27" s="550">
        <v>0</v>
      </c>
      <c r="L27" s="550">
        <v>1.7999999999999999E-2</v>
      </c>
      <c r="M27" s="550">
        <v>6.4859999999999998</v>
      </c>
      <c r="N27" s="550">
        <v>3.702</v>
      </c>
      <c r="O27" s="550">
        <v>5.0039999999999996</v>
      </c>
      <c r="P27" s="550">
        <v>4.3920000000000003</v>
      </c>
      <c r="Q27" s="550">
        <v>4.3620000000000001</v>
      </c>
      <c r="R27" s="550">
        <v>5.3220000000000001</v>
      </c>
      <c r="S27" s="550">
        <v>6.9660000000000002</v>
      </c>
      <c r="T27" s="550">
        <v>17.352</v>
      </c>
      <c r="U27" s="550">
        <v>27.684000000000001</v>
      </c>
      <c r="V27" s="550">
        <v>40.475999999999999</v>
      </c>
      <c r="W27" s="550">
        <v>47.537999999999997</v>
      </c>
      <c r="X27" s="550">
        <v>48.881999999999998</v>
      </c>
      <c r="Y27" s="550">
        <v>44.395000000000003</v>
      </c>
      <c r="Z27" s="550">
        <v>36.945</v>
      </c>
      <c r="AA27" s="550">
        <v>40.954999999999998</v>
      </c>
      <c r="AB27" s="550">
        <v>42.134999999999998</v>
      </c>
      <c r="AC27" s="550">
        <v>44.034999999999997</v>
      </c>
      <c r="AD27" s="550">
        <v>50.68</v>
      </c>
      <c r="AE27" s="550">
        <v>50.645000000000003</v>
      </c>
      <c r="AF27" s="550">
        <v>50.625</v>
      </c>
      <c r="AG27" s="550">
        <v>50.25</v>
      </c>
      <c r="AH27" s="550">
        <v>50.22</v>
      </c>
      <c r="AI27" s="550">
        <v>50.475000000000001</v>
      </c>
      <c r="AJ27" s="550">
        <v>50.74</v>
      </c>
      <c r="AK27" s="550">
        <v>51.04</v>
      </c>
      <c r="AL27" s="550">
        <v>51.384999999999998</v>
      </c>
      <c r="AM27" s="173" t="str">
        <f t="shared" si="0"/>
        <v>EAI - Bolivia</v>
      </c>
      <c r="AN27" s="173" t="s">
        <v>3119</v>
      </c>
      <c r="AO27" s="5"/>
      <c r="AS27" s="486"/>
      <c r="AT27" s="55"/>
      <c r="AU27" s="341"/>
      <c r="AV27" s="406"/>
      <c r="AW27" s="406"/>
      <c r="AX27" s="538"/>
    </row>
    <row r="28" spans="1:50">
      <c r="A28" s="5"/>
      <c r="B28" s="44" t="s">
        <v>3369</v>
      </c>
      <c r="C28" s="44" t="s">
        <v>1880</v>
      </c>
      <c r="D28" s="44" t="s">
        <v>2425</v>
      </c>
      <c r="E28" s="44" t="s">
        <v>1927</v>
      </c>
      <c r="F28" s="44" t="s">
        <v>1928</v>
      </c>
      <c r="G28" s="44" t="s">
        <v>3374</v>
      </c>
      <c r="H28" s="44" t="s">
        <v>116</v>
      </c>
      <c r="I28" s="44" t="s">
        <v>1931</v>
      </c>
      <c r="J28" s="328">
        <v>100</v>
      </c>
      <c r="K28" s="550">
        <v>393.66</v>
      </c>
      <c r="L28" s="550">
        <v>315.43</v>
      </c>
      <c r="M28" s="550">
        <v>272.05</v>
      </c>
      <c r="N28" s="550">
        <v>247.94</v>
      </c>
      <c r="O28" s="550">
        <v>225.27</v>
      </c>
      <c r="P28" s="550">
        <v>205.8</v>
      </c>
      <c r="Q28" s="550">
        <v>209.45</v>
      </c>
      <c r="R28" s="550">
        <v>162.15</v>
      </c>
      <c r="S28" s="550">
        <v>11.76</v>
      </c>
      <c r="T28" s="550">
        <v>10.92</v>
      </c>
      <c r="U28" s="550">
        <v>9.24</v>
      </c>
      <c r="V28" s="550">
        <v>8.4</v>
      </c>
      <c r="W28" s="550">
        <v>8.4</v>
      </c>
      <c r="X28" s="550">
        <v>8.4</v>
      </c>
      <c r="Y28" s="550">
        <v>7.98</v>
      </c>
      <c r="Z28" s="550">
        <v>7.56</v>
      </c>
      <c r="AA28" s="550">
        <v>6.97</v>
      </c>
      <c r="AB28" s="550">
        <v>6.47</v>
      </c>
      <c r="AC28" s="550">
        <v>5.96</v>
      </c>
      <c r="AD28" s="550">
        <v>5.54</v>
      </c>
      <c r="AE28" s="550">
        <v>5.12</v>
      </c>
      <c r="AF28" s="550">
        <v>4.7</v>
      </c>
      <c r="AG28" s="550">
        <v>4.37</v>
      </c>
      <c r="AH28" s="550">
        <v>3.95</v>
      </c>
      <c r="AI28" s="550">
        <v>3.61</v>
      </c>
      <c r="AJ28" s="550">
        <v>3.28</v>
      </c>
      <c r="AK28" s="550">
        <v>2.94</v>
      </c>
      <c r="AL28" s="550">
        <v>2.6</v>
      </c>
      <c r="AM28" s="173" t="str">
        <f t="shared" si="0"/>
        <v>SUBS - Canada (Alberta)</v>
      </c>
      <c r="AN28" s="173" t="s">
        <v>543</v>
      </c>
      <c r="AO28" s="5"/>
      <c r="AS28" s="486"/>
      <c r="AT28" s="55"/>
      <c r="AU28" s="341"/>
      <c r="AV28" s="406"/>
      <c r="AW28" s="406"/>
      <c r="AX28" s="538"/>
    </row>
    <row r="29" spans="1:50">
      <c r="A29" s="5"/>
      <c r="B29" s="44" t="s">
        <v>3369</v>
      </c>
      <c r="C29" s="44" t="s">
        <v>1878</v>
      </c>
      <c r="D29" s="44" t="s">
        <v>1879</v>
      </c>
      <c r="E29" s="44" t="s">
        <v>1927</v>
      </c>
      <c r="F29" s="44" t="s">
        <v>1928</v>
      </c>
      <c r="G29" s="44" t="s">
        <v>1930</v>
      </c>
      <c r="H29" s="44" t="s">
        <v>106</v>
      </c>
      <c r="I29" s="44" t="s">
        <v>1931</v>
      </c>
      <c r="J29" s="328">
        <v>15.73</v>
      </c>
      <c r="K29" s="550">
        <v>7.67</v>
      </c>
      <c r="L29" s="550">
        <v>5.62</v>
      </c>
      <c r="M29" s="550">
        <v>3.23</v>
      </c>
      <c r="N29" s="550">
        <v>1.45</v>
      </c>
      <c r="O29" s="550">
        <v>0.98</v>
      </c>
      <c r="P29" s="550">
        <v>0.76</v>
      </c>
      <c r="Q29" s="550">
        <v>0.67</v>
      </c>
      <c r="R29" s="550">
        <v>0.56999999999999995</v>
      </c>
      <c r="S29" s="550">
        <v>0.51</v>
      </c>
      <c r="T29" s="550">
        <v>0.28999999999999998</v>
      </c>
      <c r="U29" s="550">
        <v>0</v>
      </c>
      <c r="V29" s="550">
        <v>0</v>
      </c>
      <c r="W29" s="550">
        <v>0</v>
      </c>
      <c r="X29" s="550">
        <v>0</v>
      </c>
      <c r="Y29" s="550">
        <v>0</v>
      </c>
      <c r="Z29" s="550">
        <v>0</v>
      </c>
      <c r="AA29" s="550">
        <v>0</v>
      </c>
      <c r="AB29" s="550">
        <v>0</v>
      </c>
      <c r="AC29" s="550">
        <v>0</v>
      </c>
      <c r="AD29" s="550">
        <v>0</v>
      </c>
      <c r="AE29" s="550">
        <v>0</v>
      </c>
      <c r="AF29" s="550">
        <v>0</v>
      </c>
      <c r="AG29" s="550">
        <v>0</v>
      </c>
      <c r="AH29" s="550">
        <v>0</v>
      </c>
      <c r="AI29" s="550">
        <v>0</v>
      </c>
      <c r="AJ29" s="550">
        <v>0</v>
      </c>
      <c r="AK29" s="550">
        <v>0</v>
      </c>
      <c r="AL29" s="550">
        <v>0</v>
      </c>
      <c r="AM29" s="173" t="str">
        <f t="shared" si="0"/>
        <v>SUBS - Canada (Arctic)</v>
      </c>
      <c r="AN29" s="173" t="s">
        <v>543</v>
      </c>
      <c r="AO29" s="5"/>
      <c r="AS29" s="486"/>
      <c r="AT29" s="55"/>
      <c r="AU29" s="341"/>
      <c r="AV29" s="406"/>
      <c r="AW29" s="406"/>
      <c r="AX29" s="538"/>
    </row>
    <row r="30" spans="1:50">
      <c r="A30" s="5"/>
      <c r="B30" s="44" t="s">
        <v>3369</v>
      </c>
      <c r="C30" s="44" t="s">
        <v>2426</v>
      </c>
      <c r="D30" s="44" t="s">
        <v>212</v>
      </c>
      <c r="E30" s="44" t="s">
        <v>2254</v>
      </c>
      <c r="F30" s="44" t="s">
        <v>1928</v>
      </c>
      <c r="G30" s="44" t="s">
        <v>1931</v>
      </c>
      <c r="H30" s="44" t="s">
        <v>116</v>
      </c>
      <c r="I30" s="44" t="s">
        <v>1931</v>
      </c>
      <c r="J30" s="328">
        <v>100</v>
      </c>
      <c r="K30" s="550">
        <v>28.29</v>
      </c>
      <c r="L30" s="550">
        <v>33.51</v>
      </c>
      <c r="M30" s="550">
        <v>34.950000000000003</v>
      </c>
      <c r="N30" s="550">
        <v>33.99</v>
      </c>
      <c r="O30" s="550">
        <v>33.1</v>
      </c>
      <c r="P30" s="550">
        <v>39.119999999999997</v>
      </c>
      <c r="Q30" s="550">
        <v>53.08</v>
      </c>
      <c r="R30" s="550">
        <v>39.06</v>
      </c>
      <c r="S30" s="550">
        <v>0</v>
      </c>
      <c r="T30" s="550">
        <v>0</v>
      </c>
      <c r="U30" s="550">
        <v>0</v>
      </c>
      <c r="V30" s="550">
        <v>0</v>
      </c>
      <c r="W30" s="550">
        <v>0</v>
      </c>
      <c r="X30" s="550">
        <v>0</v>
      </c>
      <c r="Y30" s="550">
        <v>0</v>
      </c>
      <c r="Z30" s="550">
        <v>0</v>
      </c>
      <c r="AA30" s="550">
        <v>0</v>
      </c>
      <c r="AB30" s="550">
        <v>0</v>
      </c>
      <c r="AC30" s="550">
        <v>0</v>
      </c>
      <c r="AD30" s="550">
        <v>0</v>
      </c>
      <c r="AE30" s="550">
        <v>0</v>
      </c>
      <c r="AF30" s="550">
        <v>0</v>
      </c>
      <c r="AG30" s="550">
        <v>0</v>
      </c>
      <c r="AH30" s="550">
        <v>0</v>
      </c>
      <c r="AI30" s="550">
        <v>0</v>
      </c>
      <c r="AJ30" s="550">
        <v>0</v>
      </c>
      <c r="AK30" s="550">
        <v>0</v>
      </c>
      <c r="AL30" s="550">
        <v>0</v>
      </c>
      <c r="AM30" s="173" t="str">
        <f t="shared" si="0"/>
        <v>SUBS - Canada (British Columbia)</v>
      </c>
      <c r="AN30" s="173" t="s">
        <v>543</v>
      </c>
      <c r="AO30" s="5"/>
      <c r="AS30" s="486"/>
      <c r="AT30" s="55"/>
      <c r="AU30" s="341"/>
      <c r="AV30" s="406"/>
      <c r="AW30" s="406"/>
      <c r="AX30" s="538"/>
    </row>
    <row r="31" spans="1:50">
      <c r="A31" s="5"/>
      <c r="B31" s="44" t="s">
        <v>3369</v>
      </c>
      <c r="C31" s="44" t="s">
        <v>216</v>
      </c>
      <c r="D31" s="44" t="s">
        <v>2246</v>
      </c>
      <c r="E31" s="44" t="s">
        <v>1927</v>
      </c>
      <c r="F31" s="44" t="s">
        <v>2960</v>
      </c>
      <c r="G31" s="44" t="s">
        <v>1931</v>
      </c>
      <c r="H31" s="44" t="s">
        <v>116</v>
      </c>
      <c r="I31" s="44" t="s">
        <v>2600</v>
      </c>
      <c r="J31" s="328">
        <v>34.299999999999997</v>
      </c>
      <c r="K31" s="550">
        <v>79.61</v>
      </c>
      <c r="L31" s="550">
        <v>104.27</v>
      </c>
      <c r="M31" s="550">
        <v>104.27</v>
      </c>
      <c r="N31" s="550">
        <v>101.28</v>
      </c>
      <c r="O31" s="550">
        <v>85.94</v>
      </c>
      <c r="P31" s="550">
        <v>91.14</v>
      </c>
      <c r="Q31" s="550">
        <v>83.03</v>
      </c>
      <c r="R31" s="550">
        <v>93.63</v>
      </c>
      <c r="S31" s="550">
        <v>69.680000000000007</v>
      </c>
      <c r="T31" s="550">
        <v>66.36</v>
      </c>
      <c r="U31" s="550">
        <v>0</v>
      </c>
      <c r="V31" s="550">
        <v>0</v>
      </c>
      <c r="W31" s="550">
        <v>0</v>
      </c>
      <c r="X31" s="550">
        <v>0</v>
      </c>
      <c r="Y31" s="550">
        <v>0</v>
      </c>
      <c r="Z31" s="550">
        <v>0</v>
      </c>
      <c r="AA31" s="550">
        <v>0</v>
      </c>
      <c r="AB31" s="550">
        <v>0</v>
      </c>
      <c r="AC31" s="550">
        <v>0</v>
      </c>
      <c r="AD31" s="550">
        <v>0</v>
      </c>
      <c r="AE31" s="550">
        <v>0</v>
      </c>
      <c r="AF31" s="550">
        <v>0</v>
      </c>
      <c r="AG31" s="550">
        <v>0</v>
      </c>
      <c r="AH31" s="550">
        <v>0</v>
      </c>
      <c r="AI31" s="550">
        <v>0</v>
      </c>
      <c r="AJ31" s="550">
        <v>0</v>
      </c>
      <c r="AK31" s="550">
        <v>0</v>
      </c>
      <c r="AL31" s="550">
        <v>0</v>
      </c>
      <c r="AM31" s="173" t="str">
        <f t="shared" si="0"/>
        <v>SUBS - China</v>
      </c>
      <c r="AN31" s="173" t="s">
        <v>543</v>
      </c>
      <c r="AO31" s="5"/>
      <c r="AS31" s="486"/>
      <c r="AT31" s="55"/>
      <c r="AU31" s="341"/>
      <c r="AV31" s="406"/>
      <c r="AW31" s="406"/>
      <c r="AX31" s="538"/>
    </row>
    <row r="32" spans="1:50">
      <c r="A32" s="5"/>
      <c r="B32" s="44" t="s">
        <v>3369</v>
      </c>
      <c r="C32" s="44" t="s">
        <v>2247</v>
      </c>
      <c r="D32" s="44" t="s">
        <v>3549</v>
      </c>
      <c r="E32" s="44" t="s">
        <v>1927</v>
      </c>
      <c r="F32" s="44" t="s">
        <v>1928</v>
      </c>
      <c r="G32" s="44" t="s">
        <v>1929</v>
      </c>
      <c r="H32" s="44" t="s">
        <v>116</v>
      </c>
      <c r="I32" s="44" t="s">
        <v>1931</v>
      </c>
      <c r="J32" s="328">
        <v>31</v>
      </c>
      <c r="K32" s="550">
        <v>0</v>
      </c>
      <c r="L32" s="550">
        <v>0</v>
      </c>
      <c r="M32" s="550">
        <v>0</v>
      </c>
      <c r="N32" s="550">
        <v>0</v>
      </c>
      <c r="O32" s="550">
        <v>0</v>
      </c>
      <c r="P32" s="550">
        <v>0</v>
      </c>
      <c r="Q32" s="550">
        <v>7.2</v>
      </c>
      <c r="R32" s="550">
        <v>1.77</v>
      </c>
      <c r="S32" s="550">
        <v>0</v>
      </c>
      <c r="T32" s="550">
        <v>0</v>
      </c>
      <c r="U32" s="550">
        <v>0</v>
      </c>
      <c r="V32" s="550">
        <v>0</v>
      </c>
      <c r="W32" s="550">
        <v>0</v>
      </c>
      <c r="X32" s="550">
        <v>0</v>
      </c>
      <c r="Y32" s="550">
        <v>0</v>
      </c>
      <c r="Z32" s="550">
        <v>0</v>
      </c>
      <c r="AA32" s="550">
        <v>0</v>
      </c>
      <c r="AB32" s="550">
        <v>0</v>
      </c>
      <c r="AC32" s="550">
        <v>0</v>
      </c>
      <c r="AD32" s="550">
        <v>0</v>
      </c>
      <c r="AE32" s="550">
        <v>0</v>
      </c>
      <c r="AF32" s="550">
        <v>0</v>
      </c>
      <c r="AG32" s="550">
        <v>0</v>
      </c>
      <c r="AH32" s="550">
        <v>0</v>
      </c>
      <c r="AI32" s="550">
        <v>0</v>
      </c>
      <c r="AJ32" s="550">
        <v>0</v>
      </c>
      <c r="AK32" s="550">
        <v>0</v>
      </c>
      <c r="AL32" s="550">
        <v>0</v>
      </c>
      <c r="AM32" s="173" t="str">
        <f t="shared" si="0"/>
        <v>SUBS - Colombia</v>
      </c>
      <c r="AN32" s="173" t="s">
        <v>543</v>
      </c>
      <c r="AO32" s="5"/>
      <c r="AS32" s="486"/>
      <c r="AT32" s="55"/>
      <c r="AU32" s="341"/>
      <c r="AV32" s="406"/>
      <c r="AW32" s="406"/>
      <c r="AX32" s="538"/>
    </row>
    <row r="33" spans="1:50">
      <c r="A33" s="5"/>
      <c r="B33" s="44" t="s">
        <v>3369</v>
      </c>
      <c r="C33" s="44" t="s">
        <v>2247</v>
      </c>
      <c r="D33" s="44" t="s">
        <v>2249</v>
      </c>
      <c r="E33" s="44" t="s">
        <v>1927</v>
      </c>
      <c r="F33" s="44" t="s">
        <v>1928</v>
      </c>
      <c r="G33" s="44" t="s">
        <v>3374</v>
      </c>
      <c r="H33" s="44" t="s">
        <v>116</v>
      </c>
      <c r="I33" s="44" t="s">
        <v>1931</v>
      </c>
      <c r="J33" s="328">
        <v>31</v>
      </c>
      <c r="K33" s="550">
        <v>0</v>
      </c>
      <c r="L33" s="550">
        <v>0</v>
      </c>
      <c r="M33" s="550">
        <v>0</v>
      </c>
      <c r="N33" s="550">
        <v>0</v>
      </c>
      <c r="O33" s="550">
        <v>0</v>
      </c>
      <c r="P33" s="550">
        <v>0</v>
      </c>
      <c r="Q33" s="550">
        <v>0</v>
      </c>
      <c r="R33" s="550">
        <v>0.01</v>
      </c>
      <c r="S33" s="550">
        <v>0</v>
      </c>
      <c r="T33" s="550">
        <v>0</v>
      </c>
      <c r="U33" s="550">
        <v>0</v>
      </c>
      <c r="V33" s="550">
        <v>0</v>
      </c>
      <c r="W33" s="550">
        <v>0</v>
      </c>
      <c r="X33" s="550">
        <v>0</v>
      </c>
      <c r="Y33" s="550">
        <v>0</v>
      </c>
      <c r="Z33" s="550">
        <v>0</v>
      </c>
      <c r="AA33" s="550">
        <v>0</v>
      </c>
      <c r="AB33" s="550">
        <v>0</v>
      </c>
      <c r="AC33" s="550">
        <v>0</v>
      </c>
      <c r="AD33" s="550">
        <v>0</v>
      </c>
      <c r="AE33" s="550">
        <v>0</v>
      </c>
      <c r="AF33" s="550">
        <v>0</v>
      </c>
      <c r="AG33" s="550">
        <v>0</v>
      </c>
      <c r="AH33" s="550">
        <v>0</v>
      </c>
      <c r="AI33" s="550">
        <v>0</v>
      </c>
      <c r="AJ33" s="550">
        <v>0</v>
      </c>
      <c r="AK33" s="550">
        <v>0</v>
      </c>
      <c r="AL33" s="550">
        <v>0</v>
      </c>
      <c r="AM33" s="173" t="str">
        <f t="shared" ref="AM33:AM36" si="3">AN33&amp;" - "&amp;C33</f>
        <v>SUBS - Colombia</v>
      </c>
      <c r="AN33" s="173" t="s">
        <v>543</v>
      </c>
      <c r="AO33" s="5"/>
      <c r="AS33" s="486"/>
      <c r="AT33" s="55"/>
      <c r="AU33" s="341"/>
      <c r="AV33" s="406"/>
      <c r="AW33" s="406"/>
      <c r="AX33" s="538"/>
    </row>
    <row r="34" spans="1:50">
      <c r="A34" s="5"/>
      <c r="B34" s="44" t="s">
        <v>3369</v>
      </c>
      <c r="C34" s="44" t="s">
        <v>2247</v>
      </c>
      <c r="D34" s="44" t="s">
        <v>3657</v>
      </c>
      <c r="E34" s="44" t="s">
        <v>1927</v>
      </c>
      <c r="F34" s="44" t="s">
        <v>1928</v>
      </c>
      <c r="G34" s="44" t="s">
        <v>1931</v>
      </c>
      <c r="H34" s="44" t="s">
        <v>116</v>
      </c>
      <c r="I34" s="44" t="s">
        <v>1931</v>
      </c>
      <c r="J34" s="328">
        <v>31</v>
      </c>
      <c r="K34" s="550">
        <v>0</v>
      </c>
      <c r="L34" s="550">
        <v>0</v>
      </c>
      <c r="M34" s="550">
        <v>0</v>
      </c>
      <c r="N34" s="550">
        <v>1.44</v>
      </c>
      <c r="O34" s="550">
        <v>1.98</v>
      </c>
      <c r="P34" s="550">
        <v>1.98</v>
      </c>
      <c r="Q34" s="550">
        <v>2.16</v>
      </c>
      <c r="R34" s="550">
        <v>2.56</v>
      </c>
      <c r="S34" s="550">
        <v>0</v>
      </c>
      <c r="T34" s="550">
        <v>0</v>
      </c>
      <c r="U34" s="550">
        <v>0</v>
      </c>
      <c r="V34" s="550">
        <v>0</v>
      </c>
      <c r="W34" s="550">
        <v>0</v>
      </c>
      <c r="X34" s="550">
        <v>0</v>
      </c>
      <c r="Y34" s="550">
        <v>0</v>
      </c>
      <c r="Z34" s="550">
        <v>0</v>
      </c>
      <c r="AA34" s="550">
        <v>0</v>
      </c>
      <c r="AB34" s="550">
        <v>0</v>
      </c>
      <c r="AC34" s="550">
        <v>0</v>
      </c>
      <c r="AD34" s="550">
        <v>0</v>
      </c>
      <c r="AE34" s="550">
        <v>0</v>
      </c>
      <c r="AF34" s="550">
        <v>0</v>
      </c>
      <c r="AG34" s="550">
        <v>0</v>
      </c>
      <c r="AH34" s="550">
        <v>0</v>
      </c>
      <c r="AI34" s="550">
        <v>0</v>
      </c>
      <c r="AJ34" s="550">
        <v>0</v>
      </c>
      <c r="AK34" s="550">
        <v>0</v>
      </c>
      <c r="AL34" s="550">
        <v>0</v>
      </c>
      <c r="AM34" s="173" t="str">
        <f t="shared" si="3"/>
        <v>SUBS - Colombia</v>
      </c>
      <c r="AN34" s="173" t="s">
        <v>543</v>
      </c>
      <c r="AO34" s="5"/>
      <c r="AS34" s="486"/>
      <c r="AT34" s="55"/>
      <c r="AU34" s="341"/>
      <c r="AV34" s="406"/>
      <c r="AW34" s="406"/>
      <c r="AX34" s="538"/>
    </row>
    <row r="35" spans="1:50">
      <c r="A35" s="5"/>
      <c r="B35" s="44" t="s">
        <v>3369</v>
      </c>
      <c r="C35" s="44" t="s">
        <v>2247</v>
      </c>
      <c r="D35" s="44" t="s">
        <v>3658</v>
      </c>
      <c r="E35" s="44" t="s">
        <v>1927</v>
      </c>
      <c r="F35" s="44" t="s">
        <v>1928</v>
      </c>
      <c r="G35" s="44" t="s">
        <v>3374</v>
      </c>
      <c r="H35" s="44" t="s">
        <v>116</v>
      </c>
      <c r="I35" s="44" t="s">
        <v>1931</v>
      </c>
      <c r="J35" s="328">
        <v>18</v>
      </c>
      <c r="K35" s="550">
        <v>0</v>
      </c>
      <c r="L35" s="550">
        <v>0</v>
      </c>
      <c r="M35" s="550">
        <v>0</v>
      </c>
      <c r="N35" s="550">
        <v>19.73</v>
      </c>
      <c r="O35" s="550">
        <v>27.28</v>
      </c>
      <c r="P35" s="550">
        <v>27.28</v>
      </c>
      <c r="Q35" s="550">
        <v>29.69</v>
      </c>
      <c r="R35" s="550">
        <v>35.21</v>
      </c>
      <c r="S35" s="550">
        <v>0</v>
      </c>
      <c r="T35" s="550">
        <v>0</v>
      </c>
      <c r="U35" s="550">
        <v>0</v>
      </c>
      <c r="V35" s="550">
        <v>0</v>
      </c>
      <c r="W35" s="550">
        <v>0</v>
      </c>
      <c r="X35" s="550">
        <v>0</v>
      </c>
      <c r="Y35" s="550">
        <v>0</v>
      </c>
      <c r="Z35" s="550">
        <v>0</v>
      </c>
      <c r="AA35" s="550">
        <v>0</v>
      </c>
      <c r="AB35" s="550">
        <v>0</v>
      </c>
      <c r="AC35" s="550">
        <v>0</v>
      </c>
      <c r="AD35" s="550">
        <v>0</v>
      </c>
      <c r="AE35" s="550">
        <v>0</v>
      </c>
      <c r="AF35" s="550">
        <v>0</v>
      </c>
      <c r="AG35" s="550">
        <v>0</v>
      </c>
      <c r="AH35" s="550">
        <v>0</v>
      </c>
      <c r="AI35" s="550">
        <v>0</v>
      </c>
      <c r="AJ35" s="550">
        <v>0</v>
      </c>
      <c r="AK35" s="550">
        <v>0</v>
      </c>
      <c r="AL35" s="550">
        <v>0</v>
      </c>
      <c r="AM35" s="173" t="str">
        <f t="shared" si="3"/>
        <v>SUBS - Colombia</v>
      </c>
      <c r="AN35" s="173" t="s">
        <v>543</v>
      </c>
      <c r="AO35" s="5"/>
      <c r="AS35" s="486"/>
      <c r="AT35" s="55"/>
      <c r="AU35" s="341"/>
      <c r="AV35" s="406"/>
      <c r="AW35" s="406"/>
      <c r="AX35" s="538"/>
    </row>
    <row r="36" spans="1:50">
      <c r="A36" s="5"/>
      <c r="B36" s="44" t="s">
        <v>3369</v>
      </c>
      <c r="C36" s="44" t="s">
        <v>2247</v>
      </c>
      <c r="D36" s="44" t="s">
        <v>3659</v>
      </c>
      <c r="E36" s="44" t="s">
        <v>1927</v>
      </c>
      <c r="F36" s="44" t="s">
        <v>1928</v>
      </c>
      <c r="G36" s="44" t="s">
        <v>1932</v>
      </c>
      <c r="H36" s="44" t="s">
        <v>116</v>
      </c>
      <c r="I36" s="44" t="s">
        <v>1931</v>
      </c>
      <c r="J36" s="328">
        <v>31</v>
      </c>
      <c r="K36" s="550">
        <v>0</v>
      </c>
      <c r="L36" s="550">
        <v>0</v>
      </c>
      <c r="M36" s="550">
        <v>0</v>
      </c>
      <c r="N36" s="550">
        <v>14.71</v>
      </c>
      <c r="O36" s="550">
        <v>20.34</v>
      </c>
      <c r="P36" s="550">
        <v>20.34</v>
      </c>
      <c r="Q36" s="550">
        <v>22.13</v>
      </c>
      <c r="R36" s="550">
        <v>10.32</v>
      </c>
      <c r="S36" s="550">
        <v>0</v>
      </c>
      <c r="T36" s="550">
        <v>0</v>
      </c>
      <c r="U36" s="550">
        <v>0</v>
      </c>
      <c r="V36" s="550">
        <v>0</v>
      </c>
      <c r="W36" s="550">
        <v>0</v>
      </c>
      <c r="X36" s="550">
        <v>0</v>
      </c>
      <c r="Y36" s="550">
        <v>0</v>
      </c>
      <c r="Z36" s="550">
        <v>0</v>
      </c>
      <c r="AA36" s="550">
        <v>0</v>
      </c>
      <c r="AB36" s="550">
        <v>0</v>
      </c>
      <c r="AC36" s="550">
        <v>0</v>
      </c>
      <c r="AD36" s="550">
        <v>0</v>
      </c>
      <c r="AE36" s="550">
        <v>0</v>
      </c>
      <c r="AF36" s="550">
        <v>0</v>
      </c>
      <c r="AG36" s="550">
        <v>0</v>
      </c>
      <c r="AH36" s="550">
        <v>0</v>
      </c>
      <c r="AI36" s="550">
        <v>0</v>
      </c>
      <c r="AJ36" s="550">
        <v>0</v>
      </c>
      <c r="AK36" s="550">
        <v>0</v>
      </c>
      <c r="AL36" s="550">
        <v>0</v>
      </c>
      <c r="AM36" s="173" t="str">
        <f t="shared" si="3"/>
        <v>SUBS - Colombia</v>
      </c>
      <c r="AN36" s="173" t="s">
        <v>543</v>
      </c>
      <c r="AO36" s="5"/>
      <c r="AS36" s="486"/>
      <c r="AT36" s="55"/>
      <c r="AU36" s="341"/>
      <c r="AV36" s="406"/>
      <c r="AW36" s="406"/>
      <c r="AX36" s="538"/>
    </row>
    <row r="37" spans="1:50">
      <c r="A37" s="5"/>
      <c r="B37" s="44" t="s">
        <v>3369</v>
      </c>
      <c r="C37" s="44" t="s">
        <v>2247</v>
      </c>
      <c r="D37" s="44" t="s">
        <v>2250</v>
      </c>
      <c r="E37" s="44" t="s">
        <v>1927</v>
      </c>
      <c r="F37" s="44" t="s">
        <v>1928</v>
      </c>
      <c r="G37" s="44" t="s">
        <v>1929</v>
      </c>
      <c r="H37" s="44" t="s">
        <v>116</v>
      </c>
      <c r="I37" s="44" t="s">
        <v>1931</v>
      </c>
      <c r="J37" s="328">
        <v>50</v>
      </c>
      <c r="K37" s="550">
        <v>0</v>
      </c>
      <c r="L37" s="550">
        <v>4</v>
      </c>
      <c r="M37" s="550">
        <v>2.5</v>
      </c>
      <c r="N37" s="550">
        <v>2.5</v>
      </c>
      <c r="O37" s="550">
        <v>7.5</v>
      </c>
      <c r="P37" s="550">
        <v>7.5</v>
      </c>
      <c r="Q37" s="550">
        <v>29.62</v>
      </c>
      <c r="R37" s="550">
        <v>43.08</v>
      </c>
      <c r="S37" s="550">
        <v>0</v>
      </c>
      <c r="T37" s="550">
        <v>0</v>
      </c>
      <c r="U37" s="550">
        <v>0</v>
      </c>
      <c r="V37" s="550">
        <v>0</v>
      </c>
      <c r="W37" s="550">
        <v>0</v>
      </c>
      <c r="X37" s="550">
        <v>0</v>
      </c>
      <c r="Y37" s="550">
        <v>0</v>
      </c>
      <c r="Z37" s="550">
        <v>0</v>
      </c>
      <c r="AA37" s="550">
        <v>0</v>
      </c>
      <c r="AB37" s="550">
        <v>0</v>
      </c>
      <c r="AC37" s="550">
        <v>0</v>
      </c>
      <c r="AD37" s="550">
        <v>0</v>
      </c>
      <c r="AE37" s="550">
        <v>0</v>
      </c>
      <c r="AF37" s="550">
        <v>0</v>
      </c>
      <c r="AG37" s="550">
        <v>0</v>
      </c>
      <c r="AH37" s="550">
        <v>0</v>
      </c>
      <c r="AI37" s="550">
        <v>0</v>
      </c>
      <c r="AJ37" s="550">
        <v>0</v>
      </c>
      <c r="AK37" s="550">
        <v>0</v>
      </c>
      <c r="AL37" s="550">
        <v>0</v>
      </c>
      <c r="AM37" s="173" t="str">
        <f t="shared" si="0"/>
        <v>SUBS - Colombia</v>
      </c>
      <c r="AN37" s="173" t="s">
        <v>543</v>
      </c>
      <c r="AO37" s="5"/>
      <c r="AS37" s="486"/>
      <c r="AT37" s="55"/>
      <c r="AU37" s="341"/>
      <c r="AV37" s="406"/>
      <c r="AW37" s="406"/>
      <c r="AX37" s="538"/>
    </row>
    <row r="38" spans="1:50">
      <c r="A38" s="5"/>
      <c r="B38" s="44" t="s">
        <v>3369</v>
      </c>
      <c r="C38" s="44" t="s">
        <v>2251</v>
      </c>
      <c r="D38" s="44" t="s">
        <v>2929</v>
      </c>
      <c r="E38" s="44" t="s">
        <v>1927</v>
      </c>
      <c r="F38" s="44" t="s">
        <v>1928</v>
      </c>
      <c r="G38" s="44" t="s">
        <v>3374</v>
      </c>
      <c r="H38" s="44" t="s">
        <v>116</v>
      </c>
      <c r="I38" s="44" t="s">
        <v>1931</v>
      </c>
      <c r="J38" s="328">
        <v>100</v>
      </c>
      <c r="K38" s="550">
        <v>6.64</v>
      </c>
      <c r="L38" s="550">
        <v>5.6</v>
      </c>
      <c r="M38" s="550">
        <v>5.8</v>
      </c>
      <c r="N38" s="550">
        <v>6.57</v>
      </c>
      <c r="O38" s="550">
        <v>6.8</v>
      </c>
      <c r="P38" s="550">
        <v>4.88</v>
      </c>
      <c r="Q38" s="550">
        <v>4</v>
      </c>
      <c r="R38" s="550">
        <v>2</v>
      </c>
      <c r="S38" s="550">
        <v>0</v>
      </c>
      <c r="T38" s="550">
        <v>0</v>
      </c>
      <c r="U38" s="550">
        <v>0</v>
      </c>
      <c r="V38" s="550">
        <v>0</v>
      </c>
      <c r="W38" s="550">
        <v>0</v>
      </c>
      <c r="X38" s="550">
        <v>0</v>
      </c>
      <c r="Y38" s="550">
        <v>0</v>
      </c>
      <c r="Z38" s="550">
        <v>0</v>
      </c>
      <c r="AA38" s="550">
        <v>0</v>
      </c>
      <c r="AB38" s="550">
        <v>0</v>
      </c>
      <c r="AC38" s="550">
        <v>0</v>
      </c>
      <c r="AD38" s="550">
        <v>0</v>
      </c>
      <c r="AE38" s="550">
        <v>0</v>
      </c>
      <c r="AF38" s="550">
        <v>0</v>
      </c>
      <c r="AG38" s="550">
        <v>0</v>
      </c>
      <c r="AH38" s="550">
        <v>0</v>
      </c>
      <c r="AI38" s="550">
        <v>0</v>
      </c>
      <c r="AJ38" s="550">
        <v>0</v>
      </c>
      <c r="AK38" s="550">
        <v>0</v>
      </c>
      <c r="AL38" s="550">
        <v>0</v>
      </c>
      <c r="AM38" s="173" t="str">
        <f t="shared" si="0"/>
        <v>SUBS - Egypt</v>
      </c>
      <c r="AN38" s="173" t="s">
        <v>543</v>
      </c>
      <c r="AO38" s="5"/>
      <c r="AS38" s="486"/>
      <c r="AT38" s="55"/>
      <c r="AU38" s="341"/>
      <c r="AV38" s="406"/>
      <c r="AW38" s="406"/>
      <c r="AX38" s="538"/>
    </row>
    <row r="39" spans="1:50">
      <c r="A39" s="5"/>
      <c r="B39" s="44" t="s">
        <v>3369</v>
      </c>
      <c r="C39" s="44" t="s">
        <v>2251</v>
      </c>
      <c r="D39" s="44" t="s">
        <v>3611</v>
      </c>
      <c r="E39" s="44" t="s">
        <v>1927</v>
      </c>
      <c r="F39" s="44" t="s">
        <v>2973</v>
      </c>
      <c r="G39" s="44" t="s">
        <v>1931</v>
      </c>
      <c r="H39" s="44" t="s">
        <v>116</v>
      </c>
      <c r="I39" s="44" t="s">
        <v>2571</v>
      </c>
      <c r="J39" s="328">
        <v>100</v>
      </c>
      <c r="K39" s="550">
        <v>0</v>
      </c>
      <c r="L39" s="550">
        <v>0</v>
      </c>
      <c r="M39" s="550">
        <v>0</v>
      </c>
      <c r="N39" s="550">
        <v>0</v>
      </c>
      <c r="O39" s="550">
        <v>0</v>
      </c>
      <c r="P39" s="550">
        <v>0</v>
      </c>
      <c r="Q39" s="550">
        <v>0</v>
      </c>
      <c r="R39" s="550">
        <v>0</v>
      </c>
      <c r="S39" s="550">
        <v>0</v>
      </c>
      <c r="T39" s="550">
        <v>0</v>
      </c>
      <c r="U39" s="550">
        <v>0</v>
      </c>
      <c r="V39" s="550">
        <v>0</v>
      </c>
      <c r="W39" s="550">
        <v>0</v>
      </c>
      <c r="X39" s="550">
        <v>0</v>
      </c>
      <c r="Y39" s="550">
        <v>8.57</v>
      </c>
      <c r="Z39" s="550">
        <v>112.25</v>
      </c>
      <c r="AA39" s="550">
        <v>169.68</v>
      </c>
      <c r="AB39" s="550">
        <v>169.68</v>
      </c>
      <c r="AC39" s="550">
        <v>167.73</v>
      </c>
      <c r="AD39" s="550">
        <v>167.73</v>
      </c>
      <c r="AE39" s="550">
        <v>167.73</v>
      </c>
      <c r="AF39" s="550">
        <v>167.73</v>
      </c>
      <c r="AG39" s="550">
        <v>167.73</v>
      </c>
      <c r="AH39" s="550">
        <v>267.87</v>
      </c>
      <c r="AI39" s="550">
        <v>268.39999999999998</v>
      </c>
      <c r="AJ39" s="550">
        <v>269.33999999999997</v>
      </c>
      <c r="AK39" s="550">
        <v>266.45</v>
      </c>
      <c r="AL39" s="550">
        <v>267.42</v>
      </c>
      <c r="AM39" s="173" t="str">
        <f t="shared" ref="AM39" si="4">AN39&amp;" - "&amp;C39</f>
        <v>SUBS - Egypt</v>
      </c>
      <c r="AN39" s="173" t="s">
        <v>543</v>
      </c>
      <c r="AO39" s="5"/>
      <c r="AS39" s="486"/>
      <c r="AT39" s="55"/>
      <c r="AU39" s="341"/>
      <c r="AV39" s="406"/>
      <c r="AW39" s="406"/>
      <c r="AX39" s="538"/>
    </row>
    <row r="40" spans="1:50">
      <c r="A40" s="5"/>
      <c r="B40" s="44" t="s">
        <v>3369</v>
      </c>
      <c r="C40" s="44" t="s">
        <v>2251</v>
      </c>
      <c r="D40" s="44" t="s">
        <v>2252</v>
      </c>
      <c r="E40" s="44" t="s">
        <v>1927</v>
      </c>
      <c r="F40" s="44" t="s">
        <v>2960</v>
      </c>
      <c r="G40" s="44" t="s">
        <v>1929</v>
      </c>
      <c r="H40" s="44" t="s">
        <v>116</v>
      </c>
      <c r="I40" s="44" t="s">
        <v>2600</v>
      </c>
      <c r="J40" s="328">
        <v>50</v>
      </c>
      <c r="K40" s="550">
        <v>53.68</v>
      </c>
      <c r="L40" s="550">
        <v>48.21</v>
      </c>
      <c r="M40" s="550">
        <v>52.49</v>
      </c>
      <c r="N40" s="550">
        <v>73.64</v>
      </c>
      <c r="O40" s="550">
        <v>75.33</v>
      </c>
      <c r="P40" s="550">
        <v>81.290000000000006</v>
      </c>
      <c r="Q40" s="550">
        <v>77.88</v>
      </c>
      <c r="R40" s="550">
        <v>70.22</v>
      </c>
      <c r="S40" s="550">
        <v>69.040000000000006</v>
      </c>
      <c r="T40" s="550">
        <v>71.48</v>
      </c>
      <c r="U40" s="550">
        <v>69.930000000000007</v>
      </c>
      <c r="V40" s="550">
        <v>55.63</v>
      </c>
      <c r="W40" s="550">
        <v>49.29</v>
      </c>
      <c r="X40" s="550">
        <v>33.31</v>
      </c>
      <c r="Y40" s="550">
        <v>29.48</v>
      </c>
      <c r="Z40" s="550">
        <v>76.31</v>
      </c>
      <c r="AA40" s="550">
        <v>116.98</v>
      </c>
      <c r="AB40" s="550">
        <v>110.69</v>
      </c>
      <c r="AC40" s="550">
        <v>93.63</v>
      </c>
      <c r="AD40" s="550">
        <v>69.930000000000007</v>
      </c>
      <c r="AE40" s="550">
        <v>42.66</v>
      </c>
      <c r="AF40" s="550">
        <v>36.86</v>
      </c>
      <c r="AG40" s="550">
        <v>33.01</v>
      </c>
      <c r="AH40" s="550">
        <v>27.15</v>
      </c>
      <c r="AI40" s="550">
        <v>23.8</v>
      </c>
      <c r="AJ40" s="550">
        <v>20.149999999999999</v>
      </c>
      <c r="AK40" s="550">
        <v>0</v>
      </c>
      <c r="AL40" s="550">
        <v>0</v>
      </c>
      <c r="AM40" s="173" t="str">
        <f>AN40&amp;" - "&amp;C40</f>
        <v>SUBS - Egypt</v>
      </c>
      <c r="AN40" s="173" t="s">
        <v>543</v>
      </c>
      <c r="AO40" s="5"/>
      <c r="AS40" s="486"/>
      <c r="AT40" s="55"/>
      <c r="AU40" s="341"/>
      <c r="AV40" s="406"/>
      <c r="AW40" s="406"/>
      <c r="AX40" s="538"/>
    </row>
    <row r="41" spans="1:50">
      <c r="A41" s="5"/>
      <c r="B41" s="44" t="s">
        <v>3369</v>
      </c>
      <c r="C41" s="44" t="s">
        <v>2251</v>
      </c>
      <c r="D41" s="44" t="s">
        <v>2255</v>
      </c>
      <c r="E41" s="44" t="s">
        <v>2254</v>
      </c>
      <c r="F41" s="44" t="s">
        <v>2960</v>
      </c>
      <c r="G41" s="44" t="s">
        <v>3374</v>
      </c>
      <c r="H41" s="44" t="s">
        <v>116</v>
      </c>
      <c r="I41" s="44" t="s">
        <v>2571</v>
      </c>
      <c r="J41" s="328">
        <v>100</v>
      </c>
      <c r="K41" s="550">
        <v>10.53</v>
      </c>
      <c r="L41" s="550">
        <v>8.69</v>
      </c>
      <c r="M41" s="550">
        <v>7.85</v>
      </c>
      <c r="N41" s="550">
        <v>7.34</v>
      </c>
      <c r="O41" s="550">
        <v>6.95</v>
      </c>
      <c r="P41" s="550">
        <v>6.56</v>
      </c>
      <c r="Q41" s="550">
        <v>6.38</v>
      </c>
      <c r="R41" s="550">
        <v>5.61</v>
      </c>
      <c r="S41" s="550">
        <v>4.99</v>
      </c>
      <c r="T41" s="550">
        <v>4.5</v>
      </c>
      <c r="U41" s="550">
        <v>4.0199999999999996</v>
      </c>
      <c r="V41" s="550">
        <v>3.64</v>
      </c>
      <c r="W41" s="550">
        <v>3.43</v>
      </c>
      <c r="X41" s="550">
        <v>0</v>
      </c>
      <c r="Y41" s="550">
        <v>0</v>
      </c>
      <c r="Z41" s="550">
        <v>0</v>
      </c>
      <c r="AA41" s="550">
        <v>0</v>
      </c>
      <c r="AB41" s="550">
        <v>0</v>
      </c>
      <c r="AC41" s="550">
        <v>0</v>
      </c>
      <c r="AD41" s="550">
        <v>0</v>
      </c>
      <c r="AE41" s="550">
        <v>0</v>
      </c>
      <c r="AF41" s="550">
        <v>0</v>
      </c>
      <c r="AG41" s="550">
        <v>0</v>
      </c>
      <c r="AH41" s="550">
        <v>0</v>
      </c>
      <c r="AI41" s="550">
        <v>0</v>
      </c>
      <c r="AJ41" s="550">
        <v>0</v>
      </c>
      <c r="AK41" s="550">
        <v>0</v>
      </c>
      <c r="AL41" s="550">
        <v>0</v>
      </c>
      <c r="AM41" s="173" t="str">
        <f t="shared" si="0"/>
        <v>SUBS - Egypt</v>
      </c>
      <c r="AN41" s="173" t="s">
        <v>543</v>
      </c>
      <c r="AO41" s="5"/>
      <c r="AS41" s="486"/>
      <c r="AT41" s="55"/>
      <c r="AU41" s="341"/>
      <c r="AV41" s="406"/>
      <c r="AW41" s="406"/>
      <c r="AX41" s="538"/>
    </row>
    <row r="42" spans="1:50">
      <c r="A42" s="5"/>
      <c r="B42" s="44" t="s">
        <v>3369</v>
      </c>
      <c r="C42" s="44" t="s">
        <v>2251</v>
      </c>
      <c r="D42" s="44" t="s">
        <v>2256</v>
      </c>
      <c r="E42" s="44" t="s">
        <v>1927</v>
      </c>
      <c r="F42" s="44" t="s">
        <v>2960</v>
      </c>
      <c r="G42" s="44" t="s">
        <v>3374</v>
      </c>
      <c r="H42" s="44" t="s">
        <v>116</v>
      </c>
      <c r="I42" s="44" t="s">
        <v>2600</v>
      </c>
      <c r="J42" s="328">
        <v>100</v>
      </c>
      <c r="K42" s="550">
        <v>0</v>
      </c>
      <c r="L42" s="550">
        <v>0</v>
      </c>
      <c r="M42" s="550">
        <v>0</v>
      </c>
      <c r="N42" s="550">
        <v>0</v>
      </c>
      <c r="O42" s="550">
        <v>0</v>
      </c>
      <c r="P42" s="550">
        <v>4</v>
      </c>
      <c r="Q42" s="550">
        <v>8</v>
      </c>
      <c r="R42" s="550">
        <v>8</v>
      </c>
      <c r="S42" s="550">
        <v>8</v>
      </c>
      <c r="T42" s="550">
        <v>13.54</v>
      </c>
      <c r="U42" s="550">
        <v>5.19</v>
      </c>
      <c r="V42" s="550">
        <v>7.48</v>
      </c>
      <c r="W42" s="550">
        <v>12.36</v>
      </c>
      <c r="X42" s="550">
        <v>12.69</v>
      </c>
      <c r="Y42" s="550">
        <v>10.94</v>
      </c>
      <c r="Z42" s="550">
        <v>9.67</v>
      </c>
      <c r="AA42" s="550">
        <v>9.61</v>
      </c>
      <c r="AB42" s="550">
        <v>9.92</v>
      </c>
      <c r="AC42" s="550">
        <v>7.52</v>
      </c>
      <c r="AD42" s="550">
        <v>7.61</v>
      </c>
      <c r="AE42" s="550">
        <v>7.26</v>
      </c>
      <c r="AF42" s="550">
        <v>6.6</v>
      </c>
      <c r="AG42" s="550">
        <v>5.4</v>
      </c>
      <c r="AH42" s="550">
        <v>5.42</v>
      </c>
      <c r="AI42" s="550">
        <v>5.43</v>
      </c>
      <c r="AJ42" s="550">
        <v>4.63</v>
      </c>
      <c r="AK42" s="550">
        <v>4.6500000000000004</v>
      </c>
      <c r="AL42" s="550">
        <v>4.6900000000000004</v>
      </c>
      <c r="AM42" s="173" t="str">
        <f t="shared" si="0"/>
        <v>SUBS - Egypt</v>
      </c>
      <c r="AN42" s="173" t="s">
        <v>543</v>
      </c>
      <c r="AO42" s="5"/>
      <c r="AS42" s="486"/>
      <c r="AT42" s="55"/>
      <c r="AU42" s="341"/>
      <c r="AV42" s="406"/>
      <c r="AW42" s="406"/>
      <c r="AX42" s="538"/>
    </row>
    <row r="43" spans="1:50">
      <c r="A43" s="5"/>
      <c r="B43" s="44" t="s">
        <v>3369</v>
      </c>
      <c r="C43" s="44" t="s">
        <v>2251</v>
      </c>
      <c r="D43" s="44" t="s">
        <v>2257</v>
      </c>
      <c r="E43" s="44" t="s">
        <v>1927</v>
      </c>
      <c r="F43" s="44" t="s">
        <v>2960</v>
      </c>
      <c r="G43" s="44" t="s">
        <v>1929</v>
      </c>
      <c r="H43" s="44" t="s">
        <v>2966</v>
      </c>
      <c r="I43" s="44" t="s">
        <v>2600</v>
      </c>
      <c r="J43" s="328">
        <v>50</v>
      </c>
      <c r="K43" s="550">
        <v>97.18</v>
      </c>
      <c r="L43" s="550">
        <v>91.81</v>
      </c>
      <c r="M43" s="550">
        <v>121.37</v>
      </c>
      <c r="N43" s="550">
        <v>106.72</v>
      </c>
      <c r="O43" s="550">
        <v>124.31</v>
      </c>
      <c r="P43" s="550">
        <v>133.30000000000001</v>
      </c>
      <c r="Q43" s="550">
        <v>161</v>
      </c>
      <c r="R43" s="550">
        <v>150.33000000000001</v>
      </c>
      <c r="S43" s="550">
        <v>162.63</v>
      </c>
      <c r="T43" s="550">
        <v>155.19</v>
      </c>
      <c r="U43" s="550">
        <v>165.09</v>
      </c>
      <c r="V43" s="550">
        <v>149.44999999999999</v>
      </c>
      <c r="W43" s="550">
        <v>129.37</v>
      </c>
      <c r="X43" s="550">
        <v>85.42</v>
      </c>
      <c r="Y43" s="550">
        <v>80.56</v>
      </c>
      <c r="Z43" s="550">
        <v>68.099999999999994</v>
      </c>
      <c r="AA43" s="550">
        <v>68.17</v>
      </c>
      <c r="AB43" s="550">
        <v>52.5</v>
      </c>
      <c r="AC43" s="550">
        <v>33.630000000000003</v>
      </c>
      <c r="AD43" s="550">
        <v>27.43</v>
      </c>
      <c r="AE43" s="550">
        <v>22.29</v>
      </c>
      <c r="AF43" s="550">
        <v>18.16</v>
      </c>
      <c r="AG43" s="550">
        <v>14.35</v>
      </c>
      <c r="AH43" s="550">
        <v>8.67</v>
      </c>
      <c r="AI43" s="550">
        <v>6.75</v>
      </c>
      <c r="AJ43" s="550">
        <v>5.42</v>
      </c>
      <c r="AK43" s="550">
        <v>4.4000000000000004</v>
      </c>
      <c r="AL43" s="550">
        <v>3.53</v>
      </c>
      <c r="AM43" s="173" t="str">
        <f t="shared" si="0"/>
        <v>SUBS - Egypt</v>
      </c>
      <c r="AN43" s="173" t="s">
        <v>543</v>
      </c>
      <c r="AO43" s="5"/>
      <c r="AS43" s="486"/>
      <c r="AT43" s="55"/>
      <c r="AU43" s="341"/>
      <c r="AV43" s="406"/>
      <c r="AW43" s="406"/>
      <c r="AX43" s="538"/>
    </row>
    <row r="44" spans="1:50">
      <c r="A44" s="5"/>
      <c r="B44" s="44" t="s">
        <v>3369</v>
      </c>
      <c r="C44" s="44" t="s">
        <v>2251</v>
      </c>
      <c r="D44" s="44" t="s">
        <v>3716</v>
      </c>
      <c r="E44" s="44" t="s">
        <v>1927</v>
      </c>
      <c r="F44" s="44" t="s">
        <v>1928</v>
      </c>
      <c r="G44" s="44" t="s">
        <v>1929</v>
      </c>
      <c r="H44" s="44" t="s">
        <v>116</v>
      </c>
      <c r="I44" s="44" t="s">
        <v>2600</v>
      </c>
      <c r="J44" s="328">
        <v>25</v>
      </c>
      <c r="K44" s="550">
        <v>4.1900000000000004</v>
      </c>
      <c r="L44" s="550">
        <v>3.09</v>
      </c>
      <c r="M44" s="550">
        <v>2.56</v>
      </c>
      <c r="N44" s="550">
        <v>1.98</v>
      </c>
      <c r="O44" s="550">
        <v>1.6</v>
      </c>
      <c r="P44" s="550">
        <v>1.36</v>
      </c>
      <c r="Q44" s="550">
        <v>1.23</v>
      </c>
      <c r="R44" s="550">
        <v>1.69</v>
      </c>
      <c r="S44" s="550">
        <v>2.92</v>
      </c>
      <c r="T44" s="550">
        <v>3.61</v>
      </c>
      <c r="U44" s="550">
        <v>4.33</v>
      </c>
      <c r="V44" s="550">
        <v>4.62</v>
      </c>
      <c r="W44" s="550">
        <v>7.71</v>
      </c>
      <c r="X44" s="550">
        <v>42.36</v>
      </c>
      <c r="Y44" s="550">
        <v>103.17</v>
      </c>
      <c r="Z44" s="550">
        <v>103.76</v>
      </c>
      <c r="AA44" s="550">
        <v>103.61</v>
      </c>
      <c r="AB44" s="550">
        <v>66.819999999999993</v>
      </c>
      <c r="AC44" s="550">
        <v>39.89</v>
      </c>
      <c r="AD44" s="550">
        <v>22.31</v>
      </c>
      <c r="AE44" s="550">
        <v>13.69</v>
      </c>
      <c r="AF44" s="550">
        <v>0.36</v>
      </c>
      <c r="AG44" s="550">
        <v>0</v>
      </c>
      <c r="AH44" s="550">
        <v>0</v>
      </c>
      <c r="AI44" s="550">
        <v>0</v>
      </c>
      <c r="AJ44" s="550">
        <v>0</v>
      </c>
      <c r="AK44" s="550">
        <v>0</v>
      </c>
      <c r="AL44" s="550">
        <v>0</v>
      </c>
      <c r="AM44" s="173" t="str">
        <f t="shared" si="0"/>
        <v>SUBS - Egypt</v>
      </c>
      <c r="AN44" s="173" t="s">
        <v>543</v>
      </c>
      <c r="AO44" s="5"/>
      <c r="AS44" s="486"/>
      <c r="AT44" s="55"/>
      <c r="AU44" s="341"/>
      <c r="AV44" s="406"/>
      <c r="AW44" s="406"/>
      <c r="AX44" s="538"/>
    </row>
    <row r="45" spans="1:50">
      <c r="A45" s="5"/>
      <c r="B45" s="44" t="s">
        <v>3369</v>
      </c>
      <c r="C45" s="44" t="s">
        <v>2251</v>
      </c>
      <c r="D45" s="44" t="s">
        <v>778</v>
      </c>
      <c r="E45" s="44" t="s">
        <v>3372</v>
      </c>
      <c r="F45" s="44" t="s">
        <v>2960</v>
      </c>
      <c r="G45" s="44" t="s">
        <v>1929</v>
      </c>
      <c r="H45" s="44" t="s">
        <v>116</v>
      </c>
      <c r="I45" s="44" t="s">
        <v>2600</v>
      </c>
      <c r="J45" s="328">
        <v>50</v>
      </c>
      <c r="K45" s="550">
        <v>0</v>
      </c>
      <c r="L45" s="550">
        <v>0</v>
      </c>
      <c r="M45" s="550">
        <v>0</v>
      </c>
      <c r="N45" s="550">
        <v>0</v>
      </c>
      <c r="O45" s="550">
        <v>0</v>
      </c>
      <c r="P45" s="550">
        <v>0</v>
      </c>
      <c r="Q45" s="550">
        <v>0</v>
      </c>
      <c r="R45" s="550">
        <v>0</v>
      </c>
      <c r="S45" s="550">
        <v>0</v>
      </c>
      <c r="T45" s="550">
        <v>0</v>
      </c>
      <c r="U45" s="550">
        <v>0</v>
      </c>
      <c r="V45" s="550">
        <v>0</v>
      </c>
      <c r="W45" s="550">
        <v>0</v>
      </c>
      <c r="X45" s="550">
        <v>0</v>
      </c>
      <c r="Y45" s="550">
        <v>0</v>
      </c>
      <c r="Z45" s="550">
        <v>0</v>
      </c>
      <c r="AA45" s="550">
        <v>0</v>
      </c>
      <c r="AB45" s="550">
        <v>0</v>
      </c>
      <c r="AC45" s="550">
        <v>23.96</v>
      </c>
      <c r="AD45" s="550">
        <v>50.09</v>
      </c>
      <c r="AE45" s="550">
        <v>76.14</v>
      </c>
      <c r="AF45" s="550">
        <v>56.63</v>
      </c>
      <c r="AG45" s="550">
        <v>41.53</v>
      </c>
      <c r="AH45" s="550">
        <v>30.12</v>
      </c>
      <c r="AI45" s="550">
        <v>22.05</v>
      </c>
      <c r="AJ45" s="550">
        <v>16.5</v>
      </c>
      <c r="AK45" s="550">
        <v>12.82</v>
      </c>
      <c r="AL45" s="550">
        <v>11.36</v>
      </c>
      <c r="AM45" s="173" t="str">
        <f t="shared" si="0"/>
        <v>SUBS - Egypt</v>
      </c>
      <c r="AN45" s="173" t="s">
        <v>543</v>
      </c>
      <c r="AO45" s="5"/>
      <c r="AS45" s="486"/>
      <c r="AT45" s="55"/>
      <c r="AU45" s="341"/>
      <c r="AV45" s="406"/>
      <c r="AW45" s="406"/>
      <c r="AX45" s="538"/>
    </row>
    <row r="46" spans="1:50">
      <c r="A46" s="5"/>
      <c r="B46" s="44" t="s">
        <v>3369</v>
      </c>
      <c r="C46" s="44" t="s">
        <v>2251</v>
      </c>
      <c r="D46" s="44" t="s">
        <v>134</v>
      </c>
      <c r="E46" s="44" t="s">
        <v>1927</v>
      </c>
      <c r="F46" s="44" t="s">
        <v>2960</v>
      </c>
      <c r="G46" s="44" t="s">
        <v>1931</v>
      </c>
      <c r="H46" s="44" t="s">
        <v>2966</v>
      </c>
      <c r="I46" s="44" t="s">
        <v>2600</v>
      </c>
      <c r="J46" s="328">
        <v>50</v>
      </c>
      <c r="K46" s="550">
        <v>84.39</v>
      </c>
      <c r="L46" s="550">
        <v>48.63</v>
      </c>
      <c r="M46" s="550">
        <v>8.85</v>
      </c>
      <c r="N46" s="550">
        <v>55.52</v>
      </c>
      <c r="O46" s="550">
        <v>210.18</v>
      </c>
      <c r="P46" s="550">
        <v>249.86</v>
      </c>
      <c r="Q46" s="550">
        <v>210.16</v>
      </c>
      <c r="R46" s="550">
        <v>237.37</v>
      </c>
      <c r="S46" s="550">
        <v>247.25</v>
      </c>
      <c r="T46" s="550">
        <v>241.84</v>
      </c>
      <c r="U46" s="550">
        <v>209.31</v>
      </c>
      <c r="V46" s="550">
        <v>177.25</v>
      </c>
      <c r="W46" s="550">
        <v>162.80000000000001</v>
      </c>
      <c r="X46" s="550">
        <v>108.11</v>
      </c>
      <c r="Y46" s="550">
        <v>93.54</v>
      </c>
      <c r="Z46" s="550">
        <v>72.09</v>
      </c>
      <c r="AA46" s="550">
        <v>59.46</v>
      </c>
      <c r="AB46" s="550">
        <v>54.8</v>
      </c>
      <c r="AC46" s="550">
        <v>49.42</v>
      </c>
      <c r="AD46" s="550">
        <v>44.39</v>
      </c>
      <c r="AE46" s="550">
        <v>39</v>
      </c>
      <c r="AF46" s="550">
        <v>33.590000000000003</v>
      </c>
      <c r="AG46" s="550">
        <v>29.13</v>
      </c>
      <c r="AH46" s="550">
        <v>24.1</v>
      </c>
      <c r="AI46" s="550">
        <v>0</v>
      </c>
      <c r="AJ46" s="550">
        <v>0</v>
      </c>
      <c r="AK46" s="550">
        <v>0</v>
      </c>
      <c r="AL46" s="550">
        <v>0</v>
      </c>
      <c r="AM46" s="173" t="str">
        <f t="shared" si="0"/>
        <v>SUBS - Egypt</v>
      </c>
      <c r="AN46" s="173" t="s">
        <v>543</v>
      </c>
      <c r="AO46" s="5"/>
      <c r="AS46" s="486"/>
      <c r="AT46" s="55"/>
      <c r="AU46" s="341"/>
      <c r="AV46" s="406"/>
      <c r="AW46" s="406"/>
      <c r="AX46" s="538"/>
    </row>
    <row r="47" spans="1:50">
      <c r="A47" s="5"/>
      <c r="B47" s="44" t="s">
        <v>3369</v>
      </c>
      <c r="C47" s="44" t="s">
        <v>2251</v>
      </c>
      <c r="D47" s="44" t="s">
        <v>2609</v>
      </c>
      <c r="E47" s="44" t="s">
        <v>3372</v>
      </c>
      <c r="F47" s="44" t="s">
        <v>2960</v>
      </c>
      <c r="G47" s="44" t="s">
        <v>1930</v>
      </c>
      <c r="H47" s="44" t="s">
        <v>116</v>
      </c>
      <c r="I47" s="44" t="s">
        <v>2600</v>
      </c>
      <c r="J47" s="328">
        <v>50</v>
      </c>
      <c r="K47" s="550">
        <v>0</v>
      </c>
      <c r="L47" s="550">
        <v>0</v>
      </c>
      <c r="M47" s="550">
        <v>0</v>
      </c>
      <c r="N47" s="550">
        <v>0</v>
      </c>
      <c r="O47" s="550">
        <v>0</v>
      </c>
      <c r="P47" s="550">
        <v>0</v>
      </c>
      <c r="Q47" s="550">
        <v>0</v>
      </c>
      <c r="R47" s="550">
        <v>0</v>
      </c>
      <c r="S47" s="550">
        <v>0</v>
      </c>
      <c r="T47" s="550">
        <v>0</v>
      </c>
      <c r="U47" s="550">
        <v>0</v>
      </c>
      <c r="V47" s="550">
        <v>0</v>
      </c>
      <c r="W47" s="550">
        <v>0</v>
      </c>
      <c r="X47" s="550">
        <v>0</v>
      </c>
      <c r="Y47" s="550">
        <v>0</v>
      </c>
      <c r="Z47" s="550">
        <v>0</v>
      </c>
      <c r="AA47" s="550">
        <v>0</v>
      </c>
      <c r="AB47" s="550">
        <v>0</v>
      </c>
      <c r="AC47" s="550">
        <v>0</v>
      </c>
      <c r="AD47" s="550">
        <v>48</v>
      </c>
      <c r="AE47" s="550">
        <v>48</v>
      </c>
      <c r="AF47" s="550">
        <v>48</v>
      </c>
      <c r="AG47" s="550">
        <v>48</v>
      </c>
      <c r="AH47" s="550">
        <v>48</v>
      </c>
      <c r="AI47" s="550">
        <v>40.799999999999997</v>
      </c>
      <c r="AJ47" s="550">
        <v>34.68</v>
      </c>
      <c r="AK47" s="550">
        <v>41.32</v>
      </c>
      <c r="AL47" s="550">
        <v>36.770000000000003</v>
      </c>
      <c r="AM47" s="173" t="str">
        <f t="shared" si="0"/>
        <v>SUBS - Egypt</v>
      </c>
      <c r="AN47" s="173" t="s">
        <v>543</v>
      </c>
      <c r="AO47" s="5"/>
      <c r="AS47" s="486"/>
      <c r="AT47" s="55"/>
      <c r="AU47" s="341"/>
      <c r="AV47" s="406"/>
      <c r="AW47" s="406"/>
      <c r="AX47" s="538"/>
    </row>
    <row r="48" spans="1:50">
      <c r="A48" s="5"/>
      <c r="B48" s="44" t="s">
        <v>3369</v>
      </c>
      <c r="C48" s="44" t="s">
        <v>2251</v>
      </c>
      <c r="D48" s="44" t="s">
        <v>815</v>
      </c>
      <c r="E48" s="44" t="s">
        <v>3372</v>
      </c>
      <c r="F48" s="44" t="s">
        <v>2973</v>
      </c>
      <c r="G48" s="44" t="s">
        <v>1930</v>
      </c>
      <c r="H48" s="44" t="s">
        <v>116</v>
      </c>
      <c r="I48" s="44" t="s">
        <v>2571</v>
      </c>
      <c r="J48" s="328">
        <v>82.75</v>
      </c>
      <c r="K48" s="550">
        <v>0</v>
      </c>
      <c r="L48" s="550">
        <v>0</v>
      </c>
      <c r="M48" s="550">
        <v>0</v>
      </c>
      <c r="N48" s="550">
        <v>0</v>
      </c>
      <c r="O48" s="550">
        <v>0</v>
      </c>
      <c r="P48" s="550">
        <v>0</v>
      </c>
      <c r="Q48" s="550">
        <v>0</v>
      </c>
      <c r="R48" s="550">
        <v>0</v>
      </c>
      <c r="S48" s="550">
        <v>0</v>
      </c>
      <c r="T48" s="550">
        <v>0</v>
      </c>
      <c r="U48" s="550">
        <v>0</v>
      </c>
      <c r="V48" s="550">
        <v>0</v>
      </c>
      <c r="W48" s="550">
        <v>0</v>
      </c>
      <c r="X48" s="550">
        <v>0</v>
      </c>
      <c r="Y48" s="550">
        <v>0</v>
      </c>
      <c r="Z48" s="550">
        <v>0</v>
      </c>
      <c r="AA48" s="550">
        <v>0</v>
      </c>
      <c r="AB48" s="550">
        <v>0</v>
      </c>
      <c r="AC48" s="550">
        <v>0</v>
      </c>
      <c r="AD48" s="550">
        <v>0</v>
      </c>
      <c r="AE48" s="550">
        <v>13.11</v>
      </c>
      <c r="AF48" s="550">
        <v>23.95</v>
      </c>
      <c r="AG48" s="550">
        <v>55.26</v>
      </c>
      <c r="AH48" s="550">
        <v>101.95</v>
      </c>
      <c r="AI48" s="550">
        <v>142.66</v>
      </c>
      <c r="AJ48" s="550">
        <v>178.19</v>
      </c>
      <c r="AK48" s="550">
        <v>196.37</v>
      </c>
      <c r="AL48" s="550">
        <v>225.12</v>
      </c>
      <c r="AM48" s="173" t="str">
        <f t="shared" si="0"/>
        <v>SUBS - Egypt</v>
      </c>
      <c r="AN48" s="173" t="s">
        <v>543</v>
      </c>
      <c r="AO48" s="5"/>
      <c r="AS48" s="486"/>
      <c r="AT48" s="55"/>
      <c r="AU48" s="341"/>
      <c r="AV48" s="406"/>
      <c r="AW48" s="406"/>
      <c r="AX48" s="538"/>
    </row>
    <row r="49" spans="1:50">
      <c r="A49" s="5"/>
      <c r="B49" s="44" t="s">
        <v>3369</v>
      </c>
      <c r="C49" s="44" t="s">
        <v>2251</v>
      </c>
      <c r="D49" s="44" t="s">
        <v>3550</v>
      </c>
      <c r="E49" s="44" t="s">
        <v>1927</v>
      </c>
      <c r="F49" s="44" t="s">
        <v>2973</v>
      </c>
      <c r="G49" s="44" t="s">
        <v>1929</v>
      </c>
      <c r="H49" s="44" t="s">
        <v>116</v>
      </c>
      <c r="I49" s="44" t="s">
        <v>2571</v>
      </c>
      <c r="J49" s="328">
        <v>82.75</v>
      </c>
      <c r="K49" s="550">
        <v>0</v>
      </c>
      <c r="L49" s="550">
        <v>0</v>
      </c>
      <c r="M49" s="550">
        <v>0</v>
      </c>
      <c r="N49" s="550">
        <v>0</v>
      </c>
      <c r="O49" s="550">
        <v>0</v>
      </c>
      <c r="P49" s="550">
        <v>0</v>
      </c>
      <c r="Q49" s="550">
        <v>0</v>
      </c>
      <c r="R49" s="550">
        <v>0</v>
      </c>
      <c r="S49" s="550">
        <v>0</v>
      </c>
      <c r="T49" s="550">
        <v>0</v>
      </c>
      <c r="U49" s="550">
        <v>0</v>
      </c>
      <c r="V49" s="550">
        <v>6.24</v>
      </c>
      <c r="W49" s="550">
        <v>19.38</v>
      </c>
      <c r="X49" s="550">
        <v>34.42</v>
      </c>
      <c r="Y49" s="550">
        <v>397.2</v>
      </c>
      <c r="Z49" s="550">
        <v>562.70000000000005</v>
      </c>
      <c r="AA49" s="550">
        <v>744.75</v>
      </c>
      <c r="AB49" s="550">
        <v>1053.9000000000001</v>
      </c>
      <c r="AC49" s="550">
        <v>1256.44</v>
      </c>
      <c r="AD49" s="550">
        <v>1180.73</v>
      </c>
      <c r="AE49" s="550">
        <v>1137.8800000000001</v>
      </c>
      <c r="AF49" s="550">
        <v>1188.5999999999999</v>
      </c>
      <c r="AG49" s="550">
        <v>1017.82</v>
      </c>
      <c r="AH49" s="550">
        <v>891.7</v>
      </c>
      <c r="AI49" s="550">
        <v>781.63</v>
      </c>
      <c r="AJ49" s="550">
        <v>705.09</v>
      </c>
      <c r="AK49" s="550">
        <v>684.71</v>
      </c>
      <c r="AL49" s="550">
        <v>561.66999999999996</v>
      </c>
      <c r="AM49" s="173" t="str">
        <f>AN49&amp;" - "&amp;C49</f>
        <v>SUBS - Egypt</v>
      </c>
      <c r="AN49" s="173" t="s">
        <v>543</v>
      </c>
      <c r="AO49" s="5"/>
      <c r="AS49" s="486"/>
      <c r="AT49" s="55"/>
      <c r="AU49" s="341"/>
      <c r="AV49" s="406"/>
      <c r="AW49" s="406"/>
      <c r="AX49" s="538"/>
    </row>
    <row r="50" spans="1:50">
      <c r="A50" s="5"/>
      <c r="B50" s="44" t="s">
        <v>3369</v>
      </c>
      <c r="C50" s="44" t="s">
        <v>2251</v>
      </c>
      <c r="D50" s="44" t="s">
        <v>3688</v>
      </c>
      <c r="E50" s="44" t="s">
        <v>1927</v>
      </c>
      <c r="F50" s="44" t="s">
        <v>2973</v>
      </c>
      <c r="G50" s="44" t="s">
        <v>1930</v>
      </c>
      <c r="H50" s="44" t="s">
        <v>116</v>
      </c>
      <c r="I50" s="44" t="s">
        <v>2571</v>
      </c>
      <c r="J50" s="328">
        <v>10</v>
      </c>
      <c r="K50" s="550">
        <v>0</v>
      </c>
      <c r="L50" s="550">
        <v>0</v>
      </c>
      <c r="M50" s="550">
        <v>0</v>
      </c>
      <c r="N50" s="550">
        <v>0</v>
      </c>
      <c r="O50" s="550">
        <v>0</v>
      </c>
      <c r="P50" s="550">
        <v>0</v>
      </c>
      <c r="Q50" s="550">
        <v>0</v>
      </c>
      <c r="R50" s="550">
        <v>0</v>
      </c>
      <c r="S50" s="550">
        <v>0</v>
      </c>
      <c r="T50" s="550">
        <v>0</v>
      </c>
      <c r="U50" s="550">
        <v>0</v>
      </c>
      <c r="V50" s="550">
        <v>0</v>
      </c>
      <c r="W50" s="550">
        <v>0</v>
      </c>
      <c r="X50" s="550">
        <v>0</v>
      </c>
      <c r="Y50" s="550">
        <v>0.96</v>
      </c>
      <c r="Z50" s="550">
        <v>48.41</v>
      </c>
      <c r="AA50" s="550">
        <v>89.43</v>
      </c>
      <c r="AB50" s="550">
        <v>148.03</v>
      </c>
      <c r="AC50" s="550">
        <v>148.03</v>
      </c>
      <c r="AD50" s="550">
        <v>148.03</v>
      </c>
      <c r="AE50" s="550">
        <v>165.48</v>
      </c>
      <c r="AF50" s="550">
        <v>219.88</v>
      </c>
      <c r="AG50" s="550">
        <v>221.9</v>
      </c>
      <c r="AH50" s="550">
        <v>223.14</v>
      </c>
      <c r="AI50" s="550">
        <v>174.02</v>
      </c>
      <c r="AJ50" s="550">
        <v>136.41999999999999</v>
      </c>
      <c r="AK50" s="550">
        <v>136.86000000000001</v>
      </c>
      <c r="AL50" s="550">
        <v>136.38999999999999</v>
      </c>
      <c r="AM50" s="173" t="str">
        <f>AN50&amp;" - "&amp;C50</f>
        <v>SUBS - Egypt</v>
      </c>
      <c r="AN50" s="173" t="s">
        <v>543</v>
      </c>
      <c r="AO50" s="5"/>
      <c r="AS50" s="486"/>
      <c r="AT50" s="55"/>
      <c r="AU50" s="341"/>
      <c r="AV50" s="406"/>
      <c r="AW50" s="406"/>
      <c r="AX50" s="538"/>
    </row>
    <row r="51" spans="1:50">
      <c r="A51" s="5"/>
      <c r="B51" s="44" t="s">
        <v>3369</v>
      </c>
      <c r="C51" s="44" t="s">
        <v>3007</v>
      </c>
      <c r="D51" s="44" t="s">
        <v>3006</v>
      </c>
      <c r="E51" s="44" t="s">
        <v>1927</v>
      </c>
      <c r="F51" s="44" t="s">
        <v>2973</v>
      </c>
      <c r="G51" s="44" t="s">
        <v>1931</v>
      </c>
      <c r="H51" s="44" t="s">
        <v>116</v>
      </c>
      <c r="I51" s="44" t="s">
        <v>2571</v>
      </c>
      <c r="J51" s="328">
        <v>30</v>
      </c>
      <c r="K51" s="550">
        <v>0</v>
      </c>
      <c r="L51" s="550">
        <v>0</v>
      </c>
      <c r="M51" s="550">
        <v>0</v>
      </c>
      <c r="N51" s="550">
        <v>0</v>
      </c>
      <c r="O51" s="550">
        <v>0</v>
      </c>
      <c r="P51" s="550">
        <v>0</v>
      </c>
      <c r="Q51" s="550">
        <v>0</v>
      </c>
      <c r="R51" s="550">
        <v>0</v>
      </c>
      <c r="S51" s="550">
        <v>160.44</v>
      </c>
      <c r="T51" s="550">
        <v>314.27999999999997</v>
      </c>
      <c r="U51" s="550">
        <v>164.09</v>
      </c>
      <c r="V51" s="550">
        <v>134.52000000000001</v>
      </c>
      <c r="W51" s="550">
        <v>116.1</v>
      </c>
      <c r="X51" s="550">
        <v>87.41</v>
      </c>
      <c r="Y51" s="550">
        <v>86.82</v>
      </c>
      <c r="Z51" s="550">
        <v>82.23</v>
      </c>
      <c r="AA51" s="550">
        <v>75.06</v>
      </c>
      <c r="AB51" s="550">
        <v>66.760000000000005</v>
      </c>
      <c r="AC51" s="550">
        <v>85.26</v>
      </c>
      <c r="AD51" s="550">
        <v>133.04</v>
      </c>
      <c r="AE51" s="550">
        <v>235.07</v>
      </c>
      <c r="AF51" s="550">
        <v>305.33</v>
      </c>
      <c r="AG51" s="550">
        <v>331.96</v>
      </c>
      <c r="AH51" s="550">
        <v>289.89</v>
      </c>
      <c r="AI51" s="550">
        <v>269.87</v>
      </c>
      <c r="AJ51" s="550">
        <v>240.52</v>
      </c>
      <c r="AK51" s="550">
        <v>196.11</v>
      </c>
      <c r="AL51" s="550">
        <v>174.54</v>
      </c>
      <c r="AM51" s="173" t="str">
        <f t="shared" si="0"/>
        <v>SUBS - India</v>
      </c>
      <c r="AN51" s="173" t="s">
        <v>543</v>
      </c>
      <c r="AO51" s="5"/>
      <c r="AS51" s="486"/>
      <c r="AT51" s="55"/>
      <c r="AU51" s="341"/>
      <c r="AV51" s="406"/>
      <c r="AW51" s="406"/>
      <c r="AX51" s="538"/>
    </row>
    <row r="52" spans="1:50">
      <c r="A52" s="5"/>
      <c r="B52" s="44" t="s">
        <v>3369</v>
      </c>
      <c r="C52" s="44" t="s">
        <v>3007</v>
      </c>
      <c r="D52" s="44" t="s">
        <v>3049</v>
      </c>
      <c r="E52" s="44" t="s">
        <v>3372</v>
      </c>
      <c r="F52" s="44" t="s">
        <v>2960</v>
      </c>
      <c r="G52" s="44" t="s">
        <v>1930</v>
      </c>
      <c r="H52" s="44" t="s">
        <v>116</v>
      </c>
      <c r="I52" s="44" t="s">
        <v>2571</v>
      </c>
      <c r="J52" s="328">
        <v>30</v>
      </c>
      <c r="K52" s="550">
        <v>0</v>
      </c>
      <c r="L52" s="550">
        <v>0</v>
      </c>
      <c r="M52" s="550">
        <v>0</v>
      </c>
      <c r="N52" s="550">
        <v>0</v>
      </c>
      <c r="O52" s="550">
        <v>0</v>
      </c>
      <c r="P52" s="550">
        <v>0</v>
      </c>
      <c r="Q52" s="550">
        <v>0</v>
      </c>
      <c r="R52" s="550">
        <v>0</v>
      </c>
      <c r="S52" s="550">
        <v>0</v>
      </c>
      <c r="T52" s="550">
        <v>0</v>
      </c>
      <c r="U52" s="550">
        <v>0</v>
      </c>
      <c r="V52" s="550">
        <v>0</v>
      </c>
      <c r="W52" s="550">
        <v>0</v>
      </c>
      <c r="X52" s="550">
        <v>0</v>
      </c>
      <c r="Y52" s="550">
        <v>0</v>
      </c>
      <c r="Z52" s="550">
        <v>0</v>
      </c>
      <c r="AA52" s="550">
        <v>0</v>
      </c>
      <c r="AB52" s="550">
        <v>0</v>
      </c>
      <c r="AC52" s="550">
        <v>0</v>
      </c>
      <c r="AD52" s="550">
        <v>0</v>
      </c>
      <c r="AE52" s="550">
        <v>0</v>
      </c>
      <c r="AF52" s="550">
        <v>0</v>
      </c>
      <c r="AG52" s="550">
        <v>10.3</v>
      </c>
      <c r="AH52" s="550">
        <v>59.74</v>
      </c>
      <c r="AI52" s="550">
        <v>104.48</v>
      </c>
      <c r="AJ52" s="550">
        <v>130.66999999999999</v>
      </c>
      <c r="AK52" s="550">
        <v>133.61000000000001</v>
      </c>
      <c r="AL52" s="550">
        <v>119.19</v>
      </c>
      <c r="AM52" s="173" t="str">
        <f t="shared" si="0"/>
        <v>SUBS - India</v>
      </c>
      <c r="AN52" s="173" t="s">
        <v>543</v>
      </c>
      <c r="AO52" s="5"/>
      <c r="AS52" s="486"/>
      <c r="AT52" s="55"/>
      <c r="AU52" s="341"/>
      <c r="AV52" s="406"/>
      <c r="AW52" s="406"/>
      <c r="AX52" s="538"/>
    </row>
    <row r="53" spans="1:50">
      <c r="A53" s="5"/>
      <c r="B53" s="44" t="s">
        <v>3369</v>
      </c>
      <c r="C53" s="44" t="s">
        <v>135</v>
      </c>
      <c r="D53" s="44" t="s">
        <v>2596</v>
      </c>
      <c r="E53" s="44" t="s">
        <v>1927</v>
      </c>
      <c r="F53" s="44" t="s">
        <v>2960</v>
      </c>
      <c r="G53" s="44" t="s">
        <v>1931</v>
      </c>
      <c r="H53" s="44" t="s">
        <v>116</v>
      </c>
      <c r="I53" s="44" t="s">
        <v>2600</v>
      </c>
      <c r="J53" s="328">
        <v>100</v>
      </c>
      <c r="K53" s="550">
        <v>109.68</v>
      </c>
      <c r="L53" s="550">
        <v>20.5</v>
      </c>
      <c r="M53" s="550">
        <v>0</v>
      </c>
      <c r="N53" s="550">
        <v>0</v>
      </c>
      <c r="O53" s="550">
        <v>0</v>
      </c>
      <c r="P53" s="550">
        <v>0</v>
      </c>
      <c r="Q53" s="550">
        <v>0</v>
      </c>
      <c r="R53" s="550">
        <v>0</v>
      </c>
      <c r="S53" s="550">
        <v>0</v>
      </c>
      <c r="T53" s="550">
        <v>0</v>
      </c>
      <c r="U53" s="550">
        <v>0</v>
      </c>
      <c r="V53" s="550">
        <v>0</v>
      </c>
      <c r="W53" s="550">
        <v>0</v>
      </c>
      <c r="X53" s="550">
        <v>0</v>
      </c>
      <c r="Y53" s="550">
        <v>0</v>
      </c>
      <c r="Z53" s="550">
        <v>0</v>
      </c>
      <c r="AA53" s="550">
        <v>0</v>
      </c>
      <c r="AB53" s="550">
        <v>0</v>
      </c>
      <c r="AC53" s="550">
        <v>0</v>
      </c>
      <c r="AD53" s="550">
        <v>0</v>
      </c>
      <c r="AE53" s="550">
        <v>0</v>
      </c>
      <c r="AF53" s="550">
        <v>0</v>
      </c>
      <c r="AG53" s="550">
        <v>0</v>
      </c>
      <c r="AH53" s="550">
        <v>0</v>
      </c>
      <c r="AI53" s="550">
        <v>0</v>
      </c>
      <c r="AJ53" s="550">
        <v>0</v>
      </c>
      <c r="AK53" s="550">
        <v>0</v>
      </c>
      <c r="AL53" s="550">
        <v>0</v>
      </c>
      <c r="AM53" s="601" t="s">
        <v>1819</v>
      </c>
      <c r="AN53" s="173" t="s">
        <v>543</v>
      </c>
      <c r="AO53" s="5"/>
      <c r="AS53" s="486"/>
      <c r="AT53" s="55"/>
      <c r="AU53" s="341"/>
      <c r="AV53" s="406"/>
      <c r="AW53" s="406"/>
      <c r="AX53" s="538"/>
    </row>
    <row r="54" spans="1:50">
      <c r="A54" s="5"/>
      <c r="B54" s="44" t="s">
        <v>3369</v>
      </c>
      <c r="C54" s="44" t="s">
        <v>135</v>
      </c>
      <c r="D54" s="44" t="s">
        <v>136</v>
      </c>
      <c r="E54" s="44" t="s">
        <v>1927</v>
      </c>
      <c r="F54" s="44" t="s">
        <v>2960</v>
      </c>
      <c r="G54" s="44" t="s">
        <v>3374</v>
      </c>
      <c r="H54" s="44" t="s">
        <v>116</v>
      </c>
      <c r="I54" s="44" t="s">
        <v>2600</v>
      </c>
      <c r="J54" s="328">
        <v>46</v>
      </c>
      <c r="K54" s="550">
        <v>101.99</v>
      </c>
      <c r="L54" s="550">
        <v>93.68</v>
      </c>
      <c r="M54" s="550">
        <v>76.53</v>
      </c>
      <c r="N54" s="550">
        <v>82.97</v>
      </c>
      <c r="O54" s="550">
        <v>77.62</v>
      </c>
      <c r="P54" s="550">
        <v>76.67</v>
      </c>
      <c r="Q54" s="550">
        <v>30.68</v>
      </c>
      <c r="R54" s="550">
        <v>0</v>
      </c>
      <c r="S54" s="550">
        <v>0</v>
      </c>
      <c r="T54" s="550">
        <v>0</v>
      </c>
      <c r="U54" s="550">
        <v>0</v>
      </c>
      <c r="V54" s="550">
        <v>0</v>
      </c>
      <c r="W54" s="550">
        <v>0</v>
      </c>
      <c r="X54" s="550">
        <v>0</v>
      </c>
      <c r="Y54" s="550">
        <v>0</v>
      </c>
      <c r="Z54" s="550">
        <v>0</v>
      </c>
      <c r="AA54" s="550">
        <v>0</v>
      </c>
      <c r="AB54" s="550">
        <v>0</v>
      </c>
      <c r="AC54" s="550">
        <v>0</v>
      </c>
      <c r="AD54" s="550">
        <v>0</v>
      </c>
      <c r="AE54" s="550">
        <v>0</v>
      </c>
      <c r="AF54" s="550">
        <v>0</v>
      </c>
      <c r="AG54" s="550">
        <v>0</v>
      </c>
      <c r="AH54" s="550">
        <v>0</v>
      </c>
      <c r="AI54" s="550">
        <v>0</v>
      </c>
      <c r="AJ54" s="550">
        <v>0</v>
      </c>
      <c r="AK54" s="550">
        <v>0</v>
      </c>
      <c r="AL54" s="550">
        <v>0</v>
      </c>
      <c r="AM54" s="579" t="s">
        <v>1819</v>
      </c>
      <c r="AN54" s="173" t="s">
        <v>543</v>
      </c>
      <c r="AO54" s="5"/>
      <c r="AS54" s="486"/>
      <c r="AT54" s="55"/>
      <c r="AU54" s="341"/>
      <c r="AV54" s="406"/>
      <c r="AW54" s="406"/>
      <c r="AX54" s="538"/>
    </row>
    <row r="55" spans="1:50">
      <c r="A55" s="5"/>
      <c r="B55" s="44" t="s">
        <v>3369</v>
      </c>
      <c r="C55" s="44" t="s">
        <v>135</v>
      </c>
      <c r="D55" s="44" t="s">
        <v>2539</v>
      </c>
      <c r="E55" s="44" t="s">
        <v>1927</v>
      </c>
      <c r="F55" s="44" t="s">
        <v>1928</v>
      </c>
      <c r="G55" s="44" t="s">
        <v>1930</v>
      </c>
      <c r="H55" s="44" t="s">
        <v>116</v>
      </c>
      <c r="I55" s="44" t="s">
        <v>1931</v>
      </c>
      <c r="J55" s="328">
        <v>37.8125</v>
      </c>
      <c r="K55" s="550">
        <v>0</v>
      </c>
      <c r="L55" s="550">
        <v>0</v>
      </c>
      <c r="M55" s="550">
        <v>0</v>
      </c>
      <c r="N55" s="550">
        <v>0</v>
      </c>
      <c r="O55" s="550">
        <v>0</v>
      </c>
      <c r="P55" s="550">
        <v>0</v>
      </c>
      <c r="Q55" s="550">
        <v>0</v>
      </c>
      <c r="R55" s="550">
        <v>0</v>
      </c>
      <c r="S55" s="550">
        <v>0</v>
      </c>
      <c r="T55" s="550">
        <v>0.04</v>
      </c>
      <c r="U55" s="550">
        <v>0.04</v>
      </c>
      <c r="V55" s="550">
        <v>0.03</v>
      </c>
      <c r="W55" s="550">
        <v>0.03</v>
      </c>
      <c r="X55" s="550">
        <v>0.03</v>
      </c>
      <c r="Y55" s="550">
        <v>0</v>
      </c>
      <c r="Z55" s="550">
        <v>0</v>
      </c>
      <c r="AA55" s="550">
        <v>0</v>
      </c>
      <c r="AB55" s="550">
        <v>0</v>
      </c>
      <c r="AC55" s="550">
        <v>0</v>
      </c>
      <c r="AD55" s="550">
        <v>0</v>
      </c>
      <c r="AE55" s="550">
        <v>0</v>
      </c>
      <c r="AF55" s="550">
        <v>0</v>
      </c>
      <c r="AG55" s="550">
        <v>0</v>
      </c>
      <c r="AH55" s="550">
        <v>0</v>
      </c>
      <c r="AI55" s="550">
        <v>0</v>
      </c>
      <c r="AJ55" s="550">
        <v>0</v>
      </c>
      <c r="AK55" s="550">
        <v>0</v>
      </c>
      <c r="AL55" s="550">
        <v>0</v>
      </c>
      <c r="AM55" s="579" t="s">
        <v>1819</v>
      </c>
      <c r="AN55" s="173" t="s">
        <v>543</v>
      </c>
      <c r="AO55" s="5"/>
      <c r="AS55" s="486"/>
      <c r="AT55" s="55"/>
      <c r="AU55" s="341"/>
      <c r="AV55" s="406"/>
      <c r="AW55" s="406"/>
      <c r="AX55" s="538"/>
    </row>
    <row r="56" spans="1:50">
      <c r="A56" s="5"/>
      <c r="B56" s="44" t="s">
        <v>3369</v>
      </c>
      <c r="C56" s="44" t="s">
        <v>135</v>
      </c>
      <c r="D56" s="44" t="s">
        <v>688</v>
      </c>
      <c r="E56" s="44" t="s">
        <v>1927</v>
      </c>
      <c r="F56" s="44" t="s">
        <v>1928</v>
      </c>
      <c r="G56" s="44" t="s">
        <v>1931</v>
      </c>
      <c r="H56" s="44" t="s">
        <v>2966</v>
      </c>
      <c r="I56" s="44" t="s">
        <v>1931</v>
      </c>
      <c r="J56" s="328">
        <v>26.25</v>
      </c>
      <c r="K56" s="550">
        <v>41.84</v>
      </c>
      <c r="L56" s="550">
        <v>34.450000000000003</v>
      </c>
      <c r="M56" s="550">
        <v>33.299999999999997</v>
      </c>
      <c r="N56" s="550">
        <v>32.29</v>
      </c>
      <c r="O56" s="550">
        <v>31.65</v>
      </c>
      <c r="P56" s="550">
        <v>27.11</v>
      </c>
      <c r="Q56" s="550">
        <v>27.2</v>
      </c>
      <c r="R56" s="550">
        <v>17.559999999999999</v>
      </c>
      <c r="S56" s="550">
        <v>2.61</v>
      </c>
      <c r="T56" s="550">
        <v>0</v>
      </c>
      <c r="U56" s="550">
        <v>0</v>
      </c>
      <c r="V56" s="550">
        <v>0</v>
      </c>
      <c r="W56" s="550">
        <v>0</v>
      </c>
      <c r="X56" s="550">
        <v>0</v>
      </c>
      <c r="Y56" s="550">
        <v>0</v>
      </c>
      <c r="Z56" s="550">
        <v>0</v>
      </c>
      <c r="AA56" s="550">
        <v>0</v>
      </c>
      <c r="AB56" s="550">
        <v>0</v>
      </c>
      <c r="AC56" s="550">
        <v>0</v>
      </c>
      <c r="AD56" s="550">
        <v>0</v>
      </c>
      <c r="AE56" s="550">
        <v>0</v>
      </c>
      <c r="AF56" s="550">
        <v>0</v>
      </c>
      <c r="AG56" s="550">
        <v>0</v>
      </c>
      <c r="AH56" s="550">
        <v>0</v>
      </c>
      <c r="AI56" s="550">
        <v>0</v>
      </c>
      <c r="AJ56" s="550">
        <v>0</v>
      </c>
      <c r="AK56" s="550">
        <v>0</v>
      </c>
      <c r="AL56" s="550">
        <v>0</v>
      </c>
      <c r="AM56" s="579" t="s">
        <v>1819</v>
      </c>
      <c r="AN56" s="173" t="s">
        <v>543</v>
      </c>
      <c r="AO56" s="5"/>
      <c r="AS56" s="486"/>
      <c r="AT56" s="55"/>
      <c r="AU56" s="341"/>
      <c r="AV56" s="406"/>
      <c r="AW56" s="406"/>
      <c r="AX56" s="538"/>
    </row>
    <row r="57" spans="1:50">
      <c r="A57" s="5"/>
      <c r="B57" s="44" t="s">
        <v>3369</v>
      </c>
      <c r="C57" s="44" t="s">
        <v>135</v>
      </c>
      <c r="D57" s="44" t="s">
        <v>137</v>
      </c>
      <c r="E57" s="44" t="s">
        <v>1927</v>
      </c>
      <c r="F57" s="44" t="s">
        <v>1928</v>
      </c>
      <c r="G57" s="44" t="s">
        <v>3374</v>
      </c>
      <c r="H57" s="44" t="s">
        <v>2966</v>
      </c>
      <c r="I57" s="44" t="s">
        <v>1931</v>
      </c>
      <c r="J57" s="328">
        <v>26.25</v>
      </c>
      <c r="K57" s="550">
        <v>139.79</v>
      </c>
      <c r="L57" s="550">
        <v>108.31</v>
      </c>
      <c r="M57" s="550">
        <v>72.760000000000005</v>
      </c>
      <c r="N57" s="550">
        <v>46.74</v>
      </c>
      <c r="O57" s="550">
        <v>40.14</v>
      </c>
      <c r="P57" s="550">
        <v>40.44</v>
      </c>
      <c r="Q57" s="550">
        <v>43.11</v>
      </c>
      <c r="R57" s="550">
        <v>48.38</v>
      </c>
      <c r="S57" s="550">
        <v>58.66</v>
      </c>
      <c r="T57" s="550">
        <v>59.84</v>
      </c>
      <c r="U57" s="550">
        <v>48.7</v>
      </c>
      <c r="V57" s="550">
        <v>47.79</v>
      </c>
      <c r="W57" s="550">
        <v>50.47</v>
      </c>
      <c r="X57" s="550">
        <v>36.1</v>
      </c>
      <c r="Y57" s="550">
        <v>0</v>
      </c>
      <c r="Z57" s="550">
        <v>0</v>
      </c>
      <c r="AA57" s="550">
        <v>0</v>
      </c>
      <c r="AB57" s="550">
        <v>0</v>
      </c>
      <c r="AC57" s="550">
        <v>0</v>
      </c>
      <c r="AD57" s="550">
        <v>0</v>
      </c>
      <c r="AE57" s="550">
        <v>0</v>
      </c>
      <c r="AF57" s="550">
        <v>0</v>
      </c>
      <c r="AG57" s="550">
        <v>0</v>
      </c>
      <c r="AH57" s="550">
        <v>0</v>
      </c>
      <c r="AI57" s="550">
        <v>0</v>
      </c>
      <c r="AJ57" s="550">
        <v>0</v>
      </c>
      <c r="AK57" s="550">
        <v>0</v>
      </c>
      <c r="AL57" s="550">
        <v>0</v>
      </c>
      <c r="AM57" s="579" t="s">
        <v>1819</v>
      </c>
      <c r="AN57" s="173" t="s">
        <v>543</v>
      </c>
      <c r="AO57" s="5"/>
      <c r="AS57" s="486"/>
      <c r="AT57" s="55"/>
      <c r="AU57" s="341"/>
      <c r="AV57" s="406"/>
      <c r="AW57" s="406"/>
      <c r="AX57" s="538"/>
    </row>
    <row r="58" spans="1:50">
      <c r="A58" s="5"/>
      <c r="B58" s="44" t="s">
        <v>3369</v>
      </c>
      <c r="C58" s="44" t="s">
        <v>135</v>
      </c>
      <c r="D58" s="44" t="s">
        <v>689</v>
      </c>
      <c r="E58" s="44" t="s">
        <v>2970</v>
      </c>
      <c r="F58" s="44" t="s">
        <v>2960</v>
      </c>
      <c r="G58" s="44" t="s">
        <v>1931</v>
      </c>
      <c r="H58" s="44" t="s">
        <v>2966</v>
      </c>
      <c r="I58" s="44" t="s">
        <v>2600</v>
      </c>
      <c r="J58" s="328">
        <v>40.22</v>
      </c>
      <c r="K58" s="550">
        <v>0</v>
      </c>
      <c r="L58" s="550">
        <v>0</v>
      </c>
      <c r="M58" s="550">
        <v>0</v>
      </c>
      <c r="N58" s="550">
        <v>0</v>
      </c>
      <c r="O58" s="550">
        <v>0</v>
      </c>
      <c r="P58" s="550">
        <v>0</v>
      </c>
      <c r="Q58" s="550">
        <v>0</v>
      </c>
      <c r="R58" s="550">
        <v>0</v>
      </c>
      <c r="S58" s="550">
        <v>0</v>
      </c>
      <c r="T58" s="550">
        <v>0</v>
      </c>
      <c r="U58" s="550">
        <v>0</v>
      </c>
      <c r="V58" s="550">
        <v>0</v>
      </c>
      <c r="W58" s="550">
        <v>0</v>
      </c>
      <c r="X58" s="550">
        <v>0</v>
      </c>
      <c r="Y58" s="550">
        <v>0</v>
      </c>
      <c r="Z58" s="550">
        <v>0</v>
      </c>
      <c r="AA58" s="550">
        <v>0</v>
      </c>
      <c r="AB58" s="550">
        <v>0</v>
      </c>
      <c r="AC58" s="550">
        <v>120.19</v>
      </c>
      <c r="AD58" s="550">
        <v>184.9</v>
      </c>
      <c r="AE58" s="550">
        <v>201.35</v>
      </c>
      <c r="AF58" s="550">
        <v>204.05</v>
      </c>
      <c r="AG58" s="550">
        <v>202.71</v>
      </c>
      <c r="AH58" s="550">
        <v>201.87</v>
      </c>
      <c r="AI58" s="550">
        <v>202.88</v>
      </c>
      <c r="AJ58" s="550">
        <v>229.51</v>
      </c>
      <c r="AK58" s="550">
        <v>202.9</v>
      </c>
      <c r="AL58" s="550">
        <v>197.16</v>
      </c>
      <c r="AM58" s="579" t="s">
        <v>1819</v>
      </c>
      <c r="AN58" s="173" t="s">
        <v>543</v>
      </c>
      <c r="AO58" s="5"/>
      <c r="AS58" s="486"/>
      <c r="AT58" s="55"/>
      <c r="AU58" s="341"/>
      <c r="AV58" s="406"/>
      <c r="AW58" s="406"/>
      <c r="AX58" s="538"/>
    </row>
    <row r="59" spans="1:50">
      <c r="A59" s="5"/>
      <c r="B59" s="44" t="s">
        <v>3369</v>
      </c>
      <c r="C59" s="44" t="s">
        <v>135</v>
      </c>
      <c r="D59" s="44" t="s">
        <v>690</v>
      </c>
      <c r="E59" s="44" t="s">
        <v>1927</v>
      </c>
      <c r="F59" s="44" t="s">
        <v>2960</v>
      </c>
      <c r="G59" s="44" t="s">
        <v>1931</v>
      </c>
      <c r="H59" s="44" t="s">
        <v>2966</v>
      </c>
      <c r="I59" s="44" t="s">
        <v>2600</v>
      </c>
      <c r="J59" s="328">
        <v>40.22</v>
      </c>
      <c r="K59" s="550">
        <v>0</v>
      </c>
      <c r="L59" s="550">
        <v>0</v>
      </c>
      <c r="M59" s="550">
        <v>0</v>
      </c>
      <c r="N59" s="550">
        <v>0</v>
      </c>
      <c r="O59" s="550">
        <v>0</v>
      </c>
      <c r="P59" s="550">
        <v>0</v>
      </c>
      <c r="Q59" s="550">
        <v>35.049999999999997</v>
      </c>
      <c r="R59" s="550">
        <v>347</v>
      </c>
      <c r="S59" s="550">
        <v>358.57</v>
      </c>
      <c r="T59" s="550">
        <v>316.67</v>
      </c>
      <c r="U59" s="550">
        <v>322.29000000000002</v>
      </c>
      <c r="V59" s="550">
        <v>300.43</v>
      </c>
      <c r="W59" s="550">
        <v>328.42</v>
      </c>
      <c r="X59" s="550">
        <v>390.97</v>
      </c>
      <c r="Y59" s="550">
        <v>353.8</v>
      </c>
      <c r="Z59" s="550">
        <v>377.72</v>
      </c>
      <c r="AA59" s="550">
        <v>377.42</v>
      </c>
      <c r="AB59" s="550">
        <v>370.66</v>
      </c>
      <c r="AC59" s="550">
        <v>369.58</v>
      </c>
      <c r="AD59" s="550">
        <v>368.78</v>
      </c>
      <c r="AE59" s="550">
        <v>372.82</v>
      </c>
      <c r="AF59" s="550">
        <v>373.07</v>
      </c>
      <c r="AG59" s="550">
        <v>380.79</v>
      </c>
      <c r="AH59" s="550">
        <v>382.55</v>
      </c>
      <c r="AI59" s="550">
        <v>378.94</v>
      </c>
      <c r="AJ59" s="550">
        <v>376.93</v>
      </c>
      <c r="AK59" s="550">
        <v>372.88</v>
      </c>
      <c r="AL59" s="550">
        <v>374.41</v>
      </c>
      <c r="AM59" s="580" t="s">
        <v>1818</v>
      </c>
      <c r="AN59" s="173" t="s">
        <v>543</v>
      </c>
      <c r="AO59" s="5"/>
      <c r="AS59" s="486"/>
      <c r="AT59" s="55"/>
      <c r="AU59" s="341"/>
      <c r="AV59" s="406"/>
      <c r="AW59" s="406"/>
      <c r="AX59" s="538"/>
    </row>
    <row r="60" spans="1:50">
      <c r="A60" s="5"/>
      <c r="B60" s="44" t="s">
        <v>3369</v>
      </c>
      <c r="C60" s="44" t="s">
        <v>816</v>
      </c>
      <c r="D60" s="44" t="s">
        <v>817</v>
      </c>
      <c r="E60" s="44" t="s">
        <v>1927</v>
      </c>
      <c r="F60" s="44" t="s">
        <v>1928</v>
      </c>
      <c r="G60" s="44" t="s">
        <v>1930</v>
      </c>
      <c r="H60" s="44" t="s">
        <v>116</v>
      </c>
      <c r="I60" s="44" t="s">
        <v>1931</v>
      </c>
      <c r="J60" s="328">
        <v>100</v>
      </c>
      <c r="K60" s="550">
        <v>0</v>
      </c>
      <c r="L60" s="550">
        <v>0</v>
      </c>
      <c r="M60" s="550">
        <v>0</v>
      </c>
      <c r="N60" s="550">
        <v>0</v>
      </c>
      <c r="O60" s="550">
        <v>0</v>
      </c>
      <c r="P60" s="550">
        <v>0</v>
      </c>
      <c r="Q60" s="550">
        <v>0</v>
      </c>
      <c r="R60" s="550">
        <v>17.760000000000002</v>
      </c>
      <c r="S60" s="550">
        <v>16.97</v>
      </c>
      <c r="T60" s="550">
        <v>16.12</v>
      </c>
      <c r="U60" s="550">
        <v>15.31</v>
      </c>
      <c r="V60" s="550">
        <v>14.55</v>
      </c>
      <c r="W60" s="550">
        <v>0</v>
      </c>
      <c r="X60" s="550">
        <v>0</v>
      </c>
      <c r="Y60" s="550">
        <v>0</v>
      </c>
      <c r="Z60" s="550">
        <v>0</v>
      </c>
      <c r="AA60" s="550">
        <v>0</v>
      </c>
      <c r="AB60" s="550">
        <v>0</v>
      </c>
      <c r="AC60" s="550">
        <v>0</v>
      </c>
      <c r="AD60" s="550">
        <v>0</v>
      </c>
      <c r="AE60" s="550">
        <v>0</v>
      </c>
      <c r="AF60" s="550">
        <v>0</v>
      </c>
      <c r="AG60" s="550">
        <v>0</v>
      </c>
      <c r="AH60" s="550">
        <v>0</v>
      </c>
      <c r="AI60" s="550">
        <v>0</v>
      </c>
      <c r="AJ60" s="550">
        <v>0</v>
      </c>
      <c r="AK60" s="550">
        <v>0</v>
      </c>
      <c r="AL60" s="550">
        <v>0</v>
      </c>
      <c r="AM60" s="173" t="str">
        <f t="shared" si="0"/>
        <v>EAI - Jordan</v>
      </c>
      <c r="AN60" s="173" t="s">
        <v>3119</v>
      </c>
      <c r="AO60" s="5"/>
      <c r="AS60" s="486"/>
      <c r="AT60" s="55"/>
      <c r="AU60" s="341"/>
      <c r="AV60" s="406"/>
      <c r="AW60" s="406"/>
      <c r="AX60" s="538"/>
    </row>
    <row r="61" spans="1:50">
      <c r="A61" s="5"/>
      <c r="B61" s="44" t="s">
        <v>3369</v>
      </c>
      <c r="C61" s="44" t="s">
        <v>3704</v>
      </c>
      <c r="D61" s="44" t="s">
        <v>3703</v>
      </c>
      <c r="E61" s="44" t="s">
        <v>3372</v>
      </c>
      <c r="F61" s="44" t="s">
        <v>3373</v>
      </c>
      <c r="G61" s="44" t="s">
        <v>1930</v>
      </c>
      <c r="H61" s="44" t="s">
        <v>2966</v>
      </c>
      <c r="I61" s="44" t="s">
        <v>3705</v>
      </c>
      <c r="J61" s="328">
        <v>62</v>
      </c>
      <c r="K61" s="550">
        <v>0</v>
      </c>
      <c r="L61" s="550">
        <v>0</v>
      </c>
      <c r="M61" s="550">
        <v>0</v>
      </c>
      <c r="N61" s="550">
        <v>0</v>
      </c>
      <c r="O61" s="550">
        <v>0</v>
      </c>
      <c r="P61" s="550">
        <v>0</v>
      </c>
      <c r="Q61" s="550">
        <v>0</v>
      </c>
      <c r="R61" s="550">
        <v>0</v>
      </c>
      <c r="S61" s="550">
        <v>0</v>
      </c>
      <c r="T61" s="550">
        <v>0</v>
      </c>
      <c r="U61" s="550">
        <v>0</v>
      </c>
      <c r="V61" s="550">
        <v>0</v>
      </c>
      <c r="W61" s="550">
        <v>0</v>
      </c>
      <c r="X61" s="550">
        <v>0</v>
      </c>
      <c r="Y61" s="550">
        <v>0</v>
      </c>
      <c r="Z61" s="550">
        <v>0</v>
      </c>
      <c r="AA61" s="550">
        <v>0</v>
      </c>
      <c r="AB61" s="550">
        <v>0</v>
      </c>
      <c r="AC61" s="550">
        <v>0</v>
      </c>
      <c r="AD61" s="550">
        <v>31.73</v>
      </c>
      <c r="AE61" s="550">
        <v>76.849999999999994</v>
      </c>
      <c r="AF61" s="550">
        <v>102.55</v>
      </c>
      <c r="AG61" s="550">
        <v>146.31</v>
      </c>
      <c r="AH61" s="550">
        <v>190.07</v>
      </c>
      <c r="AI61" s="550">
        <v>205.11</v>
      </c>
      <c r="AJ61" s="550">
        <v>205.11</v>
      </c>
      <c r="AK61" s="550">
        <v>205.11</v>
      </c>
      <c r="AL61" s="550">
        <v>203.35</v>
      </c>
      <c r="AM61" s="704" t="str">
        <f t="shared" ref="AM61" si="5">AN61&amp;" - "&amp;C61</f>
        <v>SUBS - Mauritania</v>
      </c>
      <c r="AN61" s="704" t="s">
        <v>543</v>
      </c>
      <c r="AO61" s="5"/>
      <c r="AS61" s="486"/>
      <c r="AT61" s="55"/>
      <c r="AU61" s="341"/>
      <c r="AV61" s="406"/>
      <c r="AW61" s="406"/>
      <c r="AX61" s="538"/>
    </row>
    <row r="62" spans="1:50">
      <c r="A62" s="5"/>
      <c r="B62" s="44" t="s">
        <v>3369</v>
      </c>
      <c r="C62" s="44" t="s">
        <v>3565</v>
      </c>
      <c r="D62" s="44" t="s">
        <v>3702</v>
      </c>
      <c r="E62" s="44" t="s">
        <v>2970</v>
      </c>
      <c r="F62" s="44" t="s">
        <v>2960</v>
      </c>
      <c r="G62" s="44" t="s">
        <v>3374</v>
      </c>
      <c r="H62" s="44" t="s">
        <v>116</v>
      </c>
      <c r="I62" s="44" t="s">
        <v>2600</v>
      </c>
      <c r="J62" s="328">
        <v>25</v>
      </c>
      <c r="K62" s="550">
        <v>0</v>
      </c>
      <c r="L62" s="550">
        <v>0</v>
      </c>
      <c r="M62" s="550">
        <v>0</v>
      </c>
      <c r="N62" s="550">
        <v>0</v>
      </c>
      <c r="O62" s="550">
        <v>0</v>
      </c>
      <c r="P62" s="550">
        <v>0</v>
      </c>
      <c r="Q62" s="550">
        <v>0</v>
      </c>
      <c r="R62" s="550">
        <v>0</v>
      </c>
      <c r="S62" s="550">
        <v>0</v>
      </c>
      <c r="T62" s="550">
        <v>0</v>
      </c>
      <c r="U62" s="550">
        <v>0</v>
      </c>
      <c r="V62" s="550">
        <v>0</v>
      </c>
      <c r="W62" s="550">
        <v>0</v>
      </c>
      <c r="X62" s="550">
        <v>0</v>
      </c>
      <c r="Y62" s="550">
        <v>0</v>
      </c>
      <c r="Z62" s="550">
        <v>0</v>
      </c>
      <c r="AA62" s="550">
        <v>0.41499999999999998</v>
      </c>
      <c r="AB62" s="550">
        <v>0.755</v>
      </c>
      <c r="AC62" s="550">
        <v>1.0349999999999999</v>
      </c>
      <c r="AD62" s="550">
        <v>1.27</v>
      </c>
      <c r="AE62" s="550">
        <v>1.4650000000000001</v>
      </c>
      <c r="AF62" s="550">
        <v>1.63</v>
      </c>
      <c r="AG62" s="550">
        <v>1.2549999999999999</v>
      </c>
      <c r="AH62" s="550">
        <v>0.66</v>
      </c>
      <c r="AI62" s="550">
        <v>0.56000000000000005</v>
      </c>
      <c r="AJ62" s="550">
        <v>0.48</v>
      </c>
      <c r="AK62" s="550">
        <v>0.41</v>
      </c>
      <c r="AL62" s="680">
        <v>0.35499999999999998</v>
      </c>
      <c r="AM62" s="173" t="str">
        <f t="shared" si="0"/>
        <v>SUBS - Mexico</v>
      </c>
      <c r="AN62" s="173" t="s">
        <v>543</v>
      </c>
      <c r="AO62" s="5"/>
      <c r="AS62" s="486"/>
      <c r="AT62" s="55"/>
      <c r="AU62" s="341"/>
      <c r="AV62" s="406"/>
      <c r="AW62" s="406"/>
      <c r="AX62" s="538"/>
    </row>
    <row r="63" spans="1:50">
      <c r="A63" s="5"/>
      <c r="B63" s="44" t="s">
        <v>3369</v>
      </c>
      <c r="C63" s="44" t="s">
        <v>139</v>
      </c>
      <c r="D63" s="44" t="s">
        <v>140</v>
      </c>
      <c r="E63" s="44" t="s">
        <v>1927</v>
      </c>
      <c r="F63" s="44" t="s">
        <v>1928</v>
      </c>
      <c r="G63" s="44" t="s">
        <v>1931</v>
      </c>
      <c r="H63" s="44" t="s">
        <v>116</v>
      </c>
      <c r="I63" s="44" t="s">
        <v>1931</v>
      </c>
      <c r="J63" s="328">
        <v>36</v>
      </c>
      <c r="K63" s="550">
        <v>14.87</v>
      </c>
      <c r="L63" s="550">
        <v>11.39</v>
      </c>
      <c r="M63" s="550">
        <v>9.4600000000000009</v>
      </c>
      <c r="N63" s="550">
        <v>5.12</v>
      </c>
      <c r="O63" s="550">
        <v>0</v>
      </c>
      <c r="P63" s="550">
        <v>0</v>
      </c>
      <c r="Q63" s="550">
        <v>0</v>
      </c>
      <c r="R63" s="550">
        <v>0</v>
      </c>
      <c r="S63" s="550">
        <v>0</v>
      </c>
      <c r="T63" s="550">
        <v>0</v>
      </c>
      <c r="U63" s="550">
        <v>0</v>
      </c>
      <c r="V63" s="550">
        <v>0</v>
      </c>
      <c r="W63" s="550">
        <v>0</v>
      </c>
      <c r="X63" s="550">
        <v>0</v>
      </c>
      <c r="Y63" s="550">
        <v>0</v>
      </c>
      <c r="Z63" s="550">
        <v>0</v>
      </c>
      <c r="AA63" s="550">
        <v>0</v>
      </c>
      <c r="AB63" s="550">
        <v>0</v>
      </c>
      <c r="AC63" s="550">
        <v>0</v>
      </c>
      <c r="AD63" s="550">
        <v>0</v>
      </c>
      <c r="AE63" s="550">
        <v>0</v>
      </c>
      <c r="AF63" s="550">
        <v>0</v>
      </c>
      <c r="AG63" s="550">
        <v>0</v>
      </c>
      <c r="AH63" s="550">
        <v>0</v>
      </c>
      <c r="AI63" s="550">
        <v>0</v>
      </c>
      <c r="AJ63" s="550">
        <v>0</v>
      </c>
      <c r="AK63" s="550">
        <v>0</v>
      </c>
      <c r="AL63" s="550">
        <v>0</v>
      </c>
      <c r="AM63" s="173" t="str">
        <f t="shared" si="0"/>
        <v>SUBS - Netherlands</v>
      </c>
      <c r="AN63" s="173" t="s">
        <v>543</v>
      </c>
      <c r="AO63" s="5"/>
      <c r="AS63" s="486"/>
      <c r="AT63" s="55"/>
      <c r="AU63" s="341"/>
      <c r="AV63" s="406"/>
      <c r="AW63" s="406"/>
      <c r="AX63" s="538"/>
    </row>
    <row r="64" spans="1:50">
      <c r="A64" s="5"/>
      <c r="B64" s="44" t="s">
        <v>3369</v>
      </c>
      <c r="C64" s="44" t="s">
        <v>139</v>
      </c>
      <c r="D64" s="44" t="s">
        <v>141</v>
      </c>
      <c r="E64" s="44" t="s">
        <v>2254</v>
      </c>
      <c r="F64" s="44" t="s">
        <v>2960</v>
      </c>
      <c r="G64" s="44" t="s">
        <v>1931</v>
      </c>
      <c r="H64" s="44" t="s">
        <v>116</v>
      </c>
      <c r="I64" s="44" t="s">
        <v>2601</v>
      </c>
      <c r="J64" s="328">
        <v>60</v>
      </c>
      <c r="K64" s="550">
        <v>0.55000000000000004</v>
      </c>
      <c r="L64" s="550">
        <v>7.94</v>
      </c>
      <c r="M64" s="550">
        <v>4.66</v>
      </c>
      <c r="N64" s="550">
        <v>2.04</v>
      </c>
      <c r="O64" s="550">
        <v>0</v>
      </c>
      <c r="P64" s="550">
        <v>0</v>
      </c>
      <c r="Q64" s="550">
        <v>0</v>
      </c>
      <c r="R64" s="550">
        <v>0</v>
      </c>
      <c r="S64" s="550">
        <v>0</v>
      </c>
      <c r="T64" s="550">
        <v>0</v>
      </c>
      <c r="U64" s="550">
        <v>0</v>
      </c>
      <c r="V64" s="550">
        <v>0</v>
      </c>
      <c r="W64" s="550">
        <v>0</v>
      </c>
      <c r="X64" s="550">
        <v>0</v>
      </c>
      <c r="Y64" s="550">
        <v>0</v>
      </c>
      <c r="Z64" s="550">
        <v>0</v>
      </c>
      <c r="AA64" s="550">
        <v>0</v>
      </c>
      <c r="AB64" s="550">
        <v>0</v>
      </c>
      <c r="AC64" s="550">
        <v>0</v>
      </c>
      <c r="AD64" s="550">
        <v>0</v>
      </c>
      <c r="AE64" s="550">
        <v>0</v>
      </c>
      <c r="AF64" s="550">
        <v>0</v>
      </c>
      <c r="AG64" s="550">
        <v>0</v>
      </c>
      <c r="AH64" s="550">
        <v>0</v>
      </c>
      <c r="AI64" s="550">
        <v>0</v>
      </c>
      <c r="AJ64" s="550">
        <v>0</v>
      </c>
      <c r="AK64" s="550">
        <v>0</v>
      </c>
      <c r="AL64" s="550">
        <v>0</v>
      </c>
      <c r="AM64" s="173" t="str">
        <f t="shared" si="0"/>
        <v>SUBS - Netherlands</v>
      </c>
      <c r="AN64" s="173" t="s">
        <v>543</v>
      </c>
      <c r="AO64" s="5"/>
      <c r="AS64" s="486"/>
      <c r="AT64" s="55"/>
      <c r="AU64" s="341"/>
      <c r="AV64" s="406"/>
      <c r="AW64" s="406"/>
      <c r="AX64" s="538"/>
    </row>
    <row r="65" spans="1:50">
      <c r="A65" s="5"/>
      <c r="B65" s="44" t="s">
        <v>3369</v>
      </c>
      <c r="C65" s="44" t="s">
        <v>139</v>
      </c>
      <c r="D65" s="44" t="s">
        <v>142</v>
      </c>
      <c r="E65" s="44" t="s">
        <v>2254</v>
      </c>
      <c r="F65" s="44" t="s">
        <v>2960</v>
      </c>
      <c r="G65" s="44" t="s">
        <v>1931</v>
      </c>
      <c r="H65" s="44" t="s">
        <v>116</v>
      </c>
      <c r="I65" s="44" t="s">
        <v>2601</v>
      </c>
      <c r="J65" s="328">
        <v>53.833399999999997</v>
      </c>
      <c r="K65" s="550">
        <v>0.21</v>
      </c>
      <c r="L65" s="550">
        <v>4.26</v>
      </c>
      <c r="M65" s="550">
        <v>3.22</v>
      </c>
      <c r="N65" s="550">
        <v>1.78</v>
      </c>
      <c r="O65" s="550">
        <v>0</v>
      </c>
      <c r="P65" s="550">
        <v>0</v>
      </c>
      <c r="Q65" s="550">
        <v>0</v>
      </c>
      <c r="R65" s="550">
        <v>0</v>
      </c>
      <c r="S65" s="550">
        <v>0</v>
      </c>
      <c r="T65" s="550">
        <v>0</v>
      </c>
      <c r="U65" s="550">
        <v>0</v>
      </c>
      <c r="V65" s="550">
        <v>0</v>
      </c>
      <c r="W65" s="550">
        <v>0</v>
      </c>
      <c r="X65" s="550">
        <v>0</v>
      </c>
      <c r="Y65" s="550">
        <v>0</v>
      </c>
      <c r="Z65" s="550">
        <v>0</v>
      </c>
      <c r="AA65" s="550">
        <v>0</v>
      </c>
      <c r="AB65" s="550">
        <v>0</v>
      </c>
      <c r="AC65" s="550">
        <v>0</v>
      </c>
      <c r="AD65" s="550">
        <v>0</v>
      </c>
      <c r="AE65" s="550">
        <v>0</v>
      </c>
      <c r="AF65" s="550">
        <v>0</v>
      </c>
      <c r="AG65" s="550">
        <v>0</v>
      </c>
      <c r="AH65" s="550">
        <v>0</v>
      </c>
      <c r="AI65" s="550">
        <v>0</v>
      </c>
      <c r="AJ65" s="550">
        <v>0</v>
      </c>
      <c r="AK65" s="550">
        <v>0</v>
      </c>
      <c r="AL65" s="550">
        <v>0</v>
      </c>
      <c r="AM65" s="173" t="str">
        <f t="shared" si="0"/>
        <v>SUBS - Netherlands</v>
      </c>
      <c r="AN65" s="173" t="s">
        <v>543</v>
      </c>
      <c r="AO65" s="5"/>
      <c r="AS65" s="486"/>
      <c r="AT65" s="55"/>
      <c r="AU65" s="341"/>
      <c r="AV65" s="406"/>
      <c r="AW65" s="406"/>
      <c r="AX65" s="538"/>
    </row>
    <row r="66" spans="1:50">
      <c r="A66" s="5"/>
      <c r="B66" s="44" t="s">
        <v>3369</v>
      </c>
      <c r="C66" s="44" t="s">
        <v>139</v>
      </c>
      <c r="D66" s="44" t="s">
        <v>3011</v>
      </c>
      <c r="E66" s="44" t="s">
        <v>1927</v>
      </c>
      <c r="F66" s="44" t="s">
        <v>2960</v>
      </c>
      <c r="G66" s="44" t="s">
        <v>1931</v>
      </c>
      <c r="H66" s="44" t="s">
        <v>116</v>
      </c>
      <c r="I66" s="44" t="s">
        <v>2600</v>
      </c>
      <c r="J66" s="328">
        <v>18.82</v>
      </c>
      <c r="K66" s="550">
        <v>7.07</v>
      </c>
      <c r="L66" s="550">
        <v>7.16</v>
      </c>
      <c r="M66" s="550">
        <v>5.59</v>
      </c>
      <c r="N66" s="550">
        <v>3.03</v>
      </c>
      <c r="O66" s="550">
        <v>0</v>
      </c>
      <c r="P66" s="550">
        <v>0</v>
      </c>
      <c r="Q66" s="550">
        <v>0</v>
      </c>
      <c r="R66" s="550">
        <v>0</v>
      </c>
      <c r="S66" s="550">
        <v>0</v>
      </c>
      <c r="T66" s="550">
        <v>0</v>
      </c>
      <c r="U66" s="550">
        <v>0</v>
      </c>
      <c r="V66" s="550">
        <v>0</v>
      </c>
      <c r="W66" s="550">
        <v>0</v>
      </c>
      <c r="X66" s="550">
        <v>0</v>
      </c>
      <c r="Y66" s="550">
        <v>0</v>
      </c>
      <c r="Z66" s="550">
        <v>0</v>
      </c>
      <c r="AA66" s="550">
        <v>0</v>
      </c>
      <c r="AB66" s="550">
        <v>0</v>
      </c>
      <c r="AC66" s="550">
        <v>0</v>
      </c>
      <c r="AD66" s="550">
        <v>0</v>
      </c>
      <c r="AE66" s="550">
        <v>0</v>
      </c>
      <c r="AF66" s="550">
        <v>0</v>
      </c>
      <c r="AG66" s="550">
        <v>0</v>
      </c>
      <c r="AH66" s="550">
        <v>0</v>
      </c>
      <c r="AI66" s="550">
        <v>0</v>
      </c>
      <c r="AJ66" s="550">
        <v>0</v>
      </c>
      <c r="AK66" s="550">
        <v>0</v>
      </c>
      <c r="AL66" s="550">
        <v>0</v>
      </c>
      <c r="AM66" s="173" t="str">
        <f t="shared" si="0"/>
        <v>SUBS - Netherlands</v>
      </c>
      <c r="AN66" s="173" t="s">
        <v>543</v>
      </c>
      <c r="AO66" s="5"/>
      <c r="AS66" s="486"/>
      <c r="AT66" s="55"/>
      <c r="AU66" s="341"/>
      <c r="AV66" s="406"/>
      <c r="AW66" s="406"/>
      <c r="AX66" s="538"/>
    </row>
    <row r="67" spans="1:50">
      <c r="A67" s="5"/>
      <c r="B67" s="44" t="s">
        <v>3369</v>
      </c>
      <c r="C67" s="44" t="s">
        <v>139</v>
      </c>
      <c r="D67" s="44" t="s">
        <v>1741</v>
      </c>
      <c r="E67" s="44" t="s">
        <v>2254</v>
      </c>
      <c r="F67" s="44" t="s">
        <v>2960</v>
      </c>
      <c r="G67" s="44" t="s">
        <v>1931</v>
      </c>
      <c r="H67" s="44" t="s">
        <v>116</v>
      </c>
      <c r="I67" s="44" t="s">
        <v>2571</v>
      </c>
      <c r="J67" s="328">
        <v>14.94</v>
      </c>
      <c r="K67" s="550">
        <v>0.67</v>
      </c>
      <c r="L67" s="550">
        <v>0.35</v>
      </c>
      <c r="M67" s="550">
        <v>0.16</v>
      </c>
      <c r="N67" s="550">
        <v>0.12</v>
      </c>
      <c r="O67" s="550">
        <v>0</v>
      </c>
      <c r="P67" s="550">
        <v>0</v>
      </c>
      <c r="Q67" s="550">
        <v>0</v>
      </c>
      <c r="R67" s="550">
        <v>0</v>
      </c>
      <c r="S67" s="550">
        <v>0</v>
      </c>
      <c r="T67" s="550">
        <v>0</v>
      </c>
      <c r="U67" s="550">
        <v>0</v>
      </c>
      <c r="V67" s="550">
        <v>0</v>
      </c>
      <c r="W67" s="550">
        <v>0</v>
      </c>
      <c r="X67" s="550">
        <v>0</v>
      </c>
      <c r="Y67" s="550">
        <v>0</v>
      </c>
      <c r="Z67" s="550">
        <v>0</v>
      </c>
      <c r="AA67" s="550">
        <v>0</v>
      </c>
      <c r="AB67" s="550">
        <v>0</v>
      </c>
      <c r="AC67" s="550">
        <v>0</v>
      </c>
      <c r="AD67" s="550">
        <v>0</v>
      </c>
      <c r="AE67" s="550">
        <v>0</v>
      </c>
      <c r="AF67" s="550">
        <v>0</v>
      </c>
      <c r="AG67" s="550">
        <v>0</v>
      </c>
      <c r="AH67" s="550">
        <v>0</v>
      </c>
      <c r="AI67" s="550">
        <v>0</v>
      </c>
      <c r="AJ67" s="550">
        <v>0</v>
      </c>
      <c r="AK67" s="550">
        <v>0</v>
      </c>
      <c r="AL67" s="550">
        <v>0</v>
      </c>
      <c r="AM67" s="173" t="str">
        <f t="shared" si="0"/>
        <v>SUBS - Netherlands</v>
      </c>
      <c r="AN67" s="173" t="s">
        <v>543</v>
      </c>
      <c r="AO67" s="5"/>
      <c r="AS67" s="486"/>
      <c r="AT67" s="55"/>
      <c r="AU67" s="341"/>
      <c r="AV67" s="406"/>
      <c r="AW67" s="406"/>
      <c r="AX67" s="538"/>
    </row>
    <row r="68" spans="1:50">
      <c r="A68" s="5"/>
      <c r="B68" s="44" t="s">
        <v>3369</v>
      </c>
      <c r="C68" s="44" t="s">
        <v>139</v>
      </c>
      <c r="D68" s="44" t="s">
        <v>1742</v>
      </c>
      <c r="E68" s="44" t="s">
        <v>1927</v>
      </c>
      <c r="F68" s="44" t="s">
        <v>2960</v>
      </c>
      <c r="G68" s="44" t="s">
        <v>1931</v>
      </c>
      <c r="H68" s="44" t="s">
        <v>116</v>
      </c>
      <c r="I68" s="44" t="s">
        <v>2600</v>
      </c>
      <c r="J68" s="328">
        <v>42.5</v>
      </c>
      <c r="K68" s="550">
        <v>3.98</v>
      </c>
      <c r="L68" s="550">
        <v>4.79</v>
      </c>
      <c r="M68" s="550">
        <v>3.65</v>
      </c>
      <c r="N68" s="550">
        <v>3.12</v>
      </c>
      <c r="O68" s="550">
        <v>0</v>
      </c>
      <c r="P68" s="550">
        <v>0</v>
      </c>
      <c r="Q68" s="550">
        <v>0</v>
      </c>
      <c r="R68" s="550">
        <v>0</v>
      </c>
      <c r="S68" s="550">
        <v>0</v>
      </c>
      <c r="T68" s="550">
        <v>0</v>
      </c>
      <c r="U68" s="550">
        <v>0</v>
      </c>
      <c r="V68" s="550">
        <v>0</v>
      </c>
      <c r="W68" s="550">
        <v>0</v>
      </c>
      <c r="X68" s="550">
        <v>0</v>
      </c>
      <c r="Y68" s="550">
        <v>0</v>
      </c>
      <c r="Z68" s="550">
        <v>0</v>
      </c>
      <c r="AA68" s="550">
        <v>0</v>
      </c>
      <c r="AB68" s="550">
        <v>0</v>
      </c>
      <c r="AC68" s="550">
        <v>0</v>
      </c>
      <c r="AD68" s="550">
        <v>0</v>
      </c>
      <c r="AE68" s="550">
        <v>0</v>
      </c>
      <c r="AF68" s="550">
        <v>0</v>
      </c>
      <c r="AG68" s="550">
        <v>0</v>
      </c>
      <c r="AH68" s="550">
        <v>0</v>
      </c>
      <c r="AI68" s="550">
        <v>0</v>
      </c>
      <c r="AJ68" s="550">
        <v>0</v>
      </c>
      <c r="AK68" s="550">
        <v>0</v>
      </c>
      <c r="AL68" s="550">
        <v>0</v>
      </c>
      <c r="AM68" s="173" t="str">
        <f t="shared" si="0"/>
        <v>SUBS - Netherlands</v>
      </c>
      <c r="AN68" s="173" t="s">
        <v>543</v>
      </c>
      <c r="AO68" s="5"/>
      <c r="AS68" s="486"/>
      <c r="AT68" s="55"/>
      <c r="AU68" s="341"/>
      <c r="AV68" s="406"/>
      <c r="AW68" s="406"/>
      <c r="AX68" s="538"/>
    </row>
    <row r="69" spans="1:50">
      <c r="A69" s="5"/>
      <c r="B69" s="44" t="s">
        <v>3369</v>
      </c>
      <c r="C69" s="44" t="s">
        <v>139</v>
      </c>
      <c r="D69" s="44" t="s">
        <v>1743</v>
      </c>
      <c r="E69" s="44" t="s">
        <v>1927</v>
      </c>
      <c r="F69" s="44" t="s">
        <v>2960</v>
      </c>
      <c r="G69" s="44" t="s">
        <v>1931</v>
      </c>
      <c r="H69" s="44" t="s">
        <v>116</v>
      </c>
      <c r="I69" s="44" t="s">
        <v>2601</v>
      </c>
      <c r="J69" s="328">
        <v>26.36</v>
      </c>
      <c r="K69" s="550">
        <v>0.65</v>
      </c>
      <c r="L69" s="550">
        <v>3.5</v>
      </c>
      <c r="M69" s="550">
        <v>2.89</v>
      </c>
      <c r="N69" s="550">
        <v>1.59</v>
      </c>
      <c r="O69" s="550">
        <v>0</v>
      </c>
      <c r="P69" s="550">
        <v>0</v>
      </c>
      <c r="Q69" s="550">
        <v>0</v>
      </c>
      <c r="R69" s="550">
        <v>0</v>
      </c>
      <c r="S69" s="550">
        <v>0</v>
      </c>
      <c r="T69" s="550">
        <v>0</v>
      </c>
      <c r="U69" s="550">
        <v>0</v>
      </c>
      <c r="V69" s="550">
        <v>0</v>
      </c>
      <c r="W69" s="550">
        <v>0</v>
      </c>
      <c r="X69" s="550">
        <v>0</v>
      </c>
      <c r="Y69" s="550">
        <v>0</v>
      </c>
      <c r="Z69" s="550">
        <v>0</v>
      </c>
      <c r="AA69" s="550">
        <v>0</v>
      </c>
      <c r="AB69" s="550">
        <v>0</v>
      </c>
      <c r="AC69" s="550">
        <v>0</v>
      </c>
      <c r="AD69" s="550">
        <v>0</v>
      </c>
      <c r="AE69" s="550">
        <v>0</v>
      </c>
      <c r="AF69" s="550">
        <v>0</v>
      </c>
      <c r="AG69" s="550">
        <v>0</v>
      </c>
      <c r="AH69" s="550">
        <v>0</v>
      </c>
      <c r="AI69" s="550">
        <v>0</v>
      </c>
      <c r="AJ69" s="550">
        <v>0</v>
      </c>
      <c r="AK69" s="550">
        <v>0</v>
      </c>
      <c r="AL69" s="550">
        <v>0</v>
      </c>
      <c r="AM69" s="173" t="str">
        <f t="shared" si="0"/>
        <v>SUBS - Netherlands</v>
      </c>
      <c r="AN69" s="173" t="s">
        <v>543</v>
      </c>
      <c r="AO69" s="5"/>
      <c r="AS69" s="486"/>
      <c r="AT69" s="55"/>
      <c r="AU69" s="341"/>
      <c r="AV69" s="406"/>
      <c r="AW69" s="406"/>
      <c r="AX69" s="538"/>
    </row>
    <row r="70" spans="1:50">
      <c r="A70" s="5"/>
      <c r="B70" s="44" t="s">
        <v>3369</v>
      </c>
      <c r="C70" s="44" t="s">
        <v>139</v>
      </c>
      <c r="D70" s="44" t="s">
        <v>1744</v>
      </c>
      <c r="E70" s="44" t="s">
        <v>1927</v>
      </c>
      <c r="F70" s="44" t="s">
        <v>2960</v>
      </c>
      <c r="G70" s="44" t="s">
        <v>1931</v>
      </c>
      <c r="H70" s="44" t="s">
        <v>116</v>
      </c>
      <c r="I70" s="44" t="s">
        <v>2600</v>
      </c>
      <c r="J70" s="328">
        <v>50</v>
      </c>
      <c r="K70" s="550">
        <v>32.11</v>
      </c>
      <c r="L70" s="550">
        <v>37.229999999999997</v>
      </c>
      <c r="M70" s="550">
        <v>29.89</v>
      </c>
      <c r="N70" s="550">
        <v>23.76</v>
      </c>
      <c r="O70" s="550">
        <v>0</v>
      </c>
      <c r="P70" s="550">
        <v>0</v>
      </c>
      <c r="Q70" s="550">
        <v>0</v>
      </c>
      <c r="R70" s="550">
        <v>0</v>
      </c>
      <c r="S70" s="550">
        <v>0</v>
      </c>
      <c r="T70" s="550">
        <v>0</v>
      </c>
      <c r="U70" s="550">
        <v>0</v>
      </c>
      <c r="V70" s="550">
        <v>0</v>
      </c>
      <c r="W70" s="550">
        <v>0</v>
      </c>
      <c r="X70" s="550">
        <v>0</v>
      </c>
      <c r="Y70" s="550">
        <v>0</v>
      </c>
      <c r="Z70" s="550">
        <v>0</v>
      </c>
      <c r="AA70" s="550">
        <v>0</v>
      </c>
      <c r="AB70" s="550">
        <v>0</v>
      </c>
      <c r="AC70" s="550">
        <v>0</v>
      </c>
      <c r="AD70" s="550">
        <v>0</v>
      </c>
      <c r="AE70" s="550">
        <v>0</v>
      </c>
      <c r="AF70" s="550">
        <v>0</v>
      </c>
      <c r="AG70" s="550">
        <v>0</v>
      </c>
      <c r="AH70" s="550">
        <v>0</v>
      </c>
      <c r="AI70" s="550">
        <v>0</v>
      </c>
      <c r="AJ70" s="550">
        <v>0</v>
      </c>
      <c r="AK70" s="550">
        <v>0</v>
      </c>
      <c r="AL70" s="550">
        <v>0</v>
      </c>
      <c r="AM70" s="173" t="str">
        <f t="shared" si="0"/>
        <v>SUBS - Netherlands</v>
      </c>
      <c r="AN70" s="173" t="s">
        <v>543</v>
      </c>
      <c r="AO70" s="5"/>
      <c r="AS70" s="486"/>
      <c r="AT70" s="55"/>
      <c r="AU70" s="341"/>
      <c r="AV70" s="406"/>
      <c r="AW70" s="406"/>
      <c r="AX70" s="538"/>
    </row>
    <row r="71" spans="1:50">
      <c r="A71" s="5"/>
      <c r="B71" s="44" t="s">
        <v>3369</v>
      </c>
      <c r="C71" s="44" t="s">
        <v>1745</v>
      </c>
      <c r="D71" s="44" t="s">
        <v>3573</v>
      </c>
      <c r="E71" s="44" t="s">
        <v>1927</v>
      </c>
      <c r="F71" s="44" t="s">
        <v>2960</v>
      </c>
      <c r="G71" s="44" t="s">
        <v>3374</v>
      </c>
      <c r="H71" s="44" t="s">
        <v>116</v>
      </c>
      <c r="I71" s="44" t="s">
        <v>2971</v>
      </c>
      <c r="J71" s="328">
        <v>19.5</v>
      </c>
      <c r="K71" s="550">
        <v>0</v>
      </c>
      <c r="L71" s="550">
        <v>0</v>
      </c>
      <c r="M71" s="550">
        <v>0</v>
      </c>
      <c r="N71" s="550">
        <v>0</v>
      </c>
      <c r="O71" s="550">
        <v>0</v>
      </c>
      <c r="P71" s="550">
        <v>0</v>
      </c>
      <c r="Q71" s="550">
        <v>0</v>
      </c>
      <c r="R71" s="550">
        <v>0</v>
      </c>
      <c r="S71" s="550">
        <v>0</v>
      </c>
      <c r="T71" s="550">
        <v>0</v>
      </c>
      <c r="U71" s="550">
        <v>0</v>
      </c>
      <c r="V71" s="550">
        <v>0</v>
      </c>
      <c r="W71" s="550">
        <v>0</v>
      </c>
      <c r="X71" s="550">
        <v>9.7469999999999999</v>
      </c>
      <c r="Y71" s="550">
        <v>12.978</v>
      </c>
      <c r="Z71" s="550">
        <v>11.202</v>
      </c>
      <c r="AA71" s="550">
        <v>8.7840000000000007</v>
      </c>
      <c r="AB71" s="550">
        <v>6.1619999999999999</v>
      </c>
      <c r="AC71" s="550">
        <v>4.3680000000000003</v>
      </c>
      <c r="AD71" s="550">
        <v>3.117</v>
      </c>
      <c r="AE71" s="550">
        <v>2.2320000000000002</v>
      </c>
      <c r="AF71" s="550">
        <v>2.0579999999999998</v>
      </c>
      <c r="AG71" s="550">
        <v>1.893</v>
      </c>
      <c r="AH71" s="550">
        <v>1.7729999999999999</v>
      </c>
      <c r="AI71" s="550">
        <v>1.6739999999999999</v>
      </c>
      <c r="AJ71" s="680">
        <v>1.581</v>
      </c>
      <c r="AK71" s="550">
        <v>17.565000000000001</v>
      </c>
      <c r="AL71" s="550">
        <v>17.562000000000001</v>
      </c>
      <c r="AM71" s="173" t="str">
        <f t="shared" ref="AM71:AM73" si="6">AN71&amp;" - "&amp;C71</f>
        <v>EAI - Norway</v>
      </c>
      <c r="AN71" s="173" t="s">
        <v>3119</v>
      </c>
      <c r="AO71" s="5"/>
      <c r="AS71" s="486"/>
      <c r="AT71" s="55"/>
      <c r="AU71" s="341"/>
      <c r="AV71" s="406"/>
      <c r="AW71" s="406"/>
      <c r="AX71" s="538"/>
    </row>
    <row r="72" spans="1:50">
      <c r="A72" s="5"/>
      <c r="B72" s="44" t="s">
        <v>3369</v>
      </c>
      <c r="C72" s="44" t="s">
        <v>1745</v>
      </c>
      <c r="D72" s="44" t="s">
        <v>3574</v>
      </c>
      <c r="E72" s="44" t="s">
        <v>1927</v>
      </c>
      <c r="F72" s="44" t="s">
        <v>2960</v>
      </c>
      <c r="G72" s="44" t="s">
        <v>1929</v>
      </c>
      <c r="H72" s="44" t="s">
        <v>116</v>
      </c>
      <c r="I72" s="44" t="s">
        <v>2571</v>
      </c>
      <c r="J72" s="328">
        <v>3</v>
      </c>
      <c r="K72" s="550">
        <v>0</v>
      </c>
      <c r="L72" s="550">
        <v>0</v>
      </c>
      <c r="M72" s="550">
        <v>0</v>
      </c>
      <c r="N72" s="550">
        <v>0</v>
      </c>
      <c r="O72" s="550">
        <v>0</v>
      </c>
      <c r="P72" s="550">
        <v>0</v>
      </c>
      <c r="Q72" s="550">
        <v>0</v>
      </c>
      <c r="R72" s="550">
        <v>0</v>
      </c>
      <c r="S72" s="550">
        <v>0</v>
      </c>
      <c r="T72" s="550">
        <v>0</v>
      </c>
      <c r="U72" s="550">
        <v>0</v>
      </c>
      <c r="V72" s="550">
        <v>0</v>
      </c>
      <c r="W72" s="550">
        <v>0</v>
      </c>
      <c r="X72" s="550">
        <v>1.4790000000000001</v>
      </c>
      <c r="Y72" s="550">
        <v>0.32100000000000001</v>
      </c>
      <c r="Z72" s="550">
        <v>0.11700000000000001</v>
      </c>
      <c r="AA72" s="550">
        <v>4.2000000000000003E-2</v>
      </c>
      <c r="AB72" s="550">
        <v>0</v>
      </c>
      <c r="AC72" s="550">
        <v>0</v>
      </c>
      <c r="AD72" s="550">
        <v>0</v>
      </c>
      <c r="AE72" s="550">
        <v>0</v>
      </c>
      <c r="AF72" s="550">
        <v>0</v>
      </c>
      <c r="AG72" s="550">
        <v>0</v>
      </c>
      <c r="AH72" s="550">
        <v>0</v>
      </c>
      <c r="AI72" s="550">
        <v>0</v>
      </c>
      <c r="AJ72" s="680">
        <v>0</v>
      </c>
      <c r="AK72" s="550">
        <v>0</v>
      </c>
      <c r="AL72" s="550">
        <v>0</v>
      </c>
      <c r="AM72" s="173" t="str">
        <f t="shared" si="6"/>
        <v>EAI - Norway</v>
      </c>
      <c r="AN72" s="173" t="s">
        <v>3119</v>
      </c>
      <c r="AO72" s="5"/>
      <c r="AS72" s="486"/>
      <c r="AT72" s="55"/>
      <c r="AU72" s="341"/>
      <c r="AV72" s="406"/>
      <c r="AW72" s="406"/>
      <c r="AX72" s="538"/>
    </row>
    <row r="73" spans="1:50">
      <c r="A73" s="5"/>
      <c r="B73" s="44" t="s">
        <v>3369</v>
      </c>
      <c r="C73" s="44" t="s">
        <v>1745</v>
      </c>
      <c r="D73" s="44" t="s">
        <v>3575</v>
      </c>
      <c r="E73" s="44" t="s">
        <v>1927</v>
      </c>
      <c r="F73" s="44" t="s">
        <v>2960</v>
      </c>
      <c r="G73" s="44" t="s">
        <v>3374</v>
      </c>
      <c r="H73" s="44" t="s">
        <v>116</v>
      </c>
      <c r="I73" s="44" t="s">
        <v>2571</v>
      </c>
      <c r="J73" s="328">
        <v>19.5</v>
      </c>
      <c r="K73" s="550">
        <v>0</v>
      </c>
      <c r="L73" s="550">
        <v>0</v>
      </c>
      <c r="M73" s="550">
        <v>0</v>
      </c>
      <c r="N73" s="550">
        <v>0</v>
      </c>
      <c r="O73" s="550">
        <v>0</v>
      </c>
      <c r="P73" s="550">
        <v>0</v>
      </c>
      <c r="Q73" s="550">
        <v>0</v>
      </c>
      <c r="R73" s="550">
        <v>0</v>
      </c>
      <c r="S73" s="550">
        <v>0</v>
      </c>
      <c r="T73" s="550">
        <v>0</v>
      </c>
      <c r="U73" s="550">
        <v>0</v>
      </c>
      <c r="V73" s="550">
        <v>0</v>
      </c>
      <c r="W73" s="550">
        <v>0</v>
      </c>
      <c r="X73" s="550">
        <v>0.95399999999999996</v>
      </c>
      <c r="Y73" s="550">
        <v>0.72899999999999998</v>
      </c>
      <c r="Z73" s="550">
        <v>0.432</v>
      </c>
      <c r="AA73" s="550">
        <v>0.255</v>
      </c>
      <c r="AB73" s="550">
        <v>0.15</v>
      </c>
      <c r="AC73" s="550">
        <v>0.09</v>
      </c>
      <c r="AD73" s="550">
        <v>5.3999999999999999E-2</v>
      </c>
      <c r="AE73" s="550">
        <v>0.03</v>
      </c>
      <c r="AF73" s="550">
        <v>1.7999999999999999E-2</v>
      </c>
      <c r="AG73" s="550">
        <v>1.2E-2</v>
      </c>
      <c r="AH73" s="550">
        <v>0</v>
      </c>
      <c r="AI73" s="550">
        <v>0</v>
      </c>
      <c r="AJ73" s="680">
        <v>0</v>
      </c>
      <c r="AK73" s="550">
        <v>0</v>
      </c>
      <c r="AL73" s="550">
        <v>0</v>
      </c>
      <c r="AM73" s="173" t="str">
        <f t="shared" si="6"/>
        <v>EAI - Norway</v>
      </c>
      <c r="AN73" s="173" t="s">
        <v>3119</v>
      </c>
      <c r="AO73" s="5"/>
      <c r="AS73" s="486"/>
      <c r="AT73" s="55"/>
      <c r="AU73" s="341"/>
      <c r="AV73" s="406"/>
      <c r="AW73" s="406"/>
      <c r="AX73" s="538"/>
    </row>
    <row r="74" spans="1:50">
      <c r="A74" s="5"/>
      <c r="B74" s="44" t="s">
        <v>3369</v>
      </c>
      <c r="C74" s="44" t="s">
        <v>1745</v>
      </c>
      <c r="D74" s="44" t="s">
        <v>3460</v>
      </c>
      <c r="E74" s="44" t="s">
        <v>1927</v>
      </c>
      <c r="F74" s="44" t="s">
        <v>2960</v>
      </c>
      <c r="G74" s="44" t="s">
        <v>1932</v>
      </c>
      <c r="H74" s="44" t="s">
        <v>116</v>
      </c>
      <c r="I74" s="44" t="s">
        <v>2600</v>
      </c>
      <c r="J74" s="328">
        <v>18.36</v>
      </c>
      <c r="K74" s="550">
        <v>2.95</v>
      </c>
      <c r="L74" s="550">
        <v>3.5</v>
      </c>
      <c r="M74" s="550">
        <v>2.88</v>
      </c>
      <c r="N74" s="550">
        <v>2.12</v>
      </c>
      <c r="O74" s="550">
        <v>1.75</v>
      </c>
      <c r="P74" s="550">
        <v>1.64</v>
      </c>
      <c r="Q74" s="550">
        <v>1.33</v>
      </c>
      <c r="R74" s="550">
        <v>0.81</v>
      </c>
      <c r="S74" s="550">
        <v>0.74</v>
      </c>
      <c r="T74" s="550">
        <v>0</v>
      </c>
      <c r="U74" s="550">
        <v>0</v>
      </c>
      <c r="V74" s="550">
        <v>0</v>
      </c>
      <c r="W74" s="550">
        <v>0</v>
      </c>
      <c r="X74" s="550">
        <v>0</v>
      </c>
      <c r="Y74" s="550">
        <v>0</v>
      </c>
      <c r="Z74" s="550">
        <v>0</v>
      </c>
      <c r="AA74" s="550">
        <v>0</v>
      </c>
      <c r="AB74" s="550">
        <v>0</v>
      </c>
      <c r="AC74" s="550">
        <v>0</v>
      </c>
      <c r="AD74" s="550">
        <v>0</v>
      </c>
      <c r="AE74" s="550">
        <v>0</v>
      </c>
      <c r="AF74" s="550">
        <v>0</v>
      </c>
      <c r="AG74" s="550">
        <v>0</v>
      </c>
      <c r="AH74" s="550">
        <v>0</v>
      </c>
      <c r="AI74" s="550">
        <v>0</v>
      </c>
      <c r="AJ74" s="680">
        <v>0</v>
      </c>
      <c r="AK74" s="550">
        <v>0</v>
      </c>
      <c r="AL74" s="550">
        <v>0</v>
      </c>
      <c r="AM74" s="173" t="str">
        <f t="shared" si="0"/>
        <v>EAI - Norway</v>
      </c>
      <c r="AN74" s="173" t="s">
        <v>3119</v>
      </c>
      <c r="AO74" s="5"/>
      <c r="AS74" s="486"/>
      <c r="AT74" s="55"/>
      <c r="AU74" s="341"/>
      <c r="AV74" s="406"/>
      <c r="AW74" s="406"/>
      <c r="AX74" s="538"/>
    </row>
    <row r="75" spans="1:50">
      <c r="A75" s="5"/>
      <c r="B75" s="44" t="s">
        <v>3369</v>
      </c>
      <c r="C75" s="44" t="s">
        <v>1745</v>
      </c>
      <c r="D75" s="44" t="s">
        <v>3577</v>
      </c>
      <c r="E75" s="44" t="s">
        <v>3372</v>
      </c>
      <c r="F75" s="44" t="s">
        <v>2960</v>
      </c>
      <c r="G75" s="44" t="s">
        <v>3374</v>
      </c>
      <c r="H75" s="44" t="s">
        <v>116</v>
      </c>
      <c r="I75" s="44" t="s">
        <v>2971</v>
      </c>
      <c r="J75" s="328">
        <v>9</v>
      </c>
      <c r="K75" s="550">
        <v>0</v>
      </c>
      <c r="L75" s="550">
        <v>0</v>
      </c>
      <c r="M75" s="550">
        <v>0</v>
      </c>
      <c r="N75" s="550">
        <v>0</v>
      </c>
      <c r="O75" s="550">
        <v>0</v>
      </c>
      <c r="P75" s="550">
        <v>0</v>
      </c>
      <c r="Q75" s="550">
        <v>0</v>
      </c>
      <c r="R75" s="550">
        <v>0</v>
      </c>
      <c r="S75" s="550">
        <v>0</v>
      </c>
      <c r="T75" s="550">
        <v>0</v>
      </c>
      <c r="U75" s="550">
        <v>0</v>
      </c>
      <c r="V75" s="550">
        <v>0</v>
      </c>
      <c r="W75" s="550">
        <v>0</v>
      </c>
      <c r="X75" s="550">
        <v>0</v>
      </c>
      <c r="Y75" s="550">
        <v>0</v>
      </c>
      <c r="Z75" s="550">
        <v>0</v>
      </c>
      <c r="AA75" s="550">
        <v>0</v>
      </c>
      <c r="AB75" s="550">
        <v>0</v>
      </c>
      <c r="AC75" s="550">
        <v>0.105</v>
      </c>
      <c r="AD75" s="550">
        <v>0.22800000000000001</v>
      </c>
      <c r="AE75" s="550">
        <v>0.21</v>
      </c>
      <c r="AF75" s="550">
        <v>0.17100000000000001</v>
      </c>
      <c r="AG75" s="550">
        <v>0.129</v>
      </c>
      <c r="AH75" s="550">
        <v>9.6000000000000002E-2</v>
      </c>
      <c r="AI75" s="550">
        <v>7.1999999999999995E-2</v>
      </c>
      <c r="AJ75" s="680">
        <v>5.3999999999999999E-2</v>
      </c>
      <c r="AK75" s="550">
        <v>4.2000000000000003E-2</v>
      </c>
      <c r="AL75" s="550">
        <v>0.03</v>
      </c>
      <c r="AM75" s="173" t="str">
        <f t="shared" ref="AM75:AM78" si="7">AN75&amp;" - "&amp;C75</f>
        <v>EAI - Norway</v>
      </c>
      <c r="AN75" s="173" t="s">
        <v>3119</v>
      </c>
      <c r="AO75" s="5"/>
      <c r="AS75" s="486"/>
      <c r="AT75" s="55"/>
      <c r="AU75" s="341"/>
      <c r="AV75" s="406"/>
      <c r="AW75" s="406"/>
      <c r="AX75" s="538"/>
    </row>
    <row r="76" spans="1:50">
      <c r="A76" s="5"/>
      <c r="B76" s="44" t="s">
        <v>3369</v>
      </c>
      <c r="C76" s="44" t="s">
        <v>1745</v>
      </c>
      <c r="D76" s="44" t="s">
        <v>3578</v>
      </c>
      <c r="E76" s="44" t="s">
        <v>1927</v>
      </c>
      <c r="F76" s="44" t="s">
        <v>2960</v>
      </c>
      <c r="G76" s="44" t="s">
        <v>3374</v>
      </c>
      <c r="H76" s="44" t="s">
        <v>116</v>
      </c>
      <c r="I76" s="44" t="s">
        <v>2600</v>
      </c>
      <c r="J76" s="328">
        <v>0.99</v>
      </c>
      <c r="K76" s="550">
        <v>0</v>
      </c>
      <c r="L76" s="550">
        <v>0</v>
      </c>
      <c r="M76" s="550">
        <v>0</v>
      </c>
      <c r="N76" s="550">
        <v>0</v>
      </c>
      <c r="O76" s="550">
        <v>0</v>
      </c>
      <c r="P76" s="550">
        <v>0</v>
      </c>
      <c r="Q76" s="550">
        <v>0</v>
      </c>
      <c r="R76" s="550">
        <v>0</v>
      </c>
      <c r="S76" s="550">
        <v>0</v>
      </c>
      <c r="T76" s="550">
        <v>0</v>
      </c>
      <c r="U76" s="550">
        <v>0</v>
      </c>
      <c r="V76" s="550">
        <v>0</v>
      </c>
      <c r="W76" s="550">
        <v>0</v>
      </c>
      <c r="X76" s="550">
        <v>0</v>
      </c>
      <c r="Y76" s="550">
        <v>0</v>
      </c>
      <c r="Z76" s="550">
        <v>0</v>
      </c>
      <c r="AA76" s="550">
        <v>0</v>
      </c>
      <c r="AB76" s="550">
        <v>0</v>
      </c>
      <c r="AC76" s="550">
        <v>0</v>
      </c>
      <c r="AD76" s="550">
        <v>0</v>
      </c>
      <c r="AE76" s="550">
        <v>0</v>
      </c>
      <c r="AF76" s="550">
        <v>0</v>
      </c>
      <c r="AG76" s="550">
        <v>0</v>
      </c>
      <c r="AH76" s="550">
        <v>2.4750000000000001</v>
      </c>
      <c r="AI76" s="550">
        <v>2.5950000000000002</v>
      </c>
      <c r="AJ76" s="680">
        <v>2.4060000000000001</v>
      </c>
      <c r="AK76" s="550">
        <v>1.5840000000000001</v>
      </c>
      <c r="AL76" s="550">
        <v>1.0680000000000001</v>
      </c>
      <c r="AM76" s="173" t="str">
        <f t="shared" si="7"/>
        <v>EAI - Norway</v>
      </c>
      <c r="AN76" s="173" t="s">
        <v>3119</v>
      </c>
      <c r="AO76" s="5"/>
      <c r="AS76" s="486"/>
      <c r="AT76" s="55"/>
      <c r="AU76" s="341"/>
      <c r="AV76" s="406"/>
      <c r="AW76" s="406"/>
      <c r="AX76" s="538"/>
    </row>
    <row r="77" spans="1:50">
      <c r="A77" s="5"/>
      <c r="B77" s="44" t="s">
        <v>3369</v>
      </c>
      <c r="C77" s="44" t="s">
        <v>1745</v>
      </c>
      <c r="D77" s="44" t="s">
        <v>3579</v>
      </c>
      <c r="E77" s="44" t="s">
        <v>3372</v>
      </c>
      <c r="F77" s="44" t="s">
        <v>2960</v>
      </c>
      <c r="G77" s="44" t="s">
        <v>3374</v>
      </c>
      <c r="H77" s="44" t="s">
        <v>116</v>
      </c>
      <c r="I77" s="44" t="s">
        <v>2571</v>
      </c>
      <c r="J77" s="328">
        <v>10.5</v>
      </c>
      <c r="K77" s="550">
        <v>0</v>
      </c>
      <c r="L77" s="550">
        <v>0</v>
      </c>
      <c r="M77" s="550">
        <v>0</v>
      </c>
      <c r="N77" s="550">
        <v>0</v>
      </c>
      <c r="O77" s="550">
        <v>0</v>
      </c>
      <c r="P77" s="550">
        <v>0</v>
      </c>
      <c r="Q77" s="550">
        <v>0</v>
      </c>
      <c r="R77" s="550">
        <v>0</v>
      </c>
      <c r="S77" s="550">
        <v>0</v>
      </c>
      <c r="T77" s="550">
        <v>0</v>
      </c>
      <c r="U77" s="550">
        <v>0</v>
      </c>
      <c r="V77" s="550">
        <v>0</v>
      </c>
      <c r="W77" s="550">
        <v>0</v>
      </c>
      <c r="X77" s="550">
        <v>0</v>
      </c>
      <c r="Y77" s="550">
        <v>0</v>
      </c>
      <c r="Z77" s="550">
        <v>0</v>
      </c>
      <c r="AA77" s="550">
        <v>0</v>
      </c>
      <c r="AB77" s="550">
        <v>0</v>
      </c>
      <c r="AC77" s="550">
        <v>0</v>
      </c>
      <c r="AD77" s="550">
        <v>0.21</v>
      </c>
      <c r="AE77" s="550">
        <v>0.73499999999999999</v>
      </c>
      <c r="AF77" s="550">
        <v>0.61799999999999999</v>
      </c>
      <c r="AG77" s="550">
        <v>0.51900000000000002</v>
      </c>
      <c r="AH77" s="550">
        <v>0.435</v>
      </c>
      <c r="AI77" s="550">
        <v>0.36599999999999999</v>
      </c>
      <c r="AJ77" s="680">
        <v>0.309</v>
      </c>
      <c r="AK77" s="550">
        <v>0.25800000000000001</v>
      </c>
      <c r="AL77" s="550">
        <v>0.216</v>
      </c>
      <c r="AM77" s="173" t="str">
        <f t="shared" si="7"/>
        <v>EAI - Norway</v>
      </c>
      <c r="AN77" s="173" t="s">
        <v>3119</v>
      </c>
      <c r="AO77" s="5"/>
      <c r="AS77" s="486"/>
      <c r="AT77" s="55"/>
      <c r="AU77" s="341"/>
      <c r="AV77" s="406"/>
      <c r="AW77" s="406"/>
      <c r="AX77" s="538"/>
    </row>
    <row r="78" spans="1:50">
      <c r="A78" s="5"/>
      <c r="B78" s="44" t="s">
        <v>3369</v>
      </c>
      <c r="C78" s="44" t="s">
        <v>1745</v>
      </c>
      <c r="D78" s="44" t="s">
        <v>1746</v>
      </c>
      <c r="E78" s="44" t="s">
        <v>1927</v>
      </c>
      <c r="F78" s="44" t="s">
        <v>2960</v>
      </c>
      <c r="G78" s="44" t="s">
        <v>1932</v>
      </c>
      <c r="H78" s="44" t="s">
        <v>116</v>
      </c>
      <c r="I78" s="44" t="s">
        <v>2600</v>
      </c>
      <c r="J78" s="328">
        <v>37.5</v>
      </c>
      <c r="K78" s="550">
        <v>1.01</v>
      </c>
      <c r="L78" s="550">
        <v>1.23</v>
      </c>
      <c r="M78" s="550">
        <v>0.86</v>
      </c>
      <c r="N78" s="550">
        <v>1.1499999999999999</v>
      </c>
      <c r="O78" s="550">
        <v>1.1299999999999999</v>
      </c>
      <c r="P78" s="550">
        <v>0.8</v>
      </c>
      <c r="Q78" s="550">
        <v>0.66</v>
      </c>
      <c r="R78" s="550">
        <v>0.64</v>
      </c>
      <c r="S78" s="550">
        <v>0.27</v>
      </c>
      <c r="T78" s="550">
        <v>0.14000000000000001</v>
      </c>
      <c r="U78" s="550">
        <v>0.15</v>
      </c>
      <c r="V78" s="550">
        <v>0.24</v>
      </c>
      <c r="W78" s="550">
        <v>0.17</v>
      </c>
      <c r="X78" s="550">
        <v>0</v>
      </c>
      <c r="Y78" s="550">
        <v>0</v>
      </c>
      <c r="Z78" s="550">
        <v>0</v>
      </c>
      <c r="AA78" s="550">
        <v>0</v>
      </c>
      <c r="AB78" s="550">
        <v>0</v>
      </c>
      <c r="AC78" s="550">
        <v>0</v>
      </c>
      <c r="AD78" s="550">
        <v>0</v>
      </c>
      <c r="AE78" s="550">
        <v>0</v>
      </c>
      <c r="AF78" s="550">
        <v>0</v>
      </c>
      <c r="AG78" s="550">
        <v>0</v>
      </c>
      <c r="AH78" s="550">
        <v>0</v>
      </c>
      <c r="AI78" s="550">
        <v>0</v>
      </c>
      <c r="AJ78" s="680">
        <v>0</v>
      </c>
      <c r="AK78" s="550">
        <v>0</v>
      </c>
      <c r="AL78" s="550">
        <v>0</v>
      </c>
      <c r="AM78" s="173" t="str">
        <f t="shared" si="7"/>
        <v>SUBS - Norway</v>
      </c>
      <c r="AN78" s="173" t="s">
        <v>543</v>
      </c>
      <c r="AO78" s="5"/>
      <c r="AS78" s="486"/>
      <c r="AT78" s="55"/>
      <c r="AU78" s="341"/>
      <c r="AV78" s="406"/>
      <c r="AW78" s="406"/>
      <c r="AX78" s="538"/>
    </row>
    <row r="79" spans="1:50">
      <c r="A79" s="5"/>
      <c r="B79" s="44" t="s">
        <v>3369</v>
      </c>
      <c r="C79" s="44" t="s">
        <v>1745</v>
      </c>
      <c r="D79" s="44" t="s">
        <v>1746</v>
      </c>
      <c r="E79" s="44" t="s">
        <v>1927</v>
      </c>
      <c r="F79" s="44" t="s">
        <v>2960</v>
      </c>
      <c r="G79" s="44" t="s">
        <v>1932</v>
      </c>
      <c r="H79" s="44" t="s">
        <v>116</v>
      </c>
      <c r="I79" s="44" t="s">
        <v>2600</v>
      </c>
      <c r="J79" s="328">
        <v>27</v>
      </c>
      <c r="K79" s="550">
        <v>0</v>
      </c>
      <c r="L79" s="550">
        <v>0</v>
      </c>
      <c r="M79" s="550">
        <v>0</v>
      </c>
      <c r="N79" s="550">
        <v>0</v>
      </c>
      <c r="O79" s="550">
        <v>0</v>
      </c>
      <c r="P79" s="550">
        <v>0</v>
      </c>
      <c r="Q79" s="550">
        <v>0</v>
      </c>
      <c r="R79" s="550">
        <v>0</v>
      </c>
      <c r="S79" s="550">
        <v>0</v>
      </c>
      <c r="T79" s="550">
        <v>0</v>
      </c>
      <c r="U79" s="550">
        <v>0</v>
      </c>
      <c r="V79" s="550">
        <v>0</v>
      </c>
      <c r="W79" s="550">
        <v>0</v>
      </c>
      <c r="X79" s="550">
        <v>8.4000000000000005E-2</v>
      </c>
      <c r="Y79" s="550">
        <v>0.19800000000000001</v>
      </c>
      <c r="Z79" s="550">
        <v>0.192</v>
      </c>
      <c r="AA79" s="550">
        <v>0.183</v>
      </c>
      <c r="AB79" s="550">
        <v>0.17699999999999999</v>
      </c>
      <c r="AC79" s="550">
        <v>0.17399999999999999</v>
      </c>
      <c r="AD79" s="550">
        <v>0.70799999999999996</v>
      </c>
      <c r="AE79" s="550">
        <v>1.2450000000000001</v>
      </c>
      <c r="AF79" s="550">
        <v>3.399</v>
      </c>
      <c r="AG79" s="550">
        <v>3.069</v>
      </c>
      <c r="AH79" s="550">
        <v>2.7719999999999998</v>
      </c>
      <c r="AI79" s="550">
        <v>2.508</v>
      </c>
      <c r="AJ79" s="680">
        <v>2.2650000000000001</v>
      </c>
      <c r="AK79" s="550">
        <v>2.0489999999999999</v>
      </c>
      <c r="AL79" s="550">
        <v>1.8540000000000001</v>
      </c>
      <c r="AM79" s="173" t="str">
        <f t="shared" ref="AM79:AM96" si="8">AN79&amp;" - "&amp;C79</f>
        <v>EAI - Norway</v>
      </c>
      <c r="AN79" s="173" t="s">
        <v>3119</v>
      </c>
      <c r="AO79" s="5"/>
      <c r="AS79" s="486"/>
      <c r="AT79" s="55"/>
      <c r="AU79" s="341"/>
      <c r="AV79" s="406"/>
      <c r="AW79" s="406"/>
      <c r="AX79" s="538"/>
    </row>
    <row r="80" spans="1:50">
      <c r="A80" s="5"/>
      <c r="B80" s="44" t="s">
        <v>3369</v>
      </c>
      <c r="C80" s="44" t="s">
        <v>1745</v>
      </c>
      <c r="D80" s="44" t="s">
        <v>3580</v>
      </c>
      <c r="E80" s="44" t="s">
        <v>1927</v>
      </c>
      <c r="F80" s="44" t="s">
        <v>2960</v>
      </c>
      <c r="G80" s="44" t="s">
        <v>3374</v>
      </c>
      <c r="H80" s="44" t="s">
        <v>116</v>
      </c>
      <c r="I80" s="44" t="s">
        <v>2600</v>
      </c>
      <c r="J80" s="328">
        <v>10.4358</v>
      </c>
      <c r="K80" s="550">
        <v>0</v>
      </c>
      <c r="L80" s="550">
        <v>0</v>
      </c>
      <c r="M80" s="550">
        <v>0</v>
      </c>
      <c r="N80" s="550">
        <v>0</v>
      </c>
      <c r="O80" s="550">
        <v>0</v>
      </c>
      <c r="P80" s="550">
        <v>0</v>
      </c>
      <c r="Q80" s="550">
        <v>0</v>
      </c>
      <c r="R80" s="550">
        <v>0</v>
      </c>
      <c r="S80" s="550">
        <v>0</v>
      </c>
      <c r="T80" s="550">
        <v>0</v>
      </c>
      <c r="U80" s="550">
        <v>0</v>
      </c>
      <c r="V80" s="550">
        <v>0</v>
      </c>
      <c r="W80" s="550">
        <v>0</v>
      </c>
      <c r="X80" s="550">
        <v>0</v>
      </c>
      <c r="Y80" s="550">
        <v>4.9169999999999998</v>
      </c>
      <c r="Z80" s="550">
        <v>6.3540000000000001</v>
      </c>
      <c r="AA80" s="550">
        <v>5.343</v>
      </c>
      <c r="AB80" s="550">
        <v>4.4909999999999997</v>
      </c>
      <c r="AC80" s="550">
        <v>3.7770000000000001</v>
      </c>
      <c r="AD80" s="550">
        <v>3.18</v>
      </c>
      <c r="AE80" s="550">
        <v>2.6760000000000002</v>
      </c>
      <c r="AF80" s="550">
        <v>2.2530000000000001</v>
      </c>
      <c r="AG80" s="550">
        <v>1.8959999999999999</v>
      </c>
      <c r="AH80" s="550">
        <v>1.599</v>
      </c>
      <c r="AI80" s="550">
        <v>1.347</v>
      </c>
      <c r="AJ80" s="680">
        <v>1.089</v>
      </c>
      <c r="AK80" s="550">
        <v>0.92100000000000004</v>
      </c>
      <c r="AL80" s="550">
        <v>0.78</v>
      </c>
      <c r="AM80" s="173" t="str">
        <f>AN80&amp;" - "&amp;C80</f>
        <v>EAI - Norway</v>
      </c>
      <c r="AN80" s="173" t="s">
        <v>3119</v>
      </c>
      <c r="AO80" s="5"/>
      <c r="AS80" s="486"/>
      <c r="AT80" s="55"/>
      <c r="AU80" s="341"/>
      <c r="AV80" s="406"/>
      <c r="AW80" s="406"/>
      <c r="AX80" s="538"/>
    </row>
    <row r="81" spans="1:50">
      <c r="A81" s="5"/>
      <c r="B81" s="44" t="s">
        <v>3369</v>
      </c>
      <c r="C81" s="44" t="s">
        <v>1745</v>
      </c>
      <c r="D81" s="44" t="s">
        <v>3581</v>
      </c>
      <c r="E81" s="44" t="s">
        <v>2254</v>
      </c>
      <c r="F81" s="44" t="s">
        <v>2960</v>
      </c>
      <c r="G81" s="44" t="s">
        <v>3374</v>
      </c>
      <c r="H81" s="44" t="s">
        <v>116</v>
      </c>
      <c r="I81" s="44" t="s">
        <v>2571</v>
      </c>
      <c r="J81" s="328">
        <v>21</v>
      </c>
      <c r="K81" s="550">
        <v>0</v>
      </c>
      <c r="L81" s="550">
        <v>0</v>
      </c>
      <c r="M81" s="550">
        <v>0</v>
      </c>
      <c r="N81" s="550">
        <v>0</v>
      </c>
      <c r="O81" s="550">
        <v>0</v>
      </c>
      <c r="P81" s="550">
        <v>0</v>
      </c>
      <c r="Q81" s="550">
        <v>0</v>
      </c>
      <c r="R81" s="550">
        <v>0</v>
      </c>
      <c r="S81" s="550">
        <v>0</v>
      </c>
      <c r="T81" s="550">
        <v>0</v>
      </c>
      <c r="U81" s="550">
        <v>0</v>
      </c>
      <c r="V81" s="550">
        <v>0</v>
      </c>
      <c r="W81" s="550">
        <v>0</v>
      </c>
      <c r="X81" s="550">
        <v>3.0000000000000001E-3</v>
      </c>
      <c r="Y81" s="550">
        <v>0</v>
      </c>
      <c r="Z81" s="550">
        <v>0</v>
      </c>
      <c r="AA81" s="550">
        <v>0</v>
      </c>
      <c r="AB81" s="550">
        <v>0</v>
      </c>
      <c r="AC81" s="550">
        <v>0</v>
      </c>
      <c r="AD81" s="550">
        <v>0</v>
      </c>
      <c r="AE81" s="550">
        <v>0</v>
      </c>
      <c r="AF81" s="550">
        <v>0</v>
      </c>
      <c r="AG81" s="550">
        <v>0</v>
      </c>
      <c r="AH81" s="550">
        <v>0</v>
      </c>
      <c r="AI81" s="550">
        <v>0</v>
      </c>
      <c r="AJ81" s="680">
        <v>0</v>
      </c>
      <c r="AK81" s="550">
        <v>0</v>
      </c>
      <c r="AL81" s="550">
        <v>0</v>
      </c>
      <c r="AM81" s="173" t="str">
        <f>AN81&amp;" - "&amp;C81</f>
        <v>EAI - Norway</v>
      </c>
      <c r="AN81" s="173" t="s">
        <v>3119</v>
      </c>
      <c r="AO81" s="5"/>
      <c r="AS81" s="486"/>
      <c r="AT81" s="55"/>
      <c r="AU81" s="341"/>
      <c r="AV81" s="406"/>
      <c r="AW81" s="406"/>
      <c r="AX81" s="538"/>
    </row>
    <row r="82" spans="1:50">
      <c r="A82" s="5"/>
      <c r="B82" s="44" t="s">
        <v>3369</v>
      </c>
      <c r="C82" s="44" t="s">
        <v>1745</v>
      </c>
      <c r="D82" s="44" t="s">
        <v>3582</v>
      </c>
      <c r="E82" s="44" t="s">
        <v>2970</v>
      </c>
      <c r="F82" s="44" t="s">
        <v>2960</v>
      </c>
      <c r="G82" s="44" t="s">
        <v>3374</v>
      </c>
      <c r="H82" s="44" t="s">
        <v>116</v>
      </c>
      <c r="I82" s="44" t="s">
        <v>2600</v>
      </c>
      <c r="J82" s="328">
        <v>3.4719000000000002</v>
      </c>
      <c r="K82" s="550">
        <v>0</v>
      </c>
      <c r="L82" s="550">
        <v>0</v>
      </c>
      <c r="M82" s="550">
        <v>0</v>
      </c>
      <c r="N82" s="550">
        <v>0</v>
      </c>
      <c r="O82" s="550">
        <v>0</v>
      </c>
      <c r="P82" s="550">
        <v>0</v>
      </c>
      <c r="Q82" s="550">
        <v>0</v>
      </c>
      <c r="R82" s="550">
        <v>0</v>
      </c>
      <c r="S82" s="550">
        <v>0</v>
      </c>
      <c r="T82" s="550">
        <v>0</v>
      </c>
      <c r="U82" s="550">
        <v>0</v>
      </c>
      <c r="V82" s="550">
        <v>0</v>
      </c>
      <c r="W82" s="550">
        <v>0</v>
      </c>
      <c r="X82" s="550">
        <v>0</v>
      </c>
      <c r="Y82" s="550">
        <v>0</v>
      </c>
      <c r="Z82" s="550">
        <v>0</v>
      </c>
      <c r="AA82" s="550">
        <v>0.13800000000000001</v>
      </c>
      <c r="AB82" s="550">
        <v>2.2919999999999998</v>
      </c>
      <c r="AC82" s="550">
        <v>2.4990000000000001</v>
      </c>
      <c r="AD82" s="550">
        <v>2.718</v>
      </c>
      <c r="AE82" s="550">
        <v>3.7080000000000002</v>
      </c>
      <c r="AF82" s="550">
        <v>3.5339999999999998</v>
      </c>
      <c r="AG82" s="550">
        <v>3.0960000000000001</v>
      </c>
      <c r="AH82" s="550">
        <v>2.718</v>
      </c>
      <c r="AI82" s="550">
        <v>2.391</v>
      </c>
      <c r="AJ82" s="680">
        <v>2.0790000000000002</v>
      </c>
      <c r="AK82" s="550">
        <v>1.8540000000000001</v>
      </c>
      <c r="AL82" s="550">
        <v>1.605</v>
      </c>
      <c r="AM82" s="173" t="str">
        <f t="shared" si="8"/>
        <v>EAI - Norway</v>
      </c>
      <c r="AN82" s="173" t="s">
        <v>3119</v>
      </c>
      <c r="AO82" s="5"/>
      <c r="AS82" s="486"/>
      <c r="AT82" s="55"/>
      <c r="AU82" s="341"/>
      <c r="AV82" s="406"/>
      <c r="AW82" s="406"/>
      <c r="AX82" s="538"/>
    </row>
    <row r="83" spans="1:50">
      <c r="A83" s="5"/>
      <c r="B83" s="44" t="s">
        <v>3369</v>
      </c>
      <c r="C83" s="44" t="s">
        <v>1745</v>
      </c>
      <c r="D83" s="44" t="s">
        <v>3736</v>
      </c>
      <c r="E83" s="44" t="s">
        <v>3372</v>
      </c>
      <c r="F83" s="44" t="s">
        <v>2960</v>
      </c>
      <c r="G83" s="44" t="s">
        <v>3374</v>
      </c>
      <c r="H83" s="44" t="s">
        <v>116</v>
      </c>
      <c r="I83" s="44" t="s">
        <v>2971</v>
      </c>
      <c r="J83" s="328">
        <v>15.3</v>
      </c>
      <c r="K83" s="550">
        <v>0</v>
      </c>
      <c r="L83" s="550">
        <v>0</v>
      </c>
      <c r="M83" s="550">
        <v>0</v>
      </c>
      <c r="N83" s="550">
        <v>0</v>
      </c>
      <c r="O83" s="550">
        <v>0</v>
      </c>
      <c r="P83" s="550">
        <v>0</v>
      </c>
      <c r="Q83" s="550">
        <v>0</v>
      </c>
      <c r="R83" s="550">
        <v>0</v>
      </c>
      <c r="S83" s="550">
        <v>0</v>
      </c>
      <c r="T83" s="550">
        <v>0</v>
      </c>
      <c r="U83" s="550">
        <v>0</v>
      </c>
      <c r="V83" s="550">
        <v>0</v>
      </c>
      <c r="W83" s="550">
        <v>0</v>
      </c>
      <c r="X83" s="550">
        <v>0</v>
      </c>
      <c r="Y83" s="550">
        <v>0</v>
      </c>
      <c r="Z83" s="550">
        <v>0</v>
      </c>
      <c r="AA83" s="550">
        <v>0</v>
      </c>
      <c r="AB83" s="550">
        <v>0</v>
      </c>
      <c r="AC83" s="550">
        <v>0</v>
      </c>
      <c r="AD83" s="550">
        <v>15.759</v>
      </c>
      <c r="AE83" s="550">
        <v>52.073999999999998</v>
      </c>
      <c r="AF83" s="550">
        <v>80.510999999999996</v>
      </c>
      <c r="AG83" s="550">
        <v>74.337000000000003</v>
      </c>
      <c r="AH83" s="550">
        <v>65.652000000000001</v>
      </c>
      <c r="AI83" s="550">
        <v>55.311</v>
      </c>
      <c r="AJ83" s="680">
        <v>46.658999999999999</v>
      </c>
      <c r="AK83" s="550">
        <v>39.402000000000001</v>
      </c>
      <c r="AL83" s="550">
        <v>33.308999999999997</v>
      </c>
      <c r="AM83" s="173" t="str">
        <f t="shared" si="8"/>
        <v>EAI - Norway</v>
      </c>
      <c r="AN83" s="173" t="s">
        <v>3119</v>
      </c>
      <c r="AO83" s="5"/>
      <c r="AS83" s="486"/>
      <c r="AT83" s="55"/>
      <c r="AU83" s="341"/>
      <c r="AV83" s="406"/>
      <c r="AW83" s="406"/>
      <c r="AX83" s="538"/>
    </row>
    <row r="84" spans="1:50">
      <c r="A84" s="5"/>
      <c r="B84" s="44" t="s">
        <v>3369</v>
      </c>
      <c r="C84" s="44" t="s">
        <v>1745</v>
      </c>
      <c r="D84" s="44" t="s">
        <v>3667</v>
      </c>
      <c r="E84" s="44" t="s">
        <v>2970</v>
      </c>
      <c r="F84" s="44" t="s">
        <v>2960</v>
      </c>
      <c r="G84" s="44" t="s">
        <v>1932</v>
      </c>
      <c r="H84" s="44" t="s">
        <v>116</v>
      </c>
      <c r="I84" s="44" t="s">
        <v>2571</v>
      </c>
      <c r="J84" s="328">
        <v>4.5</v>
      </c>
      <c r="K84" s="550">
        <v>0</v>
      </c>
      <c r="L84" s="550">
        <v>0</v>
      </c>
      <c r="M84" s="550">
        <v>0</v>
      </c>
      <c r="N84" s="550">
        <v>0</v>
      </c>
      <c r="O84" s="550">
        <v>0</v>
      </c>
      <c r="P84" s="550">
        <v>0</v>
      </c>
      <c r="Q84" s="550">
        <v>0</v>
      </c>
      <c r="R84" s="550">
        <v>0</v>
      </c>
      <c r="S84" s="550">
        <v>0</v>
      </c>
      <c r="T84" s="550">
        <v>0</v>
      </c>
      <c r="U84" s="550">
        <v>0</v>
      </c>
      <c r="V84" s="550">
        <v>0</v>
      </c>
      <c r="W84" s="550">
        <v>0</v>
      </c>
      <c r="X84" s="550">
        <v>0</v>
      </c>
      <c r="Y84" s="550">
        <v>0</v>
      </c>
      <c r="Z84" s="550">
        <v>0</v>
      </c>
      <c r="AA84" s="550">
        <v>6.9000000000000006E-2</v>
      </c>
      <c r="AB84" s="550">
        <v>0.44700000000000001</v>
      </c>
      <c r="AC84" s="550">
        <v>0.33</v>
      </c>
      <c r="AD84" s="550">
        <v>0.24</v>
      </c>
      <c r="AE84" s="550">
        <v>0.17699999999999999</v>
      </c>
      <c r="AF84" s="550">
        <v>0.13200000000000001</v>
      </c>
      <c r="AG84" s="550">
        <v>9.6000000000000002E-2</v>
      </c>
      <c r="AH84" s="550">
        <v>6.9000000000000006E-2</v>
      </c>
      <c r="AI84" s="550">
        <v>5.0999999999999997E-2</v>
      </c>
      <c r="AJ84" s="680">
        <v>3.5999999999999997E-2</v>
      </c>
      <c r="AK84" s="550">
        <v>2.7E-2</v>
      </c>
      <c r="AL84" s="550">
        <v>1.7999999999999999E-2</v>
      </c>
      <c r="AM84" s="173" t="str">
        <f t="shared" si="8"/>
        <v>EAI - Norway</v>
      </c>
      <c r="AN84" s="173" t="s">
        <v>3119</v>
      </c>
      <c r="AO84" s="5"/>
      <c r="AS84" s="486"/>
      <c r="AT84" s="55"/>
      <c r="AU84" s="341"/>
      <c r="AV84" s="406"/>
      <c r="AW84" s="406"/>
      <c r="AX84" s="538"/>
    </row>
    <row r="85" spans="1:50">
      <c r="A85" s="5"/>
      <c r="B85" s="44" t="s">
        <v>3369</v>
      </c>
      <c r="C85" s="44" t="s">
        <v>1745</v>
      </c>
      <c r="D85" s="44" t="s">
        <v>1747</v>
      </c>
      <c r="E85" s="44" t="s">
        <v>1927</v>
      </c>
      <c r="F85" s="44" t="s">
        <v>2960</v>
      </c>
      <c r="G85" s="44" t="s">
        <v>3374</v>
      </c>
      <c r="H85" s="44" t="s">
        <v>116</v>
      </c>
      <c r="I85" s="44" t="s">
        <v>2971</v>
      </c>
      <c r="J85" s="328">
        <v>23.835000000000001</v>
      </c>
      <c r="K85" s="550">
        <v>0</v>
      </c>
      <c r="L85" s="550">
        <v>0</v>
      </c>
      <c r="M85" s="550">
        <v>0</v>
      </c>
      <c r="N85" s="550">
        <v>0</v>
      </c>
      <c r="O85" s="550">
        <v>0</v>
      </c>
      <c r="P85" s="550">
        <v>0</v>
      </c>
      <c r="Q85" s="550">
        <v>0</v>
      </c>
      <c r="R85" s="550">
        <v>0</v>
      </c>
      <c r="S85" s="550">
        <v>0</v>
      </c>
      <c r="T85" s="550">
        <v>0</v>
      </c>
      <c r="U85" s="550">
        <v>69.599999999999994</v>
      </c>
      <c r="V85" s="550">
        <v>84.14</v>
      </c>
      <c r="W85" s="550">
        <v>84.99</v>
      </c>
      <c r="X85" s="550">
        <v>0</v>
      </c>
      <c r="Y85" s="550">
        <v>0</v>
      </c>
      <c r="Z85" s="550">
        <v>0</v>
      </c>
      <c r="AA85" s="550">
        <v>0</v>
      </c>
      <c r="AB85" s="550">
        <v>0</v>
      </c>
      <c r="AC85" s="550">
        <v>0</v>
      </c>
      <c r="AD85" s="550">
        <v>0</v>
      </c>
      <c r="AE85" s="550">
        <v>0</v>
      </c>
      <c r="AF85" s="550">
        <v>0</v>
      </c>
      <c r="AG85" s="550">
        <v>0</v>
      </c>
      <c r="AH85" s="550">
        <v>0</v>
      </c>
      <c r="AI85" s="550">
        <v>0</v>
      </c>
      <c r="AJ85" s="680">
        <v>0</v>
      </c>
      <c r="AK85" s="550">
        <v>0</v>
      </c>
      <c r="AL85" s="550">
        <v>0</v>
      </c>
      <c r="AM85" s="173" t="str">
        <f t="shared" si="8"/>
        <v>SUBS - Norway</v>
      </c>
      <c r="AN85" s="173" t="s">
        <v>543</v>
      </c>
      <c r="AO85" s="5"/>
      <c r="AS85" s="486"/>
      <c r="AT85" s="55"/>
      <c r="AU85" s="341"/>
      <c r="AV85" s="406"/>
      <c r="AW85" s="406"/>
      <c r="AX85" s="538"/>
    </row>
    <row r="86" spans="1:50">
      <c r="A86" s="5"/>
      <c r="B86" s="44" t="s">
        <v>3369</v>
      </c>
      <c r="C86" s="44" t="s">
        <v>1745</v>
      </c>
      <c r="D86" s="44" t="s">
        <v>1747</v>
      </c>
      <c r="E86" s="44" t="s">
        <v>1927</v>
      </c>
      <c r="F86" s="44" t="s">
        <v>2960</v>
      </c>
      <c r="G86" s="44" t="s">
        <v>3374</v>
      </c>
      <c r="H86" s="44" t="s">
        <v>116</v>
      </c>
      <c r="I86" s="44" t="s">
        <v>2971</v>
      </c>
      <c r="J86" s="328">
        <v>7.1505000000000001</v>
      </c>
      <c r="K86" s="550">
        <v>0</v>
      </c>
      <c r="L86" s="550">
        <v>0</v>
      </c>
      <c r="M86" s="550">
        <v>0</v>
      </c>
      <c r="N86" s="550">
        <v>0</v>
      </c>
      <c r="O86" s="550">
        <v>0</v>
      </c>
      <c r="P86" s="550">
        <v>0</v>
      </c>
      <c r="Q86" s="550">
        <v>0</v>
      </c>
      <c r="R86" s="550">
        <v>0</v>
      </c>
      <c r="S86" s="550">
        <v>0</v>
      </c>
      <c r="T86" s="550">
        <v>0</v>
      </c>
      <c r="U86" s="550">
        <v>0</v>
      </c>
      <c r="V86" s="550">
        <v>0</v>
      </c>
      <c r="W86" s="550">
        <v>0</v>
      </c>
      <c r="X86" s="550">
        <v>28.032</v>
      </c>
      <c r="Y86" s="550">
        <v>29.495999999999999</v>
      </c>
      <c r="Z86" s="550">
        <v>22.844999999999999</v>
      </c>
      <c r="AA86" s="550">
        <v>17.913</v>
      </c>
      <c r="AB86" s="550">
        <v>18.39</v>
      </c>
      <c r="AC86" s="550">
        <v>30.324000000000002</v>
      </c>
      <c r="AD86" s="550">
        <v>27.236999999999998</v>
      </c>
      <c r="AE86" s="550">
        <v>29.832000000000001</v>
      </c>
      <c r="AF86" s="550">
        <v>34.853999999999999</v>
      </c>
      <c r="AG86" s="550">
        <v>31.17</v>
      </c>
      <c r="AH86" s="550">
        <v>27.879000000000001</v>
      </c>
      <c r="AI86" s="550">
        <v>24.936</v>
      </c>
      <c r="AJ86" s="680">
        <v>22.308</v>
      </c>
      <c r="AK86" s="550">
        <v>19.956</v>
      </c>
      <c r="AL86" s="550">
        <v>17.856000000000002</v>
      </c>
      <c r="AM86" s="173" t="str">
        <f t="shared" si="8"/>
        <v>EAI - Norway</v>
      </c>
      <c r="AN86" s="173" t="s">
        <v>3119</v>
      </c>
      <c r="AO86" s="5"/>
      <c r="AS86" s="486"/>
      <c r="AT86" s="55"/>
      <c r="AU86" s="341"/>
      <c r="AV86" s="406"/>
      <c r="AW86" s="406"/>
      <c r="AX86" s="538"/>
    </row>
    <row r="87" spans="1:50">
      <c r="A87" s="5"/>
      <c r="B87" s="44" t="s">
        <v>3369</v>
      </c>
      <c r="C87" s="44" t="s">
        <v>1745</v>
      </c>
      <c r="D87" s="44" t="s">
        <v>1748</v>
      </c>
      <c r="E87" s="44" t="s">
        <v>1927</v>
      </c>
      <c r="F87" s="44" t="s">
        <v>2960</v>
      </c>
      <c r="G87" s="44" t="s">
        <v>1932</v>
      </c>
      <c r="H87" s="44" t="s">
        <v>116</v>
      </c>
      <c r="I87" s="44" t="s">
        <v>2600</v>
      </c>
      <c r="J87" s="328">
        <v>55</v>
      </c>
      <c r="K87" s="550">
        <v>18.12</v>
      </c>
      <c r="L87" s="550">
        <v>10.99</v>
      </c>
      <c r="M87" s="550">
        <v>15.88</v>
      </c>
      <c r="N87" s="550">
        <v>11.54</v>
      </c>
      <c r="O87" s="550">
        <v>6.98</v>
      </c>
      <c r="P87" s="550">
        <v>6.53</v>
      </c>
      <c r="Q87" s="550">
        <v>4.58</v>
      </c>
      <c r="R87" s="550">
        <v>2.88</v>
      </c>
      <c r="S87" s="550">
        <v>2.2000000000000002</v>
      </c>
      <c r="T87" s="550">
        <v>1.93</v>
      </c>
      <c r="U87" s="550">
        <v>1.65</v>
      </c>
      <c r="V87" s="550">
        <v>1.38</v>
      </c>
      <c r="W87" s="550">
        <v>1.01</v>
      </c>
      <c r="X87" s="550">
        <v>0</v>
      </c>
      <c r="Y87" s="550">
        <v>0</v>
      </c>
      <c r="Z87" s="550">
        <v>0</v>
      </c>
      <c r="AA87" s="550">
        <v>0</v>
      </c>
      <c r="AB87" s="550">
        <v>0</v>
      </c>
      <c r="AC87" s="550">
        <v>0</v>
      </c>
      <c r="AD87" s="550">
        <v>0</v>
      </c>
      <c r="AE87" s="550">
        <v>0</v>
      </c>
      <c r="AF87" s="550">
        <v>0</v>
      </c>
      <c r="AG87" s="550">
        <v>0</v>
      </c>
      <c r="AH87" s="550">
        <v>0</v>
      </c>
      <c r="AI87" s="550">
        <v>0</v>
      </c>
      <c r="AJ87" s="680">
        <v>0</v>
      </c>
      <c r="AK87" s="550">
        <v>0</v>
      </c>
      <c r="AL87" s="550">
        <v>0</v>
      </c>
      <c r="AM87" s="173" t="str">
        <f t="shared" si="8"/>
        <v>SUBS - Norway</v>
      </c>
      <c r="AN87" s="173" t="s">
        <v>543</v>
      </c>
      <c r="AO87" s="5"/>
      <c r="AS87" s="486"/>
      <c r="AT87" s="55"/>
      <c r="AU87" s="341"/>
      <c r="AV87" s="406"/>
      <c r="AW87" s="406"/>
      <c r="AX87" s="538"/>
    </row>
    <row r="88" spans="1:50">
      <c r="A88" s="5"/>
      <c r="B88" s="44" t="s">
        <v>3369</v>
      </c>
      <c r="C88" s="44" t="s">
        <v>1745</v>
      </c>
      <c r="D88" s="44" t="s">
        <v>1748</v>
      </c>
      <c r="E88" s="44" t="s">
        <v>1927</v>
      </c>
      <c r="F88" s="44" t="s">
        <v>2960</v>
      </c>
      <c r="G88" s="44" t="s">
        <v>1932</v>
      </c>
      <c r="H88" s="44" t="s">
        <v>116</v>
      </c>
      <c r="I88" s="44" t="s">
        <v>2600</v>
      </c>
      <c r="J88" s="328">
        <v>16.5</v>
      </c>
      <c r="K88" s="550">
        <v>0</v>
      </c>
      <c r="L88" s="550">
        <v>0</v>
      </c>
      <c r="M88" s="550">
        <v>0</v>
      </c>
      <c r="N88" s="550">
        <v>0</v>
      </c>
      <c r="O88" s="550">
        <v>0</v>
      </c>
      <c r="P88" s="550">
        <v>0</v>
      </c>
      <c r="Q88" s="550">
        <v>0</v>
      </c>
      <c r="R88" s="550">
        <v>0</v>
      </c>
      <c r="S88" s="550">
        <v>0</v>
      </c>
      <c r="T88" s="550">
        <v>0</v>
      </c>
      <c r="U88" s="550">
        <v>0</v>
      </c>
      <c r="V88" s="550">
        <v>0</v>
      </c>
      <c r="W88" s="550">
        <v>0</v>
      </c>
      <c r="X88" s="550">
        <v>0.33</v>
      </c>
      <c r="Y88" s="550">
        <v>0.495</v>
      </c>
      <c r="Z88" s="550">
        <v>0.73499999999999999</v>
      </c>
      <c r="AA88" s="550">
        <v>0.621</v>
      </c>
      <c r="AB88" s="550">
        <v>0.54900000000000004</v>
      </c>
      <c r="AC88" s="550">
        <v>0.501</v>
      </c>
      <c r="AD88" s="550">
        <v>0.47099999999999997</v>
      </c>
      <c r="AE88" s="550">
        <v>0.45</v>
      </c>
      <c r="AF88" s="550">
        <v>0.35399999999999998</v>
      </c>
      <c r="AG88" s="550">
        <v>0.26400000000000001</v>
      </c>
      <c r="AH88" s="550">
        <v>0.21</v>
      </c>
      <c r="AI88" s="550">
        <v>0.16800000000000001</v>
      </c>
      <c r="AJ88" s="680">
        <v>0.13500000000000001</v>
      </c>
      <c r="AK88" s="550">
        <v>0</v>
      </c>
      <c r="AL88" s="550">
        <v>0</v>
      </c>
      <c r="AM88" s="173" t="str">
        <f t="shared" si="8"/>
        <v>EAI - Norway</v>
      </c>
      <c r="AN88" s="173" t="s">
        <v>3119</v>
      </c>
      <c r="AO88" s="5"/>
      <c r="AS88" s="486"/>
      <c r="AT88" s="55"/>
      <c r="AU88" s="341"/>
      <c r="AV88" s="406"/>
      <c r="AW88" s="406"/>
      <c r="AX88" s="538"/>
    </row>
    <row r="89" spans="1:50">
      <c r="A89" s="5"/>
      <c r="B89" s="44" t="s">
        <v>3369</v>
      </c>
      <c r="C89" s="44" t="s">
        <v>1745</v>
      </c>
      <c r="D89" s="44" t="s">
        <v>3274</v>
      </c>
      <c r="E89" s="44" t="s">
        <v>1927</v>
      </c>
      <c r="F89" s="44" t="s">
        <v>2960</v>
      </c>
      <c r="G89" s="44" t="s">
        <v>1932</v>
      </c>
      <c r="H89" s="44" t="s">
        <v>116</v>
      </c>
      <c r="I89" s="44" t="s">
        <v>2601</v>
      </c>
      <c r="J89" s="328">
        <v>46.2</v>
      </c>
      <c r="K89" s="550">
        <v>0</v>
      </c>
      <c r="L89" s="550">
        <v>0</v>
      </c>
      <c r="M89" s="550">
        <v>0</v>
      </c>
      <c r="N89" s="550">
        <v>0</v>
      </c>
      <c r="O89" s="550">
        <v>0.14000000000000001</v>
      </c>
      <c r="P89" s="550">
        <v>0.37</v>
      </c>
      <c r="Q89" s="550">
        <v>0.23</v>
      </c>
      <c r="R89" s="550">
        <v>0.14000000000000001</v>
      </c>
      <c r="S89" s="550">
        <v>0.09</v>
      </c>
      <c r="T89" s="550">
        <v>0.05</v>
      </c>
      <c r="U89" s="550">
        <v>0.02</v>
      </c>
      <c r="V89" s="550">
        <v>0.05</v>
      </c>
      <c r="W89" s="550">
        <v>0.02</v>
      </c>
      <c r="X89" s="550">
        <v>0</v>
      </c>
      <c r="Y89" s="550">
        <v>0</v>
      </c>
      <c r="Z89" s="550">
        <v>0</v>
      </c>
      <c r="AA89" s="550">
        <v>0</v>
      </c>
      <c r="AB89" s="550">
        <v>0</v>
      </c>
      <c r="AC89" s="550">
        <v>0</v>
      </c>
      <c r="AD89" s="550">
        <v>0</v>
      </c>
      <c r="AE89" s="550">
        <v>0</v>
      </c>
      <c r="AF89" s="550">
        <v>0</v>
      </c>
      <c r="AG89" s="550">
        <v>0</v>
      </c>
      <c r="AH89" s="550">
        <v>0</v>
      </c>
      <c r="AI89" s="550">
        <v>0</v>
      </c>
      <c r="AJ89" s="680">
        <v>0</v>
      </c>
      <c r="AK89" s="550">
        <v>0</v>
      </c>
      <c r="AL89" s="550">
        <v>0</v>
      </c>
      <c r="AM89" s="173" t="str">
        <f t="shared" si="8"/>
        <v>SUBS - Norway</v>
      </c>
      <c r="AN89" s="173" t="s">
        <v>543</v>
      </c>
      <c r="AO89" s="5"/>
      <c r="AS89" s="486"/>
      <c r="AT89" s="55"/>
      <c r="AU89" s="341"/>
      <c r="AV89" s="406"/>
      <c r="AW89" s="406"/>
      <c r="AX89" s="538"/>
    </row>
    <row r="90" spans="1:50">
      <c r="A90" s="5"/>
      <c r="B90" s="44" t="s">
        <v>3369</v>
      </c>
      <c r="C90" s="44" t="s">
        <v>1745</v>
      </c>
      <c r="D90" s="44" t="s">
        <v>3274</v>
      </c>
      <c r="E90" s="44" t="s">
        <v>1927</v>
      </c>
      <c r="F90" s="44" t="s">
        <v>2960</v>
      </c>
      <c r="G90" s="44" t="s">
        <v>1932</v>
      </c>
      <c r="H90" s="44" t="s">
        <v>116</v>
      </c>
      <c r="I90" s="44" t="s">
        <v>2601</v>
      </c>
      <c r="J90" s="328">
        <v>13.86</v>
      </c>
      <c r="K90" s="550">
        <v>0</v>
      </c>
      <c r="L90" s="550">
        <v>0</v>
      </c>
      <c r="M90" s="550">
        <v>0</v>
      </c>
      <c r="N90" s="550">
        <v>0</v>
      </c>
      <c r="O90" s="550">
        <v>0</v>
      </c>
      <c r="P90" s="550">
        <v>0</v>
      </c>
      <c r="Q90" s="550">
        <v>0</v>
      </c>
      <c r="R90" s="550">
        <v>0</v>
      </c>
      <c r="S90" s="550">
        <v>0</v>
      </c>
      <c r="T90" s="550">
        <v>0</v>
      </c>
      <c r="U90" s="550">
        <v>0</v>
      </c>
      <c r="V90" s="550">
        <v>0</v>
      </c>
      <c r="W90" s="550">
        <v>0</v>
      </c>
      <c r="X90" s="550">
        <v>6.0000000000000001E-3</v>
      </c>
      <c r="Y90" s="550">
        <v>6.0000000000000001E-3</v>
      </c>
      <c r="Z90" s="550">
        <v>0</v>
      </c>
      <c r="AA90" s="550">
        <v>0</v>
      </c>
      <c r="AB90" s="550">
        <v>0</v>
      </c>
      <c r="AC90" s="550">
        <v>0</v>
      </c>
      <c r="AD90" s="550">
        <v>0</v>
      </c>
      <c r="AE90" s="550">
        <v>0</v>
      </c>
      <c r="AF90" s="550">
        <v>0</v>
      </c>
      <c r="AG90" s="550">
        <v>0</v>
      </c>
      <c r="AH90" s="550">
        <v>0</v>
      </c>
      <c r="AI90" s="550">
        <v>0</v>
      </c>
      <c r="AJ90" s="680">
        <v>0</v>
      </c>
      <c r="AK90" s="550">
        <v>0</v>
      </c>
      <c r="AL90" s="550">
        <v>0</v>
      </c>
      <c r="AM90" s="173" t="str">
        <f t="shared" si="8"/>
        <v>EAI - Norway</v>
      </c>
      <c r="AN90" s="173" t="s">
        <v>3119</v>
      </c>
      <c r="AO90" s="5"/>
      <c r="AS90" s="486"/>
      <c r="AT90" s="55"/>
      <c r="AU90" s="341"/>
      <c r="AV90" s="406"/>
      <c r="AW90" s="406"/>
      <c r="AX90" s="538"/>
    </row>
    <row r="91" spans="1:50">
      <c r="A91" s="5"/>
      <c r="B91" s="44" t="s">
        <v>3369</v>
      </c>
      <c r="C91" s="44" t="s">
        <v>1745</v>
      </c>
      <c r="D91" s="44" t="s">
        <v>3275</v>
      </c>
      <c r="E91" s="44" t="s">
        <v>1927</v>
      </c>
      <c r="F91" s="44" t="s">
        <v>2960</v>
      </c>
      <c r="G91" s="44" t="s">
        <v>1932</v>
      </c>
      <c r="H91" s="44" t="s">
        <v>116</v>
      </c>
      <c r="I91" s="44" t="s">
        <v>2600</v>
      </c>
      <c r="J91" s="328">
        <v>80</v>
      </c>
      <c r="K91" s="550">
        <v>3.87</v>
      </c>
      <c r="L91" s="550">
        <v>2.17</v>
      </c>
      <c r="M91" s="550">
        <v>0</v>
      </c>
      <c r="N91" s="550">
        <v>0</v>
      </c>
      <c r="O91" s="550">
        <v>0.53</v>
      </c>
      <c r="P91" s="550">
        <v>0.08</v>
      </c>
      <c r="Q91" s="550">
        <v>0.11</v>
      </c>
      <c r="R91" s="550">
        <v>0.13</v>
      </c>
      <c r="S91" s="550">
        <v>0</v>
      </c>
      <c r="T91" s="550">
        <v>0</v>
      </c>
      <c r="U91" s="550">
        <v>0</v>
      </c>
      <c r="V91" s="550">
        <v>0</v>
      </c>
      <c r="W91" s="550">
        <v>0</v>
      </c>
      <c r="X91" s="550">
        <v>0</v>
      </c>
      <c r="Y91" s="550">
        <v>0</v>
      </c>
      <c r="Z91" s="550">
        <v>0</v>
      </c>
      <c r="AA91" s="550">
        <v>0</v>
      </c>
      <c r="AB91" s="550">
        <v>0</v>
      </c>
      <c r="AC91" s="550">
        <v>0</v>
      </c>
      <c r="AD91" s="550">
        <v>0</v>
      </c>
      <c r="AE91" s="550">
        <v>0</v>
      </c>
      <c r="AF91" s="550">
        <v>0</v>
      </c>
      <c r="AG91" s="550">
        <v>0</v>
      </c>
      <c r="AH91" s="550">
        <v>0</v>
      </c>
      <c r="AI91" s="550">
        <v>0</v>
      </c>
      <c r="AJ91" s="680">
        <v>0</v>
      </c>
      <c r="AK91" s="550">
        <v>0</v>
      </c>
      <c r="AL91" s="550">
        <v>0</v>
      </c>
      <c r="AM91" s="173" t="str">
        <f t="shared" si="8"/>
        <v>SUBS - Norway</v>
      </c>
      <c r="AN91" s="173" t="s">
        <v>543</v>
      </c>
      <c r="AO91" s="5"/>
      <c r="AS91" s="486"/>
      <c r="AT91" s="55"/>
      <c r="AU91" s="341"/>
      <c r="AV91" s="406"/>
      <c r="AW91" s="406"/>
      <c r="AX91" s="538"/>
    </row>
    <row r="92" spans="1:50">
      <c r="A92" s="5"/>
      <c r="B92" s="44" t="s">
        <v>3369</v>
      </c>
      <c r="C92" s="44" t="s">
        <v>1745</v>
      </c>
      <c r="D92" s="44" t="s">
        <v>3275</v>
      </c>
      <c r="E92" s="44" t="s">
        <v>1927</v>
      </c>
      <c r="F92" s="44" t="s">
        <v>2960</v>
      </c>
      <c r="G92" s="44" t="s">
        <v>1932</v>
      </c>
      <c r="H92" s="44" t="s">
        <v>116</v>
      </c>
      <c r="I92" s="44" t="s">
        <v>2600</v>
      </c>
      <c r="J92" s="328">
        <v>24</v>
      </c>
      <c r="K92" s="550">
        <v>0</v>
      </c>
      <c r="L92" s="550">
        <v>0</v>
      </c>
      <c r="M92" s="550">
        <v>0</v>
      </c>
      <c r="N92" s="550">
        <v>0</v>
      </c>
      <c r="O92" s="550">
        <v>0</v>
      </c>
      <c r="P92" s="550">
        <v>0</v>
      </c>
      <c r="Q92" s="550">
        <v>0</v>
      </c>
      <c r="R92" s="550">
        <v>0</v>
      </c>
      <c r="S92" s="550">
        <v>0</v>
      </c>
      <c r="T92" s="550">
        <v>0</v>
      </c>
      <c r="U92" s="550">
        <v>0</v>
      </c>
      <c r="V92" s="550">
        <v>0</v>
      </c>
      <c r="W92" s="550">
        <v>0</v>
      </c>
      <c r="X92" s="550">
        <v>0</v>
      </c>
      <c r="Y92" s="550">
        <v>0</v>
      </c>
      <c r="Z92" s="550">
        <v>0</v>
      </c>
      <c r="AA92" s="550">
        <v>0</v>
      </c>
      <c r="AB92" s="550">
        <v>0</v>
      </c>
      <c r="AC92" s="550">
        <v>0</v>
      </c>
      <c r="AD92" s="550">
        <v>0</v>
      </c>
      <c r="AE92" s="550">
        <v>0</v>
      </c>
      <c r="AF92" s="550">
        <v>16.245000000000001</v>
      </c>
      <c r="AG92" s="550">
        <v>14.406000000000001</v>
      </c>
      <c r="AH92" s="550">
        <v>12.773999999999999</v>
      </c>
      <c r="AI92" s="550">
        <v>11.327999999999999</v>
      </c>
      <c r="AJ92" s="680">
        <v>10.044</v>
      </c>
      <c r="AK92" s="550">
        <v>8.907</v>
      </c>
      <c r="AL92" s="550">
        <v>7.899</v>
      </c>
      <c r="AM92" s="173" t="str">
        <f t="shared" ref="AM92" si="9">AN92&amp;" - "&amp;C92</f>
        <v>EAI - Norway</v>
      </c>
      <c r="AN92" s="173" t="s">
        <v>3119</v>
      </c>
      <c r="AO92" s="5"/>
      <c r="AS92" s="486"/>
      <c r="AT92" s="55"/>
      <c r="AU92" s="341"/>
      <c r="AV92" s="406"/>
      <c r="AW92" s="406"/>
      <c r="AX92" s="538"/>
    </row>
    <row r="93" spans="1:50">
      <c r="A93" s="5"/>
      <c r="B93" s="44" t="s">
        <v>3369</v>
      </c>
      <c r="C93" s="44" t="s">
        <v>1745</v>
      </c>
      <c r="D93" s="44" t="s">
        <v>3276</v>
      </c>
      <c r="E93" s="44" t="s">
        <v>1927</v>
      </c>
      <c r="F93" s="44" t="s">
        <v>2960</v>
      </c>
      <c r="G93" s="44" t="s">
        <v>3374</v>
      </c>
      <c r="H93" s="44" t="s">
        <v>116</v>
      </c>
      <c r="I93" s="44" t="s">
        <v>2600</v>
      </c>
      <c r="J93" s="328">
        <v>35.953099999999999</v>
      </c>
      <c r="K93" s="550">
        <v>17.18</v>
      </c>
      <c r="L93" s="550">
        <v>26.3</v>
      </c>
      <c r="M93" s="550">
        <v>25.99</v>
      </c>
      <c r="N93" s="550">
        <v>20.99</v>
      </c>
      <c r="O93" s="550">
        <v>17.7</v>
      </c>
      <c r="P93" s="550">
        <v>13.21</v>
      </c>
      <c r="Q93" s="550">
        <v>9.48</v>
      </c>
      <c r="R93" s="550">
        <v>11.76</v>
      </c>
      <c r="S93" s="550">
        <v>8.66</v>
      </c>
      <c r="T93" s="550">
        <v>4.67</v>
      </c>
      <c r="U93" s="550">
        <v>8.25</v>
      </c>
      <c r="V93" s="550">
        <v>13.26</v>
      </c>
      <c r="W93" s="550">
        <v>13.86</v>
      </c>
      <c r="X93" s="550">
        <v>0</v>
      </c>
      <c r="Y93" s="550">
        <v>0</v>
      </c>
      <c r="Z93" s="550">
        <v>0</v>
      </c>
      <c r="AA93" s="550">
        <v>0</v>
      </c>
      <c r="AB93" s="550">
        <v>0</v>
      </c>
      <c r="AC93" s="550">
        <v>0</v>
      </c>
      <c r="AD93" s="550">
        <v>0</v>
      </c>
      <c r="AE93" s="550">
        <v>0</v>
      </c>
      <c r="AF93" s="550">
        <v>0</v>
      </c>
      <c r="AG93" s="550">
        <v>0</v>
      </c>
      <c r="AH93" s="550">
        <v>0</v>
      </c>
      <c r="AI93" s="550">
        <v>0</v>
      </c>
      <c r="AJ93" s="680">
        <v>0</v>
      </c>
      <c r="AK93" s="550">
        <v>0</v>
      </c>
      <c r="AL93" s="550">
        <v>0</v>
      </c>
      <c r="AM93" s="173" t="str">
        <f t="shared" si="8"/>
        <v>SUBS - Norway</v>
      </c>
      <c r="AN93" s="173" t="s">
        <v>543</v>
      </c>
      <c r="AO93" s="5"/>
      <c r="AS93" s="486"/>
      <c r="AT93" s="55"/>
      <c r="AU93" s="341"/>
      <c r="AV93" s="406"/>
      <c r="AW93" s="406"/>
      <c r="AX93" s="538"/>
    </row>
    <row r="94" spans="1:50">
      <c r="A94" s="5"/>
      <c r="B94" s="44" t="s">
        <v>3369</v>
      </c>
      <c r="C94" s="44" t="s">
        <v>1745</v>
      </c>
      <c r="D94" s="44" t="s">
        <v>3276</v>
      </c>
      <c r="E94" s="44" t="s">
        <v>1927</v>
      </c>
      <c r="F94" s="44" t="s">
        <v>2960</v>
      </c>
      <c r="G94" s="44" t="s">
        <v>3374</v>
      </c>
      <c r="H94" s="44" t="s">
        <v>116</v>
      </c>
      <c r="I94" s="44" t="s">
        <v>2600</v>
      </c>
      <c r="J94" s="328">
        <v>27</v>
      </c>
      <c r="K94" s="550">
        <v>0</v>
      </c>
      <c r="L94" s="550">
        <v>0</v>
      </c>
      <c r="M94" s="550">
        <v>0</v>
      </c>
      <c r="N94" s="550">
        <v>0</v>
      </c>
      <c r="O94" s="550">
        <v>0</v>
      </c>
      <c r="P94" s="550">
        <v>0</v>
      </c>
      <c r="Q94" s="550">
        <v>0</v>
      </c>
      <c r="R94" s="550">
        <v>0</v>
      </c>
      <c r="S94" s="550">
        <v>0</v>
      </c>
      <c r="T94" s="550">
        <v>0</v>
      </c>
      <c r="U94" s="550">
        <v>0</v>
      </c>
      <c r="V94" s="550">
        <v>0</v>
      </c>
      <c r="W94" s="550">
        <v>0</v>
      </c>
      <c r="X94" s="550">
        <v>3.7170000000000001</v>
      </c>
      <c r="Y94" s="550">
        <v>9.1920000000000002</v>
      </c>
      <c r="Z94" s="550">
        <v>12.096</v>
      </c>
      <c r="AA94" s="550">
        <v>11.166</v>
      </c>
      <c r="AB94" s="550">
        <v>12.201000000000001</v>
      </c>
      <c r="AC94" s="550">
        <v>14.109</v>
      </c>
      <c r="AD94" s="550">
        <v>19.596</v>
      </c>
      <c r="AE94" s="550">
        <v>19.263000000000002</v>
      </c>
      <c r="AF94" s="550">
        <v>16.863</v>
      </c>
      <c r="AG94" s="550">
        <v>14.798999999999999</v>
      </c>
      <c r="AH94" s="550">
        <v>13.016999999999999</v>
      </c>
      <c r="AI94" s="550">
        <v>11.475</v>
      </c>
      <c r="AJ94" s="680">
        <v>10.143000000000001</v>
      </c>
      <c r="AK94" s="550">
        <v>8.9849999999999994</v>
      </c>
      <c r="AL94" s="550">
        <v>7.98</v>
      </c>
      <c r="AM94" s="173" t="str">
        <f t="shared" si="8"/>
        <v>EAI - Norway</v>
      </c>
      <c r="AN94" s="173" t="s">
        <v>3119</v>
      </c>
      <c r="AO94" s="5"/>
      <c r="AS94" s="486"/>
      <c r="AT94" s="55"/>
      <c r="AU94" s="341"/>
      <c r="AV94" s="406"/>
      <c r="AW94" s="406"/>
      <c r="AX94" s="538"/>
    </row>
    <row r="95" spans="1:50">
      <c r="A95" s="5"/>
      <c r="B95" s="44" t="s">
        <v>3369</v>
      </c>
      <c r="C95" s="44" t="s">
        <v>1745</v>
      </c>
      <c r="D95" s="44" t="s">
        <v>3583</v>
      </c>
      <c r="E95" s="44" t="s">
        <v>2254</v>
      </c>
      <c r="F95" s="44" t="s">
        <v>2960</v>
      </c>
      <c r="G95" s="44" t="s">
        <v>3374</v>
      </c>
      <c r="H95" s="44" t="s">
        <v>116</v>
      </c>
      <c r="I95" s="44" t="s">
        <v>2971</v>
      </c>
      <c r="J95" s="328">
        <v>1.5</v>
      </c>
      <c r="K95" s="550">
        <v>0</v>
      </c>
      <c r="L95" s="550">
        <v>0</v>
      </c>
      <c r="M95" s="550">
        <v>0</v>
      </c>
      <c r="N95" s="550">
        <v>0</v>
      </c>
      <c r="O95" s="550">
        <v>0</v>
      </c>
      <c r="P95" s="550">
        <v>0</v>
      </c>
      <c r="Q95" s="550">
        <v>0</v>
      </c>
      <c r="R95" s="550">
        <v>0</v>
      </c>
      <c r="S95" s="550">
        <v>0</v>
      </c>
      <c r="T95" s="550">
        <v>0</v>
      </c>
      <c r="U95" s="550">
        <v>0</v>
      </c>
      <c r="V95" s="550">
        <v>0</v>
      </c>
      <c r="W95" s="550">
        <v>0</v>
      </c>
      <c r="X95" s="550">
        <v>0.13200000000000001</v>
      </c>
      <c r="Y95" s="550">
        <v>0</v>
      </c>
      <c r="Z95" s="550">
        <v>0</v>
      </c>
      <c r="AA95" s="550">
        <v>0</v>
      </c>
      <c r="AB95" s="550">
        <v>0</v>
      </c>
      <c r="AC95" s="550">
        <v>0</v>
      </c>
      <c r="AD95" s="550">
        <v>0</v>
      </c>
      <c r="AE95" s="550">
        <v>0</v>
      </c>
      <c r="AF95" s="550">
        <v>0</v>
      </c>
      <c r="AG95" s="550">
        <v>0</v>
      </c>
      <c r="AH95" s="550">
        <v>0</v>
      </c>
      <c r="AI95" s="550">
        <v>0</v>
      </c>
      <c r="AJ95" s="680">
        <v>0</v>
      </c>
      <c r="AK95" s="550">
        <v>0</v>
      </c>
      <c r="AL95" s="550">
        <v>0</v>
      </c>
      <c r="AM95" s="173" t="str">
        <f t="shared" si="8"/>
        <v>EAI - Norway</v>
      </c>
      <c r="AN95" s="173" t="s">
        <v>3119</v>
      </c>
      <c r="AO95" s="5"/>
      <c r="AS95" s="486"/>
      <c r="AT95" s="55"/>
      <c r="AU95" s="341"/>
      <c r="AV95" s="406"/>
      <c r="AW95" s="406"/>
      <c r="AX95" s="538"/>
    </row>
    <row r="96" spans="1:50">
      <c r="A96" s="5"/>
      <c r="B96" s="44" t="s">
        <v>3369</v>
      </c>
      <c r="C96" s="44" t="s">
        <v>1745</v>
      </c>
      <c r="D96" s="44" t="s">
        <v>3585</v>
      </c>
      <c r="E96" s="44" t="s">
        <v>1927</v>
      </c>
      <c r="F96" s="44" t="s">
        <v>2960</v>
      </c>
      <c r="G96" s="44" t="s">
        <v>3374</v>
      </c>
      <c r="H96" s="44" t="s">
        <v>116</v>
      </c>
      <c r="I96" s="44" t="s">
        <v>2571</v>
      </c>
      <c r="J96" s="328">
        <v>19.5</v>
      </c>
      <c r="K96" s="550">
        <v>0</v>
      </c>
      <c r="L96" s="550">
        <v>0</v>
      </c>
      <c r="M96" s="550">
        <v>0</v>
      </c>
      <c r="N96" s="550">
        <v>0</v>
      </c>
      <c r="O96" s="550">
        <v>0</v>
      </c>
      <c r="P96" s="550">
        <v>0</v>
      </c>
      <c r="Q96" s="550">
        <v>0</v>
      </c>
      <c r="R96" s="550">
        <v>0</v>
      </c>
      <c r="S96" s="550">
        <v>0</v>
      </c>
      <c r="T96" s="550">
        <v>0</v>
      </c>
      <c r="U96" s="550">
        <v>0</v>
      </c>
      <c r="V96" s="550">
        <v>0</v>
      </c>
      <c r="W96" s="550">
        <v>0</v>
      </c>
      <c r="X96" s="550">
        <v>1.0109999999999999</v>
      </c>
      <c r="Y96" s="550">
        <v>1.1910000000000001</v>
      </c>
      <c r="Z96" s="550">
        <v>1.3080000000000001</v>
      </c>
      <c r="AA96" s="550">
        <v>1.0980000000000001</v>
      </c>
      <c r="AB96" s="550">
        <v>0.92100000000000004</v>
      </c>
      <c r="AC96" s="550">
        <v>0.72</v>
      </c>
      <c r="AD96" s="550">
        <v>0.56100000000000005</v>
      </c>
      <c r="AE96" s="550">
        <v>0.438</v>
      </c>
      <c r="AF96" s="550">
        <v>0.34200000000000003</v>
      </c>
      <c r="AG96" s="550">
        <v>0.26400000000000001</v>
      </c>
      <c r="AH96" s="550">
        <v>0.20699999999999999</v>
      </c>
      <c r="AI96" s="550">
        <v>0.16200000000000001</v>
      </c>
      <c r="AJ96" s="680">
        <v>0.126</v>
      </c>
      <c r="AK96" s="550">
        <v>0</v>
      </c>
      <c r="AL96" s="550">
        <v>0</v>
      </c>
      <c r="AM96" s="173" t="str">
        <f t="shared" si="8"/>
        <v>EAI - Norway</v>
      </c>
      <c r="AN96" s="173" t="s">
        <v>3119</v>
      </c>
      <c r="AO96" s="5"/>
      <c r="AS96" s="486"/>
      <c r="AT96" s="55"/>
      <c r="AU96" s="341"/>
      <c r="AV96" s="406"/>
      <c r="AW96" s="406"/>
      <c r="AX96" s="538"/>
    </row>
    <row r="97" spans="1:50">
      <c r="A97" s="5"/>
      <c r="B97" s="44" t="s">
        <v>3369</v>
      </c>
      <c r="C97" s="44" t="s">
        <v>3277</v>
      </c>
      <c r="D97" s="44" t="s">
        <v>3725</v>
      </c>
      <c r="E97" s="44" t="s">
        <v>1927</v>
      </c>
      <c r="F97" s="44" t="s">
        <v>1928</v>
      </c>
      <c r="G97" s="44" t="s">
        <v>1929</v>
      </c>
      <c r="H97" s="44" t="s">
        <v>117</v>
      </c>
      <c r="I97" s="44" t="s">
        <v>1931</v>
      </c>
      <c r="J97" s="328">
        <v>60</v>
      </c>
      <c r="K97" s="550">
        <v>0</v>
      </c>
      <c r="L97" s="550">
        <v>0</v>
      </c>
      <c r="M97" s="550">
        <v>0</v>
      </c>
      <c r="N97" s="550">
        <v>0</v>
      </c>
      <c r="O97" s="550">
        <v>0</v>
      </c>
      <c r="P97" s="550">
        <v>0</v>
      </c>
      <c r="Q97" s="550">
        <v>0</v>
      </c>
      <c r="R97" s="550">
        <v>0</v>
      </c>
      <c r="S97" s="550">
        <v>0</v>
      </c>
      <c r="T97" s="550">
        <v>0</v>
      </c>
      <c r="U97" s="550">
        <v>0</v>
      </c>
      <c r="V97" s="550">
        <v>0</v>
      </c>
      <c r="W97" s="550">
        <v>0</v>
      </c>
      <c r="X97" s="550">
        <v>0</v>
      </c>
      <c r="Y97" s="550">
        <v>62.1</v>
      </c>
      <c r="Z97" s="550">
        <v>455.4</v>
      </c>
      <c r="AA97" s="550">
        <v>517.5</v>
      </c>
      <c r="AB97" s="550">
        <v>615.83000000000004</v>
      </c>
      <c r="AC97" s="550">
        <v>760.73</v>
      </c>
      <c r="AD97" s="550">
        <v>776.25</v>
      </c>
      <c r="AE97" s="550">
        <v>1191.53</v>
      </c>
      <c r="AF97" s="550">
        <v>1414.6</v>
      </c>
      <c r="AG97" s="550">
        <v>1374.2</v>
      </c>
      <c r="AH97" s="550">
        <v>1115.32</v>
      </c>
      <c r="AI97" s="550">
        <v>878.89</v>
      </c>
      <c r="AJ97" s="550">
        <v>878.65</v>
      </c>
      <c r="AK97" s="550">
        <v>889.36</v>
      </c>
      <c r="AL97" s="550">
        <v>882.47</v>
      </c>
      <c r="AM97" s="173" t="str">
        <f t="shared" si="0"/>
        <v>SUBS - Oman</v>
      </c>
      <c r="AN97" s="173" t="s">
        <v>543</v>
      </c>
      <c r="AO97" s="5"/>
      <c r="AS97" s="486"/>
      <c r="AT97" s="55"/>
      <c r="AU97" s="341"/>
      <c r="AV97" s="406"/>
      <c r="AW97" s="406"/>
      <c r="AX97" s="538"/>
    </row>
    <row r="98" spans="1:50">
      <c r="A98" s="5"/>
      <c r="B98" s="44" t="s">
        <v>3369</v>
      </c>
      <c r="C98" s="44" t="s">
        <v>3278</v>
      </c>
      <c r="D98" s="44" t="s">
        <v>3279</v>
      </c>
      <c r="E98" s="44" t="s">
        <v>1927</v>
      </c>
      <c r="F98" s="44" t="s">
        <v>1928</v>
      </c>
      <c r="G98" s="44" t="s">
        <v>1932</v>
      </c>
      <c r="H98" s="44" t="s">
        <v>116</v>
      </c>
      <c r="I98" s="44" t="s">
        <v>1933</v>
      </c>
      <c r="J98" s="328">
        <v>100</v>
      </c>
      <c r="K98" s="550">
        <v>70</v>
      </c>
      <c r="L98" s="550">
        <v>67.5</v>
      </c>
      <c r="M98" s="550">
        <v>72.47</v>
      </c>
      <c r="N98" s="550">
        <v>72.25</v>
      </c>
      <c r="O98" s="550">
        <v>108.15</v>
      </c>
      <c r="P98" s="550">
        <v>135.38999999999999</v>
      </c>
      <c r="Q98" s="550">
        <v>126.1</v>
      </c>
      <c r="R98" s="550">
        <v>125.56</v>
      </c>
      <c r="S98" s="550">
        <v>51.93</v>
      </c>
      <c r="T98" s="550">
        <v>0</v>
      </c>
      <c r="U98" s="550">
        <v>0</v>
      </c>
      <c r="V98" s="550">
        <v>0</v>
      </c>
      <c r="W98" s="550">
        <v>0</v>
      </c>
      <c r="X98" s="550">
        <v>0</v>
      </c>
      <c r="Y98" s="550">
        <v>0</v>
      </c>
      <c r="Z98" s="550">
        <v>0</v>
      </c>
      <c r="AA98" s="550">
        <v>0</v>
      </c>
      <c r="AB98" s="550">
        <v>0</v>
      </c>
      <c r="AC98" s="550">
        <v>0</v>
      </c>
      <c r="AD98" s="550">
        <v>0</v>
      </c>
      <c r="AE98" s="550">
        <v>0</v>
      </c>
      <c r="AF98" s="550">
        <v>0</v>
      </c>
      <c r="AG98" s="550">
        <v>0</v>
      </c>
      <c r="AH98" s="550">
        <v>0</v>
      </c>
      <c r="AI98" s="550">
        <v>0</v>
      </c>
      <c r="AJ98" s="550">
        <v>0</v>
      </c>
      <c r="AK98" s="550">
        <v>0</v>
      </c>
      <c r="AL98" s="550">
        <v>0</v>
      </c>
      <c r="AM98" s="173" t="str">
        <f t="shared" si="0"/>
        <v>SUBS - Pakistan</v>
      </c>
      <c r="AN98" s="173" t="s">
        <v>543</v>
      </c>
      <c r="AO98" s="5"/>
      <c r="AS98" s="486"/>
      <c r="AT98" s="55"/>
      <c r="AU98" s="341"/>
      <c r="AV98" s="406"/>
      <c r="AW98" s="406"/>
      <c r="AX98" s="538"/>
    </row>
    <row r="99" spans="1:50">
      <c r="A99" s="5"/>
      <c r="B99" s="44" t="s">
        <v>3369</v>
      </c>
      <c r="C99" s="44" t="s">
        <v>3278</v>
      </c>
      <c r="D99" s="44" t="s">
        <v>3280</v>
      </c>
      <c r="E99" s="44" t="s">
        <v>1927</v>
      </c>
      <c r="F99" s="44" t="s">
        <v>1928</v>
      </c>
      <c r="G99" s="44" t="s">
        <v>1932</v>
      </c>
      <c r="H99" s="44" t="s">
        <v>116</v>
      </c>
      <c r="I99" s="44" t="s">
        <v>1931</v>
      </c>
      <c r="J99" s="328">
        <v>76</v>
      </c>
      <c r="K99" s="550">
        <v>3.99</v>
      </c>
      <c r="L99" s="550">
        <v>6.23</v>
      </c>
      <c r="M99" s="550">
        <v>8.51</v>
      </c>
      <c r="N99" s="550">
        <v>7.75</v>
      </c>
      <c r="O99" s="550">
        <v>6.08</v>
      </c>
      <c r="P99" s="550">
        <v>5.76</v>
      </c>
      <c r="Q99" s="550">
        <v>4.32</v>
      </c>
      <c r="R99" s="550">
        <v>3.24</v>
      </c>
      <c r="S99" s="550">
        <v>1.62</v>
      </c>
      <c r="T99" s="550">
        <v>0</v>
      </c>
      <c r="U99" s="550">
        <v>0</v>
      </c>
      <c r="V99" s="550">
        <v>0</v>
      </c>
      <c r="W99" s="550">
        <v>0</v>
      </c>
      <c r="X99" s="550">
        <v>0</v>
      </c>
      <c r="Y99" s="550">
        <v>0</v>
      </c>
      <c r="Z99" s="550">
        <v>0</v>
      </c>
      <c r="AA99" s="550">
        <v>0</v>
      </c>
      <c r="AB99" s="550">
        <v>0</v>
      </c>
      <c r="AC99" s="550">
        <v>0</v>
      </c>
      <c r="AD99" s="550">
        <v>0</v>
      </c>
      <c r="AE99" s="550">
        <v>0</v>
      </c>
      <c r="AF99" s="550">
        <v>0</v>
      </c>
      <c r="AG99" s="550">
        <v>0</v>
      </c>
      <c r="AH99" s="550">
        <v>0</v>
      </c>
      <c r="AI99" s="550">
        <v>0</v>
      </c>
      <c r="AJ99" s="550">
        <v>0</v>
      </c>
      <c r="AK99" s="550">
        <v>0</v>
      </c>
      <c r="AL99" s="550">
        <v>0</v>
      </c>
      <c r="AM99" s="173" t="str">
        <f t="shared" si="0"/>
        <v>SUBS - Pakistan</v>
      </c>
      <c r="AN99" s="173" t="s">
        <v>543</v>
      </c>
      <c r="AO99" s="5"/>
      <c r="AS99" s="486"/>
      <c r="AT99" s="55"/>
      <c r="AU99" s="341"/>
      <c r="AV99" s="406"/>
      <c r="AW99" s="406"/>
      <c r="AX99" s="538"/>
    </row>
    <row r="100" spans="1:50">
      <c r="A100" s="5"/>
      <c r="B100" s="44" t="s">
        <v>3369</v>
      </c>
      <c r="C100" s="44" t="s">
        <v>3278</v>
      </c>
      <c r="D100" s="44" t="s">
        <v>1699</v>
      </c>
      <c r="E100" s="44" t="s">
        <v>1927</v>
      </c>
      <c r="F100" s="44" t="s">
        <v>1928</v>
      </c>
      <c r="G100" s="44" t="s">
        <v>1931</v>
      </c>
      <c r="H100" s="44" t="s">
        <v>116</v>
      </c>
      <c r="I100" s="44" t="s">
        <v>1931</v>
      </c>
      <c r="J100" s="328">
        <v>51</v>
      </c>
      <c r="K100" s="550">
        <v>17.34</v>
      </c>
      <c r="L100" s="550">
        <v>17.98</v>
      </c>
      <c r="M100" s="550">
        <v>17.649999999999999</v>
      </c>
      <c r="N100" s="550">
        <v>15.27</v>
      </c>
      <c r="O100" s="550">
        <v>30.77</v>
      </c>
      <c r="P100" s="550">
        <v>40.74</v>
      </c>
      <c r="Q100" s="550">
        <v>44.12</v>
      </c>
      <c r="R100" s="550">
        <v>35.450000000000003</v>
      </c>
      <c r="S100" s="550">
        <v>7.48</v>
      </c>
      <c r="T100" s="550">
        <v>0</v>
      </c>
      <c r="U100" s="550">
        <v>0</v>
      </c>
      <c r="V100" s="550">
        <v>0</v>
      </c>
      <c r="W100" s="550">
        <v>0</v>
      </c>
      <c r="X100" s="550">
        <v>0</v>
      </c>
      <c r="Y100" s="550">
        <v>0</v>
      </c>
      <c r="Z100" s="550">
        <v>0</v>
      </c>
      <c r="AA100" s="550">
        <v>0</v>
      </c>
      <c r="AB100" s="550">
        <v>0</v>
      </c>
      <c r="AC100" s="550">
        <v>0</v>
      </c>
      <c r="AD100" s="550">
        <v>0</v>
      </c>
      <c r="AE100" s="550">
        <v>0</v>
      </c>
      <c r="AF100" s="550">
        <v>0</v>
      </c>
      <c r="AG100" s="550">
        <v>0</v>
      </c>
      <c r="AH100" s="550">
        <v>0</v>
      </c>
      <c r="AI100" s="550">
        <v>0</v>
      </c>
      <c r="AJ100" s="550">
        <v>0</v>
      </c>
      <c r="AK100" s="550">
        <v>0</v>
      </c>
      <c r="AL100" s="550">
        <v>0</v>
      </c>
      <c r="AM100" s="173" t="str">
        <f t="shared" si="0"/>
        <v>SUBS - Pakistan</v>
      </c>
      <c r="AN100" s="173" t="s">
        <v>543</v>
      </c>
      <c r="AO100" s="5"/>
      <c r="AS100" s="486"/>
      <c r="AT100" s="55"/>
      <c r="AU100" s="341"/>
      <c r="AV100" s="406"/>
      <c r="AW100" s="406"/>
      <c r="AX100" s="538"/>
    </row>
    <row r="101" spans="1:50">
      <c r="A101" s="5"/>
      <c r="B101" s="44" t="s">
        <v>3369</v>
      </c>
      <c r="C101" s="44" t="s">
        <v>3278</v>
      </c>
      <c r="D101" s="44" t="s">
        <v>1700</v>
      </c>
      <c r="E101" s="44" t="s">
        <v>1927</v>
      </c>
      <c r="F101" s="44" t="s">
        <v>1928</v>
      </c>
      <c r="G101" s="44" t="s">
        <v>1932</v>
      </c>
      <c r="H101" s="44" t="s">
        <v>116</v>
      </c>
      <c r="I101" s="44" t="s">
        <v>1931</v>
      </c>
      <c r="J101" s="328">
        <v>60</v>
      </c>
      <c r="K101" s="550">
        <v>0.05</v>
      </c>
      <c r="L101" s="550">
        <v>1.35</v>
      </c>
      <c r="M101" s="550">
        <v>1.03</v>
      </c>
      <c r="N101" s="550">
        <v>1.59</v>
      </c>
      <c r="O101" s="550">
        <v>1.38</v>
      </c>
      <c r="P101" s="550">
        <v>1.1200000000000001</v>
      </c>
      <c r="Q101" s="550">
        <v>0.96</v>
      </c>
      <c r="R101" s="550">
        <v>2.86</v>
      </c>
      <c r="S101" s="550">
        <v>0.64</v>
      </c>
      <c r="T101" s="550">
        <v>0</v>
      </c>
      <c r="U101" s="550">
        <v>0</v>
      </c>
      <c r="V101" s="550">
        <v>0</v>
      </c>
      <c r="W101" s="550">
        <v>0</v>
      </c>
      <c r="X101" s="550">
        <v>0</v>
      </c>
      <c r="Y101" s="550">
        <v>0</v>
      </c>
      <c r="Z101" s="550">
        <v>0</v>
      </c>
      <c r="AA101" s="550">
        <v>0</v>
      </c>
      <c r="AB101" s="550">
        <v>0</v>
      </c>
      <c r="AC101" s="550">
        <v>0</v>
      </c>
      <c r="AD101" s="550">
        <v>0</v>
      </c>
      <c r="AE101" s="550">
        <v>0</v>
      </c>
      <c r="AF101" s="550">
        <v>0</v>
      </c>
      <c r="AG101" s="550">
        <v>0</v>
      </c>
      <c r="AH101" s="550">
        <v>0</v>
      </c>
      <c r="AI101" s="550">
        <v>0</v>
      </c>
      <c r="AJ101" s="550">
        <v>0</v>
      </c>
      <c r="AK101" s="550">
        <v>0</v>
      </c>
      <c r="AL101" s="550">
        <v>0</v>
      </c>
      <c r="AM101" s="173" t="str">
        <f t="shared" si="0"/>
        <v>SUBS - Pakistan</v>
      </c>
      <c r="AN101" s="173" t="s">
        <v>543</v>
      </c>
      <c r="AO101" s="5"/>
      <c r="AS101" s="486"/>
      <c r="AT101" s="55"/>
      <c r="AU101" s="341"/>
      <c r="AV101" s="406"/>
      <c r="AW101" s="406"/>
      <c r="AX101" s="538"/>
    </row>
    <row r="102" spans="1:50">
      <c r="A102" s="5"/>
      <c r="B102" s="44" t="s">
        <v>3369</v>
      </c>
      <c r="C102" s="44" t="s">
        <v>3278</v>
      </c>
      <c r="D102" s="44" t="s">
        <v>818</v>
      </c>
      <c r="E102" s="44" t="s">
        <v>1927</v>
      </c>
      <c r="F102" s="44" t="s">
        <v>1928</v>
      </c>
      <c r="G102" s="44" t="s">
        <v>1930</v>
      </c>
      <c r="H102" s="44" t="s">
        <v>116</v>
      </c>
      <c r="I102" s="44" t="s">
        <v>1931</v>
      </c>
      <c r="J102" s="328">
        <v>75</v>
      </c>
      <c r="K102" s="550">
        <v>0</v>
      </c>
      <c r="L102" s="550">
        <v>0</v>
      </c>
      <c r="M102" s="550">
        <v>0</v>
      </c>
      <c r="N102" s="550">
        <v>1.6</v>
      </c>
      <c r="O102" s="550">
        <v>0.86</v>
      </c>
      <c r="P102" s="550">
        <v>0.72</v>
      </c>
      <c r="Q102" s="550">
        <v>0.45</v>
      </c>
      <c r="R102" s="550">
        <v>0.36</v>
      </c>
      <c r="S102" s="550">
        <v>0.19</v>
      </c>
      <c r="T102" s="550">
        <v>0</v>
      </c>
      <c r="U102" s="550">
        <v>0</v>
      </c>
      <c r="V102" s="550">
        <v>0</v>
      </c>
      <c r="W102" s="550">
        <v>0</v>
      </c>
      <c r="X102" s="550">
        <v>0</v>
      </c>
      <c r="Y102" s="550">
        <v>0</v>
      </c>
      <c r="Z102" s="550">
        <v>0</v>
      </c>
      <c r="AA102" s="550">
        <v>0</v>
      </c>
      <c r="AB102" s="550">
        <v>0</v>
      </c>
      <c r="AC102" s="550">
        <v>0</v>
      </c>
      <c r="AD102" s="550">
        <v>0</v>
      </c>
      <c r="AE102" s="550">
        <v>0</v>
      </c>
      <c r="AF102" s="550">
        <v>0</v>
      </c>
      <c r="AG102" s="550">
        <v>0</v>
      </c>
      <c r="AH102" s="550">
        <v>0</v>
      </c>
      <c r="AI102" s="550">
        <v>0</v>
      </c>
      <c r="AJ102" s="550">
        <v>0</v>
      </c>
      <c r="AK102" s="550">
        <v>0</v>
      </c>
      <c r="AL102" s="550">
        <v>0</v>
      </c>
      <c r="AM102" s="173" t="str">
        <f t="shared" si="0"/>
        <v>SUBS - Pakistan</v>
      </c>
      <c r="AN102" s="173" t="s">
        <v>543</v>
      </c>
      <c r="AO102" s="5"/>
      <c r="AS102" s="486"/>
      <c r="AT102" s="55"/>
      <c r="AU102" s="341"/>
      <c r="AV102" s="406"/>
      <c r="AW102" s="406"/>
      <c r="AX102" s="538"/>
    </row>
    <row r="103" spans="1:50">
      <c r="A103" s="5"/>
      <c r="B103" s="44" t="s">
        <v>3369</v>
      </c>
      <c r="C103" s="44" t="s">
        <v>3278</v>
      </c>
      <c r="D103" s="44" t="s">
        <v>3726</v>
      </c>
      <c r="E103" s="44" t="s">
        <v>1927</v>
      </c>
      <c r="F103" s="44" t="s">
        <v>1928</v>
      </c>
      <c r="G103" s="44" t="s">
        <v>1931</v>
      </c>
      <c r="H103" s="44" t="s">
        <v>116</v>
      </c>
      <c r="I103" s="44" t="s">
        <v>1931</v>
      </c>
      <c r="J103" s="328">
        <v>65</v>
      </c>
      <c r="K103" s="550">
        <v>0</v>
      </c>
      <c r="L103" s="550">
        <v>0</v>
      </c>
      <c r="M103" s="550">
        <v>0</v>
      </c>
      <c r="N103" s="550">
        <v>0</v>
      </c>
      <c r="O103" s="550">
        <v>0</v>
      </c>
      <c r="P103" s="550">
        <v>0</v>
      </c>
      <c r="Q103" s="550">
        <v>27.72</v>
      </c>
      <c r="R103" s="550">
        <v>14.08</v>
      </c>
      <c r="S103" s="550">
        <v>16.21</v>
      </c>
      <c r="T103" s="550">
        <v>0</v>
      </c>
      <c r="U103" s="550">
        <v>0</v>
      </c>
      <c r="V103" s="550">
        <v>0</v>
      </c>
      <c r="W103" s="550">
        <v>0</v>
      </c>
      <c r="X103" s="550">
        <v>0</v>
      </c>
      <c r="Y103" s="550">
        <v>0</v>
      </c>
      <c r="Z103" s="550">
        <v>0</v>
      </c>
      <c r="AA103" s="550">
        <v>0</v>
      </c>
      <c r="AB103" s="550">
        <v>0</v>
      </c>
      <c r="AC103" s="550">
        <v>0</v>
      </c>
      <c r="AD103" s="550">
        <v>0</v>
      </c>
      <c r="AE103" s="550">
        <v>0</v>
      </c>
      <c r="AF103" s="550">
        <v>0</v>
      </c>
      <c r="AG103" s="550">
        <v>0</v>
      </c>
      <c r="AH103" s="550">
        <v>0</v>
      </c>
      <c r="AI103" s="550">
        <v>0</v>
      </c>
      <c r="AJ103" s="550">
        <v>0</v>
      </c>
      <c r="AK103" s="550">
        <v>0</v>
      </c>
      <c r="AL103" s="550">
        <v>0</v>
      </c>
      <c r="AM103" s="173" t="str">
        <f t="shared" si="0"/>
        <v>SUBS - Pakistan</v>
      </c>
      <c r="AN103" s="173" t="s">
        <v>543</v>
      </c>
      <c r="AO103" s="5"/>
      <c r="AS103" s="486"/>
      <c r="AT103" s="55"/>
      <c r="AU103" s="341"/>
      <c r="AV103" s="406"/>
      <c r="AW103" s="406"/>
      <c r="AX103" s="538"/>
    </row>
    <row r="104" spans="1:50">
      <c r="A104" s="5"/>
      <c r="B104" s="44" t="s">
        <v>3369</v>
      </c>
      <c r="C104" s="44" t="s">
        <v>3278</v>
      </c>
      <c r="D104" s="44" t="s">
        <v>3729</v>
      </c>
      <c r="E104" s="44" t="s">
        <v>1927</v>
      </c>
      <c r="F104" s="44" t="s">
        <v>1928</v>
      </c>
      <c r="G104" s="44" t="s">
        <v>1931</v>
      </c>
      <c r="H104" s="44" t="s">
        <v>116</v>
      </c>
      <c r="I104" s="44" t="s">
        <v>1931</v>
      </c>
      <c r="J104" s="328">
        <v>51.31</v>
      </c>
      <c r="K104" s="550">
        <v>0</v>
      </c>
      <c r="L104" s="550">
        <v>0</v>
      </c>
      <c r="M104" s="550">
        <v>0</v>
      </c>
      <c r="N104" s="550">
        <v>0</v>
      </c>
      <c r="O104" s="550">
        <v>0</v>
      </c>
      <c r="P104" s="550">
        <v>0</v>
      </c>
      <c r="Q104" s="550">
        <v>0.51</v>
      </c>
      <c r="R104" s="550">
        <v>0.26</v>
      </c>
      <c r="S104" s="550">
        <v>0</v>
      </c>
      <c r="T104" s="550">
        <v>0</v>
      </c>
      <c r="U104" s="550">
        <v>0</v>
      </c>
      <c r="V104" s="550">
        <v>0</v>
      </c>
      <c r="W104" s="550">
        <v>0</v>
      </c>
      <c r="X104" s="550">
        <v>0</v>
      </c>
      <c r="Y104" s="550">
        <v>0</v>
      </c>
      <c r="Z104" s="550">
        <v>0</v>
      </c>
      <c r="AA104" s="550">
        <v>0</v>
      </c>
      <c r="AB104" s="550">
        <v>0</v>
      </c>
      <c r="AC104" s="550">
        <v>0</v>
      </c>
      <c r="AD104" s="550">
        <v>0</v>
      </c>
      <c r="AE104" s="550">
        <v>0</v>
      </c>
      <c r="AF104" s="550">
        <v>0</v>
      </c>
      <c r="AG104" s="550">
        <v>0</v>
      </c>
      <c r="AH104" s="550">
        <v>0</v>
      </c>
      <c r="AI104" s="550">
        <v>0</v>
      </c>
      <c r="AJ104" s="550">
        <v>0</v>
      </c>
      <c r="AK104" s="550">
        <v>0</v>
      </c>
      <c r="AL104" s="550">
        <v>0</v>
      </c>
      <c r="AM104" s="173" t="str">
        <f t="shared" si="0"/>
        <v>SUBS - Pakistan</v>
      </c>
      <c r="AN104" s="173" t="s">
        <v>543</v>
      </c>
      <c r="AO104" s="5"/>
      <c r="AS104" s="486"/>
      <c r="AT104" s="55"/>
      <c r="AU104" s="341"/>
      <c r="AV104" s="406"/>
      <c r="AW104" s="406"/>
      <c r="AX104" s="538"/>
    </row>
    <row r="105" spans="1:50">
      <c r="A105" s="5"/>
      <c r="B105" s="44" t="s">
        <v>3369</v>
      </c>
      <c r="C105" s="44" t="s">
        <v>3706</v>
      </c>
      <c r="D105" s="44" t="s">
        <v>3703</v>
      </c>
      <c r="E105" s="44" t="s">
        <v>3372</v>
      </c>
      <c r="F105" s="44" t="s">
        <v>3373</v>
      </c>
      <c r="G105" s="44" t="s">
        <v>1930</v>
      </c>
      <c r="H105" s="44" t="s">
        <v>2966</v>
      </c>
      <c r="I105" s="44" t="s">
        <v>3705</v>
      </c>
      <c r="J105" s="328">
        <v>60</v>
      </c>
      <c r="K105" s="550">
        <v>0</v>
      </c>
      <c r="L105" s="550">
        <v>0</v>
      </c>
      <c r="M105" s="550">
        <v>0</v>
      </c>
      <c r="N105" s="550">
        <v>0</v>
      </c>
      <c r="O105" s="550">
        <v>0</v>
      </c>
      <c r="P105" s="550">
        <v>0</v>
      </c>
      <c r="Q105" s="550">
        <v>0</v>
      </c>
      <c r="R105" s="550">
        <v>0</v>
      </c>
      <c r="S105" s="550">
        <v>0</v>
      </c>
      <c r="T105" s="550">
        <v>0</v>
      </c>
      <c r="U105" s="550">
        <v>0</v>
      </c>
      <c r="V105" s="550">
        <v>0</v>
      </c>
      <c r="W105" s="550">
        <v>0</v>
      </c>
      <c r="X105" s="550">
        <v>0</v>
      </c>
      <c r="Y105" s="550">
        <v>0</v>
      </c>
      <c r="Z105" s="550">
        <v>0</v>
      </c>
      <c r="AA105" s="550">
        <v>0</v>
      </c>
      <c r="AB105" s="550">
        <v>0</v>
      </c>
      <c r="AC105" s="550">
        <v>0</v>
      </c>
      <c r="AD105" s="550">
        <v>31.76</v>
      </c>
      <c r="AE105" s="550">
        <v>76.930000000000007</v>
      </c>
      <c r="AF105" s="550">
        <v>102.6</v>
      </c>
      <c r="AG105" s="550">
        <v>145.80000000000001</v>
      </c>
      <c r="AH105" s="550">
        <v>189</v>
      </c>
      <c r="AI105" s="550">
        <v>203.63</v>
      </c>
      <c r="AJ105" s="550">
        <v>203.63</v>
      </c>
      <c r="AK105" s="550">
        <v>203.63</v>
      </c>
      <c r="AL105" s="550">
        <v>193.21</v>
      </c>
      <c r="AM105" s="704" t="str">
        <f>AN105&amp;" - "&amp;C105</f>
        <v>SUBS - Senegal</v>
      </c>
      <c r="AN105" s="704" t="s">
        <v>543</v>
      </c>
      <c r="AO105" s="5"/>
      <c r="AS105" s="486"/>
      <c r="AT105" s="55"/>
      <c r="AU105" s="341"/>
      <c r="AV105" s="406"/>
      <c r="AW105" s="406"/>
      <c r="AX105" s="538"/>
    </row>
    <row r="106" spans="1:50">
      <c r="A106" s="5"/>
      <c r="B106" s="44" t="s">
        <v>3369</v>
      </c>
      <c r="C106" s="44" t="s">
        <v>1280</v>
      </c>
      <c r="D106" s="44" t="s">
        <v>680</v>
      </c>
      <c r="E106" s="44" t="s">
        <v>1927</v>
      </c>
      <c r="F106" s="44" t="s">
        <v>2960</v>
      </c>
      <c r="G106" s="44" t="s">
        <v>1931</v>
      </c>
      <c r="H106" s="44" t="s">
        <v>2966</v>
      </c>
      <c r="I106" s="44" t="s">
        <v>2600</v>
      </c>
      <c r="J106" s="328">
        <v>70</v>
      </c>
      <c r="K106" s="550">
        <v>1458.8</v>
      </c>
      <c r="L106" s="550">
        <v>1374.1</v>
      </c>
      <c r="M106" s="550">
        <v>1499.73</v>
      </c>
      <c r="N106" s="550">
        <v>1523.75</v>
      </c>
      <c r="O106" s="550">
        <v>1591.35</v>
      </c>
      <c r="P106" s="550">
        <v>1600.2</v>
      </c>
      <c r="Q106" s="550">
        <v>1645.29</v>
      </c>
      <c r="R106" s="550">
        <v>1652.37</v>
      </c>
      <c r="S106" s="550">
        <v>1579.8</v>
      </c>
      <c r="T106" s="550">
        <v>1456.67</v>
      </c>
      <c r="U106" s="550">
        <v>1478.86</v>
      </c>
      <c r="V106" s="550">
        <v>1428.45</v>
      </c>
      <c r="W106" s="550">
        <v>1296.1300000000001</v>
      </c>
      <c r="X106" s="550">
        <v>1112.1500000000001</v>
      </c>
      <c r="Y106" s="550">
        <v>1205.69</v>
      </c>
      <c r="Z106" s="550">
        <v>1365</v>
      </c>
      <c r="AA106" s="550">
        <v>1580.6</v>
      </c>
      <c r="AB106" s="550">
        <v>1552.6</v>
      </c>
      <c r="AC106" s="550">
        <v>1337</v>
      </c>
      <c r="AD106" s="550">
        <v>1127</v>
      </c>
      <c r="AE106" s="550">
        <v>840</v>
      </c>
      <c r="AF106" s="550">
        <v>430.5</v>
      </c>
      <c r="AG106" s="550">
        <v>322</v>
      </c>
      <c r="AH106" s="550">
        <v>238</v>
      </c>
      <c r="AI106" s="550">
        <v>175</v>
      </c>
      <c r="AJ106" s="550">
        <v>129.5</v>
      </c>
      <c r="AK106" s="550">
        <v>60.2</v>
      </c>
      <c r="AL106" s="550">
        <v>44.1</v>
      </c>
      <c r="AM106" s="173" t="str">
        <f>AN106&amp;" - "&amp;C106</f>
        <v>SUBS - Trinidad &amp; Tobago</v>
      </c>
      <c r="AN106" s="173" t="s">
        <v>543</v>
      </c>
      <c r="AO106" s="5"/>
      <c r="AS106" s="486"/>
      <c r="AT106" s="55"/>
      <c r="AU106" s="341"/>
      <c r="AV106" s="406"/>
      <c r="AW106" s="406"/>
      <c r="AX106" s="538"/>
    </row>
    <row r="107" spans="1:50">
      <c r="A107" s="5"/>
      <c r="B107" s="44" t="s">
        <v>3369</v>
      </c>
      <c r="C107" s="44" t="s">
        <v>1280</v>
      </c>
      <c r="D107" s="44" t="s">
        <v>3730</v>
      </c>
      <c r="E107" s="44" t="s">
        <v>1927</v>
      </c>
      <c r="F107" s="44" t="s">
        <v>2960</v>
      </c>
      <c r="G107" s="44" t="s">
        <v>1930</v>
      </c>
      <c r="H107" s="44" t="s">
        <v>116</v>
      </c>
      <c r="I107" s="44" t="s">
        <v>2600</v>
      </c>
      <c r="J107" s="328">
        <v>50</v>
      </c>
      <c r="K107" s="550">
        <v>0</v>
      </c>
      <c r="L107" s="550">
        <v>0</v>
      </c>
      <c r="M107" s="550">
        <v>0</v>
      </c>
      <c r="N107" s="550">
        <v>0</v>
      </c>
      <c r="O107" s="550">
        <v>0</v>
      </c>
      <c r="P107" s="550">
        <v>0</v>
      </c>
      <c r="Q107" s="550">
        <v>0</v>
      </c>
      <c r="R107" s="550">
        <v>0</v>
      </c>
      <c r="S107" s="550">
        <v>0</v>
      </c>
      <c r="T107" s="550">
        <v>17.18</v>
      </c>
      <c r="U107" s="550">
        <v>18.98</v>
      </c>
      <c r="V107" s="550">
        <v>16.7</v>
      </c>
      <c r="W107" s="550">
        <v>16.78</v>
      </c>
      <c r="X107" s="550">
        <v>18.23</v>
      </c>
      <c r="Y107" s="550">
        <v>45.72</v>
      </c>
      <c r="Z107" s="550">
        <v>36.93</v>
      </c>
      <c r="AA107" s="550">
        <v>29.23</v>
      </c>
      <c r="AB107" s="550">
        <v>19.89</v>
      </c>
      <c r="AC107" s="550">
        <v>14.15</v>
      </c>
      <c r="AD107" s="550">
        <v>10.84</v>
      </c>
      <c r="AE107" s="550">
        <v>0</v>
      </c>
      <c r="AF107" s="550">
        <v>0</v>
      </c>
      <c r="AG107" s="550">
        <v>0</v>
      </c>
      <c r="AH107" s="550">
        <v>0</v>
      </c>
      <c r="AI107" s="550">
        <v>0</v>
      </c>
      <c r="AJ107" s="550">
        <v>0</v>
      </c>
      <c r="AK107" s="550">
        <v>0</v>
      </c>
      <c r="AL107" s="550">
        <v>0</v>
      </c>
      <c r="AM107" s="173" t="str">
        <f>AN107&amp;" - "&amp;C107</f>
        <v>SUBS - Trinidad &amp; Tobago</v>
      </c>
      <c r="AN107" s="173" t="s">
        <v>543</v>
      </c>
      <c r="AO107" s="5"/>
      <c r="AS107" s="486"/>
      <c r="AT107" s="55"/>
      <c r="AU107" s="341"/>
      <c r="AV107" s="406"/>
      <c r="AW107" s="406"/>
      <c r="AX107" s="538"/>
    </row>
    <row r="108" spans="1:50">
      <c r="A108" s="5"/>
      <c r="B108" s="44" t="s">
        <v>3369</v>
      </c>
      <c r="C108" s="44" t="s">
        <v>1280</v>
      </c>
      <c r="D108" s="44" t="s">
        <v>681</v>
      </c>
      <c r="E108" s="44" t="s">
        <v>1927</v>
      </c>
      <c r="F108" s="44" t="s">
        <v>2960</v>
      </c>
      <c r="G108" s="44" t="s">
        <v>3374</v>
      </c>
      <c r="H108" s="44" t="s">
        <v>116</v>
      </c>
      <c r="I108" s="44" t="s">
        <v>2600</v>
      </c>
      <c r="J108" s="328">
        <v>70</v>
      </c>
      <c r="K108" s="550">
        <v>11.2</v>
      </c>
      <c r="L108" s="550">
        <v>8.4</v>
      </c>
      <c r="M108" s="550">
        <v>4.67</v>
      </c>
      <c r="N108" s="550">
        <v>0</v>
      </c>
      <c r="O108" s="550">
        <v>0</v>
      </c>
      <c r="P108" s="550">
        <v>0</v>
      </c>
      <c r="Q108" s="550">
        <v>0</v>
      </c>
      <c r="R108" s="550">
        <v>0</v>
      </c>
      <c r="S108" s="550">
        <v>0</v>
      </c>
      <c r="T108" s="550">
        <v>0</v>
      </c>
      <c r="U108" s="550">
        <v>0</v>
      </c>
      <c r="V108" s="550">
        <v>0</v>
      </c>
      <c r="W108" s="550">
        <v>0</v>
      </c>
      <c r="X108" s="550">
        <v>0</v>
      </c>
      <c r="Y108" s="550">
        <v>0</v>
      </c>
      <c r="Z108" s="550">
        <v>0</v>
      </c>
      <c r="AA108" s="550">
        <v>0</v>
      </c>
      <c r="AB108" s="550">
        <v>0</v>
      </c>
      <c r="AC108" s="550">
        <v>0</v>
      </c>
      <c r="AD108" s="550">
        <v>0</v>
      </c>
      <c r="AE108" s="550">
        <v>0</v>
      </c>
      <c r="AF108" s="550">
        <v>0</v>
      </c>
      <c r="AG108" s="550">
        <v>0</v>
      </c>
      <c r="AH108" s="550">
        <v>0</v>
      </c>
      <c r="AI108" s="550">
        <v>0</v>
      </c>
      <c r="AJ108" s="550">
        <v>0</v>
      </c>
      <c r="AK108" s="550">
        <v>0</v>
      </c>
      <c r="AL108" s="550">
        <v>0</v>
      </c>
      <c r="AM108" s="173" t="str">
        <f t="shared" si="0"/>
        <v>SUBS - Trinidad &amp; Tobago</v>
      </c>
      <c r="AN108" s="173" t="s">
        <v>543</v>
      </c>
      <c r="AO108" s="5"/>
      <c r="AS108" s="486"/>
      <c r="AT108" s="55"/>
      <c r="AU108" s="341"/>
      <c r="AV108" s="406"/>
      <c r="AW108" s="406"/>
      <c r="AX108" s="538"/>
    </row>
    <row r="109" spans="1:50">
      <c r="A109" s="5"/>
      <c r="B109" s="44" t="s">
        <v>3369</v>
      </c>
      <c r="C109" s="44" t="s">
        <v>1281</v>
      </c>
      <c r="D109" s="44" t="s">
        <v>2597</v>
      </c>
      <c r="E109" s="44" t="s">
        <v>1927</v>
      </c>
      <c r="F109" s="44" t="s">
        <v>2960</v>
      </c>
      <c r="G109" s="44" t="s">
        <v>1931</v>
      </c>
      <c r="H109" s="44" t="s">
        <v>116</v>
      </c>
      <c r="I109" s="44" t="s">
        <v>2600</v>
      </c>
      <c r="J109" s="328">
        <v>83.65</v>
      </c>
      <c r="K109" s="550">
        <v>44.02</v>
      </c>
      <c r="L109" s="550">
        <v>26.21</v>
      </c>
      <c r="M109" s="550">
        <v>34.53</v>
      </c>
      <c r="N109" s="550">
        <v>31</v>
      </c>
      <c r="O109" s="550">
        <v>38.51</v>
      </c>
      <c r="P109" s="550">
        <v>65.78</v>
      </c>
      <c r="Q109" s="550">
        <v>26.7</v>
      </c>
      <c r="R109" s="550">
        <v>34.21</v>
      </c>
      <c r="S109" s="550">
        <v>0</v>
      </c>
      <c r="T109" s="550">
        <v>0</v>
      </c>
      <c r="U109" s="550">
        <v>0</v>
      </c>
      <c r="V109" s="550">
        <v>0</v>
      </c>
      <c r="W109" s="550">
        <v>0</v>
      </c>
      <c r="X109" s="550">
        <v>0</v>
      </c>
      <c r="Y109" s="550">
        <v>0</v>
      </c>
      <c r="Z109" s="550">
        <v>0</v>
      </c>
      <c r="AA109" s="550">
        <v>0</v>
      </c>
      <c r="AB109" s="550">
        <v>0</v>
      </c>
      <c r="AC109" s="550">
        <v>0</v>
      </c>
      <c r="AD109" s="550">
        <v>0</v>
      </c>
      <c r="AE109" s="550">
        <v>0</v>
      </c>
      <c r="AF109" s="550">
        <v>0</v>
      </c>
      <c r="AG109" s="550">
        <v>0</v>
      </c>
      <c r="AH109" s="550">
        <v>0</v>
      </c>
      <c r="AI109" s="550">
        <v>0</v>
      </c>
      <c r="AJ109" s="550">
        <v>0</v>
      </c>
      <c r="AK109" s="550">
        <v>0</v>
      </c>
      <c r="AL109" s="550">
        <v>0</v>
      </c>
      <c r="AM109" s="173" t="str">
        <f t="shared" si="0"/>
        <v>SUBS - UK</v>
      </c>
      <c r="AN109" s="173" t="s">
        <v>543</v>
      </c>
      <c r="AO109" s="5"/>
      <c r="AS109" s="486"/>
      <c r="AT109" s="55"/>
      <c r="AU109" s="341"/>
      <c r="AV109" s="406"/>
      <c r="AW109" s="406"/>
      <c r="AX109" s="538"/>
    </row>
    <row r="110" spans="1:50">
      <c r="A110" s="5"/>
      <c r="B110" s="44" t="s">
        <v>3369</v>
      </c>
      <c r="C110" s="44" t="s">
        <v>1281</v>
      </c>
      <c r="D110" s="44" t="s">
        <v>1283</v>
      </c>
      <c r="E110" s="44" t="s">
        <v>1927</v>
      </c>
      <c r="F110" s="44" t="s">
        <v>2960</v>
      </c>
      <c r="G110" s="44" t="s">
        <v>1932</v>
      </c>
      <c r="H110" s="44" t="s">
        <v>116</v>
      </c>
      <c r="I110" s="44" t="s">
        <v>2600</v>
      </c>
      <c r="J110" s="328">
        <v>62.75</v>
      </c>
      <c r="K110" s="550">
        <v>25.34</v>
      </c>
      <c r="L110" s="550">
        <v>17.579999999999998</v>
      </c>
      <c r="M110" s="550">
        <v>25.13</v>
      </c>
      <c r="N110" s="550">
        <v>27.59</v>
      </c>
      <c r="O110" s="550">
        <v>25.73</v>
      </c>
      <c r="P110" s="550">
        <v>27.15</v>
      </c>
      <c r="Q110" s="550">
        <v>28.36</v>
      </c>
      <c r="R110" s="550">
        <v>31.85</v>
      </c>
      <c r="S110" s="550">
        <v>8.0299999999999994</v>
      </c>
      <c r="T110" s="550">
        <v>0</v>
      </c>
      <c r="U110" s="550">
        <v>0</v>
      </c>
      <c r="V110" s="550">
        <v>0.28999999999999998</v>
      </c>
      <c r="W110" s="550">
        <v>16.48</v>
      </c>
      <c r="X110" s="550">
        <v>10.64</v>
      </c>
      <c r="Y110" s="550">
        <v>14.68</v>
      </c>
      <c r="Z110" s="550">
        <v>11.75</v>
      </c>
      <c r="AA110" s="550">
        <v>18.829999999999998</v>
      </c>
      <c r="AB110" s="550">
        <v>16.940000000000001</v>
      </c>
      <c r="AC110" s="550">
        <v>14.43</v>
      </c>
      <c r="AD110" s="550">
        <v>11.92</v>
      </c>
      <c r="AE110" s="550">
        <v>0</v>
      </c>
      <c r="AF110" s="550">
        <v>0</v>
      </c>
      <c r="AG110" s="550">
        <v>0</v>
      </c>
      <c r="AH110" s="550">
        <v>0</v>
      </c>
      <c r="AI110" s="550">
        <v>0</v>
      </c>
      <c r="AJ110" s="550">
        <v>0</v>
      </c>
      <c r="AK110" s="550">
        <v>0</v>
      </c>
      <c r="AL110" s="550">
        <v>0</v>
      </c>
      <c r="AM110" s="173" t="str">
        <f t="shared" ref="AM110:AM178" si="10">AN110&amp;" - "&amp;C110</f>
        <v>SUBS - UK</v>
      </c>
      <c r="AN110" s="173" t="s">
        <v>543</v>
      </c>
      <c r="AO110" s="5"/>
      <c r="AS110" s="486"/>
      <c r="AT110" s="55"/>
      <c r="AU110" s="341"/>
      <c r="AV110" s="406"/>
      <c r="AW110" s="406"/>
      <c r="AX110" s="538"/>
    </row>
    <row r="111" spans="1:50">
      <c r="A111" s="5"/>
      <c r="B111" s="44" t="s">
        <v>3369</v>
      </c>
      <c r="C111" s="44" t="s">
        <v>1281</v>
      </c>
      <c r="D111" s="44" t="s">
        <v>2166</v>
      </c>
      <c r="E111" s="44" t="s">
        <v>1927</v>
      </c>
      <c r="F111" s="44" t="s">
        <v>2960</v>
      </c>
      <c r="G111" s="44" t="s">
        <v>1930</v>
      </c>
      <c r="H111" s="44" t="s">
        <v>116</v>
      </c>
      <c r="I111" s="44" t="s">
        <v>2571</v>
      </c>
      <c r="J111" s="328">
        <v>65</v>
      </c>
      <c r="K111" s="550">
        <v>0</v>
      </c>
      <c r="L111" s="550">
        <v>0</v>
      </c>
      <c r="M111" s="550">
        <v>0</v>
      </c>
      <c r="N111" s="550">
        <v>0</v>
      </c>
      <c r="O111" s="550">
        <v>0</v>
      </c>
      <c r="P111" s="550">
        <v>16.579999999999998</v>
      </c>
      <c r="Q111" s="550">
        <v>9.3800000000000008</v>
      </c>
      <c r="R111" s="550">
        <v>6.59</v>
      </c>
      <c r="S111" s="550">
        <v>0</v>
      </c>
      <c r="T111" s="550">
        <v>0</v>
      </c>
      <c r="U111" s="550">
        <v>0</v>
      </c>
      <c r="V111" s="550">
        <v>0</v>
      </c>
      <c r="W111" s="550">
        <v>0</v>
      </c>
      <c r="X111" s="550">
        <v>0</v>
      </c>
      <c r="Y111" s="550">
        <v>0</v>
      </c>
      <c r="Z111" s="550">
        <v>0</v>
      </c>
      <c r="AA111" s="550">
        <v>0</v>
      </c>
      <c r="AB111" s="550">
        <v>0</v>
      </c>
      <c r="AC111" s="550">
        <v>0</v>
      </c>
      <c r="AD111" s="550">
        <v>0</v>
      </c>
      <c r="AE111" s="550">
        <v>0</v>
      </c>
      <c r="AF111" s="550">
        <v>0</v>
      </c>
      <c r="AG111" s="550">
        <v>0</v>
      </c>
      <c r="AH111" s="550">
        <v>0</v>
      </c>
      <c r="AI111" s="550">
        <v>0</v>
      </c>
      <c r="AJ111" s="550">
        <v>0</v>
      </c>
      <c r="AK111" s="550">
        <v>0</v>
      </c>
      <c r="AL111" s="550">
        <v>0</v>
      </c>
      <c r="AM111" s="173" t="str">
        <f t="shared" si="10"/>
        <v>SUBS - UK</v>
      </c>
      <c r="AN111" s="173" t="s">
        <v>543</v>
      </c>
      <c r="AO111" s="5"/>
      <c r="AS111" s="486"/>
      <c r="AT111" s="55"/>
      <c r="AU111" s="341"/>
      <c r="AV111" s="406"/>
      <c r="AW111" s="406"/>
      <c r="AX111" s="538"/>
    </row>
    <row r="112" spans="1:50">
      <c r="A112" s="5"/>
      <c r="B112" s="44" t="s">
        <v>3369</v>
      </c>
      <c r="C112" s="44" t="s">
        <v>1281</v>
      </c>
      <c r="D112" s="44" t="s">
        <v>3668</v>
      </c>
      <c r="E112" s="44" t="s">
        <v>1927</v>
      </c>
      <c r="F112" s="44" t="s">
        <v>2960</v>
      </c>
      <c r="G112" s="44" t="s">
        <v>1932</v>
      </c>
      <c r="H112" s="44" t="s">
        <v>116</v>
      </c>
      <c r="I112" s="44" t="s">
        <v>2571</v>
      </c>
      <c r="J112" s="328">
        <v>100</v>
      </c>
      <c r="K112" s="550">
        <v>0</v>
      </c>
      <c r="L112" s="550">
        <v>0</v>
      </c>
      <c r="M112" s="550">
        <v>0</v>
      </c>
      <c r="N112" s="550">
        <v>0</v>
      </c>
      <c r="O112" s="550">
        <v>0</v>
      </c>
      <c r="P112" s="550">
        <v>0</v>
      </c>
      <c r="Q112" s="550">
        <v>0</v>
      </c>
      <c r="R112" s="550">
        <v>0</v>
      </c>
      <c r="S112" s="550">
        <v>0</v>
      </c>
      <c r="T112" s="550">
        <v>0</v>
      </c>
      <c r="U112" s="550">
        <v>0</v>
      </c>
      <c r="V112" s="550">
        <v>0</v>
      </c>
      <c r="W112" s="550">
        <v>0</v>
      </c>
      <c r="X112" s="550">
        <v>0</v>
      </c>
      <c r="Y112" s="550">
        <v>1.26</v>
      </c>
      <c r="Z112" s="550">
        <v>12</v>
      </c>
      <c r="AA112" s="550">
        <v>5.9</v>
      </c>
      <c r="AB112" s="550">
        <v>3</v>
      </c>
      <c r="AC112" s="550">
        <v>1.2</v>
      </c>
      <c r="AD112" s="550">
        <v>0.6</v>
      </c>
      <c r="AE112" s="550">
        <v>0</v>
      </c>
      <c r="AF112" s="550">
        <v>0</v>
      </c>
      <c r="AG112" s="550">
        <v>0</v>
      </c>
      <c r="AH112" s="550">
        <v>0</v>
      </c>
      <c r="AI112" s="550">
        <v>0</v>
      </c>
      <c r="AJ112" s="550">
        <v>0</v>
      </c>
      <c r="AK112" s="550">
        <v>0</v>
      </c>
      <c r="AL112" s="550">
        <v>0</v>
      </c>
      <c r="AM112" s="173" t="str">
        <f t="shared" ref="AM112" si="11">AN112&amp;" - "&amp;C112</f>
        <v>SUBS - UK</v>
      </c>
      <c r="AN112" s="173" t="s">
        <v>543</v>
      </c>
      <c r="AO112" s="5"/>
      <c r="AS112" s="486"/>
      <c r="AT112" s="55"/>
      <c r="AU112" s="341"/>
      <c r="AV112" s="406"/>
      <c r="AW112" s="406"/>
      <c r="AX112" s="538"/>
    </row>
    <row r="113" spans="1:50">
      <c r="A113" s="5"/>
      <c r="B113" s="44" t="s">
        <v>3369</v>
      </c>
      <c r="C113" s="44" t="s">
        <v>1281</v>
      </c>
      <c r="D113" s="44" t="s">
        <v>3682</v>
      </c>
      <c r="E113" s="44" t="s">
        <v>1927</v>
      </c>
      <c r="F113" s="44" t="s">
        <v>2960</v>
      </c>
      <c r="G113" s="44" t="s">
        <v>1929</v>
      </c>
      <c r="H113" s="44" t="s">
        <v>116</v>
      </c>
      <c r="I113" s="44" t="s">
        <v>3687</v>
      </c>
      <c r="J113" s="328">
        <v>27.5</v>
      </c>
      <c r="K113" s="550">
        <v>0</v>
      </c>
      <c r="L113" s="550">
        <v>0</v>
      </c>
      <c r="M113" s="550">
        <v>0</v>
      </c>
      <c r="N113" s="550">
        <v>0</v>
      </c>
      <c r="O113" s="550">
        <v>0</v>
      </c>
      <c r="P113" s="550">
        <v>0</v>
      </c>
      <c r="Q113" s="550">
        <v>0</v>
      </c>
      <c r="R113" s="550">
        <v>0</v>
      </c>
      <c r="S113" s="550">
        <v>0</v>
      </c>
      <c r="T113" s="550">
        <v>0</v>
      </c>
      <c r="U113" s="550">
        <v>0</v>
      </c>
      <c r="V113" s="550">
        <v>0</v>
      </c>
      <c r="W113" s="550">
        <v>0</v>
      </c>
      <c r="X113" s="550">
        <v>1.38</v>
      </c>
      <c r="Y113" s="550">
        <v>4.4000000000000004</v>
      </c>
      <c r="Z113" s="550">
        <v>3.85</v>
      </c>
      <c r="AA113" s="550">
        <v>3.3</v>
      </c>
      <c r="AB113" s="550">
        <v>2.2000000000000002</v>
      </c>
      <c r="AC113" s="550">
        <v>1.1000000000000001</v>
      </c>
      <c r="AD113" s="550">
        <v>0</v>
      </c>
      <c r="AE113" s="550">
        <v>0</v>
      </c>
      <c r="AF113" s="550">
        <v>0</v>
      </c>
      <c r="AG113" s="550">
        <v>0</v>
      </c>
      <c r="AH113" s="550">
        <v>0</v>
      </c>
      <c r="AI113" s="550">
        <v>0</v>
      </c>
      <c r="AJ113" s="550">
        <v>0</v>
      </c>
      <c r="AK113" s="550">
        <v>0</v>
      </c>
      <c r="AL113" s="550">
        <v>0</v>
      </c>
      <c r="AM113" s="173" t="str">
        <f t="shared" ref="AM113" si="12">AN113&amp;" - "&amp;C113</f>
        <v>SUBS - UK</v>
      </c>
      <c r="AN113" s="173" t="s">
        <v>543</v>
      </c>
      <c r="AO113" s="5"/>
      <c r="AS113" s="486"/>
      <c r="AT113" s="55"/>
      <c r="AU113" s="341"/>
      <c r="AV113" s="406"/>
      <c r="AW113" s="406"/>
      <c r="AX113" s="538"/>
    </row>
    <row r="114" spans="1:50">
      <c r="A114" s="5"/>
      <c r="B114" s="44" t="s">
        <v>3369</v>
      </c>
      <c r="C114" s="44" t="s">
        <v>1281</v>
      </c>
      <c r="D114" s="44" t="s">
        <v>1284</v>
      </c>
      <c r="E114" s="44" t="s">
        <v>1927</v>
      </c>
      <c r="F114" s="44" t="s">
        <v>2960</v>
      </c>
      <c r="G114" s="44" t="s">
        <v>1929</v>
      </c>
      <c r="H114" s="44" t="s">
        <v>116</v>
      </c>
      <c r="I114" s="44" t="s">
        <v>2601</v>
      </c>
      <c r="J114" s="328">
        <v>27.7</v>
      </c>
      <c r="K114" s="550">
        <v>2.97</v>
      </c>
      <c r="L114" s="550">
        <v>3.46</v>
      </c>
      <c r="M114" s="550">
        <v>4.12</v>
      </c>
      <c r="N114" s="550">
        <v>2.73</v>
      </c>
      <c r="O114" s="550">
        <v>3.18</v>
      </c>
      <c r="P114" s="550">
        <v>2.78</v>
      </c>
      <c r="Q114" s="550">
        <v>2.02</v>
      </c>
      <c r="R114" s="550">
        <v>1.77</v>
      </c>
      <c r="S114" s="550">
        <v>0.57999999999999996</v>
      </c>
      <c r="T114" s="550">
        <v>0</v>
      </c>
      <c r="U114" s="550">
        <v>0</v>
      </c>
      <c r="V114" s="550">
        <v>0</v>
      </c>
      <c r="W114" s="550">
        <v>0</v>
      </c>
      <c r="X114" s="550">
        <v>0</v>
      </c>
      <c r="Y114" s="550">
        <v>0</v>
      </c>
      <c r="Z114" s="550">
        <v>0</v>
      </c>
      <c r="AA114" s="550">
        <v>0</v>
      </c>
      <c r="AB114" s="550">
        <v>0</v>
      </c>
      <c r="AC114" s="550">
        <v>0</v>
      </c>
      <c r="AD114" s="550">
        <v>0</v>
      </c>
      <c r="AE114" s="550">
        <v>0</v>
      </c>
      <c r="AF114" s="550">
        <v>0</v>
      </c>
      <c r="AG114" s="550">
        <v>0</v>
      </c>
      <c r="AH114" s="550">
        <v>0</v>
      </c>
      <c r="AI114" s="550">
        <v>0</v>
      </c>
      <c r="AJ114" s="550">
        <v>0</v>
      </c>
      <c r="AK114" s="550">
        <v>0</v>
      </c>
      <c r="AL114" s="550">
        <v>0</v>
      </c>
      <c r="AM114" s="173" t="str">
        <f t="shared" si="10"/>
        <v>SUBS - UK</v>
      </c>
      <c r="AN114" s="173" t="s">
        <v>543</v>
      </c>
      <c r="AO114" s="5"/>
      <c r="AS114" s="486"/>
      <c r="AT114" s="55"/>
      <c r="AU114" s="341"/>
      <c r="AV114" s="406"/>
      <c r="AW114" s="406"/>
      <c r="AX114" s="538"/>
    </row>
    <row r="115" spans="1:50">
      <c r="A115" s="5"/>
      <c r="B115" s="44" t="s">
        <v>3369</v>
      </c>
      <c r="C115" s="44" t="s">
        <v>1281</v>
      </c>
      <c r="D115" s="44" t="s">
        <v>1285</v>
      </c>
      <c r="E115" s="44" t="s">
        <v>1927</v>
      </c>
      <c r="F115" s="44" t="s">
        <v>2960</v>
      </c>
      <c r="G115" s="44" t="s">
        <v>1932</v>
      </c>
      <c r="H115" s="44" t="s">
        <v>116</v>
      </c>
      <c r="I115" s="44" t="s">
        <v>2600</v>
      </c>
      <c r="J115" s="328">
        <v>27.7</v>
      </c>
      <c r="K115" s="550">
        <v>51.07</v>
      </c>
      <c r="L115" s="550">
        <v>40.58</v>
      </c>
      <c r="M115" s="550">
        <v>40.119999999999997</v>
      </c>
      <c r="N115" s="550">
        <v>29.3</v>
      </c>
      <c r="O115" s="550">
        <v>29.03</v>
      </c>
      <c r="P115" s="550">
        <v>15.52</v>
      </c>
      <c r="Q115" s="550">
        <v>11.66</v>
      </c>
      <c r="R115" s="550">
        <v>8.65</v>
      </c>
      <c r="S115" s="550">
        <v>10.87</v>
      </c>
      <c r="T115" s="550">
        <v>0</v>
      </c>
      <c r="U115" s="550">
        <v>0</v>
      </c>
      <c r="V115" s="550">
        <v>0</v>
      </c>
      <c r="W115" s="550">
        <v>0</v>
      </c>
      <c r="X115" s="550">
        <v>0</v>
      </c>
      <c r="Y115" s="550">
        <v>0</v>
      </c>
      <c r="Z115" s="550">
        <v>0</v>
      </c>
      <c r="AA115" s="550">
        <v>0</v>
      </c>
      <c r="AB115" s="550">
        <v>0</v>
      </c>
      <c r="AC115" s="550">
        <v>0</v>
      </c>
      <c r="AD115" s="550">
        <v>0</v>
      </c>
      <c r="AE115" s="550">
        <v>0</v>
      </c>
      <c r="AF115" s="550">
        <v>0</v>
      </c>
      <c r="AG115" s="550">
        <v>0</v>
      </c>
      <c r="AH115" s="550">
        <v>0</v>
      </c>
      <c r="AI115" s="550">
        <v>0</v>
      </c>
      <c r="AJ115" s="550">
        <v>0</v>
      </c>
      <c r="AK115" s="550">
        <v>0</v>
      </c>
      <c r="AL115" s="550">
        <v>0</v>
      </c>
      <c r="AM115" s="173" t="str">
        <f t="shared" si="10"/>
        <v>SUBS - UK</v>
      </c>
      <c r="AN115" s="173" t="s">
        <v>543</v>
      </c>
      <c r="AO115" s="5"/>
      <c r="AS115" s="486"/>
      <c r="AT115" s="55"/>
      <c r="AU115" s="341"/>
      <c r="AV115" s="406"/>
      <c r="AW115" s="406"/>
      <c r="AX115" s="538"/>
    </row>
    <row r="116" spans="1:50">
      <c r="A116" s="5"/>
      <c r="B116" s="44" t="s">
        <v>3369</v>
      </c>
      <c r="C116" s="44" t="s">
        <v>1281</v>
      </c>
      <c r="D116" s="44" t="s">
        <v>1286</v>
      </c>
      <c r="E116" s="44" t="s">
        <v>1927</v>
      </c>
      <c r="F116" s="44" t="s">
        <v>2960</v>
      </c>
      <c r="G116" s="44" t="s">
        <v>1932</v>
      </c>
      <c r="H116" s="44" t="s">
        <v>116</v>
      </c>
      <c r="I116" s="44" t="s">
        <v>2600</v>
      </c>
      <c r="J116" s="328">
        <v>33.21</v>
      </c>
      <c r="K116" s="550">
        <v>120.87</v>
      </c>
      <c r="L116" s="550">
        <v>115.75</v>
      </c>
      <c r="M116" s="550">
        <v>128.62</v>
      </c>
      <c r="N116" s="550">
        <v>106.24</v>
      </c>
      <c r="O116" s="550">
        <v>90.24</v>
      </c>
      <c r="P116" s="550">
        <v>85.66</v>
      </c>
      <c r="Q116" s="550">
        <v>78.400000000000006</v>
      </c>
      <c r="R116" s="550">
        <v>64.03</v>
      </c>
      <c r="S116" s="550">
        <v>44.68</v>
      </c>
      <c r="T116" s="550">
        <v>0</v>
      </c>
      <c r="U116" s="550">
        <v>0</v>
      </c>
      <c r="V116" s="550">
        <v>0</v>
      </c>
      <c r="W116" s="550">
        <v>0</v>
      </c>
      <c r="X116" s="550">
        <v>0</v>
      </c>
      <c r="Y116" s="550">
        <v>0</v>
      </c>
      <c r="Z116" s="550">
        <v>0</v>
      </c>
      <c r="AA116" s="550">
        <v>0</v>
      </c>
      <c r="AB116" s="550">
        <v>0</v>
      </c>
      <c r="AC116" s="550">
        <v>0</v>
      </c>
      <c r="AD116" s="550">
        <v>0</v>
      </c>
      <c r="AE116" s="550">
        <v>0</v>
      </c>
      <c r="AF116" s="550">
        <v>0</v>
      </c>
      <c r="AG116" s="550">
        <v>0</v>
      </c>
      <c r="AH116" s="550">
        <v>0</v>
      </c>
      <c r="AI116" s="550">
        <v>0</v>
      </c>
      <c r="AJ116" s="550">
        <v>0</v>
      </c>
      <c r="AK116" s="550">
        <v>0</v>
      </c>
      <c r="AL116" s="550">
        <v>0</v>
      </c>
      <c r="AM116" s="173" t="str">
        <f>AN116&amp;" - "&amp;C116</f>
        <v>SUBS - UK</v>
      </c>
      <c r="AN116" s="173" t="s">
        <v>543</v>
      </c>
      <c r="AO116" s="5"/>
      <c r="AS116" s="486"/>
      <c r="AT116" s="55"/>
      <c r="AU116" s="341"/>
      <c r="AV116" s="406"/>
      <c r="AW116" s="406"/>
      <c r="AX116" s="538"/>
    </row>
    <row r="117" spans="1:50">
      <c r="A117" s="5"/>
      <c r="B117" s="44" t="s">
        <v>3369</v>
      </c>
      <c r="C117" s="44" t="s">
        <v>1281</v>
      </c>
      <c r="D117" s="44" t="s">
        <v>1288</v>
      </c>
      <c r="E117" s="44" t="s">
        <v>1927</v>
      </c>
      <c r="F117" s="44" t="s">
        <v>2960</v>
      </c>
      <c r="G117" s="44" t="s">
        <v>1929</v>
      </c>
      <c r="H117" s="44" t="s">
        <v>116</v>
      </c>
      <c r="I117" s="44" t="s">
        <v>2571</v>
      </c>
      <c r="J117" s="328">
        <v>52</v>
      </c>
      <c r="K117" s="550">
        <v>7.8</v>
      </c>
      <c r="L117" s="550">
        <v>30.29</v>
      </c>
      <c r="M117" s="550">
        <v>21.94</v>
      </c>
      <c r="N117" s="550">
        <v>18.98</v>
      </c>
      <c r="O117" s="550">
        <v>19.07</v>
      </c>
      <c r="P117" s="550">
        <v>17.55</v>
      </c>
      <c r="Q117" s="550">
        <v>17.260000000000002</v>
      </c>
      <c r="R117" s="550">
        <v>14.24</v>
      </c>
      <c r="S117" s="550">
        <v>12.9</v>
      </c>
      <c r="T117" s="550">
        <v>0</v>
      </c>
      <c r="U117" s="550">
        <v>0</v>
      </c>
      <c r="V117" s="550">
        <v>0</v>
      </c>
      <c r="W117" s="550">
        <v>0</v>
      </c>
      <c r="X117" s="550">
        <v>0</v>
      </c>
      <c r="Y117" s="550">
        <v>0</v>
      </c>
      <c r="Z117" s="550">
        <v>0</v>
      </c>
      <c r="AA117" s="550">
        <v>0</v>
      </c>
      <c r="AB117" s="550">
        <v>0</v>
      </c>
      <c r="AC117" s="550">
        <v>0</v>
      </c>
      <c r="AD117" s="550">
        <v>0</v>
      </c>
      <c r="AE117" s="550">
        <v>0</v>
      </c>
      <c r="AF117" s="550">
        <v>0</v>
      </c>
      <c r="AG117" s="550">
        <v>0</v>
      </c>
      <c r="AH117" s="550">
        <v>0</v>
      </c>
      <c r="AI117" s="550">
        <v>0</v>
      </c>
      <c r="AJ117" s="550">
        <v>0</v>
      </c>
      <c r="AK117" s="550">
        <v>0</v>
      </c>
      <c r="AL117" s="550">
        <v>0</v>
      </c>
      <c r="AM117" s="173" t="str">
        <f t="shared" si="10"/>
        <v>SUBS - UK</v>
      </c>
      <c r="AN117" s="173" t="s">
        <v>543</v>
      </c>
      <c r="AO117" s="5"/>
      <c r="AS117" s="486"/>
      <c r="AT117" s="55"/>
      <c r="AU117" s="341"/>
      <c r="AV117" s="406"/>
      <c r="AW117" s="406"/>
      <c r="AX117" s="538"/>
    </row>
    <row r="118" spans="1:50">
      <c r="A118" s="5"/>
      <c r="B118" s="44" t="s">
        <v>3369</v>
      </c>
      <c r="C118" s="44" t="s">
        <v>1281</v>
      </c>
      <c r="D118" s="44" t="s">
        <v>1289</v>
      </c>
      <c r="E118" s="44" t="s">
        <v>1927</v>
      </c>
      <c r="F118" s="44" t="s">
        <v>2960</v>
      </c>
      <c r="G118" s="44" t="s">
        <v>1931</v>
      </c>
      <c r="H118" s="44" t="s">
        <v>116</v>
      </c>
      <c r="I118" s="44" t="s">
        <v>2600</v>
      </c>
      <c r="J118" s="328">
        <v>8.9700000000000006</v>
      </c>
      <c r="K118" s="550">
        <v>57.61</v>
      </c>
      <c r="L118" s="550">
        <v>54.01</v>
      </c>
      <c r="M118" s="550">
        <v>47.97</v>
      </c>
      <c r="N118" s="550">
        <v>37.64</v>
      </c>
      <c r="O118" s="550">
        <v>35.090000000000003</v>
      </c>
      <c r="P118" s="550">
        <v>33.64</v>
      </c>
      <c r="Q118" s="550">
        <v>27.25</v>
      </c>
      <c r="R118" s="550">
        <v>23.02</v>
      </c>
      <c r="S118" s="550">
        <v>19.989999999999998</v>
      </c>
      <c r="T118" s="550">
        <v>0</v>
      </c>
      <c r="U118" s="550">
        <v>0</v>
      </c>
      <c r="V118" s="550">
        <v>0</v>
      </c>
      <c r="W118" s="550">
        <v>0</v>
      </c>
      <c r="X118" s="550">
        <v>0</v>
      </c>
      <c r="Y118" s="550">
        <v>0</v>
      </c>
      <c r="Z118" s="550">
        <v>0</v>
      </c>
      <c r="AA118" s="550">
        <v>0</v>
      </c>
      <c r="AB118" s="550">
        <v>0</v>
      </c>
      <c r="AC118" s="550">
        <v>0</v>
      </c>
      <c r="AD118" s="550">
        <v>0</v>
      </c>
      <c r="AE118" s="550">
        <v>0</v>
      </c>
      <c r="AF118" s="550">
        <v>0</v>
      </c>
      <c r="AG118" s="550">
        <v>0</v>
      </c>
      <c r="AH118" s="550">
        <v>0</v>
      </c>
      <c r="AI118" s="550">
        <v>0</v>
      </c>
      <c r="AJ118" s="550">
        <v>0</v>
      </c>
      <c r="AK118" s="550">
        <v>0</v>
      </c>
      <c r="AL118" s="550">
        <v>0</v>
      </c>
      <c r="AM118" s="173" t="str">
        <f t="shared" si="10"/>
        <v>SUBS - UK</v>
      </c>
      <c r="AN118" s="173" t="s">
        <v>543</v>
      </c>
      <c r="AO118" s="5"/>
      <c r="AS118" s="486"/>
      <c r="AT118" s="55"/>
      <c r="AU118" s="341"/>
      <c r="AV118" s="406"/>
      <c r="AW118" s="406"/>
      <c r="AX118" s="538"/>
    </row>
    <row r="119" spans="1:50">
      <c r="A119" s="5"/>
      <c r="B119" s="44" t="s">
        <v>3369</v>
      </c>
      <c r="C119" s="44" t="s">
        <v>1281</v>
      </c>
      <c r="D119" s="44" t="s">
        <v>3738</v>
      </c>
      <c r="E119" s="44" t="s">
        <v>1927</v>
      </c>
      <c r="F119" s="44" t="s">
        <v>2960</v>
      </c>
      <c r="G119" s="44" t="s">
        <v>1929</v>
      </c>
      <c r="H119" s="44" t="s">
        <v>116</v>
      </c>
      <c r="I119" s="44" t="s">
        <v>2600</v>
      </c>
      <c r="J119" s="328">
        <v>1</v>
      </c>
      <c r="K119" s="550">
        <v>230.14</v>
      </c>
      <c r="L119" s="550">
        <v>184.62</v>
      </c>
      <c r="M119" s="550">
        <v>165.44</v>
      </c>
      <c r="N119" s="550">
        <v>126.01</v>
      </c>
      <c r="O119" s="550">
        <v>92.53</v>
      </c>
      <c r="P119" s="550">
        <v>65.64</v>
      </c>
      <c r="Q119" s="550">
        <v>43.51</v>
      </c>
      <c r="R119" s="550">
        <v>51.17</v>
      </c>
      <c r="S119" s="550">
        <v>35.729999999999997</v>
      </c>
      <c r="T119" s="550">
        <v>19.420000000000002</v>
      </c>
      <c r="U119" s="550">
        <v>35.81</v>
      </c>
      <c r="V119" s="550">
        <v>24.05</v>
      </c>
      <c r="W119" s="550">
        <v>26.31</v>
      </c>
      <c r="X119" s="550">
        <v>26.83</v>
      </c>
      <c r="Y119" s="550">
        <v>19.57</v>
      </c>
      <c r="Z119" s="550">
        <v>0.65</v>
      </c>
      <c r="AA119" s="550">
        <v>0.55000000000000004</v>
      </c>
      <c r="AB119" s="550">
        <v>0.47</v>
      </c>
      <c r="AC119" s="550">
        <v>0.4</v>
      </c>
      <c r="AD119" s="550">
        <v>0.34</v>
      </c>
      <c r="AE119" s="550">
        <v>0.28999999999999998</v>
      </c>
      <c r="AF119" s="550">
        <v>0</v>
      </c>
      <c r="AG119" s="550">
        <v>0</v>
      </c>
      <c r="AH119" s="550">
        <v>0</v>
      </c>
      <c r="AI119" s="550">
        <v>0</v>
      </c>
      <c r="AJ119" s="550">
        <v>0</v>
      </c>
      <c r="AK119" s="550">
        <v>0</v>
      </c>
      <c r="AL119" s="550">
        <v>0</v>
      </c>
      <c r="AM119" s="173" t="str">
        <f>AN119&amp;" - "&amp;C119</f>
        <v>SUBS - UK</v>
      </c>
      <c r="AN119" s="173" t="s">
        <v>543</v>
      </c>
      <c r="AO119" s="5"/>
      <c r="AS119" s="486"/>
      <c r="AT119" s="55"/>
      <c r="AU119" s="341"/>
      <c r="AV119" s="406"/>
      <c r="AW119" s="406"/>
      <c r="AX119" s="538"/>
    </row>
    <row r="120" spans="1:50">
      <c r="A120" s="5"/>
      <c r="B120" s="44" t="s">
        <v>3369</v>
      </c>
      <c r="C120" s="44" t="s">
        <v>1281</v>
      </c>
      <c r="D120" s="44" t="s">
        <v>1125</v>
      </c>
      <c r="E120" s="44" t="s">
        <v>1927</v>
      </c>
      <c r="F120" s="44" t="s">
        <v>2960</v>
      </c>
      <c r="G120" s="44" t="s">
        <v>3374</v>
      </c>
      <c r="H120" s="44" t="s">
        <v>116</v>
      </c>
      <c r="I120" s="44" t="s">
        <v>2600</v>
      </c>
      <c r="J120" s="328">
        <v>28.601500000000001</v>
      </c>
      <c r="K120" s="550">
        <v>0</v>
      </c>
      <c r="L120" s="550">
        <v>0</v>
      </c>
      <c r="M120" s="550">
        <v>0.03</v>
      </c>
      <c r="N120" s="550">
        <v>0.91</v>
      </c>
      <c r="O120" s="550">
        <v>0.63</v>
      </c>
      <c r="P120" s="550">
        <v>1.87</v>
      </c>
      <c r="Q120" s="550">
        <v>3.3</v>
      </c>
      <c r="R120" s="550">
        <v>3.04</v>
      </c>
      <c r="S120" s="550">
        <v>1.87</v>
      </c>
      <c r="T120" s="550">
        <v>1.1100000000000001</v>
      </c>
      <c r="U120" s="550">
        <v>0.55000000000000004</v>
      </c>
      <c r="V120" s="550">
        <v>1.1399999999999999</v>
      </c>
      <c r="W120" s="550">
        <v>1.52</v>
      </c>
      <c r="X120" s="550">
        <v>1.98</v>
      </c>
      <c r="Y120" s="550">
        <v>1.77</v>
      </c>
      <c r="Z120" s="550">
        <v>4.8600000000000003</v>
      </c>
      <c r="AA120" s="550">
        <v>10.58</v>
      </c>
      <c r="AB120" s="550">
        <v>11.44</v>
      </c>
      <c r="AC120" s="550">
        <v>11.73</v>
      </c>
      <c r="AD120" s="550">
        <v>11.15</v>
      </c>
      <c r="AE120" s="550">
        <v>10.58</v>
      </c>
      <c r="AF120" s="550">
        <v>10.01</v>
      </c>
      <c r="AG120" s="550">
        <v>13.16</v>
      </c>
      <c r="AH120" s="550">
        <v>12.3</v>
      </c>
      <c r="AI120" s="550">
        <v>13.16</v>
      </c>
      <c r="AJ120" s="550">
        <v>12.3</v>
      </c>
      <c r="AK120" s="550">
        <v>11.73</v>
      </c>
      <c r="AL120" s="550">
        <v>10.58</v>
      </c>
      <c r="AM120" s="173" t="str">
        <f>AN120&amp;" - "&amp;C120</f>
        <v>SUBS - UK</v>
      </c>
      <c r="AN120" s="173" t="s">
        <v>543</v>
      </c>
      <c r="AO120" s="5"/>
      <c r="AS120" s="486"/>
      <c r="AT120" s="55"/>
      <c r="AU120" s="341"/>
      <c r="AV120" s="406"/>
      <c r="AW120" s="406"/>
      <c r="AX120" s="538"/>
    </row>
    <row r="121" spans="1:50">
      <c r="A121" s="5"/>
      <c r="B121" s="44" t="s">
        <v>3369</v>
      </c>
      <c r="C121" s="44" t="s">
        <v>1281</v>
      </c>
      <c r="D121" s="44" t="s">
        <v>2167</v>
      </c>
      <c r="E121" s="44" t="s">
        <v>1927</v>
      </c>
      <c r="F121" s="44" t="s">
        <v>2960</v>
      </c>
      <c r="G121" s="44" t="s">
        <v>1930</v>
      </c>
      <c r="H121" s="44" t="s">
        <v>116</v>
      </c>
      <c r="I121" s="44" t="s">
        <v>2600</v>
      </c>
      <c r="J121" s="328">
        <v>100</v>
      </c>
      <c r="K121" s="550">
        <v>44.01</v>
      </c>
      <c r="L121" s="550">
        <v>40.1</v>
      </c>
      <c r="M121" s="550">
        <v>40.26</v>
      </c>
      <c r="N121" s="550">
        <v>31.23</v>
      </c>
      <c r="O121" s="550">
        <v>35.119999999999997</v>
      </c>
      <c r="P121" s="550">
        <v>32.07</v>
      </c>
      <c r="Q121" s="550">
        <v>26.07</v>
      </c>
      <c r="R121" s="550">
        <v>8.98</v>
      </c>
      <c r="S121" s="550">
        <v>0</v>
      </c>
      <c r="T121" s="550">
        <v>0</v>
      </c>
      <c r="U121" s="550">
        <v>0</v>
      </c>
      <c r="V121" s="550">
        <v>0</v>
      </c>
      <c r="W121" s="550">
        <v>0</v>
      </c>
      <c r="X121" s="550">
        <v>0</v>
      </c>
      <c r="Y121" s="550">
        <v>0</v>
      </c>
      <c r="Z121" s="550">
        <v>0</v>
      </c>
      <c r="AA121" s="550">
        <v>0</v>
      </c>
      <c r="AB121" s="550">
        <v>0</v>
      </c>
      <c r="AC121" s="550">
        <v>0</v>
      </c>
      <c r="AD121" s="550">
        <v>0</v>
      </c>
      <c r="AE121" s="550">
        <v>0</v>
      </c>
      <c r="AF121" s="550">
        <v>0</v>
      </c>
      <c r="AG121" s="550">
        <v>0</v>
      </c>
      <c r="AH121" s="550">
        <v>0</v>
      </c>
      <c r="AI121" s="550">
        <v>0</v>
      </c>
      <c r="AJ121" s="550">
        <v>0</v>
      </c>
      <c r="AK121" s="550">
        <v>0</v>
      </c>
      <c r="AL121" s="550">
        <v>0</v>
      </c>
      <c r="AM121" s="173" t="str">
        <f t="shared" si="10"/>
        <v>SUBS - UK</v>
      </c>
      <c r="AN121" s="173" t="s">
        <v>543</v>
      </c>
      <c r="AO121" s="5"/>
      <c r="AS121" s="486"/>
      <c r="AT121" s="55"/>
      <c r="AU121" s="341"/>
      <c r="AV121" s="406"/>
      <c r="AW121" s="406"/>
      <c r="AX121" s="538"/>
    </row>
    <row r="122" spans="1:50">
      <c r="A122" s="5"/>
      <c r="B122" s="44" t="s">
        <v>3369</v>
      </c>
      <c r="C122" s="44" t="s">
        <v>1281</v>
      </c>
      <c r="D122" s="44" t="s">
        <v>682</v>
      </c>
      <c r="E122" s="44" t="s">
        <v>2970</v>
      </c>
      <c r="F122" s="44" t="s">
        <v>2960</v>
      </c>
      <c r="G122" s="44" t="s">
        <v>1931</v>
      </c>
      <c r="H122" s="44" t="s">
        <v>116</v>
      </c>
      <c r="I122" s="44" t="s">
        <v>2602</v>
      </c>
      <c r="J122" s="328">
        <v>32</v>
      </c>
      <c r="K122" s="550">
        <v>0</v>
      </c>
      <c r="L122" s="550">
        <v>0</v>
      </c>
      <c r="M122" s="550">
        <v>0</v>
      </c>
      <c r="N122" s="550">
        <v>0</v>
      </c>
      <c r="O122" s="550">
        <v>0</v>
      </c>
      <c r="P122" s="550">
        <v>0</v>
      </c>
      <c r="Q122" s="550">
        <v>0</v>
      </c>
      <c r="R122" s="550">
        <v>0</v>
      </c>
      <c r="S122" s="550">
        <v>0</v>
      </c>
      <c r="T122" s="550">
        <v>0</v>
      </c>
      <c r="U122" s="550">
        <v>0</v>
      </c>
      <c r="V122" s="550">
        <v>0</v>
      </c>
      <c r="W122" s="550">
        <v>0</v>
      </c>
      <c r="X122" s="550">
        <v>0</v>
      </c>
      <c r="Y122" s="550">
        <v>0</v>
      </c>
      <c r="Z122" s="550">
        <v>0</v>
      </c>
      <c r="AA122" s="550">
        <v>30.4</v>
      </c>
      <c r="AB122" s="550">
        <v>120</v>
      </c>
      <c r="AC122" s="550">
        <v>136</v>
      </c>
      <c r="AD122" s="550">
        <v>136</v>
      </c>
      <c r="AE122" s="550">
        <v>136</v>
      </c>
      <c r="AF122" s="550">
        <v>126.4</v>
      </c>
      <c r="AG122" s="550">
        <v>100.8</v>
      </c>
      <c r="AH122" s="550">
        <v>80.319999999999993</v>
      </c>
      <c r="AI122" s="550">
        <v>64</v>
      </c>
      <c r="AJ122" s="550">
        <v>50.88</v>
      </c>
      <c r="AK122" s="550">
        <v>40.32</v>
      </c>
      <c r="AL122" s="550">
        <v>32</v>
      </c>
      <c r="AM122" s="173" t="str">
        <f t="shared" si="10"/>
        <v>SUBS - UK</v>
      </c>
      <c r="AN122" s="173" t="s">
        <v>543</v>
      </c>
      <c r="AO122" s="5"/>
      <c r="AS122" s="486"/>
      <c r="AT122" s="55"/>
      <c r="AU122" s="341"/>
      <c r="AV122" s="406"/>
      <c r="AW122" s="406"/>
      <c r="AX122" s="538"/>
    </row>
    <row r="123" spans="1:50">
      <c r="A123" s="5"/>
      <c r="B123" s="44" t="s">
        <v>3369</v>
      </c>
      <c r="C123" s="44" t="s">
        <v>1281</v>
      </c>
      <c r="D123" s="44" t="s">
        <v>2931</v>
      </c>
      <c r="E123" s="44" t="s">
        <v>1927</v>
      </c>
      <c r="F123" s="44" t="s">
        <v>2960</v>
      </c>
      <c r="G123" s="44" t="s">
        <v>1929</v>
      </c>
      <c r="H123" s="44" t="s">
        <v>116</v>
      </c>
      <c r="I123" s="44" t="s">
        <v>2571</v>
      </c>
      <c r="J123" s="328">
        <v>88.7</v>
      </c>
      <c r="K123" s="550">
        <v>0</v>
      </c>
      <c r="L123" s="550">
        <v>0</v>
      </c>
      <c r="M123" s="550">
        <v>0</v>
      </c>
      <c r="N123" s="550">
        <v>0</v>
      </c>
      <c r="O123" s="550">
        <v>0</v>
      </c>
      <c r="P123" s="550">
        <v>0</v>
      </c>
      <c r="Q123" s="550">
        <v>0</v>
      </c>
      <c r="R123" s="550">
        <v>0</v>
      </c>
      <c r="S123" s="550">
        <v>0</v>
      </c>
      <c r="T123" s="550">
        <v>20.49</v>
      </c>
      <c r="U123" s="550">
        <v>0</v>
      </c>
      <c r="V123" s="550">
        <v>0</v>
      </c>
      <c r="W123" s="550">
        <v>0</v>
      </c>
      <c r="X123" s="550">
        <v>0</v>
      </c>
      <c r="Y123" s="550">
        <v>0</v>
      </c>
      <c r="Z123" s="550">
        <v>0</v>
      </c>
      <c r="AA123" s="550">
        <v>0</v>
      </c>
      <c r="AB123" s="550">
        <v>0</v>
      </c>
      <c r="AC123" s="550">
        <v>0</v>
      </c>
      <c r="AD123" s="550">
        <v>0</v>
      </c>
      <c r="AE123" s="550">
        <v>0</v>
      </c>
      <c r="AF123" s="550">
        <v>0</v>
      </c>
      <c r="AG123" s="550">
        <v>0</v>
      </c>
      <c r="AH123" s="550">
        <v>0</v>
      </c>
      <c r="AI123" s="550">
        <v>0</v>
      </c>
      <c r="AJ123" s="550">
        <v>0</v>
      </c>
      <c r="AK123" s="550">
        <v>0</v>
      </c>
      <c r="AL123" s="550">
        <v>0</v>
      </c>
      <c r="AM123" s="173" t="str">
        <f t="shared" si="10"/>
        <v>SUBS - UK</v>
      </c>
      <c r="AN123" s="173" t="s">
        <v>543</v>
      </c>
      <c r="AO123" s="5"/>
      <c r="AS123" s="486"/>
      <c r="AT123" s="55"/>
      <c r="AU123" s="341"/>
      <c r="AV123" s="406"/>
      <c r="AW123" s="406"/>
      <c r="AX123" s="538"/>
    </row>
    <row r="124" spans="1:50">
      <c r="A124" s="5"/>
      <c r="B124" s="44" t="s">
        <v>3369</v>
      </c>
      <c r="C124" s="44" t="s">
        <v>1281</v>
      </c>
      <c r="D124" s="44" t="s">
        <v>1127</v>
      </c>
      <c r="E124" s="44" t="s">
        <v>1927</v>
      </c>
      <c r="F124" s="44" t="s">
        <v>2960</v>
      </c>
      <c r="G124" s="44" t="s">
        <v>1929</v>
      </c>
      <c r="H124" s="44" t="s">
        <v>116</v>
      </c>
      <c r="I124" s="44" t="s">
        <v>2600</v>
      </c>
      <c r="J124" s="328">
        <v>18.2</v>
      </c>
      <c r="K124" s="550">
        <v>11.73</v>
      </c>
      <c r="L124" s="550">
        <v>7.16</v>
      </c>
      <c r="M124" s="550">
        <v>3.17</v>
      </c>
      <c r="N124" s="550">
        <v>4.5599999999999996</v>
      </c>
      <c r="O124" s="550">
        <v>2.04</v>
      </c>
      <c r="P124" s="550">
        <v>0</v>
      </c>
      <c r="Q124" s="550">
        <v>0</v>
      </c>
      <c r="R124" s="550">
        <v>0</v>
      </c>
      <c r="S124" s="550">
        <v>0</v>
      </c>
      <c r="T124" s="550">
        <v>0</v>
      </c>
      <c r="U124" s="550">
        <v>0</v>
      </c>
      <c r="V124" s="550">
        <v>0</v>
      </c>
      <c r="W124" s="550">
        <v>0</v>
      </c>
      <c r="X124" s="550">
        <v>0</v>
      </c>
      <c r="Y124" s="550">
        <v>0</v>
      </c>
      <c r="Z124" s="550">
        <v>0</v>
      </c>
      <c r="AA124" s="550">
        <v>0</v>
      </c>
      <c r="AB124" s="550">
        <v>0</v>
      </c>
      <c r="AC124" s="550">
        <v>0</v>
      </c>
      <c r="AD124" s="550">
        <v>0</v>
      </c>
      <c r="AE124" s="550">
        <v>0</v>
      </c>
      <c r="AF124" s="550">
        <v>0</v>
      </c>
      <c r="AG124" s="550">
        <v>0</v>
      </c>
      <c r="AH124" s="550">
        <v>0</v>
      </c>
      <c r="AI124" s="550">
        <v>0</v>
      </c>
      <c r="AJ124" s="550">
        <v>0</v>
      </c>
      <c r="AK124" s="550">
        <v>0</v>
      </c>
      <c r="AL124" s="550">
        <v>0</v>
      </c>
      <c r="AM124" s="173" t="str">
        <f t="shared" si="10"/>
        <v>SUBS - UK</v>
      </c>
      <c r="AN124" s="173" t="s">
        <v>543</v>
      </c>
      <c r="AO124" s="5"/>
      <c r="AS124" s="486"/>
      <c r="AT124" s="55"/>
      <c r="AU124" s="341"/>
      <c r="AV124" s="406"/>
      <c r="AW124" s="406"/>
      <c r="AX124" s="538"/>
    </row>
    <row r="125" spans="1:50">
      <c r="A125" s="5"/>
      <c r="B125" s="44" t="s">
        <v>3369</v>
      </c>
      <c r="C125" s="44" t="s">
        <v>1281</v>
      </c>
      <c r="D125" s="44" t="s">
        <v>1128</v>
      </c>
      <c r="E125" s="44" t="s">
        <v>1927</v>
      </c>
      <c r="F125" s="44" t="s">
        <v>2960</v>
      </c>
      <c r="G125" s="44" t="s">
        <v>1929</v>
      </c>
      <c r="H125" s="44" t="s">
        <v>116</v>
      </c>
      <c r="I125" s="44" t="s">
        <v>2602</v>
      </c>
      <c r="J125" s="328">
        <v>18</v>
      </c>
      <c r="K125" s="550">
        <v>47.34</v>
      </c>
      <c r="L125" s="550">
        <v>40.57</v>
      </c>
      <c r="M125" s="550">
        <v>32.85</v>
      </c>
      <c r="N125" s="550">
        <v>22.6</v>
      </c>
      <c r="O125" s="550">
        <v>13</v>
      </c>
      <c r="P125" s="550">
        <v>3.05</v>
      </c>
      <c r="Q125" s="550">
        <v>6.82</v>
      </c>
      <c r="R125" s="550">
        <v>0.51</v>
      </c>
      <c r="S125" s="550">
        <v>2.95</v>
      </c>
      <c r="T125" s="550">
        <v>4.9000000000000004</v>
      </c>
      <c r="U125" s="550">
        <v>3.67</v>
      </c>
      <c r="V125" s="550">
        <v>0</v>
      </c>
      <c r="W125" s="550">
        <v>0</v>
      </c>
      <c r="X125" s="550">
        <v>0</v>
      </c>
      <c r="Y125" s="550">
        <v>0</v>
      </c>
      <c r="Z125" s="550">
        <v>0</v>
      </c>
      <c r="AA125" s="550">
        <v>0</v>
      </c>
      <c r="AB125" s="550">
        <v>0</v>
      </c>
      <c r="AC125" s="550">
        <v>0</v>
      </c>
      <c r="AD125" s="550">
        <v>0</v>
      </c>
      <c r="AE125" s="550">
        <v>0</v>
      </c>
      <c r="AF125" s="550">
        <v>0</v>
      </c>
      <c r="AG125" s="550">
        <v>0</v>
      </c>
      <c r="AH125" s="550">
        <v>0</v>
      </c>
      <c r="AI125" s="550">
        <v>0</v>
      </c>
      <c r="AJ125" s="550">
        <v>0</v>
      </c>
      <c r="AK125" s="550">
        <v>0</v>
      </c>
      <c r="AL125" s="550">
        <v>0</v>
      </c>
      <c r="AM125" s="173" t="str">
        <f t="shared" si="10"/>
        <v>SUBS - UK</v>
      </c>
      <c r="AN125" s="173" t="s">
        <v>543</v>
      </c>
      <c r="AO125" s="5"/>
      <c r="AS125" s="486"/>
      <c r="AT125" s="55"/>
      <c r="AU125" s="341"/>
      <c r="AV125" s="406"/>
      <c r="AW125" s="406"/>
      <c r="AX125" s="538"/>
    </row>
    <row r="126" spans="1:50">
      <c r="A126" s="5"/>
      <c r="B126" s="44" t="s">
        <v>3369</v>
      </c>
      <c r="C126" s="44" t="s">
        <v>1281</v>
      </c>
      <c r="D126" s="44" t="s">
        <v>69</v>
      </c>
      <c r="E126" s="44" t="s">
        <v>1927</v>
      </c>
      <c r="F126" s="44" t="s">
        <v>2960</v>
      </c>
      <c r="G126" s="44" t="s">
        <v>1931</v>
      </c>
      <c r="H126" s="44" t="s">
        <v>116</v>
      </c>
      <c r="I126" s="44" t="s">
        <v>2600</v>
      </c>
      <c r="J126" s="328">
        <v>21.14</v>
      </c>
      <c r="K126" s="550">
        <v>31.34</v>
      </c>
      <c r="L126" s="550">
        <v>29.41</v>
      </c>
      <c r="M126" s="550">
        <v>24.46</v>
      </c>
      <c r="N126" s="550">
        <v>18.29</v>
      </c>
      <c r="O126" s="550">
        <v>17.649999999999999</v>
      </c>
      <c r="P126" s="550">
        <v>0</v>
      </c>
      <c r="Q126" s="550">
        <v>0</v>
      </c>
      <c r="R126" s="550">
        <v>0</v>
      </c>
      <c r="S126" s="550">
        <v>0</v>
      </c>
      <c r="T126" s="550">
        <v>0</v>
      </c>
      <c r="U126" s="550">
        <v>0</v>
      </c>
      <c r="V126" s="550">
        <v>0</v>
      </c>
      <c r="W126" s="550">
        <v>0</v>
      </c>
      <c r="X126" s="550">
        <v>0</v>
      </c>
      <c r="Y126" s="550">
        <v>0</v>
      </c>
      <c r="Z126" s="550">
        <v>0</v>
      </c>
      <c r="AA126" s="550">
        <v>0</v>
      </c>
      <c r="AB126" s="550">
        <v>0</v>
      </c>
      <c r="AC126" s="550">
        <v>0</v>
      </c>
      <c r="AD126" s="550">
        <v>0</v>
      </c>
      <c r="AE126" s="550">
        <v>0</v>
      </c>
      <c r="AF126" s="550">
        <v>0</v>
      </c>
      <c r="AG126" s="550">
        <v>0</v>
      </c>
      <c r="AH126" s="550">
        <v>0</v>
      </c>
      <c r="AI126" s="550">
        <v>0</v>
      </c>
      <c r="AJ126" s="550">
        <v>0</v>
      </c>
      <c r="AK126" s="550">
        <v>0</v>
      </c>
      <c r="AL126" s="550">
        <v>0</v>
      </c>
      <c r="AM126" s="173" t="str">
        <f t="shared" si="10"/>
        <v>SUBS - UK</v>
      </c>
      <c r="AN126" s="173" t="s">
        <v>543</v>
      </c>
      <c r="AO126" s="5"/>
      <c r="AS126" s="486"/>
      <c r="AT126" s="55"/>
      <c r="AU126" s="341"/>
      <c r="AV126" s="406"/>
      <c r="AW126" s="406"/>
      <c r="AX126" s="538"/>
    </row>
    <row r="127" spans="1:50">
      <c r="A127" s="5"/>
      <c r="B127" s="44" t="s">
        <v>3369</v>
      </c>
      <c r="C127" s="44" t="s">
        <v>1281</v>
      </c>
      <c r="D127" s="44" t="s">
        <v>71</v>
      </c>
      <c r="E127" s="44" t="s">
        <v>1927</v>
      </c>
      <c r="F127" s="44" t="s">
        <v>2960</v>
      </c>
      <c r="G127" s="44" t="s">
        <v>1929</v>
      </c>
      <c r="H127" s="44" t="s">
        <v>116</v>
      </c>
      <c r="I127" s="44" t="s">
        <v>2600</v>
      </c>
      <c r="J127" s="328">
        <v>18.2</v>
      </c>
      <c r="K127" s="550">
        <v>43</v>
      </c>
      <c r="L127" s="550">
        <v>36.89</v>
      </c>
      <c r="M127" s="550">
        <v>24.8</v>
      </c>
      <c r="N127" s="550">
        <v>26.77</v>
      </c>
      <c r="O127" s="550">
        <v>12.92</v>
      </c>
      <c r="P127" s="550">
        <v>0</v>
      </c>
      <c r="Q127" s="550">
        <v>0</v>
      </c>
      <c r="R127" s="550">
        <v>0</v>
      </c>
      <c r="S127" s="550">
        <v>0</v>
      </c>
      <c r="T127" s="550">
        <v>0</v>
      </c>
      <c r="U127" s="550">
        <v>0</v>
      </c>
      <c r="V127" s="550">
        <v>0</v>
      </c>
      <c r="W127" s="550">
        <v>0</v>
      </c>
      <c r="X127" s="550">
        <v>0</v>
      </c>
      <c r="Y127" s="550">
        <v>0</v>
      </c>
      <c r="Z127" s="550">
        <v>0</v>
      </c>
      <c r="AA127" s="550">
        <v>0</v>
      </c>
      <c r="AB127" s="550">
        <v>0</v>
      </c>
      <c r="AC127" s="550">
        <v>0</v>
      </c>
      <c r="AD127" s="550">
        <v>0</v>
      </c>
      <c r="AE127" s="550">
        <v>0</v>
      </c>
      <c r="AF127" s="550">
        <v>0</v>
      </c>
      <c r="AG127" s="550">
        <v>0</v>
      </c>
      <c r="AH127" s="550">
        <v>0</v>
      </c>
      <c r="AI127" s="550">
        <v>0</v>
      </c>
      <c r="AJ127" s="550">
        <v>0</v>
      </c>
      <c r="AK127" s="550">
        <v>0</v>
      </c>
      <c r="AL127" s="550">
        <v>0</v>
      </c>
      <c r="AM127" s="173" t="str">
        <f t="shared" si="10"/>
        <v>SUBS - UK</v>
      </c>
      <c r="AN127" s="173" t="s">
        <v>543</v>
      </c>
      <c r="AO127" s="5"/>
      <c r="AS127" s="486"/>
      <c r="AT127" s="55"/>
      <c r="AU127" s="341"/>
      <c r="AV127" s="406"/>
      <c r="AW127" s="406"/>
      <c r="AX127" s="538"/>
    </row>
    <row r="128" spans="1:50">
      <c r="A128" s="5"/>
      <c r="B128" s="44" t="s">
        <v>3369</v>
      </c>
      <c r="C128" s="44" t="s">
        <v>1281</v>
      </c>
      <c r="D128" s="44" t="s">
        <v>72</v>
      </c>
      <c r="E128" s="44" t="s">
        <v>1927</v>
      </c>
      <c r="F128" s="44" t="s">
        <v>2973</v>
      </c>
      <c r="G128" s="44" t="s">
        <v>3374</v>
      </c>
      <c r="H128" s="44" t="s">
        <v>116</v>
      </c>
      <c r="I128" s="44" t="s">
        <v>2971</v>
      </c>
      <c r="J128" s="328">
        <v>72</v>
      </c>
      <c r="K128" s="550">
        <v>15.12</v>
      </c>
      <c r="L128" s="550">
        <v>25.39</v>
      </c>
      <c r="M128" s="550">
        <v>18.09</v>
      </c>
      <c r="N128" s="550">
        <v>20.71</v>
      </c>
      <c r="O128" s="550">
        <v>20.05</v>
      </c>
      <c r="P128" s="550">
        <v>16.239999999999998</v>
      </c>
      <c r="Q128" s="550">
        <v>17.04</v>
      </c>
      <c r="R128" s="550">
        <v>18.66</v>
      </c>
      <c r="S128" s="550">
        <v>22.72</v>
      </c>
      <c r="T128" s="550">
        <v>8.19</v>
      </c>
      <c r="U128" s="550">
        <v>9.7799999999999994</v>
      </c>
      <c r="V128" s="550">
        <v>6.32</v>
      </c>
      <c r="W128" s="550">
        <v>8.9600000000000009</v>
      </c>
      <c r="X128" s="550">
        <v>16.27</v>
      </c>
      <c r="Y128" s="550">
        <v>12.31</v>
      </c>
      <c r="Z128" s="550">
        <v>12.24</v>
      </c>
      <c r="AA128" s="550">
        <v>11.02</v>
      </c>
      <c r="AB128" s="550">
        <v>9.86</v>
      </c>
      <c r="AC128" s="550">
        <v>8.93</v>
      </c>
      <c r="AD128" s="550">
        <v>7.59</v>
      </c>
      <c r="AE128" s="550">
        <v>6.45</v>
      </c>
      <c r="AF128" s="550">
        <v>5.48</v>
      </c>
      <c r="AG128" s="550">
        <v>0</v>
      </c>
      <c r="AH128" s="550">
        <v>0</v>
      </c>
      <c r="AI128" s="550">
        <v>0</v>
      </c>
      <c r="AJ128" s="550">
        <v>0</v>
      </c>
      <c r="AK128" s="550">
        <v>0</v>
      </c>
      <c r="AL128" s="550">
        <v>0</v>
      </c>
      <c r="AM128" s="173" t="str">
        <f t="shared" si="10"/>
        <v>SUBS - UK</v>
      </c>
      <c r="AN128" s="173" t="s">
        <v>543</v>
      </c>
      <c r="AO128" s="5"/>
      <c r="AS128" s="486"/>
      <c r="AT128" s="55"/>
      <c r="AU128" s="341"/>
      <c r="AV128" s="406"/>
      <c r="AW128" s="406"/>
      <c r="AX128" s="538"/>
    </row>
    <row r="129" spans="1:50">
      <c r="A129" s="5"/>
      <c r="B129" s="44" t="s">
        <v>3369</v>
      </c>
      <c r="C129" s="44" t="s">
        <v>1281</v>
      </c>
      <c r="D129" s="44" t="s">
        <v>74</v>
      </c>
      <c r="E129" s="44" t="s">
        <v>1927</v>
      </c>
      <c r="F129" s="44" t="s">
        <v>2960</v>
      </c>
      <c r="G129" s="44" t="s">
        <v>1929</v>
      </c>
      <c r="H129" s="44" t="s">
        <v>116</v>
      </c>
      <c r="I129" s="44" t="s">
        <v>2600</v>
      </c>
      <c r="J129" s="328">
        <v>18.2</v>
      </c>
      <c r="K129" s="550">
        <v>2.65</v>
      </c>
      <c r="L129" s="550">
        <v>1.97</v>
      </c>
      <c r="M129" s="550">
        <v>1.31</v>
      </c>
      <c r="N129" s="550">
        <v>1.33</v>
      </c>
      <c r="O129" s="550">
        <v>0.16</v>
      </c>
      <c r="P129" s="550">
        <v>0</v>
      </c>
      <c r="Q129" s="550">
        <v>0</v>
      </c>
      <c r="R129" s="550">
        <v>0</v>
      </c>
      <c r="S129" s="550">
        <v>0</v>
      </c>
      <c r="T129" s="550">
        <v>0</v>
      </c>
      <c r="U129" s="550">
        <v>0</v>
      </c>
      <c r="V129" s="550">
        <v>0</v>
      </c>
      <c r="W129" s="550">
        <v>0</v>
      </c>
      <c r="X129" s="550">
        <v>0</v>
      </c>
      <c r="Y129" s="550">
        <v>0</v>
      </c>
      <c r="Z129" s="550">
        <v>0</v>
      </c>
      <c r="AA129" s="550">
        <v>0</v>
      </c>
      <c r="AB129" s="550">
        <v>0</v>
      </c>
      <c r="AC129" s="550">
        <v>0</v>
      </c>
      <c r="AD129" s="550">
        <v>0</v>
      </c>
      <c r="AE129" s="550">
        <v>0</v>
      </c>
      <c r="AF129" s="550">
        <v>0</v>
      </c>
      <c r="AG129" s="550">
        <v>0</v>
      </c>
      <c r="AH129" s="550">
        <v>0</v>
      </c>
      <c r="AI129" s="550">
        <v>0</v>
      </c>
      <c r="AJ129" s="550">
        <v>0</v>
      </c>
      <c r="AK129" s="550">
        <v>0</v>
      </c>
      <c r="AL129" s="550">
        <v>0</v>
      </c>
      <c r="AM129" s="173" t="str">
        <f t="shared" si="10"/>
        <v>SUBS - UK</v>
      </c>
      <c r="AN129" s="173" t="s">
        <v>543</v>
      </c>
      <c r="AO129" s="5"/>
      <c r="AS129" s="486"/>
      <c r="AT129" s="55"/>
      <c r="AU129" s="341"/>
      <c r="AV129" s="406"/>
      <c r="AW129" s="406"/>
      <c r="AX129" s="538"/>
    </row>
    <row r="130" spans="1:50">
      <c r="A130" s="5"/>
      <c r="B130" s="44" t="s">
        <v>3369</v>
      </c>
      <c r="C130" s="44" t="s">
        <v>1281</v>
      </c>
      <c r="D130" s="44" t="s">
        <v>3560</v>
      </c>
      <c r="E130" s="44" t="s">
        <v>1927</v>
      </c>
      <c r="F130" s="44" t="s">
        <v>2960</v>
      </c>
      <c r="G130" s="44" t="s">
        <v>1932</v>
      </c>
      <c r="H130" s="44" t="s">
        <v>116</v>
      </c>
      <c r="I130" s="44" t="s">
        <v>2571</v>
      </c>
      <c r="J130" s="328">
        <v>34.832999999999998</v>
      </c>
      <c r="K130" s="550">
        <v>1.74</v>
      </c>
      <c r="L130" s="550">
        <v>1.01</v>
      </c>
      <c r="M130" s="550">
        <v>1.48</v>
      </c>
      <c r="N130" s="550">
        <v>1.45</v>
      </c>
      <c r="O130" s="550">
        <v>1.92</v>
      </c>
      <c r="P130" s="550">
        <v>1.81</v>
      </c>
      <c r="Q130" s="550">
        <v>1.1399999999999999</v>
      </c>
      <c r="R130" s="550">
        <v>1.58</v>
      </c>
      <c r="S130" s="550">
        <v>1.1499999999999999</v>
      </c>
      <c r="T130" s="550">
        <v>0.56000000000000005</v>
      </c>
      <c r="U130" s="550">
        <v>0.25</v>
      </c>
      <c r="V130" s="550">
        <v>0.31</v>
      </c>
      <c r="W130" s="550">
        <v>0.45</v>
      </c>
      <c r="X130" s="550">
        <v>0.94</v>
      </c>
      <c r="Y130" s="550">
        <v>0.89</v>
      </c>
      <c r="Z130" s="550">
        <v>0</v>
      </c>
      <c r="AA130" s="550">
        <v>0</v>
      </c>
      <c r="AB130" s="550">
        <v>0</v>
      </c>
      <c r="AC130" s="550">
        <v>0</v>
      </c>
      <c r="AD130" s="550">
        <v>0</v>
      </c>
      <c r="AE130" s="550">
        <v>0</v>
      </c>
      <c r="AF130" s="550">
        <v>0</v>
      </c>
      <c r="AG130" s="550">
        <v>0</v>
      </c>
      <c r="AH130" s="550">
        <v>0</v>
      </c>
      <c r="AI130" s="550">
        <v>0</v>
      </c>
      <c r="AJ130" s="550">
        <v>0</v>
      </c>
      <c r="AK130" s="550">
        <v>0</v>
      </c>
      <c r="AL130" s="550">
        <v>0</v>
      </c>
      <c r="AM130" s="173" t="str">
        <f t="shared" si="10"/>
        <v>SUBS - UK</v>
      </c>
      <c r="AN130" s="173" t="s">
        <v>543</v>
      </c>
      <c r="AO130" s="5"/>
      <c r="AS130" s="486"/>
      <c r="AT130" s="55"/>
      <c r="AU130" s="341"/>
      <c r="AV130" s="406"/>
      <c r="AW130" s="406"/>
      <c r="AX130" s="538"/>
    </row>
    <row r="131" spans="1:50">
      <c r="A131" s="5"/>
      <c r="B131" s="44" t="s">
        <v>3369</v>
      </c>
      <c r="C131" s="44" t="s">
        <v>1281</v>
      </c>
      <c r="D131" s="44" t="s">
        <v>1182</v>
      </c>
      <c r="E131" s="44" t="s">
        <v>1927</v>
      </c>
      <c r="F131" s="44" t="s">
        <v>2960</v>
      </c>
      <c r="G131" s="44" t="s">
        <v>1932</v>
      </c>
      <c r="H131" s="44" t="s">
        <v>116</v>
      </c>
      <c r="I131" s="44" t="s">
        <v>2571</v>
      </c>
      <c r="J131" s="328">
        <v>77.063299999999998</v>
      </c>
      <c r="K131" s="550">
        <v>0</v>
      </c>
      <c r="L131" s="550">
        <v>0</v>
      </c>
      <c r="M131" s="550">
        <v>0</v>
      </c>
      <c r="N131" s="550">
        <v>0</v>
      </c>
      <c r="O131" s="550">
        <v>0</v>
      </c>
      <c r="P131" s="550">
        <v>0</v>
      </c>
      <c r="Q131" s="550">
        <v>0</v>
      </c>
      <c r="R131" s="550">
        <v>0</v>
      </c>
      <c r="S131" s="550">
        <v>0</v>
      </c>
      <c r="T131" s="550">
        <v>0</v>
      </c>
      <c r="U131" s="550">
        <v>0</v>
      </c>
      <c r="V131" s="550">
        <v>0.02</v>
      </c>
      <c r="W131" s="550">
        <v>9.32</v>
      </c>
      <c r="X131" s="550">
        <v>6.9</v>
      </c>
      <c r="Y131" s="550">
        <v>6.69</v>
      </c>
      <c r="Z131" s="550">
        <v>3.85</v>
      </c>
      <c r="AA131" s="550">
        <v>2.31</v>
      </c>
      <c r="AB131" s="550">
        <v>0.77</v>
      </c>
      <c r="AC131" s="550">
        <v>0.39</v>
      </c>
      <c r="AD131" s="550">
        <v>0.23</v>
      </c>
      <c r="AE131" s="550">
        <v>0</v>
      </c>
      <c r="AF131" s="550">
        <v>0</v>
      </c>
      <c r="AG131" s="550">
        <v>0</v>
      </c>
      <c r="AH131" s="550">
        <v>0</v>
      </c>
      <c r="AI131" s="550">
        <v>0</v>
      </c>
      <c r="AJ131" s="550">
        <v>0</v>
      </c>
      <c r="AK131" s="550">
        <v>0</v>
      </c>
      <c r="AL131" s="550">
        <v>0</v>
      </c>
      <c r="AM131" s="173" t="str">
        <f>AN131&amp;" - "&amp;C131</f>
        <v>SUBS - UK</v>
      </c>
      <c r="AN131" s="173" t="s">
        <v>543</v>
      </c>
      <c r="AO131" s="5"/>
      <c r="AS131" s="486"/>
      <c r="AT131" s="55"/>
      <c r="AU131" s="341"/>
      <c r="AV131" s="406"/>
      <c r="AW131" s="406"/>
      <c r="AX131" s="538"/>
    </row>
    <row r="132" spans="1:50">
      <c r="A132" s="5"/>
      <c r="B132" s="44" t="s">
        <v>3369</v>
      </c>
      <c r="C132" s="44" t="s">
        <v>1281</v>
      </c>
      <c r="D132" s="44" t="s">
        <v>2168</v>
      </c>
      <c r="E132" s="44" t="s">
        <v>2254</v>
      </c>
      <c r="F132" s="44" t="s">
        <v>2960</v>
      </c>
      <c r="G132" s="44" t="s">
        <v>1930</v>
      </c>
      <c r="H132" s="44" t="s">
        <v>116</v>
      </c>
      <c r="I132" s="44" t="s">
        <v>2571</v>
      </c>
      <c r="J132" s="328">
        <v>50</v>
      </c>
      <c r="K132" s="550">
        <v>2.74</v>
      </c>
      <c r="L132" s="550">
        <v>2.2999999999999998</v>
      </c>
      <c r="M132" s="550">
        <v>1.86</v>
      </c>
      <c r="N132" s="550">
        <v>0.99</v>
      </c>
      <c r="O132" s="550">
        <v>0.85</v>
      </c>
      <c r="P132" s="550">
        <v>1.86</v>
      </c>
      <c r="Q132" s="550">
        <v>0.73</v>
      </c>
      <c r="R132" s="550">
        <v>0</v>
      </c>
      <c r="S132" s="550">
        <v>0</v>
      </c>
      <c r="T132" s="550">
        <v>0</v>
      </c>
      <c r="U132" s="550">
        <v>0</v>
      </c>
      <c r="V132" s="550">
        <v>0</v>
      </c>
      <c r="W132" s="550">
        <v>0</v>
      </c>
      <c r="X132" s="550">
        <v>0</v>
      </c>
      <c r="Y132" s="550">
        <v>0</v>
      </c>
      <c r="Z132" s="550">
        <v>0</v>
      </c>
      <c r="AA132" s="550">
        <v>0</v>
      </c>
      <c r="AB132" s="550">
        <v>0</v>
      </c>
      <c r="AC132" s="550">
        <v>0</v>
      </c>
      <c r="AD132" s="550">
        <v>0</v>
      </c>
      <c r="AE132" s="550">
        <v>0</v>
      </c>
      <c r="AF132" s="550">
        <v>0</v>
      </c>
      <c r="AG132" s="550">
        <v>0</v>
      </c>
      <c r="AH132" s="550">
        <v>0</v>
      </c>
      <c r="AI132" s="550">
        <v>0</v>
      </c>
      <c r="AJ132" s="550">
        <v>0</v>
      </c>
      <c r="AK132" s="550">
        <v>0</v>
      </c>
      <c r="AL132" s="550">
        <v>0</v>
      </c>
      <c r="AM132" s="173" t="str">
        <f t="shared" si="10"/>
        <v>SUBS - UK</v>
      </c>
      <c r="AN132" s="173" t="s">
        <v>543</v>
      </c>
      <c r="AO132" s="5"/>
      <c r="AS132" s="486"/>
      <c r="AT132" s="55"/>
      <c r="AU132" s="341"/>
      <c r="AV132" s="406"/>
      <c r="AW132" s="406"/>
      <c r="AX132" s="538"/>
    </row>
    <row r="133" spans="1:50">
      <c r="A133" s="5"/>
      <c r="B133" s="44" t="s">
        <v>3369</v>
      </c>
      <c r="C133" s="44" t="s">
        <v>1281</v>
      </c>
      <c r="D133" s="44" t="s">
        <v>1183</v>
      </c>
      <c r="E133" s="44" t="s">
        <v>1927</v>
      </c>
      <c r="F133" s="44" t="s">
        <v>2960</v>
      </c>
      <c r="G133" s="44" t="s">
        <v>1931</v>
      </c>
      <c r="H133" s="44" t="s">
        <v>116</v>
      </c>
      <c r="I133" s="44" t="s">
        <v>2600</v>
      </c>
      <c r="J133" s="328">
        <v>22.22</v>
      </c>
      <c r="K133" s="550">
        <v>35.590000000000003</v>
      </c>
      <c r="L133" s="550">
        <v>37.479999999999997</v>
      </c>
      <c r="M133" s="550">
        <v>32.549999999999997</v>
      </c>
      <c r="N133" s="550">
        <v>34</v>
      </c>
      <c r="O133" s="550">
        <v>21.96</v>
      </c>
      <c r="P133" s="550">
        <v>0</v>
      </c>
      <c r="Q133" s="550">
        <v>0</v>
      </c>
      <c r="R133" s="550">
        <v>0</v>
      </c>
      <c r="S133" s="550">
        <v>0</v>
      </c>
      <c r="T133" s="550">
        <v>0</v>
      </c>
      <c r="U133" s="550">
        <v>0</v>
      </c>
      <c r="V133" s="550">
        <v>0</v>
      </c>
      <c r="W133" s="550">
        <v>0</v>
      </c>
      <c r="X133" s="550">
        <v>0</v>
      </c>
      <c r="Y133" s="550">
        <v>0</v>
      </c>
      <c r="Z133" s="550">
        <v>0</v>
      </c>
      <c r="AA133" s="550">
        <v>0</v>
      </c>
      <c r="AB133" s="550">
        <v>0</v>
      </c>
      <c r="AC133" s="550">
        <v>0</v>
      </c>
      <c r="AD133" s="550">
        <v>0</v>
      </c>
      <c r="AE133" s="550">
        <v>0</v>
      </c>
      <c r="AF133" s="550">
        <v>0</v>
      </c>
      <c r="AG133" s="550">
        <v>0</v>
      </c>
      <c r="AH133" s="550">
        <v>0</v>
      </c>
      <c r="AI133" s="550">
        <v>0</v>
      </c>
      <c r="AJ133" s="550">
        <v>0</v>
      </c>
      <c r="AK133" s="550">
        <v>0</v>
      </c>
      <c r="AL133" s="550">
        <v>0</v>
      </c>
      <c r="AM133" s="173" t="str">
        <f t="shared" si="10"/>
        <v>SUBS - UK</v>
      </c>
      <c r="AN133" s="173" t="s">
        <v>543</v>
      </c>
      <c r="AO133" s="5"/>
      <c r="AS133" s="486"/>
      <c r="AT133" s="55"/>
      <c r="AU133" s="341"/>
      <c r="AV133" s="406"/>
      <c r="AW133" s="406"/>
      <c r="AX133" s="538"/>
    </row>
    <row r="134" spans="1:50">
      <c r="A134" s="5"/>
      <c r="B134" s="44" t="s">
        <v>3369</v>
      </c>
      <c r="C134" s="44" t="s">
        <v>1281</v>
      </c>
      <c r="D134" s="44" t="s">
        <v>1184</v>
      </c>
      <c r="E134" s="44" t="s">
        <v>1927</v>
      </c>
      <c r="F134" s="44" t="s">
        <v>2973</v>
      </c>
      <c r="G134" s="44" t="s">
        <v>3374</v>
      </c>
      <c r="H134" s="44" t="s">
        <v>116</v>
      </c>
      <c r="I134" s="44" t="s">
        <v>2571</v>
      </c>
      <c r="J134" s="328">
        <v>50</v>
      </c>
      <c r="K134" s="550">
        <v>3</v>
      </c>
      <c r="L134" s="550">
        <v>1.88</v>
      </c>
      <c r="M134" s="550">
        <v>1.2</v>
      </c>
      <c r="N134" s="550">
        <v>1.27</v>
      </c>
      <c r="O134" s="550">
        <v>1.27</v>
      </c>
      <c r="P134" s="550">
        <v>0.71</v>
      </c>
      <c r="Q134" s="550">
        <v>0.28999999999999998</v>
      </c>
      <c r="R134" s="550">
        <v>0.25</v>
      </c>
      <c r="S134" s="550">
        <v>0.01</v>
      </c>
      <c r="T134" s="550">
        <v>0.99</v>
      </c>
      <c r="U134" s="550">
        <v>0</v>
      </c>
      <c r="V134" s="550">
        <v>0</v>
      </c>
      <c r="W134" s="550">
        <v>0</v>
      </c>
      <c r="X134" s="550">
        <v>0</v>
      </c>
      <c r="Y134" s="550">
        <v>0</v>
      </c>
      <c r="Z134" s="550">
        <v>3.59</v>
      </c>
      <c r="AA134" s="550">
        <v>4.59</v>
      </c>
      <c r="AB134" s="550">
        <v>3.59</v>
      </c>
      <c r="AC134" s="550">
        <v>3.09</v>
      </c>
      <c r="AD134" s="550">
        <v>2.64</v>
      </c>
      <c r="AE134" s="550">
        <v>2.23</v>
      </c>
      <c r="AF134" s="550">
        <v>1.87</v>
      </c>
      <c r="AG134" s="550">
        <v>1.54</v>
      </c>
      <c r="AH134" s="550">
        <v>1.24</v>
      </c>
      <c r="AI134" s="550">
        <v>0.98</v>
      </c>
      <c r="AJ134" s="550">
        <v>0</v>
      </c>
      <c r="AK134" s="550">
        <v>0</v>
      </c>
      <c r="AL134" s="550">
        <v>0</v>
      </c>
      <c r="AM134" s="173" t="str">
        <f t="shared" si="10"/>
        <v>SUBS - UK</v>
      </c>
      <c r="AN134" s="173" t="s">
        <v>543</v>
      </c>
      <c r="AO134" s="5"/>
      <c r="AS134" s="486"/>
      <c r="AT134" s="55"/>
      <c r="AU134" s="341"/>
      <c r="AV134" s="406"/>
      <c r="AW134" s="406"/>
      <c r="AX134" s="538"/>
    </row>
    <row r="135" spans="1:50">
      <c r="A135" s="5"/>
      <c r="B135" s="44" t="s">
        <v>3369</v>
      </c>
      <c r="C135" s="44" t="s">
        <v>1281</v>
      </c>
      <c r="D135" s="44" t="s">
        <v>1185</v>
      </c>
      <c r="E135" s="44" t="s">
        <v>1927</v>
      </c>
      <c r="F135" s="44" t="s">
        <v>2960</v>
      </c>
      <c r="G135" s="44" t="s">
        <v>1932</v>
      </c>
      <c r="H135" s="44" t="s">
        <v>116</v>
      </c>
      <c r="I135" s="44" t="s">
        <v>2571</v>
      </c>
      <c r="J135" s="328">
        <v>100</v>
      </c>
      <c r="K135" s="550">
        <v>9.7100000000000009</v>
      </c>
      <c r="L135" s="550">
        <v>10.09</v>
      </c>
      <c r="M135" s="550">
        <v>6.53</v>
      </c>
      <c r="N135" s="550">
        <v>9.8000000000000007</v>
      </c>
      <c r="O135" s="550">
        <v>5.28</v>
      </c>
      <c r="P135" s="550">
        <v>3.5</v>
      </c>
      <c r="Q135" s="550">
        <v>4.8600000000000003</v>
      </c>
      <c r="R135" s="550">
        <v>4.8600000000000003</v>
      </c>
      <c r="S135" s="550">
        <v>5.58</v>
      </c>
      <c r="T135" s="550">
        <v>3.6</v>
      </c>
      <c r="U135" s="550">
        <v>7.36</v>
      </c>
      <c r="V135" s="550">
        <v>14.26</v>
      </c>
      <c r="W135" s="550">
        <v>13.2</v>
      </c>
      <c r="X135" s="550">
        <v>9.1199999999999992</v>
      </c>
      <c r="Y135" s="550">
        <v>10.36</v>
      </c>
      <c r="Z135" s="550">
        <v>35</v>
      </c>
      <c r="AA135" s="550">
        <v>55</v>
      </c>
      <c r="AB135" s="550">
        <v>48</v>
      </c>
      <c r="AC135" s="550">
        <v>38</v>
      </c>
      <c r="AD135" s="550">
        <v>31</v>
      </c>
      <c r="AE135" s="550">
        <v>25</v>
      </c>
      <c r="AF135" s="550">
        <v>20</v>
      </c>
      <c r="AG135" s="550">
        <v>16</v>
      </c>
      <c r="AH135" s="550">
        <v>13</v>
      </c>
      <c r="AI135" s="550">
        <v>10</v>
      </c>
      <c r="AJ135" s="550">
        <v>8</v>
      </c>
      <c r="AK135" s="550">
        <v>7</v>
      </c>
      <c r="AL135" s="550">
        <v>6</v>
      </c>
      <c r="AM135" s="173" t="str">
        <f t="shared" si="10"/>
        <v>SUBS - UK</v>
      </c>
      <c r="AN135" s="173" t="s">
        <v>543</v>
      </c>
      <c r="AO135" s="5"/>
      <c r="AS135" s="486"/>
      <c r="AT135" s="55"/>
      <c r="AU135" s="341"/>
      <c r="AV135" s="406"/>
      <c r="AW135" s="406"/>
      <c r="AX135" s="538"/>
    </row>
    <row r="136" spans="1:50">
      <c r="A136" s="5"/>
      <c r="B136" s="44" t="s">
        <v>3369</v>
      </c>
      <c r="C136" s="44" t="s">
        <v>1281</v>
      </c>
      <c r="D136" s="44" t="s">
        <v>1187</v>
      </c>
      <c r="E136" s="44" t="s">
        <v>1927</v>
      </c>
      <c r="F136" s="44" t="s">
        <v>2960</v>
      </c>
      <c r="G136" s="44" t="s">
        <v>1932</v>
      </c>
      <c r="H136" s="44" t="s">
        <v>116</v>
      </c>
      <c r="I136" s="44" t="s">
        <v>2571</v>
      </c>
      <c r="J136" s="328">
        <v>50</v>
      </c>
      <c r="K136" s="550">
        <v>7.36</v>
      </c>
      <c r="L136" s="550">
        <v>6.6</v>
      </c>
      <c r="M136" s="550">
        <v>5.2</v>
      </c>
      <c r="N136" s="550">
        <v>2.5299999999999998</v>
      </c>
      <c r="O136" s="550">
        <v>2.2599999999999998</v>
      </c>
      <c r="P136" s="550">
        <v>2.99</v>
      </c>
      <c r="Q136" s="550">
        <v>4.08</v>
      </c>
      <c r="R136" s="550">
        <v>0.94</v>
      </c>
      <c r="S136" s="550">
        <v>2.15</v>
      </c>
      <c r="T136" s="550">
        <v>0.13</v>
      </c>
      <c r="U136" s="550">
        <v>0.41</v>
      </c>
      <c r="V136" s="550">
        <v>1.55</v>
      </c>
      <c r="W136" s="550">
        <v>1.64</v>
      </c>
      <c r="X136" s="550">
        <v>2.29</v>
      </c>
      <c r="Y136" s="550">
        <v>2.31</v>
      </c>
      <c r="Z136" s="550">
        <v>2.35</v>
      </c>
      <c r="AA136" s="550">
        <v>2.1</v>
      </c>
      <c r="AB136" s="550">
        <v>1.8</v>
      </c>
      <c r="AC136" s="550">
        <v>1.55</v>
      </c>
      <c r="AD136" s="550">
        <v>1.3</v>
      </c>
      <c r="AE136" s="550">
        <v>1.1000000000000001</v>
      </c>
      <c r="AF136" s="550">
        <v>0.95</v>
      </c>
      <c r="AG136" s="550">
        <v>0.8</v>
      </c>
      <c r="AH136" s="550">
        <v>0.7</v>
      </c>
      <c r="AI136" s="550">
        <v>0.6</v>
      </c>
      <c r="AJ136" s="550">
        <v>0.5</v>
      </c>
      <c r="AK136" s="550">
        <v>0.45</v>
      </c>
      <c r="AL136" s="550">
        <v>0.4</v>
      </c>
      <c r="AM136" s="173" t="str">
        <f t="shared" si="10"/>
        <v>SUBS - UK</v>
      </c>
      <c r="AN136" s="173" t="s">
        <v>543</v>
      </c>
      <c r="AO136" s="5"/>
      <c r="AS136" s="486"/>
      <c r="AT136" s="55"/>
      <c r="AU136" s="341"/>
      <c r="AV136" s="406"/>
      <c r="AW136" s="406"/>
      <c r="AX136" s="538"/>
    </row>
    <row r="137" spans="1:50">
      <c r="A137" s="5"/>
      <c r="B137" s="44" t="s">
        <v>3369</v>
      </c>
      <c r="C137" s="44" t="s">
        <v>1281</v>
      </c>
      <c r="D137" s="44" t="s">
        <v>1188</v>
      </c>
      <c r="E137" s="44" t="s">
        <v>1927</v>
      </c>
      <c r="F137" s="44" t="s">
        <v>2960</v>
      </c>
      <c r="G137" s="44" t="s">
        <v>1932</v>
      </c>
      <c r="H137" s="44" t="s">
        <v>116</v>
      </c>
      <c r="I137" s="44" t="s">
        <v>2604</v>
      </c>
      <c r="J137" s="328">
        <v>75</v>
      </c>
      <c r="K137" s="550">
        <v>18.95</v>
      </c>
      <c r="L137" s="550">
        <v>23.53</v>
      </c>
      <c r="M137" s="550">
        <v>18.97</v>
      </c>
      <c r="N137" s="550">
        <v>20.39</v>
      </c>
      <c r="O137" s="550">
        <v>12.89</v>
      </c>
      <c r="P137" s="550">
        <v>16.670000000000002</v>
      </c>
      <c r="Q137" s="550">
        <v>20.45</v>
      </c>
      <c r="R137" s="550">
        <v>20.78</v>
      </c>
      <c r="S137" s="550">
        <v>30.56</v>
      </c>
      <c r="T137" s="550">
        <v>13.57</v>
      </c>
      <c r="U137" s="550">
        <v>5.05</v>
      </c>
      <c r="V137" s="550">
        <v>5.81</v>
      </c>
      <c r="W137" s="550">
        <v>7.99</v>
      </c>
      <c r="X137" s="550">
        <v>9.7899999999999991</v>
      </c>
      <c r="Y137" s="550">
        <v>7.5</v>
      </c>
      <c r="Z137" s="550">
        <v>7.5</v>
      </c>
      <c r="AA137" s="550">
        <v>7.5</v>
      </c>
      <c r="AB137" s="550">
        <v>7.5</v>
      </c>
      <c r="AC137" s="550">
        <v>8.25</v>
      </c>
      <c r="AD137" s="550">
        <v>9.75</v>
      </c>
      <c r="AE137" s="550">
        <v>9.75</v>
      </c>
      <c r="AF137" s="550">
        <v>9.75</v>
      </c>
      <c r="AG137" s="550">
        <v>9.75</v>
      </c>
      <c r="AH137" s="550">
        <v>0</v>
      </c>
      <c r="AI137" s="550">
        <v>0</v>
      </c>
      <c r="AJ137" s="550">
        <v>0</v>
      </c>
      <c r="AK137" s="550">
        <v>0</v>
      </c>
      <c r="AL137" s="550">
        <v>0</v>
      </c>
      <c r="AM137" s="173" t="str">
        <f t="shared" si="10"/>
        <v>SUBS - UK</v>
      </c>
      <c r="AN137" s="173" t="s">
        <v>543</v>
      </c>
      <c r="AO137" s="5"/>
      <c r="AS137" s="486"/>
      <c r="AT137" s="55"/>
      <c r="AU137" s="341"/>
      <c r="AV137" s="406"/>
      <c r="AW137" s="406"/>
      <c r="AX137" s="538"/>
    </row>
    <row r="138" spans="1:50">
      <c r="A138" s="5"/>
      <c r="B138" s="44" t="s">
        <v>3369</v>
      </c>
      <c r="C138" s="44" t="s">
        <v>1281</v>
      </c>
      <c r="D138" s="44" t="s">
        <v>1189</v>
      </c>
      <c r="E138" s="44" t="s">
        <v>1927</v>
      </c>
      <c r="F138" s="44" t="s">
        <v>2960</v>
      </c>
      <c r="G138" s="44" t="s">
        <v>1929</v>
      </c>
      <c r="H138" s="44" t="s">
        <v>116</v>
      </c>
      <c r="I138" s="44" t="s">
        <v>2600</v>
      </c>
      <c r="J138" s="328">
        <v>70</v>
      </c>
      <c r="K138" s="550">
        <v>88.95</v>
      </c>
      <c r="L138" s="550">
        <v>61.78</v>
      </c>
      <c r="M138" s="550">
        <v>44.66</v>
      </c>
      <c r="N138" s="550">
        <v>37.99</v>
      </c>
      <c r="O138" s="550">
        <v>22.29</v>
      </c>
      <c r="P138" s="550">
        <v>20.350000000000001</v>
      </c>
      <c r="Q138" s="550">
        <v>17.809999999999999</v>
      </c>
      <c r="R138" s="550">
        <v>12.98</v>
      </c>
      <c r="S138" s="550">
        <v>13.08</v>
      </c>
      <c r="T138" s="550">
        <v>8.39</v>
      </c>
      <c r="U138" s="550">
        <v>5.99</v>
      </c>
      <c r="V138" s="550">
        <v>2.88</v>
      </c>
      <c r="W138" s="550">
        <v>9.64</v>
      </c>
      <c r="X138" s="550">
        <v>9.9499999999999993</v>
      </c>
      <c r="Y138" s="550">
        <v>9.01</v>
      </c>
      <c r="Z138" s="550">
        <v>10.85</v>
      </c>
      <c r="AA138" s="550">
        <v>9.66</v>
      </c>
      <c r="AB138" s="550">
        <v>8.68</v>
      </c>
      <c r="AC138" s="550">
        <v>7.84</v>
      </c>
      <c r="AD138" s="550">
        <v>7.35</v>
      </c>
      <c r="AE138" s="550">
        <v>6.58</v>
      </c>
      <c r="AF138" s="550">
        <v>5.88</v>
      </c>
      <c r="AG138" s="550">
        <v>5.39</v>
      </c>
      <c r="AH138" s="550">
        <v>5.25</v>
      </c>
      <c r="AI138" s="550">
        <v>5.1100000000000003</v>
      </c>
      <c r="AJ138" s="550">
        <v>5.1100000000000003</v>
      </c>
      <c r="AK138" s="550">
        <v>5.1100000000000003</v>
      </c>
      <c r="AL138" s="550">
        <v>5.1100000000000003</v>
      </c>
      <c r="AM138" s="173" t="str">
        <f t="shared" ref="AM138:AM157" si="13">AN138&amp;" - "&amp;C138</f>
        <v>SUBS - UK</v>
      </c>
      <c r="AN138" s="173" t="s">
        <v>543</v>
      </c>
      <c r="AO138" s="5"/>
      <c r="AS138" s="486"/>
      <c r="AT138" s="55"/>
      <c r="AU138" s="341"/>
      <c r="AV138" s="406"/>
      <c r="AW138" s="406"/>
      <c r="AX138" s="538"/>
    </row>
    <row r="139" spans="1:50">
      <c r="A139" s="5"/>
      <c r="B139" s="44" t="s">
        <v>3369</v>
      </c>
      <c r="C139" s="44" t="s">
        <v>1281</v>
      </c>
      <c r="D139" s="44" t="s">
        <v>1190</v>
      </c>
      <c r="E139" s="44" t="s">
        <v>1927</v>
      </c>
      <c r="F139" s="44" t="s">
        <v>2960</v>
      </c>
      <c r="G139" s="44" t="s">
        <v>1931</v>
      </c>
      <c r="H139" s="44" t="s">
        <v>116</v>
      </c>
      <c r="I139" s="44" t="s">
        <v>2571</v>
      </c>
      <c r="J139" s="328">
        <v>73.33</v>
      </c>
      <c r="K139" s="550">
        <v>0</v>
      </c>
      <c r="L139" s="550">
        <v>0</v>
      </c>
      <c r="M139" s="550">
        <v>0</v>
      </c>
      <c r="N139" s="550">
        <v>0</v>
      </c>
      <c r="O139" s="550">
        <v>0</v>
      </c>
      <c r="P139" s="550">
        <v>9.98</v>
      </c>
      <c r="Q139" s="550">
        <v>4.92</v>
      </c>
      <c r="R139" s="550">
        <v>0.78</v>
      </c>
      <c r="S139" s="550">
        <v>0</v>
      </c>
      <c r="T139" s="550">
        <v>0</v>
      </c>
      <c r="U139" s="550">
        <v>0</v>
      </c>
      <c r="V139" s="550">
        <v>0</v>
      </c>
      <c r="W139" s="550">
        <v>0</v>
      </c>
      <c r="X139" s="550">
        <v>0</v>
      </c>
      <c r="Y139" s="550">
        <v>0</v>
      </c>
      <c r="Z139" s="550">
        <v>0</v>
      </c>
      <c r="AA139" s="550">
        <v>0</v>
      </c>
      <c r="AB139" s="550">
        <v>0</v>
      </c>
      <c r="AC139" s="550">
        <v>0</v>
      </c>
      <c r="AD139" s="550">
        <v>0</v>
      </c>
      <c r="AE139" s="550">
        <v>0</v>
      </c>
      <c r="AF139" s="550">
        <v>0</v>
      </c>
      <c r="AG139" s="550">
        <v>0</v>
      </c>
      <c r="AH139" s="550">
        <v>0</v>
      </c>
      <c r="AI139" s="550">
        <v>0</v>
      </c>
      <c r="AJ139" s="550">
        <v>0</v>
      </c>
      <c r="AK139" s="550">
        <v>0</v>
      </c>
      <c r="AL139" s="550">
        <v>0</v>
      </c>
      <c r="AM139" s="173" t="str">
        <f t="shared" si="13"/>
        <v>SUBS - UK</v>
      </c>
      <c r="AN139" s="173" t="s">
        <v>543</v>
      </c>
      <c r="AO139" s="5"/>
      <c r="AS139" s="486"/>
      <c r="AT139" s="55"/>
      <c r="AU139" s="341"/>
      <c r="AV139" s="406"/>
      <c r="AW139" s="406"/>
      <c r="AX139" s="538"/>
    </row>
    <row r="140" spans="1:50">
      <c r="A140" s="5"/>
      <c r="B140" s="44" t="s">
        <v>3369</v>
      </c>
      <c r="C140" s="44" t="s">
        <v>1281</v>
      </c>
      <c r="D140" s="44" t="s">
        <v>1191</v>
      </c>
      <c r="E140" s="44" t="s">
        <v>2254</v>
      </c>
      <c r="F140" s="44" t="s">
        <v>2960</v>
      </c>
      <c r="G140" s="44" t="s">
        <v>3374</v>
      </c>
      <c r="H140" s="44" t="s">
        <v>116</v>
      </c>
      <c r="I140" s="44" t="s">
        <v>2600</v>
      </c>
      <c r="J140" s="328">
        <v>52</v>
      </c>
      <c r="K140" s="550">
        <v>4.12</v>
      </c>
      <c r="L140" s="550">
        <v>9.1199999999999992</v>
      </c>
      <c r="M140" s="550">
        <v>6.82</v>
      </c>
      <c r="N140" s="550">
        <v>2.14</v>
      </c>
      <c r="O140" s="550">
        <v>0.17</v>
      </c>
      <c r="P140" s="550">
        <v>0</v>
      </c>
      <c r="Q140" s="550">
        <v>0</v>
      </c>
      <c r="R140" s="550">
        <v>0</v>
      </c>
      <c r="S140" s="550">
        <v>0</v>
      </c>
      <c r="T140" s="550">
        <v>0</v>
      </c>
      <c r="U140" s="550">
        <v>0</v>
      </c>
      <c r="V140" s="550">
        <v>0</v>
      </c>
      <c r="W140" s="550">
        <v>0</v>
      </c>
      <c r="X140" s="550">
        <v>0</v>
      </c>
      <c r="Y140" s="550">
        <v>0</v>
      </c>
      <c r="Z140" s="550">
        <v>0</v>
      </c>
      <c r="AA140" s="550">
        <v>0</v>
      </c>
      <c r="AB140" s="550">
        <v>0</v>
      </c>
      <c r="AC140" s="550">
        <v>0</v>
      </c>
      <c r="AD140" s="550">
        <v>0</v>
      </c>
      <c r="AE140" s="550">
        <v>0</v>
      </c>
      <c r="AF140" s="550">
        <v>0</v>
      </c>
      <c r="AG140" s="550">
        <v>0</v>
      </c>
      <c r="AH140" s="550">
        <v>0</v>
      </c>
      <c r="AI140" s="550">
        <v>0</v>
      </c>
      <c r="AJ140" s="550">
        <v>0</v>
      </c>
      <c r="AK140" s="550">
        <v>0</v>
      </c>
      <c r="AL140" s="550">
        <v>0</v>
      </c>
      <c r="AM140" s="173" t="str">
        <f t="shared" si="13"/>
        <v>SUBS - UK</v>
      </c>
      <c r="AN140" s="173" t="s">
        <v>543</v>
      </c>
      <c r="AO140" s="5"/>
      <c r="AS140" s="486"/>
      <c r="AT140" s="55"/>
      <c r="AU140" s="341"/>
      <c r="AV140" s="406"/>
      <c r="AW140" s="406"/>
      <c r="AX140" s="538"/>
    </row>
    <row r="141" spans="1:50">
      <c r="A141" s="5"/>
      <c r="B141" s="44" t="s">
        <v>3369</v>
      </c>
      <c r="C141" s="44" t="s">
        <v>1281</v>
      </c>
      <c r="D141" s="44" t="s">
        <v>2169</v>
      </c>
      <c r="E141" s="44" t="s">
        <v>1927</v>
      </c>
      <c r="F141" s="44" t="s">
        <v>2960</v>
      </c>
      <c r="G141" s="44" t="s">
        <v>1930</v>
      </c>
      <c r="H141" s="44" t="s">
        <v>116</v>
      </c>
      <c r="I141" s="44" t="s">
        <v>2600</v>
      </c>
      <c r="J141" s="328">
        <v>65</v>
      </c>
      <c r="K141" s="550">
        <v>0</v>
      </c>
      <c r="L141" s="550">
        <v>0</v>
      </c>
      <c r="M141" s="550">
        <v>0</v>
      </c>
      <c r="N141" s="550">
        <v>0</v>
      </c>
      <c r="O141" s="550">
        <v>0</v>
      </c>
      <c r="P141" s="550">
        <v>9.32</v>
      </c>
      <c r="Q141" s="550">
        <v>15.88</v>
      </c>
      <c r="R141" s="550">
        <v>8.6</v>
      </c>
      <c r="S141" s="550">
        <v>0</v>
      </c>
      <c r="T141" s="550">
        <v>0</v>
      </c>
      <c r="U141" s="550">
        <v>0</v>
      </c>
      <c r="V141" s="550">
        <v>0</v>
      </c>
      <c r="W141" s="550">
        <v>0</v>
      </c>
      <c r="X141" s="550">
        <v>0</v>
      </c>
      <c r="Y141" s="550">
        <v>0</v>
      </c>
      <c r="Z141" s="550">
        <v>0</v>
      </c>
      <c r="AA141" s="550">
        <v>0</v>
      </c>
      <c r="AB141" s="550">
        <v>0</v>
      </c>
      <c r="AC141" s="550">
        <v>0</v>
      </c>
      <c r="AD141" s="550">
        <v>0</v>
      </c>
      <c r="AE141" s="550">
        <v>0</v>
      </c>
      <c r="AF141" s="550">
        <v>0</v>
      </c>
      <c r="AG141" s="550">
        <v>0</v>
      </c>
      <c r="AH141" s="550">
        <v>0</v>
      </c>
      <c r="AI141" s="550">
        <v>0</v>
      </c>
      <c r="AJ141" s="550">
        <v>0</v>
      </c>
      <c r="AK141" s="550">
        <v>0</v>
      </c>
      <c r="AL141" s="550">
        <v>0</v>
      </c>
      <c r="AM141" s="173" t="str">
        <f t="shared" si="13"/>
        <v>SUBS - UK</v>
      </c>
      <c r="AN141" s="173" t="s">
        <v>543</v>
      </c>
      <c r="AO141" s="5"/>
      <c r="AS141" s="486"/>
      <c r="AT141" s="55"/>
      <c r="AU141" s="341"/>
      <c r="AV141" s="406"/>
      <c r="AW141" s="406"/>
      <c r="AX141" s="538"/>
    </row>
    <row r="142" spans="1:50">
      <c r="A142" s="5"/>
      <c r="B142" s="44" t="s">
        <v>3369</v>
      </c>
      <c r="C142" s="44" t="s">
        <v>1281</v>
      </c>
      <c r="D142" s="44" t="s">
        <v>1192</v>
      </c>
      <c r="E142" s="44" t="s">
        <v>1927</v>
      </c>
      <c r="F142" s="44" t="s">
        <v>2960</v>
      </c>
      <c r="G142" s="44" t="s">
        <v>1932</v>
      </c>
      <c r="H142" s="44" t="s">
        <v>116</v>
      </c>
      <c r="I142" s="44" t="s">
        <v>2571</v>
      </c>
      <c r="J142" s="328">
        <v>58</v>
      </c>
      <c r="K142" s="550">
        <v>6.37</v>
      </c>
      <c r="L142" s="550">
        <v>8.64</v>
      </c>
      <c r="M142" s="550">
        <v>9.7200000000000006</v>
      </c>
      <c r="N142" s="550">
        <v>14.01</v>
      </c>
      <c r="O142" s="550">
        <v>12.77</v>
      </c>
      <c r="P142" s="550">
        <v>14.21</v>
      </c>
      <c r="Q142" s="550">
        <v>9.68</v>
      </c>
      <c r="R142" s="550">
        <v>6.84</v>
      </c>
      <c r="S142" s="550">
        <v>6.75</v>
      </c>
      <c r="T142" s="550">
        <v>3.68</v>
      </c>
      <c r="U142" s="550">
        <v>4.78</v>
      </c>
      <c r="V142" s="550">
        <v>2.1</v>
      </c>
      <c r="W142" s="550">
        <v>0</v>
      </c>
      <c r="X142" s="550">
        <v>0</v>
      </c>
      <c r="Y142" s="550">
        <v>0</v>
      </c>
      <c r="Z142" s="550">
        <v>0.57999999999999996</v>
      </c>
      <c r="AA142" s="550">
        <v>4.76</v>
      </c>
      <c r="AB142" s="550">
        <v>4.0599999999999996</v>
      </c>
      <c r="AC142" s="550">
        <v>3.48</v>
      </c>
      <c r="AD142" s="550">
        <v>2.9</v>
      </c>
      <c r="AE142" s="550">
        <v>2.3199999999999998</v>
      </c>
      <c r="AF142" s="550">
        <v>1.74</v>
      </c>
      <c r="AG142" s="550">
        <v>1.45</v>
      </c>
      <c r="AH142" s="550">
        <v>1.33</v>
      </c>
      <c r="AI142" s="550">
        <v>1.22</v>
      </c>
      <c r="AJ142" s="550">
        <v>1.1599999999999999</v>
      </c>
      <c r="AK142" s="550">
        <v>1.1000000000000001</v>
      </c>
      <c r="AL142" s="550">
        <v>1.04</v>
      </c>
      <c r="AM142" s="173" t="str">
        <f t="shared" si="13"/>
        <v>SUBS - UK</v>
      </c>
      <c r="AN142" s="173" t="s">
        <v>543</v>
      </c>
      <c r="AO142" s="5"/>
      <c r="AS142" s="486"/>
      <c r="AT142" s="55"/>
      <c r="AU142" s="341"/>
      <c r="AV142" s="406"/>
      <c r="AW142" s="406"/>
      <c r="AX142" s="538"/>
    </row>
    <row r="143" spans="1:50">
      <c r="A143" s="5"/>
      <c r="B143" s="44" t="s">
        <v>3369</v>
      </c>
      <c r="C143" s="44" t="s">
        <v>1281</v>
      </c>
      <c r="D143" s="44" t="s">
        <v>1193</v>
      </c>
      <c r="E143" s="44" t="s">
        <v>1927</v>
      </c>
      <c r="F143" s="44" t="s">
        <v>2960</v>
      </c>
      <c r="G143" s="44" t="s">
        <v>1932</v>
      </c>
      <c r="H143" s="44" t="s">
        <v>116</v>
      </c>
      <c r="I143" s="44" t="s">
        <v>2571</v>
      </c>
      <c r="J143" s="328">
        <v>87.354900000000001</v>
      </c>
      <c r="K143" s="550">
        <v>1.99</v>
      </c>
      <c r="L143" s="550">
        <v>2.34</v>
      </c>
      <c r="M143" s="550">
        <v>0.56000000000000005</v>
      </c>
      <c r="N143" s="550">
        <v>0</v>
      </c>
      <c r="O143" s="550">
        <v>0.01</v>
      </c>
      <c r="P143" s="550">
        <v>0</v>
      </c>
      <c r="Q143" s="550">
        <v>0.56999999999999995</v>
      </c>
      <c r="R143" s="550">
        <v>1.46</v>
      </c>
      <c r="S143" s="550">
        <v>0.52</v>
      </c>
      <c r="T143" s="550">
        <v>0.2</v>
      </c>
      <c r="U143" s="550">
        <v>0</v>
      </c>
      <c r="V143" s="550">
        <v>0</v>
      </c>
      <c r="W143" s="550">
        <v>1.64</v>
      </c>
      <c r="X143" s="550">
        <v>1.75</v>
      </c>
      <c r="Y143" s="550">
        <v>1.43</v>
      </c>
      <c r="Z143" s="550">
        <v>1.31</v>
      </c>
      <c r="AA143" s="550">
        <v>1.22</v>
      </c>
      <c r="AB143" s="550">
        <v>1.1399999999999999</v>
      </c>
      <c r="AC143" s="550">
        <v>1.05</v>
      </c>
      <c r="AD143" s="550">
        <v>0.96</v>
      </c>
      <c r="AE143" s="550">
        <v>0.87</v>
      </c>
      <c r="AF143" s="550">
        <v>0.79</v>
      </c>
      <c r="AG143" s="550">
        <v>0.7</v>
      </c>
      <c r="AH143" s="550">
        <v>0.61</v>
      </c>
      <c r="AI143" s="550">
        <v>0.52</v>
      </c>
      <c r="AJ143" s="550">
        <v>0.52</v>
      </c>
      <c r="AK143" s="550">
        <v>0.52</v>
      </c>
      <c r="AL143" s="550">
        <v>0.52</v>
      </c>
      <c r="AM143" s="173" t="str">
        <f t="shared" si="13"/>
        <v>SUBS - UK</v>
      </c>
      <c r="AN143" s="173" t="s">
        <v>543</v>
      </c>
      <c r="AO143" s="5"/>
      <c r="AS143" s="486"/>
      <c r="AT143" s="55"/>
      <c r="AU143" s="341"/>
      <c r="AV143" s="406"/>
      <c r="AW143" s="406"/>
      <c r="AX143" s="538"/>
    </row>
    <row r="144" spans="1:50">
      <c r="A144" s="5"/>
      <c r="B144" s="44" t="s">
        <v>3369</v>
      </c>
      <c r="C144" s="44" t="s">
        <v>1281</v>
      </c>
      <c r="D144" s="44" t="s">
        <v>1194</v>
      </c>
      <c r="E144" s="44" t="s">
        <v>1927</v>
      </c>
      <c r="F144" s="44" t="s">
        <v>2960</v>
      </c>
      <c r="G144" s="44" t="s">
        <v>3374</v>
      </c>
      <c r="H144" s="44" t="s">
        <v>116</v>
      </c>
      <c r="I144" s="44" t="s">
        <v>2600</v>
      </c>
      <c r="J144" s="328">
        <v>87.354900000000001</v>
      </c>
      <c r="K144" s="550">
        <v>0</v>
      </c>
      <c r="L144" s="550">
        <v>0</v>
      </c>
      <c r="M144" s="550">
        <v>0</v>
      </c>
      <c r="N144" s="550">
        <v>0</v>
      </c>
      <c r="O144" s="550">
        <v>0</v>
      </c>
      <c r="P144" s="550">
        <v>0</v>
      </c>
      <c r="Q144" s="550">
        <v>0</v>
      </c>
      <c r="R144" s="550">
        <v>0</v>
      </c>
      <c r="S144" s="550">
        <v>5.58</v>
      </c>
      <c r="T144" s="550">
        <v>5.61</v>
      </c>
      <c r="U144" s="550">
        <v>8.85</v>
      </c>
      <c r="V144" s="550">
        <v>7.16</v>
      </c>
      <c r="W144" s="550">
        <v>6.3</v>
      </c>
      <c r="X144" s="550">
        <v>10.85</v>
      </c>
      <c r="Y144" s="550">
        <v>11.07</v>
      </c>
      <c r="Z144" s="550">
        <v>17.47</v>
      </c>
      <c r="AA144" s="550">
        <v>15.72</v>
      </c>
      <c r="AB144" s="550">
        <v>27.95</v>
      </c>
      <c r="AC144" s="550">
        <v>43.68</v>
      </c>
      <c r="AD144" s="550">
        <v>38.43</v>
      </c>
      <c r="AE144" s="550">
        <v>32.32</v>
      </c>
      <c r="AF144" s="550">
        <v>27.95</v>
      </c>
      <c r="AG144" s="550">
        <v>23.58</v>
      </c>
      <c r="AH144" s="550">
        <v>19.22</v>
      </c>
      <c r="AI144" s="550">
        <v>13.1</v>
      </c>
      <c r="AJ144" s="550">
        <v>13.98</v>
      </c>
      <c r="AK144" s="550">
        <v>14.85</v>
      </c>
      <c r="AL144" s="550">
        <v>15.72</v>
      </c>
      <c r="AM144" s="173" t="str">
        <f t="shared" si="13"/>
        <v>SUBS - UK</v>
      </c>
      <c r="AN144" s="173" t="s">
        <v>543</v>
      </c>
      <c r="AO144" s="5"/>
      <c r="AS144" s="486"/>
      <c r="AT144" s="55"/>
      <c r="AU144" s="341"/>
      <c r="AV144" s="406"/>
      <c r="AW144" s="406"/>
      <c r="AX144" s="538"/>
    </row>
    <row r="145" spans="1:50">
      <c r="A145" s="5"/>
      <c r="B145" s="44" t="s">
        <v>3369</v>
      </c>
      <c r="C145" s="44" t="s">
        <v>1281</v>
      </c>
      <c r="D145" s="44" t="s">
        <v>1850</v>
      </c>
      <c r="E145" s="44" t="s">
        <v>1927</v>
      </c>
      <c r="F145" s="44" t="s">
        <v>2960</v>
      </c>
      <c r="G145" s="44" t="s">
        <v>1931</v>
      </c>
      <c r="H145" s="44" t="s">
        <v>116</v>
      </c>
      <c r="I145" s="44" t="s">
        <v>2600</v>
      </c>
      <c r="J145" s="328">
        <v>100</v>
      </c>
      <c r="K145" s="550">
        <v>0</v>
      </c>
      <c r="L145" s="550">
        <v>0</v>
      </c>
      <c r="M145" s="550">
        <v>0</v>
      </c>
      <c r="N145" s="550">
        <v>0</v>
      </c>
      <c r="O145" s="550">
        <v>0</v>
      </c>
      <c r="P145" s="550">
        <v>28.78</v>
      </c>
      <c r="Q145" s="550">
        <v>14.79</v>
      </c>
      <c r="R145" s="550">
        <v>11.49</v>
      </c>
      <c r="S145" s="550">
        <v>0</v>
      </c>
      <c r="T145" s="550">
        <v>0</v>
      </c>
      <c r="U145" s="550">
        <v>0</v>
      </c>
      <c r="V145" s="550">
        <v>0</v>
      </c>
      <c r="W145" s="550">
        <v>0</v>
      </c>
      <c r="X145" s="550">
        <v>0</v>
      </c>
      <c r="Y145" s="550">
        <v>0</v>
      </c>
      <c r="Z145" s="550">
        <v>0</v>
      </c>
      <c r="AA145" s="550">
        <v>0</v>
      </c>
      <c r="AB145" s="550">
        <v>0</v>
      </c>
      <c r="AC145" s="550">
        <v>0</v>
      </c>
      <c r="AD145" s="550">
        <v>0</v>
      </c>
      <c r="AE145" s="550">
        <v>0</v>
      </c>
      <c r="AF145" s="550">
        <v>0</v>
      </c>
      <c r="AG145" s="550">
        <v>0</v>
      </c>
      <c r="AH145" s="550">
        <v>0</v>
      </c>
      <c r="AI145" s="550">
        <v>0</v>
      </c>
      <c r="AJ145" s="550">
        <v>0</v>
      </c>
      <c r="AK145" s="550">
        <v>0</v>
      </c>
      <c r="AL145" s="550">
        <v>0</v>
      </c>
      <c r="AM145" s="173" t="str">
        <f t="shared" si="13"/>
        <v>SUBS - UK</v>
      </c>
      <c r="AN145" s="173" t="s">
        <v>543</v>
      </c>
      <c r="AO145" s="5"/>
      <c r="AS145" s="486"/>
      <c r="AT145" s="55"/>
      <c r="AU145" s="341"/>
      <c r="AV145" s="406"/>
      <c r="AW145" s="406"/>
      <c r="AX145" s="538"/>
    </row>
    <row r="146" spans="1:50">
      <c r="A146" s="5"/>
      <c r="B146" s="44" t="s">
        <v>3369</v>
      </c>
      <c r="C146" s="44" t="s">
        <v>1281</v>
      </c>
      <c r="D146" s="44" t="s">
        <v>2550</v>
      </c>
      <c r="E146" s="44" t="s">
        <v>1927</v>
      </c>
      <c r="F146" s="44" t="s">
        <v>2960</v>
      </c>
      <c r="G146" s="44" t="s">
        <v>1930</v>
      </c>
      <c r="H146" s="44" t="s">
        <v>116</v>
      </c>
      <c r="I146" s="44" t="s">
        <v>2600</v>
      </c>
      <c r="J146" s="328">
        <v>53.503999999999998</v>
      </c>
      <c r="K146" s="550">
        <v>15.48</v>
      </c>
      <c r="L146" s="550">
        <v>16.59</v>
      </c>
      <c r="M146" s="550">
        <v>26.65</v>
      </c>
      <c r="N146" s="550">
        <v>21.63</v>
      </c>
      <c r="O146" s="550">
        <v>19.36</v>
      </c>
      <c r="P146" s="550">
        <v>13.16</v>
      </c>
      <c r="Q146" s="550">
        <v>10.27</v>
      </c>
      <c r="R146" s="550">
        <v>8.7799999999999994</v>
      </c>
      <c r="S146" s="550">
        <v>0</v>
      </c>
      <c r="T146" s="550">
        <v>0</v>
      </c>
      <c r="U146" s="550">
        <v>0</v>
      </c>
      <c r="V146" s="550">
        <v>0</v>
      </c>
      <c r="W146" s="550">
        <v>0</v>
      </c>
      <c r="X146" s="550">
        <v>0</v>
      </c>
      <c r="Y146" s="550">
        <v>0</v>
      </c>
      <c r="Z146" s="550">
        <v>0</v>
      </c>
      <c r="AA146" s="550">
        <v>0</v>
      </c>
      <c r="AB146" s="550">
        <v>0</v>
      </c>
      <c r="AC146" s="550">
        <v>0</v>
      </c>
      <c r="AD146" s="550">
        <v>0</v>
      </c>
      <c r="AE146" s="550">
        <v>0</v>
      </c>
      <c r="AF146" s="550">
        <v>0</v>
      </c>
      <c r="AG146" s="550">
        <v>0</v>
      </c>
      <c r="AH146" s="550">
        <v>0</v>
      </c>
      <c r="AI146" s="550">
        <v>0</v>
      </c>
      <c r="AJ146" s="550">
        <v>0</v>
      </c>
      <c r="AK146" s="550">
        <v>0</v>
      </c>
      <c r="AL146" s="550">
        <v>0</v>
      </c>
      <c r="AM146" s="173" t="str">
        <f t="shared" si="13"/>
        <v>SUBS - UK</v>
      </c>
      <c r="AN146" s="173" t="s">
        <v>543</v>
      </c>
      <c r="AO146" s="5"/>
      <c r="AS146" s="486"/>
      <c r="AT146" s="55"/>
      <c r="AU146" s="341"/>
      <c r="AV146" s="406"/>
      <c r="AW146" s="406"/>
      <c r="AX146" s="538"/>
    </row>
    <row r="147" spans="1:50">
      <c r="A147" s="5"/>
      <c r="B147" s="44" t="s">
        <v>3369</v>
      </c>
      <c r="C147" s="44" t="s">
        <v>1281</v>
      </c>
      <c r="D147" s="44" t="s">
        <v>1851</v>
      </c>
      <c r="E147" s="44" t="s">
        <v>1927</v>
      </c>
      <c r="F147" s="44" t="s">
        <v>2960</v>
      </c>
      <c r="G147" s="44" t="s">
        <v>1931</v>
      </c>
      <c r="H147" s="44" t="s">
        <v>116</v>
      </c>
      <c r="I147" s="44" t="s">
        <v>1181</v>
      </c>
      <c r="J147" s="328">
        <v>50</v>
      </c>
      <c r="K147" s="550">
        <v>0</v>
      </c>
      <c r="L147" s="550">
        <v>0</v>
      </c>
      <c r="M147" s="550">
        <v>2.2799999999999998</v>
      </c>
      <c r="N147" s="550">
        <v>76.790000000000006</v>
      </c>
      <c r="O147" s="550">
        <v>100.75</v>
      </c>
      <c r="P147" s="550">
        <v>90.92</v>
      </c>
      <c r="Q147" s="550">
        <v>53.51</v>
      </c>
      <c r="R147" s="550">
        <v>57.28</v>
      </c>
      <c r="S147" s="550">
        <v>0</v>
      </c>
      <c r="T147" s="550">
        <v>0</v>
      </c>
      <c r="U147" s="550">
        <v>0</v>
      </c>
      <c r="V147" s="550">
        <v>4.13</v>
      </c>
      <c r="W147" s="550">
        <v>41.9</v>
      </c>
      <c r="X147" s="550">
        <v>39.700000000000003</v>
      </c>
      <c r="Y147" s="550">
        <v>63.62</v>
      </c>
      <c r="Z147" s="550">
        <v>0</v>
      </c>
      <c r="AA147" s="550">
        <v>0</v>
      </c>
      <c r="AB147" s="550">
        <v>0</v>
      </c>
      <c r="AC147" s="550">
        <v>0</v>
      </c>
      <c r="AD147" s="550">
        <v>0</v>
      </c>
      <c r="AE147" s="550">
        <v>0</v>
      </c>
      <c r="AF147" s="550">
        <v>0</v>
      </c>
      <c r="AG147" s="550">
        <v>0</v>
      </c>
      <c r="AH147" s="550">
        <v>0</v>
      </c>
      <c r="AI147" s="550">
        <v>0</v>
      </c>
      <c r="AJ147" s="550">
        <v>0</v>
      </c>
      <c r="AK147" s="550">
        <v>0</v>
      </c>
      <c r="AL147" s="550">
        <v>0</v>
      </c>
      <c r="AM147" s="173" t="str">
        <f t="shared" si="13"/>
        <v>SUBS - UK</v>
      </c>
      <c r="AN147" s="173" t="s">
        <v>543</v>
      </c>
      <c r="AO147" s="5"/>
      <c r="AS147" s="486"/>
      <c r="AT147" s="55"/>
      <c r="AU147" s="341"/>
      <c r="AV147" s="406"/>
      <c r="AW147" s="406"/>
      <c r="AX147" s="538"/>
    </row>
    <row r="148" spans="1:50">
      <c r="A148" s="5"/>
      <c r="B148" s="44" t="s">
        <v>3369</v>
      </c>
      <c r="C148" s="44" t="s">
        <v>1281</v>
      </c>
      <c r="D148" s="44" t="s">
        <v>1852</v>
      </c>
      <c r="E148" s="44" t="s">
        <v>1927</v>
      </c>
      <c r="F148" s="44" t="s">
        <v>2960</v>
      </c>
      <c r="G148" s="44" t="s">
        <v>3374</v>
      </c>
      <c r="H148" s="44" t="s">
        <v>116</v>
      </c>
      <c r="I148" s="44" t="s">
        <v>2971</v>
      </c>
      <c r="J148" s="328">
        <v>33.35</v>
      </c>
      <c r="K148" s="550">
        <v>5.5</v>
      </c>
      <c r="L148" s="550">
        <v>6.62</v>
      </c>
      <c r="M148" s="550">
        <v>4.17</v>
      </c>
      <c r="N148" s="550">
        <v>4.41</v>
      </c>
      <c r="O148" s="550">
        <v>4.3899999999999997</v>
      </c>
      <c r="P148" s="550">
        <v>2.4500000000000002</v>
      </c>
      <c r="Q148" s="550">
        <v>1.1399999999999999</v>
      </c>
      <c r="R148" s="550">
        <v>2.35</v>
      </c>
      <c r="S148" s="550">
        <v>1.83</v>
      </c>
      <c r="T148" s="550">
        <v>4.59</v>
      </c>
      <c r="U148" s="550">
        <v>0.38</v>
      </c>
      <c r="V148" s="550">
        <v>0</v>
      </c>
      <c r="W148" s="550">
        <v>0</v>
      </c>
      <c r="X148" s="550">
        <v>0</v>
      </c>
      <c r="Y148" s="550">
        <v>1.48</v>
      </c>
      <c r="Z148" s="550">
        <v>8.9499999999999993</v>
      </c>
      <c r="AA148" s="550">
        <v>14.62</v>
      </c>
      <c r="AB148" s="550">
        <v>12.45</v>
      </c>
      <c r="AC148" s="550">
        <v>10.5</v>
      </c>
      <c r="AD148" s="550">
        <v>8.74</v>
      </c>
      <c r="AE148" s="550">
        <v>7.16</v>
      </c>
      <c r="AF148" s="550">
        <v>5.74</v>
      </c>
      <c r="AG148" s="550">
        <v>4.46</v>
      </c>
      <c r="AH148" s="550">
        <v>3.31</v>
      </c>
      <c r="AI148" s="550">
        <v>2.27</v>
      </c>
      <c r="AJ148" s="550">
        <v>0</v>
      </c>
      <c r="AK148" s="550">
        <v>0</v>
      </c>
      <c r="AL148" s="550">
        <v>0</v>
      </c>
      <c r="AM148" s="173" t="str">
        <f t="shared" si="13"/>
        <v>SUBS - UK</v>
      </c>
      <c r="AN148" s="173" t="s">
        <v>543</v>
      </c>
      <c r="AO148" s="5"/>
      <c r="AS148" s="486"/>
      <c r="AT148" s="55"/>
      <c r="AU148" s="341"/>
      <c r="AV148" s="406"/>
      <c r="AW148" s="406"/>
      <c r="AX148" s="538"/>
    </row>
    <row r="149" spans="1:50">
      <c r="A149" s="5"/>
      <c r="B149" s="44" t="s">
        <v>3369</v>
      </c>
      <c r="C149" s="44" t="s">
        <v>1281</v>
      </c>
      <c r="D149" s="44" t="s">
        <v>3739</v>
      </c>
      <c r="E149" s="44" t="s">
        <v>3372</v>
      </c>
      <c r="F149" s="44" t="s">
        <v>2960</v>
      </c>
      <c r="G149" s="44" t="s">
        <v>1932</v>
      </c>
      <c r="H149" s="44" t="s">
        <v>116</v>
      </c>
      <c r="I149" s="44" t="s">
        <v>1181</v>
      </c>
      <c r="J149" s="328">
        <v>50</v>
      </c>
      <c r="K149" s="550">
        <v>0</v>
      </c>
      <c r="L149" s="550">
        <v>0</v>
      </c>
      <c r="M149" s="550">
        <v>0</v>
      </c>
      <c r="N149" s="550">
        <v>0</v>
      </c>
      <c r="O149" s="550">
        <v>0</v>
      </c>
      <c r="P149" s="550">
        <v>0</v>
      </c>
      <c r="Q149" s="550">
        <v>0</v>
      </c>
      <c r="R149" s="550">
        <v>0</v>
      </c>
      <c r="S149" s="550">
        <v>0</v>
      </c>
      <c r="T149" s="550">
        <v>0</v>
      </c>
      <c r="U149" s="550">
        <v>0</v>
      </c>
      <c r="V149" s="550">
        <v>0</v>
      </c>
      <c r="W149" s="550">
        <v>0</v>
      </c>
      <c r="X149" s="550">
        <v>0</v>
      </c>
      <c r="Y149" s="550">
        <v>0</v>
      </c>
      <c r="Z149" s="550">
        <v>0</v>
      </c>
      <c r="AA149" s="550">
        <v>0</v>
      </c>
      <c r="AB149" s="550">
        <v>0</v>
      </c>
      <c r="AC149" s="550">
        <v>2.5</v>
      </c>
      <c r="AD149" s="550">
        <v>16.5</v>
      </c>
      <c r="AE149" s="550">
        <v>13.2</v>
      </c>
      <c r="AF149" s="550">
        <v>10.56</v>
      </c>
      <c r="AG149" s="550">
        <v>8.4499999999999993</v>
      </c>
      <c r="AH149" s="550">
        <v>6.76</v>
      </c>
      <c r="AI149" s="550">
        <v>5.41</v>
      </c>
      <c r="AJ149" s="550">
        <v>4.33</v>
      </c>
      <c r="AK149" s="550">
        <v>3.46</v>
      </c>
      <c r="AL149" s="550">
        <v>2.77</v>
      </c>
      <c r="AM149" s="173" t="str">
        <f t="shared" ref="AM149" si="14">AN149&amp;" - "&amp;C149</f>
        <v>SUBS - UK</v>
      </c>
      <c r="AN149" s="173" t="s">
        <v>543</v>
      </c>
      <c r="AO149" s="5"/>
      <c r="AS149" s="486"/>
      <c r="AT149" s="55"/>
      <c r="AU149" s="341"/>
      <c r="AV149" s="406"/>
      <c r="AW149" s="406"/>
      <c r="AX149" s="538"/>
    </row>
    <row r="150" spans="1:50">
      <c r="A150" s="5"/>
      <c r="B150" s="44" t="s">
        <v>3369</v>
      </c>
      <c r="C150" s="44" t="s">
        <v>1281</v>
      </c>
      <c r="D150" s="44" t="s">
        <v>1853</v>
      </c>
      <c r="E150" s="44" t="s">
        <v>1927</v>
      </c>
      <c r="F150" s="44" t="s">
        <v>2960</v>
      </c>
      <c r="G150" s="44" t="s">
        <v>1931</v>
      </c>
      <c r="H150" s="44" t="s">
        <v>116</v>
      </c>
      <c r="I150" s="44" t="s">
        <v>2600</v>
      </c>
      <c r="J150" s="328">
        <v>50</v>
      </c>
      <c r="K150" s="550">
        <v>42.69</v>
      </c>
      <c r="L150" s="550">
        <v>15.11</v>
      </c>
      <c r="M150" s="550">
        <v>87.84</v>
      </c>
      <c r="N150" s="550">
        <v>47.61</v>
      </c>
      <c r="O150" s="550">
        <v>20.13</v>
      </c>
      <c r="P150" s="550">
        <v>67.7</v>
      </c>
      <c r="Q150" s="550">
        <v>37.299999999999997</v>
      </c>
      <c r="R150" s="550">
        <v>11.25</v>
      </c>
      <c r="S150" s="550">
        <v>36.29</v>
      </c>
      <c r="T150" s="550">
        <v>0</v>
      </c>
      <c r="U150" s="550">
        <v>0</v>
      </c>
      <c r="V150" s="550">
        <v>0</v>
      </c>
      <c r="W150" s="550">
        <v>0</v>
      </c>
      <c r="X150" s="550">
        <v>0</v>
      </c>
      <c r="Y150" s="550">
        <v>0</v>
      </c>
      <c r="Z150" s="550">
        <v>0</v>
      </c>
      <c r="AA150" s="550">
        <v>0</v>
      </c>
      <c r="AB150" s="550">
        <v>0</v>
      </c>
      <c r="AC150" s="550">
        <v>0</v>
      </c>
      <c r="AD150" s="550">
        <v>0</v>
      </c>
      <c r="AE150" s="550">
        <v>0</v>
      </c>
      <c r="AF150" s="550">
        <v>0</v>
      </c>
      <c r="AG150" s="550">
        <v>0</v>
      </c>
      <c r="AH150" s="550">
        <v>0</v>
      </c>
      <c r="AI150" s="550">
        <v>0</v>
      </c>
      <c r="AJ150" s="550">
        <v>0</v>
      </c>
      <c r="AK150" s="550">
        <v>0</v>
      </c>
      <c r="AL150" s="550">
        <v>0</v>
      </c>
      <c r="AM150" s="173" t="str">
        <f t="shared" si="13"/>
        <v>SUBS - UK</v>
      </c>
      <c r="AN150" s="173" t="s">
        <v>543</v>
      </c>
      <c r="AO150" s="5"/>
      <c r="AS150" s="486"/>
      <c r="AT150" s="55"/>
      <c r="AU150" s="341"/>
      <c r="AV150" s="406"/>
      <c r="AW150" s="406"/>
      <c r="AX150" s="538"/>
    </row>
    <row r="151" spans="1:50">
      <c r="A151" s="5"/>
      <c r="B151" s="44" t="s">
        <v>3369</v>
      </c>
      <c r="C151" s="44" t="s">
        <v>1281</v>
      </c>
      <c r="D151" s="44" t="s">
        <v>3683</v>
      </c>
      <c r="E151" s="44" t="s">
        <v>1927</v>
      </c>
      <c r="F151" s="44" t="s">
        <v>2960</v>
      </c>
      <c r="G151" s="44" t="s">
        <v>1929</v>
      </c>
      <c r="H151" s="44" t="s">
        <v>116</v>
      </c>
      <c r="I151" s="44" t="s">
        <v>2602</v>
      </c>
      <c r="J151" s="328">
        <v>27.5</v>
      </c>
      <c r="K151" s="550">
        <v>70.78</v>
      </c>
      <c r="L151" s="550">
        <v>79.930000000000007</v>
      </c>
      <c r="M151" s="550">
        <v>37.44</v>
      </c>
      <c r="N151" s="550">
        <v>31.58</v>
      </c>
      <c r="O151" s="550">
        <v>16.78</v>
      </c>
      <c r="P151" s="550">
        <v>2.13</v>
      </c>
      <c r="Q151" s="550">
        <v>4.5599999999999996</v>
      </c>
      <c r="R151" s="550">
        <v>2.57</v>
      </c>
      <c r="S151" s="550">
        <v>1.01</v>
      </c>
      <c r="T151" s="550">
        <v>0.59</v>
      </c>
      <c r="U151" s="550">
        <v>0</v>
      </c>
      <c r="V151" s="550">
        <v>0</v>
      </c>
      <c r="W151" s="550">
        <v>12.79</v>
      </c>
      <c r="X151" s="550">
        <v>21.94</v>
      </c>
      <c r="Y151" s="550">
        <v>24.75</v>
      </c>
      <c r="Z151" s="550">
        <v>33</v>
      </c>
      <c r="AA151" s="550">
        <v>17.88</v>
      </c>
      <c r="AB151" s="550">
        <v>9.6300000000000008</v>
      </c>
      <c r="AC151" s="550">
        <v>22</v>
      </c>
      <c r="AD151" s="550">
        <v>20.63</v>
      </c>
      <c r="AE151" s="550">
        <v>15.13</v>
      </c>
      <c r="AF151" s="550">
        <v>10.73</v>
      </c>
      <c r="AG151" s="550">
        <v>7.43</v>
      </c>
      <c r="AH151" s="550">
        <v>5.23</v>
      </c>
      <c r="AI151" s="550">
        <v>8.25</v>
      </c>
      <c r="AJ151" s="550">
        <v>6.6</v>
      </c>
      <c r="AK151" s="550">
        <v>5.23</v>
      </c>
      <c r="AL151" s="550">
        <v>4.13</v>
      </c>
      <c r="AM151" s="173" t="str">
        <f t="shared" si="13"/>
        <v>SUBS - UK</v>
      </c>
      <c r="AN151" s="173" t="s">
        <v>543</v>
      </c>
      <c r="AO151" s="5"/>
      <c r="AS151" s="486"/>
      <c r="AT151" s="55"/>
      <c r="AU151" s="341"/>
      <c r="AV151" s="406"/>
      <c r="AW151" s="406"/>
      <c r="AX151" s="538"/>
    </row>
    <row r="152" spans="1:50">
      <c r="A152" s="5"/>
      <c r="B152" s="44" t="s">
        <v>3369</v>
      </c>
      <c r="C152" s="44" t="s">
        <v>1281</v>
      </c>
      <c r="D152" s="44" t="s">
        <v>1854</v>
      </c>
      <c r="E152" s="44" t="s">
        <v>1927</v>
      </c>
      <c r="F152" s="44" t="s">
        <v>2960</v>
      </c>
      <c r="G152" s="44" t="s">
        <v>1932</v>
      </c>
      <c r="H152" s="44" t="s">
        <v>116</v>
      </c>
      <c r="I152" s="44" t="s">
        <v>2600</v>
      </c>
      <c r="J152" s="328">
        <v>33.333300000000001</v>
      </c>
      <c r="K152" s="550">
        <v>6.56</v>
      </c>
      <c r="L152" s="550">
        <v>3.47</v>
      </c>
      <c r="M152" s="550">
        <v>0.53</v>
      </c>
      <c r="N152" s="550">
        <v>0</v>
      </c>
      <c r="O152" s="550">
        <v>0</v>
      </c>
      <c r="P152" s="550">
        <v>0</v>
      </c>
      <c r="Q152" s="550">
        <v>0</v>
      </c>
      <c r="R152" s="550">
        <v>0</v>
      </c>
      <c r="S152" s="550">
        <v>0</v>
      </c>
      <c r="T152" s="550">
        <v>0</v>
      </c>
      <c r="U152" s="550">
        <v>0</v>
      </c>
      <c r="V152" s="550">
        <v>0</v>
      </c>
      <c r="W152" s="550">
        <v>0</v>
      </c>
      <c r="X152" s="550">
        <v>0</v>
      </c>
      <c r="Y152" s="550">
        <v>0</v>
      </c>
      <c r="Z152" s="550">
        <v>0</v>
      </c>
      <c r="AA152" s="550">
        <v>0</v>
      </c>
      <c r="AB152" s="550">
        <v>0</v>
      </c>
      <c r="AC152" s="550">
        <v>0</v>
      </c>
      <c r="AD152" s="550">
        <v>0</v>
      </c>
      <c r="AE152" s="550">
        <v>0</v>
      </c>
      <c r="AF152" s="550">
        <v>0</v>
      </c>
      <c r="AG152" s="550">
        <v>0</v>
      </c>
      <c r="AH152" s="550">
        <v>0</v>
      </c>
      <c r="AI152" s="550">
        <v>0</v>
      </c>
      <c r="AJ152" s="550">
        <v>0</v>
      </c>
      <c r="AK152" s="550">
        <v>0</v>
      </c>
      <c r="AL152" s="550">
        <v>0</v>
      </c>
      <c r="AM152" s="173" t="str">
        <f t="shared" si="13"/>
        <v>SUBS - UK</v>
      </c>
      <c r="AN152" s="173" t="s">
        <v>543</v>
      </c>
      <c r="AO152" s="5"/>
      <c r="AS152" s="486"/>
      <c r="AT152" s="55"/>
      <c r="AU152" s="341"/>
      <c r="AV152" s="406"/>
      <c r="AW152" s="406"/>
      <c r="AX152" s="538"/>
    </row>
    <row r="153" spans="1:50">
      <c r="A153" s="5"/>
      <c r="B153" s="44" t="s">
        <v>3369</v>
      </c>
      <c r="C153" s="44" t="s">
        <v>1281</v>
      </c>
      <c r="D153" s="44" t="s">
        <v>2551</v>
      </c>
      <c r="E153" s="44" t="s">
        <v>1927</v>
      </c>
      <c r="F153" s="44" t="s">
        <v>2960</v>
      </c>
      <c r="G153" s="44" t="s">
        <v>1930</v>
      </c>
      <c r="H153" s="44" t="s">
        <v>116</v>
      </c>
      <c r="I153" s="44" t="s">
        <v>2600</v>
      </c>
      <c r="J153" s="328">
        <v>38.865699999999997</v>
      </c>
      <c r="K153" s="550">
        <v>6.07</v>
      </c>
      <c r="L153" s="550">
        <v>5.18</v>
      </c>
      <c r="M153" s="550">
        <v>4.55</v>
      </c>
      <c r="N153" s="550">
        <v>4.26</v>
      </c>
      <c r="O153" s="550">
        <v>3.91</v>
      </c>
      <c r="P153" s="550">
        <v>3.54</v>
      </c>
      <c r="Q153" s="550">
        <v>2.92</v>
      </c>
      <c r="R153" s="550">
        <v>2.41</v>
      </c>
      <c r="S153" s="550">
        <v>2.65</v>
      </c>
      <c r="T153" s="550">
        <v>1.79</v>
      </c>
      <c r="U153" s="550">
        <v>1.59</v>
      </c>
      <c r="V153" s="550">
        <v>2.52</v>
      </c>
      <c r="W153" s="550">
        <v>1.87</v>
      </c>
      <c r="X153" s="550">
        <v>1.45</v>
      </c>
      <c r="Y153" s="550">
        <v>1.17</v>
      </c>
      <c r="Z153" s="550">
        <v>0.93</v>
      </c>
      <c r="AA153" s="550">
        <v>0</v>
      </c>
      <c r="AB153" s="550">
        <v>0</v>
      </c>
      <c r="AC153" s="550">
        <v>0</v>
      </c>
      <c r="AD153" s="550">
        <v>0</v>
      </c>
      <c r="AE153" s="550">
        <v>0</v>
      </c>
      <c r="AF153" s="550">
        <v>0</v>
      </c>
      <c r="AG153" s="550">
        <v>0</v>
      </c>
      <c r="AH153" s="550">
        <v>0</v>
      </c>
      <c r="AI153" s="550">
        <v>0</v>
      </c>
      <c r="AJ153" s="550">
        <v>0</v>
      </c>
      <c r="AK153" s="550">
        <v>0</v>
      </c>
      <c r="AL153" s="550">
        <v>0</v>
      </c>
      <c r="AM153" s="173" t="str">
        <f t="shared" si="13"/>
        <v>SUBS - UK</v>
      </c>
      <c r="AN153" s="173" t="s">
        <v>543</v>
      </c>
      <c r="AO153" s="5"/>
      <c r="AS153" s="486"/>
      <c r="AT153" s="55"/>
      <c r="AU153" s="341"/>
      <c r="AV153" s="406"/>
      <c r="AW153" s="406"/>
      <c r="AX153" s="538"/>
    </row>
    <row r="154" spans="1:50">
      <c r="A154" s="5"/>
      <c r="B154" s="44" t="s">
        <v>3369</v>
      </c>
      <c r="C154" s="44" t="s">
        <v>1281</v>
      </c>
      <c r="D154" s="44" t="s">
        <v>2552</v>
      </c>
      <c r="E154" s="44" t="s">
        <v>1927</v>
      </c>
      <c r="F154" s="44" t="s">
        <v>2960</v>
      </c>
      <c r="G154" s="44" t="s">
        <v>1930</v>
      </c>
      <c r="H154" s="44" t="s">
        <v>116</v>
      </c>
      <c r="I154" s="44" t="s">
        <v>2600</v>
      </c>
      <c r="J154" s="328">
        <v>50</v>
      </c>
      <c r="K154" s="550">
        <v>11.25</v>
      </c>
      <c r="L154" s="550">
        <v>10.42</v>
      </c>
      <c r="M154" s="550">
        <v>8.61</v>
      </c>
      <c r="N154" s="550">
        <v>8.06</v>
      </c>
      <c r="O154" s="550">
        <v>7.54</v>
      </c>
      <c r="P154" s="550">
        <v>6.55</v>
      </c>
      <c r="Q154" s="550">
        <v>6</v>
      </c>
      <c r="R154" s="550">
        <v>4.96</v>
      </c>
      <c r="S154" s="550">
        <v>4.1900000000000004</v>
      </c>
      <c r="T154" s="550">
        <v>2.74</v>
      </c>
      <c r="U154" s="550">
        <v>3.71</v>
      </c>
      <c r="V154" s="550">
        <v>2.4</v>
      </c>
      <c r="W154" s="550">
        <v>2.91</v>
      </c>
      <c r="X154" s="550">
        <v>1.75</v>
      </c>
      <c r="Y154" s="550">
        <v>1.58</v>
      </c>
      <c r="Z154" s="550">
        <v>1.42</v>
      </c>
      <c r="AA154" s="550">
        <v>0</v>
      </c>
      <c r="AB154" s="550">
        <v>0</v>
      </c>
      <c r="AC154" s="550">
        <v>0</v>
      </c>
      <c r="AD154" s="550">
        <v>0</v>
      </c>
      <c r="AE154" s="550">
        <v>0</v>
      </c>
      <c r="AF154" s="550">
        <v>0</v>
      </c>
      <c r="AG154" s="550">
        <v>0</v>
      </c>
      <c r="AH154" s="550">
        <v>0</v>
      </c>
      <c r="AI154" s="550">
        <v>0</v>
      </c>
      <c r="AJ154" s="550">
        <v>0</v>
      </c>
      <c r="AK154" s="550">
        <v>0</v>
      </c>
      <c r="AL154" s="550">
        <v>0</v>
      </c>
      <c r="AM154" s="173" t="str">
        <f t="shared" si="13"/>
        <v>SUBS - UK</v>
      </c>
      <c r="AN154" s="173" t="s">
        <v>543</v>
      </c>
      <c r="AO154" s="5"/>
      <c r="AS154" s="486"/>
      <c r="AT154" s="55"/>
      <c r="AU154" s="341"/>
      <c r="AV154" s="406"/>
      <c r="AW154" s="406"/>
      <c r="AX154" s="538"/>
    </row>
    <row r="155" spans="1:50">
      <c r="A155" s="5"/>
      <c r="B155" s="44" t="s">
        <v>3369</v>
      </c>
      <c r="C155" s="44" t="s">
        <v>1281</v>
      </c>
      <c r="D155" s="44" t="s">
        <v>2553</v>
      </c>
      <c r="E155" s="44" t="s">
        <v>2254</v>
      </c>
      <c r="F155" s="44" t="s">
        <v>2960</v>
      </c>
      <c r="G155" s="44" t="s">
        <v>1930</v>
      </c>
      <c r="H155" s="44" t="s">
        <v>116</v>
      </c>
      <c r="I155" s="44" t="s">
        <v>2601</v>
      </c>
      <c r="J155" s="328">
        <v>25</v>
      </c>
      <c r="K155" s="550">
        <v>0</v>
      </c>
      <c r="L155" s="550">
        <v>6.38</v>
      </c>
      <c r="M155" s="550">
        <v>13.72</v>
      </c>
      <c r="N155" s="550">
        <v>10.44</v>
      </c>
      <c r="O155" s="550">
        <v>8.3800000000000008</v>
      </c>
      <c r="P155" s="550">
        <v>6.4</v>
      </c>
      <c r="Q155" s="550">
        <v>4.68</v>
      </c>
      <c r="R155" s="550">
        <v>2.2999999999999998</v>
      </c>
      <c r="S155" s="550">
        <v>2.37</v>
      </c>
      <c r="T155" s="550">
        <v>1.75</v>
      </c>
      <c r="U155" s="550">
        <v>0.72</v>
      </c>
      <c r="V155" s="550">
        <v>0.02</v>
      </c>
      <c r="W155" s="550">
        <v>0</v>
      </c>
      <c r="X155" s="550">
        <v>0</v>
      </c>
      <c r="Y155" s="550">
        <v>0</v>
      </c>
      <c r="Z155" s="550">
        <v>0</v>
      </c>
      <c r="AA155" s="550">
        <v>0</v>
      </c>
      <c r="AB155" s="550">
        <v>0</v>
      </c>
      <c r="AC155" s="550">
        <v>0</v>
      </c>
      <c r="AD155" s="550">
        <v>0</v>
      </c>
      <c r="AE155" s="550">
        <v>0</v>
      </c>
      <c r="AF155" s="550">
        <v>0</v>
      </c>
      <c r="AG155" s="550">
        <v>0</v>
      </c>
      <c r="AH155" s="550">
        <v>0</v>
      </c>
      <c r="AI155" s="550">
        <v>0</v>
      </c>
      <c r="AJ155" s="550">
        <v>0</v>
      </c>
      <c r="AK155" s="550">
        <v>0</v>
      </c>
      <c r="AL155" s="550">
        <v>0</v>
      </c>
      <c r="AM155" s="173" t="str">
        <f t="shared" si="13"/>
        <v>SUBS - UK</v>
      </c>
      <c r="AN155" s="173" t="s">
        <v>543</v>
      </c>
      <c r="AO155" s="5"/>
      <c r="AS155" s="486"/>
      <c r="AT155" s="55"/>
      <c r="AU155" s="341"/>
      <c r="AV155" s="406"/>
      <c r="AW155" s="406"/>
      <c r="AX155" s="538"/>
    </row>
    <row r="156" spans="1:50">
      <c r="A156" s="5"/>
      <c r="B156" s="44" t="s">
        <v>3369</v>
      </c>
      <c r="C156" s="44" t="s">
        <v>1281</v>
      </c>
      <c r="D156" s="44" t="s">
        <v>2061</v>
      </c>
      <c r="E156" s="44" t="s">
        <v>2254</v>
      </c>
      <c r="F156" s="44" t="s">
        <v>2960</v>
      </c>
      <c r="G156" s="44" t="s">
        <v>1930</v>
      </c>
      <c r="H156" s="44" t="s">
        <v>116</v>
      </c>
      <c r="I156" s="44" t="s">
        <v>2600</v>
      </c>
      <c r="J156" s="328">
        <v>50</v>
      </c>
      <c r="K156" s="550">
        <v>3.75</v>
      </c>
      <c r="L156" s="550">
        <v>1</v>
      </c>
      <c r="M156" s="550">
        <v>0</v>
      </c>
      <c r="N156" s="550">
        <v>0</v>
      </c>
      <c r="O156" s="550">
        <v>0</v>
      </c>
      <c r="P156" s="550">
        <v>0</v>
      </c>
      <c r="Q156" s="550">
        <v>0</v>
      </c>
      <c r="R156" s="550">
        <v>0</v>
      </c>
      <c r="S156" s="550">
        <v>0</v>
      </c>
      <c r="T156" s="550">
        <v>0</v>
      </c>
      <c r="U156" s="550">
        <v>0</v>
      </c>
      <c r="V156" s="550">
        <v>0</v>
      </c>
      <c r="W156" s="550">
        <v>0</v>
      </c>
      <c r="X156" s="550">
        <v>0</v>
      </c>
      <c r="Y156" s="550">
        <v>0</v>
      </c>
      <c r="Z156" s="550">
        <v>0</v>
      </c>
      <c r="AA156" s="550">
        <v>0</v>
      </c>
      <c r="AB156" s="550">
        <v>0</v>
      </c>
      <c r="AC156" s="550">
        <v>0</v>
      </c>
      <c r="AD156" s="550">
        <v>0</v>
      </c>
      <c r="AE156" s="550">
        <v>0</v>
      </c>
      <c r="AF156" s="550">
        <v>0</v>
      </c>
      <c r="AG156" s="550">
        <v>0</v>
      </c>
      <c r="AH156" s="550">
        <v>0</v>
      </c>
      <c r="AI156" s="550">
        <v>0</v>
      </c>
      <c r="AJ156" s="550">
        <v>0</v>
      </c>
      <c r="AK156" s="550">
        <v>0</v>
      </c>
      <c r="AL156" s="550">
        <v>0</v>
      </c>
      <c r="AM156" s="173" t="str">
        <f t="shared" si="13"/>
        <v>SUBS - UK</v>
      </c>
      <c r="AN156" s="173" t="s">
        <v>543</v>
      </c>
      <c r="AO156" s="5"/>
      <c r="AS156" s="486"/>
      <c r="AT156" s="55"/>
      <c r="AU156" s="341"/>
      <c r="AV156" s="406"/>
      <c r="AW156" s="406"/>
      <c r="AX156" s="538"/>
    </row>
    <row r="157" spans="1:50">
      <c r="A157" s="5"/>
      <c r="B157" s="44" t="s">
        <v>3369</v>
      </c>
      <c r="C157" s="44" t="s">
        <v>1281</v>
      </c>
      <c r="D157" s="44" t="s">
        <v>2464</v>
      </c>
      <c r="E157" s="44" t="s">
        <v>1927</v>
      </c>
      <c r="F157" s="44" t="s">
        <v>2960</v>
      </c>
      <c r="G157" s="44" t="s">
        <v>1930</v>
      </c>
      <c r="H157" s="44" t="s">
        <v>116</v>
      </c>
      <c r="I157" s="44" t="s">
        <v>2600</v>
      </c>
      <c r="J157" s="328">
        <v>50</v>
      </c>
      <c r="K157" s="550">
        <v>4.55</v>
      </c>
      <c r="L157" s="550">
        <v>5.63</v>
      </c>
      <c r="M157" s="550">
        <v>4.4800000000000004</v>
      </c>
      <c r="N157" s="550">
        <v>4.1900000000000004</v>
      </c>
      <c r="O157" s="550">
        <v>3.41</v>
      </c>
      <c r="P157" s="550">
        <v>3.21</v>
      </c>
      <c r="Q157" s="550">
        <v>3.01</v>
      </c>
      <c r="R157" s="550">
        <v>2.56</v>
      </c>
      <c r="S157" s="550">
        <v>2.39</v>
      </c>
      <c r="T157" s="550">
        <v>1.48</v>
      </c>
      <c r="U157" s="550">
        <v>0.87</v>
      </c>
      <c r="V157" s="550">
        <v>0.95</v>
      </c>
      <c r="W157" s="550">
        <v>0.28000000000000003</v>
      </c>
      <c r="X157" s="550">
        <v>0.67</v>
      </c>
      <c r="Y157" s="550">
        <v>0.6</v>
      </c>
      <c r="Z157" s="550">
        <v>0.54</v>
      </c>
      <c r="AA157" s="550">
        <v>0</v>
      </c>
      <c r="AB157" s="550">
        <v>0</v>
      </c>
      <c r="AC157" s="550">
        <v>0</v>
      </c>
      <c r="AD157" s="550">
        <v>0</v>
      </c>
      <c r="AE157" s="550">
        <v>0</v>
      </c>
      <c r="AF157" s="550">
        <v>0</v>
      </c>
      <c r="AG157" s="550">
        <v>0</v>
      </c>
      <c r="AH157" s="550">
        <v>0</v>
      </c>
      <c r="AI157" s="550">
        <v>0</v>
      </c>
      <c r="AJ157" s="550">
        <v>0</v>
      </c>
      <c r="AK157" s="550">
        <v>0</v>
      </c>
      <c r="AL157" s="550">
        <v>0</v>
      </c>
      <c r="AM157" s="173" t="str">
        <f t="shared" si="13"/>
        <v>SUBS - UK</v>
      </c>
      <c r="AN157" s="173" t="s">
        <v>543</v>
      </c>
      <c r="AO157" s="5"/>
      <c r="AS157" s="486"/>
      <c r="AT157" s="55"/>
      <c r="AU157" s="341"/>
      <c r="AV157" s="406"/>
      <c r="AW157" s="406"/>
      <c r="AX157" s="538"/>
    </row>
    <row r="158" spans="1:50">
      <c r="A158" s="5"/>
      <c r="B158" s="44" t="s">
        <v>3369</v>
      </c>
      <c r="C158" s="44" t="s">
        <v>1281</v>
      </c>
      <c r="D158" s="44" t="s">
        <v>2465</v>
      </c>
      <c r="E158" s="44" t="s">
        <v>2254</v>
      </c>
      <c r="F158" s="44" t="s">
        <v>2960</v>
      </c>
      <c r="G158" s="44" t="s">
        <v>1930</v>
      </c>
      <c r="H158" s="44" t="s">
        <v>116</v>
      </c>
      <c r="I158" s="44" t="s">
        <v>2571</v>
      </c>
      <c r="J158" s="328">
        <v>25</v>
      </c>
      <c r="K158" s="550">
        <v>0</v>
      </c>
      <c r="L158" s="550">
        <v>0</v>
      </c>
      <c r="M158" s="550">
        <v>0</v>
      </c>
      <c r="N158" s="550">
        <v>0</v>
      </c>
      <c r="O158" s="550">
        <v>0</v>
      </c>
      <c r="P158" s="550">
        <v>0.55000000000000004</v>
      </c>
      <c r="Q158" s="550">
        <v>0</v>
      </c>
      <c r="R158" s="550">
        <v>0</v>
      </c>
      <c r="S158" s="550">
        <v>0</v>
      </c>
      <c r="T158" s="550">
        <v>0</v>
      </c>
      <c r="U158" s="550">
        <v>0</v>
      </c>
      <c r="V158" s="550">
        <v>0</v>
      </c>
      <c r="W158" s="550">
        <v>0</v>
      </c>
      <c r="X158" s="550">
        <v>0</v>
      </c>
      <c r="Y158" s="550">
        <v>0</v>
      </c>
      <c r="Z158" s="550">
        <v>0</v>
      </c>
      <c r="AA158" s="550">
        <v>0</v>
      </c>
      <c r="AB158" s="550">
        <v>0</v>
      </c>
      <c r="AC158" s="550">
        <v>0</v>
      </c>
      <c r="AD158" s="550">
        <v>0</v>
      </c>
      <c r="AE158" s="550">
        <v>0</v>
      </c>
      <c r="AF158" s="550">
        <v>0</v>
      </c>
      <c r="AG158" s="550">
        <v>0</v>
      </c>
      <c r="AH158" s="550">
        <v>0</v>
      </c>
      <c r="AI158" s="550">
        <v>0</v>
      </c>
      <c r="AJ158" s="550">
        <v>0</v>
      </c>
      <c r="AK158" s="550">
        <v>0</v>
      </c>
      <c r="AL158" s="550">
        <v>0</v>
      </c>
      <c r="AM158" s="173" t="str">
        <f t="shared" si="10"/>
        <v>SUBS - UK</v>
      </c>
      <c r="AN158" s="173" t="s">
        <v>543</v>
      </c>
      <c r="AO158" s="5"/>
      <c r="AS158" s="486"/>
      <c r="AT158" s="55"/>
      <c r="AU158" s="341"/>
      <c r="AV158" s="406"/>
      <c r="AW158" s="406"/>
      <c r="AX158" s="538"/>
    </row>
    <row r="159" spans="1:50">
      <c r="A159" s="5"/>
      <c r="B159" s="44" t="s">
        <v>3369</v>
      </c>
      <c r="C159" s="44" t="s">
        <v>1281</v>
      </c>
      <c r="D159" s="44" t="s">
        <v>2466</v>
      </c>
      <c r="E159" s="44" t="s">
        <v>2254</v>
      </c>
      <c r="F159" s="44" t="s">
        <v>2960</v>
      </c>
      <c r="G159" s="44" t="s">
        <v>1931</v>
      </c>
      <c r="H159" s="44" t="s">
        <v>116</v>
      </c>
      <c r="I159" s="44" t="s">
        <v>2600</v>
      </c>
      <c r="J159" s="328">
        <v>50</v>
      </c>
      <c r="K159" s="550">
        <v>41.43</v>
      </c>
      <c r="L159" s="550">
        <v>39.9</v>
      </c>
      <c r="M159" s="550">
        <v>34.42</v>
      </c>
      <c r="N159" s="550">
        <v>32</v>
      </c>
      <c r="O159" s="550">
        <v>29.5</v>
      </c>
      <c r="P159" s="550">
        <v>20.95</v>
      </c>
      <c r="Q159" s="550">
        <v>18.39</v>
      </c>
      <c r="R159" s="550">
        <v>15.4</v>
      </c>
      <c r="S159" s="550">
        <v>9.1</v>
      </c>
      <c r="T159" s="550">
        <v>6.51</v>
      </c>
      <c r="U159" s="550">
        <v>5.05</v>
      </c>
      <c r="V159" s="550">
        <v>4.72</v>
      </c>
      <c r="W159" s="550">
        <v>2.42</v>
      </c>
      <c r="X159" s="550">
        <v>0</v>
      </c>
      <c r="Y159" s="550">
        <v>0</v>
      </c>
      <c r="Z159" s="550">
        <v>0</v>
      </c>
      <c r="AA159" s="550">
        <v>0</v>
      </c>
      <c r="AB159" s="550">
        <v>0</v>
      </c>
      <c r="AC159" s="550">
        <v>0</v>
      </c>
      <c r="AD159" s="550">
        <v>0</v>
      </c>
      <c r="AE159" s="550">
        <v>0</v>
      </c>
      <c r="AF159" s="550">
        <v>0</v>
      </c>
      <c r="AG159" s="550">
        <v>0</v>
      </c>
      <c r="AH159" s="550">
        <v>0</v>
      </c>
      <c r="AI159" s="550">
        <v>0</v>
      </c>
      <c r="AJ159" s="550">
        <v>0</v>
      </c>
      <c r="AK159" s="550">
        <v>0</v>
      </c>
      <c r="AL159" s="550">
        <v>0</v>
      </c>
      <c r="AM159" s="173" t="str">
        <f t="shared" si="10"/>
        <v>SUBS - UK</v>
      </c>
      <c r="AN159" s="173" t="s">
        <v>543</v>
      </c>
      <c r="AO159" s="5"/>
      <c r="AS159" s="486"/>
      <c r="AT159" s="55"/>
      <c r="AU159" s="341"/>
      <c r="AV159" s="406"/>
      <c r="AW159" s="406"/>
      <c r="AX159" s="538"/>
    </row>
    <row r="160" spans="1:50">
      <c r="A160" s="5"/>
      <c r="B160" s="44" t="s">
        <v>3369</v>
      </c>
      <c r="C160" s="44" t="s">
        <v>1281</v>
      </c>
      <c r="D160" s="44" t="s">
        <v>2467</v>
      </c>
      <c r="E160" s="44" t="s">
        <v>2254</v>
      </c>
      <c r="F160" s="44" t="s">
        <v>2960</v>
      </c>
      <c r="G160" s="44" t="s">
        <v>1930</v>
      </c>
      <c r="H160" s="44" t="s">
        <v>116</v>
      </c>
      <c r="I160" s="44" t="s">
        <v>2600</v>
      </c>
      <c r="J160" s="328">
        <v>50</v>
      </c>
      <c r="K160" s="550">
        <v>2.5</v>
      </c>
      <c r="L160" s="550">
        <v>0.75</v>
      </c>
      <c r="M160" s="550">
        <v>0</v>
      </c>
      <c r="N160" s="550">
        <v>0</v>
      </c>
      <c r="O160" s="550">
        <v>0</v>
      </c>
      <c r="P160" s="550">
        <v>0.75</v>
      </c>
      <c r="Q160" s="550">
        <v>0.56999999999999995</v>
      </c>
      <c r="R160" s="550">
        <v>0.96</v>
      </c>
      <c r="S160" s="550">
        <v>0.42</v>
      </c>
      <c r="T160" s="550">
        <v>0.27</v>
      </c>
      <c r="U160" s="550">
        <v>0.23</v>
      </c>
      <c r="V160" s="550">
        <v>0.15</v>
      </c>
      <c r="W160" s="550">
        <v>0</v>
      </c>
      <c r="X160" s="550">
        <v>0</v>
      </c>
      <c r="Y160" s="550">
        <v>0</v>
      </c>
      <c r="Z160" s="550">
        <v>0</v>
      </c>
      <c r="AA160" s="550">
        <v>0</v>
      </c>
      <c r="AB160" s="550">
        <v>0</v>
      </c>
      <c r="AC160" s="550">
        <v>0</v>
      </c>
      <c r="AD160" s="550">
        <v>0</v>
      </c>
      <c r="AE160" s="550">
        <v>0</v>
      </c>
      <c r="AF160" s="550">
        <v>0</v>
      </c>
      <c r="AG160" s="550">
        <v>0</v>
      </c>
      <c r="AH160" s="550">
        <v>0</v>
      </c>
      <c r="AI160" s="550">
        <v>0</v>
      </c>
      <c r="AJ160" s="550">
        <v>0</v>
      </c>
      <c r="AK160" s="550">
        <v>0</v>
      </c>
      <c r="AL160" s="550">
        <v>0</v>
      </c>
      <c r="AM160" s="173" t="str">
        <f t="shared" si="10"/>
        <v>SUBS - UK</v>
      </c>
      <c r="AN160" s="173" t="s">
        <v>543</v>
      </c>
      <c r="AO160" s="5"/>
      <c r="AS160" s="486"/>
      <c r="AT160" s="55"/>
      <c r="AU160" s="341"/>
      <c r="AV160" s="406"/>
      <c r="AW160" s="406"/>
      <c r="AX160" s="538"/>
    </row>
    <row r="161" spans="1:50">
      <c r="A161" s="5"/>
      <c r="B161" s="44" t="s">
        <v>3369</v>
      </c>
      <c r="C161" s="44" t="s">
        <v>1281</v>
      </c>
      <c r="D161" s="44" t="s">
        <v>296</v>
      </c>
      <c r="E161" s="44" t="s">
        <v>2254</v>
      </c>
      <c r="F161" s="44" t="s">
        <v>2960</v>
      </c>
      <c r="G161" s="44" t="s">
        <v>1930</v>
      </c>
      <c r="H161" s="44" t="s">
        <v>116</v>
      </c>
      <c r="I161" s="44" t="s">
        <v>2571</v>
      </c>
      <c r="J161" s="328">
        <v>50</v>
      </c>
      <c r="K161" s="550">
        <v>27.04</v>
      </c>
      <c r="L161" s="550">
        <v>11.63</v>
      </c>
      <c r="M161" s="550">
        <v>10.55</v>
      </c>
      <c r="N161" s="550">
        <v>8</v>
      </c>
      <c r="O161" s="550">
        <v>6</v>
      </c>
      <c r="P161" s="550">
        <v>2.23</v>
      </c>
      <c r="Q161" s="550">
        <v>1.7</v>
      </c>
      <c r="R161" s="550">
        <v>0.76</v>
      </c>
      <c r="S161" s="550">
        <v>1.69</v>
      </c>
      <c r="T161" s="550">
        <v>1.1599999999999999</v>
      </c>
      <c r="U161" s="550">
        <v>2.19</v>
      </c>
      <c r="V161" s="550">
        <v>1.06</v>
      </c>
      <c r="W161" s="550">
        <v>0.25</v>
      </c>
      <c r="X161" s="550">
        <v>0</v>
      </c>
      <c r="Y161" s="550">
        <v>0</v>
      </c>
      <c r="Z161" s="550">
        <v>0</v>
      </c>
      <c r="AA161" s="550">
        <v>0</v>
      </c>
      <c r="AB161" s="550">
        <v>0</v>
      </c>
      <c r="AC161" s="550">
        <v>0</v>
      </c>
      <c r="AD161" s="550">
        <v>0</v>
      </c>
      <c r="AE161" s="550">
        <v>0</v>
      </c>
      <c r="AF161" s="550">
        <v>0</v>
      </c>
      <c r="AG161" s="550">
        <v>0</v>
      </c>
      <c r="AH161" s="550">
        <v>0</v>
      </c>
      <c r="AI161" s="550">
        <v>0</v>
      </c>
      <c r="AJ161" s="550">
        <v>0</v>
      </c>
      <c r="AK161" s="550">
        <v>0</v>
      </c>
      <c r="AL161" s="550">
        <v>0</v>
      </c>
      <c r="AM161" s="173" t="str">
        <f t="shared" si="10"/>
        <v>SUBS - UK</v>
      </c>
      <c r="AN161" s="173" t="s">
        <v>543</v>
      </c>
      <c r="AO161" s="5"/>
      <c r="AS161" s="486"/>
      <c r="AT161" s="55"/>
      <c r="AU161" s="341"/>
      <c r="AV161" s="406"/>
      <c r="AW161" s="406"/>
      <c r="AX161" s="538"/>
    </row>
    <row r="162" spans="1:50">
      <c r="A162" s="5"/>
      <c r="B162" s="44" t="s">
        <v>3369</v>
      </c>
      <c r="C162" s="44" t="s">
        <v>1281</v>
      </c>
      <c r="D162" s="44" t="s">
        <v>3669</v>
      </c>
      <c r="E162" s="44" t="s">
        <v>3372</v>
      </c>
      <c r="F162" s="44" t="s">
        <v>2960</v>
      </c>
      <c r="G162" s="44" t="s">
        <v>3374</v>
      </c>
      <c r="H162" s="44" t="s">
        <v>116</v>
      </c>
      <c r="I162" s="44" t="s">
        <v>2571</v>
      </c>
      <c r="J162" s="328">
        <v>68</v>
      </c>
      <c r="K162" s="550">
        <v>0</v>
      </c>
      <c r="L162" s="550">
        <v>0</v>
      </c>
      <c r="M162" s="550">
        <v>0</v>
      </c>
      <c r="N162" s="550">
        <v>0</v>
      </c>
      <c r="O162" s="550">
        <v>0</v>
      </c>
      <c r="P162" s="550">
        <v>0</v>
      </c>
      <c r="Q162" s="550">
        <v>0</v>
      </c>
      <c r="R162" s="550">
        <v>0</v>
      </c>
      <c r="S162" s="550">
        <v>0</v>
      </c>
      <c r="T162" s="550">
        <v>0</v>
      </c>
      <c r="U162" s="550">
        <v>0</v>
      </c>
      <c r="V162" s="550">
        <v>0</v>
      </c>
      <c r="W162" s="550">
        <v>0</v>
      </c>
      <c r="X162" s="550">
        <v>0</v>
      </c>
      <c r="Y162" s="550">
        <v>0</v>
      </c>
      <c r="Z162" s="550">
        <v>0</v>
      </c>
      <c r="AA162" s="550">
        <v>0</v>
      </c>
      <c r="AB162" s="550">
        <v>19.04</v>
      </c>
      <c r="AC162" s="550">
        <v>27.2</v>
      </c>
      <c r="AD162" s="550">
        <v>21.76</v>
      </c>
      <c r="AE162" s="550">
        <v>17.34</v>
      </c>
      <c r="AF162" s="550">
        <v>14.28</v>
      </c>
      <c r="AG162" s="550">
        <v>11.56</v>
      </c>
      <c r="AH162" s="550">
        <v>9.52</v>
      </c>
      <c r="AI162" s="550">
        <v>7.82</v>
      </c>
      <c r="AJ162" s="550">
        <v>0</v>
      </c>
      <c r="AK162" s="550">
        <v>0</v>
      </c>
      <c r="AL162" s="550">
        <v>0</v>
      </c>
      <c r="AM162" s="173" t="str">
        <f t="shared" ref="AM162" si="15">AN162&amp;" - "&amp;C162</f>
        <v>SUBS - UK</v>
      </c>
      <c r="AN162" s="173" t="s">
        <v>543</v>
      </c>
      <c r="AO162" s="5"/>
      <c r="AS162" s="486"/>
      <c r="AT162" s="55"/>
      <c r="AU162" s="341"/>
      <c r="AV162" s="406"/>
      <c r="AW162" s="406"/>
      <c r="AX162" s="538"/>
    </row>
    <row r="163" spans="1:50">
      <c r="A163" s="5"/>
      <c r="B163" s="44" t="s">
        <v>3369</v>
      </c>
      <c r="C163" s="44" t="s">
        <v>1281</v>
      </c>
      <c r="D163" s="44" t="s">
        <v>297</v>
      </c>
      <c r="E163" s="44" t="s">
        <v>1927</v>
      </c>
      <c r="F163" s="44" t="s">
        <v>2960</v>
      </c>
      <c r="G163" s="44" t="s">
        <v>1930</v>
      </c>
      <c r="H163" s="44" t="s">
        <v>116</v>
      </c>
      <c r="I163" s="44" t="s">
        <v>2600</v>
      </c>
      <c r="J163" s="328">
        <v>50</v>
      </c>
      <c r="K163" s="550">
        <v>24.54</v>
      </c>
      <c r="L163" s="550">
        <v>20.63</v>
      </c>
      <c r="M163" s="550">
        <v>15.5</v>
      </c>
      <c r="N163" s="550">
        <v>14.51</v>
      </c>
      <c r="O163" s="550">
        <v>12.66</v>
      </c>
      <c r="P163" s="550">
        <v>11.45</v>
      </c>
      <c r="Q163" s="550">
        <v>8.84</v>
      </c>
      <c r="R163" s="550">
        <v>7.2</v>
      </c>
      <c r="S163" s="550">
        <v>7.59</v>
      </c>
      <c r="T163" s="550">
        <v>4.79</v>
      </c>
      <c r="U163" s="550">
        <v>4.49</v>
      </c>
      <c r="V163" s="550">
        <v>5.69</v>
      </c>
      <c r="W163" s="550">
        <v>5.1100000000000003</v>
      </c>
      <c r="X163" s="550">
        <v>3.79</v>
      </c>
      <c r="Y163" s="550">
        <v>4.24</v>
      </c>
      <c r="Z163" s="550">
        <v>2.75</v>
      </c>
      <c r="AA163" s="550">
        <v>0</v>
      </c>
      <c r="AB163" s="550">
        <v>0</v>
      </c>
      <c r="AC163" s="550">
        <v>0</v>
      </c>
      <c r="AD163" s="550">
        <v>0</v>
      </c>
      <c r="AE163" s="550">
        <v>0</v>
      </c>
      <c r="AF163" s="550">
        <v>0</v>
      </c>
      <c r="AG163" s="550">
        <v>0</v>
      </c>
      <c r="AH163" s="550">
        <v>0</v>
      </c>
      <c r="AI163" s="550">
        <v>0</v>
      </c>
      <c r="AJ163" s="550">
        <v>0</v>
      </c>
      <c r="AK163" s="550">
        <v>0</v>
      </c>
      <c r="AL163" s="550">
        <v>0</v>
      </c>
      <c r="AM163" s="173" t="str">
        <f t="shared" si="10"/>
        <v>SUBS - UK</v>
      </c>
      <c r="AN163" s="173" t="s">
        <v>543</v>
      </c>
      <c r="AO163" s="5"/>
      <c r="AS163" s="486"/>
      <c r="AT163" s="55"/>
      <c r="AU163" s="341"/>
      <c r="AV163" s="406"/>
      <c r="AW163" s="406"/>
      <c r="AX163" s="538"/>
    </row>
    <row r="164" spans="1:50">
      <c r="A164" s="5"/>
      <c r="B164" s="44" t="s">
        <v>3369</v>
      </c>
      <c r="C164" s="44" t="s">
        <v>1281</v>
      </c>
      <c r="D164" s="44" t="s">
        <v>298</v>
      </c>
      <c r="E164" s="44" t="s">
        <v>1927</v>
      </c>
      <c r="F164" s="44" t="s">
        <v>2960</v>
      </c>
      <c r="G164" s="44" t="s">
        <v>1930</v>
      </c>
      <c r="H164" s="44" t="s">
        <v>117</v>
      </c>
      <c r="I164" s="44" t="s">
        <v>2600</v>
      </c>
      <c r="J164" s="328">
        <v>100</v>
      </c>
      <c r="K164" s="550">
        <v>127.08</v>
      </c>
      <c r="L164" s="550">
        <v>110.73</v>
      </c>
      <c r="M164" s="550">
        <v>92.49</v>
      </c>
      <c r="N164" s="550">
        <v>85</v>
      </c>
      <c r="O164" s="550">
        <v>85.21</v>
      </c>
      <c r="P164" s="550">
        <v>84.6</v>
      </c>
      <c r="Q164" s="550">
        <v>73.900000000000006</v>
      </c>
      <c r="R164" s="550">
        <v>62.27</v>
      </c>
      <c r="S164" s="550">
        <v>0</v>
      </c>
      <c r="T164" s="550">
        <v>0</v>
      </c>
      <c r="U164" s="550">
        <v>0</v>
      </c>
      <c r="V164" s="550">
        <v>0</v>
      </c>
      <c r="W164" s="550">
        <v>0</v>
      </c>
      <c r="X164" s="550">
        <v>0</v>
      </c>
      <c r="Y164" s="550">
        <v>0</v>
      </c>
      <c r="Z164" s="550">
        <v>0</v>
      </c>
      <c r="AA164" s="550">
        <v>0</v>
      </c>
      <c r="AB164" s="550">
        <v>0</v>
      </c>
      <c r="AC164" s="550">
        <v>0</v>
      </c>
      <c r="AD164" s="550">
        <v>0</v>
      </c>
      <c r="AE164" s="550">
        <v>0</v>
      </c>
      <c r="AF164" s="550">
        <v>0</v>
      </c>
      <c r="AG164" s="550">
        <v>0</v>
      </c>
      <c r="AH164" s="550">
        <v>0</v>
      </c>
      <c r="AI164" s="550">
        <v>0</v>
      </c>
      <c r="AJ164" s="550">
        <v>0</v>
      </c>
      <c r="AK164" s="550">
        <v>0</v>
      </c>
      <c r="AL164" s="550">
        <v>0</v>
      </c>
      <c r="AM164" s="173" t="str">
        <f t="shared" si="10"/>
        <v>SUBS - UK</v>
      </c>
      <c r="AN164" s="173" t="s">
        <v>543</v>
      </c>
      <c r="AO164" s="5"/>
      <c r="AS164" s="486"/>
      <c r="AT164" s="55"/>
      <c r="AU164" s="341"/>
      <c r="AV164" s="406"/>
      <c r="AW164" s="406"/>
      <c r="AX164" s="538"/>
    </row>
    <row r="165" spans="1:50">
      <c r="A165" s="5"/>
      <c r="B165" s="44" t="s">
        <v>3369</v>
      </c>
      <c r="C165" s="44" t="s">
        <v>1281</v>
      </c>
      <c r="D165" s="44" t="s">
        <v>299</v>
      </c>
      <c r="E165" s="44" t="s">
        <v>1927</v>
      </c>
      <c r="F165" s="44" t="s">
        <v>2960</v>
      </c>
      <c r="G165" s="44" t="s">
        <v>1930</v>
      </c>
      <c r="H165" s="44" t="s">
        <v>116</v>
      </c>
      <c r="I165" s="44" t="s">
        <v>2571</v>
      </c>
      <c r="J165" s="328">
        <v>66.27</v>
      </c>
      <c r="K165" s="550">
        <v>8.7100000000000009</v>
      </c>
      <c r="L165" s="550">
        <v>10.78</v>
      </c>
      <c r="M165" s="550">
        <v>10.199999999999999</v>
      </c>
      <c r="N165" s="550">
        <v>8.52</v>
      </c>
      <c r="O165" s="550">
        <v>7.66</v>
      </c>
      <c r="P165" s="550">
        <v>11.17</v>
      </c>
      <c r="Q165" s="550">
        <v>10.23</v>
      </c>
      <c r="R165" s="550">
        <v>4.9800000000000004</v>
      </c>
      <c r="S165" s="550">
        <v>0</v>
      </c>
      <c r="T165" s="550">
        <v>0</v>
      </c>
      <c r="U165" s="550">
        <v>0</v>
      </c>
      <c r="V165" s="550">
        <v>0</v>
      </c>
      <c r="W165" s="550">
        <v>0</v>
      </c>
      <c r="X165" s="550">
        <v>0</v>
      </c>
      <c r="Y165" s="550">
        <v>0</v>
      </c>
      <c r="Z165" s="550">
        <v>0</v>
      </c>
      <c r="AA165" s="550">
        <v>0</v>
      </c>
      <c r="AB165" s="550">
        <v>0</v>
      </c>
      <c r="AC165" s="550">
        <v>0</v>
      </c>
      <c r="AD165" s="550">
        <v>0</v>
      </c>
      <c r="AE165" s="550">
        <v>0</v>
      </c>
      <c r="AF165" s="550">
        <v>0</v>
      </c>
      <c r="AG165" s="550">
        <v>0</v>
      </c>
      <c r="AH165" s="550">
        <v>0</v>
      </c>
      <c r="AI165" s="550">
        <v>0</v>
      </c>
      <c r="AJ165" s="550">
        <v>0</v>
      </c>
      <c r="AK165" s="550">
        <v>0</v>
      </c>
      <c r="AL165" s="550">
        <v>0</v>
      </c>
      <c r="AM165" s="173" t="str">
        <f t="shared" si="10"/>
        <v>SUBS - UK</v>
      </c>
      <c r="AN165" s="173" t="s">
        <v>543</v>
      </c>
      <c r="AO165" s="5"/>
      <c r="AS165" s="486"/>
      <c r="AT165" s="55"/>
      <c r="AU165" s="341"/>
      <c r="AV165" s="406"/>
      <c r="AW165" s="406"/>
      <c r="AX165" s="538"/>
    </row>
    <row r="166" spans="1:50">
      <c r="A166" s="5"/>
      <c r="B166" s="44" t="s">
        <v>3369</v>
      </c>
      <c r="C166" s="44" t="s">
        <v>1281</v>
      </c>
      <c r="D166" s="44" t="s">
        <v>300</v>
      </c>
      <c r="E166" s="44" t="s">
        <v>1927</v>
      </c>
      <c r="F166" s="44" t="s">
        <v>2960</v>
      </c>
      <c r="G166" s="44" t="s">
        <v>1930</v>
      </c>
      <c r="H166" s="44" t="s">
        <v>116</v>
      </c>
      <c r="I166" s="44" t="s">
        <v>2571</v>
      </c>
      <c r="J166" s="328">
        <v>66.27</v>
      </c>
      <c r="K166" s="550">
        <v>4.84</v>
      </c>
      <c r="L166" s="550">
        <v>5.85</v>
      </c>
      <c r="M166" s="550">
        <v>3.77</v>
      </c>
      <c r="N166" s="550">
        <v>1.87</v>
      </c>
      <c r="O166" s="550">
        <v>1.92</v>
      </c>
      <c r="P166" s="550">
        <v>2.79</v>
      </c>
      <c r="Q166" s="550">
        <v>2.56</v>
      </c>
      <c r="R166" s="550">
        <v>1.21</v>
      </c>
      <c r="S166" s="550">
        <v>0</v>
      </c>
      <c r="T166" s="550">
        <v>0</v>
      </c>
      <c r="U166" s="550">
        <v>0</v>
      </c>
      <c r="V166" s="550">
        <v>0</v>
      </c>
      <c r="W166" s="550">
        <v>0</v>
      </c>
      <c r="X166" s="550">
        <v>0</v>
      </c>
      <c r="Y166" s="550">
        <v>0</v>
      </c>
      <c r="Z166" s="550">
        <v>0</v>
      </c>
      <c r="AA166" s="550">
        <v>0</v>
      </c>
      <c r="AB166" s="550">
        <v>0</v>
      </c>
      <c r="AC166" s="550">
        <v>0</v>
      </c>
      <c r="AD166" s="550">
        <v>0</v>
      </c>
      <c r="AE166" s="550">
        <v>0</v>
      </c>
      <c r="AF166" s="550">
        <v>0</v>
      </c>
      <c r="AG166" s="550">
        <v>0</v>
      </c>
      <c r="AH166" s="550">
        <v>0</v>
      </c>
      <c r="AI166" s="550">
        <v>0</v>
      </c>
      <c r="AJ166" s="550">
        <v>0</v>
      </c>
      <c r="AK166" s="550">
        <v>0</v>
      </c>
      <c r="AL166" s="550">
        <v>0</v>
      </c>
      <c r="AM166" s="173" t="str">
        <f t="shared" si="10"/>
        <v>SUBS - UK</v>
      </c>
      <c r="AN166" s="173" t="s">
        <v>543</v>
      </c>
      <c r="AO166" s="5"/>
      <c r="AS166" s="486"/>
      <c r="AT166" s="55"/>
      <c r="AU166" s="341"/>
      <c r="AV166" s="406"/>
      <c r="AW166" s="406"/>
      <c r="AX166" s="538"/>
    </row>
    <row r="167" spans="1:50">
      <c r="A167" s="5"/>
      <c r="B167" s="44" t="s">
        <v>3369</v>
      </c>
      <c r="C167" s="44" t="s">
        <v>1281</v>
      </c>
      <c r="D167" s="44" t="s">
        <v>1856</v>
      </c>
      <c r="E167" s="44" t="s">
        <v>1927</v>
      </c>
      <c r="F167" s="44" t="s">
        <v>2960</v>
      </c>
      <c r="G167" s="44" t="s">
        <v>1932</v>
      </c>
      <c r="H167" s="44" t="s">
        <v>116</v>
      </c>
      <c r="I167" s="44" t="s">
        <v>1931</v>
      </c>
      <c r="J167" s="328">
        <v>67.81</v>
      </c>
      <c r="K167" s="550">
        <v>3.95</v>
      </c>
      <c r="L167" s="550">
        <v>3.28</v>
      </c>
      <c r="M167" s="550">
        <v>2.37</v>
      </c>
      <c r="N167" s="550">
        <v>1.27</v>
      </c>
      <c r="O167" s="550">
        <v>0.83</v>
      </c>
      <c r="P167" s="550">
        <v>0.77</v>
      </c>
      <c r="Q167" s="550">
        <v>0.68</v>
      </c>
      <c r="R167" s="550">
        <v>0</v>
      </c>
      <c r="S167" s="550">
        <v>0</v>
      </c>
      <c r="T167" s="550">
        <v>0</v>
      </c>
      <c r="U167" s="550">
        <v>0</v>
      </c>
      <c r="V167" s="550">
        <v>0</v>
      </c>
      <c r="W167" s="550">
        <v>0</v>
      </c>
      <c r="X167" s="550">
        <v>0</v>
      </c>
      <c r="Y167" s="550">
        <v>0</v>
      </c>
      <c r="Z167" s="550">
        <v>0</v>
      </c>
      <c r="AA167" s="550">
        <v>0</v>
      </c>
      <c r="AB167" s="550">
        <v>0</v>
      </c>
      <c r="AC167" s="550">
        <v>0</v>
      </c>
      <c r="AD167" s="550">
        <v>0</v>
      </c>
      <c r="AE167" s="550">
        <v>0</v>
      </c>
      <c r="AF167" s="550">
        <v>0</v>
      </c>
      <c r="AG167" s="550">
        <v>0</v>
      </c>
      <c r="AH167" s="550">
        <v>0</v>
      </c>
      <c r="AI167" s="550">
        <v>0</v>
      </c>
      <c r="AJ167" s="550">
        <v>0</v>
      </c>
      <c r="AK167" s="550">
        <v>0</v>
      </c>
      <c r="AL167" s="550">
        <v>0</v>
      </c>
      <c r="AM167" s="173" t="str">
        <f t="shared" si="10"/>
        <v>SUBS - UK</v>
      </c>
      <c r="AN167" s="173" t="s">
        <v>543</v>
      </c>
      <c r="AO167" s="5"/>
      <c r="AS167" s="486"/>
      <c r="AT167" s="55"/>
      <c r="AU167" s="341"/>
      <c r="AV167" s="406"/>
      <c r="AW167" s="406"/>
      <c r="AX167" s="538"/>
    </row>
    <row r="168" spans="1:50">
      <c r="A168" s="5"/>
      <c r="B168" s="44" t="s">
        <v>3369</v>
      </c>
      <c r="C168" s="44" t="s">
        <v>2924</v>
      </c>
      <c r="D168" s="44" t="s">
        <v>2925</v>
      </c>
      <c r="E168" s="44" t="s">
        <v>1927</v>
      </c>
      <c r="F168" s="44" t="s">
        <v>1928</v>
      </c>
      <c r="G168" s="44" t="s">
        <v>1929</v>
      </c>
      <c r="H168" s="44" t="s">
        <v>116</v>
      </c>
      <c r="I168" s="44" t="s">
        <v>1931</v>
      </c>
      <c r="J168" s="328">
        <v>40</v>
      </c>
      <c r="K168" s="550">
        <v>124.44</v>
      </c>
      <c r="L168" s="550">
        <v>124.32</v>
      </c>
      <c r="M168" s="550">
        <v>127.8</v>
      </c>
      <c r="N168" s="550">
        <v>131.19999999999999</v>
      </c>
      <c r="O168" s="550">
        <v>96.8</v>
      </c>
      <c r="P168" s="550">
        <v>77.599999999999994</v>
      </c>
      <c r="Q168" s="550">
        <v>61.31</v>
      </c>
      <c r="R168" s="550">
        <v>48.81</v>
      </c>
      <c r="S168" s="550">
        <v>33.26</v>
      </c>
      <c r="T168" s="550">
        <v>0</v>
      </c>
      <c r="U168" s="550">
        <v>0</v>
      </c>
      <c r="V168" s="550">
        <v>0</v>
      </c>
      <c r="W168" s="550">
        <v>0</v>
      </c>
      <c r="X168" s="550">
        <v>0</v>
      </c>
      <c r="Y168" s="550">
        <v>0</v>
      </c>
      <c r="Z168" s="550">
        <v>0</v>
      </c>
      <c r="AA168" s="550">
        <v>0</v>
      </c>
      <c r="AB168" s="550">
        <v>0</v>
      </c>
      <c r="AC168" s="550">
        <v>0</v>
      </c>
      <c r="AD168" s="550">
        <v>0</v>
      </c>
      <c r="AE168" s="550">
        <v>0</v>
      </c>
      <c r="AF168" s="550">
        <v>0</v>
      </c>
      <c r="AG168" s="550">
        <v>0</v>
      </c>
      <c r="AH168" s="550">
        <v>0</v>
      </c>
      <c r="AI168" s="550">
        <v>0</v>
      </c>
      <c r="AJ168" s="550">
        <v>0</v>
      </c>
      <c r="AK168" s="550">
        <v>0</v>
      </c>
      <c r="AL168" s="550">
        <v>0</v>
      </c>
      <c r="AM168" s="173" t="str">
        <f t="shared" si="10"/>
        <v>SUBS - United Arab Emirates</v>
      </c>
      <c r="AN168" s="173" t="s">
        <v>543</v>
      </c>
      <c r="AO168" s="5"/>
      <c r="AS168" s="486"/>
      <c r="AT168" s="55"/>
      <c r="AU168" s="341"/>
      <c r="AV168" s="406"/>
      <c r="AW168" s="406"/>
      <c r="AX168" s="538"/>
    </row>
    <row r="169" spans="1:50">
      <c r="A169" s="5"/>
      <c r="B169" s="44" t="s">
        <v>3369</v>
      </c>
      <c r="C169" s="44" t="s">
        <v>2926</v>
      </c>
      <c r="D169" s="44" t="s">
        <v>2933</v>
      </c>
      <c r="E169" s="44" t="s">
        <v>1927</v>
      </c>
      <c r="F169" s="44" t="s">
        <v>1928</v>
      </c>
      <c r="G169" s="44" t="s">
        <v>1929</v>
      </c>
      <c r="H169" s="44" t="s">
        <v>2966</v>
      </c>
      <c r="I169" s="44" t="s">
        <v>1931</v>
      </c>
      <c r="J169" s="328">
        <v>31.92</v>
      </c>
      <c r="K169" s="550">
        <v>0</v>
      </c>
      <c r="L169" s="550">
        <v>0</v>
      </c>
      <c r="M169" s="550">
        <v>0</v>
      </c>
      <c r="N169" s="550">
        <v>0</v>
      </c>
      <c r="O169" s="550">
        <v>0</v>
      </c>
      <c r="P169" s="550">
        <v>0</v>
      </c>
      <c r="Q169" s="550">
        <v>0</v>
      </c>
      <c r="R169" s="550">
        <v>0</v>
      </c>
      <c r="S169" s="550">
        <v>0</v>
      </c>
      <c r="T169" s="550">
        <v>0</v>
      </c>
      <c r="U169" s="550">
        <v>0</v>
      </c>
      <c r="V169" s="550">
        <v>0</v>
      </c>
      <c r="W169" s="550">
        <v>0</v>
      </c>
      <c r="X169" s="550">
        <v>0</v>
      </c>
      <c r="Y169" s="550">
        <v>0</v>
      </c>
      <c r="Z169" s="550">
        <v>0</v>
      </c>
      <c r="AA169" s="550">
        <v>0</v>
      </c>
      <c r="AB169" s="550">
        <v>0</v>
      </c>
      <c r="AC169" s="550">
        <v>0</v>
      </c>
      <c r="AD169" s="550">
        <v>0</v>
      </c>
      <c r="AE169" s="550">
        <v>149.66</v>
      </c>
      <c r="AF169" s="550">
        <v>230.35</v>
      </c>
      <c r="AG169" s="550">
        <v>255.87</v>
      </c>
      <c r="AH169" s="550">
        <v>255.86</v>
      </c>
      <c r="AI169" s="550">
        <v>255.88</v>
      </c>
      <c r="AJ169" s="550">
        <v>255.89</v>
      </c>
      <c r="AK169" s="550">
        <v>255.9</v>
      </c>
      <c r="AL169" s="550">
        <v>273.8</v>
      </c>
      <c r="AM169" s="173" t="str">
        <f t="shared" si="10"/>
        <v>SUBS - US (Alaska)</v>
      </c>
      <c r="AN169" s="173" t="s">
        <v>543</v>
      </c>
      <c r="AO169" s="5"/>
      <c r="AS169" s="486"/>
      <c r="AT169" s="55"/>
      <c r="AU169" s="341"/>
      <c r="AV169" s="406"/>
      <c r="AW169" s="406"/>
      <c r="AX169" s="538"/>
    </row>
    <row r="170" spans="1:50">
      <c r="A170" s="5"/>
      <c r="B170" s="44" t="s">
        <v>3369</v>
      </c>
      <c r="C170" s="44" t="s">
        <v>2926</v>
      </c>
      <c r="D170" s="44" t="s">
        <v>3685</v>
      </c>
      <c r="E170" s="44" t="s">
        <v>1927</v>
      </c>
      <c r="F170" s="44" t="s">
        <v>1928</v>
      </c>
      <c r="G170" s="44" t="s">
        <v>3374</v>
      </c>
      <c r="H170" s="44" t="s">
        <v>116</v>
      </c>
      <c r="I170" s="44" t="s">
        <v>1931</v>
      </c>
      <c r="J170" s="328">
        <v>26.360600000000002</v>
      </c>
      <c r="K170" s="550">
        <v>0</v>
      </c>
      <c r="L170" s="550">
        <v>0</v>
      </c>
      <c r="M170" s="550">
        <v>0</v>
      </c>
      <c r="N170" s="550">
        <v>0</v>
      </c>
      <c r="O170" s="550">
        <v>0</v>
      </c>
      <c r="P170" s="550">
        <v>0</v>
      </c>
      <c r="Q170" s="550">
        <v>0</v>
      </c>
      <c r="R170" s="550">
        <v>0</v>
      </c>
      <c r="S170" s="550">
        <v>0</v>
      </c>
      <c r="T170" s="550">
        <v>0</v>
      </c>
      <c r="U170" s="550">
        <v>0</v>
      </c>
      <c r="V170" s="550">
        <v>0</v>
      </c>
      <c r="W170" s="550">
        <v>0</v>
      </c>
      <c r="X170" s="550">
        <v>0</v>
      </c>
      <c r="Y170" s="550">
        <v>0</v>
      </c>
      <c r="Z170" s="550">
        <v>0</v>
      </c>
      <c r="AA170" s="550">
        <v>0</v>
      </c>
      <c r="AB170" s="550">
        <v>0</v>
      </c>
      <c r="AC170" s="550">
        <v>0</v>
      </c>
      <c r="AD170" s="550">
        <v>0</v>
      </c>
      <c r="AE170" s="550">
        <v>0</v>
      </c>
      <c r="AF170" s="550">
        <v>0</v>
      </c>
      <c r="AG170" s="550">
        <v>0</v>
      </c>
      <c r="AH170" s="550">
        <v>0</v>
      </c>
      <c r="AI170" s="550">
        <v>0</v>
      </c>
      <c r="AJ170" s="550">
        <v>0</v>
      </c>
      <c r="AK170" s="550">
        <v>0</v>
      </c>
      <c r="AL170" s="550">
        <v>420.82</v>
      </c>
      <c r="AM170" s="173" t="str">
        <f t="shared" si="10"/>
        <v>SUBS - US (Alaska)</v>
      </c>
      <c r="AN170" s="173" t="s">
        <v>543</v>
      </c>
      <c r="AO170" s="5"/>
      <c r="AS170" s="486"/>
      <c r="AT170" s="55"/>
      <c r="AU170" s="341"/>
      <c r="AV170" s="406"/>
      <c r="AW170" s="406"/>
      <c r="AX170" s="538"/>
    </row>
    <row r="171" spans="1:50">
      <c r="A171" s="5"/>
      <c r="B171" s="44" t="s">
        <v>3369</v>
      </c>
      <c r="C171" s="44" t="s">
        <v>160</v>
      </c>
      <c r="D171" s="44" t="s">
        <v>161</v>
      </c>
      <c r="E171" s="44" t="s">
        <v>1927</v>
      </c>
      <c r="F171" s="44" t="s">
        <v>3373</v>
      </c>
      <c r="G171" s="44" t="s">
        <v>3374</v>
      </c>
      <c r="H171" s="44" t="s">
        <v>116</v>
      </c>
      <c r="I171" s="44" t="s">
        <v>2607</v>
      </c>
      <c r="J171" s="328">
        <v>56</v>
      </c>
      <c r="K171" s="550">
        <v>0</v>
      </c>
      <c r="L171" s="550">
        <v>0</v>
      </c>
      <c r="M171" s="550">
        <v>0</v>
      </c>
      <c r="N171" s="550">
        <v>0</v>
      </c>
      <c r="O171" s="550">
        <v>1.31</v>
      </c>
      <c r="P171" s="550">
        <v>25.12</v>
      </c>
      <c r="Q171" s="550">
        <v>34.549999999999997</v>
      </c>
      <c r="R171" s="550">
        <v>30.34</v>
      </c>
      <c r="S171" s="550">
        <v>20.59</v>
      </c>
      <c r="T171" s="550">
        <v>14.27</v>
      </c>
      <c r="U171" s="550">
        <v>26.67</v>
      </c>
      <c r="V171" s="550">
        <v>39.630000000000003</v>
      </c>
      <c r="W171" s="550">
        <v>37.32</v>
      </c>
      <c r="X171" s="550">
        <v>36.520000000000003</v>
      </c>
      <c r="Y171" s="550">
        <v>39.6</v>
      </c>
      <c r="Z171" s="550">
        <v>38.229999999999997</v>
      </c>
      <c r="AA171" s="550">
        <v>35.22</v>
      </c>
      <c r="AB171" s="550">
        <v>32.42</v>
      </c>
      <c r="AC171" s="550">
        <v>27.78</v>
      </c>
      <c r="AD171" s="550">
        <v>27.2</v>
      </c>
      <c r="AE171" s="550">
        <v>28.35</v>
      </c>
      <c r="AF171" s="550">
        <v>29.36</v>
      </c>
      <c r="AG171" s="550">
        <v>29.83</v>
      </c>
      <c r="AH171" s="550">
        <v>27.12</v>
      </c>
      <c r="AI171" s="550">
        <v>23.48</v>
      </c>
      <c r="AJ171" s="550">
        <v>20.46</v>
      </c>
      <c r="AK171" s="550">
        <v>17.16</v>
      </c>
      <c r="AL171" s="550">
        <v>13.46</v>
      </c>
      <c r="AM171" s="173" t="str">
        <f t="shared" si="10"/>
        <v>SUBS - US (Deepwater GOM)</v>
      </c>
      <c r="AN171" s="173" t="s">
        <v>543</v>
      </c>
      <c r="AO171" s="5"/>
      <c r="AS171" s="486"/>
      <c r="AT171" s="55"/>
      <c r="AU171" s="341"/>
      <c r="AV171" s="406"/>
      <c r="AW171" s="406"/>
      <c r="AX171" s="538"/>
    </row>
    <row r="172" spans="1:50">
      <c r="A172" s="5"/>
      <c r="B172" s="44" t="s">
        <v>3369</v>
      </c>
      <c r="C172" s="44" t="s">
        <v>160</v>
      </c>
      <c r="D172" s="44" t="s">
        <v>2301</v>
      </c>
      <c r="E172" s="44" t="s">
        <v>1927</v>
      </c>
      <c r="F172" s="44" t="s">
        <v>2960</v>
      </c>
      <c r="G172" s="44" t="s">
        <v>3374</v>
      </c>
      <c r="H172" s="44" t="s">
        <v>116</v>
      </c>
      <c r="I172" s="44" t="s">
        <v>2600</v>
      </c>
      <c r="J172" s="328">
        <v>24.09</v>
      </c>
      <c r="K172" s="550">
        <v>16.309999999999999</v>
      </c>
      <c r="L172" s="550">
        <v>8.93</v>
      </c>
      <c r="M172" s="550">
        <v>3.06</v>
      </c>
      <c r="N172" s="550">
        <v>0</v>
      </c>
      <c r="O172" s="550">
        <v>0</v>
      </c>
      <c r="P172" s="550">
        <v>0</v>
      </c>
      <c r="Q172" s="550">
        <v>0</v>
      </c>
      <c r="R172" s="550">
        <v>0</v>
      </c>
      <c r="S172" s="550">
        <v>0</v>
      </c>
      <c r="T172" s="550">
        <v>0</v>
      </c>
      <c r="U172" s="550">
        <v>0</v>
      </c>
      <c r="V172" s="550">
        <v>0</v>
      </c>
      <c r="W172" s="550">
        <v>0</v>
      </c>
      <c r="X172" s="550">
        <v>0</v>
      </c>
      <c r="Y172" s="550">
        <v>0</v>
      </c>
      <c r="Z172" s="550">
        <v>0</v>
      </c>
      <c r="AA172" s="550">
        <v>0</v>
      </c>
      <c r="AB172" s="550">
        <v>0</v>
      </c>
      <c r="AC172" s="550">
        <v>0</v>
      </c>
      <c r="AD172" s="550">
        <v>0</v>
      </c>
      <c r="AE172" s="550">
        <v>0</v>
      </c>
      <c r="AF172" s="550">
        <v>0</v>
      </c>
      <c r="AG172" s="550">
        <v>0</v>
      </c>
      <c r="AH172" s="550">
        <v>0</v>
      </c>
      <c r="AI172" s="550">
        <v>0</v>
      </c>
      <c r="AJ172" s="550">
        <v>0</v>
      </c>
      <c r="AK172" s="550">
        <v>0</v>
      </c>
      <c r="AL172" s="550">
        <v>0</v>
      </c>
      <c r="AM172" s="173" t="str">
        <f t="shared" si="10"/>
        <v>SUBS - US (Deepwater GOM)</v>
      </c>
      <c r="AN172" s="173" t="s">
        <v>543</v>
      </c>
      <c r="AO172" s="5"/>
      <c r="AS172" s="486"/>
      <c r="AT172" s="55"/>
      <c r="AU172" s="341"/>
      <c r="AV172" s="406"/>
      <c r="AW172" s="406"/>
      <c r="AX172" s="538"/>
    </row>
    <row r="173" spans="1:50">
      <c r="A173" s="5"/>
      <c r="B173" s="44" t="s">
        <v>3369</v>
      </c>
      <c r="C173" s="44" t="s">
        <v>160</v>
      </c>
      <c r="D173" s="44" t="s">
        <v>3686</v>
      </c>
      <c r="E173" s="44" t="s">
        <v>2970</v>
      </c>
      <c r="F173" s="44" t="s">
        <v>2973</v>
      </c>
      <c r="G173" s="44" t="s">
        <v>3374</v>
      </c>
      <c r="H173" s="44" t="s">
        <v>116</v>
      </c>
      <c r="I173" s="44" t="s">
        <v>2571</v>
      </c>
      <c r="J173" s="328">
        <v>66.67</v>
      </c>
      <c r="K173" s="550">
        <v>0</v>
      </c>
      <c r="L173" s="550">
        <v>0</v>
      </c>
      <c r="M173" s="550">
        <v>0</v>
      </c>
      <c r="N173" s="550">
        <v>0</v>
      </c>
      <c r="O173" s="550">
        <v>0</v>
      </c>
      <c r="P173" s="550">
        <v>0</v>
      </c>
      <c r="Q173" s="550">
        <v>0</v>
      </c>
      <c r="R173" s="550">
        <v>0</v>
      </c>
      <c r="S173" s="550">
        <v>0</v>
      </c>
      <c r="T173" s="550">
        <v>0</v>
      </c>
      <c r="U173" s="550">
        <v>0</v>
      </c>
      <c r="V173" s="550">
        <v>0</v>
      </c>
      <c r="W173" s="550">
        <v>0</v>
      </c>
      <c r="X173" s="550">
        <v>0</v>
      </c>
      <c r="Y173" s="550">
        <v>0</v>
      </c>
      <c r="Z173" s="550">
        <v>5.82</v>
      </c>
      <c r="AA173" s="550">
        <v>9.59</v>
      </c>
      <c r="AB173" s="550">
        <v>7.46</v>
      </c>
      <c r="AC173" s="550">
        <v>5.81</v>
      </c>
      <c r="AD173" s="550">
        <v>4.53</v>
      </c>
      <c r="AE173" s="550">
        <v>3.53</v>
      </c>
      <c r="AF173" s="550">
        <v>2.75</v>
      </c>
      <c r="AG173" s="550">
        <v>2.14</v>
      </c>
      <c r="AH173" s="550">
        <v>1.67</v>
      </c>
      <c r="AI173" s="550">
        <v>1.29</v>
      </c>
      <c r="AJ173" s="550">
        <v>4.1100000000000003</v>
      </c>
      <c r="AK173" s="550">
        <v>2.95</v>
      </c>
      <c r="AL173" s="550">
        <v>2.29</v>
      </c>
      <c r="AM173" s="173" t="str">
        <f t="shared" ref="AM173" si="16">AN173&amp;" - "&amp;C173</f>
        <v>SUBS - US (Deepwater GOM)</v>
      </c>
      <c r="AN173" s="173" t="s">
        <v>543</v>
      </c>
      <c r="AO173" s="5"/>
      <c r="AS173" s="486"/>
      <c r="AT173" s="55"/>
      <c r="AU173" s="341"/>
      <c r="AV173" s="406"/>
      <c r="AW173" s="406"/>
      <c r="AX173" s="538"/>
    </row>
    <row r="174" spans="1:50">
      <c r="A174" s="5"/>
      <c r="B174" s="44" t="s">
        <v>3369</v>
      </c>
      <c r="C174" s="44" t="s">
        <v>160</v>
      </c>
      <c r="D174" s="44" t="s">
        <v>2302</v>
      </c>
      <c r="E174" s="44" t="s">
        <v>1927</v>
      </c>
      <c r="F174" s="44" t="s">
        <v>2973</v>
      </c>
      <c r="G174" s="44" t="s">
        <v>3374</v>
      </c>
      <c r="H174" s="44" t="s">
        <v>116</v>
      </c>
      <c r="I174" s="44" t="s">
        <v>2571</v>
      </c>
      <c r="J174" s="328">
        <v>50</v>
      </c>
      <c r="K174" s="550">
        <v>15.25</v>
      </c>
      <c r="L174" s="550">
        <v>8.1199999999999992</v>
      </c>
      <c r="M174" s="550">
        <v>4.0199999999999996</v>
      </c>
      <c r="N174" s="550">
        <v>3.85</v>
      </c>
      <c r="O174" s="550">
        <v>1.35</v>
      </c>
      <c r="P174" s="550">
        <v>0.97</v>
      </c>
      <c r="Q174" s="550">
        <v>1.25</v>
      </c>
      <c r="R174" s="550">
        <v>1.1000000000000001</v>
      </c>
      <c r="S174" s="550">
        <v>0.77</v>
      </c>
      <c r="T174" s="550">
        <v>0.75</v>
      </c>
      <c r="U174" s="550">
        <v>0.93</v>
      </c>
      <c r="V174" s="550">
        <v>1.1000000000000001</v>
      </c>
      <c r="W174" s="550">
        <v>0.82</v>
      </c>
      <c r="X174" s="550">
        <v>0.64</v>
      </c>
      <c r="Y174" s="550">
        <v>0.52</v>
      </c>
      <c r="Z174" s="550">
        <v>0.42</v>
      </c>
      <c r="AA174" s="550">
        <v>0.14000000000000001</v>
      </c>
      <c r="AB174" s="550">
        <v>0</v>
      </c>
      <c r="AC174" s="550">
        <v>0</v>
      </c>
      <c r="AD174" s="550">
        <v>0</v>
      </c>
      <c r="AE174" s="550">
        <v>0</v>
      </c>
      <c r="AF174" s="550">
        <v>0</v>
      </c>
      <c r="AG174" s="550">
        <v>0</v>
      </c>
      <c r="AH174" s="550">
        <v>0</v>
      </c>
      <c r="AI174" s="550">
        <v>0</v>
      </c>
      <c r="AJ174" s="550">
        <v>0</v>
      </c>
      <c r="AK174" s="550">
        <v>0</v>
      </c>
      <c r="AL174" s="550">
        <v>0</v>
      </c>
      <c r="AM174" s="173" t="str">
        <f t="shared" si="10"/>
        <v>SUBS - US (Deepwater GOM)</v>
      </c>
      <c r="AN174" s="173" t="s">
        <v>543</v>
      </c>
      <c r="AO174" s="5"/>
      <c r="AS174" s="486"/>
      <c r="AT174" s="55"/>
      <c r="AU174" s="341"/>
      <c r="AV174" s="406"/>
      <c r="AW174" s="406"/>
      <c r="AX174" s="538"/>
    </row>
    <row r="175" spans="1:50">
      <c r="A175" s="5"/>
      <c r="B175" s="44" t="s">
        <v>3369</v>
      </c>
      <c r="C175" s="44" t="s">
        <v>160</v>
      </c>
      <c r="D175" s="44" t="s">
        <v>2303</v>
      </c>
      <c r="E175" s="44" t="s">
        <v>1927</v>
      </c>
      <c r="F175" s="44" t="s">
        <v>2973</v>
      </c>
      <c r="G175" s="44" t="s">
        <v>1932</v>
      </c>
      <c r="H175" s="44" t="s">
        <v>116</v>
      </c>
      <c r="I175" s="44" t="s">
        <v>2571</v>
      </c>
      <c r="J175" s="328">
        <v>100</v>
      </c>
      <c r="K175" s="550">
        <v>0</v>
      </c>
      <c r="L175" s="550">
        <v>0</v>
      </c>
      <c r="M175" s="550">
        <v>0</v>
      </c>
      <c r="N175" s="550">
        <v>0</v>
      </c>
      <c r="O175" s="550">
        <v>0</v>
      </c>
      <c r="P175" s="550">
        <v>0</v>
      </c>
      <c r="Q175" s="550">
        <v>12.95</v>
      </c>
      <c r="R175" s="550">
        <v>24.67</v>
      </c>
      <c r="S175" s="550">
        <v>22.13</v>
      </c>
      <c r="T175" s="550">
        <v>11.11</v>
      </c>
      <c r="U175" s="550">
        <v>0</v>
      </c>
      <c r="V175" s="550">
        <v>0</v>
      </c>
      <c r="W175" s="550">
        <v>0</v>
      </c>
      <c r="X175" s="550">
        <v>0</v>
      </c>
      <c r="Y175" s="550">
        <v>0</v>
      </c>
      <c r="Z175" s="550">
        <v>0</v>
      </c>
      <c r="AA175" s="550">
        <v>0</v>
      </c>
      <c r="AB175" s="550">
        <v>0</v>
      </c>
      <c r="AC175" s="550">
        <v>0</v>
      </c>
      <c r="AD175" s="550">
        <v>0</v>
      </c>
      <c r="AE175" s="550">
        <v>0</v>
      </c>
      <c r="AF175" s="550">
        <v>0</v>
      </c>
      <c r="AG175" s="550">
        <v>0</v>
      </c>
      <c r="AH175" s="550">
        <v>0</v>
      </c>
      <c r="AI175" s="550">
        <v>0</v>
      </c>
      <c r="AJ175" s="550">
        <v>0</v>
      </c>
      <c r="AK175" s="550">
        <v>0</v>
      </c>
      <c r="AL175" s="550">
        <v>0</v>
      </c>
      <c r="AM175" s="173" t="str">
        <f t="shared" si="10"/>
        <v>SUBS - US (Deepwater GOM)</v>
      </c>
      <c r="AN175" s="173" t="s">
        <v>543</v>
      </c>
      <c r="AO175" s="5"/>
      <c r="AS175" s="486"/>
      <c r="AT175" s="55"/>
      <c r="AU175" s="341"/>
      <c r="AV175" s="406"/>
      <c r="AW175" s="406"/>
      <c r="AX175" s="538"/>
    </row>
    <row r="176" spans="1:50">
      <c r="A176" s="5"/>
      <c r="B176" s="44" t="s">
        <v>3369</v>
      </c>
      <c r="C176" s="44" t="s">
        <v>160</v>
      </c>
      <c r="D176" s="44" t="s">
        <v>324</v>
      </c>
      <c r="E176" s="44" t="s">
        <v>1927</v>
      </c>
      <c r="F176" s="44" t="s">
        <v>2973</v>
      </c>
      <c r="G176" s="44" t="s">
        <v>3374</v>
      </c>
      <c r="H176" s="44" t="s">
        <v>116</v>
      </c>
      <c r="I176" s="44" t="s">
        <v>3558</v>
      </c>
      <c r="J176" s="328">
        <v>33.33</v>
      </c>
      <c r="K176" s="550">
        <v>3.11</v>
      </c>
      <c r="L176" s="550">
        <v>0.56999999999999995</v>
      </c>
      <c r="M176" s="550">
        <v>1.1399999999999999</v>
      </c>
      <c r="N176" s="550">
        <v>7.04</v>
      </c>
      <c r="O176" s="550">
        <v>18.329999999999998</v>
      </c>
      <c r="P176" s="550">
        <v>10.77</v>
      </c>
      <c r="Q176" s="550">
        <v>6.23</v>
      </c>
      <c r="R176" s="550">
        <v>1.91</v>
      </c>
      <c r="S176" s="550">
        <v>1.32</v>
      </c>
      <c r="T176" s="550">
        <v>1.1399999999999999</v>
      </c>
      <c r="U176" s="550">
        <v>1.44</v>
      </c>
      <c r="V176" s="550">
        <v>2.61</v>
      </c>
      <c r="W176" s="550">
        <v>3.96</v>
      </c>
      <c r="X176" s="550">
        <v>2.74</v>
      </c>
      <c r="Y176" s="550">
        <v>2.0699999999999998</v>
      </c>
      <c r="Z176" s="550">
        <v>1.1399999999999999</v>
      </c>
      <c r="AA176" s="550">
        <v>0.65</v>
      </c>
      <c r="AB176" s="550">
        <v>0.38</v>
      </c>
      <c r="AC176" s="550">
        <v>0.24</v>
      </c>
      <c r="AD176" s="550">
        <v>0.15</v>
      </c>
      <c r="AE176" s="550">
        <v>0.11</v>
      </c>
      <c r="AF176" s="550">
        <v>7.0000000000000007E-2</v>
      </c>
      <c r="AG176" s="550">
        <v>0.05</v>
      </c>
      <c r="AH176" s="550">
        <v>0</v>
      </c>
      <c r="AI176" s="550">
        <v>0</v>
      </c>
      <c r="AJ176" s="550">
        <v>0</v>
      </c>
      <c r="AK176" s="550">
        <v>0</v>
      </c>
      <c r="AL176" s="550">
        <v>0</v>
      </c>
      <c r="AM176" s="173" t="str">
        <f t="shared" si="10"/>
        <v>SUBS - US (Deepwater GOM)</v>
      </c>
      <c r="AN176" s="173" t="s">
        <v>543</v>
      </c>
      <c r="AO176" s="5"/>
      <c r="AS176" s="486"/>
      <c r="AT176" s="55"/>
      <c r="AU176" s="341"/>
      <c r="AV176" s="406"/>
      <c r="AW176" s="406"/>
      <c r="AX176" s="538"/>
    </row>
    <row r="177" spans="1:50">
      <c r="A177" s="5"/>
      <c r="B177" s="44" t="s">
        <v>3369</v>
      </c>
      <c r="C177" s="44" t="s">
        <v>160</v>
      </c>
      <c r="D177" s="44" t="s">
        <v>325</v>
      </c>
      <c r="E177" s="44" t="s">
        <v>1927</v>
      </c>
      <c r="F177" s="44" t="s">
        <v>3373</v>
      </c>
      <c r="G177" s="44" t="s">
        <v>3374</v>
      </c>
      <c r="H177" s="44" t="s">
        <v>116</v>
      </c>
      <c r="I177" s="44" t="s">
        <v>2608</v>
      </c>
      <c r="J177" s="328">
        <v>33.33</v>
      </c>
      <c r="K177" s="550">
        <v>0</v>
      </c>
      <c r="L177" s="550">
        <v>0</v>
      </c>
      <c r="M177" s="550">
        <v>0</v>
      </c>
      <c r="N177" s="550">
        <v>0</v>
      </c>
      <c r="O177" s="550">
        <v>0</v>
      </c>
      <c r="P177" s="550">
        <v>0</v>
      </c>
      <c r="Q177" s="550">
        <v>0</v>
      </c>
      <c r="R177" s="550">
        <v>1.66</v>
      </c>
      <c r="S177" s="550">
        <v>14.52</v>
      </c>
      <c r="T177" s="550">
        <v>25.16</v>
      </c>
      <c r="U177" s="550">
        <v>29.45</v>
      </c>
      <c r="V177" s="550">
        <v>34.07</v>
      </c>
      <c r="W177" s="550">
        <v>48.94</v>
      </c>
      <c r="X177" s="550">
        <v>44.11</v>
      </c>
      <c r="Y177" s="550">
        <v>38.86</v>
      </c>
      <c r="Z177" s="550">
        <v>37.31</v>
      </c>
      <c r="AA177" s="550">
        <v>36.15</v>
      </c>
      <c r="AB177" s="550">
        <v>33.840000000000003</v>
      </c>
      <c r="AC177" s="550">
        <v>28.82</v>
      </c>
      <c r="AD177" s="550">
        <v>24.61</v>
      </c>
      <c r="AE177" s="550">
        <v>19.38</v>
      </c>
      <c r="AF177" s="550">
        <v>14.34</v>
      </c>
      <c r="AG177" s="550">
        <v>11.46</v>
      </c>
      <c r="AH177" s="550">
        <v>10.46</v>
      </c>
      <c r="AI177" s="550">
        <v>8.16</v>
      </c>
      <c r="AJ177" s="550">
        <v>6.5</v>
      </c>
      <c r="AK177" s="550">
        <v>5.26</v>
      </c>
      <c r="AL177" s="550">
        <v>4.33</v>
      </c>
      <c r="AM177" s="173" t="str">
        <f t="shared" si="10"/>
        <v>SUBS - US (Deepwater GOM)</v>
      </c>
      <c r="AN177" s="173" t="s">
        <v>543</v>
      </c>
      <c r="AO177" s="5"/>
      <c r="AS177" s="486"/>
      <c r="AT177" s="55"/>
      <c r="AU177" s="341"/>
      <c r="AV177" s="406"/>
      <c r="AW177" s="406"/>
      <c r="AX177" s="538"/>
    </row>
    <row r="178" spans="1:50">
      <c r="A178" s="5"/>
      <c r="B178" s="44" t="s">
        <v>3369</v>
      </c>
      <c r="C178" s="44" t="s">
        <v>160</v>
      </c>
      <c r="D178" s="44" t="s">
        <v>326</v>
      </c>
      <c r="E178" s="44" t="s">
        <v>1927</v>
      </c>
      <c r="F178" s="44" t="s">
        <v>2973</v>
      </c>
      <c r="G178" s="44" t="s">
        <v>3374</v>
      </c>
      <c r="H178" s="44" t="s">
        <v>116</v>
      </c>
      <c r="I178" s="44" t="s">
        <v>2608</v>
      </c>
      <c r="J178" s="328">
        <v>33.33</v>
      </c>
      <c r="K178" s="550">
        <v>47.9</v>
      </c>
      <c r="L178" s="550">
        <v>62.84</v>
      </c>
      <c r="M178" s="550">
        <v>45.62</v>
      </c>
      <c r="N178" s="550">
        <v>31.38</v>
      </c>
      <c r="O178" s="550">
        <v>17.309999999999999</v>
      </c>
      <c r="P178" s="550">
        <v>8.9499999999999993</v>
      </c>
      <c r="Q178" s="550">
        <v>7.64</v>
      </c>
      <c r="R178" s="550">
        <v>6.53</v>
      </c>
      <c r="S178" s="550">
        <v>5.99</v>
      </c>
      <c r="T178" s="550">
        <v>4.72</v>
      </c>
      <c r="U178" s="550">
        <v>0</v>
      </c>
      <c r="V178" s="550">
        <v>0</v>
      </c>
      <c r="W178" s="550">
        <v>0</v>
      </c>
      <c r="X178" s="550">
        <v>0</v>
      </c>
      <c r="Y178" s="550">
        <v>0</v>
      </c>
      <c r="Z178" s="550">
        <v>0</v>
      </c>
      <c r="AA178" s="550">
        <v>0</v>
      </c>
      <c r="AB178" s="550">
        <v>0</v>
      </c>
      <c r="AC178" s="550">
        <v>0</v>
      </c>
      <c r="AD178" s="550">
        <v>0</v>
      </c>
      <c r="AE178" s="550">
        <v>0</v>
      </c>
      <c r="AF178" s="550">
        <v>0</v>
      </c>
      <c r="AG178" s="550">
        <v>0</v>
      </c>
      <c r="AH178" s="550">
        <v>0</v>
      </c>
      <c r="AI178" s="550">
        <v>0</v>
      </c>
      <c r="AJ178" s="550">
        <v>0</v>
      </c>
      <c r="AK178" s="550">
        <v>0</v>
      </c>
      <c r="AL178" s="550">
        <v>0</v>
      </c>
      <c r="AM178" s="173" t="str">
        <f t="shared" si="10"/>
        <v>SUBS - US (Deepwater GOM)</v>
      </c>
      <c r="AN178" s="173" t="s">
        <v>543</v>
      </c>
      <c r="AO178" s="5"/>
      <c r="AS178" s="486"/>
      <c r="AT178" s="55"/>
      <c r="AU178" s="341"/>
      <c r="AV178" s="406"/>
      <c r="AW178" s="406"/>
      <c r="AX178" s="538"/>
    </row>
    <row r="179" spans="1:50">
      <c r="A179" s="5"/>
      <c r="B179" s="44" t="s">
        <v>3369</v>
      </c>
      <c r="C179" s="44" t="s">
        <v>160</v>
      </c>
      <c r="D179" s="44" t="s">
        <v>327</v>
      </c>
      <c r="E179" s="44" t="s">
        <v>1927</v>
      </c>
      <c r="F179" s="44" t="s">
        <v>3373</v>
      </c>
      <c r="G179" s="44" t="s">
        <v>3374</v>
      </c>
      <c r="H179" s="44" t="s">
        <v>116</v>
      </c>
      <c r="I179" s="44" t="s">
        <v>2608</v>
      </c>
      <c r="J179" s="328">
        <v>100</v>
      </c>
      <c r="K179" s="550">
        <v>34.020000000000003</v>
      </c>
      <c r="L179" s="550">
        <v>33.340000000000003</v>
      </c>
      <c r="M179" s="550">
        <v>21</v>
      </c>
      <c r="N179" s="550">
        <v>18.93</v>
      </c>
      <c r="O179" s="550">
        <v>20</v>
      </c>
      <c r="P179" s="550">
        <v>16.510000000000002</v>
      </c>
      <c r="Q179" s="550">
        <v>14.53</v>
      </c>
      <c r="R179" s="550">
        <v>11.15</v>
      </c>
      <c r="S179" s="550">
        <v>6.94</v>
      </c>
      <c r="T179" s="550">
        <v>4.78</v>
      </c>
      <c r="U179" s="550">
        <v>0</v>
      </c>
      <c r="V179" s="550">
        <v>0</v>
      </c>
      <c r="W179" s="550">
        <v>0</v>
      </c>
      <c r="X179" s="550">
        <v>0</v>
      </c>
      <c r="Y179" s="550">
        <v>0</v>
      </c>
      <c r="Z179" s="550">
        <v>0</v>
      </c>
      <c r="AA179" s="550">
        <v>0</v>
      </c>
      <c r="AB179" s="550">
        <v>0</v>
      </c>
      <c r="AC179" s="550">
        <v>0</v>
      </c>
      <c r="AD179" s="550">
        <v>0</v>
      </c>
      <c r="AE179" s="550">
        <v>0</v>
      </c>
      <c r="AF179" s="550">
        <v>0</v>
      </c>
      <c r="AG179" s="550">
        <v>0</v>
      </c>
      <c r="AH179" s="550">
        <v>0</v>
      </c>
      <c r="AI179" s="550">
        <v>0</v>
      </c>
      <c r="AJ179" s="550">
        <v>0</v>
      </c>
      <c r="AK179" s="550">
        <v>0</v>
      </c>
      <c r="AL179" s="550">
        <v>0</v>
      </c>
      <c r="AM179" s="173" t="str">
        <f t="shared" ref="AM179:AM242" si="17">AN179&amp;" - "&amp;C179</f>
        <v>SUBS - US (Deepwater GOM)</v>
      </c>
      <c r="AN179" s="173" t="s">
        <v>543</v>
      </c>
      <c r="AO179" s="5"/>
      <c r="AS179" s="486"/>
      <c r="AT179" s="55"/>
      <c r="AU179" s="341"/>
      <c r="AV179" s="406"/>
      <c r="AW179" s="406"/>
      <c r="AX179" s="538"/>
    </row>
    <row r="180" spans="1:50">
      <c r="A180" s="5"/>
      <c r="B180" s="44" t="s">
        <v>3369</v>
      </c>
      <c r="C180" s="44" t="s">
        <v>160</v>
      </c>
      <c r="D180" s="44" t="s">
        <v>1511</v>
      </c>
      <c r="E180" s="44" t="s">
        <v>1927</v>
      </c>
      <c r="F180" s="44" t="s">
        <v>3373</v>
      </c>
      <c r="G180" s="44" t="s">
        <v>3374</v>
      </c>
      <c r="H180" s="44" t="s">
        <v>116</v>
      </c>
      <c r="I180" s="44" t="s">
        <v>2571</v>
      </c>
      <c r="J180" s="328">
        <v>66.67</v>
      </c>
      <c r="K180" s="550">
        <v>0</v>
      </c>
      <c r="L180" s="550">
        <v>0</v>
      </c>
      <c r="M180" s="550">
        <v>0</v>
      </c>
      <c r="N180" s="550">
        <v>0</v>
      </c>
      <c r="O180" s="550">
        <v>0</v>
      </c>
      <c r="P180" s="550">
        <v>0</v>
      </c>
      <c r="Q180" s="550">
        <v>0</v>
      </c>
      <c r="R180" s="550">
        <v>0</v>
      </c>
      <c r="S180" s="550">
        <v>0</v>
      </c>
      <c r="T180" s="550">
        <v>4.5</v>
      </c>
      <c r="U180" s="550">
        <v>5.29</v>
      </c>
      <c r="V180" s="550">
        <v>4.17</v>
      </c>
      <c r="W180" s="550">
        <v>4.18</v>
      </c>
      <c r="X180" s="550">
        <v>1.33</v>
      </c>
      <c r="Y180" s="550">
        <v>4.87</v>
      </c>
      <c r="Z180" s="550">
        <v>3.61</v>
      </c>
      <c r="AA180" s="550">
        <v>2.66</v>
      </c>
      <c r="AB180" s="550">
        <v>1.96</v>
      </c>
      <c r="AC180" s="550">
        <v>1.45</v>
      </c>
      <c r="AD180" s="550">
        <v>1.07</v>
      </c>
      <c r="AE180" s="550">
        <v>0.79</v>
      </c>
      <c r="AF180" s="550">
        <v>0.57999999999999996</v>
      </c>
      <c r="AG180" s="550">
        <v>0.43</v>
      </c>
      <c r="AH180" s="550">
        <v>0.31</v>
      </c>
      <c r="AI180" s="550">
        <v>0.23</v>
      </c>
      <c r="AJ180" s="550">
        <v>0.17</v>
      </c>
      <c r="AK180" s="550">
        <v>0.13</v>
      </c>
      <c r="AL180" s="550">
        <v>0.09</v>
      </c>
      <c r="AM180" s="173" t="str">
        <f t="shared" si="17"/>
        <v>SUBS - US (Deepwater GOM)</v>
      </c>
      <c r="AN180" s="173" t="s">
        <v>543</v>
      </c>
      <c r="AO180" s="5"/>
      <c r="AS180" s="486"/>
      <c r="AT180" s="55"/>
      <c r="AU180" s="341"/>
      <c r="AV180" s="406"/>
      <c r="AW180" s="406"/>
      <c r="AX180" s="538"/>
    </row>
    <row r="181" spans="1:50">
      <c r="A181" s="5"/>
      <c r="B181" s="44" t="s">
        <v>3369</v>
      </c>
      <c r="C181" s="44" t="s">
        <v>160</v>
      </c>
      <c r="D181" s="44" t="s">
        <v>505</v>
      </c>
      <c r="E181" s="44" t="s">
        <v>1927</v>
      </c>
      <c r="F181" s="44" t="s">
        <v>2973</v>
      </c>
      <c r="G181" s="44" t="s">
        <v>3374</v>
      </c>
      <c r="H181" s="44" t="s">
        <v>116</v>
      </c>
      <c r="I181" s="44" t="s">
        <v>2571</v>
      </c>
      <c r="J181" s="328">
        <v>28.5</v>
      </c>
      <c r="K181" s="550">
        <v>2.65</v>
      </c>
      <c r="L181" s="550">
        <v>1.77</v>
      </c>
      <c r="M181" s="550">
        <v>1.0900000000000001</v>
      </c>
      <c r="N181" s="550">
        <v>0.7</v>
      </c>
      <c r="O181" s="550">
        <v>2.35</v>
      </c>
      <c r="P181" s="550">
        <v>1.91</v>
      </c>
      <c r="Q181" s="550">
        <v>2.33</v>
      </c>
      <c r="R181" s="550">
        <v>0.47</v>
      </c>
      <c r="S181" s="550">
        <v>0.4</v>
      </c>
      <c r="T181" s="550">
        <v>0.49</v>
      </c>
      <c r="U181" s="550">
        <v>0.3</v>
      </c>
      <c r="V181" s="550">
        <v>0.15</v>
      </c>
      <c r="W181" s="550">
        <v>0.11</v>
      </c>
      <c r="X181" s="550">
        <v>7.0000000000000007E-2</v>
      </c>
      <c r="Y181" s="550">
        <v>0.09</v>
      </c>
      <c r="Z181" s="550">
        <v>7.0000000000000007E-2</v>
      </c>
      <c r="AA181" s="550">
        <v>0.05</v>
      </c>
      <c r="AB181" s="550">
        <v>0</v>
      </c>
      <c r="AC181" s="550">
        <v>0</v>
      </c>
      <c r="AD181" s="550">
        <v>0</v>
      </c>
      <c r="AE181" s="550">
        <v>0</v>
      </c>
      <c r="AF181" s="550">
        <v>0</v>
      </c>
      <c r="AG181" s="550">
        <v>0</v>
      </c>
      <c r="AH181" s="550">
        <v>0</v>
      </c>
      <c r="AI181" s="550">
        <v>0</v>
      </c>
      <c r="AJ181" s="550">
        <v>0</v>
      </c>
      <c r="AK181" s="550">
        <v>0</v>
      </c>
      <c r="AL181" s="550">
        <v>0</v>
      </c>
      <c r="AM181" s="173" t="str">
        <f t="shared" si="17"/>
        <v>SUBS - US (Deepwater GOM)</v>
      </c>
      <c r="AN181" s="173" t="s">
        <v>543</v>
      </c>
      <c r="AO181" s="5"/>
      <c r="AS181" s="486"/>
      <c r="AT181" s="55"/>
      <c r="AU181" s="341"/>
      <c r="AV181" s="406"/>
      <c r="AW181" s="406"/>
      <c r="AX181" s="538"/>
    </row>
    <row r="182" spans="1:50">
      <c r="A182" s="5"/>
      <c r="B182" s="44" t="s">
        <v>3369</v>
      </c>
      <c r="C182" s="44" t="s">
        <v>160</v>
      </c>
      <c r="D182" s="44" t="s">
        <v>615</v>
      </c>
      <c r="E182" s="44" t="s">
        <v>1927</v>
      </c>
      <c r="F182" s="44" t="s">
        <v>3373</v>
      </c>
      <c r="G182" s="44" t="s">
        <v>3374</v>
      </c>
      <c r="H182" s="44" t="s">
        <v>116</v>
      </c>
      <c r="I182" s="44" t="s">
        <v>2571</v>
      </c>
      <c r="J182" s="328">
        <v>100</v>
      </c>
      <c r="K182" s="550">
        <v>33.659999999999997</v>
      </c>
      <c r="L182" s="550">
        <v>30</v>
      </c>
      <c r="M182" s="550">
        <v>35.11</v>
      </c>
      <c r="N182" s="550">
        <v>41.21</v>
      </c>
      <c r="O182" s="550">
        <v>32.93</v>
      </c>
      <c r="P182" s="550">
        <v>30.81</v>
      </c>
      <c r="Q182" s="550">
        <v>29.33</v>
      </c>
      <c r="R182" s="550">
        <v>24.04</v>
      </c>
      <c r="S182" s="550">
        <v>20.16</v>
      </c>
      <c r="T182" s="550">
        <v>11.55</v>
      </c>
      <c r="U182" s="550">
        <v>0</v>
      </c>
      <c r="V182" s="550">
        <v>0</v>
      </c>
      <c r="W182" s="550">
        <v>0</v>
      </c>
      <c r="X182" s="550">
        <v>0</v>
      </c>
      <c r="Y182" s="550">
        <v>0</v>
      </c>
      <c r="Z182" s="550">
        <v>0</v>
      </c>
      <c r="AA182" s="550">
        <v>0</v>
      </c>
      <c r="AB182" s="550">
        <v>0</v>
      </c>
      <c r="AC182" s="550">
        <v>0</v>
      </c>
      <c r="AD182" s="550">
        <v>0</v>
      </c>
      <c r="AE182" s="550">
        <v>0</v>
      </c>
      <c r="AF182" s="550">
        <v>0</v>
      </c>
      <c r="AG182" s="550">
        <v>0</v>
      </c>
      <c r="AH182" s="550">
        <v>0</v>
      </c>
      <c r="AI182" s="550">
        <v>0</v>
      </c>
      <c r="AJ182" s="550">
        <v>0</v>
      </c>
      <c r="AK182" s="550">
        <v>0</v>
      </c>
      <c r="AL182" s="550">
        <v>0</v>
      </c>
      <c r="AM182" s="173" t="str">
        <f t="shared" si="17"/>
        <v>SUBS - US (Deepwater GOM)</v>
      </c>
      <c r="AN182" s="173" t="s">
        <v>543</v>
      </c>
      <c r="AO182" s="5"/>
      <c r="AS182" s="486"/>
      <c r="AT182" s="55"/>
      <c r="AU182" s="341"/>
      <c r="AV182" s="406"/>
      <c r="AW182" s="406"/>
      <c r="AX182" s="538"/>
    </row>
    <row r="183" spans="1:50">
      <c r="A183" s="5"/>
      <c r="B183" s="44" t="s">
        <v>3369</v>
      </c>
      <c r="C183" s="44" t="s">
        <v>160</v>
      </c>
      <c r="D183" s="44" t="s">
        <v>107</v>
      </c>
      <c r="E183" s="44" t="s">
        <v>2254</v>
      </c>
      <c r="F183" s="44" t="s">
        <v>3373</v>
      </c>
      <c r="G183" s="44" t="s">
        <v>1930</v>
      </c>
      <c r="H183" s="44" t="s">
        <v>116</v>
      </c>
      <c r="I183" s="44" t="s">
        <v>2571</v>
      </c>
      <c r="J183" s="328">
        <v>55</v>
      </c>
      <c r="K183" s="550">
        <v>83.98</v>
      </c>
      <c r="L183" s="550">
        <v>37.44</v>
      </c>
      <c r="M183" s="550">
        <v>11.7</v>
      </c>
      <c r="N183" s="550">
        <v>0</v>
      </c>
      <c r="O183" s="550">
        <v>0</v>
      </c>
      <c r="P183" s="550">
        <v>0</v>
      </c>
      <c r="Q183" s="550">
        <v>0</v>
      </c>
      <c r="R183" s="550">
        <v>0</v>
      </c>
      <c r="S183" s="550">
        <v>0</v>
      </c>
      <c r="T183" s="550">
        <v>0</v>
      </c>
      <c r="U183" s="550">
        <v>0</v>
      </c>
      <c r="V183" s="550">
        <v>0</v>
      </c>
      <c r="W183" s="550">
        <v>0</v>
      </c>
      <c r="X183" s="550">
        <v>0</v>
      </c>
      <c r="Y183" s="550">
        <v>0</v>
      </c>
      <c r="Z183" s="550">
        <v>0</v>
      </c>
      <c r="AA183" s="550">
        <v>0</v>
      </c>
      <c r="AB183" s="550">
        <v>0</v>
      </c>
      <c r="AC183" s="550">
        <v>0</v>
      </c>
      <c r="AD183" s="550">
        <v>0</v>
      </c>
      <c r="AE183" s="550">
        <v>0</v>
      </c>
      <c r="AF183" s="550">
        <v>0</v>
      </c>
      <c r="AG183" s="550">
        <v>0</v>
      </c>
      <c r="AH183" s="550">
        <v>0</v>
      </c>
      <c r="AI183" s="550">
        <v>0</v>
      </c>
      <c r="AJ183" s="550">
        <v>0</v>
      </c>
      <c r="AK183" s="550">
        <v>0</v>
      </c>
      <c r="AL183" s="550">
        <v>0</v>
      </c>
      <c r="AM183" s="173" t="str">
        <f t="shared" si="17"/>
        <v>SUBS - US (Deepwater GOM)</v>
      </c>
      <c r="AN183" s="173" t="s">
        <v>543</v>
      </c>
      <c r="AO183" s="5"/>
      <c r="AS183" s="486"/>
      <c r="AT183" s="55"/>
      <c r="AU183" s="341"/>
      <c r="AV183" s="406"/>
      <c r="AW183" s="406"/>
      <c r="AX183" s="538"/>
    </row>
    <row r="184" spans="1:50">
      <c r="A184" s="5"/>
      <c r="B184" s="44" t="s">
        <v>3369</v>
      </c>
      <c r="C184" s="44" t="s">
        <v>160</v>
      </c>
      <c r="D184" s="44" t="s">
        <v>3530</v>
      </c>
      <c r="E184" s="44" t="s">
        <v>1927</v>
      </c>
      <c r="F184" s="44" t="s">
        <v>3373</v>
      </c>
      <c r="G184" s="44" t="s">
        <v>3374</v>
      </c>
      <c r="H184" s="44" t="s">
        <v>116</v>
      </c>
      <c r="I184" s="44" t="s">
        <v>2608</v>
      </c>
      <c r="J184" s="328">
        <v>60.5</v>
      </c>
      <c r="K184" s="550">
        <v>0</v>
      </c>
      <c r="L184" s="550">
        <v>0</v>
      </c>
      <c r="M184" s="550">
        <v>3.98</v>
      </c>
      <c r="N184" s="550">
        <v>6.85</v>
      </c>
      <c r="O184" s="550">
        <v>8.4</v>
      </c>
      <c r="P184" s="550">
        <v>10.039999999999999</v>
      </c>
      <c r="Q184" s="550">
        <v>11.11</v>
      </c>
      <c r="R184" s="550">
        <v>9.98</v>
      </c>
      <c r="S184" s="550">
        <v>2.52</v>
      </c>
      <c r="T184" s="550">
        <v>2.93</v>
      </c>
      <c r="U184" s="550">
        <v>6.01</v>
      </c>
      <c r="V184" s="550">
        <v>5.41</v>
      </c>
      <c r="W184" s="550">
        <v>6.35</v>
      </c>
      <c r="X184" s="550">
        <v>9.24</v>
      </c>
      <c r="Y184" s="550">
        <v>11.85</v>
      </c>
      <c r="Z184" s="550">
        <v>13.35</v>
      </c>
      <c r="AA184" s="550">
        <v>11.87</v>
      </c>
      <c r="AB184" s="550">
        <v>11.91</v>
      </c>
      <c r="AC184" s="550">
        <v>13.24</v>
      </c>
      <c r="AD184" s="550">
        <v>23.23</v>
      </c>
      <c r="AE184" s="550">
        <v>20.059999999999999</v>
      </c>
      <c r="AF184" s="550">
        <v>19.88</v>
      </c>
      <c r="AG184" s="550">
        <v>19.579999999999998</v>
      </c>
      <c r="AH184" s="550">
        <v>17.07</v>
      </c>
      <c r="AI184" s="550">
        <v>15.68</v>
      </c>
      <c r="AJ184" s="550">
        <v>15.62</v>
      </c>
      <c r="AK184" s="550">
        <v>14.32</v>
      </c>
      <c r="AL184" s="550">
        <v>14.18</v>
      </c>
      <c r="AM184" s="173" t="str">
        <f t="shared" si="17"/>
        <v>SUBS - US (Deepwater GOM)</v>
      </c>
      <c r="AN184" s="173" t="s">
        <v>543</v>
      </c>
      <c r="AO184" s="5"/>
      <c r="AS184" s="486"/>
      <c r="AT184" s="55"/>
      <c r="AU184" s="341"/>
      <c r="AV184" s="406"/>
      <c r="AW184" s="406"/>
      <c r="AX184" s="538"/>
    </row>
    <row r="185" spans="1:50">
      <c r="A185" s="5"/>
      <c r="B185" s="44" t="s">
        <v>3369</v>
      </c>
      <c r="C185" s="44" t="s">
        <v>160</v>
      </c>
      <c r="D185" s="44" t="s">
        <v>616</v>
      </c>
      <c r="E185" s="44" t="s">
        <v>1927</v>
      </c>
      <c r="F185" s="44" t="s">
        <v>2973</v>
      </c>
      <c r="G185" s="44" t="s">
        <v>1932</v>
      </c>
      <c r="H185" s="44" t="s">
        <v>116</v>
      </c>
      <c r="I185" s="44" t="s">
        <v>2599</v>
      </c>
      <c r="J185" s="328">
        <v>25</v>
      </c>
      <c r="K185" s="550">
        <v>0</v>
      </c>
      <c r="L185" s="550">
        <v>0</v>
      </c>
      <c r="M185" s="550">
        <v>0</v>
      </c>
      <c r="N185" s="550">
        <v>0</v>
      </c>
      <c r="O185" s="550">
        <v>0</v>
      </c>
      <c r="P185" s="550">
        <v>0</v>
      </c>
      <c r="Q185" s="550">
        <v>0</v>
      </c>
      <c r="R185" s="550">
        <v>1.92</v>
      </c>
      <c r="S185" s="550">
        <v>0</v>
      </c>
      <c r="T185" s="550">
        <v>0</v>
      </c>
      <c r="U185" s="550">
        <v>0</v>
      </c>
      <c r="V185" s="550">
        <v>0</v>
      </c>
      <c r="W185" s="550">
        <v>0</v>
      </c>
      <c r="X185" s="550">
        <v>0</v>
      </c>
      <c r="Y185" s="550">
        <v>0</v>
      </c>
      <c r="Z185" s="550">
        <v>0</v>
      </c>
      <c r="AA185" s="550">
        <v>0</v>
      </c>
      <c r="AB185" s="550">
        <v>0</v>
      </c>
      <c r="AC185" s="550">
        <v>0</v>
      </c>
      <c r="AD185" s="550">
        <v>0</v>
      </c>
      <c r="AE185" s="550">
        <v>0</v>
      </c>
      <c r="AF185" s="550">
        <v>0</v>
      </c>
      <c r="AG185" s="550">
        <v>0</v>
      </c>
      <c r="AH185" s="550">
        <v>0</v>
      </c>
      <c r="AI185" s="550">
        <v>0</v>
      </c>
      <c r="AJ185" s="550">
        <v>0</v>
      </c>
      <c r="AK185" s="550">
        <v>0</v>
      </c>
      <c r="AL185" s="550">
        <v>0</v>
      </c>
      <c r="AM185" s="173" t="str">
        <f t="shared" si="17"/>
        <v>SUBS - US (Deepwater GOM)</v>
      </c>
      <c r="AN185" s="173" t="s">
        <v>543</v>
      </c>
      <c r="AO185" s="5"/>
      <c r="AS185" s="486"/>
      <c r="AT185" s="55"/>
      <c r="AU185" s="341"/>
      <c r="AV185" s="406"/>
      <c r="AW185" s="406"/>
      <c r="AX185" s="538"/>
    </row>
    <row r="186" spans="1:50">
      <c r="A186" s="5"/>
      <c r="B186" s="44" t="s">
        <v>3369</v>
      </c>
      <c r="C186" s="44" t="s">
        <v>160</v>
      </c>
      <c r="D186" s="44" t="s">
        <v>617</v>
      </c>
      <c r="E186" s="44" t="s">
        <v>1927</v>
      </c>
      <c r="F186" s="44" t="s">
        <v>2973</v>
      </c>
      <c r="G186" s="44" t="s">
        <v>1929</v>
      </c>
      <c r="H186" s="44" t="s">
        <v>116</v>
      </c>
      <c r="I186" s="44" t="s">
        <v>2599</v>
      </c>
      <c r="J186" s="328">
        <v>100</v>
      </c>
      <c r="K186" s="550">
        <v>90.66</v>
      </c>
      <c r="L186" s="550">
        <v>45.81</v>
      </c>
      <c r="M186" s="550">
        <v>56.43</v>
      </c>
      <c r="N186" s="550">
        <v>18.39</v>
      </c>
      <c r="O186" s="550">
        <v>14.82</v>
      </c>
      <c r="P186" s="550">
        <v>9.6999999999999993</v>
      </c>
      <c r="Q186" s="550">
        <v>6.58</v>
      </c>
      <c r="R186" s="550">
        <v>3.78</v>
      </c>
      <c r="S186" s="550">
        <v>1.99</v>
      </c>
      <c r="T186" s="550">
        <v>1.63</v>
      </c>
      <c r="U186" s="550">
        <v>0</v>
      </c>
      <c r="V186" s="550">
        <v>0</v>
      </c>
      <c r="W186" s="550">
        <v>0</v>
      </c>
      <c r="X186" s="550">
        <v>0</v>
      </c>
      <c r="Y186" s="550">
        <v>0</v>
      </c>
      <c r="Z186" s="550">
        <v>0</v>
      </c>
      <c r="AA186" s="550">
        <v>0</v>
      </c>
      <c r="AB186" s="550">
        <v>0</v>
      </c>
      <c r="AC186" s="550">
        <v>0</v>
      </c>
      <c r="AD186" s="550">
        <v>0</v>
      </c>
      <c r="AE186" s="550">
        <v>0</v>
      </c>
      <c r="AF186" s="550">
        <v>0</v>
      </c>
      <c r="AG186" s="550">
        <v>0</v>
      </c>
      <c r="AH186" s="550">
        <v>0</v>
      </c>
      <c r="AI186" s="550">
        <v>0</v>
      </c>
      <c r="AJ186" s="550">
        <v>0</v>
      </c>
      <c r="AK186" s="550">
        <v>0</v>
      </c>
      <c r="AL186" s="550">
        <v>0</v>
      </c>
      <c r="AM186" s="173" t="str">
        <f t="shared" si="17"/>
        <v>SUBS - US (Deepwater GOM)</v>
      </c>
      <c r="AN186" s="173" t="s">
        <v>543</v>
      </c>
      <c r="AO186" s="5"/>
      <c r="AS186" s="486"/>
      <c r="AT186" s="55"/>
      <c r="AU186" s="341"/>
      <c r="AV186" s="406"/>
      <c r="AW186" s="406"/>
      <c r="AX186" s="538"/>
    </row>
    <row r="187" spans="1:50">
      <c r="A187" s="5"/>
      <c r="B187" s="44" t="s">
        <v>3369</v>
      </c>
      <c r="C187" s="44" t="s">
        <v>160</v>
      </c>
      <c r="D187" s="44" t="s">
        <v>618</v>
      </c>
      <c r="E187" s="44" t="s">
        <v>1927</v>
      </c>
      <c r="F187" s="44" t="s">
        <v>2973</v>
      </c>
      <c r="G187" s="44" t="s">
        <v>3374</v>
      </c>
      <c r="H187" s="44" t="s">
        <v>116</v>
      </c>
      <c r="I187" s="44" t="s">
        <v>2599</v>
      </c>
      <c r="J187" s="328">
        <v>28.5</v>
      </c>
      <c r="K187" s="550">
        <v>46.33</v>
      </c>
      <c r="L187" s="550">
        <v>39.26</v>
      </c>
      <c r="M187" s="550">
        <v>23.99</v>
      </c>
      <c r="N187" s="550">
        <v>20.81</v>
      </c>
      <c r="O187" s="550">
        <v>33.89</v>
      </c>
      <c r="P187" s="550">
        <v>30.28</v>
      </c>
      <c r="Q187" s="550">
        <v>29.81</v>
      </c>
      <c r="R187" s="550">
        <v>22.05</v>
      </c>
      <c r="S187" s="550">
        <v>17.55</v>
      </c>
      <c r="T187" s="550">
        <v>14.48</v>
      </c>
      <c r="U187" s="550">
        <v>14.13</v>
      </c>
      <c r="V187" s="550">
        <v>20</v>
      </c>
      <c r="W187" s="550">
        <v>22.81</v>
      </c>
      <c r="X187" s="550">
        <v>29.86</v>
      </c>
      <c r="Y187" s="550">
        <v>28.54</v>
      </c>
      <c r="Z187" s="550">
        <v>35.31</v>
      </c>
      <c r="AA187" s="550">
        <v>40.33</v>
      </c>
      <c r="AB187" s="550">
        <v>39.68</v>
      </c>
      <c r="AC187" s="550">
        <v>38.270000000000003</v>
      </c>
      <c r="AD187" s="550">
        <v>36.950000000000003</v>
      </c>
      <c r="AE187" s="550">
        <v>36.06</v>
      </c>
      <c r="AF187" s="550">
        <v>34.29</v>
      </c>
      <c r="AG187" s="550">
        <v>28.79</v>
      </c>
      <c r="AH187" s="550">
        <v>22.58</v>
      </c>
      <c r="AI187" s="550">
        <v>19.43</v>
      </c>
      <c r="AJ187" s="550">
        <v>14.9</v>
      </c>
      <c r="AK187" s="550">
        <v>11.37</v>
      </c>
      <c r="AL187" s="550">
        <v>8.98</v>
      </c>
      <c r="AM187" s="173" t="str">
        <f t="shared" si="17"/>
        <v>SUBS - US (Deepwater GOM)</v>
      </c>
      <c r="AN187" s="173" t="s">
        <v>543</v>
      </c>
      <c r="AO187" s="5"/>
      <c r="AS187" s="486"/>
      <c r="AT187" s="55"/>
      <c r="AU187" s="341"/>
      <c r="AV187" s="406"/>
      <c r="AW187" s="406"/>
      <c r="AX187" s="538"/>
    </row>
    <row r="188" spans="1:50">
      <c r="A188" s="5"/>
      <c r="B188" s="44" t="s">
        <v>3369</v>
      </c>
      <c r="C188" s="44" t="s">
        <v>160</v>
      </c>
      <c r="D188" s="44" t="s">
        <v>301</v>
      </c>
      <c r="E188" s="44" t="s">
        <v>2254</v>
      </c>
      <c r="F188" s="44" t="s">
        <v>3373</v>
      </c>
      <c r="G188" s="44" t="s">
        <v>1930</v>
      </c>
      <c r="H188" s="44" t="s">
        <v>116</v>
      </c>
      <c r="I188" s="44" t="s">
        <v>2571</v>
      </c>
      <c r="J188" s="328">
        <v>50</v>
      </c>
      <c r="K188" s="550">
        <v>0</v>
      </c>
      <c r="L188" s="550">
        <v>0</v>
      </c>
      <c r="M188" s="550">
        <v>0</v>
      </c>
      <c r="N188" s="550">
        <v>0</v>
      </c>
      <c r="O188" s="550">
        <v>0</v>
      </c>
      <c r="P188" s="550">
        <v>0</v>
      </c>
      <c r="Q188" s="550">
        <v>0</v>
      </c>
      <c r="R188" s="550">
        <v>11.01</v>
      </c>
      <c r="S188" s="550">
        <v>0</v>
      </c>
      <c r="T188" s="550">
        <v>0</v>
      </c>
      <c r="U188" s="550">
        <v>0</v>
      </c>
      <c r="V188" s="550">
        <v>0</v>
      </c>
      <c r="W188" s="550">
        <v>0</v>
      </c>
      <c r="X188" s="550">
        <v>0</v>
      </c>
      <c r="Y188" s="550">
        <v>0</v>
      </c>
      <c r="Z188" s="550">
        <v>0</v>
      </c>
      <c r="AA188" s="550">
        <v>0</v>
      </c>
      <c r="AB188" s="550">
        <v>0</v>
      </c>
      <c r="AC188" s="550">
        <v>0</v>
      </c>
      <c r="AD188" s="550">
        <v>0</v>
      </c>
      <c r="AE188" s="550">
        <v>0</v>
      </c>
      <c r="AF188" s="550">
        <v>0</v>
      </c>
      <c r="AG188" s="550">
        <v>0</v>
      </c>
      <c r="AH188" s="550">
        <v>0</v>
      </c>
      <c r="AI188" s="550">
        <v>0</v>
      </c>
      <c r="AJ188" s="550">
        <v>0</v>
      </c>
      <c r="AK188" s="550">
        <v>0</v>
      </c>
      <c r="AL188" s="550">
        <v>0</v>
      </c>
      <c r="AM188" s="173" t="str">
        <f t="shared" si="17"/>
        <v>SUBS - US (Deepwater GOM)</v>
      </c>
      <c r="AN188" s="173" t="s">
        <v>543</v>
      </c>
      <c r="AO188" s="5"/>
      <c r="AS188" s="486"/>
      <c r="AT188" s="55"/>
      <c r="AU188" s="341"/>
      <c r="AV188" s="406"/>
      <c r="AW188" s="406"/>
      <c r="AX188" s="538"/>
    </row>
    <row r="189" spans="1:50">
      <c r="A189" s="5"/>
      <c r="B189" s="44" t="s">
        <v>3369</v>
      </c>
      <c r="C189" s="44" t="s">
        <v>160</v>
      </c>
      <c r="D189" s="44" t="s">
        <v>519</v>
      </c>
      <c r="E189" s="44" t="s">
        <v>1927</v>
      </c>
      <c r="F189" s="44" t="s">
        <v>2973</v>
      </c>
      <c r="G189" s="44" t="s">
        <v>1931</v>
      </c>
      <c r="H189" s="44" t="s">
        <v>116</v>
      </c>
      <c r="I189" s="44" t="s">
        <v>2571</v>
      </c>
      <c r="J189" s="328">
        <v>50</v>
      </c>
      <c r="K189" s="550">
        <v>60.96</v>
      </c>
      <c r="L189" s="550">
        <v>12.89</v>
      </c>
      <c r="M189" s="550">
        <v>19.16</v>
      </c>
      <c r="N189" s="550">
        <v>10.39</v>
      </c>
      <c r="O189" s="550">
        <v>25.99</v>
      </c>
      <c r="P189" s="550">
        <v>12.35</v>
      </c>
      <c r="Q189" s="550">
        <v>1.05</v>
      </c>
      <c r="R189" s="550">
        <v>0.5</v>
      </c>
      <c r="S189" s="550">
        <v>0.27</v>
      </c>
      <c r="T189" s="550">
        <v>0</v>
      </c>
      <c r="U189" s="550">
        <v>0</v>
      </c>
      <c r="V189" s="550">
        <v>0</v>
      </c>
      <c r="W189" s="550">
        <v>0</v>
      </c>
      <c r="X189" s="550">
        <v>0</v>
      </c>
      <c r="Y189" s="550">
        <v>0</v>
      </c>
      <c r="Z189" s="550">
        <v>0</v>
      </c>
      <c r="AA189" s="550">
        <v>0</v>
      </c>
      <c r="AB189" s="550">
        <v>0</v>
      </c>
      <c r="AC189" s="550">
        <v>0</v>
      </c>
      <c r="AD189" s="550">
        <v>0</v>
      </c>
      <c r="AE189" s="550">
        <v>0</v>
      </c>
      <c r="AF189" s="550">
        <v>0</v>
      </c>
      <c r="AG189" s="550">
        <v>0</v>
      </c>
      <c r="AH189" s="550">
        <v>0</v>
      </c>
      <c r="AI189" s="550">
        <v>0</v>
      </c>
      <c r="AJ189" s="550">
        <v>0</v>
      </c>
      <c r="AK189" s="550">
        <v>0</v>
      </c>
      <c r="AL189" s="550">
        <v>0</v>
      </c>
      <c r="AM189" s="173" t="str">
        <f t="shared" si="17"/>
        <v>SUBS - US (Deepwater GOM)</v>
      </c>
      <c r="AN189" s="173" t="s">
        <v>543</v>
      </c>
      <c r="AO189" s="5"/>
      <c r="AS189" s="486"/>
      <c r="AT189" s="55"/>
      <c r="AU189" s="341"/>
      <c r="AV189" s="406"/>
      <c r="AW189" s="406"/>
      <c r="AX189" s="538"/>
    </row>
    <row r="190" spans="1:50">
      <c r="A190" s="5"/>
      <c r="B190" s="44" t="s">
        <v>3369</v>
      </c>
      <c r="C190" s="44" t="s">
        <v>160</v>
      </c>
      <c r="D190" s="44" t="s">
        <v>520</v>
      </c>
      <c r="E190" s="44" t="s">
        <v>1927</v>
      </c>
      <c r="F190" s="44" t="s">
        <v>3373</v>
      </c>
      <c r="G190" s="44" t="s">
        <v>3374</v>
      </c>
      <c r="H190" s="44" t="s">
        <v>116</v>
      </c>
      <c r="I190" s="44" t="s">
        <v>2607</v>
      </c>
      <c r="J190" s="328">
        <v>50</v>
      </c>
      <c r="K190" s="550">
        <v>6.2</v>
      </c>
      <c r="L190" s="550">
        <v>127.77</v>
      </c>
      <c r="M190" s="550">
        <v>131.87</v>
      </c>
      <c r="N190" s="550">
        <v>98.61</v>
      </c>
      <c r="O190" s="550">
        <v>55.93</v>
      </c>
      <c r="P190" s="550">
        <v>67.78</v>
      </c>
      <c r="Q190" s="550">
        <v>54.64</v>
      </c>
      <c r="R190" s="550">
        <v>48.34</v>
      </c>
      <c r="S190" s="550">
        <v>19.04</v>
      </c>
      <c r="T190" s="550">
        <v>12.24</v>
      </c>
      <c r="U190" s="550">
        <v>20.27</v>
      </c>
      <c r="V190" s="550">
        <v>33.229999999999997</v>
      </c>
      <c r="W190" s="550">
        <v>30.74</v>
      </c>
      <c r="X190" s="550">
        <v>20.64</v>
      </c>
      <c r="Y190" s="550">
        <v>19.600000000000001</v>
      </c>
      <c r="Z190" s="550">
        <v>23.42</v>
      </c>
      <c r="AA190" s="550">
        <v>18.989999999999998</v>
      </c>
      <c r="AB190" s="550">
        <v>14.94</v>
      </c>
      <c r="AC190" s="550">
        <v>10.72</v>
      </c>
      <c r="AD190" s="550">
        <v>7.62</v>
      </c>
      <c r="AE190" s="550">
        <v>5.45</v>
      </c>
      <c r="AF190" s="550">
        <v>3.91</v>
      </c>
      <c r="AG190" s="550">
        <v>2.82</v>
      </c>
      <c r="AH190" s="550">
        <v>2.04</v>
      </c>
      <c r="AI190" s="550">
        <v>1.49</v>
      </c>
      <c r="AJ190" s="550">
        <v>1.0900000000000001</v>
      </c>
      <c r="AK190" s="550">
        <v>0.8</v>
      </c>
      <c r="AL190" s="550">
        <v>0.59</v>
      </c>
      <c r="AM190" s="173" t="str">
        <f t="shared" si="17"/>
        <v>SUBS - US (Deepwater GOM)</v>
      </c>
      <c r="AN190" s="173" t="s">
        <v>543</v>
      </c>
      <c r="AO190" s="5"/>
      <c r="AS190" s="486"/>
      <c r="AT190" s="55"/>
      <c r="AU190" s="341"/>
      <c r="AV190" s="406"/>
      <c r="AW190" s="406"/>
      <c r="AX190" s="538"/>
    </row>
    <row r="191" spans="1:50">
      <c r="A191" s="5"/>
      <c r="B191" s="44" t="s">
        <v>3369</v>
      </c>
      <c r="C191" s="44" t="s">
        <v>160</v>
      </c>
      <c r="D191" s="44" t="s">
        <v>521</v>
      </c>
      <c r="E191" s="44" t="s">
        <v>1927</v>
      </c>
      <c r="F191" s="44" t="s">
        <v>2973</v>
      </c>
      <c r="G191" s="44" t="s">
        <v>3374</v>
      </c>
      <c r="H191" s="44" t="s">
        <v>116</v>
      </c>
      <c r="I191" s="44" t="s">
        <v>2608</v>
      </c>
      <c r="J191" s="328">
        <v>50</v>
      </c>
      <c r="K191" s="550">
        <v>0</v>
      </c>
      <c r="L191" s="550">
        <v>0</v>
      </c>
      <c r="M191" s="550">
        <v>0</v>
      </c>
      <c r="N191" s="550">
        <v>0</v>
      </c>
      <c r="O191" s="550">
        <v>0</v>
      </c>
      <c r="P191" s="550">
        <v>0</v>
      </c>
      <c r="Q191" s="550">
        <v>0</v>
      </c>
      <c r="R191" s="550">
        <v>8.43</v>
      </c>
      <c r="S191" s="550">
        <v>0</v>
      </c>
      <c r="T191" s="550">
        <v>0</v>
      </c>
      <c r="U191" s="550">
        <v>0</v>
      </c>
      <c r="V191" s="550">
        <v>0</v>
      </c>
      <c r="W191" s="550">
        <v>0</v>
      </c>
      <c r="X191" s="550">
        <v>0</v>
      </c>
      <c r="Y191" s="550">
        <v>0</v>
      </c>
      <c r="Z191" s="550">
        <v>0</v>
      </c>
      <c r="AA191" s="550">
        <v>0</v>
      </c>
      <c r="AB191" s="550">
        <v>0</v>
      </c>
      <c r="AC191" s="550">
        <v>0</v>
      </c>
      <c r="AD191" s="550">
        <v>0</v>
      </c>
      <c r="AE191" s="550">
        <v>0</v>
      </c>
      <c r="AF191" s="550">
        <v>0</v>
      </c>
      <c r="AG191" s="550">
        <v>0</v>
      </c>
      <c r="AH191" s="550">
        <v>0</v>
      </c>
      <c r="AI191" s="550">
        <v>0</v>
      </c>
      <c r="AJ191" s="550">
        <v>0</v>
      </c>
      <c r="AK191" s="550">
        <v>0</v>
      </c>
      <c r="AL191" s="550">
        <v>0</v>
      </c>
      <c r="AM191" s="173" t="str">
        <f t="shared" si="17"/>
        <v>SUBS - US (Deepwater GOM)</v>
      </c>
      <c r="AN191" s="173" t="s">
        <v>543</v>
      </c>
      <c r="AO191" s="5"/>
      <c r="AS191" s="486"/>
      <c r="AT191" s="55"/>
      <c r="AU191" s="341"/>
      <c r="AV191" s="406"/>
      <c r="AW191" s="406"/>
      <c r="AX191" s="538"/>
    </row>
    <row r="192" spans="1:50">
      <c r="A192" s="5"/>
      <c r="B192" s="44" t="s">
        <v>3369</v>
      </c>
      <c r="C192" s="44" t="s">
        <v>160</v>
      </c>
      <c r="D192" s="44" t="s">
        <v>522</v>
      </c>
      <c r="E192" s="44" t="s">
        <v>2254</v>
      </c>
      <c r="F192" s="44" t="s">
        <v>2973</v>
      </c>
      <c r="G192" s="44" t="s">
        <v>3374</v>
      </c>
      <c r="H192" s="44" t="s">
        <v>116</v>
      </c>
      <c r="I192" s="44" t="s">
        <v>2571</v>
      </c>
      <c r="J192" s="328">
        <v>50</v>
      </c>
      <c r="K192" s="550">
        <v>0</v>
      </c>
      <c r="L192" s="550">
        <v>0</v>
      </c>
      <c r="M192" s="550">
        <v>0</v>
      </c>
      <c r="N192" s="550">
        <v>0</v>
      </c>
      <c r="O192" s="550">
        <v>0</v>
      </c>
      <c r="P192" s="550">
        <v>0</v>
      </c>
      <c r="Q192" s="550">
        <v>0</v>
      </c>
      <c r="R192" s="550">
        <v>0.05</v>
      </c>
      <c r="S192" s="550">
        <v>0</v>
      </c>
      <c r="T192" s="550">
        <v>0</v>
      </c>
      <c r="U192" s="550">
        <v>0</v>
      </c>
      <c r="V192" s="550">
        <v>0</v>
      </c>
      <c r="W192" s="550">
        <v>0</v>
      </c>
      <c r="X192" s="550">
        <v>0</v>
      </c>
      <c r="Y192" s="550">
        <v>0</v>
      </c>
      <c r="Z192" s="550">
        <v>0</v>
      </c>
      <c r="AA192" s="550">
        <v>0</v>
      </c>
      <c r="AB192" s="550">
        <v>0</v>
      </c>
      <c r="AC192" s="550">
        <v>0</v>
      </c>
      <c r="AD192" s="550">
        <v>0</v>
      </c>
      <c r="AE192" s="550">
        <v>0</v>
      </c>
      <c r="AF192" s="550">
        <v>0</v>
      </c>
      <c r="AG192" s="550">
        <v>0</v>
      </c>
      <c r="AH192" s="550">
        <v>0</v>
      </c>
      <c r="AI192" s="550">
        <v>0</v>
      </c>
      <c r="AJ192" s="550">
        <v>0</v>
      </c>
      <c r="AK192" s="550">
        <v>0</v>
      </c>
      <c r="AL192" s="550">
        <v>0</v>
      </c>
      <c r="AM192" s="173" t="str">
        <f t="shared" si="17"/>
        <v>SUBS - US (Deepwater GOM)</v>
      </c>
      <c r="AN192" s="173" t="s">
        <v>543</v>
      </c>
      <c r="AO192" s="5"/>
      <c r="AS192" s="486"/>
      <c r="AT192" s="55"/>
      <c r="AU192" s="341"/>
      <c r="AV192" s="406"/>
      <c r="AW192" s="406"/>
      <c r="AX192" s="538"/>
    </row>
    <row r="193" spans="1:50">
      <c r="A193" s="5"/>
      <c r="B193" s="44" t="s">
        <v>3369</v>
      </c>
      <c r="C193" s="44" t="s">
        <v>160</v>
      </c>
      <c r="D193" s="44" t="s">
        <v>3064</v>
      </c>
      <c r="E193" s="44" t="s">
        <v>2934</v>
      </c>
      <c r="F193" s="44" t="s">
        <v>2973</v>
      </c>
      <c r="G193" s="44" t="s">
        <v>1931</v>
      </c>
      <c r="H193" s="44" t="s">
        <v>116</v>
      </c>
      <c r="I193" s="44" t="s">
        <v>2571</v>
      </c>
      <c r="J193" s="328">
        <v>50</v>
      </c>
      <c r="K193" s="550">
        <v>20.46</v>
      </c>
      <c r="L193" s="550">
        <v>12.12</v>
      </c>
      <c r="M193" s="550">
        <v>8.56</v>
      </c>
      <c r="N193" s="550">
        <v>6.62</v>
      </c>
      <c r="O193" s="550">
        <v>3.43</v>
      </c>
      <c r="P193" s="550">
        <v>1.52</v>
      </c>
      <c r="Q193" s="550">
        <v>0.02</v>
      </c>
      <c r="R193" s="550">
        <v>0</v>
      </c>
      <c r="S193" s="550">
        <v>0</v>
      </c>
      <c r="T193" s="550">
        <v>0</v>
      </c>
      <c r="U193" s="550">
        <v>0</v>
      </c>
      <c r="V193" s="550">
        <v>0</v>
      </c>
      <c r="W193" s="550">
        <v>0</v>
      </c>
      <c r="X193" s="550">
        <v>0</v>
      </c>
      <c r="Y193" s="550">
        <v>0</v>
      </c>
      <c r="Z193" s="550">
        <v>0</v>
      </c>
      <c r="AA193" s="550">
        <v>0</v>
      </c>
      <c r="AB193" s="550">
        <v>0</v>
      </c>
      <c r="AC193" s="550">
        <v>0</v>
      </c>
      <c r="AD193" s="550">
        <v>0</v>
      </c>
      <c r="AE193" s="550">
        <v>0</v>
      </c>
      <c r="AF193" s="550">
        <v>0</v>
      </c>
      <c r="AG193" s="550">
        <v>0</v>
      </c>
      <c r="AH193" s="550">
        <v>0</v>
      </c>
      <c r="AI193" s="550">
        <v>0</v>
      </c>
      <c r="AJ193" s="550">
        <v>0</v>
      </c>
      <c r="AK193" s="550">
        <v>0</v>
      </c>
      <c r="AL193" s="550">
        <v>0</v>
      </c>
      <c r="AM193" s="173" t="str">
        <f t="shared" si="17"/>
        <v>SUBS - US (Deepwater GOM)</v>
      </c>
      <c r="AN193" s="173" t="s">
        <v>543</v>
      </c>
      <c r="AO193" s="5"/>
      <c r="AS193" s="486"/>
      <c r="AT193" s="55"/>
      <c r="AU193" s="341"/>
      <c r="AV193" s="406"/>
      <c r="AW193" s="406"/>
      <c r="AX193" s="538"/>
    </row>
    <row r="194" spans="1:50">
      <c r="A194" s="5"/>
      <c r="B194" s="44" t="s">
        <v>3369</v>
      </c>
      <c r="C194" s="44" t="s">
        <v>160</v>
      </c>
      <c r="D194" s="44" t="s">
        <v>3065</v>
      </c>
      <c r="E194" s="44" t="s">
        <v>1927</v>
      </c>
      <c r="F194" s="44" t="s">
        <v>2973</v>
      </c>
      <c r="G194" s="44" t="s">
        <v>3374</v>
      </c>
      <c r="H194" s="44" t="s">
        <v>116</v>
      </c>
      <c r="I194" s="44" t="s">
        <v>2600</v>
      </c>
      <c r="J194" s="328">
        <v>75</v>
      </c>
      <c r="K194" s="550">
        <v>39.020000000000003</v>
      </c>
      <c r="L194" s="550">
        <v>20.13</v>
      </c>
      <c r="M194" s="550">
        <v>12.25</v>
      </c>
      <c r="N194" s="550">
        <v>13.79</v>
      </c>
      <c r="O194" s="550">
        <v>12.02</v>
      </c>
      <c r="P194" s="550">
        <v>8.75</v>
      </c>
      <c r="Q194" s="550">
        <v>10.99</v>
      </c>
      <c r="R194" s="550">
        <v>8.8800000000000008</v>
      </c>
      <c r="S194" s="550">
        <v>5.45</v>
      </c>
      <c r="T194" s="550">
        <v>0</v>
      </c>
      <c r="U194" s="550">
        <v>0</v>
      </c>
      <c r="V194" s="550">
        <v>0</v>
      </c>
      <c r="W194" s="550">
        <v>0</v>
      </c>
      <c r="X194" s="550">
        <v>0</v>
      </c>
      <c r="Y194" s="550">
        <v>0</v>
      </c>
      <c r="Z194" s="550">
        <v>0</v>
      </c>
      <c r="AA194" s="550">
        <v>0</v>
      </c>
      <c r="AB194" s="550">
        <v>0</v>
      </c>
      <c r="AC194" s="550">
        <v>0</v>
      </c>
      <c r="AD194" s="550">
        <v>0</v>
      </c>
      <c r="AE194" s="550">
        <v>0</v>
      </c>
      <c r="AF194" s="550">
        <v>0</v>
      </c>
      <c r="AG194" s="550">
        <v>0</v>
      </c>
      <c r="AH194" s="550">
        <v>0</v>
      </c>
      <c r="AI194" s="550">
        <v>0</v>
      </c>
      <c r="AJ194" s="550">
        <v>0</v>
      </c>
      <c r="AK194" s="550">
        <v>0</v>
      </c>
      <c r="AL194" s="550">
        <v>0</v>
      </c>
      <c r="AM194" s="173" t="str">
        <f t="shared" si="17"/>
        <v>SUBS - US (Deepwater GOM)</v>
      </c>
      <c r="AN194" s="173" t="s">
        <v>543</v>
      </c>
      <c r="AO194" s="5"/>
      <c r="AS194" s="486"/>
      <c r="AT194" s="55"/>
      <c r="AU194" s="341"/>
      <c r="AV194" s="406"/>
      <c r="AW194" s="406"/>
      <c r="AX194" s="538"/>
    </row>
    <row r="195" spans="1:50">
      <c r="A195" s="5"/>
      <c r="B195" s="44" t="s">
        <v>3369</v>
      </c>
      <c r="C195" s="44" t="s">
        <v>160</v>
      </c>
      <c r="D195" s="44" t="s">
        <v>3066</v>
      </c>
      <c r="E195" s="44" t="s">
        <v>1927</v>
      </c>
      <c r="F195" s="44" t="s">
        <v>2973</v>
      </c>
      <c r="G195" s="44" t="s">
        <v>3374</v>
      </c>
      <c r="H195" s="44" t="s">
        <v>116</v>
      </c>
      <c r="I195" s="44" t="s">
        <v>2571</v>
      </c>
      <c r="J195" s="328">
        <v>22.69</v>
      </c>
      <c r="K195" s="550">
        <v>11.09</v>
      </c>
      <c r="L195" s="550">
        <v>20.95</v>
      </c>
      <c r="M195" s="550">
        <v>13.31</v>
      </c>
      <c r="N195" s="550">
        <v>14.05</v>
      </c>
      <c r="O195" s="550">
        <v>10.39</v>
      </c>
      <c r="P195" s="550">
        <v>7.44</v>
      </c>
      <c r="Q195" s="550">
        <v>7.73</v>
      </c>
      <c r="R195" s="550">
        <v>8.34</v>
      </c>
      <c r="S195" s="550">
        <v>8.19</v>
      </c>
      <c r="T195" s="550">
        <v>6.41</v>
      </c>
      <c r="U195" s="550">
        <v>6.65</v>
      </c>
      <c r="V195" s="550">
        <v>9</v>
      </c>
      <c r="W195" s="550">
        <v>8.94</v>
      </c>
      <c r="X195" s="550">
        <v>11.44</v>
      </c>
      <c r="Y195" s="550">
        <v>9.4</v>
      </c>
      <c r="Z195" s="550">
        <v>9.01</v>
      </c>
      <c r="AA195" s="550">
        <v>11.3</v>
      </c>
      <c r="AB195" s="550">
        <v>13.46</v>
      </c>
      <c r="AC195" s="550">
        <v>13.59</v>
      </c>
      <c r="AD195" s="550">
        <v>10.34</v>
      </c>
      <c r="AE195" s="550">
        <v>7.62</v>
      </c>
      <c r="AF195" s="550">
        <v>5.62</v>
      </c>
      <c r="AG195" s="550">
        <v>4.1399999999999997</v>
      </c>
      <c r="AH195" s="550">
        <v>3.05</v>
      </c>
      <c r="AI195" s="550">
        <v>2.25</v>
      </c>
      <c r="AJ195" s="550">
        <v>1.66</v>
      </c>
      <c r="AK195" s="550">
        <v>1.22</v>
      </c>
      <c r="AL195" s="550">
        <v>0.9</v>
      </c>
      <c r="AM195" s="173" t="str">
        <f t="shared" si="17"/>
        <v>SUBS - US (Deepwater GOM)</v>
      </c>
      <c r="AN195" s="173" t="s">
        <v>543</v>
      </c>
      <c r="AO195" s="5"/>
      <c r="AS195" s="486"/>
      <c r="AT195" s="55"/>
      <c r="AU195" s="341"/>
      <c r="AV195" s="406"/>
      <c r="AW195" s="406"/>
      <c r="AX195" s="538"/>
    </row>
    <row r="196" spans="1:50">
      <c r="A196" s="5"/>
      <c r="B196" s="44" t="s">
        <v>3369</v>
      </c>
      <c r="C196" s="44" t="s">
        <v>160</v>
      </c>
      <c r="D196" s="44" t="s">
        <v>3067</v>
      </c>
      <c r="E196" s="44" t="s">
        <v>1927</v>
      </c>
      <c r="F196" s="44" t="s">
        <v>2973</v>
      </c>
      <c r="G196" s="44" t="s">
        <v>3374</v>
      </c>
      <c r="H196" s="44" t="s">
        <v>116</v>
      </c>
      <c r="I196" s="44" t="s">
        <v>2599</v>
      </c>
      <c r="J196" s="328">
        <v>31</v>
      </c>
      <c r="K196" s="550">
        <v>56</v>
      </c>
      <c r="L196" s="550">
        <v>48.56</v>
      </c>
      <c r="M196" s="550">
        <v>52.55</v>
      </c>
      <c r="N196" s="550">
        <v>53.9</v>
      </c>
      <c r="O196" s="550">
        <v>40.1</v>
      </c>
      <c r="P196" s="550">
        <v>7.9</v>
      </c>
      <c r="Q196" s="550">
        <v>4.54</v>
      </c>
      <c r="R196" s="550">
        <v>10.039999999999999</v>
      </c>
      <c r="S196" s="550">
        <v>9.17</v>
      </c>
      <c r="T196" s="550">
        <v>6.05</v>
      </c>
      <c r="U196" s="550">
        <v>0</v>
      </c>
      <c r="V196" s="550">
        <v>0</v>
      </c>
      <c r="W196" s="550">
        <v>0</v>
      </c>
      <c r="X196" s="550">
        <v>0</v>
      </c>
      <c r="Y196" s="550">
        <v>0</v>
      </c>
      <c r="Z196" s="550">
        <v>0</v>
      </c>
      <c r="AA196" s="550">
        <v>0</v>
      </c>
      <c r="AB196" s="550">
        <v>0</v>
      </c>
      <c r="AC196" s="550">
        <v>0</v>
      </c>
      <c r="AD196" s="550">
        <v>0</v>
      </c>
      <c r="AE196" s="550">
        <v>0</v>
      </c>
      <c r="AF196" s="550">
        <v>0</v>
      </c>
      <c r="AG196" s="550">
        <v>0</v>
      </c>
      <c r="AH196" s="550">
        <v>0</v>
      </c>
      <c r="AI196" s="550">
        <v>0</v>
      </c>
      <c r="AJ196" s="550">
        <v>0</v>
      </c>
      <c r="AK196" s="550">
        <v>0</v>
      </c>
      <c r="AL196" s="550">
        <v>0</v>
      </c>
      <c r="AM196" s="173" t="str">
        <f t="shared" si="17"/>
        <v>SUBS - US (Deepwater GOM)</v>
      </c>
      <c r="AN196" s="173" t="s">
        <v>543</v>
      </c>
      <c r="AO196" s="5"/>
      <c r="AS196" s="486"/>
      <c r="AT196" s="55"/>
      <c r="AU196" s="341"/>
      <c r="AV196" s="406"/>
      <c r="AW196" s="406"/>
      <c r="AX196" s="538"/>
    </row>
    <row r="197" spans="1:50">
      <c r="A197" s="5"/>
      <c r="B197" s="44" t="s">
        <v>3369</v>
      </c>
      <c r="C197" s="44" t="s">
        <v>160</v>
      </c>
      <c r="D197" s="44" t="s">
        <v>2051</v>
      </c>
      <c r="E197" s="44" t="s">
        <v>1927</v>
      </c>
      <c r="F197" s="44" t="s">
        <v>3373</v>
      </c>
      <c r="G197" s="44" t="s">
        <v>3374</v>
      </c>
      <c r="H197" s="44" t="s">
        <v>116</v>
      </c>
      <c r="I197" s="44" t="s">
        <v>2571</v>
      </c>
      <c r="J197" s="328">
        <v>46.5</v>
      </c>
      <c r="K197" s="550">
        <v>0</v>
      </c>
      <c r="L197" s="550">
        <v>0</v>
      </c>
      <c r="M197" s="550">
        <v>0</v>
      </c>
      <c r="N197" s="550">
        <v>0</v>
      </c>
      <c r="O197" s="550">
        <v>0</v>
      </c>
      <c r="P197" s="550">
        <v>0</v>
      </c>
      <c r="Q197" s="550">
        <v>0</v>
      </c>
      <c r="R197" s="550">
        <v>0</v>
      </c>
      <c r="S197" s="550">
        <v>0</v>
      </c>
      <c r="T197" s="550">
        <v>6.71</v>
      </c>
      <c r="U197" s="550">
        <v>12.45</v>
      </c>
      <c r="V197" s="550">
        <v>13.09</v>
      </c>
      <c r="W197" s="550">
        <v>9.35</v>
      </c>
      <c r="X197" s="550">
        <v>6.64</v>
      </c>
      <c r="Y197" s="550">
        <v>4.18</v>
      </c>
      <c r="Z197" s="550">
        <v>3.26</v>
      </c>
      <c r="AA197" s="550">
        <v>2.52</v>
      </c>
      <c r="AB197" s="550">
        <v>1.86</v>
      </c>
      <c r="AC197" s="550">
        <v>1.37</v>
      </c>
      <c r="AD197" s="550">
        <v>1.01</v>
      </c>
      <c r="AE197" s="550">
        <v>0.74</v>
      </c>
      <c r="AF197" s="550">
        <v>0.55000000000000004</v>
      </c>
      <c r="AG197" s="550">
        <v>0.41</v>
      </c>
      <c r="AH197" s="550">
        <v>0.3</v>
      </c>
      <c r="AI197" s="550">
        <v>0.22</v>
      </c>
      <c r="AJ197" s="550">
        <v>0.16</v>
      </c>
      <c r="AK197" s="550">
        <v>0.12</v>
      </c>
      <c r="AL197" s="550">
        <v>0.09</v>
      </c>
      <c r="AM197" s="173" t="str">
        <f t="shared" si="17"/>
        <v>SUBS - US (Deepwater GOM)</v>
      </c>
      <c r="AN197" s="173" t="s">
        <v>543</v>
      </c>
      <c r="AO197" s="5"/>
      <c r="AS197" s="486"/>
      <c r="AT197" s="55"/>
      <c r="AU197" s="341"/>
      <c r="AV197" s="406"/>
      <c r="AW197" s="406"/>
      <c r="AX197" s="538"/>
    </row>
    <row r="198" spans="1:50">
      <c r="A198" s="5"/>
      <c r="B198" s="44" t="s">
        <v>3369</v>
      </c>
      <c r="C198" s="44" t="s">
        <v>160</v>
      </c>
      <c r="D198" s="44" t="s">
        <v>3068</v>
      </c>
      <c r="E198" s="44" t="s">
        <v>1927</v>
      </c>
      <c r="F198" s="44" t="s">
        <v>3373</v>
      </c>
      <c r="G198" s="44" t="s">
        <v>3374</v>
      </c>
      <c r="H198" s="44" t="s">
        <v>116</v>
      </c>
      <c r="I198" s="44" t="s">
        <v>2607</v>
      </c>
      <c r="J198" s="328">
        <v>75</v>
      </c>
      <c r="K198" s="550">
        <v>0</v>
      </c>
      <c r="L198" s="550">
        <v>0</v>
      </c>
      <c r="M198" s="550">
        <v>0</v>
      </c>
      <c r="N198" s="550">
        <v>0</v>
      </c>
      <c r="O198" s="550">
        <v>0</v>
      </c>
      <c r="P198" s="550">
        <v>18.8</v>
      </c>
      <c r="Q198" s="550">
        <v>117.29</v>
      </c>
      <c r="R198" s="550">
        <v>101.32</v>
      </c>
      <c r="S198" s="550">
        <v>65.09</v>
      </c>
      <c r="T198" s="550">
        <v>41.01</v>
      </c>
      <c r="U198" s="550">
        <v>25.83</v>
      </c>
      <c r="V198" s="550">
        <v>43.85</v>
      </c>
      <c r="W198" s="550">
        <v>43.91</v>
      </c>
      <c r="X198" s="550">
        <v>56.59</v>
      </c>
      <c r="Y198" s="550">
        <v>59.06</v>
      </c>
      <c r="Z198" s="550">
        <v>64.790000000000006</v>
      </c>
      <c r="AA198" s="550">
        <v>66.47</v>
      </c>
      <c r="AB198" s="550">
        <v>59.14</v>
      </c>
      <c r="AC198" s="550">
        <v>60.45</v>
      </c>
      <c r="AD198" s="550">
        <v>63.02</v>
      </c>
      <c r="AE198" s="550">
        <v>64.430000000000007</v>
      </c>
      <c r="AF198" s="550">
        <v>63.58</v>
      </c>
      <c r="AG198" s="550">
        <v>58.64</v>
      </c>
      <c r="AH198" s="550">
        <v>54.18</v>
      </c>
      <c r="AI198" s="550">
        <v>50.69</v>
      </c>
      <c r="AJ198" s="550">
        <v>47.09</v>
      </c>
      <c r="AK198" s="550">
        <v>42.65</v>
      </c>
      <c r="AL198" s="550">
        <v>35.869999999999997</v>
      </c>
      <c r="AM198" s="173" t="str">
        <f t="shared" si="17"/>
        <v>SUBS - US (Deepwater GOM)</v>
      </c>
      <c r="AN198" s="173" t="s">
        <v>543</v>
      </c>
      <c r="AO198" s="5"/>
      <c r="AS198" s="486"/>
      <c r="AT198" s="55"/>
      <c r="AU198" s="341"/>
      <c r="AV198" s="406"/>
      <c r="AW198" s="406"/>
      <c r="AX198" s="538"/>
    </row>
    <row r="199" spans="1:50">
      <c r="A199" s="5"/>
      <c r="B199" s="44" t="s">
        <v>3369</v>
      </c>
      <c r="C199" s="44" t="s">
        <v>160</v>
      </c>
      <c r="D199" s="44" t="s">
        <v>3069</v>
      </c>
      <c r="E199" s="44" t="s">
        <v>1927</v>
      </c>
      <c r="F199" s="44" t="s">
        <v>2973</v>
      </c>
      <c r="G199" s="44" t="s">
        <v>3374</v>
      </c>
      <c r="H199" s="44" t="s">
        <v>116</v>
      </c>
      <c r="I199" s="44" t="s">
        <v>2571</v>
      </c>
      <c r="J199" s="328">
        <v>33.340000000000003</v>
      </c>
      <c r="K199" s="550">
        <v>18.04</v>
      </c>
      <c r="L199" s="550">
        <v>3.73</v>
      </c>
      <c r="M199" s="550">
        <v>0</v>
      </c>
      <c r="N199" s="550">
        <v>0</v>
      </c>
      <c r="O199" s="550">
        <v>0</v>
      </c>
      <c r="P199" s="550">
        <v>0</v>
      </c>
      <c r="Q199" s="550">
        <v>0</v>
      </c>
      <c r="R199" s="550">
        <v>0</v>
      </c>
      <c r="S199" s="550">
        <v>0</v>
      </c>
      <c r="T199" s="550">
        <v>0</v>
      </c>
      <c r="U199" s="550">
        <v>0</v>
      </c>
      <c r="V199" s="550">
        <v>0</v>
      </c>
      <c r="W199" s="550">
        <v>0</v>
      </c>
      <c r="X199" s="550">
        <v>0</v>
      </c>
      <c r="Y199" s="550">
        <v>0</v>
      </c>
      <c r="Z199" s="550">
        <v>0</v>
      </c>
      <c r="AA199" s="550">
        <v>0</v>
      </c>
      <c r="AB199" s="550">
        <v>0</v>
      </c>
      <c r="AC199" s="550">
        <v>0</v>
      </c>
      <c r="AD199" s="550">
        <v>0</v>
      </c>
      <c r="AE199" s="550">
        <v>0</v>
      </c>
      <c r="AF199" s="550">
        <v>0</v>
      </c>
      <c r="AG199" s="550">
        <v>0</v>
      </c>
      <c r="AH199" s="550">
        <v>0</v>
      </c>
      <c r="AI199" s="550">
        <v>0</v>
      </c>
      <c r="AJ199" s="550">
        <v>0</v>
      </c>
      <c r="AK199" s="550">
        <v>0</v>
      </c>
      <c r="AL199" s="550">
        <v>0</v>
      </c>
      <c r="AM199" s="173" t="str">
        <f t="shared" si="17"/>
        <v>SUBS - US (Deepwater GOM)</v>
      </c>
      <c r="AN199" s="173" t="s">
        <v>543</v>
      </c>
      <c r="AO199" s="5"/>
      <c r="AS199" s="486"/>
      <c r="AT199" s="55"/>
      <c r="AU199" s="341"/>
      <c r="AV199" s="406"/>
      <c r="AW199" s="406"/>
      <c r="AX199" s="538"/>
    </row>
    <row r="200" spans="1:50">
      <c r="A200" s="5"/>
      <c r="B200" s="44" t="s">
        <v>3369</v>
      </c>
      <c r="C200" s="44" t="s">
        <v>160</v>
      </c>
      <c r="D200" s="44" t="s">
        <v>3070</v>
      </c>
      <c r="E200" s="44" t="s">
        <v>1927</v>
      </c>
      <c r="F200" s="44" t="s">
        <v>2973</v>
      </c>
      <c r="G200" s="44" t="s">
        <v>3374</v>
      </c>
      <c r="H200" s="44" t="s">
        <v>116</v>
      </c>
      <c r="I200" s="44" t="s">
        <v>2599</v>
      </c>
      <c r="J200" s="328">
        <v>22.69</v>
      </c>
      <c r="K200" s="550">
        <v>23.21</v>
      </c>
      <c r="L200" s="550">
        <v>29.3</v>
      </c>
      <c r="M200" s="550">
        <v>13.97</v>
      </c>
      <c r="N200" s="550">
        <v>15.14</v>
      </c>
      <c r="O200" s="550">
        <v>15.69</v>
      </c>
      <c r="P200" s="550">
        <v>10.3</v>
      </c>
      <c r="Q200" s="550">
        <v>10.88</v>
      </c>
      <c r="R200" s="550">
        <v>12.11</v>
      </c>
      <c r="S200" s="550">
        <v>12.07</v>
      </c>
      <c r="T200" s="550">
        <v>9.06</v>
      </c>
      <c r="U200" s="550">
        <v>8.85</v>
      </c>
      <c r="V200" s="550">
        <v>8.4600000000000009</v>
      </c>
      <c r="W200" s="550">
        <v>7.43</v>
      </c>
      <c r="X200" s="550">
        <v>6.37</v>
      </c>
      <c r="Y200" s="550">
        <v>5.2</v>
      </c>
      <c r="Z200" s="550">
        <v>4.3499999999999996</v>
      </c>
      <c r="AA200" s="550">
        <v>4.7699999999999996</v>
      </c>
      <c r="AB200" s="550">
        <v>3.99</v>
      </c>
      <c r="AC200" s="550">
        <v>3.36</v>
      </c>
      <c r="AD200" s="550">
        <v>3.37</v>
      </c>
      <c r="AE200" s="550">
        <v>4.59</v>
      </c>
      <c r="AF200" s="550">
        <v>5.53</v>
      </c>
      <c r="AG200" s="550">
        <v>5.95</v>
      </c>
      <c r="AH200" s="550">
        <v>4.54</v>
      </c>
      <c r="AI200" s="550">
        <v>3.27</v>
      </c>
      <c r="AJ200" s="550">
        <v>2.34</v>
      </c>
      <c r="AK200" s="550">
        <v>1.68</v>
      </c>
      <c r="AL200" s="550">
        <v>1.21</v>
      </c>
      <c r="AM200" s="173" t="str">
        <f t="shared" si="17"/>
        <v>SUBS - US (Deepwater GOM)</v>
      </c>
      <c r="AN200" s="173" t="s">
        <v>543</v>
      </c>
      <c r="AO200" s="5"/>
      <c r="AS200" s="486"/>
      <c r="AT200" s="55"/>
      <c r="AU200" s="341"/>
      <c r="AV200" s="406"/>
      <c r="AW200" s="406"/>
      <c r="AX200" s="538"/>
    </row>
    <row r="201" spans="1:50">
      <c r="A201" s="5"/>
      <c r="B201" s="44" t="s">
        <v>3369</v>
      </c>
      <c r="C201" s="44" t="s">
        <v>160</v>
      </c>
      <c r="D201" s="44" t="s">
        <v>3071</v>
      </c>
      <c r="E201" s="44" t="s">
        <v>1927</v>
      </c>
      <c r="F201" s="44" t="s">
        <v>2973</v>
      </c>
      <c r="G201" s="44" t="s">
        <v>3374</v>
      </c>
      <c r="H201" s="44" t="s">
        <v>116</v>
      </c>
      <c r="I201" s="44" t="s">
        <v>2571</v>
      </c>
      <c r="J201" s="328">
        <v>65</v>
      </c>
      <c r="K201" s="550">
        <v>0</v>
      </c>
      <c r="L201" s="550">
        <v>0</v>
      </c>
      <c r="M201" s="550">
        <v>0</v>
      </c>
      <c r="N201" s="550">
        <v>0</v>
      </c>
      <c r="O201" s="550">
        <v>0</v>
      </c>
      <c r="P201" s="550">
        <v>0</v>
      </c>
      <c r="Q201" s="550">
        <v>0</v>
      </c>
      <c r="R201" s="550">
        <v>0.21</v>
      </c>
      <c r="S201" s="550">
        <v>0</v>
      </c>
      <c r="T201" s="550">
        <v>0</v>
      </c>
      <c r="U201" s="550">
        <v>0</v>
      </c>
      <c r="V201" s="550">
        <v>0</v>
      </c>
      <c r="W201" s="550">
        <v>0</v>
      </c>
      <c r="X201" s="550">
        <v>0</v>
      </c>
      <c r="Y201" s="550">
        <v>0</v>
      </c>
      <c r="Z201" s="550">
        <v>0</v>
      </c>
      <c r="AA201" s="550">
        <v>0</v>
      </c>
      <c r="AB201" s="550">
        <v>0</v>
      </c>
      <c r="AC201" s="550">
        <v>0</v>
      </c>
      <c r="AD201" s="550">
        <v>0</v>
      </c>
      <c r="AE201" s="550">
        <v>0</v>
      </c>
      <c r="AF201" s="550">
        <v>0</v>
      </c>
      <c r="AG201" s="550">
        <v>0</v>
      </c>
      <c r="AH201" s="550">
        <v>0</v>
      </c>
      <c r="AI201" s="550">
        <v>0</v>
      </c>
      <c r="AJ201" s="550">
        <v>0</v>
      </c>
      <c r="AK201" s="550">
        <v>0</v>
      </c>
      <c r="AL201" s="550">
        <v>0</v>
      </c>
      <c r="AM201" s="173" t="str">
        <f t="shared" si="17"/>
        <v>SUBS - US (Deepwater GOM)</v>
      </c>
      <c r="AN201" s="173" t="s">
        <v>543</v>
      </c>
      <c r="AO201" s="5"/>
      <c r="AS201" s="486"/>
      <c r="AT201" s="55"/>
      <c r="AU201" s="341"/>
      <c r="AV201" s="406"/>
      <c r="AW201" s="406"/>
      <c r="AX201" s="538"/>
    </row>
    <row r="202" spans="1:50">
      <c r="A202" s="5"/>
      <c r="B202" s="44" t="s">
        <v>3369</v>
      </c>
      <c r="C202" s="44" t="s">
        <v>3072</v>
      </c>
      <c r="D202" s="44" t="s">
        <v>3073</v>
      </c>
      <c r="E202" s="44" t="s">
        <v>1927</v>
      </c>
      <c r="F202" s="44" t="s">
        <v>2960</v>
      </c>
      <c r="G202" s="44" t="s">
        <v>1929</v>
      </c>
      <c r="H202" s="44" t="s">
        <v>116</v>
      </c>
      <c r="I202" s="44" t="s">
        <v>1931</v>
      </c>
      <c r="J202" s="328">
        <v>100</v>
      </c>
      <c r="K202" s="550">
        <v>233.88</v>
      </c>
      <c r="L202" s="550">
        <v>152.25</v>
      </c>
      <c r="M202" s="550">
        <v>101.84</v>
      </c>
      <c r="N202" s="550">
        <v>46.52</v>
      </c>
      <c r="O202" s="550">
        <v>1.18</v>
      </c>
      <c r="P202" s="550">
        <v>0</v>
      </c>
      <c r="Q202" s="550">
        <v>0</v>
      </c>
      <c r="R202" s="550">
        <v>0</v>
      </c>
      <c r="S202" s="550">
        <v>0</v>
      </c>
      <c r="T202" s="550">
        <v>0</v>
      </c>
      <c r="U202" s="550">
        <v>0</v>
      </c>
      <c r="V202" s="550">
        <v>0</v>
      </c>
      <c r="W202" s="550">
        <v>0</v>
      </c>
      <c r="X202" s="550">
        <v>0</v>
      </c>
      <c r="Y202" s="550">
        <v>0</v>
      </c>
      <c r="Z202" s="550">
        <v>0</v>
      </c>
      <c r="AA202" s="550">
        <v>0</v>
      </c>
      <c r="AB202" s="550">
        <v>0</v>
      </c>
      <c r="AC202" s="550">
        <v>0</v>
      </c>
      <c r="AD202" s="550">
        <v>0</v>
      </c>
      <c r="AE202" s="550">
        <v>0</v>
      </c>
      <c r="AF202" s="550">
        <v>0</v>
      </c>
      <c r="AG202" s="550">
        <v>0</v>
      </c>
      <c r="AH202" s="550">
        <v>0</v>
      </c>
      <c r="AI202" s="550">
        <v>0</v>
      </c>
      <c r="AJ202" s="550">
        <v>0</v>
      </c>
      <c r="AK202" s="550">
        <v>0</v>
      </c>
      <c r="AL202" s="550">
        <v>0</v>
      </c>
      <c r="AM202" s="173" t="str">
        <f t="shared" si="17"/>
        <v>SUBS - US (GoM Shelf)</v>
      </c>
      <c r="AN202" s="173" t="s">
        <v>543</v>
      </c>
      <c r="AO202" s="5"/>
      <c r="AS202" s="486"/>
      <c r="AT202" s="55"/>
      <c r="AU202" s="341"/>
      <c r="AV202" s="406"/>
      <c r="AW202" s="406"/>
      <c r="AX202" s="538"/>
    </row>
    <row r="203" spans="1:50">
      <c r="A203" s="5"/>
      <c r="B203" s="44" t="s">
        <v>3369</v>
      </c>
      <c r="C203" s="44" t="s">
        <v>3072</v>
      </c>
      <c r="D203" s="44" t="s">
        <v>674</v>
      </c>
      <c r="E203" s="44" t="s">
        <v>1927</v>
      </c>
      <c r="F203" s="44" t="s">
        <v>2960</v>
      </c>
      <c r="G203" s="44" t="s">
        <v>1929</v>
      </c>
      <c r="H203" s="44" t="s">
        <v>116</v>
      </c>
      <c r="I203" s="44" t="s">
        <v>1931</v>
      </c>
      <c r="J203" s="328">
        <v>100</v>
      </c>
      <c r="K203" s="550">
        <v>17.54</v>
      </c>
      <c r="L203" s="550">
        <v>14.8</v>
      </c>
      <c r="M203" s="550">
        <v>10.24</v>
      </c>
      <c r="N203" s="550">
        <v>4.96</v>
      </c>
      <c r="O203" s="550">
        <v>0</v>
      </c>
      <c r="P203" s="550">
        <v>0</v>
      </c>
      <c r="Q203" s="550">
        <v>0</v>
      </c>
      <c r="R203" s="550">
        <v>0</v>
      </c>
      <c r="S203" s="550">
        <v>0</v>
      </c>
      <c r="T203" s="550">
        <v>0</v>
      </c>
      <c r="U203" s="550">
        <v>0</v>
      </c>
      <c r="V203" s="550">
        <v>0</v>
      </c>
      <c r="W203" s="550">
        <v>0</v>
      </c>
      <c r="X203" s="550">
        <v>0</v>
      </c>
      <c r="Y203" s="550">
        <v>0</v>
      </c>
      <c r="Z203" s="550">
        <v>0</v>
      </c>
      <c r="AA203" s="550">
        <v>0</v>
      </c>
      <c r="AB203" s="550">
        <v>0</v>
      </c>
      <c r="AC203" s="550">
        <v>0</v>
      </c>
      <c r="AD203" s="550">
        <v>0</v>
      </c>
      <c r="AE203" s="550">
        <v>0</v>
      </c>
      <c r="AF203" s="550">
        <v>0</v>
      </c>
      <c r="AG203" s="550">
        <v>0</v>
      </c>
      <c r="AH203" s="550">
        <v>0</v>
      </c>
      <c r="AI203" s="550">
        <v>0</v>
      </c>
      <c r="AJ203" s="550">
        <v>0</v>
      </c>
      <c r="AK203" s="550">
        <v>0</v>
      </c>
      <c r="AL203" s="550">
        <v>0</v>
      </c>
      <c r="AM203" s="173" t="str">
        <f t="shared" si="17"/>
        <v>SUBS - US (GoM Shelf)</v>
      </c>
      <c r="AN203" s="173" t="s">
        <v>543</v>
      </c>
      <c r="AO203" s="5"/>
      <c r="AS203" s="486"/>
      <c r="AT203" s="55"/>
      <c r="AU203" s="341"/>
      <c r="AV203" s="406"/>
      <c r="AW203" s="406"/>
      <c r="AX203" s="538"/>
    </row>
    <row r="204" spans="1:50">
      <c r="A204" s="5"/>
      <c r="B204" s="44" t="s">
        <v>3369</v>
      </c>
      <c r="C204" s="44" t="s">
        <v>3072</v>
      </c>
      <c r="D204" s="44" t="s">
        <v>1343</v>
      </c>
      <c r="E204" s="44" t="s">
        <v>1927</v>
      </c>
      <c r="F204" s="44" t="s">
        <v>2960</v>
      </c>
      <c r="G204" s="44" t="s">
        <v>1929</v>
      </c>
      <c r="H204" s="44" t="s">
        <v>116</v>
      </c>
      <c r="I204" s="44" t="s">
        <v>1931</v>
      </c>
      <c r="J204" s="328">
        <v>100</v>
      </c>
      <c r="K204" s="550">
        <v>46.43</v>
      </c>
      <c r="L204" s="550">
        <v>29.03</v>
      </c>
      <c r="M204" s="550">
        <v>20.63</v>
      </c>
      <c r="N204" s="550">
        <v>6.1</v>
      </c>
      <c r="O204" s="550">
        <v>0.03</v>
      </c>
      <c r="P204" s="550">
        <v>0</v>
      </c>
      <c r="Q204" s="550">
        <v>0</v>
      </c>
      <c r="R204" s="550">
        <v>0</v>
      </c>
      <c r="S204" s="550">
        <v>0</v>
      </c>
      <c r="T204" s="550">
        <v>0</v>
      </c>
      <c r="U204" s="550">
        <v>0</v>
      </c>
      <c r="V204" s="550">
        <v>0</v>
      </c>
      <c r="W204" s="550">
        <v>0</v>
      </c>
      <c r="X204" s="550">
        <v>0</v>
      </c>
      <c r="Y204" s="550">
        <v>0</v>
      </c>
      <c r="Z204" s="550">
        <v>0</v>
      </c>
      <c r="AA204" s="550">
        <v>0</v>
      </c>
      <c r="AB204" s="550">
        <v>0</v>
      </c>
      <c r="AC204" s="550">
        <v>0</v>
      </c>
      <c r="AD204" s="550">
        <v>0</v>
      </c>
      <c r="AE204" s="550">
        <v>0</v>
      </c>
      <c r="AF204" s="550">
        <v>0</v>
      </c>
      <c r="AG204" s="550">
        <v>0</v>
      </c>
      <c r="AH204" s="550">
        <v>0</v>
      </c>
      <c r="AI204" s="550">
        <v>0</v>
      </c>
      <c r="AJ204" s="550">
        <v>0</v>
      </c>
      <c r="AK204" s="550">
        <v>0</v>
      </c>
      <c r="AL204" s="550">
        <v>0</v>
      </c>
      <c r="AM204" s="173" t="str">
        <f t="shared" si="17"/>
        <v>SUBS - US (GoM Shelf)</v>
      </c>
      <c r="AN204" s="173" t="s">
        <v>543</v>
      </c>
      <c r="AO204" s="5"/>
      <c r="AS204" s="486"/>
      <c r="AT204" s="55"/>
      <c r="AU204" s="341"/>
      <c r="AV204" s="406"/>
      <c r="AW204" s="406"/>
      <c r="AX204" s="538"/>
    </row>
    <row r="205" spans="1:50">
      <c r="A205" s="5"/>
      <c r="B205" s="44" t="s">
        <v>3369</v>
      </c>
      <c r="C205" s="44" t="s">
        <v>3072</v>
      </c>
      <c r="D205" s="44" t="s">
        <v>1344</v>
      </c>
      <c r="E205" s="44" t="s">
        <v>1927</v>
      </c>
      <c r="F205" s="44" t="s">
        <v>2960</v>
      </c>
      <c r="G205" s="44" t="s">
        <v>1931</v>
      </c>
      <c r="H205" s="44" t="s">
        <v>116</v>
      </c>
      <c r="I205" s="44" t="s">
        <v>1931</v>
      </c>
      <c r="J205" s="328">
        <v>100</v>
      </c>
      <c r="K205" s="550">
        <v>11.55</v>
      </c>
      <c r="L205" s="550">
        <v>7.23</v>
      </c>
      <c r="M205" s="550">
        <v>5.16</v>
      </c>
      <c r="N205" s="550">
        <v>1.54</v>
      </c>
      <c r="O205" s="550">
        <v>0.01</v>
      </c>
      <c r="P205" s="550">
        <v>0</v>
      </c>
      <c r="Q205" s="550">
        <v>0</v>
      </c>
      <c r="R205" s="550">
        <v>0</v>
      </c>
      <c r="S205" s="550">
        <v>0</v>
      </c>
      <c r="T205" s="550">
        <v>0</v>
      </c>
      <c r="U205" s="550">
        <v>0</v>
      </c>
      <c r="V205" s="550">
        <v>0</v>
      </c>
      <c r="W205" s="550">
        <v>0</v>
      </c>
      <c r="X205" s="550">
        <v>0</v>
      </c>
      <c r="Y205" s="550">
        <v>0</v>
      </c>
      <c r="Z205" s="550">
        <v>0</v>
      </c>
      <c r="AA205" s="550">
        <v>0</v>
      </c>
      <c r="AB205" s="550">
        <v>0</v>
      </c>
      <c r="AC205" s="550">
        <v>0</v>
      </c>
      <c r="AD205" s="550">
        <v>0</v>
      </c>
      <c r="AE205" s="550">
        <v>0</v>
      </c>
      <c r="AF205" s="550">
        <v>0</v>
      </c>
      <c r="AG205" s="550">
        <v>0</v>
      </c>
      <c r="AH205" s="550">
        <v>0</v>
      </c>
      <c r="AI205" s="550">
        <v>0</v>
      </c>
      <c r="AJ205" s="550">
        <v>0</v>
      </c>
      <c r="AK205" s="550">
        <v>0</v>
      </c>
      <c r="AL205" s="550">
        <v>0</v>
      </c>
      <c r="AM205" s="173" t="str">
        <f t="shared" si="17"/>
        <v>SUBS - US (GoM Shelf)</v>
      </c>
      <c r="AN205" s="173" t="s">
        <v>543</v>
      </c>
      <c r="AO205" s="5"/>
      <c r="AS205" s="486"/>
      <c r="AT205" s="55"/>
      <c r="AU205" s="341"/>
      <c r="AV205" s="406"/>
      <c r="AW205" s="406"/>
      <c r="AX205" s="538"/>
    </row>
    <row r="206" spans="1:50">
      <c r="A206" s="5"/>
      <c r="B206" s="44" t="s">
        <v>3369</v>
      </c>
      <c r="C206" s="44" t="s">
        <v>3072</v>
      </c>
      <c r="D206" s="44" t="s">
        <v>1345</v>
      </c>
      <c r="E206" s="44" t="s">
        <v>1927</v>
      </c>
      <c r="F206" s="44" t="s">
        <v>2960</v>
      </c>
      <c r="G206" s="44" t="s">
        <v>1929</v>
      </c>
      <c r="H206" s="44" t="s">
        <v>116</v>
      </c>
      <c r="I206" s="44" t="s">
        <v>1931</v>
      </c>
      <c r="J206" s="328">
        <v>100</v>
      </c>
      <c r="K206" s="550">
        <v>9.73</v>
      </c>
      <c r="L206" s="550">
        <v>6.54</v>
      </c>
      <c r="M206" s="550">
        <v>3.85</v>
      </c>
      <c r="N206" s="550">
        <v>1.35</v>
      </c>
      <c r="O206" s="550">
        <v>0</v>
      </c>
      <c r="P206" s="550">
        <v>0</v>
      </c>
      <c r="Q206" s="550">
        <v>0</v>
      </c>
      <c r="R206" s="550">
        <v>0</v>
      </c>
      <c r="S206" s="550">
        <v>0</v>
      </c>
      <c r="T206" s="550">
        <v>0</v>
      </c>
      <c r="U206" s="550">
        <v>0</v>
      </c>
      <c r="V206" s="550">
        <v>0</v>
      </c>
      <c r="W206" s="550">
        <v>0</v>
      </c>
      <c r="X206" s="550">
        <v>0</v>
      </c>
      <c r="Y206" s="550">
        <v>0</v>
      </c>
      <c r="Z206" s="550">
        <v>0</v>
      </c>
      <c r="AA206" s="550">
        <v>0</v>
      </c>
      <c r="AB206" s="550">
        <v>0</v>
      </c>
      <c r="AC206" s="550">
        <v>0</v>
      </c>
      <c r="AD206" s="550">
        <v>0</v>
      </c>
      <c r="AE206" s="550">
        <v>0</v>
      </c>
      <c r="AF206" s="550">
        <v>0</v>
      </c>
      <c r="AG206" s="550">
        <v>0</v>
      </c>
      <c r="AH206" s="550">
        <v>0</v>
      </c>
      <c r="AI206" s="550">
        <v>0</v>
      </c>
      <c r="AJ206" s="550">
        <v>0</v>
      </c>
      <c r="AK206" s="550">
        <v>0</v>
      </c>
      <c r="AL206" s="550">
        <v>0</v>
      </c>
      <c r="AM206" s="173" t="str">
        <f t="shared" si="17"/>
        <v>SUBS - US (GoM Shelf)</v>
      </c>
      <c r="AN206" s="173" t="s">
        <v>543</v>
      </c>
      <c r="AO206" s="5"/>
      <c r="AS206" s="486"/>
      <c r="AT206" s="55"/>
      <c r="AU206" s="341"/>
      <c r="AV206" s="406"/>
      <c r="AW206" s="406"/>
      <c r="AX206" s="538"/>
    </row>
    <row r="207" spans="1:50">
      <c r="A207" s="5"/>
      <c r="B207" s="44" t="s">
        <v>3369</v>
      </c>
      <c r="C207" s="44" t="s">
        <v>1346</v>
      </c>
      <c r="D207" s="44" t="s">
        <v>1347</v>
      </c>
      <c r="E207" s="44" t="s">
        <v>1927</v>
      </c>
      <c r="F207" s="44" t="s">
        <v>1928</v>
      </c>
      <c r="G207" s="44" t="s">
        <v>1929</v>
      </c>
      <c r="H207" s="44" t="s">
        <v>117</v>
      </c>
      <c r="I207" s="44" t="s">
        <v>1931</v>
      </c>
      <c r="J207" s="328">
        <v>100</v>
      </c>
      <c r="K207" s="550">
        <v>0</v>
      </c>
      <c r="L207" s="550">
        <v>0</v>
      </c>
      <c r="M207" s="550">
        <v>0</v>
      </c>
      <c r="N207" s="550">
        <v>0</v>
      </c>
      <c r="O207" s="550">
        <v>1.1299999999999999</v>
      </c>
      <c r="P207" s="550">
        <v>3.1</v>
      </c>
      <c r="Q207" s="550">
        <v>4.57</v>
      </c>
      <c r="R207" s="550">
        <v>8.02</v>
      </c>
      <c r="S207" s="550">
        <v>10.15</v>
      </c>
      <c r="T207" s="550">
        <v>12.54</v>
      </c>
      <c r="U207" s="550">
        <v>19.02</v>
      </c>
      <c r="V207" s="550">
        <v>22</v>
      </c>
      <c r="W207" s="550">
        <v>14</v>
      </c>
      <c r="X207" s="550">
        <v>12.3</v>
      </c>
      <c r="Y207" s="550">
        <v>10.31</v>
      </c>
      <c r="Z207" s="550">
        <v>8.9700000000000006</v>
      </c>
      <c r="AA207" s="550">
        <v>7.99</v>
      </c>
      <c r="AB207" s="550">
        <v>7.19</v>
      </c>
      <c r="AC207" s="550">
        <v>6.54</v>
      </c>
      <c r="AD207" s="550">
        <v>6.01</v>
      </c>
      <c r="AE207" s="550">
        <v>5.53</v>
      </c>
      <c r="AF207" s="550">
        <v>5.09</v>
      </c>
      <c r="AG207" s="550">
        <v>4.68</v>
      </c>
      <c r="AH207" s="550">
        <v>4.3099999999999996</v>
      </c>
      <c r="AI207" s="550">
        <v>3.96</v>
      </c>
      <c r="AJ207" s="550">
        <v>3.69</v>
      </c>
      <c r="AK207" s="550">
        <v>3.43</v>
      </c>
      <c r="AL207" s="550">
        <v>3.19</v>
      </c>
      <c r="AM207" s="173" t="str">
        <f t="shared" si="17"/>
        <v>SUBS - US (Gulf Coast)</v>
      </c>
      <c r="AN207" s="173" t="s">
        <v>543</v>
      </c>
      <c r="AO207" s="5"/>
      <c r="AS207" s="486"/>
      <c r="AT207" s="55"/>
      <c r="AU207" s="341"/>
      <c r="AV207" s="406"/>
      <c r="AW207" s="406"/>
      <c r="AX207" s="538"/>
    </row>
    <row r="208" spans="1:50">
      <c r="A208" s="5"/>
      <c r="B208" s="44" t="s">
        <v>3369</v>
      </c>
      <c r="C208" s="44" t="s">
        <v>1346</v>
      </c>
      <c r="D208" s="44" t="s">
        <v>1348</v>
      </c>
      <c r="E208" s="44" t="s">
        <v>1927</v>
      </c>
      <c r="F208" s="44" t="s">
        <v>1928</v>
      </c>
      <c r="G208" s="44" t="s">
        <v>1929</v>
      </c>
      <c r="H208" s="44" t="s">
        <v>117</v>
      </c>
      <c r="I208" s="44" t="s">
        <v>1931</v>
      </c>
      <c r="J208" s="328">
        <v>100</v>
      </c>
      <c r="K208" s="550">
        <v>62.05</v>
      </c>
      <c r="L208" s="550">
        <v>72.400000000000006</v>
      </c>
      <c r="M208" s="550">
        <v>71.98</v>
      </c>
      <c r="N208" s="550">
        <v>90.22</v>
      </c>
      <c r="O208" s="550">
        <v>88.82</v>
      </c>
      <c r="P208" s="550">
        <v>64.13</v>
      </c>
      <c r="Q208" s="550">
        <v>58.97</v>
      </c>
      <c r="R208" s="550">
        <v>60.21</v>
      </c>
      <c r="S208" s="550">
        <v>51.5</v>
      </c>
      <c r="T208" s="550">
        <v>49.68</v>
      </c>
      <c r="U208" s="550">
        <v>49.25</v>
      </c>
      <c r="V208" s="550">
        <v>58.21</v>
      </c>
      <c r="W208" s="550">
        <v>44.68</v>
      </c>
      <c r="X208" s="550">
        <v>42.92</v>
      </c>
      <c r="Y208" s="550">
        <v>35.979999999999997</v>
      </c>
      <c r="Z208" s="550">
        <v>31.29</v>
      </c>
      <c r="AA208" s="550">
        <v>27.86</v>
      </c>
      <c r="AB208" s="550">
        <v>25.07</v>
      </c>
      <c r="AC208" s="550">
        <v>22.81</v>
      </c>
      <c r="AD208" s="550">
        <v>20.98</v>
      </c>
      <c r="AE208" s="550">
        <v>19.3</v>
      </c>
      <c r="AF208" s="550">
        <v>17.760000000000002</v>
      </c>
      <c r="AG208" s="550">
        <v>16.34</v>
      </c>
      <c r="AH208" s="550">
        <v>15.03</v>
      </c>
      <c r="AI208" s="550">
        <v>13.83</v>
      </c>
      <c r="AJ208" s="550">
        <v>12.86</v>
      </c>
      <c r="AK208" s="550">
        <v>11.96</v>
      </c>
      <c r="AL208" s="550">
        <v>11.12</v>
      </c>
      <c r="AM208" s="173" t="str">
        <f t="shared" si="17"/>
        <v>SUBS - US (Gulf Coast)</v>
      </c>
      <c r="AN208" s="173" t="s">
        <v>543</v>
      </c>
      <c r="AO208" s="5"/>
      <c r="AS208" s="486"/>
      <c r="AT208" s="55"/>
      <c r="AU208" s="341"/>
      <c r="AV208" s="406"/>
      <c r="AW208" s="406"/>
      <c r="AX208" s="538"/>
    </row>
    <row r="209" spans="1:50">
      <c r="A209" s="5"/>
      <c r="B209" s="44" t="s">
        <v>3369</v>
      </c>
      <c r="C209" s="44" t="s">
        <v>1346</v>
      </c>
      <c r="D209" s="44" t="s">
        <v>3564</v>
      </c>
      <c r="E209" s="44" t="s">
        <v>1927</v>
      </c>
      <c r="F209" s="44" t="s">
        <v>1928</v>
      </c>
      <c r="G209" s="44" t="s">
        <v>1930</v>
      </c>
      <c r="H209" s="44" t="s">
        <v>2962</v>
      </c>
      <c r="I209" s="44" t="s">
        <v>1931</v>
      </c>
      <c r="J209" s="328">
        <v>100</v>
      </c>
      <c r="K209" s="550">
        <v>0</v>
      </c>
      <c r="L209" s="550">
        <v>0</v>
      </c>
      <c r="M209" s="550">
        <v>0</v>
      </c>
      <c r="N209" s="550">
        <v>0</v>
      </c>
      <c r="O209" s="550">
        <v>0</v>
      </c>
      <c r="P209" s="550">
        <v>0</v>
      </c>
      <c r="Q209" s="550">
        <v>0.83</v>
      </c>
      <c r="R209" s="550">
        <v>8.94</v>
      </c>
      <c r="S209" s="550">
        <v>10.65</v>
      </c>
      <c r="T209" s="550">
        <v>12.98</v>
      </c>
      <c r="U209" s="550">
        <v>20.54</v>
      </c>
      <c r="V209" s="550">
        <v>16</v>
      </c>
      <c r="W209" s="550">
        <v>8.9600000000000009</v>
      </c>
      <c r="X209" s="550">
        <v>7.98</v>
      </c>
      <c r="Y209" s="550">
        <v>6.13</v>
      </c>
      <c r="Z209" s="550">
        <v>4.9000000000000004</v>
      </c>
      <c r="AA209" s="550">
        <v>4.07</v>
      </c>
      <c r="AB209" s="550">
        <v>3.46</v>
      </c>
      <c r="AC209" s="550">
        <v>2.97</v>
      </c>
      <c r="AD209" s="550">
        <v>2.65</v>
      </c>
      <c r="AE209" s="550">
        <v>2.38</v>
      </c>
      <c r="AF209" s="550">
        <v>2.14</v>
      </c>
      <c r="AG209" s="550">
        <v>1.93</v>
      </c>
      <c r="AH209" s="550">
        <v>1.74</v>
      </c>
      <c r="AI209" s="550">
        <v>1.56</v>
      </c>
      <c r="AJ209" s="550">
        <v>1.44</v>
      </c>
      <c r="AK209" s="550">
        <v>1.32</v>
      </c>
      <c r="AL209" s="550">
        <v>1.22</v>
      </c>
      <c r="AM209" s="173" t="str">
        <f>AN209&amp;" - "&amp;C209</f>
        <v>SUBS - US (Gulf Coast)</v>
      </c>
      <c r="AN209" s="173" t="s">
        <v>543</v>
      </c>
      <c r="AO209" s="5"/>
      <c r="AS209" s="486"/>
      <c r="AT209" s="55"/>
      <c r="AU209" s="341"/>
      <c r="AV209" s="406"/>
      <c r="AW209" s="406"/>
      <c r="AX209" s="538"/>
    </row>
    <row r="210" spans="1:50">
      <c r="A210" s="5"/>
      <c r="B210" s="44" t="s">
        <v>3369</v>
      </c>
      <c r="C210" s="44" t="s">
        <v>1346</v>
      </c>
      <c r="D210" s="44" t="s">
        <v>3566</v>
      </c>
      <c r="E210" s="44" t="s">
        <v>1927</v>
      </c>
      <c r="F210" s="44" t="s">
        <v>1928</v>
      </c>
      <c r="G210" s="44" t="s">
        <v>1930</v>
      </c>
      <c r="H210" s="44" t="s">
        <v>2962</v>
      </c>
      <c r="I210" s="44" t="s">
        <v>1931</v>
      </c>
      <c r="J210" s="328">
        <v>100</v>
      </c>
      <c r="K210" s="550">
        <v>0</v>
      </c>
      <c r="L210" s="550">
        <v>0</v>
      </c>
      <c r="M210" s="550">
        <v>0</v>
      </c>
      <c r="N210" s="550">
        <v>0</v>
      </c>
      <c r="O210" s="550">
        <v>0</v>
      </c>
      <c r="P210" s="550">
        <v>0</v>
      </c>
      <c r="Q210" s="550">
        <v>0.83</v>
      </c>
      <c r="R210" s="550">
        <v>8.94</v>
      </c>
      <c r="S210" s="550">
        <v>10.65</v>
      </c>
      <c r="T210" s="550">
        <v>12.98</v>
      </c>
      <c r="U210" s="550">
        <v>20.54</v>
      </c>
      <c r="V210" s="550">
        <v>16</v>
      </c>
      <c r="W210" s="550">
        <v>8.9600000000000009</v>
      </c>
      <c r="X210" s="550">
        <v>31.76</v>
      </c>
      <c r="Y210" s="550">
        <v>160.84</v>
      </c>
      <c r="Z210" s="550">
        <v>241.12</v>
      </c>
      <c r="AA210" s="550">
        <v>385.09</v>
      </c>
      <c r="AB210" s="550">
        <v>461.99</v>
      </c>
      <c r="AC210" s="550">
        <v>512.38</v>
      </c>
      <c r="AD210" s="550">
        <v>547.55999999999995</v>
      </c>
      <c r="AE210" s="550">
        <v>575.86</v>
      </c>
      <c r="AF210" s="550">
        <v>599.36</v>
      </c>
      <c r="AG210" s="550">
        <v>618.79999999999995</v>
      </c>
      <c r="AH210" s="550">
        <v>490.32</v>
      </c>
      <c r="AI210" s="550">
        <v>338.75</v>
      </c>
      <c r="AJ210" s="550">
        <v>261.17</v>
      </c>
      <c r="AK210" s="550">
        <v>213.35</v>
      </c>
      <c r="AL210" s="550">
        <v>182.32</v>
      </c>
      <c r="AM210" s="173" t="str">
        <f>AN210&amp;" - "&amp;C210</f>
        <v>SUBS - US (Gulf Coast)</v>
      </c>
      <c r="AN210" s="173" t="s">
        <v>543</v>
      </c>
      <c r="AO210" s="5"/>
      <c r="AS210" s="486"/>
      <c r="AT210" s="55"/>
      <c r="AU210" s="341"/>
      <c r="AV210" s="406"/>
      <c r="AW210" s="406"/>
      <c r="AX210" s="538"/>
    </row>
    <row r="211" spans="1:50">
      <c r="A211" s="5"/>
      <c r="B211" s="44" t="s">
        <v>3369</v>
      </c>
      <c r="C211" s="44" t="s">
        <v>1346</v>
      </c>
      <c r="D211" s="44" t="s">
        <v>1349</v>
      </c>
      <c r="E211" s="44" t="s">
        <v>1927</v>
      </c>
      <c r="F211" s="44" t="s">
        <v>1928</v>
      </c>
      <c r="G211" s="44" t="s">
        <v>1929</v>
      </c>
      <c r="H211" s="44" t="s">
        <v>117</v>
      </c>
      <c r="I211" s="44" t="s">
        <v>1931</v>
      </c>
      <c r="J211" s="328">
        <v>100</v>
      </c>
      <c r="K211" s="550">
        <v>13.22</v>
      </c>
      <c r="L211" s="550">
        <v>11.07</v>
      </c>
      <c r="M211" s="550">
        <v>8.02</v>
      </c>
      <c r="N211" s="550">
        <v>6.13</v>
      </c>
      <c r="O211" s="550">
        <v>6.83</v>
      </c>
      <c r="P211" s="550">
        <v>7.99</v>
      </c>
      <c r="Q211" s="550">
        <v>4.76</v>
      </c>
      <c r="R211" s="550">
        <v>4.5199999999999996</v>
      </c>
      <c r="S211" s="550">
        <v>3.88</v>
      </c>
      <c r="T211" s="550">
        <v>3.72</v>
      </c>
      <c r="U211" s="550">
        <v>3.6</v>
      </c>
      <c r="V211" s="550">
        <v>4.01</v>
      </c>
      <c r="W211" s="550">
        <v>3.22</v>
      </c>
      <c r="X211" s="550">
        <v>3.16</v>
      </c>
      <c r="Y211" s="550">
        <v>2.64</v>
      </c>
      <c r="Z211" s="550">
        <v>2.2999999999999998</v>
      </c>
      <c r="AA211" s="550">
        <v>2.0499999999999998</v>
      </c>
      <c r="AB211" s="550">
        <v>1.84</v>
      </c>
      <c r="AC211" s="550">
        <v>1.68</v>
      </c>
      <c r="AD211" s="550">
        <v>1.54</v>
      </c>
      <c r="AE211" s="550">
        <v>1.42</v>
      </c>
      <c r="AF211" s="550">
        <v>1.31</v>
      </c>
      <c r="AG211" s="550">
        <v>1.2</v>
      </c>
      <c r="AH211" s="550">
        <v>1.1100000000000001</v>
      </c>
      <c r="AI211" s="550">
        <v>1.02</v>
      </c>
      <c r="AJ211" s="550">
        <v>0.95</v>
      </c>
      <c r="AK211" s="550">
        <v>0.88</v>
      </c>
      <c r="AL211" s="550">
        <v>0.82</v>
      </c>
      <c r="AM211" s="173" t="str">
        <f>AN211&amp;" - "&amp;C211</f>
        <v>SUBS - US (Gulf Coast)</v>
      </c>
      <c r="AN211" s="173" t="s">
        <v>543</v>
      </c>
      <c r="AO211" s="5"/>
      <c r="AS211" s="486"/>
      <c r="AT211" s="55"/>
      <c r="AU211" s="341"/>
      <c r="AV211" s="406"/>
      <c r="AW211" s="406"/>
      <c r="AX211" s="538"/>
    </row>
    <row r="212" spans="1:50">
      <c r="A212" s="5"/>
      <c r="B212" s="44" t="s">
        <v>3369</v>
      </c>
      <c r="C212" s="44" t="s">
        <v>1346</v>
      </c>
      <c r="D212" s="44" t="s">
        <v>2549</v>
      </c>
      <c r="E212" s="44" t="s">
        <v>1927</v>
      </c>
      <c r="F212" s="44" t="s">
        <v>1928</v>
      </c>
      <c r="G212" s="44" t="s">
        <v>1929</v>
      </c>
      <c r="H212" s="44" t="s">
        <v>117</v>
      </c>
      <c r="I212" s="44" t="s">
        <v>1931</v>
      </c>
      <c r="J212" s="328">
        <v>100</v>
      </c>
      <c r="K212" s="550">
        <v>36.479999999999997</v>
      </c>
      <c r="L212" s="550">
        <v>31.35</v>
      </c>
      <c r="M212" s="550">
        <v>24.43</v>
      </c>
      <c r="N212" s="550">
        <v>21.9</v>
      </c>
      <c r="O212" s="550">
        <v>22.16</v>
      </c>
      <c r="P212" s="550">
        <v>23.61</v>
      </c>
      <c r="Q212" s="550">
        <v>13.74</v>
      </c>
      <c r="R212" s="550">
        <v>12.4</v>
      </c>
      <c r="S212" s="550">
        <v>10.48</v>
      </c>
      <c r="T212" s="550">
        <v>10.95</v>
      </c>
      <c r="U212" s="550">
        <v>10.32</v>
      </c>
      <c r="V212" s="550">
        <v>11.51</v>
      </c>
      <c r="W212" s="550">
        <v>9.2100000000000009</v>
      </c>
      <c r="X212" s="550">
        <v>9.0299999999999994</v>
      </c>
      <c r="Y212" s="550">
        <v>7.57</v>
      </c>
      <c r="Z212" s="550">
        <v>6.59</v>
      </c>
      <c r="AA212" s="550">
        <v>5.86</v>
      </c>
      <c r="AB212" s="550">
        <v>5.28</v>
      </c>
      <c r="AC212" s="550">
        <v>4.8</v>
      </c>
      <c r="AD212" s="550">
        <v>4.42</v>
      </c>
      <c r="AE212" s="550">
        <v>4.0599999999999996</v>
      </c>
      <c r="AF212" s="550">
        <v>3.74</v>
      </c>
      <c r="AG212" s="550">
        <v>3.44</v>
      </c>
      <c r="AH212" s="550">
        <v>3.16</v>
      </c>
      <c r="AI212" s="550">
        <v>2.91</v>
      </c>
      <c r="AJ212" s="550">
        <v>2.71</v>
      </c>
      <c r="AK212" s="550">
        <v>2.52</v>
      </c>
      <c r="AL212" s="550">
        <v>2.34</v>
      </c>
      <c r="AM212" s="173" t="str">
        <f>AN212&amp;" - "&amp;C212</f>
        <v>SUBS - US (Gulf Coast)</v>
      </c>
      <c r="AN212" s="173" t="s">
        <v>543</v>
      </c>
      <c r="AO212" s="5"/>
      <c r="AS212" s="486"/>
      <c r="AT212" s="55"/>
      <c r="AU212" s="341"/>
      <c r="AV212" s="406"/>
      <c r="AW212" s="406"/>
      <c r="AX212" s="538"/>
    </row>
    <row r="213" spans="1:50">
      <c r="A213" s="5"/>
      <c r="B213" s="44" t="s">
        <v>3369</v>
      </c>
      <c r="C213" s="44" t="s">
        <v>1346</v>
      </c>
      <c r="D213" s="44" t="s">
        <v>3612</v>
      </c>
      <c r="E213" s="44" t="s">
        <v>1927</v>
      </c>
      <c r="F213" s="44" t="s">
        <v>1928</v>
      </c>
      <c r="G213" s="44" t="s">
        <v>1930</v>
      </c>
      <c r="H213" s="44" t="s">
        <v>116</v>
      </c>
      <c r="I213" s="44" t="s">
        <v>1931</v>
      </c>
      <c r="J213" s="328">
        <v>100</v>
      </c>
      <c r="K213" s="550">
        <v>190.13</v>
      </c>
      <c r="L213" s="550">
        <v>140.80000000000001</v>
      </c>
      <c r="M213" s="550">
        <v>137.28</v>
      </c>
      <c r="N213" s="550">
        <v>118.34</v>
      </c>
      <c r="O213" s="550">
        <v>98.23</v>
      </c>
      <c r="P213" s="550">
        <v>89.06</v>
      </c>
      <c r="Q213" s="550">
        <v>71.56</v>
      </c>
      <c r="R213" s="550">
        <v>57.61</v>
      </c>
      <c r="S213" s="550">
        <v>31.92</v>
      </c>
      <c r="T213" s="550">
        <v>3.81</v>
      </c>
      <c r="U213" s="550">
        <v>3.33</v>
      </c>
      <c r="V213" s="550">
        <v>3.51</v>
      </c>
      <c r="W213" s="550">
        <v>3.36</v>
      </c>
      <c r="X213" s="550">
        <v>0</v>
      </c>
      <c r="Y213" s="550">
        <v>0</v>
      </c>
      <c r="Z213" s="550">
        <v>0</v>
      </c>
      <c r="AA213" s="550">
        <v>0</v>
      </c>
      <c r="AB213" s="550">
        <v>0</v>
      </c>
      <c r="AC213" s="550">
        <v>0</v>
      </c>
      <c r="AD213" s="550">
        <v>0</v>
      </c>
      <c r="AE213" s="550">
        <v>0</v>
      </c>
      <c r="AF213" s="550">
        <v>0</v>
      </c>
      <c r="AG213" s="550">
        <v>0</v>
      </c>
      <c r="AH213" s="550">
        <v>0</v>
      </c>
      <c r="AI213" s="550">
        <v>0</v>
      </c>
      <c r="AJ213" s="550">
        <v>0</v>
      </c>
      <c r="AK213" s="550">
        <v>0</v>
      </c>
      <c r="AL213" s="550">
        <v>0</v>
      </c>
      <c r="AM213" s="173" t="str">
        <f t="shared" ref="AM213:AM216" si="18">AN213&amp;" - "&amp;C213</f>
        <v>SUBS - US (Gulf Coast)</v>
      </c>
      <c r="AN213" s="173" t="s">
        <v>543</v>
      </c>
      <c r="AO213" s="5"/>
      <c r="AS213" s="486"/>
      <c r="AT213" s="55"/>
      <c r="AU213" s="341"/>
      <c r="AV213" s="406"/>
      <c r="AW213" s="406"/>
      <c r="AX213" s="538"/>
    </row>
    <row r="214" spans="1:50">
      <c r="A214" s="5"/>
      <c r="B214" s="44" t="s">
        <v>3369</v>
      </c>
      <c r="C214" s="44" t="s">
        <v>1346</v>
      </c>
      <c r="D214" s="44" t="s">
        <v>3461</v>
      </c>
      <c r="E214" s="44" t="s">
        <v>1927</v>
      </c>
      <c r="F214" s="44" t="s">
        <v>1928</v>
      </c>
      <c r="G214" s="44" t="s">
        <v>1931</v>
      </c>
      <c r="H214" s="44" t="s">
        <v>2962</v>
      </c>
      <c r="I214" s="44" t="s">
        <v>1931</v>
      </c>
      <c r="J214" s="328">
        <v>100</v>
      </c>
      <c r="K214" s="550">
        <v>0</v>
      </c>
      <c r="L214" s="550">
        <v>0</v>
      </c>
      <c r="M214" s="550">
        <v>0</v>
      </c>
      <c r="N214" s="550">
        <v>0</v>
      </c>
      <c r="O214" s="550">
        <v>0</v>
      </c>
      <c r="P214" s="550">
        <v>0</v>
      </c>
      <c r="Q214" s="550">
        <v>0</v>
      </c>
      <c r="R214" s="550">
        <v>2.71</v>
      </c>
      <c r="S214" s="550">
        <v>2.67</v>
      </c>
      <c r="T214" s="550">
        <v>18.420000000000002</v>
      </c>
      <c r="U214" s="550">
        <v>39.07</v>
      </c>
      <c r="V214" s="550">
        <v>34.22</v>
      </c>
      <c r="W214" s="550">
        <v>32.4</v>
      </c>
      <c r="X214" s="550">
        <v>29.08</v>
      </c>
      <c r="Y214" s="550">
        <v>23.72</v>
      </c>
      <c r="Z214" s="550">
        <v>20.16</v>
      </c>
      <c r="AA214" s="550">
        <v>17.760000000000002</v>
      </c>
      <c r="AB214" s="550">
        <v>15.97</v>
      </c>
      <c r="AC214" s="550">
        <v>14.53</v>
      </c>
      <c r="AD214" s="550">
        <v>13.66</v>
      </c>
      <c r="AE214" s="550">
        <v>12.84</v>
      </c>
      <c r="AF214" s="550">
        <v>12.07</v>
      </c>
      <c r="AG214" s="550">
        <v>11.34</v>
      </c>
      <c r="AH214" s="550">
        <v>10.66</v>
      </c>
      <c r="AI214" s="550">
        <v>10.02</v>
      </c>
      <c r="AJ214" s="550">
        <v>9.42</v>
      </c>
      <c r="AK214" s="550">
        <v>8.85</v>
      </c>
      <c r="AL214" s="550">
        <v>8.32</v>
      </c>
      <c r="AM214" s="173" t="str">
        <f t="shared" si="18"/>
        <v>SUBS - US (Gulf Coast)</v>
      </c>
      <c r="AN214" s="173" t="s">
        <v>543</v>
      </c>
      <c r="AO214" s="5"/>
      <c r="AS214" s="486"/>
      <c r="AT214" s="55"/>
      <c r="AU214" s="341"/>
      <c r="AV214" s="406"/>
      <c r="AW214" s="406"/>
      <c r="AX214" s="538"/>
    </row>
    <row r="215" spans="1:50">
      <c r="A215" s="5"/>
      <c r="B215" s="44" t="s">
        <v>3369</v>
      </c>
      <c r="C215" s="44" t="s">
        <v>1346</v>
      </c>
      <c r="D215" s="44" t="s">
        <v>3462</v>
      </c>
      <c r="E215" s="44" t="s">
        <v>1927</v>
      </c>
      <c r="F215" s="44" t="s">
        <v>1928</v>
      </c>
      <c r="G215" s="44" t="s">
        <v>1931</v>
      </c>
      <c r="H215" s="44" t="s">
        <v>2962</v>
      </c>
      <c r="I215" s="44" t="s">
        <v>1931</v>
      </c>
      <c r="J215" s="328">
        <v>100</v>
      </c>
      <c r="K215" s="550">
        <v>0</v>
      </c>
      <c r="L215" s="550">
        <v>0</v>
      </c>
      <c r="M215" s="550">
        <v>0</v>
      </c>
      <c r="N215" s="550">
        <v>0</v>
      </c>
      <c r="O215" s="550">
        <v>0</v>
      </c>
      <c r="P215" s="550">
        <v>0</v>
      </c>
      <c r="Q215" s="550">
        <v>0</v>
      </c>
      <c r="R215" s="550">
        <v>2.69</v>
      </c>
      <c r="S215" s="550">
        <v>2.68</v>
      </c>
      <c r="T215" s="550">
        <v>18.45</v>
      </c>
      <c r="U215" s="550">
        <v>39.130000000000003</v>
      </c>
      <c r="V215" s="550">
        <v>51.28</v>
      </c>
      <c r="W215" s="550">
        <v>54.55</v>
      </c>
      <c r="X215" s="550">
        <v>43.95</v>
      </c>
      <c r="Y215" s="550">
        <v>32.36</v>
      </c>
      <c r="Z215" s="550">
        <v>25.87</v>
      </c>
      <c r="AA215" s="550">
        <v>21.76</v>
      </c>
      <c r="AB215" s="550">
        <v>18.920000000000002</v>
      </c>
      <c r="AC215" s="550">
        <v>16.829999999999998</v>
      </c>
      <c r="AD215" s="550">
        <v>15.48</v>
      </c>
      <c r="AE215" s="550">
        <v>14.24</v>
      </c>
      <c r="AF215" s="550">
        <v>13.1</v>
      </c>
      <c r="AG215" s="550">
        <v>12.05</v>
      </c>
      <c r="AH215" s="550">
        <v>11.09</v>
      </c>
      <c r="AI215" s="550">
        <v>10.199999999999999</v>
      </c>
      <c r="AJ215" s="550">
        <v>9.59</v>
      </c>
      <c r="AK215" s="550">
        <v>9.01</v>
      </c>
      <c r="AL215" s="550">
        <v>8.4700000000000006</v>
      </c>
      <c r="AM215" s="173" t="str">
        <f t="shared" si="18"/>
        <v>SUBS - US (Gulf Coast)</v>
      </c>
      <c r="AN215" s="173" t="s">
        <v>543</v>
      </c>
      <c r="AO215" s="5"/>
      <c r="AS215" s="486"/>
      <c r="AT215" s="55"/>
      <c r="AU215" s="341"/>
      <c r="AV215" s="406"/>
      <c r="AW215" s="406"/>
      <c r="AX215" s="538"/>
    </row>
    <row r="216" spans="1:50">
      <c r="A216" s="5"/>
      <c r="B216" s="44" t="s">
        <v>3369</v>
      </c>
      <c r="C216" s="44" t="s">
        <v>1346</v>
      </c>
      <c r="D216" s="44" t="s">
        <v>3463</v>
      </c>
      <c r="E216" s="44" t="s">
        <v>1927</v>
      </c>
      <c r="F216" s="44" t="s">
        <v>1928</v>
      </c>
      <c r="G216" s="44" t="s">
        <v>1931</v>
      </c>
      <c r="H216" s="44" t="s">
        <v>2962</v>
      </c>
      <c r="I216" s="44" t="s">
        <v>1931</v>
      </c>
      <c r="J216" s="328">
        <v>100</v>
      </c>
      <c r="K216" s="550">
        <v>0</v>
      </c>
      <c r="L216" s="550">
        <v>0</v>
      </c>
      <c r="M216" s="550">
        <v>0</v>
      </c>
      <c r="N216" s="550">
        <v>0</v>
      </c>
      <c r="O216" s="550">
        <v>0</v>
      </c>
      <c r="P216" s="550">
        <v>0</v>
      </c>
      <c r="Q216" s="550">
        <v>0</v>
      </c>
      <c r="R216" s="550">
        <v>5.08</v>
      </c>
      <c r="S216" s="550">
        <v>15.53</v>
      </c>
      <c r="T216" s="550">
        <v>86.32</v>
      </c>
      <c r="U216" s="550">
        <v>91.11</v>
      </c>
      <c r="V216" s="550">
        <v>79.52</v>
      </c>
      <c r="W216" s="550">
        <v>89.95</v>
      </c>
      <c r="X216" s="550">
        <v>105.35</v>
      </c>
      <c r="Y216" s="550">
        <v>110.23</v>
      </c>
      <c r="Z216" s="550">
        <v>116.39</v>
      </c>
      <c r="AA216" s="550">
        <v>141.01</v>
      </c>
      <c r="AB216" s="550">
        <v>158.68</v>
      </c>
      <c r="AC216" s="550">
        <v>173.62</v>
      </c>
      <c r="AD216" s="550">
        <v>186.46</v>
      </c>
      <c r="AE216" s="550">
        <v>198.96</v>
      </c>
      <c r="AF216" s="550">
        <v>210.28</v>
      </c>
      <c r="AG216" s="550">
        <v>220.46</v>
      </c>
      <c r="AH216" s="550">
        <v>229.7</v>
      </c>
      <c r="AI216" s="550">
        <v>238.08</v>
      </c>
      <c r="AJ216" s="550">
        <v>246.39</v>
      </c>
      <c r="AK216" s="550">
        <v>254.17</v>
      </c>
      <c r="AL216" s="550">
        <v>261.48</v>
      </c>
      <c r="AM216" s="173" t="str">
        <f t="shared" si="18"/>
        <v>SUBS - US (Gulf Coast)</v>
      </c>
      <c r="AN216" s="173" t="s">
        <v>543</v>
      </c>
      <c r="AO216" s="5"/>
      <c r="AS216" s="486"/>
      <c r="AT216" s="55"/>
      <c r="AU216" s="341"/>
      <c r="AV216" s="406"/>
      <c r="AW216" s="406"/>
      <c r="AX216" s="538"/>
    </row>
    <row r="217" spans="1:50">
      <c r="A217" s="5"/>
      <c r="B217" s="44" t="s">
        <v>3369</v>
      </c>
      <c r="C217" s="44" t="s">
        <v>2463</v>
      </c>
      <c r="D217" s="44" t="s">
        <v>3670</v>
      </c>
      <c r="E217" s="44" t="s">
        <v>1927</v>
      </c>
      <c r="F217" s="44" t="s">
        <v>1928</v>
      </c>
      <c r="G217" s="44" t="s">
        <v>1931</v>
      </c>
      <c r="H217" s="44" t="s">
        <v>116</v>
      </c>
      <c r="I217" s="44" t="s">
        <v>1931</v>
      </c>
      <c r="J217" s="328">
        <v>100</v>
      </c>
      <c r="K217" s="550">
        <v>0</v>
      </c>
      <c r="L217" s="550">
        <v>0</v>
      </c>
      <c r="M217" s="550">
        <v>0</v>
      </c>
      <c r="N217" s="550">
        <v>0</v>
      </c>
      <c r="O217" s="550">
        <v>0</v>
      </c>
      <c r="P217" s="550">
        <v>0</v>
      </c>
      <c r="Q217" s="550">
        <v>0</v>
      </c>
      <c r="R217" s="550">
        <v>0</v>
      </c>
      <c r="S217" s="550">
        <v>0</v>
      </c>
      <c r="T217" s="550">
        <v>0</v>
      </c>
      <c r="U217" s="550">
        <v>0</v>
      </c>
      <c r="V217" s="550">
        <v>0</v>
      </c>
      <c r="W217" s="550">
        <v>0</v>
      </c>
      <c r="X217" s="550">
        <v>2.79</v>
      </c>
      <c r="Y217" s="550">
        <v>4.34</v>
      </c>
      <c r="Z217" s="550">
        <v>5.49</v>
      </c>
      <c r="AA217" s="550">
        <v>7.22</v>
      </c>
      <c r="AB217" s="550">
        <v>8.3000000000000007</v>
      </c>
      <c r="AC217" s="550">
        <v>9.14</v>
      </c>
      <c r="AD217" s="550">
        <v>9.81</v>
      </c>
      <c r="AE217" s="550">
        <v>10.42</v>
      </c>
      <c r="AF217" s="550">
        <v>10.97</v>
      </c>
      <c r="AG217" s="550">
        <v>11.46</v>
      </c>
      <c r="AH217" s="550">
        <v>11.91</v>
      </c>
      <c r="AI217" s="550">
        <v>12.32</v>
      </c>
      <c r="AJ217" s="550">
        <v>12.7</v>
      </c>
      <c r="AK217" s="550">
        <v>13.05</v>
      </c>
      <c r="AL217" s="550">
        <v>13.39</v>
      </c>
      <c r="AM217" s="173" t="str">
        <f t="shared" ref="AM217:AM241" si="19">AN217&amp;" - "&amp;C217</f>
        <v>SUBS - US (Mid-Continent)</v>
      </c>
      <c r="AN217" s="173" t="s">
        <v>543</v>
      </c>
      <c r="AO217" s="5"/>
      <c r="AS217" s="486"/>
      <c r="AT217" s="55"/>
      <c r="AU217" s="341"/>
      <c r="AV217" s="406"/>
      <c r="AW217" s="406"/>
      <c r="AX217" s="538"/>
    </row>
    <row r="218" spans="1:50">
      <c r="A218" s="5"/>
      <c r="B218" s="44" t="s">
        <v>3369</v>
      </c>
      <c r="C218" s="44" t="s">
        <v>2463</v>
      </c>
      <c r="D218" s="44" t="s">
        <v>3613</v>
      </c>
      <c r="E218" s="44" t="s">
        <v>1927</v>
      </c>
      <c r="F218" s="44" t="s">
        <v>1928</v>
      </c>
      <c r="G218" s="44" t="s">
        <v>1930</v>
      </c>
      <c r="H218" s="44" t="s">
        <v>116</v>
      </c>
      <c r="I218" s="44" t="s">
        <v>1931</v>
      </c>
      <c r="J218" s="328">
        <v>100</v>
      </c>
      <c r="K218" s="550">
        <v>193.5</v>
      </c>
      <c r="L218" s="550">
        <v>184.79</v>
      </c>
      <c r="M218" s="550">
        <v>165.28</v>
      </c>
      <c r="N218" s="550">
        <v>153.68</v>
      </c>
      <c r="O218" s="550">
        <v>148.16999999999999</v>
      </c>
      <c r="P218" s="550">
        <v>147.08000000000001</v>
      </c>
      <c r="Q218" s="550">
        <v>144.9</v>
      </c>
      <c r="R218" s="550">
        <v>140.65</v>
      </c>
      <c r="S218" s="550">
        <v>119.41</v>
      </c>
      <c r="T218" s="550">
        <v>113.56</v>
      </c>
      <c r="U218" s="550">
        <v>109.57</v>
      </c>
      <c r="V218" s="550">
        <v>95.06</v>
      </c>
      <c r="W218" s="550">
        <v>115.25</v>
      </c>
      <c r="X218" s="550">
        <v>210.07</v>
      </c>
      <c r="Y218" s="550">
        <v>181.95</v>
      </c>
      <c r="Z218" s="550">
        <v>161.86000000000001</v>
      </c>
      <c r="AA218" s="550">
        <v>145.84</v>
      </c>
      <c r="AB218" s="550">
        <v>132.63999999999999</v>
      </c>
      <c r="AC218" s="550">
        <v>121.98</v>
      </c>
      <c r="AD218" s="550">
        <v>112.22</v>
      </c>
      <c r="AE218" s="550">
        <v>103.25</v>
      </c>
      <c r="AF218" s="550">
        <v>94.99</v>
      </c>
      <c r="AG218" s="550">
        <v>87.39</v>
      </c>
      <c r="AH218" s="550">
        <v>80.400000000000006</v>
      </c>
      <c r="AI218" s="550">
        <v>73.959999999999994</v>
      </c>
      <c r="AJ218" s="550">
        <v>68.05</v>
      </c>
      <c r="AK218" s="550">
        <v>62.6</v>
      </c>
      <c r="AL218" s="550">
        <v>57.6</v>
      </c>
      <c r="AM218" s="173" t="str">
        <f t="shared" si="19"/>
        <v>SUBS - US (Mid-Continent)</v>
      </c>
      <c r="AN218" s="173" t="s">
        <v>543</v>
      </c>
      <c r="AO218" s="5"/>
      <c r="AS218" s="486"/>
      <c r="AT218" s="55"/>
      <c r="AU218" s="341"/>
      <c r="AV218" s="406"/>
      <c r="AW218" s="406"/>
      <c r="AX218" s="538"/>
    </row>
    <row r="219" spans="1:50">
      <c r="A219" s="5"/>
      <c r="B219" s="44" t="s">
        <v>3369</v>
      </c>
      <c r="C219" s="44" t="s">
        <v>2463</v>
      </c>
      <c r="D219" s="44" t="s">
        <v>3614</v>
      </c>
      <c r="E219" s="44" t="s">
        <v>1927</v>
      </c>
      <c r="F219" s="44" t="s">
        <v>1928</v>
      </c>
      <c r="G219" s="44" t="s">
        <v>1930</v>
      </c>
      <c r="H219" s="44" t="s">
        <v>116</v>
      </c>
      <c r="I219" s="44" t="s">
        <v>1931</v>
      </c>
      <c r="J219" s="328">
        <v>100</v>
      </c>
      <c r="K219" s="550">
        <v>246.23</v>
      </c>
      <c r="L219" s="550">
        <v>143.99</v>
      </c>
      <c r="M219" s="550">
        <v>148.74</v>
      </c>
      <c r="N219" s="550">
        <v>221.27</v>
      </c>
      <c r="O219" s="550">
        <v>226.42</v>
      </c>
      <c r="P219" s="550">
        <v>192.59</v>
      </c>
      <c r="Q219" s="550">
        <v>175.07</v>
      </c>
      <c r="R219" s="550">
        <v>165.24</v>
      </c>
      <c r="S219" s="550">
        <v>137.55000000000001</v>
      </c>
      <c r="T219" s="550">
        <v>127.58</v>
      </c>
      <c r="U219" s="550">
        <v>116.55</v>
      </c>
      <c r="V219" s="550">
        <v>96.4</v>
      </c>
      <c r="W219" s="550">
        <v>51.46</v>
      </c>
      <c r="X219" s="550">
        <v>49.47</v>
      </c>
      <c r="Y219" s="550">
        <v>42.89</v>
      </c>
      <c r="Z219" s="550">
        <v>38.159999999999997</v>
      </c>
      <c r="AA219" s="550">
        <v>34.369999999999997</v>
      </c>
      <c r="AB219" s="550">
        <v>31.26</v>
      </c>
      <c r="AC219" s="550">
        <v>28.75</v>
      </c>
      <c r="AD219" s="550">
        <v>26.45</v>
      </c>
      <c r="AE219" s="550">
        <v>24.34</v>
      </c>
      <c r="AF219" s="550">
        <v>22.39</v>
      </c>
      <c r="AG219" s="550">
        <v>20.6</v>
      </c>
      <c r="AH219" s="550">
        <v>18.95</v>
      </c>
      <c r="AI219" s="550">
        <v>17.440000000000001</v>
      </c>
      <c r="AJ219" s="550">
        <v>16.04</v>
      </c>
      <c r="AK219" s="550">
        <v>14.76</v>
      </c>
      <c r="AL219" s="550">
        <v>13.58</v>
      </c>
      <c r="AM219" s="173" t="str">
        <f t="shared" si="19"/>
        <v>SUBS - US (Mid-Continent)</v>
      </c>
      <c r="AN219" s="173" t="s">
        <v>543</v>
      </c>
      <c r="AO219" s="5"/>
      <c r="AS219" s="486"/>
      <c r="AT219" s="55"/>
      <c r="AU219" s="341"/>
      <c r="AV219" s="406"/>
      <c r="AW219" s="406"/>
      <c r="AX219" s="538"/>
    </row>
    <row r="220" spans="1:50">
      <c r="A220" s="5"/>
      <c r="B220" s="44" t="s">
        <v>3369</v>
      </c>
      <c r="C220" s="44" t="s">
        <v>2463</v>
      </c>
      <c r="D220" s="44" t="s">
        <v>3661</v>
      </c>
      <c r="E220" s="44" t="s">
        <v>1927</v>
      </c>
      <c r="F220" s="44" t="s">
        <v>1928</v>
      </c>
      <c r="G220" s="44" t="s">
        <v>1930</v>
      </c>
      <c r="H220" s="44" t="s">
        <v>2962</v>
      </c>
      <c r="I220" s="44" t="s">
        <v>1931</v>
      </c>
      <c r="J220" s="328">
        <v>100</v>
      </c>
      <c r="K220" s="550">
        <v>0</v>
      </c>
      <c r="L220" s="550">
        <v>0</v>
      </c>
      <c r="M220" s="550">
        <v>0</v>
      </c>
      <c r="N220" s="550">
        <v>0</v>
      </c>
      <c r="O220" s="550">
        <v>0</v>
      </c>
      <c r="P220" s="550">
        <v>0</v>
      </c>
      <c r="Q220" s="550">
        <v>0</v>
      </c>
      <c r="R220" s="550">
        <v>0</v>
      </c>
      <c r="S220" s="550">
        <v>1.24</v>
      </c>
      <c r="T220" s="550">
        <v>1.88</v>
      </c>
      <c r="U220" s="550">
        <v>2.16</v>
      </c>
      <c r="V220" s="550">
        <v>2.35</v>
      </c>
      <c r="W220" s="550">
        <v>1.1599999999999999</v>
      </c>
      <c r="X220" s="550">
        <v>0.43</v>
      </c>
      <c r="Y220" s="550">
        <v>0.37</v>
      </c>
      <c r="Z220" s="550">
        <v>0.34</v>
      </c>
      <c r="AA220" s="550">
        <v>0.31</v>
      </c>
      <c r="AB220" s="550">
        <v>0.28000000000000003</v>
      </c>
      <c r="AC220" s="550">
        <v>0.26</v>
      </c>
      <c r="AD220" s="550">
        <v>0.25</v>
      </c>
      <c r="AE220" s="550">
        <v>0.23</v>
      </c>
      <c r="AF220" s="550">
        <v>0.22</v>
      </c>
      <c r="AG220" s="550">
        <v>0.21</v>
      </c>
      <c r="AH220" s="550">
        <v>0.19</v>
      </c>
      <c r="AI220" s="550">
        <v>0.18</v>
      </c>
      <c r="AJ220" s="550">
        <v>0.17</v>
      </c>
      <c r="AK220" s="550">
        <v>0.16</v>
      </c>
      <c r="AL220" s="550">
        <v>0.15</v>
      </c>
      <c r="AM220" s="173" t="str">
        <f t="shared" si="19"/>
        <v>SUBS - US (Mid-Continent)</v>
      </c>
      <c r="AN220" s="173" t="s">
        <v>543</v>
      </c>
      <c r="AO220" s="5"/>
      <c r="AS220" s="486"/>
      <c r="AT220" s="55"/>
      <c r="AU220" s="341"/>
      <c r="AV220" s="406"/>
      <c r="AW220" s="406"/>
      <c r="AX220" s="538"/>
    </row>
    <row r="221" spans="1:50">
      <c r="A221" s="5"/>
      <c r="B221" s="44" t="s">
        <v>3369</v>
      </c>
      <c r="C221" s="44" t="s">
        <v>2463</v>
      </c>
      <c r="D221" s="44" t="s">
        <v>3662</v>
      </c>
      <c r="E221" s="44" t="s">
        <v>1927</v>
      </c>
      <c r="F221" s="44" t="s">
        <v>1928</v>
      </c>
      <c r="G221" s="44" t="s">
        <v>1930</v>
      </c>
      <c r="H221" s="44" t="s">
        <v>2962</v>
      </c>
      <c r="I221" s="44" t="s">
        <v>1931</v>
      </c>
      <c r="J221" s="328">
        <v>100</v>
      </c>
      <c r="K221" s="550">
        <v>0</v>
      </c>
      <c r="L221" s="550">
        <v>0</v>
      </c>
      <c r="M221" s="550">
        <v>0</v>
      </c>
      <c r="N221" s="550">
        <v>0</v>
      </c>
      <c r="O221" s="550">
        <v>0</v>
      </c>
      <c r="P221" s="550">
        <v>0</v>
      </c>
      <c r="Q221" s="550">
        <v>0</v>
      </c>
      <c r="R221" s="550">
        <v>0</v>
      </c>
      <c r="S221" s="550">
        <v>60.02</v>
      </c>
      <c r="T221" s="550">
        <v>89.7</v>
      </c>
      <c r="U221" s="550">
        <v>103.83</v>
      </c>
      <c r="V221" s="550">
        <v>114.22</v>
      </c>
      <c r="W221" s="550">
        <v>55.6</v>
      </c>
      <c r="X221" s="550">
        <v>20.5</v>
      </c>
      <c r="Y221" s="550">
        <v>17.78</v>
      </c>
      <c r="Z221" s="550">
        <v>16</v>
      </c>
      <c r="AA221" s="550">
        <v>14.73</v>
      </c>
      <c r="AB221" s="550">
        <v>13.55</v>
      </c>
      <c r="AC221" s="550">
        <v>12.6</v>
      </c>
      <c r="AD221" s="550">
        <v>11.84</v>
      </c>
      <c r="AE221" s="550">
        <v>11.13</v>
      </c>
      <c r="AF221" s="550">
        <v>10.46</v>
      </c>
      <c r="AG221" s="550">
        <v>9.83</v>
      </c>
      <c r="AH221" s="550">
        <v>9.24</v>
      </c>
      <c r="AI221" s="550">
        <v>8.69</v>
      </c>
      <c r="AJ221" s="550">
        <v>8.17</v>
      </c>
      <c r="AK221" s="550">
        <v>7.68</v>
      </c>
      <c r="AL221" s="550">
        <v>7.22</v>
      </c>
      <c r="AM221" s="173" t="str">
        <f t="shared" si="19"/>
        <v>SUBS - US (Mid-Continent)</v>
      </c>
      <c r="AN221" s="173" t="s">
        <v>543</v>
      </c>
      <c r="AO221" s="5"/>
      <c r="AS221" s="486"/>
      <c r="AT221" s="55"/>
      <c r="AU221" s="341"/>
      <c r="AV221" s="406"/>
      <c r="AW221" s="406"/>
      <c r="AX221" s="538"/>
    </row>
    <row r="222" spans="1:50">
      <c r="A222" s="5"/>
      <c r="B222" s="44" t="s">
        <v>3369</v>
      </c>
      <c r="C222" s="44" t="s">
        <v>2463</v>
      </c>
      <c r="D222" s="44" t="s">
        <v>3663</v>
      </c>
      <c r="E222" s="44" t="s">
        <v>1927</v>
      </c>
      <c r="F222" s="44" t="s">
        <v>1928</v>
      </c>
      <c r="G222" s="44" t="s">
        <v>1930</v>
      </c>
      <c r="H222" s="44" t="s">
        <v>2962</v>
      </c>
      <c r="I222" s="44" t="s">
        <v>1931</v>
      </c>
      <c r="J222" s="328">
        <v>100</v>
      </c>
      <c r="K222" s="550">
        <v>0</v>
      </c>
      <c r="L222" s="550">
        <v>0</v>
      </c>
      <c r="M222" s="550">
        <v>0</v>
      </c>
      <c r="N222" s="550">
        <v>0</v>
      </c>
      <c r="O222" s="550">
        <v>0</v>
      </c>
      <c r="P222" s="550">
        <v>0</v>
      </c>
      <c r="Q222" s="550">
        <v>0</v>
      </c>
      <c r="R222" s="550">
        <v>0</v>
      </c>
      <c r="S222" s="550">
        <v>97.81</v>
      </c>
      <c r="T222" s="550">
        <v>146.15</v>
      </c>
      <c r="U222" s="550">
        <v>169.23</v>
      </c>
      <c r="V222" s="550">
        <v>186.2</v>
      </c>
      <c r="W222" s="550">
        <v>90.6</v>
      </c>
      <c r="X222" s="550">
        <v>33.409999999999997</v>
      </c>
      <c r="Y222" s="550">
        <v>28.98</v>
      </c>
      <c r="Z222" s="550">
        <v>26.08</v>
      </c>
      <c r="AA222" s="550">
        <v>24.01</v>
      </c>
      <c r="AB222" s="550">
        <v>22.08</v>
      </c>
      <c r="AC222" s="550">
        <v>20.53</v>
      </c>
      <c r="AD222" s="550">
        <v>19.3</v>
      </c>
      <c r="AE222" s="550">
        <v>18.14</v>
      </c>
      <c r="AF222" s="550">
        <v>17.05</v>
      </c>
      <c r="AG222" s="550">
        <v>16.03</v>
      </c>
      <c r="AH222" s="550">
        <v>15.07</v>
      </c>
      <c r="AI222" s="550">
        <v>14.16</v>
      </c>
      <c r="AJ222" s="550">
        <v>13.31</v>
      </c>
      <c r="AK222" s="550">
        <v>12.51</v>
      </c>
      <c r="AL222" s="550">
        <v>11.76</v>
      </c>
      <c r="AM222" s="173" t="str">
        <f t="shared" si="19"/>
        <v>SUBS - US (Mid-Continent)</v>
      </c>
      <c r="AN222" s="173" t="s">
        <v>543</v>
      </c>
      <c r="AO222" s="5"/>
      <c r="AS222" s="486"/>
      <c r="AT222" s="55"/>
      <c r="AU222" s="341"/>
      <c r="AV222" s="406"/>
      <c r="AW222" s="406"/>
      <c r="AX222" s="538"/>
    </row>
    <row r="223" spans="1:50">
      <c r="A223" s="5"/>
      <c r="B223" s="44" t="s">
        <v>3369</v>
      </c>
      <c r="C223" s="44" t="s">
        <v>2463</v>
      </c>
      <c r="D223" s="44" t="s">
        <v>3664</v>
      </c>
      <c r="E223" s="44" t="s">
        <v>1927</v>
      </c>
      <c r="F223" s="44" t="s">
        <v>1928</v>
      </c>
      <c r="G223" s="44" t="s">
        <v>1930</v>
      </c>
      <c r="H223" s="44" t="s">
        <v>2962</v>
      </c>
      <c r="I223" s="44" t="s">
        <v>1931</v>
      </c>
      <c r="J223" s="328">
        <v>100</v>
      </c>
      <c r="K223" s="550">
        <v>0</v>
      </c>
      <c r="L223" s="550">
        <v>0</v>
      </c>
      <c r="M223" s="550">
        <v>0</v>
      </c>
      <c r="N223" s="550">
        <v>0</v>
      </c>
      <c r="O223" s="550">
        <v>0</v>
      </c>
      <c r="P223" s="550">
        <v>0</v>
      </c>
      <c r="Q223" s="550">
        <v>0</v>
      </c>
      <c r="R223" s="550">
        <v>0</v>
      </c>
      <c r="S223" s="550">
        <v>12.66</v>
      </c>
      <c r="T223" s="550">
        <v>18.91</v>
      </c>
      <c r="U223" s="550">
        <v>21.9</v>
      </c>
      <c r="V223" s="550">
        <v>24.12</v>
      </c>
      <c r="W223" s="550">
        <v>11.73</v>
      </c>
      <c r="X223" s="550">
        <v>4.33</v>
      </c>
      <c r="Y223" s="550">
        <v>3.75</v>
      </c>
      <c r="Z223" s="550">
        <v>3.38</v>
      </c>
      <c r="AA223" s="550">
        <v>3.11</v>
      </c>
      <c r="AB223" s="550">
        <v>2.86</v>
      </c>
      <c r="AC223" s="550">
        <v>2.66</v>
      </c>
      <c r="AD223" s="550">
        <v>2.5</v>
      </c>
      <c r="AE223" s="550">
        <v>2.35</v>
      </c>
      <c r="AF223" s="550">
        <v>2.21</v>
      </c>
      <c r="AG223" s="550">
        <v>2.08</v>
      </c>
      <c r="AH223" s="550">
        <v>1.95</v>
      </c>
      <c r="AI223" s="550">
        <v>1.83</v>
      </c>
      <c r="AJ223" s="550">
        <v>1.72</v>
      </c>
      <c r="AK223" s="550">
        <v>1.62</v>
      </c>
      <c r="AL223" s="550">
        <v>1.52</v>
      </c>
      <c r="AM223" s="173" t="str">
        <f t="shared" si="19"/>
        <v>SUBS - US (Mid-Continent)</v>
      </c>
      <c r="AN223" s="173" t="s">
        <v>543</v>
      </c>
      <c r="AO223" s="5"/>
      <c r="AS223" s="486"/>
      <c r="AT223" s="55"/>
      <c r="AU223" s="341"/>
      <c r="AV223" s="406"/>
      <c r="AW223" s="406"/>
      <c r="AX223" s="538"/>
    </row>
    <row r="224" spans="1:50">
      <c r="A224" s="5"/>
      <c r="B224" s="44" t="s">
        <v>3369</v>
      </c>
      <c r="C224" s="44" t="s">
        <v>2463</v>
      </c>
      <c r="D224" s="44" t="s">
        <v>3665</v>
      </c>
      <c r="E224" s="44" t="s">
        <v>1927</v>
      </c>
      <c r="F224" s="44" t="s">
        <v>1928</v>
      </c>
      <c r="G224" s="44" t="s">
        <v>1930</v>
      </c>
      <c r="H224" s="44" t="s">
        <v>2962</v>
      </c>
      <c r="I224" s="44" t="s">
        <v>1931</v>
      </c>
      <c r="J224" s="328">
        <v>100</v>
      </c>
      <c r="K224" s="550">
        <v>0</v>
      </c>
      <c r="L224" s="550">
        <v>0</v>
      </c>
      <c r="M224" s="550">
        <v>0</v>
      </c>
      <c r="N224" s="550">
        <v>0</v>
      </c>
      <c r="O224" s="550">
        <v>0</v>
      </c>
      <c r="P224" s="550">
        <v>0</v>
      </c>
      <c r="Q224" s="550">
        <v>0</v>
      </c>
      <c r="R224" s="550">
        <v>0</v>
      </c>
      <c r="S224" s="550">
        <v>5.79</v>
      </c>
      <c r="T224" s="550">
        <v>8.68</v>
      </c>
      <c r="U224" s="550">
        <v>10.09</v>
      </c>
      <c r="V224" s="550">
        <v>11.06</v>
      </c>
      <c r="W224" s="550">
        <v>5.37</v>
      </c>
      <c r="X224" s="550">
        <v>1.98</v>
      </c>
      <c r="Y224" s="550">
        <v>1.72</v>
      </c>
      <c r="Z224" s="550">
        <v>1.54</v>
      </c>
      <c r="AA224" s="550">
        <v>1.42</v>
      </c>
      <c r="AB224" s="550">
        <v>1.31</v>
      </c>
      <c r="AC224" s="550">
        <v>1.22</v>
      </c>
      <c r="AD224" s="550">
        <v>1.1399999999999999</v>
      </c>
      <c r="AE224" s="550">
        <v>1.07</v>
      </c>
      <c r="AF224" s="550">
        <v>1.01</v>
      </c>
      <c r="AG224" s="550">
        <v>0.95</v>
      </c>
      <c r="AH224" s="550">
        <v>0.89</v>
      </c>
      <c r="AI224" s="550">
        <v>0.84</v>
      </c>
      <c r="AJ224" s="550">
        <v>0.79</v>
      </c>
      <c r="AK224" s="550">
        <v>0.74</v>
      </c>
      <c r="AL224" s="550">
        <v>0.7</v>
      </c>
      <c r="AM224" s="173" t="str">
        <f t="shared" si="19"/>
        <v>SUBS - US (Mid-Continent)</v>
      </c>
      <c r="AN224" s="173" t="s">
        <v>543</v>
      </c>
      <c r="AO224" s="5"/>
      <c r="AS224" s="486"/>
      <c r="AT224" s="55"/>
      <c r="AU224" s="341"/>
      <c r="AV224" s="406"/>
      <c r="AW224" s="406"/>
      <c r="AX224" s="538"/>
    </row>
    <row r="225" spans="1:50">
      <c r="A225" s="5"/>
      <c r="B225" s="44" t="s">
        <v>3369</v>
      </c>
      <c r="C225" s="44" t="s">
        <v>2463</v>
      </c>
      <c r="D225" s="44" t="s">
        <v>3666</v>
      </c>
      <c r="E225" s="44" t="s">
        <v>1927</v>
      </c>
      <c r="F225" s="44" t="s">
        <v>1928</v>
      </c>
      <c r="G225" s="44" t="s">
        <v>1930</v>
      </c>
      <c r="H225" s="44" t="s">
        <v>2962</v>
      </c>
      <c r="I225" s="44" t="s">
        <v>1931</v>
      </c>
      <c r="J225" s="328">
        <v>100</v>
      </c>
      <c r="K225" s="550">
        <v>0</v>
      </c>
      <c r="L225" s="550">
        <v>0</v>
      </c>
      <c r="M225" s="550">
        <v>0</v>
      </c>
      <c r="N225" s="550">
        <v>0</v>
      </c>
      <c r="O225" s="550">
        <v>0</v>
      </c>
      <c r="P225" s="550">
        <v>0</v>
      </c>
      <c r="Q225" s="550">
        <v>0</v>
      </c>
      <c r="R225" s="550">
        <v>0</v>
      </c>
      <c r="S225" s="550">
        <v>41.93</v>
      </c>
      <c r="T225" s="550">
        <v>62.68</v>
      </c>
      <c r="U225" s="550">
        <v>72.58</v>
      </c>
      <c r="V225" s="550">
        <v>79.83</v>
      </c>
      <c r="W225" s="550">
        <v>38.86</v>
      </c>
      <c r="X225" s="550">
        <v>14.33</v>
      </c>
      <c r="Y225" s="550">
        <v>12.43</v>
      </c>
      <c r="Z225" s="550">
        <v>11.18</v>
      </c>
      <c r="AA225" s="550">
        <v>10.3</v>
      </c>
      <c r="AB225" s="550">
        <v>9.4700000000000006</v>
      </c>
      <c r="AC225" s="550">
        <v>8.8000000000000007</v>
      </c>
      <c r="AD225" s="550">
        <v>8.2799999999999994</v>
      </c>
      <c r="AE225" s="550">
        <v>7.78</v>
      </c>
      <c r="AF225" s="550">
        <v>7.31</v>
      </c>
      <c r="AG225" s="550">
        <v>6.87</v>
      </c>
      <c r="AH225" s="550">
        <v>6.46</v>
      </c>
      <c r="AI225" s="550">
        <v>6.07</v>
      </c>
      <c r="AJ225" s="550">
        <v>5.71</v>
      </c>
      <c r="AK225" s="550">
        <v>5.37</v>
      </c>
      <c r="AL225" s="550">
        <v>5.04</v>
      </c>
      <c r="AM225" s="173" t="str">
        <f t="shared" si="19"/>
        <v>SUBS - US (Mid-Continent)</v>
      </c>
      <c r="AN225" s="173" t="s">
        <v>543</v>
      </c>
      <c r="AO225" s="5"/>
      <c r="AS225" s="486"/>
      <c r="AT225" s="55"/>
      <c r="AU225" s="341"/>
      <c r="AV225" s="406"/>
      <c r="AW225" s="406"/>
      <c r="AX225" s="538"/>
    </row>
    <row r="226" spans="1:50">
      <c r="A226" s="5"/>
      <c r="B226" s="44" t="s">
        <v>3369</v>
      </c>
      <c r="C226" s="44" t="s">
        <v>2463</v>
      </c>
      <c r="D226" s="44" t="s">
        <v>2618</v>
      </c>
      <c r="E226" s="44" t="s">
        <v>1927</v>
      </c>
      <c r="F226" s="44" t="s">
        <v>1928</v>
      </c>
      <c r="G226" s="44" t="s">
        <v>1929</v>
      </c>
      <c r="H226" s="44" t="s">
        <v>2962</v>
      </c>
      <c r="I226" s="44" t="s">
        <v>1931</v>
      </c>
      <c r="J226" s="328">
        <v>100</v>
      </c>
      <c r="K226" s="550">
        <v>0</v>
      </c>
      <c r="L226" s="550">
        <v>0</v>
      </c>
      <c r="M226" s="550">
        <v>0</v>
      </c>
      <c r="N226" s="550">
        <v>0</v>
      </c>
      <c r="O226" s="550">
        <v>0</v>
      </c>
      <c r="P226" s="550">
        <v>14.65</v>
      </c>
      <c r="Q226" s="550">
        <v>42.12</v>
      </c>
      <c r="R226" s="550">
        <v>59.61</v>
      </c>
      <c r="S226" s="550">
        <v>69.33</v>
      </c>
      <c r="T226" s="550">
        <v>100.5</v>
      </c>
      <c r="U226" s="550">
        <v>134.93</v>
      </c>
      <c r="V226" s="550">
        <v>140.72999999999999</v>
      </c>
      <c r="W226" s="550">
        <v>93.66</v>
      </c>
      <c r="X226" s="550">
        <v>135.84</v>
      </c>
      <c r="Y226" s="550">
        <v>117.12</v>
      </c>
      <c r="Z226" s="550">
        <v>104.86</v>
      </c>
      <c r="AA226" s="550">
        <v>115.21</v>
      </c>
      <c r="AB226" s="550">
        <v>121.39</v>
      </c>
      <c r="AC226" s="550">
        <v>126.43</v>
      </c>
      <c r="AD226" s="550">
        <v>130.63999999999999</v>
      </c>
      <c r="AE226" s="550">
        <v>134.83000000000001</v>
      </c>
      <c r="AF226" s="550">
        <v>138.46</v>
      </c>
      <c r="AG226" s="550">
        <v>141.59</v>
      </c>
      <c r="AH226" s="550">
        <v>144.29</v>
      </c>
      <c r="AI226" s="550">
        <v>146.61000000000001</v>
      </c>
      <c r="AJ226" s="550">
        <v>149</v>
      </c>
      <c r="AK226" s="550">
        <v>151.25</v>
      </c>
      <c r="AL226" s="550">
        <v>153.38</v>
      </c>
      <c r="AM226" s="173" t="str">
        <f t="shared" si="19"/>
        <v>SUBS - US (Mid-Continent)</v>
      </c>
      <c r="AN226" s="173" t="s">
        <v>543</v>
      </c>
      <c r="AO226" s="5"/>
      <c r="AS226" s="486"/>
      <c r="AT226" s="55"/>
      <c r="AU226" s="341"/>
      <c r="AV226" s="406"/>
      <c r="AW226" s="406"/>
      <c r="AX226" s="538"/>
    </row>
    <row r="227" spans="1:50">
      <c r="A227" s="5"/>
      <c r="B227" s="44" t="s">
        <v>3369</v>
      </c>
      <c r="C227" s="44" t="s">
        <v>2463</v>
      </c>
      <c r="D227" s="44" t="s">
        <v>3615</v>
      </c>
      <c r="E227" s="44" t="s">
        <v>1927</v>
      </c>
      <c r="F227" s="44" t="s">
        <v>1928</v>
      </c>
      <c r="G227" s="44" t="s">
        <v>1930</v>
      </c>
      <c r="H227" s="44" t="s">
        <v>116</v>
      </c>
      <c r="I227" s="44" t="s">
        <v>1931</v>
      </c>
      <c r="J227" s="328">
        <v>100</v>
      </c>
      <c r="K227" s="550">
        <v>184.53</v>
      </c>
      <c r="L227" s="550">
        <v>160.03</v>
      </c>
      <c r="M227" s="550">
        <v>185.56</v>
      </c>
      <c r="N227" s="550">
        <v>138.55000000000001</v>
      </c>
      <c r="O227" s="550">
        <v>124.32</v>
      </c>
      <c r="P227" s="550">
        <v>78.02</v>
      </c>
      <c r="Q227" s="550">
        <v>77.319999999999993</v>
      </c>
      <c r="R227" s="550">
        <v>68.02</v>
      </c>
      <c r="S227" s="550">
        <v>62.96</v>
      </c>
      <c r="T227" s="550">
        <v>0</v>
      </c>
      <c r="U227" s="550">
        <v>0</v>
      </c>
      <c r="V227" s="550">
        <v>0</v>
      </c>
      <c r="W227" s="550">
        <v>0</v>
      </c>
      <c r="X227" s="550">
        <v>0</v>
      </c>
      <c r="Y227" s="550">
        <v>0</v>
      </c>
      <c r="Z227" s="550">
        <v>0</v>
      </c>
      <c r="AA227" s="550">
        <v>0</v>
      </c>
      <c r="AB227" s="550">
        <v>0</v>
      </c>
      <c r="AC227" s="550">
        <v>0</v>
      </c>
      <c r="AD227" s="550">
        <v>0</v>
      </c>
      <c r="AE227" s="550">
        <v>0</v>
      </c>
      <c r="AF227" s="550">
        <v>0</v>
      </c>
      <c r="AG227" s="550">
        <v>0</v>
      </c>
      <c r="AH227" s="550">
        <v>0</v>
      </c>
      <c r="AI227" s="550">
        <v>0</v>
      </c>
      <c r="AJ227" s="550">
        <v>0</v>
      </c>
      <c r="AK227" s="550">
        <v>0</v>
      </c>
      <c r="AL227" s="550">
        <v>0</v>
      </c>
      <c r="AM227" s="173" t="str">
        <f t="shared" si="19"/>
        <v>SUBS - US (Mid-Continent)</v>
      </c>
      <c r="AN227" s="173" t="s">
        <v>543</v>
      </c>
      <c r="AO227" s="5"/>
      <c r="AS227" s="486"/>
      <c r="AT227" s="55"/>
      <c r="AU227" s="341"/>
      <c r="AV227" s="406"/>
      <c r="AW227" s="406"/>
      <c r="AX227" s="538"/>
    </row>
    <row r="228" spans="1:50">
      <c r="A228" s="5"/>
      <c r="B228" s="44" t="s">
        <v>3369</v>
      </c>
      <c r="C228" s="44" t="s">
        <v>664</v>
      </c>
      <c r="D228" s="44" t="s">
        <v>146</v>
      </c>
      <c r="E228" s="44" t="s">
        <v>1927</v>
      </c>
      <c r="F228" s="44" t="s">
        <v>1928</v>
      </c>
      <c r="G228" s="44" t="s">
        <v>1929</v>
      </c>
      <c r="H228" s="44" t="s">
        <v>117</v>
      </c>
      <c r="I228" s="44" t="s">
        <v>1931</v>
      </c>
      <c r="J228" s="328">
        <v>100</v>
      </c>
      <c r="K228" s="550">
        <v>64.63</v>
      </c>
      <c r="L228" s="550">
        <v>61.66</v>
      </c>
      <c r="M228" s="550">
        <v>59.78</v>
      </c>
      <c r="N228" s="550">
        <v>49.97</v>
      </c>
      <c r="O228" s="550">
        <v>41.01</v>
      </c>
      <c r="P228" s="550">
        <v>42.44</v>
      </c>
      <c r="Q228" s="550">
        <v>41.21</v>
      </c>
      <c r="R228" s="550">
        <v>20.55</v>
      </c>
      <c r="S228" s="550">
        <v>0</v>
      </c>
      <c r="T228" s="550">
        <v>0</v>
      </c>
      <c r="U228" s="550">
        <v>0</v>
      </c>
      <c r="V228" s="550">
        <v>0</v>
      </c>
      <c r="W228" s="550">
        <v>0</v>
      </c>
      <c r="X228" s="550">
        <v>0</v>
      </c>
      <c r="Y228" s="550">
        <v>0</v>
      </c>
      <c r="Z228" s="550">
        <v>0</v>
      </c>
      <c r="AA228" s="550">
        <v>0</v>
      </c>
      <c r="AB228" s="550">
        <v>0</v>
      </c>
      <c r="AC228" s="550">
        <v>0</v>
      </c>
      <c r="AD228" s="550">
        <v>0</v>
      </c>
      <c r="AE228" s="550">
        <v>0</v>
      </c>
      <c r="AF228" s="550">
        <v>0</v>
      </c>
      <c r="AG228" s="550">
        <v>0</v>
      </c>
      <c r="AH228" s="550">
        <v>0</v>
      </c>
      <c r="AI228" s="550">
        <v>0</v>
      </c>
      <c r="AJ228" s="550">
        <v>0</v>
      </c>
      <c r="AK228" s="550">
        <v>0</v>
      </c>
      <c r="AL228" s="550">
        <v>0</v>
      </c>
      <c r="AM228" s="173" t="str">
        <f t="shared" si="19"/>
        <v>SUBS - US (Permian)</v>
      </c>
      <c r="AN228" s="173" t="s">
        <v>543</v>
      </c>
      <c r="AO228" s="5"/>
      <c r="AS228" s="486"/>
      <c r="AT228" s="55"/>
      <c r="AU228" s="341"/>
      <c r="AV228" s="406"/>
      <c r="AW228" s="406"/>
      <c r="AX228" s="538"/>
    </row>
    <row r="229" spans="1:50">
      <c r="A229" s="5"/>
      <c r="B229" s="44" t="s">
        <v>3369</v>
      </c>
      <c r="C229" s="44" t="s">
        <v>664</v>
      </c>
      <c r="D229" s="44" t="s">
        <v>1765</v>
      </c>
      <c r="E229" s="44" t="s">
        <v>1927</v>
      </c>
      <c r="F229" s="44" t="s">
        <v>1928</v>
      </c>
      <c r="G229" s="44" t="s">
        <v>1929</v>
      </c>
      <c r="H229" s="44" t="s">
        <v>117</v>
      </c>
      <c r="I229" s="44" t="s">
        <v>1931</v>
      </c>
      <c r="J229" s="328">
        <v>100</v>
      </c>
      <c r="K229" s="550">
        <v>21.23</v>
      </c>
      <c r="L229" s="550">
        <v>17.53</v>
      </c>
      <c r="M229" s="550">
        <v>17.75</v>
      </c>
      <c r="N229" s="550">
        <v>15.34</v>
      </c>
      <c r="O229" s="550">
        <v>13.07</v>
      </c>
      <c r="P229" s="550">
        <v>14.91</v>
      </c>
      <c r="Q229" s="550">
        <v>14.97</v>
      </c>
      <c r="R229" s="550">
        <v>7.47</v>
      </c>
      <c r="S229" s="550">
        <v>0</v>
      </c>
      <c r="T229" s="550">
        <v>0</v>
      </c>
      <c r="U229" s="550">
        <v>0</v>
      </c>
      <c r="V229" s="550">
        <v>0</v>
      </c>
      <c r="W229" s="550">
        <v>0</v>
      </c>
      <c r="X229" s="550">
        <v>0</v>
      </c>
      <c r="Y229" s="550">
        <v>0</v>
      </c>
      <c r="Z229" s="550">
        <v>0</v>
      </c>
      <c r="AA229" s="550">
        <v>0</v>
      </c>
      <c r="AB229" s="550">
        <v>0</v>
      </c>
      <c r="AC229" s="550">
        <v>0</v>
      </c>
      <c r="AD229" s="550">
        <v>0</v>
      </c>
      <c r="AE229" s="550">
        <v>0</v>
      </c>
      <c r="AF229" s="550">
        <v>0</v>
      </c>
      <c r="AG229" s="550">
        <v>0</v>
      </c>
      <c r="AH229" s="550">
        <v>0</v>
      </c>
      <c r="AI229" s="550">
        <v>0</v>
      </c>
      <c r="AJ229" s="550">
        <v>0</v>
      </c>
      <c r="AK229" s="550">
        <v>0</v>
      </c>
      <c r="AL229" s="550">
        <v>0</v>
      </c>
      <c r="AM229" s="173" t="str">
        <f t="shared" si="19"/>
        <v>SUBS - US (Permian)</v>
      </c>
      <c r="AN229" s="173" t="s">
        <v>543</v>
      </c>
      <c r="AO229" s="5"/>
      <c r="AS229" s="486"/>
      <c r="AT229" s="55"/>
      <c r="AU229" s="341"/>
      <c r="AV229" s="406"/>
      <c r="AW229" s="406"/>
      <c r="AX229" s="538"/>
    </row>
    <row r="230" spans="1:50">
      <c r="A230" s="5"/>
      <c r="B230" s="44" t="s">
        <v>3369</v>
      </c>
      <c r="C230" s="44" t="s">
        <v>664</v>
      </c>
      <c r="D230" s="44" t="s">
        <v>1766</v>
      </c>
      <c r="E230" s="44" t="s">
        <v>1927</v>
      </c>
      <c r="F230" s="44" t="s">
        <v>1928</v>
      </c>
      <c r="G230" s="44" t="s">
        <v>1929</v>
      </c>
      <c r="H230" s="44" t="s">
        <v>117</v>
      </c>
      <c r="I230" s="44" t="s">
        <v>1931</v>
      </c>
      <c r="J230" s="328">
        <v>100</v>
      </c>
      <c r="K230" s="550">
        <v>1.19</v>
      </c>
      <c r="L230" s="550">
        <v>0.67</v>
      </c>
      <c r="M230" s="550">
        <v>0.13</v>
      </c>
      <c r="N230" s="550">
        <v>1.07</v>
      </c>
      <c r="O230" s="550">
        <v>0.59</v>
      </c>
      <c r="P230" s="550">
        <v>0.38</v>
      </c>
      <c r="Q230" s="550">
        <v>0.4</v>
      </c>
      <c r="R230" s="550">
        <v>0.24</v>
      </c>
      <c r="S230" s="550">
        <v>0</v>
      </c>
      <c r="T230" s="550">
        <v>0</v>
      </c>
      <c r="U230" s="550">
        <v>0</v>
      </c>
      <c r="V230" s="550">
        <v>0</v>
      </c>
      <c r="W230" s="550">
        <v>0</v>
      </c>
      <c r="X230" s="550">
        <v>0</v>
      </c>
      <c r="Y230" s="550">
        <v>0</v>
      </c>
      <c r="Z230" s="550">
        <v>0</v>
      </c>
      <c r="AA230" s="550">
        <v>0</v>
      </c>
      <c r="AB230" s="550">
        <v>0</v>
      </c>
      <c r="AC230" s="550">
        <v>0</v>
      </c>
      <c r="AD230" s="550">
        <v>0</v>
      </c>
      <c r="AE230" s="550">
        <v>0</v>
      </c>
      <c r="AF230" s="550">
        <v>0</v>
      </c>
      <c r="AG230" s="550">
        <v>0</v>
      </c>
      <c r="AH230" s="550">
        <v>0</v>
      </c>
      <c r="AI230" s="550">
        <v>0</v>
      </c>
      <c r="AJ230" s="550">
        <v>0</v>
      </c>
      <c r="AK230" s="550">
        <v>0</v>
      </c>
      <c r="AL230" s="550">
        <v>0</v>
      </c>
      <c r="AM230" s="173" t="str">
        <f t="shared" si="19"/>
        <v>SUBS - US (Permian)</v>
      </c>
      <c r="AN230" s="173" t="s">
        <v>543</v>
      </c>
      <c r="AO230" s="5"/>
      <c r="AS230" s="486"/>
      <c r="AT230" s="55"/>
      <c r="AU230" s="341"/>
      <c r="AV230" s="406"/>
      <c r="AW230" s="406"/>
      <c r="AX230" s="538"/>
    </row>
    <row r="231" spans="1:50">
      <c r="A231" s="5"/>
      <c r="B231" s="44" t="s">
        <v>3369</v>
      </c>
      <c r="C231" s="44" t="s">
        <v>664</v>
      </c>
      <c r="D231" s="44" t="s">
        <v>3616</v>
      </c>
      <c r="E231" s="44" t="s">
        <v>1927</v>
      </c>
      <c r="F231" s="44" t="s">
        <v>1928</v>
      </c>
      <c r="G231" s="44" t="s">
        <v>1931</v>
      </c>
      <c r="H231" s="44" t="s">
        <v>1930</v>
      </c>
      <c r="I231" s="44" t="s">
        <v>1931</v>
      </c>
      <c r="J231" s="328">
        <v>100</v>
      </c>
      <c r="K231" s="550">
        <v>32.020000000000003</v>
      </c>
      <c r="L231" s="550">
        <v>27.54</v>
      </c>
      <c r="M231" s="550">
        <v>23.2</v>
      </c>
      <c r="N231" s="550">
        <v>19.3</v>
      </c>
      <c r="O231" s="550">
        <v>18.63</v>
      </c>
      <c r="P231" s="550">
        <v>18.77</v>
      </c>
      <c r="Q231" s="550">
        <v>18.93</v>
      </c>
      <c r="R231" s="550">
        <v>15.88</v>
      </c>
      <c r="S231" s="550">
        <v>0</v>
      </c>
      <c r="T231" s="550">
        <v>0</v>
      </c>
      <c r="U231" s="550">
        <v>0</v>
      </c>
      <c r="V231" s="550">
        <v>0</v>
      </c>
      <c r="W231" s="550">
        <v>0</v>
      </c>
      <c r="X231" s="550">
        <v>0</v>
      </c>
      <c r="Y231" s="550">
        <v>0</v>
      </c>
      <c r="Z231" s="550">
        <v>0</v>
      </c>
      <c r="AA231" s="550">
        <v>0</v>
      </c>
      <c r="AB231" s="550">
        <v>0</v>
      </c>
      <c r="AC231" s="550">
        <v>0</v>
      </c>
      <c r="AD231" s="550">
        <v>0</v>
      </c>
      <c r="AE231" s="550">
        <v>0</v>
      </c>
      <c r="AF231" s="550">
        <v>0</v>
      </c>
      <c r="AG231" s="550">
        <v>0</v>
      </c>
      <c r="AH231" s="550">
        <v>0</v>
      </c>
      <c r="AI231" s="550">
        <v>0</v>
      </c>
      <c r="AJ231" s="550">
        <v>0</v>
      </c>
      <c r="AK231" s="550">
        <v>0</v>
      </c>
      <c r="AL231" s="550">
        <v>0</v>
      </c>
      <c r="AM231" s="173" t="str">
        <f t="shared" si="19"/>
        <v>SUBS - US (Permian)</v>
      </c>
      <c r="AN231" s="173" t="s">
        <v>543</v>
      </c>
      <c r="AO231" s="5"/>
      <c r="AS231" s="486"/>
      <c r="AT231" s="55"/>
      <c r="AU231" s="341"/>
      <c r="AV231" s="406"/>
      <c r="AW231" s="406"/>
      <c r="AX231" s="538"/>
    </row>
    <row r="232" spans="1:50">
      <c r="A232" s="5"/>
      <c r="B232" s="44" t="s">
        <v>3369</v>
      </c>
      <c r="C232" s="44" t="s">
        <v>1767</v>
      </c>
      <c r="D232" s="44" t="s">
        <v>3671</v>
      </c>
      <c r="E232" s="44" t="s">
        <v>1927</v>
      </c>
      <c r="F232" s="44" t="s">
        <v>1928</v>
      </c>
      <c r="G232" s="44" t="s">
        <v>1929</v>
      </c>
      <c r="H232" s="44" t="s">
        <v>117</v>
      </c>
      <c r="I232" s="44" t="s">
        <v>1931</v>
      </c>
      <c r="J232" s="328">
        <v>100</v>
      </c>
      <c r="K232" s="550">
        <v>0</v>
      </c>
      <c r="L232" s="550">
        <v>0</v>
      </c>
      <c r="M232" s="550">
        <v>0</v>
      </c>
      <c r="N232" s="550">
        <v>0</v>
      </c>
      <c r="O232" s="550">
        <v>0</v>
      </c>
      <c r="P232" s="550">
        <v>0</v>
      </c>
      <c r="Q232" s="550">
        <v>0</v>
      </c>
      <c r="R232" s="550">
        <v>0</v>
      </c>
      <c r="S232" s="550">
        <v>0</v>
      </c>
      <c r="T232" s="550">
        <v>0</v>
      </c>
      <c r="U232" s="550">
        <v>0</v>
      </c>
      <c r="V232" s="550">
        <v>0</v>
      </c>
      <c r="W232" s="550">
        <v>0</v>
      </c>
      <c r="X232" s="550">
        <v>14</v>
      </c>
      <c r="Y232" s="550">
        <v>16.32</v>
      </c>
      <c r="Z232" s="550">
        <v>17.89</v>
      </c>
      <c r="AA232" s="550">
        <v>28.78</v>
      </c>
      <c r="AB232" s="550">
        <v>36.979999999999997</v>
      </c>
      <c r="AC232" s="550">
        <v>41.96</v>
      </c>
      <c r="AD232" s="550">
        <v>45.58</v>
      </c>
      <c r="AE232" s="550">
        <v>48.43</v>
      </c>
      <c r="AF232" s="550">
        <v>50.84</v>
      </c>
      <c r="AG232" s="550">
        <v>52.94</v>
      </c>
      <c r="AH232" s="550">
        <v>54.78</v>
      </c>
      <c r="AI232" s="550">
        <v>56.37</v>
      </c>
      <c r="AJ232" s="550">
        <v>57.84</v>
      </c>
      <c r="AK232" s="550">
        <v>59.19</v>
      </c>
      <c r="AL232" s="550">
        <v>60.45</v>
      </c>
      <c r="AM232" s="173" t="str">
        <f t="shared" si="19"/>
        <v>SUBS - US (Rocky Mountains)</v>
      </c>
      <c r="AN232" s="173" t="s">
        <v>543</v>
      </c>
      <c r="AO232" s="5"/>
      <c r="AS232" s="486"/>
      <c r="AT232" s="55"/>
      <c r="AU232" s="341"/>
      <c r="AV232" s="406"/>
      <c r="AW232" s="406"/>
      <c r="AX232" s="538"/>
    </row>
    <row r="233" spans="1:50">
      <c r="A233" s="5"/>
      <c r="B233" s="44" t="s">
        <v>3369</v>
      </c>
      <c r="C233" s="44" t="s">
        <v>1767</v>
      </c>
      <c r="D233" s="44" t="s">
        <v>1768</v>
      </c>
      <c r="E233" s="44" t="s">
        <v>1927</v>
      </c>
      <c r="F233" s="44" t="s">
        <v>1928</v>
      </c>
      <c r="G233" s="44" t="s">
        <v>1929</v>
      </c>
      <c r="H233" s="44" t="s">
        <v>117</v>
      </c>
      <c r="I233" s="44" t="s">
        <v>1931</v>
      </c>
      <c r="J233" s="328">
        <v>100</v>
      </c>
      <c r="K233" s="550">
        <v>108.47</v>
      </c>
      <c r="L233" s="550">
        <v>102.16</v>
      </c>
      <c r="M233" s="550">
        <v>104.15</v>
      </c>
      <c r="N233" s="550">
        <v>109.88</v>
      </c>
      <c r="O233" s="550">
        <v>116.97</v>
      </c>
      <c r="P233" s="550">
        <v>134.53</v>
      </c>
      <c r="Q233" s="550">
        <v>148.25</v>
      </c>
      <c r="R233" s="550">
        <v>161.12</v>
      </c>
      <c r="S233" s="550">
        <v>150.63999999999999</v>
      </c>
      <c r="T233" s="550">
        <v>173.59</v>
      </c>
      <c r="U233" s="550">
        <v>177.76</v>
      </c>
      <c r="V233" s="550">
        <v>128.69</v>
      </c>
      <c r="W233" s="550">
        <v>124.39</v>
      </c>
      <c r="X233" s="550">
        <v>117.06</v>
      </c>
      <c r="Y233" s="550">
        <v>100.3</v>
      </c>
      <c r="Z233" s="550">
        <v>86.22</v>
      </c>
      <c r="AA233" s="550">
        <v>75.959999999999994</v>
      </c>
      <c r="AB233" s="550">
        <v>68.31</v>
      </c>
      <c r="AC233" s="550">
        <v>62.83</v>
      </c>
      <c r="AD233" s="550">
        <v>58.43</v>
      </c>
      <c r="AE233" s="550">
        <v>54.92</v>
      </c>
      <c r="AF233" s="550">
        <v>51.62</v>
      </c>
      <c r="AG233" s="550">
        <v>48.52</v>
      </c>
      <c r="AH233" s="550">
        <v>45.61</v>
      </c>
      <c r="AI233" s="550">
        <v>42.86</v>
      </c>
      <c r="AJ233" s="550">
        <v>40.29</v>
      </c>
      <c r="AK233" s="550">
        <v>37.869999999999997</v>
      </c>
      <c r="AL233" s="550">
        <v>35.6</v>
      </c>
      <c r="AM233" s="173" t="str">
        <f t="shared" si="19"/>
        <v>SUBS - US (Rocky Mountains)</v>
      </c>
      <c r="AN233" s="173" t="s">
        <v>543</v>
      </c>
      <c r="AO233" s="5"/>
      <c r="AS233" s="486"/>
      <c r="AT233" s="55"/>
      <c r="AU233" s="341"/>
      <c r="AV233" s="406"/>
      <c r="AW233" s="406"/>
      <c r="AX233" s="538"/>
    </row>
    <row r="234" spans="1:50">
      <c r="A234" s="5"/>
      <c r="B234" s="44" t="s">
        <v>3369</v>
      </c>
      <c r="C234" s="44" t="s">
        <v>1767</v>
      </c>
      <c r="D234" s="44" t="s">
        <v>3617</v>
      </c>
      <c r="E234" s="44" t="s">
        <v>1927</v>
      </c>
      <c r="F234" s="44" t="s">
        <v>1928</v>
      </c>
      <c r="G234" s="44" t="s">
        <v>1930</v>
      </c>
      <c r="H234" s="44" t="s">
        <v>116</v>
      </c>
      <c r="I234" s="44" t="s">
        <v>1931</v>
      </c>
      <c r="J234" s="328">
        <v>100</v>
      </c>
      <c r="K234" s="550">
        <v>90.72</v>
      </c>
      <c r="L234" s="550">
        <v>82.82</v>
      </c>
      <c r="M234" s="550">
        <v>66.739999999999995</v>
      </c>
      <c r="N234" s="550">
        <v>77.56</v>
      </c>
      <c r="O234" s="550">
        <v>106.52</v>
      </c>
      <c r="P234" s="550">
        <v>89.37</v>
      </c>
      <c r="Q234" s="550">
        <v>80.39</v>
      </c>
      <c r="R234" s="550">
        <v>73.790000000000006</v>
      </c>
      <c r="S234" s="550">
        <v>61.84</v>
      </c>
      <c r="T234" s="550">
        <v>64.17</v>
      </c>
      <c r="U234" s="550">
        <v>59.4</v>
      </c>
      <c r="V234" s="550">
        <v>39.54</v>
      </c>
      <c r="W234" s="550">
        <v>35.03</v>
      </c>
      <c r="X234" s="550">
        <v>32.97</v>
      </c>
      <c r="Y234" s="550">
        <v>28.25</v>
      </c>
      <c r="Z234" s="550">
        <v>24.85</v>
      </c>
      <c r="AA234" s="550">
        <v>22.39</v>
      </c>
      <c r="AB234" s="550">
        <v>20.58</v>
      </c>
      <c r="AC234" s="550">
        <v>19.13</v>
      </c>
      <c r="AD234" s="550">
        <v>17.989999999999998</v>
      </c>
      <c r="AE234" s="550">
        <v>16.91</v>
      </c>
      <c r="AF234" s="550">
        <v>15.89</v>
      </c>
      <c r="AG234" s="550">
        <v>14.94</v>
      </c>
      <c r="AH234" s="550">
        <v>14.04</v>
      </c>
      <c r="AI234" s="550">
        <v>13.19</v>
      </c>
      <c r="AJ234" s="550">
        <v>12.4</v>
      </c>
      <c r="AK234" s="550">
        <v>11.66</v>
      </c>
      <c r="AL234" s="550">
        <v>10.96</v>
      </c>
      <c r="AM234" s="173" t="str">
        <f t="shared" si="19"/>
        <v>SUBS - US (Rocky Mountains)</v>
      </c>
      <c r="AN234" s="173" t="s">
        <v>543</v>
      </c>
      <c r="AO234" s="5"/>
      <c r="AS234" s="486"/>
      <c r="AT234" s="55"/>
      <c r="AU234" s="341"/>
      <c r="AV234" s="406"/>
      <c r="AW234" s="406"/>
      <c r="AX234" s="538"/>
    </row>
    <row r="235" spans="1:50">
      <c r="A235" s="5"/>
      <c r="B235" s="44" t="s">
        <v>3369</v>
      </c>
      <c r="C235" s="44" t="s">
        <v>1767</v>
      </c>
      <c r="D235" s="44" t="s">
        <v>1769</v>
      </c>
      <c r="E235" s="44" t="s">
        <v>1927</v>
      </c>
      <c r="F235" s="44" t="s">
        <v>1928</v>
      </c>
      <c r="G235" s="44" t="s">
        <v>1929</v>
      </c>
      <c r="H235" s="44" t="s">
        <v>117</v>
      </c>
      <c r="I235" s="44" t="s">
        <v>1931</v>
      </c>
      <c r="J235" s="328">
        <v>100</v>
      </c>
      <c r="K235" s="550">
        <v>29.9</v>
      </c>
      <c r="L235" s="550">
        <v>30.56</v>
      </c>
      <c r="M235" s="550">
        <v>24.89</v>
      </c>
      <c r="N235" s="550">
        <v>35.090000000000003</v>
      </c>
      <c r="O235" s="550">
        <v>50.12</v>
      </c>
      <c r="P235" s="550">
        <v>41.55</v>
      </c>
      <c r="Q235" s="550">
        <v>32.79</v>
      </c>
      <c r="R235" s="550">
        <v>28.78</v>
      </c>
      <c r="S235" s="550">
        <v>23.59</v>
      </c>
      <c r="T235" s="550">
        <v>24</v>
      </c>
      <c r="U235" s="550">
        <v>21.84</v>
      </c>
      <c r="V235" s="550">
        <v>13.73</v>
      </c>
      <c r="W235" s="550">
        <v>11.14</v>
      </c>
      <c r="X235" s="550">
        <v>10.48</v>
      </c>
      <c r="Y235" s="550">
        <v>8.98</v>
      </c>
      <c r="Z235" s="550">
        <v>7.9</v>
      </c>
      <c r="AA235" s="550">
        <v>7.12</v>
      </c>
      <c r="AB235" s="550">
        <v>6.54</v>
      </c>
      <c r="AC235" s="550">
        <v>6.08</v>
      </c>
      <c r="AD235" s="550">
        <v>5.72</v>
      </c>
      <c r="AE235" s="550">
        <v>5.38</v>
      </c>
      <c r="AF235" s="550">
        <v>5.05</v>
      </c>
      <c r="AG235" s="550">
        <v>4.75</v>
      </c>
      <c r="AH235" s="550">
        <v>4.46</v>
      </c>
      <c r="AI235" s="550">
        <v>4.2</v>
      </c>
      <c r="AJ235" s="550">
        <v>3.94</v>
      </c>
      <c r="AK235" s="550">
        <v>3.71</v>
      </c>
      <c r="AL235" s="550">
        <v>3.48</v>
      </c>
      <c r="AM235" s="173" t="str">
        <f t="shared" si="19"/>
        <v>SUBS - US (Rocky Mountains)</v>
      </c>
      <c r="AN235" s="173" t="s">
        <v>543</v>
      </c>
      <c r="AO235" s="5"/>
      <c r="AS235" s="486"/>
      <c r="AT235" s="55"/>
      <c r="AU235" s="341"/>
      <c r="AV235" s="406"/>
      <c r="AW235" s="406"/>
      <c r="AX235" s="538"/>
    </row>
    <row r="236" spans="1:50">
      <c r="A236" s="5"/>
      <c r="B236" s="44" t="s">
        <v>3369</v>
      </c>
      <c r="C236" s="44" t="s">
        <v>1767</v>
      </c>
      <c r="D236" s="44" t="s">
        <v>2016</v>
      </c>
      <c r="E236" s="44" t="s">
        <v>1927</v>
      </c>
      <c r="F236" s="44" t="s">
        <v>1928</v>
      </c>
      <c r="G236" s="44" t="s">
        <v>1929</v>
      </c>
      <c r="H236" s="44" t="s">
        <v>117</v>
      </c>
      <c r="I236" s="44" t="s">
        <v>1931</v>
      </c>
      <c r="J236" s="328">
        <v>100</v>
      </c>
      <c r="K236" s="550">
        <v>116.03</v>
      </c>
      <c r="L236" s="550">
        <v>110.82</v>
      </c>
      <c r="M236" s="550">
        <v>91.96</v>
      </c>
      <c r="N236" s="550">
        <v>129.08000000000001</v>
      </c>
      <c r="O236" s="550">
        <v>168.29</v>
      </c>
      <c r="P236" s="550">
        <v>219.14</v>
      </c>
      <c r="Q236" s="550">
        <v>229.85</v>
      </c>
      <c r="R236" s="550">
        <v>240.87</v>
      </c>
      <c r="S236" s="550">
        <v>220.98</v>
      </c>
      <c r="T236" s="550">
        <v>0</v>
      </c>
      <c r="U236" s="550">
        <v>0</v>
      </c>
      <c r="V236" s="550">
        <v>0</v>
      </c>
      <c r="W236" s="550">
        <v>0</v>
      </c>
      <c r="X236" s="550">
        <v>0</v>
      </c>
      <c r="Y236" s="550">
        <v>0</v>
      </c>
      <c r="Z236" s="550">
        <v>0</v>
      </c>
      <c r="AA236" s="550">
        <v>0</v>
      </c>
      <c r="AB236" s="550">
        <v>0</v>
      </c>
      <c r="AC236" s="550">
        <v>0</v>
      </c>
      <c r="AD236" s="550">
        <v>0</v>
      </c>
      <c r="AE236" s="550">
        <v>0</v>
      </c>
      <c r="AF236" s="550">
        <v>0</v>
      </c>
      <c r="AG236" s="550">
        <v>0</v>
      </c>
      <c r="AH236" s="550">
        <v>0</v>
      </c>
      <c r="AI236" s="550">
        <v>0</v>
      </c>
      <c r="AJ236" s="550">
        <v>0</v>
      </c>
      <c r="AK236" s="550">
        <v>0</v>
      </c>
      <c r="AL236" s="550">
        <v>0</v>
      </c>
      <c r="AM236" s="173" t="str">
        <f t="shared" si="19"/>
        <v>SUBS - US (Rocky Mountains)</v>
      </c>
      <c r="AN236" s="173" t="s">
        <v>543</v>
      </c>
      <c r="AO236" s="5"/>
      <c r="AS236" s="486"/>
      <c r="AT236" s="55"/>
      <c r="AU236" s="341"/>
      <c r="AV236" s="406"/>
      <c r="AW236" s="406"/>
      <c r="AX236" s="538"/>
    </row>
    <row r="237" spans="1:50">
      <c r="A237" s="5"/>
      <c r="B237" s="44" t="s">
        <v>3369</v>
      </c>
      <c r="C237" s="44" t="s">
        <v>1767</v>
      </c>
      <c r="D237" s="44" t="s">
        <v>3672</v>
      </c>
      <c r="E237" s="44" t="s">
        <v>1927</v>
      </c>
      <c r="F237" s="44" t="s">
        <v>1928</v>
      </c>
      <c r="G237" s="44" t="s">
        <v>1931</v>
      </c>
      <c r="H237" s="44" t="s">
        <v>1930</v>
      </c>
      <c r="I237" s="44" t="s">
        <v>1931</v>
      </c>
      <c r="J237" s="328">
        <v>100</v>
      </c>
      <c r="K237" s="550">
        <v>0</v>
      </c>
      <c r="L237" s="550">
        <v>0</v>
      </c>
      <c r="M237" s="550">
        <v>0</v>
      </c>
      <c r="N237" s="550">
        <v>0</v>
      </c>
      <c r="O237" s="550">
        <v>0</v>
      </c>
      <c r="P237" s="550">
        <v>0</v>
      </c>
      <c r="Q237" s="550">
        <v>0</v>
      </c>
      <c r="R237" s="550">
        <v>0</v>
      </c>
      <c r="S237" s="550">
        <v>0</v>
      </c>
      <c r="T237" s="550">
        <v>0</v>
      </c>
      <c r="U237" s="550">
        <v>0</v>
      </c>
      <c r="V237" s="550">
        <v>0</v>
      </c>
      <c r="W237" s="550">
        <v>0</v>
      </c>
      <c r="X237" s="550">
        <v>4.37</v>
      </c>
      <c r="Y237" s="550">
        <v>5.13</v>
      </c>
      <c r="Z237" s="550">
        <v>5.64</v>
      </c>
      <c r="AA237" s="550">
        <v>9.09</v>
      </c>
      <c r="AB237" s="550">
        <v>11.69</v>
      </c>
      <c r="AC237" s="550">
        <v>13.27</v>
      </c>
      <c r="AD237" s="550">
        <v>14.41</v>
      </c>
      <c r="AE237" s="550">
        <v>15.31</v>
      </c>
      <c r="AF237" s="550">
        <v>16.07</v>
      </c>
      <c r="AG237" s="550">
        <v>16.739999999999998</v>
      </c>
      <c r="AH237" s="550">
        <v>17.32</v>
      </c>
      <c r="AI237" s="550">
        <v>17.829999999999998</v>
      </c>
      <c r="AJ237" s="550">
        <v>13.88</v>
      </c>
      <c r="AK237" s="550">
        <v>10.46</v>
      </c>
      <c r="AL237" s="550">
        <v>8.68</v>
      </c>
      <c r="AM237" s="173" t="str">
        <f t="shared" si="19"/>
        <v>SUBS - US (Rocky Mountains)</v>
      </c>
      <c r="AN237" s="173" t="s">
        <v>543</v>
      </c>
      <c r="AO237" s="5"/>
      <c r="AS237" s="486"/>
      <c r="AT237" s="55"/>
      <c r="AU237" s="341"/>
      <c r="AV237" s="406"/>
      <c r="AW237" s="406"/>
      <c r="AX237" s="538"/>
    </row>
    <row r="238" spans="1:50">
      <c r="A238" s="5"/>
      <c r="B238" s="44" t="s">
        <v>3369</v>
      </c>
      <c r="C238" s="44" t="s">
        <v>1767</v>
      </c>
      <c r="D238" s="44" t="s">
        <v>302</v>
      </c>
      <c r="E238" s="44" t="s">
        <v>1927</v>
      </c>
      <c r="F238" s="44" t="s">
        <v>1928</v>
      </c>
      <c r="G238" s="44" t="s">
        <v>1930</v>
      </c>
      <c r="H238" s="44" t="s">
        <v>2610</v>
      </c>
      <c r="I238" s="44" t="s">
        <v>1931</v>
      </c>
      <c r="J238" s="328">
        <v>100</v>
      </c>
      <c r="K238" s="550">
        <v>460.79</v>
      </c>
      <c r="L238" s="550">
        <v>442.07</v>
      </c>
      <c r="M238" s="550">
        <v>436.78</v>
      </c>
      <c r="N238" s="550">
        <v>503.03</v>
      </c>
      <c r="O238" s="550">
        <v>497.38</v>
      </c>
      <c r="P238" s="550">
        <v>496.77</v>
      </c>
      <c r="Q238" s="550">
        <v>500.72</v>
      </c>
      <c r="R238" s="550">
        <v>483.08</v>
      </c>
      <c r="S238" s="550">
        <v>386.12</v>
      </c>
      <c r="T238" s="550">
        <v>383.6</v>
      </c>
      <c r="U238" s="550">
        <v>338</v>
      </c>
      <c r="V238" s="550">
        <v>331.86</v>
      </c>
      <c r="W238" s="550">
        <v>334.88</v>
      </c>
      <c r="X238" s="550">
        <v>317.29000000000002</v>
      </c>
      <c r="Y238" s="550">
        <v>284.10000000000002</v>
      </c>
      <c r="Z238" s="550">
        <v>255.61</v>
      </c>
      <c r="AA238" s="550">
        <v>235.54</v>
      </c>
      <c r="AB238" s="550">
        <v>216.52</v>
      </c>
      <c r="AC238" s="550">
        <v>201.25</v>
      </c>
      <c r="AD238" s="550">
        <v>187.17</v>
      </c>
      <c r="AE238" s="550">
        <v>174.07</v>
      </c>
      <c r="AF238" s="550">
        <v>161.88</v>
      </c>
      <c r="AG238" s="550">
        <v>150.55000000000001</v>
      </c>
      <c r="AH238" s="550">
        <v>140.01</v>
      </c>
      <c r="AI238" s="550">
        <v>130.21</v>
      </c>
      <c r="AJ238" s="550">
        <v>122.4</v>
      </c>
      <c r="AK238" s="550">
        <v>115.05</v>
      </c>
      <c r="AL238" s="550">
        <v>108.15</v>
      </c>
      <c r="AM238" s="173" t="str">
        <f t="shared" si="19"/>
        <v>SUBS - US (Rocky Mountains)</v>
      </c>
      <c r="AN238" s="173" t="s">
        <v>543</v>
      </c>
      <c r="AO238" s="5"/>
      <c r="AS238" s="486"/>
      <c r="AT238" s="55"/>
      <c r="AU238" s="341"/>
      <c r="AV238" s="406"/>
      <c r="AW238" s="406"/>
      <c r="AX238" s="538"/>
    </row>
    <row r="239" spans="1:50">
      <c r="A239" s="5"/>
      <c r="B239" s="44" t="s">
        <v>3369</v>
      </c>
      <c r="C239" s="44" t="s">
        <v>1767</v>
      </c>
      <c r="D239" s="44" t="s">
        <v>3673</v>
      </c>
      <c r="E239" s="44" t="s">
        <v>1927</v>
      </c>
      <c r="F239" s="44" t="s">
        <v>1928</v>
      </c>
      <c r="G239" s="44" t="s">
        <v>1930</v>
      </c>
      <c r="H239" s="44" t="s">
        <v>2610</v>
      </c>
      <c r="I239" s="44" t="s">
        <v>1931</v>
      </c>
      <c r="J239" s="328">
        <v>100</v>
      </c>
      <c r="K239" s="550">
        <v>0</v>
      </c>
      <c r="L239" s="550">
        <v>0</v>
      </c>
      <c r="M239" s="550">
        <v>0</v>
      </c>
      <c r="N239" s="550">
        <v>0</v>
      </c>
      <c r="O239" s="550">
        <v>0</v>
      </c>
      <c r="P239" s="550">
        <v>0</v>
      </c>
      <c r="Q239" s="550">
        <v>0</v>
      </c>
      <c r="R239" s="550">
        <v>0</v>
      </c>
      <c r="S239" s="550">
        <v>0</v>
      </c>
      <c r="T239" s="550">
        <v>0</v>
      </c>
      <c r="U239" s="550">
        <v>0</v>
      </c>
      <c r="V239" s="550">
        <v>0</v>
      </c>
      <c r="W239" s="550">
        <v>0</v>
      </c>
      <c r="X239" s="550">
        <v>18.53</v>
      </c>
      <c r="Y239" s="550">
        <v>22.38</v>
      </c>
      <c r="Z239" s="550">
        <v>41.81</v>
      </c>
      <c r="AA239" s="550">
        <v>70.239999999999995</v>
      </c>
      <c r="AB239" s="550">
        <v>85.22</v>
      </c>
      <c r="AC239" s="550">
        <v>117.39</v>
      </c>
      <c r="AD239" s="550">
        <v>155.77000000000001</v>
      </c>
      <c r="AE239" s="550">
        <v>179.01</v>
      </c>
      <c r="AF239" s="550">
        <v>153.5</v>
      </c>
      <c r="AG239" s="550">
        <v>107.27</v>
      </c>
      <c r="AH239" s="550">
        <v>86.8</v>
      </c>
      <c r="AI239" s="550">
        <v>74.19</v>
      </c>
      <c r="AJ239" s="550">
        <v>66.06</v>
      </c>
      <c r="AK239" s="550">
        <v>59.74</v>
      </c>
      <c r="AL239" s="550">
        <v>54.26</v>
      </c>
      <c r="AM239" s="173" t="str">
        <f t="shared" si="19"/>
        <v>SUBS - US (Rocky Mountains)</v>
      </c>
      <c r="AN239" s="173" t="s">
        <v>543</v>
      </c>
      <c r="AO239" s="5"/>
      <c r="AS239" s="486"/>
      <c r="AT239" s="55"/>
      <c r="AU239" s="341"/>
      <c r="AV239" s="406"/>
      <c r="AW239" s="406"/>
      <c r="AX239" s="538"/>
    </row>
    <row r="240" spans="1:50">
      <c r="A240" s="5"/>
      <c r="B240" s="44" t="s">
        <v>3369</v>
      </c>
      <c r="C240" s="44" t="s">
        <v>1767</v>
      </c>
      <c r="D240" s="44" t="s">
        <v>12</v>
      </c>
      <c r="E240" s="44" t="s">
        <v>1927</v>
      </c>
      <c r="F240" s="44" t="s">
        <v>1928</v>
      </c>
      <c r="G240" s="44" t="s">
        <v>1930</v>
      </c>
      <c r="H240" s="44" t="s">
        <v>2610</v>
      </c>
      <c r="I240" s="44" t="s">
        <v>1931</v>
      </c>
      <c r="J240" s="328">
        <v>100</v>
      </c>
      <c r="K240" s="550">
        <v>72.88</v>
      </c>
      <c r="L240" s="550">
        <v>69.39</v>
      </c>
      <c r="M240" s="550">
        <v>65.819999999999993</v>
      </c>
      <c r="N240" s="550">
        <v>63.5</v>
      </c>
      <c r="O240" s="550">
        <v>50.6</v>
      </c>
      <c r="P240" s="550">
        <v>49.74</v>
      </c>
      <c r="Q240" s="550">
        <v>47.83</v>
      </c>
      <c r="R240" s="550">
        <v>50.14</v>
      </c>
      <c r="S240" s="550">
        <v>40.49</v>
      </c>
      <c r="T240" s="550">
        <v>40.630000000000003</v>
      </c>
      <c r="U240" s="550">
        <v>36.15</v>
      </c>
      <c r="V240" s="550">
        <v>36.65</v>
      </c>
      <c r="W240" s="550">
        <v>38.130000000000003</v>
      </c>
      <c r="X240" s="550">
        <v>35.9</v>
      </c>
      <c r="Y240" s="550">
        <v>32.15</v>
      </c>
      <c r="Z240" s="550">
        <v>28.92</v>
      </c>
      <c r="AA240" s="550">
        <v>26.65</v>
      </c>
      <c r="AB240" s="550">
        <v>24.5</v>
      </c>
      <c r="AC240" s="550">
        <v>22.77</v>
      </c>
      <c r="AD240" s="550">
        <v>21.18</v>
      </c>
      <c r="AE240" s="550">
        <v>19.7</v>
      </c>
      <c r="AF240" s="550">
        <v>18.32</v>
      </c>
      <c r="AG240" s="550">
        <v>17.04</v>
      </c>
      <c r="AH240" s="550">
        <v>15.84</v>
      </c>
      <c r="AI240" s="550">
        <v>14.73</v>
      </c>
      <c r="AJ240" s="550">
        <v>13.85</v>
      </c>
      <c r="AK240" s="550">
        <v>13.02</v>
      </c>
      <c r="AL240" s="550">
        <v>12.24</v>
      </c>
      <c r="AM240" s="173" t="str">
        <f t="shared" si="19"/>
        <v>SUBS - US (Rocky Mountains)</v>
      </c>
      <c r="AN240" s="173" t="s">
        <v>543</v>
      </c>
      <c r="AO240" s="5"/>
      <c r="AS240" s="486"/>
      <c r="AT240" s="55"/>
      <c r="AU240" s="341"/>
      <c r="AV240" s="406"/>
      <c r="AW240" s="406"/>
      <c r="AX240" s="538"/>
    </row>
    <row r="241" spans="1:50">
      <c r="A241" s="5"/>
      <c r="B241" s="44" t="s">
        <v>3369</v>
      </c>
      <c r="C241" s="44" t="s">
        <v>1767</v>
      </c>
      <c r="D241" s="44" t="s">
        <v>3674</v>
      </c>
      <c r="E241" s="44" t="s">
        <v>1927</v>
      </c>
      <c r="F241" s="44" t="s">
        <v>1928</v>
      </c>
      <c r="G241" s="44" t="s">
        <v>1931</v>
      </c>
      <c r="H241" s="44" t="s">
        <v>117</v>
      </c>
      <c r="I241" s="44" t="s">
        <v>1931</v>
      </c>
      <c r="J241" s="328">
        <v>100</v>
      </c>
      <c r="K241" s="550">
        <v>0</v>
      </c>
      <c r="L241" s="550">
        <v>0</v>
      </c>
      <c r="M241" s="550">
        <v>0</v>
      </c>
      <c r="N241" s="550">
        <v>0</v>
      </c>
      <c r="O241" s="550">
        <v>0</v>
      </c>
      <c r="P241" s="550">
        <v>0</v>
      </c>
      <c r="Q241" s="550">
        <v>0</v>
      </c>
      <c r="R241" s="550">
        <v>0</v>
      </c>
      <c r="S241" s="550">
        <v>0</v>
      </c>
      <c r="T241" s="550">
        <v>0</v>
      </c>
      <c r="U241" s="550">
        <v>0</v>
      </c>
      <c r="V241" s="550">
        <v>0</v>
      </c>
      <c r="W241" s="550">
        <v>0</v>
      </c>
      <c r="X241" s="550">
        <v>4.92</v>
      </c>
      <c r="Y241" s="550">
        <v>6.43</v>
      </c>
      <c r="Z241" s="550">
        <v>11</v>
      </c>
      <c r="AA241" s="550">
        <v>17</v>
      </c>
      <c r="AB241" s="550">
        <v>28.19</v>
      </c>
      <c r="AC241" s="550">
        <v>37.94</v>
      </c>
      <c r="AD241" s="550">
        <v>44.57</v>
      </c>
      <c r="AE241" s="550">
        <v>49.87</v>
      </c>
      <c r="AF241" s="550">
        <v>54.3</v>
      </c>
      <c r="AG241" s="550">
        <v>73.13</v>
      </c>
      <c r="AH241" s="550">
        <v>90.41</v>
      </c>
      <c r="AI241" s="550">
        <v>102.1</v>
      </c>
      <c r="AJ241" s="550">
        <v>111.42</v>
      </c>
      <c r="AK241" s="550">
        <v>119.19</v>
      </c>
      <c r="AL241" s="550">
        <v>126.09</v>
      </c>
      <c r="AM241" s="173" t="str">
        <f t="shared" si="19"/>
        <v>SUBS - US (Rocky Mountains)</v>
      </c>
      <c r="AN241" s="173" t="s">
        <v>543</v>
      </c>
      <c r="AO241" s="5"/>
      <c r="AS241" s="486"/>
      <c r="AT241" s="55"/>
      <c r="AU241" s="341"/>
      <c r="AV241" s="406"/>
      <c r="AW241" s="406"/>
      <c r="AX241" s="538"/>
    </row>
    <row r="242" spans="1:50">
      <c r="A242" s="5"/>
      <c r="B242" s="44" t="s">
        <v>3369</v>
      </c>
      <c r="C242" s="44" t="s">
        <v>1767</v>
      </c>
      <c r="D242" s="44" t="s">
        <v>13</v>
      </c>
      <c r="E242" s="44" t="s">
        <v>1927</v>
      </c>
      <c r="F242" s="44" t="s">
        <v>1928</v>
      </c>
      <c r="G242" s="44" t="s">
        <v>1929</v>
      </c>
      <c r="H242" s="44" t="s">
        <v>117</v>
      </c>
      <c r="I242" s="44" t="s">
        <v>1931</v>
      </c>
      <c r="J242" s="328">
        <v>100</v>
      </c>
      <c r="K242" s="550">
        <v>282.27</v>
      </c>
      <c r="L242" s="550">
        <v>271.83</v>
      </c>
      <c r="M242" s="550">
        <v>238.82</v>
      </c>
      <c r="N242" s="550">
        <v>200.82</v>
      </c>
      <c r="O242" s="550">
        <v>143.82</v>
      </c>
      <c r="P242" s="550">
        <v>143.66999999999999</v>
      </c>
      <c r="Q242" s="550">
        <v>139.11000000000001</v>
      </c>
      <c r="R242" s="550">
        <v>132.01</v>
      </c>
      <c r="S242" s="550">
        <v>112.98</v>
      </c>
      <c r="T242" s="550">
        <v>120.01</v>
      </c>
      <c r="U242" s="550">
        <v>113.26</v>
      </c>
      <c r="V242" s="550">
        <v>106.17</v>
      </c>
      <c r="W242" s="550">
        <v>112.92</v>
      </c>
      <c r="X242" s="550">
        <v>106.3</v>
      </c>
      <c r="Y242" s="550">
        <v>91.01</v>
      </c>
      <c r="Z242" s="550">
        <v>80.069999999999993</v>
      </c>
      <c r="AA242" s="550">
        <v>72.16</v>
      </c>
      <c r="AB242" s="550">
        <v>66.34</v>
      </c>
      <c r="AC242" s="550">
        <v>61.67</v>
      </c>
      <c r="AD242" s="550">
        <v>57.35</v>
      </c>
      <c r="AE242" s="550">
        <v>53.91</v>
      </c>
      <c r="AF242" s="550">
        <v>50.68</v>
      </c>
      <c r="AG242" s="550">
        <v>47.64</v>
      </c>
      <c r="AH242" s="550">
        <v>44.78</v>
      </c>
      <c r="AI242" s="550">
        <v>42.09</v>
      </c>
      <c r="AJ242" s="550">
        <v>39.57</v>
      </c>
      <c r="AK242" s="550">
        <v>37.19</v>
      </c>
      <c r="AL242" s="550">
        <v>34.96</v>
      </c>
      <c r="AM242" s="173" t="str">
        <f t="shared" si="17"/>
        <v>SUBS - US (Rocky Mountains)</v>
      </c>
      <c r="AN242" s="173" t="s">
        <v>543</v>
      </c>
      <c r="AO242" s="5"/>
      <c r="AS242" s="486"/>
      <c r="AT242" s="55"/>
      <c r="AU242" s="341"/>
      <c r="AV242" s="406"/>
      <c r="AW242" s="406"/>
      <c r="AX242" s="538"/>
    </row>
    <row r="243" spans="1:50">
      <c r="A243" s="5"/>
      <c r="B243" s="44" t="s">
        <v>3369</v>
      </c>
      <c r="C243" s="44" t="s">
        <v>1036</v>
      </c>
      <c r="D243" s="44" t="s">
        <v>1039</v>
      </c>
      <c r="E243" s="44" t="s">
        <v>1927</v>
      </c>
      <c r="F243" s="44" t="s">
        <v>2960</v>
      </c>
      <c r="G243" s="44" t="s">
        <v>3374</v>
      </c>
      <c r="H243" s="44" t="s">
        <v>116</v>
      </c>
      <c r="I243" s="44" t="s">
        <v>2600</v>
      </c>
      <c r="J243" s="328">
        <v>36</v>
      </c>
      <c r="K243" s="550">
        <v>12.24</v>
      </c>
      <c r="L243" s="550">
        <v>0</v>
      </c>
      <c r="M243" s="550">
        <v>0</v>
      </c>
      <c r="N243" s="550">
        <v>0</v>
      </c>
      <c r="O243" s="550">
        <v>0</v>
      </c>
      <c r="P243" s="550">
        <v>0</v>
      </c>
      <c r="Q243" s="550">
        <v>0</v>
      </c>
      <c r="R243" s="550">
        <v>0</v>
      </c>
      <c r="S243" s="550">
        <v>0</v>
      </c>
      <c r="T243" s="550">
        <v>0</v>
      </c>
      <c r="U243" s="550">
        <v>0</v>
      </c>
      <c r="V243" s="550">
        <v>0</v>
      </c>
      <c r="W243" s="550">
        <v>0</v>
      </c>
      <c r="X243" s="550">
        <v>0</v>
      </c>
      <c r="Y243" s="550">
        <v>0</v>
      </c>
      <c r="Z243" s="550">
        <v>0</v>
      </c>
      <c r="AA243" s="550">
        <v>0</v>
      </c>
      <c r="AB243" s="550">
        <v>0</v>
      </c>
      <c r="AC243" s="550">
        <v>0</v>
      </c>
      <c r="AD243" s="550">
        <v>0</v>
      </c>
      <c r="AE243" s="550">
        <v>0</v>
      </c>
      <c r="AF243" s="550">
        <v>0</v>
      </c>
      <c r="AG243" s="550">
        <v>0</v>
      </c>
      <c r="AH243" s="550">
        <v>0</v>
      </c>
      <c r="AI243" s="550">
        <v>0</v>
      </c>
      <c r="AJ243" s="550">
        <v>0</v>
      </c>
      <c r="AK243" s="550">
        <v>0</v>
      </c>
      <c r="AL243" s="550">
        <v>0</v>
      </c>
      <c r="AM243" s="173" t="str">
        <f>AN243&amp;" - "&amp;C243</f>
        <v>EAI - Venezuela</v>
      </c>
      <c r="AN243" s="173" t="s">
        <v>3119</v>
      </c>
      <c r="AO243" s="5"/>
      <c r="AS243" s="486"/>
      <c r="AT243" s="55"/>
      <c r="AU243" s="341"/>
      <c r="AV243" s="406"/>
      <c r="AW243" s="406"/>
      <c r="AX243" s="538"/>
    </row>
    <row r="244" spans="1:50">
      <c r="A244" s="5"/>
      <c r="B244" s="44" t="s">
        <v>3369</v>
      </c>
      <c r="C244" s="44" t="s">
        <v>1036</v>
      </c>
      <c r="D244" s="44" t="s">
        <v>1373</v>
      </c>
      <c r="E244" s="44" t="s">
        <v>1927</v>
      </c>
      <c r="F244" s="44" t="s">
        <v>1928</v>
      </c>
      <c r="G244" s="44" t="s">
        <v>217</v>
      </c>
      <c r="H244" s="44" t="s">
        <v>116</v>
      </c>
      <c r="I244" s="44" t="s">
        <v>1933</v>
      </c>
      <c r="J244" s="328">
        <v>16.66</v>
      </c>
      <c r="K244" s="550">
        <v>10.34</v>
      </c>
      <c r="L244" s="550">
        <v>12.19</v>
      </c>
      <c r="M244" s="550">
        <v>12.51</v>
      </c>
      <c r="N244" s="550">
        <v>11.49</v>
      </c>
      <c r="O244" s="550">
        <v>4.2</v>
      </c>
      <c r="P244" s="550">
        <v>12.08</v>
      </c>
      <c r="Q244" s="550">
        <v>5.12</v>
      </c>
      <c r="R244" s="550">
        <v>6.83</v>
      </c>
      <c r="S244" s="550">
        <v>4.0999999999999996</v>
      </c>
      <c r="T244" s="550">
        <v>0</v>
      </c>
      <c r="U244" s="550">
        <v>0</v>
      </c>
      <c r="V244" s="550">
        <v>0</v>
      </c>
      <c r="W244" s="550">
        <v>0</v>
      </c>
      <c r="X244" s="550">
        <v>0</v>
      </c>
      <c r="Y244" s="550">
        <v>0</v>
      </c>
      <c r="Z244" s="550">
        <v>0</v>
      </c>
      <c r="AA244" s="550">
        <v>0</v>
      </c>
      <c r="AB244" s="550">
        <v>0</v>
      </c>
      <c r="AC244" s="550">
        <v>0</v>
      </c>
      <c r="AD244" s="550">
        <v>0</v>
      </c>
      <c r="AE244" s="550">
        <v>0</v>
      </c>
      <c r="AF244" s="550">
        <v>0</v>
      </c>
      <c r="AG244" s="550">
        <v>0</v>
      </c>
      <c r="AH244" s="550">
        <v>0</v>
      </c>
      <c r="AI244" s="550">
        <v>0</v>
      </c>
      <c r="AJ244" s="550">
        <v>0</v>
      </c>
      <c r="AK244" s="550">
        <v>0</v>
      </c>
      <c r="AL244" s="550">
        <v>0</v>
      </c>
      <c r="AM244" s="173" t="str">
        <f>AN244&amp;" - "&amp;C244</f>
        <v>EAI - Venezuela</v>
      </c>
      <c r="AN244" s="173" t="s">
        <v>3119</v>
      </c>
      <c r="AO244" s="5"/>
      <c r="AS244" s="486"/>
      <c r="AT244" s="55"/>
      <c r="AU244" s="341"/>
      <c r="AV244" s="406"/>
      <c r="AW244" s="406"/>
      <c r="AX244" s="538"/>
    </row>
    <row r="245" spans="1:50">
      <c r="A245" s="5"/>
      <c r="B245" s="44" t="s">
        <v>3369</v>
      </c>
      <c r="C245" s="44" t="s">
        <v>1374</v>
      </c>
      <c r="D245" s="44" t="s">
        <v>1375</v>
      </c>
      <c r="E245" s="44" t="s">
        <v>1927</v>
      </c>
      <c r="F245" s="44" t="s">
        <v>2960</v>
      </c>
      <c r="G245" s="44" t="s">
        <v>1931</v>
      </c>
      <c r="H245" s="44" t="s">
        <v>116</v>
      </c>
      <c r="I245" s="44" t="s">
        <v>2600</v>
      </c>
      <c r="J245" s="328">
        <v>35</v>
      </c>
      <c r="K245" s="550">
        <v>21</v>
      </c>
      <c r="L245" s="550">
        <v>51.79</v>
      </c>
      <c r="M245" s="550">
        <v>75.7</v>
      </c>
      <c r="N245" s="550">
        <v>87.08</v>
      </c>
      <c r="O245" s="550">
        <v>83.21</v>
      </c>
      <c r="P245" s="550">
        <v>90.49</v>
      </c>
      <c r="Q245" s="550">
        <v>84.32</v>
      </c>
      <c r="R245" s="550">
        <v>66.55</v>
      </c>
      <c r="S245" s="550">
        <v>0</v>
      </c>
      <c r="T245" s="550">
        <v>0</v>
      </c>
      <c r="U245" s="550">
        <v>0</v>
      </c>
      <c r="V245" s="550">
        <v>0</v>
      </c>
      <c r="W245" s="550">
        <v>0</v>
      </c>
      <c r="X245" s="550">
        <v>0</v>
      </c>
      <c r="Y245" s="550">
        <v>0</v>
      </c>
      <c r="Z245" s="550">
        <v>0</v>
      </c>
      <c r="AA245" s="550">
        <v>0</v>
      </c>
      <c r="AB245" s="550">
        <v>0</v>
      </c>
      <c r="AC245" s="550">
        <v>0</v>
      </c>
      <c r="AD245" s="550">
        <v>0</v>
      </c>
      <c r="AE245" s="550">
        <v>0</v>
      </c>
      <c r="AF245" s="550">
        <v>0</v>
      </c>
      <c r="AG245" s="550">
        <v>0</v>
      </c>
      <c r="AH245" s="550">
        <v>0</v>
      </c>
      <c r="AI245" s="550">
        <v>0</v>
      </c>
      <c r="AJ245" s="550">
        <v>0</v>
      </c>
      <c r="AK245" s="550">
        <v>0</v>
      </c>
      <c r="AL245" s="550">
        <v>0</v>
      </c>
      <c r="AM245" s="173" t="str">
        <f>AN245&amp;" - "&amp;C245</f>
        <v>EAI - Vietnam</v>
      </c>
      <c r="AN245" s="173" t="s">
        <v>3119</v>
      </c>
      <c r="AO245" s="5"/>
      <c r="AS245" s="486"/>
      <c r="AT245" s="55"/>
      <c r="AU245" s="341"/>
      <c r="AV245" s="406"/>
      <c r="AW245" s="406"/>
      <c r="AX245" s="538"/>
    </row>
    <row r="246" spans="1:50">
      <c r="A246" s="5"/>
      <c r="B246" s="44"/>
      <c r="C246" s="44"/>
      <c r="D246" s="44"/>
      <c r="E246" s="44"/>
      <c r="F246" s="44"/>
      <c r="G246" s="44"/>
      <c r="H246" s="44"/>
      <c r="I246" s="44"/>
      <c r="J246" s="328"/>
      <c r="K246" s="550"/>
      <c r="L246" s="550"/>
      <c r="M246" s="550"/>
      <c r="N246" s="550"/>
      <c r="O246" s="550"/>
      <c r="P246" s="550"/>
      <c r="Q246" s="550"/>
      <c r="R246" s="550"/>
      <c r="S246" s="550"/>
      <c r="T246" s="550"/>
      <c r="U246" s="550"/>
      <c r="V246" s="550"/>
      <c r="W246" s="550"/>
      <c r="X246" s="550"/>
      <c r="Y246" s="550"/>
      <c r="Z246" s="550"/>
      <c r="AA246" s="550"/>
      <c r="AB246" s="550"/>
      <c r="AC246" s="550"/>
      <c r="AD246" s="550"/>
      <c r="AE246" s="550"/>
      <c r="AF246" s="550"/>
      <c r="AG246" s="550"/>
      <c r="AH246" s="550"/>
      <c r="AI246" s="550"/>
      <c r="AJ246" s="550"/>
      <c r="AK246" s="550"/>
      <c r="AL246" s="550"/>
      <c r="AM246" s="173"/>
      <c r="AN246" s="173"/>
      <c r="AO246" s="5"/>
      <c r="AS246" s="485"/>
      <c r="AT246" s="55"/>
      <c r="AU246" s="341"/>
      <c r="AV246" s="406"/>
      <c r="AW246" s="406"/>
      <c r="AX246" s="406"/>
    </row>
    <row r="247" spans="1:50">
      <c r="A247" s="5"/>
      <c r="B247" s="57"/>
      <c r="C247" s="58"/>
      <c r="D247" s="58"/>
      <c r="E247" s="58"/>
      <c r="F247" s="58"/>
      <c r="G247" s="58"/>
      <c r="H247" s="58"/>
      <c r="I247" s="58"/>
      <c r="J247" s="57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22"/>
      <c r="AN247" s="22"/>
      <c r="AO247" s="5"/>
      <c r="AS247" s="354"/>
      <c r="AT247" s="354"/>
      <c r="AU247" s="354"/>
    </row>
    <row r="248" spans="1:50">
      <c r="A248" s="5"/>
      <c r="B248" s="57"/>
      <c r="C248" s="58"/>
      <c r="D248" s="58"/>
      <c r="E248" s="58"/>
      <c r="F248" s="58"/>
      <c r="G248" s="58"/>
      <c r="H248" s="58"/>
      <c r="I248" s="58"/>
      <c r="J248" s="57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22"/>
      <c r="AN248" s="22"/>
      <c r="AO248" s="5"/>
      <c r="AS248" s="354"/>
      <c r="AT248" s="354"/>
      <c r="AU248" s="354"/>
    </row>
    <row r="249" spans="1:50">
      <c r="A249" s="5"/>
      <c r="B249" s="57"/>
      <c r="C249" s="58"/>
      <c r="D249" s="58"/>
      <c r="E249" s="58"/>
      <c r="F249" s="58"/>
      <c r="G249" s="58"/>
      <c r="H249" s="58"/>
      <c r="I249" s="58"/>
      <c r="J249" s="57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22"/>
      <c r="AN249" s="22"/>
      <c r="AO249" s="5"/>
      <c r="AS249" s="354"/>
      <c r="AT249" s="354"/>
      <c r="AU249" s="354"/>
    </row>
    <row r="250" spans="1:50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173"/>
      <c r="AN250" s="173"/>
      <c r="AO250" s="5"/>
      <c r="AS250" s="354"/>
      <c r="AT250" s="354"/>
      <c r="AU250" s="354"/>
    </row>
    <row r="251" spans="1:50">
      <c r="A251" s="5"/>
      <c r="B251" s="785" t="s">
        <v>3383</v>
      </c>
      <c r="C251" s="786"/>
      <c r="D251" s="419">
        <v>0.19750000000000001</v>
      </c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173"/>
      <c r="AN251" s="173"/>
      <c r="AO251" s="5"/>
      <c r="AS251" s="354"/>
      <c r="AT251" s="354"/>
    </row>
    <row r="252" spans="1:50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173"/>
      <c r="AN252" s="173"/>
      <c r="AO252" s="5"/>
      <c r="AS252" s="354"/>
      <c r="AT252" s="354"/>
    </row>
    <row r="253" spans="1:50">
      <c r="A253" s="5"/>
      <c r="B253" s="44" t="s">
        <v>3210</v>
      </c>
      <c r="C253" s="44" t="s">
        <v>2251</v>
      </c>
      <c r="D253" s="44" t="s">
        <v>3688</v>
      </c>
      <c r="E253" s="44" t="s">
        <v>2970</v>
      </c>
      <c r="F253" s="44" t="s">
        <v>2973</v>
      </c>
      <c r="G253" s="44" t="s">
        <v>1930</v>
      </c>
      <c r="H253" s="44" t="s">
        <v>116</v>
      </c>
      <c r="I253" s="44" t="s">
        <v>2571</v>
      </c>
      <c r="J253" s="328">
        <v>30</v>
      </c>
      <c r="K253" s="44">
        <v>0</v>
      </c>
      <c r="L253" s="44">
        <v>0</v>
      </c>
      <c r="M253" s="44">
        <v>0</v>
      </c>
      <c r="N253" s="44">
        <v>0</v>
      </c>
      <c r="O253" s="44">
        <v>0</v>
      </c>
      <c r="P253" s="44">
        <v>0</v>
      </c>
      <c r="Q253" s="44">
        <v>0</v>
      </c>
      <c r="R253" s="44">
        <v>0</v>
      </c>
      <c r="S253" s="328">
        <v>0</v>
      </c>
      <c r="T253" s="328">
        <v>0</v>
      </c>
      <c r="U253" s="328">
        <v>0</v>
      </c>
      <c r="V253" s="328">
        <v>0</v>
      </c>
      <c r="W253" s="328">
        <v>0</v>
      </c>
      <c r="X253" s="328">
        <v>0</v>
      </c>
      <c r="Y253" s="328">
        <v>8.64</v>
      </c>
      <c r="Z253" s="328">
        <v>145.22999999999999</v>
      </c>
      <c r="AA253" s="328">
        <v>268.29000000000002</v>
      </c>
      <c r="AB253" s="328">
        <v>444.09</v>
      </c>
      <c r="AC253" s="328">
        <v>444.09</v>
      </c>
      <c r="AD253" s="328">
        <v>444.09</v>
      </c>
      <c r="AE253" s="328">
        <v>479.42</v>
      </c>
      <c r="AF253" s="328">
        <v>658.25</v>
      </c>
      <c r="AG253" s="328">
        <v>664.41</v>
      </c>
      <c r="AH253" s="328">
        <v>668.18</v>
      </c>
      <c r="AI253" s="328">
        <v>559.70000000000005</v>
      </c>
      <c r="AJ253" s="328">
        <v>410.42</v>
      </c>
      <c r="AK253" s="328">
        <v>411.85</v>
      </c>
      <c r="AL253" s="328">
        <v>410.44</v>
      </c>
      <c r="AM253" s="173"/>
      <c r="AN253" s="173"/>
      <c r="AO253" s="5"/>
      <c r="AS253" s="354"/>
      <c r="AT253" s="354"/>
    </row>
    <row r="254" spans="1:50">
      <c r="A254" s="5"/>
      <c r="B254" s="44" t="s">
        <v>3210</v>
      </c>
      <c r="C254" s="44" t="s">
        <v>1703</v>
      </c>
      <c r="D254" s="44" t="s">
        <v>701</v>
      </c>
      <c r="E254" s="44" t="s">
        <v>1927</v>
      </c>
      <c r="F254" s="44" t="s">
        <v>1928</v>
      </c>
      <c r="G254" s="44" t="s">
        <v>3374</v>
      </c>
      <c r="H254" s="44" t="s">
        <v>116</v>
      </c>
      <c r="I254" s="44" t="s">
        <v>1931</v>
      </c>
      <c r="J254" s="328">
        <v>100</v>
      </c>
      <c r="K254" s="44">
        <v>0</v>
      </c>
      <c r="L254" s="44">
        <v>0</v>
      </c>
      <c r="M254" s="44">
        <v>0</v>
      </c>
      <c r="N254" s="44">
        <v>0</v>
      </c>
      <c r="O254" s="44">
        <v>0</v>
      </c>
      <c r="P254" s="44">
        <v>0</v>
      </c>
      <c r="Q254" s="44">
        <v>0</v>
      </c>
      <c r="R254" s="44">
        <v>0</v>
      </c>
      <c r="S254" s="328">
        <v>0</v>
      </c>
      <c r="T254" s="328">
        <v>0</v>
      </c>
      <c r="U254" s="328">
        <v>1.7130000000000001</v>
      </c>
      <c r="V254" s="328">
        <v>4.8289999999999997</v>
      </c>
      <c r="W254" s="328">
        <v>2.85</v>
      </c>
      <c r="X254" s="328">
        <v>2.65</v>
      </c>
      <c r="Y254" s="328">
        <v>2.58</v>
      </c>
      <c r="Z254" s="328">
        <v>2.57</v>
      </c>
      <c r="AA254" s="328">
        <v>2.5099999999999998</v>
      </c>
      <c r="AB254" s="328">
        <v>2.44</v>
      </c>
      <c r="AC254" s="328">
        <v>2.37</v>
      </c>
      <c r="AD254" s="328">
        <v>2.29</v>
      </c>
      <c r="AE254" s="328">
        <v>2.23</v>
      </c>
      <c r="AF254" s="328">
        <v>2.16</v>
      </c>
      <c r="AG254" s="328">
        <v>2.09</v>
      </c>
      <c r="AH254" s="328">
        <v>2.0299999999999998</v>
      </c>
      <c r="AI254" s="328">
        <v>1.97</v>
      </c>
      <c r="AJ254" s="328">
        <v>1.91</v>
      </c>
      <c r="AK254" s="328">
        <v>1.85</v>
      </c>
      <c r="AL254" s="328">
        <v>1.8</v>
      </c>
      <c r="AM254" s="173"/>
      <c r="AN254" s="173"/>
      <c r="AO254" s="5"/>
      <c r="AS254" s="354"/>
      <c r="AT254" s="354"/>
    </row>
    <row r="255" spans="1:50">
      <c r="A255" s="5"/>
      <c r="B255" s="44" t="s">
        <v>3210</v>
      </c>
      <c r="C255" s="44" t="s">
        <v>1703</v>
      </c>
      <c r="D255" s="44" t="s">
        <v>3211</v>
      </c>
      <c r="E255" s="44" t="s">
        <v>1927</v>
      </c>
      <c r="F255" s="44" t="s">
        <v>1928</v>
      </c>
      <c r="G255" s="44" t="s">
        <v>1932</v>
      </c>
      <c r="H255" s="44" t="s">
        <v>106</v>
      </c>
      <c r="I255" s="44" t="s">
        <v>1931</v>
      </c>
      <c r="J255" s="328">
        <v>68.7</v>
      </c>
      <c r="K255" s="44">
        <v>49.92</v>
      </c>
      <c r="L255" s="44">
        <v>2.41</v>
      </c>
      <c r="M255" s="44">
        <v>2.41</v>
      </c>
      <c r="N255" s="44">
        <v>2.4700000000000002</v>
      </c>
      <c r="O255" s="44">
        <v>2.66</v>
      </c>
      <c r="P255" s="44">
        <v>1.78</v>
      </c>
      <c r="Q255" s="44">
        <v>1.78</v>
      </c>
      <c r="R255" s="44">
        <v>2.66</v>
      </c>
      <c r="S255" s="328">
        <v>0</v>
      </c>
      <c r="T255" s="328">
        <v>0</v>
      </c>
      <c r="U255" s="328">
        <v>0</v>
      </c>
      <c r="V255" s="328">
        <v>0</v>
      </c>
      <c r="W255" s="328">
        <v>0</v>
      </c>
      <c r="X255" s="328">
        <v>0</v>
      </c>
      <c r="Y255" s="328">
        <v>0</v>
      </c>
      <c r="Z255" s="328">
        <v>0</v>
      </c>
      <c r="AA255" s="328">
        <v>0</v>
      </c>
      <c r="AB255" s="328">
        <v>0</v>
      </c>
      <c r="AC255" s="328">
        <v>0</v>
      </c>
      <c r="AD255" s="328">
        <v>0</v>
      </c>
      <c r="AE255" s="328">
        <v>0</v>
      </c>
      <c r="AF255" s="328">
        <v>0</v>
      </c>
      <c r="AG255" s="328">
        <v>0</v>
      </c>
      <c r="AH255" s="328">
        <v>0</v>
      </c>
      <c r="AI255" s="328">
        <v>0</v>
      </c>
      <c r="AJ255" s="328">
        <v>0</v>
      </c>
      <c r="AK255" s="328">
        <v>0</v>
      </c>
      <c r="AL255" s="328">
        <v>0</v>
      </c>
      <c r="AM255" s="173"/>
      <c r="AN255" s="173"/>
      <c r="AO255" s="5"/>
      <c r="AS255" s="354"/>
      <c r="AT255" s="354"/>
    </row>
    <row r="256" spans="1:50">
      <c r="A256" s="5"/>
      <c r="B256" s="44" t="s">
        <v>3210</v>
      </c>
      <c r="C256" s="44" t="s">
        <v>1703</v>
      </c>
      <c r="D256" s="44" t="s">
        <v>3212</v>
      </c>
      <c r="E256" s="44" t="s">
        <v>1927</v>
      </c>
      <c r="F256" s="44" t="s">
        <v>1928</v>
      </c>
      <c r="G256" s="44" t="s">
        <v>1932</v>
      </c>
      <c r="H256" s="44" t="s">
        <v>106</v>
      </c>
      <c r="I256" s="44" t="s">
        <v>1931</v>
      </c>
      <c r="J256" s="328">
        <v>81.22</v>
      </c>
      <c r="K256" s="44">
        <v>0</v>
      </c>
      <c r="L256" s="44">
        <v>56.04</v>
      </c>
      <c r="M256" s="44">
        <v>50.29</v>
      </c>
      <c r="N256" s="44">
        <v>46.68</v>
      </c>
      <c r="O256" s="44">
        <v>41.35</v>
      </c>
      <c r="P256" s="44">
        <v>24.8</v>
      </c>
      <c r="Q256" s="44">
        <v>27.57</v>
      </c>
      <c r="R256" s="44">
        <v>27.57</v>
      </c>
      <c r="S256" s="328">
        <v>28.14</v>
      </c>
      <c r="T256" s="328">
        <v>23.58</v>
      </c>
      <c r="U256" s="328">
        <v>20.92</v>
      </c>
      <c r="V256" s="328">
        <v>18.170000000000002</v>
      </c>
      <c r="W256" s="328">
        <v>15.73</v>
      </c>
      <c r="X256" s="328">
        <v>13.3</v>
      </c>
      <c r="Y256" s="328">
        <v>10.86</v>
      </c>
      <c r="Z256" s="328">
        <v>8.42</v>
      </c>
      <c r="AA256" s="328">
        <v>5.99</v>
      </c>
      <c r="AB256" s="328">
        <v>3.55</v>
      </c>
      <c r="AC256" s="328">
        <v>1.1100000000000001</v>
      </c>
      <c r="AD256" s="328">
        <v>0</v>
      </c>
      <c r="AE256" s="328">
        <v>0</v>
      </c>
      <c r="AF256" s="328">
        <v>0</v>
      </c>
      <c r="AG256" s="328">
        <v>0</v>
      </c>
      <c r="AH256" s="328">
        <v>0</v>
      </c>
      <c r="AI256" s="328">
        <v>0</v>
      </c>
      <c r="AJ256" s="328">
        <v>0</v>
      </c>
      <c r="AK256" s="328">
        <v>0</v>
      </c>
      <c r="AL256" s="328">
        <v>0</v>
      </c>
      <c r="AM256" s="173"/>
      <c r="AN256" s="173"/>
      <c r="AO256" s="5"/>
      <c r="AS256" s="354"/>
      <c r="AT256" s="354"/>
    </row>
    <row r="257" spans="1:46">
      <c r="A257" s="5"/>
      <c r="B257" s="44" t="s">
        <v>3210</v>
      </c>
      <c r="C257" s="44" t="s">
        <v>1703</v>
      </c>
      <c r="D257" s="44" t="s">
        <v>3464</v>
      </c>
      <c r="E257" s="44" t="s">
        <v>1927</v>
      </c>
      <c r="F257" s="44" t="s">
        <v>1928</v>
      </c>
      <c r="G257" s="44" t="s">
        <v>1932</v>
      </c>
      <c r="H257" s="44" t="s">
        <v>116</v>
      </c>
      <c r="I257" s="44" t="s">
        <v>1931</v>
      </c>
      <c r="J257" s="328">
        <v>51</v>
      </c>
      <c r="K257" s="44">
        <v>22.7</v>
      </c>
      <c r="L257" s="44">
        <v>25.16</v>
      </c>
      <c r="M257" s="44">
        <v>22.7</v>
      </c>
      <c r="N257" s="44">
        <v>22.7</v>
      </c>
      <c r="O257" s="44">
        <v>25.16</v>
      </c>
      <c r="P257" s="44">
        <v>30.1</v>
      </c>
      <c r="Q257" s="44">
        <v>24.18</v>
      </c>
      <c r="R257" s="44">
        <v>23.19</v>
      </c>
      <c r="S257" s="328">
        <v>22.03</v>
      </c>
      <c r="T257" s="328">
        <v>21.59</v>
      </c>
      <c r="U257" s="328">
        <v>0</v>
      </c>
      <c r="V257" s="328">
        <v>0</v>
      </c>
      <c r="W257" s="328">
        <v>0</v>
      </c>
      <c r="X257" s="328">
        <v>0</v>
      </c>
      <c r="Y257" s="328">
        <v>0</v>
      </c>
      <c r="Z257" s="328">
        <v>0</v>
      </c>
      <c r="AA257" s="328">
        <v>0</v>
      </c>
      <c r="AB257" s="328">
        <v>0</v>
      </c>
      <c r="AC257" s="328">
        <v>0</v>
      </c>
      <c r="AD257" s="328">
        <v>0</v>
      </c>
      <c r="AE257" s="328">
        <v>0</v>
      </c>
      <c r="AF257" s="328">
        <v>0</v>
      </c>
      <c r="AG257" s="328">
        <v>0</v>
      </c>
      <c r="AH257" s="328">
        <v>0</v>
      </c>
      <c r="AI257" s="328">
        <v>0</v>
      </c>
      <c r="AJ257" s="328">
        <v>0</v>
      </c>
      <c r="AK257" s="328">
        <v>0</v>
      </c>
      <c r="AL257" s="328">
        <v>0</v>
      </c>
      <c r="AM257" s="173"/>
      <c r="AN257" s="173"/>
      <c r="AO257" s="5"/>
      <c r="AS257" s="354"/>
      <c r="AT257" s="354"/>
    </row>
    <row r="258" spans="1:46">
      <c r="A258" s="5"/>
      <c r="B258" s="44" t="s">
        <v>3210</v>
      </c>
      <c r="C258" s="44" t="s">
        <v>1703</v>
      </c>
      <c r="D258" s="44" t="s">
        <v>479</v>
      </c>
      <c r="E258" s="44" t="s">
        <v>1927</v>
      </c>
      <c r="F258" s="44" t="s">
        <v>1928</v>
      </c>
      <c r="G258" s="44" t="s">
        <v>1931</v>
      </c>
      <c r="H258" s="44" t="s">
        <v>116</v>
      </c>
      <c r="I258" s="44" t="s">
        <v>1931</v>
      </c>
      <c r="J258" s="328">
        <v>49</v>
      </c>
      <c r="K258" s="44">
        <v>0</v>
      </c>
      <c r="L258" s="44">
        <v>0</v>
      </c>
      <c r="M258" s="44">
        <v>0</v>
      </c>
      <c r="N258" s="44">
        <v>0</v>
      </c>
      <c r="O258" s="44">
        <v>0</v>
      </c>
      <c r="P258" s="44">
        <v>0</v>
      </c>
      <c r="Q258" s="44">
        <v>0</v>
      </c>
      <c r="R258" s="44">
        <v>0</v>
      </c>
      <c r="S258" s="328">
        <v>0</v>
      </c>
      <c r="T258" s="328">
        <v>0</v>
      </c>
      <c r="U258" s="328">
        <v>346.58</v>
      </c>
      <c r="V258" s="328">
        <v>628.21</v>
      </c>
      <c r="W258" s="328">
        <v>602.09</v>
      </c>
      <c r="X258" s="328">
        <v>565.96</v>
      </c>
      <c r="Y258" s="328">
        <v>527.41</v>
      </c>
      <c r="Z258" s="328">
        <v>491.47</v>
      </c>
      <c r="AA258" s="328">
        <v>457.99</v>
      </c>
      <c r="AB258" s="328">
        <v>426.79</v>
      </c>
      <c r="AC258" s="328">
        <v>397.71</v>
      </c>
      <c r="AD258" s="328">
        <v>370.62</v>
      </c>
      <c r="AE258" s="328">
        <v>345.37</v>
      </c>
      <c r="AF258" s="328">
        <v>321.83999999999997</v>
      </c>
      <c r="AG258" s="328">
        <v>299.91000000000003</v>
      </c>
      <c r="AH258" s="328">
        <v>279.48</v>
      </c>
      <c r="AI258" s="328">
        <v>260.44</v>
      </c>
      <c r="AJ258" s="328">
        <v>242.69</v>
      </c>
      <c r="AK258" s="328">
        <v>226.16</v>
      </c>
      <c r="AL258" s="328">
        <v>210.75</v>
      </c>
      <c r="AM258" s="173"/>
      <c r="AN258" s="173"/>
      <c r="AO258" s="5"/>
      <c r="AS258" s="354"/>
      <c r="AT258" s="354"/>
    </row>
    <row r="259" spans="1:46">
      <c r="A259" s="5"/>
      <c r="B259" s="44" t="s">
        <v>3210</v>
      </c>
      <c r="C259" s="44" t="s">
        <v>1703</v>
      </c>
      <c r="D259" s="44" t="s">
        <v>2271</v>
      </c>
      <c r="E259" s="44" t="s">
        <v>1927</v>
      </c>
      <c r="F259" s="44" t="s">
        <v>1928</v>
      </c>
      <c r="G259" s="44" t="s">
        <v>1931</v>
      </c>
      <c r="H259" s="44" t="s">
        <v>116</v>
      </c>
      <c r="I259" s="44" t="s">
        <v>1931</v>
      </c>
      <c r="J259" s="328">
        <v>100</v>
      </c>
      <c r="K259" s="44">
        <v>0</v>
      </c>
      <c r="L259" s="44">
        <v>0</v>
      </c>
      <c r="M259" s="44">
        <v>0</v>
      </c>
      <c r="N259" s="44">
        <v>0</v>
      </c>
      <c r="O259" s="44">
        <v>0</v>
      </c>
      <c r="P259" s="44">
        <v>0</v>
      </c>
      <c r="Q259" s="44">
        <v>0</v>
      </c>
      <c r="R259" s="44">
        <v>0</v>
      </c>
      <c r="S259" s="328">
        <v>0</v>
      </c>
      <c r="T259" s="328">
        <v>0</v>
      </c>
      <c r="U259" s="328">
        <v>0</v>
      </c>
      <c r="V259" s="328">
        <v>0</v>
      </c>
      <c r="W259" s="328">
        <v>0</v>
      </c>
      <c r="X259" s="328">
        <v>0</v>
      </c>
      <c r="Y259" s="328">
        <v>0</v>
      </c>
      <c r="Z259" s="328">
        <v>0</v>
      </c>
      <c r="AA259" s="328">
        <v>0</v>
      </c>
      <c r="AB259" s="328">
        <v>150</v>
      </c>
      <c r="AC259" s="328">
        <v>450</v>
      </c>
      <c r="AD259" s="328">
        <v>885</v>
      </c>
      <c r="AE259" s="328">
        <v>905</v>
      </c>
      <c r="AF259" s="328">
        <v>940</v>
      </c>
      <c r="AG259" s="328">
        <v>990</v>
      </c>
      <c r="AH259" s="328">
        <v>1240</v>
      </c>
      <c r="AI259" s="328">
        <v>1410</v>
      </c>
      <c r="AJ259" s="328">
        <v>1550</v>
      </c>
      <c r="AK259" s="328">
        <v>1539.92</v>
      </c>
      <c r="AL259" s="328">
        <v>1447.54</v>
      </c>
      <c r="AM259" s="173"/>
      <c r="AN259" s="173"/>
      <c r="AO259" s="5"/>
      <c r="AS259" s="354"/>
      <c r="AT259" s="354"/>
    </row>
    <row r="260" spans="1:46">
      <c r="A260" s="5"/>
      <c r="B260" s="44" t="s">
        <v>3210</v>
      </c>
      <c r="C260" s="44" t="s">
        <v>1703</v>
      </c>
      <c r="D260" s="44" t="s">
        <v>3465</v>
      </c>
      <c r="E260" s="44" t="s">
        <v>1927</v>
      </c>
      <c r="F260" s="44" t="s">
        <v>1928</v>
      </c>
      <c r="G260" s="44" t="s">
        <v>3374</v>
      </c>
      <c r="H260" s="44" t="s">
        <v>116</v>
      </c>
      <c r="I260" s="44" t="s">
        <v>1931</v>
      </c>
      <c r="J260" s="328">
        <v>100</v>
      </c>
      <c r="K260" s="44">
        <v>58.86</v>
      </c>
      <c r="L260" s="44">
        <v>71.63</v>
      </c>
      <c r="M260" s="44">
        <v>109.67</v>
      </c>
      <c r="N260" s="44">
        <v>157.38</v>
      </c>
      <c r="O260" s="44">
        <v>280.58</v>
      </c>
      <c r="P260" s="44">
        <v>291.39</v>
      </c>
      <c r="Q260" s="44">
        <v>283.49</v>
      </c>
      <c r="R260" s="44">
        <v>262.2</v>
      </c>
      <c r="S260" s="328">
        <v>264.52</v>
      </c>
      <c r="T260" s="328">
        <v>279.33</v>
      </c>
      <c r="U260" s="328">
        <v>296.06</v>
      </c>
      <c r="V260" s="328">
        <v>295.08999999999997</v>
      </c>
      <c r="W260" s="328">
        <v>266.07</v>
      </c>
      <c r="X260" s="328">
        <v>286.81</v>
      </c>
      <c r="Y260" s="328">
        <v>264.77</v>
      </c>
      <c r="Z260" s="328">
        <v>262.85000000000002</v>
      </c>
      <c r="AA260" s="328">
        <v>261.02999999999997</v>
      </c>
      <c r="AB260" s="328">
        <v>259.31</v>
      </c>
      <c r="AC260" s="328">
        <v>230.09</v>
      </c>
      <c r="AD260" s="328">
        <v>204.27</v>
      </c>
      <c r="AE260" s="328">
        <v>181.45</v>
      </c>
      <c r="AF260" s="328">
        <v>161.27000000000001</v>
      </c>
      <c r="AG260" s="328">
        <v>143.43</v>
      </c>
      <c r="AH260" s="328">
        <v>127.64</v>
      </c>
      <c r="AI260" s="328">
        <v>113.67</v>
      </c>
      <c r="AJ260" s="328">
        <v>101.31</v>
      </c>
      <c r="AK260" s="328">
        <v>90.35</v>
      </c>
      <c r="AL260" s="328">
        <v>80.650000000000006</v>
      </c>
      <c r="AM260" s="173"/>
      <c r="AN260" s="173"/>
      <c r="AO260" s="5"/>
      <c r="AS260" s="354"/>
      <c r="AT260" s="354"/>
    </row>
    <row r="261" spans="1:46">
      <c r="A261" s="5"/>
      <c r="B261" s="44" t="s">
        <v>3210</v>
      </c>
      <c r="C261" s="44" t="s">
        <v>1703</v>
      </c>
      <c r="D261" s="44" t="s">
        <v>3532</v>
      </c>
      <c r="E261" s="44" t="s">
        <v>1927</v>
      </c>
      <c r="F261" s="44" t="s">
        <v>1928</v>
      </c>
      <c r="G261" s="44" t="s">
        <v>1932</v>
      </c>
      <c r="H261" s="44" t="s">
        <v>116</v>
      </c>
      <c r="I261" s="44" t="s">
        <v>1931</v>
      </c>
      <c r="J261" s="328">
        <v>100</v>
      </c>
      <c r="K261" s="44">
        <v>0</v>
      </c>
      <c r="L261" s="44">
        <v>0</v>
      </c>
      <c r="M261" s="44">
        <v>0</v>
      </c>
      <c r="N261" s="44">
        <v>0</v>
      </c>
      <c r="O261" s="44">
        <v>0</v>
      </c>
      <c r="P261" s="44">
        <v>0</v>
      </c>
      <c r="Q261" s="44">
        <v>0</v>
      </c>
      <c r="R261" s="44">
        <v>0</v>
      </c>
      <c r="S261" s="328">
        <v>0</v>
      </c>
      <c r="T261" s="328">
        <v>0</v>
      </c>
      <c r="U261" s="328">
        <v>57.167000000000002</v>
      </c>
      <c r="V261" s="328">
        <v>141.494</v>
      </c>
      <c r="W261" s="328">
        <v>149.01</v>
      </c>
      <c r="X261" s="328">
        <v>153.56</v>
      </c>
      <c r="Y261" s="328">
        <v>166.19</v>
      </c>
      <c r="Z261" s="328">
        <v>163.92</v>
      </c>
      <c r="AA261" s="328">
        <v>162.08000000000001</v>
      </c>
      <c r="AB261" s="328">
        <v>160.69999999999999</v>
      </c>
      <c r="AC261" s="328">
        <v>159.06</v>
      </c>
      <c r="AD261" s="328">
        <v>156.63999999999999</v>
      </c>
      <c r="AE261" s="328">
        <v>154.26</v>
      </c>
      <c r="AF261" s="328">
        <v>151.91999999999999</v>
      </c>
      <c r="AG261" s="328">
        <v>149.59</v>
      </c>
      <c r="AH261" s="328">
        <v>146.15</v>
      </c>
      <c r="AI261" s="328">
        <v>141.62</v>
      </c>
      <c r="AJ261" s="328">
        <v>136.11000000000001</v>
      </c>
      <c r="AK261" s="328">
        <v>129.72999999999999</v>
      </c>
      <c r="AL261" s="328">
        <v>123.33</v>
      </c>
      <c r="AM261" s="173"/>
      <c r="AN261" s="173"/>
      <c r="AO261" s="5"/>
      <c r="AS261" s="354"/>
      <c r="AT261" s="354"/>
    </row>
    <row r="262" spans="1:46">
      <c r="A262" s="5"/>
      <c r="B262" s="44" t="s">
        <v>3210</v>
      </c>
      <c r="C262" s="44" t="s">
        <v>1703</v>
      </c>
      <c r="D262" s="44" t="s">
        <v>2272</v>
      </c>
      <c r="E262" s="44" t="s">
        <v>1927</v>
      </c>
      <c r="F262" s="44" t="s">
        <v>1928</v>
      </c>
      <c r="G262" s="44" t="s">
        <v>1932</v>
      </c>
      <c r="H262" s="44" t="s">
        <v>116</v>
      </c>
      <c r="I262" s="44" t="s">
        <v>1931</v>
      </c>
      <c r="J262" s="328">
        <v>100</v>
      </c>
      <c r="K262" s="44">
        <v>0</v>
      </c>
      <c r="L262" s="44">
        <v>0</v>
      </c>
      <c r="M262" s="44">
        <v>0</v>
      </c>
      <c r="N262" s="44">
        <v>0</v>
      </c>
      <c r="O262" s="44">
        <v>0</v>
      </c>
      <c r="P262" s="44">
        <v>0</v>
      </c>
      <c r="Q262" s="44">
        <v>0</v>
      </c>
      <c r="R262" s="44">
        <v>0</v>
      </c>
      <c r="S262" s="328">
        <v>0</v>
      </c>
      <c r="T262" s="328">
        <v>0</v>
      </c>
      <c r="U262" s="328">
        <v>0</v>
      </c>
      <c r="V262" s="328">
        <v>0</v>
      </c>
      <c r="W262" s="328">
        <v>0</v>
      </c>
      <c r="X262" s="328">
        <v>0</v>
      </c>
      <c r="Y262" s="328">
        <v>0</v>
      </c>
      <c r="Z262" s="328">
        <v>0</v>
      </c>
      <c r="AA262" s="328">
        <v>135.03</v>
      </c>
      <c r="AB262" s="328">
        <v>306.18</v>
      </c>
      <c r="AC262" s="328">
        <v>385.96</v>
      </c>
      <c r="AD262" s="328">
        <v>411.08</v>
      </c>
      <c r="AE262" s="328">
        <v>505.92</v>
      </c>
      <c r="AF262" s="328">
        <v>535.87</v>
      </c>
      <c r="AG262" s="328">
        <v>533.09</v>
      </c>
      <c r="AH262" s="328">
        <v>530.54999999999995</v>
      </c>
      <c r="AI262" s="328">
        <v>528.24</v>
      </c>
      <c r="AJ262" s="328">
        <v>524.75</v>
      </c>
      <c r="AK262" s="328">
        <v>521.58000000000004</v>
      </c>
      <c r="AL262" s="328">
        <v>484.8</v>
      </c>
      <c r="AM262" s="173"/>
      <c r="AN262" s="173"/>
      <c r="AO262" s="5"/>
      <c r="AS262" s="354"/>
      <c r="AT262" s="354"/>
    </row>
    <row r="263" spans="1:46">
      <c r="A263" s="5"/>
      <c r="B263" s="44" t="s">
        <v>3210</v>
      </c>
      <c r="C263" s="44" t="s">
        <v>1703</v>
      </c>
      <c r="D263" s="44" t="s">
        <v>2273</v>
      </c>
      <c r="E263" s="44" t="s">
        <v>1927</v>
      </c>
      <c r="F263" s="44" t="s">
        <v>1928</v>
      </c>
      <c r="G263" s="44" t="s">
        <v>3374</v>
      </c>
      <c r="H263" s="44" t="s">
        <v>116</v>
      </c>
      <c r="I263" s="44" t="s">
        <v>1931</v>
      </c>
      <c r="J263" s="328">
        <v>100</v>
      </c>
      <c r="K263" s="44">
        <v>0</v>
      </c>
      <c r="L263" s="44">
        <v>0</v>
      </c>
      <c r="M263" s="44">
        <v>0</v>
      </c>
      <c r="N263" s="44">
        <v>0</v>
      </c>
      <c r="O263" s="44">
        <v>0</v>
      </c>
      <c r="P263" s="44">
        <v>0</v>
      </c>
      <c r="Q263" s="44">
        <v>0</v>
      </c>
      <c r="R263" s="44">
        <v>0.19</v>
      </c>
      <c r="S263" s="328">
        <v>0.38</v>
      </c>
      <c r="T263" s="328">
        <v>0.51</v>
      </c>
      <c r="U263" s="328">
        <v>0.5</v>
      </c>
      <c r="V263" s="328">
        <v>0.52</v>
      </c>
      <c r="W263" s="328">
        <v>0.53</v>
      </c>
      <c r="X263" s="328">
        <v>0.53</v>
      </c>
      <c r="Y263" s="328">
        <v>0.53</v>
      </c>
      <c r="Z263" s="328">
        <v>0.49</v>
      </c>
      <c r="AA263" s="328">
        <v>0.45</v>
      </c>
      <c r="AB263" s="328">
        <v>0.42</v>
      </c>
      <c r="AC263" s="328">
        <v>0.39</v>
      </c>
      <c r="AD263" s="328">
        <v>0.37</v>
      </c>
      <c r="AE263" s="328">
        <v>0.34</v>
      </c>
      <c r="AF263" s="328">
        <v>0.32</v>
      </c>
      <c r="AG263" s="328">
        <v>0.28999999999999998</v>
      </c>
      <c r="AH263" s="328">
        <v>0.27</v>
      </c>
      <c r="AI263" s="328">
        <v>0.25</v>
      </c>
      <c r="AJ263" s="328">
        <v>0.24</v>
      </c>
      <c r="AK263" s="328">
        <v>0.22</v>
      </c>
      <c r="AL263" s="328">
        <v>0.2</v>
      </c>
      <c r="AM263" s="173"/>
      <c r="AN263" s="173"/>
      <c r="AO263" s="5"/>
      <c r="AS263" s="354"/>
      <c r="AT263" s="354"/>
    </row>
    <row r="264" spans="1:46">
      <c r="A264" s="5"/>
      <c r="B264" s="44" t="s">
        <v>3210</v>
      </c>
      <c r="C264" s="44" t="s">
        <v>1703</v>
      </c>
      <c r="D264" s="44" t="s">
        <v>2274</v>
      </c>
      <c r="E264" s="44" t="s">
        <v>1927</v>
      </c>
      <c r="F264" s="44" t="s">
        <v>1928</v>
      </c>
      <c r="G264" s="44" t="s">
        <v>3374</v>
      </c>
      <c r="H264" s="44" t="s">
        <v>116</v>
      </c>
      <c r="I264" s="44" t="s">
        <v>1931</v>
      </c>
      <c r="J264" s="328">
        <v>100</v>
      </c>
      <c r="K264" s="44">
        <v>0</v>
      </c>
      <c r="L264" s="44">
        <v>2.2599999999999998</v>
      </c>
      <c r="M264" s="44">
        <v>31.93</v>
      </c>
      <c r="N264" s="44">
        <v>33.619999999999997</v>
      </c>
      <c r="O264" s="44">
        <v>34.71</v>
      </c>
      <c r="P264" s="44">
        <v>37.79</v>
      </c>
      <c r="Q264" s="44">
        <v>42.21</v>
      </c>
      <c r="R264" s="44">
        <v>42.3</v>
      </c>
      <c r="S264" s="328">
        <v>44.32</v>
      </c>
      <c r="T264" s="328">
        <v>44.32</v>
      </c>
      <c r="U264" s="328">
        <v>34.06</v>
      </c>
      <c r="V264" s="328">
        <v>38.81</v>
      </c>
      <c r="W264" s="328">
        <v>42.17</v>
      </c>
      <c r="X264" s="328">
        <v>39.65</v>
      </c>
      <c r="Y264" s="328">
        <v>35.46</v>
      </c>
      <c r="Z264" s="328">
        <v>32.119999999999997</v>
      </c>
      <c r="AA264" s="328">
        <v>31.9</v>
      </c>
      <c r="AB264" s="328">
        <v>31.24</v>
      </c>
      <c r="AC264" s="328">
        <v>30.62</v>
      </c>
      <c r="AD264" s="328">
        <v>30</v>
      </c>
      <c r="AE264" s="328">
        <v>29.4</v>
      </c>
      <c r="AF264" s="328">
        <v>28.81</v>
      </c>
      <c r="AG264" s="328">
        <v>28.24</v>
      </c>
      <c r="AH264" s="328">
        <v>27.67</v>
      </c>
      <c r="AI264" s="328">
        <v>27.12</v>
      </c>
      <c r="AJ264" s="328">
        <v>26.58</v>
      </c>
      <c r="AK264" s="328">
        <v>26.05</v>
      </c>
      <c r="AL264" s="328">
        <v>25.53</v>
      </c>
      <c r="AM264" s="173"/>
      <c r="AN264" s="173"/>
      <c r="AO264" s="5"/>
      <c r="AS264" s="354"/>
      <c r="AT264" s="354"/>
    </row>
    <row r="265" spans="1:46">
      <c r="A265" s="5"/>
      <c r="B265" s="44" t="s">
        <v>3210</v>
      </c>
      <c r="C265" s="44" t="s">
        <v>1703</v>
      </c>
      <c r="D265" s="44" t="s">
        <v>1816</v>
      </c>
      <c r="E265" s="44" t="s">
        <v>1927</v>
      </c>
      <c r="F265" s="44" t="s">
        <v>1928</v>
      </c>
      <c r="G265" s="44" t="s">
        <v>1932</v>
      </c>
      <c r="H265" s="44" t="s">
        <v>116</v>
      </c>
      <c r="I265" s="44" t="s">
        <v>1931</v>
      </c>
      <c r="J265" s="328">
        <v>80</v>
      </c>
      <c r="K265" s="44">
        <v>0</v>
      </c>
      <c r="L265" s="44">
        <v>0</v>
      </c>
      <c r="M265" s="44">
        <v>0</v>
      </c>
      <c r="N265" s="44">
        <v>0</v>
      </c>
      <c r="O265" s="44">
        <v>0</v>
      </c>
      <c r="P265" s="44">
        <v>0</v>
      </c>
      <c r="Q265" s="44">
        <v>0</v>
      </c>
      <c r="R265" s="44">
        <v>0</v>
      </c>
      <c r="S265" s="328">
        <v>0</v>
      </c>
      <c r="T265" s="328">
        <v>0</v>
      </c>
      <c r="U265" s="328">
        <v>1.0720000000000001</v>
      </c>
      <c r="V265" s="328">
        <v>2.3849999999999998</v>
      </c>
      <c r="W265" s="328">
        <v>2.9</v>
      </c>
      <c r="X265" s="328">
        <v>2.64</v>
      </c>
      <c r="Y265" s="328">
        <v>2.4</v>
      </c>
      <c r="Z265" s="328">
        <v>2.1800000000000002</v>
      </c>
      <c r="AA265" s="328">
        <v>1.98</v>
      </c>
      <c r="AB265" s="328">
        <v>1.81</v>
      </c>
      <c r="AC265" s="328">
        <v>1.71</v>
      </c>
      <c r="AD265" s="328">
        <v>1.62</v>
      </c>
      <c r="AE265" s="328">
        <v>1.54</v>
      </c>
      <c r="AF265" s="328">
        <v>1.46</v>
      </c>
      <c r="AG265" s="328">
        <v>1.39</v>
      </c>
      <c r="AH265" s="328">
        <v>1.32</v>
      </c>
      <c r="AI265" s="328">
        <v>1.26</v>
      </c>
      <c r="AJ265" s="328">
        <v>1.19</v>
      </c>
      <c r="AK265" s="328">
        <v>1.1299999999999999</v>
      </c>
      <c r="AL265" s="328">
        <v>1.07</v>
      </c>
      <c r="AM265" s="173"/>
      <c r="AN265" s="173"/>
      <c r="AO265" s="5"/>
      <c r="AS265" s="354"/>
      <c r="AT265" s="354"/>
    </row>
    <row r="266" spans="1:46">
      <c r="A266" s="5"/>
      <c r="B266" s="44" t="s">
        <v>3210</v>
      </c>
      <c r="C266" s="44" t="s">
        <v>1703</v>
      </c>
      <c r="D266" s="44" t="s">
        <v>2275</v>
      </c>
      <c r="E266" s="44" t="s">
        <v>1927</v>
      </c>
      <c r="F266" s="44" t="s">
        <v>1928</v>
      </c>
      <c r="G266" s="44" t="s">
        <v>3374</v>
      </c>
      <c r="H266" s="44" t="s">
        <v>116</v>
      </c>
      <c r="I266" s="44" t="s">
        <v>1933</v>
      </c>
      <c r="J266" s="328">
        <v>100</v>
      </c>
      <c r="K266" s="44">
        <v>0</v>
      </c>
      <c r="L266" s="44">
        <v>2.72</v>
      </c>
      <c r="M266" s="44">
        <v>29.93</v>
      </c>
      <c r="N266" s="44">
        <v>29.32</v>
      </c>
      <c r="O266" s="44">
        <v>26.22</v>
      </c>
      <c r="P266" s="44">
        <v>24.99</v>
      </c>
      <c r="Q266" s="44">
        <v>24.48</v>
      </c>
      <c r="R266" s="44">
        <v>25.09</v>
      </c>
      <c r="S266" s="328">
        <v>23.9</v>
      </c>
      <c r="T266" s="328">
        <v>22.48</v>
      </c>
      <c r="U266" s="328">
        <v>29.03</v>
      </c>
      <c r="V266" s="328">
        <v>28.88</v>
      </c>
      <c r="W266" s="328">
        <v>28.66</v>
      </c>
      <c r="X266" s="328">
        <v>29.43</v>
      </c>
      <c r="Y266" s="328">
        <v>28.11</v>
      </c>
      <c r="Z266" s="328">
        <v>26.7</v>
      </c>
      <c r="AA266" s="328">
        <v>26.17</v>
      </c>
      <c r="AB266" s="328">
        <v>25.64</v>
      </c>
      <c r="AC266" s="328">
        <v>25.13</v>
      </c>
      <c r="AD266" s="328">
        <v>24.63</v>
      </c>
      <c r="AE266" s="328">
        <v>24.13</v>
      </c>
      <c r="AF266" s="328">
        <v>23.65</v>
      </c>
      <c r="AG266" s="328">
        <v>23.18</v>
      </c>
      <c r="AH266" s="328">
        <v>22.02</v>
      </c>
      <c r="AI266" s="328">
        <v>20.92</v>
      </c>
      <c r="AJ266" s="328">
        <v>19.87</v>
      </c>
      <c r="AK266" s="328">
        <v>18.88</v>
      </c>
      <c r="AL266" s="328">
        <v>17.940000000000001</v>
      </c>
      <c r="AM266" s="173"/>
      <c r="AN266" s="173"/>
      <c r="AO266" s="5"/>
      <c r="AS266" s="354"/>
      <c r="AT266" s="354"/>
    </row>
    <row r="267" spans="1:46">
      <c r="A267" s="5"/>
      <c r="B267" s="44" t="s">
        <v>3210</v>
      </c>
      <c r="C267" s="44" t="s">
        <v>1703</v>
      </c>
      <c r="D267" s="44" t="s">
        <v>3731</v>
      </c>
      <c r="E267" s="44" t="s">
        <v>1927</v>
      </c>
      <c r="F267" s="44" t="s">
        <v>1928</v>
      </c>
      <c r="G267" s="44" t="s">
        <v>3374</v>
      </c>
      <c r="H267" s="44" t="s">
        <v>116</v>
      </c>
      <c r="I267" s="44" t="s">
        <v>1931</v>
      </c>
      <c r="J267" s="328">
        <v>100</v>
      </c>
      <c r="K267" s="44">
        <v>40</v>
      </c>
      <c r="L267" s="44">
        <v>45</v>
      </c>
      <c r="M267" s="44">
        <v>49.92</v>
      </c>
      <c r="N267" s="44">
        <v>49.15</v>
      </c>
      <c r="O267" s="44">
        <v>47.6</v>
      </c>
      <c r="P267" s="44">
        <v>38.79</v>
      </c>
      <c r="Q267" s="44">
        <v>37.93</v>
      </c>
      <c r="R267" s="44">
        <v>37.549999999999997</v>
      </c>
      <c r="S267" s="328">
        <v>35.03</v>
      </c>
      <c r="T267" s="328">
        <v>32.71</v>
      </c>
      <c r="U267" s="328">
        <v>34.93</v>
      </c>
      <c r="V267" s="328">
        <v>35.22</v>
      </c>
      <c r="W267" s="328">
        <v>37.69</v>
      </c>
      <c r="X267" s="328">
        <v>49.21</v>
      </c>
      <c r="Y267" s="328">
        <v>39.96</v>
      </c>
      <c r="Z267" s="328">
        <v>45.88</v>
      </c>
      <c r="AA267" s="328">
        <v>59.94</v>
      </c>
      <c r="AB267" s="328">
        <v>72.88</v>
      </c>
      <c r="AC267" s="328">
        <v>100.56</v>
      </c>
      <c r="AD267" s="328">
        <v>94.95</v>
      </c>
      <c r="AE267" s="328">
        <v>89.83</v>
      </c>
      <c r="AF267" s="328">
        <v>85.78</v>
      </c>
      <c r="AG267" s="328">
        <v>82.25</v>
      </c>
      <c r="AH267" s="328">
        <v>75.069999999999993</v>
      </c>
      <c r="AI267" s="328">
        <v>68.709999999999994</v>
      </c>
      <c r="AJ267" s="328">
        <v>62.88</v>
      </c>
      <c r="AK267" s="328">
        <v>57.59</v>
      </c>
      <c r="AL267" s="328">
        <v>52.75</v>
      </c>
      <c r="AM267" s="173"/>
      <c r="AN267" s="173"/>
      <c r="AO267" s="5"/>
      <c r="AS267" s="354"/>
      <c r="AT267" s="354"/>
    </row>
    <row r="268" spans="1:46">
      <c r="A268" s="5"/>
      <c r="B268" s="44" t="s">
        <v>3210</v>
      </c>
      <c r="C268" s="44" t="s">
        <v>1703</v>
      </c>
      <c r="D268" s="44" t="s">
        <v>2030</v>
      </c>
      <c r="E268" s="44" t="s">
        <v>1927</v>
      </c>
      <c r="F268" s="44" t="s">
        <v>1928</v>
      </c>
      <c r="G268" s="44" t="s">
        <v>1932</v>
      </c>
      <c r="H268" s="44" t="s">
        <v>116</v>
      </c>
      <c r="I268" s="44" t="s">
        <v>1931</v>
      </c>
      <c r="J268" s="328">
        <v>97.08</v>
      </c>
      <c r="K268" s="44">
        <v>0</v>
      </c>
      <c r="L268" s="44">
        <v>0</v>
      </c>
      <c r="M268" s="44">
        <v>0</v>
      </c>
      <c r="N268" s="44">
        <v>0</v>
      </c>
      <c r="O268" s="44">
        <v>0</v>
      </c>
      <c r="P268" s="44">
        <v>0</v>
      </c>
      <c r="Q268" s="44">
        <v>0</v>
      </c>
      <c r="R268" s="44">
        <v>0</v>
      </c>
      <c r="S268" s="328">
        <v>0</v>
      </c>
      <c r="T268" s="328">
        <v>0</v>
      </c>
      <c r="U268" s="328">
        <v>83.501999999999995</v>
      </c>
      <c r="V268" s="328">
        <v>264.58499999999998</v>
      </c>
      <c r="W268" s="328">
        <v>262.08</v>
      </c>
      <c r="X268" s="328">
        <v>217.9</v>
      </c>
      <c r="Y268" s="328">
        <v>198.61</v>
      </c>
      <c r="Z268" s="328">
        <v>184.94</v>
      </c>
      <c r="AA268" s="328">
        <v>162.71</v>
      </c>
      <c r="AB268" s="328">
        <v>152.51</v>
      </c>
      <c r="AC268" s="328">
        <v>146.63</v>
      </c>
      <c r="AD268" s="328">
        <v>135.86000000000001</v>
      </c>
      <c r="AE268" s="328">
        <v>126.07</v>
      </c>
      <c r="AF268" s="328">
        <v>117.15</v>
      </c>
      <c r="AG268" s="328">
        <v>94.29</v>
      </c>
      <c r="AH268" s="328">
        <v>87.76</v>
      </c>
      <c r="AI268" s="328">
        <v>81.73</v>
      </c>
      <c r="AJ268" s="328">
        <v>76.14</v>
      </c>
      <c r="AK268" s="328">
        <v>70.97</v>
      </c>
      <c r="AL268" s="328">
        <v>66.14</v>
      </c>
      <c r="AM268" s="173"/>
      <c r="AN268" s="173"/>
      <c r="AO268" s="5"/>
      <c r="AS268" s="354"/>
      <c r="AT268" s="354"/>
    </row>
    <row r="269" spans="1:46">
      <c r="A269" s="5"/>
      <c r="B269" s="44" t="s">
        <v>3210</v>
      </c>
      <c r="C269" s="44" t="s">
        <v>1703</v>
      </c>
      <c r="D269" s="44" t="s">
        <v>1749</v>
      </c>
      <c r="E269" s="44" t="s">
        <v>1927</v>
      </c>
      <c r="F269" s="44" t="s">
        <v>1928</v>
      </c>
      <c r="G269" s="44" t="s">
        <v>3374</v>
      </c>
      <c r="H269" s="44" t="s">
        <v>116</v>
      </c>
      <c r="I269" s="44" t="s">
        <v>1931</v>
      </c>
      <c r="J269" s="328">
        <v>100</v>
      </c>
      <c r="K269" s="44">
        <v>0</v>
      </c>
      <c r="L269" s="44">
        <v>0.57999999999999996</v>
      </c>
      <c r="M269" s="44">
        <v>3</v>
      </c>
      <c r="N269" s="44">
        <v>13</v>
      </c>
      <c r="O269" s="44">
        <v>7.64</v>
      </c>
      <c r="P269" s="44">
        <v>13.6</v>
      </c>
      <c r="Q269" s="44">
        <v>40</v>
      </c>
      <c r="R269" s="44">
        <v>56</v>
      </c>
      <c r="S269" s="328">
        <v>78.400000000000006</v>
      </c>
      <c r="T269" s="328">
        <v>135.93</v>
      </c>
      <c r="U269" s="328">
        <v>181.02</v>
      </c>
      <c r="V269" s="328">
        <v>274.94</v>
      </c>
      <c r="W269" s="328">
        <v>269.22000000000003</v>
      </c>
      <c r="X269" s="328">
        <v>273.69</v>
      </c>
      <c r="Y269" s="328">
        <v>264.7</v>
      </c>
      <c r="Z269" s="328">
        <v>258.5</v>
      </c>
      <c r="AA269" s="328">
        <v>264</v>
      </c>
      <c r="AB269" s="328">
        <v>275</v>
      </c>
      <c r="AC269" s="328">
        <v>280.27999999999997</v>
      </c>
      <c r="AD269" s="328">
        <v>285.24</v>
      </c>
      <c r="AE269" s="328">
        <v>279.52999999999997</v>
      </c>
      <c r="AF269" s="328">
        <v>265.14999999999998</v>
      </c>
      <c r="AG269" s="328">
        <v>257.25</v>
      </c>
      <c r="AH269" s="328">
        <v>249.58</v>
      </c>
      <c r="AI269" s="328">
        <v>242.15</v>
      </c>
      <c r="AJ269" s="328">
        <v>234.93</v>
      </c>
      <c r="AK269" s="328">
        <v>227.93</v>
      </c>
      <c r="AL269" s="328">
        <v>221.14</v>
      </c>
      <c r="AM269" s="173"/>
      <c r="AN269" s="173"/>
      <c r="AO269" s="5"/>
      <c r="AS269" s="354"/>
      <c r="AT269" s="354"/>
    </row>
    <row r="270" spans="1:46">
      <c r="A270" s="5"/>
      <c r="B270" s="44" t="s">
        <v>3210</v>
      </c>
      <c r="C270" s="44" t="s">
        <v>1703</v>
      </c>
      <c r="D270" s="44" t="s">
        <v>1750</v>
      </c>
      <c r="E270" s="44" t="s">
        <v>1927</v>
      </c>
      <c r="F270" s="44" t="s">
        <v>1928</v>
      </c>
      <c r="G270" s="44" t="s">
        <v>3374</v>
      </c>
      <c r="H270" s="44" t="s">
        <v>116</v>
      </c>
      <c r="I270" s="44" t="s">
        <v>1931</v>
      </c>
      <c r="J270" s="328">
        <v>100</v>
      </c>
      <c r="K270" s="44">
        <v>0</v>
      </c>
      <c r="L270" s="44">
        <v>1.72</v>
      </c>
      <c r="M270" s="44">
        <v>21</v>
      </c>
      <c r="N270" s="44">
        <v>22.9</v>
      </c>
      <c r="O270" s="44">
        <v>23.61</v>
      </c>
      <c r="P270" s="44">
        <v>22.41</v>
      </c>
      <c r="Q270" s="44">
        <v>21.29</v>
      </c>
      <c r="R270" s="44">
        <v>23.13</v>
      </c>
      <c r="S270" s="328">
        <v>32.89</v>
      </c>
      <c r="T270" s="328">
        <v>28</v>
      </c>
      <c r="U270" s="328">
        <v>35</v>
      </c>
      <c r="V270" s="328">
        <v>38.94</v>
      </c>
      <c r="W270" s="328">
        <v>39.32</v>
      </c>
      <c r="X270" s="328">
        <v>38.78</v>
      </c>
      <c r="Y270" s="328">
        <v>39.369999999999997</v>
      </c>
      <c r="Z270" s="328">
        <v>38.25</v>
      </c>
      <c r="AA270" s="328">
        <v>37.130000000000003</v>
      </c>
      <c r="AB270" s="328">
        <v>36.450000000000003</v>
      </c>
      <c r="AC270" s="328">
        <v>35.36</v>
      </c>
      <c r="AD270" s="328">
        <v>34.299999999999997</v>
      </c>
      <c r="AE270" s="328">
        <v>32.58</v>
      </c>
      <c r="AF270" s="328">
        <v>30.95</v>
      </c>
      <c r="AG270" s="328">
        <v>29.4</v>
      </c>
      <c r="AH270" s="328">
        <v>27.93</v>
      </c>
      <c r="AI270" s="328">
        <v>26.54</v>
      </c>
      <c r="AJ270" s="328">
        <v>25.21</v>
      </c>
      <c r="AK270" s="328">
        <v>23.95</v>
      </c>
      <c r="AL270" s="328">
        <v>22.75</v>
      </c>
      <c r="AM270" s="173"/>
      <c r="AN270" s="173"/>
      <c r="AO270" s="5"/>
      <c r="AS270" s="354"/>
      <c r="AT270" s="354"/>
    </row>
    <row r="271" spans="1:46">
      <c r="A271" s="5"/>
      <c r="B271" s="44" t="s">
        <v>3210</v>
      </c>
      <c r="C271" s="44" t="s">
        <v>1703</v>
      </c>
      <c r="D271" s="44" t="s">
        <v>108</v>
      </c>
      <c r="E271" s="44" t="s">
        <v>1927</v>
      </c>
      <c r="F271" s="44" t="s">
        <v>1928</v>
      </c>
      <c r="G271" s="44" t="s">
        <v>3374</v>
      </c>
      <c r="H271" s="44" t="s">
        <v>116</v>
      </c>
      <c r="I271" s="44" t="s">
        <v>1931</v>
      </c>
      <c r="J271" s="328">
        <v>100</v>
      </c>
      <c r="K271" s="44">
        <v>0</v>
      </c>
      <c r="L271" s="44">
        <v>0</v>
      </c>
      <c r="M271" s="44">
        <v>0</v>
      </c>
      <c r="N271" s="44">
        <v>68.349999999999994</v>
      </c>
      <c r="O271" s="44">
        <v>290.54000000000002</v>
      </c>
      <c r="P271" s="44">
        <v>306.64</v>
      </c>
      <c r="Q271" s="44">
        <v>313.52</v>
      </c>
      <c r="R271" s="44">
        <v>338.99</v>
      </c>
      <c r="S271" s="328">
        <v>348.97</v>
      </c>
      <c r="T271" s="328">
        <v>341.99</v>
      </c>
      <c r="U271" s="328">
        <v>328.97</v>
      </c>
      <c r="V271" s="328">
        <v>337.46</v>
      </c>
      <c r="W271" s="328">
        <v>369.31</v>
      </c>
      <c r="X271" s="328">
        <v>339.16</v>
      </c>
      <c r="Y271" s="328">
        <v>314.89999999999998</v>
      </c>
      <c r="Z271" s="328">
        <v>292.01</v>
      </c>
      <c r="AA271" s="328">
        <v>270.2</v>
      </c>
      <c r="AB271" s="328">
        <v>250.06</v>
      </c>
      <c r="AC271" s="328">
        <v>231.45</v>
      </c>
      <c r="AD271" s="328">
        <v>214.26</v>
      </c>
      <c r="AE271" s="328">
        <v>198.36</v>
      </c>
      <c r="AF271" s="328">
        <v>183.64</v>
      </c>
      <c r="AG271" s="328">
        <v>170.04</v>
      </c>
      <c r="AH271" s="328">
        <v>157.49</v>
      </c>
      <c r="AI271" s="328">
        <v>145.87</v>
      </c>
      <c r="AJ271" s="328">
        <v>135.12</v>
      </c>
      <c r="AK271" s="328">
        <v>125.17</v>
      </c>
      <c r="AL271" s="328">
        <v>115.98</v>
      </c>
      <c r="AM271" s="173"/>
      <c r="AN271" s="173"/>
      <c r="AO271" s="5"/>
      <c r="AS271" s="354"/>
      <c r="AT271" s="354"/>
    </row>
    <row r="272" spans="1:46">
      <c r="A272" s="5"/>
      <c r="B272" s="44" t="s">
        <v>3210</v>
      </c>
      <c r="C272" s="44" t="s">
        <v>1703</v>
      </c>
      <c r="D272" s="44" t="s">
        <v>1751</v>
      </c>
      <c r="E272" s="44" t="s">
        <v>1927</v>
      </c>
      <c r="F272" s="44" t="s">
        <v>2960</v>
      </c>
      <c r="G272" s="44" t="s">
        <v>3374</v>
      </c>
      <c r="H272" s="44" t="s">
        <v>2966</v>
      </c>
      <c r="I272" s="44" t="s">
        <v>2600</v>
      </c>
      <c r="J272" s="328">
        <v>20</v>
      </c>
      <c r="K272" s="44">
        <v>0</v>
      </c>
      <c r="L272" s="44">
        <v>0</v>
      </c>
      <c r="M272" s="44">
        <v>2.72</v>
      </c>
      <c r="N272" s="44">
        <v>14.27</v>
      </c>
      <c r="O272" s="44">
        <v>18.649999999999999</v>
      </c>
      <c r="P272" s="44">
        <v>17.48</v>
      </c>
      <c r="Q272" s="44">
        <v>22.07</v>
      </c>
      <c r="R272" s="44">
        <v>20.69</v>
      </c>
      <c r="S272" s="328">
        <v>29.56</v>
      </c>
      <c r="T272" s="328">
        <v>41.56</v>
      </c>
      <c r="U272" s="328">
        <v>48.88</v>
      </c>
      <c r="V272" s="328">
        <v>41.43</v>
      </c>
      <c r="W272" s="328">
        <v>41.83</v>
      </c>
      <c r="X272" s="328">
        <v>37.83</v>
      </c>
      <c r="Y272" s="328">
        <v>32.020000000000003</v>
      </c>
      <c r="Z272" s="328">
        <v>28.93</v>
      </c>
      <c r="AA272" s="328">
        <v>27.2</v>
      </c>
      <c r="AB272" s="328">
        <v>25.68</v>
      </c>
      <c r="AC272" s="328">
        <v>24.14</v>
      </c>
      <c r="AD272" s="328">
        <v>23.32</v>
      </c>
      <c r="AE272" s="328">
        <v>22.45</v>
      </c>
      <c r="AF272" s="328">
        <v>106.89</v>
      </c>
      <c r="AG272" s="328">
        <v>141.54</v>
      </c>
      <c r="AH272" s="328">
        <v>140.01</v>
      </c>
      <c r="AI272" s="328">
        <v>139.27000000000001</v>
      </c>
      <c r="AJ272" s="328">
        <v>138.62</v>
      </c>
      <c r="AK272" s="328">
        <v>137.61000000000001</v>
      </c>
      <c r="AL272" s="328">
        <v>136.41999999999999</v>
      </c>
      <c r="AM272" s="173"/>
      <c r="AN272" s="173"/>
      <c r="AO272" s="5"/>
      <c r="AS272" s="354"/>
      <c r="AT272" s="354"/>
    </row>
    <row r="273" spans="1:46">
      <c r="A273" s="5"/>
      <c r="B273" s="44" t="s">
        <v>3210</v>
      </c>
      <c r="C273" s="44" t="s">
        <v>1703</v>
      </c>
      <c r="D273" s="44" t="s">
        <v>1752</v>
      </c>
      <c r="E273" s="44" t="s">
        <v>1927</v>
      </c>
      <c r="F273" s="44" t="s">
        <v>1928</v>
      </c>
      <c r="G273" s="44" t="s">
        <v>3374</v>
      </c>
      <c r="H273" s="44" t="s">
        <v>116</v>
      </c>
      <c r="I273" s="44" t="s">
        <v>1933</v>
      </c>
      <c r="J273" s="328">
        <v>100</v>
      </c>
      <c r="K273" s="44">
        <v>118.07</v>
      </c>
      <c r="L273" s="44">
        <v>93.51</v>
      </c>
      <c r="M273" s="44">
        <v>85.35</v>
      </c>
      <c r="N273" s="44">
        <v>54.84</v>
      </c>
      <c r="O273" s="44">
        <v>54.74</v>
      </c>
      <c r="P273" s="44">
        <v>75.69</v>
      </c>
      <c r="Q273" s="44">
        <v>71.739999999999995</v>
      </c>
      <c r="R273" s="44">
        <v>39.04</v>
      </c>
      <c r="S273" s="328">
        <v>43.23</v>
      </c>
      <c r="T273" s="328">
        <v>46.93</v>
      </c>
      <c r="U273" s="328">
        <v>47.37</v>
      </c>
      <c r="V273" s="328">
        <v>45.85</v>
      </c>
      <c r="W273" s="328">
        <v>42.62</v>
      </c>
      <c r="X273" s="328">
        <v>39.57</v>
      </c>
      <c r="Y273" s="328">
        <v>37.06</v>
      </c>
      <c r="Z273" s="328">
        <v>34.82</v>
      </c>
      <c r="AA273" s="328">
        <v>31.89</v>
      </c>
      <c r="AB273" s="328">
        <v>29.19</v>
      </c>
      <c r="AC273" s="328">
        <v>26.75</v>
      </c>
      <c r="AD273" s="328">
        <v>24.56</v>
      </c>
      <c r="AE273" s="328">
        <v>22.56</v>
      </c>
      <c r="AF273" s="328">
        <v>20.73</v>
      </c>
      <c r="AG273" s="328">
        <v>19.09</v>
      </c>
      <c r="AH273" s="328">
        <v>17.559999999999999</v>
      </c>
      <c r="AI273" s="328">
        <v>16.190000000000001</v>
      </c>
      <c r="AJ273" s="328">
        <v>14.9</v>
      </c>
      <c r="AK273" s="328">
        <v>13.76</v>
      </c>
      <c r="AL273" s="328">
        <v>12.72</v>
      </c>
      <c r="AM273" s="173"/>
      <c r="AN273" s="173"/>
      <c r="AO273" s="5"/>
      <c r="AS273" s="354"/>
      <c r="AT273" s="354"/>
    </row>
    <row r="274" spans="1:46">
      <c r="A274" s="5"/>
      <c r="B274" s="44" t="s">
        <v>3210</v>
      </c>
      <c r="C274" s="44" t="s">
        <v>1703</v>
      </c>
      <c r="D274" s="44" t="s">
        <v>1753</v>
      </c>
      <c r="E274" s="44" t="s">
        <v>1927</v>
      </c>
      <c r="F274" s="44" t="s">
        <v>1928</v>
      </c>
      <c r="G274" s="44" t="s">
        <v>3374</v>
      </c>
      <c r="H274" s="44" t="s">
        <v>116</v>
      </c>
      <c r="I274" s="44" t="s">
        <v>1933</v>
      </c>
      <c r="J274" s="328">
        <v>100</v>
      </c>
      <c r="K274" s="44">
        <v>0</v>
      </c>
      <c r="L274" s="44">
        <v>0</v>
      </c>
      <c r="M274" s="44">
        <v>0</v>
      </c>
      <c r="N274" s="44">
        <v>0</v>
      </c>
      <c r="O274" s="44">
        <v>18.71</v>
      </c>
      <c r="P274" s="44">
        <v>31.93</v>
      </c>
      <c r="Q274" s="44">
        <v>37.729999999999997</v>
      </c>
      <c r="R274" s="44">
        <v>45.07</v>
      </c>
      <c r="S274" s="328">
        <v>48.76</v>
      </c>
      <c r="T274" s="328">
        <v>51.3</v>
      </c>
      <c r="U274" s="328">
        <v>53.81</v>
      </c>
      <c r="V274" s="328">
        <v>60.39</v>
      </c>
      <c r="W274" s="328">
        <v>64.06</v>
      </c>
      <c r="X274" s="328">
        <v>57.72</v>
      </c>
      <c r="Y274" s="328">
        <v>58.38</v>
      </c>
      <c r="Z274" s="328">
        <v>57.06</v>
      </c>
      <c r="AA274" s="328">
        <v>58.24</v>
      </c>
      <c r="AB274" s="328">
        <v>59.43</v>
      </c>
      <c r="AC274" s="328">
        <v>52.87</v>
      </c>
      <c r="AD274" s="328">
        <v>47.04</v>
      </c>
      <c r="AE274" s="328">
        <v>41.84</v>
      </c>
      <c r="AF274" s="328">
        <v>37.229999999999997</v>
      </c>
      <c r="AG274" s="328">
        <v>33.119999999999997</v>
      </c>
      <c r="AH274" s="328">
        <v>29.46</v>
      </c>
      <c r="AI274" s="328">
        <v>26.21</v>
      </c>
      <c r="AJ274" s="328">
        <v>23.32</v>
      </c>
      <c r="AK274" s="328">
        <v>20.74</v>
      </c>
      <c r="AL274" s="328">
        <v>18.45</v>
      </c>
      <c r="AM274" s="173"/>
      <c r="AN274" s="173"/>
      <c r="AO274" s="5"/>
      <c r="AS274" s="354"/>
      <c r="AT274" s="354"/>
    </row>
    <row r="275" spans="1:46">
      <c r="A275" s="5"/>
      <c r="B275" s="44" t="s">
        <v>3210</v>
      </c>
      <c r="C275" s="44" t="s">
        <v>1703</v>
      </c>
      <c r="D275" s="44" t="s">
        <v>673</v>
      </c>
      <c r="E275" s="44" t="s">
        <v>1927</v>
      </c>
      <c r="F275" s="44" t="s">
        <v>1928</v>
      </c>
      <c r="G275" s="44" t="s">
        <v>3374</v>
      </c>
      <c r="H275" s="44" t="s">
        <v>116</v>
      </c>
      <c r="I275" s="44" t="s">
        <v>1933</v>
      </c>
      <c r="J275" s="328">
        <v>100</v>
      </c>
      <c r="K275" s="44">
        <v>0</v>
      </c>
      <c r="L275" s="44">
        <v>0</v>
      </c>
      <c r="M275" s="44">
        <v>0</v>
      </c>
      <c r="N275" s="44">
        <v>0</v>
      </c>
      <c r="O275" s="44">
        <v>0</v>
      </c>
      <c r="P275" s="44">
        <v>0</v>
      </c>
      <c r="Q275" s="44">
        <v>0</v>
      </c>
      <c r="R275" s="44">
        <v>0</v>
      </c>
      <c r="S275" s="328">
        <v>0</v>
      </c>
      <c r="T275" s="328">
        <v>0</v>
      </c>
      <c r="U275" s="328">
        <v>229.33699999999999</v>
      </c>
      <c r="V275" s="328">
        <v>534.45000000000005</v>
      </c>
      <c r="W275" s="328">
        <v>563</v>
      </c>
      <c r="X275" s="328">
        <v>573</v>
      </c>
      <c r="Y275" s="328">
        <v>552.16999999999996</v>
      </c>
      <c r="Z275" s="328">
        <v>520.08000000000004</v>
      </c>
      <c r="AA275" s="328">
        <v>525.20000000000005</v>
      </c>
      <c r="AB275" s="328">
        <v>525</v>
      </c>
      <c r="AC275" s="328">
        <v>495.18</v>
      </c>
      <c r="AD275" s="328">
        <v>467.09</v>
      </c>
      <c r="AE275" s="328">
        <v>440.63</v>
      </c>
      <c r="AF275" s="328">
        <v>415.7</v>
      </c>
      <c r="AG275" s="328">
        <v>388.68</v>
      </c>
      <c r="AH275" s="328">
        <v>363.46</v>
      </c>
      <c r="AI275" s="328">
        <v>339.94</v>
      </c>
      <c r="AJ275" s="328">
        <v>318</v>
      </c>
      <c r="AK275" s="328">
        <v>297.52999999999997</v>
      </c>
      <c r="AL275" s="328">
        <v>275.95</v>
      </c>
      <c r="AM275" s="173"/>
      <c r="AN275" s="173"/>
      <c r="AO275" s="5"/>
      <c r="AS275" s="354"/>
      <c r="AT275" s="354"/>
    </row>
    <row r="276" spans="1:46">
      <c r="A276" s="5"/>
      <c r="B276" s="44" t="s">
        <v>3210</v>
      </c>
      <c r="C276" s="44" t="s">
        <v>1703</v>
      </c>
      <c r="D276" s="44" t="s">
        <v>3466</v>
      </c>
      <c r="E276" s="44" t="s">
        <v>1927</v>
      </c>
      <c r="F276" s="44" t="s">
        <v>1928</v>
      </c>
      <c r="G276" s="44" t="s">
        <v>1932</v>
      </c>
      <c r="H276" s="44" t="s">
        <v>116</v>
      </c>
      <c r="I276" s="44" t="s">
        <v>1931</v>
      </c>
      <c r="J276" s="328">
        <v>19.600000000000001</v>
      </c>
      <c r="K276" s="44">
        <v>0</v>
      </c>
      <c r="L276" s="44">
        <v>0</v>
      </c>
      <c r="M276" s="44">
        <v>0</v>
      </c>
      <c r="N276" s="44">
        <v>0</v>
      </c>
      <c r="O276" s="44">
        <v>0</v>
      </c>
      <c r="P276" s="44">
        <v>0</v>
      </c>
      <c r="Q276" s="44">
        <v>0</v>
      </c>
      <c r="R276" s="44">
        <v>0</v>
      </c>
      <c r="S276" s="328">
        <v>0</v>
      </c>
      <c r="T276" s="328">
        <v>0</v>
      </c>
      <c r="U276" s="328">
        <v>15.86</v>
      </c>
      <c r="V276" s="328">
        <v>0</v>
      </c>
      <c r="W276" s="328">
        <v>0</v>
      </c>
      <c r="X276" s="328">
        <v>0</v>
      </c>
      <c r="Y276" s="328">
        <v>0</v>
      </c>
      <c r="Z276" s="328">
        <v>0</v>
      </c>
      <c r="AA276" s="328">
        <v>0</v>
      </c>
      <c r="AB276" s="328">
        <v>0</v>
      </c>
      <c r="AC276" s="328">
        <v>0</v>
      </c>
      <c r="AD276" s="328">
        <v>0</v>
      </c>
      <c r="AE276" s="328">
        <v>0</v>
      </c>
      <c r="AF276" s="328">
        <v>0</v>
      </c>
      <c r="AG276" s="328">
        <v>0</v>
      </c>
      <c r="AH276" s="328">
        <v>0</v>
      </c>
      <c r="AI276" s="328">
        <v>0</v>
      </c>
      <c r="AJ276" s="328">
        <v>0</v>
      </c>
      <c r="AK276" s="328">
        <v>0</v>
      </c>
      <c r="AL276" s="328">
        <v>0</v>
      </c>
      <c r="AM276" s="173"/>
      <c r="AN276" s="173"/>
      <c r="AO276" s="5"/>
      <c r="AS276" s="354"/>
      <c r="AT276" s="354"/>
    </row>
    <row r="277" spans="1:46">
      <c r="A277" s="5"/>
      <c r="B277" s="44" t="s">
        <v>3210</v>
      </c>
      <c r="C277" s="44" t="s">
        <v>1703</v>
      </c>
      <c r="D277" s="44" t="s">
        <v>3467</v>
      </c>
      <c r="E277" s="44" t="s">
        <v>1927</v>
      </c>
      <c r="F277" s="44" t="s">
        <v>1928</v>
      </c>
      <c r="G277" s="44" t="s">
        <v>1929</v>
      </c>
      <c r="H277" s="44" t="s">
        <v>116</v>
      </c>
      <c r="I277" s="44" t="s">
        <v>1931</v>
      </c>
      <c r="J277" s="328">
        <v>100</v>
      </c>
      <c r="K277" s="44">
        <v>0</v>
      </c>
      <c r="L277" s="44">
        <v>0</v>
      </c>
      <c r="M277" s="44">
        <v>0</v>
      </c>
      <c r="N277" s="44">
        <v>0</v>
      </c>
      <c r="O277" s="44">
        <v>0</v>
      </c>
      <c r="P277" s="44">
        <v>0</v>
      </c>
      <c r="Q277" s="44">
        <v>0</v>
      </c>
      <c r="R277" s="44">
        <v>0</v>
      </c>
      <c r="S277" s="328">
        <v>0</v>
      </c>
      <c r="T277" s="328">
        <v>0</v>
      </c>
      <c r="U277" s="328">
        <v>256.27</v>
      </c>
      <c r="V277" s="328">
        <v>1054.53</v>
      </c>
      <c r="W277" s="328">
        <v>1118.3800000000001</v>
      </c>
      <c r="X277" s="328">
        <v>1210</v>
      </c>
      <c r="Y277" s="328">
        <v>1260</v>
      </c>
      <c r="Z277" s="328">
        <v>1310</v>
      </c>
      <c r="AA277" s="328">
        <v>1310</v>
      </c>
      <c r="AB277" s="328">
        <v>1310</v>
      </c>
      <c r="AC277" s="328">
        <v>1310</v>
      </c>
      <c r="AD277" s="328">
        <v>1310</v>
      </c>
      <c r="AE277" s="328">
        <v>1310</v>
      </c>
      <c r="AF277" s="328">
        <v>1310</v>
      </c>
      <c r="AG277" s="328">
        <v>1310</v>
      </c>
      <c r="AH277" s="328">
        <v>1207.27</v>
      </c>
      <c r="AI277" s="328">
        <v>1113.01</v>
      </c>
      <c r="AJ277" s="328">
        <v>1026.49</v>
      </c>
      <c r="AK277" s="328">
        <v>947.03</v>
      </c>
      <c r="AL277" s="328">
        <v>874.02</v>
      </c>
      <c r="AM277" s="173"/>
      <c r="AN277" s="173"/>
      <c r="AO277" s="5"/>
      <c r="AS277" s="354"/>
      <c r="AT277" s="354"/>
    </row>
    <row r="278" spans="1:46">
      <c r="A278" s="5"/>
      <c r="B278" s="44" t="s">
        <v>3210</v>
      </c>
      <c r="C278" s="44" t="s">
        <v>1703</v>
      </c>
      <c r="D278" s="44" t="s">
        <v>3378</v>
      </c>
      <c r="E278" s="44" t="s">
        <v>1927</v>
      </c>
      <c r="F278" s="44" t="s">
        <v>1928</v>
      </c>
      <c r="G278" s="44" t="s">
        <v>1932</v>
      </c>
      <c r="H278" s="44" t="s">
        <v>116</v>
      </c>
      <c r="I278" s="44" t="s">
        <v>1931</v>
      </c>
      <c r="J278" s="328">
        <v>100</v>
      </c>
      <c r="K278" s="44">
        <v>10.74</v>
      </c>
      <c r="L278" s="44">
        <v>9.68</v>
      </c>
      <c r="M278" s="44">
        <v>9.68</v>
      </c>
      <c r="N278" s="44">
        <v>9.68</v>
      </c>
      <c r="O278" s="44">
        <v>8.7100000000000009</v>
      </c>
      <c r="P278" s="44">
        <v>7.74</v>
      </c>
      <c r="Q278" s="44">
        <v>6.77</v>
      </c>
      <c r="R278" s="44">
        <v>5.63</v>
      </c>
      <c r="S278" s="328">
        <v>6.1</v>
      </c>
      <c r="T278" s="328">
        <v>7.35</v>
      </c>
      <c r="U278" s="328">
        <v>7.25</v>
      </c>
      <c r="V278" s="328">
        <v>6.85</v>
      </c>
      <c r="W278" s="328">
        <v>6.56</v>
      </c>
      <c r="X278" s="328">
        <v>6.29</v>
      </c>
      <c r="Y278" s="328">
        <v>6.03</v>
      </c>
      <c r="Z278" s="328">
        <v>5.78</v>
      </c>
      <c r="AA278" s="328">
        <v>5.54</v>
      </c>
      <c r="AB278" s="328">
        <v>5.32</v>
      </c>
      <c r="AC278" s="328">
        <v>5.0999999999999996</v>
      </c>
      <c r="AD278" s="328">
        <v>4.8899999999999997</v>
      </c>
      <c r="AE278" s="328">
        <v>4.68</v>
      </c>
      <c r="AF278" s="328">
        <v>4.49</v>
      </c>
      <c r="AG278" s="328">
        <v>4.3099999999999996</v>
      </c>
      <c r="AH278" s="328">
        <v>4.13</v>
      </c>
      <c r="AI278" s="328">
        <v>3.96</v>
      </c>
      <c r="AJ278" s="328">
        <v>3.79</v>
      </c>
      <c r="AK278" s="328">
        <v>3.64</v>
      </c>
      <c r="AL278" s="328">
        <v>3.49</v>
      </c>
      <c r="AM278" s="173"/>
      <c r="AN278" s="173"/>
      <c r="AO278" s="5"/>
      <c r="AS278" s="354"/>
      <c r="AT278" s="354"/>
    </row>
    <row r="279" spans="1:46">
      <c r="A279" s="5"/>
      <c r="B279" s="44" t="s">
        <v>3210</v>
      </c>
      <c r="C279" s="44" t="s">
        <v>1703</v>
      </c>
      <c r="D279" s="44" t="s">
        <v>3379</v>
      </c>
      <c r="E279" s="44" t="s">
        <v>1927</v>
      </c>
      <c r="F279" s="44" t="s">
        <v>1928</v>
      </c>
      <c r="G279" s="44" t="s">
        <v>3374</v>
      </c>
      <c r="H279" s="44" t="s">
        <v>116</v>
      </c>
      <c r="I279" s="44" t="s">
        <v>1931</v>
      </c>
      <c r="J279" s="328">
        <v>50</v>
      </c>
      <c r="K279" s="44">
        <v>0</v>
      </c>
      <c r="L279" s="44">
        <v>0</v>
      </c>
      <c r="M279" s="44">
        <v>0</v>
      </c>
      <c r="N279" s="44">
        <v>0</v>
      </c>
      <c r="O279" s="44">
        <v>7.47</v>
      </c>
      <c r="P279" s="44">
        <v>89.18</v>
      </c>
      <c r="Q279" s="44">
        <v>88.21</v>
      </c>
      <c r="R279" s="44">
        <v>84.67</v>
      </c>
      <c r="S279" s="328">
        <v>82.39</v>
      </c>
      <c r="T279" s="328">
        <v>80.89</v>
      </c>
      <c r="U279" s="328">
        <v>82.96</v>
      </c>
      <c r="V279" s="328">
        <v>85.44</v>
      </c>
      <c r="W279" s="328">
        <v>88.7</v>
      </c>
      <c r="X279" s="328">
        <v>86.92</v>
      </c>
      <c r="Y279" s="328">
        <v>83.92</v>
      </c>
      <c r="Z279" s="328">
        <v>77.599999999999994</v>
      </c>
      <c r="AA279" s="328">
        <v>71.19</v>
      </c>
      <c r="AB279" s="328">
        <v>65.319999999999993</v>
      </c>
      <c r="AC279" s="328">
        <v>59.93</v>
      </c>
      <c r="AD279" s="328">
        <v>54.99</v>
      </c>
      <c r="AE279" s="328">
        <v>50.46</v>
      </c>
      <c r="AF279" s="328">
        <v>46.31</v>
      </c>
      <c r="AG279" s="328">
        <v>42.5</v>
      </c>
      <c r="AH279" s="328">
        <v>39.01</v>
      </c>
      <c r="AI279" s="328">
        <v>35.82</v>
      </c>
      <c r="AJ279" s="328">
        <v>32.880000000000003</v>
      </c>
      <c r="AK279" s="328">
        <v>30.18</v>
      </c>
      <c r="AL279" s="328">
        <v>27.71</v>
      </c>
      <c r="AM279" s="173"/>
      <c r="AN279" s="173"/>
      <c r="AO279" s="5"/>
      <c r="AS279" s="354"/>
      <c r="AT279" s="354"/>
    </row>
    <row r="280" spans="1:46">
      <c r="A280" s="5"/>
      <c r="B280" s="44" t="s">
        <v>3210</v>
      </c>
      <c r="C280" s="44" t="s">
        <v>1703</v>
      </c>
      <c r="D280" s="44" t="s">
        <v>2049</v>
      </c>
      <c r="E280" s="44" t="s">
        <v>1927</v>
      </c>
      <c r="F280" s="44" t="s">
        <v>1928</v>
      </c>
      <c r="G280" s="44" t="s">
        <v>1929</v>
      </c>
      <c r="H280" s="44" t="s">
        <v>116</v>
      </c>
      <c r="I280" s="44" t="s">
        <v>1931</v>
      </c>
      <c r="J280" s="328">
        <v>100</v>
      </c>
      <c r="K280" s="44">
        <v>0</v>
      </c>
      <c r="L280" s="44">
        <v>0</v>
      </c>
      <c r="M280" s="44">
        <v>0</v>
      </c>
      <c r="N280" s="44">
        <v>0</v>
      </c>
      <c r="O280" s="44">
        <v>0</v>
      </c>
      <c r="P280" s="44">
        <v>0</v>
      </c>
      <c r="Q280" s="44">
        <v>0</v>
      </c>
      <c r="R280" s="44">
        <v>0</v>
      </c>
      <c r="S280" s="328">
        <v>0</v>
      </c>
      <c r="T280" s="328">
        <v>0</v>
      </c>
      <c r="U280" s="328">
        <v>147.09299999999999</v>
      </c>
      <c r="V280" s="328">
        <v>378.26299999999998</v>
      </c>
      <c r="W280" s="328">
        <v>410.44</v>
      </c>
      <c r="X280" s="328">
        <v>600.30999999999995</v>
      </c>
      <c r="Y280" s="328">
        <v>685.82</v>
      </c>
      <c r="Z280" s="328">
        <v>1477.16</v>
      </c>
      <c r="AA280" s="328">
        <v>1975.24</v>
      </c>
      <c r="AB280" s="328">
        <v>1974.22</v>
      </c>
      <c r="AC280" s="328">
        <v>1963.47</v>
      </c>
      <c r="AD280" s="328">
        <v>1952.84</v>
      </c>
      <c r="AE280" s="328">
        <v>1942.33</v>
      </c>
      <c r="AF280" s="328">
        <v>1920.34</v>
      </c>
      <c r="AG280" s="328">
        <v>1898.64</v>
      </c>
      <c r="AH280" s="328">
        <v>1877.22</v>
      </c>
      <c r="AI280" s="328">
        <v>1856.09</v>
      </c>
      <c r="AJ280" s="328">
        <v>1835.24</v>
      </c>
      <c r="AK280" s="328">
        <v>1814.63</v>
      </c>
      <c r="AL280" s="328">
        <v>1794.3</v>
      </c>
      <c r="AM280" s="173"/>
      <c r="AN280" s="173"/>
      <c r="AO280" s="5"/>
      <c r="AS280" s="354"/>
      <c r="AT280" s="354"/>
    </row>
    <row r="281" spans="1:46">
      <c r="A281" s="5"/>
      <c r="B281" s="44" t="s">
        <v>3210</v>
      </c>
      <c r="C281" s="44" t="s">
        <v>1703</v>
      </c>
      <c r="D281" s="44" t="s">
        <v>3675</v>
      </c>
      <c r="E281" s="44" t="s">
        <v>1927</v>
      </c>
      <c r="F281" s="44" t="s">
        <v>1928</v>
      </c>
      <c r="G281" s="44" t="s">
        <v>3374</v>
      </c>
      <c r="H281" s="44" t="s">
        <v>116</v>
      </c>
      <c r="I281" s="44" t="s">
        <v>1931</v>
      </c>
      <c r="J281" s="328">
        <v>100</v>
      </c>
      <c r="K281" s="44">
        <v>0</v>
      </c>
      <c r="L281" s="44">
        <v>0</v>
      </c>
      <c r="M281" s="44">
        <v>0</v>
      </c>
      <c r="N281" s="44">
        <v>0</v>
      </c>
      <c r="O281" s="44">
        <v>0</v>
      </c>
      <c r="P281" s="44">
        <v>0</v>
      </c>
      <c r="Q281" s="44">
        <v>0</v>
      </c>
      <c r="R281" s="44">
        <v>0</v>
      </c>
      <c r="S281" s="328">
        <v>0</v>
      </c>
      <c r="T281" s="328">
        <v>0</v>
      </c>
      <c r="U281" s="328">
        <v>0</v>
      </c>
      <c r="V281" s="328">
        <v>0</v>
      </c>
      <c r="W281" s="328">
        <v>0</v>
      </c>
      <c r="X281" s="328">
        <v>0</v>
      </c>
      <c r="Y281" s="328">
        <v>0</v>
      </c>
      <c r="Z281" s="328">
        <v>10.59</v>
      </c>
      <c r="AA281" s="328">
        <v>82</v>
      </c>
      <c r="AB281" s="328">
        <v>203.41</v>
      </c>
      <c r="AC281" s="328">
        <v>277.51</v>
      </c>
      <c r="AD281" s="328">
        <v>295.31</v>
      </c>
      <c r="AE281" s="328">
        <v>318.5</v>
      </c>
      <c r="AF281" s="328">
        <v>341.54</v>
      </c>
      <c r="AG281" s="328">
        <v>379.92</v>
      </c>
      <c r="AH281" s="328">
        <v>383.16</v>
      </c>
      <c r="AI281" s="328">
        <v>362.76</v>
      </c>
      <c r="AJ281" s="328">
        <v>344.32</v>
      </c>
      <c r="AK281" s="328">
        <v>327.02999999999997</v>
      </c>
      <c r="AL281" s="328">
        <v>311.08999999999997</v>
      </c>
      <c r="AM281" s="173"/>
      <c r="AN281" s="173"/>
      <c r="AO281" s="5"/>
      <c r="AS281" s="354"/>
      <c r="AT281" s="354"/>
    </row>
    <row r="282" spans="1:46">
      <c r="A282" s="5"/>
      <c r="B282" s="44" t="s">
        <v>3210</v>
      </c>
      <c r="C282" s="44" t="s">
        <v>1703</v>
      </c>
      <c r="D282" s="44" t="s">
        <v>3469</v>
      </c>
      <c r="E282" s="44" t="s">
        <v>1927</v>
      </c>
      <c r="F282" s="44" t="s">
        <v>1928</v>
      </c>
      <c r="G282" s="44" t="s">
        <v>3374</v>
      </c>
      <c r="H282" s="44" t="s">
        <v>116</v>
      </c>
      <c r="I282" s="44" t="s">
        <v>1931</v>
      </c>
      <c r="J282" s="328">
        <v>50.1</v>
      </c>
      <c r="K282" s="44">
        <v>0</v>
      </c>
      <c r="L282" s="44">
        <v>0</v>
      </c>
      <c r="M282" s="44">
        <v>0</v>
      </c>
      <c r="N282" s="44">
        <v>0</v>
      </c>
      <c r="O282" s="44">
        <v>0</v>
      </c>
      <c r="P282" s="44">
        <v>0</v>
      </c>
      <c r="Q282" s="44">
        <v>0</v>
      </c>
      <c r="R282" s="44">
        <v>0</v>
      </c>
      <c r="S282" s="328">
        <v>0</v>
      </c>
      <c r="T282" s="328">
        <v>0</v>
      </c>
      <c r="U282" s="328">
        <v>0</v>
      </c>
      <c r="V282" s="328">
        <v>269.05</v>
      </c>
      <c r="W282" s="328">
        <v>546.03</v>
      </c>
      <c r="X282" s="328">
        <v>436.22</v>
      </c>
      <c r="Y282" s="328">
        <v>269.51</v>
      </c>
      <c r="Z282" s="328">
        <v>268.02</v>
      </c>
      <c r="AA282" s="328">
        <v>266</v>
      </c>
      <c r="AB282" s="328">
        <v>249.31</v>
      </c>
      <c r="AC282" s="328">
        <v>236.15</v>
      </c>
      <c r="AD282" s="328">
        <v>208.1</v>
      </c>
      <c r="AE282" s="328">
        <v>183.64</v>
      </c>
      <c r="AF282" s="328">
        <v>162.30000000000001</v>
      </c>
      <c r="AG282" s="328">
        <v>143.66</v>
      </c>
      <c r="AH282" s="328">
        <v>126.6</v>
      </c>
      <c r="AI282" s="328">
        <v>112.47</v>
      </c>
      <c r="AJ282" s="328">
        <v>100.06</v>
      </c>
      <c r="AK282" s="328">
        <v>89.16</v>
      </c>
      <c r="AL282" s="328">
        <v>79.569999999999993</v>
      </c>
      <c r="AM282" s="173"/>
      <c r="AN282" s="173"/>
      <c r="AO282" s="5"/>
      <c r="AS282" s="354"/>
      <c r="AT282" s="354"/>
    </row>
    <row r="283" spans="1:46">
      <c r="A283" s="5"/>
      <c r="B283" s="44" t="s">
        <v>3210</v>
      </c>
      <c r="C283" s="44" t="s">
        <v>1703</v>
      </c>
      <c r="D283" s="44" t="s">
        <v>1279</v>
      </c>
      <c r="E283" s="44" t="s">
        <v>1927</v>
      </c>
      <c r="F283" s="44" t="s">
        <v>1928</v>
      </c>
      <c r="G283" s="44" t="s">
        <v>1932</v>
      </c>
      <c r="H283" s="44" t="s">
        <v>116</v>
      </c>
      <c r="I283" s="44" t="s">
        <v>1931</v>
      </c>
      <c r="J283" s="328">
        <v>85</v>
      </c>
      <c r="K283" s="44">
        <v>0</v>
      </c>
      <c r="L283" s="44">
        <v>0</v>
      </c>
      <c r="M283" s="44">
        <v>0</v>
      </c>
      <c r="N283" s="44">
        <v>0</v>
      </c>
      <c r="O283" s="44">
        <v>0</v>
      </c>
      <c r="P283" s="44">
        <v>0</v>
      </c>
      <c r="Q283" s="44">
        <v>0</v>
      </c>
      <c r="R283" s="44">
        <v>0</v>
      </c>
      <c r="S283" s="328">
        <v>0</v>
      </c>
      <c r="T283" s="328">
        <v>0</v>
      </c>
      <c r="U283" s="328">
        <v>61.536000000000001</v>
      </c>
      <c r="V283" s="328">
        <v>133.505</v>
      </c>
      <c r="W283" s="328">
        <v>147.82</v>
      </c>
      <c r="X283" s="328">
        <v>152.91999999999999</v>
      </c>
      <c r="Y283" s="328">
        <v>170.83</v>
      </c>
      <c r="Z283" s="328">
        <v>172.41</v>
      </c>
      <c r="AA283" s="328">
        <v>174.4</v>
      </c>
      <c r="AB283" s="328">
        <v>178.42</v>
      </c>
      <c r="AC283" s="328">
        <v>173.47</v>
      </c>
      <c r="AD283" s="328">
        <v>169.14</v>
      </c>
      <c r="AE283" s="328">
        <v>165.1</v>
      </c>
      <c r="AF283" s="328">
        <v>159.1</v>
      </c>
      <c r="AG283" s="328">
        <v>153.41</v>
      </c>
      <c r="AH283" s="328">
        <v>148</v>
      </c>
      <c r="AI283" s="328">
        <v>142.86000000000001</v>
      </c>
      <c r="AJ283" s="328">
        <v>137.97999999999999</v>
      </c>
      <c r="AK283" s="328">
        <v>133.33000000000001</v>
      </c>
      <c r="AL283" s="328">
        <v>128.91</v>
      </c>
      <c r="AM283" s="173"/>
      <c r="AN283" s="173"/>
      <c r="AO283" s="5"/>
      <c r="AS283" s="354"/>
      <c r="AT283" s="354"/>
    </row>
    <row r="284" spans="1:46">
      <c r="A284" s="5"/>
      <c r="B284" s="44" t="s">
        <v>3210</v>
      </c>
      <c r="C284" s="44" t="s">
        <v>1703</v>
      </c>
      <c r="D284" s="44" t="s">
        <v>3380</v>
      </c>
      <c r="E284" s="44" t="s">
        <v>1927</v>
      </c>
      <c r="F284" s="44" t="s">
        <v>1928</v>
      </c>
      <c r="G284" s="44" t="s">
        <v>3374</v>
      </c>
      <c r="H284" s="44" t="s">
        <v>116</v>
      </c>
      <c r="I284" s="44" t="s">
        <v>1931</v>
      </c>
      <c r="J284" s="328">
        <v>19.93</v>
      </c>
      <c r="K284" s="44">
        <v>0</v>
      </c>
      <c r="L284" s="44">
        <v>0</v>
      </c>
      <c r="M284" s="44">
        <v>0</v>
      </c>
      <c r="N284" s="44">
        <v>0</v>
      </c>
      <c r="O284" s="44">
        <v>0</v>
      </c>
      <c r="P284" s="44">
        <v>0</v>
      </c>
      <c r="Q284" s="44">
        <v>0</v>
      </c>
      <c r="R284" s="44">
        <v>0</v>
      </c>
      <c r="S284" s="328">
        <v>0</v>
      </c>
      <c r="T284" s="328">
        <v>1.95</v>
      </c>
      <c r="U284" s="328">
        <v>1.76</v>
      </c>
      <c r="V284" s="328">
        <v>1.81</v>
      </c>
      <c r="W284" s="328">
        <v>1.55</v>
      </c>
      <c r="X284" s="328">
        <v>1.36</v>
      </c>
      <c r="Y284" s="328">
        <v>1.25</v>
      </c>
      <c r="Z284" s="328">
        <v>1.1499999999999999</v>
      </c>
      <c r="AA284" s="328">
        <v>1.06</v>
      </c>
      <c r="AB284" s="328">
        <v>0.97</v>
      </c>
      <c r="AC284" s="328">
        <v>0.93</v>
      </c>
      <c r="AD284" s="328">
        <v>0.9</v>
      </c>
      <c r="AE284" s="328">
        <v>0.86</v>
      </c>
      <c r="AF284" s="328">
        <v>0.83</v>
      </c>
      <c r="AG284" s="328">
        <v>0.8</v>
      </c>
      <c r="AH284" s="328">
        <v>0.76</v>
      </c>
      <c r="AI284" s="328">
        <v>0.73</v>
      </c>
      <c r="AJ284" s="328">
        <v>0.7</v>
      </c>
      <c r="AK284" s="328">
        <v>0.68</v>
      </c>
      <c r="AL284" s="328">
        <v>0.65</v>
      </c>
      <c r="AM284" s="173"/>
      <c r="AN284" s="173"/>
      <c r="AO284" s="5"/>
      <c r="AS284" s="354"/>
      <c r="AT284" s="354"/>
    </row>
    <row r="285" spans="1:46">
      <c r="A285" s="5"/>
      <c r="B285" s="44" t="s">
        <v>3210</v>
      </c>
      <c r="C285" s="44" t="s">
        <v>1703</v>
      </c>
      <c r="D285" s="44" t="s">
        <v>3381</v>
      </c>
      <c r="E285" s="44" t="s">
        <v>1927</v>
      </c>
      <c r="F285" s="44" t="s">
        <v>1928</v>
      </c>
      <c r="G285" s="44" t="s">
        <v>3374</v>
      </c>
      <c r="H285" s="44" t="s">
        <v>116</v>
      </c>
      <c r="I285" s="44" t="s">
        <v>1931</v>
      </c>
      <c r="J285" s="328">
        <v>100</v>
      </c>
      <c r="K285" s="44">
        <v>0</v>
      </c>
      <c r="L285" s="44">
        <v>3.33</v>
      </c>
      <c r="M285" s="44">
        <v>42.8</v>
      </c>
      <c r="N285" s="44">
        <v>51.96</v>
      </c>
      <c r="O285" s="44">
        <v>53.02</v>
      </c>
      <c r="P285" s="44">
        <v>52.89</v>
      </c>
      <c r="Q285" s="44">
        <v>59.12</v>
      </c>
      <c r="R285" s="44">
        <v>60.85</v>
      </c>
      <c r="S285" s="328">
        <v>62.63</v>
      </c>
      <c r="T285" s="328">
        <v>60.5</v>
      </c>
      <c r="U285" s="328">
        <v>49.93</v>
      </c>
      <c r="V285" s="328">
        <v>50.99</v>
      </c>
      <c r="W285" s="328">
        <v>52.57</v>
      </c>
      <c r="X285" s="328">
        <v>51.65</v>
      </c>
      <c r="Y285" s="328">
        <v>48.82</v>
      </c>
      <c r="Z285" s="328">
        <v>39.69</v>
      </c>
      <c r="AA285" s="328">
        <v>39.869999999999997</v>
      </c>
      <c r="AB285" s="328">
        <v>40.47</v>
      </c>
      <c r="AC285" s="328">
        <v>39.75</v>
      </c>
      <c r="AD285" s="328">
        <v>39.21</v>
      </c>
      <c r="AE285" s="328">
        <v>37.26</v>
      </c>
      <c r="AF285" s="328">
        <v>35.42</v>
      </c>
      <c r="AG285" s="328">
        <v>33.659999999999997</v>
      </c>
      <c r="AH285" s="328">
        <v>32.03</v>
      </c>
      <c r="AI285" s="328">
        <v>30.47</v>
      </c>
      <c r="AJ285" s="328">
        <v>28.97</v>
      </c>
      <c r="AK285" s="328">
        <v>27.57</v>
      </c>
      <c r="AL285" s="328">
        <v>26.24</v>
      </c>
      <c r="AM285" s="173"/>
      <c r="AN285" s="173"/>
      <c r="AO285" s="5"/>
      <c r="AS285" s="354"/>
      <c r="AT285" s="354"/>
    </row>
    <row r="286" spans="1:46">
      <c r="A286" s="5"/>
      <c r="B286" s="44" t="s">
        <v>3210</v>
      </c>
      <c r="C286" s="44" t="s">
        <v>1036</v>
      </c>
      <c r="D286" s="44" t="s">
        <v>1373</v>
      </c>
      <c r="E286" s="44" t="s">
        <v>1927</v>
      </c>
      <c r="F286" s="44" t="s">
        <v>1928</v>
      </c>
      <c r="G286" s="44" t="s">
        <v>217</v>
      </c>
      <c r="H286" s="44" t="s">
        <v>116</v>
      </c>
      <c r="I286" s="44" t="s">
        <v>1933</v>
      </c>
      <c r="J286" s="328">
        <v>40</v>
      </c>
      <c r="K286" s="44">
        <v>0</v>
      </c>
      <c r="L286" s="44">
        <v>0</v>
      </c>
      <c r="M286" s="44">
        <v>0</v>
      </c>
      <c r="N286" s="44">
        <v>0</v>
      </c>
      <c r="O286" s="44">
        <v>0</v>
      </c>
      <c r="P286" s="44">
        <v>0</v>
      </c>
      <c r="Q286" s="44">
        <v>0</v>
      </c>
      <c r="R286" s="44">
        <v>0</v>
      </c>
      <c r="S286" s="328">
        <v>0</v>
      </c>
      <c r="T286" s="328">
        <v>0</v>
      </c>
      <c r="U286" s="328">
        <v>11.95</v>
      </c>
      <c r="V286" s="328">
        <v>13.52</v>
      </c>
      <c r="W286" s="328">
        <v>17.66</v>
      </c>
      <c r="X286" s="328">
        <v>25.74</v>
      </c>
      <c r="Y286" s="328">
        <v>32.29</v>
      </c>
      <c r="Z286" s="328">
        <v>32.96</v>
      </c>
      <c r="AA286" s="328">
        <v>33.520000000000003</v>
      </c>
      <c r="AB286" s="328">
        <v>34.369999999999997</v>
      </c>
      <c r="AC286" s="328">
        <v>35.29</v>
      </c>
      <c r="AD286" s="328">
        <v>35.47</v>
      </c>
      <c r="AE286" s="328">
        <v>35.130000000000003</v>
      </c>
      <c r="AF286" s="328">
        <v>34.43</v>
      </c>
      <c r="AG286" s="328">
        <v>33.78</v>
      </c>
      <c r="AH286" s="328">
        <v>33.950000000000003</v>
      </c>
      <c r="AI286" s="328">
        <v>34.14</v>
      </c>
      <c r="AJ286" s="328">
        <v>34.08</v>
      </c>
      <c r="AK286" s="328">
        <v>34.340000000000003</v>
      </c>
      <c r="AL286" s="328">
        <v>34.549999999999997</v>
      </c>
      <c r="AM286" s="173"/>
      <c r="AN286" s="173"/>
      <c r="AO286" s="5"/>
      <c r="AS286" s="354"/>
      <c r="AT286" s="354"/>
    </row>
    <row r="287" spans="1:46">
      <c r="A287" s="5"/>
      <c r="B287" s="44" t="s">
        <v>3210</v>
      </c>
      <c r="C287" s="44" t="s">
        <v>1374</v>
      </c>
      <c r="D287" s="44" t="s">
        <v>1375</v>
      </c>
      <c r="E287" s="44" t="s">
        <v>1927</v>
      </c>
      <c r="F287" s="44" t="s">
        <v>2960</v>
      </c>
      <c r="G287" s="44" t="s">
        <v>1931</v>
      </c>
      <c r="H287" s="44" t="s">
        <v>116</v>
      </c>
      <c r="I287" s="44" t="s">
        <v>2600</v>
      </c>
      <c r="J287" s="328">
        <v>35</v>
      </c>
      <c r="K287" s="44">
        <v>0</v>
      </c>
      <c r="L287" s="44">
        <v>0</v>
      </c>
      <c r="M287" s="44">
        <v>0</v>
      </c>
      <c r="N287" s="44">
        <v>0</v>
      </c>
      <c r="O287" s="44">
        <v>0</v>
      </c>
      <c r="P287" s="44">
        <v>0</v>
      </c>
      <c r="Q287" s="44">
        <v>0</v>
      </c>
      <c r="R287" s="44">
        <v>0</v>
      </c>
      <c r="S287" s="328">
        <v>0</v>
      </c>
      <c r="T287" s="328">
        <v>0</v>
      </c>
      <c r="U287" s="328">
        <v>58.51</v>
      </c>
      <c r="V287" s="328">
        <v>62.11</v>
      </c>
      <c r="W287" s="328">
        <v>62.95</v>
      </c>
      <c r="X287" s="328">
        <v>54.32</v>
      </c>
      <c r="Y287" s="328">
        <v>54.11</v>
      </c>
      <c r="Z287" s="328">
        <v>55.24</v>
      </c>
      <c r="AA287" s="328">
        <v>46.36</v>
      </c>
      <c r="AB287" s="328">
        <v>40.4</v>
      </c>
      <c r="AC287" s="328">
        <v>40.85</v>
      </c>
      <c r="AD287" s="328">
        <v>36.22</v>
      </c>
      <c r="AE287" s="328">
        <v>29.88</v>
      </c>
      <c r="AF287" s="328">
        <v>27.46</v>
      </c>
      <c r="AG287" s="328">
        <v>24.02</v>
      </c>
      <c r="AH287" s="328">
        <v>18.72</v>
      </c>
      <c r="AI287" s="328">
        <v>13.13</v>
      </c>
      <c r="AJ287" s="328">
        <v>9.19</v>
      </c>
      <c r="AK287" s="328">
        <v>0</v>
      </c>
      <c r="AL287" s="328">
        <v>0</v>
      </c>
      <c r="AM287" s="173"/>
      <c r="AN287" s="173"/>
      <c r="AO287" s="5"/>
      <c r="AS287" s="354"/>
      <c r="AT287" s="354"/>
    </row>
    <row r="288" spans="1:46">
      <c r="A288" s="5"/>
      <c r="B288" s="38"/>
      <c r="C288" s="38"/>
      <c r="D288" s="38"/>
      <c r="E288" s="38"/>
      <c r="F288" s="38"/>
      <c r="G288" s="38"/>
      <c r="H288" s="38"/>
      <c r="I288" s="38"/>
      <c r="J288" s="38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60"/>
      <c r="AN288" s="60"/>
      <c r="AO288" s="5"/>
      <c r="AS288" s="354"/>
      <c r="AT288" s="354"/>
    </row>
    <row r="289" spans="1:50" s="406" customFormat="1">
      <c r="A289" s="138"/>
      <c r="B289" s="399"/>
      <c r="C289" s="399"/>
      <c r="D289" s="399"/>
      <c r="E289" s="399"/>
      <c r="F289" s="399"/>
      <c r="G289" s="399"/>
      <c r="H289" s="399"/>
      <c r="I289" s="399"/>
      <c r="J289" s="399"/>
      <c r="K289" s="399"/>
      <c r="L289" s="399"/>
      <c r="M289" s="399"/>
      <c r="N289" s="399"/>
      <c r="O289" s="399"/>
      <c r="P289" s="399"/>
      <c r="Q289" s="399"/>
      <c r="R289" s="399"/>
      <c r="S289" s="399"/>
      <c r="T289" s="399"/>
      <c r="U289" s="399"/>
      <c r="V289" s="399"/>
      <c r="W289" s="399"/>
      <c r="X289" s="399"/>
      <c r="Y289" s="399"/>
      <c r="Z289" s="399"/>
      <c r="AA289" s="399"/>
      <c r="AB289" s="399"/>
      <c r="AC289" s="399"/>
      <c r="AD289" s="399"/>
      <c r="AE289" s="399"/>
      <c r="AF289" s="399"/>
      <c r="AG289" s="399"/>
      <c r="AH289" s="399"/>
      <c r="AI289" s="399"/>
      <c r="AJ289" s="399"/>
      <c r="AK289" s="399"/>
      <c r="AL289" s="399"/>
      <c r="AM289" s="333"/>
      <c r="AN289" s="333"/>
      <c r="AQ289"/>
      <c r="AR289"/>
      <c r="AS289" s="485"/>
    </row>
    <row r="290" spans="1:50">
      <c r="A290" s="5"/>
      <c r="B290" s="38"/>
      <c r="C290" s="38"/>
      <c r="D290" s="38"/>
      <c r="E290" s="38"/>
      <c r="F290" s="38"/>
      <c r="G290" s="38"/>
      <c r="H290" s="38"/>
      <c r="I290" s="38"/>
      <c r="J290" s="38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60"/>
      <c r="AN290" s="60"/>
      <c r="AS290" s="471"/>
      <c r="AT290" s="471"/>
      <c r="AU290" s="354"/>
    </row>
    <row r="291" spans="1:50">
      <c r="A291" s="5"/>
      <c r="B291" s="329" t="s">
        <v>2427</v>
      </c>
      <c r="C291" s="5"/>
      <c r="D291" s="5"/>
      <c r="E291" s="5"/>
      <c r="F291" s="5"/>
      <c r="G291" s="5"/>
      <c r="H291" s="5"/>
      <c r="I291" s="5"/>
      <c r="J291" s="5"/>
      <c r="K291" s="104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173"/>
      <c r="AN291" s="173"/>
      <c r="AS291" s="11"/>
      <c r="AT291" s="471"/>
      <c r="AU291" s="354"/>
    </row>
    <row r="292" spans="1:50">
      <c r="A292" s="5"/>
      <c r="B292" s="34" t="s">
        <v>398</v>
      </c>
      <c r="C292" s="34" t="s">
        <v>399</v>
      </c>
      <c r="D292" s="34" t="s">
        <v>400</v>
      </c>
      <c r="E292" s="34" t="s">
        <v>368</v>
      </c>
      <c r="F292" s="34" t="s">
        <v>369</v>
      </c>
      <c r="G292" s="34" t="s">
        <v>370</v>
      </c>
      <c r="H292" s="34" t="s">
        <v>371</v>
      </c>
      <c r="I292" s="34" t="s">
        <v>372</v>
      </c>
      <c r="J292" s="32" t="s">
        <v>1472</v>
      </c>
      <c r="K292" s="32">
        <v>2003</v>
      </c>
      <c r="L292" s="32">
        <v>2004</v>
      </c>
      <c r="M292" s="32">
        <v>2005</v>
      </c>
      <c r="N292" s="32">
        <v>2006</v>
      </c>
      <c r="O292" s="32">
        <v>2007</v>
      </c>
      <c r="P292" s="32">
        <v>2008</v>
      </c>
      <c r="Q292" s="32">
        <v>2009</v>
      </c>
      <c r="R292" s="32">
        <v>2010</v>
      </c>
      <c r="S292" s="32">
        <v>2011</v>
      </c>
      <c r="T292" s="32">
        <v>2012</v>
      </c>
      <c r="U292" s="32">
        <v>2013</v>
      </c>
      <c r="V292" s="32">
        <v>2014</v>
      </c>
      <c r="W292" s="32">
        <v>2015</v>
      </c>
      <c r="X292" s="32">
        <v>2016</v>
      </c>
      <c r="Y292" s="32">
        <v>2017</v>
      </c>
      <c r="Z292" s="32">
        <v>2018</v>
      </c>
      <c r="AA292" s="32">
        <v>2019</v>
      </c>
      <c r="AB292" s="32">
        <v>2020</v>
      </c>
      <c r="AC292" s="32">
        <v>2021</v>
      </c>
      <c r="AD292" s="32">
        <v>2022</v>
      </c>
      <c r="AE292" s="32">
        <v>2023</v>
      </c>
      <c r="AF292" s="32">
        <v>2024</v>
      </c>
      <c r="AG292" s="32">
        <v>2025</v>
      </c>
      <c r="AH292" s="32">
        <v>2026</v>
      </c>
      <c r="AI292" s="32">
        <v>2027</v>
      </c>
      <c r="AJ292" s="32">
        <v>2028</v>
      </c>
      <c r="AK292" s="32">
        <v>2029</v>
      </c>
      <c r="AL292" s="32">
        <v>2030</v>
      </c>
      <c r="AM292" s="647" t="s">
        <v>307</v>
      </c>
      <c r="AN292" s="647" t="s">
        <v>308</v>
      </c>
      <c r="AS292" s="11"/>
      <c r="AT292" s="471"/>
      <c r="AU292" s="354"/>
    </row>
    <row r="293" spans="1:50">
      <c r="A293" s="5"/>
      <c r="B293" s="411"/>
      <c r="C293" s="399"/>
      <c r="D293" s="413"/>
      <c r="E293" s="399"/>
      <c r="F293" s="399"/>
      <c r="G293" s="399"/>
      <c r="H293" s="399"/>
      <c r="I293" s="399"/>
      <c r="J293" s="399"/>
      <c r="K293" s="399"/>
      <c r="L293" s="399"/>
      <c r="M293" s="399"/>
      <c r="N293" s="399"/>
      <c r="O293" s="399"/>
      <c r="P293" s="399"/>
      <c r="Q293" s="399"/>
      <c r="R293" s="399"/>
      <c r="S293" s="399"/>
      <c r="T293" s="399"/>
      <c r="U293" s="399"/>
      <c r="V293" s="399"/>
      <c r="W293" s="399"/>
      <c r="X293" s="399"/>
      <c r="Y293" s="399"/>
      <c r="Z293" s="399"/>
      <c r="AA293" s="330"/>
      <c r="AB293" s="330"/>
      <c r="AC293" s="330"/>
      <c r="AD293" s="330"/>
      <c r="AE293" s="330"/>
      <c r="AF293" s="330"/>
      <c r="AG293" s="330"/>
      <c r="AH293" s="330"/>
      <c r="AI293" s="330"/>
      <c r="AJ293" s="330"/>
      <c r="AK293" s="330"/>
      <c r="AL293" s="330"/>
      <c r="AM293" s="535"/>
      <c r="AN293" s="535"/>
      <c r="AS293" s="11"/>
      <c r="AT293" s="11"/>
    </row>
    <row r="294" spans="1:50">
      <c r="A294" s="5"/>
      <c r="B294" s="411"/>
      <c r="C294" s="399"/>
      <c r="D294" s="413"/>
      <c r="E294" s="399"/>
      <c r="F294" s="399"/>
      <c r="G294" s="399"/>
      <c r="H294" s="399"/>
      <c r="I294" s="399"/>
      <c r="J294" s="399"/>
      <c r="K294" s="399"/>
      <c r="L294" s="399"/>
      <c r="M294" s="399"/>
      <c r="N294" s="399"/>
      <c r="O294" s="399"/>
      <c r="P294" s="399"/>
      <c r="Q294" s="399"/>
      <c r="R294" s="399"/>
      <c r="S294" s="399"/>
      <c r="T294" s="399"/>
      <c r="U294" s="399"/>
      <c r="V294" s="399"/>
      <c r="W294" s="399"/>
      <c r="X294" s="399"/>
      <c r="Y294" s="399"/>
      <c r="Z294" s="399"/>
      <c r="AA294" s="330"/>
      <c r="AB294" s="330"/>
      <c r="AC294" s="330"/>
      <c r="AD294" s="330"/>
      <c r="AE294" s="330"/>
      <c r="AF294" s="330"/>
      <c r="AG294" s="330"/>
      <c r="AH294" s="330"/>
      <c r="AI294" s="330"/>
      <c r="AJ294" s="330"/>
      <c r="AK294" s="330"/>
      <c r="AL294" s="330"/>
      <c r="AM294" s="535"/>
      <c r="AN294" s="535"/>
      <c r="AS294" s="11"/>
      <c r="AT294" s="11"/>
    </row>
    <row r="295" spans="1:50">
      <c r="A295" s="5"/>
      <c r="B295" s="44" t="s">
        <v>3369</v>
      </c>
      <c r="C295" s="44" t="s">
        <v>1281</v>
      </c>
      <c r="D295" s="44" t="s">
        <v>682</v>
      </c>
      <c r="E295" s="44" t="s">
        <v>2970</v>
      </c>
      <c r="F295" s="44" t="s">
        <v>2960</v>
      </c>
      <c r="G295" s="44" t="s">
        <v>1931</v>
      </c>
      <c r="H295" s="44" t="s">
        <v>116</v>
      </c>
      <c r="I295" s="44" t="s">
        <v>2602</v>
      </c>
      <c r="J295" s="328">
        <v>32</v>
      </c>
      <c r="K295" s="550">
        <v>0</v>
      </c>
      <c r="L295" s="550">
        <v>0</v>
      </c>
      <c r="M295" s="550">
        <v>0</v>
      </c>
      <c r="N295" s="550">
        <v>0</v>
      </c>
      <c r="O295" s="550">
        <v>0</v>
      </c>
      <c r="P295" s="550">
        <v>0</v>
      </c>
      <c r="Q295" s="550">
        <v>0</v>
      </c>
      <c r="R295" s="550">
        <v>0</v>
      </c>
      <c r="S295" s="550">
        <v>0</v>
      </c>
      <c r="T295" s="550">
        <v>0</v>
      </c>
      <c r="U295" s="550">
        <v>0</v>
      </c>
      <c r="V295" s="550">
        <v>0</v>
      </c>
      <c r="W295" s="550">
        <v>0</v>
      </c>
      <c r="X295" s="550">
        <v>0</v>
      </c>
      <c r="Y295" s="330">
        <f t="shared" ref="Y295:AL295" si="20">(INDEX(Y$9:Y$249,MATCH($D295,$D$9:$D$249,0))/(INDEX($J$9:$J$249,MATCH($D295,$D$9:$D$249,0))/100))*($J295/100-INDEX($J$9:$J$249,MATCH($D295,$D$9:$D$249,0))/100)</f>
        <v>0</v>
      </c>
      <c r="Z295" s="330">
        <f t="shared" si="20"/>
        <v>0</v>
      </c>
      <c r="AA295" s="330">
        <f t="shared" si="20"/>
        <v>0</v>
      </c>
      <c r="AB295" s="330">
        <f t="shared" si="20"/>
        <v>0</v>
      </c>
      <c r="AC295" s="330">
        <f t="shared" si="20"/>
        <v>0</v>
      </c>
      <c r="AD295" s="330">
        <f t="shared" si="20"/>
        <v>0</v>
      </c>
      <c r="AE295" s="330">
        <f t="shared" si="20"/>
        <v>0</v>
      </c>
      <c r="AF295" s="330">
        <f t="shared" si="20"/>
        <v>0</v>
      </c>
      <c r="AG295" s="330">
        <f t="shared" si="20"/>
        <v>0</v>
      </c>
      <c r="AH295" s="330">
        <f t="shared" si="20"/>
        <v>0</v>
      </c>
      <c r="AI295" s="330">
        <f t="shared" si="20"/>
        <v>0</v>
      </c>
      <c r="AJ295" s="330">
        <f t="shared" si="20"/>
        <v>0</v>
      </c>
      <c r="AK295" s="330">
        <f t="shared" si="20"/>
        <v>0</v>
      </c>
      <c r="AL295" s="330">
        <f t="shared" si="20"/>
        <v>0</v>
      </c>
      <c r="AM295" s="535" t="str">
        <f>INDEX(AM$9:AM$249,MATCH($D295,$D$9:$D$249,0),0)</f>
        <v>SUBS - UK</v>
      </c>
      <c r="AN295" s="535" t="str">
        <f>INDEX(AN$9:AN$249,MATCH($D295,$D$9:$D$249,0),0)</f>
        <v>SUBS</v>
      </c>
      <c r="AS295" s="486"/>
      <c r="AT295" s="55"/>
      <c r="AU295" s="341"/>
      <c r="AV295" s="406"/>
      <c r="AW295" s="406"/>
      <c r="AX295" s="538"/>
    </row>
    <row r="296" spans="1:50">
      <c r="A296" s="5"/>
      <c r="B296" s="44" t="s">
        <v>3369</v>
      </c>
      <c r="C296" s="44" t="s">
        <v>135</v>
      </c>
      <c r="D296" s="44" t="s">
        <v>690</v>
      </c>
      <c r="E296" s="44" t="s">
        <v>1927</v>
      </c>
      <c r="F296" s="44" t="s">
        <v>2960</v>
      </c>
      <c r="G296" s="44" t="s">
        <v>1929</v>
      </c>
      <c r="H296" s="44" t="s">
        <v>2966</v>
      </c>
      <c r="I296" s="44" t="s">
        <v>2600</v>
      </c>
      <c r="J296" s="328">
        <v>3.06</v>
      </c>
      <c r="K296" s="550"/>
      <c r="L296" s="550"/>
      <c r="M296" s="550"/>
      <c r="N296" s="550"/>
      <c r="O296" s="550"/>
      <c r="P296" s="550"/>
      <c r="Q296" s="550"/>
      <c r="R296" s="550"/>
      <c r="S296" s="550"/>
      <c r="T296" s="550"/>
      <c r="U296" s="550"/>
      <c r="V296" s="550"/>
      <c r="W296" s="550"/>
      <c r="X296" s="550"/>
      <c r="Y296" s="330">
        <f t="shared" ref="Y296:AL296" si="21">IF(INDEX($J$10:$J$244,MATCH($D$296,$D$10:$D$244,0))=37.16,INDEX(Y$10:Y$244,MATCH($D$296,$D$10:$D$244,0))/37.16*3.06,0)</f>
        <v>0</v>
      </c>
      <c r="Z296" s="330">
        <f t="shared" si="21"/>
        <v>0</v>
      </c>
      <c r="AA296" s="330">
        <f t="shared" si="21"/>
        <v>0</v>
      </c>
      <c r="AB296" s="330">
        <f t="shared" si="21"/>
        <v>0</v>
      </c>
      <c r="AC296" s="330">
        <f t="shared" si="21"/>
        <v>0</v>
      </c>
      <c r="AD296" s="330">
        <f t="shared" si="21"/>
        <v>0</v>
      </c>
      <c r="AE296" s="330">
        <f t="shared" si="21"/>
        <v>0</v>
      </c>
      <c r="AF296" s="330">
        <f t="shared" si="21"/>
        <v>0</v>
      </c>
      <c r="AG296" s="330">
        <f t="shared" si="21"/>
        <v>0</v>
      </c>
      <c r="AH296" s="330">
        <f t="shared" si="21"/>
        <v>0</v>
      </c>
      <c r="AI296" s="330">
        <f t="shared" si="21"/>
        <v>0</v>
      </c>
      <c r="AJ296" s="330">
        <f t="shared" si="21"/>
        <v>0</v>
      </c>
      <c r="AK296" s="330">
        <f t="shared" si="21"/>
        <v>0</v>
      </c>
      <c r="AL296" s="330">
        <f t="shared" si="21"/>
        <v>0</v>
      </c>
      <c r="AM296" s="535" t="str">
        <f>INDEX(AM$9:AM$249,MATCH($D296,$D$9:$D$249,0),0)</f>
        <v>SUBS - Eastern Indonesia</v>
      </c>
      <c r="AN296" s="535" t="str">
        <f>INDEX(AN$9:AN$249,MATCH($D296,$D$9:$D$249,0),0)</f>
        <v>SUBS</v>
      </c>
      <c r="AS296" s="486"/>
      <c r="AT296" s="55"/>
      <c r="AU296" s="341"/>
      <c r="AV296" s="406"/>
      <c r="AW296" s="406"/>
      <c r="AX296" s="538"/>
    </row>
    <row r="297" spans="1:50" s="406" customFormat="1">
      <c r="A297" s="138"/>
      <c r="B297" s="55"/>
      <c r="C297" s="55"/>
      <c r="D297" s="55"/>
      <c r="E297" s="55"/>
      <c r="F297" s="55"/>
      <c r="G297" s="55"/>
      <c r="H297" s="55"/>
      <c r="I297" s="55"/>
      <c r="J297" s="55"/>
      <c r="K297" s="689"/>
      <c r="L297" s="689"/>
      <c r="M297" s="689"/>
      <c r="N297" s="689"/>
      <c r="O297" s="689"/>
      <c r="P297" s="689"/>
      <c r="Q297" s="689"/>
      <c r="R297" s="689"/>
      <c r="S297" s="689"/>
      <c r="T297" s="689"/>
      <c r="U297" s="689"/>
      <c r="V297" s="689"/>
      <c r="W297" s="689"/>
      <c r="X297" s="689"/>
      <c r="Y297" s="412"/>
      <c r="Z297" s="412"/>
      <c r="AA297" s="412"/>
      <c r="AB297" s="412"/>
      <c r="AC297" s="412"/>
      <c r="AD297" s="412"/>
      <c r="AE297" s="412"/>
      <c r="AF297" s="412"/>
      <c r="AG297" s="412"/>
      <c r="AH297" s="412"/>
      <c r="AI297" s="412"/>
      <c r="AJ297" s="412"/>
      <c r="AK297" s="412"/>
      <c r="AL297" s="412"/>
      <c r="AM297" s="333"/>
      <c r="AN297" s="333"/>
      <c r="AQ297"/>
      <c r="AR297"/>
      <c r="AS297" s="486"/>
      <c r="AT297" s="55"/>
      <c r="AU297" s="341"/>
      <c r="AX297" s="538"/>
    </row>
    <row r="298" spans="1:50">
      <c r="A298" s="5"/>
      <c r="B298" s="411"/>
      <c r="C298" s="399"/>
      <c r="D298" s="413"/>
      <c r="E298" s="399"/>
      <c r="F298" s="399"/>
      <c r="G298" s="399"/>
      <c r="H298" s="399"/>
      <c r="I298" s="399"/>
      <c r="J298" s="330"/>
      <c r="K298" s="330"/>
      <c r="L298" s="330"/>
      <c r="M298" s="330"/>
      <c r="N298" s="330"/>
      <c r="O298" s="330"/>
      <c r="P298" s="330"/>
      <c r="Q298" s="330"/>
      <c r="R298" s="330"/>
      <c r="S298" s="330"/>
      <c r="T298" s="330"/>
      <c r="U298" s="330"/>
      <c r="V298" s="330"/>
      <c r="W298" s="330"/>
      <c r="X298" s="330"/>
      <c r="Y298" s="330"/>
      <c r="Z298" s="330"/>
      <c r="AA298" s="330"/>
      <c r="AB298" s="330"/>
      <c r="AC298" s="330"/>
      <c r="AD298" s="330"/>
      <c r="AE298" s="330"/>
      <c r="AF298" s="330"/>
      <c r="AG298" s="330"/>
      <c r="AH298" s="330"/>
      <c r="AI298" s="330"/>
      <c r="AJ298" s="330"/>
      <c r="AK298" s="330"/>
      <c r="AL298" s="330"/>
      <c r="AM298" s="173"/>
      <c r="AN298" s="535"/>
      <c r="AO298" s="333"/>
      <c r="AS298" s="11"/>
      <c r="AT298" s="11"/>
    </row>
    <row r="299" spans="1:50">
      <c r="A299" s="5"/>
      <c r="B299" s="411"/>
      <c r="C299" s="399"/>
      <c r="D299" s="413"/>
      <c r="E299" s="399"/>
      <c r="F299" s="399"/>
      <c r="G299" s="399"/>
      <c r="H299" s="399"/>
      <c r="I299" s="399"/>
      <c r="J299" s="330"/>
      <c r="K299" s="330"/>
      <c r="L299" s="330"/>
      <c r="M299" s="330"/>
      <c r="N299" s="330"/>
      <c r="O299" s="330"/>
      <c r="P299" s="330"/>
      <c r="Q299" s="330"/>
      <c r="R299" s="330"/>
      <c r="S299" s="330"/>
      <c r="T299" s="330"/>
      <c r="U299" s="330"/>
      <c r="V299" s="330"/>
      <c r="W299" s="330"/>
      <c r="X299" s="330"/>
      <c r="Y299" s="330"/>
      <c r="Z299" s="330"/>
      <c r="AA299" s="330"/>
      <c r="AB299" s="330"/>
      <c r="AC299" s="330"/>
      <c r="AD299" s="330"/>
      <c r="AE299" s="330"/>
      <c r="AF299" s="330"/>
      <c r="AG299" s="330"/>
      <c r="AH299" s="330"/>
      <c r="AI299" s="330"/>
      <c r="AJ299" s="330"/>
      <c r="AK299" s="330"/>
      <c r="AL299" s="330"/>
      <c r="AM299" s="535"/>
      <c r="AN299" s="535"/>
      <c r="AO299" s="333"/>
      <c r="AS299" s="11"/>
      <c r="AT299" s="11"/>
    </row>
    <row r="300" spans="1:50">
      <c r="A300" s="5"/>
      <c r="B300" s="411"/>
      <c r="C300" s="399"/>
      <c r="D300" s="413"/>
      <c r="E300" s="399"/>
      <c r="F300" s="399"/>
      <c r="G300" s="399"/>
      <c r="H300" s="399"/>
      <c r="I300" s="399"/>
      <c r="J300" s="330"/>
      <c r="K300" s="330"/>
      <c r="L300" s="330"/>
      <c r="M300" s="330"/>
      <c r="N300" s="330"/>
      <c r="O300" s="330"/>
      <c r="P300" s="330"/>
      <c r="Q300" s="330"/>
      <c r="R300" s="330"/>
      <c r="S300" s="330"/>
      <c r="T300" s="330"/>
      <c r="U300" s="330"/>
      <c r="V300" s="330"/>
      <c r="W300" s="330"/>
      <c r="X300" s="330"/>
      <c r="Y300" s="330"/>
      <c r="Z300" s="330"/>
      <c r="AA300" s="330"/>
      <c r="AB300" s="330"/>
      <c r="AC300" s="330"/>
      <c r="AD300" s="330"/>
      <c r="AE300" s="330"/>
      <c r="AF300" s="330"/>
      <c r="AG300" s="330"/>
      <c r="AH300" s="330"/>
      <c r="AI300" s="330"/>
      <c r="AJ300" s="330"/>
      <c r="AK300" s="330"/>
      <c r="AL300" s="330"/>
      <c r="AM300" s="535"/>
      <c r="AN300" s="535"/>
      <c r="AO300" s="333"/>
      <c r="AS300" s="11"/>
      <c r="AT300" s="11"/>
    </row>
    <row r="301" spans="1:50">
      <c r="A301" s="5"/>
      <c r="B301" s="411"/>
      <c r="C301" s="399"/>
      <c r="D301" s="399"/>
      <c r="E301" s="399"/>
      <c r="F301" s="399"/>
      <c r="G301" s="399"/>
      <c r="H301" s="399"/>
      <c r="I301" s="399"/>
      <c r="J301" s="399"/>
      <c r="K301" s="399"/>
      <c r="L301" s="399"/>
      <c r="M301" s="399"/>
      <c r="N301" s="399"/>
      <c r="O301" s="399"/>
      <c r="P301" s="399"/>
      <c r="Q301" s="399"/>
      <c r="R301" s="399"/>
      <c r="S301" s="399"/>
      <c r="T301" s="399"/>
      <c r="U301" s="399"/>
      <c r="V301" s="412"/>
      <c r="W301" s="412"/>
      <c r="X301" s="412"/>
      <c r="Y301" s="412"/>
      <c r="Z301" s="412"/>
      <c r="AA301" s="412"/>
      <c r="AB301" s="412"/>
      <c r="AC301" s="412"/>
      <c r="AD301" s="412"/>
      <c r="AE301" s="412"/>
      <c r="AF301" s="412"/>
      <c r="AG301" s="412"/>
      <c r="AH301" s="412"/>
      <c r="AI301" s="412"/>
      <c r="AJ301" s="412"/>
      <c r="AK301" s="412"/>
      <c r="AL301" s="412"/>
      <c r="AM301" s="535"/>
      <c r="AN301" s="535"/>
      <c r="AO301" s="333"/>
      <c r="AS301" s="11"/>
      <c r="AT301" s="11"/>
    </row>
    <row r="302" spans="1:50">
      <c r="A302" s="5"/>
      <c r="B302" s="332"/>
      <c r="C302" s="38"/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38"/>
      <c r="O302" s="38"/>
      <c r="P302" s="38"/>
      <c r="Q302" s="38"/>
      <c r="R302" s="38"/>
      <c r="S302" s="38"/>
      <c r="T302" s="38"/>
      <c r="U302" s="38"/>
      <c r="V302" s="330"/>
      <c r="W302" s="330"/>
      <c r="X302" s="330"/>
      <c r="Y302" s="330"/>
      <c r="Z302" s="330"/>
      <c r="AA302" s="330"/>
      <c r="AB302" s="330"/>
      <c r="AC302" s="330"/>
      <c r="AD302" s="330"/>
      <c r="AE302" s="330"/>
      <c r="AF302" s="330"/>
      <c r="AG302" s="330"/>
      <c r="AH302" s="330"/>
      <c r="AI302" s="330"/>
      <c r="AJ302" s="330"/>
      <c r="AK302" s="330"/>
      <c r="AL302" s="330"/>
      <c r="AM302" s="535"/>
      <c r="AN302" s="535"/>
      <c r="AO302" s="331"/>
      <c r="AS302" s="11"/>
      <c r="AT302" s="11"/>
    </row>
    <row r="303" spans="1:50">
      <c r="A303" s="5"/>
      <c r="B303" s="332"/>
      <c r="C303" s="38"/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38"/>
      <c r="O303" s="38"/>
      <c r="P303" s="38"/>
      <c r="Q303" s="38"/>
      <c r="R303" s="38"/>
      <c r="S303" s="38"/>
      <c r="T303" s="38"/>
      <c r="U303" s="38"/>
      <c r="V303" s="330"/>
      <c r="W303" s="330"/>
      <c r="X303" s="330"/>
      <c r="Y303" s="330"/>
      <c r="Z303" s="330"/>
      <c r="AA303" s="330"/>
      <c r="AB303" s="330"/>
      <c r="AC303" s="330"/>
      <c r="AD303" s="330"/>
      <c r="AE303" s="330"/>
      <c r="AF303" s="330"/>
      <c r="AG303" s="330"/>
      <c r="AH303" s="330"/>
      <c r="AI303" s="330"/>
      <c r="AJ303" s="330"/>
      <c r="AK303" s="330"/>
      <c r="AL303" s="330"/>
      <c r="AM303" s="535"/>
      <c r="AN303" s="535"/>
      <c r="AO303" s="331"/>
      <c r="AS303" s="11"/>
      <c r="AT303" s="11"/>
    </row>
    <row r="304" spans="1:50">
      <c r="A304" s="5"/>
      <c r="C304" s="5"/>
      <c r="D304" s="5"/>
      <c r="E304" s="5"/>
      <c r="F304" s="5"/>
      <c r="G304" s="5"/>
      <c r="H304" s="5"/>
      <c r="I304" s="5"/>
      <c r="J304" s="5"/>
      <c r="K304" s="104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173"/>
      <c r="AN304" s="173"/>
      <c r="AO304" s="5"/>
      <c r="AS304" s="471"/>
      <c r="AT304" s="471"/>
    </row>
    <row r="305" spans="1:47">
      <c r="A305" s="5"/>
      <c r="B305" s="34" t="s">
        <v>398</v>
      </c>
      <c r="C305" s="34" t="s">
        <v>399</v>
      </c>
      <c r="D305" s="34" t="s">
        <v>400</v>
      </c>
      <c r="E305" s="34" t="s">
        <v>368</v>
      </c>
      <c r="F305" s="34" t="s">
        <v>369</v>
      </c>
      <c r="G305" s="34" t="s">
        <v>370</v>
      </c>
      <c r="H305" s="34" t="s">
        <v>371</v>
      </c>
      <c r="I305" s="34" t="s">
        <v>372</v>
      </c>
      <c r="J305" s="32" t="s">
        <v>1472</v>
      </c>
      <c r="K305" s="32">
        <v>2003</v>
      </c>
      <c r="L305" s="32">
        <v>2004</v>
      </c>
      <c r="M305" s="32">
        <v>2005</v>
      </c>
      <c r="N305" s="32">
        <v>2006</v>
      </c>
      <c r="O305" s="32">
        <v>2007</v>
      </c>
      <c r="P305" s="32">
        <v>2008</v>
      </c>
      <c r="Q305" s="32">
        <v>2009</v>
      </c>
      <c r="R305" s="32">
        <v>2010</v>
      </c>
      <c r="S305" s="32">
        <v>2011</v>
      </c>
      <c r="T305" s="32">
        <v>2012</v>
      </c>
      <c r="U305" s="32">
        <v>2013</v>
      </c>
      <c r="V305" s="32">
        <v>2014</v>
      </c>
      <c r="W305" s="32">
        <v>2015</v>
      </c>
      <c r="X305" s="32">
        <v>2016</v>
      </c>
      <c r="Y305" s="32">
        <v>2017</v>
      </c>
      <c r="Z305" s="32">
        <v>2018</v>
      </c>
      <c r="AA305" s="32">
        <v>2019</v>
      </c>
      <c r="AB305" s="32">
        <v>2020</v>
      </c>
      <c r="AC305" s="32">
        <v>2021</v>
      </c>
      <c r="AD305" s="32">
        <v>2022</v>
      </c>
      <c r="AE305" s="32">
        <v>2023</v>
      </c>
      <c r="AF305" s="32">
        <v>2024</v>
      </c>
      <c r="AG305" s="32">
        <v>2025</v>
      </c>
      <c r="AH305" s="32">
        <v>2026</v>
      </c>
      <c r="AI305" s="32">
        <v>2027</v>
      </c>
      <c r="AJ305" s="32">
        <v>2028</v>
      </c>
      <c r="AK305" s="32">
        <v>2029</v>
      </c>
      <c r="AL305" s="32">
        <v>2030</v>
      </c>
      <c r="AM305" s="647" t="s">
        <v>307</v>
      </c>
      <c r="AN305" s="647" t="s">
        <v>308</v>
      </c>
      <c r="AO305" s="5"/>
      <c r="AS305" s="11"/>
      <c r="AT305" s="11"/>
    </row>
    <row r="306" spans="1:47">
      <c r="A306" s="5"/>
      <c r="B306" s="329" t="str">
        <f>ROUND(D251*100,2)&amp;"% of Rosneft"</f>
        <v>19.75% of Rosneft</v>
      </c>
      <c r="C306" s="38"/>
      <c r="D306" s="38"/>
      <c r="E306" s="330"/>
      <c r="F306" s="330"/>
      <c r="G306" s="330"/>
      <c r="H306" s="330"/>
      <c r="I306" s="330"/>
      <c r="J306" s="420"/>
      <c r="K306" s="296"/>
      <c r="L306" s="296"/>
      <c r="M306" s="296"/>
      <c r="N306" s="296"/>
      <c r="O306" s="296"/>
      <c r="P306" s="296"/>
      <c r="Q306" s="296"/>
      <c r="R306" s="296"/>
      <c r="S306" s="296"/>
      <c r="T306" s="330"/>
      <c r="U306" s="330"/>
      <c r="V306" s="330"/>
      <c r="W306" s="330"/>
      <c r="X306" s="330"/>
      <c r="Y306" s="330"/>
      <c r="Z306" s="330"/>
      <c r="AA306" s="330"/>
      <c r="AB306" s="330"/>
      <c r="AC306" s="330"/>
      <c r="AD306" s="330"/>
      <c r="AE306" s="330"/>
      <c r="AF306" s="330"/>
      <c r="AG306" s="330"/>
      <c r="AH306" s="330"/>
      <c r="AI306" s="330"/>
      <c r="AJ306" s="330"/>
      <c r="AK306" s="330"/>
      <c r="AL306" s="330"/>
      <c r="AM306" s="535"/>
      <c r="AN306" s="535"/>
      <c r="AO306" s="5"/>
      <c r="AS306" s="11"/>
      <c r="AT306" s="11"/>
    </row>
    <row r="307" spans="1:47">
      <c r="A307" s="5"/>
      <c r="B307" s="332" t="s">
        <v>3210</v>
      </c>
      <c r="C307" s="330" t="s">
        <v>2251</v>
      </c>
      <c r="D307" s="55" t="s">
        <v>3688</v>
      </c>
      <c r="E307" s="330" t="s">
        <v>2970</v>
      </c>
      <c r="F307" s="330" t="s">
        <v>2973</v>
      </c>
      <c r="G307" s="330" t="s">
        <v>1930</v>
      </c>
      <c r="H307" s="330" t="s">
        <v>116</v>
      </c>
      <c r="I307" s="330" t="s">
        <v>2571</v>
      </c>
      <c r="J307" s="38">
        <v>30</v>
      </c>
      <c r="K307" s="296"/>
      <c r="L307" s="296"/>
      <c r="M307" s="296"/>
      <c r="N307" s="296"/>
      <c r="O307" s="296"/>
      <c r="P307" s="296"/>
      <c r="Q307" s="296"/>
      <c r="R307" s="296"/>
      <c r="S307" s="296"/>
      <c r="T307" s="330"/>
      <c r="U307" s="38">
        <f t="shared" ref="U307:AD316" si="22">INDEX(U$253:U$287,MATCH($D307,$D$253:$D$287,0))*$D$251</f>
        <v>0</v>
      </c>
      <c r="V307" s="38">
        <f t="shared" si="22"/>
        <v>0</v>
      </c>
      <c r="W307" s="38">
        <f t="shared" si="22"/>
        <v>0</v>
      </c>
      <c r="X307" s="38">
        <f t="shared" si="22"/>
        <v>0</v>
      </c>
      <c r="Y307" s="38">
        <f t="shared" si="22"/>
        <v>1.7064000000000001</v>
      </c>
      <c r="Z307" s="38">
        <f t="shared" si="22"/>
        <v>28.682925000000001</v>
      </c>
      <c r="AA307" s="38">
        <f t="shared" si="22"/>
        <v>52.987275000000004</v>
      </c>
      <c r="AB307" s="38">
        <f t="shared" si="22"/>
        <v>87.707774999999998</v>
      </c>
      <c r="AC307" s="38">
        <f t="shared" si="22"/>
        <v>87.707774999999998</v>
      </c>
      <c r="AD307" s="38">
        <f t="shared" si="22"/>
        <v>87.707774999999998</v>
      </c>
      <c r="AE307" s="38">
        <f t="shared" ref="AE307:AL316" si="23">INDEX(AE$253:AE$287,MATCH($D307,$D$253:$D$287,0))*$D$251</f>
        <v>94.685450000000003</v>
      </c>
      <c r="AF307" s="38">
        <f t="shared" si="23"/>
        <v>130.00437500000001</v>
      </c>
      <c r="AG307" s="38">
        <f t="shared" si="23"/>
        <v>131.22097500000001</v>
      </c>
      <c r="AH307" s="38">
        <f t="shared" si="23"/>
        <v>131.96555000000001</v>
      </c>
      <c r="AI307" s="38">
        <f t="shared" si="23"/>
        <v>110.54075000000002</v>
      </c>
      <c r="AJ307" s="38">
        <f t="shared" si="23"/>
        <v>81.057950000000005</v>
      </c>
      <c r="AK307" s="38">
        <f t="shared" si="23"/>
        <v>81.340375000000009</v>
      </c>
      <c r="AL307" s="38">
        <f t="shared" si="23"/>
        <v>81.061900000000009</v>
      </c>
      <c r="AM307" s="22" t="s">
        <v>1805</v>
      </c>
      <c r="AN307" s="22" t="s">
        <v>3119</v>
      </c>
      <c r="AO307" s="331"/>
      <c r="AS307" s="471"/>
      <c r="AT307" s="471"/>
      <c r="AU307" s="354"/>
    </row>
    <row r="308" spans="1:47">
      <c r="A308" s="5"/>
      <c r="B308" s="332" t="s">
        <v>3210</v>
      </c>
      <c r="C308" s="330" t="s">
        <v>1703</v>
      </c>
      <c r="D308" s="55" t="s">
        <v>701</v>
      </c>
      <c r="E308" s="330" t="s">
        <v>1927</v>
      </c>
      <c r="F308" s="330" t="s">
        <v>1928</v>
      </c>
      <c r="G308" s="330" t="s">
        <v>3374</v>
      </c>
      <c r="H308" s="330" t="s">
        <v>116</v>
      </c>
      <c r="I308" s="330" t="s">
        <v>1931</v>
      </c>
      <c r="J308" s="38">
        <v>100</v>
      </c>
      <c r="K308" s="296"/>
      <c r="L308" s="296"/>
      <c r="M308" s="296"/>
      <c r="N308" s="296"/>
      <c r="O308" s="296"/>
      <c r="P308" s="296"/>
      <c r="Q308" s="296"/>
      <c r="R308" s="296"/>
      <c r="S308" s="296"/>
      <c r="T308" s="330"/>
      <c r="U308" s="38">
        <f t="shared" si="22"/>
        <v>0.33831750000000005</v>
      </c>
      <c r="V308" s="38">
        <f t="shared" si="22"/>
        <v>0.95372749999999995</v>
      </c>
      <c r="W308" s="38">
        <f t="shared" si="22"/>
        <v>0.56287500000000001</v>
      </c>
      <c r="X308" s="38">
        <f t="shared" si="22"/>
        <v>0.52337500000000003</v>
      </c>
      <c r="Y308" s="38">
        <f t="shared" si="22"/>
        <v>0.50955000000000006</v>
      </c>
      <c r="Z308" s="38">
        <f t="shared" si="22"/>
        <v>0.507575</v>
      </c>
      <c r="AA308" s="38">
        <f t="shared" si="22"/>
        <v>0.49572499999999997</v>
      </c>
      <c r="AB308" s="38">
        <f t="shared" si="22"/>
        <v>0.4819</v>
      </c>
      <c r="AC308" s="38">
        <f t="shared" si="22"/>
        <v>0.46807500000000002</v>
      </c>
      <c r="AD308" s="38">
        <f t="shared" si="22"/>
        <v>0.45227500000000004</v>
      </c>
      <c r="AE308" s="38">
        <f t="shared" si="23"/>
        <v>0.44042500000000001</v>
      </c>
      <c r="AF308" s="38">
        <f t="shared" si="23"/>
        <v>0.42660000000000003</v>
      </c>
      <c r="AG308" s="38">
        <f t="shared" si="23"/>
        <v>0.412775</v>
      </c>
      <c r="AH308" s="38">
        <f t="shared" si="23"/>
        <v>0.40092499999999998</v>
      </c>
      <c r="AI308" s="38">
        <f t="shared" si="23"/>
        <v>0.389075</v>
      </c>
      <c r="AJ308" s="38">
        <f t="shared" si="23"/>
        <v>0.37722499999999998</v>
      </c>
      <c r="AK308" s="38">
        <f t="shared" si="23"/>
        <v>0.36537500000000006</v>
      </c>
      <c r="AL308" s="38">
        <f t="shared" si="23"/>
        <v>0.35550000000000004</v>
      </c>
      <c r="AM308" s="22" t="s">
        <v>1805</v>
      </c>
      <c r="AN308" s="22" t="s">
        <v>3119</v>
      </c>
      <c r="AO308" s="331"/>
      <c r="AS308" s="471"/>
      <c r="AT308" s="471"/>
      <c r="AU308" s="354"/>
    </row>
    <row r="309" spans="1:47">
      <c r="A309" s="5"/>
      <c r="B309" s="332" t="s">
        <v>3210</v>
      </c>
      <c r="C309" s="330" t="s">
        <v>1703</v>
      </c>
      <c r="D309" s="55" t="s">
        <v>3211</v>
      </c>
      <c r="E309" s="330" t="s">
        <v>1927</v>
      </c>
      <c r="F309" s="330" t="s">
        <v>1928</v>
      </c>
      <c r="G309" s="330" t="s">
        <v>1932</v>
      </c>
      <c r="H309" s="330" t="s">
        <v>106</v>
      </c>
      <c r="I309" s="330" t="s">
        <v>1931</v>
      </c>
      <c r="J309" s="38">
        <v>68.7</v>
      </c>
      <c r="K309" s="296"/>
      <c r="L309" s="296"/>
      <c r="M309" s="296"/>
      <c r="N309" s="296"/>
      <c r="O309" s="296"/>
      <c r="P309" s="296"/>
      <c r="Q309" s="296"/>
      <c r="R309" s="296"/>
      <c r="S309" s="296"/>
      <c r="T309" s="330"/>
      <c r="U309" s="38">
        <f t="shared" si="22"/>
        <v>0</v>
      </c>
      <c r="V309" s="38">
        <f t="shared" si="22"/>
        <v>0</v>
      </c>
      <c r="W309" s="38">
        <f t="shared" si="22"/>
        <v>0</v>
      </c>
      <c r="X309" s="38">
        <f t="shared" si="22"/>
        <v>0</v>
      </c>
      <c r="Y309" s="38">
        <f t="shared" si="22"/>
        <v>0</v>
      </c>
      <c r="Z309" s="38">
        <f t="shared" si="22"/>
        <v>0</v>
      </c>
      <c r="AA309" s="38">
        <f t="shared" si="22"/>
        <v>0</v>
      </c>
      <c r="AB309" s="38">
        <f t="shared" si="22"/>
        <v>0</v>
      </c>
      <c r="AC309" s="38">
        <f t="shared" si="22"/>
        <v>0</v>
      </c>
      <c r="AD309" s="38">
        <f t="shared" si="22"/>
        <v>0</v>
      </c>
      <c r="AE309" s="38">
        <f t="shared" si="23"/>
        <v>0</v>
      </c>
      <c r="AF309" s="38">
        <f t="shared" si="23"/>
        <v>0</v>
      </c>
      <c r="AG309" s="38">
        <f t="shared" si="23"/>
        <v>0</v>
      </c>
      <c r="AH309" s="38">
        <f t="shared" si="23"/>
        <v>0</v>
      </c>
      <c r="AI309" s="38">
        <f t="shared" si="23"/>
        <v>0</v>
      </c>
      <c r="AJ309" s="38">
        <f t="shared" si="23"/>
        <v>0</v>
      </c>
      <c r="AK309" s="38">
        <f t="shared" si="23"/>
        <v>0</v>
      </c>
      <c r="AL309" s="38">
        <f t="shared" si="23"/>
        <v>0</v>
      </c>
      <c r="AM309" s="22" t="s">
        <v>1805</v>
      </c>
      <c r="AN309" s="22" t="s">
        <v>3119</v>
      </c>
      <c r="AO309" s="331"/>
      <c r="AS309" s="471"/>
      <c r="AT309" s="471"/>
      <c r="AU309" s="354"/>
    </row>
    <row r="310" spans="1:47">
      <c r="A310" s="5"/>
      <c r="B310" s="332" t="s">
        <v>3210</v>
      </c>
      <c r="C310" s="330" t="s">
        <v>1703</v>
      </c>
      <c r="D310" s="55" t="s">
        <v>3212</v>
      </c>
      <c r="E310" s="330" t="s">
        <v>1927</v>
      </c>
      <c r="F310" s="330" t="s">
        <v>1928</v>
      </c>
      <c r="G310" s="330" t="s">
        <v>1932</v>
      </c>
      <c r="H310" s="330" t="s">
        <v>106</v>
      </c>
      <c r="I310" s="330" t="s">
        <v>1931</v>
      </c>
      <c r="J310" s="38">
        <v>81.22</v>
      </c>
      <c r="K310" s="296"/>
      <c r="L310" s="296"/>
      <c r="M310" s="296"/>
      <c r="N310" s="296"/>
      <c r="O310" s="296"/>
      <c r="P310" s="296"/>
      <c r="Q310" s="296"/>
      <c r="R310" s="296"/>
      <c r="S310" s="296"/>
      <c r="T310" s="330"/>
      <c r="U310" s="38">
        <f t="shared" si="22"/>
        <v>4.1317000000000004</v>
      </c>
      <c r="V310" s="38">
        <f t="shared" si="22"/>
        <v>3.5885750000000005</v>
      </c>
      <c r="W310" s="38">
        <f t="shared" si="22"/>
        <v>3.1066750000000001</v>
      </c>
      <c r="X310" s="38">
        <f t="shared" si="22"/>
        <v>2.6267500000000004</v>
      </c>
      <c r="Y310" s="38">
        <f t="shared" si="22"/>
        <v>2.1448499999999999</v>
      </c>
      <c r="Z310" s="38">
        <f t="shared" si="22"/>
        <v>1.6629500000000002</v>
      </c>
      <c r="AA310" s="38">
        <f t="shared" si="22"/>
        <v>1.183025</v>
      </c>
      <c r="AB310" s="38">
        <f t="shared" si="22"/>
        <v>0.701125</v>
      </c>
      <c r="AC310" s="38">
        <f t="shared" si="22"/>
        <v>0.21922500000000003</v>
      </c>
      <c r="AD310" s="38">
        <f t="shared" si="22"/>
        <v>0</v>
      </c>
      <c r="AE310" s="38">
        <f t="shared" si="23"/>
        <v>0</v>
      </c>
      <c r="AF310" s="38">
        <f t="shared" si="23"/>
        <v>0</v>
      </c>
      <c r="AG310" s="38">
        <f t="shared" si="23"/>
        <v>0</v>
      </c>
      <c r="AH310" s="38">
        <f t="shared" si="23"/>
        <v>0</v>
      </c>
      <c r="AI310" s="38">
        <f t="shared" si="23"/>
        <v>0</v>
      </c>
      <c r="AJ310" s="38">
        <f t="shared" si="23"/>
        <v>0</v>
      </c>
      <c r="AK310" s="38">
        <f t="shared" si="23"/>
        <v>0</v>
      </c>
      <c r="AL310" s="38">
        <f t="shared" si="23"/>
        <v>0</v>
      </c>
      <c r="AM310" s="22" t="str">
        <f t="shared" ref="AM310" si="24">AN310&amp;" - "&amp;C310</f>
        <v>EAI - Russia</v>
      </c>
      <c r="AN310" s="22" t="s">
        <v>3119</v>
      </c>
      <c r="AO310" s="331"/>
      <c r="AS310" s="471"/>
      <c r="AT310" s="471"/>
      <c r="AU310" s="354"/>
    </row>
    <row r="311" spans="1:47">
      <c r="A311" s="5"/>
      <c r="B311" s="332" t="s">
        <v>3210</v>
      </c>
      <c r="C311" s="330" t="s">
        <v>1703</v>
      </c>
      <c r="D311" s="55" t="s">
        <v>3464</v>
      </c>
      <c r="E311" s="330" t="s">
        <v>1927</v>
      </c>
      <c r="F311" s="330" t="s">
        <v>1928</v>
      </c>
      <c r="G311" s="330" t="s">
        <v>1932</v>
      </c>
      <c r="H311" s="330" t="s">
        <v>116</v>
      </c>
      <c r="I311" s="330" t="s">
        <v>1931</v>
      </c>
      <c r="J311" s="38">
        <v>51</v>
      </c>
      <c r="K311" s="296"/>
      <c r="L311" s="296"/>
      <c r="M311" s="296"/>
      <c r="N311" s="296"/>
      <c r="O311" s="296"/>
      <c r="P311" s="296"/>
      <c r="Q311" s="296"/>
      <c r="R311" s="296"/>
      <c r="S311" s="296"/>
      <c r="T311" s="330"/>
      <c r="U311" s="38">
        <f t="shared" si="22"/>
        <v>0</v>
      </c>
      <c r="V311" s="38">
        <f t="shared" si="22"/>
        <v>0</v>
      </c>
      <c r="W311" s="38">
        <f t="shared" si="22"/>
        <v>0</v>
      </c>
      <c r="X311" s="38">
        <f t="shared" si="22"/>
        <v>0</v>
      </c>
      <c r="Y311" s="38">
        <f t="shared" si="22"/>
        <v>0</v>
      </c>
      <c r="Z311" s="38">
        <f t="shared" si="22"/>
        <v>0</v>
      </c>
      <c r="AA311" s="38">
        <f t="shared" si="22"/>
        <v>0</v>
      </c>
      <c r="AB311" s="38">
        <f t="shared" si="22"/>
        <v>0</v>
      </c>
      <c r="AC311" s="38">
        <f t="shared" si="22"/>
        <v>0</v>
      </c>
      <c r="AD311" s="38">
        <f t="shared" si="22"/>
        <v>0</v>
      </c>
      <c r="AE311" s="38">
        <f t="shared" si="23"/>
        <v>0</v>
      </c>
      <c r="AF311" s="38">
        <f t="shared" si="23"/>
        <v>0</v>
      </c>
      <c r="AG311" s="38">
        <f t="shared" si="23"/>
        <v>0</v>
      </c>
      <c r="AH311" s="38">
        <f t="shared" si="23"/>
        <v>0</v>
      </c>
      <c r="AI311" s="38">
        <f t="shared" si="23"/>
        <v>0</v>
      </c>
      <c r="AJ311" s="38">
        <f t="shared" si="23"/>
        <v>0</v>
      </c>
      <c r="AK311" s="38">
        <f t="shared" si="23"/>
        <v>0</v>
      </c>
      <c r="AL311" s="38">
        <f t="shared" si="23"/>
        <v>0</v>
      </c>
      <c r="AM311" s="22" t="str">
        <f>AN311&amp;" - "&amp;C311</f>
        <v>EAI - Russia</v>
      </c>
      <c r="AN311" s="22" t="s">
        <v>3119</v>
      </c>
      <c r="AO311" s="331"/>
      <c r="AS311" s="471"/>
      <c r="AT311" s="471"/>
      <c r="AU311" s="354"/>
    </row>
    <row r="312" spans="1:47">
      <c r="A312" s="5"/>
      <c r="B312" s="332" t="s">
        <v>3210</v>
      </c>
      <c r="C312" s="330" t="s">
        <v>1703</v>
      </c>
      <c r="D312" s="55" t="s">
        <v>479</v>
      </c>
      <c r="E312" s="330" t="s">
        <v>1927</v>
      </c>
      <c r="F312" s="330" t="s">
        <v>1928</v>
      </c>
      <c r="G312" s="330" t="s">
        <v>1931</v>
      </c>
      <c r="H312" s="330" t="s">
        <v>116</v>
      </c>
      <c r="I312" s="330" t="s">
        <v>1931</v>
      </c>
      <c r="J312" s="38">
        <v>49</v>
      </c>
      <c r="K312" s="296"/>
      <c r="L312" s="296"/>
      <c r="M312" s="296"/>
      <c r="N312" s="296"/>
      <c r="O312" s="296"/>
      <c r="P312" s="296"/>
      <c r="Q312" s="296"/>
      <c r="R312" s="296"/>
      <c r="S312" s="296"/>
      <c r="T312" s="330"/>
      <c r="U312" s="38">
        <f t="shared" si="22"/>
        <v>68.449550000000002</v>
      </c>
      <c r="V312" s="38">
        <f t="shared" si="22"/>
        <v>124.07147500000001</v>
      </c>
      <c r="W312" s="38">
        <f t="shared" si="22"/>
        <v>118.91277500000001</v>
      </c>
      <c r="X312" s="38">
        <f t="shared" si="22"/>
        <v>111.77710000000002</v>
      </c>
      <c r="Y312" s="38">
        <f t="shared" si="22"/>
        <v>104.16347500000001</v>
      </c>
      <c r="Z312" s="38">
        <f t="shared" si="22"/>
        <v>97.065325000000016</v>
      </c>
      <c r="AA312" s="38">
        <f t="shared" si="22"/>
        <v>90.453025000000011</v>
      </c>
      <c r="AB312" s="38">
        <f t="shared" si="22"/>
        <v>84.291025000000005</v>
      </c>
      <c r="AC312" s="38">
        <f t="shared" si="22"/>
        <v>78.547725</v>
      </c>
      <c r="AD312" s="38">
        <f t="shared" si="22"/>
        <v>73.197450000000003</v>
      </c>
      <c r="AE312" s="38">
        <f t="shared" si="23"/>
        <v>68.210575000000006</v>
      </c>
      <c r="AF312" s="38">
        <f t="shared" si="23"/>
        <v>63.563400000000001</v>
      </c>
      <c r="AG312" s="38">
        <f t="shared" si="23"/>
        <v>59.232225000000007</v>
      </c>
      <c r="AH312" s="38">
        <f t="shared" si="23"/>
        <v>55.197300000000006</v>
      </c>
      <c r="AI312" s="38">
        <f t="shared" si="23"/>
        <v>51.436900000000001</v>
      </c>
      <c r="AJ312" s="38">
        <f t="shared" si="23"/>
        <v>47.931274999999999</v>
      </c>
      <c r="AK312" s="38">
        <f t="shared" si="23"/>
        <v>44.666600000000003</v>
      </c>
      <c r="AL312" s="38">
        <f t="shared" si="23"/>
        <v>41.623125000000002</v>
      </c>
      <c r="AM312" s="22" t="str">
        <f t="shared" ref="AM312:AM334" si="25">AN312&amp;" - "&amp;C312</f>
        <v>EAI - Russia</v>
      </c>
      <c r="AN312" s="22" t="s">
        <v>3119</v>
      </c>
      <c r="AO312" s="331"/>
      <c r="AS312" s="471"/>
      <c r="AT312" s="471"/>
      <c r="AU312" s="354"/>
    </row>
    <row r="313" spans="1:47">
      <c r="A313" s="5"/>
      <c r="B313" s="332" t="s">
        <v>3210</v>
      </c>
      <c r="C313" s="330" t="s">
        <v>1703</v>
      </c>
      <c r="D313" s="55" t="s">
        <v>2271</v>
      </c>
      <c r="E313" s="330" t="s">
        <v>1927</v>
      </c>
      <c r="F313" s="330" t="s">
        <v>1928</v>
      </c>
      <c r="G313" s="330" t="s">
        <v>1931</v>
      </c>
      <c r="H313" s="330" t="s">
        <v>116</v>
      </c>
      <c r="I313" s="330" t="s">
        <v>1931</v>
      </c>
      <c r="J313" s="38">
        <v>100</v>
      </c>
      <c r="K313" s="296"/>
      <c r="L313" s="296"/>
      <c r="M313" s="296"/>
      <c r="N313" s="296"/>
      <c r="O313" s="296"/>
      <c r="P313" s="296"/>
      <c r="Q313" s="296"/>
      <c r="R313" s="296"/>
      <c r="S313" s="296"/>
      <c r="T313" s="330"/>
      <c r="U313" s="38">
        <f t="shared" si="22"/>
        <v>0</v>
      </c>
      <c r="V313" s="38">
        <f t="shared" si="22"/>
        <v>0</v>
      </c>
      <c r="W313" s="38">
        <f t="shared" si="22"/>
        <v>0</v>
      </c>
      <c r="X313" s="38">
        <f t="shared" si="22"/>
        <v>0</v>
      </c>
      <c r="Y313" s="38">
        <f t="shared" si="22"/>
        <v>0</v>
      </c>
      <c r="Z313" s="38">
        <f t="shared" si="22"/>
        <v>0</v>
      </c>
      <c r="AA313" s="38">
        <f t="shared" si="22"/>
        <v>0</v>
      </c>
      <c r="AB313" s="38">
        <f t="shared" si="22"/>
        <v>29.625</v>
      </c>
      <c r="AC313" s="38">
        <f t="shared" si="22"/>
        <v>88.875</v>
      </c>
      <c r="AD313" s="38">
        <f t="shared" si="22"/>
        <v>174.78749999999999</v>
      </c>
      <c r="AE313" s="38">
        <f t="shared" si="23"/>
        <v>178.73750000000001</v>
      </c>
      <c r="AF313" s="38">
        <f t="shared" si="23"/>
        <v>185.65</v>
      </c>
      <c r="AG313" s="38">
        <f t="shared" si="23"/>
        <v>195.52500000000001</v>
      </c>
      <c r="AH313" s="38">
        <f t="shared" si="23"/>
        <v>244.9</v>
      </c>
      <c r="AI313" s="38">
        <f t="shared" si="23"/>
        <v>278.47500000000002</v>
      </c>
      <c r="AJ313" s="38">
        <f t="shared" si="23"/>
        <v>306.125</v>
      </c>
      <c r="AK313" s="38">
        <f t="shared" si="23"/>
        <v>304.13420000000002</v>
      </c>
      <c r="AL313" s="38">
        <f t="shared" si="23"/>
        <v>285.88915000000003</v>
      </c>
      <c r="AM313" s="22" t="str">
        <f t="shared" si="25"/>
        <v>EAI - Russia</v>
      </c>
      <c r="AN313" s="22" t="s">
        <v>3119</v>
      </c>
      <c r="AO313" s="331"/>
      <c r="AS313" s="471"/>
      <c r="AT313" s="471"/>
      <c r="AU313" s="354"/>
    </row>
    <row r="314" spans="1:47">
      <c r="A314" s="5"/>
      <c r="B314" s="332" t="s">
        <v>3210</v>
      </c>
      <c r="C314" s="330" t="s">
        <v>1703</v>
      </c>
      <c r="D314" s="55" t="s">
        <v>3465</v>
      </c>
      <c r="E314" s="330" t="s">
        <v>1927</v>
      </c>
      <c r="F314" s="330" t="s">
        <v>1928</v>
      </c>
      <c r="G314" s="330" t="s">
        <v>3374</v>
      </c>
      <c r="H314" s="330" t="s">
        <v>116</v>
      </c>
      <c r="I314" s="330" t="s">
        <v>1931</v>
      </c>
      <c r="J314" s="38">
        <v>100</v>
      </c>
      <c r="K314" s="296"/>
      <c r="L314" s="296"/>
      <c r="M314" s="296"/>
      <c r="N314" s="296"/>
      <c r="O314" s="296"/>
      <c r="P314" s="296"/>
      <c r="Q314" s="296"/>
      <c r="R314" s="296"/>
      <c r="S314" s="296"/>
      <c r="T314" s="330"/>
      <c r="U314" s="38">
        <f t="shared" si="22"/>
        <v>58.471850000000003</v>
      </c>
      <c r="V314" s="38">
        <f t="shared" si="22"/>
        <v>58.280274999999996</v>
      </c>
      <c r="W314" s="38">
        <f t="shared" si="22"/>
        <v>52.548825000000001</v>
      </c>
      <c r="X314" s="38">
        <f t="shared" si="22"/>
        <v>56.644975000000002</v>
      </c>
      <c r="Y314" s="38">
        <f t="shared" si="22"/>
        <v>52.292074999999997</v>
      </c>
      <c r="Z314" s="38">
        <f t="shared" si="22"/>
        <v>51.912875000000007</v>
      </c>
      <c r="AA314" s="38">
        <f t="shared" si="22"/>
        <v>51.553424999999997</v>
      </c>
      <c r="AB314" s="38">
        <f t="shared" si="22"/>
        <v>51.213725000000004</v>
      </c>
      <c r="AC314" s="38">
        <f t="shared" si="22"/>
        <v>45.442775000000005</v>
      </c>
      <c r="AD314" s="38">
        <f t="shared" si="22"/>
        <v>40.343325000000007</v>
      </c>
      <c r="AE314" s="38">
        <f t="shared" si="23"/>
        <v>35.836374999999997</v>
      </c>
      <c r="AF314" s="38">
        <f t="shared" si="23"/>
        <v>31.850825000000004</v>
      </c>
      <c r="AG314" s="38">
        <f t="shared" si="23"/>
        <v>28.327425000000002</v>
      </c>
      <c r="AH314" s="38">
        <f t="shared" si="23"/>
        <v>25.2089</v>
      </c>
      <c r="AI314" s="38">
        <f t="shared" si="23"/>
        <v>22.449825000000001</v>
      </c>
      <c r="AJ314" s="38">
        <f t="shared" si="23"/>
        <v>20.008725000000002</v>
      </c>
      <c r="AK314" s="38">
        <f t="shared" si="23"/>
        <v>17.844124999999998</v>
      </c>
      <c r="AL314" s="38">
        <f t="shared" si="23"/>
        <v>15.928375000000003</v>
      </c>
      <c r="AM314" s="22" t="str">
        <f t="shared" si="25"/>
        <v>EAI - Russia</v>
      </c>
      <c r="AN314" s="22" t="s">
        <v>3119</v>
      </c>
      <c r="AO314" s="331"/>
      <c r="AS314" s="471"/>
      <c r="AT314" s="471"/>
      <c r="AU314" s="354"/>
    </row>
    <row r="315" spans="1:47">
      <c r="A315" s="5"/>
      <c r="B315" s="332" t="s">
        <v>3210</v>
      </c>
      <c r="C315" s="330" t="s">
        <v>1703</v>
      </c>
      <c r="D315" s="55" t="s">
        <v>3532</v>
      </c>
      <c r="E315" s="330" t="s">
        <v>1927</v>
      </c>
      <c r="F315" s="330" t="s">
        <v>1928</v>
      </c>
      <c r="G315" s="330" t="s">
        <v>1932</v>
      </c>
      <c r="H315" s="330" t="s">
        <v>116</v>
      </c>
      <c r="I315" s="330" t="s">
        <v>1931</v>
      </c>
      <c r="J315" s="38">
        <v>100</v>
      </c>
      <c r="K315" s="296"/>
      <c r="L315" s="296"/>
      <c r="M315" s="296"/>
      <c r="N315" s="296"/>
      <c r="O315" s="296"/>
      <c r="P315" s="296"/>
      <c r="Q315" s="296"/>
      <c r="R315" s="296"/>
      <c r="S315" s="296"/>
      <c r="T315" s="330"/>
      <c r="U315" s="38">
        <f t="shared" si="22"/>
        <v>11.290482500000001</v>
      </c>
      <c r="V315" s="38">
        <f t="shared" si="22"/>
        <v>27.945065</v>
      </c>
      <c r="W315" s="38">
        <f t="shared" si="22"/>
        <v>29.429475</v>
      </c>
      <c r="X315" s="38">
        <f t="shared" si="22"/>
        <v>30.328100000000003</v>
      </c>
      <c r="Y315" s="38">
        <f t="shared" si="22"/>
        <v>32.822524999999999</v>
      </c>
      <c r="Z315" s="38">
        <f t="shared" si="22"/>
        <v>32.374200000000002</v>
      </c>
      <c r="AA315" s="38">
        <f t="shared" si="22"/>
        <v>32.010800000000003</v>
      </c>
      <c r="AB315" s="38">
        <f t="shared" si="22"/>
        <v>31.738250000000001</v>
      </c>
      <c r="AC315" s="38">
        <f t="shared" si="22"/>
        <v>31.414350000000002</v>
      </c>
      <c r="AD315" s="38">
        <f t="shared" si="22"/>
        <v>30.936399999999999</v>
      </c>
      <c r="AE315" s="38">
        <f t="shared" si="23"/>
        <v>30.466349999999998</v>
      </c>
      <c r="AF315" s="38">
        <f t="shared" si="23"/>
        <v>30.004199999999997</v>
      </c>
      <c r="AG315" s="38">
        <f t="shared" si="23"/>
        <v>29.544025000000001</v>
      </c>
      <c r="AH315" s="38">
        <f t="shared" si="23"/>
        <v>28.864625000000004</v>
      </c>
      <c r="AI315" s="38">
        <f t="shared" si="23"/>
        <v>27.969950000000001</v>
      </c>
      <c r="AJ315" s="38">
        <f t="shared" si="23"/>
        <v>26.881725000000003</v>
      </c>
      <c r="AK315" s="38">
        <f t="shared" si="23"/>
        <v>25.621675</v>
      </c>
      <c r="AL315" s="38">
        <f t="shared" si="23"/>
        <v>24.357675</v>
      </c>
      <c r="AM315" s="22" t="str">
        <f t="shared" si="25"/>
        <v>EAI - Russia</v>
      </c>
      <c r="AN315" s="22" t="s">
        <v>3119</v>
      </c>
      <c r="AO315" s="331"/>
      <c r="AS315" s="471"/>
      <c r="AT315" s="471"/>
      <c r="AU315" s="354"/>
    </row>
    <row r="316" spans="1:47">
      <c r="A316" s="5"/>
      <c r="B316" s="332" t="s">
        <v>3210</v>
      </c>
      <c r="C316" s="330" t="s">
        <v>1703</v>
      </c>
      <c r="D316" s="55" t="s">
        <v>2272</v>
      </c>
      <c r="E316" s="330" t="s">
        <v>1927</v>
      </c>
      <c r="F316" s="330" t="s">
        <v>1928</v>
      </c>
      <c r="G316" s="330" t="s">
        <v>1932</v>
      </c>
      <c r="H316" s="330" t="s">
        <v>116</v>
      </c>
      <c r="I316" s="330" t="s">
        <v>1931</v>
      </c>
      <c r="J316" s="38">
        <v>100</v>
      </c>
      <c r="K316" s="296"/>
      <c r="L316" s="296"/>
      <c r="M316" s="296"/>
      <c r="N316" s="296"/>
      <c r="O316" s="296"/>
      <c r="P316" s="296"/>
      <c r="Q316" s="296"/>
      <c r="R316" s="296"/>
      <c r="S316" s="296"/>
      <c r="T316" s="330"/>
      <c r="U316" s="38">
        <f t="shared" si="22"/>
        <v>0</v>
      </c>
      <c r="V316" s="38">
        <f t="shared" si="22"/>
        <v>0</v>
      </c>
      <c r="W316" s="38">
        <f t="shared" si="22"/>
        <v>0</v>
      </c>
      <c r="X316" s="38">
        <f t="shared" si="22"/>
        <v>0</v>
      </c>
      <c r="Y316" s="38">
        <f t="shared" si="22"/>
        <v>0</v>
      </c>
      <c r="Z316" s="38">
        <f t="shared" si="22"/>
        <v>0</v>
      </c>
      <c r="AA316" s="38">
        <f t="shared" si="22"/>
        <v>26.668425000000003</v>
      </c>
      <c r="AB316" s="38">
        <f t="shared" si="22"/>
        <v>60.470550000000003</v>
      </c>
      <c r="AC316" s="38">
        <f t="shared" si="22"/>
        <v>76.227099999999993</v>
      </c>
      <c r="AD316" s="38">
        <f t="shared" si="22"/>
        <v>81.188299999999998</v>
      </c>
      <c r="AE316" s="38">
        <f t="shared" si="23"/>
        <v>99.919200000000004</v>
      </c>
      <c r="AF316" s="38">
        <f t="shared" si="23"/>
        <v>105.83432500000001</v>
      </c>
      <c r="AG316" s="38">
        <f t="shared" si="23"/>
        <v>105.28527500000001</v>
      </c>
      <c r="AH316" s="38">
        <f t="shared" si="23"/>
        <v>104.783625</v>
      </c>
      <c r="AI316" s="38">
        <f t="shared" si="23"/>
        <v>104.32740000000001</v>
      </c>
      <c r="AJ316" s="38">
        <f t="shared" si="23"/>
        <v>103.638125</v>
      </c>
      <c r="AK316" s="38">
        <f t="shared" si="23"/>
        <v>103.01205000000002</v>
      </c>
      <c r="AL316" s="38">
        <f t="shared" si="23"/>
        <v>95.748000000000005</v>
      </c>
      <c r="AM316" s="22" t="str">
        <f>AN316&amp;" - "&amp;C316</f>
        <v>EAI - Russia</v>
      </c>
      <c r="AN316" s="22" t="s">
        <v>3119</v>
      </c>
      <c r="AO316" s="331"/>
      <c r="AS316" s="471"/>
      <c r="AT316" s="471"/>
      <c r="AU316" s="354"/>
    </row>
    <row r="317" spans="1:47">
      <c r="A317" s="5"/>
      <c r="B317" s="332" t="s">
        <v>3210</v>
      </c>
      <c r="C317" s="330" t="s">
        <v>1703</v>
      </c>
      <c r="D317" s="55" t="s">
        <v>2273</v>
      </c>
      <c r="E317" s="330" t="s">
        <v>1927</v>
      </c>
      <c r="F317" s="330" t="s">
        <v>1928</v>
      </c>
      <c r="G317" s="330" t="s">
        <v>3374</v>
      </c>
      <c r="H317" s="330" t="s">
        <v>116</v>
      </c>
      <c r="I317" s="330" t="s">
        <v>1931</v>
      </c>
      <c r="J317" s="38">
        <v>100</v>
      </c>
      <c r="K317" s="296"/>
      <c r="L317" s="296"/>
      <c r="M317" s="296"/>
      <c r="N317" s="296"/>
      <c r="O317" s="296"/>
      <c r="P317" s="296"/>
      <c r="Q317" s="296"/>
      <c r="R317" s="296"/>
      <c r="S317" s="296"/>
      <c r="T317" s="330"/>
      <c r="U317" s="38">
        <f t="shared" ref="U317:AD326" si="26">INDEX(U$253:U$287,MATCH($D317,$D$253:$D$287,0))*$D$251</f>
        <v>9.8750000000000004E-2</v>
      </c>
      <c r="V317" s="38">
        <f t="shared" si="26"/>
        <v>0.10270000000000001</v>
      </c>
      <c r="W317" s="38">
        <f t="shared" si="26"/>
        <v>0.104675</v>
      </c>
      <c r="X317" s="38">
        <f t="shared" si="26"/>
        <v>0.104675</v>
      </c>
      <c r="Y317" s="38">
        <f t="shared" si="26"/>
        <v>0.104675</v>
      </c>
      <c r="Z317" s="38">
        <f t="shared" si="26"/>
        <v>9.6775E-2</v>
      </c>
      <c r="AA317" s="38">
        <f t="shared" si="26"/>
        <v>8.887500000000001E-2</v>
      </c>
      <c r="AB317" s="38">
        <f t="shared" si="26"/>
        <v>8.2949999999999996E-2</v>
      </c>
      <c r="AC317" s="38">
        <f t="shared" si="26"/>
        <v>7.702500000000001E-2</v>
      </c>
      <c r="AD317" s="38">
        <f t="shared" si="26"/>
        <v>7.3075000000000001E-2</v>
      </c>
      <c r="AE317" s="38">
        <f t="shared" ref="AE317:AL326" si="27">INDEX(AE$253:AE$287,MATCH($D317,$D$253:$D$287,0))*$D$251</f>
        <v>6.7150000000000001E-2</v>
      </c>
      <c r="AF317" s="38">
        <f t="shared" si="27"/>
        <v>6.3200000000000006E-2</v>
      </c>
      <c r="AG317" s="38">
        <f t="shared" si="27"/>
        <v>5.7275E-2</v>
      </c>
      <c r="AH317" s="38">
        <f t="shared" si="27"/>
        <v>5.3325000000000004E-2</v>
      </c>
      <c r="AI317" s="38">
        <f t="shared" si="27"/>
        <v>4.9375000000000002E-2</v>
      </c>
      <c r="AJ317" s="38">
        <f t="shared" si="27"/>
        <v>4.7399999999999998E-2</v>
      </c>
      <c r="AK317" s="38">
        <f t="shared" si="27"/>
        <v>4.3450000000000003E-2</v>
      </c>
      <c r="AL317" s="38">
        <f t="shared" si="27"/>
        <v>3.9500000000000007E-2</v>
      </c>
      <c r="AM317" s="22" t="str">
        <f t="shared" si="25"/>
        <v>EAI - Russia</v>
      </c>
      <c r="AN317" s="22" t="s">
        <v>3119</v>
      </c>
      <c r="AO317" s="331"/>
      <c r="AS317" s="471"/>
      <c r="AT317" s="471"/>
      <c r="AU317" s="354"/>
    </row>
    <row r="318" spans="1:47">
      <c r="A318" s="5"/>
      <c r="B318" s="332" t="s">
        <v>3210</v>
      </c>
      <c r="C318" s="330" t="s">
        <v>1703</v>
      </c>
      <c r="D318" s="55" t="s">
        <v>2274</v>
      </c>
      <c r="E318" s="330" t="s">
        <v>1927</v>
      </c>
      <c r="F318" s="330" t="s">
        <v>1928</v>
      </c>
      <c r="G318" s="330" t="s">
        <v>3374</v>
      </c>
      <c r="H318" s="330" t="s">
        <v>116</v>
      </c>
      <c r="I318" s="330" t="s">
        <v>1931</v>
      </c>
      <c r="J318" s="38">
        <v>100</v>
      </c>
      <c r="K318" s="296"/>
      <c r="L318" s="296"/>
      <c r="M318" s="296"/>
      <c r="N318" s="296"/>
      <c r="O318" s="296"/>
      <c r="P318" s="296"/>
      <c r="Q318" s="296"/>
      <c r="R318" s="296"/>
      <c r="S318" s="296"/>
      <c r="T318" s="330"/>
      <c r="U318" s="38">
        <f t="shared" si="26"/>
        <v>6.7268500000000007</v>
      </c>
      <c r="V318" s="38">
        <f t="shared" si="26"/>
        <v>7.664975000000001</v>
      </c>
      <c r="W318" s="38">
        <f t="shared" si="26"/>
        <v>8.3285750000000007</v>
      </c>
      <c r="X318" s="38">
        <f t="shared" si="26"/>
        <v>7.8308749999999998</v>
      </c>
      <c r="Y318" s="38">
        <f t="shared" si="26"/>
        <v>7.0033500000000002</v>
      </c>
      <c r="Z318" s="38">
        <f t="shared" si="26"/>
        <v>6.3437000000000001</v>
      </c>
      <c r="AA318" s="38">
        <f t="shared" si="26"/>
        <v>6.3002500000000001</v>
      </c>
      <c r="AB318" s="38">
        <f t="shared" si="26"/>
        <v>6.1699000000000002</v>
      </c>
      <c r="AC318" s="38">
        <f t="shared" si="26"/>
        <v>6.0474500000000004</v>
      </c>
      <c r="AD318" s="38">
        <f t="shared" si="26"/>
        <v>5.9250000000000007</v>
      </c>
      <c r="AE318" s="38">
        <f t="shared" si="27"/>
        <v>5.8064999999999998</v>
      </c>
      <c r="AF318" s="38">
        <f t="shared" si="27"/>
        <v>5.6899749999999996</v>
      </c>
      <c r="AG318" s="38">
        <f t="shared" si="27"/>
        <v>5.5773999999999999</v>
      </c>
      <c r="AH318" s="38">
        <f t="shared" si="27"/>
        <v>5.4648250000000003</v>
      </c>
      <c r="AI318" s="38">
        <f t="shared" si="27"/>
        <v>5.3562000000000003</v>
      </c>
      <c r="AJ318" s="38">
        <f t="shared" si="27"/>
        <v>5.2495500000000002</v>
      </c>
      <c r="AK318" s="38">
        <f t="shared" si="27"/>
        <v>5.1448750000000008</v>
      </c>
      <c r="AL318" s="38">
        <f t="shared" si="27"/>
        <v>5.0421750000000003</v>
      </c>
      <c r="AM318" s="22" t="str">
        <f t="shared" si="25"/>
        <v>EAI - Russia</v>
      </c>
      <c r="AN318" s="22" t="s">
        <v>3119</v>
      </c>
      <c r="AO318" s="331"/>
      <c r="AS318" s="471"/>
      <c r="AT318" s="471"/>
      <c r="AU318" s="354"/>
    </row>
    <row r="319" spans="1:47">
      <c r="A319" s="5"/>
      <c r="B319" s="332" t="s">
        <v>3210</v>
      </c>
      <c r="C319" s="330" t="s">
        <v>1703</v>
      </c>
      <c r="D319" s="55" t="s">
        <v>1816</v>
      </c>
      <c r="E319" s="330" t="s">
        <v>1927</v>
      </c>
      <c r="F319" s="330" t="s">
        <v>1928</v>
      </c>
      <c r="G319" s="330" t="s">
        <v>1932</v>
      </c>
      <c r="H319" s="330" t="s">
        <v>116</v>
      </c>
      <c r="I319" s="330" t="s">
        <v>1931</v>
      </c>
      <c r="J319" s="38">
        <v>80</v>
      </c>
      <c r="K319" s="296"/>
      <c r="L319" s="296"/>
      <c r="M319" s="296"/>
      <c r="N319" s="296"/>
      <c r="O319" s="296"/>
      <c r="P319" s="296"/>
      <c r="Q319" s="296"/>
      <c r="R319" s="296"/>
      <c r="S319" s="296"/>
      <c r="T319" s="330"/>
      <c r="U319" s="38">
        <f t="shared" si="26"/>
        <v>0.21172000000000002</v>
      </c>
      <c r="V319" s="38">
        <f t="shared" si="26"/>
        <v>0.4710375</v>
      </c>
      <c r="W319" s="38">
        <f t="shared" si="26"/>
        <v>0.57274999999999998</v>
      </c>
      <c r="X319" s="38">
        <f t="shared" si="26"/>
        <v>0.52140000000000009</v>
      </c>
      <c r="Y319" s="38">
        <f t="shared" si="26"/>
        <v>0.47399999999999998</v>
      </c>
      <c r="Z319" s="38">
        <f t="shared" si="26"/>
        <v>0.43055000000000004</v>
      </c>
      <c r="AA319" s="38">
        <f t="shared" si="26"/>
        <v>0.39105000000000001</v>
      </c>
      <c r="AB319" s="38">
        <f t="shared" si="26"/>
        <v>0.35747500000000004</v>
      </c>
      <c r="AC319" s="38">
        <f t="shared" si="26"/>
        <v>0.337725</v>
      </c>
      <c r="AD319" s="38">
        <f t="shared" si="26"/>
        <v>0.31995000000000001</v>
      </c>
      <c r="AE319" s="38">
        <f t="shared" si="27"/>
        <v>0.30415000000000003</v>
      </c>
      <c r="AF319" s="38">
        <f t="shared" si="27"/>
        <v>0.28835</v>
      </c>
      <c r="AG319" s="38">
        <f t="shared" si="27"/>
        <v>0.27452500000000002</v>
      </c>
      <c r="AH319" s="38">
        <f t="shared" si="27"/>
        <v>0.26070000000000004</v>
      </c>
      <c r="AI319" s="38">
        <f t="shared" si="27"/>
        <v>0.24885000000000002</v>
      </c>
      <c r="AJ319" s="38">
        <f t="shared" si="27"/>
        <v>0.23502500000000001</v>
      </c>
      <c r="AK319" s="38">
        <f t="shared" si="27"/>
        <v>0.22317499999999998</v>
      </c>
      <c r="AL319" s="38">
        <f t="shared" si="27"/>
        <v>0.21132500000000001</v>
      </c>
      <c r="AM319" s="22" t="str">
        <f t="shared" si="25"/>
        <v>EAI - Russia</v>
      </c>
      <c r="AN319" s="22" t="s">
        <v>3119</v>
      </c>
      <c r="AO319" s="331"/>
      <c r="AS319" s="471"/>
      <c r="AT319" s="471"/>
      <c r="AU319" s="354"/>
    </row>
    <row r="320" spans="1:47">
      <c r="A320" s="5"/>
      <c r="B320" s="332" t="s">
        <v>3210</v>
      </c>
      <c r="C320" s="330" t="s">
        <v>1703</v>
      </c>
      <c r="D320" s="55" t="s">
        <v>2275</v>
      </c>
      <c r="E320" s="330" t="s">
        <v>1927</v>
      </c>
      <c r="F320" s="330" t="s">
        <v>1928</v>
      </c>
      <c r="G320" s="330" t="s">
        <v>3374</v>
      </c>
      <c r="H320" s="330" t="s">
        <v>116</v>
      </c>
      <c r="I320" s="330" t="s">
        <v>1933</v>
      </c>
      <c r="J320" s="38">
        <v>100</v>
      </c>
      <c r="K320" s="296"/>
      <c r="L320" s="296"/>
      <c r="M320" s="296"/>
      <c r="N320" s="296"/>
      <c r="O320" s="296"/>
      <c r="P320" s="296"/>
      <c r="Q320" s="296"/>
      <c r="R320" s="296"/>
      <c r="S320" s="296"/>
      <c r="T320" s="330"/>
      <c r="U320" s="38">
        <f t="shared" si="26"/>
        <v>5.7334250000000004</v>
      </c>
      <c r="V320" s="38">
        <f t="shared" si="26"/>
        <v>5.7038000000000002</v>
      </c>
      <c r="W320" s="38">
        <f t="shared" si="26"/>
        <v>5.6603500000000002</v>
      </c>
      <c r="X320" s="38">
        <f t="shared" si="26"/>
        <v>5.8124250000000002</v>
      </c>
      <c r="Y320" s="38">
        <f t="shared" si="26"/>
        <v>5.5517250000000002</v>
      </c>
      <c r="Z320" s="38">
        <f t="shared" si="26"/>
        <v>5.27325</v>
      </c>
      <c r="AA320" s="38">
        <f t="shared" si="26"/>
        <v>5.1685750000000006</v>
      </c>
      <c r="AB320" s="38">
        <f t="shared" si="26"/>
        <v>5.0639000000000003</v>
      </c>
      <c r="AC320" s="38">
        <f t="shared" si="26"/>
        <v>4.9631749999999997</v>
      </c>
      <c r="AD320" s="38">
        <f t="shared" si="26"/>
        <v>4.8644249999999998</v>
      </c>
      <c r="AE320" s="38">
        <f t="shared" si="27"/>
        <v>4.7656749999999999</v>
      </c>
      <c r="AF320" s="38">
        <f t="shared" si="27"/>
        <v>4.6708749999999997</v>
      </c>
      <c r="AG320" s="38">
        <f t="shared" si="27"/>
        <v>4.5780500000000002</v>
      </c>
      <c r="AH320" s="38">
        <f t="shared" si="27"/>
        <v>4.3489500000000003</v>
      </c>
      <c r="AI320" s="38">
        <f t="shared" si="27"/>
        <v>4.1317000000000004</v>
      </c>
      <c r="AJ320" s="38">
        <f t="shared" si="27"/>
        <v>3.9243250000000005</v>
      </c>
      <c r="AK320" s="38">
        <f t="shared" si="27"/>
        <v>3.7288000000000001</v>
      </c>
      <c r="AL320" s="38">
        <f t="shared" si="27"/>
        <v>3.5431500000000002</v>
      </c>
      <c r="AM320" s="22" t="str">
        <f t="shared" si="25"/>
        <v>EAI - Russia</v>
      </c>
      <c r="AN320" s="22" t="s">
        <v>3119</v>
      </c>
      <c r="AO320" s="331"/>
      <c r="AS320" s="471"/>
      <c r="AT320" s="471"/>
      <c r="AU320" s="354"/>
    </row>
    <row r="321" spans="1:47">
      <c r="A321" s="5"/>
      <c r="B321" s="332" t="s">
        <v>3210</v>
      </c>
      <c r="C321" s="330" t="s">
        <v>1703</v>
      </c>
      <c r="D321" s="55" t="s">
        <v>3731</v>
      </c>
      <c r="E321" s="330" t="s">
        <v>1927</v>
      </c>
      <c r="F321" s="330" t="s">
        <v>1928</v>
      </c>
      <c r="G321" s="330" t="s">
        <v>3374</v>
      </c>
      <c r="H321" s="330" t="s">
        <v>116</v>
      </c>
      <c r="I321" s="330" t="s">
        <v>1931</v>
      </c>
      <c r="J321" s="38">
        <v>100</v>
      </c>
      <c r="K321" s="296"/>
      <c r="L321" s="296"/>
      <c r="M321" s="296"/>
      <c r="N321" s="296"/>
      <c r="O321" s="296"/>
      <c r="P321" s="296"/>
      <c r="Q321" s="296"/>
      <c r="R321" s="296"/>
      <c r="S321" s="296"/>
      <c r="T321" s="330"/>
      <c r="U321" s="38">
        <f t="shared" si="26"/>
        <v>6.8986749999999999</v>
      </c>
      <c r="V321" s="38">
        <f t="shared" si="26"/>
        <v>6.9559500000000005</v>
      </c>
      <c r="W321" s="38">
        <f t="shared" si="26"/>
        <v>7.4437749999999996</v>
      </c>
      <c r="X321" s="38">
        <f t="shared" si="26"/>
        <v>9.7189750000000004</v>
      </c>
      <c r="Y321" s="38">
        <f t="shared" si="26"/>
        <v>7.8921000000000001</v>
      </c>
      <c r="Z321" s="38">
        <f t="shared" si="26"/>
        <v>9.061300000000001</v>
      </c>
      <c r="AA321" s="38">
        <f t="shared" si="26"/>
        <v>11.838150000000001</v>
      </c>
      <c r="AB321" s="38">
        <f t="shared" si="26"/>
        <v>14.393800000000001</v>
      </c>
      <c r="AC321" s="38">
        <f t="shared" si="26"/>
        <v>19.860600000000002</v>
      </c>
      <c r="AD321" s="38">
        <f t="shared" si="26"/>
        <v>18.752625000000002</v>
      </c>
      <c r="AE321" s="38">
        <f t="shared" si="27"/>
        <v>17.741425</v>
      </c>
      <c r="AF321" s="38">
        <f t="shared" si="27"/>
        <v>16.941549999999999</v>
      </c>
      <c r="AG321" s="38">
        <f t="shared" si="27"/>
        <v>16.244375000000002</v>
      </c>
      <c r="AH321" s="38">
        <f t="shared" si="27"/>
        <v>14.826324999999999</v>
      </c>
      <c r="AI321" s="38">
        <f t="shared" si="27"/>
        <v>13.570224999999999</v>
      </c>
      <c r="AJ321" s="38">
        <f t="shared" si="27"/>
        <v>12.418800000000001</v>
      </c>
      <c r="AK321" s="38">
        <f t="shared" si="27"/>
        <v>11.374025000000001</v>
      </c>
      <c r="AL321" s="38">
        <f t="shared" si="27"/>
        <v>10.418125</v>
      </c>
      <c r="AM321" s="22" t="str">
        <f t="shared" si="25"/>
        <v>EAI - Russia</v>
      </c>
      <c r="AN321" s="22" t="s">
        <v>3119</v>
      </c>
      <c r="AO321" s="331"/>
      <c r="AS321" s="471"/>
      <c r="AT321" s="471"/>
      <c r="AU321" s="354"/>
    </row>
    <row r="322" spans="1:47">
      <c r="A322" s="5"/>
      <c r="B322" s="332" t="s">
        <v>3210</v>
      </c>
      <c r="C322" s="330" t="s">
        <v>1703</v>
      </c>
      <c r="D322" s="55" t="s">
        <v>2030</v>
      </c>
      <c r="E322" s="330" t="s">
        <v>1927</v>
      </c>
      <c r="F322" s="330" t="s">
        <v>1928</v>
      </c>
      <c r="G322" s="330" t="s">
        <v>1932</v>
      </c>
      <c r="H322" s="330" t="s">
        <v>116</v>
      </c>
      <c r="I322" s="330" t="s">
        <v>1931</v>
      </c>
      <c r="J322" s="38">
        <v>97.08</v>
      </c>
      <c r="K322" s="296"/>
      <c r="L322" s="296"/>
      <c r="M322" s="296"/>
      <c r="N322" s="296"/>
      <c r="O322" s="296"/>
      <c r="P322" s="296"/>
      <c r="Q322" s="296"/>
      <c r="R322" s="296"/>
      <c r="S322" s="296"/>
      <c r="T322" s="330"/>
      <c r="U322" s="38">
        <f t="shared" si="26"/>
        <v>16.491644999999998</v>
      </c>
      <c r="V322" s="38">
        <f t="shared" si="26"/>
        <v>52.255537499999996</v>
      </c>
      <c r="W322" s="38">
        <f t="shared" si="26"/>
        <v>51.760799999999996</v>
      </c>
      <c r="X322" s="38">
        <f t="shared" si="26"/>
        <v>43.035250000000005</v>
      </c>
      <c r="Y322" s="38">
        <f t="shared" si="26"/>
        <v>39.225475000000003</v>
      </c>
      <c r="Z322" s="38">
        <f t="shared" si="26"/>
        <v>36.525649999999999</v>
      </c>
      <c r="AA322" s="38">
        <f t="shared" si="26"/>
        <v>32.135225000000005</v>
      </c>
      <c r="AB322" s="38">
        <f t="shared" si="26"/>
        <v>30.120725</v>
      </c>
      <c r="AC322" s="38">
        <f t="shared" si="26"/>
        <v>28.959425</v>
      </c>
      <c r="AD322" s="38">
        <f t="shared" si="26"/>
        <v>26.832350000000005</v>
      </c>
      <c r="AE322" s="38">
        <f t="shared" si="27"/>
        <v>24.898824999999999</v>
      </c>
      <c r="AF322" s="38">
        <f t="shared" si="27"/>
        <v>23.137125000000001</v>
      </c>
      <c r="AG322" s="38">
        <f t="shared" si="27"/>
        <v>18.622275000000002</v>
      </c>
      <c r="AH322" s="38">
        <f t="shared" si="27"/>
        <v>17.332600000000003</v>
      </c>
      <c r="AI322" s="38">
        <f t="shared" si="27"/>
        <v>16.141675000000003</v>
      </c>
      <c r="AJ322" s="38">
        <f t="shared" si="27"/>
        <v>15.037650000000001</v>
      </c>
      <c r="AK322" s="38">
        <f t="shared" si="27"/>
        <v>14.016575</v>
      </c>
      <c r="AL322" s="38">
        <f t="shared" si="27"/>
        <v>13.062650000000001</v>
      </c>
      <c r="AM322" s="22" t="str">
        <f t="shared" si="25"/>
        <v>EAI - Russia</v>
      </c>
      <c r="AN322" s="22" t="s">
        <v>3119</v>
      </c>
      <c r="AO322" s="331"/>
      <c r="AS322" s="471"/>
      <c r="AT322" s="471"/>
      <c r="AU322" s="354"/>
    </row>
    <row r="323" spans="1:47">
      <c r="A323" s="5"/>
      <c r="B323" s="332" t="s">
        <v>3210</v>
      </c>
      <c r="C323" s="330" t="s">
        <v>1703</v>
      </c>
      <c r="D323" s="55" t="s">
        <v>1749</v>
      </c>
      <c r="E323" s="330" t="s">
        <v>1927</v>
      </c>
      <c r="F323" s="330" t="s">
        <v>1928</v>
      </c>
      <c r="G323" s="330" t="s">
        <v>3374</v>
      </c>
      <c r="H323" s="330" t="s">
        <v>116</v>
      </c>
      <c r="I323" s="330" t="s">
        <v>1931</v>
      </c>
      <c r="J323" s="38">
        <v>100</v>
      </c>
      <c r="K323" s="296"/>
      <c r="L323" s="296"/>
      <c r="M323" s="296"/>
      <c r="N323" s="296"/>
      <c r="O323" s="296"/>
      <c r="P323" s="296"/>
      <c r="Q323" s="296"/>
      <c r="R323" s="296"/>
      <c r="S323" s="296"/>
      <c r="T323" s="330"/>
      <c r="U323" s="38">
        <f t="shared" si="26"/>
        <v>35.751450000000006</v>
      </c>
      <c r="V323" s="38">
        <f t="shared" si="26"/>
        <v>54.300650000000005</v>
      </c>
      <c r="W323" s="38">
        <f t="shared" si="26"/>
        <v>53.170950000000005</v>
      </c>
      <c r="X323" s="38">
        <f t="shared" si="26"/>
        <v>54.053775000000002</v>
      </c>
      <c r="Y323" s="38">
        <f t="shared" si="26"/>
        <v>52.27825</v>
      </c>
      <c r="Z323" s="38">
        <f t="shared" si="26"/>
        <v>51.053750000000001</v>
      </c>
      <c r="AA323" s="38">
        <f t="shared" si="26"/>
        <v>52.14</v>
      </c>
      <c r="AB323" s="38">
        <f t="shared" si="26"/>
        <v>54.3125</v>
      </c>
      <c r="AC323" s="38">
        <f t="shared" si="26"/>
        <v>55.3553</v>
      </c>
      <c r="AD323" s="38">
        <f t="shared" si="26"/>
        <v>56.334900000000005</v>
      </c>
      <c r="AE323" s="38">
        <f t="shared" si="27"/>
        <v>55.207174999999999</v>
      </c>
      <c r="AF323" s="38">
        <f t="shared" si="27"/>
        <v>52.367124999999994</v>
      </c>
      <c r="AG323" s="38">
        <f t="shared" si="27"/>
        <v>50.806875000000005</v>
      </c>
      <c r="AH323" s="38">
        <f t="shared" si="27"/>
        <v>49.292050000000003</v>
      </c>
      <c r="AI323" s="38">
        <f t="shared" si="27"/>
        <v>47.824625000000005</v>
      </c>
      <c r="AJ323" s="38">
        <f t="shared" si="27"/>
        <v>46.398675000000004</v>
      </c>
      <c r="AK323" s="38">
        <f t="shared" si="27"/>
        <v>45.016175000000004</v>
      </c>
      <c r="AL323" s="38">
        <f t="shared" si="27"/>
        <v>43.675150000000002</v>
      </c>
      <c r="AM323" s="22" t="str">
        <f t="shared" si="25"/>
        <v>EAI - Russia</v>
      </c>
      <c r="AN323" s="22" t="s">
        <v>3119</v>
      </c>
      <c r="AO323" s="331"/>
      <c r="AS323" s="471"/>
      <c r="AT323" s="471"/>
      <c r="AU323" s="354"/>
    </row>
    <row r="324" spans="1:47">
      <c r="A324" s="5"/>
      <c r="B324" s="332" t="s">
        <v>3210</v>
      </c>
      <c r="C324" s="330" t="s">
        <v>1703</v>
      </c>
      <c r="D324" s="55" t="s">
        <v>1750</v>
      </c>
      <c r="E324" s="330" t="s">
        <v>1927</v>
      </c>
      <c r="F324" s="330" t="s">
        <v>1928</v>
      </c>
      <c r="G324" s="330" t="s">
        <v>3374</v>
      </c>
      <c r="H324" s="330" t="s">
        <v>116</v>
      </c>
      <c r="I324" s="330" t="s">
        <v>1931</v>
      </c>
      <c r="J324" s="38">
        <v>100</v>
      </c>
      <c r="K324" s="296"/>
      <c r="L324" s="296"/>
      <c r="M324" s="296"/>
      <c r="N324" s="296"/>
      <c r="O324" s="296"/>
      <c r="P324" s="296"/>
      <c r="Q324" s="296"/>
      <c r="R324" s="296"/>
      <c r="S324" s="296"/>
      <c r="T324" s="330"/>
      <c r="U324" s="38">
        <f t="shared" si="26"/>
        <v>6.9125000000000005</v>
      </c>
      <c r="V324" s="38">
        <f t="shared" si="26"/>
        <v>7.6906499999999998</v>
      </c>
      <c r="W324" s="38">
        <f t="shared" si="26"/>
        <v>7.7657000000000007</v>
      </c>
      <c r="X324" s="38">
        <f t="shared" si="26"/>
        <v>7.6590500000000006</v>
      </c>
      <c r="Y324" s="38">
        <f t="shared" si="26"/>
        <v>7.7755749999999999</v>
      </c>
      <c r="Z324" s="38">
        <f t="shared" si="26"/>
        <v>7.5543750000000003</v>
      </c>
      <c r="AA324" s="38">
        <f t="shared" si="26"/>
        <v>7.3331750000000007</v>
      </c>
      <c r="AB324" s="38">
        <f t="shared" si="26"/>
        <v>7.198875000000001</v>
      </c>
      <c r="AC324" s="38">
        <f t="shared" si="26"/>
        <v>6.9836</v>
      </c>
      <c r="AD324" s="38">
        <f t="shared" si="26"/>
        <v>6.7742499999999994</v>
      </c>
      <c r="AE324" s="38">
        <f t="shared" si="27"/>
        <v>6.4345499999999998</v>
      </c>
      <c r="AF324" s="38">
        <f t="shared" si="27"/>
        <v>6.1126250000000004</v>
      </c>
      <c r="AG324" s="38">
        <f t="shared" si="27"/>
        <v>5.8064999999999998</v>
      </c>
      <c r="AH324" s="38">
        <f t="shared" si="27"/>
        <v>5.5161750000000005</v>
      </c>
      <c r="AI324" s="38">
        <f t="shared" si="27"/>
        <v>5.2416499999999999</v>
      </c>
      <c r="AJ324" s="38">
        <f t="shared" si="27"/>
        <v>4.9789750000000002</v>
      </c>
      <c r="AK324" s="38">
        <f t="shared" si="27"/>
        <v>4.7301250000000001</v>
      </c>
      <c r="AL324" s="38">
        <f t="shared" si="27"/>
        <v>4.493125</v>
      </c>
      <c r="AM324" s="22" t="str">
        <f t="shared" si="25"/>
        <v>EAI - Russia</v>
      </c>
      <c r="AN324" s="22" t="s">
        <v>3119</v>
      </c>
      <c r="AO324" s="331"/>
      <c r="AS324" s="471"/>
      <c r="AT324" s="471"/>
      <c r="AU324" s="354"/>
    </row>
    <row r="325" spans="1:47">
      <c r="A325" s="5"/>
      <c r="B325" s="332" t="s">
        <v>3210</v>
      </c>
      <c r="C325" s="330" t="s">
        <v>1703</v>
      </c>
      <c r="D325" s="55" t="s">
        <v>108</v>
      </c>
      <c r="E325" s="330" t="s">
        <v>1927</v>
      </c>
      <c r="F325" s="330" t="s">
        <v>1928</v>
      </c>
      <c r="G325" s="330" t="s">
        <v>3374</v>
      </c>
      <c r="H325" s="330" t="s">
        <v>116</v>
      </c>
      <c r="I325" s="330" t="s">
        <v>1931</v>
      </c>
      <c r="J325" s="38">
        <v>100</v>
      </c>
      <c r="K325" s="296"/>
      <c r="L325" s="296"/>
      <c r="M325" s="296"/>
      <c r="N325" s="296"/>
      <c r="O325" s="296"/>
      <c r="P325" s="296"/>
      <c r="Q325" s="296"/>
      <c r="R325" s="296"/>
      <c r="S325" s="296"/>
      <c r="T325" s="330"/>
      <c r="U325" s="38">
        <f t="shared" si="26"/>
        <v>64.971575000000001</v>
      </c>
      <c r="V325" s="38">
        <f t="shared" si="26"/>
        <v>66.648349999999994</v>
      </c>
      <c r="W325" s="38">
        <f t="shared" si="26"/>
        <v>72.938725000000005</v>
      </c>
      <c r="X325" s="38">
        <f t="shared" si="26"/>
        <v>66.984100000000012</v>
      </c>
      <c r="Y325" s="38">
        <f t="shared" si="26"/>
        <v>62.192749999999997</v>
      </c>
      <c r="Z325" s="38">
        <f t="shared" si="26"/>
        <v>57.671975000000003</v>
      </c>
      <c r="AA325" s="38">
        <f t="shared" si="26"/>
        <v>53.3645</v>
      </c>
      <c r="AB325" s="38">
        <f t="shared" si="26"/>
        <v>49.386850000000003</v>
      </c>
      <c r="AC325" s="38">
        <f t="shared" si="26"/>
        <v>45.711374999999997</v>
      </c>
      <c r="AD325" s="38">
        <f t="shared" si="26"/>
        <v>42.31635</v>
      </c>
      <c r="AE325" s="38">
        <f t="shared" si="27"/>
        <v>39.176100000000005</v>
      </c>
      <c r="AF325" s="38">
        <f t="shared" si="27"/>
        <v>36.268900000000002</v>
      </c>
      <c r="AG325" s="38">
        <f t="shared" si="27"/>
        <v>33.582900000000002</v>
      </c>
      <c r="AH325" s="38">
        <f t="shared" si="27"/>
        <v>31.104275000000005</v>
      </c>
      <c r="AI325" s="38">
        <f t="shared" si="27"/>
        <v>28.809325000000001</v>
      </c>
      <c r="AJ325" s="38">
        <f t="shared" si="27"/>
        <v>26.686200000000003</v>
      </c>
      <c r="AK325" s="38">
        <f t="shared" si="27"/>
        <v>24.721075000000003</v>
      </c>
      <c r="AL325" s="38">
        <f t="shared" si="27"/>
        <v>22.90605</v>
      </c>
      <c r="AM325" s="22" t="str">
        <f t="shared" si="25"/>
        <v>EAI - Russia</v>
      </c>
      <c r="AN325" s="22" t="s">
        <v>3119</v>
      </c>
      <c r="AO325" s="331"/>
      <c r="AS325" s="471"/>
      <c r="AT325" s="471"/>
      <c r="AU325" s="354"/>
    </row>
    <row r="326" spans="1:47">
      <c r="A326" s="5"/>
      <c r="B326" s="332" t="s">
        <v>3210</v>
      </c>
      <c r="C326" s="330" t="s">
        <v>1703</v>
      </c>
      <c r="D326" s="55" t="s">
        <v>1751</v>
      </c>
      <c r="E326" s="330" t="s">
        <v>1927</v>
      </c>
      <c r="F326" s="330" t="s">
        <v>2960</v>
      </c>
      <c r="G326" s="330" t="s">
        <v>3374</v>
      </c>
      <c r="H326" s="330" t="s">
        <v>2966</v>
      </c>
      <c r="I326" s="330" t="s">
        <v>2600</v>
      </c>
      <c r="J326" s="38">
        <v>20</v>
      </c>
      <c r="K326" s="296"/>
      <c r="L326" s="296"/>
      <c r="M326" s="296"/>
      <c r="N326" s="296"/>
      <c r="O326" s="296"/>
      <c r="P326" s="296"/>
      <c r="Q326" s="296"/>
      <c r="R326" s="296"/>
      <c r="S326" s="296"/>
      <c r="T326" s="330"/>
      <c r="U326" s="38">
        <f t="shared" si="26"/>
        <v>9.6538000000000004</v>
      </c>
      <c r="V326" s="38">
        <f t="shared" si="26"/>
        <v>8.1824250000000003</v>
      </c>
      <c r="W326" s="38">
        <f t="shared" si="26"/>
        <v>8.2614250000000009</v>
      </c>
      <c r="X326" s="38">
        <f t="shared" si="26"/>
        <v>7.471425</v>
      </c>
      <c r="Y326" s="38">
        <f t="shared" si="26"/>
        <v>6.3239500000000008</v>
      </c>
      <c r="Z326" s="38">
        <f t="shared" si="26"/>
        <v>5.7136750000000003</v>
      </c>
      <c r="AA326" s="38">
        <f t="shared" si="26"/>
        <v>5.3719999999999999</v>
      </c>
      <c r="AB326" s="38">
        <f t="shared" si="26"/>
        <v>5.0718000000000005</v>
      </c>
      <c r="AC326" s="38">
        <f t="shared" si="26"/>
        <v>4.7676500000000006</v>
      </c>
      <c r="AD326" s="38">
        <f t="shared" si="26"/>
        <v>4.6057000000000006</v>
      </c>
      <c r="AE326" s="38">
        <f t="shared" si="27"/>
        <v>4.4338750000000005</v>
      </c>
      <c r="AF326" s="38">
        <f t="shared" si="27"/>
        <v>21.110775</v>
      </c>
      <c r="AG326" s="38">
        <f t="shared" si="27"/>
        <v>27.954149999999998</v>
      </c>
      <c r="AH326" s="38">
        <f t="shared" si="27"/>
        <v>27.651975</v>
      </c>
      <c r="AI326" s="38">
        <f t="shared" si="27"/>
        <v>27.505825000000002</v>
      </c>
      <c r="AJ326" s="38">
        <f t="shared" si="27"/>
        <v>27.377450000000003</v>
      </c>
      <c r="AK326" s="38">
        <f t="shared" si="27"/>
        <v>27.177975000000004</v>
      </c>
      <c r="AL326" s="38">
        <f t="shared" si="27"/>
        <v>26.94295</v>
      </c>
      <c r="AM326" s="22" t="str">
        <f t="shared" si="25"/>
        <v>EAI - Russia</v>
      </c>
      <c r="AN326" s="22" t="s">
        <v>3119</v>
      </c>
      <c r="AO326" s="331"/>
      <c r="AS326" s="471"/>
      <c r="AT326" s="471"/>
      <c r="AU326" s="354"/>
    </row>
    <row r="327" spans="1:47">
      <c r="A327" s="5"/>
      <c r="B327" s="332" t="s">
        <v>3210</v>
      </c>
      <c r="C327" s="330" t="s">
        <v>1703</v>
      </c>
      <c r="D327" s="55" t="s">
        <v>1752</v>
      </c>
      <c r="E327" s="330" t="s">
        <v>1927</v>
      </c>
      <c r="F327" s="330" t="s">
        <v>1928</v>
      </c>
      <c r="G327" s="330" t="s">
        <v>3374</v>
      </c>
      <c r="H327" s="330" t="s">
        <v>116</v>
      </c>
      <c r="I327" s="330" t="s">
        <v>1933</v>
      </c>
      <c r="J327" s="38">
        <v>100</v>
      </c>
      <c r="K327" s="296"/>
      <c r="L327" s="296"/>
      <c r="M327" s="296"/>
      <c r="N327" s="296"/>
      <c r="O327" s="296"/>
      <c r="P327" s="296"/>
      <c r="Q327" s="296"/>
      <c r="R327" s="296"/>
      <c r="S327" s="296"/>
      <c r="T327" s="330"/>
      <c r="U327" s="38">
        <f t="shared" ref="U327:AD341" si="28">INDEX(U$253:U$287,MATCH($D327,$D$253:$D$287,0))*$D$251</f>
        <v>9.355575</v>
      </c>
      <c r="V327" s="38">
        <f t="shared" si="28"/>
        <v>9.0553750000000015</v>
      </c>
      <c r="W327" s="38">
        <f t="shared" si="28"/>
        <v>8.4174500000000005</v>
      </c>
      <c r="X327" s="38">
        <f t="shared" si="28"/>
        <v>7.8150750000000002</v>
      </c>
      <c r="Y327" s="38">
        <f t="shared" si="28"/>
        <v>7.3193500000000009</v>
      </c>
      <c r="Z327" s="38">
        <f t="shared" si="28"/>
        <v>6.8769500000000008</v>
      </c>
      <c r="AA327" s="38">
        <f t="shared" si="28"/>
        <v>6.2982750000000003</v>
      </c>
      <c r="AB327" s="38">
        <f t="shared" si="28"/>
        <v>5.7650250000000005</v>
      </c>
      <c r="AC327" s="38">
        <f t="shared" si="28"/>
        <v>5.2831250000000001</v>
      </c>
      <c r="AD327" s="38">
        <f t="shared" si="28"/>
        <v>4.8506</v>
      </c>
      <c r="AE327" s="38">
        <f t="shared" ref="AE327:AL341" si="29">INDEX(AE$253:AE$287,MATCH($D327,$D$253:$D$287,0))*$D$251</f>
        <v>4.4555999999999996</v>
      </c>
      <c r="AF327" s="38">
        <f t="shared" si="29"/>
        <v>4.0941749999999999</v>
      </c>
      <c r="AG327" s="38">
        <f t="shared" si="29"/>
        <v>3.7702750000000003</v>
      </c>
      <c r="AH327" s="38">
        <f t="shared" si="29"/>
        <v>3.4680999999999997</v>
      </c>
      <c r="AI327" s="38">
        <f t="shared" si="29"/>
        <v>3.1975250000000006</v>
      </c>
      <c r="AJ327" s="38">
        <f t="shared" si="29"/>
        <v>2.9427500000000002</v>
      </c>
      <c r="AK327" s="38">
        <f t="shared" si="29"/>
        <v>2.7176</v>
      </c>
      <c r="AL327" s="38">
        <f t="shared" si="29"/>
        <v>2.5122000000000004</v>
      </c>
      <c r="AM327" s="22" t="str">
        <f>AN327&amp;" - "&amp;C327</f>
        <v>EAI - Russia</v>
      </c>
      <c r="AN327" s="22" t="s">
        <v>3119</v>
      </c>
      <c r="AO327" s="331"/>
      <c r="AS327" s="471"/>
      <c r="AT327" s="471"/>
      <c r="AU327" s="354"/>
    </row>
    <row r="328" spans="1:47">
      <c r="A328" s="5"/>
      <c r="B328" s="332" t="s">
        <v>3210</v>
      </c>
      <c r="C328" s="330" t="s">
        <v>1703</v>
      </c>
      <c r="D328" s="55" t="s">
        <v>1753</v>
      </c>
      <c r="E328" s="330" t="s">
        <v>1927</v>
      </c>
      <c r="F328" s="330" t="s">
        <v>1928</v>
      </c>
      <c r="G328" s="330" t="s">
        <v>3374</v>
      </c>
      <c r="H328" s="330" t="s">
        <v>116</v>
      </c>
      <c r="I328" s="330" t="s">
        <v>1933</v>
      </c>
      <c r="J328" s="38">
        <v>100</v>
      </c>
      <c r="K328" s="296"/>
      <c r="L328" s="296"/>
      <c r="M328" s="296"/>
      <c r="N328" s="296"/>
      <c r="O328" s="296"/>
      <c r="P328" s="296"/>
      <c r="Q328" s="296"/>
      <c r="R328" s="296"/>
      <c r="S328" s="296"/>
      <c r="T328" s="330"/>
      <c r="U328" s="38">
        <f t="shared" si="28"/>
        <v>10.627475</v>
      </c>
      <c r="V328" s="38">
        <f t="shared" si="28"/>
        <v>11.927025</v>
      </c>
      <c r="W328" s="38">
        <f t="shared" si="28"/>
        <v>12.651850000000001</v>
      </c>
      <c r="X328" s="38">
        <f t="shared" si="28"/>
        <v>11.399700000000001</v>
      </c>
      <c r="Y328" s="38">
        <f t="shared" si="28"/>
        <v>11.530050000000001</v>
      </c>
      <c r="Z328" s="38">
        <f t="shared" si="28"/>
        <v>11.269350000000001</v>
      </c>
      <c r="AA328" s="38">
        <f t="shared" si="28"/>
        <v>11.502400000000002</v>
      </c>
      <c r="AB328" s="38">
        <f t="shared" si="28"/>
        <v>11.737425</v>
      </c>
      <c r="AC328" s="38">
        <f t="shared" si="28"/>
        <v>10.441825</v>
      </c>
      <c r="AD328" s="38">
        <f t="shared" si="28"/>
        <v>9.2904</v>
      </c>
      <c r="AE328" s="38">
        <f t="shared" si="29"/>
        <v>8.2634000000000007</v>
      </c>
      <c r="AF328" s="38">
        <f t="shared" si="29"/>
        <v>7.3529249999999999</v>
      </c>
      <c r="AG328" s="38">
        <f t="shared" si="29"/>
        <v>6.5411999999999999</v>
      </c>
      <c r="AH328" s="38">
        <f t="shared" si="29"/>
        <v>5.8183500000000006</v>
      </c>
      <c r="AI328" s="38">
        <f t="shared" si="29"/>
        <v>5.1764750000000008</v>
      </c>
      <c r="AJ328" s="38">
        <f t="shared" si="29"/>
        <v>4.6057000000000006</v>
      </c>
      <c r="AK328" s="38">
        <f t="shared" si="29"/>
        <v>4.0961499999999997</v>
      </c>
      <c r="AL328" s="38">
        <f t="shared" si="29"/>
        <v>3.643875</v>
      </c>
      <c r="AM328" s="22" t="str">
        <f t="shared" si="25"/>
        <v>EAI - Russia</v>
      </c>
      <c r="AN328" s="22" t="s">
        <v>3119</v>
      </c>
      <c r="AO328" s="331"/>
      <c r="AS328" s="471"/>
      <c r="AT328" s="471"/>
      <c r="AU328" s="354"/>
    </row>
    <row r="329" spans="1:47">
      <c r="A329" s="5"/>
      <c r="B329" s="332" t="s">
        <v>3210</v>
      </c>
      <c r="C329" s="330" t="s">
        <v>1703</v>
      </c>
      <c r="D329" s="55" t="s">
        <v>673</v>
      </c>
      <c r="E329" s="330" t="s">
        <v>1927</v>
      </c>
      <c r="F329" s="330" t="s">
        <v>1928</v>
      </c>
      <c r="G329" s="330" t="s">
        <v>3374</v>
      </c>
      <c r="H329" s="330" t="s">
        <v>116</v>
      </c>
      <c r="I329" s="330" t="s">
        <v>1933</v>
      </c>
      <c r="J329" s="38">
        <v>100</v>
      </c>
      <c r="K329" s="296"/>
      <c r="L329" s="296"/>
      <c r="M329" s="296"/>
      <c r="N329" s="296"/>
      <c r="O329" s="296"/>
      <c r="P329" s="296"/>
      <c r="Q329" s="296"/>
      <c r="R329" s="296"/>
      <c r="S329" s="296"/>
      <c r="T329" s="330"/>
      <c r="U329" s="38">
        <f t="shared" si="28"/>
        <v>45.294057500000001</v>
      </c>
      <c r="V329" s="38">
        <f t="shared" si="28"/>
        <v>105.55387500000002</v>
      </c>
      <c r="W329" s="38">
        <f t="shared" si="28"/>
        <v>111.19250000000001</v>
      </c>
      <c r="X329" s="38">
        <f t="shared" si="28"/>
        <v>113.1675</v>
      </c>
      <c r="Y329" s="38">
        <f t="shared" si="28"/>
        <v>109.053575</v>
      </c>
      <c r="Z329" s="38">
        <f t="shared" si="28"/>
        <v>102.71580000000002</v>
      </c>
      <c r="AA329" s="38">
        <f t="shared" si="28"/>
        <v>103.72700000000002</v>
      </c>
      <c r="AB329" s="38">
        <f t="shared" si="28"/>
        <v>103.6875</v>
      </c>
      <c r="AC329" s="38">
        <f t="shared" si="28"/>
        <v>97.798050000000003</v>
      </c>
      <c r="AD329" s="38">
        <f t="shared" si="28"/>
        <v>92.250275000000002</v>
      </c>
      <c r="AE329" s="38">
        <f t="shared" si="29"/>
        <v>87.024425000000008</v>
      </c>
      <c r="AF329" s="38">
        <f t="shared" si="29"/>
        <v>82.100750000000005</v>
      </c>
      <c r="AG329" s="38">
        <f t="shared" si="29"/>
        <v>76.764300000000006</v>
      </c>
      <c r="AH329" s="38">
        <f t="shared" si="29"/>
        <v>71.783349999999999</v>
      </c>
      <c r="AI329" s="38">
        <f t="shared" si="29"/>
        <v>67.138149999999996</v>
      </c>
      <c r="AJ329" s="38">
        <f t="shared" si="29"/>
        <v>62.805</v>
      </c>
      <c r="AK329" s="38">
        <f t="shared" si="29"/>
        <v>58.762174999999999</v>
      </c>
      <c r="AL329" s="38">
        <f t="shared" si="29"/>
        <v>54.500124999999997</v>
      </c>
      <c r="AM329" s="22" t="str">
        <f t="shared" si="25"/>
        <v>EAI - Russia</v>
      </c>
      <c r="AN329" s="22" t="s">
        <v>3119</v>
      </c>
      <c r="AO329" s="331"/>
      <c r="AS329" s="471"/>
      <c r="AT329" s="471"/>
      <c r="AU329" s="354"/>
    </row>
    <row r="330" spans="1:47">
      <c r="A330" s="5"/>
      <c r="B330" s="332" t="s">
        <v>3210</v>
      </c>
      <c r="C330" s="330" t="s">
        <v>1703</v>
      </c>
      <c r="D330" s="55" t="s">
        <v>3466</v>
      </c>
      <c r="E330" s="330" t="s">
        <v>1927</v>
      </c>
      <c r="F330" s="330" t="s">
        <v>1928</v>
      </c>
      <c r="G330" s="330" t="s">
        <v>1932</v>
      </c>
      <c r="H330" s="330" t="s">
        <v>116</v>
      </c>
      <c r="I330" s="330" t="s">
        <v>1931</v>
      </c>
      <c r="J330" s="38">
        <v>19.600000000000001</v>
      </c>
      <c r="K330" s="296"/>
      <c r="L330" s="296"/>
      <c r="M330" s="296"/>
      <c r="N330" s="296"/>
      <c r="O330" s="296"/>
      <c r="P330" s="296"/>
      <c r="Q330" s="296"/>
      <c r="R330" s="296"/>
      <c r="S330" s="296"/>
      <c r="T330" s="330"/>
      <c r="U330" s="38">
        <f t="shared" si="28"/>
        <v>3.1323500000000002</v>
      </c>
      <c r="V330" s="38">
        <f t="shared" si="28"/>
        <v>0</v>
      </c>
      <c r="W330" s="38">
        <f t="shared" si="28"/>
        <v>0</v>
      </c>
      <c r="X330" s="38">
        <f t="shared" si="28"/>
        <v>0</v>
      </c>
      <c r="Y330" s="38">
        <f t="shared" si="28"/>
        <v>0</v>
      </c>
      <c r="Z330" s="38">
        <f t="shared" si="28"/>
        <v>0</v>
      </c>
      <c r="AA330" s="38">
        <f t="shared" si="28"/>
        <v>0</v>
      </c>
      <c r="AB330" s="38">
        <f t="shared" si="28"/>
        <v>0</v>
      </c>
      <c r="AC330" s="38">
        <f t="shared" si="28"/>
        <v>0</v>
      </c>
      <c r="AD330" s="38">
        <f t="shared" si="28"/>
        <v>0</v>
      </c>
      <c r="AE330" s="38">
        <f t="shared" si="29"/>
        <v>0</v>
      </c>
      <c r="AF330" s="38">
        <f t="shared" si="29"/>
        <v>0</v>
      </c>
      <c r="AG330" s="38">
        <f t="shared" si="29"/>
        <v>0</v>
      </c>
      <c r="AH330" s="38">
        <f t="shared" si="29"/>
        <v>0</v>
      </c>
      <c r="AI330" s="38">
        <f t="shared" si="29"/>
        <v>0</v>
      </c>
      <c r="AJ330" s="38">
        <f t="shared" si="29"/>
        <v>0</v>
      </c>
      <c r="AK330" s="38">
        <f t="shared" si="29"/>
        <v>0</v>
      </c>
      <c r="AL330" s="38">
        <f t="shared" si="29"/>
        <v>0</v>
      </c>
      <c r="AM330" s="22" t="str">
        <f>AN330&amp;" - "&amp;C330</f>
        <v>EAI - Russia</v>
      </c>
      <c r="AN330" s="22" t="s">
        <v>3119</v>
      </c>
      <c r="AO330" s="331"/>
      <c r="AS330" s="471"/>
      <c r="AT330" s="471"/>
      <c r="AU330" s="354"/>
    </row>
    <row r="331" spans="1:47">
      <c r="A331" s="5"/>
      <c r="B331" s="332" t="s">
        <v>3210</v>
      </c>
      <c r="C331" s="330" t="s">
        <v>1703</v>
      </c>
      <c r="D331" s="55" t="s">
        <v>3467</v>
      </c>
      <c r="E331" s="330" t="s">
        <v>1927</v>
      </c>
      <c r="F331" s="330" t="s">
        <v>1928</v>
      </c>
      <c r="G331" s="330" t="s">
        <v>1929</v>
      </c>
      <c r="H331" s="330" t="s">
        <v>116</v>
      </c>
      <c r="I331" s="330" t="s">
        <v>1931</v>
      </c>
      <c r="J331" s="38">
        <v>100</v>
      </c>
      <c r="K331" s="296"/>
      <c r="L331" s="296"/>
      <c r="M331" s="296"/>
      <c r="N331" s="296"/>
      <c r="O331" s="296"/>
      <c r="P331" s="296"/>
      <c r="Q331" s="296"/>
      <c r="R331" s="296"/>
      <c r="S331" s="296"/>
      <c r="T331" s="330"/>
      <c r="U331" s="38">
        <f t="shared" si="28"/>
        <v>50.613324999999996</v>
      </c>
      <c r="V331" s="38">
        <f t="shared" si="28"/>
        <v>208.26967500000001</v>
      </c>
      <c r="W331" s="38">
        <f t="shared" si="28"/>
        <v>220.88005000000004</v>
      </c>
      <c r="X331" s="38">
        <f t="shared" si="28"/>
        <v>238.97500000000002</v>
      </c>
      <c r="Y331" s="38">
        <f t="shared" si="28"/>
        <v>248.85000000000002</v>
      </c>
      <c r="Z331" s="38">
        <f t="shared" si="28"/>
        <v>258.72500000000002</v>
      </c>
      <c r="AA331" s="38">
        <f t="shared" si="28"/>
        <v>258.72500000000002</v>
      </c>
      <c r="AB331" s="38">
        <f t="shared" si="28"/>
        <v>258.72500000000002</v>
      </c>
      <c r="AC331" s="38">
        <f t="shared" si="28"/>
        <v>258.72500000000002</v>
      </c>
      <c r="AD331" s="38">
        <f t="shared" si="28"/>
        <v>258.72500000000002</v>
      </c>
      <c r="AE331" s="38">
        <f t="shared" si="29"/>
        <v>258.72500000000002</v>
      </c>
      <c r="AF331" s="38">
        <f t="shared" si="29"/>
        <v>258.72500000000002</v>
      </c>
      <c r="AG331" s="38">
        <f t="shared" si="29"/>
        <v>258.72500000000002</v>
      </c>
      <c r="AH331" s="38">
        <f t="shared" si="29"/>
        <v>238.43582499999999</v>
      </c>
      <c r="AI331" s="38">
        <f t="shared" si="29"/>
        <v>219.81947500000001</v>
      </c>
      <c r="AJ331" s="38">
        <f t="shared" si="29"/>
        <v>202.731775</v>
      </c>
      <c r="AK331" s="38">
        <f t="shared" si="29"/>
        <v>187.03842499999999</v>
      </c>
      <c r="AL331" s="38">
        <f t="shared" si="29"/>
        <v>172.61895000000001</v>
      </c>
      <c r="AM331" s="22" t="str">
        <f t="shared" si="25"/>
        <v>EAI - Russia</v>
      </c>
      <c r="AN331" s="22" t="s">
        <v>3119</v>
      </c>
      <c r="AO331" s="331"/>
      <c r="AS331" s="471"/>
      <c r="AT331" s="471"/>
      <c r="AU331" s="354"/>
    </row>
    <row r="332" spans="1:47">
      <c r="A332" s="5"/>
      <c r="B332" s="332" t="s">
        <v>3210</v>
      </c>
      <c r="C332" s="330" t="s">
        <v>1703</v>
      </c>
      <c r="D332" s="55" t="s">
        <v>3378</v>
      </c>
      <c r="E332" s="330" t="s">
        <v>1927</v>
      </c>
      <c r="F332" s="330" t="s">
        <v>1928</v>
      </c>
      <c r="G332" s="330" t="s">
        <v>1932</v>
      </c>
      <c r="H332" s="330" t="s">
        <v>116</v>
      </c>
      <c r="I332" s="330" t="s">
        <v>1931</v>
      </c>
      <c r="J332" s="38">
        <v>100</v>
      </c>
      <c r="K332" s="296"/>
      <c r="L332" s="296"/>
      <c r="M332" s="296"/>
      <c r="N332" s="296"/>
      <c r="O332" s="296"/>
      <c r="P332" s="296"/>
      <c r="Q332" s="296"/>
      <c r="R332" s="296"/>
      <c r="S332" s="296"/>
      <c r="T332" s="330"/>
      <c r="U332" s="38">
        <f t="shared" si="28"/>
        <v>1.431875</v>
      </c>
      <c r="V332" s="38">
        <f t="shared" si="28"/>
        <v>1.352875</v>
      </c>
      <c r="W332" s="38">
        <f t="shared" si="28"/>
        <v>1.2956000000000001</v>
      </c>
      <c r="X332" s="38">
        <f t="shared" si="28"/>
        <v>1.242275</v>
      </c>
      <c r="Y332" s="38">
        <f t="shared" si="28"/>
        <v>1.190925</v>
      </c>
      <c r="Z332" s="38">
        <f t="shared" si="28"/>
        <v>1.1415500000000001</v>
      </c>
      <c r="AA332" s="38">
        <f t="shared" si="28"/>
        <v>1.09415</v>
      </c>
      <c r="AB332" s="38">
        <f t="shared" si="28"/>
        <v>1.0507000000000002</v>
      </c>
      <c r="AC332" s="38">
        <f t="shared" si="28"/>
        <v>1.00725</v>
      </c>
      <c r="AD332" s="38">
        <f t="shared" si="28"/>
        <v>0.96577499999999994</v>
      </c>
      <c r="AE332" s="38">
        <f t="shared" si="29"/>
        <v>0.92430000000000001</v>
      </c>
      <c r="AF332" s="38">
        <f t="shared" si="29"/>
        <v>0.88677500000000009</v>
      </c>
      <c r="AG332" s="38">
        <f t="shared" si="29"/>
        <v>0.85122500000000001</v>
      </c>
      <c r="AH332" s="38">
        <f t="shared" si="29"/>
        <v>0.81567500000000004</v>
      </c>
      <c r="AI332" s="38">
        <f t="shared" si="29"/>
        <v>0.78210000000000002</v>
      </c>
      <c r="AJ332" s="38">
        <f t="shared" si="29"/>
        <v>0.748525</v>
      </c>
      <c r="AK332" s="38">
        <f t="shared" si="29"/>
        <v>0.71890000000000009</v>
      </c>
      <c r="AL332" s="38">
        <f t="shared" si="29"/>
        <v>0.68927500000000008</v>
      </c>
      <c r="AM332" s="22" t="str">
        <f t="shared" si="25"/>
        <v>EAI - Russia</v>
      </c>
      <c r="AN332" s="22" t="s">
        <v>3119</v>
      </c>
      <c r="AO332" s="331"/>
      <c r="AS332" s="471"/>
      <c r="AT332" s="471"/>
      <c r="AU332" s="354"/>
    </row>
    <row r="333" spans="1:47">
      <c r="A333" s="5"/>
      <c r="B333" s="332" t="s">
        <v>3210</v>
      </c>
      <c r="C333" s="330" t="s">
        <v>1703</v>
      </c>
      <c r="D333" s="55" t="s">
        <v>3379</v>
      </c>
      <c r="E333" s="330" t="s">
        <v>1927</v>
      </c>
      <c r="F333" s="330" t="s">
        <v>1928</v>
      </c>
      <c r="G333" s="330" t="s">
        <v>3374</v>
      </c>
      <c r="H333" s="330" t="s">
        <v>116</v>
      </c>
      <c r="I333" s="330" t="s">
        <v>1931</v>
      </c>
      <c r="J333" s="38">
        <v>50</v>
      </c>
      <c r="K333" s="296"/>
      <c r="L333" s="296"/>
      <c r="M333" s="296"/>
      <c r="N333" s="296"/>
      <c r="O333" s="296"/>
      <c r="P333" s="296"/>
      <c r="Q333" s="296"/>
      <c r="R333" s="296"/>
      <c r="S333" s="296"/>
      <c r="T333" s="330"/>
      <c r="U333" s="38">
        <f t="shared" si="28"/>
        <v>16.384599999999999</v>
      </c>
      <c r="V333" s="38">
        <f t="shared" si="28"/>
        <v>16.874400000000001</v>
      </c>
      <c r="W333" s="38">
        <f t="shared" si="28"/>
        <v>17.518250000000002</v>
      </c>
      <c r="X333" s="38">
        <f t="shared" si="28"/>
        <v>17.166700000000002</v>
      </c>
      <c r="Y333" s="38">
        <f t="shared" si="28"/>
        <v>16.574200000000001</v>
      </c>
      <c r="Z333" s="38">
        <f t="shared" si="28"/>
        <v>15.325999999999999</v>
      </c>
      <c r="AA333" s="38">
        <f t="shared" si="28"/>
        <v>14.060025</v>
      </c>
      <c r="AB333" s="38">
        <f t="shared" si="28"/>
        <v>12.900699999999999</v>
      </c>
      <c r="AC333" s="38">
        <f t="shared" si="28"/>
        <v>11.836175000000001</v>
      </c>
      <c r="AD333" s="38">
        <f t="shared" si="28"/>
        <v>10.860525000000001</v>
      </c>
      <c r="AE333" s="38">
        <f t="shared" si="29"/>
        <v>9.9658500000000014</v>
      </c>
      <c r="AF333" s="38">
        <f t="shared" si="29"/>
        <v>9.1462250000000012</v>
      </c>
      <c r="AG333" s="38">
        <f t="shared" si="29"/>
        <v>8.3937500000000007</v>
      </c>
      <c r="AH333" s="38">
        <f t="shared" si="29"/>
        <v>7.7044749999999995</v>
      </c>
      <c r="AI333" s="38">
        <f t="shared" si="29"/>
        <v>7.0744500000000006</v>
      </c>
      <c r="AJ333" s="38">
        <f t="shared" si="29"/>
        <v>6.4938000000000011</v>
      </c>
      <c r="AK333" s="38">
        <f t="shared" si="29"/>
        <v>5.9605500000000005</v>
      </c>
      <c r="AL333" s="38">
        <f t="shared" si="29"/>
        <v>5.4727250000000005</v>
      </c>
      <c r="AM333" s="22" t="str">
        <f t="shared" si="25"/>
        <v>EAI - Russia</v>
      </c>
      <c r="AN333" s="22" t="s">
        <v>3119</v>
      </c>
      <c r="AO333" s="331"/>
      <c r="AS333" s="471"/>
      <c r="AT333" s="471"/>
      <c r="AU333" s="354"/>
    </row>
    <row r="334" spans="1:47">
      <c r="A334" s="5"/>
      <c r="B334" s="332" t="s">
        <v>3210</v>
      </c>
      <c r="C334" s="330" t="s">
        <v>1703</v>
      </c>
      <c r="D334" s="55" t="s">
        <v>2049</v>
      </c>
      <c r="E334" s="330" t="s">
        <v>1927</v>
      </c>
      <c r="F334" s="330" t="s">
        <v>1928</v>
      </c>
      <c r="G334" s="330" t="s">
        <v>1929</v>
      </c>
      <c r="H334" s="330" t="s">
        <v>116</v>
      </c>
      <c r="I334" s="330" t="s">
        <v>1931</v>
      </c>
      <c r="J334" s="38">
        <v>100</v>
      </c>
      <c r="K334" s="296"/>
      <c r="L334" s="296"/>
      <c r="M334" s="296"/>
      <c r="N334" s="296"/>
      <c r="O334" s="296"/>
      <c r="P334" s="296"/>
      <c r="Q334" s="296"/>
      <c r="R334" s="296"/>
      <c r="S334" s="296"/>
      <c r="T334" s="330"/>
      <c r="U334" s="38">
        <f t="shared" si="28"/>
        <v>29.050867499999999</v>
      </c>
      <c r="V334" s="38">
        <f t="shared" si="28"/>
        <v>74.706942499999997</v>
      </c>
      <c r="W334" s="38">
        <f t="shared" si="28"/>
        <v>81.061900000000009</v>
      </c>
      <c r="X334" s="38">
        <f t="shared" si="28"/>
        <v>118.56122499999999</v>
      </c>
      <c r="Y334" s="38">
        <f t="shared" si="28"/>
        <v>135.44945000000001</v>
      </c>
      <c r="Z334" s="38">
        <f t="shared" si="28"/>
        <v>291.73910000000001</v>
      </c>
      <c r="AA334" s="38">
        <f t="shared" si="28"/>
        <v>390.10990000000004</v>
      </c>
      <c r="AB334" s="38">
        <f t="shared" si="28"/>
        <v>389.90845000000002</v>
      </c>
      <c r="AC334" s="38">
        <f t="shared" si="28"/>
        <v>387.785325</v>
      </c>
      <c r="AD334" s="38">
        <f t="shared" si="28"/>
        <v>385.6859</v>
      </c>
      <c r="AE334" s="38">
        <f t="shared" si="29"/>
        <v>383.61017500000003</v>
      </c>
      <c r="AF334" s="38">
        <f t="shared" si="29"/>
        <v>379.26715000000002</v>
      </c>
      <c r="AG334" s="38">
        <f t="shared" si="29"/>
        <v>374.98140000000006</v>
      </c>
      <c r="AH334" s="38">
        <f t="shared" si="29"/>
        <v>370.75095000000005</v>
      </c>
      <c r="AI334" s="38">
        <f t="shared" si="29"/>
        <v>366.57777499999997</v>
      </c>
      <c r="AJ334" s="38">
        <f t="shared" si="29"/>
        <v>362.4599</v>
      </c>
      <c r="AK334" s="38">
        <f t="shared" si="29"/>
        <v>358.38942500000002</v>
      </c>
      <c r="AL334" s="38">
        <f t="shared" si="29"/>
        <v>354.37425000000002</v>
      </c>
      <c r="AM334" s="22" t="str">
        <f t="shared" si="25"/>
        <v>EAI - Russia</v>
      </c>
      <c r="AN334" s="22" t="s">
        <v>3119</v>
      </c>
      <c r="AO334" s="331"/>
      <c r="AS334" s="471"/>
      <c r="AT334" s="471"/>
      <c r="AU334" s="354"/>
    </row>
    <row r="335" spans="1:47">
      <c r="A335" s="5"/>
      <c r="B335" s="332" t="s">
        <v>3210</v>
      </c>
      <c r="C335" s="330" t="s">
        <v>1703</v>
      </c>
      <c r="D335" s="55" t="s">
        <v>3675</v>
      </c>
      <c r="E335" s="330" t="s">
        <v>1927</v>
      </c>
      <c r="F335" s="330" t="s">
        <v>1928</v>
      </c>
      <c r="G335" s="330" t="s">
        <v>3374</v>
      </c>
      <c r="H335" s="330" t="s">
        <v>116</v>
      </c>
      <c r="I335" s="330" t="s">
        <v>1931</v>
      </c>
      <c r="J335" s="38">
        <v>100</v>
      </c>
      <c r="K335" s="296"/>
      <c r="L335" s="296"/>
      <c r="M335" s="296"/>
      <c r="N335" s="296"/>
      <c r="O335" s="296"/>
      <c r="P335" s="296"/>
      <c r="Q335" s="296"/>
      <c r="R335" s="296"/>
      <c r="S335" s="296"/>
      <c r="T335" s="330"/>
      <c r="U335" s="38">
        <f t="shared" si="28"/>
        <v>0</v>
      </c>
      <c r="V335" s="38">
        <f t="shared" si="28"/>
        <v>0</v>
      </c>
      <c r="W335" s="38">
        <f t="shared" si="28"/>
        <v>0</v>
      </c>
      <c r="X335" s="38">
        <f t="shared" si="28"/>
        <v>0</v>
      </c>
      <c r="Y335" s="38">
        <f t="shared" si="28"/>
        <v>0</v>
      </c>
      <c r="Z335" s="38">
        <f t="shared" si="28"/>
        <v>2.0915249999999999</v>
      </c>
      <c r="AA335" s="38">
        <f t="shared" si="28"/>
        <v>16.195</v>
      </c>
      <c r="AB335" s="38">
        <f t="shared" si="28"/>
        <v>40.173475000000003</v>
      </c>
      <c r="AC335" s="38">
        <f t="shared" si="28"/>
        <v>54.808225</v>
      </c>
      <c r="AD335" s="38">
        <f t="shared" si="28"/>
        <v>58.323725000000003</v>
      </c>
      <c r="AE335" s="38">
        <f t="shared" si="29"/>
        <v>62.903750000000002</v>
      </c>
      <c r="AF335" s="38">
        <f t="shared" si="29"/>
        <v>67.454150000000013</v>
      </c>
      <c r="AG335" s="38">
        <f t="shared" si="29"/>
        <v>75.034200000000013</v>
      </c>
      <c r="AH335" s="38">
        <f t="shared" si="29"/>
        <v>75.67410000000001</v>
      </c>
      <c r="AI335" s="38">
        <f t="shared" si="29"/>
        <v>71.645099999999999</v>
      </c>
      <c r="AJ335" s="38">
        <f t="shared" si="29"/>
        <v>68.003200000000007</v>
      </c>
      <c r="AK335" s="38">
        <f t="shared" si="29"/>
        <v>64.588425000000001</v>
      </c>
      <c r="AL335" s="38">
        <f t="shared" si="29"/>
        <v>61.440275</v>
      </c>
      <c r="AM335" s="22" t="str">
        <f t="shared" ref="AM335:AM336" si="30">AN335&amp;" - "&amp;C335</f>
        <v>EAI - Russia</v>
      </c>
      <c r="AN335" s="22" t="s">
        <v>3119</v>
      </c>
      <c r="AO335" s="331"/>
      <c r="AS335" s="471"/>
      <c r="AT335" s="471"/>
      <c r="AU335" s="354"/>
    </row>
    <row r="336" spans="1:47">
      <c r="A336" s="5"/>
      <c r="B336" s="332" t="s">
        <v>3210</v>
      </c>
      <c r="C336" s="330" t="s">
        <v>1703</v>
      </c>
      <c r="D336" s="55" t="s">
        <v>3469</v>
      </c>
      <c r="E336" s="330" t="s">
        <v>1927</v>
      </c>
      <c r="F336" s="330" t="s">
        <v>1928</v>
      </c>
      <c r="G336" s="330" t="s">
        <v>3374</v>
      </c>
      <c r="H336" s="330" t="s">
        <v>116</v>
      </c>
      <c r="I336" s="330" t="s">
        <v>1931</v>
      </c>
      <c r="J336" s="38">
        <v>50.1</v>
      </c>
      <c r="K336" s="296"/>
      <c r="L336" s="296"/>
      <c r="M336" s="296"/>
      <c r="N336" s="296"/>
      <c r="O336" s="296"/>
      <c r="P336" s="296"/>
      <c r="Q336" s="296"/>
      <c r="R336" s="296"/>
      <c r="S336" s="296"/>
      <c r="T336" s="330"/>
      <c r="U336" s="38">
        <f t="shared" si="28"/>
        <v>0</v>
      </c>
      <c r="V336" s="38">
        <f t="shared" si="28"/>
        <v>53.137375000000006</v>
      </c>
      <c r="W336" s="38">
        <f t="shared" si="28"/>
        <v>107.840925</v>
      </c>
      <c r="X336" s="38">
        <f t="shared" si="28"/>
        <v>86.153450000000007</v>
      </c>
      <c r="Y336" s="38">
        <f t="shared" si="28"/>
        <v>53.228225000000002</v>
      </c>
      <c r="Z336" s="38">
        <f t="shared" si="28"/>
        <v>52.933949999999996</v>
      </c>
      <c r="AA336" s="38">
        <f t="shared" si="28"/>
        <v>52.535000000000004</v>
      </c>
      <c r="AB336" s="38">
        <f t="shared" si="28"/>
        <v>49.238725000000002</v>
      </c>
      <c r="AC336" s="38">
        <f t="shared" si="28"/>
        <v>46.639625000000002</v>
      </c>
      <c r="AD336" s="38">
        <f t="shared" si="28"/>
        <v>41.09975</v>
      </c>
      <c r="AE336" s="38">
        <f t="shared" si="29"/>
        <v>36.268900000000002</v>
      </c>
      <c r="AF336" s="38">
        <f t="shared" si="29"/>
        <v>32.054250000000003</v>
      </c>
      <c r="AG336" s="38">
        <f t="shared" si="29"/>
        <v>28.37285</v>
      </c>
      <c r="AH336" s="38">
        <f t="shared" si="29"/>
        <v>25.003499999999999</v>
      </c>
      <c r="AI336" s="38">
        <f t="shared" si="29"/>
        <v>22.212825000000002</v>
      </c>
      <c r="AJ336" s="38">
        <f t="shared" si="29"/>
        <v>19.761850000000003</v>
      </c>
      <c r="AK336" s="38">
        <f t="shared" si="29"/>
        <v>17.609100000000002</v>
      </c>
      <c r="AL336" s="38">
        <f t="shared" si="29"/>
        <v>15.715074999999999</v>
      </c>
      <c r="AM336" s="22" t="str">
        <f t="shared" si="30"/>
        <v>EAI - Russia</v>
      </c>
      <c r="AN336" s="22" t="s">
        <v>3119</v>
      </c>
      <c r="AO336" s="331"/>
      <c r="AS336" s="471"/>
      <c r="AT336" s="471"/>
      <c r="AU336" s="354"/>
    </row>
    <row r="337" spans="1:47">
      <c r="A337" s="5"/>
      <c r="B337" s="332" t="s">
        <v>3210</v>
      </c>
      <c r="C337" s="330" t="s">
        <v>1703</v>
      </c>
      <c r="D337" s="55" t="s">
        <v>1279</v>
      </c>
      <c r="E337" s="330" t="s">
        <v>1927</v>
      </c>
      <c r="F337" s="330" t="s">
        <v>1928</v>
      </c>
      <c r="G337" s="330" t="s">
        <v>1932</v>
      </c>
      <c r="H337" s="330" t="s">
        <v>116</v>
      </c>
      <c r="I337" s="330" t="s">
        <v>1931</v>
      </c>
      <c r="J337" s="38">
        <v>85</v>
      </c>
      <c r="K337" s="296"/>
      <c r="L337" s="296"/>
      <c r="M337" s="296"/>
      <c r="N337" s="296"/>
      <c r="O337" s="296"/>
      <c r="P337" s="296"/>
      <c r="Q337" s="296"/>
      <c r="R337" s="296"/>
      <c r="S337" s="296"/>
      <c r="T337" s="330"/>
      <c r="U337" s="38">
        <f t="shared" si="28"/>
        <v>12.153360000000001</v>
      </c>
      <c r="V337" s="38">
        <f t="shared" si="28"/>
        <v>26.367237500000002</v>
      </c>
      <c r="W337" s="38">
        <f t="shared" si="28"/>
        <v>29.19445</v>
      </c>
      <c r="X337" s="38">
        <f t="shared" si="28"/>
        <v>30.201699999999999</v>
      </c>
      <c r="Y337" s="38">
        <f t="shared" si="28"/>
        <v>33.738925000000002</v>
      </c>
      <c r="Z337" s="38">
        <f t="shared" si="28"/>
        <v>34.050975000000001</v>
      </c>
      <c r="AA337" s="38">
        <f t="shared" si="28"/>
        <v>34.444000000000003</v>
      </c>
      <c r="AB337" s="38">
        <f t="shared" si="28"/>
        <v>35.237949999999998</v>
      </c>
      <c r="AC337" s="38">
        <f t="shared" si="28"/>
        <v>34.260325000000002</v>
      </c>
      <c r="AD337" s="38">
        <f t="shared" si="28"/>
        <v>33.405149999999999</v>
      </c>
      <c r="AE337" s="38">
        <f t="shared" si="29"/>
        <v>32.607250000000001</v>
      </c>
      <c r="AF337" s="38">
        <f t="shared" si="29"/>
        <v>31.422250000000002</v>
      </c>
      <c r="AG337" s="38">
        <f t="shared" si="29"/>
        <v>30.298475</v>
      </c>
      <c r="AH337" s="38">
        <f t="shared" si="29"/>
        <v>29.23</v>
      </c>
      <c r="AI337" s="38">
        <f t="shared" si="29"/>
        <v>28.214850000000006</v>
      </c>
      <c r="AJ337" s="38">
        <f t="shared" si="29"/>
        <v>27.251049999999999</v>
      </c>
      <c r="AK337" s="38">
        <f t="shared" si="29"/>
        <v>26.332675000000005</v>
      </c>
      <c r="AL337" s="38">
        <f t="shared" si="29"/>
        <v>25.459724999999999</v>
      </c>
      <c r="AM337" s="22" t="str">
        <f>AN337&amp;" - "&amp;C337</f>
        <v>EAI - Russia</v>
      </c>
      <c r="AN337" s="22" t="s">
        <v>3119</v>
      </c>
      <c r="AO337" s="331"/>
      <c r="AS337" s="471"/>
      <c r="AT337" s="471"/>
      <c r="AU337" s="354"/>
    </row>
    <row r="338" spans="1:47">
      <c r="A338" s="5"/>
      <c r="B338" s="332" t="s">
        <v>3210</v>
      </c>
      <c r="C338" s="330" t="s">
        <v>1703</v>
      </c>
      <c r="D338" s="55" t="s">
        <v>3380</v>
      </c>
      <c r="E338" s="330" t="s">
        <v>1927</v>
      </c>
      <c r="F338" s="330" t="s">
        <v>1928</v>
      </c>
      <c r="G338" s="330" t="s">
        <v>3374</v>
      </c>
      <c r="H338" s="330" t="s">
        <v>116</v>
      </c>
      <c r="I338" s="330" t="s">
        <v>1931</v>
      </c>
      <c r="J338" s="38">
        <v>19.93</v>
      </c>
      <c r="K338" s="296"/>
      <c r="L338" s="296"/>
      <c r="M338" s="296"/>
      <c r="N338" s="296"/>
      <c r="O338" s="296"/>
      <c r="P338" s="296"/>
      <c r="Q338" s="296"/>
      <c r="R338" s="296"/>
      <c r="S338" s="296"/>
      <c r="T338" s="330"/>
      <c r="U338" s="38">
        <f t="shared" si="28"/>
        <v>0.34760000000000002</v>
      </c>
      <c r="V338" s="38">
        <f t="shared" si="28"/>
        <v>0.35747500000000004</v>
      </c>
      <c r="W338" s="38">
        <f t="shared" si="28"/>
        <v>0.30612500000000004</v>
      </c>
      <c r="X338" s="38">
        <f t="shared" si="28"/>
        <v>0.26860000000000001</v>
      </c>
      <c r="Y338" s="38">
        <f t="shared" si="28"/>
        <v>0.24687500000000001</v>
      </c>
      <c r="Z338" s="38">
        <f t="shared" si="28"/>
        <v>0.22712499999999999</v>
      </c>
      <c r="AA338" s="38">
        <f t="shared" si="28"/>
        <v>0.20935000000000001</v>
      </c>
      <c r="AB338" s="38">
        <f t="shared" si="28"/>
        <v>0.191575</v>
      </c>
      <c r="AC338" s="38">
        <f t="shared" si="28"/>
        <v>0.183675</v>
      </c>
      <c r="AD338" s="38">
        <f t="shared" si="28"/>
        <v>0.17775000000000002</v>
      </c>
      <c r="AE338" s="38">
        <f t="shared" si="29"/>
        <v>0.16985</v>
      </c>
      <c r="AF338" s="38">
        <f t="shared" si="29"/>
        <v>0.16392499999999999</v>
      </c>
      <c r="AG338" s="38">
        <f t="shared" si="29"/>
        <v>0.15800000000000003</v>
      </c>
      <c r="AH338" s="38">
        <f t="shared" si="29"/>
        <v>0.15010000000000001</v>
      </c>
      <c r="AI338" s="38">
        <f t="shared" si="29"/>
        <v>0.144175</v>
      </c>
      <c r="AJ338" s="38">
        <f t="shared" si="29"/>
        <v>0.13824999999999998</v>
      </c>
      <c r="AK338" s="38">
        <f t="shared" si="29"/>
        <v>0.1343</v>
      </c>
      <c r="AL338" s="38">
        <f t="shared" si="29"/>
        <v>0.12837500000000002</v>
      </c>
      <c r="AM338" s="22" t="str">
        <f t="shared" ref="AM338:AM339" si="31">AN338&amp;" - "&amp;C338</f>
        <v>EAI - Russia</v>
      </c>
      <c r="AN338" s="22" t="s">
        <v>3119</v>
      </c>
      <c r="AO338" s="331"/>
      <c r="AS338" s="471"/>
      <c r="AT338" s="471"/>
      <c r="AU338" s="354"/>
    </row>
    <row r="339" spans="1:47">
      <c r="A339" s="5"/>
      <c r="B339" s="332" t="s">
        <v>3210</v>
      </c>
      <c r="C339" s="330" t="s">
        <v>1703</v>
      </c>
      <c r="D339" s="55" t="s">
        <v>3381</v>
      </c>
      <c r="E339" s="330" t="s">
        <v>1927</v>
      </c>
      <c r="F339" s="330" t="s">
        <v>1928</v>
      </c>
      <c r="G339" s="330" t="s">
        <v>3374</v>
      </c>
      <c r="H339" s="330" t="s">
        <v>116</v>
      </c>
      <c r="I339" s="330" t="s">
        <v>1931</v>
      </c>
      <c r="J339" s="38">
        <v>100</v>
      </c>
      <c r="K339" s="296"/>
      <c r="L339" s="296"/>
      <c r="M339" s="296"/>
      <c r="N339" s="296"/>
      <c r="O339" s="296"/>
      <c r="P339" s="296"/>
      <c r="Q339" s="296"/>
      <c r="R339" s="296"/>
      <c r="S339" s="296"/>
      <c r="T339" s="330"/>
      <c r="U339" s="38">
        <f t="shared" si="28"/>
        <v>9.8611750000000011</v>
      </c>
      <c r="V339" s="38">
        <f t="shared" si="28"/>
        <v>10.070525000000002</v>
      </c>
      <c r="W339" s="38">
        <f t="shared" si="28"/>
        <v>10.382575000000001</v>
      </c>
      <c r="X339" s="38">
        <f t="shared" si="28"/>
        <v>10.200875</v>
      </c>
      <c r="Y339" s="38">
        <f t="shared" si="28"/>
        <v>9.6419500000000014</v>
      </c>
      <c r="Z339" s="38">
        <f t="shared" si="28"/>
        <v>7.838775</v>
      </c>
      <c r="AA339" s="38">
        <f t="shared" si="28"/>
        <v>7.8743249999999998</v>
      </c>
      <c r="AB339" s="38">
        <f t="shared" si="28"/>
        <v>7.9928249999999998</v>
      </c>
      <c r="AC339" s="38">
        <f t="shared" si="28"/>
        <v>7.850625</v>
      </c>
      <c r="AD339" s="38">
        <f t="shared" si="28"/>
        <v>7.7439750000000007</v>
      </c>
      <c r="AE339" s="38">
        <f t="shared" si="29"/>
        <v>7.3588500000000003</v>
      </c>
      <c r="AF339" s="38">
        <f t="shared" si="29"/>
        <v>6.9954500000000008</v>
      </c>
      <c r="AG339" s="38">
        <f t="shared" si="29"/>
        <v>6.64785</v>
      </c>
      <c r="AH339" s="38">
        <f t="shared" si="29"/>
        <v>6.3259250000000007</v>
      </c>
      <c r="AI339" s="38">
        <f t="shared" si="29"/>
        <v>6.0178250000000002</v>
      </c>
      <c r="AJ339" s="38">
        <f t="shared" si="29"/>
        <v>5.7215749999999996</v>
      </c>
      <c r="AK339" s="38">
        <f t="shared" si="29"/>
        <v>5.4450750000000001</v>
      </c>
      <c r="AL339" s="38">
        <f t="shared" si="29"/>
        <v>5.1824000000000003</v>
      </c>
      <c r="AM339" s="22" t="str">
        <f t="shared" si="31"/>
        <v>EAI - Russia</v>
      </c>
      <c r="AN339" s="22" t="s">
        <v>3119</v>
      </c>
      <c r="AO339" s="331"/>
      <c r="AS339" s="471"/>
      <c r="AT339" s="471"/>
      <c r="AU339" s="354"/>
    </row>
    <row r="340" spans="1:47">
      <c r="A340" s="5"/>
      <c r="B340" s="332" t="s">
        <v>3210</v>
      </c>
      <c r="C340" s="330" t="s">
        <v>1036</v>
      </c>
      <c r="D340" s="55" t="s">
        <v>1373</v>
      </c>
      <c r="E340" s="330" t="s">
        <v>1927</v>
      </c>
      <c r="F340" s="330" t="s">
        <v>1928</v>
      </c>
      <c r="G340" s="330" t="s">
        <v>217</v>
      </c>
      <c r="H340" s="330" t="s">
        <v>116</v>
      </c>
      <c r="I340" s="330" t="s">
        <v>1933</v>
      </c>
      <c r="J340" s="38">
        <v>40</v>
      </c>
      <c r="K340" s="296"/>
      <c r="L340" s="296"/>
      <c r="M340" s="296"/>
      <c r="N340" s="296"/>
      <c r="O340" s="296"/>
      <c r="P340" s="296"/>
      <c r="Q340" s="296"/>
      <c r="R340" s="296"/>
      <c r="S340" s="296"/>
      <c r="T340" s="330"/>
      <c r="U340" s="38">
        <f t="shared" si="28"/>
        <v>2.360125</v>
      </c>
      <c r="V340" s="38">
        <f t="shared" si="28"/>
        <v>2.6701999999999999</v>
      </c>
      <c r="W340" s="38">
        <f t="shared" si="28"/>
        <v>3.4878500000000003</v>
      </c>
      <c r="X340" s="38">
        <f t="shared" si="28"/>
        <v>5.0836499999999996</v>
      </c>
      <c r="Y340" s="38">
        <f t="shared" si="28"/>
        <v>6.377275</v>
      </c>
      <c r="Z340" s="38">
        <f t="shared" si="28"/>
        <v>6.5096000000000007</v>
      </c>
      <c r="AA340" s="38">
        <f t="shared" si="28"/>
        <v>6.6202000000000005</v>
      </c>
      <c r="AB340" s="38">
        <f t="shared" si="28"/>
        <v>6.7880750000000001</v>
      </c>
      <c r="AC340" s="38">
        <f t="shared" si="28"/>
        <v>6.9697750000000003</v>
      </c>
      <c r="AD340" s="38">
        <f t="shared" si="28"/>
        <v>7.005325</v>
      </c>
      <c r="AE340" s="38">
        <f t="shared" si="29"/>
        <v>6.9381750000000011</v>
      </c>
      <c r="AF340" s="38">
        <f t="shared" si="29"/>
        <v>6.799925</v>
      </c>
      <c r="AG340" s="38">
        <f t="shared" si="29"/>
        <v>6.6715500000000008</v>
      </c>
      <c r="AH340" s="38">
        <f t="shared" si="29"/>
        <v>6.7051250000000007</v>
      </c>
      <c r="AI340" s="38">
        <f t="shared" si="29"/>
        <v>6.7426500000000003</v>
      </c>
      <c r="AJ340" s="38">
        <f t="shared" si="29"/>
        <v>6.7308000000000003</v>
      </c>
      <c r="AK340" s="38">
        <f t="shared" si="29"/>
        <v>6.7821500000000006</v>
      </c>
      <c r="AL340" s="38">
        <f t="shared" si="29"/>
        <v>6.8236249999999998</v>
      </c>
      <c r="AM340" s="22" t="s">
        <v>1805</v>
      </c>
      <c r="AN340" s="22" t="s">
        <v>3119</v>
      </c>
      <c r="AO340" s="331"/>
      <c r="AS340" s="471"/>
      <c r="AT340" s="471"/>
      <c r="AU340" s="354"/>
    </row>
    <row r="341" spans="1:47">
      <c r="A341" s="5"/>
      <c r="B341" s="332" t="s">
        <v>3210</v>
      </c>
      <c r="C341" s="330" t="s">
        <v>1374</v>
      </c>
      <c r="D341" s="55" t="s">
        <v>1375</v>
      </c>
      <c r="E341" s="330" t="s">
        <v>1927</v>
      </c>
      <c r="F341" s="330" t="s">
        <v>2960</v>
      </c>
      <c r="G341" s="330" t="s">
        <v>1931</v>
      </c>
      <c r="H341" s="330" t="s">
        <v>116</v>
      </c>
      <c r="I341" s="330" t="s">
        <v>2600</v>
      </c>
      <c r="J341" s="38">
        <v>35</v>
      </c>
      <c r="K341" s="296"/>
      <c r="L341" s="296"/>
      <c r="M341" s="296"/>
      <c r="N341" s="296"/>
      <c r="O341" s="296"/>
      <c r="P341" s="296"/>
      <c r="Q341" s="296"/>
      <c r="R341" s="296"/>
      <c r="S341" s="296"/>
      <c r="T341" s="330"/>
      <c r="U341" s="38">
        <f t="shared" si="28"/>
        <v>11.555725000000001</v>
      </c>
      <c r="V341" s="38">
        <f t="shared" si="28"/>
        <v>12.266725000000001</v>
      </c>
      <c r="W341" s="38">
        <f t="shared" si="28"/>
        <v>12.432625000000002</v>
      </c>
      <c r="X341" s="38">
        <f t="shared" si="28"/>
        <v>10.728200000000001</v>
      </c>
      <c r="Y341" s="38">
        <f t="shared" si="28"/>
        <v>10.686725000000001</v>
      </c>
      <c r="Z341" s="38">
        <f t="shared" si="28"/>
        <v>10.9099</v>
      </c>
      <c r="AA341" s="38">
        <f t="shared" si="28"/>
        <v>9.1561000000000003</v>
      </c>
      <c r="AB341" s="38">
        <f t="shared" si="28"/>
        <v>7.9790000000000001</v>
      </c>
      <c r="AC341" s="38">
        <f t="shared" si="28"/>
        <v>8.0678750000000008</v>
      </c>
      <c r="AD341" s="38">
        <f t="shared" si="28"/>
        <v>7.1534500000000003</v>
      </c>
      <c r="AE341" s="38">
        <f t="shared" si="29"/>
        <v>5.9013</v>
      </c>
      <c r="AF341" s="38">
        <f t="shared" si="29"/>
        <v>5.4233500000000001</v>
      </c>
      <c r="AG341" s="38">
        <f t="shared" si="29"/>
        <v>4.7439499999999999</v>
      </c>
      <c r="AH341" s="38">
        <f t="shared" si="29"/>
        <v>3.6972</v>
      </c>
      <c r="AI341" s="38">
        <f t="shared" si="29"/>
        <v>2.5931750000000005</v>
      </c>
      <c r="AJ341" s="38">
        <f t="shared" si="29"/>
        <v>1.8150249999999999</v>
      </c>
      <c r="AK341" s="38">
        <f t="shared" si="29"/>
        <v>0</v>
      </c>
      <c r="AL341" s="38">
        <f t="shared" si="29"/>
        <v>0</v>
      </c>
      <c r="AM341" s="22" t="s">
        <v>1805</v>
      </c>
      <c r="AN341" s="22" t="s">
        <v>3119</v>
      </c>
      <c r="AO341" s="331"/>
      <c r="AS341" s="471"/>
      <c r="AT341" s="471"/>
      <c r="AU341" s="354"/>
    </row>
    <row r="342" spans="1:47">
      <c r="A342" s="5"/>
      <c r="C342" s="330"/>
      <c r="D342" s="38"/>
      <c r="E342" s="330"/>
      <c r="F342" s="330"/>
      <c r="G342" s="330"/>
      <c r="H342" s="330"/>
      <c r="I342" s="330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30"/>
      <c r="U342" s="38"/>
      <c r="V342" s="38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  <c r="AG342" s="38"/>
      <c r="AH342" s="38"/>
      <c r="AI342" s="38"/>
      <c r="AJ342" s="38"/>
      <c r="AK342" s="38"/>
      <c r="AL342" s="38"/>
      <c r="AM342" s="22"/>
      <c r="AN342" s="22"/>
      <c r="AO342" s="331"/>
      <c r="AT342" s="354"/>
      <c r="AU342" s="354"/>
    </row>
    <row r="343" spans="1:47">
      <c r="A343" s="5"/>
      <c r="B343" s="329"/>
      <c r="C343" s="330"/>
      <c r="D343" s="38"/>
      <c r="E343" s="330"/>
      <c r="F343" s="330"/>
      <c r="G343" s="330"/>
      <c r="H343" s="330"/>
      <c r="I343" s="330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30"/>
      <c r="U343" s="38"/>
      <c r="V343" s="38"/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  <c r="AG343" s="38"/>
      <c r="AH343" s="38"/>
      <c r="AI343" s="38"/>
      <c r="AJ343" s="38"/>
      <c r="AK343" s="38"/>
      <c r="AL343" s="38"/>
      <c r="AM343" s="22"/>
      <c r="AN343" s="22"/>
      <c r="AO343" s="331"/>
      <c r="AT343" s="354"/>
      <c r="AU343" s="354"/>
    </row>
    <row r="344" spans="1:47">
      <c r="A344" s="5"/>
      <c r="B344" s="332"/>
      <c r="C344" s="330"/>
      <c r="D344" s="38"/>
      <c r="E344" s="330"/>
      <c r="F344" s="330"/>
      <c r="G344" s="330"/>
      <c r="H344" s="330"/>
      <c r="I344" s="330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30"/>
      <c r="U344" s="330"/>
      <c r="V344" s="330"/>
      <c r="W344" s="330"/>
      <c r="X344" s="330"/>
      <c r="Y344" s="38"/>
      <c r="Z344" s="38"/>
      <c r="AA344" s="38"/>
      <c r="AB344" s="38"/>
      <c r="AC344" s="38"/>
      <c r="AD344" s="38"/>
      <c r="AE344" s="38"/>
      <c r="AF344" s="38"/>
      <c r="AG344" s="38"/>
      <c r="AH344" s="38"/>
      <c r="AI344" s="38"/>
      <c r="AJ344" s="38"/>
      <c r="AK344" s="38"/>
      <c r="AL344" s="38"/>
      <c r="AM344" s="22"/>
      <c r="AN344" s="22"/>
      <c r="AO344" s="331"/>
      <c r="AT344" s="354"/>
      <c r="AU344" s="354"/>
    </row>
    <row r="345" spans="1:47">
      <c r="A345" s="5"/>
      <c r="B345" s="332"/>
      <c r="C345" s="330"/>
      <c r="D345" s="38"/>
      <c r="E345" s="330"/>
      <c r="F345" s="330"/>
      <c r="G345" s="330"/>
      <c r="H345" s="330"/>
      <c r="I345" s="330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30"/>
      <c r="U345" s="330"/>
      <c r="V345" s="330"/>
      <c r="W345" s="330"/>
      <c r="X345" s="330"/>
      <c r="Y345" s="38"/>
      <c r="Z345" s="38"/>
      <c r="AA345" s="38"/>
      <c r="AB345" s="38"/>
      <c r="AC345" s="38"/>
      <c r="AD345" s="38"/>
      <c r="AE345" s="38"/>
      <c r="AF345" s="38"/>
      <c r="AG345" s="38"/>
      <c r="AH345" s="38"/>
      <c r="AI345" s="38"/>
      <c r="AJ345" s="38"/>
      <c r="AK345" s="38"/>
      <c r="AL345" s="38"/>
      <c r="AM345" s="22"/>
      <c r="AN345" s="22"/>
      <c r="AO345" s="331"/>
      <c r="AT345" s="354"/>
      <c r="AU345" s="354"/>
    </row>
    <row r="346" spans="1:47">
      <c r="A346" s="5"/>
      <c r="B346" s="332"/>
      <c r="C346" s="330"/>
      <c r="D346" s="38"/>
      <c r="E346" s="330"/>
      <c r="F346" s="330"/>
      <c r="G346" s="330"/>
      <c r="H346" s="330"/>
      <c r="I346" s="330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30"/>
      <c r="U346" s="330"/>
      <c r="V346" s="330"/>
      <c r="W346" s="330"/>
      <c r="X346" s="330"/>
      <c r="Y346" s="38"/>
      <c r="Z346" s="38"/>
      <c r="AA346" s="38"/>
      <c r="AB346" s="38"/>
      <c r="AC346" s="38"/>
      <c r="AD346" s="38"/>
      <c r="AE346" s="38"/>
      <c r="AF346" s="38"/>
      <c r="AG346" s="38"/>
      <c r="AH346" s="38"/>
      <c r="AI346" s="38"/>
      <c r="AJ346" s="38"/>
      <c r="AK346" s="38"/>
      <c r="AL346" s="38"/>
      <c r="AM346" s="22"/>
      <c r="AN346" s="22"/>
      <c r="AO346" s="331"/>
      <c r="AT346" s="354"/>
      <c r="AU346" s="354"/>
    </row>
    <row r="347" spans="1:47">
      <c r="A347" s="5"/>
      <c r="B347" s="332"/>
      <c r="C347" s="330"/>
      <c r="D347" s="38"/>
      <c r="E347" s="330"/>
      <c r="F347" s="330"/>
      <c r="G347" s="330"/>
      <c r="H347" s="330"/>
      <c r="I347" s="330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30"/>
      <c r="U347" s="330"/>
      <c r="V347" s="330"/>
      <c r="W347" s="330"/>
      <c r="X347" s="330"/>
      <c r="Y347" s="38"/>
      <c r="Z347" s="38"/>
      <c r="AA347" s="38"/>
      <c r="AB347" s="38"/>
      <c r="AC347" s="38"/>
      <c r="AD347" s="38"/>
      <c r="AE347" s="38"/>
      <c r="AF347" s="38"/>
      <c r="AG347" s="38"/>
      <c r="AH347" s="38"/>
      <c r="AI347" s="38"/>
      <c r="AJ347" s="38"/>
      <c r="AK347" s="38"/>
      <c r="AL347" s="38"/>
      <c r="AM347" s="22"/>
      <c r="AN347" s="22"/>
      <c r="AO347" s="331"/>
      <c r="AT347" s="354"/>
      <c r="AU347" s="354"/>
    </row>
    <row r="348" spans="1:47">
      <c r="A348" s="5"/>
      <c r="B348" s="332"/>
      <c r="C348" s="330"/>
      <c r="D348" s="38"/>
      <c r="E348" s="330"/>
      <c r="F348" s="330"/>
      <c r="G348" s="330"/>
      <c r="H348" s="330"/>
      <c r="I348" s="330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30"/>
      <c r="U348" s="330"/>
      <c r="V348" s="330"/>
      <c r="W348" s="330"/>
      <c r="X348" s="330"/>
      <c r="Y348" s="38"/>
      <c r="Z348" s="38"/>
      <c r="AA348" s="38"/>
      <c r="AB348" s="38"/>
      <c r="AC348" s="38"/>
      <c r="AD348" s="38"/>
      <c r="AE348" s="38"/>
      <c r="AF348" s="38"/>
      <c r="AG348" s="38"/>
      <c r="AH348" s="38"/>
      <c r="AI348" s="38"/>
      <c r="AJ348" s="38"/>
      <c r="AK348" s="38"/>
      <c r="AL348" s="38"/>
      <c r="AM348" s="22"/>
      <c r="AN348" s="22"/>
      <c r="AO348" s="331"/>
      <c r="AT348" s="354"/>
      <c r="AU348" s="354"/>
    </row>
    <row r="349" spans="1:47">
      <c r="A349" s="5"/>
      <c r="B349" s="332"/>
      <c r="C349" s="330"/>
      <c r="D349" s="38"/>
      <c r="E349" s="330"/>
      <c r="F349" s="330"/>
      <c r="G349" s="330"/>
      <c r="H349" s="330"/>
      <c r="I349" s="330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30"/>
      <c r="U349" s="330"/>
      <c r="V349" s="330"/>
      <c r="W349" s="330"/>
      <c r="X349" s="330"/>
      <c r="Y349" s="38"/>
      <c r="Z349" s="38"/>
      <c r="AA349" s="38"/>
      <c r="AB349" s="38"/>
      <c r="AC349" s="38"/>
      <c r="AD349" s="38"/>
      <c r="AE349" s="38"/>
      <c r="AF349" s="38"/>
      <c r="AG349" s="38"/>
      <c r="AH349" s="38"/>
      <c r="AI349" s="38"/>
      <c r="AJ349" s="38"/>
      <c r="AK349" s="38"/>
      <c r="AL349" s="38"/>
      <c r="AM349" s="22"/>
      <c r="AN349" s="22"/>
      <c r="AO349" s="331"/>
      <c r="AT349" s="354"/>
      <c r="AU349" s="354"/>
    </row>
    <row r="350" spans="1:47">
      <c r="A350" s="5"/>
      <c r="B350" s="332"/>
      <c r="C350" s="330"/>
      <c r="D350" s="38"/>
      <c r="E350" s="330"/>
      <c r="F350" s="330"/>
      <c r="G350" s="330"/>
      <c r="H350" s="330"/>
      <c r="I350" s="330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30"/>
      <c r="U350" s="330"/>
      <c r="V350" s="330"/>
      <c r="W350" s="330"/>
      <c r="X350" s="330"/>
      <c r="Y350" s="38"/>
      <c r="Z350" s="38"/>
      <c r="AA350" s="38"/>
      <c r="AB350" s="38"/>
      <c r="AC350" s="38"/>
      <c r="AD350" s="38"/>
      <c r="AE350" s="38"/>
      <c r="AF350" s="38"/>
      <c r="AG350" s="38"/>
      <c r="AH350" s="38"/>
      <c r="AI350" s="38"/>
      <c r="AJ350" s="38"/>
      <c r="AK350" s="38"/>
      <c r="AL350" s="38"/>
      <c r="AM350" s="22"/>
      <c r="AN350" s="22"/>
      <c r="AO350" s="331"/>
      <c r="AT350" s="354"/>
      <c r="AU350" s="354"/>
    </row>
    <row r="351" spans="1:47">
      <c r="A351" s="5"/>
      <c r="B351" s="332"/>
      <c r="C351" s="330"/>
      <c r="D351" s="38"/>
      <c r="E351" s="330"/>
      <c r="F351" s="330"/>
      <c r="G351" s="330"/>
      <c r="H351" s="330"/>
      <c r="I351" s="330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30"/>
      <c r="U351" s="330"/>
      <c r="V351" s="330"/>
      <c r="W351" s="330"/>
      <c r="X351" s="330"/>
      <c r="Y351" s="38"/>
      <c r="Z351" s="38"/>
      <c r="AA351" s="38"/>
      <c r="AB351" s="38"/>
      <c r="AC351" s="38"/>
      <c r="AD351" s="38"/>
      <c r="AE351" s="38"/>
      <c r="AF351" s="38"/>
      <c r="AG351" s="38"/>
      <c r="AH351" s="38"/>
      <c r="AI351" s="38"/>
      <c r="AJ351" s="38"/>
      <c r="AK351" s="38"/>
      <c r="AL351" s="38"/>
      <c r="AM351" s="22"/>
      <c r="AN351" s="22"/>
      <c r="AO351" s="331"/>
      <c r="AT351" s="354"/>
      <c r="AU351" s="354"/>
    </row>
    <row r="352" spans="1:47">
      <c r="A352" s="5"/>
      <c r="B352" s="332"/>
      <c r="C352" s="330"/>
      <c r="D352" s="38"/>
      <c r="E352" s="330"/>
      <c r="F352" s="330"/>
      <c r="G352" s="330"/>
      <c r="H352" s="330"/>
      <c r="I352" s="330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30"/>
      <c r="U352" s="330"/>
      <c r="V352" s="330"/>
      <c r="W352" s="330"/>
      <c r="X352" s="330"/>
      <c r="Y352" s="38"/>
      <c r="Z352" s="38"/>
      <c r="AA352" s="38"/>
      <c r="AB352" s="38"/>
      <c r="AC352" s="38"/>
      <c r="AD352" s="38"/>
      <c r="AE352" s="38"/>
      <c r="AF352" s="38"/>
      <c r="AG352" s="38"/>
      <c r="AH352" s="38"/>
      <c r="AI352" s="38"/>
      <c r="AJ352" s="38"/>
      <c r="AK352" s="38"/>
      <c r="AL352" s="38"/>
      <c r="AM352" s="22"/>
      <c r="AN352" s="22"/>
      <c r="AO352" s="331"/>
      <c r="AT352" s="354"/>
      <c r="AU352" s="354"/>
    </row>
    <row r="353" spans="1:47">
      <c r="A353" s="5"/>
      <c r="B353" s="332"/>
      <c r="C353" s="330"/>
      <c r="D353" s="38"/>
      <c r="E353" s="330"/>
      <c r="F353" s="330"/>
      <c r="G353" s="330"/>
      <c r="H353" s="330"/>
      <c r="I353" s="330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30"/>
      <c r="U353" s="330"/>
      <c r="V353" s="330"/>
      <c r="W353" s="330"/>
      <c r="X353" s="330"/>
      <c r="Y353" s="38"/>
      <c r="Z353" s="38"/>
      <c r="AA353" s="38"/>
      <c r="AB353" s="38"/>
      <c r="AC353" s="38"/>
      <c r="AD353" s="38"/>
      <c r="AE353" s="38"/>
      <c r="AF353" s="38"/>
      <c r="AG353" s="38"/>
      <c r="AH353" s="38"/>
      <c r="AI353" s="38"/>
      <c r="AJ353" s="38"/>
      <c r="AK353" s="38"/>
      <c r="AL353" s="38"/>
      <c r="AM353" s="22"/>
      <c r="AN353" s="22"/>
      <c r="AO353" s="331"/>
      <c r="AT353" s="354"/>
      <c r="AU353" s="354"/>
    </row>
    <row r="354" spans="1:47">
      <c r="A354" s="5"/>
      <c r="B354" s="332"/>
      <c r="C354" s="330"/>
      <c r="D354" s="38"/>
      <c r="E354" s="330"/>
      <c r="F354" s="330"/>
      <c r="G354" s="330"/>
      <c r="H354" s="330"/>
      <c r="I354" s="330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30"/>
      <c r="U354" s="330"/>
      <c r="V354" s="330"/>
      <c r="W354" s="330"/>
      <c r="X354" s="330"/>
      <c r="Y354" s="38"/>
      <c r="Z354" s="38"/>
      <c r="AA354" s="38"/>
      <c r="AB354" s="38"/>
      <c r="AC354" s="38"/>
      <c r="AD354" s="38"/>
      <c r="AE354" s="38"/>
      <c r="AF354" s="38"/>
      <c r="AG354" s="38"/>
      <c r="AH354" s="38"/>
      <c r="AI354" s="38"/>
      <c r="AJ354" s="38"/>
      <c r="AK354" s="38"/>
      <c r="AL354" s="38"/>
      <c r="AM354" s="22"/>
      <c r="AN354" s="22"/>
      <c r="AO354" s="331"/>
      <c r="AT354" s="354"/>
      <c r="AU354" s="354"/>
    </row>
    <row r="355" spans="1:47">
      <c r="A355" s="5"/>
      <c r="B355" s="332"/>
      <c r="C355" s="330"/>
      <c r="D355" s="38"/>
      <c r="E355" s="330"/>
      <c r="F355" s="330"/>
      <c r="G355" s="330"/>
      <c r="H355" s="330"/>
      <c r="I355" s="330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30"/>
      <c r="U355" s="330"/>
      <c r="V355" s="330"/>
      <c r="W355" s="330"/>
      <c r="X355" s="330"/>
      <c r="Y355" s="38"/>
      <c r="Z355" s="38"/>
      <c r="AA355" s="38"/>
      <c r="AB355" s="38"/>
      <c r="AC355" s="38"/>
      <c r="AD355" s="38"/>
      <c r="AE355" s="38"/>
      <c r="AF355" s="38"/>
      <c r="AG355" s="38"/>
      <c r="AH355" s="38"/>
      <c r="AI355" s="38"/>
      <c r="AJ355" s="38"/>
      <c r="AK355" s="38"/>
      <c r="AL355" s="38"/>
      <c r="AM355" s="22"/>
      <c r="AN355" s="22"/>
      <c r="AO355" s="331"/>
      <c r="AT355" s="354"/>
      <c r="AU355" s="354"/>
    </row>
    <row r="356" spans="1:47">
      <c r="A356" s="5"/>
      <c r="B356" s="332"/>
      <c r="C356" s="330"/>
      <c r="D356" s="38"/>
      <c r="E356" s="330"/>
      <c r="F356" s="330"/>
      <c r="G356" s="330"/>
      <c r="H356" s="330"/>
      <c r="I356" s="330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30"/>
      <c r="U356" s="330"/>
      <c r="V356" s="330"/>
      <c r="W356" s="330"/>
      <c r="X356" s="330"/>
      <c r="Y356" s="38"/>
      <c r="Z356" s="38"/>
      <c r="AA356" s="38"/>
      <c r="AB356" s="38"/>
      <c r="AC356" s="38"/>
      <c r="AD356" s="38"/>
      <c r="AE356" s="38"/>
      <c r="AF356" s="38"/>
      <c r="AG356" s="38"/>
      <c r="AH356" s="38"/>
      <c r="AI356" s="38"/>
      <c r="AJ356" s="38"/>
      <c r="AK356" s="38"/>
      <c r="AL356" s="38"/>
      <c r="AM356" s="22"/>
      <c r="AN356" s="22"/>
      <c r="AO356" s="331"/>
      <c r="AT356" s="354"/>
      <c r="AU356" s="354"/>
    </row>
    <row r="357" spans="1:47">
      <c r="A357" s="5"/>
      <c r="B357" s="332"/>
      <c r="C357" s="330"/>
      <c r="D357" s="38"/>
      <c r="E357" s="330"/>
      <c r="F357" s="330"/>
      <c r="G357" s="330"/>
      <c r="H357" s="330"/>
      <c r="I357" s="330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30"/>
      <c r="U357" s="38"/>
      <c r="V357" s="38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  <c r="AG357" s="38"/>
      <c r="AH357" s="38"/>
      <c r="AI357" s="38"/>
      <c r="AJ357" s="38"/>
      <c r="AK357" s="38"/>
      <c r="AL357" s="38"/>
      <c r="AM357" s="22"/>
      <c r="AN357" s="22"/>
      <c r="AO357" s="331"/>
      <c r="AT357" s="354"/>
      <c r="AU357" s="354"/>
    </row>
    <row r="358" spans="1:47">
      <c r="A358" s="5"/>
      <c r="B358" s="332"/>
      <c r="C358" s="330"/>
      <c r="D358" s="38"/>
      <c r="E358" s="330"/>
      <c r="F358" s="330"/>
      <c r="G358" s="330"/>
      <c r="H358" s="330"/>
      <c r="I358" s="330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30"/>
      <c r="U358" s="38"/>
      <c r="V358" s="38"/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  <c r="AG358" s="38"/>
      <c r="AH358" s="38"/>
      <c r="AI358" s="38"/>
      <c r="AJ358" s="38"/>
      <c r="AK358" s="38"/>
      <c r="AL358" s="38"/>
      <c r="AM358" s="22"/>
      <c r="AN358" s="22"/>
      <c r="AO358" s="331"/>
      <c r="AT358" s="354"/>
      <c r="AU358" s="354"/>
    </row>
    <row r="359" spans="1:47">
      <c r="A359" s="5"/>
      <c r="B359" s="332"/>
      <c r="C359" s="38"/>
      <c r="D359" s="38"/>
      <c r="E359" s="330"/>
      <c r="F359" s="330"/>
      <c r="G359" s="330"/>
      <c r="H359" s="330"/>
      <c r="I359" s="330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30"/>
      <c r="U359" s="330"/>
      <c r="V359" s="330"/>
      <c r="W359" s="330"/>
      <c r="X359" s="330"/>
      <c r="Y359" s="330"/>
      <c r="Z359" s="330"/>
      <c r="AA359" s="330"/>
      <c r="AB359" s="330"/>
      <c r="AC359" s="330"/>
      <c r="AD359" s="330"/>
      <c r="AE359" s="330"/>
      <c r="AF359" s="330"/>
      <c r="AG359" s="330"/>
      <c r="AH359" s="330"/>
      <c r="AI359" s="330"/>
      <c r="AJ359" s="330"/>
      <c r="AK359" s="330"/>
      <c r="AL359" s="330"/>
      <c r="AM359" s="535"/>
      <c r="AN359" s="535"/>
      <c r="AO359" s="331"/>
      <c r="AT359" s="354"/>
      <c r="AU359" s="354"/>
    </row>
    <row r="360" spans="1:47">
      <c r="A360" s="5"/>
      <c r="B360" s="332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  <c r="AG360" s="38"/>
      <c r="AH360" s="38"/>
      <c r="AI360" s="38"/>
      <c r="AJ360" s="38"/>
      <c r="AK360" s="38"/>
      <c r="AL360" s="38"/>
      <c r="AM360" s="539"/>
      <c r="AN360" s="539"/>
      <c r="AO360" s="38"/>
      <c r="AT360" s="354"/>
      <c r="AU360" s="354"/>
    </row>
    <row r="361" spans="1:47">
      <c r="A361" s="5"/>
      <c r="B361" s="332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D361" s="38"/>
      <c r="AE361" s="38"/>
      <c r="AF361" s="38"/>
      <c r="AG361" s="38"/>
      <c r="AH361" s="38"/>
      <c r="AI361" s="38"/>
      <c r="AJ361" s="38"/>
      <c r="AK361" s="38"/>
      <c r="AL361" s="38"/>
      <c r="AM361" s="539"/>
      <c r="AN361" s="539"/>
      <c r="AO361" s="38"/>
      <c r="AT361" s="354"/>
      <c r="AU361" s="354"/>
    </row>
    <row r="362" spans="1:47">
      <c r="A362" s="5"/>
      <c r="B362" s="38"/>
      <c r="C362" s="38"/>
      <c r="D362" s="38"/>
      <c r="E362" s="38"/>
      <c r="F362" s="38"/>
      <c r="G362" s="38"/>
      <c r="H362" s="38"/>
      <c r="I362" s="38"/>
      <c r="J362" s="38"/>
      <c r="K362" s="5"/>
      <c r="L362" s="5"/>
      <c r="M362" s="5"/>
      <c r="N362" s="5"/>
      <c r="O362" s="5"/>
      <c r="P362" s="5"/>
      <c r="Q362" s="5"/>
      <c r="R362" s="5"/>
      <c r="S362" s="49"/>
      <c r="T362" s="49"/>
      <c r="U362" s="49"/>
      <c r="V362" s="49"/>
      <c r="W362" s="49"/>
      <c r="X362" s="49"/>
      <c r="Y362" s="49"/>
      <c r="Z362" s="49"/>
      <c r="AA362" s="49"/>
      <c r="AB362" s="49"/>
      <c r="AC362" s="49"/>
      <c r="AD362" s="49"/>
      <c r="AE362" s="49"/>
      <c r="AF362" s="49"/>
      <c r="AG362" s="49"/>
      <c r="AH362" s="49"/>
      <c r="AI362" s="49"/>
      <c r="AJ362" s="49"/>
      <c r="AK362" s="49"/>
      <c r="AL362" s="49"/>
      <c r="AM362" s="355"/>
      <c r="AN362" s="355"/>
      <c r="AO362" s="5"/>
      <c r="AT362" s="354"/>
      <c r="AU362" s="354"/>
    </row>
    <row r="363" spans="1:47" ht="12.75" customHeight="1">
      <c r="A363" s="22"/>
      <c r="B363" s="24" t="s">
        <v>2727</v>
      </c>
      <c r="C363" s="22"/>
      <c r="D363" s="22"/>
      <c r="E363" s="22"/>
      <c r="F363" s="22"/>
      <c r="G363" s="22"/>
      <c r="H363" s="22"/>
      <c r="I363" s="22"/>
      <c r="J363" s="22"/>
      <c r="K363" s="5"/>
      <c r="L363" s="25"/>
      <c r="M363" s="25"/>
      <c r="N363" s="25"/>
      <c r="O363" s="25"/>
      <c r="P363" s="25"/>
      <c r="Q363" s="25"/>
      <c r="R363" s="25"/>
      <c r="S363" s="25"/>
      <c r="T363" s="25"/>
      <c r="U363" s="25"/>
      <c r="V363" s="25"/>
      <c r="W363" s="25"/>
      <c r="X363" s="25"/>
      <c r="Y363" s="25"/>
      <c r="Z363" s="25"/>
      <c r="AA363" s="25"/>
      <c r="AB363" s="25"/>
      <c r="AC363" s="25"/>
      <c r="AD363" s="25"/>
      <c r="AE363" s="25"/>
      <c r="AF363" s="25"/>
      <c r="AG363" s="25"/>
      <c r="AH363" s="25"/>
      <c r="AI363" s="25"/>
      <c r="AJ363" s="25"/>
      <c r="AK363" s="25"/>
      <c r="AL363" s="25"/>
      <c r="AM363" s="355"/>
      <c r="AN363" s="355"/>
      <c r="AO363" s="22"/>
      <c r="AT363" s="354"/>
      <c r="AU363" s="354"/>
    </row>
    <row r="364" spans="1:47" ht="12.75" customHeight="1">
      <c r="A364" s="35"/>
      <c r="B364" s="34" t="s">
        <v>399</v>
      </c>
      <c r="C364" s="34" t="s">
        <v>898</v>
      </c>
      <c r="D364" s="34"/>
      <c r="E364" s="34"/>
      <c r="F364" s="34"/>
      <c r="G364" s="34"/>
      <c r="H364" s="34"/>
      <c r="I364" s="34"/>
      <c r="J364" s="34"/>
      <c r="K364" s="32">
        <v>2003</v>
      </c>
      <c r="L364" s="32">
        <v>2004</v>
      </c>
      <c r="M364" s="32">
        <v>2005</v>
      </c>
      <c r="N364" s="32">
        <v>2006</v>
      </c>
      <c r="O364" s="32">
        <v>2007</v>
      </c>
      <c r="P364" s="32">
        <v>2008</v>
      </c>
      <c r="Q364" s="32">
        <v>2009</v>
      </c>
      <c r="R364" s="32">
        <v>2010</v>
      </c>
      <c r="S364" s="32">
        <v>2011</v>
      </c>
      <c r="T364" s="32">
        <v>2012</v>
      </c>
      <c r="U364" s="32">
        <v>2013</v>
      </c>
      <c r="V364" s="32">
        <v>2014</v>
      </c>
      <c r="W364" s="32">
        <v>2015</v>
      </c>
      <c r="X364" s="32">
        <v>2016</v>
      </c>
      <c r="Y364" s="32">
        <v>2017</v>
      </c>
      <c r="Z364" s="32">
        <v>2018</v>
      </c>
      <c r="AA364" s="32">
        <v>2019</v>
      </c>
      <c r="AB364" s="32">
        <v>2020</v>
      </c>
      <c r="AC364" s="32">
        <v>2021</v>
      </c>
      <c r="AD364" s="32">
        <v>2022</v>
      </c>
      <c r="AE364" s="32">
        <v>2023</v>
      </c>
      <c r="AF364" s="32">
        <v>2024</v>
      </c>
      <c r="AG364" s="32">
        <v>2025</v>
      </c>
      <c r="AH364" s="32">
        <v>2026</v>
      </c>
      <c r="AI364" s="32">
        <v>2027</v>
      </c>
      <c r="AJ364" s="32">
        <v>2028</v>
      </c>
      <c r="AK364" s="32">
        <v>2029</v>
      </c>
      <c r="AL364" s="32">
        <v>2030</v>
      </c>
      <c r="AM364" s="60"/>
      <c r="AN364" s="60"/>
      <c r="AO364" s="35"/>
      <c r="AT364" s="354"/>
      <c r="AU364" s="354"/>
    </row>
    <row r="365" spans="1:47">
      <c r="A365" s="5"/>
      <c r="B365" s="24" t="s">
        <v>895</v>
      </c>
      <c r="C365" s="38"/>
      <c r="D365" s="38"/>
      <c r="E365" s="38"/>
      <c r="F365" s="38"/>
      <c r="G365" s="38"/>
      <c r="H365" s="38"/>
      <c r="I365" s="38"/>
      <c r="J365" s="38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60"/>
      <c r="AN365" s="60"/>
      <c r="AO365" s="5"/>
      <c r="AT365" s="354"/>
      <c r="AU365" s="354"/>
    </row>
    <row r="366" spans="1:47">
      <c r="A366" s="5"/>
      <c r="B366" s="50" t="s">
        <v>542</v>
      </c>
      <c r="C366" s="38" t="s">
        <v>1473</v>
      </c>
      <c r="D366" s="38"/>
      <c r="E366" s="38"/>
      <c r="F366" s="38"/>
      <c r="G366" s="38"/>
      <c r="H366" s="38"/>
      <c r="I366" s="38"/>
      <c r="J366" s="38"/>
      <c r="K366" s="5">
        <f t="shared" ref="K366:T379" si="32">SUMIF($AM$10:$AM$361,$B366,K$10:K$361)</f>
        <v>0</v>
      </c>
      <c r="L366" s="5">
        <f t="shared" si="32"/>
        <v>78.84</v>
      </c>
      <c r="M366" s="5">
        <f t="shared" si="32"/>
        <v>174.51</v>
      </c>
      <c r="N366" s="5">
        <f t="shared" si="32"/>
        <v>157.80000000000001</v>
      </c>
      <c r="O366" s="5">
        <f t="shared" si="32"/>
        <v>156.08000000000001</v>
      </c>
      <c r="P366" s="5">
        <f t="shared" si="32"/>
        <v>123.65</v>
      </c>
      <c r="Q366" s="5">
        <f t="shared" si="32"/>
        <v>140.22999999999999</v>
      </c>
      <c r="R366" s="5">
        <f t="shared" si="32"/>
        <v>136.04</v>
      </c>
      <c r="S366" s="5">
        <f t="shared" si="32"/>
        <v>127.26</v>
      </c>
      <c r="T366" s="5">
        <f t="shared" si="32"/>
        <v>137.94</v>
      </c>
      <c r="U366" s="5">
        <f t="shared" ref="U366:AD379" si="33">SUMIF($AM$10:$AM$361,$B366,U$10:U$361)</f>
        <v>135.74</v>
      </c>
      <c r="V366" s="5">
        <f t="shared" si="33"/>
        <v>124.37</v>
      </c>
      <c r="W366" s="5">
        <f t="shared" si="33"/>
        <v>149.24</v>
      </c>
      <c r="X366" s="5">
        <f t="shared" si="33"/>
        <v>163.52000000000001</v>
      </c>
      <c r="Y366" s="5">
        <f t="shared" si="33"/>
        <v>151.71</v>
      </c>
      <c r="Z366" s="5">
        <f t="shared" si="33"/>
        <v>135.86000000000001</v>
      </c>
      <c r="AA366" s="5">
        <f t="shared" si="33"/>
        <v>119.69</v>
      </c>
      <c r="AB366" s="5">
        <f t="shared" si="33"/>
        <v>108.96</v>
      </c>
      <c r="AC366" s="5">
        <f t="shared" si="33"/>
        <v>101.35</v>
      </c>
      <c r="AD366" s="5">
        <f t="shared" si="33"/>
        <v>95.95</v>
      </c>
      <c r="AE366" s="5">
        <f t="shared" ref="AE366:AL379" si="34">SUMIF($AM$10:$AM$361,$B366,AE$10:AE$361)</f>
        <v>91.01</v>
      </c>
      <c r="AF366" s="5">
        <f t="shared" si="34"/>
        <v>86.02</v>
      </c>
      <c r="AG366" s="5">
        <f t="shared" si="34"/>
        <v>80.37</v>
      </c>
      <c r="AH366" s="5">
        <f t="shared" si="34"/>
        <v>74.069999999999993</v>
      </c>
      <c r="AI366" s="5">
        <f t="shared" si="34"/>
        <v>67.599999999999994</v>
      </c>
      <c r="AJ366" s="5">
        <f t="shared" si="34"/>
        <v>0</v>
      </c>
      <c r="AK366" s="5">
        <f t="shared" si="34"/>
        <v>0</v>
      </c>
      <c r="AL366" s="5">
        <f t="shared" si="34"/>
        <v>0</v>
      </c>
      <c r="AM366" s="60"/>
      <c r="AN366" s="60"/>
      <c r="AO366" s="5"/>
      <c r="AT366" s="354"/>
      <c r="AU366" s="354"/>
    </row>
    <row r="367" spans="1:47">
      <c r="A367" s="5"/>
      <c r="B367" s="50" t="s">
        <v>544</v>
      </c>
      <c r="C367" s="38" t="s">
        <v>1934</v>
      </c>
      <c r="D367" s="38"/>
      <c r="E367" s="38"/>
      <c r="F367" s="38"/>
      <c r="G367" s="38"/>
      <c r="H367" s="38"/>
      <c r="I367" s="38"/>
      <c r="J367" s="38"/>
      <c r="K367" s="5">
        <f t="shared" si="32"/>
        <v>0</v>
      </c>
      <c r="L367" s="5">
        <f t="shared" si="32"/>
        <v>0</v>
      </c>
      <c r="M367" s="5">
        <f t="shared" si="32"/>
        <v>0</v>
      </c>
      <c r="N367" s="5">
        <f t="shared" si="32"/>
        <v>0</v>
      </c>
      <c r="O367" s="5">
        <f t="shared" si="32"/>
        <v>0</v>
      </c>
      <c r="P367" s="5">
        <f t="shared" si="32"/>
        <v>0</v>
      </c>
      <c r="Q367" s="5">
        <f t="shared" si="32"/>
        <v>0</v>
      </c>
      <c r="R367" s="5">
        <f t="shared" si="32"/>
        <v>0</v>
      </c>
      <c r="S367" s="5">
        <f t="shared" si="32"/>
        <v>0</v>
      </c>
      <c r="T367" s="5">
        <f t="shared" si="32"/>
        <v>0</v>
      </c>
      <c r="U367" s="5">
        <f t="shared" si="33"/>
        <v>27.15</v>
      </c>
      <c r="V367" s="5">
        <f t="shared" si="33"/>
        <v>23.7</v>
      </c>
      <c r="W367" s="5">
        <f t="shared" si="33"/>
        <v>17</v>
      </c>
      <c r="X367" s="5">
        <f t="shared" si="33"/>
        <v>38.08</v>
      </c>
      <c r="Y367" s="5">
        <f t="shared" si="33"/>
        <v>104.46</v>
      </c>
      <c r="Z367" s="5">
        <f t="shared" si="33"/>
        <v>124.92</v>
      </c>
      <c r="AA367" s="5">
        <f t="shared" si="33"/>
        <v>124.93</v>
      </c>
      <c r="AB367" s="5">
        <f t="shared" si="33"/>
        <v>124.89</v>
      </c>
      <c r="AC367" s="5">
        <f t="shared" si="33"/>
        <v>124.93</v>
      </c>
      <c r="AD367" s="5">
        <f t="shared" si="33"/>
        <v>124.9</v>
      </c>
      <c r="AE367" s="5">
        <f t="shared" si="34"/>
        <v>124.94</v>
      </c>
      <c r="AF367" s="5">
        <f t="shared" si="34"/>
        <v>124.89</v>
      </c>
      <c r="AG367" s="5">
        <f t="shared" si="34"/>
        <v>124.93</v>
      </c>
      <c r="AH367" s="5">
        <f t="shared" si="34"/>
        <v>124.96</v>
      </c>
      <c r="AI367" s="5">
        <f t="shared" si="34"/>
        <v>124.9</v>
      </c>
      <c r="AJ367" s="5">
        <f t="shared" si="34"/>
        <v>124.89</v>
      </c>
      <c r="AK367" s="5">
        <f t="shared" si="34"/>
        <v>110.77</v>
      </c>
      <c r="AL367" s="5">
        <f t="shared" si="34"/>
        <v>97.19</v>
      </c>
      <c r="AM367" s="60"/>
      <c r="AN367" s="60"/>
      <c r="AO367" s="5"/>
      <c r="AT367" s="354"/>
      <c r="AU367" s="354"/>
    </row>
    <row r="368" spans="1:47">
      <c r="A368" s="5"/>
      <c r="B368" s="50" t="s">
        <v>3118</v>
      </c>
      <c r="C368" s="38" t="s">
        <v>2965</v>
      </c>
      <c r="D368" s="38"/>
      <c r="E368" s="38"/>
      <c r="F368" s="38"/>
      <c r="G368" s="38"/>
      <c r="H368" s="38"/>
      <c r="I368" s="38"/>
      <c r="J368" s="38"/>
      <c r="K368" s="5">
        <f t="shared" si="32"/>
        <v>283</v>
      </c>
      <c r="L368" s="5">
        <f t="shared" si="32"/>
        <v>309.81</v>
      </c>
      <c r="M368" s="5">
        <f t="shared" si="32"/>
        <v>385.5</v>
      </c>
      <c r="N368" s="5">
        <f t="shared" si="32"/>
        <v>374.18</v>
      </c>
      <c r="O368" s="5">
        <f t="shared" si="32"/>
        <v>390.70000000000005</v>
      </c>
      <c r="P368" s="5">
        <f t="shared" si="32"/>
        <v>398.74</v>
      </c>
      <c r="Q368" s="5">
        <f t="shared" si="32"/>
        <v>477.19000000000005</v>
      </c>
      <c r="R368" s="5">
        <f t="shared" si="32"/>
        <v>503.49</v>
      </c>
      <c r="S368" s="5">
        <f t="shared" si="32"/>
        <v>462.12</v>
      </c>
      <c r="T368" s="5">
        <f t="shared" si="32"/>
        <v>439.22</v>
      </c>
      <c r="U368" s="5">
        <f t="shared" si="33"/>
        <v>429.82</v>
      </c>
      <c r="V368" s="5">
        <f t="shared" si="33"/>
        <v>451.93</v>
      </c>
      <c r="W368" s="5">
        <f t="shared" si="33"/>
        <v>452.46999999999997</v>
      </c>
      <c r="X368" s="5">
        <f t="shared" si="33"/>
        <v>458.86</v>
      </c>
      <c r="Y368" s="5">
        <f t="shared" si="33"/>
        <v>439.82000000000005</v>
      </c>
      <c r="Z368" s="5">
        <f t="shared" si="33"/>
        <v>439.92</v>
      </c>
      <c r="AA368" s="5">
        <f t="shared" si="33"/>
        <v>439.92</v>
      </c>
      <c r="AB368" s="5">
        <f t="shared" si="33"/>
        <v>420.56</v>
      </c>
      <c r="AC368" s="5">
        <f t="shared" si="33"/>
        <v>378.03</v>
      </c>
      <c r="AD368" s="5">
        <f t="shared" si="33"/>
        <v>352.75</v>
      </c>
      <c r="AE368" s="5">
        <f t="shared" si="34"/>
        <v>329.15</v>
      </c>
      <c r="AF368" s="5">
        <f t="shared" si="34"/>
        <v>307.10999999999996</v>
      </c>
      <c r="AG368" s="5">
        <f t="shared" si="34"/>
        <v>286.52999999999997</v>
      </c>
      <c r="AH368" s="5">
        <f t="shared" si="34"/>
        <v>249.36</v>
      </c>
      <c r="AI368" s="5">
        <f t="shared" si="34"/>
        <v>216.96</v>
      </c>
      <c r="AJ368" s="5">
        <f t="shared" si="34"/>
        <v>188.69</v>
      </c>
      <c r="AK368" s="5">
        <f t="shared" si="34"/>
        <v>164.05</v>
      </c>
      <c r="AL368" s="5">
        <f t="shared" si="34"/>
        <v>134.75</v>
      </c>
      <c r="AM368" s="60"/>
      <c r="AN368" s="60"/>
      <c r="AO368" s="5"/>
      <c r="AT368" s="354"/>
      <c r="AU368" s="354"/>
    </row>
    <row r="369" spans="1:47">
      <c r="A369" s="5"/>
      <c r="B369" s="50" t="s">
        <v>3120</v>
      </c>
      <c r="C369" s="38" t="s">
        <v>726</v>
      </c>
      <c r="D369" s="38"/>
      <c r="E369" s="38"/>
      <c r="F369" s="38"/>
      <c r="G369" s="38"/>
      <c r="H369" s="38"/>
      <c r="I369" s="38"/>
      <c r="J369" s="38"/>
      <c r="K369" s="5">
        <f t="shared" si="32"/>
        <v>0</v>
      </c>
      <c r="L369" s="5">
        <f t="shared" si="32"/>
        <v>0</v>
      </c>
      <c r="M369" s="5">
        <f t="shared" si="32"/>
        <v>0</v>
      </c>
      <c r="N369" s="5">
        <f t="shared" si="32"/>
        <v>2.79</v>
      </c>
      <c r="O369" s="5">
        <f t="shared" si="32"/>
        <v>66.45</v>
      </c>
      <c r="P369" s="5">
        <f t="shared" si="32"/>
        <v>141.47</v>
      </c>
      <c r="Q369" s="5">
        <f t="shared" si="32"/>
        <v>129.33000000000001</v>
      </c>
      <c r="R369" s="5">
        <f t="shared" si="32"/>
        <v>154.36000000000001</v>
      </c>
      <c r="S369" s="5">
        <f t="shared" si="32"/>
        <v>135.63999999999999</v>
      </c>
      <c r="T369" s="5">
        <f t="shared" si="32"/>
        <v>156.56</v>
      </c>
      <c r="U369" s="5">
        <f t="shared" si="33"/>
        <v>199.3</v>
      </c>
      <c r="V369" s="5">
        <f t="shared" si="33"/>
        <v>226.71</v>
      </c>
      <c r="W369" s="5">
        <f t="shared" si="33"/>
        <v>231.22</v>
      </c>
      <c r="X369" s="5">
        <f t="shared" si="33"/>
        <v>255.71</v>
      </c>
      <c r="Y369" s="5">
        <f t="shared" si="33"/>
        <v>242.31</v>
      </c>
      <c r="Z369" s="5">
        <f t="shared" si="33"/>
        <v>268.58999999999997</v>
      </c>
      <c r="AA369" s="5">
        <f t="shared" si="33"/>
        <v>304.81</v>
      </c>
      <c r="AB369" s="5">
        <f t="shared" si="33"/>
        <v>449.56</v>
      </c>
      <c r="AC369" s="5">
        <f t="shared" si="33"/>
        <v>547.32000000000005</v>
      </c>
      <c r="AD369" s="5">
        <f t="shared" si="33"/>
        <v>688.98</v>
      </c>
      <c r="AE369" s="5">
        <f t="shared" si="34"/>
        <v>689.86</v>
      </c>
      <c r="AF369" s="5">
        <f t="shared" si="34"/>
        <v>684.34</v>
      </c>
      <c r="AG369" s="5">
        <f t="shared" si="34"/>
        <v>669.42</v>
      </c>
      <c r="AH369" s="5">
        <f t="shared" si="34"/>
        <v>652.30999999999995</v>
      </c>
      <c r="AI369" s="5">
        <f t="shared" si="34"/>
        <v>642.71</v>
      </c>
      <c r="AJ369" s="5">
        <f t="shared" si="34"/>
        <v>630.71</v>
      </c>
      <c r="AK369" s="5">
        <f t="shared" si="34"/>
        <v>620.09</v>
      </c>
      <c r="AL369" s="5">
        <f t="shared" si="34"/>
        <v>610.12</v>
      </c>
      <c r="AM369" s="60"/>
      <c r="AN369" s="60"/>
      <c r="AO369" s="5"/>
      <c r="AT369" s="354"/>
      <c r="AU369" s="354"/>
    </row>
    <row r="370" spans="1:47">
      <c r="A370" s="5"/>
      <c r="B370" s="50" t="s">
        <v>211</v>
      </c>
      <c r="C370" s="38" t="s">
        <v>2428</v>
      </c>
      <c r="D370" s="38"/>
      <c r="E370" s="38"/>
      <c r="F370" s="38"/>
      <c r="G370" s="38"/>
      <c r="H370" s="38"/>
      <c r="I370" s="38"/>
      <c r="J370" s="38"/>
      <c r="K370" s="5">
        <f t="shared" si="32"/>
        <v>0</v>
      </c>
      <c r="L370" s="5">
        <f t="shared" si="32"/>
        <v>0</v>
      </c>
      <c r="M370" s="5">
        <f t="shared" si="32"/>
        <v>0</v>
      </c>
      <c r="N370" s="5">
        <f t="shared" si="32"/>
        <v>0</v>
      </c>
      <c r="O370" s="5">
        <f t="shared" si="32"/>
        <v>0</v>
      </c>
      <c r="P370" s="5">
        <f t="shared" si="32"/>
        <v>0</v>
      </c>
      <c r="Q370" s="5">
        <f t="shared" si="32"/>
        <v>0</v>
      </c>
      <c r="R370" s="5">
        <f t="shared" si="32"/>
        <v>0</v>
      </c>
      <c r="S370" s="5">
        <f t="shared" si="32"/>
        <v>0</v>
      </c>
      <c r="T370" s="5">
        <f t="shared" si="32"/>
        <v>0</v>
      </c>
      <c r="U370" s="5">
        <f t="shared" si="33"/>
        <v>0</v>
      </c>
      <c r="V370" s="5">
        <f t="shared" si="33"/>
        <v>0</v>
      </c>
      <c r="W370" s="5">
        <f t="shared" si="33"/>
        <v>0</v>
      </c>
      <c r="X370" s="5">
        <f t="shared" si="33"/>
        <v>0</v>
      </c>
      <c r="Y370" s="5">
        <f t="shared" si="33"/>
        <v>0</v>
      </c>
      <c r="Z370" s="5">
        <f t="shared" si="33"/>
        <v>0</v>
      </c>
      <c r="AA370" s="5">
        <f t="shared" si="33"/>
        <v>0</v>
      </c>
      <c r="AB370" s="5">
        <f t="shared" si="33"/>
        <v>0</v>
      </c>
      <c r="AC370" s="5">
        <f t="shared" si="33"/>
        <v>0</v>
      </c>
      <c r="AD370" s="5">
        <f t="shared" si="33"/>
        <v>0</v>
      </c>
      <c r="AE370" s="5">
        <f t="shared" si="34"/>
        <v>0</v>
      </c>
      <c r="AF370" s="5">
        <f t="shared" si="34"/>
        <v>0</v>
      </c>
      <c r="AG370" s="5">
        <f t="shared" si="34"/>
        <v>0</v>
      </c>
      <c r="AH370" s="5">
        <f t="shared" si="34"/>
        <v>0</v>
      </c>
      <c r="AI370" s="5">
        <f t="shared" si="34"/>
        <v>0</v>
      </c>
      <c r="AJ370" s="5">
        <f t="shared" si="34"/>
        <v>0</v>
      </c>
      <c r="AK370" s="5">
        <f t="shared" si="34"/>
        <v>0</v>
      </c>
      <c r="AL370" s="5">
        <f t="shared" si="34"/>
        <v>0</v>
      </c>
      <c r="AM370" s="60"/>
      <c r="AN370" s="60"/>
      <c r="AO370" s="5"/>
    </row>
    <row r="371" spans="1:47">
      <c r="A371" s="5"/>
      <c r="B371" s="50" t="s">
        <v>2645</v>
      </c>
      <c r="C371" s="38" t="s">
        <v>727</v>
      </c>
      <c r="D371" s="38"/>
      <c r="E371" s="38"/>
      <c r="F371" s="38"/>
      <c r="G371" s="38"/>
      <c r="H371" s="38"/>
      <c r="I371" s="38"/>
      <c r="J371" s="38"/>
      <c r="K371" s="5">
        <f t="shared" si="32"/>
        <v>393.66</v>
      </c>
      <c r="L371" s="5">
        <f t="shared" si="32"/>
        <v>315.43</v>
      </c>
      <c r="M371" s="5">
        <f t="shared" si="32"/>
        <v>272.05</v>
      </c>
      <c r="N371" s="5">
        <f t="shared" si="32"/>
        <v>247.94</v>
      </c>
      <c r="O371" s="5">
        <f t="shared" si="32"/>
        <v>225.27</v>
      </c>
      <c r="P371" s="5">
        <f t="shared" si="32"/>
        <v>205.8</v>
      </c>
      <c r="Q371" s="5">
        <f t="shared" si="32"/>
        <v>209.45</v>
      </c>
      <c r="R371" s="5">
        <f t="shared" si="32"/>
        <v>162.15</v>
      </c>
      <c r="S371" s="5">
        <f t="shared" si="32"/>
        <v>11.76</v>
      </c>
      <c r="T371" s="5">
        <f t="shared" si="32"/>
        <v>10.92</v>
      </c>
      <c r="U371" s="5">
        <f t="shared" si="33"/>
        <v>9.24</v>
      </c>
      <c r="V371" s="5">
        <f t="shared" si="33"/>
        <v>8.4</v>
      </c>
      <c r="W371" s="5">
        <f t="shared" si="33"/>
        <v>8.4</v>
      </c>
      <c r="X371" s="5">
        <f t="shared" si="33"/>
        <v>8.4</v>
      </c>
      <c r="Y371" s="5">
        <f t="shared" si="33"/>
        <v>7.98</v>
      </c>
      <c r="Z371" s="5">
        <f t="shared" si="33"/>
        <v>7.56</v>
      </c>
      <c r="AA371" s="5">
        <f t="shared" si="33"/>
        <v>6.97</v>
      </c>
      <c r="AB371" s="5">
        <f t="shared" si="33"/>
        <v>6.47</v>
      </c>
      <c r="AC371" s="5">
        <f t="shared" si="33"/>
        <v>5.96</v>
      </c>
      <c r="AD371" s="5">
        <f t="shared" si="33"/>
        <v>5.54</v>
      </c>
      <c r="AE371" s="5">
        <f t="shared" si="34"/>
        <v>5.12</v>
      </c>
      <c r="AF371" s="5">
        <f t="shared" si="34"/>
        <v>4.7</v>
      </c>
      <c r="AG371" s="5">
        <f t="shared" si="34"/>
        <v>4.37</v>
      </c>
      <c r="AH371" s="5">
        <f t="shared" si="34"/>
        <v>3.95</v>
      </c>
      <c r="AI371" s="5">
        <f t="shared" si="34"/>
        <v>3.61</v>
      </c>
      <c r="AJ371" s="5">
        <f t="shared" si="34"/>
        <v>3.28</v>
      </c>
      <c r="AK371" s="5">
        <f t="shared" si="34"/>
        <v>2.94</v>
      </c>
      <c r="AL371" s="5">
        <f t="shared" si="34"/>
        <v>2.6</v>
      </c>
      <c r="AM371" s="60"/>
      <c r="AN371" s="60"/>
      <c r="AO371" s="5"/>
    </row>
    <row r="372" spans="1:47">
      <c r="A372" s="5"/>
      <c r="B372" s="50" t="s">
        <v>2469</v>
      </c>
      <c r="C372" s="38" t="s">
        <v>727</v>
      </c>
      <c r="D372" s="38"/>
      <c r="E372" s="38"/>
      <c r="F372" s="38"/>
      <c r="G372" s="38"/>
      <c r="H372" s="38"/>
      <c r="I372" s="38"/>
      <c r="J372" s="38"/>
      <c r="K372" s="5">
        <f t="shared" si="32"/>
        <v>7.67</v>
      </c>
      <c r="L372" s="5">
        <f t="shared" si="32"/>
        <v>5.62</v>
      </c>
      <c r="M372" s="5">
        <f t="shared" si="32"/>
        <v>3.23</v>
      </c>
      <c r="N372" s="5">
        <f t="shared" si="32"/>
        <v>1.45</v>
      </c>
      <c r="O372" s="5">
        <f t="shared" si="32"/>
        <v>0.98</v>
      </c>
      <c r="P372" s="5">
        <f t="shared" si="32"/>
        <v>0.76</v>
      </c>
      <c r="Q372" s="5">
        <f t="shared" si="32"/>
        <v>0.67</v>
      </c>
      <c r="R372" s="5">
        <f t="shared" si="32"/>
        <v>0.56999999999999995</v>
      </c>
      <c r="S372" s="5">
        <f t="shared" si="32"/>
        <v>0.51</v>
      </c>
      <c r="T372" s="5">
        <f t="shared" si="32"/>
        <v>0.28999999999999998</v>
      </c>
      <c r="U372" s="5">
        <f t="shared" si="33"/>
        <v>0</v>
      </c>
      <c r="V372" s="5">
        <f t="shared" si="33"/>
        <v>0</v>
      </c>
      <c r="W372" s="5">
        <f t="shared" si="33"/>
        <v>0</v>
      </c>
      <c r="X372" s="5">
        <f t="shared" si="33"/>
        <v>0</v>
      </c>
      <c r="Y372" s="5">
        <f t="shared" si="33"/>
        <v>0</v>
      </c>
      <c r="Z372" s="5">
        <f t="shared" si="33"/>
        <v>0</v>
      </c>
      <c r="AA372" s="5">
        <f t="shared" si="33"/>
        <v>0</v>
      </c>
      <c r="AB372" s="5">
        <f t="shared" si="33"/>
        <v>0</v>
      </c>
      <c r="AC372" s="5">
        <f t="shared" si="33"/>
        <v>0</v>
      </c>
      <c r="AD372" s="5">
        <f t="shared" si="33"/>
        <v>0</v>
      </c>
      <c r="AE372" s="5">
        <f t="shared" si="34"/>
        <v>0</v>
      </c>
      <c r="AF372" s="5">
        <f t="shared" si="34"/>
        <v>0</v>
      </c>
      <c r="AG372" s="5">
        <f t="shared" si="34"/>
        <v>0</v>
      </c>
      <c r="AH372" s="5">
        <f t="shared" si="34"/>
        <v>0</v>
      </c>
      <c r="AI372" s="5">
        <f t="shared" si="34"/>
        <v>0</v>
      </c>
      <c r="AJ372" s="5">
        <f t="shared" si="34"/>
        <v>0</v>
      </c>
      <c r="AK372" s="5">
        <f t="shared" si="34"/>
        <v>0</v>
      </c>
      <c r="AL372" s="5">
        <f t="shared" si="34"/>
        <v>0</v>
      </c>
      <c r="AM372" s="60"/>
      <c r="AN372" s="60"/>
      <c r="AO372" s="5"/>
    </row>
    <row r="373" spans="1:47">
      <c r="A373" s="5"/>
      <c r="B373" s="50" t="s">
        <v>3111</v>
      </c>
      <c r="C373" s="38" t="s">
        <v>727</v>
      </c>
      <c r="D373" s="38"/>
      <c r="E373" s="38"/>
      <c r="F373" s="38"/>
      <c r="G373" s="38"/>
      <c r="H373" s="38"/>
      <c r="I373" s="38"/>
      <c r="J373" s="38"/>
      <c r="K373" s="5">
        <f t="shared" si="32"/>
        <v>28.29</v>
      </c>
      <c r="L373" s="5">
        <f t="shared" si="32"/>
        <v>33.51</v>
      </c>
      <c r="M373" s="5">
        <f t="shared" si="32"/>
        <v>34.950000000000003</v>
      </c>
      <c r="N373" s="5">
        <f t="shared" si="32"/>
        <v>33.99</v>
      </c>
      <c r="O373" s="5">
        <f t="shared" si="32"/>
        <v>33.1</v>
      </c>
      <c r="P373" s="5">
        <f t="shared" si="32"/>
        <v>39.119999999999997</v>
      </c>
      <c r="Q373" s="5">
        <f t="shared" si="32"/>
        <v>53.08</v>
      </c>
      <c r="R373" s="5">
        <f t="shared" si="32"/>
        <v>39.06</v>
      </c>
      <c r="S373" s="5">
        <f t="shared" si="32"/>
        <v>0</v>
      </c>
      <c r="T373" s="5">
        <f t="shared" si="32"/>
        <v>0</v>
      </c>
      <c r="U373" s="5">
        <f t="shared" si="33"/>
        <v>0</v>
      </c>
      <c r="V373" s="5">
        <f t="shared" si="33"/>
        <v>0</v>
      </c>
      <c r="W373" s="5">
        <f t="shared" si="33"/>
        <v>0</v>
      </c>
      <c r="X373" s="5">
        <f t="shared" si="33"/>
        <v>0</v>
      </c>
      <c r="Y373" s="5">
        <f t="shared" si="33"/>
        <v>0</v>
      </c>
      <c r="Z373" s="5">
        <f t="shared" si="33"/>
        <v>0</v>
      </c>
      <c r="AA373" s="5">
        <f t="shared" si="33"/>
        <v>0</v>
      </c>
      <c r="AB373" s="5">
        <f t="shared" si="33"/>
        <v>0</v>
      </c>
      <c r="AC373" s="5">
        <f t="shared" si="33"/>
        <v>0</v>
      </c>
      <c r="AD373" s="5">
        <f t="shared" si="33"/>
        <v>0</v>
      </c>
      <c r="AE373" s="5">
        <f t="shared" si="34"/>
        <v>0</v>
      </c>
      <c r="AF373" s="5">
        <f t="shared" si="34"/>
        <v>0</v>
      </c>
      <c r="AG373" s="5">
        <f t="shared" si="34"/>
        <v>0</v>
      </c>
      <c r="AH373" s="5">
        <f t="shared" si="34"/>
        <v>0</v>
      </c>
      <c r="AI373" s="5">
        <f t="shared" si="34"/>
        <v>0</v>
      </c>
      <c r="AJ373" s="5">
        <f t="shared" si="34"/>
        <v>0</v>
      </c>
      <c r="AK373" s="5">
        <f t="shared" si="34"/>
        <v>0</v>
      </c>
      <c r="AL373" s="5">
        <f t="shared" si="34"/>
        <v>0</v>
      </c>
      <c r="AM373" s="60"/>
      <c r="AN373" s="60"/>
      <c r="AO373" s="5"/>
    </row>
    <row r="374" spans="1:47">
      <c r="A374" s="5"/>
      <c r="B374" s="50" t="s">
        <v>2470</v>
      </c>
      <c r="C374" s="38" t="s">
        <v>216</v>
      </c>
      <c r="D374" s="38"/>
      <c r="E374" s="38"/>
      <c r="F374" s="38"/>
      <c r="G374" s="38"/>
      <c r="H374" s="38"/>
      <c r="I374" s="38"/>
      <c r="J374" s="38"/>
      <c r="K374" s="5">
        <f t="shared" si="32"/>
        <v>79.61</v>
      </c>
      <c r="L374" s="5">
        <f t="shared" si="32"/>
        <v>104.27</v>
      </c>
      <c r="M374" s="5">
        <f t="shared" si="32"/>
        <v>104.27</v>
      </c>
      <c r="N374" s="5">
        <f t="shared" si="32"/>
        <v>101.28</v>
      </c>
      <c r="O374" s="5">
        <f t="shared" si="32"/>
        <v>85.94</v>
      </c>
      <c r="P374" s="5">
        <f t="shared" si="32"/>
        <v>91.14</v>
      </c>
      <c r="Q374" s="5">
        <f t="shared" si="32"/>
        <v>83.03</v>
      </c>
      <c r="R374" s="5">
        <f t="shared" si="32"/>
        <v>93.63</v>
      </c>
      <c r="S374" s="5">
        <f t="shared" si="32"/>
        <v>69.680000000000007</v>
      </c>
      <c r="T374" s="5">
        <f t="shared" si="32"/>
        <v>66.36</v>
      </c>
      <c r="U374" s="5">
        <f t="shared" si="33"/>
        <v>0</v>
      </c>
      <c r="V374" s="5">
        <f t="shared" si="33"/>
        <v>0</v>
      </c>
      <c r="W374" s="5">
        <f t="shared" si="33"/>
        <v>0</v>
      </c>
      <c r="X374" s="5">
        <f t="shared" si="33"/>
        <v>0</v>
      </c>
      <c r="Y374" s="5">
        <f t="shared" si="33"/>
        <v>0</v>
      </c>
      <c r="Z374" s="5">
        <f t="shared" si="33"/>
        <v>0</v>
      </c>
      <c r="AA374" s="5">
        <f t="shared" si="33"/>
        <v>0</v>
      </c>
      <c r="AB374" s="5">
        <f t="shared" si="33"/>
        <v>0</v>
      </c>
      <c r="AC374" s="5">
        <f t="shared" si="33"/>
        <v>0</v>
      </c>
      <c r="AD374" s="5">
        <f t="shared" si="33"/>
        <v>0</v>
      </c>
      <c r="AE374" s="5">
        <f t="shared" si="34"/>
        <v>0</v>
      </c>
      <c r="AF374" s="5">
        <f t="shared" si="34"/>
        <v>0</v>
      </c>
      <c r="AG374" s="5">
        <f t="shared" si="34"/>
        <v>0</v>
      </c>
      <c r="AH374" s="5">
        <f t="shared" si="34"/>
        <v>0</v>
      </c>
      <c r="AI374" s="5">
        <f t="shared" si="34"/>
        <v>0</v>
      </c>
      <c r="AJ374" s="5">
        <f t="shared" si="34"/>
        <v>0</v>
      </c>
      <c r="AK374" s="5">
        <f t="shared" si="34"/>
        <v>0</v>
      </c>
      <c r="AL374" s="5">
        <f t="shared" si="34"/>
        <v>0</v>
      </c>
      <c r="AM374" s="60"/>
      <c r="AN374" s="60"/>
      <c r="AO374" s="5"/>
    </row>
    <row r="375" spans="1:47">
      <c r="A375" s="5"/>
      <c r="B375" s="50" t="s">
        <v>1797</v>
      </c>
      <c r="C375" s="38" t="s">
        <v>2247</v>
      </c>
      <c r="D375" s="38"/>
      <c r="E375" s="38"/>
      <c r="F375" s="38"/>
      <c r="G375" s="38"/>
      <c r="H375" s="38"/>
      <c r="I375" s="38"/>
      <c r="J375" s="38"/>
      <c r="K375" s="5">
        <f t="shared" si="32"/>
        <v>0</v>
      </c>
      <c r="L375" s="5">
        <f t="shared" si="32"/>
        <v>4</v>
      </c>
      <c r="M375" s="5">
        <f t="shared" si="32"/>
        <v>2.5</v>
      </c>
      <c r="N375" s="5">
        <f t="shared" si="32"/>
        <v>38.380000000000003</v>
      </c>
      <c r="O375" s="5">
        <f t="shared" si="32"/>
        <v>57.1</v>
      </c>
      <c r="P375" s="5">
        <f t="shared" si="32"/>
        <v>57.1</v>
      </c>
      <c r="Q375" s="5">
        <f t="shared" si="32"/>
        <v>90.8</v>
      </c>
      <c r="R375" s="5">
        <f t="shared" si="32"/>
        <v>92.949999999999989</v>
      </c>
      <c r="S375" s="5">
        <f t="shared" si="32"/>
        <v>0</v>
      </c>
      <c r="T375" s="5">
        <f t="shared" si="32"/>
        <v>0</v>
      </c>
      <c r="U375" s="5">
        <f t="shared" si="33"/>
        <v>0</v>
      </c>
      <c r="V375" s="5">
        <f t="shared" si="33"/>
        <v>0</v>
      </c>
      <c r="W375" s="5">
        <f t="shared" si="33"/>
        <v>0</v>
      </c>
      <c r="X375" s="5">
        <f t="shared" si="33"/>
        <v>0</v>
      </c>
      <c r="Y375" s="5">
        <f t="shared" si="33"/>
        <v>0</v>
      </c>
      <c r="Z375" s="5">
        <f t="shared" si="33"/>
        <v>0</v>
      </c>
      <c r="AA375" s="5">
        <f t="shared" si="33"/>
        <v>0</v>
      </c>
      <c r="AB375" s="5">
        <f t="shared" si="33"/>
        <v>0</v>
      </c>
      <c r="AC375" s="5">
        <f t="shared" si="33"/>
        <v>0</v>
      </c>
      <c r="AD375" s="5">
        <f t="shared" si="33"/>
        <v>0</v>
      </c>
      <c r="AE375" s="5">
        <f t="shared" si="34"/>
        <v>0</v>
      </c>
      <c r="AF375" s="5">
        <f t="shared" si="34"/>
        <v>0</v>
      </c>
      <c r="AG375" s="5">
        <f t="shared" si="34"/>
        <v>0</v>
      </c>
      <c r="AH375" s="5">
        <f t="shared" si="34"/>
        <v>0</v>
      </c>
      <c r="AI375" s="5">
        <f t="shared" si="34"/>
        <v>0</v>
      </c>
      <c r="AJ375" s="5">
        <f t="shared" si="34"/>
        <v>0</v>
      </c>
      <c r="AK375" s="5">
        <f t="shared" si="34"/>
        <v>0</v>
      </c>
      <c r="AL375" s="5">
        <f t="shared" si="34"/>
        <v>0</v>
      </c>
      <c r="AM375" s="60"/>
      <c r="AN375" s="60"/>
      <c r="AO375" s="5"/>
    </row>
    <row r="376" spans="1:47">
      <c r="A376" s="5"/>
      <c r="B376" s="50" t="s">
        <v>1818</v>
      </c>
      <c r="C376" s="38" t="s">
        <v>3403</v>
      </c>
      <c r="D376" s="38"/>
      <c r="E376" s="38"/>
      <c r="F376" s="38"/>
      <c r="G376" s="38"/>
      <c r="H376" s="38"/>
      <c r="I376" s="38"/>
      <c r="J376" s="38"/>
      <c r="K376" s="5">
        <f t="shared" si="32"/>
        <v>0</v>
      </c>
      <c r="L376" s="5">
        <f t="shared" si="32"/>
        <v>0</v>
      </c>
      <c r="M376" s="5">
        <f t="shared" si="32"/>
        <v>0</v>
      </c>
      <c r="N376" s="5">
        <f t="shared" si="32"/>
        <v>0</v>
      </c>
      <c r="O376" s="5">
        <f t="shared" si="32"/>
        <v>0</v>
      </c>
      <c r="P376" s="5">
        <f t="shared" si="32"/>
        <v>0</v>
      </c>
      <c r="Q376" s="5">
        <f t="shared" si="32"/>
        <v>35.049999999999997</v>
      </c>
      <c r="R376" s="5">
        <f t="shared" si="32"/>
        <v>347</v>
      </c>
      <c r="S376" s="5">
        <f t="shared" si="32"/>
        <v>358.57</v>
      </c>
      <c r="T376" s="5">
        <f t="shared" si="32"/>
        <v>316.67</v>
      </c>
      <c r="U376" s="5">
        <f t="shared" si="33"/>
        <v>322.29000000000002</v>
      </c>
      <c r="V376" s="5">
        <f t="shared" si="33"/>
        <v>300.43</v>
      </c>
      <c r="W376" s="5">
        <f t="shared" si="33"/>
        <v>328.42</v>
      </c>
      <c r="X376" s="5">
        <f t="shared" si="33"/>
        <v>390.97</v>
      </c>
      <c r="Y376" s="5">
        <f t="shared" si="33"/>
        <v>353.8</v>
      </c>
      <c r="Z376" s="5">
        <f t="shared" si="33"/>
        <v>377.72</v>
      </c>
      <c r="AA376" s="5">
        <f t="shared" si="33"/>
        <v>377.42</v>
      </c>
      <c r="AB376" s="5">
        <f t="shared" si="33"/>
        <v>370.66</v>
      </c>
      <c r="AC376" s="5">
        <f t="shared" si="33"/>
        <v>369.58</v>
      </c>
      <c r="AD376" s="5">
        <f t="shared" si="33"/>
        <v>368.78</v>
      </c>
      <c r="AE376" s="5">
        <f t="shared" si="34"/>
        <v>372.82</v>
      </c>
      <c r="AF376" s="5">
        <f t="shared" si="34"/>
        <v>373.07</v>
      </c>
      <c r="AG376" s="5">
        <f t="shared" si="34"/>
        <v>380.79</v>
      </c>
      <c r="AH376" s="5">
        <f t="shared" si="34"/>
        <v>382.55</v>
      </c>
      <c r="AI376" s="5">
        <f t="shared" si="34"/>
        <v>378.94</v>
      </c>
      <c r="AJ376" s="5">
        <f t="shared" si="34"/>
        <v>376.93</v>
      </c>
      <c r="AK376" s="5">
        <f t="shared" si="34"/>
        <v>372.88</v>
      </c>
      <c r="AL376" s="5">
        <f t="shared" si="34"/>
        <v>374.41</v>
      </c>
      <c r="AM376" s="60"/>
      <c r="AN376" s="60"/>
      <c r="AO376" s="5"/>
    </row>
    <row r="377" spans="1:47">
      <c r="A377" s="5"/>
      <c r="B377" s="50" t="s">
        <v>1798</v>
      </c>
      <c r="C377" s="38" t="s">
        <v>2251</v>
      </c>
      <c r="D377" s="38"/>
      <c r="E377" s="38"/>
      <c r="F377" s="38"/>
      <c r="G377" s="38"/>
      <c r="H377" s="38"/>
      <c r="I377" s="38"/>
      <c r="J377" s="38"/>
      <c r="K377" s="5">
        <f t="shared" si="32"/>
        <v>256.61</v>
      </c>
      <c r="L377" s="5">
        <f t="shared" si="32"/>
        <v>206.03</v>
      </c>
      <c r="M377" s="5">
        <f t="shared" si="32"/>
        <v>198.92</v>
      </c>
      <c r="N377" s="5">
        <f t="shared" si="32"/>
        <v>251.77</v>
      </c>
      <c r="O377" s="5">
        <f t="shared" si="32"/>
        <v>425.16999999999996</v>
      </c>
      <c r="P377" s="5">
        <f t="shared" si="32"/>
        <v>481.25000000000006</v>
      </c>
      <c r="Q377" s="5">
        <f t="shared" si="32"/>
        <v>468.65</v>
      </c>
      <c r="R377" s="5">
        <f t="shared" si="32"/>
        <v>475.22</v>
      </c>
      <c r="S377" s="5">
        <f t="shared" si="32"/>
        <v>494.83</v>
      </c>
      <c r="T377" s="5">
        <f t="shared" si="32"/>
        <v>490.16</v>
      </c>
      <c r="U377" s="5">
        <f t="shared" si="33"/>
        <v>457.87</v>
      </c>
      <c r="V377" s="5">
        <f t="shared" si="33"/>
        <v>404.31</v>
      </c>
      <c r="W377" s="5">
        <f t="shared" si="33"/>
        <v>384.34000000000003</v>
      </c>
      <c r="X377" s="5">
        <f t="shared" si="33"/>
        <v>316.31000000000006</v>
      </c>
      <c r="Y377" s="5">
        <f t="shared" si="33"/>
        <v>724.42000000000007</v>
      </c>
      <c r="Z377" s="5">
        <f t="shared" si="33"/>
        <v>1053.29</v>
      </c>
      <c r="AA377" s="5">
        <f t="shared" si="33"/>
        <v>1361.6900000000003</v>
      </c>
      <c r="AB377" s="5">
        <f t="shared" si="33"/>
        <v>1666.3400000000001</v>
      </c>
      <c r="AC377" s="5">
        <f t="shared" si="33"/>
        <v>1820.25</v>
      </c>
      <c r="AD377" s="5">
        <f t="shared" si="33"/>
        <v>1766.25</v>
      </c>
      <c r="AE377" s="5">
        <f t="shared" si="34"/>
        <v>1733.2400000000002</v>
      </c>
      <c r="AF377" s="5">
        <f t="shared" si="34"/>
        <v>1800.3599999999997</v>
      </c>
      <c r="AG377" s="5">
        <f t="shared" si="34"/>
        <v>1634.13</v>
      </c>
      <c r="AH377" s="5">
        <f t="shared" si="34"/>
        <v>1628.12</v>
      </c>
      <c r="AI377" s="5">
        <f t="shared" si="34"/>
        <v>1465.54</v>
      </c>
      <c r="AJ377" s="5">
        <f t="shared" si="34"/>
        <v>1370.42</v>
      </c>
      <c r="AK377" s="5">
        <f t="shared" si="34"/>
        <v>1347.58</v>
      </c>
      <c r="AL377" s="5">
        <f t="shared" si="34"/>
        <v>1246.9499999999998</v>
      </c>
      <c r="AM377" s="60"/>
      <c r="AN377" s="60"/>
      <c r="AO377" s="5"/>
    </row>
    <row r="378" spans="1:47">
      <c r="A378" s="5"/>
      <c r="B378" s="50" t="s">
        <v>377</v>
      </c>
      <c r="C378" s="38" t="s">
        <v>3400</v>
      </c>
      <c r="D378" s="38"/>
      <c r="E378" s="38"/>
      <c r="F378" s="38"/>
      <c r="G378" s="38"/>
      <c r="H378" s="38"/>
      <c r="I378" s="38"/>
      <c r="J378" s="38"/>
      <c r="K378" s="5">
        <f t="shared" si="32"/>
        <v>0</v>
      </c>
      <c r="L378" s="5">
        <f t="shared" si="32"/>
        <v>0</v>
      </c>
      <c r="M378" s="5">
        <f t="shared" si="32"/>
        <v>0</v>
      </c>
      <c r="N378" s="5">
        <f t="shared" si="32"/>
        <v>0</v>
      </c>
      <c r="O378" s="5">
        <f t="shared" si="32"/>
        <v>0</v>
      </c>
      <c r="P378" s="5">
        <f t="shared" si="32"/>
        <v>0</v>
      </c>
      <c r="Q378" s="5">
        <f t="shared" si="32"/>
        <v>0</v>
      </c>
      <c r="R378" s="5">
        <f t="shared" si="32"/>
        <v>0</v>
      </c>
      <c r="S378" s="5">
        <f t="shared" si="32"/>
        <v>160.44</v>
      </c>
      <c r="T378" s="5">
        <f t="shared" si="32"/>
        <v>314.27999999999997</v>
      </c>
      <c r="U378" s="5">
        <f t="shared" si="33"/>
        <v>164.09</v>
      </c>
      <c r="V378" s="5">
        <f t="shared" si="33"/>
        <v>134.52000000000001</v>
      </c>
      <c r="W378" s="5">
        <f t="shared" si="33"/>
        <v>116.1</v>
      </c>
      <c r="X378" s="5">
        <f t="shared" si="33"/>
        <v>87.41</v>
      </c>
      <c r="Y378" s="5">
        <f t="shared" si="33"/>
        <v>86.82</v>
      </c>
      <c r="Z378" s="5">
        <f t="shared" si="33"/>
        <v>82.23</v>
      </c>
      <c r="AA378" s="5">
        <f t="shared" si="33"/>
        <v>75.06</v>
      </c>
      <c r="AB378" s="5">
        <f t="shared" si="33"/>
        <v>66.760000000000005</v>
      </c>
      <c r="AC378" s="5">
        <f t="shared" si="33"/>
        <v>85.26</v>
      </c>
      <c r="AD378" s="5">
        <f t="shared" si="33"/>
        <v>133.04</v>
      </c>
      <c r="AE378" s="5">
        <f t="shared" si="34"/>
        <v>235.07</v>
      </c>
      <c r="AF378" s="5">
        <f t="shared" si="34"/>
        <v>305.33</v>
      </c>
      <c r="AG378" s="5">
        <f t="shared" si="34"/>
        <v>342.26</v>
      </c>
      <c r="AH378" s="5">
        <f t="shared" si="34"/>
        <v>349.63</v>
      </c>
      <c r="AI378" s="5">
        <f t="shared" si="34"/>
        <v>374.35</v>
      </c>
      <c r="AJ378" s="5">
        <f t="shared" si="34"/>
        <v>371.19</v>
      </c>
      <c r="AK378" s="5">
        <f t="shared" si="34"/>
        <v>329.72</v>
      </c>
      <c r="AL378" s="5">
        <f t="shared" si="34"/>
        <v>293.73</v>
      </c>
      <c r="AM378" s="60"/>
      <c r="AN378" s="60"/>
      <c r="AO378" s="5"/>
    </row>
    <row r="379" spans="1:47">
      <c r="A379" s="5"/>
      <c r="B379" s="11" t="s">
        <v>1800</v>
      </c>
      <c r="C379" s="11" t="s">
        <v>139</v>
      </c>
      <c r="D379" s="38"/>
      <c r="E379" s="38"/>
      <c r="F379" s="38"/>
      <c r="G379" s="38"/>
      <c r="H379" s="38"/>
      <c r="I379" s="38"/>
      <c r="J379" s="38"/>
      <c r="K379" s="5">
        <f t="shared" si="32"/>
        <v>60.11</v>
      </c>
      <c r="L379" s="5">
        <f t="shared" si="32"/>
        <v>76.62</v>
      </c>
      <c r="M379" s="5">
        <f t="shared" si="32"/>
        <v>59.519999999999996</v>
      </c>
      <c r="N379" s="5">
        <f t="shared" si="32"/>
        <v>40.56</v>
      </c>
      <c r="O379" s="5">
        <f t="shared" si="32"/>
        <v>0</v>
      </c>
      <c r="P379" s="5">
        <f t="shared" si="32"/>
        <v>0</v>
      </c>
      <c r="Q379" s="5">
        <f t="shared" si="32"/>
        <v>0</v>
      </c>
      <c r="R379" s="5">
        <f t="shared" si="32"/>
        <v>0</v>
      </c>
      <c r="S379" s="5">
        <f t="shared" si="32"/>
        <v>0</v>
      </c>
      <c r="T379" s="5">
        <f t="shared" si="32"/>
        <v>0</v>
      </c>
      <c r="U379" s="5">
        <f t="shared" si="33"/>
        <v>0</v>
      </c>
      <c r="V379" s="5">
        <f t="shared" si="33"/>
        <v>0</v>
      </c>
      <c r="W379" s="5">
        <f t="shared" si="33"/>
        <v>0</v>
      </c>
      <c r="X379" s="5">
        <f t="shared" si="33"/>
        <v>0</v>
      </c>
      <c r="Y379" s="5">
        <f t="shared" si="33"/>
        <v>0</v>
      </c>
      <c r="Z379" s="5">
        <f t="shared" si="33"/>
        <v>0</v>
      </c>
      <c r="AA379" s="5">
        <f t="shared" si="33"/>
        <v>0</v>
      </c>
      <c r="AB379" s="5">
        <f t="shared" si="33"/>
        <v>0</v>
      </c>
      <c r="AC379" s="5">
        <f t="shared" si="33"/>
        <v>0</v>
      </c>
      <c r="AD379" s="5">
        <f t="shared" si="33"/>
        <v>0</v>
      </c>
      <c r="AE379" s="5">
        <f t="shared" si="34"/>
        <v>0</v>
      </c>
      <c r="AF379" s="5">
        <f t="shared" si="34"/>
        <v>0</v>
      </c>
      <c r="AG379" s="5">
        <f t="shared" si="34"/>
        <v>0</v>
      </c>
      <c r="AH379" s="5">
        <f t="shared" si="34"/>
        <v>0</v>
      </c>
      <c r="AI379" s="5">
        <f t="shared" si="34"/>
        <v>0</v>
      </c>
      <c r="AJ379" s="5">
        <f t="shared" si="34"/>
        <v>0</v>
      </c>
      <c r="AK379" s="5">
        <f t="shared" si="34"/>
        <v>0</v>
      </c>
      <c r="AL379" s="5">
        <f t="shared" si="34"/>
        <v>0</v>
      </c>
      <c r="AM379" s="60"/>
      <c r="AN379" s="60"/>
      <c r="AO379" s="5"/>
    </row>
    <row r="380" spans="1:47">
      <c r="A380" s="5"/>
      <c r="B380" s="11" t="s">
        <v>1801</v>
      </c>
      <c r="C380" s="11" t="s">
        <v>1745</v>
      </c>
      <c r="D380" s="38"/>
      <c r="E380" s="38"/>
      <c r="F380" s="38"/>
      <c r="G380" s="38"/>
      <c r="H380" s="38"/>
      <c r="I380" s="38"/>
      <c r="J380" s="38"/>
      <c r="K380" s="5">
        <f t="shared" ref="K380:W389" si="35">SUMIF($AM$10:$AM$361,$B380,K$10:K$361)</f>
        <v>40.180000000000007</v>
      </c>
      <c r="L380" s="5">
        <f t="shared" si="35"/>
        <v>40.69</v>
      </c>
      <c r="M380" s="5">
        <f t="shared" si="35"/>
        <v>42.730000000000004</v>
      </c>
      <c r="N380" s="5">
        <f t="shared" si="35"/>
        <v>33.68</v>
      </c>
      <c r="O380" s="5">
        <f t="shared" si="35"/>
        <v>26.479999999999997</v>
      </c>
      <c r="P380" s="5">
        <f t="shared" si="35"/>
        <v>20.990000000000002</v>
      </c>
      <c r="Q380" s="5">
        <f t="shared" si="35"/>
        <v>15.060000000000002</v>
      </c>
      <c r="R380" s="5">
        <f t="shared" si="35"/>
        <v>15.55</v>
      </c>
      <c r="S380" s="5">
        <f t="shared" si="35"/>
        <v>11.22</v>
      </c>
      <c r="T380" s="5">
        <f t="shared" si="35"/>
        <v>6.7899999999999991</v>
      </c>
      <c r="U380" s="5">
        <f t="shared" si="35"/>
        <v>79.67</v>
      </c>
      <c r="V380" s="5">
        <f t="shared" si="35"/>
        <v>99.07</v>
      </c>
      <c r="W380" s="5">
        <f t="shared" si="35"/>
        <v>100.05</v>
      </c>
      <c r="X380" s="5">
        <f>SUMIF($AM$10:$AM$361,$B442,X$10:X$361)</f>
        <v>45.494999999999997</v>
      </c>
      <c r="Y380" s="5">
        <f t="shared" ref="Y380:AL389" si="36">SUMIF($AM$10:$AM$361,$B380,Y$10:Y$361)</f>
        <v>0</v>
      </c>
      <c r="Z380" s="5">
        <f t="shared" si="36"/>
        <v>0</v>
      </c>
      <c r="AA380" s="5">
        <f t="shared" si="36"/>
        <v>0</v>
      </c>
      <c r="AB380" s="5">
        <f t="shared" si="36"/>
        <v>0</v>
      </c>
      <c r="AC380" s="5">
        <f t="shared" si="36"/>
        <v>0</v>
      </c>
      <c r="AD380" s="5">
        <f t="shared" si="36"/>
        <v>0</v>
      </c>
      <c r="AE380" s="5">
        <f t="shared" si="36"/>
        <v>0</v>
      </c>
      <c r="AF380" s="5">
        <f t="shared" si="36"/>
        <v>0</v>
      </c>
      <c r="AG380" s="5">
        <f t="shared" si="36"/>
        <v>0</v>
      </c>
      <c r="AH380" s="5">
        <f t="shared" si="36"/>
        <v>0</v>
      </c>
      <c r="AI380" s="5">
        <f t="shared" si="36"/>
        <v>0</v>
      </c>
      <c r="AJ380" s="5">
        <f t="shared" si="36"/>
        <v>0</v>
      </c>
      <c r="AK380" s="5">
        <f t="shared" si="36"/>
        <v>0</v>
      </c>
      <c r="AL380" s="5">
        <f t="shared" si="36"/>
        <v>0</v>
      </c>
      <c r="AM380" s="61"/>
      <c r="AN380" s="60"/>
      <c r="AO380" s="5"/>
    </row>
    <row r="381" spans="1:47">
      <c r="A381" s="5"/>
      <c r="B381" s="11" t="s">
        <v>1417</v>
      </c>
      <c r="C381" s="38" t="s">
        <v>3277</v>
      </c>
      <c r="D381" s="38"/>
      <c r="E381" s="38"/>
      <c r="F381" s="38"/>
      <c r="G381" s="38"/>
      <c r="H381" s="38"/>
      <c r="I381" s="38"/>
      <c r="J381" s="38"/>
      <c r="K381" s="5">
        <f t="shared" si="35"/>
        <v>0</v>
      </c>
      <c r="L381" s="5">
        <f t="shared" si="35"/>
        <v>0</v>
      </c>
      <c r="M381" s="5">
        <f t="shared" si="35"/>
        <v>0</v>
      </c>
      <c r="N381" s="5">
        <f t="shared" si="35"/>
        <v>0</v>
      </c>
      <c r="O381" s="5">
        <f t="shared" si="35"/>
        <v>0</v>
      </c>
      <c r="P381" s="5">
        <f t="shared" si="35"/>
        <v>0</v>
      </c>
      <c r="Q381" s="5">
        <f t="shared" si="35"/>
        <v>0</v>
      </c>
      <c r="R381" s="5">
        <f t="shared" si="35"/>
        <v>0</v>
      </c>
      <c r="S381" s="5">
        <f t="shared" si="35"/>
        <v>0</v>
      </c>
      <c r="T381" s="5">
        <f t="shared" si="35"/>
        <v>0</v>
      </c>
      <c r="U381" s="5">
        <f t="shared" si="35"/>
        <v>0</v>
      </c>
      <c r="V381" s="5">
        <f t="shared" si="35"/>
        <v>0</v>
      </c>
      <c r="W381" s="5">
        <f t="shared" si="35"/>
        <v>0</v>
      </c>
      <c r="X381" s="5">
        <f t="shared" ref="X381:X396" si="37">SUMIF($AM$10:$AM$361,$B381,X$10:X$361)</f>
        <v>0</v>
      </c>
      <c r="Y381" s="5">
        <f t="shared" si="36"/>
        <v>62.1</v>
      </c>
      <c r="Z381" s="5">
        <f t="shared" si="36"/>
        <v>455.4</v>
      </c>
      <c r="AA381" s="5">
        <f t="shared" si="36"/>
        <v>517.5</v>
      </c>
      <c r="AB381" s="5">
        <f t="shared" si="36"/>
        <v>615.83000000000004</v>
      </c>
      <c r="AC381" s="5">
        <f t="shared" si="36"/>
        <v>760.73</v>
      </c>
      <c r="AD381" s="5">
        <f t="shared" si="36"/>
        <v>776.25</v>
      </c>
      <c r="AE381" s="5">
        <f t="shared" si="36"/>
        <v>1191.53</v>
      </c>
      <c r="AF381" s="5">
        <f t="shared" si="36"/>
        <v>1414.6</v>
      </c>
      <c r="AG381" s="5">
        <f t="shared" si="36"/>
        <v>1374.2</v>
      </c>
      <c r="AH381" s="5">
        <f t="shared" si="36"/>
        <v>1115.32</v>
      </c>
      <c r="AI381" s="5">
        <f t="shared" si="36"/>
        <v>878.89</v>
      </c>
      <c r="AJ381" s="5">
        <f t="shared" si="36"/>
        <v>878.65</v>
      </c>
      <c r="AK381" s="5">
        <f t="shared" si="36"/>
        <v>889.36</v>
      </c>
      <c r="AL381" s="5">
        <f t="shared" si="36"/>
        <v>882.47</v>
      </c>
      <c r="AM381" s="61"/>
      <c r="AN381" s="60"/>
      <c r="AO381" s="5"/>
    </row>
    <row r="382" spans="1:47">
      <c r="A382" s="5"/>
      <c r="B382" s="50" t="s">
        <v>204</v>
      </c>
      <c r="C382" s="38" t="s">
        <v>3278</v>
      </c>
      <c r="D382" s="38"/>
      <c r="E382" s="38"/>
      <c r="F382" s="38"/>
      <c r="G382" s="38"/>
      <c r="H382" s="38"/>
      <c r="I382" s="38"/>
      <c r="J382" s="38"/>
      <c r="K382" s="5">
        <f t="shared" si="35"/>
        <v>91.38</v>
      </c>
      <c r="L382" s="5">
        <f t="shared" si="35"/>
        <v>93.06</v>
      </c>
      <c r="M382" s="5">
        <f t="shared" si="35"/>
        <v>99.66</v>
      </c>
      <c r="N382" s="5">
        <f t="shared" si="35"/>
        <v>98.46</v>
      </c>
      <c r="O382" s="5">
        <f t="shared" si="35"/>
        <v>147.24</v>
      </c>
      <c r="P382" s="5">
        <f t="shared" si="35"/>
        <v>183.73</v>
      </c>
      <c r="Q382" s="5">
        <f t="shared" si="35"/>
        <v>204.17999999999998</v>
      </c>
      <c r="R382" s="5">
        <f t="shared" si="35"/>
        <v>181.81000000000003</v>
      </c>
      <c r="S382" s="5">
        <f t="shared" si="35"/>
        <v>78.069999999999993</v>
      </c>
      <c r="T382" s="5">
        <f t="shared" si="35"/>
        <v>0</v>
      </c>
      <c r="U382" s="5">
        <f t="shared" si="35"/>
        <v>0</v>
      </c>
      <c r="V382" s="5">
        <f t="shared" si="35"/>
        <v>0</v>
      </c>
      <c r="W382" s="5">
        <f t="shared" si="35"/>
        <v>0</v>
      </c>
      <c r="X382" s="5">
        <f t="shared" si="37"/>
        <v>0</v>
      </c>
      <c r="Y382" s="5">
        <f t="shared" si="36"/>
        <v>0</v>
      </c>
      <c r="Z382" s="5">
        <f t="shared" si="36"/>
        <v>0</v>
      </c>
      <c r="AA382" s="5">
        <f t="shared" si="36"/>
        <v>0</v>
      </c>
      <c r="AB382" s="5">
        <f t="shared" si="36"/>
        <v>0</v>
      </c>
      <c r="AC382" s="5">
        <f t="shared" si="36"/>
        <v>0</v>
      </c>
      <c r="AD382" s="5">
        <f t="shared" si="36"/>
        <v>0</v>
      </c>
      <c r="AE382" s="5">
        <f t="shared" si="36"/>
        <v>0</v>
      </c>
      <c r="AF382" s="5">
        <f t="shared" si="36"/>
        <v>0</v>
      </c>
      <c r="AG382" s="5">
        <f t="shared" si="36"/>
        <v>0</v>
      </c>
      <c r="AH382" s="5">
        <f t="shared" si="36"/>
        <v>0</v>
      </c>
      <c r="AI382" s="5">
        <f t="shared" si="36"/>
        <v>0</v>
      </c>
      <c r="AJ382" s="5">
        <f t="shared" si="36"/>
        <v>0</v>
      </c>
      <c r="AK382" s="5">
        <f t="shared" si="36"/>
        <v>0</v>
      </c>
      <c r="AL382" s="5">
        <f t="shared" si="36"/>
        <v>0</v>
      </c>
      <c r="AM382" s="60"/>
      <c r="AN382" s="60"/>
      <c r="AO382" s="5"/>
    </row>
    <row r="383" spans="1:47">
      <c r="A383" s="5"/>
      <c r="B383" s="50" t="s">
        <v>1806</v>
      </c>
      <c r="C383" s="38" t="s">
        <v>1280</v>
      </c>
      <c r="D383" s="38"/>
      <c r="E383" s="38"/>
      <c r="F383" s="38"/>
      <c r="G383" s="38"/>
      <c r="H383" s="38"/>
      <c r="I383" s="38"/>
      <c r="J383" s="38"/>
      <c r="K383" s="5">
        <f t="shared" si="35"/>
        <v>1470</v>
      </c>
      <c r="L383" s="5">
        <f t="shared" si="35"/>
        <v>1382.5</v>
      </c>
      <c r="M383" s="5">
        <f t="shared" si="35"/>
        <v>1504.4</v>
      </c>
      <c r="N383" s="5">
        <f t="shared" si="35"/>
        <v>1523.75</v>
      </c>
      <c r="O383" s="5">
        <f t="shared" si="35"/>
        <v>1591.35</v>
      </c>
      <c r="P383" s="5">
        <f t="shared" si="35"/>
        <v>1600.2</v>
      </c>
      <c r="Q383" s="5">
        <f t="shared" si="35"/>
        <v>1645.29</v>
      </c>
      <c r="R383" s="5">
        <f t="shared" si="35"/>
        <v>1652.37</v>
      </c>
      <c r="S383" s="5">
        <f t="shared" si="35"/>
        <v>1579.8</v>
      </c>
      <c r="T383" s="5">
        <f t="shared" si="35"/>
        <v>1473.8500000000001</v>
      </c>
      <c r="U383" s="5">
        <f t="shared" si="35"/>
        <v>1497.84</v>
      </c>
      <c r="V383" s="5">
        <f t="shared" si="35"/>
        <v>1445.15</v>
      </c>
      <c r="W383" s="5">
        <f t="shared" si="35"/>
        <v>1312.91</v>
      </c>
      <c r="X383" s="5">
        <f t="shared" si="37"/>
        <v>1130.3800000000001</v>
      </c>
      <c r="Y383" s="5">
        <f t="shared" si="36"/>
        <v>1251.4100000000001</v>
      </c>
      <c r="Z383" s="5">
        <f t="shared" si="36"/>
        <v>1401.93</v>
      </c>
      <c r="AA383" s="5">
        <f t="shared" si="36"/>
        <v>1609.83</v>
      </c>
      <c r="AB383" s="5">
        <f t="shared" si="36"/>
        <v>1572.49</v>
      </c>
      <c r="AC383" s="5">
        <f t="shared" si="36"/>
        <v>1351.15</v>
      </c>
      <c r="AD383" s="5">
        <f t="shared" si="36"/>
        <v>1137.8399999999999</v>
      </c>
      <c r="AE383" s="5">
        <f t="shared" si="36"/>
        <v>840</v>
      </c>
      <c r="AF383" s="5">
        <f t="shared" si="36"/>
        <v>430.5</v>
      </c>
      <c r="AG383" s="5">
        <f t="shared" si="36"/>
        <v>322</v>
      </c>
      <c r="AH383" s="5">
        <f t="shared" si="36"/>
        <v>238</v>
      </c>
      <c r="AI383" s="5">
        <f t="shared" si="36"/>
        <v>175</v>
      </c>
      <c r="AJ383" s="5">
        <f t="shared" si="36"/>
        <v>129.5</v>
      </c>
      <c r="AK383" s="5">
        <f t="shared" si="36"/>
        <v>60.2</v>
      </c>
      <c r="AL383" s="5">
        <f t="shared" si="36"/>
        <v>44.1</v>
      </c>
      <c r="AM383" s="60"/>
      <c r="AN383" s="60"/>
      <c r="AO383" s="5"/>
    </row>
    <row r="384" spans="1:47">
      <c r="A384" s="5"/>
      <c r="B384" s="50" t="s">
        <v>1807</v>
      </c>
      <c r="C384" s="38" t="s">
        <v>1281</v>
      </c>
      <c r="D384" s="38"/>
      <c r="E384" s="38"/>
      <c r="F384" s="38"/>
      <c r="G384" s="38"/>
      <c r="H384" s="38"/>
      <c r="I384" s="38"/>
      <c r="J384" s="38"/>
      <c r="K384" s="5">
        <f t="shared" si="35"/>
        <v>1322.25</v>
      </c>
      <c r="L384" s="5">
        <f t="shared" si="35"/>
        <v>1172.6399999999999</v>
      </c>
      <c r="M384" s="5">
        <f t="shared" si="35"/>
        <v>1101.9599999999998</v>
      </c>
      <c r="N384" s="5">
        <f t="shared" si="35"/>
        <v>990.59999999999991</v>
      </c>
      <c r="O384" s="5">
        <f t="shared" si="35"/>
        <v>845.04999999999984</v>
      </c>
      <c r="P384" s="5">
        <f t="shared" si="35"/>
        <v>825.03000000000009</v>
      </c>
      <c r="Q384" s="5">
        <f t="shared" si="35"/>
        <v>633.23</v>
      </c>
      <c r="R384" s="5">
        <f t="shared" si="35"/>
        <v>524.52</v>
      </c>
      <c r="S384" s="5">
        <f t="shared" si="35"/>
        <v>295.23</v>
      </c>
      <c r="T384" s="5">
        <f t="shared" si="35"/>
        <v>116.51000000000003</v>
      </c>
      <c r="U384" s="5">
        <f t="shared" si="35"/>
        <v>101.72999999999998</v>
      </c>
      <c r="V384" s="5">
        <f t="shared" si="35"/>
        <v>87.53</v>
      </c>
      <c r="W384" s="5">
        <f t="shared" si="35"/>
        <v>170.98</v>
      </c>
      <c r="X384" s="5">
        <f t="shared" si="37"/>
        <v>177.98999999999998</v>
      </c>
      <c r="Y384" s="5">
        <f t="shared" si="36"/>
        <v>200.69000000000003</v>
      </c>
      <c r="Z384" s="5">
        <f t="shared" si="36"/>
        <v>175.43999999999997</v>
      </c>
      <c r="AA384" s="5">
        <f t="shared" si="36"/>
        <v>215.94</v>
      </c>
      <c r="AB384" s="5">
        <f t="shared" si="36"/>
        <v>308.52000000000004</v>
      </c>
      <c r="AC384" s="5">
        <f t="shared" si="36"/>
        <v>343.32</v>
      </c>
      <c r="AD384" s="5">
        <f t="shared" si="36"/>
        <v>329.78999999999996</v>
      </c>
      <c r="AE384" s="5">
        <f t="shared" si="36"/>
        <v>286.31999999999994</v>
      </c>
      <c r="AF384" s="5">
        <f t="shared" si="36"/>
        <v>252.12999999999997</v>
      </c>
      <c r="AG384" s="5">
        <f t="shared" si="36"/>
        <v>205.06999999999996</v>
      </c>
      <c r="AH384" s="5">
        <f t="shared" si="36"/>
        <v>158.78999999999996</v>
      </c>
      <c r="AI384" s="5">
        <f t="shared" si="36"/>
        <v>132.43999999999997</v>
      </c>
      <c r="AJ384" s="5">
        <f t="shared" si="36"/>
        <v>103.38</v>
      </c>
      <c r="AK384" s="5">
        <f t="shared" si="36"/>
        <v>89.769999999999982</v>
      </c>
      <c r="AL384" s="5">
        <f t="shared" si="36"/>
        <v>78.27</v>
      </c>
      <c r="AM384" s="60"/>
      <c r="AN384" s="60"/>
      <c r="AO384" s="5"/>
    </row>
    <row r="385" spans="1:41">
      <c r="A385" s="5"/>
      <c r="B385" s="50" t="s">
        <v>2097</v>
      </c>
      <c r="C385" s="47" t="s">
        <v>1961</v>
      </c>
      <c r="D385" s="38"/>
      <c r="E385" s="38"/>
      <c r="F385" s="38"/>
      <c r="G385" s="38"/>
      <c r="H385" s="38"/>
      <c r="I385" s="38"/>
      <c r="J385" s="38"/>
      <c r="K385" s="5">
        <f t="shared" si="35"/>
        <v>124.44</v>
      </c>
      <c r="L385" s="5">
        <f t="shared" si="35"/>
        <v>124.32</v>
      </c>
      <c r="M385" s="5">
        <f t="shared" si="35"/>
        <v>127.8</v>
      </c>
      <c r="N385" s="5">
        <f t="shared" si="35"/>
        <v>131.19999999999999</v>
      </c>
      <c r="O385" s="5">
        <f t="shared" si="35"/>
        <v>96.8</v>
      </c>
      <c r="P385" s="5">
        <f t="shared" si="35"/>
        <v>77.599999999999994</v>
      </c>
      <c r="Q385" s="5">
        <f t="shared" si="35"/>
        <v>61.31</v>
      </c>
      <c r="R385" s="5">
        <f t="shared" si="35"/>
        <v>48.81</v>
      </c>
      <c r="S385" s="5">
        <f t="shared" si="35"/>
        <v>33.26</v>
      </c>
      <c r="T385" s="5">
        <f t="shared" si="35"/>
        <v>0</v>
      </c>
      <c r="U385" s="5">
        <f t="shared" si="35"/>
        <v>0</v>
      </c>
      <c r="V385" s="5">
        <f t="shared" si="35"/>
        <v>0</v>
      </c>
      <c r="W385" s="5">
        <f t="shared" si="35"/>
        <v>0</v>
      </c>
      <c r="X385" s="5">
        <f t="shared" si="37"/>
        <v>0</v>
      </c>
      <c r="Y385" s="5">
        <f t="shared" si="36"/>
        <v>0</v>
      </c>
      <c r="Z385" s="5">
        <f t="shared" si="36"/>
        <v>0</v>
      </c>
      <c r="AA385" s="5">
        <f t="shared" si="36"/>
        <v>0</v>
      </c>
      <c r="AB385" s="5">
        <f t="shared" si="36"/>
        <v>0</v>
      </c>
      <c r="AC385" s="5">
        <f t="shared" si="36"/>
        <v>0</v>
      </c>
      <c r="AD385" s="5">
        <f t="shared" si="36"/>
        <v>0</v>
      </c>
      <c r="AE385" s="5">
        <f t="shared" si="36"/>
        <v>0</v>
      </c>
      <c r="AF385" s="5">
        <f t="shared" si="36"/>
        <v>0</v>
      </c>
      <c r="AG385" s="5">
        <f t="shared" si="36"/>
        <v>0</v>
      </c>
      <c r="AH385" s="5">
        <f t="shared" si="36"/>
        <v>0</v>
      </c>
      <c r="AI385" s="5">
        <f t="shared" si="36"/>
        <v>0</v>
      </c>
      <c r="AJ385" s="5">
        <f t="shared" si="36"/>
        <v>0</v>
      </c>
      <c r="AK385" s="5">
        <f t="shared" si="36"/>
        <v>0</v>
      </c>
      <c r="AL385" s="5">
        <f t="shared" si="36"/>
        <v>0</v>
      </c>
      <c r="AM385" s="60"/>
      <c r="AN385" s="60"/>
      <c r="AO385" s="5"/>
    </row>
    <row r="386" spans="1:41">
      <c r="A386" s="5"/>
      <c r="B386" s="22" t="s">
        <v>1809</v>
      </c>
      <c r="C386" s="38" t="s">
        <v>728</v>
      </c>
      <c r="D386" s="38"/>
      <c r="E386" s="38"/>
      <c r="F386" s="38"/>
      <c r="G386" s="38"/>
      <c r="H386" s="38"/>
      <c r="I386" s="38"/>
      <c r="J386" s="38"/>
      <c r="K386" s="5">
        <f t="shared" si="35"/>
        <v>0</v>
      </c>
      <c r="L386" s="5">
        <f t="shared" si="35"/>
        <v>0</v>
      </c>
      <c r="M386" s="5">
        <f t="shared" si="35"/>
        <v>0</v>
      </c>
      <c r="N386" s="5">
        <f t="shared" si="35"/>
        <v>0</v>
      </c>
      <c r="O386" s="5">
        <f t="shared" si="35"/>
        <v>0</v>
      </c>
      <c r="P386" s="5">
        <f t="shared" si="35"/>
        <v>0</v>
      </c>
      <c r="Q386" s="5">
        <f t="shared" si="35"/>
        <v>0</v>
      </c>
      <c r="R386" s="5">
        <f t="shared" si="35"/>
        <v>0</v>
      </c>
      <c r="S386" s="5">
        <f t="shared" si="35"/>
        <v>0</v>
      </c>
      <c r="T386" s="5">
        <f t="shared" si="35"/>
        <v>0</v>
      </c>
      <c r="U386" s="5">
        <f t="shared" si="35"/>
        <v>0</v>
      </c>
      <c r="V386" s="5">
        <f t="shared" si="35"/>
        <v>0</v>
      </c>
      <c r="W386" s="5">
        <f t="shared" si="35"/>
        <v>0</v>
      </c>
      <c r="X386" s="5">
        <f t="shared" si="37"/>
        <v>0</v>
      </c>
      <c r="Y386" s="5">
        <f t="shared" si="36"/>
        <v>0</v>
      </c>
      <c r="Z386" s="5">
        <f t="shared" si="36"/>
        <v>0</v>
      </c>
      <c r="AA386" s="5">
        <f t="shared" si="36"/>
        <v>0</v>
      </c>
      <c r="AB386" s="5">
        <f t="shared" si="36"/>
        <v>0</v>
      </c>
      <c r="AC386" s="5">
        <f t="shared" si="36"/>
        <v>0</v>
      </c>
      <c r="AD386" s="5">
        <f t="shared" si="36"/>
        <v>0</v>
      </c>
      <c r="AE386" s="5">
        <f t="shared" si="36"/>
        <v>149.66</v>
      </c>
      <c r="AF386" s="5">
        <f t="shared" si="36"/>
        <v>230.35</v>
      </c>
      <c r="AG386" s="5">
        <f t="shared" si="36"/>
        <v>255.87</v>
      </c>
      <c r="AH386" s="5">
        <f t="shared" si="36"/>
        <v>255.86</v>
      </c>
      <c r="AI386" s="5">
        <f t="shared" si="36"/>
        <v>255.88</v>
      </c>
      <c r="AJ386" s="5">
        <f t="shared" si="36"/>
        <v>255.89</v>
      </c>
      <c r="AK386" s="5">
        <f t="shared" si="36"/>
        <v>255.9</v>
      </c>
      <c r="AL386" s="5">
        <f t="shared" si="36"/>
        <v>694.62</v>
      </c>
      <c r="AM386" s="60"/>
      <c r="AN386" s="60"/>
      <c r="AO386" s="5"/>
    </row>
    <row r="387" spans="1:41">
      <c r="A387" s="5"/>
      <c r="B387" s="50" t="s">
        <v>1810</v>
      </c>
      <c r="C387" s="38" t="s">
        <v>728</v>
      </c>
      <c r="D387" s="38"/>
      <c r="E387" s="38"/>
      <c r="F387" s="38"/>
      <c r="G387" s="38"/>
      <c r="H387" s="38"/>
      <c r="I387" s="38"/>
      <c r="J387" s="38"/>
      <c r="K387" s="5">
        <f t="shared" si="35"/>
        <v>608.84999999999991</v>
      </c>
      <c r="L387" s="5">
        <f t="shared" si="35"/>
        <v>543.52999999999986</v>
      </c>
      <c r="M387" s="5">
        <f t="shared" si="35"/>
        <v>458.81000000000006</v>
      </c>
      <c r="N387" s="5">
        <f t="shared" si="35"/>
        <v>361.66</v>
      </c>
      <c r="O387" s="5">
        <f t="shared" si="35"/>
        <v>314.24000000000007</v>
      </c>
      <c r="P387" s="5">
        <f t="shared" si="35"/>
        <v>279.90000000000003</v>
      </c>
      <c r="Q387" s="5">
        <f t="shared" si="35"/>
        <v>363.45</v>
      </c>
      <c r="R387" s="5">
        <f t="shared" si="35"/>
        <v>348.83</v>
      </c>
      <c r="S387" s="5">
        <f t="shared" si="35"/>
        <v>234.15999999999994</v>
      </c>
      <c r="T387" s="5">
        <f t="shared" si="35"/>
        <v>178.98999999999998</v>
      </c>
      <c r="U387" s="5">
        <f t="shared" si="35"/>
        <v>158.27000000000001</v>
      </c>
      <c r="V387" s="5">
        <f t="shared" si="35"/>
        <v>214.77</v>
      </c>
      <c r="W387" s="5">
        <f t="shared" si="35"/>
        <v>224.85999999999999</v>
      </c>
      <c r="X387" s="5">
        <f t="shared" si="37"/>
        <v>226.18999999999997</v>
      </c>
      <c r="Y387" s="5">
        <f t="shared" si="36"/>
        <v>223.84</v>
      </c>
      <c r="Z387" s="5">
        <f t="shared" si="36"/>
        <v>240.09</v>
      </c>
      <c r="AA387" s="5">
        <f t="shared" si="36"/>
        <v>240.71000000000004</v>
      </c>
      <c r="AB387" s="5">
        <f t="shared" si="36"/>
        <v>221.04000000000002</v>
      </c>
      <c r="AC387" s="5">
        <f t="shared" si="36"/>
        <v>205.10000000000002</v>
      </c>
      <c r="AD387" s="5">
        <f t="shared" si="36"/>
        <v>203.1</v>
      </c>
      <c r="AE387" s="5">
        <f t="shared" si="36"/>
        <v>191.11</v>
      </c>
      <c r="AF387" s="5">
        <f t="shared" si="36"/>
        <v>180.45999999999998</v>
      </c>
      <c r="AG387" s="5">
        <f t="shared" si="36"/>
        <v>164.23999999999998</v>
      </c>
      <c r="AH387" s="5">
        <f t="shared" si="36"/>
        <v>143.32</v>
      </c>
      <c r="AI387" s="5">
        <f t="shared" si="36"/>
        <v>126.18999999999998</v>
      </c>
      <c r="AJ387" s="5">
        <f t="shared" si="36"/>
        <v>114.10000000000001</v>
      </c>
      <c r="AK387" s="5">
        <f t="shared" si="36"/>
        <v>97.66</v>
      </c>
      <c r="AL387" s="5">
        <f t="shared" si="36"/>
        <v>81.99</v>
      </c>
      <c r="AM387" s="60"/>
      <c r="AN387" s="60"/>
      <c r="AO387" s="5"/>
    </row>
    <row r="388" spans="1:41">
      <c r="A388" s="5"/>
      <c r="B388" s="50" t="s">
        <v>1811</v>
      </c>
      <c r="C388" s="38" t="s">
        <v>728</v>
      </c>
      <c r="D388" s="38"/>
      <c r="E388" s="38"/>
      <c r="F388" s="38"/>
      <c r="G388" s="38"/>
      <c r="H388" s="38"/>
      <c r="I388" s="38"/>
      <c r="J388" s="38"/>
      <c r="K388" s="5">
        <f t="shared" si="35"/>
        <v>319.13</v>
      </c>
      <c r="L388" s="5">
        <f t="shared" si="35"/>
        <v>209.85</v>
      </c>
      <c r="M388" s="5">
        <f t="shared" si="35"/>
        <v>141.72</v>
      </c>
      <c r="N388" s="5">
        <f t="shared" si="35"/>
        <v>60.470000000000006</v>
      </c>
      <c r="O388" s="5">
        <f t="shared" si="35"/>
        <v>1.22</v>
      </c>
      <c r="P388" s="5">
        <f t="shared" si="35"/>
        <v>0</v>
      </c>
      <c r="Q388" s="5">
        <f t="shared" si="35"/>
        <v>0</v>
      </c>
      <c r="R388" s="5">
        <f t="shared" si="35"/>
        <v>0</v>
      </c>
      <c r="S388" s="5">
        <f t="shared" si="35"/>
        <v>0</v>
      </c>
      <c r="T388" s="5">
        <f t="shared" si="35"/>
        <v>0</v>
      </c>
      <c r="U388" s="5">
        <f t="shared" si="35"/>
        <v>0</v>
      </c>
      <c r="V388" s="5">
        <f t="shared" si="35"/>
        <v>0</v>
      </c>
      <c r="W388" s="5">
        <f t="shared" si="35"/>
        <v>0</v>
      </c>
      <c r="X388" s="5">
        <f t="shared" si="37"/>
        <v>0</v>
      </c>
      <c r="Y388" s="5">
        <f t="shared" si="36"/>
        <v>0</v>
      </c>
      <c r="Z388" s="5">
        <f t="shared" si="36"/>
        <v>0</v>
      </c>
      <c r="AA388" s="5">
        <f t="shared" si="36"/>
        <v>0</v>
      </c>
      <c r="AB388" s="5">
        <f t="shared" si="36"/>
        <v>0</v>
      </c>
      <c r="AC388" s="5">
        <f t="shared" si="36"/>
        <v>0</v>
      </c>
      <c r="AD388" s="5">
        <f t="shared" si="36"/>
        <v>0</v>
      </c>
      <c r="AE388" s="5">
        <f t="shared" si="36"/>
        <v>0</v>
      </c>
      <c r="AF388" s="5">
        <f t="shared" si="36"/>
        <v>0</v>
      </c>
      <c r="AG388" s="5">
        <f t="shared" si="36"/>
        <v>0</v>
      </c>
      <c r="AH388" s="5">
        <f t="shared" si="36"/>
        <v>0</v>
      </c>
      <c r="AI388" s="5">
        <f t="shared" si="36"/>
        <v>0</v>
      </c>
      <c r="AJ388" s="5">
        <f t="shared" si="36"/>
        <v>0</v>
      </c>
      <c r="AK388" s="5">
        <f t="shared" si="36"/>
        <v>0</v>
      </c>
      <c r="AL388" s="5">
        <f t="shared" si="36"/>
        <v>0</v>
      </c>
      <c r="AM388" s="60"/>
      <c r="AN388" s="60"/>
      <c r="AO388" s="5"/>
    </row>
    <row r="389" spans="1:41">
      <c r="A389" s="5"/>
      <c r="B389" s="50" t="s">
        <v>2028</v>
      </c>
      <c r="C389" s="38" t="s">
        <v>728</v>
      </c>
      <c r="D389" s="38"/>
      <c r="E389" s="38"/>
      <c r="F389" s="38"/>
      <c r="G389" s="38"/>
      <c r="H389" s="38"/>
      <c r="I389" s="38"/>
      <c r="J389" s="38"/>
      <c r="K389" s="5">
        <f t="shared" si="35"/>
        <v>301.88</v>
      </c>
      <c r="L389" s="5">
        <f t="shared" si="35"/>
        <v>255.62</v>
      </c>
      <c r="M389" s="5">
        <f t="shared" si="35"/>
        <v>241.71</v>
      </c>
      <c r="N389" s="5">
        <f t="shared" si="35"/>
        <v>236.59</v>
      </c>
      <c r="O389" s="5">
        <f t="shared" si="35"/>
        <v>217.17</v>
      </c>
      <c r="P389" s="5">
        <f t="shared" si="35"/>
        <v>187.89</v>
      </c>
      <c r="Q389" s="5">
        <f t="shared" si="35"/>
        <v>155.26</v>
      </c>
      <c r="R389" s="5">
        <f t="shared" si="35"/>
        <v>171.12</v>
      </c>
      <c r="S389" s="5">
        <f t="shared" si="35"/>
        <v>150.11000000000001</v>
      </c>
      <c r="T389" s="5">
        <f t="shared" si="35"/>
        <v>229.85</v>
      </c>
      <c r="U389" s="5">
        <f t="shared" si="35"/>
        <v>295.90999999999997</v>
      </c>
      <c r="V389" s="5">
        <f t="shared" si="35"/>
        <v>296.26</v>
      </c>
      <c r="W389" s="5">
        <f t="shared" si="35"/>
        <v>269.28999999999996</v>
      </c>
      <c r="X389" s="5">
        <f t="shared" si="37"/>
        <v>285.52999999999997</v>
      </c>
      <c r="Y389" s="5">
        <f t="shared" si="36"/>
        <v>389.78</v>
      </c>
      <c r="Z389" s="5">
        <f t="shared" si="36"/>
        <v>457.59</v>
      </c>
      <c r="AA389" s="5">
        <f t="shared" si="36"/>
        <v>613.45000000000005</v>
      </c>
      <c r="AB389" s="5">
        <f t="shared" si="36"/>
        <v>698.39999999999986</v>
      </c>
      <c r="AC389" s="5">
        <f t="shared" si="36"/>
        <v>756.16</v>
      </c>
      <c r="AD389" s="5">
        <f t="shared" si="36"/>
        <v>798.75999999999988</v>
      </c>
      <c r="AE389" s="5">
        <f t="shared" si="36"/>
        <v>834.59</v>
      </c>
      <c r="AF389" s="5">
        <f t="shared" si="36"/>
        <v>864.85</v>
      </c>
      <c r="AG389" s="5">
        <f t="shared" si="36"/>
        <v>890.24000000000012</v>
      </c>
      <c r="AH389" s="5">
        <f t="shared" si="36"/>
        <v>767.11999999999989</v>
      </c>
      <c r="AI389" s="5">
        <f t="shared" si="36"/>
        <v>620.33000000000004</v>
      </c>
      <c r="AJ389" s="5">
        <f t="shared" si="36"/>
        <v>548.22</v>
      </c>
      <c r="AK389" s="5">
        <f t="shared" si="36"/>
        <v>505.49</v>
      </c>
      <c r="AL389" s="5">
        <f t="shared" si="36"/>
        <v>479.28</v>
      </c>
      <c r="AM389" s="60"/>
      <c r="AN389" s="60"/>
      <c r="AO389" s="5"/>
    </row>
    <row r="390" spans="1:41">
      <c r="A390" s="5"/>
      <c r="B390" s="50" t="s">
        <v>2029</v>
      </c>
      <c r="C390" s="38" t="s">
        <v>728</v>
      </c>
      <c r="D390" s="38"/>
      <c r="E390" s="38"/>
      <c r="F390" s="38"/>
      <c r="G390" s="38"/>
      <c r="H390" s="38"/>
      <c r="I390" s="38"/>
      <c r="J390" s="38"/>
      <c r="K390" s="5">
        <f t="shared" ref="K390:W396" si="38">SUMIF($AM$10:$AM$361,$B390,K$10:K$361)</f>
        <v>624.26</v>
      </c>
      <c r="L390" s="5">
        <f t="shared" si="38"/>
        <v>488.80999999999995</v>
      </c>
      <c r="M390" s="5">
        <f t="shared" si="38"/>
        <v>499.58</v>
      </c>
      <c r="N390" s="5">
        <f t="shared" si="38"/>
        <v>513.5</v>
      </c>
      <c r="O390" s="5">
        <f t="shared" si="38"/>
        <v>498.90999999999997</v>
      </c>
      <c r="P390" s="5">
        <f t="shared" si="38"/>
        <v>432.34</v>
      </c>
      <c r="Q390" s="5">
        <f t="shared" si="38"/>
        <v>439.41</v>
      </c>
      <c r="R390" s="5">
        <f t="shared" si="38"/>
        <v>433.52</v>
      </c>
      <c r="S390" s="5">
        <f t="shared" si="38"/>
        <v>608.70000000000016</v>
      </c>
      <c r="T390" s="5">
        <f t="shared" si="38"/>
        <v>669.64</v>
      </c>
      <c r="U390" s="5">
        <f t="shared" si="38"/>
        <v>740.84000000000015</v>
      </c>
      <c r="V390" s="5">
        <f t="shared" si="38"/>
        <v>749.96999999999991</v>
      </c>
      <c r="W390" s="5">
        <f t="shared" si="38"/>
        <v>463.69000000000005</v>
      </c>
      <c r="X390" s="5">
        <f t="shared" si="37"/>
        <v>473.15</v>
      </c>
      <c r="Y390" s="5">
        <f t="shared" ref="Y390:AL396" si="39">SUMIF($AM$10:$AM$361,$B390,Y$10:Y$361)</f>
        <v>411.33000000000004</v>
      </c>
      <c r="Z390" s="5">
        <f t="shared" si="39"/>
        <v>368.89</v>
      </c>
      <c r="AA390" s="5">
        <f t="shared" si="39"/>
        <v>356.52</v>
      </c>
      <c r="AB390" s="5">
        <f t="shared" si="39"/>
        <v>343.14000000000004</v>
      </c>
      <c r="AC390" s="5">
        <f t="shared" si="39"/>
        <v>332.37</v>
      </c>
      <c r="AD390" s="5">
        <f t="shared" si="39"/>
        <v>322.42999999999995</v>
      </c>
      <c r="AE390" s="5">
        <f t="shared" si="39"/>
        <v>313.53999999999996</v>
      </c>
      <c r="AF390" s="5">
        <f t="shared" si="39"/>
        <v>305.07000000000005</v>
      </c>
      <c r="AG390" s="5">
        <f t="shared" si="39"/>
        <v>297.01</v>
      </c>
      <c r="AH390" s="5">
        <f t="shared" si="39"/>
        <v>289.34999999999997</v>
      </c>
      <c r="AI390" s="5">
        <f t="shared" si="39"/>
        <v>282.10000000000002</v>
      </c>
      <c r="AJ390" s="5">
        <f t="shared" si="39"/>
        <v>275.65999999999997</v>
      </c>
      <c r="AK390" s="5">
        <f t="shared" si="39"/>
        <v>269.74</v>
      </c>
      <c r="AL390" s="5">
        <f t="shared" si="39"/>
        <v>264.34000000000003</v>
      </c>
      <c r="AM390" s="60"/>
      <c r="AN390" s="60"/>
      <c r="AO390" s="5"/>
    </row>
    <row r="391" spans="1:41">
      <c r="A391" s="5"/>
      <c r="B391" s="27" t="s">
        <v>2935</v>
      </c>
      <c r="C391" s="63" t="s">
        <v>728</v>
      </c>
      <c r="D391" s="38"/>
      <c r="E391" s="38"/>
      <c r="F391" s="38"/>
      <c r="G391" s="38"/>
      <c r="H391" s="38"/>
      <c r="I391" s="38"/>
      <c r="J391" s="38"/>
      <c r="K391" s="5">
        <f t="shared" si="38"/>
        <v>0</v>
      </c>
      <c r="L391" s="5">
        <f t="shared" si="38"/>
        <v>0</v>
      </c>
      <c r="M391" s="5">
        <f t="shared" si="38"/>
        <v>0</v>
      </c>
      <c r="N391" s="5">
        <f t="shared" si="38"/>
        <v>0</v>
      </c>
      <c r="O391" s="5">
        <f t="shared" si="38"/>
        <v>0</v>
      </c>
      <c r="P391" s="5">
        <f t="shared" si="38"/>
        <v>0</v>
      </c>
      <c r="Q391" s="5">
        <f t="shared" si="38"/>
        <v>0</v>
      </c>
      <c r="R391" s="5">
        <f t="shared" si="38"/>
        <v>0</v>
      </c>
      <c r="S391" s="5">
        <f t="shared" si="38"/>
        <v>0</v>
      </c>
      <c r="T391" s="5">
        <f t="shared" si="38"/>
        <v>0</v>
      </c>
      <c r="U391" s="5">
        <f t="shared" si="38"/>
        <v>0</v>
      </c>
      <c r="V391" s="5">
        <f t="shared" si="38"/>
        <v>0</v>
      </c>
      <c r="W391" s="5">
        <f t="shared" si="38"/>
        <v>0</v>
      </c>
      <c r="X391" s="5">
        <f t="shared" si="37"/>
        <v>0</v>
      </c>
      <c r="Y391" s="5">
        <f t="shared" si="39"/>
        <v>0</v>
      </c>
      <c r="Z391" s="5">
        <f t="shared" si="39"/>
        <v>0</v>
      </c>
      <c r="AA391" s="5">
        <f t="shared" si="39"/>
        <v>0</v>
      </c>
      <c r="AB391" s="5">
        <f t="shared" si="39"/>
        <v>0</v>
      </c>
      <c r="AC391" s="5">
        <f t="shared" si="39"/>
        <v>0</v>
      </c>
      <c r="AD391" s="5">
        <f t="shared" si="39"/>
        <v>0</v>
      </c>
      <c r="AE391" s="5">
        <f t="shared" si="39"/>
        <v>0</v>
      </c>
      <c r="AF391" s="5">
        <f t="shared" si="39"/>
        <v>0</v>
      </c>
      <c r="AG391" s="5">
        <f t="shared" si="39"/>
        <v>0</v>
      </c>
      <c r="AH391" s="5">
        <f t="shared" si="39"/>
        <v>0</v>
      </c>
      <c r="AI391" s="5">
        <f t="shared" si="39"/>
        <v>0</v>
      </c>
      <c r="AJ391" s="5">
        <f t="shared" si="39"/>
        <v>0</v>
      </c>
      <c r="AK391" s="5">
        <f t="shared" si="39"/>
        <v>0</v>
      </c>
      <c r="AL391" s="5">
        <f t="shared" si="39"/>
        <v>0</v>
      </c>
      <c r="AM391" s="60"/>
      <c r="AN391" s="60"/>
      <c r="AO391" s="5"/>
    </row>
    <row r="392" spans="1:41">
      <c r="A392" s="5"/>
      <c r="B392" s="50" t="s">
        <v>652</v>
      </c>
      <c r="C392" s="38" t="s">
        <v>728</v>
      </c>
      <c r="D392" s="38"/>
      <c r="E392" s="38"/>
      <c r="F392" s="38"/>
      <c r="G392" s="38"/>
      <c r="H392" s="38"/>
      <c r="I392" s="38"/>
      <c r="J392" s="38"/>
      <c r="K392" s="5">
        <f t="shared" si="38"/>
        <v>119.07</v>
      </c>
      <c r="L392" s="5">
        <f t="shared" si="38"/>
        <v>107.4</v>
      </c>
      <c r="M392" s="5">
        <f t="shared" si="38"/>
        <v>100.86</v>
      </c>
      <c r="N392" s="5">
        <f t="shared" si="38"/>
        <v>85.679999999999993</v>
      </c>
      <c r="O392" s="5">
        <f t="shared" si="38"/>
        <v>73.3</v>
      </c>
      <c r="P392" s="5">
        <f t="shared" si="38"/>
        <v>76.5</v>
      </c>
      <c r="Q392" s="5">
        <f t="shared" si="38"/>
        <v>75.509999999999991</v>
      </c>
      <c r="R392" s="5">
        <f t="shared" si="38"/>
        <v>44.14</v>
      </c>
      <c r="S392" s="5">
        <f t="shared" si="38"/>
        <v>0</v>
      </c>
      <c r="T392" s="5">
        <f t="shared" si="38"/>
        <v>0</v>
      </c>
      <c r="U392" s="5">
        <f t="shared" si="38"/>
        <v>0</v>
      </c>
      <c r="V392" s="5">
        <f t="shared" si="38"/>
        <v>0</v>
      </c>
      <c r="W392" s="5">
        <f t="shared" si="38"/>
        <v>0</v>
      </c>
      <c r="X392" s="5">
        <f t="shared" si="37"/>
        <v>0</v>
      </c>
      <c r="Y392" s="5">
        <f t="shared" si="39"/>
        <v>0</v>
      </c>
      <c r="Z392" s="5">
        <f t="shared" si="39"/>
        <v>0</v>
      </c>
      <c r="AA392" s="5">
        <f t="shared" si="39"/>
        <v>0</v>
      </c>
      <c r="AB392" s="5">
        <f t="shared" si="39"/>
        <v>0</v>
      </c>
      <c r="AC392" s="5">
        <f t="shared" si="39"/>
        <v>0</v>
      </c>
      <c r="AD392" s="5">
        <f t="shared" si="39"/>
        <v>0</v>
      </c>
      <c r="AE392" s="5">
        <f t="shared" si="39"/>
        <v>0</v>
      </c>
      <c r="AF392" s="5">
        <f t="shared" si="39"/>
        <v>0</v>
      </c>
      <c r="AG392" s="5">
        <f t="shared" si="39"/>
        <v>0</v>
      </c>
      <c r="AH392" s="5">
        <f t="shared" si="39"/>
        <v>0</v>
      </c>
      <c r="AI392" s="5">
        <f t="shared" si="39"/>
        <v>0</v>
      </c>
      <c r="AJ392" s="5">
        <f t="shared" si="39"/>
        <v>0</v>
      </c>
      <c r="AK392" s="5">
        <f t="shared" si="39"/>
        <v>0</v>
      </c>
      <c r="AL392" s="5">
        <f t="shared" si="39"/>
        <v>0</v>
      </c>
      <c r="AM392" s="60"/>
      <c r="AN392" s="60"/>
      <c r="AO392" s="5"/>
    </row>
    <row r="393" spans="1:41">
      <c r="A393" s="5"/>
      <c r="B393" s="50" t="s">
        <v>653</v>
      </c>
      <c r="C393" s="38" t="s">
        <v>728</v>
      </c>
      <c r="D393" s="38"/>
      <c r="E393" s="38"/>
      <c r="F393" s="38"/>
      <c r="G393" s="38"/>
      <c r="H393" s="38"/>
      <c r="I393" s="38"/>
      <c r="J393" s="38"/>
      <c r="K393" s="5">
        <f t="shared" si="38"/>
        <v>1161.06</v>
      </c>
      <c r="L393" s="5">
        <f t="shared" si="38"/>
        <v>1109.6500000000001</v>
      </c>
      <c r="M393" s="5">
        <f t="shared" si="38"/>
        <v>1029.1599999999999</v>
      </c>
      <c r="N393" s="5">
        <f t="shared" si="38"/>
        <v>1118.96</v>
      </c>
      <c r="O393" s="5">
        <f t="shared" si="38"/>
        <v>1133.7</v>
      </c>
      <c r="P393" s="5">
        <f t="shared" si="38"/>
        <v>1174.77</v>
      </c>
      <c r="Q393" s="5">
        <f t="shared" si="38"/>
        <v>1178.94</v>
      </c>
      <c r="R393" s="5">
        <f t="shared" si="38"/>
        <v>1169.7900000000002</v>
      </c>
      <c r="S393" s="5">
        <f t="shared" si="38"/>
        <v>996.64</v>
      </c>
      <c r="T393" s="5">
        <f t="shared" si="38"/>
        <v>806</v>
      </c>
      <c r="U393" s="5">
        <f t="shared" si="38"/>
        <v>746.41</v>
      </c>
      <c r="V393" s="5">
        <f t="shared" si="38"/>
        <v>656.63999999999987</v>
      </c>
      <c r="W393" s="5">
        <f t="shared" si="38"/>
        <v>656.49</v>
      </c>
      <c r="X393" s="5">
        <f t="shared" si="37"/>
        <v>661.81999999999994</v>
      </c>
      <c r="Y393" s="5">
        <f t="shared" si="39"/>
        <v>595.05000000000007</v>
      </c>
      <c r="Z393" s="5">
        <f t="shared" si="39"/>
        <v>559.91000000000008</v>
      </c>
      <c r="AA393" s="5">
        <f t="shared" si="39"/>
        <v>564.92999999999995</v>
      </c>
      <c r="AB393" s="5">
        <f t="shared" si="39"/>
        <v>564.87</v>
      </c>
      <c r="AC393" s="5">
        <f t="shared" si="39"/>
        <v>584.28999999999985</v>
      </c>
      <c r="AD393" s="5">
        <f t="shared" si="39"/>
        <v>608.16999999999996</v>
      </c>
      <c r="AE393" s="5">
        <f t="shared" si="39"/>
        <v>617.51</v>
      </c>
      <c r="AF393" s="5">
        <f t="shared" si="39"/>
        <v>578.15</v>
      </c>
      <c r="AG393" s="5">
        <f t="shared" si="39"/>
        <v>533.5200000000001</v>
      </c>
      <c r="AH393" s="5">
        <f t="shared" si="39"/>
        <v>514.04999999999995</v>
      </c>
      <c r="AI393" s="5">
        <f t="shared" si="39"/>
        <v>497.77</v>
      </c>
      <c r="AJ393" s="5">
        <f t="shared" si="39"/>
        <v>481.65000000000003</v>
      </c>
      <c r="AK393" s="5">
        <f t="shared" si="39"/>
        <v>467.08</v>
      </c>
      <c r="AL393" s="5">
        <f t="shared" si="39"/>
        <v>454.87000000000006</v>
      </c>
      <c r="AM393" s="60"/>
      <c r="AN393" s="60"/>
      <c r="AO393" s="5"/>
    </row>
    <row r="394" spans="1:41">
      <c r="A394" s="5"/>
      <c r="B394" s="50" t="s">
        <v>654</v>
      </c>
      <c r="C394" s="38" t="s">
        <v>1036</v>
      </c>
      <c r="D394" s="38"/>
      <c r="E394" s="38"/>
      <c r="F394" s="38"/>
      <c r="G394" s="38"/>
      <c r="H394" s="38"/>
      <c r="I394" s="38"/>
      <c r="J394" s="38"/>
      <c r="K394" s="5">
        <f t="shared" si="38"/>
        <v>0</v>
      </c>
      <c r="L394" s="5">
        <f t="shared" si="38"/>
        <v>0</v>
      </c>
      <c r="M394" s="5">
        <f t="shared" si="38"/>
        <v>0</v>
      </c>
      <c r="N394" s="5">
        <f t="shared" si="38"/>
        <v>0</v>
      </c>
      <c r="O394" s="5">
        <f t="shared" si="38"/>
        <v>0</v>
      </c>
      <c r="P394" s="5">
        <f t="shared" si="38"/>
        <v>0</v>
      </c>
      <c r="Q394" s="5">
        <f t="shared" si="38"/>
        <v>0</v>
      </c>
      <c r="R394" s="5">
        <f t="shared" si="38"/>
        <v>0</v>
      </c>
      <c r="S394" s="5">
        <f t="shared" si="38"/>
        <v>0</v>
      </c>
      <c r="T394" s="5">
        <f t="shared" si="38"/>
        <v>0</v>
      </c>
      <c r="U394" s="5">
        <f t="shared" si="38"/>
        <v>0</v>
      </c>
      <c r="V394" s="5">
        <f t="shared" si="38"/>
        <v>0</v>
      </c>
      <c r="W394" s="5">
        <f t="shared" si="38"/>
        <v>0</v>
      </c>
      <c r="X394" s="5">
        <f t="shared" si="37"/>
        <v>0</v>
      </c>
      <c r="Y394" s="5">
        <f t="shared" si="39"/>
        <v>0</v>
      </c>
      <c r="Z394" s="5">
        <f t="shared" si="39"/>
        <v>0</v>
      </c>
      <c r="AA394" s="5">
        <f t="shared" si="39"/>
        <v>0</v>
      </c>
      <c r="AB394" s="5">
        <f t="shared" si="39"/>
        <v>0</v>
      </c>
      <c r="AC394" s="5">
        <f t="shared" si="39"/>
        <v>0</v>
      </c>
      <c r="AD394" s="5">
        <f t="shared" si="39"/>
        <v>0</v>
      </c>
      <c r="AE394" s="5">
        <f t="shared" si="39"/>
        <v>0</v>
      </c>
      <c r="AF394" s="5">
        <f t="shared" si="39"/>
        <v>0</v>
      </c>
      <c r="AG394" s="5">
        <f t="shared" si="39"/>
        <v>0</v>
      </c>
      <c r="AH394" s="5">
        <f t="shared" si="39"/>
        <v>0</v>
      </c>
      <c r="AI394" s="5">
        <f t="shared" si="39"/>
        <v>0</v>
      </c>
      <c r="AJ394" s="5">
        <f t="shared" si="39"/>
        <v>0</v>
      </c>
      <c r="AK394" s="5">
        <f t="shared" si="39"/>
        <v>0</v>
      </c>
      <c r="AL394" s="5">
        <f t="shared" si="39"/>
        <v>0</v>
      </c>
      <c r="AM394" s="60"/>
      <c r="AN394" s="60"/>
      <c r="AO394" s="5"/>
    </row>
    <row r="395" spans="1:41">
      <c r="A395" s="5"/>
      <c r="B395" s="50" t="s">
        <v>2726</v>
      </c>
      <c r="C395" s="38" t="s">
        <v>3400</v>
      </c>
      <c r="D395" s="38"/>
      <c r="E395" s="38"/>
      <c r="F395" s="38"/>
      <c r="G395" s="38"/>
      <c r="H395" s="38"/>
      <c r="I395" s="38"/>
      <c r="J395" s="38"/>
      <c r="K395" s="5">
        <f t="shared" si="38"/>
        <v>0</v>
      </c>
      <c r="L395" s="5">
        <f t="shared" si="38"/>
        <v>0</v>
      </c>
      <c r="M395" s="5">
        <f t="shared" si="38"/>
        <v>0</v>
      </c>
      <c r="N395" s="5">
        <f t="shared" si="38"/>
        <v>0</v>
      </c>
      <c r="O395" s="5">
        <f t="shared" si="38"/>
        <v>0</v>
      </c>
      <c r="P395" s="5">
        <f t="shared" si="38"/>
        <v>0</v>
      </c>
      <c r="Q395" s="5">
        <f t="shared" si="38"/>
        <v>0</v>
      </c>
      <c r="R395" s="5">
        <f t="shared" si="38"/>
        <v>0</v>
      </c>
      <c r="S395" s="5">
        <f t="shared" si="38"/>
        <v>0</v>
      </c>
      <c r="T395" s="5">
        <f t="shared" si="38"/>
        <v>0</v>
      </c>
      <c r="U395" s="5">
        <f t="shared" si="38"/>
        <v>0</v>
      </c>
      <c r="V395" s="5">
        <f t="shared" si="38"/>
        <v>0</v>
      </c>
      <c r="W395" s="5">
        <f t="shared" si="38"/>
        <v>0</v>
      </c>
      <c r="X395" s="5">
        <f t="shared" si="37"/>
        <v>0</v>
      </c>
      <c r="Y395" s="5">
        <f t="shared" si="39"/>
        <v>0</v>
      </c>
      <c r="Z395" s="5">
        <f t="shared" si="39"/>
        <v>0</v>
      </c>
      <c r="AA395" s="5">
        <f t="shared" si="39"/>
        <v>0</v>
      </c>
      <c r="AB395" s="5">
        <f t="shared" si="39"/>
        <v>0</v>
      </c>
      <c r="AC395" s="5">
        <f t="shared" si="39"/>
        <v>0</v>
      </c>
      <c r="AD395" s="5">
        <f t="shared" si="39"/>
        <v>0</v>
      </c>
      <c r="AE395" s="5">
        <f t="shared" si="39"/>
        <v>0</v>
      </c>
      <c r="AF395" s="5">
        <f t="shared" si="39"/>
        <v>0</v>
      </c>
      <c r="AG395" s="5">
        <f t="shared" si="39"/>
        <v>0</v>
      </c>
      <c r="AH395" s="5">
        <f t="shared" si="39"/>
        <v>0</v>
      </c>
      <c r="AI395" s="5">
        <f t="shared" si="39"/>
        <v>0</v>
      </c>
      <c r="AJ395" s="5">
        <f t="shared" si="39"/>
        <v>0</v>
      </c>
      <c r="AK395" s="5">
        <f t="shared" si="39"/>
        <v>0</v>
      </c>
      <c r="AL395" s="5">
        <f t="shared" si="39"/>
        <v>0</v>
      </c>
      <c r="AM395" s="60"/>
      <c r="AN395" s="60"/>
      <c r="AO395" s="5"/>
    </row>
    <row r="396" spans="1:41">
      <c r="A396" s="5"/>
      <c r="B396" s="50" t="s">
        <v>1819</v>
      </c>
      <c r="C396" s="38" t="s">
        <v>3399</v>
      </c>
      <c r="D396" s="38"/>
      <c r="E396" s="38"/>
      <c r="F396" s="38"/>
      <c r="G396" s="38"/>
      <c r="H396" s="38"/>
      <c r="I396" s="38"/>
      <c r="J396" s="38"/>
      <c r="K396" s="5">
        <f t="shared" si="38"/>
        <v>393.3</v>
      </c>
      <c r="L396" s="5">
        <f t="shared" si="38"/>
        <v>256.94</v>
      </c>
      <c r="M396" s="5">
        <f t="shared" si="38"/>
        <v>182.59</v>
      </c>
      <c r="N396" s="5">
        <f t="shared" si="38"/>
        <v>162</v>
      </c>
      <c r="O396" s="5">
        <f t="shared" si="38"/>
        <v>149.41000000000003</v>
      </c>
      <c r="P396" s="5">
        <f t="shared" si="38"/>
        <v>144.22</v>
      </c>
      <c r="Q396" s="5">
        <f t="shared" si="38"/>
        <v>100.99</v>
      </c>
      <c r="R396" s="5">
        <f t="shared" si="38"/>
        <v>65.94</v>
      </c>
      <c r="S396" s="5">
        <f t="shared" si="38"/>
        <v>61.269999999999996</v>
      </c>
      <c r="T396" s="5">
        <f t="shared" si="38"/>
        <v>59.88</v>
      </c>
      <c r="U396" s="5">
        <f t="shared" si="38"/>
        <v>48.74</v>
      </c>
      <c r="V396" s="5">
        <f t="shared" si="38"/>
        <v>47.82</v>
      </c>
      <c r="W396" s="5">
        <f t="shared" si="38"/>
        <v>50.5</v>
      </c>
      <c r="X396" s="5">
        <f t="shared" si="37"/>
        <v>36.130000000000003</v>
      </c>
      <c r="Y396" s="5">
        <f t="shared" si="39"/>
        <v>0</v>
      </c>
      <c r="Z396" s="5">
        <f t="shared" si="39"/>
        <v>0</v>
      </c>
      <c r="AA396" s="5">
        <f t="shared" si="39"/>
        <v>0</v>
      </c>
      <c r="AB396" s="5">
        <f t="shared" si="39"/>
        <v>0</v>
      </c>
      <c r="AC396" s="5">
        <f t="shared" si="39"/>
        <v>120.19</v>
      </c>
      <c r="AD396" s="5">
        <f t="shared" si="39"/>
        <v>184.9</v>
      </c>
      <c r="AE396" s="5">
        <f t="shared" si="39"/>
        <v>201.35</v>
      </c>
      <c r="AF396" s="5">
        <f t="shared" si="39"/>
        <v>204.05</v>
      </c>
      <c r="AG396" s="5">
        <f t="shared" si="39"/>
        <v>202.71</v>
      </c>
      <c r="AH396" s="5">
        <f t="shared" si="39"/>
        <v>201.87</v>
      </c>
      <c r="AI396" s="5">
        <f t="shared" si="39"/>
        <v>202.88</v>
      </c>
      <c r="AJ396" s="5">
        <f t="shared" si="39"/>
        <v>229.51</v>
      </c>
      <c r="AK396" s="5">
        <f t="shared" si="39"/>
        <v>202.9</v>
      </c>
      <c r="AL396" s="5">
        <f t="shared" si="39"/>
        <v>197.16</v>
      </c>
      <c r="AM396" s="60"/>
      <c r="AN396" s="60"/>
      <c r="AO396" s="5"/>
    </row>
    <row r="397" spans="1:41">
      <c r="A397" s="8"/>
      <c r="B397" s="41" t="s">
        <v>896</v>
      </c>
      <c r="C397" s="41"/>
      <c r="D397" s="38"/>
      <c r="E397" s="41"/>
      <c r="F397" s="41"/>
      <c r="G397" s="41"/>
      <c r="H397" s="41"/>
      <c r="I397" s="41"/>
      <c r="J397" s="41"/>
      <c r="K397" s="8">
        <f t="shared" ref="K397:AL397" si="40">SUM(K366:K396)</f>
        <v>7684.7499999999991</v>
      </c>
      <c r="L397" s="8">
        <f t="shared" si="40"/>
        <v>6919.1399999999985</v>
      </c>
      <c r="M397" s="8">
        <f t="shared" si="40"/>
        <v>6766.43</v>
      </c>
      <c r="N397" s="8">
        <f t="shared" si="40"/>
        <v>6566.6900000000005</v>
      </c>
      <c r="O397" s="8">
        <f t="shared" si="40"/>
        <v>6535.66</v>
      </c>
      <c r="P397" s="8">
        <f t="shared" si="40"/>
        <v>6542.2</v>
      </c>
      <c r="Q397" s="8">
        <f t="shared" si="40"/>
        <v>6560.1100000000006</v>
      </c>
      <c r="R397" s="8">
        <f t="shared" si="40"/>
        <v>6660.87</v>
      </c>
      <c r="S397" s="8">
        <f t="shared" si="40"/>
        <v>5869.27</v>
      </c>
      <c r="T397" s="8">
        <f t="shared" si="40"/>
        <v>5473.91</v>
      </c>
      <c r="U397" s="8">
        <f t="shared" si="40"/>
        <v>5414.91</v>
      </c>
      <c r="V397" s="8">
        <f t="shared" si="40"/>
        <v>5271.58</v>
      </c>
      <c r="W397" s="8">
        <f t="shared" si="40"/>
        <v>4935.96</v>
      </c>
      <c r="X397" s="8">
        <f t="shared" si="40"/>
        <v>4755.9450000000006</v>
      </c>
      <c r="Y397" s="8">
        <f t="shared" si="40"/>
        <v>5245.52</v>
      </c>
      <c r="Z397" s="8">
        <f t="shared" si="40"/>
        <v>6149.34</v>
      </c>
      <c r="AA397" s="8">
        <f t="shared" si="40"/>
        <v>6929.369999999999</v>
      </c>
      <c r="AB397" s="8">
        <f t="shared" si="40"/>
        <v>7538.4900000000007</v>
      </c>
      <c r="AC397" s="8">
        <f t="shared" si="40"/>
        <v>7885.9899999999989</v>
      </c>
      <c r="AD397" s="8">
        <f t="shared" si="40"/>
        <v>7897.43</v>
      </c>
      <c r="AE397" s="8">
        <f t="shared" si="40"/>
        <v>8206.82</v>
      </c>
      <c r="AF397" s="8">
        <f t="shared" si="40"/>
        <v>8145.9800000000005</v>
      </c>
      <c r="AG397" s="8">
        <f t="shared" si="40"/>
        <v>7767.66</v>
      </c>
      <c r="AH397" s="8">
        <f t="shared" si="40"/>
        <v>7148.6299999999992</v>
      </c>
      <c r="AI397" s="8">
        <f t="shared" si="40"/>
        <v>6446.0899999999992</v>
      </c>
      <c r="AJ397" s="8">
        <f t="shared" si="40"/>
        <v>6082.670000000001</v>
      </c>
      <c r="AK397" s="8">
        <f t="shared" si="40"/>
        <v>5786.1299999999983</v>
      </c>
      <c r="AL397" s="8">
        <f t="shared" si="40"/>
        <v>5936.8499999999985</v>
      </c>
      <c r="AM397" s="60"/>
      <c r="AN397" s="60"/>
      <c r="AO397" s="8"/>
    </row>
    <row r="398" spans="1:41">
      <c r="A398" s="5"/>
      <c r="B398" s="38"/>
      <c r="C398" s="38"/>
      <c r="D398" s="38"/>
      <c r="E398" s="38"/>
      <c r="F398" s="38"/>
      <c r="G398" s="38"/>
      <c r="H398" s="38"/>
      <c r="I398" s="38"/>
      <c r="J398" s="38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60"/>
      <c r="AN398" s="60"/>
      <c r="AO398" s="5"/>
    </row>
    <row r="399" spans="1:41">
      <c r="A399" s="5"/>
      <c r="B399" s="38"/>
      <c r="C399" s="38"/>
      <c r="D399" s="38"/>
      <c r="E399" s="38"/>
      <c r="F399" s="38"/>
      <c r="G399" s="38"/>
      <c r="H399" s="38"/>
      <c r="I399" s="38"/>
      <c r="J399" s="38"/>
      <c r="K399" s="5"/>
      <c r="L399" s="5"/>
      <c r="M399" s="5"/>
      <c r="N399" s="5"/>
      <c r="O399" s="5"/>
      <c r="P399" s="5"/>
      <c r="Q399" s="5"/>
      <c r="R399" s="116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60"/>
      <c r="AN399" s="60"/>
      <c r="AO399" s="5"/>
    </row>
    <row r="400" spans="1:41">
      <c r="A400" s="5"/>
      <c r="B400" s="24" t="s">
        <v>2728</v>
      </c>
      <c r="C400" s="38"/>
      <c r="D400" s="38"/>
      <c r="E400" s="38"/>
      <c r="F400" s="38"/>
      <c r="G400" s="38"/>
      <c r="H400" s="38"/>
      <c r="I400" s="38"/>
      <c r="J400" s="38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60"/>
      <c r="AN400" s="60"/>
      <c r="AO400" s="5"/>
    </row>
    <row r="401" spans="1:41">
      <c r="A401" s="5"/>
      <c r="B401" s="50" t="s">
        <v>2502</v>
      </c>
      <c r="C401" s="38"/>
      <c r="D401" s="38"/>
      <c r="E401" s="38"/>
      <c r="F401" s="38"/>
      <c r="G401" s="38"/>
      <c r="H401" s="38"/>
      <c r="I401" s="38"/>
      <c r="J401" s="38"/>
      <c r="K401" s="5">
        <f t="shared" ref="K401:T410" si="41">SUMIF($C$366:$C$396,$B401,K$366:K$396)</f>
        <v>0</v>
      </c>
      <c r="L401" s="5">
        <f t="shared" si="41"/>
        <v>0</v>
      </c>
      <c r="M401" s="5">
        <f t="shared" si="41"/>
        <v>0</v>
      </c>
      <c r="N401" s="5">
        <f t="shared" si="41"/>
        <v>0</v>
      </c>
      <c r="O401" s="5">
        <f t="shared" si="41"/>
        <v>0</v>
      </c>
      <c r="P401" s="5">
        <f t="shared" si="41"/>
        <v>0</v>
      </c>
      <c r="Q401" s="5">
        <f t="shared" si="41"/>
        <v>0</v>
      </c>
      <c r="R401" s="5">
        <f t="shared" si="41"/>
        <v>0</v>
      </c>
      <c r="S401" s="5">
        <f t="shared" si="41"/>
        <v>0</v>
      </c>
      <c r="T401" s="5">
        <f t="shared" si="41"/>
        <v>0</v>
      </c>
      <c r="U401" s="5">
        <f t="shared" ref="U401:AD410" si="42">SUMIF($C$366:$C$396,$B401,U$366:U$396)</f>
        <v>0</v>
      </c>
      <c r="V401" s="5">
        <f t="shared" si="42"/>
        <v>0</v>
      </c>
      <c r="W401" s="5">
        <f t="shared" si="42"/>
        <v>0</v>
      </c>
      <c r="X401" s="5">
        <f t="shared" si="42"/>
        <v>0</v>
      </c>
      <c r="Y401" s="5">
        <f t="shared" si="42"/>
        <v>0</v>
      </c>
      <c r="Z401" s="5">
        <f t="shared" si="42"/>
        <v>0</v>
      </c>
      <c r="AA401" s="5">
        <f t="shared" si="42"/>
        <v>0</v>
      </c>
      <c r="AB401" s="5">
        <f t="shared" si="42"/>
        <v>0</v>
      </c>
      <c r="AC401" s="5">
        <f t="shared" si="42"/>
        <v>0</v>
      </c>
      <c r="AD401" s="5">
        <f t="shared" si="42"/>
        <v>0</v>
      </c>
      <c r="AE401" s="5">
        <f t="shared" ref="AE401:AL410" si="43">SUMIF($C$366:$C$396,$B401,AE$366:AE$396)</f>
        <v>0</v>
      </c>
      <c r="AF401" s="5">
        <f t="shared" si="43"/>
        <v>0</v>
      </c>
      <c r="AG401" s="5">
        <f t="shared" si="43"/>
        <v>0</v>
      </c>
      <c r="AH401" s="5">
        <f t="shared" si="43"/>
        <v>0</v>
      </c>
      <c r="AI401" s="5">
        <f t="shared" si="43"/>
        <v>0</v>
      </c>
      <c r="AJ401" s="5">
        <f t="shared" si="43"/>
        <v>0</v>
      </c>
      <c r="AK401" s="5">
        <f t="shared" si="43"/>
        <v>0</v>
      </c>
      <c r="AL401" s="5">
        <f t="shared" si="43"/>
        <v>0</v>
      </c>
      <c r="AM401" s="60"/>
      <c r="AN401" s="60"/>
      <c r="AO401" s="5"/>
    </row>
    <row r="402" spans="1:41">
      <c r="A402" s="5"/>
      <c r="B402" s="38" t="s">
        <v>1473</v>
      </c>
      <c r="C402" s="38"/>
      <c r="D402" s="38"/>
      <c r="E402" s="38"/>
      <c r="F402" s="38"/>
      <c r="G402" s="38"/>
      <c r="H402" s="38"/>
      <c r="I402" s="38"/>
      <c r="J402" s="38"/>
      <c r="K402" s="5">
        <f t="shared" si="41"/>
        <v>0</v>
      </c>
      <c r="L402" s="5">
        <f t="shared" si="41"/>
        <v>78.84</v>
      </c>
      <c r="M402" s="5">
        <f t="shared" si="41"/>
        <v>174.51</v>
      </c>
      <c r="N402" s="5">
        <f t="shared" si="41"/>
        <v>157.80000000000001</v>
      </c>
      <c r="O402" s="5">
        <f t="shared" si="41"/>
        <v>156.08000000000001</v>
      </c>
      <c r="P402" s="5">
        <f t="shared" si="41"/>
        <v>123.65</v>
      </c>
      <c r="Q402" s="5">
        <f t="shared" si="41"/>
        <v>140.22999999999999</v>
      </c>
      <c r="R402" s="5">
        <f t="shared" si="41"/>
        <v>136.04</v>
      </c>
      <c r="S402" s="5">
        <f t="shared" si="41"/>
        <v>127.26</v>
      </c>
      <c r="T402" s="5">
        <f t="shared" si="41"/>
        <v>137.94</v>
      </c>
      <c r="U402" s="5">
        <f t="shared" si="42"/>
        <v>135.74</v>
      </c>
      <c r="V402" s="5">
        <f t="shared" si="42"/>
        <v>124.37</v>
      </c>
      <c r="W402" s="5">
        <f t="shared" si="42"/>
        <v>149.24</v>
      </c>
      <c r="X402" s="5">
        <f t="shared" si="42"/>
        <v>163.52000000000001</v>
      </c>
      <c r="Y402" s="5">
        <f t="shared" si="42"/>
        <v>151.71</v>
      </c>
      <c r="Z402" s="5">
        <f t="shared" si="42"/>
        <v>135.86000000000001</v>
      </c>
      <c r="AA402" s="5">
        <f t="shared" si="42"/>
        <v>119.69</v>
      </c>
      <c r="AB402" s="5">
        <f t="shared" si="42"/>
        <v>108.96</v>
      </c>
      <c r="AC402" s="5">
        <f t="shared" si="42"/>
        <v>101.35</v>
      </c>
      <c r="AD402" s="5">
        <f t="shared" si="42"/>
        <v>95.95</v>
      </c>
      <c r="AE402" s="5">
        <f t="shared" si="43"/>
        <v>91.01</v>
      </c>
      <c r="AF402" s="5">
        <f t="shared" si="43"/>
        <v>86.02</v>
      </c>
      <c r="AG402" s="5">
        <f t="shared" si="43"/>
        <v>80.37</v>
      </c>
      <c r="AH402" s="5">
        <f t="shared" si="43"/>
        <v>74.069999999999993</v>
      </c>
      <c r="AI402" s="5">
        <f t="shared" si="43"/>
        <v>67.599999999999994</v>
      </c>
      <c r="AJ402" s="5">
        <f t="shared" si="43"/>
        <v>0</v>
      </c>
      <c r="AK402" s="5">
        <f t="shared" si="43"/>
        <v>0</v>
      </c>
      <c r="AL402" s="5">
        <f t="shared" si="43"/>
        <v>0</v>
      </c>
      <c r="AM402" s="60"/>
      <c r="AN402" s="60"/>
      <c r="AO402" s="5"/>
    </row>
    <row r="403" spans="1:41">
      <c r="A403" s="5"/>
      <c r="B403" s="38" t="s">
        <v>1934</v>
      </c>
      <c r="C403" s="38"/>
      <c r="D403" s="38"/>
      <c r="E403" s="38"/>
      <c r="F403" s="38"/>
      <c r="G403" s="38"/>
      <c r="H403" s="38"/>
      <c r="I403" s="38"/>
      <c r="J403" s="38"/>
      <c r="K403" s="5">
        <f t="shared" si="41"/>
        <v>0</v>
      </c>
      <c r="L403" s="5">
        <f t="shared" si="41"/>
        <v>0</v>
      </c>
      <c r="M403" s="5">
        <f t="shared" si="41"/>
        <v>0</v>
      </c>
      <c r="N403" s="5">
        <f t="shared" si="41"/>
        <v>0</v>
      </c>
      <c r="O403" s="5">
        <f t="shared" si="41"/>
        <v>0</v>
      </c>
      <c r="P403" s="5">
        <f t="shared" si="41"/>
        <v>0</v>
      </c>
      <c r="Q403" s="5">
        <f t="shared" si="41"/>
        <v>0</v>
      </c>
      <c r="R403" s="5">
        <f t="shared" si="41"/>
        <v>0</v>
      </c>
      <c r="S403" s="5">
        <f t="shared" si="41"/>
        <v>0</v>
      </c>
      <c r="T403" s="5">
        <f t="shared" si="41"/>
        <v>0</v>
      </c>
      <c r="U403" s="5">
        <f t="shared" si="42"/>
        <v>27.15</v>
      </c>
      <c r="V403" s="5">
        <f t="shared" si="42"/>
        <v>23.7</v>
      </c>
      <c r="W403" s="5">
        <f t="shared" si="42"/>
        <v>17</v>
      </c>
      <c r="X403" s="5">
        <f t="shared" si="42"/>
        <v>38.08</v>
      </c>
      <c r="Y403" s="5">
        <f t="shared" si="42"/>
        <v>104.46</v>
      </c>
      <c r="Z403" s="5">
        <f t="shared" si="42"/>
        <v>124.92</v>
      </c>
      <c r="AA403" s="5">
        <f t="shared" si="42"/>
        <v>124.93</v>
      </c>
      <c r="AB403" s="5">
        <f t="shared" si="42"/>
        <v>124.89</v>
      </c>
      <c r="AC403" s="5">
        <f t="shared" si="42"/>
        <v>124.93</v>
      </c>
      <c r="AD403" s="5">
        <f t="shared" si="42"/>
        <v>124.9</v>
      </c>
      <c r="AE403" s="5">
        <f t="shared" si="43"/>
        <v>124.94</v>
      </c>
      <c r="AF403" s="5">
        <f t="shared" si="43"/>
        <v>124.89</v>
      </c>
      <c r="AG403" s="5">
        <f t="shared" si="43"/>
        <v>124.93</v>
      </c>
      <c r="AH403" s="5">
        <f t="shared" si="43"/>
        <v>124.96</v>
      </c>
      <c r="AI403" s="5">
        <f t="shared" si="43"/>
        <v>124.9</v>
      </c>
      <c r="AJ403" s="5">
        <f t="shared" si="43"/>
        <v>124.89</v>
      </c>
      <c r="AK403" s="5">
        <f t="shared" si="43"/>
        <v>110.77</v>
      </c>
      <c r="AL403" s="5">
        <f t="shared" si="43"/>
        <v>97.19</v>
      </c>
      <c r="AM403" s="60"/>
      <c r="AN403" s="60"/>
      <c r="AO403" s="5"/>
    </row>
    <row r="404" spans="1:41">
      <c r="A404" s="5"/>
      <c r="B404" s="38" t="s">
        <v>2921</v>
      </c>
      <c r="C404" s="38"/>
      <c r="D404" s="38"/>
      <c r="E404" s="38"/>
      <c r="F404" s="38"/>
      <c r="G404" s="38"/>
      <c r="H404" s="38"/>
      <c r="I404" s="38"/>
      <c r="J404" s="38"/>
      <c r="K404" s="5">
        <f t="shared" si="41"/>
        <v>0</v>
      </c>
      <c r="L404" s="5">
        <f t="shared" si="41"/>
        <v>0</v>
      </c>
      <c r="M404" s="5">
        <f t="shared" si="41"/>
        <v>0</v>
      </c>
      <c r="N404" s="5">
        <f t="shared" si="41"/>
        <v>0</v>
      </c>
      <c r="O404" s="5">
        <f t="shared" si="41"/>
        <v>0</v>
      </c>
      <c r="P404" s="5">
        <f t="shared" si="41"/>
        <v>0</v>
      </c>
      <c r="Q404" s="5">
        <f t="shared" si="41"/>
        <v>0</v>
      </c>
      <c r="R404" s="5">
        <f t="shared" si="41"/>
        <v>0</v>
      </c>
      <c r="S404" s="5">
        <f t="shared" si="41"/>
        <v>0</v>
      </c>
      <c r="T404" s="5">
        <f t="shared" si="41"/>
        <v>0</v>
      </c>
      <c r="U404" s="5">
        <f t="shared" si="42"/>
        <v>0</v>
      </c>
      <c r="V404" s="5">
        <f t="shared" si="42"/>
        <v>0</v>
      </c>
      <c r="W404" s="5">
        <f t="shared" si="42"/>
        <v>0</v>
      </c>
      <c r="X404" s="5">
        <f t="shared" si="42"/>
        <v>0</v>
      </c>
      <c r="Y404" s="5">
        <f t="shared" si="42"/>
        <v>0</v>
      </c>
      <c r="Z404" s="5">
        <f t="shared" si="42"/>
        <v>0</v>
      </c>
      <c r="AA404" s="5">
        <f t="shared" si="42"/>
        <v>0</v>
      </c>
      <c r="AB404" s="5">
        <f t="shared" si="42"/>
        <v>0</v>
      </c>
      <c r="AC404" s="5">
        <f t="shared" si="42"/>
        <v>0</v>
      </c>
      <c r="AD404" s="5">
        <f t="shared" si="42"/>
        <v>0</v>
      </c>
      <c r="AE404" s="5">
        <f t="shared" si="43"/>
        <v>0</v>
      </c>
      <c r="AF404" s="5">
        <f t="shared" si="43"/>
        <v>0</v>
      </c>
      <c r="AG404" s="5">
        <f t="shared" si="43"/>
        <v>0</v>
      </c>
      <c r="AH404" s="5">
        <f t="shared" si="43"/>
        <v>0</v>
      </c>
      <c r="AI404" s="5">
        <f t="shared" si="43"/>
        <v>0</v>
      </c>
      <c r="AJ404" s="5">
        <f t="shared" si="43"/>
        <v>0</v>
      </c>
      <c r="AK404" s="5">
        <f t="shared" si="43"/>
        <v>0</v>
      </c>
      <c r="AL404" s="5">
        <f t="shared" si="43"/>
        <v>0</v>
      </c>
      <c r="AM404" s="60"/>
      <c r="AN404" s="60"/>
      <c r="AO404" s="5"/>
    </row>
    <row r="405" spans="1:41">
      <c r="A405" s="5"/>
      <c r="B405" s="38" t="s">
        <v>2965</v>
      </c>
      <c r="C405" s="38"/>
      <c r="D405" s="38"/>
      <c r="E405" s="38"/>
      <c r="F405" s="38"/>
      <c r="G405" s="38"/>
      <c r="H405" s="38"/>
      <c r="I405" s="38"/>
      <c r="J405" s="38"/>
      <c r="K405" s="5">
        <f t="shared" si="41"/>
        <v>283</v>
      </c>
      <c r="L405" s="5">
        <f t="shared" si="41"/>
        <v>309.81</v>
      </c>
      <c r="M405" s="5">
        <f t="shared" si="41"/>
        <v>385.5</v>
      </c>
      <c r="N405" s="5">
        <f t="shared" si="41"/>
        <v>374.18</v>
      </c>
      <c r="O405" s="5">
        <f t="shared" si="41"/>
        <v>390.70000000000005</v>
      </c>
      <c r="P405" s="5">
        <f t="shared" si="41"/>
        <v>398.74</v>
      </c>
      <c r="Q405" s="5">
        <f t="shared" si="41"/>
        <v>477.19000000000005</v>
      </c>
      <c r="R405" s="5">
        <f t="shared" si="41"/>
        <v>503.49</v>
      </c>
      <c r="S405" s="5">
        <f t="shared" si="41"/>
        <v>462.12</v>
      </c>
      <c r="T405" s="5">
        <f t="shared" si="41"/>
        <v>439.22</v>
      </c>
      <c r="U405" s="5">
        <f t="shared" si="42"/>
        <v>429.82</v>
      </c>
      <c r="V405" s="5">
        <f t="shared" si="42"/>
        <v>451.93</v>
      </c>
      <c r="W405" s="5">
        <f t="shared" si="42"/>
        <v>452.46999999999997</v>
      </c>
      <c r="X405" s="5">
        <f t="shared" si="42"/>
        <v>458.86</v>
      </c>
      <c r="Y405" s="5">
        <f t="shared" si="42"/>
        <v>439.82000000000005</v>
      </c>
      <c r="Z405" s="5">
        <f t="shared" si="42"/>
        <v>439.92</v>
      </c>
      <c r="AA405" s="5">
        <f t="shared" si="42"/>
        <v>439.92</v>
      </c>
      <c r="AB405" s="5">
        <f t="shared" si="42"/>
        <v>420.56</v>
      </c>
      <c r="AC405" s="5">
        <f t="shared" si="42"/>
        <v>378.03</v>
      </c>
      <c r="AD405" s="5">
        <f t="shared" si="42"/>
        <v>352.75</v>
      </c>
      <c r="AE405" s="5">
        <f t="shared" si="43"/>
        <v>329.15</v>
      </c>
      <c r="AF405" s="5">
        <f t="shared" si="43"/>
        <v>307.10999999999996</v>
      </c>
      <c r="AG405" s="5">
        <f t="shared" si="43"/>
        <v>286.52999999999997</v>
      </c>
      <c r="AH405" s="5">
        <f t="shared" si="43"/>
        <v>249.36</v>
      </c>
      <c r="AI405" s="5">
        <f t="shared" si="43"/>
        <v>216.96</v>
      </c>
      <c r="AJ405" s="5">
        <f t="shared" si="43"/>
        <v>188.69</v>
      </c>
      <c r="AK405" s="5">
        <f t="shared" si="43"/>
        <v>164.05</v>
      </c>
      <c r="AL405" s="5">
        <f t="shared" si="43"/>
        <v>134.75</v>
      </c>
      <c r="AM405" s="60"/>
      <c r="AN405" s="60"/>
      <c r="AO405" s="5"/>
    </row>
    <row r="406" spans="1:41">
      <c r="A406" s="5"/>
      <c r="B406" s="38" t="s">
        <v>726</v>
      </c>
      <c r="C406" s="38"/>
      <c r="D406" s="38"/>
      <c r="E406" s="38"/>
      <c r="F406" s="38"/>
      <c r="G406" s="38"/>
      <c r="H406" s="38"/>
      <c r="I406" s="38"/>
      <c r="J406" s="38"/>
      <c r="K406" s="5">
        <f t="shared" si="41"/>
        <v>0</v>
      </c>
      <c r="L406" s="5">
        <f t="shared" si="41"/>
        <v>0</v>
      </c>
      <c r="M406" s="5">
        <f t="shared" si="41"/>
        <v>0</v>
      </c>
      <c r="N406" s="5">
        <f t="shared" si="41"/>
        <v>2.79</v>
      </c>
      <c r="O406" s="5">
        <f t="shared" si="41"/>
        <v>66.45</v>
      </c>
      <c r="P406" s="5">
        <f t="shared" si="41"/>
        <v>141.47</v>
      </c>
      <c r="Q406" s="5">
        <f t="shared" si="41"/>
        <v>129.33000000000001</v>
      </c>
      <c r="R406" s="5">
        <f t="shared" si="41"/>
        <v>154.36000000000001</v>
      </c>
      <c r="S406" s="5">
        <f t="shared" si="41"/>
        <v>135.63999999999999</v>
      </c>
      <c r="T406" s="5">
        <f t="shared" si="41"/>
        <v>156.56</v>
      </c>
      <c r="U406" s="5">
        <f t="shared" si="42"/>
        <v>199.3</v>
      </c>
      <c r="V406" s="5">
        <f t="shared" si="42"/>
        <v>226.71</v>
      </c>
      <c r="W406" s="5">
        <f t="shared" si="42"/>
        <v>231.22</v>
      </c>
      <c r="X406" s="5">
        <f t="shared" si="42"/>
        <v>255.71</v>
      </c>
      <c r="Y406" s="5">
        <f t="shared" si="42"/>
        <v>242.31</v>
      </c>
      <c r="Z406" s="5">
        <f t="shared" si="42"/>
        <v>268.58999999999997</v>
      </c>
      <c r="AA406" s="5">
        <f t="shared" si="42"/>
        <v>304.81</v>
      </c>
      <c r="AB406" s="5">
        <f t="shared" si="42"/>
        <v>449.56</v>
      </c>
      <c r="AC406" s="5">
        <f t="shared" si="42"/>
        <v>547.32000000000005</v>
      </c>
      <c r="AD406" s="5">
        <f t="shared" si="42"/>
        <v>688.98</v>
      </c>
      <c r="AE406" s="5">
        <f t="shared" si="43"/>
        <v>689.86</v>
      </c>
      <c r="AF406" s="5">
        <f t="shared" si="43"/>
        <v>684.34</v>
      </c>
      <c r="AG406" s="5">
        <f t="shared" si="43"/>
        <v>669.42</v>
      </c>
      <c r="AH406" s="5">
        <f t="shared" si="43"/>
        <v>652.30999999999995</v>
      </c>
      <c r="AI406" s="5">
        <f t="shared" si="43"/>
        <v>642.71</v>
      </c>
      <c r="AJ406" s="5">
        <f t="shared" si="43"/>
        <v>630.71</v>
      </c>
      <c r="AK406" s="5">
        <f t="shared" si="43"/>
        <v>620.09</v>
      </c>
      <c r="AL406" s="5">
        <f t="shared" si="43"/>
        <v>610.12</v>
      </c>
      <c r="AM406" s="60"/>
      <c r="AN406" s="60"/>
      <c r="AO406" s="5"/>
    </row>
    <row r="407" spans="1:41">
      <c r="A407" s="5"/>
      <c r="B407" s="38" t="s">
        <v>785</v>
      </c>
      <c r="C407" s="38"/>
      <c r="D407" s="38"/>
      <c r="E407" s="38"/>
      <c r="F407" s="38"/>
      <c r="G407" s="38"/>
      <c r="H407" s="38"/>
      <c r="I407" s="38"/>
      <c r="J407" s="38"/>
      <c r="K407" s="5">
        <f t="shared" si="41"/>
        <v>0</v>
      </c>
      <c r="L407" s="5">
        <f t="shared" si="41"/>
        <v>0</v>
      </c>
      <c r="M407" s="5">
        <f t="shared" si="41"/>
        <v>0</v>
      </c>
      <c r="N407" s="5">
        <f t="shared" si="41"/>
        <v>0</v>
      </c>
      <c r="O407" s="5">
        <f t="shared" si="41"/>
        <v>0</v>
      </c>
      <c r="P407" s="5">
        <f t="shared" si="41"/>
        <v>0</v>
      </c>
      <c r="Q407" s="5">
        <f t="shared" si="41"/>
        <v>0</v>
      </c>
      <c r="R407" s="5">
        <f t="shared" si="41"/>
        <v>0</v>
      </c>
      <c r="S407" s="5">
        <f t="shared" si="41"/>
        <v>0</v>
      </c>
      <c r="T407" s="5">
        <f t="shared" si="41"/>
        <v>0</v>
      </c>
      <c r="U407" s="5">
        <f t="shared" si="42"/>
        <v>0</v>
      </c>
      <c r="V407" s="5">
        <f t="shared" si="42"/>
        <v>0</v>
      </c>
      <c r="W407" s="5">
        <f t="shared" si="42"/>
        <v>0</v>
      </c>
      <c r="X407" s="5">
        <f t="shared" si="42"/>
        <v>0</v>
      </c>
      <c r="Y407" s="5">
        <f t="shared" si="42"/>
        <v>0</v>
      </c>
      <c r="Z407" s="5">
        <f t="shared" si="42"/>
        <v>0</v>
      </c>
      <c r="AA407" s="5">
        <f t="shared" si="42"/>
        <v>0</v>
      </c>
      <c r="AB407" s="5">
        <f t="shared" si="42"/>
        <v>0</v>
      </c>
      <c r="AC407" s="5">
        <f t="shared" si="42"/>
        <v>0</v>
      </c>
      <c r="AD407" s="5">
        <f t="shared" si="42"/>
        <v>0</v>
      </c>
      <c r="AE407" s="5">
        <f t="shared" si="43"/>
        <v>0</v>
      </c>
      <c r="AF407" s="5">
        <f t="shared" si="43"/>
        <v>0</v>
      </c>
      <c r="AG407" s="5">
        <f t="shared" si="43"/>
        <v>0</v>
      </c>
      <c r="AH407" s="5">
        <f t="shared" si="43"/>
        <v>0</v>
      </c>
      <c r="AI407" s="5">
        <f t="shared" si="43"/>
        <v>0</v>
      </c>
      <c r="AJ407" s="5">
        <f t="shared" si="43"/>
        <v>0</v>
      </c>
      <c r="AK407" s="5">
        <f t="shared" si="43"/>
        <v>0</v>
      </c>
      <c r="AL407" s="5">
        <f t="shared" si="43"/>
        <v>0</v>
      </c>
      <c r="AM407" s="60"/>
      <c r="AN407" s="60"/>
      <c r="AO407" s="5"/>
    </row>
    <row r="408" spans="1:41">
      <c r="A408" s="5"/>
      <c r="B408" s="38" t="s">
        <v>2428</v>
      </c>
      <c r="C408" s="38"/>
      <c r="D408" s="38"/>
      <c r="E408" s="38"/>
      <c r="F408" s="38"/>
      <c r="G408" s="38"/>
      <c r="H408" s="38"/>
      <c r="I408" s="38"/>
      <c r="J408" s="38"/>
      <c r="K408" s="5">
        <f t="shared" si="41"/>
        <v>0</v>
      </c>
      <c r="L408" s="5">
        <f t="shared" si="41"/>
        <v>0</v>
      </c>
      <c r="M408" s="5">
        <f t="shared" si="41"/>
        <v>0</v>
      </c>
      <c r="N408" s="5">
        <f t="shared" si="41"/>
        <v>0</v>
      </c>
      <c r="O408" s="5">
        <f t="shared" si="41"/>
        <v>0</v>
      </c>
      <c r="P408" s="5">
        <f t="shared" si="41"/>
        <v>0</v>
      </c>
      <c r="Q408" s="5">
        <f t="shared" si="41"/>
        <v>0</v>
      </c>
      <c r="R408" s="5">
        <f t="shared" si="41"/>
        <v>0</v>
      </c>
      <c r="S408" s="5">
        <f t="shared" si="41"/>
        <v>0</v>
      </c>
      <c r="T408" s="5">
        <f t="shared" si="41"/>
        <v>0</v>
      </c>
      <c r="U408" s="5">
        <f t="shared" si="42"/>
        <v>0</v>
      </c>
      <c r="V408" s="5">
        <f t="shared" si="42"/>
        <v>0</v>
      </c>
      <c r="W408" s="5">
        <f t="shared" si="42"/>
        <v>0</v>
      </c>
      <c r="X408" s="5">
        <f t="shared" si="42"/>
        <v>0</v>
      </c>
      <c r="Y408" s="5">
        <f t="shared" si="42"/>
        <v>0</v>
      </c>
      <c r="Z408" s="5">
        <f t="shared" si="42"/>
        <v>0</v>
      </c>
      <c r="AA408" s="5">
        <f t="shared" si="42"/>
        <v>0</v>
      </c>
      <c r="AB408" s="5">
        <f t="shared" si="42"/>
        <v>0</v>
      </c>
      <c r="AC408" s="5">
        <f t="shared" si="42"/>
        <v>0</v>
      </c>
      <c r="AD408" s="5">
        <f t="shared" si="42"/>
        <v>0</v>
      </c>
      <c r="AE408" s="5">
        <f t="shared" si="43"/>
        <v>0</v>
      </c>
      <c r="AF408" s="5">
        <f t="shared" si="43"/>
        <v>0</v>
      </c>
      <c r="AG408" s="5">
        <f t="shared" si="43"/>
        <v>0</v>
      </c>
      <c r="AH408" s="5">
        <f t="shared" si="43"/>
        <v>0</v>
      </c>
      <c r="AI408" s="5">
        <f t="shared" si="43"/>
        <v>0</v>
      </c>
      <c r="AJ408" s="5">
        <f t="shared" si="43"/>
        <v>0</v>
      </c>
      <c r="AK408" s="5">
        <f t="shared" si="43"/>
        <v>0</v>
      </c>
      <c r="AL408" s="5">
        <f t="shared" si="43"/>
        <v>0</v>
      </c>
      <c r="AM408" s="60"/>
      <c r="AN408" s="60"/>
      <c r="AO408" s="5"/>
    </row>
    <row r="409" spans="1:41">
      <c r="A409" s="5"/>
      <c r="B409" s="38" t="s">
        <v>727</v>
      </c>
      <c r="C409" s="38"/>
      <c r="D409" s="38"/>
      <c r="E409" s="38"/>
      <c r="F409" s="38"/>
      <c r="G409" s="38"/>
      <c r="H409" s="38"/>
      <c r="I409" s="38"/>
      <c r="J409" s="38"/>
      <c r="K409" s="5">
        <f t="shared" si="41"/>
        <v>429.62000000000006</v>
      </c>
      <c r="L409" s="5">
        <f t="shared" si="41"/>
        <v>354.56</v>
      </c>
      <c r="M409" s="5">
        <f t="shared" si="41"/>
        <v>310.23</v>
      </c>
      <c r="N409" s="5">
        <f t="shared" si="41"/>
        <v>283.38</v>
      </c>
      <c r="O409" s="5">
        <f t="shared" si="41"/>
        <v>259.35000000000002</v>
      </c>
      <c r="P409" s="5">
        <f t="shared" si="41"/>
        <v>245.68</v>
      </c>
      <c r="Q409" s="5">
        <f t="shared" si="41"/>
        <v>263.2</v>
      </c>
      <c r="R409" s="5">
        <f t="shared" si="41"/>
        <v>201.78</v>
      </c>
      <c r="S409" s="5">
        <f t="shared" si="41"/>
        <v>12.27</v>
      </c>
      <c r="T409" s="5">
        <f t="shared" si="41"/>
        <v>11.209999999999999</v>
      </c>
      <c r="U409" s="5">
        <f t="shared" si="42"/>
        <v>9.24</v>
      </c>
      <c r="V409" s="5">
        <f t="shared" si="42"/>
        <v>8.4</v>
      </c>
      <c r="W409" s="5">
        <f t="shared" si="42"/>
        <v>8.4</v>
      </c>
      <c r="X409" s="5">
        <f t="shared" si="42"/>
        <v>8.4</v>
      </c>
      <c r="Y409" s="5">
        <f t="shared" si="42"/>
        <v>7.98</v>
      </c>
      <c r="Z409" s="5">
        <f t="shared" si="42"/>
        <v>7.56</v>
      </c>
      <c r="AA409" s="5">
        <f t="shared" si="42"/>
        <v>6.97</v>
      </c>
      <c r="AB409" s="5">
        <f t="shared" si="42"/>
        <v>6.47</v>
      </c>
      <c r="AC409" s="5">
        <f t="shared" si="42"/>
        <v>5.96</v>
      </c>
      <c r="AD409" s="5">
        <f t="shared" si="42"/>
        <v>5.54</v>
      </c>
      <c r="AE409" s="5">
        <f t="shared" si="43"/>
        <v>5.12</v>
      </c>
      <c r="AF409" s="5">
        <f t="shared" si="43"/>
        <v>4.7</v>
      </c>
      <c r="AG409" s="5">
        <f t="shared" si="43"/>
        <v>4.37</v>
      </c>
      <c r="AH409" s="5">
        <f t="shared" si="43"/>
        <v>3.95</v>
      </c>
      <c r="AI409" s="5">
        <f t="shared" si="43"/>
        <v>3.61</v>
      </c>
      <c r="AJ409" s="5">
        <f t="shared" si="43"/>
        <v>3.28</v>
      </c>
      <c r="AK409" s="5">
        <f t="shared" si="43"/>
        <v>2.94</v>
      </c>
      <c r="AL409" s="5">
        <f t="shared" si="43"/>
        <v>2.6</v>
      </c>
      <c r="AM409" s="60"/>
      <c r="AN409" s="60"/>
      <c r="AO409" s="5"/>
    </row>
    <row r="410" spans="1:41">
      <c r="A410" s="5"/>
      <c r="B410" s="38" t="s">
        <v>216</v>
      </c>
      <c r="C410" s="38"/>
      <c r="D410" s="38"/>
      <c r="E410" s="38"/>
      <c r="F410" s="38"/>
      <c r="G410" s="38"/>
      <c r="H410" s="38"/>
      <c r="I410" s="38"/>
      <c r="J410" s="38"/>
      <c r="K410" s="5">
        <f t="shared" si="41"/>
        <v>79.61</v>
      </c>
      <c r="L410" s="5">
        <f t="shared" si="41"/>
        <v>104.27</v>
      </c>
      <c r="M410" s="5">
        <f t="shared" si="41"/>
        <v>104.27</v>
      </c>
      <c r="N410" s="5">
        <f t="shared" si="41"/>
        <v>101.28</v>
      </c>
      <c r="O410" s="5">
        <f t="shared" si="41"/>
        <v>85.94</v>
      </c>
      <c r="P410" s="5">
        <f t="shared" si="41"/>
        <v>91.14</v>
      </c>
      <c r="Q410" s="5">
        <f t="shared" si="41"/>
        <v>83.03</v>
      </c>
      <c r="R410" s="5">
        <f t="shared" si="41"/>
        <v>93.63</v>
      </c>
      <c r="S410" s="5">
        <f t="shared" si="41"/>
        <v>69.680000000000007</v>
      </c>
      <c r="T410" s="5">
        <f t="shared" si="41"/>
        <v>66.36</v>
      </c>
      <c r="U410" s="5">
        <f t="shared" si="42"/>
        <v>0</v>
      </c>
      <c r="V410" s="5">
        <f t="shared" si="42"/>
        <v>0</v>
      </c>
      <c r="W410" s="5">
        <f t="shared" si="42"/>
        <v>0</v>
      </c>
      <c r="X410" s="5">
        <f t="shared" si="42"/>
        <v>0</v>
      </c>
      <c r="Y410" s="5">
        <f t="shared" si="42"/>
        <v>0</v>
      </c>
      <c r="Z410" s="5">
        <f t="shared" si="42"/>
        <v>0</v>
      </c>
      <c r="AA410" s="5">
        <f t="shared" si="42"/>
        <v>0</v>
      </c>
      <c r="AB410" s="5">
        <f t="shared" si="42"/>
        <v>0</v>
      </c>
      <c r="AC410" s="5">
        <f t="shared" si="42"/>
        <v>0</v>
      </c>
      <c r="AD410" s="5">
        <f t="shared" si="42"/>
        <v>0</v>
      </c>
      <c r="AE410" s="5">
        <f t="shared" si="43"/>
        <v>0</v>
      </c>
      <c r="AF410" s="5">
        <f t="shared" si="43"/>
        <v>0</v>
      </c>
      <c r="AG410" s="5">
        <f t="shared" si="43"/>
        <v>0</v>
      </c>
      <c r="AH410" s="5">
        <f t="shared" si="43"/>
        <v>0</v>
      </c>
      <c r="AI410" s="5">
        <f t="shared" si="43"/>
        <v>0</v>
      </c>
      <c r="AJ410" s="5">
        <f t="shared" si="43"/>
        <v>0</v>
      </c>
      <c r="AK410" s="5">
        <f t="shared" si="43"/>
        <v>0</v>
      </c>
      <c r="AL410" s="5">
        <f t="shared" si="43"/>
        <v>0</v>
      </c>
      <c r="AM410" s="60"/>
      <c r="AN410" s="60"/>
      <c r="AO410" s="5"/>
    </row>
    <row r="411" spans="1:41">
      <c r="A411" s="5"/>
      <c r="B411" s="38" t="s">
        <v>2247</v>
      </c>
      <c r="C411" s="38"/>
      <c r="D411" s="38"/>
      <c r="E411" s="38"/>
      <c r="F411" s="38"/>
      <c r="G411" s="38"/>
      <c r="H411" s="38"/>
      <c r="I411" s="38"/>
      <c r="J411" s="38"/>
      <c r="K411" s="5">
        <f t="shared" ref="K411:T420" si="44">SUMIF($C$366:$C$396,$B411,K$366:K$396)</f>
        <v>0</v>
      </c>
      <c r="L411" s="5">
        <f t="shared" si="44"/>
        <v>4</v>
      </c>
      <c r="M411" s="5">
        <f t="shared" si="44"/>
        <v>2.5</v>
      </c>
      <c r="N411" s="5">
        <f t="shared" si="44"/>
        <v>38.380000000000003</v>
      </c>
      <c r="O411" s="5">
        <f t="shared" si="44"/>
        <v>57.1</v>
      </c>
      <c r="P411" s="5">
        <f t="shared" si="44"/>
        <v>57.1</v>
      </c>
      <c r="Q411" s="5">
        <f t="shared" si="44"/>
        <v>90.8</v>
      </c>
      <c r="R411" s="5">
        <f t="shared" si="44"/>
        <v>92.949999999999989</v>
      </c>
      <c r="S411" s="5">
        <f t="shared" si="44"/>
        <v>0</v>
      </c>
      <c r="T411" s="5">
        <f t="shared" si="44"/>
        <v>0</v>
      </c>
      <c r="U411" s="5">
        <f t="shared" ref="U411:AD420" si="45">SUMIF($C$366:$C$396,$B411,U$366:U$396)</f>
        <v>0</v>
      </c>
      <c r="V411" s="5">
        <f t="shared" si="45"/>
        <v>0</v>
      </c>
      <c r="W411" s="5">
        <f t="shared" si="45"/>
        <v>0</v>
      </c>
      <c r="X411" s="5">
        <f t="shared" si="45"/>
        <v>0</v>
      </c>
      <c r="Y411" s="5">
        <f t="shared" si="45"/>
        <v>0</v>
      </c>
      <c r="Z411" s="5">
        <f t="shared" si="45"/>
        <v>0</v>
      </c>
      <c r="AA411" s="5">
        <f t="shared" si="45"/>
        <v>0</v>
      </c>
      <c r="AB411" s="5">
        <f t="shared" si="45"/>
        <v>0</v>
      </c>
      <c r="AC411" s="5">
        <f t="shared" si="45"/>
        <v>0</v>
      </c>
      <c r="AD411" s="5">
        <f t="shared" si="45"/>
        <v>0</v>
      </c>
      <c r="AE411" s="5">
        <f t="shared" ref="AE411:AL420" si="46">SUMIF($C$366:$C$396,$B411,AE$366:AE$396)</f>
        <v>0</v>
      </c>
      <c r="AF411" s="5">
        <f t="shared" si="46"/>
        <v>0</v>
      </c>
      <c r="AG411" s="5">
        <f t="shared" si="46"/>
        <v>0</v>
      </c>
      <c r="AH411" s="5">
        <f t="shared" si="46"/>
        <v>0</v>
      </c>
      <c r="AI411" s="5">
        <f t="shared" si="46"/>
        <v>0</v>
      </c>
      <c r="AJ411" s="5">
        <f t="shared" si="46"/>
        <v>0</v>
      </c>
      <c r="AK411" s="5">
        <f t="shared" si="46"/>
        <v>0</v>
      </c>
      <c r="AL411" s="5">
        <f t="shared" si="46"/>
        <v>0</v>
      </c>
      <c r="AM411" s="60"/>
      <c r="AN411" s="60"/>
      <c r="AO411" s="5"/>
    </row>
    <row r="412" spans="1:41">
      <c r="A412" s="5"/>
      <c r="B412" s="38" t="s">
        <v>2251</v>
      </c>
      <c r="C412" s="38"/>
      <c r="D412" s="38"/>
      <c r="E412" s="38"/>
      <c r="F412" s="38"/>
      <c r="G412" s="38"/>
      <c r="H412" s="38"/>
      <c r="I412" s="38"/>
      <c r="J412" s="38"/>
      <c r="K412" s="5">
        <f t="shared" si="44"/>
        <v>256.61</v>
      </c>
      <c r="L412" s="5">
        <f t="shared" si="44"/>
        <v>206.03</v>
      </c>
      <c r="M412" s="5">
        <f t="shared" si="44"/>
        <v>198.92</v>
      </c>
      <c r="N412" s="5">
        <f t="shared" si="44"/>
        <v>251.77</v>
      </c>
      <c r="O412" s="5">
        <f t="shared" si="44"/>
        <v>425.16999999999996</v>
      </c>
      <c r="P412" s="5">
        <f t="shared" si="44"/>
        <v>481.25000000000006</v>
      </c>
      <c r="Q412" s="5">
        <f t="shared" si="44"/>
        <v>468.65</v>
      </c>
      <c r="R412" s="5">
        <f t="shared" si="44"/>
        <v>475.22</v>
      </c>
      <c r="S412" s="5">
        <f t="shared" si="44"/>
        <v>494.83</v>
      </c>
      <c r="T412" s="5">
        <f t="shared" si="44"/>
        <v>490.16</v>
      </c>
      <c r="U412" s="5">
        <f t="shared" si="45"/>
        <v>457.87</v>
      </c>
      <c r="V412" s="5">
        <f t="shared" si="45"/>
        <v>404.31</v>
      </c>
      <c r="W412" s="5">
        <f t="shared" si="45"/>
        <v>384.34000000000003</v>
      </c>
      <c r="X412" s="5">
        <f t="shared" si="45"/>
        <v>316.31000000000006</v>
      </c>
      <c r="Y412" s="5">
        <f t="shared" si="45"/>
        <v>724.42000000000007</v>
      </c>
      <c r="Z412" s="5">
        <f t="shared" si="45"/>
        <v>1053.29</v>
      </c>
      <c r="AA412" s="5">
        <f t="shared" si="45"/>
        <v>1361.6900000000003</v>
      </c>
      <c r="AB412" s="5">
        <f t="shared" si="45"/>
        <v>1666.3400000000001</v>
      </c>
      <c r="AC412" s="5">
        <f t="shared" si="45"/>
        <v>1820.25</v>
      </c>
      <c r="AD412" s="5">
        <f t="shared" si="45"/>
        <v>1766.25</v>
      </c>
      <c r="AE412" s="5">
        <f t="shared" si="46"/>
        <v>1733.2400000000002</v>
      </c>
      <c r="AF412" s="5">
        <f t="shared" si="46"/>
        <v>1800.3599999999997</v>
      </c>
      <c r="AG412" s="5">
        <f t="shared" si="46"/>
        <v>1634.13</v>
      </c>
      <c r="AH412" s="5">
        <f t="shared" si="46"/>
        <v>1628.12</v>
      </c>
      <c r="AI412" s="5">
        <f t="shared" si="46"/>
        <v>1465.54</v>
      </c>
      <c r="AJ412" s="5">
        <f t="shared" si="46"/>
        <v>1370.42</v>
      </c>
      <c r="AK412" s="5">
        <f t="shared" si="46"/>
        <v>1347.58</v>
      </c>
      <c r="AL412" s="5">
        <f t="shared" si="46"/>
        <v>1246.9499999999998</v>
      </c>
      <c r="AM412" s="60"/>
      <c r="AN412" s="60"/>
      <c r="AO412" s="5"/>
    </row>
    <row r="413" spans="1:41">
      <c r="A413" s="5"/>
      <c r="B413" s="38" t="s">
        <v>138</v>
      </c>
      <c r="C413" s="38"/>
      <c r="D413" s="38"/>
      <c r="E413" s="38"/>
      <c r="F413" s="38"/>
      <c r="G413" s="38"/>
      <c r="H413" s="38"/>
      <c r="I413" s="38"/>
      <c r="J413" s="38"/>
      <c r="K413" s="5">
        <f t="shared" si="44"/>
        <v>0</v>
      </c>
      <c r="L413" s="5">
        <f t="shared" si="44"/>
        <v>0</v>
      </c>
      <c r="M413" s="5">
        <f t="shared" si="44"/>
        <v>0</v>
      </c>
      <c r="N413" s="5">
        <f t="shared" si="44"/>
        <v>0</v>
      </c>
      <c r="O413" s="5">
        <f t="shared" si="44"/>
        <v>0</v>
      </c>
      <c r="P413" s="5">
        <f t="shared" si="44"/>
        <v>0</v>
      </c>
      <c r="Q413" s="5">
        <f t="shared" si="44"/>
        <v>0</v>
      </c>
      <c r="R413" s="5">
        <f t="shared" si="44"/>
        <v>0</v>
      </c>
      <c r="S413" s="5">
        <f t="shared" si="44"/>
        <v>0</v>
      </c>
      <c r="T413" s="5">
        <f t="shared" si="44"/>
        <v>0</v>
      </c>
      <c r="U413" s="5">
        <f t="shared" si="45"/>
        <v>0</v>
      </c>
      <c r="V413" s="5">
        <f t="shared" si="45"/>
        <v>0</v>
      </c>
      <c r="W413" s="5">
        <f t="shared" si="45"/>
        <v>0</v>
      </c>
      <c r="X413" s="5">
        <f t="shared" si="45"/>
        <v>0</v>
      </c>
      <c r="Y413" s="5">
        <f t="shared" si="45"/>
        <v>0</v>
      </c>
      <c r="Z413" s="5">
        <f t="shared" si="45"/>
        <v>0</v>
      </c>
      <c r="AA413" s="5">
        <f t="shared" si="45"/>
        <v>0</v>
      </c>
      <c r="AB413" s="5">
        <f t="shared" si="45"/>
        <v>0</v>
      </c>
      <c r="AC413" s="5">
        <f t="shared" si="45"/>
        <v>0</v>
      </c>
      <c r="AD413" s="5">
        <f t="shared" si="45"/>
        <v>0</v>
      </c>
      <c r="AE413" s="5">
        <f t="shared" si="46"/>
        <v>0</v>
      </c>
      <c r="AF413" s="5">
        <f t="shared" si="46"/>
        <v>0</v>
      </c>
      <c r="AG413" s="5">
        <f t="shared" si="46"/>
        <v>0</v>
      </c>
      <c r="AH413" s="5">
        <f t="shared" si="46"/>
        <v>0</v>
      </c>
      <c r="AI413" s="5">
        <f t="shared" si="46"/>
        <v>0</v>
      </c>
      <c r="AJ413" s="5">
        <f t="shared" si="46"/>
        <v>0</v>
      </c>
      <c r="AK413" s="5">
        <f t="shared" si="46"/>
        <v>0</v>
      </c>
      <c r="AL413" s="5">
        <f t="shared" si="46"/>
        <v>0</v>
      </c>
      <c r="AM413" s="60"/>
      <c r="AN413" s="60"/>
      <c r="AO413" s="5"/>
    </row>
    <row r="414" spans="1:41">
      <c r="A414" s="5"/>
      <c r="B414" s="11" t="s">
        <v>816</v>
      </c>
      <c r="C414" s="38"/>
      <c r="D414" s="38"/>
      <c r="E414" s="38"/>
      <c r="F414" s="38"/>
      <c r="G414" s="38"/>
      <c r="H414" s="38"/>
      <c r="I414" s="38"/>
      <c r="J414" s="38"/>
      <c r="K414" s="5">
        <f t="shared" si="44"/>
        <v>0</v>
      </c>
      <c r="L414" s="5">
        <f t="shared" si="44"/>
        <v>0</v>
      </c>
      <c r="M414" s="5">
        <f t="shared" si="44"/>
        <v>0</v>
      </c>
      <c r="N414" s="5">
        <f t="shared" si="44"/>
        <v>0</v>
      </c>
      <c r="O414" s="5">
        <f t="shared" si="44"/>
        <v>0</v>
      </c>
      <c r="P414" s="5">
        <f t="shared" si="44"/>
        <v>0</v>
      </c>
      <c r="Q414" s="5">
        <f t="shared" si="44"/>
        <v>0</v>
      </c>
      <c r="R414" s="5">
        <f t="shared" si="44"/>
        <v>0</v>
      </c>
      <c r="S414" s="5">
        <f t="shared" si="44"/>
        <v>0</v>
      </c>
      <c r="T414" s="5">
        <f t="shared" si="44"/>
        <v>0</v>
      </c>
      <c r="U414" s="5">
        <f t="shared" si="45"/>
        <v>0</v>
      </c>
      <c r="V414" s="5">
        <f t="shared" si="45"/>
        <v>0</v>
      </c>
      <c r="W414" s="5">
        <f t="shared" si="45"/>
        <v>0</v>
      </c>
      <c r="X414" s="5">
        <f t="shared" si="45"/>
        <v>0</v>
      </c>
      <c r="Y414" s="5">
        <f t="shared" si="45"/>
        <v>0</v>
      </c>
      <c r="Z414" s="5">
        <f t="shared" si="45"/>
        <v>0</v>
      </c>
      <c r="AA414" s="5">
        <f t="shared" si="45"/>
        <v>0</v>
      </c>
      <c r="AB414" s="5">
        <f t="shared" si="45"/>
        <v>0</v>
      </c>
      <c r="AC414" s="5">
        <f t="shared" si="45"/>
        <v>0</v>
      </c>
      <c r="AD414" s="5">
        <f t="shared" si="45"/>
        <v>0</v>
      </c>
      <c r="AE414" s="5">
        <f t="shared" si="46"/>
        <v>0</v>
      </c>
      <c r="AF414" s="5">
        <f t="shared" si="46"/>
        <v>0</v>
      </c>
      <c r="AG414" s="5">
        <f t="shared" si="46"/>
        <v>0</v>
      </c>
      <c r="AH414" s="5">
        <f t="shared" si="46"/>
        <v>0</v>
      </c>
      <c r="AI414" s="5">
        <f t="shared" si="46"/>
        <v>0</v>
      </c>
      <c r="AJ414" s="5">
        <f t="shared" si="46"/>
        <v>0</v>
      </c>
      <c r="AK414" s="5">
        <f t="shared" si="46"/>
        <v>0</v>
      </c>
      <c r="AL414" s="5">
        <f t="shared" si="46"/>
        <v>0</v>
      </c>
      <c r="AM414" s="60"/>
      <c r="AN414" s="60"/>
      <c r="AO414" s="5"/>
    </row>
    <row r="415" spans="1:41">
      <c r="A415" s="5"/>
      <c r="B415" s="38" t="s">
        <v>1962</v>
      </c>
      <c r="C415" s="38"/>
      <c r="D415" s="38"/>
      <c r="E415" s="38"/>
      <c r="F415" s="38"/>
      <c r="G415" s="38"/>
      <c r="H415" s="38"/>
      <c r="I415" s="38"/>
      <c r="J415" s="38"/>
      <c r="K415" s="5">
        <f t="shared" si="44"/>
        <v>0</v>
      </c>
      <c r="L415" s="5">
        <f t="shared" si="44"/>
        <v>0</v>
      </c>
      <c r="M415" s="5">
        <f t="shared" si="44"/>
        <v>0</v>
      </c>
      <c r="N415" s="5">
        <f t="shared" si="44"/>
        <v>0</v>
      </c>
      <c r="O415" s="5">
        <f t="shared" si="44"/>
        <v>0</v>
      </c>
      <c r="P415" s="5">
        <f t="shared" si="44"/>
        <v>0</v>
      </c>
      <c r="Q415" s="5">
        <f t="shared" si="44"/>
        <v>0</v>
      </c>
      <c r="R415" s="5">
        <f t="shared" si="44"/>
        <v>0</v>
      </c>
      <c r="S415" s="5">
        <f t="shared" si="44"/>
        <v>0</v>
      </c>
      <c r="T415" s="5">
        <f t="shared" si="44"/>
        <v>0</v>
      </c>
      <c r="U415" s="5">
        <f t="shared" si="45"/>
        <v>0</v>
      </c>
      <c r="V415" s="5">
        <f t="shared" si="45"/>
        <v>0</v>
      </c>
      <c r="W415" s="5">
        <f t="shared" si="45"/>
        <v>0</v>
      </c>
      <c r="X415" s="5">
        <f t="shared" si="45"/>
        <v>0</v>
      </c>
      <c r="Y415" s="5">
        <f t="shared" si="45"/>
        <v>0</v>
      </c>
      <c r="Z415" s="5">
        <f t="shared" si="45"/>
        <v>0</v>
      </c>
      <c r="AA415" s="5">
        <f t="shared" si="45"/>
        <v>0</v>
      </c>
      <c r="AB415" s="5">
        <f t="shared" si="45"/>
        <v>0</v>
      </c>
      <c r="AC415" s="5">
        <f t="shared" si="45"/>
        <v>0</v>
      </c>
      <c r="AD415" s="5">
        <f t="shared" si="45"/>
        <v>0</v>
      </c>
      <c r="AE415" s="5">
        <f t="shared" si="46"/>
        <v>0</v>
      </c>
      <c r="AF415" s="5">
        <f t="shared" si="46"/>
        <v>0</v>
      </c>
      <c r="AG415" s="5">
        <f t="shared" si="46"/>
        <v>0</v>
      </c>
      <c r="AH415" s="5">
        <f t="shared" si="46"/>
        <v>0</v>
      </c>
      <c r="AI415" s="5">
        <f t="shared" si="46"/>
        <v>0</v>
      </c>
      <c r="AJ415" s="5">
        <f t="shared" si="46"/>
        <v>0</v>
      </c>
      <c r="AK415" s="5">
        <f t="shared" si="46"/>
        <v>0</v>
      </c>
      <c r="AL415" s="5">
        <f t="shared" si="46"/>
        <v>0</v>
      </c>
      <c r="AM415" s="60"/>
      <c r="AN415" s="60"/>
      <c r="AO415" s="5"/>
    </row>
    <row r="416" spans="1:41">
      <c r="A416" s="5"/>
      <c r="B416" s="38" t="s">
        <v>139</v>
      </c>
      <c r="C416" s="38"/>
      <c r="D416" s="38"/>
      <c r="E416" s="38"/>
      <c r="F416" s="38"/>
      <c r="G416" s="38"/>
      <c r="H416" s="38"/>
      <c r="I416" s="38"/>
      <c r="J416" s="38"/>
      <c r="K416" s="5">
        <f t="shared" si="44"/>
        <v>60.11</v>
      </c>
      <c r="L416" s="5">
        <f t="shared" si="44"/>
        <v>76.62</v>
      </c>
      <c r="M416" s="5">
        <f t="shared" si="44"/>
        <v>59.519999999999996</v>
      </c>
      <c r="N416" s="5">
        <f t="shared" si="44"/>
        <v>40.56</v>
      </c>
      <c r="O416" s="5">
        <f t="shared" si="44"/>
        <v>0</v>
      </c>
      <c r="P416" s="5">
        <f t="shared" si="44"/>
        <v>0</v>
      </c>
      <c r="Q416" s="5">
        <f t="shared" si="44"/>
        <v>0</v>
      </c>
      <c r="R416" s="5">
        <f t="shared" si="44"/>
        <v>0</v>
      </c>
      <c r="S416" s="5">
        <f t="shared" si="44"/>
        <v>0</v>
      </c>
      <c r="T416" s="5">
        <f t="shared" si="44"/>
        <v>0</v>
      </c>
      <c r="U416" s="5">
        <f t="shared" si="45"/>
        <v>0</v>
      </c>
      <c r="V416" s="5">
        <f t="shared" si="45"/>
        <v>0</v>
      </c>
      <c r="W416" s="5">
        <f t="shared" si="45"/>
        <v>0</v>
      </c>
      <c r="X416" s="5">
        <f t="shared" si="45"/>
        <v>0</v>
      </c>
      <c r="Y416" s="5">
        <f t="shared" si="45"/>
        <v>0</v>
      </c>
      <c r="Z416" s="5">
        <f t="shared" si="45"/>
        <v>0</v>
      </c>
      <c r="AA416" s="5">
        <f t="shared" si="45"/>
        <v>0</v>
      </c>
      <c r="AB416" s="5">
        <f t="shared" si="45"/>
        <v>0</v>
      </c>
      <c r="AC416" s="5">
        <f t="shared" si="45"/>
        <v>0</v>
      </c>
      <c r="AD416" s="5">
        <f t="shared" si="45"/>
        <v>0</v>
      </c>
      <c r="AE416" s="5">
        <f t="shared" si="46"/>
        <v>0</v>
      </c>
      <c r="AF416" s="5">
        <f t="shared" si="46"/>
        <v>0</v>
      </c>
      <c r="AG416" s="5">
        <f t="shared" si="46"/>
        <v>0</v>
      </c>
      <c r="AH416" s="5">
        <f t="shared" si="46"/>
        <v>0</v>
      </c>
      <c r="AI416" s="5">
        <f t="shared" si="46"/>
        <v>0</v>
      </c>
      <c r="AJ416" s="5">
        <f t="shared" si="46"/>
        <v>0</v>
      </c>
      <c r="AK416" s="5">
        <f t="shared" si="46"/>
        <v>0</v>
      </c>
      <c r="AL416" s="5">
        <f t="shared" si="46"/>
        <v>0</v>
      </c>
      <c r="AM416" s="60"/>
      <c r="AN416" s="60"/>
      <c r="AO416" s="5"/>
    </row>
    <row r="417" spans="1:41">
      <c r="A417" s="5"/>
      <c r="B417" s="38" t="s">
        <v>1745</v>
      </c>
      <c r="C417" s="38"/>
      <c r="D417" s="38"/>
      <c r="E417" s="38"/>
      <c r="F417" s="38"/>
      <c r="G417" s="38"/>
      <c r="H417" s="38"/>
      <c r="I417" s="38"/>
      <c r="J417" s="38"/>
      <c r="K417" s="5">
        <f t="shared" si="44"/>
        <v>40.180000000000007</v>
      </c>
      <c r="L417" s="5">
        <f t="shared" si="44"/>
        <v>40.69</v>
      </c>
      <c r="M417" s="5">
        <f t="shared" si="44"/>
        <v>42.730000000000004</v>
      </c>
      <c r="N417" s="5">
        <f t="shared" si="44"/>
        <v>33.68</v>
      </c>
      <c r="O417" s="5">
        <f t="shared" si="44"/>
        <v>26.479999999999997</v>
      </c>
      <c r="P417" s="5">
        <f t="shared" si="44"/>
        <v>20.990000000000002</v>
      </c>
      <c r="Q417" s="5">
        <f t="shared" si="44"/>
        <v>15.060000000000002</v>
      </c>
      <c r="R417" s="5">
        <f t="shared" si="44"/>
        <v>15.55</v>
      </c>
      <c r="S417" s="5">
        <f t="shared" si="44"/>
        <v>11.22</v>
      </c>
      <c r="T417" s="5">
        <f t="shared" si="44"/>
        <v>6.7899999999999991</v>
      </c>
      <c r="U417" s="5">
        <f t="shared" si="45"/>
        <v>79.67</v>
      </c>
      <c r="V417" s="5">
        <f t="shared" si="45"/>
        <v>99.07</v>
      </c>
      <c r="W417" s="5">
        <f t="shared" si="45"/>
        <v>100.05</v>
      </c>
      <c r="X417" s="5">
        <f t="shared" si="45"/>
        <v>45.494999999999997</v>
      </c>
      <c r="Y417" s="5">
        <f t="shared" si="45"/>
        <v>0</v>
      </c>
      <c r="Z417" s="5">
        <f t="shared" si="45"/>
        <v>0</v>
      </c>
      <c r="AA417" s="5">
        <f t="shared" si="45"/>
        <v>0</v>
      </c>
      <c r="AB417" s="5">
        <f t="shared" si="45"/>
        <v>0</v>
      </c>
      <c r="AC417" s="5">
        <f t="shared" si="45"/>
        <v>0</v>
      </c>
      <c r="AD417" s="5">
        <f t="shared" si="45"/>
        <v>0</v>
      </c>
      <c r="AE417" s="5">
        <f t="shared" si="46"/>
        <v>0</v>
      </c>
      <c r="AF417" s="5">
        <f t="shared" si="46"/>
        <v>0</v>
      </c>
      <c r="AG417" s="5">
        <f t="shared" si="46"/>
        <v>0</v>
      </c>
      <c r="AH417" s="5">
        <f t="shared" si="46"/>
        <v>0</v>
      </c>
      <c r="AI417" s="5">
        <f t="shared" si="46"/>
        <v>0</v>
      </c>
      <c r="AJ417" s="5">
        <f t="shared" si="46"/>
        <v>0</v>
      </c>
      <c r="AK417" s="5">
        <f t="shared" si="46"/>
        <v>0</v>
      </c>
      <c r="AL417" s="5">
        <f t="shared" si="46"/>
        <v>0</v>
      </c>
      <c r="AM417" s="60"/>
      <c r="AN417" s="60"/>
      <c r="AO417" s="5"/>
    </row>
    <row r="418" spans="1:41">
      <c r="A418" s="5"/>
      <c r="B418" s="11" t="s">
        <v>3277</v>
      </c>
      <c r="C418" s="38"/>
      <c r="D418" s="38"/>
      <c r="E418" s="38"/>
      <c r="F418" s="38"/>
      <c r="G418" s="38"/>
      <c r="H418" s="38"/>
      <c r="I418" s="38"/>
      <c r="J418" s="38"/>
      <c r="K418" s="5">
        <f t="shared" si="44"/>
        <v>0</v>
      </c>
      <c r="L418" s="5">
        <f t="shared" si="44"/>
        <v>0</v>
      </c>
      <c r="M418" s="5">
        <f t="shared" si="44"/>
        <v>0</v>
      </c>
      <c r="N418" s="5">
        <f t="shared" si="44"/>
        <v>0</v>
      </c>
      <c r="O418" s="5">
        <f t="shared" si="44"/>
        <v>0</v>
      </c>
      <c r="P418" s="5">
        <f t="shared" si="44"/>
        <v>0</v>
      </c>
      <c r="Q418" s="5">
        <f t="shared" si="44"/>
        <v>0</v>
      </c>
      <c r="R418" s="5">
        <f t="shared" si="44"/>
        <v>0</v>
      </c>
      <c r="S418" s="5">
        <f t="shared" si="44"/>
        <v>0</v>
      </c>
      <c r="T418" s="5">
        <f t="shared" si="44"/>
        <v>0</v>
      </c>
      <c r="U418" s="5">
        <f t="shared" si="45"/>
        <v>0</v>
      </c>
      <c r="V418" s="5">
        <f t="shared" si="45"/>
        <v>0</v>
      </c>
      <c r="W418" s="5">
        <f t="shared" si="45"/>
        <v>0</v>
      </c>
      <c r="X418" s="5">
        <f t="shared" si="45"/>
        <v>0</v>
      </c>
      <c r="Y418" s="5">
        <f t="shared" si="45"/>
        <v>62.1</v>
      </c>
      <c r="Z418" s="5">
        <f t="shared" si="45"/>
        <v>455.4</v>
      </c>
      <c r="AA418" s="5">
        <f t="shared" si="45"/>
        <v>517.5</v>
      </c>
      <c r="AB418" s="5">
        <f t="shared" si="45"/>
        <v>615.83000000000004</v>
      </c>
      <c r="AC418" s="5">
        <f t="shared" si="45"/>
        <v>760.73</v>
      </c>
      <c r="AD418" s="5">
        <f t="shared" si="45"/>
        <v>776.25</v>
      </c>
      <c r="AE418" s="5">
        <f t="shared" si="46"/>
        <v>1191.53</v>
      </c>
      <c r="AF418" s="5">
        <f t="shared" si="46"/>
        <v>1414.6</v>
      </c>
      <c r="AG418" s="5">
        <f t="shared" si="46"/>
        <v>1374.2</v>
      </c>
      <c r="AH418" s="5">
        <f t="shared" si="46"/>
        <v>1115.32</v>
      </c>
      <c r="AI418" s="5">
        <f t="shared" si="46"/>
        <v>878.89</v>
      </c>
      <c r="AJ418" s="5">
        <f t="shared" si="46"/>
        <v>878.65</v>
      </c>
      <c r="AK418" s="5">
        <f t="shared" si="46"/>
        <v>889.36</v>
      </c>
      <c r="AL418" s="5">
        <f t="shared" si="46"/>
        <v>882.47</v>
      </c>
      <c r="AM418" s="60"/>
      <c r="AN418" s="60"/>
      <c r="AO418" s="5"/>
    </row>
    <row r="419" spans="1:41">
      <c r="A419" s="5"/>
      <c r="B419" s="38" t="s">
        <v>3400</v>
      </c>
      <c r="C419" s="38"/>
      <c r="D419" s="38"/>
      <c r="E419" s="38"/>
      <c r="F419" s="38"/>
      <c r="G419" s="38"/>
      <c r="H419" s="38"/>
      <c r="I419" s="38"/>
      <c r="J419" s="38"/>
      <c r="K419" s="5">
        <f t="shared" si="44"/>
        <v>0</v>
      </c>
      <c r="L419" s="5">
        <f t="shared" si="44"/>
        <v>0</v>
      </c>
      <c r="M419" s="5">
        <f t="shared" si="44"/>
        <v>0</v>
      </c>
      <c r="N419" s="5">
        <f t="shared" si="44"/>
        <v>0</v>
      </c>
      <c r="O419" s="5">
        <f t="shared" si="44"/>
        <v>0</v>
      </c>
      <c r="P419" s="5">
        <f t="shared" si="44"/>
        <v>0</v>
      </c>
      <c r="Q419" s="5">
        <f t="shared" si="44"/>
        <v>0</v>
      </c>
      <c r="R419" s="5">
        <f t="shared" si="44"/>
        <v>0</v>
      </c>
      <c r="S419" s="5">
        <f t="shared" si="44"/>
        <v>160.44</v>
      </c>
      <c r="T419" s="5">
        <f t="shared" si="44"/>
        <v>314.27999999999997</v>
      </c>
      <c r="U419" s="5">
        <f t="shared" si="45"/>
        <v>164.09</v>
      </c>
      <c r="V419" s="5">
        <f t="shared" si="45"/>
        <v>134.52000000000001</v>
      </c>
      <c r="W419" s="5">
        <f t="shared" si="45"/>
        <v>116.1</v>
      </c>
      <c r="X419" s="5">
        <f t="shared" si="45"/>
        <v>87.41</v>
      </c>
      <c r="Y419" s="5">
        <f t="shared" si="45"/>
        <v>86.82</v>
      </c>
      <c r="Z419" s="5">
        <f t="shared" si="45"/>
        <v>82.23</v>
      </c>
      <c r="AA419" s="5">
        <f t="shared" si="45"/>
        <v>75.06</v>
      </c>
      <c r="AB419" s="5">
        <f t="shared" si="45"/>
        <v>66.760000000000005</v>
      </c>
      <c r="AC419" s="5">
        <f t="shared" si="45"/>
        <v>85.26</v>
      </c>
      <c r="AD419" s="5">
        <f t="shared" si="45"/>
        <v>133.04</v>
      </c>
      <c r="AE419" s="5">
        <f t="shared" si="46"/>
        <v>235.07</v>
      </c>
      <c r="AF419" s="5">
        <f t="shared" si="46"/>
        <v>305.33</v>
      </c>
      <c r="AG419" s="5">
        <f t="shared" si="46"/>
        <v>342.26</v>
      </c>
      <c r="AH419" s="5">
        <f t="shared" si="46"/>
        <v>349.63</v>
      </c>
      <c r="AI419" s="5">
        <f t="shared" si="46"/>
        <v>374.35</v>
      </c>
      <c r="AJ419" s="5">
        <f t="shared" si="46"/>
        <v>371.19</v>
      </c>
      <c r="AK419" s="5">
        <f t="shared" si="46"/>
        <v>329.72</v>
      </c>
      <c r="AL419" s="5">
        <f t="shared" si="46"/>
        <v>293.73</v>
      </c>
      <c r="AM419" s="60"/>
      <c r="AN419" s="60"/>
      <c r="AO419" s="5"/>
    </row>
    <row r="420" spans="1:41">
      <c r="A420" s="5"/>
      <c r="B420" s="38" t="s">
        <v>3403</v>
      </c>
      <c r="C420" s="38"/>
      <c r="D420" s="38"/>
      <c r="E420" s="38"/>
      <c r="F420" s="38"/>
      <c r="G420" s="38"/>
      <c r="H420" s="38"/>
      <c r="I420" s="38"/>
      <c r="J420" s="38"/>
      <c r="K420" s="5">
        <f t="shared" si="44"/>
        <v>0</v>
      </c>
      <c r="L420" s="5">
        <f t="shared" si="44"/>
        <v>0</v>
      </c>
      <c r="M420" s="5">
        <f t="shared" si="44"/>
        <v>0</v>
      </c>
      <c r="N420" s="5">
        <f t="shared" si="44"/>
        <v>0</v>
      </c>
      <c r="O420" s="5">
        <f t="shared" si="44"/>
        <v>0</v>
      </c>
      <c r="P420" s="5">
        <f t="shared" si="44"/>
        <v>0</v>
      </c>
      <c r="Q420" s="5">
        <f t="shared" si="44"/>
        <v>35.049999999999997</v>
      </c>
      <c r="R420" s="5">
        <f t="shared" si="44"/>
        <v>347</v>
      </c>
      <c r="S420" s="5">
        <f t="shared" si="44"/>
        <v>358.57</v>
      </c>
      <c r="T420" s="5">
        <f t="shared" si="44"/>
        <v>316.67</v>
      </c>
      <c r="U420" s="5">
        <f t="shared" si="45"/>
        <v>322.29000000000002</v>
      </c>
      <c r="V420" s="5">
        <f t="shared" si="45"/>
        <v>300.43</v>
      </c>
      <c r="W420" s="5">
        <f t="shared" si="45"/>
        <v>328.42</v>
      </c>
      <c r="X420" s="5">
        <f t="shared" si="45"/>
        <v>390.97</v>
      </c>
      <c r="Y420" s="5">
        <f t="shared" si="45"/>
        <v>353.8</v>
      </c>
      <c r="Z420" s="5">
        <f t="shared" si="45"/>
        <v>377.72</v>
      </c>
      <c r="AA420" s="5">
        <f t="shared" si="45"/>
        <v>377.42</v>
      </c>
      <c r="AB420" s="5">
        <f t="shared" si="45"/>
        <v>370.66</v>
      </c>
      <c r="AC420" s="5">
        <f t="shared" si="45"/>
        <v>369.58</v>
      </c>
      <c r="AD420" s="5">
        <f t="shared" si="45"/>
        <v>368.78</v>
      </c>
      <c r="AE420" s="5">
        <f t="shared" si="46"/>
        <v>372.82</v>
      </c>
      <c r="AF420" s="5">
        <f t="shared" si="46"/>
        <v>373.07</v>
      </c>
      <c r="AG420" s="5">
        <f t="shared" si="46"/>
        <v>380.79</v>
      </c>
      <c r="AH420" s="5">
        <f t="shared" si="46"/>
        <v>382.55</v>
      </c>
      <c r="AI420" s="5">
        <f t="shared" si="46"/>
        <v>378.94</v>
      </c>
      <c r="AJ420" s="5">
        <f t="shared" si="46"/>
        <v>376.93</v>
      </c>
      <c r="AK420" s="5">
        <f t="shared" si="46"/>
        <v>372.88</v>
      </c>
      <c r="AL420" s="5">
        <f t="shared" si="46"/>
        <v>374.41</v>
      </c>
      <c r="AM420" s="60"/>
      <c r="AN420" s="60"/>
      <c r="AO420" s="5"/>
    </row>
    <row r="421" spans="1:41">
      <c r="A421" s="5"/>
      <c r="B421" s="38" t="s">
        <v>3278</v>
      </c>
      <c r="C421" s="38"/>
      <c r="D421" s="38"/>
      <c r="E421" s="38"/>
      <c r="F421" s="38"/>
      <c r="G421" s="38"/>
      <c r="H421" s="38"/>
      <c r="I421" s="38"/>
      <c r="J421" s="38"/>
      <c r="K421" s="5">
        <f t="shared" ref="K421:T428" si="47">SUMIF($C$366:$C$396,$B421,K$366:K$396)</f>
        <v>91.38</v>
      </c>
      <c r="L421" s="5">
        <f t="shared" si="47"/>
        <v>93.06</v>
      </c>
      <c r="M421" s="5">
        <f t="shared" si="47"/>
        <v>99.66</v>
      </c>
      <c r="N421" s="5">
        <f t="shared" si="47"/>
        <v>98.46</v>
      </c>
      <c r="O421" s="5">
        <f t="shared" si="47"/>
        <v>147.24</v>
      </c>
      <c r="P421" s="5">
        <f t="shared" si="47"/>
        <v>183.73</v>
      </c>
      <c r="Q421" s="5">
        <f t="shared" si="47"/>
        <v>204.17999999999998</v>
      </c>
      <c r="R421" s="5">
        <f t="shared" si="47"/>
        <v>181.81000000000003</v>
      </c>
      <c r="S421" s="5">
        <f t="shared" si="47"/>
        <v>78.069999999999993</v>
      </c>
      <c r="T421" s="5">
        <f t="shared" si="47"/>
        <v>0</v>
      </c>
      <c r="U421" s="5">
        <f t="shared" ref="U421:AD428" si="48">SUMIF($C$366:$C$396,$B421,U$366:U$396)</f>
        <v>0</v>
      </c>
      <c r="V421" s="5">
        <f t="shared" si="48"/>
        <v>0</v>
      </c>
      <c r="W421" s="5">
        <f t="shared" si="48"/>
        <v>0</v>
      </c>
      <c r="X421" s="5">
        <f t="shared" si="48"/>
        <v>0</v>
      </c>
      <c r="Y421" s="5">
        <f t="shared" si="48"/>
        <v>0</v>
      </c>
      <c r="Z421" s="5">
        <f t="shared" si="48"/>
        <v>0</v>
      </c>
      <c r="AA421" s="5">
        <f t="shared" si="48"/>
        <v>0</v>
      </c>
      <c r="AB421" s="5">
        <f t="shared" si="48"/>
        <v>0</v>
      </c>
      <c r="AC421" s="5">
        <f t="shared" si="48"/>
        <v>0</v>
      </c>
      <c r="AD421" s="5">
        <f t="shared" si="48"/>
        <v>0</v>
      </c>
      <c r="AE421" s="5">
        <f t="shared" ref="AE421:AL428" si="49">SUMIF($C$366:$C$396,$B421,AE$366:AE$396)</f>
        <v>0</v>
      </c>
      <c r="AF421" s="5">
        <f t="shared" si="49"/>
        <v>0</v>
      </c>
      <c r="AG421" s="5">
        <f t="shared" si="49"/>
        <v>0</v>
      </c>
      <c r="AH421" s="5">
        <f t="shared" si="49"/>
        <v>0</v>
      </c>
      <c r="AI421" s="5">
        <f t="shared" si="49"/>
        <v>0</v>
      </c>
      <c r="AJ421" s="5">
        <f t="shared" si="49"/>
        <v>0</v>
      </c>
      <c r="AK421" s="5">
        <f t="shared" si="49"/>
        <v>0</v>
      </c>
      <c r="AL421" s="5">
        <f t="shared" si="49"/>
        <v>0</v>
      </c>
      <c r="AM421" s="60"/>
      <c r="AN421" s="60"/>
      <c r="AO421" s="5"/>
    </row>
    <row r="422" spans="1:41">
      <c r="A422" s="5"/>
      <c r="B422" s="47" t="s">
        <v>1703</v>
      </c>
      <c r="C422" s="38"/>
      <c r="D422" s="38"/>
      <c r="E422" s="38"/>
      <c r="F422" s="38"/>
      <c r="G422" s="38"/>
      <c r="H422" s="38"/>
      <c r="I422" s="38"/>
      <c r="J422" s="38"/>
      <c r="K422" s="5">
        <f t="shared" si="47"/>
        <v>0</v>
      </c>
      <c r="L422" s="5">
        <f t="shared" si="47"/>
        <v>0</v>
      </c>
      <c r="M422" s="5">
        <f t="shared" si="47"/>
        <v>0</v>
      </c>
      <c r="N422" s="5">
        <f t="shared" si="47"/>
        <v>0</v>
      </c>
      <c r="O422" s="5">
        <f t="shared" si="47"/>
        <v>0</v>
      </c>
      <c r="P422" s="5">
        <f t="shared" si="47"/>
        <v>0</v>
      </c>
      <c r="Q422" s="5">
        <f t="shared" si="47"/>
        <v>0</v>
      </c>
      <c r="R422" s="5">
        <f t="shared" si="47"/>
        <v>0</v>
      </c>
      <c r="S422" s="5">
        <f t="shared" si="47"/>
        <v>0</v>
      </c>
      <c r="T422" s="5">
        <f t="shared" si="47"/>
        <v>0</v>
      </c>
      <c r="U422" s="5">
        <f t="shared" si="48"/>
        <v>0</v>
      </c>
      <c r="V422" s="5">
        <f t="shared" si="48"/>
        <v>0</v>
      </c>
      <c r="W422" s="5">
        <f t="shared" si="48"/>
        <v>0</v>
      </c>
      <c r="X422" s="5">
        <f t="shared" si="48"/>
        <v>0</v>
      </c>
      <c r="Y422" s="5">
        <f t="shared" si="48"/>
        <v>0</v>
      </c>
      <c r="Z422" s="5">
        <f t="shared" si="48"/>
        <v>0</v>
      </c>
      <c r="AA422" s="5">
        <f t="shared" si="48"/>
        <v>0</v>
      </c>
      <c r="AB422" s="5">
        <f t="shared" si="48"/>
        <v>0</v>
      </c>
      <c r="AC422" s="5">
        <f t="shared" si="48"/>
        <v>0</v>
      </c>
      <c r="AD422" s="5">
        <f t="shared" si="48"/>
        <v>0</v>
      </c>
      <c r="AE422" s="5">
        <f t="shared" si="49"/>
        <v>0</v>
      </c>
      <c r="AF422" s="5">
        <f t="shared" si="49"/>
        <v>0</v>
      </c>
      <c r="AG422" s="5">
        <f t="shared" si="49"/>
        <v>0</v>
      </c>
      <c r="AH422" s="5">
        <f t="shared" si="49"/>
        <v>0</v>
      </c>
      <c r="AI422" s="5">
        <f t="shared" si="49"/>
        <v>0</v>
      </c>
      <c r="AJ422" s="5">
        <f t="shared" si="49"/>
        <v>0</v>
      </c>
      <c r="AK422" s="5">
        <f t="shared" si="49"/>
        <v>0</v>
      </c>
      <c r="AL422" s="5">
        <f t="shared" si="49"/>
        <v>0</v>
      </c>
      <c r="AM422" s="60"/>
      <c r="AN422" s="60"/>
      <c r="AO422" s="5"/>
    </row>
    <row r="423" spans="1:41">
      <c r="A423" s="5"/>
      <c r="B423" s="38" t="s">
        <v>1961</v>
      </c>
      <c r="C423" s="38"/>
      <c r="D423" s="38"/>
      <c r="E423" s="38"/>
      <c r="F423" s="38"/>
      <c r="G423" s="38"/>
      <c r="H423" s="38"/>
      <c r="I423" s="38"/>
      <c r="J423" s="38"/>
      <c r="K423" s="5">
        <f t="shared" si="47"/>
        <v>124.44</v>
      </c>
      <c r="L423" s="5">
        <f t="shared" si="47"/>
        <v>124.32</v>
      </c>
      <c r="M423" s="5">
        <f t="shared" si="47"/>
        <v>127.8</v>
      </c>
      <c r="N423" s="5">
        <f t="shared" si="47"/>
        <v>131.19999999999999</v>
      </c>
      <c r="O423" s="5">
        <f t="shared" si="47"/>
        <v>96.8</v>
      </c>
      <c r="P423" s="5">
        <f t="shared" si="47"/>
        <v>77.599999999999994</v>
      </c>
      <c r="Q423" s="5">
        <f t="shared" si="47"/>
        <v>61.31</v>
      </c>
      <c r="R423" s="5">
        <f t="shared" si="47"/>
        <v>48.81</v>
      </c>
      <c r="S423" s="5">
        <f t="shared" si="47"/>
        <v>33.26</v>
      </c>
      <c r="T423" s="5">
        <f t="shared" si="47"/>
        <v>0</v>
      </c>
      <c r="U423" s="5">
        <f t="shared" si="48"/>
        <v>0</v>
      </c>
      <c r="V423" s="5">
        <f t="shared" si="48"/>
        <v>0</v>
      </c>
      <c r="W423" s="5">
        <f t="shared" si="48"/>
        <v>0</v>
      </c>
      <c r="X423" s="5">
        <f t="shared" si="48"/>
        <v>0</v>
      </c>
      <c r="Y423" s="5">
        <f t="shared" si="48"/>
        <v>0</v>
      </c>
      <c r="Z423" s="5">
        <f t="shared" si="48"/>
        <v>0</v>
      </c>
      <c r="AA423" s="5">
        <f t="shared" si="48"/>
        <v>0</v>
      </c>
      <c r="AB423" s="5">
        <f t="shared" si="48"/>
        <v>0</v>
      </c>
      <c r="AC423" s="5">
        <f t="shared" si="48"/>
        <v>0</v>
      </c>
      <c r="AD423" s="5">
        <f t="shared" si="48"/>
        <v>0</v>
      </c>
      <c r="AE423" s="5">
        <f t="shared" si="49"/>
        <v>0</v>
      </c>
      <c r="AF423" s="5">
        <f t="shared" si="49"/>
        <v>0</v>
      </c>
      <c r="AG423" s="5">
        <f t="shared" si="49"/>
        <v>0</v>
      </c>
      <c r="AH423" s="5">
        <f t="shared" si="49"/>
        <v>0</v>
      </c>
      <c r="AI423" s="5">
        <f t="shared" si="49"/>
        <v>0</v>
      </c>
      <c r="AJ423" s="5">
        <f t="shared" si="49"/>
        <v>0</v>
      </c>
      <c r="AK423" s="5">
        <f t="shared" si="49"/>
        <v>0</v>
      </c>
      <c r="AL423" s="5">
        <f t="shared" si="49"/>
        <v>0</v>
      </c>
      <c r="AM423" s="60"/>
      <c r="AN423" s="60"/>
      <c r="AO423" s="5"/>
    </row>
    <row r="424" spans="1:41">
      <c r="A424" s="5"/>
      <c r="B424" s="38" t="s">
        <v>1280</v>
      </c>
      <c r="C424" s="38"/>
      <c r="D424" s="38"/>
      <c r="E424" s="38"/>
      <c r="F424" s="38"/>
      <c r="G424" s="38"/>
      <c r="H424" s="38"/>
      <c r="I424" s="38"/>
      <c r="J424" s="38"/>
      <c r="K424" s="5">
        <f t="shared" si="47"/>
        <v>1470</v>
      </c>
      <c r="L424" s="5">
        <f t="shared" si="47"/>
        <v>1382.5</v>
      </c>
      <c r="M424" s="5">
        <f t="shared" si="47"/>
        <v>1504.4</v>
      </c>
      <c r="N424" s="5">
        <f t="shared" si="47"/>
        <v>1523.75</v>
      </c>
      <c r="O424" s="5">
        <f t="shared" si="47"/>
        <v>1591.35</v>
      </c>
      <c r="P424" s="5">
        <f t="shared" si="47"/>
        <v>1600.2</v>
      </c>
      <c r="Q424" s="5">
        <f t="shared" si="47"/>
        <v>1645.29</v>
      </c>
      <c r="R424" s="5">
        <f t="shared" si="47"/>
        <v>1652.37</v>
      </c>
      <c r="S424" s="5">
        <f t="shared" si="47"/>
        <v>1579.8</v>
      </c>
      <c r="T424" s="5">
        <f t="shared" si="47"/>
        <v>1473.8500000000001</v>
      </c>
      <c r="U424" s="5">
        <f t="shared" si="48"/>
        <v>1497.84</v>
      </c>
      <c r="V424" s="5">
        <f t="shared" si="48"/>
        <v>1445.15</v>
      </c>
      <c r="W424" s="5">
        <f t="shared" si="48"/>
        <v>1312.91</v>
      </c>
      <c r="X424" s="5">
        <f t="shared" si="48"/>
        <v>1130.3800000000001</v>
      </c>
      <c r="Y424" s="5">
        <f t="shared" si="48"/>
        <v>1251.4100000000001</v>
      </c>
      <c r="Z424" s="5">
        <f t="shared" si="48"/>
        <v>1401.93</v>
      </c>
      <c r="AA424" s="5">
        <f t="shared" si="48"/>
        <v>1609.83</v>
      </c>
      <c r="AB424" s="5">
        <f t="shared" si="48"/>
        <v>1572.49</v>
      </c>
      <c r="AC424" s="5">
        <f t="shared" si="48"/>
        <v>1351.15</v>
      </c>
      <c r="AD424" s="5">
        <f t="shared" si="48"/>
        <v>1137.8399999999999</v>
      </c>
      <c r="AE424" s="5">
        <f t="shared" si="49"/>
        <v>840</v>
      </c>
      <c r="AF424" s="5">
        <f t="shared" si="49"/>
        <v>430.5</v>
      </c>
      <c r="AG424" s="5">
        <f t="shared" si="49"/>
        <v>322</v>
      </c>
      <c r="AH424" s="5">
        <f t="shared" si="49"/>
        <v>238</v>
      </c>
      <c r="AI424" s="5">
        <f t="shared" si="49"/>
        <v>175</v>
      </c>
      <c r="AJ424" s="5">
        <f t="shared" si="49"/>
        <v>129.5</v>
      </c>
      <c r="AK424" s="5">
        <f t="shared" si="49"/>
        <v>60.2</v>
      </c>
      <c r="AL424" s="5">
        <f t="shared" si="49"/>
        <v>44.1</v>
      </c>
      <c r="AM424" s="60"/>
      <c r="AN424" s="60"/>
      <c r="AO424" s="5"/>
    </row>
    <row r="425" spans="1:41">
      <c r="A425" s="5"/>
      <c r="B425" s="38" t="s">
        <v>1281</v>
      </c>
      <c r="C425" s="38"/>
      <c r="D425" s="38"/>
      <c r="E425" s="38"/>
      <c r="F425" s="38"/>
      <c r="G425" s="38"/>
      <c r="H425" s="38"/>
      <c r="I425" s="38"/>
      <c r="J425" s="38"/>
      <c r="K425" s="5">
        <f t="shared" si="47"/>
        <v>1322.25</v>
      </c>
      <c r="L425" s="5">
        <f t="shared" si="47"/>
        <v>1172.6399999999999</v>
      </c>
      <c r="M425" s="5">
        <f t="shared" si="47"/>
        <v>1101.9599999999998</v>
      </c>
      <c r="N425" s="5">
        <f t="shared" si="47"/>
        <v>990.59999999999991</v>
      </c>
      <c r="O425" s="5">
        <f t="shared" si="47"/>
        <v>845.04999999999984</v>
      </c>
      <c r="P425" s="5">
        <f t="shared" si="47"/>
        <v>825.03000000000009</v>
      </c>
      <c r="Q425" s="5">
        <f t="shared" si="47"/>
        <v>633.23</v>
      </c>
      <c r="R425" s="5">
        <f t="shared" si="47"/>
        <v>524.52</v>
      </c>
      <c r="S425" s="5">
        <f t="shared" si="47"/>
        <v>295.23</v>
      </c>
      <c r="T425" s="5">
        <f t="shared" si="47"/>
        <v>116.51000000000003</v>
      </c>
      <c r="U425" s="5">
        <f t="shared" si="48"/>
        <v>101.72999999999998</v>
      </c>
      <c r="V425" s="5">
        <f t="shared" si="48"/>
        <v>87.53</v>
      </c>
      <c r="W425" s="5">
        <f t="shared" si="48"/>
        <v>170.98</v>
      </c>
      <c r="X425" s="5">
        <f t="shared" si="48"/>
        <v>177.98999999999998</v>
      </c>
      <c r="Y425" s="5">
        <f t="shared" si="48"/>
        <v>200.69000000000003</v>
      </c>
      <c r="Z425" s="5">
        <f t="shared" si="48"/>
        <v>175.43999999999997</v>
      </c>
      <c r="AA425" s="5">
        <f t="shared" si="48"/>
        <v>215.94</v>
      </c>
      <c r="AB425" s="5">
        <f t="shared" si="48"/>
        <v>308.52000000000004</v>
      </c>
      <c r="AC425" s="5">
        <f t="shared" si="48"/>
        <v>343.32</v>
      </c>
      <c r="AD425" s="5">
        <f t="shared" si="48"/>
        <v>329.78999999999996</v>
      </c>
      <c r="AE425" s="5">
        <f t="shared" si="49"/>
        <v>286.31999999999994</v>
      </c>
      <c r="AF425" s="5">
        <f t="shared" si="49"/>
        <v>252.12999999999997</v>
      </c>
      <c r="AG425" s="5">
        <f t="shared" si="49"/>
        <v>205.06999999999996</v>
      </c>
      <c r="AH425" s="5">
        <f t="shared" si="49"/>
        <v>158.78999999999996</v>
      </c>
      <c r="AI425" s="5">
        <f t="shared" si="49"/>
        <v>132.43999999999997</v>
      </c>
      <c r="AJ425" s="5">
        <f t="shared" si="49"/>
        <v>103.38</v>
      </c>
      <c r="AK425" s="5">
        <f t="shared" si="49"/>
        <v>89.769999999999982</v>
      </c>
      <c r="AL425" s="5">
        <f t="shared" si="49"/>
        <v>78.27</v>
      </c>
      <c r="AM425" s="60"/>
      <c r="AN425" s="60"/>
      <c r="AO425" s="5"/>
    </row>
    <row r="426" spans="1:41">
      <c r="A426" s="5"/>
      <c r="B426" s="38" t="s">
        <v>728</v>
      </c>
      <c r="C426" s="38"/>
      <c r="D426" s="38"/>
      <c r="E426" s="38"/>
      <c r="F426" s="38"/>
      <c r="G426" s="38"/>
      <c r="H426" s="38"/>
      <c r="I426" s="38"/>
      <c r="J426" s="38"/>
      <c r="K426" s="5">
        <f t="shared" si="47"/>
        <v>3134.25</v>
      </c>
      <c r="L426" s="5">
        <f t="shared" si="47"/>
        <v>2714.86</v>
      </c>
      <c r="M426" s="5">
        <f t="shared" si="47"/>
        <v>2471.84</v>
      </c>
      <c r="N426" s="5">
        <f t="shared" si="47"/>
        <v>2376.86</v>
      </c>
      <c r="O426" s="5">
        <f t="shared" si="47"/>
        <v>2238.54</v>
      </c>
      <c r="P426" s="5">
        <f t="shared" si="47"/>
        <v>2151.4</v>
      </c>
      <c r="Q426" s="5">
        <f t="shared" si="47"/>
        <v>2212.5700000000002</v>
      </c>
      <c r="R426" s="5">
        <f t="shared" si="47"/>
        <v>2167.4</v>
      </c>
      <c r="S426" s="5">
        <f t="shared" si="47"/>
        <v>1989.6100000000001</v>
      </c>
      <c r="T426" s="5">
        <f t="shared" si="47"/>
        <v>1884.48</v>
      </c>
      <c r="U426" s="5">
        <f t="shared" si="48"/>
        <v>1941.4299999999998</v>
      </c>
      <c r="V426" s="5">
        <f t="shared" si="48"/>
        <v>1917.6399999999999</v>
      </c>
      <c r="W426" s="5">
        <f t="shared" si="48"/>
        <v>1614.33</v>
      </c>
      <c r="X426" s="5">
        <f t="shared" si="48"/>
        <v>1646.6899999999998</v>
      </c>
      <c r="Y426" s="5">
        <f t="shared" si="48"/>
        <v>1620</v>
      </c>
      <c r="Z426" s="5">
        <f t="shared" si="48"/>
        <v>1626.48</v>
      </c>
      <c r="AA426" s="5">
        <f t="shared" si="48"/>
        <v>1775.6100000000001</v>
      </c>
      <c r="AB426" s="5">
        <f t="shared" si="48"/>
        <v>1827.4499999999998</v>
      </c>
      <c r="AC426" s="5">
        <f t="shared" si="48"/>
        <v>1877.92</v>
      </c>
      <c r="AD426" s="5">
        <f t="shared" si="48"/>
        <v>1932.46</v>
      </c>
      <c r="AE426" s="5">
        <f t="shared" si="49"/>
        <v>2106.41</v>
      </c>
      <c r="AF426" s="5">
        <f t="shared" si="49"/>
        <v>2158.88</v>
      </c>
      <c r="AG426" s="5">
        <f t="shared" si="49"/>
        <v>2140.88</v>
      </c>
      <c r="AH426" s="5">
        <f t="shared" si="49"/>
        <v>1969.6999999999998</v>
      </c>
      <c r="AI426" s="5">
        <f t="shared" si="49"/>
        <v>1782.27</v>
      </c>
      <c r="AJ426" s="5">
        <f t="shared" si="49"/>
        <v>1675.52</v>
      </c>
      <c r="AK426" s="5">
        <f t="shared" si="49"/>
        <v>1595.87</v>
      </c>
      <c r="AL426" s="5">
        <f t="shared" si="49"/>
        <v>1975.1000000000001</v>
      </c>
      <c r="AM426" s="60"/>
      <c r="AN426" s="60"/>
      <c r="AO426" s="5"/>
    </row>
    <row r="427" spans="1:41">
      <c r="A427" s="5"/>
      <c r="B427" s="38" t="s">
        <v>1036</v>
      </c>
      <c r="C427" s="38"/>
      <c r="D427" s="38"/>
      <c r="E427" s="38"/>
      <c r="F427" s="38"/>
      <c r="G427" s="38"/>
      <c r="H427" s="38"/>
      <c r="I427" s="38"/>
      <c r="J427" s="38"/>
      <c r="K427" s="5">
        <f t="shared" si="47"/>
        <v>0</v>
      </c>
      <c r="L427" s="5">
        <f t="shared" si="47"/>
        <v>0</v>
      </c>
      <c r="M427" s="5">
        <f t="shared" si="47"/>
        <v>0</v>
      </c>
      <c r="N427" s="5">
        <f t="shared" si="47"/>
        <v>0</v>
      </c>
      <c r="O427" s="5">
        <f t="shared" si="47"/>
        <v>0</v>
      </c>
      <c r="P427" s="5">
        <f t="shared" si="47"/>
        <v>0</v>
      </c>
      <c r="Q427" s="5">
        <f t="shared" si="47"/>
        <v>0</v>
      </c>
      <c r="R427" s="5">
        <f t="shared" si="47"/>
        <v>0</v>
      </c>
      <c r="S427" s="5">
        <f t="shared" si="47"/>
        <v>0</v>
      </c>
      <c r="T427" s="5">
        <f t="shared" si="47"/>
        <v>0</v>
      </c>
      <c r="U427" s="5">
        <f t="shared" si="48"/>
        <v>0</v>
      </c>
      <c r="V427" s="5">
        <f t="shared" si="48"/>
        <v>0</v>
      </c>
      <c r="W427" s="5">
        <f t="shared" si="48"/>
        <v>0</v>
      </c>
      <c r="X427" s="5">
        <f t="shared" si="48"/>
        <v>0</v>
      </c>
      <c r="Y427" s="5">
        <f t="shared" si="48"/>
        <v>0</v>
      </c>
      <c r="Z427" s="5">
        <f t="shared" si="48"/>
        <v>0</v>
      </c>
      <c r="AA427" s="5">
        <f t="shared" si="48"/>
        <v>0</v>
      </c>
      <c r="AB427" s="5">
        <f t="shared" si="48"/>
        <v>0</v>
      </c>
      <c r="AC427" s="5">
        <f t="shared" si="48"/>
        <v>0</v>
      </c>
      <c r="AD427" s="5">
        <f t="shared" si="48"/>
        <v>0</v>
      </c>
      <c r="AE427" s="5">
        <f t="shared" si="49"/>
        <v>0</v>
      </c>
      <c r="AF427" s="5">
        <f t="shared" si="49"/>
        <v>0</v>
      </c>
      <c r="AG427" s="5">
        <f t="shared" si="49"/>
        <v>0</v>
      </c>
      <c r="AH427" s="5">
        <f t="shared" si="49"/>
        <v>0</v>
      </c>
      <c r="AI427" s="5">
        <f t="shared" si="49"/>
        <v>0</v>
      </c>
      <c r="AJ427" s="5">
        <f t="shared" si="49"/>
        <v>0</v>
      </c>
      <c r="AK427" s="5">
        <f t="shared" si="49"/>
        <v>0</v>
      </c>
      <c r="AL427" s="5">
        <f t="shared" si="49"/>
        <v>0</v>
      </c>
      <c r="AM427" s="60"/>
      <c r="AN427" s="60"/>
      <c r="AO427" s="5"/>
    </row>
    <row r="428" spans="1:41">
      <c r="A428" s="5"/>
      <c r="B428" s="38" t="s">
        <v>3399</v>
      </c>
      <c r="C428" s="38"/>
      <c r="D428" s="38"/>
      <c r="E428" s="38"/>
      <c r="F428" s="38"/>
      <c r="G428" s="38"/>
      <c r="H428" s="38"/>
      <c r="I428" s="38"/>
      <c r="J428" s="38"/>
      <c r="K428" s="5">
        <f t="shared" si="47"/>
        <v>393.3</v>
      </c>
      <c r="L428" s="5">
        <f t="shared" si="47"/>
        <v>256.94</v>
      </c>
      <c r="M428" s="5">
        <f t="shared" si="47"/>
        <v>182.59</v>
      </c>
      <c r="N428" s="5">
        <f t="shared" si="47"/>
        <v>162</v>
      </c>
      <c r="O428" s="5">
        <f t="shared" si="47"/>
        <v>149.41000000000003</v>
      </c>
      <c r="P428" s="5">
        <f t="shared" si="47"/>
        <v>144.22</v>
      </c>
      <c r="Q428" s="5">
        <f t="shared" si="47"/>
        <v>100.99</v>
      </c>
      <c r="R428" s="5">
        <f t="shared" si="47"/>
        <v>65.94</v>
      </c>
      <c r="S428" s="5">
        <f t="shared" si="47"/>
        <v>61.269999999999996</v>
      </c>
      <c r="T428" s="5">
        <f t="shared" si="47"/>
        <v>59.88</v>
      </c>
      <c r="U428" s="5">
        <f t="shared" si="48"/>
        <v>48.74</v>
      </c>
      <c r="V428" s="5">
        <f t="shared" si="48"/>
        <v>47.82</v>
      </c>
      <c r="W428" s="5">
        <f t="shared" si="48"/>
        <v>50.5</v>
      </c>
      <c r="X428" s="5">
        <f t="shared" si="48"/>
        <v>36.130000000000003</v>
      </c>
      <c r="Y428" s="5">
        <f t="shared" si="48"/>
        <v>0</v>
      </c>
      <c r="Z428" s="5">
        <f t="shared" si="48"/>
        <v>0</v>
      </c>
      <c r="AA428" s="5">
        <f t="shared" si="48"/>
        <v>0</v>
      </c>
      <c r="AB428" s="5">
        <f t="shared" si="48"/>
        <v>0</v>
      </c>
      <c r="AC428" s="5">
        <f t="shared" si="48"/>
        <v>120.19</v>
      </c>
      <c r="AD428" s="5">
        <f t="shared" si="48"/>
        <v>184.9</v>
      </c>
      <c r="AE428" s="5">
        <f t="shared" si="49"/>
        <v>201.35</v>
      </c>
      <c r="AF428" s="5">
        <f t="shared" si="49"/>
        <v>204.05</v>
      </c>
      <c r="AG428" s="5">
        <f t="shared" si="49"/>
        <v>202.71</v>
      </c>
      <c r="AH428" s="5">
        <f t="shared" si="49"/>
        <v>201.87</v>
      </c>
      <c r="AI428" s="5">
        <f t="shared" si="49"/>
        <v>202.88</v>
      </c>
      <c r="AJ428" s="5">
        <f t="shared" si="49"/>
        <v>229.51</v>
      </c>
      <c r="AK428" s="5">
        <f t="shared" si="49"/>
        <v>202.9</v>
      </c>
      <c r="AL428" s="5">
        <f t="shared" si="49"/>
        <v>197.16</v>
      </c>
      <c r="AM428" s="60"/>
      <c r="AN428" s="60"/>
      <c r="AO428" s="5"/>
    </row>
    <row r="429" spans="1:41">
      <c r="A429" s="8"/>
      <c r="B429" s="41" t="s">
        <v>896</v>
      </c>
      <c r="C429" s="41"/>
      <c r="D429" s="41"/>
      <c r="E429" s="41"/>
      <c r="F429" s="41"/>
      <c r="G429" s="41"/>
      <c r="H429" s="41"/>
      <c r="I429" s="41"/>
      <c r="J429" s="41"/>
      <c r="K429" s="8">
        <f t="shared" ref="K429:AL429" si="50">SUM(K402:K428)</f>
        <v>7684.7500000000009</v>
      </c>
      <c r="L429" s="8">
        <f t="shared" si="50"/>
        <v>6919.1399999999994</v>
      </c>
      <c r="M429" s="8">
        <f t="shared" si="50"/>
        <v>6766.43</v>
      </c>
      <c r="N429" s="8">
        <f t="shared" si="50"/>
        <v>6566.6900000000005</v>
      </c>
      <c r="O429" s="8">
        <f t="shared" si="50"/>
        <v>6535.66</v>
      </c>
      <c r="P429" s="8">
        <f t="shared" si="50"/>
        <v>6542.2</v>
      </c>
      <c r="Q429" s="8">
        <f t="shared" si="50"/>
        <v>6560.1099999999988</v>
      </c>
      <c r="R429" s="8">
        <f t="shared" si="50"/>
        <v>6660.87</v>
      </c>
      <c r="S429" s="8">
        <f t="shared" si="50"/>
        <v>5869.27</v>
      </c>
      <c r="T429" s="8">
        <f t="shared" si="50"/>
        <v>5473.9100000000008</v>
      </c>
      <c r="U429" s="8">
        <f t="shared" si="50"/>
        <v>5414.91</v>
      </c>
      <c r="V429" s="8">
        <f t="shared" si="50"/>
        <v>5271.58</v>
      </c>
      <c r="W429" s="8">
        <f t="shared" si="50"/>
        <v>4935.96</v>
      </c>
      <c r="X429" s="8">
        <f t="shared" si="50"/>
        <v>4755.9449999999997</v>
      </c>
      <c r="Y429" s="8">
        <f t="shared" si="50"/>
        <v>5245.52</v>
      </c>
      <c r="Z429" s="8">
        <f t="shared" si="50"/>
        <v>6149.34</v>
      </c>
      <c r="AA429" s="8">
        <f t="shared" si="50"/>
        <v>6929.369999999999</v>
      </c>
      <c r="AB429" s="8">
        <f t="shared" si="50"/>
        <v>7538.4900000000007</v>
      </c>
      <c r="AC429" s="8">
        <f t="shared" si="50"/>
        <v>7885.9900000000007</v>
      </c>
      <c r="AD429" s="8">
        <f t="shared" si="50"/>
        <v>7897.4299999999994</v>
      </c>
      <c r="AE429" s="8">
        <f t="shared" si="50"/>
        <v>8206.82</v>
      </c>
      <c r="AF429" s="8">
        <f t="shared" si="50"/>
        <v>8145.9800000000005</v>
      </c>
      <c r="AG429" s="8">
        <f t="shared" si="50"/>
        <v>7767.66</v>
      </c>
      <c r="AH429" s="8">
        <f t="shared" si="50"/>
        <v>7148.6299999999992</v>
      </c>
      <c r="AI429" s="8">
        <f t="shared" si="50"/>
        <v>6446.0899999999992</v>
      </c>
      <c r="AJ429" s="8">
        <f t="shared" si="50"/>
        <v>6082.67</v>
      </c>
      <c r="AK429" s="8">
        <f t="shared" si="50"/>
        <v>5786.1299999999992</v>
      </c>
      <c r="AL429" s="8">
        <f t="shared" si="50"/>
        <v>5936.8499999999995</v>
      </c>
      <c r="AM429" s="61"/>
      <c r="AN429" s="61"/>
      <c r="AO429" s="8"/>
    </row>
    <row r="430" spans="1:41">
      <c r="A430" s="29"/>
      <c r="B430" s="40" t="s">
        <v>897</v>
      </c>
      <c r="C430" s="40"/>
      <c r="D430" s="40"/>
      <c r="E430" s="40"/>
      <c r="F430" s="40"/>
      <c r="G430" s="40"/>
      <c r="H430" s="40"/>
      <c r="I430" s="40"/>
      <c r="J430" s="40"/>
      <c r="K430" s="29">
        <f t="shared" ref="K430:AL430" si="51">K429-K397</f>
        <v>0</v>
      </c>
      <c r="L430" s="29">
        <f t="shared" si="51"/>
        <v>0</v>
      </c>
      <c r="M430" s="29">
        <f t="shared" si="51"/>
        <v>0</v>
      </c>
      <c r="N430" s="29">
        <f t="shared" si="51"/>
        <v>0</v>
      </c>
      <c r="O430" s="29">
        <f t="shared" si="51"/>
        <v>0</v>
      </c>
      <c r="P430" s="29">
        <f t="shared" si="51"/>
        <v>0</v>
      </c>
      <c r="Q430" s="29">
        <f t="shared" si="51"/>
        <v>0</v>
      </c>
      <c r="R430" s="29">
        <f t="shared" si="51"/>
        <v>0</v>
      </c>
      <c r="S430" s="29">
        <f t="shared" si="51"/>
        <v>0</v>
      </c>
      <c r="T430" s="29">
        <f t="shared" si="51"/>
        <v>0</v>
      </c>
      <c r="U430" s="29">
        <f t="shared" si="51"/>
        <v>0</v>
      </c>
      <c r="V430" s="29">
        <f t="shared" si="51"/>
        <v>0</v>
      </c>
      <c r="W430" s="29">
        <f t="shared" si="51"/>
        <v>0</v>
      </c>
      <c r="X430" s="29">
        <f t="shared" si="51"/>
        <v>0</v>
      </c>
      <c r="Y430" s="29">
        <f t="shared" si="51"/>
        <v>0</v>
      </c>
      <c r="Z430" s="29">
        <f t="shared" si="51"/>
        <v>0</v>
      </c>
      <c r="AA430" s="29">
        <f t="shared" si="51"/>
        <v>0</v>
      </c>
      <c r="AB430" s="29">
        <f t="shared" si="51"/>
        <v>0</v>
      </c>
      <c r="AC430" s="29">
        <f t="shared" si="51"/>
        <v>0</v>
      </c>
      <c r="AD430" s="29">
        <f t="shared" si="51"/>
        <v>0</v>
      </c>
      <c r="AE430" s="29">
        <f t="shared" si="51"/>
        <v>0</v>
      </c>
      <c r="AF430" s="29">
        <f t="shared" si="51"/>
        <v>0</v>
      </c>
      <c r="AG430" s="29">
        <f t="shared" si="51"/>
        <v>0</v>
      </c>
      <c r="AH430" s="29">
        <f t="shared" si="51"/>
        <v>0</v>
      </c>
      <c r="AI430" s="29">
        <f t="shared" si="51"/>
        <v>0</v>
      </c>
      <c r="AJ430" s="29">
        <f t="shared" si="51"/>
        <v>0</v>
      </c>
      <c r="AK430" s="29">
        <f t="shared" si="51"/>
        <v>0</v>
      </c>
      <c r="AL430" s="29">
        <f t="shared" si="51"/>
        <v>0</v>
      </c>
      <c r="AM430" s="62"/>
      <c r="AN430" s="62"/>
      <c r="AO430" s="29"/>
    </row>
    <row r="431" spans="1:41">
      <c r="A431" s="5"/>
      <c r="B431" s="38"/>
      <c r="C431" s="38"/>
      <c r="D431" s="38"/>
      <c r="E431" s="38"/>
      <c r="F431" s="38"/>
      <c r="G431" s="38"/>
      <c r="H431" s="38"/>
      <c r="I431" s="38"/>
      <c r="J431" s="38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60"/>
      <c r="AN431" s="60"/>
      <c r="AO431" s="5"/>
    </row>
    <row r="432" spans="1:41">
      <c r="A432" s="5"/>
      <c r="B432" s="38"/>
      <c r="C432" s="38"/>
      <c r="D432" s="38"/>
      <c r="E432" s="38"/>
      <c r="F432" s="38"/>
      <c r="G432" s="38"/>
      <c r="H432" s="38"/>
      <c r="I432" s="38"/>
      <c r="J432" s="38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60"/>
      <c r="AN432" s="60"/>
      <c r="AO432" s="5"/>
    </row>
    <row r="433" spans="1:41">
      <c r="A433" s="5"/>
      <c r="B433" s="38"/>
      <c r="C433" s="38"/>
      <c r="D433" s="38"/>
      <c r="E433" s="38"/>
      <c r="F433" s="38"/>
      <c r="G433" s="38"/>
      <c r="H433" s="38"/>
      <c r="I433" s="38"/>
      <c r="J433" s="38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60"/>
      <c r="AN433" s="60"/>
      <c r="AO433" s="5"/>
    </row>
    <row r="434" spans="1:41" ht="12.75" customHeight="1">
      <c r="A434" s="22"/>
      <c r="B434" s="24" t="s">
        <v>2729</v>
      </c>
      <c r="C434" s="22"/>
      <c r="D434" s="22"/>
      <c r="E434" s="22"/>
      <c r="F434" s="22"/>
      <c r="G434" s="22"/>
      <c r="H434" s="22"/>
      <c r="I434" s="22"/>
      <c r="J434" s="22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60"/>
      <c r="AN434" s="60"/>
      <c r="AO434" s="22"/>
    </row>
    <row r="435" spans="1:41" ht="12.75" customHeight="1">
      <c r="A435" s="35"/>
      <c r="B435" s="34" t="s">
        <v>399</v>
      </c>
      <c r="C435" s="34" t="s">
        <v>898</v>
      </c>
      <c r="D435" s="34"/>
      <c r="E435" s="34"/>
      <c r="F435" s="34"/>
      <c r="G435" s="34"/>
      <c r="H435" s="34"/>
      <c r="I435" s="34"/>
      <c r="J435" s="34"/>
      <c r="K435" s="32">
        <v>2003</v>
      </c>
      <c r="L435" s="32">
        <v>2004</v>
      </c>
      <c r="M435" s="32">
        <v>2005</v>
      </c>
      <c r="N435" s="32">
        <v>2006</v>
      </c>
      <c r="O435" s="32">
        <v>2007</v>
      </c>
      <c r="P435" s="32">
        <v>2008</v>
      </c>
      <c r="Q435" s="32">
        <v>2009</v>
      </c>
      <c r="R435" s="32">
        <v>2010</v>
      </c>
      <c r="S435" s="32">
        <v>2011</v>
      </c>
      <c r="T435" s="32">
        <v>2012</v>
      </c>
      <c r="U435" s="32">
        <v>2013</v>
      </c>
      <c r="V435" s="32">
        <v>2014</v>
      </c>
      <c r="W435" s="32">
        <v>2015</v>
      </c>
      <c r="X435" s="32">
        <v>2016</v>
      </c>
      <c r="Y435" s="32">
        <v>2017</v>
      </c>
      <c r="Z435" s="32">
        <v>2018</v>
      </c>
      <c r="AA435" s="32">
        <v>2019</v>
      </c>
      <c r="AB435" s="32">
        <v>2020</v>
      </c>
      <c r="AC435" s="32">
        <v>2021</v>
      </c>
      <c r="AD435" s="32">
        <v>2022</v>
      </c>
      <c r="AE435" s="32">
        <v>2023</v>
      </c>
      <c r="AF435" s="32">
        <v>2024</v>
      </c>
      <c r="AG435" s="32">
        <v>2025</v>
      </c>
      <c r="AH435" s="32">
        <v>2026</v>
      </c>
      <c r="AI435" s="32">
        <v>2027</v>
      </c>
      <c r="AJ435" s="32">
        <v>2028</v>
      </c>
      <c r="AK435" s="32">
        <v>2029</v>
      </c>
      <c r="AL435" s="32">
        <v>2030</v>
      </c>
      <c r="AM435" s="60"/>
      <c r="AN435" s="60"/>
      <c r="AO435" s="35"/>
    </row>
    <row r="436" spans="1:41">
      <c r="A436" s="5"/>
      <c r="B436" s="24" t="s">
        <v>895</v>
      </c>
      <c r="C436" s="38"/>
      <c r="D436" s="38"/>
      <c r="E436" s="38"/>
      <c r="F436" s="38"/>
      <c r="G436" s="38"/>
      <c r="H436" s="38"/>
      <c r="I436" s="38"/>
      <c r="J436" s="38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60"/>
      <c r="AN436" s="60"/>
      <c r="AO436" s="5"/>
    </row>
    <row r="437" spans="1:41">
      <c r="A437" s="5"/>
      <c r="B437" s="50" t="s">
        <v>545</v>
      </c>
      <c r="C437" s="38" t="s">
        <v>2921</v>
      </c>
      <c r="D437" s="38"/>
      <c r="E437" s="38" t="s">
        <v>545</v>
      </c>
      <c r="F437" s="38"/>
      <c r="G437" s="38"/>
      <c r="H437" s="38"/>
      <c r="I437" s="38"/>
      <c r="J437" s="38"/>
      <c r="K437" s="5">
        <f t="shared" ref="K437:T441" si="52">SUMIF($AM$10:$AM$361,$B437,K$10:K$361)</f>
        <v>270.03000000000003</v>
      </c>
      <c r="L437" s="5">
        <f t="shared" si="52"/>
        <v>314.42999999999995</v>
      </c>
      <c r="M437" s="5">
        <f t="shared" si="52"/>
        <v>345.87600000000003</v>
      </c>
      <c r="N437" s="5">
        <f t="shared" si="52"/>
        <v>375.726</v>
      </c>
      <c r="O437" s="5">
        <f t="shared" si="52"/>
        <v>357.79200000000003</v>
      </c>
      <c r="P437" s="5">
        <f t="shared" si="52"/>
        <v>375.91199999999998</v>
      </c>
      <c r="Q437" s="5">
        <f t="shared" si="52"/>
        <v>365.16</v>
      </c>
      <c r="R437" s="5">
        <f t="shared" si="52"/>
        <v>361.90199999999999</v>
      </c>
      <c r="S437" s="5">
        <f t="shared" si="52"/>
        <v>360.25800000000004</v>
      </c>
      <c r="T437" s="5">
        <f t="shared" si="52"/>
        <v>344.87399999999997</v>
      </c>
      <c r="U437" s="5">
        <f t="shared" ref="U437:AD441" si="53">SUMIF($AM$10:$AM$361,$B437,U$10:U$361)</f>
        <v>316.82400000000001</v>
      </c>
      <c r="V437" s="5">
        <f t="shared" si="53"/>
        <v>308.80799999999999</v>
      </c>
      <c r="W437" s="5">
        <f t="shared" si="53"/>
        <v>328.36199999999997</v>
      </c>
      <c r="X437" s="5">
        <f t="shared" si="53"/>
        <v>342.024</v>
      </c>
      <c r="Y437" s="5">
        <f t="shared" si="53"/>
        <v>306.02300000000002</v>
      </c>
      <c r="Z437" s="5">
        <f t="shared" si="53"/>
        <v>273.41000000000003</v>
      </c>
      <c r="AA437" s="5">
        <f t="shared" si="53"/>
        <v>284.58499999999998</v>
      </c>
      <c r="AB437" s="5">
        <f t="shared" si="53"/>
        <v>300.33499999999998</v>
      </c>
      <c r="AC437" s="5">
        <f t="shared" si="53"/>
        <v>308.34500000000003</v>
      </c>
      <c r="AD437" s="5">
        <f t="shared" si="53"/>
        <v>304.53000000000003</v>
      </c>
      <c r="AE437" s="5">
        <f t="shared" ref="AE437:AL441" si="54">SUMIF($AM$10:$AM$361,$B437,AE$10:AE$361)</f>
        <v>300.72000000000003</v>
      </c>
      <c r="AF437" s="5">
        <f t="shared" si="54"/>
        <v>295.96000000000004</v>
      </c>
      <c r="AG437" s="5">
        <f t="shared" si="54"/>
        <v>285.27</v>
      </c>
      <c r="AH437" s="5">
        <f t="shared" si="54"/>
        <v>261.65499999999997</v>
      </c>
      <c r="AI437" s="5">
        <f t="shared" si="54"/>
        <v>238.82499999999999</v>
      </c>
      <c r="AJ437" s="5">
        <f t="shared" si="54"/>
        <v>210.23999999999998</v>
      </c>
      <c r="AK437" s="5">
        <f t="shared" si="54"/>
        <v>187.79</v>
      </c>
      <c r="AL437" s="5">
        <f t="shared" si="54"/>
        <v>170.97499999999999</v>
      </c>
      <c r="AM437" s="60"/>
      <c r="AN437" s="60"/>
      <c r="AO437" s="5"/>
    </row>
    <row r="438" spans="1:41">
      <c r="A438" s="5"/>
      <c r="B438" s="50" t="s">
        <v>3384</v>
      </c>
      <c r="C438" s="38" t="s">
        <v>1473</v>
      </c>
      <c r="D438" s="38"/>
      <c r="E438" s="50" t="s">
        <v>3384</v>
      </c>
      <c r="F438" s="38"/>
      <c r="G438" s="38"/>
      <c r="H438" s="38"/>
      <c r="I438" s="38"/>
      <c r="J438" s="38"/>
      <c r="K438" s="5">
        <f t="shared" si="52"/>
        <v>0</v>
      </c>
      <c r="L438" s="5">
        <f t="shared" si="52"/>
        <v>0</v>
      </c>
      <c r="M438" s="5">
        <f t="shared" si="52"/>
        <v>0</v>
      </c>
      <c r="N438" s="5">
        <f t="shared" si="52"/>
        <v>0</v>
      </c>
      <c r="O438" s="5">
        <f t="shared" si="52"/>
        <v>0</v>
      </c>
      <c r="P438" s="5">
        <f t="shared" si="52"/>
        <v>0</v>
      </c>
      <c r="Q438" s="5">
        <f t="shared" si="52"/>
        <v>0</v>
      </c>
      <c r="R438" s="5">
        <f t="shared" si="52"/>
        <v>0</v>
      </c>
      <c r="S438" s="5">
        <f t="shared" si="52"/>
        <v>0</v>
      </c>
      <c r="T438" s="5">
        <f t="shared" si="52"/>
        <v>0</v>
      </c>
      <c r="U438" s="5">
        <f t="shared" si="53"/>
        <v>0</v>
      </c>
      <c r="V438" s="5">
        <f t="shared" si="53"/>
        <v>0</v>
      </c>
      <c r="W438" s="5">
        <f t="shared" si="53"/>
        <v>0</v>
      </c>
      <c r="X438" s="5">
        <f t="shared" si="53"/>
        <v>0</v>
      </c>
      <c r="Y438" s="5">
        <f t="shared" si="53"/>
        <v>0</v>
      </c>
      <c r="Z438" s="5">
        <f t="shared" si="53"/>
        <v>0</v>
      </c>
      <c r="AA438" s="5">
        <f t="shared" si="53"/>
        <v>0</v>
      </c>
      <c r="AB438" s="5">
        <f t="shared" si="53"/>
        <v>0</v>
      </c>
      <c r="AC438" s="5">
        <f t="shared" si="53"/>
        <v>0</v>
      </c>
      <c r="AD438" s="5">
        <f t="shared" si="53"/>
        <v>0</v>
      </c>
      <c r="AE438" s="5">
        <f t="shared" si="54"/>
        <v>0</v>
      </c>
      <c r="AF438" s="5">
        <f t="shared" si="54"/>
        <v>0</v>
      </c>
      <c r="AG438" s="5">
        <f t="shared" si="54"/>
        <v>0</v>
      </c>
      <c r="AH438" s="5">
        <f t="shared" si="54"/>
        <v>0</v>
      </c>
      <c r="AI438" s="5">
        <f t="shared" si="54"/>
        <v>0</v>
      </c>
      <c r="AJ438" s="5">
        <f t="shared" si="54"/>
        <v>0</v>
      </c>
      <c r="AK438" s="5">
        <f t="shared" si="54"/>
        <v>0</v>
      </c>
      <c r="AL438" s="5">
        <f t="shared" si="54"/>
        <v>0</v>
      </c>
      <c r="AM438" s="60"/>
      <c r="AN438" s="60"/>
      <c r="AO438" s="5"/>
    </row>
    <row r="439" spans="1:41">
      <c r="A439" s="5"/>
      <c r="B439" s="50" t="s">
        <v>3121</v>
      </c>
      <c r="C439" s="38" t="s">
        <v>785</v>
      </c>
      <c r="D439" s="38"/>
      <c r="E439" s="38" t="s">
        <v>3121</v>
      </c>
      <c r="F439" s="38"/>
      <c r="G439" s="38"/>
      <c r="H439" s="38"/>
      <c r="I439" s="38"/>
      <c r="J439" s="38"/>
      <c r="K439" s="5">
        <f t="shared" si="52"/>
        <v>0</v>
      </c>
      <c r="L439" s="5">
        <f t="shared" si="52"/>
        <v>1.7999999999999999E-2</v>
      </c>
      <c r="M439" s="5">
        <f t="shared" si="52"/>
        <v>6.4859999999999998</v>
      </c>
      <c r="N439" s="5">
        <f t="shared" si="52"/>
        <v>3.702</v>
      </c>
      <c r="O439" s="5">
        <f t="shared" si="52"/>
        <v>5.0039999999999996</v>
      </c>
      <c r="P439" s="5">
        <f t="shared" si="52"/>
        <v>4.3920000000000003</v>
      </c>
      <c r="Q439" s="5">
        <f t="shared" si="52"/>
        <v>4.3620000000000001</v>
      </c>
      <c r="R439" s="5">
        <f t="shared" si="52"/>
        <v>5.3220000000000001</v>
      </c>
      <c r="S439" s="5">
        <f t="shared" si="52"/>
        <v>6.9660000000000002</v>
      </c>
      <c r="T439" s="5">
        <f t="shared" si="52"/>
        <v>17.352</v>
      </c>
      <c r="U439" s="5">
        <f t="shared" si="53"/>
        <v>27.684000000000001</v>
      </c>
      <c r="V439" s="5">
        <f t="shared" si="53"/>
        <v>40.475999999999999</v>
      </c>
      <c r="W439" s="5">
        <f t="shared" si="53"/>
        <v>47.537999999999997</v>
      </c>
      <c r="X439" s="5">
        <f t="shared" si="53"/>
        <v>48.881999999999998</v>
      </c>
      <c r="Y439" s="5">
        <f t="shared" si="53"/>
        <v>44.395000000000003</v>
      </c>
      <c r="Z439" s="5">
        <f t="shared" si="53"/>
        <v>36.945</v>
      </c>
      <c r="AA439" s="5">
        <f t="shared" si="53"/>
        <v>40.954999999999998</v>
      </c>
      <c r="AB439" s="5">
        <f t="shared" si="53"/>
        <v>42.134999999999998</v>
      </c>
      <c r="AC439" s="5">
        <f t="shared" si="53"/>
        <v>44.034999999999997</v>
      </c>
      <c r="AD439" s="5">
        <f t="shared" si="53"/>
        <v>50.68</v>
      </c>
      <c r="AE439" s="5">
        <f t="shared" si="54"/>
        <v>50.645000000000003</v>
      </c>
      <c r="AF439" s="5">
        <f t="shared" si="54"/>
        <v>50.625</v>
      </c>
      <c r="AG439" s="5">
        <f t="shared" si="54"/>
        <v>50.25</v>
      </c>
      <c r="AH439" s="5">
        <f t="shared" si="54"/>
        <v>50.22</v>
      </c>
      <c r="AI439" s="5">
        <f t="shared" si="54"/>
        <v>50.475000000000001</v>
      </c>
      <c r="AJ439" s="5">
        <f t="shared" si="54"/>
        <v>50.74</v>
      </c>
      <c r="AK439" s="5">
        <f t="shared" si="54"/>
        <v>51.04</v>
      </c>
      <c r="AL439" s="5">
        <f t="shared" si="54"/>
        <v>51.384999999999998</v>
      </c>
      <c r="AM439" s="60"/>
      <c r="AN439" s="60"/>
      <c r="AO439" s="5"/>
    </row>
    <row r="440" spans="1:41">
      <c r="A440" s="5"/>
      <c r="B440" s="537" t="s">
        <v>3712</v>
      </c>
      <c r="C440" s="38" t="s">
        <v>2251</v>
      </c>
      <c r="D440" s="38"/>
      <c r="E440" s="537" t="s">
        <v>3712</v>
      </c>
      <c r="F440" s="38"/>
      <c r="G440" s="38"/>
      <c r="H440" s="38"/>
      <c r="I440" s="38"/>
      <c r="J440" s="38"/>
      <c r="K440" s="5">
        <f t="shared" si="52"/>
        <v>0</v>
      </c>
      <c r="L440" s="5">
        <f t="shared" si="52"/>
        <v>0</v>
      </c>
      <c r="M440" s="5">
        <f t="shared" si="52"/>
        <v>0</v>
      </c>
      <c r="N440" s="5">
        <f t="shared" si="52"/>
        <v>0</v>
      </c>
      <c r="O440" s="5">
        <f t="shared" si="52"/>
        <v>0</v>
      </c>
      <c r="P440" s="5">
        <f t="shared" si="52"/>
        <v>0</v>
      </c>
      <c r="Q440" s="5">
        <f t="shared" si="52"/>
        <v>0</v>
      </c>
      <c r="R440" s="5">
        <f t="shared" si="52"/>
        <v>0</v>
      </c>
      <c r="S440" s="5">
        <f t="shared" si="52"/>
        <v>0</v>
      </c>
      <c r="T440" s="5">
        <f t="shared" si="52"/>
        <v>0</v>
      </c>
      <c r="U440" s="5">
        <f t="shared" si="53"/>
        <v>0</v>
      </c>
      <c r="V440" s="5">
        <f t="shared" si="53"/>
        <v>0</v>
      </c>
      <c r="W440" s="5">
        <f t="shared" si="53"/>
        <v>0</v>
      </c>
      <c r="X440" s="5">
        <f t="shared" si="53"/>
        <v>0</v>
      </c>
      <c r="Y440" s="5">
        <f t="shared" si="53"/>
        <v>0</v>
      </c>
      <c r="Z440" s="5">
        <f t="shared" si="53"/>
        <v>0</v>
      </c>
      <c r="AA440" s="5">
        <f t="shared" si="53"/>
        <v>0</v>
      </c>
      <c r="AB440" s="5">
        <f t="shared" si="53"/>
        <v>0</v>
      </c>
      <c r="AC440" s="5">
        <f t="shared" si="53"/>
        <v>0</v>
      </c>
      <c r="AD440" s="5">
        <f t="shared" si="53"/>
        <v>0</v>
      </c>
      <c r="AE440" s="5">
        <f t="shared" si="54"/>
        <v>0</v>
      </c>
      <c r="AF440" s="5">
        <f t="shared" si="54"/>
        <v>0</v>
      </c>
      <c r="AG440" s="5">
        <f t="shared" si="54"/>
        <v>0</v>
      </c>
      <c r="AH440" s="5">
        <f t="shared" si="54"/>
        <v>0</v>
      </c>
      <c r="AI440" s="5">
        <f t="shared" si="54"/>
        <v>0</v>
      </c>
      <c r="AJ440" s="5">
        <f t="shared" si="54"/>
        <v>0</v>
      </c>
      <c r="AK440" s="5">
        <f t="shared" si="54"/>
        <v>0</v>
      </c>
      <c r="AL440" s="5">
        <f t="shared" si="54"/>
        <v>0</v>
      </c>
      <c r="AM440" s="60"/>
      <c r="AN440" s="60"/>
      <c r="AO440" s="5"/>
    </row>
    <row r="441" spans="1:41">
      <c r="A441" s="5"/>
      <c r="B441" s="50" t="s">
        <v>2471</v>
      </c>
      <c r="C441" s="11" t="s">
        <v>816</v>
      </c>
      <c r="D441" s="38"/>
      <c r="E441" s="38" t="s">
        <v>2471</v>
      </c>
      <c r="F441" s="38"/>
      <c r="G441" s="38"/>
      <c r="H441" s="38"/>
      <c r="I441" s="38"/>
      <c r="J441" s="38"/>
      <c r="K441" s="5">
        <f t="shared" si="52"/>
        <v>0</v>
      </c>
      <c r="L441" s="5">
        <f t="shared" si="52"/>
        <v>0</v>
      </c>
      <c r="M441" s="5">
        <f t="shared" si="52"/>
        <v>0</v>
      </c>
      <c r="N441" s="5">
        <f t="shared" si="52"/>
        <v>0</v>
      </c>
      <c r="O441" s="5">
        <f t="shared" si="52"/>
        <v>0</v>
      </c>
      <c r="P441" s="5">
        <f t="shared" si="52"/>
        <v>0</v>
      </c>
      <c r="Q441" s="5">
        <f t="shared" si="52"/>
        <v>0</v>
      </c>
      <c r="R441" s="5">
        <f t="shared" si="52"/>
        <v>17.760000000000002</v>
      </c>
      <c r="S441" s="5">
        <f t="shared" si="52"/>
        <v>16.97</v>
      </c>
      <c r="T441" s="5">
        <f t="shared" si="52"/>
        <v>16.12</v>
      </c>
      <c r="U441" s="5">
        <f t="shared" si="53"/>
        <v>15.31</v>
      </c>
      <c r="V441" s="5">
        <f t="shared" si="53"/>
        <v>14.55</v>
      </c>
      <c r="W441" s="5">
        <f t="shared" si="53"/>
        <v>0</v>
      </c>
      <c r="X441" s="5">
        <f t="shared" si="53"/>
        <v>0</v>
      </c>
      <c r="Y441" s="5">
        <f t="shared" si="53"/>
        <v>0</v>
      </c>
      <c r="Z441" s="5">
        <f t="shared" si="53"/>
        <v>0</v>
      </c>
      <c r="AA441" s="5">
        <f t="shared" si="53"/>
        <v>0</v>
      </c>
      <c r="AB441" s="5">
        <f t="shared" si="53"/>
        <v>0</v>
      </c>
      <c r="AC441" s="5">
        <f t="shared" si="53"/>
        <v>0</v>
      </c>
      <c r="AD441" s="5">
        <f t="shared" si="53"/>
        <v>0</v>
      </c>
      <c r="AE441" s="5">
        <f t="shared" si="54"/>
        <v>0</v>
      </c>
      <c r="AF441" s="5">
        <f t="shared" si="54"/>
        <v>0</v>
      </c>
      <c r="AG441" s="5">
        <f t="shared" si="54"/>
        <v>0</v>
      </c>
      <c r="AH441" s="5">
        <f t="shared" si="54"/>
        <v>0</v>
      </c>
      <c r="AI441" s="5">
        <f t="shared" si="54"/>
        <v>0</v>
      </c>
      <c r="AJ441" s="5">
        <f t="shared" si="54"/>
        <v>0</v>
      </c>
      <c r="AK441" s="5">
        <f t="shared" si="54"/>
        <v>0</v>
      </c>
      <c r="AL441" s="5">
        <f t="shared" si="54"/>
        <v>0</v>
      </c>
      <c r="AM441" s="60"/>
      <c r="AN441" s="60"/>
      <c r="AO441" s="5"/>
    </row>
    <row r="442" spans="1:41">
      <c r="A442" s="5"/>
      <c r="B442" s="537" t="s">
        <v>3572</v>
      </c>
      <c r="C442" s="22" t="s">
        <v>1745</v>
      </c>
      <c r="D442" s="38"/>
      <c r="E442" s="38" t="s">
        <v>3572</v>
      </c>
      <c r="F442" s="38"/>
      <c r="G442" s="38"/>
      <c r="H442" s="38"/>
      <c r="I442" s="38"/>
      <c r="J442" s="38"/>
      <c r="K442" s="5">
        <f t="shared" ref="K442:W446" si="55">SUMIF($AM$10:$AM$361,$B442,K$10:K$361)</f>
        <v>2.95</v>
      </c>
      <c r="L442" s="5">
        <f t="shared" si="55"/>
        <v>3.5</v>
      </c>
      <c r="M442" s="5">
        <f t="shared" si="55"/>
        <v>2.88</v>
      </c>
      <c r="N442" s="5">
        <f t="shared" si="55"/>
        <v>2.12</v>
      </c>
      <c r="O442" s="5">
        <f t="shared" si="55"/>
        <v>1.75</v>
      </c>
      <c r="P442" s="5">
        <f t="shared" si="55"/>
        <v>1.64</v>
      </c>
      <c r="Q442" s="5">
        <f t="shared" si="55"/>
        <v>1.33</v>
      </c>
      <c r="R442" s="5">
        <f t="shared" si="55"/>
        <v>0.81</v>
      </c>
      <c r="S442" s="5">
        <f t="shared" si="55"/>
        <v>0.74</v>
      </c>
      <c r="T442" s="5">
        <f t="shared" si="55"/>
        <v>0</v>
      </c>
      <c r="U442" s="5">
        <f t="shared" si="55"/>
        <v>0</v>
      </c>
      <c r="V442" s="5">
        <f t="shared" si="55"/>
        <v>0</v>
      </c>
      <c r="W442" s="5">
        <f t="shared" si="55"/>
        <v>0</v>
      </c>
      <c r="X442" s="750">
        <v>0</v>
      </c>
      <c r="Y442" s="5">
        <f t="shared" ref="Y442:AL446" si="56">SUMIF($AM$10:$AM$361,$B442,Y$10:Y$361)</f>
        <v>59.522999999999996</v>
      </c>
      <c r="Z442" s="5">
        <f t="shared" si="56"/>
        <v>55.280999999999999</v>
      </c>
      <c r="AA442" s="5">
        <f t="shared" si="56"/>
        <v>45.612000000000009</v>
      </c>
      <c r="AB442" s="5">
        <f t="shared" si="56"/>
        <v>45.78</v>
      </c>
      <c r="AC442" s="5">
        <f t="shared" si="56"/>
        <v>56.997</v>
      </c>
      <c r="AD442" s="5">
        <f t="shared" si="56"/>
        <v>74.078999999999994</v>
      </c>
      <c r="AE442" s="5">
        <f t="shared" si="56"/>
        <v>113.07000000000001</v>
      </c>
      <c r="AF442" s="5">
        <f t="shared" si="56"/>
        <v>161.352</v>
      </c>
      <c r="AG442" s="5">
        <f t="shared" si="56"/>
        <v>145.95000000000002</v>
      </c>
      <c r="AH442" s="5">
        <f t="shared" si="56"/>
        <v>131.67599999999999</v>
      </c>
      <c r="AI442" s="5">
        <f t="shared" si="56"/>
        <v>114.38400000000001</v>
      </c>
      <c r="AJ442" s="5">
        <f t="shared" si="56"/>
        <v>99.234000000000009</v>
      </c>
      <c r="AK442" s="5">
        <f t="shared" si="56"/>
        <v>101.55</v>
      </c>
      <c r="AL442" s="5">
        <f t="shared" si="56"/>
        <v>90.177000000000007</v>
      </c>
      <c r="AM442" s="60"/>
      <c r="AN442" s="60"/>
      <c r="AO442" s="5"/>
    </row>
    <row r="443" spans="1:41">
      <c r="A443" s="5"/>
      <c r="B443" s="50" t="s">
        <v>1802</v>
      </c>
      <c r="C443" s="11" t="s">
        <v>3277</v>
      </c>
      <c r="D443" s="38"/>
      <c r="E443" s="38" t="s">
        <v>1802</v>
      </c>
      <c r="F443" s="38"/>
      <c r="G443" s="38"/>
      <c r="H443" s="38"/>
      <c r="I443" s="38"/>
      <c r="J443" s="38"/>
      <c r="K443" s="5">
        <f t="shared" si="55"/>
        <v>0</v>
      </c>
      <c r="L443" s="5">
        <f t="shared" si="55"/>
        <v>0</v>
      </c>
      <c r="M443" s="5">
        <f t="shared" si="55"/>
        <v>0</v>
      </c>
      <c r="N443" s="5">
        <f t="shared" si="55"/>
        <v>0</v>
      </c>
      <c r="O443" s="5">
        <f t="shared" si="55"/>
        <v>0</v>
      </c>
      <c r="P443" s="5">
        <f t="shared" si="55"/>
        <v>0</v>
      </c>
      <c r="Q443" s="5">
        <f t="shared" si="55"/>
        <v>0</v>
      </c>
      <c r="R443" s="5">
        <f t="shared" si="55"/>
        <v>0</v>
      </c>
      <c r="S443" s="5">
        <f t="shared" si="55"/>
        <v>0</v>
      </c>
      <c r="T443" s="5">
        <f t="shared" si="55"/>
        <v>0</v>
      </c>
      <c r="U443" s="5">
        <f t="shared" si="55"/>
        <v>0</v>
      </c>
      <c r="V443" s="5">
        <f t="shared" si="55"/>
        <v>0</v>
      </c>
      <c r="W443" s="5">
        <f t="shared" si="55"/>
        <v>0</v>
      </c>
      <c r="X443" s="5">
        <f>SUMIF($AM$10:$AM$361,$B443,X$10:X$361)</f>
        <v>0</v>
      </c>
      <c r="Y443" s="5">
        <f t="shared" si="56"/>
        <v>0</v>
      </c>
      <c r="Z443" s="5">
        <f t="shared" si="56"/>
        <v>0</v>
      </c>
      <c r="AA443" s="5">
        <f t="shared" si="56"/>
        <v>0</v>
      </c>
      <c r="AB443" s="5">
        <f t="shared" si="56"/>
        <v>0</v>
      </c>
      <c r="AC443" s="5">
        <f t="shared" si="56"/>
        <v>0</v>
      </c>
      <c r="AD443" s="5">
        <f t="shared" si="56"/>
        <v>0</v>
      </c>
      <c r="AE443" s="5">
        <f t="shared" si="56"/>
        <v>0</v>
      </c>
      <c r="AF443" s="5">
        <f t="shared" si="56"/>
        <v>0</v>
      </c>
      <c r="AG443" s="5">
        <f t="shared" si="56"/>
        <v>0</v>
      </c>
      <c r="AH443" s="5">
        <f t="shared" si="56"/>
        <v>0</v>
      </c>
      <c r="AI443" s="5">
        <f t="shared" si="56"/>
        <v>0</v>
      </c>
      <c r="AJ443" s="5">
        <f t="shared" si="56"/>
        <v>0</v>
      </c>
      <c r="AK443" s="5">
        <f t="shared" si="56"/>
        <v>0</v>
      </c>
      <c r="AL443" s="5">
        <f t="shared" si="56"/>
        <v>0</v>
      </c>
      <c r="AM443" s="60"/>
      <c r="AN443" s="60"/>
      <c r="AO443" s="5"/>
    </row>
    <row r="444" spans="1:41">
      <c r="A444" s="5"/>
      <c r="B444" s="50" t="s">
        <v>1805</v>
      </c>
      <c r="C444" s="47" t="s">
        <v>1703</v>
      </c>
      <c r="D444" s="38"/>
      <c r="E444" s="38" t="s">
        <v>1805</v>
      </c>
      <c r="F444" s="38"/>
      <c r="G444" s="38"/>
      <c r="H444" s="38"/>
      <c r="I444" s="38"/>
      <c r="J444" s="38"/>
      <c r="K444" s="5">
        <f t="shared" si="55"/>
        <v>0</v>
      </c>
      <c r="L444" s="5">
        <f t="shared" si="55"/>
        <v>0</v>
      </c>
      <c r="M444" s="5">
        <f t="shared" si="55"/>
        <v>0</v>
      </c>
      <c r="N444" s="5">
        <f t="shared" si="55"/>
        <v>0</v>
      </c>
      <c r="O444" s="5">
        <f t="shared" si="55"/>
        <v>0</v>
      </c>
      <c r="P444" s="5">
        <f t="shared" si="55"/>
        <v>0</v>
      </c>
      <c r="Q444" s="5">
        <f t="shared" si="55"/>
        <v>0</v>
      </c>
      <c r="R444" s="5">
        <f t="shared" si="55"/>
        <v>0</v>
      </c>
      <c r="S444" s="5">
        <f t="shared" si="55"/>
        <v>0</v>
      </c>
      <c r="T444" s="5">
        <f t="shared" si="55"/>
        <v>0</v>
      </c>
      <c r="U444" s="5">
        <f t="shared" si="55"/>
        <v>498.30039999999991</v>
      </c>
      <c r="V444" s="5">
        <f t="shared" si="55"/>
        <v>957.42489750000016</v>
      </c>
      <c r="W444" s="5">
        <f t="shared" si="55"/>
        <v>1037.2304999999999</v>
      </c>
      <c r="X444" s="5">
        <f>SUMIF($AM$10:$AM$361,$B444,X$10:X$361)</f>
        <v>1056.0562000000002</v>
      </c>
      <c r="Y444" s="5">
        <f t="shared" si="56"/>
        <v>1026.34825</v>
      </c>
      <c r="Z444" s="5">
        <f t="shared" si="56"/>
        <v>1194.2864500000003</v>
      </c>
      <c r="AA444" s="5">
        <f t="shared" si="56"/>
        <v>1342.0342250000001</v>
      </c>
      <c r="AB444" s="5">
        <f t="shared" si="56"/>
        <v>1449.7645500000001</v>
      </c>
      <c r="AC444" s="5">
        <f t="shared" si="56"/>
        <v>1513.6222250000001</v>
      </c>
      <c r="AD444" s="5">
        <f t="shared" si="56"/>
        <v>1572.9492500000001</v>
      </c>
      <c r="AE444" s="5">
        <f t="shared" si="56"/>
        <v>1572.2481250000001</v>
      </c>
      <c r="AF444" s="5">
        <f t="shared" si="56"/>
        <v>1605.870525</v>
      </c>
      <c r="AG444" s="5">
        <f t="shared" si="56"/>
        <v>1595.0060500000004</v>
      </c>
      <c r="AH444" s="5">
        <f t="shared" si="56"/>
        <v>1592.7348000000004</v>
      </c>
      <c r="AI444" s="5">
        <f t="shared" si="56"/>
        <v>1551.8048999999996</v>
      </c>
      <c r="AJ444" s="5">
        <f t="shared" si="56"/>
        <v>1500.5832750000002</v>
      </c>
      <c r="AK444" s="5">
        <f t="shared" si="56"/>
        <v>1451.7355999999997</v>
      </c>
      <c r="AL444" s="5">
        <f t="shared" si="56"/>
        <v>1383.8588</v>
      </c>
      <c r="AM444" s="60"/>
      <c r="AN444" s="60"/>
      <c r="AO444" s="5"/>
    </row>
    <row r="445" spans="1:41">
      <c r="A445" s="5"/>
      <c r="B445" s="50" t="s">
        <v>2429</v>
      </c>
      <c r="C445" s="38" t="s">
        <v>3400</v>
      </c>
      <c r="D445" s="38"/>
      <c r="E445" s="38" t="s">
        <v>2429</v>
      </c>
      <c r="F445" s="38"/>
      <c r="G445" s="38"/>
      <c r="H445" s="38"/>
      <c r="I445" s="38"/>
      <c r="J445" s="38"/>
      <c r="K445" s="5">
        <f t="shared" si="55"/>
        <v>21</v>
      </c>
      <c r="L445" s="5">
        <f t="shared" si="55"/>
        <v>51.79</v>
      </c>
      <c r="M445" s="5">
        <f t="shared" si="55"/>
        <v>75.7</v>
      </c>
      <c r="N445" s="5">
        <f t="shared" si="55"/>
        <v>87.08</v>
      </c>
      <c r="O445" s="5">
        <f t="shared" si="55"/>
        <v>83.21</v>
      </c>
      <c r="P445" s="5">
        <f t="shared" si="55"/>
        <v>90.49</v>
      </c>
      <c r="Q445" s="5">
        <f t="shared" si="55"/>
        <v>84.32</v>
      </c>
      <c r="R445" s="5">
        <f t="shared" si="55"/>
        <v>66.55</v>
      </c>
      <c r="S445" s="5">
        <f t="shared" si="55"/>
        <v>0</v>
      </c>
      <c r="T445" s="5">
        <f t="shared" si="55"/>
        <v>0</v>
      </c>
      <c r="U445" s="5">
        <f t="shared" si="55"/>
        <v>0</v>
      </c>
      <c r="V445" s="5">
        <f t="shared" si="55"/>
        <v>0</v>
      </c>
      <c r="W445" s="5">
        <f t="shared" si="55"/>
        <v>0</v>
      </c>
      <c r="X445" s="5">
        <f>SUMIF($AM$10:$AM$361,$B445,X$10:X$361)</f>
        <v>0</v>
      </c>
      <c r="Y445" s="5">
        <f t="shared" si="56"/>
        <v>0</v>
      </c>
      <c r="Z445" s="5">
        <f t="shared" si="56"/>
        <v>0</v>
      </c>
      <c r="AA445" s="5">
        <f t="shared" si="56"/>
        <v>0</v>
      </c>
      <c r="AB445" s="5">
        <f t="shared" si="56"/>
        <v>0</v>
      </c>
      <c r="AC445" s="5">
        <f t="shared" si="56"/>
        <v>0</v>
      </c>
      <c r="AD445" s="5">
        <f t="shared" si="56"/>
        <v>0</v>
      </c>
      <c r="AE445" s="5">
        <f t="shared" si="56"/>
        <v>0</v>
      </c>
      <c r="AF445" s="5">
        <f t="shared" si="56"/>
        <v>0</v>
      </c>
      <c r="AG445" s="5">
        <f t="shared" si="56"/>
        <v>0</v>
      </c>
      <c r="AH445" s="5">
        <f t="shared" si="56"/>
        <v>0</v>
      </c>
      <c r="AI445" s="5">
        <f t="shared" si="56"/>
        <v>0</v>
      </c>
      <c r="AJ445" s="5">
        <f t="shared" si="56"/>
        <v>0</v>
      </c>
      <c r="AK445" s="5">
        <f t="shared" si="56"/>
        <v>0</v>
      </c>
      <c r="AL445" s="5">
        <f t="shared" si="56"/>
        <v>0</v>
      </c>
      <c r="AM445" s="60"/>
      <c r="AN445" s="60"/>
      <c r="AO445" s="5"/>
    </row>
    <row r="446" spans="1:41">
      <c r="A446" s="5"/>
      <c r="B446" s="50" t="s">
        <v>655</v>
      </c>
      <c r="C446" s="38" t="s">
        <v>1036</v>
      </c>
      <c r="D446" s="38"/>
      <c r="E446" s="38" t="s">
        <v>655</v>
      </c>
      <c r="F446" s="38"/>
      <c r="G446" s="38"/>
      <c r="H446" s="38"/>
      <c r="I446" s="38"/>
      <c r="J446" s="38"/>
      <c r="K446" s="5">
        <f t="shared" si="55"/>
        <v>22.58</v>
      </c>
      <c r="L446" s="5">
        <f t="shared" si="55"/>
        <v>12.19</v>
      </c>
      <c r="M446" s="5">
        <f t="shared" si="55"/>
        <v>12.51</v>
      </c>
      <c r="N446" s="5">
        <f t="shared" si="55"/>
        <v>11.49</v>
      </c>
      <c r="O446" s="5">
        <f t="shared" si="55"/>
        <v>4.2</v>
      </c>
      <c r="P446" s="5">
        <f t="shared" si="55"/>
        <v>12.08</v>
      </c>
      <c r="Q446" s="5">
        <f t="shared" si="55"/>
        <v>5.12</v>
      </c>
      <c r="R446" s="5">
        <f t="shared" si="55"/>
        <v>6.83</v>
      </c>
      <c r="S446" s="5">
        <f t="shared" si="55"/>
        <v>4.0999999999999996</v>
      </c>
      <c r="T446" s="5">
        <f t="shared" si="55"/>
        <v>0</v>
      </c>
      <c r="U446" s="5">
        <f t="shared" si="55"/>
        <v>0</v>
      </c>
      <c r="V446" s="5">
        <f t="shared" si="55"/>
        <v>0</v>
      </c>
      <c r="W446" s="5">
        <f t="shared" si="55"/>
        <v>0</v>
      </c>
      <c r="X446" s="5">
        <f>SUMIF($AM$10:$AM$361,$B446,X$10:X$361)</f>
        <v>0</v>
      </c>
      <c r="Y446" s="5">
        <f t="shared" si="56"/>
        <v>0</v>
      </c>
      <c r="Z446" s="5">
        <f t="shared" si="56"/>
        <v>0</v>
      </c>
      <c r="AA446" s="5">
        <f t="shared" si="56"/>
        <v>0</v>
      </c>
      <c r="AB446" s="5">
        <f t="shared" si="56"/>
        <v>0</v>
      </c>
      <c r="AC446" s="5">
        <f t="shared" si="56"/>
        <v>0</v>
      </c>
      <c r="AD446" s="5">
        <f t="shared" si="56"/>
        <v>0</v>
      </c>
      <c r="AE446" s="5">
        <f t="shared" si="56"/>
        <v>0</v>
      </c>
      <c r="AF446" s="5">
        <f t="shared" si="56"/>
        <v>0</v>
      </c>
      <c r="AG446" s="5">
        <f t="shared" si="56"/>
        <v>0</v>
      </c>
      <c r="AH446" s="5">
        <f t="shared" si="56"/>
        <v>0</v>
      </c>
      <c r="AI446" s="5">
        <f t="shared" si="56"/>
        <v>0</v>
      </c>
      <c r="AJ446" s="5">
        <f t="shared" si="56"/>
        <v>0</v>
      </c>
      <c r="AK446" s="5">
        <f t="shared" si="56"/>
        <v>0</v>
      </c>
      <c r="AL446" s="5">
        <f t="shared" si="56"/>
        <v>0</v>
      </c>
      <c r="AM446" s="60"/>
      <c r="AN446" s="60"/>
      <c r="AO446" s="5"/>
    </row>
    <row r="447" spans="1:41">
      <c r="A447" s="8"/>
      <c r="B447" s="41" t="s">
        <v>896</v>
      </c>
      <c r="C447" s="41"/>
      <c r="D447" s="41"/>
      <c r="E447" s="41"/>
      <c r="F447" s="41"/>
      <c r="G447" s="41"/>
      <c r="H447" s="41"/>
      <c r="I447" s="41"/>
      <c r="J447" s="41"/>
      <c r="K447" s="8">
        <f t="shared" ref="K447:AL447" si="57">SUM(K437:K446)</f>
        <v>316.56</v>
      </c>
      <c r="L447" s="8">
        <f t="shared" si="57"/>
        <v>381.92799999999994</v>
      </c>
      <c r="M447" s="8">
        <f t="shared" si="57"/>
        <v>443.452</v>
      </c>
      <c r="N447" s="8">
        <f t="shared" si="57"/>
        <v>480.11799999999999</v>
      </c>
      <c r="O447" s="8">
        <f t="shared" si="57"/>
        <v>451.95600000000002</v>
      </c>
      <c r="P447" s="8">
        <f t="shared" si="57"/>
        <v>484.51399999999995</v>
      </c>
      <c r="Q447" s="8">
        <f t="shared" si="57"/>
        <v>460.29200000000003</v>
      </c>
      <c r="R447" s="8">
        <f t="shared" si="57"/>
        <v>459.17399999999998</v>
      </c>
      <c r="S447" s="8">
        <f t="shared" si="57"/>
        <v>389.03400000000011</v>
      </c>
      <c r="T447" s="8">
        <f t="shared" si="57"/>
        <v>378.34599999999995</v>
      </c>
      <c r="U447" s="8">
        <f t="shared" si="57"/>
        <v>858.11839999999995</v>
      </c>
      <c r="V447" s="8">
        <f t="shared" si="57"/>
        <v>1321.2588975000001</v>
      </c>
      <c r="W447" s="8">
        <f t="shared" si="57"/>
        <v>1413.1304999999998</v>
      </c>
      <c r="X447" s="8">
        <f t="shared" si="57"/>
        <v>1446.9622000000002</v>
      </c>
      <c r="Y447" s="8">
        <f t="shared" si="57"/>
        <v>1436.28925</v>
      </c>
      <c r="Z447" s="8">
        <f t="shared" si="57"/>
        <v>1559.9224500000003</v>
      </c>
      <c r="AA447" s="8">
        <f t="shared" si="57"/>
        <v>1713.1862250000001</v>
      </c>
      <c r="AB447" s="8">
        <f t="shared" si="57"/>
        <v>1838.0145500000001</v>
      </c>
      <c r="AC447" s="8">
        <f t="shared" si="57"/>
        <v>1922.999225</v>
      </c>
      <c r="AD447" s="8">
        <f t="shared" si="57"/>
        <v>2002.2382500000001</v>
      </c>
      <c r="AE447" s="8">
        <f t="shared" si="57"/>
        <v>2036.683125</v>
      </c>
      <c r="AF447" s="8">
        <f t="shared" si="57"/>
        <v>2113.8075250000002</v>
      </c>
      <c r="AG447" s="8">
        <f t="shared" si="57"/>
        <v>2076.4760500000002</v>
      </c>
      <c r="AH447" s="8">
        <f t="shared" si="57"/>
        <v>2036.2858000000003</v>
      </c>
      <c r="AI447" s="8">
        <f t="shared" si="57"/>
        <v>1955.4888999999996</v>
      </c>
      <c r="AJ447" s="8">
        <f t="shared" si="57"/>
        <v>1860.7972750000001</v>
      </c>
      <c r="AK447" s="8">
        <f t="shared" si="57"/>
        <v>1792.1155999999996</v>
      </c>
      <c r="AL447" s="8">
        <f t="shared" si="57"/>
        <v>1696.3958</v>
      </c>
      <c r="AM447" s="61"/>
      <c r="AN447" s="61"/>
      <c r="AO447" s="8"/>
    </row>
    <row r="448" spans="1:41">
      <c r="A448" s="5"/>
      <c r="B448" s="22"/>
      <c r="C448" s="22"/>
      <c r="D448" s="22"/>
      <c r="E448" s="22"/>
      <c r="F448" s="22"/>
      <c r="G448" s="22"/>
      <c r="H448" s="22"/>
      <c r="I448" s="22"/>
      <c r="J448" s="22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60"/>
      <c r="AN448" s="60"/>
      <c r="AO448" s="5"/>
    </row>
    <row r="449" spans="1:41">
      <c r="A449" s="5"/>
      <c r="B449" s="22"/>
      <c r="C449" s="22"/>
      <c r="D449" s="22"/>
      <c r="E449" s="22"/>
      <c r="F449" s="22"/>
      <c r="G449" s="22"/>
      <c r="H449" s="22"/>
      <c r="I449" s="22"/>
      <c r="J449" s="22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60"/>
      <c r="AN449" s="60"/>
      <c r="AO449" s="5"/>
    </row>
    <row r="450" spans="1:41">
      <c r="A450" s="5"/>
      <c r="B450" s="24" t="s">
        <v>2730</v>
      </c>
      <c r="C450" s="22"/>
      <c r="D450" s="22"/>
      <c r="E450" s="22"/>
      <c r="F450" s="22"/>
      <c r="G450" s="22"/>
      <c r="H450" s="22"/>
      <c r="I450" s="22"/>
      <c r="J450" s="22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60"/>
      <c r="AN450" s="60"/>
      <c r="AO450" s="5"/>
    </row>
    <row r="451" spans="1:41">
      <c r="A451" s="5"/>
      <c r="B451" s="38" t="s">
        <v>2502</v>
      </c>
      <c r="C451" s="22"/>
      <c r="D451" s="22"/>
      <c r="E451" s="22"/>
      <c r="F451" s="22"/>
      <c r="G451" s="22"/>
      <c r="H451" s="22"/>
      <c r="I451" s="22"/>
      <c r="J451" s="22"/>
      <c r="K451" s="5">
        <f t="shared" ref="K451:T460" si="58">SUMIF($C$437:$C$446,$B451,K$437:K$446)</f>
        <v>0</v>
      </c>
      <c r="L451" s="5">
        <f t="shared" si="58"/>
        <v>0</v>
      </c>
      <c r="M451" s="5">
        <f t="shared" si="58"/>
        <v>0</v>
      </c>
      <c r="N451" s="5">
        <f t="shared" si="58"/>
        <v>0</v>
      </c>
      <c r="O451" s="5">
        <f t="shared" si="58"/>
        <v>0</v>
      </c>
      <c r="P451" s="5">
        <f t="shared" si="58"/>
        <v>0</v>
      </c>
      <c r="Q451" s="5">
        <f t="shared" si="58"/>
        <v>0</v>
      </c>
      <c r="R451" s="5">
        <f t="shared" si="58"/>
        <v>0</v>
      </c>
      <c r="S451" s="5">
        <f t="shared" si="58"/>
        <v>0</v>
      </c>
      <c r="T451" s="5">
        <f t="shared" si="58"/>
        <v>0</v>
      </c>
      <c r="U451" s="5">
        <f t="shared" ref="U451:AD460" si="59">SUMIF($C$437:$C$446,$B451,U$437:U$446)</f>
        <v>0</v>
      </c>
      <c r="V451" s="5">
        <f t="shared" si="59"/>
        <v>0</v>
      </c>
      <c r="W451" s="5">
        <f t="shared" si="59"/>
        <v>0</v>
      </c>
      <c r="X451" s="5">
        <f t="shared" si="59"/>
        <v>0</v>
      </c>
      <c r="Y451" s="5">
        <f t="shared" si="59"/>
        <v>0</v>
      </c>
      <c r="Z451" s="5">
        <f t="shared" si="59"/>
        <v>0</v>
      </c>
      <c r="AA451" s="5">
        <f t="shared" si="59"/>
        <v>0</v>
      </c>
      <c r="AB451" s="5">
        <f t="shared" si="59"/>
        <v>0</v>
      </c>
      <c r="AC451" s="5">
        <f t="shared" si="59"/>
        <v>0</v>
      </c>
      <c r="AD451" s="5">
        <f t="shared" si="59"/>
        <v>0</v>
      </c>
      <c r="AE451" s="5">
        <f t="shared" ref="AE451:AL460" si="60">SUMIF($C$437:$C$446,$B451,AE$437:AE$446)</f>
        <v>0</v>
      </c>
      <c r="AF451" s="5">
        <f t="shared" si="60"/>
        <v>0</v>
      </c>
      <c r="AG451" s="5">
        <f t="shared" si="60"/>
        <v>0</v>
      </c>
      <c r="AH451" s="5">
        <f t="shared" si="60"/>
        <v>0</v>
      </c>
      <c r="AI451" s="5">
        <f t="shared" si="60"/>
        <v>0</v>
      </c>
      <c r="AJ451" s="5">
        <f t="shared" si="60"/>
        <v>0</v>
      </c>
      <c r="AK451" s="5">
        <f t="shared" si="60"/>
        <v>0</v>
      </c>
      <c r="AL451" s="5">
        <f t="shared" si="60"/>
        <v>0</v>
      </c>
      <c r="AM451" s="60"/>
      <c r="AN451" s="60"/>
      <c r="AO451" s="5"/>
    </row>
    <row r="452" spans="1:41">
      <c r="A452" s="5"/>
      <c r="B452" s="38" t="s">
        <v>1473</v>
      </c>
      <c r="C452" s="22"/>
      <c r="D452" s="22"/>
      <c r="E452" s="22"/>
      <c r="F452" s="22"/>
      <c r="G452" s="22"/>
      <c r="H452" s="22"/>
      <c r="I452" s="22"/>
      <c r="J452" s="22"/>
      <c r="K452" s="5">
        <f t="shared" si="58"/>
        <v>0</v>
      </c>
      <c r="L452" s="5">
        <f t="shared" si="58"/>
        <v>0</v>
      </c>
      <c r="M452" s="5">
        <f t="shared" si="58"/>
        <v>0</v>
      </c>
      <c r="N452" s="5">
        <f t="shared" si="58"/>
        <v>0</v>
      </c>
      <c r="O452" s="5">
        <f t="shared" si="58"/>
        <v>0</v>
      </c>
      <c r="P452" s="5">
        <f t="shared" si="58"/>
        <v>0</v>
      </c>
      <c r="Q452" s="5">
        <f t="shared" si="58"/>
        <v>0</v>
      </c>
      <c r="R452" s="5">
        <f t="shared" si="58"/>
        <v>0</v>
      </c>
      <c r="S452" s="5">
        <f t="shared" si="58"/>
        <v>0</v>
      </c>
      <c r="T452" s="5">
        <f t="shared" si="58"/>
        <v>0</v>
      </c>
      <c r="U452" s="5">
        <f t="shared" si="59"/>
        <v>0</v>
      </c>
      <c r="V452" s="5">
        <f t="shared" si="59"/>
        <v>0</v>
      </c>
      <c r="W452" s="5">
        <f t="shared" si="59"/>
        <v>0</v>
      </c>
      <c r="X452" s="5">
        <f t="shared" si="59"/>
        <v>0</v>
      </c>
      <c r="Y452" s="5">
        <f t="shared" si="59"/>
        <v>0</v>
      </c>
      <c r="Z452" s="5">
        <f t="shared" si="59"/>
        <v>0</v>
      </c>
      <c r="AA452" s="5">
        <f t="shared" si="59"/>
        <v>0</v>
      </c>
      <c r="AB452" s="5">
        <f t="shared" si="59"/>
        <v>0</v>
      </c>
      <c r="AC452" s="5">
        <f t="shared" si="59"/>
        <v>0</v>
      </c>
      <c r="AD452" s="5">
        <f t="shared" si="59"/>
        <v>0</v>
      </c>
      <c r="AE452" s="5">
        <f t="shared" si="60"/>
        <v>0</v>
      </c>
      <c r="AF452" s="5">
        <f t="shared" si="60"/>
        <v>0</v>
      </c>
      <c r="AG452" s="5">
        <f t="shared" si="60"/>
        <v>0</v>
      </c>
      <c r="AH452" s="5">
        <f t="shared" si="60"/>
        <v>0</v>
      </c>
      <c r="AI452" s="5">
        <f t="shared" si="60"/>
        <v>0</v>
      </c>
      <c r="AJ452" s="5">
        <f t="shared" si="60"/>
        <v>0</v>
      </c>
      <c r="AK452" s="5">
        <f t="shared" si="60"/>
        <v>0</v>
      </c>
      <c r="AL452" s="5">
        <f t="shared" si="60"/>
        <v>0</v>
      </c>
      <c r="AM452" s="60"/>
      <c r="AN452" s="60"/>
      <c r="AO452" s="5"/>
    </row>
    <row r="453" spans="1:41">
      <c r="A453" s="5"/>
      <c r="B453" s="38" t="s">
        <v>1934</v>
      </c>
      <c r="C453" s="22"/>
      <c r="D453" s="22"/>
      <c r="E453" s="22"/>
      <c r="F453" s="22"/>
      <c r="G453" s="22"/>
      <c r="H453" s="22"/>
      <c r="I453" s="22"/>
      <c r="J453" s="22"/>
      <c r="K453" s="5">
        <f t="shared" si="58"/>
        <v>0</v>
      </c>
      <c r="L453" s="5">
        <f t="shared" si="58"/>
        <v>0</v>
      </c>
      <c r="M453" s="5">
        <f t="shared" si="58"/>
        <v>0</v>
      </c>
      <c r="N453" s="5">
        <f t="shared" si="58"/>
        <v>0</v>
      </c>
      <c r="O453" s="5">
        <f t="shared" si="58"/>
        <v>0</v>
      </c>
      <c r="P453" s="5">
        <f t="shared" si="58"/>
        <v>0</v>
      </c>
      <c r="Q453" s="5">
        <f t="shared" si="58"/>
        <v>0</v>
      </c>
      <c r="R453" s="5">
        <f t="shared" si="58"/>
        <v>0</v>
      </c>
      <c r="S453" s="5">
        <f t="shared" si="58"/>
        <v>0</v>
      </c>
      <c r="T453" s="5">
        <f t="shared" si="58"/>
        <v>0</v>
      </c>
      <c r="U453" s="5">
        <f t="shared" si="59"/>
        <v>0</v>
      </c>
      <c r="V453" s="5">
        <f t="shared" si="59"/>
        <v>0</v>
      </c>
      <c r="W453" s="5">
        <f t="shared" si="59"/>
        <v>0</v>
      </c>
      <c r="X453" s="5">
        <f t="shared" si="59"/>
        <v>0</v>
      </c>
      <c r="Y453" s="5">
        <f t="shared" si="59"/>
        <v>0</v>
      </c>
      <c r="Z453" s="5">
        <f t="shared" si="59"/>
        <v>0</v>
      </c>
      <c r="AA453" s="5">
        <f t="shared" si="59"/>
        <v>0</v>
      </c>
      <c r="AB453" s="5">
        <f t="shared" si="59"/>
        <v>0</v>
      </c>
      <c r="AC453" s="5">
        <f t="shared" si="59"/>
        <v>0</v>
      </c>
      <c r="AD453" s="5">
        <f t="shared" si="59"/>
        <v>0</v>
      </c>
      <c r="AE453" s="5">
        <f t="shared" si="60"/>
        <v>0</v>
      </c>
      <c r="AF453" s="5">
        <f t="shared" si="60"/>
        <v>0</v>
      </c>
      <c r="AG453" s="5">
        <f t="shared" si="60"/>
        <v>0</v>
      </c>
      <c r="AH453" s="5">
        <f t="shared" si="60"/>
        <v>0</v>
      </c>
      <c r="AI453" s="5">
        <f t="shared" si="60"/>
        <v>0</v>
      </c>
      <c r="AJ453" s="5">
        <f t="shared" si="60"/>
        <v>0</v>
      </c>
      <c r="AK453" s="5">
        <f t="shared" si="60"/>
        <v>0</v>
      </c>
      <c r="AL453" s="5">
        <f t="shared" si="60"/>
        <v>0</v>
      </c>
      <c r="AM453" s="60"/>
      <c r="AN453" s="60"/>
      <c r="AO453" s="5"/>
    </row>
    <row r="454" spans="1:41">
      <c r="A454" s="5"/>
      <c r="B454" s="38" t="s">
        <v>2921</v>
      </c>
      <c r="C454" s="22"/>
      <c r="D454" s="22"/>
      <c r="E454" s="22"/>
      <c r="F454" s="22"/>
      <c r="G454" s="22"/>
      <c r="H454" s="22"/>
      <c r="I454" s="22"/>
      <c r="J454" s="22"/>
      <c r="K454" s="5">
        <f t="shared" si="58"/>
        <v>270.03000000000003</v>
      </c>
      <c r="L454" s="5">
        <f t="shared" si="58"/>
        <v>314.42999999999995</v>
      </c>
      <c r="M454" s="5">
        <f t="shared" si="58"/>
        <v>345.87600000000003</v>
      </c>
      <c r="N454" s="5">
        <f t="shared" si="58"/>
        <v>375.726</v>
      </c>
      <c r="O454" s="5">
        <f t="shared" si="58"/>
        <v>357.79200000000003</v>
      </c>
      <c r="P454" s="5">
        <f t="shared" si="58"/>
        <v>375.91199999999998</v>
      </c>
      <c r="Q454" s="5">
        <f t="shared" si="58"/>
        <v>365.16</v>
      </c>
      <c r="R454" s="5">
        <f t="shared" si="58"/>
        <v>361.90199999999999</v>
      </c>
      <c r="S454" s="5">
        <f t="shared" si="58"/>
        <v>360.25800000000004</v>
      </c>
      <c r="T454" s="5">
        <f t="shared" si="58"/>
        <v>344.87399999999997</v>
      </c>
      <c r="U454" s="5">
        <f t="shared" si="59"/>
        <v>316.82400000000001</v>
      </c>
      <c r="V454" s="5">
        <f t="shared" si="59"/>
        <v>308.80799999999999</v>
      </c>
      <c r="W454" s="5">
        <f t="shared" si="59"/>
        <v>328.36199999999997</v>
      </c>
      <c r="X454" s="5">
        <f t="shared" si="59"/>
        <v>342.024</v>
      </c>
      <c r="Y454" s="5">
        <f t="shared" si="59"/>
        <v>306.02300000000002</v>
      </c>
      <c r="Z454" s="5">
        <f t="shared" si="59"/>
        <v>273.41000000000003</v>
      </c>
      <c r="AA454" s="5">
        <f t="shared" si="59"/>
        <v>284.58499999999998</v>
      </c>
      <c r="AB454" s="5">
        <f t="shared" si="59"/>
        <v>300.33499999999998</v>
      </c>
      <c r="AC454" s="5">
        <f t="shared" si="59"/>
        <v>308.34500000000003</v>
      </c>
      <c r="AD454" s="5">
        <f t="shared" si="59"/>
        <v>304.53000000000003</v>
      </c>
      <c r="AE454" s="5">
        <f t="shared" si="60"/>
        <v>300.72000000000003</v>
      </c>
      <c r="AF454" s="5">
        <f t="shared" si="60"/>
        <v>295.96000000000004</v>
      </c>
      <c r="AG454" s="5">
        <f t="shared" si="60"/>
        <v>285.27</v>
      </c>
      <c r="AH454" s="5">
        <f t="shared" si="60"/>
        <v>261.65499999999997</v>
      </c>
      <c r="AI454" s="5">
        <f t="shared" si="60"/>
        <v>238.82499999999999</v>
      </c>
      <c r="AJ454" s="5">
        <f t="shared" si="60"/>
        <v>210.23999999999998</v>
      </c>
      <c r="AK454" s="5">
        <f t="shared" si="60"/>
        <v>187.79</v>
      </c>
      <c r="AL454" s="5">
        <f t="shared" si="60"/>
        <v>170.97499999999999</v>
      </c>
      <c r="AM454" s="60"/>
      <c r="AN454" s="60"/>
      <c r="AO454" s="5"/>
    </row>
    <row r="455" spans="1:41">
      <c r="A455" s="5"/>
      <c r="B455" s="38" t="s">
        <v>2965</v>
      </c>
      <c r="C455" s="22"/>
      <c r="D455" s="22"/>
      <c r="E455" s="22"/>
      <c r="F455" s="22"/>
      <c r="G455" s="22"/>
      <c r="H455" s="22"/>
      <c r="I455" s="22"/>
      <c r="J455" s="22"/>
      <c r="K455" s="5">
        <f t="shared" si="58"/>
        <v>0</v>
      </c>
      <c r="L455" s="5">
        <f t="shared" si="58"/>
        <v>0</v>
      </c>
      <c r="M455" s="5">
        <f t="shared" si="58"/>
        <v>0</v>
      </c>
      <c r="N455" s="5">
        <f t="shared" si="58"/>
        <v>0</v>
      </c>
      <c r="O455" s="5">
        <f t="shared" si="58"/>
        <v>0</v>
      </c>
      <c r="P455" s="5">
        <f t="shared" si="58"/>
        <v>0</v>
      </c>
      <c r="Q455" s="5">
        <f t="shared" si="58"/>
        <v>0</v>
      </c>
      <c r="R455" s="5">
        <f t="shared" si="58"/>
        <v>0</v>
      </c>
      <c r="S455" s="5">
        <f t="shared" si="58"/>
        <v>0</v>
      </c>
      <c r="T455" s="5">
        <f t="shared" si="58"/>
        <v>0</v>
      </c>
      <c r="U455" s="5">
        <f t="shared" si="59"/>
        <v>0</v>
      </c>
      <c r="V455" s="5">
        <f t="shared" si="59"/>
        <v>0</v>
      </c>
      <c r="W455" s="5">
        <f t="shared" si="59"/>
        <v>0</v>
      </c>
      <c r="X455" s="5">
        <f t="shared" si="59"/>
        <v>0</v>
      </c>
      <c r="Y455" s="5">
        <f t="shared" si="59"/>
        <v>0</v>
      </c>
      <c r="Z455" s="5">
        <f t="shared" si="59"/>
        <v>0</v>
      </c>
      <c r="AA455" s="5">
        <f t="shared" si="59"/>
        <v>0</v>
      </c>
      <c r="AB455" s="5">
        <f t="shared" si="59"/>
        <v>0</v>
      </c>
      <c r="AC455" s="5">
        <f t="shared" si="59"/>
        <v>0</v>
      </c>
      <c r="AD455" s="5">
        <f t="shared" si="59"/>
        <v>0</v>
      </c>
      <c r="AE455" s="5">
        <f t="shared" si="60"/>
        <v>0</v>
      </c>
      <c r="AF455" s="5">
        <f t="shared" si="60"/>
        <v>0</v>
      </c>
      <c r="AG455" s="5">
        <f t="shared" si="60"/>
        <v>0</v>
      </c>
      <c r="AH455" s="5">
        <f t="shared" si="60"/>
        <v>0</v>
      </c>
      <c r="AI455" s="5">
        <f t="shared" si="60"/>
        <v>0</v>
      </c>
      <c r="AJ455" s="5">
        <f t="shared" si="60"/>
        <v>0</v>
      </c>
      <c r="AK455" s="5">
        <f t="shared" si="60"/>
        <v>0</v>
      </c>
      <c r="AL455" s="5">
        <f t="shared" si="60"/>
        <v>0</v>
      </c>
      <c r="AM455" s="60"/>
      <c r="AN455" s="60"/>
      <c r="AO455" s="5"/>
    </row>
    <row r="456" spans="1:41">
      <c r="A456" s="5"/>
      <c r="B456" s="38" t="s">
        <v>726</v>
      </c>
      <c r="C456" s="22"/>
      <c r="D456" s="22"/>
      <c r="E456" s="22"/>
      <c r="F456" s="22"/>
      <c r="G456" s="22"/>
      <c r="H456" s="22"/>
      <c r="I456" s="22"/>
      <c r="J456" s="22"/>
      <c r="K456" s="5">
        <f t="shared" si="58"/>
        <v>0</v>
      </c>
      <c r="L456" s="5">
        <f t="shared" si="58"/>
        <v>0</v>
      </c>
      <c r="M456" s="5">
        <f t="shared" si="58"/>
        <v>0</v>
      </c>
      <c r="N456" s="5">
        <f t="shared" si="58"/>
        <v>0</v>
      </c>
      <c r="O456" s="5">
        <f t="shared" si="58"/>
        <v>0</v>
      </c>
      <c r="P456" s="5">
        <f t="shared" si="58"/>
        <v>0</v>
      </c>
      <c r="Q456" s="5">
        <f t="shared" si="58"/>
        <v>0</v>
      </c>
      <c r="R456" s="5">
        <f t="shared" si="58"/>
        <v>0</v>
      </c>
      <c r="S456" s="5">
        <f t="shared" si="58"/>
        <v>0</v>
      </c>
      <c r="T456" s="5">
        <f t="shared" si="58"/>
        <v>0</v>
      </c>
      <c r="U456" s="5">
        <f t="shared" si="59"/>
        <v>0</v>
      </c>
      <c r="V456" s="5">
        <f t="shared" si="59"/>
        <v>0</v>
      </c>
      <c r="W456" s="5">
        <f t="shared" si="59"/>
        <v>0</v>
      </c>
      <c r="X456" s="5">
        <f t="shared" si="59"/>
        <v>0</v>
      </c>
      <c r="Y456" s="5">
        <f t="shared" si="59"/>
        <v>0</v>
      </c>
      <c r="Z456" s="5">
        <f t="shared" si="59"/>
        <v>0</v>
      </c>
      <c r="AA456" s="5">
        <f t="shared" si="59"/>
        <v>0</v>
      </c>
      <c r="AB456" s="5">
        <f t="shared" si="59"/>
        <v>0</v>
      </c>
      <c r="AC456" s="5">
        <f t="shared" si="59"/>
        <v>0</v>
      </c>
      <c r="AD456" s="5">
        <f t="shared" si="59"/>
        <v>0</v>
      </c>
      <c r="AE456" s="5">
        <f t="shared" si="60"/>
        <v>0</v>
      </c>
      <c r="AF456" s="5">
        <f t="shared" si="60"/>
        <v>0</v>
      </c>
      <c r="AG456" s="5">
        <f t="shared" si="60"/>
        <v>0</v>
      </c>
      <c r="AH456" s="5">
        <f t="shared" si="60"/>
        <v>0</v>
      </c>
      <c r="AI456" s="5">
        <f t="shared" si="60"/>
        <v>0</v>
      </c>
      <c r="AJ456" s="5">
        <f t="shared" si="60"/>
        <v>0</v>
      </c>
      <c r="AK456" s="5">
        <f t="shared" si="60"/>
        <v>0</v>
      </c>
      <c r="AL456" s="5">
        <f t="shared" si="60"/>
        <v>0</v>
      </c>
      <c r="AM456" s="60"/>
      <c r="AN456" s="60"/>
      <c r="AO456" s="5"/>
    </row>
    <row r="457" spans="1:41">
      <c r="A457" s="5"/>
      <c r="B457" s="38" t="s">
        <v>785</v>
      </c>
      <c r="C457" s="22"/>
      <c r="D457" s="22"/>
      <c r="E457" s="22"/>
      <c r="F457" s="22"/>
      <c r="G457" s="22"/>
      <c r="H457" s="22"/>
      <c r="I457" s="22"/>
      <c r="J457" s="22"/>
      <c r="K457" s="5">
        <f t="shared" si="58"/>
        <v>0</v>
      </c>
      <c r="L457" s="5">
        <f t="shared" si="58"/>
        <v>1.7999999999999999E-2</v>
      </c>
      <c r="M457" s="5">
        <f t="shared" si="58"/>
        <v>6.4859999999999998</v>
      </c>
      <c r="N457" s="5">
        <f t="shared" si="58"/>
        <v>3.702</v>
      </c>
      <c r="O457" s="5">
        <f t="shared" si="58"/>
        <v>5.0039999999999996</v>
      </c>
      <c r="P457" s="5">
        <f t="shared" si="58"/>
        <v>4.3920000000000003</v>
      </c>
      <c r="Q457" s="5">
        <f t="shared" si="58"/>
        <v>4.3620000000000001</v>
      </c>
      <c r="R457" s="5">
        <f t="shared" si="58"/>
        <v>5.3220000000000001</v>
      </c>
      <c r="S457" s="5">
        <f t="shared" si="58"/>
        <v>6.9660000000000002</v>
      </c>
      <c r="T457" s="5">
        <f t="shared" si="58"/>
        <v>17.352</v>
      </c>
      <c r="U457" s="5">
        <f t="shared" si="59"/>
        <v>27.684000000000001</v>
      </c>
      <c r="V457" s="5">
        <f t="shared" si="59"/>
        <v>40.475999999999999</v>
      </c>
      <c r="W457" s="5">
        <f t="shared" si="59"/>
        <v>47.537999999999997</v>
      </c>
      <c r="X457" s="5">
        <f t="shared" si="59"/>
        <v>48.881999999999998</v>
      </c>
      <c r="Y457" s="5">
        <f t="shared" si="59"/>
        <v>44.395000000000003</v>
      </c>
      <c r="Z457" s="5">
        <f t="shared" si="59"/>
        <v>36.945</v>
      </c>
      <c r="AA457" s="5">
        <f t="shared" si="59"/>
        <v>40.954999999999998</v>
      </c>
      <c r="AB457" s="5">
        <f t="shared" si="59"/>
        <v>42.134999999999998</v>
      </c>
      <c r="AC457" s="5">
        <f t="shared" si="59"/>
        <v>44.034999999999997</v>
      </c>
      <c r="AD457" s="5">
        <f t="shared" si="59"/>
        <v>50.68</v>
      </c>
      <c r="AE457" s="5">
        <f t="shared" si="60"/>
        <v>50.645000000000003</v>
      </c>
      <c r="AF457" s="5">
        <f t="shared" si="60"/>
        <v>50.625</v>
      </c>
      <c r="AG457" s="5">
        <f t="shared" si="60"/>
        <v>50.25</v>
      </c>
      <c r="AH457" s="5">
        <f t="shared" si="60"/>
        <v>50.22</v>
      </c>
      <c r="AI457" s="5">
        <f t="shared" si="60"/>
        <v>50.475000000000001</v>
      </c>
      <c r="AJ457" s="5">
        <f t="shared" si="60"/>
        <v>50.74</v>
      </c>
      <c r="AK457" s="5">
        <f t="shared" si="60"/>
        <v>51.04</v>
      </c>
      <c r="AL457" s="5">
        <f t="shared" si="60"/>
        <v>51.384999999999998</v>
      </c>
      <c r="AM457" s="60"/>
      <c r="AN457" s="60"/>
      <c r="AO457" s="5"/>
    </row>
    <row r="458" spans="1:41">
      <c r="A458" s="5"/>
      <c r="B458" s="38" t="s">
        <v>2428</v>
      </c>
      <c r="C458" s="22"/>
      <c r="D458" s="22"/>
      <c r="E458" s="22"/>
      <c r="F458" s="22"/>
      <c r="G458" s="22"/>
      <c r="H458" s="22"/>
      <c r="I458" s="22"/>
      <c r="J458" s="22"/>
      <c r="K458" s="5">
        <f t="shared" si="58"/>
        <v>0</v>
      </c>
      <c r="L458" s="5">
        <f t="shared" si="58"/>
        <v>0</v>
      </c>
      <c r="M458" s="5">
        <f t="shared" si="58"/>
        <v>0</v>
      </c>
      <c r="N458" s="5">
        <f t="shared" si="58"/>
        <v>0</v>
      </c>
      <c r="O458" s="5">
        <f t="shared" si="58"/>
        <v>0</v>
      </c>
      <c r="P458" s="5">
        <f t="shared" si="58"/>
        <v>0</v>
      </c>
      <c r="Q458" s="5">
        <f t="shared" si="58"/>
        <v>0</v>
      </c>
      <c r="R458" s="5">
        <f t="shared" si="58"/>
        <v>0</v>
      </c>
      <c r="S458" s="5">
        <f t="shared" si="58"/>
        <v>0</v>
      </c>
      <c r="T458" s="5">
        <f t="shared" si="58"/>
        <v>0</v>
      </c>
      <c r="U458" s="5">
        <f t="shared" si="59"/>
        <v>0</v>
      </c>
      <c r="V458" s="5">
        <f t="shared" si="59"/>
        <v>0</v>
      </c>
      <c r="W458" s="5">
        <f t="shared" si="59"/>
        <v>0</v>
      </c>
      <c r="X458" s="5">
        <f t="shared" si="59"/>
        <v>0</v>
      </c>
      <c r="Y458" s="5">
        <f t="shared" si="59"/>
        <v>0</v>
      </c>
      <c r="Z458" s="5">
        <f t="shared" si="59"/>
        <v>0</v>
      </c>
      <c r="AA458" s="5">
        <f t="shared" si="59"/>
        <v>0</v>
      </c>
      <c r="AB458" s="5">
        <f t="shared" si="59"/>
        <v>0</v>
      </c>
      <c r="AC458" s="5">
        <f t="shared" si="59"/>
        <v>0</v>
      </c>
      <c r="AD458" s="5">
        <f t="shared" si="59"/>
        <v>0</v>
      </c>
      <c r="AE458" s="5">
        <f t="shared" si="60"/>
        <v>0</v>
      </c>
      <c r="AF458" s="5">
        <f t="shared" si="60"/>
        <v>0</v>
      </c>
      <c r="AG458" s="5">
        <f t="shared" si="60"/>
        <v>0</v>
      </c>
      <c r="AH458" s="5">
        <f t="shared" si="60"/>
        <v>0</v>
      </c>
      <c r="AI458" s="5">
        <f t="shared" si="60"/>
        <v>0</v>
      </c>
      <c r="AJ458" s="5">
        <f t="shared" si="60"/>
        <v>0</v>
      </c>
      <c r="AK458" s="5">
        <f t="shared" si="60"/>
        <v>0</v>
      </c>
      <c r="AL458" s="5">
        <f t="shared" si="60"/>
        <v>0</v>
      </c>
      <c r="AM458" s="60"/>
      <c r="AN458" s="60"/>
      <c r="AO458" s="5"/>
    </row>
    <row r="459" spans="1:41">
      <c r="A459" s="5"/>
      <c r="B459" s="38" t="s">
        <v>727</v>
      </c>
      <c r="C459" s="22"/>
      <c r="D459" s="22"/>
      <c r="E459" s="22"/>
      <c r="F459" s="22"/>
      <c r="G459" s="22"/>
      <c r="H459" s="22"/>
      <c r="I459" s="22"/>
      <c r="J459" s="22"/>
      <c r="K459" s="5">
        <f t="shared" si="58"/>
        <v>0</v>
      </c>
      <c r="L459" s="5">
        <f t="shared" si="58"/>
        <v>0</v>
      </c>
      <c r="M459" s="5">
        <f t="shared" si="58"/>
        <v>0</v>
      </c>
      <c r="N459" s="5">
        <f t="shared" si="58"/>
        <v>0</v>
      </c>
      <c r="O459" s="5">
        <f t="shared" si="58"/>
        <v>0</v>
      </c>
      <c r="P459" s="5">
        <f t="shared" si="58"/>
        <v>0</v>
      </c>
      <c r="Q459" s="5">
        <f t="shared" si="58"/>
        <v>0</v>
      </c>
      <c r="R459" s="5">
        <f t="shared" si="58"/>
        <v>0</v>
      </c>
      <c r="S459" s="5">
        <f t="shared" si="58"/>
        <v>0</v>
      </c>
      <c r="T459" s="5">
        <f t="shared" si="58"/>
        <v>0</v>
      </c>
      <c r="U459" s="5">
        <f t="shared" si="59"/>
        <v>0</v>
      </c>
      <c r="V459" s="5">
        <f t="shared" si="59"/>
        <v>0</v>
      </c>
      <c r="W459" s="5">
        <f t="shared" si="59"/>
        <v>0</v>
      </c>
      <c r="X459" s="5">
        <f t="shared" si="59"/>
        <v>0</v>
      </c>
      <c r="Y459" s="5">
        <f t="shared" si="59"/>
        <v>0</v>
      </c>
      <c r="Z459" s="5">
        <f t="shared" si="59"/>
        <v>0</v>
      </c>
      <c r="AA459" s="5">
        <f t="shared" si="59"/>
        <v>0</v>
      </c>
      <c r="AB459" s="5">
        <f t="shared" si="59"/>
        <v>0</v>
      </c>
      <c r="AC459" s="5">
        <f t="shared" si="59"/>
        <v>0</v>
      </c>
      <c r="AD459" s="5">
        <f t="shared" si="59"/>
        <v>0</v>
      </c>
      <c r="AE459" s="5">
        <f t="shared" si="60"/>
        <v>0</v>
      </c>
      <c r="AF459" s="5">
        <f t="shared" si="60"/>
        <v>0</v>
      </c>
      <c r="AG459" s="5">
        <f t="shared" si="60"/>
        <v>0</v>
      </c>
      <c r="AH459" s="5">
        <f t="shared" si="60"/>
        <v>0</v>
      </c>
      <c r="AI459" s="5">
        <f t="shared" si="60"/>
        <v>0</v>
      </c>
      <c r="AJ459" s="5">
        <f t="shared" si="60"/>
        <v>0</v>
      </c>
      <c r="AK459" s="5">
        <f t="shared" si="60"/>
        <v>0</v>
      </c>
      <c r="AL459" s="5">
        <f t="shared" si="60"/>
        <v>0</v>
      </c>
      <c r="AM459" s="60"/>
      <c r="AN459" s="60"/>
      <c r="AO459" s="5"/>
    </row>
    <row r="460" spans="1:41">
      <c r="A460" s="5"/>
      <c r="B460" s="38" t="s">
        <v>216</v>
      </c>
      <c r="C460" s="22"/>
      <c r="D460" s="22"/>
      <c r="E460" s="22"/>
      <c r="F460" s="22"/>
      <c r="G460" s="22"/>
      <c r="H460" s="22"/>
      <c r="I460" s="22"/>
      <c r="J460" s="22"/>
      <c r="K460" s="5">
        <f t="shared" si="58"/>
        <v>0</v>
      </c>
      <c r="L460" s="5">
        <f t="shared" si="58"/>
        <v>0</v>
      </c>
      <c r="M460" s="5">
        <f t="shared" si="58"/>
        <v>0</v>
      </c>
      <c r="N460" s="5">
        <f t="shared" si="58"/>
        <v>0</v>
      </c>
      <c r="O460" s="5">
        <f t="shared" si="58"/>
        <v>0</v>
      </c>
      <c r="P460" s="5">
        <f t="shared" si="58"/>
        <v>0</v>
      </c>
      <c r="Q460" s="5">
        <f t="shared" si="58"/>
        <v>0</v>
      </c>
      <c r="R460" s="5">
        <f t="shared" si="58"/>
        <v>0</v>
      </c>
      <c r="S460" s="5">
        <f t="shared" si="58"/>
        <v>0</v>
      </c>
      <c r="T460" s="5">
        <f t="shared" si="58"/>
        <v>0</v>
      </c>
      <c r="U460" s="5">
        <f t="shared" si="59"/>
        <v>0</v>
      </c>
      <c r="V460" s="5">
        <f t="shared" si="59"/>
        <v>0</v>
      </c>
      <c r="W460" s="5">
        <f t="shared" si="59"/>
        <v>0</v>
      </c>
      <c r="X460" s="5">
        <f t="shared" si="59"/>
        <v>0</v>
      </c>
      <c r="Y460" s="5">
        <f t="shared" si="59"/>
        <v>0</v>
      </c>
      <c r="Z460" s="5">
        <f t="shared" si="59"/>
        <v>0</v>
      </c>
      <c r="AA460" s="5">
        <f t="shared" si="59"/>
        <v>0</v>
      </c>
      <c r="AB460" s="5">
        <f t="shared" si="59"/>
        <v>0</v>
      </c>
      <c r="AC460" s="5">
        <f t="shared" si="59"/>
        <v>0</v>
      </c>
      <c r="AD460" s="5">
        <f t="shared" si="59"/>
        <v>0</v>
      </c>
      <c r="AE460" s="5">
        <f t="shared" si="60"/>
        <v>0</v>
      </c>
      <c r="AF460" s="5">
        <f t="shared" si="60"/>
        <v>0</v>
      </c>
      <c r="AG460" s="5">
        <f t="shared" si="60"/>
        <v>0</v>
      </c>
      <c r="AH460" s="5">
        <f t="shared" si="60"/>
        <v>0</v>
      </c>
      <c r="AI460" s="5">
        <f t="shared" si="60"/>
        <v>0</v>
      </c>
      <c r="AJ460" s="5">
        <f t="shared" si="60"/>
        <v>0</v>
      </c>
      <c r="AK460" s="5">
        <f t="shared" si="60"/>
        <v>0</v>
      </c>
      <c r="AL460" s="5">
        <f t="shared" si="60"/>
        <v>0</v>
      </c>
      <c r="AM460" s="60"/>
      <c r="AN460" s="60"/>
      <c r="AO460" s="5"/>
    </row>
    <row r="461" spans="1:41">
      <c r="A461" s="5"/>
      <c r="B461" s="11" t="s">
        <v>2247</v>
      </c>
      <c r="C461" s="22"/>
      <c r="D461" s="22"/>
      <c r="E461" s="22"/>
      <c r="F461" s="22"/>
      <c r="G461" s="22"/>
      <c r="H461" s="22"/>
      <c r="I461" s="22"/>
      <c r="J461" s="22"/>
      <c r="K461" s="5">
        <f t="shared" ref="K461:T466" si="61">SUMIF($C$437:$C$446,$B461,K$437:K$446)</f>
        <v>0</v>
      </c>
      <c r="L461" s="5">
        <f t="shared" si="61"/>
        <v>0</v>
      </c>
      <c r="M461" s="5">
        <f t="shared" si="61"/>
        <v>0</v>
      </c>
      <c r="N461" s="5">
        <f t="shared" si="61"/>
        <v>0</v>
      </c>
      <c r="O461" s="5">
        <f t="shared" si="61"/>
        <v>0</v>
      </c>
      <c r="P461" s="5">
        <f t="shared" si="61"/>
        <v>0</v>
      </c>
      <c r="Q461" s="5">
        <f t="shared" si="61"/>
        <v>0</v>
      </c>
      <c r="R461" s="5">
        <f t="shared" si="61"/>
        <v>0</v>
      </c>
      <c r="S461" s="5">
        <f t="shared" si="61"/>
        <v>0</v>
      </c>
      <c r="T461" s="5">
        <f t="shared" si="61"/>
        <v>0</v>
      </c>
      <c r="U461" s="5">
        <f t="shared" ref="U461:AD466" si="62">SUMIF($C$437:$C$446,$B461,U$437:U$446)</f>
        <v>0</v>
      </c>
      <c r="V461" s="5">
        <f t="shared" si="62"/>
        <v>0</v>
      </c>
      <c r="W461" s="5">
        <f t="shared" si="62"/>
        <v>0</v>
      </c>
      <c r="X461" s="5">
        <f t="shared" si="62"/>
        <v>0</v>
      </c>
      <c r="Y461" s="5">
        <f t="shared" si="62"/>
        <v>0</v>
      </c>
      <c r="Z461" s="5">
        <f t="shared" si="62"/>
        <v>0</v>
      </c>
      <c r="AA461" s="5">
        <f t="shared" si="62"/>
        <v>0</v>
      </c>
      <c r="AB461" s="5">
        <f t="shared" si="62"/>
        <v>0</v>
      </c>
      <c r="AC461" s="5">
        <f t="shared" si="62"/>
        <v>0</v>
      </c>
      <c r="AD461" s="5">
        <f t="shared" si="62"/>
        <v>0</v>
      </c>
      <c r="AE461" s="5">
        <f t="shared" ref="AE461:AL466" si="63">SUMIF($C$437:$C$446,$B461,AE$437:AE$446)</f>
        <v>0</v>
      </c>
      <c r="AF461" s="5">
        <f t="shared" si="63"/>
        <v>0</v>
      </c>
      <c r="AG461" s="5">
        <f t="shared" si="63"/>
        <v>0</v>
      </c>
      <c r="AH461" s="5">
        <f t="shared" si="63"/>
        <v>0</v>
      </c>
      <c r="AI461" s="5">
        <f t="shared" si="63"/>
        <v>0</v>
      </c>
      <c r="AJ461" s="5">
        <f t="shared" si="63"/>
        <v>0</v>
      </c>
      <c r="AK461" s="5">
        <f t="shared" si="63"/>
        <v>0</v>
      </c>
      <c r="AL461" s="5">
        <f t="shared" si="63"/>
        <v>0</v>
      </c>
      <c r="AM461" s="60"/>
      <c r="AN461" s="60"/>
      <c r="AO461" s="5"/>
    </row>
    <row r="462" spans="1:41">
      <c r="A462" s="5"/>
      <c r="B462" s="38" t="s">
        <v>2251</v>
      </c>
      <c r="C462" s="22"/>
      <c r="D462" s="22"/>
      <c r="E462" s="22"/>
      <c r="F462" s="22"/>
      <c r="G462" s="22"/>
      <c r="H462" s="22"/>
      <c r="I462" s="22"/>
      <c r="J462" s="22"/>
      <c r="K462" s="5">
        <f t="shared" si="61"/>
        <v>0</v>
      </c>
      <c r="L462" s="5">
        <f t="shared" si="61"/>
        <v>0</v>
      </c>
      <c r="M462" s="5">
        <f t="shared" si="61"/>
        <v>0</v>
      </c>
      <c r="N462" s="5">
        <f t="shared" si="61"/>
        <v>0</v>
      </c>
      <c r="O462" s="5">
        <f t="shared" si="61"/>
        <v>0</v>
      </c>
      <c r="P462" s="5">
        <f t="shared" si="61"/>
        <v>0</v>
      </c>
      <c r="Q462" s="5">
        <f t="shared" si="61"/>
        <v>0</v>
      </c>
      <c r="R462" s="5">
        <f t="shared" si="61"/>
        <v>0</v>
      </c>
      <c r="S462" s="5">
        <f t="shared" si="61"/>
        <v>0</v>
      </c>
      <c r="T462" s="5">
        <f t="shared" si="61"/>
        <v>0</v>
      </c>
      <c r="U462" s="5">
        <f t="shared" si="62"/>
        <v>0</v>
      </c>
      <c r="V462" s="5">
        <f t="shared" si="62"/>
        <v>0</v>
      </c>
      <c r="W462" s="5">
        <f t="shared" si="62"/>
        <v>0</v>
      </c>
      <c r="X462" s="5">
        <f t="shared" si="62"/>
        <v>0</v>
      </c>
      <c r="Y462" s="5">
        <f t="shared" si="62"/>
        <v>0</v>
      </c>
      <c r="Z462" s="5">
        <f t="shared" si="62"/>
        <v>0</v>
      </c>
      <c r="AA462" s="5">
        <f t="shared" si="62"/>
        <v>0</v>
      </c>
      <c r="AB462" s="5">
        <f t="shared" si="62"/>
        <v>0</v>
      </c>
      <c r="AC462" s="5">
        <f t="shared" si="62"/>
        <v>0</v>
      </c>
      <c r="AD462" s="5">
        <f t="shared" si="62"/>
        <v>0</v>
      </c>
      <c r="AE462" s="5">
        <f t="shared" si="63"/>
        <v>0</v>
      </c>
      <c r="AF462" s="5">
        <f t="shared" si="63"/>
        <v>0</v>
      </c>
      <c r="AG462" s="5">
        <f t="shared" si="63"/>
        <v>0</v>
      </c>
      <c r="AH462" s="5">
        <f t="shared" si="63"/>
        <v>0</v>
      </c>
      <c r="AI462" s="5">
        <f t="shared" si="63"/>
        <v>0</v>
      </c>
      <c r="AJ462" s="5">
        <f t="shared" si="63"/>
        <v>0</v>
      </c>
      <c r="AK462" s="5">
        <f t="shared" si="63"/>
        <v>0</v>
      </c>
      <c r="AL462" s="5">
        <f t="shared" si="63"/>
        <v>0</v>
      </c>
      <c r="AM462" s="60"/>
      <c r="AN462" s="60"/>
      <c r="AO462" s="5"/>
    </row>
    <row r="463" spans="1:41">
      <c r="A463" s="5"/>
      <c r="B463" s="38" t="s">
        <v>138</v>
      </c>
      <c r="C463" s="22"/>
      <c r="D463" s="22"/>
      <c r="E463" s="22"/>
      <c r="F463" s="22"/>
      <c r="G463" s="22"/>
      <c r="H463" s="22"/>
      <c r="I463" s="22"/>
      <c r="J463" s="22"/>
      <c r="K463" s="5">
        <f t="shared" si="61"/>
        <v>0</v>
      </c>
      <c r="L463" s="5">
        <f t="shared" si="61"/>
        <v>0</v>
      </c>
      <c r="M463" s="5">
        <f t="shared" si="61"/>
        <v>0</v>
      </c>
      <c r="N463" s="5">
        <f t="shared" si="61"/>
        <v>0</v>
      </c>
      <c r="O463" s="5">
        <f t="shared" si="61"/>
        <v>0</v>
      </c>
      <c r="P463" s="5">
        <f t="shared" si="61"/>
        <v>0</v>
      </c>
      <c r="Q463" s="5">
        <f t="shared" si="61"/>
        <v>0</v>
      </c>
      <c r="R463" s="5">
        <f t="shared" si="61"/>
        <v>0</v>
      </c>
      <c r="S463" s="5">
        <f t="shared" si="61"/>
        <v>0</v>
      </c>
      <c r="T463" s="5">
        <f t="shared" si="61"/>
        <v>0</v>
      </c>
      <c r="U463" s="5">
        <f t="shared" si="62"/>
        <v>0</v>
      </c>
      <c r="V463" s="5">
        <f t="shared" si="62"/>
        <v>0</v>
      </c>
      <c r="W463" s="5">
        <f t="shared" si="62"/>
        <v>0</v>
      </c>
      <c r="X463" s="5">
        <f t="shared" si="62"/>
        <v>0</v>
      </c>
      <c r="Y463" s="5">
        <f t="shared" si="62"/>
        <v>0</v>
      </c>
      <c r="Z463" s="5">
        <f t="shared" si="62"/>
        <v>0</v>
      </c>
      <c r="AA463" s="5">
        <f t="shared" si="62"/>
        <v>0</v>
      </c>
      <c r="AB463" s="5">
        <f t="shared" si="62"/>
        <v>0</v>
      </c>
      <c r="AC463" s="5">
        <f t="shared" si="62"/>
        <v>0</v>
      </c>
      <c r="AD463" s="5">
        <f t="shared" si="62"/>
        <v>0</v>
      </c>
      <c r="AE463" s="5">
        <f t="shared" si="63"/>
        <v>0</v>
      </c>
      <c r="AF463" s="5">
        <f t="shared" si="63"/>
        <v>0</v>
      </c>
      <c r="AG463" s="5">
        <f t="shared" si="63"/>
        <v>0</v>
      </c>
      <c r="AH463" s="5">
        <f t="shared" si="63"/>
        <v>0</v>
      </c>
      <c r="AI463" s="5">
        <f t="shared" si="63"/>
        <v>0</v>
      </c>
      <c r="AJ463" s="5">
        <f t="shared" si="63"/>
        <v>0</v>
      </c>
      <c r="AK463" s="5">
        <f t="shared" si="63"/>
        <v>0</v>
      </c>
      <c r="AL463" s="5">
        <f t="shared" si="63"/>
        <v>0</v>
      </c>
      <c r="AM463" s="60"/>
      <c r="AN463" s="60"/>
      <c r="AO463" s="5"/>
    </row>
    <row r="464" spans="1:41">
      <c r="A464" s="5"/>
      <c r="B464" s="11" t="s">
        <v>816</v>
      </c>
      <c r="C464" s="22"/>
      <c r="D464" s="22"/>
      <c r="E464" s="22"/>
      <c r="F464" s="22"/>
      <c r="G464" s="22"/>
      <c r="H464" s="22"/>
      <c r="I464" s="22"/>
      <c r="J464" s="22"/>
      <c r="K464" s="5">
        <f t="shared" si="61"/>
        <v>0</v>
      </c>
      <c r="L464" s="5">
        <f t="shared" si="61"/>
        <v>0</v>
      </c>
      <c r="M464" s="5">
        <f t="shared" si="61"/>
        <v>0</v>
      </c>
      <c r="N464" s="5">
        <f t="shared" si="61"/>
        <v>0</v>
      </c>
      <c r="O464" s="5">
        <f t="shared" si="61"/>
        <v>0</v>
      </c>
      <c r="P464" s="5">
        <f t="shared" si="61"/>
        <v>0</v>
      </c>
      <c r="Q464" s="5">
        <f t="shared" si="61"/>
        <v>0</v>
      </c>
      <c r="R464" s="5">
        <f t="shared" si="61"/>
        <v>17.760000000000002</v>
      </c>
      <c r="S464" s="5">
        <f t="shared" si="61"/>
        <v>16.97</v>
      </c>
      <c r="T464" s="5">
        <f t="shared" si="61"/>
        <v>16.12</v>
      </c>
      <c r="U464" s="5">
        <f t="shared" si="62"/>
        <v>15.31</v>
      </c>
      <c r="V464" s="5">
        <f t="shared" si="62"/>
        <v>14.55</v>
      </c>
      <c r="W464" s="5">
        <f t="shared" si="62"/>
        <v>0</v>
      </c>
      <c r="X464" s="5">
        <f t="shared" si="62"/>
        <v>0</v>
      </c>
      <c r="Y464" s="5">
        <f t="shared" si="62"/>
        <v>0</v>
      </c>
      <c r="Z464" s="5">
        <f t="shared" si="62"/>
        <v>0</v>
      </c>
      <c r="AA464" s="5">
        <f t="shared" si="62"/>
        <v>0</v>
      </c>
      <c r="AB464" s="5">
        <f t="shared" si="62"/>
        <v>0</v>
      </c>
      <c r="AC464" s="5">
        <f t="shared" si="62"/>
        <v>0</v>
      </c>
      <c r="AD464" s="5">
        <f t="shared" si="62"/>
        <v>0</v>
      </c>
      <c r="AE464" s="5">
        <f t="shared" si="63"/>
        <v>0</v>
      </c>
      <c r="AF464" s="5">
        <f t="shared" si="63"/>
        <v>0</v>
      </c>
      <c r="AG464" s="5">
        <f t="shared" si="63"/>
        <v>0</v>
      </c>
      <c r="AH464" s="5">
        <f t="shared" si="63"/>
        <v>0</v>
      </c>
      <c r="AI464" s="5">
        <f t="shared" si="63"/>
        <v>0</v>
      </c>
      <c r="AJ464" s="5">
        <f t="shared" si="63"/>
        <v>0</v>
      </c>
      <c r="AK464" s="5">
        <f t="shared" si="63"/>
        <v>0</v>
      </c>
      <c r="AL464" s="5">
        <f t="shared" si="63"/>
        <v>0</v>
      </c>
      <c r="AM464" s="60"/>
      <c r="AN464" s="60"/>
      <c r="AO464" s="5"/>
    </row>
    <row r="465" spans="1:41">
      <c r="A465" s="5"/>
      <c r="B465" s="38" t="s">
        <v>1962</v>
      </c>
      <c r="C465" s="22"/>
      <c r="D465" s="22"/>
      <c r="E465" s="22"/>
      <c r="F465" s="22"/>
      <c r="G465" s="22"/>
      <c r="H465" s="22"/>
      <c r="I465" s="22"/>
      <c r="J465" s="22"/>
      <c r="K465" s="5">
        <f t="shared" si="61"/>
        <v>0</v>
      </c>
      <c r="L465" s="5">
        <f t="shared" si="61"/>
        <v>0</v>
      </c>
      <c r="M465" s="5">
        <f t="shared" si="61"/>
        <v>0</v>
      </c>
      <c r="N465" s="5">
        <f t="shared" si="61"/>
        <v>0</v>
      </c>
      <c r="O465" s="5">
        <f t="shared" si="61"/>
        <v>0</v>
      </c>
      <c r="P465" s="5">
        <f t="shared" si="61"/>
        <v>0</v>
      </c>
      <c r="Q465" s="5">
        <f t="shared" si="61"/>
        <v>0</v>
      </c>
      <c r="R465" s="5">
        <f t="shared" si="61"/>
        <v>0</v>
      </c>
      <c r="S465" s="5">
        <f t="shared" si="61"/>
        <v>0</v>
      </c>
      <c r="T465" s="5">
        <f t="shared" si="61"/>
        <v>0</v>
      </c>
      <c r="U465" s="5">
        <f t="shared" si="62"/>
        <v>0</v>
      </c>
      <c r="V465" s="5">
        <f t="shared" si="62"/>
        <v>0</v>
      </c>
      <c r="W465" s="5">
        <f t="shared" si="62"/>
        <v>0</v>
      </c>
      <c r="X465" s="5">
        <f t="shared" si="62"/>
        <v>0</v>
      </c>
      <c r="Y465" s="5">
        <f t="shared" si="62"/>
        <v>0</v>
      </c>
      <c r="Z465" s="5">
        <f t="shared" si="62"/>
        <v>0</v>
      </c>
      <c r="AA465" s="5">
        <f t="shared" si="62"/>
        <v>0</v>
      </c>
      <c r="AB465" s="5">
        <f t="shared" si="62"/>
        <v>0</v>
      </c>
      <c r="AC465" s="5">
        <f t="shared" si="62"/>
        <v>0</v>
      </c>
      <c r="AD465" s="5">
        <f t="shared" si="62"/>
        <v>0</v>
      </c>
      <c r="AE465" s="5">
        <f t="shared" si="63"/>
        <v>0</v>
      </c>
      <c r="AF465" s="5">
        <f t="shared" si="63"/>
        <v>0</v>
      </c>
      <c r="AG465" s="5">
        <f t="shared" si="63"/>
        <v>0</v>
      </c>
      <c r="AH465" s="5">
        <f t="shared" si="63"/>
        <v>0</v>
      </c>
      <c r="AI465" s="5">
        <f t="shared" si="63"/>
        <v>0</v>
      </c>
      <c r="AJ465" s="5">
        <f t="shared" si="63"/>
        <v>0</v>
      </c>
      <c r="AK465" s="5">
        <f t="shared" si="63"/>
        <v>0</v>
      </c>
      <c r="AL465" s="5">
        <f t="shared" si="63"/>
        <v>0</v>
      </c>
      <c r="AM465" s="60"/>
      <c r="AN465" s="60"/>
      <c r="AO465" s="5"/>
    </row>
    <row r="466" spans="1:41">
      <c r="A466" s="5"/>
      <c r="B466" s="38" t="s">
        <v>139</v>
      </c>
      <c r="C466" s="22"/>
      <c r="D466" s="22"/>
      <c r="E466" s="22"/>
      <c r="F466" s="22"/>
      <c r="G466" s="22"/>
      <c r="H466" s="22"/>
      <c r="I466" s="22"/>
      <c r="J466" s="22"/>
      <c r="K466" s="5">
        <f t="shared" si="61"/>
        <v>0</v>
      </c>
      <c r="L466" s="5">
        <f t="shared" si="61"/>
        <v>0</v>
      </c>
      <c r="M466" s="5">
        <f t="shared" si="61"/>
        <v>0</v>
      </c>
      <c r="N466" s="5">
        <f t="shared" si="61"/>
        <v>0</v>
      </c>
      <c r="O466" s="5">
        <f t="shared" si="61"/>
        <v>0</v>
      </c>
      <c r="P466" s="5">
        <f t="shared" si="61"/>
        <v>0</v>
      </c>
      <c r="Q466" s="5">
        <f t="shared" si="61"/>
        <v>0</v>
      </c>
      <c r="R466" s="5">
        <f t="shared" si="61"/>
        <v>0</v>
      </c>
      <c r="S466" s="5">
        <f t="shared" si="61"/>
        <v>0</v>
      </c>
      <c r="T466" s="5">
        <f t="shared" si="61"/>
        <v>0</v>
      </c>
      <c r="U466" s="5">
        <f t="shared" si="62"/>
        <v>0</v>
      </c>
      <c r="V466" s="5">
        <f t="shared" si="62"/>
        <v>0</v>
      </c>
      <c r="W466" s="5">
        <f t="shared" si="62"/>
        <v>0</v>
      </c>
      <c r="X466" s="5">
        <f t="shared" si="62"/>
        <v>0</v>
      </c>
      <c r="Y466" s="5">
        <f t="shared" si="62"/>
        <v>0</v>
      </c>
      <c r="Z466" s="5">
        <f t="shared" si="62"/>
        <v>0</v>
      </c>
      <c r="AA466" s="5">
        <f t="shared" si="62"/>
        <v>0</v>
      </c>
      <c r="AB466" s="5">
        <f t="shared" si="62"/>
        <v>0</v>
      </c>
      <c r="AC466" s="5">
        <f t="shared" si="62"/>
        <v>0</v>
      </c>
      <c r="AD466" s="5">
        <f t="shared" si="62"/>
        <v>0</v>
      </c>
      <c r="AE466" s="5">
        <f t="shared" si="63"/>
        <v>0</v>
      </c>
      <c r="AF466" s="5">
        <f t="shared" si="63"/>
        <v>0</v>
      </c>
      <c r="AG466" s="5">
        <f t="shared" si="63"/>
        <v>0</v>
      </c>
      <c r="AH466" s="5">
        <f t="shared" si="63"/>
        <v>0</v>
      </c>
      <c r="AI466" s="5">
        <f t="shared" si="63"/>
        <v>0</v>
      </c>
      <c r="AJ466" s="5">
        <f t="shared" si="63"/>
        <v>0</v>
      </c>
      <c r="AK466" s="5">
        <f t="shared" si="63"/>
        <v>0</v>
      </c>
      <c r="AL466" s="5">
        <f t="shared" si="63"/>
        <v>0</v>
      </c>
      <c r="AM466" s="60"/>
      <c r="AN466" s="60"/>
      <c r="AO466" s="5"/>
    </row>
    <row r="467" spans="1:41">
      <c r="A467" s="5"/>
      <c r="B467" s="38" t="s">
        <v>1745</v>
      </c>
      <c r="C467" s="22"/>
      <c r="D467" s="22"/>
      <c r="E467" s="22"/>
      <c r="F467" s="22"/>
      <c r="G467" s="22"/>
      <c r="H467" s="22"/>
      <c r="I467" s="22"/>
      <c r="J467" s="22"/>
      <c r="K467" s="296"/>
      <c r="L467" s="296"/>
      <c r="M467" s="296"/>
      <c r="N467" s="296"/>
      <c r="O467" s="296"/>
      <c r="P467" s="296"/>
      <c r="Q467" s="296"/>
      <c r="R467" s="296"/>
      <c r="S467" s="296"/>
      <c r="T467" s="296"/>
      <c r="U467" s="296"/>
      <c r="V467" s="296"/>
      <c r="W467" s="296"/>
      <c r="X467" s="296"/>
      <c r="Y467" s="5">
        <f t="shared" ref="Y467:AL478" si="64">SUMIF($C$437:$C$446,$B467,Y$437:Y$446)</f>
        <v>59.522999999999996</v>
      </c>
      <c r="Z467" s="5">
        <f t="shared" si="64"/>
        <v>55.280999999999999</v>
      </c>
      <c r="AA467" s="5">
        <f t="shared" si="64"/>
        <v>45.612000000000009</v>
      </c>
      <c r="AB467" s="5">
        <f t="shared" si="64"/>
        <v>45.78</v>
      </c>
      <c r="AC467" s="5">
        <f t="shared" si="64"/>
        <v>56.997</v>
      </c>
      <c r="AD467" s="5">
        <f t="shared" si="64"/>
        <v>74.078999999999994</v>
      </c>
      <c r="AE467" s="5">
        <f t="shared" si="64"/>
        <v>113.07000000000001</v>
      </c>
      <c r="AF467" s="5">
        <f t="shared" si="64"/>
        <v>161.352</v>
      </c>
      <c r="AG467" s="5">
        <f t="shared" si="64"/>
        <v>145.95000000000002</v>
      </c>
      <c r="AH467" s="5">
        <f t="shared" si="64"/>
        <v>131.67599999999999</v>
      </c>
      <c r="AI467" s="5">
        <f t="shared" si="64"/>
        <v>114.38400000000001</v>
      </c>
      <c r="AJ467" s="5">
        <f t="shared" si="64"/>
        <v>99.234000000000009</v>
      </c>
      <c r="AK467" s="5">
        <f t="shared" si="64"/>
        <v>101.55</v>
      </c>
      <c r="AL467" s="5">
        <f t="shared" si="64"/>
        <v>90.177000000000007</v>
      </c>
      <c r="AM467" s="60"/>
      <c r="AN467" s="60"/>
      <c r="AO467" s="5"/>
    </row>
    <row r="468" spans="1:41">
      <c r="A468" s="5"/>
      <c r="B468" s="11" t="s">
        <v>3277</v>
      </c>
      <c r="C468" s="22"/>
      <c r="D468" s="22"/>
      <c r="E468" s="22"/>
      <c r="F468" s="22"/>
      <c r="G468" s="22"/>
      <c r="H468" s="22"/>
      <c r="I468" s="22"/>
      <c r="J468" s="22"/>
      <c r="K468" s="5">
        <f t="shared" ref="K468:X478" si="65">SUMIF($C$437:$C$446,$B468,K$437:K$446)</f>
        <v>0</v>
      </c>
      <c r="L468" s="5">
        <f t="shared" si="65"/>
        <v>0</v>
      </c>
      <c r="M468" s="5">
        <f t="shared" si="65"/>
        <v>0</v>
      </c>
      <c r="N468" s="5">
        <f t="shared" si="65"/>
        <v>0</v>
      </c>
      <c r="O468" s="5">
        <f t="shared" si="65"/>
        <v>0</v>
      </c>
      <c r="P468" s="5">
        <f t="shared" si="65"/>
        <v>0</v>
      </c>
      <c r="Q468" s="5">
        <f t="shared" si="65"/>
        <v>0</v>
      </c>
      <c r="R468" s="5">
        <f t="shared" si="65"/>
        <v>0</v>
      </c>
      <c r="S468" s="5">
        <f t="shared" si="65"/>
        <v>0</v>
      </c>
      <c r="T468" s="5">
        <f t="shared" si="65"/>
        <v>0</v>
      </c>
      <c r="U468" s="5">
        <f t="shared" si="65"/>
        <v>0</v>
      </c>
      <c r="V468" s="5">
        <f t="shared" si="65"/>
        <v>0</v>
      </c>
      <c r="W468" s="5">
        <f t="shared" si="65"/>
        <v>0</v>
      </c>
      <c r="X468" s="5">
        <f t="shared" si="65"/>
        <v>0</v>
      </c>
      <c r="Y468" s="5">
        <f t="shared" si="64"/>
        <v>0</v>
      </c>
      <c r="Z468" s="5">
        <f t="shared" si="64"/>
        <v>0</v>
      </c>
      <c r="AA468" s="5">
        <f t="shared" si="64"/>
        <v>0</v>
      </c>
      <c r="AB468" s="5">
        <f t="shared" si="64"/>
        <v>0</v>
      </c>
      <c r="AC468" s="5">
        <f t="shared" si="64"/>
        <v>0</v>
      </c>
      <c r="AD468" s="5">
        <f t="shared" si="64"/>
        <v>0</v>
      </c>
      <c r="AE468" s="5">
        <f t="shared" si="64"/>
        <v>0</v>
      </c>
      <c r="AF468" s="5">
        <f t="shared" si="64"/>
        <v>0</v>
      </c>
      <c r="AG468" s="5">
        <f t="shared" si="64"/>
        <v>0</v>
      </c>
      <c r="AH468" s="5">
        <f t="shared" si="64"/>
        <v>0</v>
      </c>
      <c r="AI468" s="5">
        <f t="shared" si="64"/>
        <v>0</v>
      </c>
      <c r="AJ468" s="5">
        <f t="shared" si="64"/>
        <v>0</v>
      </c>
      <c r="AK468" s="5">
        <f t="shared" si="64"/>
        <v>0</v>
      </c>
      <c r="AL468" s="5">
        <f t="shared" si="64"/>
        <v>0</v>
      </c>
      <c r="AM468" s="60"/>
      <c r="AN468" s="60"/>
      <c r="AO468" s="5"/>
    </row>
    <row r="469" spans="1:41">
      <c r="A469" s="5"/>
      <c r="B469" s="38" t="s">
        <v>3400</v>
      </c>
      <c r="C469" s="22"/>
      <c r="D469" s="22"/>
      <c r="E469" s="22"/>
      <c r="F469" s="22"/>
      <c r="G469" s="22"/>
      <c r="H469" s="22"/>
      <c r="I469" s="22"/>
      <c r="J469" s="22"/>
      <c r="K469" s="5">
        <f t="shared" si="65"/>
        <v>21</v>
      </c>
      <c r="L469" s="5">
        <f t="shared" si="65"/>
        <v>51.79</v>
      </c>
      <c r="M469" s="5">
        <f t="shared" si="65"/>
        <v>75.7</v>
      </c>
      <c r="N469" s="5">
        <f t="shared" si="65"/>
        <v>87.08</v>
      </c>
      <c r="O469" s="5">
        <f t="shared" si="65"/>
        <v>83.21</v>
      </c>
      <c r="P469" s="5">
        <f t="shared" si="65"/>
        <v>90.49</v>
      </c>
      <c r="Q469" s="5">
        <f t="shared" si="65"/>
        <v>84.32</v>
      </c>
      <c r="R469" s="5">
        <f t="shared" si="65"/>
        <v>66.55</v>
      </c>
      <c r="S469" s="5">
        <f t="shared" si="65"/>
        <v>0</v>
      </c>
      <c r="T469" s="5">
        <f t="shared" si="65"/>
        <v>0</v>
      </c>
      <c r="U469" s="5">
        <f t="shared" si="65"/>
        <v>0</v>
      </c>
      <c r="V469" s="5">
        <f t="shared" si="65"/>
        <v>0</v>
      </c>
      <c r="W469" s="5">
        <f t="shared" si="65"/>
        <v>0</v>
      </c>
      <c r="X469" s="5">
        <f t="shared" si="65"/>
        <v>0</v>
      </c>
      <c r="Y469" s="5">
        <f t="shared" si="64"/>
        <v>0</v>
      </c>
      <c r="Z469" s="5">
        <f t="shared" si="64"/>
        <v>0</v>
      </c>
      <c r="AA469" s="5">
        <f t="shared" si="64"/>
        <v>0</v>
      </c>
      <c r="AB469" s="5">
        <f t="shared" si="64"/>
        <v>0</v>
      </c>
      <c r="AC469" s="5">
        <f t="shared" si="64"/>
        <v>0</v>
      </c>
      <c r="AD469" s="5">
        <f t="shared" si="64"/>
        <v>0</v>
      </c>
      <c r="AE469" s="5">
        <f t="shared" si="64"/>
        <v>0</v>
      </c>
      <c r="AF469" s="5">
        <f t="shared" si="64"/>
        <v>0</v>
      </c>
      <c r="AG469" s="5">
        <f t="shared" si="64"/>
        <v>0</v>
      </c>
      <c r="AH469" s="5">
        <f t="shared" si="64"/>
        <v>0</v>
      </c>
      <c r="AI469" s="5">
        <f t="shared" si="64"/>
        <v>0</v>
      </c>
      <c r="AJ469" s="5">
        <f t="shared" si="64"/>
        <v>0</v>
      </c>
      <c r="AK469" s="5">
        <f t="shared" si="64"/>
        <v>0</v>
      </c>
      <c r="AL469" s="5">
        <f t="shared" si="64"/>
        <v>0</v>
      </c>
      <c r="AM469" s="60"/>
      <c r="AN469" s="60"/>
      <c r="AO469" s="5"/>
    </row>
    <row r="470" spans="1:41">
      <c r="A470" s="5"/>
      <c r="B470" s="38" t="s">
        <v>3403</v>
      </c>
      <c r="C470" s="22"/>
      <c r="D470" s="22"/>
      <c r="E470" s="22"/>
      <c r="F470" s="22"/>
      <c r="G470" s="22"/>
      <c r="H470" s="22"/>
      <c r="I470" s="22"/>
      <c r="J470" s="22"/>
      <c r="K470" s="5">
        <f t="shared" si="65"/>
        <v>0</v>
      </c>
      <c r="L470" s="5">
        <f t="shared" si="65"/>
        <v>0</v>
      </c>
      <c r="M470" s="5">
        <f t="shared" si="65"/>
        <v>0</v>
      </c>
      <c r="N470" s="5">
        <f t="shared" si="65"/>
        <v>0</v>
      </c>
      <c r="O470" s="5">
        <f t="shared" si="65"/>
        <v>0</v>
      </c>
      <c r="P470" s="5">
        <f t="shared" si="65"/>
        <v>0</v>
      </c>
      <c r="Q470" s="5">
        <f t="shared" si="65"/>
        <v>0</v>
      </c>
      <c r="R470" s="5">
        <f t="shared" si="65"/>
        <v>0</v>
      </c>
      <c r="S470" s="5">
        <f t="shared" si="65"/>
        <v>0</v>
      </c>
      <c r="T470" s="5">
        <f t="shared" si="65"/>
        <v>0</v>
      </c>
      <c r="U470" s="5">
        <f t="shared" si="65"/>
        <v>0</v>
      </c>
      <c r="V470" s="5">
        <f t="shared" si="65"/>
        <v>0</v>
      </c>
      <c r="W470" s="5">
        <f t="shared" si="65"/>
        <v>0</v>
      </c>
      <c r="X470" s="5">
        <f t="shared" si="65"/>
        <v>0</v>
      </c>
      <c r="Y470" s="5">
        <f t="shared" si="64"/>
        <v>0</v>
      </c>
      <c r="Z470" s="5">
        <f t="shared" si="64"/>
        <v>0</v>
      </c>
      <c r="AA470" s="5">
        <f t="shared" si="64"/>
        <v>0</v>
      </c>
      <c r="AB470" s="5">
        <f t="shared" si="64"/>
        <v>0</v>
      </c>
      <c r="AC470" s="5">
        <f t="shared" si="64"/>
        <v>0</v>
      </c>
      <c r="AD470" s="5">
        <f t="shared" si="64"/>
        <v>0</v>
      </c>
      <c r="AE470" s="5">
        <f t="shared" si="64"/>
        <v>0</v>
      </c>
      <c r="AF470" s="5">
        <f t="shared" si="64"/>
        <v>0</v>
      </c>
      <c r="AG470" s="5">
        <f t="shared" si="64"/>
        <v>0</v>
      </c>
      <c r="AH470" s="5">
        <f t="shared" si="64"/>
        <v>0</v>
      </c>
      <c r="AI470" s="5">
        <f t="shared" si="64"/>
        <v>0</v>
      </c>
      <c r="AJ470" s="5">
        <f t="shared" si="64"/>
        <v>0</v>
      </c>
      <c r="AK470" s="5">
        <f t="shared" si="64"/>
        <v>0</v>
      </c>
      <c r="AL470" s="5">
        <f t="shared" si="64"/>
        <v>0</v>
      </c>
      <c r="AM470" s="60"/>
      <c r="AN470" s="60"/>
      <c r="AO470" s="5"/>
    </row>
    <row r="471" spans="1:41">
      <c r="A471" s="5"/>
      <c r="B471" s="38" t="s">
        <v>3278</v>
      </c>
      <c r="C471" s="22"/>
      <c r="D471" s="22"/>
      <c r="E471" s="22"/>
      <c r="F471" s="22"/>
      <c r="G471" s="22"/>
      <c r="H471" s="22"/>
      <c r="I471" s="22"/>
      <c r="J471" s="22"/>
      <c r="K471" s="5">
        <f t="shared" si="65"/>
        <v>0</v>
      </c>
      <c r="L471" s="5">
        <f t="shared" si="65"/>
        <v>0</v>
      </c>
      <c r="M471" s="5">
        <f t="shared" si="65"/>
        <v>0</v>
      </c>
      <c r="N471" s="5">
        <f t="shared" si="65"/>
        <v>0</v>
      </c>
      <c r="O471" s="5">
        <f t="shared" si="65"/>
        <v>0</v>
      </c>
      <c r="P471" s="5">
        <f t="shared" si="65"/>
        <v>0</v>
      </c>
      <c r="Q471" s="5">
        <f t="shared" si="65"/>
        <v>0</v>
      </c>
      <c r="R471" s="5">
        <f t="shared" si="65"/>
        <v>0</v>
      </c>
      <c r="S471" s="5">
        <f t="shared" si="65"/>
        <v>0</v>
      </c>
      <c r="T471" s="5">
        <f t="shared" si="65"/>
        <v>0</v>
      </c>
      <c r="U471" s="5">
        <f t="shared" si="65"/>
        <v>0</v>
      </c>
      <c r="V471" s="5">
        <f t="shared" si="65"/>
        <v>0</v>
      </c>
      <c r="W471" s="5">
        <f t="shared" si="65"/>
        <v>0</v>
      </c>
      <c r="X471" s="5">
        <f t="shared" si="65"/>
        <v>0</v>
      </c>
      <c r="Y471" s="5">
        <f t="shared" si="64"/>
        <v>0</v>
      </c>
      <c r="Z471" s="5">
        <f t="shared" si="64"/>
        <v>0</v>
      </c>
      <c r="AA471" s="5">
        <f t="shared" si="64"/>
        <v>0</v>
      </c>
      <c r="AB471" s="5">
        <f t="shared" si="64"/>
        <v>0</v>
      </c>
      <c r="AC471" s="5">
        <f t="shared" si="64"/>
        <v>0</v>
      </c>
      <c r="AD471" s="5">
        <f t="shared" si="64"/>
        <v>0</v>
      </c>
      <c r="AE471" s="5">
        <f t="shared" si="64"/>
        <v>0</v>
      </c>
      <c r="AF471" s="5">
        <f t="shared" si="64"/>
        <v>0</v>
      </c>
      <c r="AG471" s="5">
        <f t="shared" si="64"/>
        <v>0</v>
      </c>
      <c r="AH471" s="5">
        <f t="shared" si="64"/>
        <v>0</v>
      </c>
      <c r="AI471" s="5">
        <f t="shared" si="64"/>
        <v>0</v>
      </c>
      <c r="AJ471" s="5">
        <f t="shared" si="64"/>
        <v>0</v>
      </c>
      <c r="AK471" s="5">
        <f t="shared" si="64"/>
        <v>0</v>
      </c>
      <c r="AL471" s="5">
        <f t="shared" si="64"/>
        <v>0</v>
      </c>
      <c r="AM471" s="60"/>
      <c r="AN471" s="60"/>
      <c r="AO471" s="5"/>
    </row>
    <row r="472" spans="1:41">
      <c r="A472" s="5"/>
      <c r="B472" s="47" t="s">
        <v>1703</v>
      </c>
      <c r="C472" s="22"/>
      <c r="D472" s="22"/>
      <c r="E472" s="22"/>
      <c r="F472" s="22"/>
      <c r="G472" s="22"/>
      <c r="H472" s="22"/>
      <c r="I472" s="22"/>
      <c r="J472" s="22"/>
      <c r="K472" s="5">
        <f t="shared" si="65"/>
        <v>0</v>
      </c>
      <c r="L472" s="5">
        <f t="shared" si="65"/>
        <v>0</v>
      </c>
      <c r="M472" s="5">
        <f t="shared" si="65"/>
        <v>0</v>
      </c>
      <c r="N472" s="5">
        <f t="shared" si="65"/>
        <v>0</v>
      </c>
      <c r="O472" s="5">
        <f t="shared" si="65"/>
        <v>0</v>
      </c>
      <c r="P472" s="5">
        <f t="shared" si="65"/>
        <v>0</v>
      </c>
      <c r="Q472" s="5">
        <f t="shared" si="65"/>
        <v>0</v>
      </c>
      <c r="R472" s="5">
        <f t="shared" si="65"/>
        <v>0</v>
      </c>
      <c r="S472" s="5">
        <f t="shared" si="65"/>
        <v>0</v>
      </c>
      <c r="T472" s="5">
        <f t="shared" si="65"/>
        <v>0</v>
      </c>
      <c r="U472" s="5">
        <f t="shared" si="65"/>
        <v>498.30039999999991</v>
      </c>
      <c r="V472" s="5">
        <f t="shared" si="65"/>
        <v>957.42489750000016</v>
      </c>
      <c r="W472" s="5">
        <f t="shared" si="65"/>
        <v>1037.2304999999999</v>
      </c>
      <c r="X472" s="5">
        <f t="shared" si="65"/>
        <v>1056.0562000000002</v>
      </c>
      <c r="Y472" s="5">
        <f t="shared" si="64"/>
        <v>1026.34825</v>
      </c>
      <c r="Z472" s="5">
        <f t="shared" si="64"/>
        <v>1194.2864500000003</v>
      </c>
      <c r="AA472" s="5">
        <f t="shared" si="64"/>
        <v>1342.0342250000001</v>
      </c>
      <c r="AB472" s="5">
        <f t="shared" si="64"/>
        <v>1449.7645500000001</v>
      </c>
      <c r="AC472" s="5">
        <f t="shared" si="64"/>
        <v>1513.6222250000001</v>
      </c>
      <c r="AD472" s="5">
        <f t="shared" si="64"/>
        <v>1572.9492500000001</v>
      </c>
      <c r="AE472" s="5">
        <f t="shared" si="64"/>
        <v>1572.2481250000001</v>
      </c>
      <c r="AF472" s="5">
        <f t="shared" si="64"/>
        <v>1605.870525</v>
      </c>
      <c r="AG472" s="5">
        <f t="shared" si="64"/>
        <v>1595.0060500000004</v>
      </c>
      <c r="AH472" s="5">
        <f t="shared" si="64"/>
        <v>1592.7348000000004</v>
      </c>
      <c r="AI472" s="5">
        <f t="shared" si="64"/>
        <v>1551.8048999999996</v>
      </c>
      <c r="AJ472" s="5">
        <f t="shared" si="64"/>
        <v>1500.5832750000002</v>
      </c>
      <c r="AK472" s="5">
        <f t="shared" si="64"/>
        <v>1451.7355999999997</v>
      </c>
      <c r="AL472" s="5">
        <f t="shared" si="64"/>
        <v>1383.8588</v>
      </c>
      <c r="AM472" s="60"/>
      <c r="AN472" s="60"/>
      <c r="AO472" s="5"/>
    </row>
    <row r="473" spans="1:41">
      <c r="A473" s="5"/>
      <c r="B473" s="38" t="s">
        <v>1961</v>
      </c>
      <c r="C473" s="22"/>
      <c r="D473" s="22"/>
      <c r="E473" s="22"/>
      <c r="F473" s="22"/>
      <c r="G473" s="22"/>
      <c r="H473" s="22"/>
      <c r="I473" s="22"/>
      <c r="J473" s="22"/>
      <c r="K473" s="5">
        <f t="shared" si="65"/>
        <v>0</v>
      </c>
      <c r="L473" s="5">
        <f t="shared" si="65"/>
        <v>0</v>
      </c>
      <c r="M473" s="5">
        <f t="shared" si="65"/>
        <v>0</v>
      </c>
      <c r="N473" s="5">
        <f t="shared" si="65"/>
        <v>0</v>
      </c>
      <c r="O473" s="5">
        <f t="shared" si="65"/>
        <v>0</v>
      </c>
      <c r="P473" s="5">
        <f t="shared" si="65"/>
        <v>0</v>
      </c>
      <c r="Q473" s="5">
        <f t="shared" si="65"/>
        <v>0</v>
      </c>
      <c r="R473" s="5">
        <f t="shared" si="65"/>
        <v>0</v>
      </c>
      <c r="S473" s="5">
        <f t="shared" si="65"/>
        <v>0</v>
      </c>
      <c r="T473" s="5">
        <f t="shared" si="65"/>
        <v>0</v>
      </c>
      <c r="U473" s="5">
        <f t="shared" si="65"/>
        <v>0</v>
      </c>
      <c r="V473" s="5">
        <f t="shared" si="65"/>
        <v>0</v>
      </c>
      <c r="W473" s="5">
        <f t="shared" si="65"/>
        <v>0</v>
      </c>
      <c r="X473" s="5">
        <f t="shared" si="65"/>
        <v>0</v>
      </c>
      <c r="Y473" s="5">
        <f t="shared" si="64"/>
        <v>0</v>
      </c>
      <c r="Z473" s="5">
        <f t="shared" si="64"/>
        <v>0</v>
      </c>
      <c r="AA473" s="5">
        <f t="shared" si="64"/>
        <v>0</v>
      </c>
      <c r="AB473" s="5">
        <f t="shared" si="64"/>
        <v>0</v>
      </c>
      <c r="AC473" s="5">
        <f t="shared" si="64"/>
        <v>0</v>
      </c>
      <c r="AD473" s="5">
        <f t="shared" si="64"/>
        <v>0</v>
      </c>
      <c r="AE473" s="5">
        <f t="shared" si="64"/>
        <v>0</v>
      </c>
      <c r="AF473" s="5">
        <f t="shared" si="64"/>
        <v>0</v>
      </c>
      <c r="AG473" s="5">
        <f t="shared" si="64"/>
        <v>0</v>
      </c>
      <c r="AH473" s="5">
        <f t="shared" si="64"/>
        <v>0</v>
      </c>
      <c r="AI473" s="5">
        <f t="shared" si="64"/>
        <v>0</v>
      </c>
      <c r="AJ473" s="5">
        <f t="shared" si="64"/>
        <v>0</v>
      </c>
      <c r="AK473" s="5">
        <f t="shared" si="64"/>
        <v>0</v>
      </c>
      <c r="AL473" s="5">
        <f t="shared" si="64"/>
        <v>0</v>
      </c>
      <c r="AM473" s="60"/>
      <c r="AN473" s="60"/>
      <c r="AO473" s="5"/>
    </row>
    <row r="474" spans="1:41">
      <c r="A474" s="5"/>
      <c r="B474" s="38" t="s">
        <v>1280</v>
      </c>
      <c r="C474" s="22"/>
      <c r="D474" s="22"/>
      <c r="E474" s="22"/>
      <c r="F474" s="22"/>
      <c r="G474" s="22"/>
      <c r="H474" s="22"/>
      <c r="I474" s="22"/>
      <c r="J474" s="22"/>
      <c r="K474" s="5">
        <f t="shared" si="65"/>
        <v>0</v>
      </c>
      <c r="L474" s="5">
        <f t="shared" si="65"/>
        <v>0</v>
      </c>
      <c r="M474" s="5">
        <f t="shared" si="65"/>
        <v>0</v>
      </c>
      <c r="N474" s="5">
        <f t="shared" si="65"/>
        <v>0</v>
      </c>
      <c r="O474" s="5">
        <f t="shared" si="65"/>
        <v>0</v>
      </c>
      <c r="P474" s="5">
        <f t="shared" si="65"/>
        <v>0</v>
      </c>
      <c r="Q474" s="5">
        <f t="shared" si="65"/>
        <v>0</v>
      </c>
      <c r="R474" s="5">
        <f t="shared" si="65"/>
        <v>0</v>
      </c>
      <c r="S474" s="5">
        <f t="shared" si="65"/>
        <v>0</v>
      </c>
      <c r="T474" s="5">
        <f t="shared" si="65"/>
        <v>0</v>
      </c>
      <c r="U474" s="5">
        <f t="shared" si="65"/>
        <v>0</v>
      </c>
      <c r="V474" s="5">
        <f t="shared" si="65"/>
        <v>0</v>
      </c>
      <c r="W474" s="5">
        <f t="shared" si="65"/>
        <v>0</v>
      </c>
      <c r="X474" s="5">
        <f t="shared" si="65"/>
        <v>0</v>
      </c>
      <c r="Y474" s="5">
        <f t="shared" si="64"/>
        <v>0</v>
      </c>
      <c r="Z474" s="5">
        <f t="shared" si="64"/>
        <v>0</v>
      </c>
      <c r="AA474" s="5">
        <f t="shared" si="64"/>
        <v>0</v>
      </c>
      <c r="AB474" s="5">
        <f t="shared" si="64"/>
        <v>0</v>
      </c>
      <c r="AC474" s="5">
        <f t="shared" si="64"/>
        <v>0</v>
      </c>
      <c r="AD474" s="5">
        <f t="shared" si="64"/>
        <v>0</v>
      </c>
      <c r="AE474" s="5">
        <f t="shared" si="64"/>
        <v>0</v>
      </c>
      <c r="AF474" s="5">
        <f t="shared" si="64"/>
        <v>0</v>
      </c>
      <c r="AG474" s="5">
        <f t="shared" si="64"/>
        <v>0</v>
      </c>
      <c r="AH474" s="5">
        <f t="shared" si="64"/>
        <v>0</v>
      </c>
      <c r="AI474" s="5">
        <f t="shared" si="64"/>
        <v>0</v>
      </c>
      <c r="AJ474" s="5">
        <f t="shared" si="64"/>
        <v>0</v>
      </c>
      <c r="AK474" s="5">
        <f t="shared" si="64"/>
        <v>0</v>
      </c>
      <c r="AL474" s="5">
        <f t="shared" si="64"/>
        <v>0</v>
      </c>
      <c r="AM474" s="60"/>
      <c r="AN474" s="60"/>
      <c r="AO474" s="5"/>
    </row>
    <row r="475" spans="1:41">
      <c r="A475" s="5"/>
      <c r="B475" s="38" t="s">
        <v>1281</v>
      </c>
      <c r="C475" s="22"/>
      <c r="D475" s="22"/>
      <c r="E475" s="22"/>
      <c r="F475" s="22"/>
      <c r="G475" s="22"/>
      <c r="H475" s="22"/>
      <c r="I475" s="22"/>
      <c r="J475" s="22"/>
      <c r="K475" s="5">
        <f t="shared" si="65"/>
        <v>0</v>
      </c>
      <c r="L475" s="5">
        <f t="shared" si="65"/>
        <v>0</v>
      </c>
      <c r="M475" s="5">
        <f t="shared" si="65"/>
        <v>0</v>
      </c>
      <c r="N475" s="5">
        <f t="shared" si="65"/>
        <v>0</v>
      </c>
      <c r="O475" s="5">
        <f t="shared" si="65"/>
        <v>0</v>
      </c>
      <c r="P475" s="5">
        <f t="shared" si="65"/>
        <v>0</v>
      </c>
      <c r="Q475" s="5">
        <f t="shared" si="65"/>
        <v>0</v>
      </c>
      <c r="R475" s="5">
        <f t="shared" si="65"/>
        <v>0</v>
      </c>
      <c r="S475" s="5">
        <f t="shared" si="65"/>
        <v>0</v>
      </c>
      <c r="T475" s="5">
        <f t="shared" si="65"/>
        <v>0</v>
      </c>
      <c r="U475" s="5">
        <f t="shared" si="65"/>
        <v>0</v>
      </c>
      <c r="V475" s="5">
        <f t="shared" si="65"/>
        <v>0</v>
      </c>
      <c r="W475" s="5">
        <f t="shared" si="65"/>
        <v>0</v>
      </c>
      <c r="X475" s="5">
        <f t="shared" si="65"/>
        <v>0</v>
      </c>
      <c r="Y475" s="5">
        <f t="shared" si="64"/>
        <v>0</v>
      </c>
      <c r="Z475" s="5">
        <f t="shared" si="64"/>
        <v>0</v>
      </c>
      <c r="AA475" s="5">
        <f t="shared" si="64"/>
        <v>0</v>
      </c>
      <c r="AB475" s="5">
        <f t="shared" si="64"/>
        <v>0</v>
      </c>
      <c r="AC475" s="5">
        <f t="shared" si="64"/>
        <v>0</v>
      </c>
      <c r="AD475" s="5">
        <f t="shared" si="64"/>
        <v>0</v>
      </c>
      <c r="AE475" s="5">
        <f t="shared" si="64"/>
        <v>0</v>
      </c>
      <c r="AF475" s="5">
        <f t="shared" si="64"/>
        <v>0</v>
      </c>
      <c r="AG475" s="5">
        <f t="shared" si="64"/>
        <v>0</v>
      </c>
      <c r="AH475" s="5">
        <f t="shared" si="64"/>
        <v>0</v>
      </c>
      <c r="AI475" s="5">
        <f t="shared" si="64"/>
        <v>0</v>
      </c>
      <c r="AJ475" s="5">
        <f t="shared" si="64"/>
        <v>0</v>
      </c>
      <c r="AK475" s="5">
        <f t="shared" si="64"/>
        <v>0</v>
      </c>
      <c r="AL475" s="5">
        <f t="shared" si="64"/>
        <v>0</v>
      </c>
      <c r="AM475" s="60"/>
      <c r="AN475" s="60"/>
      <c r="AO475" s="5"/>
    </row>
    <row r="476" spans="1:41">
      <c r="A476" s="5"/>
      <c r="B476" s="38" t="s">
        <v>728</v>
      </c>
      <c r="C476" s="22"/>
      <c r="D476" s="22"/>
      <c r="E476" s="22"/>
      <c r="F476" s="22"/>
      <c r="G476" s="22"/>
      <c r="H476" s="22"/>
      <c r="I476" s="22"/>
      <c r="J476" s="22"/>
      <c r="K476" s="5">
        <f t="shared" si="65"/>
        <v>0</v>
      </c>
      <c r="L476" s="5">
        <f t="shared" si="65"/>
        <v>0</v>
      </c>
      <c r="M476" s="5">
        <f t="shared" si="65"/>
        <v>0</v>
      </c>
      <c r="N476" s="5">
        <f t="shared" si="65"/>
        <v>0</v>
      </c>
      <c r="O476" s="5">
        <f t="shared" si="65"/>
        <v>0</v>
      </c>
      <c r="P476" s="5">
        <f t="shared" si="65"/>
        <v>0</v>
      </c>
      <c r="Q476" s="5">
        <f t="shared" si="65"/>
        <v>0</v>
      </c>
      <c r="R476" s="5">
        <f t="shared" si="65"/>
        <v>0</v>
      </c>
      <c r="S476" s="5">
        <f t="shared" si="65"/>
        <v>0</v>
      </c>
      <c r="T476" s="5">
        <f t="shared" si="65"/>
        <v>0</v>
      </c>
      <c r="U476" s="5">
        <f t="shared" si="65"/>
        <v>0</v>
      </c>
      <c r="V476" s="5">
        <f t="shared" si="65"/>
        <v>0</v>
      </c>
      <c r="W476" s="5">
        <f t="shared" si="65"/>
        <v>0</v>
      </c>
      <c r="X476" s="5">
        <f t="shared" si="65"/>
        <v>0</v>
      </c>
      <c r="Y476" s="5">
        <f t="shared" si="64"/>
        <v>0</v>
      </c>
      <c r="Z476" s="5">
        <f t="shared" si="64"/>
        <v>0</v>
      </c>
      <c r="AA476" s="5">
        <f t="shared" si="64"/>
        <v>0</v>
      </c>
      <c r="AB476" s="5">
        <f t="shared" si="64"/>
        <v>0</v>
      </c>
      <c r="AC476" s="5">
        <f t="shared" si="64"/>
        <v>0</v>
      </c>
      <c r="AD476" s="5">
        <f t="shared" si="64"/>
        <v>0</v>
      </c>
      <c r="AE476" s="5">
        <f t="shared" si="64"/>
        <v>0</v>
      </c>
      <c r="AF476" s="5">
        <f t="shared" si="64"/>
        <v>0</v>
      </c>
      <c r="AG476" s="5">
        <f t="shared" si="64"/>
        <v>0</v>
      </c>
      <c r="AH476" s="5">
        <f t="shared" si="64"/>
        <v>0</v>
      </c>
      <c r="AI476" s="5">
        <f t="shared" si="64"/>
        <v>0</v>
      </c>
      <c r="AJ476" s="5">
        <f t="shared" si="64"/>
        <v>0</v>
      </c>
      <c r="AK476" s="5">
        <f t="shared" si="64"/>
        <v>0</v>
      </c>
      <c r="AL476" s="5">
        <f t="shared" si="64"/>
        <v>0</v>
      </c>
      <c r="AM476" s="60"/>
      <c r="AN476" s="60"/>
      <c r="AO476" s="5"/>
    </row>
    <row r="477" spans="1:41">
      <c r="A477" s="5"/>
      <c r="B477" s="38" t="s">
        <v>1036</v>
      </c>
      <c r="C477" s="22"/>
      <c r="D477" s="22"/>
      <c r="E477" s="22"/>
      <c r="F477" s="22"/>
      <c r="G477" s="22"/>
      <c r="H477" s="22"/>
      <c r="I477" s="22"/>
      <c r="J477" s="22"/>
      <c r="K477" s="5">
        <f t="shared" si="65"/>
        <v>22.58</v>
      </c>
      <c r="L477" s="5">
        <f t="shared" si="65"/>
        <v>12.19</v>
      </c>
      <c r="M477" s="5">
        <f t="shared" si="65"/>
        <v>12.51</v>
      </c>
      <c r="N477" s="5">
        <f t="shared" si="65"/>
        <v>11.49</v>
      </c>
      <c r="O477" s="5">
        <f t="shared" si="65"/>
        <v>4.2</v>
      </c>
      <c r="P477" s="5">
        <f t="shared" si="65"/>
        <v>12.08</v>
      </c>
      <c r="Q477" s="5">
        <f t="shared" si="65"/>
        <v>5.12</v>
      </c>
      <c r="R477" s="5">
        <f t="shared" si="65"/>
        <v>6.83</v>
      </c>
      <c r="S477" s="5">
        <f t="shared" si="65"/>
        <v>4.0999999999999996</v>
      </c>
      <c r="T477" s="5">
        <f t="shared" si="65"/>
        <v>0</v>
      </c>
      <c r="U477" s="5">
        <f t="shared" si="65"/>
        <v>0</v>
      </c>
      <c r="V477" s="5">
        <f t="shared" si="65"/>
        <v>0</v>
      </c>
      <c r="W477" s="5">
        <f t="shared" si="65"/>
        <v>0</v>
      </c>
      <c r="X477" s="5">
        <f t="shared" si="65"/>
        <v>0</v>
      </c>
      <c r="Y477" s="5">
        <f t="shared" si="64"/>
        <v>0</v>
      </c>
      <c r="Z477" s="5">
        <f t="shared" si="64"/>
        <v>0</v>
      </c>
      <c r="AA477" s="5">
        <f t="shared" si="64"/>
        <v>0</v>
      </c>
      <c r="AB477" s="5">
        <f t="shared" si="64"/>
        <v>0</v>
      </c>
      <c r="AC477" s="5">
        <f t="shared" si="64"/>
        <v>0</v>
      </c>
      <c r="AD477" s="5">
        <f t="shared" si="64"/>
        <v>0</v>
      </c>
      <c r="AE477" s="5">
        <f t="shared" si="64"/>
        <v>0</v>
      </c>
      <c r="AF477" s="5">
        <f t="shared" si="64"/>
        <v>0</v>
      </c>
      <c r="AG477" s="5">
        <f t="shared" si="64"/>
        <v>0</v>
      </c>
      <c r="AH477" s="5">
        <f t="shared" si="64"/>
        <v>0</v>
      </c>
      <c r="AI477" s="5">
        <f t="shared" si="64"/>
        <v>0</v>
      </c>
      <c r="AJ477" s="5">
        <f t="shared" si="64"/>
        <v>0</v>
      </c>
      <c r="AK477" s="5">
        <f t="shared" si="64"/>
        <v>0</v>
      </c>
      <c r="AL477" s="5">
        <f t="shared" si="64"/>
        <v>0</v>
      </c>
      <c r="AM477" s="60"/>
      <c r="AN477" s="60"/>
      <c r="AO477" s="5"/>
    </row>
    <row r="478" spans="1:41">
      <c r="A478" s="5"/>
      <c r="B478" s="38" t="s">
        <v>3399</v>
      </c>
      <c r="C478" s="22"/>
      <c r="D478" s="22"/>
      <c r="E478" s="22"/>
      <c r="F478" s="22"/>
      <c r="G478" s="22"/>
      <c r="H478" s="22"/>
      <c r="I478" s="22"/>
      <c r="J478" s="22"/>
      <c r="K478" s="5">
        <f t="shared" si="65"/>
        <v>0</v>
      </c>
      <c r="L478" s="5">
        <f t="shared" si="65"/>
        <v>0</v>
      </c>
      <c r="M478" s="5">
        <f t="shared" si="65"/>
        <v>0</v>
      </c>
      <c r="N478" s="5">
        <f t="shared" si="65"/>
        <v>0</v>
      </c>
      <c r="O478" s="5">
        <f t="shared" si="65"/>
        <v>0</v>
      </c>
      <c r="P478" s="5">
        <f t="shared" si="65"/>
        <v>0</v>
      </c>
      <c r="Q478" s="5">
        <f t="shared" si="65"/>
        <v>0</v>
      </c>
      <c r="R478" s="5">
        <f t="shared" si="65"/>
        <v>0</v>
      </c>
      <c r="S478" s="5">
        <f t="shared" si="65"/>
        <v>0</v>
      </c>
      <c r="T478" s="5">
        <f t="shared" si="65"/>
        <v>0</v>
      </c>
      <c r="U478" s="5">
        <f t="shared" si="65"/>
        <v>0</v>
      </c>
      <c r="V478" s="5">
        <f t="shared" si="65"/>
        <v>0</v>
      </c>
      <c r="W478" s="5">
        <f t="shared" si="65"/>
        <v>0</v>
      </c>
      <c r="X478" s="5">
        <f t="shared" si="65"/>
        <v>0</v>
      </c>
      <c r="Y478" s="5">
        <f t="shared" si="64"/>
        <v>0</v>
      </c>
      <c r="Z478" s="5">
        <f t="shared" si="64"/>
        <v>0</v>
      </c>
      <c r="AA478" s="5">
        <f t="shared" si="64"/>
        <v>0</v>
      </c>
      <c r="AB478" s="5">
        <f t="shared" si="64"/>
        <v>0</v>
      </c>
      <c r="AC478" s="5">
        <f t="shared" si="64"/>
        <v>0</v>
      </c>
      <c r="AD478" s="5">
        <f t="shared" si="64"/>
        <v>0</v>
      </c>
      <c r="AE478" s="5">
        <f t="shared" si="64"/>
        <v>0</v>
      </c>
      <c r="AF478" s="5">
        <f t="shared" si="64"/>
        <v>0</v>
      </c>
      <c r="AG478" s="5">
        <f t="shared" si="64"/>
        <v>0</v>
      </c>
      <c r="AH478" s="5">
        <f t="shared" si="64"/>
        <v>0</v>
      </c>
      <c r="AI478" s="5">
        <f t="shared" si="64"/>
        <v>0</v>
      </c>
      <c r="AJ478" s="5">
        <f t="shared" si="64"/>
        <v>0</v>
      </c>
      <c r="AK478" s="5">
        <f t="shared" si="64"/>
        <v>0</v>
      </c>
      <c r="AL478" s="5">
        <f t="shared" si="64"/>
        <v>0</v>
      </c>
      <c r="AM478" s="60"/>
      <c r="AN478" s="60"/>
      <c r="AO478" s="5"/>
    </row>
    <row r="479" spans="1:41">
      <c r="A479" s="8"/>
      <c r="B479" s="41" t="s">
        <v>896</v>
      </c>
      <c r="C479" s="39"/>
      <c r="D479" s="39"/>
      <c r="E479" s="39"/>
      <c r="F479" s="39"/>
      <c r="G479" s="39"/>
      <c r="H479" s="39"/>
      <c r="I479" s="39"/>
      <c r="J479" s="39"/>
      <c r="K479" s="8">
        <f t="shared" ref="K479:AL479" si="66">SUM(K452:K478)</f>
        <v>313.61</v>
      </c>
      <c r="L479" s="8">
        <f t="shared" si="66"/>
        <v>378.42799999999994</v>
      </c>
      <c r="M479" s="8">
        <f t="shared" si="66"/>
        <v>440.572</v>
      </c>
      <c r="N479" s="8">
        <f t="shared" si="66"/>
        <v>477.99799999999999</v>
      </c>
      <c r="O479" s="8">
        <f t="shared" si="66"/>
        <v>450.20600000000002</v>
      </c>
      <c r="P479" s="8">
        <f t="shared" si="66"/>
        <v>482.87399999999997</v>
      </c>
      <c r="Q479" s="8">
        <f t="shared" si="66"/>
        <v>458.96200000000005</v>
      </c>
      <c r="R479" s="8">
        <f t="shared" si="66"/>
        <v>458.36399999999998</v>
      </c>
      <c r="S479" s="8">
        <f t="shared" si="66"/>
        <v>388.2940000000001</v>
      </c>
      <c r="T479" s="8">
        <f t="shared" si="66"/>
        <v>378.34599999999995</v>
      </c>
      <c r="U479" s="8">
        <f t="shared" si="66"/>
        <v>858.11839999999995</v>
      </c>
      <c r="V479" s="8">
        <f t="shared" si="66"/>
        <v>1321.2588975000001</v>
      </c>
      <c r="W479" s="8">
        <f t="shared" si="66"/>
        <v>1413.1304999999998</v>
      </c>
      <c r="X479" s="8">
        <f t="shared" si="66"/>
        <v>1446.9622000000002</v>
      </c>
      <c r="Y479" s="8">
        <f t="shared" si="66"/>
        <v>1436.28925</v>
      </c>
      <c r="Z479" s="8">
        <f t="shared" si="66"/>
        <v>1559.9224500000003</v>
      </c>
      <c r="AA479" s="8">
        <f t="shared" si="66"/>
        <v>1713.1862250000001</v>
      </c>
      <c r="AB479" s="8">
        <f t="shared" si="66"/>
        <v>1838.0145500000001</v>
      </c>
      <c r="AC479" s="8">
        <f t="shared" si="66"/>
        <v>1922.999225</v>
      </c>
      <c r="AD479" s="8">
        <f t="shared" si="66"/>
        <v>2002.2382500000001</v>
      </c>
      <c r="AE479" s="8">
        <f t="shared" si="66"/>
        <v>2036.683125</v>
      </c>
      <c r="AF479" s="8">
        <f t="shared" si="66"/>
        <v>2113.8075250000002</v>
      </c>
      <c r="AG479" s="8">
        <f t="shared" si="66"/>
        <v>2076.4760500000002</v>
      </c>
      <c r="AH479" s="8">
        <f t="shared" si="66"/>
        <v>2036.2858000000003</v>
      </c>
      <c r="AI479" s="8">
        <f t="shared" si="66"/>
        <v>1955.4888999999996</v>
      </c>
      <c r="AJ479" s="8">
        <f t="shared" si="66"/>
        <v>1860.7972750000001</v>
      </c>
      <c r="AK479" s="8">
        <f t="shared" si="66"/>
        <v>1792.1155999999996</v>
      </c>
      <c r="AL479" s="8">
        <f t="shared" si="66"/>
        <v>1696.3958</v>
      </c>
      <c r="AM479" s="61"/>
      <c r="AN479" s="61"/>
      <c r="AO479" s="8"/>
    </row>
    <row r="480" spans="1:41">
      <c r="A480" s="5"/>
      <c r="B480" s="40" t="s">
        <v>897</v>
      </c>
      <c r="C480" s="39"/>
      <c r="D480" s="39"/>
      <c r="E480" s="39"/>
      <c r="F480" s="39"/>
      <c r="G480" s="39"/>
      <c r="H480" s="39"/>
      <c r="I480" s="39"/>
      <c r="J480" s="39"/>
      <c r="K480" s="5">
        <f t="shared" ref="K480:AL480" si="67">K447-K479</f>
        <v>2.9499999999999886</v>
      </c>
      <c r="L480" s="5">
        <f t="shared" si="67"/>
        <v>3.5</v>
      </c>
      <c r="M480" s="5">
        <f t="shared" si="67"/>
        <v>2.8799999999999955</v>
      </c>
      <c r="N480" s="5">
        <f t="shared" si="67"/>
        <v>2.1200000000000045</v>
      </c>
      <c r="O480" s="5">
        <f t="shared" si="67"/>
        <v>1.75</v>
      </c>
      <c r="P480" s="5">
        <f t="shared" si="67"/>
        <v>1.6399999999999864</v>
      </c>
      <c r="Q480" s="5">
        <f t="shared" si="67"/>
        <v>1.3299999999999841</v>
      </c>
      <c r="R480" s="5">
        <f t="shared" si="67"/>
        <v>0.81000000000000227</v>
      </c>
      <c r="S480" s="5">
        <f t="shared" si="67"/>
        <v>0.74000000000000909</v>
      </c>
      <c r="T480" s="5">
        <f t="shared" si="67"/>
        <v>0</v>
      </c>
      <c r="U480" s="5">
        <f t="shared" si="67"/>
        <v>0</v>
      </c>
      <c r="V480" s="5">
        <f t="shared" si="67"/>
        <v>0</v>
      </c>
      <c r="W480" s="5">
        <f t="shared" si="67"/>
        <v>0</v>
      </c>
      <c r="X480" s="5">
        <f t="shared" si="67"/>
        <v>0</v>
      </c>
      <c r="Y480" s="5">
        <f t="shared" si="67"/>
        <v>0</v>
      </c>
      <c r="Z480" s="5">
        <f t="shared" si="67"/>
        <v>0</v>
      </c>
      <c r="AA480" s="5">
        <f t="shared" si="67"/>
        <v>0</v>
      </c>
      <c r="AB480" s="5">
        <f t="shared" si="67"/>
        <v>0</v>
      </c>
      <c r="AC480" s="5">
        <f t="shared" si="67"/>
        <v>0</v>
      </c>
      <c r="AD480" s="5">
        <f t="shared" si="67"/>
        <v>0</v>
      </c>
      <c r="AE480" s="5">
        <f t="shared" si="67"/>
        <v>0</v>
      </c>
      <c r="AF480" s="5">
        <f t="shared" si="67"/>
        <v>0</v>
      </c>
      <c r="AG480" s="5">
        <f t="shared" si="67"/>
        <v>0</v>
      </c>
      <c r="AH480" s="5">
        <f t="shared" si="67"/>
        <v>0</v>
      </c>
      <c r="AI480" s="5">
        <f t="shared" si="67"/>
        <v>0</v>
      </c>
      <c r="AJ480" s="5">
        <f t="shared" si="67"/>
        <v>0</v>
      </c>
      <c r="AK480" s="5">
        <f t="shared" si="67"/>
        <v>0</v>
      </c>
      <c r="AL480" s="5">
        <f t="shared" si="67"/>
        <v>0</v>
      </c>
      <c r="AM480" s="60"/>
      <c r="AN480" s="60"/>
      <c r="AO480" s="5"/>
    </row>
    <row r="481" spans="1:41">
      <c r="A481" s="5"/>
      <c r="B481" s="24"/>
      <c r="C481" s="24"/>
      <c r="D481" s="24"/>
      <c r="E481" s="24"/>
      <c r="F481" s="24"/>
      <c r="G481" s="24"/>
      <c r="H481" s="24"/>
      <c r="I481" s="24"/>
      <c r="J481" s="24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60"/>
      <c r="AN481" s="60"/>
      <c r="AO481" s="5"/>
    </row>
    <row r="482" spans="1:41">
      <c r="A482" s="5"/>
      <c r="B482" s="22"/>
      <c r="C482" s="22"/>
      <c r="D482" s="22"/>
      <c r="E482" s="22"/>
      <c r="F482" s="22"/>
      <c r="G482" s="22"/>
      <c r="H482" s="22"/>
      <c r="I482" s="22"/>
      <c r="J482" s="22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60"/>
      <c r="AN482" s="60"/>
      <c r="AO482" s="5"/>
    </row>
    <row r="483" spans="1:41">
      <c r="A483" s="8"/>
      <c r="B483" s="39" t="s">
        <v>1820</v>
      </c>
      <c r="C483" s="39"/>
      <c r="D483" s="39"/>
      <c r="E483" s="39"/>
      <c r="F483" s="39"/>
      <c r="G483" s="39"/>
      <c r="H483" s="39"/>
      <c r="I483" s="39"/>
      <c r="J483" s="39"/>
      <c r="K483" s="8">
        <f t="shared" ref="K483:AL483" si="68">K429+K479</f>
        <v>7998.3600000000006</v>
      </c>
      <c r="L483" s="8">
        <f t="shared" si="68"/>
        <v>7297.5679999999993</v>
      </c>
      <c r="M483" s="8">
        <f t="shared" si="68"/>
        <v>7207.0020000000004</v>
      </c>
      <c r="N483" s="8">
        <f t="shared" si="68"/>
        <v>7044.6880000000001</v>
      </c>
      <c r="O483" s="8">
        <f t="shared" si="68"/>
        <v>6985.866</v>
      </c>
      <c r="P483" s="8">
        <f t="shared" si="68"/>
        <v>7025.0739999999996</v>
      </c>
      <c r="Q483" s="8">
        <f t="shared" si="68"/>
        <v>7019.0719999999992</v>
      </c>
      <c r="R483" s="8">
        <f t="shared" si="68"/>
        <v>7119.2339999999995</v>
      </c>
      <c r="S483" s="8">
        <f t="shared" si="68"/>
        <v>6257.5640000000003</v>
      </c>
      <c r="T483" s="8">
        <f t="shared" si="68"/>
        <v>5852.2560000000003</v>
      </c>
      <c r="U483" s="8">
        <f t="shared" si="68"/>
        <v>6273.0284000000001</v>
      </c>
      <c r="V483" s="8">
        <f t="shared" si="68"/>
        <v>6592.8388974999998</v>
      </c>
      <c r="W483" s="8">
        <f t="shared" si="68"/>
        <v>6349.0905000000002</v>
      </c>
      <c r="X483" s="8">
        <f t="shared" si="68"/>
        <v>6202.9071999999996</v>
      </c>
      <c r="Y483" s="8">
        <f t="shared" si="68"/>
        <v>6681.8092500000002</v>
      </c>
      <c r="Z483" s="8">
        <f t="shared" si="68"/>
        <v>7709.2624500000002</v>
      </c>
      <c r="AA483" s="8">
        <f t="shared" si="68"/>
        <v>8642.5562249999984</v>
      </c>
      <c r="AB483" s="8">
        <f t="shared" si="68"/>
        <v>9376.5045500000015</v>
      </c>
      <c r="AC483" s="8">
        <f t="shared" si="68"/>
        <v>9808.9892250000012</v>
      </c>
      <c r="AD483" s="8">
        <f t="shared" si="68"/>
        <v>9899.6682499999988</v>
      </c>
      <c r="AE483" s="8">
        <f t="shared" si="68"/>
        <v>10243.503124999999</v>
      </c>
      <c r="AF483" s="8">
        <f t="shared" si="68"/>
        <v>10259.787525</v>
      </c>
      <c r="AG483" s="8">
        <f t="shared" si="68"/>
        <v>9844.136050000001</v>
      </c>
      <c r="AH483" s="8">
        <f t="shared" si="68"/>
        <v>9184.9157999999989</v>
      </c>
      <c r="AI483" s="8">
        <f t="shared" si="68"/>
        <v>8401.5788999999986</v>
      </c>
      <c r="AJ483" s="8">
        <f t="shared" si="68"/>
        <v>7943.467275</v>
      </c>
      <c r="AK483" s="8">
        <f t="shared" si="68"/>
        <v>7578.2455999999984</v>
      </c>
      <c r="AL483" s="8">
        <f t="shared" si="68"/>
        <v>7633.2457999999997</v>
      </c>
      <c r="AM483" s="61"/>
      <c r="AN483" s="61"/>
      <c r="AO483" s="8"/>
    </row>
    <row r="484" spans="1:41">
      <c r="A484" s="29"/>
      <c r="B484" s="24" t="s">
        <v>897</v>
      </c>
      <c r="C484" s="24"/>
      <c r="D484" s="24"/>
      <c r="E484" s="24"/>
      <c r="F484" s="24"/>
      <c r="G484" s="24"/>
      <c r="H484" s="24"/>
      <c r="I484" s="24"/>
      <c r="J484" s="24"/>
      <c r="K484" s="29">
        <f t="shared" ref="K484:AL484" si="69">K483-SUM(K10:K249,K293:K361)+K305</f>
        <v>-2.9499999999952706</v>
      </c>
      <c r="L484" s="29">
        <f t="shared" si="69"/>
        <v>-3.5</v>
      </c>
      <c r="M484" s="29">
        <f t="shared" si="69"/>
        <v>-2.8800000000010186</v>
      </c>
      <c r="N484" s="29">
        <f t="shared" si="69"/>
        <v>-2.1200000000026193</v>
      </c>
      <c r="O484" s="29">
        <f t="shared" si="69"/>
        <v>-1.750000000005457</v>
      </c>
      <c r="P484" s="29">
        <f t="shared" si="69"/>
        <v>-1.6400000000003274</v>
      </c>
      <c r="Q484" s="29">
        <f t="shared" si="69"/>
        <v>-1.3300000000026557</v>
      </c>
      <c r="R484" s="29">
        <f t="shared" si="69"/>
        <v>-0.80999999999858119</v>
      </c>
      <c r="S484" s="29">
        <f t="shared" si="69"/>
        <v>-0.73999999999796273</v>
      </c>
      <c r="T484" s="29">
        <f t="shared" si="69"/>
        <v>0</v>
      </c>
      <c r="U484" s="29">
        <f t="shared" si="69"/>
        <v>2.7284841053187847E-12</v>
      </c>
      <c r="V484" s="29">
        <f t="shared" si="69"/>
        <v>-3.637978807091713E-12</v>
      </c>
      <c r="W484" s="29">
        <f t="shared" si="69"/>
        <v>1.8189894035458565E-12</v>
      </c>
      <c r="X484" s="29">
        <f t="shared" si="69"/>
        <v>1.8189894035458565E-12</v>
      </c>
      <c r="Y484" s="29">
        <f t="shared" si="69"/>
        <v>0</v>
      </c>
      <c r="Z484" s="29">
        <f t="shared" si="69"/>
        <v>1.8189894035458565E-12</v>
      </c>
      <c r="AA484" s="29">
        <f t="shared" si="69"/>
        <v>-0.41500000000087311</v>
      </c>
      <c r="AB484" s="29">
        <f t="shared" si="69"/>
        <v>-0.75500000000465661</v>
      </c>
      <c r="AC484" s="29">
        <f t="shared" si="69"/>
        <v>-1.0350000000034925</v>
      </c>
      <c r="AD484" s="29">
        <f t="shared" si="69"/>
        <v>-64.760000000000218</v>
      </c>
      <c r="AE484" s="29">
        <f t="shared" si="69"/>
        <v>-155.24500000000262</v>
      </c>
      <c r="AF484" s="29">
        <f t="shared" si="69"/>
        <v>-206.77999999999338</v>
      </c>
      <c r="AG484" s="29">
        <f t="shared" si="69"/>
        <v>-293.36499999999796</v>
      </c>
      <c r="AH484" s="29">
        <f t="shared" si="69"/>
        <v>-379.72999999999956</v>
      </c>
      <c r="AI484" s="29">
        <f t="shared" si="69"/>
        <v>-409.30000000000291</v>
      </c>
      <c r="AJ484" s="29">
        <f t="shared" si="69"/>
        <v>-409.22000000000207</v>
      </c>
      <c r="AK484" s="29">
        <f t="shared" si="69"/>
        <v>-409.149999999996</v>
      </c>
      <c r="AL484" s="29">
        <f t="shared" si="69"/>
        <v>-396.91500000000542</v>
      </c>
      <c r="AM484" s="62" t="s">
        <v>3733</v>
      </c>
      <c r="AN484" s="62"/>
      <c r="AO484" s="29"/>
    </row>
    <row r="485" spans="1:41">
      <c r="A485" s="5"/>
      <c r="B485" s="22"/>
      <c r="C485" s="22"/>
      <c r="D485" s="22"/>
      <c r="E485" s="22"/>
      <c r="F485" s="22"/>
      <c r="G485" s="22"/>
      <c r="H485" s="22"/>
      <c r="I485" s="22"/>
      <c r="J485" s="22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61"/>
      <c r="AN485" s="60"/>
      <c r="AO485" s="5"/>
    </row>
    <row r="486" spans="1:41">
      <c r="A486" s="5"/>
      <c r="B486" s="22"/>
      <c r="C486" s="22"/>
      <c r="D486" s="22"/>
      <c r="E486" s="22"/>
      <c r="F486" s="22"/>
      <c r="G486" s="22"/>
      <c r="H486" s="22"/>
      <c r="I486" s="22"/>
      <c r="J486" s="22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61"/>
      <c r="AN486" s="60"/>
      <c r="AO486" s="5"/>
    </row>
    <row r="487" spans="1:41">
      <c r="A487" s="5"/>
      <c r="B487" s="22"/>
      <c r="C487" s="22"/>
      <c r="D487" s="22"/>
      <c r="E487" s="22"/>
      <c r="F487" s="22"/>
      <c r="G487" s="22"/>
      <c r="H487" s="22"/>
      <c r="I487" s="22"/>
      <c r="J487" s="22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61"/>
      <c r="AN487" s="60"/>
      <c r="AO487" s="5"/>
    </row>
    <row r="488" spans="1:41">
      <c r="A488" s="5"/>
      <c r="B488" s="22"/>
      <c r="C488" s="22"/>
      <c r="D488" s="22"/>
      <c r="E488" s="22"/>
      <c r="F488" s="22"/>
      <c r="G488" s="22"/>
      <c r="H488" s="22"/>
      <c r="I488" s="22"/>
      <c r="J488" s="22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60"/>
      <c r="AN488" s="60"/>
      <c r="AO488" s="5"/>
    </row>
    <row r="489" spans="1:41">
      <c r="A489" s="5"/>
      <c r="B489" s="22"/>
      <c r="C489" s="22"/>
      <c r="D489" s="22"/>
      <c r="E489" s="22"/>
      <c r="F489" s="22"/>
      <c r="G489" s="22"/>
      <c r="H489" s="22"/>
      <c r="I489" s="22"/>
      <c r="J489" s="22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60"/>
      <c r="AN489" s="60"/>
      <c r="AO489" s="5"/>
    </row>
    <row r="490" spans="1:41">
      <c r="A490" s="5"/>
      <c r="B490" s="22"/>
      <c r="C490" s="22"/>
      <c r="D490" s="22"/>
      <c r="E490" s="22"/>
      <c r="F490" s="22"/>
      <c r="G490" s="22"/>
      <c r="H490" s="22"/>
      <c r="I490" s="22"/>
      <c r="J490" s="22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60"/>
      <c r="AN490" s="60"/>
      <c r="AO490" s="5"/>
    </row>
    <row r="491" spans="1:41">
      <c r="A491" s="5"/>
      <c r="B491" s="22"/>
      <c r="C491" s="22"/>
      <c r="D491" s="22"/>
      <c r="E491" s="22"/>
      <c r="F491" s="22"/>
      <c r="G491" s="22"/>
      <c r="H491" s="22"/>
      <c r="I491" s="22"/>
      <c r="J491" s="22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60"/>
      <c r="AN491" s="60"/>
      <c r="AO491" s="5"/>
    </row>
    <row r="492" spans="1:41">
      <c r="A492" s="5"/>
      <c r="B492" s="22"/>
      <c r="C492" s="22"/>
      <c r="D492" s="22"/>
      <c r="E492" s="22"/>
      <c r="F492" s="22"/>
      <c r="G492" s="22"/>
      <c r="H492" s="22"/>
      <c r="I492" s="22"/>
      <c r="J492" s="22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60"/>
      <c r="AN492" s="60"/>
      <c r="AO492" s="5"/>
    </row>
    <row r="493" spans="1:41">
      <c r="A493" s="5"/>
      <c r="B493" s="22"/>
      <c r="C493" s="22"/>
      <c r="D493" s="22"/>
      <c r="E493" s="22"/>
      <c r="F493" s="22"/>
      <c r="G493" s="22"/>
      <c r="H493" s="22"/>
      <c r="I493" s="22"/>
      <c r="J493" s="22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60"/>
      <c r="AN493" s="60"/>
      <c r="AO493" s="5"/>
    </row>
    <row r="494" spans="1:41">
      <c r="A494" s="5"/>
      <c r="B494" s="22"/>
      <c r="C494" s="22"/>
      <c r="D494" s="22"/>
      <c r="E494" s="22"/>
      <c r="F494" s="22"/>
      <c r="G494" s="22"/>
      <c r="H494" s="22"/>
      <c r="I494" s="22"/>
      <c r="J494" s="22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60"/>
      <c r="AN494" s="60"/>
      <c r="AO494" s="5"/>
    </row>
    <row r="495" spans="1:41">
      <c r="A495" s="5"/>
      <c r="B495" s="22"/>
      <c r="C495" s="22"/>
      <c r="D495" s="22"/>
      <c r="E495" s="22"/>
      <c r="F495" s="22"/>
      <c r="G495" s="22"/>
      <c r="H495" s="22"/>
      <c r="I495" s="22"/>
      <c r="J495" s="22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60"/>
      <c r="AN495" s="60"/>
      <c r="AO495" s="5"/>
    </row>
    <row r="496" spans="1:41">
      <c r="A496" s="5"/>
      <c r="B496" s="22"/>
      <c r="C496" s="22"/>
      <c r="D496" s="22"/>
      <c r="E496" s="22"/>
      <c r="F496" s="22"/>
      <c r="G496" s="22"/>
      <c r="H496" s="22"/>
      <c r="I496" s="22"/>
      <c r="J496" s="22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60"/>
      <c r="AN496" s="60"/>
      <c r="AO496" s="5"/>
    </row>
    <row r="497" spans="1:41">
      <c r="A497" s="5"/>
      <c r="B497" s="22"/>
      <c r="C497" s="22"/>
      <c r="D497" s="22"/>
      <c r="E497" s="22"/>
      <c r="F497" s="22"/>
      <c r="G497" s="22"/>
      <c r="H497" s="22"/>
      <c r="I497" s="22"/>
      <c r="J497" s="22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60"/>
      <c r="AN497" s="60"/>
      <c r="AO497" s="5"/>
    </row>
    <row r="498" spans="1:41">
      <c r="A498" s="5"/>
      <c r="B498" s="22"/>
      <c r="C498" s="22"/>
      <c r="D498" s="22"/>
      <c r="E498" s="22"/>
      <c r="F498" s="22"/>
      <c r="G498" s="22"/>
      <c r="H498" s="22"/>
      <c r="I498" s="22"/>
      <c r="J498" s="22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60"/>
      <c r="AN498" s="60"/>
      <c r="AO498" s="5"/>
    </row>
    <row r="499" spans="1:41">
      <c r="A499" s="5"/>
      <c r="B499" s="22"/>
      <c r="C499" s="22"/>
      <c r="D499" s="22"/>
      <c r="E499" s="22"/>
      <c r="F499" s="22"/>
      <c r="G499" s="22"/>
      <c r="H499" s="22"/>
      <c r="I499" s="22"/>
      <c r="J499" s="22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60"/>
      <c r="AN499" s="60"/>
      <c r="AO499" s="5"/>
    </row>
    <row r="500" spans="1:41">
      <c r="A500" s="5"/>
      <c r="B500" s="22"/>
      <c r="C500" s="22"/>
      <c r="D500" s="22"/>
      <c r="E500" s="22"/>
      <c r="F500" s="22"/>
      <c r="G500" s="22"/>
      <c r="H500" s="22"/>
      <c r="I500" s="22"/>
      <c r="J500" s="22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60"/>
      <c r="AN500" s="60"/>
      <c r="AO500" s="5"/>
    </row>
    <row r="501" spans="1:41">
      <c r="A501" s="5"/>
      <c r="B501" s="22"/>
      <c r="C501" s="22"/>
      <c r="D501" s="22"/>
      <c r="E501" s="22"/>
      <c r="F501" s="22"/>
      <c r="G501" s="22"/>
      <c r="H501" s="22"/>
      <c r="I501" s="22"/>
      <c r="J501" s="22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60"/>
      <c r="AN501" s="60"/>
      <c r="AO501" s="5"/>
    </row>
    <row r="502" spans="1:41">
      <c r="A502" s="5"/>
      <c r="B502" s="22"/>
      <c r="C502" s="22"/>
      <c r="D502" s="22"/>
      <c r="E502" s="22"/>
      <c r="F502" s="22"/>
      <c r="G502" s="22"/>
      <c r="H502" s="22"/>
      <c r="I502" s="22"/>
      <c r="J502" s="22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60"/>
      <c r="AN502" s="60"/>
      <c r="AO502" s="5"/>
    </row>
    <row r="503" spans="1:41">
      <c r="A503" s="5"/>
      <c r="B503" s="22"/>
      <c r="C503" s="22"/>
      <c r="D503" s="22"/>
      <c r="E503" s="22"/>
      <c r="F503" s="22"/>
      <c r="G503" s="22"/>
      <c r="H503" s="22"/>
      <c r="I503" s="22"/>
      <c r="J503" s="22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60"/>
      <c r="AN503" s="60"/>
      <c r="AO503" s="5"/>
    </row>
    <row r="504" spans="1:41">
      <c r="A504" s="5"/>
      <c r="B504" s="22"/>
      <c r="C504" s="22"/>
      <c r="D504" s="22"/>
      <c r="E504" s="22"/>
      <c r="F504" s="22"/>
      <c r="G504" s="22"/>
      <c r="H504" s="22"/>
      <c r="I504" s="22"/>
      <c r="J504" s="22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60"/>
      <c r="AN504" s="60"/>
      <c r="AO504" s="5"/>
    </row>
    <row r="505" spans="1:41">
      <c r="A505" s="5"/>
      <c r="B505" s="22"/>
      <c r="C505" s="22"/>
      <c r="D505" s="22"/>
      <c r="E505" s="22"/>
      <c r="F505" s="22"/>
      <c r="G505" s="22"/>
      <c r="H505" s="22"/>
      <c r="I505" s="22"/>
      <c r="J505" s="22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60"/>
      <c r="AN505" s="60"/>
      <c r="AO505" s="5"/>
    </row>
    <row r="506" spans="1:41">
      <c r="A506" s="5"/>
      <c r="B506" s="22"/>
      <c r="C506" s="22"/>
      <c r="D506" s="22"/>
      <c r="E506" s="22"/>
      <c r="F506" s="22"/>
      <c r="G506" s="22"/>
      <c r="H506" s="22"/>
      <c r="I506" s="22"/>
      <c r="J506" s="22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60"/>
      <c r="AN506" s="60"/>
      <c r="AO506" s="5"/>
    </row>
    <row r="507" spans="1:41">
      <c r="A507" s="5"/>
      <c r="B507" s="22"/>
      <c r="C507" s="22"/>
      <c r="D507" s="22"/>
      <c r="E507" s="22"/>
      <c r="F507" s="22"/>
      <c r="G507" s="22"/>
      <c r="H507" s="22"/>
      <c r="I507" s="22"/>
      <c r="J507" s="22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60"/>
      <c r="AN507" s="60"/>
      <c r="AO507" s="5"/>
    </row>
    <row r="508" spans="1:41">
      <c r="A508" s="5"/>
      <c r="B508" s="22"/>
      <c r="C508" s="22"/>
      <c r="D508" s="22"/>
      <c r="E508" s="22"/>
      <c r="F508" s="22"/>
      <c r="G508" s="22"/>
      <c r="H508" s="22"/>
      <c r="I508" s="22"/>
      <c r="J508" s="22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60"/>
      <c r="AN508" s="60"/>
      <c r="AO508" s="5"/>
    </row>
    <row r="509" spans="1:41">
      <c r="A509" s="5"/>
      <c r="B509" s="22"/>
      <c r="C509" s="22"/>
      <c r="D509" s="22"/>
      <c r="E509" s="22"/>
      <c r="F509" s="22"/>
      <c r="G509" s="22"/>
      <c r="H509" s="22"/>
      <c r="I509" s="22"/>
      <c r="J509" s="22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60"/>
      <c r="AN509" s="60"/>
      <c r="AO509" s="5"/>
    </row>
    <row r="510" spans="1:41">
      <c r="A510" s="5"/>
      <c r="B510" s="22"/>
      <c r="C510" s="22"/>
      <c r="D510" s="22"/>
      <c r="E510" s="22"/>
      <c r="F510" s="22"/>
      <c r="G510" s="22"/>
      <c r="H510" s="22"/>
      <c r="I510" s="22"/>
      <c r="J510" s="22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60"/>
      <c r="AN510" s="60"/>
      <c r="AO510" s="5"/>
    </row>
    <row r="511" spans="1:41">
      <c r="A511" s="5"/>
      <c r="B511" s="22"/>
      <c r="C511" s="22"/>
      <c r="D511" s="22"/>
      <c r="E511" s="22"/>
      <c r="F511" s="22"/>
      <c r="G511" s="22"/>
      <c r="H511" s="22"/>
      <c r="I511" s="22"/>
      <c r="J511" s="22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60"/>
      <c r="AN511" s="60"/>
      <c r="AO511" s="5"/>
    </row>
    <row r="512" spans="1:41">
      <c r="A512" s="5"/>
      <c r="B512" s="22"/>
      <c r="C512" s="22"/>
      <c r="D512" s="22"/>
      <c r="E512" s="22"/>
      <c r="F512" s="22"/>
      <c r="G512" s="22"/>
      <c r="H512" s="22"/>
      <c r="I512" s="22"/>
      <c r="J512" s="22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60"/>
      <c r="AN512" s="60"/>
      <c r="AO512" s="5"/>
    </row>
    <row r="513" spans="1:41">
      <c r="A513" s="5"/>
      <c r="B513" s="22"/>
      <c r="C513" s="22"/>
      <c r="D513" s="22"/>
      <c r="E513" s="22"/>
      <c r="F513" s="22"/>
      <c r="G513" s="22"/>
      <c r="H513" s="22"/>
      <c r="I513" s="22"/>
      <c r="J513" s="22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60"/>
      <c r="AN513" s="60"/>
      <c r="AO513" s="5"/>
    </row>
    <row r="514" spans="1:41">
      <c r="A514" s="5"/>
      <c r="B514" s="22"/>
      <c r="C514" s="22"/>
      <c r="D514" s="22"/>
      <c r="E514" s="22"/>
      <c r="F514" s="22"/>
      <c r="G514" s="22"/>
      <c r="H514" s="22"/>
      <c r="I514" s="22"/>
      <c r="J514" s="22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60"/>
      <c r="AN514" s="60"/>
      <c r="AO514" s="5"/>
    </row>
  </sheetData>
  <mergeCells count="1">
    <mergeCell ref="B251:C251"/>
  </mergeCells>
  <phoneticPr fontId="14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24"/>
    <outlinePr summaryBelow="0" summaryRight="0"/>
    <pageSetUpPr autoPageBreaks="0"/>
  </sheetPr>
  <dimension ref="A1:BB637"/>
  <sheetViews>
    <sheetView zoomScale="85" workbookViewId="0">
      <pane xSplit="4" ySplit="9" topLeftCell="E10" activePane="bottomRight" state="frozen"/>
      <selection sqref="A1:IV65536"/>
      <selection pane="topRight" sqref="A1:IV65536"/>
      <selection pane="bottomLeft" sqref="A1:IV65536"/>
      <selection pane="bottomRight" sqref="A1:XFD1048576"/>
    </sheetView>
  </sheetViews>
  <sheetFormatPr defaultRowHeight="12.75" outlineLevelCol="1"/>
  <cols>
    <col min="1" max="1" width="3.7109375" customWidth="1"/>
    <col min="2" max="2" width="24.85546875" customWidth="1" collapsed="1"/>
    <col min="3" max="3" width="21.140625" hidden="1" customWidth="1" outlineLevel="1"/>
    <col min="4" max="4" width="33.42578125" hidden="1" customWidth="1" outlineLevel="1"/>
    <col min="5" max="5" width="19" hidden="1" customWidth="1" outlineLevel="1"/>
    <col min="6" max="6" width="13" hidden="1" customWidth="1" outlineLevel="1"/>
    <col min="7" max="7" width="14.140625" hidden="1" customWidth="1" outlineLevel="1"/>
    <col min="8" max="8" width="18.28515625" hidden="1" customWidth="1" outlineLevel="1"/>
    <col min="9" max="9" width="25" hidden="1" customWidth="1" outlineLevel="1"/>
    <col min="10" max="10" width="13" hidden="1" customWidth="1" outlineLevel="1"/>
    <col min="11" max="43" width="11.140625" customWidth="1"/>
    <col min="44" max="44" width="47.140625" customWidth="1"/>
    <col min="45" max="45" width="11.140625" customWidth="1"/>
    <col min="46" max="46" width="46.42578125" customWidth="1"/>
    <col min="47" max="61" width="11.140625" customWidth="1"/>
  </cols>
  <sheetData>
    <row r="1" spans="1:54" ht="12.75" customHeight="1">
      <c r="A1" s="1"/>
      <c r="B1" s="36"/>
      <c r="C1" s="36"/>
      <c r="D1" s="37"/>
      <c r="E1" s="37"/>
      <c r="F1" s="37"/>
      <c r="G1" s="36"/>
      <c r="H1" s="36"/>
      <c r="I1" s="36"/>
      <c r="J1" s="36"/>
      <c r="K1" s="1"/>
      <c r="L1" s="1"/>
      <c r="M1" s="1"/>
      <c r="N1" s="1"/>
      <c r="O1" s="1"/>
      <c r="P1" s="1"/>
      <c r="Q1" s="1"/>
      <c r="R1" s="1"/>
      <c r="S1" s="3"/>
      <c r="T1" s="3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 t="s">
        <v>3421</v>
      </c>
    </row>
    <row r="2" spans="1:54" ht="18" customHeight="1">
      <c r="A2" s="1"/>
      <c r="B2" s="20" t="s">
        <v>3369</v>
      </c>
      <c r="C2" s="36"/>
      <c r="D2" s="37"/>
      <c r="E2" s="37"/>
      <c r="F2" s="37"/>
      <c r="G2" s="36"/>
      <c r="H2" s="36"/>
      <c r="I2" s="36"/>
      <c r="J2" s="36"/>
      <c r="K2" s="1"/>
      <c r="L2" s="1"/>
      <c r="M2" s="1"/>
      <c r="N2" s="1"/>
      <c r="O2" s="1"/>
      <c r="P2" s="1"/>
      <c r="Q2" s="1"/>
      <c r="R2" s="1"/>
      <c r="S2" s="3"/>
      <c r="T2" s="3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 t="s">
        <v>3421</v>
      </c>
    </row>
    <row r="3" spans="1:54" ht="12.75" customHeight="1">
      <c r="A3" s="1"/>
      <c r="B3" s="21" t="s">
        <v>1418</v>
      </c>
      <c r="C3" s="36"/>
      <c r="D3" s="37"/>
      <c r="E3" s="37"/>
      <c r="F3" s="37"/>
      <c r="G3" s="36"/>
      <c r="H3" s="36"/>
      <c r="I3" s="36"/>
      <c r="J3" s="36"/>
      <c r="K3" s="1"/>
      <c r="L3" s="1"/>
      <c r="M3" s="1"/>
      <c r="N3" s="1"/>
      <c r="O3" s="1"/>
      <c r="P3" s="1"/>
      <c r="Q3" s="1"/>
      <c r="R3" s="1"/>
      <c r="S3" s="3"/>
      <c r="T3" s="3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 t="s">
        <v>3421</v>
      </c>
    </row>
    <row r="4" spans="1:54" ht="12.75" customHeight="1">
      <c r="A4" s="1"/>
      <c r="B4" s="36"/>
      <c r="C4" s="36"/>
      <c r="D4" s="37"/>
      <c r="E4" s="37"/>
      <c r="F4" s="37"/>
      <c r="G4" s="36"/>
      <c r="H4" s="36"/>
      <c r="I4" s="36"/>
      <c r="J4" s="36"/>
      <c r="K4" s="1"/>
      <c r="L4" s="1"/>
      <c r="M4" s="1"/>
      <c r="N4" s="1"/>
      <c r="O4" s="1"/>
      <c r="P4" s="1"/>
      <c r="Q4" s="1"/>
      <c r="R4" s="1"/>
      <c r="S4" s="3"/>
      <c r="T4" s="3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 t="s">
        <v>3421</v>
      </c>
    </row>
    <row r="5" spans="1:54" ht="12.75" customHeight="1">
      <c r="A5" s="4"/>
      <c r="B5" s="22"/>
      <c r="C5" s="22"/>
      <c r="D5" s="22"/>
      <c r="E5" s="22"/>
      <c r="F5" s="22"/>
      <c r="G5" s="22"/>
      <c r="H5" s="22"/>
      <c r="I5" s="22"/>
      <c r="J5" s="22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</row>
    <row r="6" spans="1:54" ht="12.75" customHeight="1">
      <c r="A6" s="23" t="s">
        <v>941</v>
      </c>
      <c r="B6" s="128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29"/>
      <c r="AB6" s="129"/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5"/>
      <c r="AN6" s="135"/>
      <c r="AO6" s="135"/>
      <c r="AP6" s="129"/>
      <c r="AQ6" s="129"/>
      <c r="AR6" s="129"/>
      <c r="AS6" s="129"/>
      <c r="AT6" s="129"/>
      <c r="AU6" s="129"/>
      <c r="AV6" s="129"/>
      <c r="AW6" s="129"/>
      <c r="AX6" s="129"/>
      <c r="AY6" s="129"/>
      <c r="AZ6" s="129"/>
      <c r="BA6" s="129"/>
      <c r="BB6" s="129"/>
    </row>
    <row r="7" spans="1:54">
      <c r="A7" s="129"/>
      <c r="B7" s="128"/>
      <c r="C7" s="129"/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29"/>
      <c r="T7" s="129"/>
      <c r="U7" s="129"/>
      <c r="V7" s="129"/>
      <c r="W7" s="129"/>
      <c r="X7" s="129"/>
      <c r="Y7" s="129"/>
      <c r="Z7" s="129"/>
      <c r="AA7" s="129"/>
      <c r="AB7" s="129"/>
      <c r="AC7" s="129"/>
      <c r="AD7" s="129"/>
      <c r="AE7" s="129"/>
      <c r="AF7" s="129"/>
      <c r="AG7" s="129"/>
      <c r="AH7" s="129"/>
      <c r="AI7" s="129"/>
      <c r="AJ7" s="129"/>
      <c r="AK7" s="366"/>
      <c r="AL7" s="365"/>
      <c r="AM7" s="135"/>
      <c r="AN7" s="135"/>
      <c r="AO7" s="135"/>
      <c r="AP7" s="129"/>
      <c r="AQ7" s="129"/>
      <c r="AR7" s="129"/>
      <c r="AS7" s="129"/>
      <c r="AT7" s="129"/>
      <c r="AU7" s="129"/>
      <c r="AV7" s="129"/>
      <c r="AW7" s="129"/>
      <c r="AX7" s="129"/>
      <c r="AY7" s="129"/>
      <c r="AZ7" s="129"/>
      <c r="BA7" s="129"/>
      <c r="BB7" s="129"/>
    </row>
    <row r="8" spans="1:54">
      <c r="A8" s="129"/>
      <c r="B8" s="129"/>
      <c r="C8" s="129"/>
      <c r="D8" s="129"/>
      <c r="E8" s="129"/>
      <c r="F8" s="129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35"/>
      <c r="AN8" s="135"/>
      <c r="AO8" s="135"/>
      <c r="AP8" s="129"/>
      <c r="AQ8" s="129"/>
      <c r="AR8" s="129"/>
      <c r="AS8" s="129"/>
      <c r="AT8" s="129"/>
      <c r="AU8" s="129"/>
      <c r="AV8" s="129"/>
      <c r="AW8" s="129"/>
      <c r="AX8" s="129"/>
      <c r="AY8" s="129"/>
      <c r="AZ8" s="129"/>
      <c r="BA8" s="129"/>
      <c r="BB8" s="129"/>
    </row>
    <row r="9" spans="1:54" ht="12.75" customHeight="1">
      <c r="A9" s="130"/>
      <c r="B9" s="34" t="s">
        <v>398</v>
      </c>
      <c r="C9" s="34" t="s">
        <v>399</v>
      </c>
      <c r="D9" s="34" t="s">
        <v>400</v>
      </c>
      <c r="E9" s="34" t="s">
        <v>368</v>
      </c>
      <c r="F9" s="34" t="s">
        <v>369</v>
      </c>
      <c r="G9" s="34" t="s">
        <v>370</v>
      </c>
      <c r="H9" s="34" t="s">
        <v>371</v>
      </c>
      <c r="I9" s="34" t="s">
        <v>372</v>
      </c>
      <c r="J9" s="32" t="s">
        <v>1472</v>
      </c>
      <c r="K9" s="32">
        <v>2003</v>
      </c>
      <c r="L9" s="32">
        <v>2004</v>
      </c>
      <c r="M9" s="32">
        <v>2005</v>
      </c>
      <c r="N9" s="32">
        <v>2006</v>
      </c>
      <c r="O9" s="32">
        <v>2007</v>
      </c>
      <c r="P9" s="32">
        <v>2008</v>
      </c>
      <c r="Q9" s="32">
        <v>2009</v>
      </c>
      <c r="R9" s="32">
        <v>2010</v>
      </c>
      <c r="S9" s="32">
        <v>2011</v>
      </c>
      <c r="T9" s="32">
        <v>2012</v>
      </c>
      <c r="U9" s="32">
        <v>2013</v>
      </c>
      <c r="V9" s="32">
        <v>2014</v>
      </c>
      <c r="W9" s="32">
        <v>2015</v>
      </c>
      <c r="X9" s="32">
        <v>2016</v>
      </c>
      <c r="Y9" s="32">
        <v>2017</v>
      </c>
      <c r="Z9" s="32">
        <v>2018</v>
      </c>
      <c r="AA9" s="32">
        <v>2019</v>
      </c>
      <c r="AB9" s="32">
        <v>2020</v>
      </c>
      <c r="AC9" s="32">
        <v>2021</v>
      </c>
      <c r="AD9" s="32">
        <v>2022</v>
      </c>
      <c r="AE9" s="32">
        <v>2023</v>
      </c>
      <c r="AF9" s="32">
        <v>2024</v>
      </c>
      <c r="AG9" s="32">
        <v>2025</v>
      </c>
      <c r="AH9" s="32">
        <v>2026</v>
      </c>
      <c r="AI9" s="32">
        <v>2027</v>
      </c>
      <c r="AJ9" s="32">
        <v>2028</v>
      </c>
      <c r="AK9" s="32">
        <v>2029</v>
      </c>
      <c r="AL9" s="32">
        <v>2030</v>
      </c>
      <c r="AM9" s="134" t="s">
        <v>2212</v>
      </c>
      <c r="AN9" s="134" t="s">
        <v>2213</v>
      </c>
      <c r="AO9" s="134" t="s">
        <v>2214</v>
      </c>
      <c r="AP9" s="131"/>
      <c r="AQ9" s="129"/>
      <c r="AR9" s="129"/>
      <c r="AS9" s="131"/>
      <c r="AT9" s="131"/>
      <c r="AU9" s="131"/>
      <c r="AV9" s="131"/>
      <c r="AW9" s="131"/>
      <c r="AX9" s="131"/>
      <c r="AY9" s="131"/>
      <c r="AZ9" s="131"/>
      <c r="BA9" s="131"/>
      <c r="BB9" s="131"/>
    </row>
    <row r="10" spans="1:54">
      <c r="A10" s="132"/>
      <c r="B10" s="133" t="s">
        <v>3369</v>
      </c>
      <c r="C10" s="133" t="s">
        <v>1473</v>
      </c>
      <c r="D10" s="133" t="s">
        <v>1926</v>
      </c>
      <c r="E10" s="133" t="s">
        <v>1927</v>
      </c>
      <c r="F10" s="133" t="s">
        <v>1928</v>
      </c>
      <c r="G10" s="133" t="s">
        <v>1929</v>
      </c>
      <c r="H10" s="133" t="s">
        <v>1930</v>
      </c>
      <c r="I10" s="133" t="s">
        <v>1931</v>
      </c>
      <c r="J10" s="133">
        <v>45.9</v>
      </c>
      <c r="K10" s="133">
        <v>255.86</v>
      </c>
      <c r="L10" s="133">
        <v>291.89</v>
      </c>
      <c r="M10" s="133">
        <v>205.86</v>
      </c>
      <c r="N10" s="133">
        <v>28.49</v>
      </c>
      <c r="O10" s="133">
        <v>38.78</v>
      </c>
      <c r="P10" s="133">
        <v>32.01</v>
      </c>
      <c r="Q10" s="133">
        <v>53.52</v>
      </c>
      <c r="R10" s="133">
        <v>68.48</v>
      </c>
      <c r="S10" s="133">
        <v>65.34</v>
      </c>
      <c r="T10" s="133">
        <v>77.989999999999995</v>
      </c>
      <c r="U10" s="133">
        <v>14.78</v>
      </c>
      <c r="V10" s="133">
        <v>58.18</v>
      </c>
      <c r="W10" s="133">
        <v>113.79</v>
      </c>
      <c r="X10" s="133">
        <v>145.85</v>
      </c>
      <c r="Y10" s="133">
        <v>220.04</v>
      </c>
      <c r="Z10" s="133">
        <v>126.41</v>
      </c>
      <c r="AA10" s="133">
        <v>107.68</v>
      </c>
      <c r="AB10" s="133">
        <v>0</v>
      </c>
      <c r="AC10" s="133">
        <v>23.41</v>
      </c>
      <c r="AD10" s="133">
        <v>0</v>
      </c>
      <c r="AE10" s="133">
        <v>9.36</v>
      </c>
      <c r="AF10" s="133">
        <v>9.36</v>
      </c>
      <c r="AG10" s="133">
        <v>28.09</v>
      </c>
      <c r="AH10" s="133">
        <v>0</v>
      </c>
      <c r="AI10" s="133">
        <v>9.36</v>
      </c>
      <c r="AJ10" s="133">
        <v>0</v>
      </c>
      <c r="AK10" s="133">
        <v>0</v>
      </c>
      <c r="AL10" s="133">
        <v>0</v>
      </c>
      <c r="AM10" s="136" t="str">
        <f>IF(ISERROR(VLOOKUP(D10,'Woodmac profile - Oil'!$D$9:$AN$266,37,FALSE)),"",VLOOKUP(D10,'Woodmac profile - Oil'!$D$9:$AN$266,37,FALSE))</f>
        <v>SUBS</v>
      </c>
      <c r="AN10" s="136" t="str">
        <f>IF(ISERROR(VLOOKUP(D10,'Woodmac profile - Gas'!$D$9:$AN$249,37,FALSE)),"",VLOOKUP(D10,'Woodmac profile - Gas'!$D$9:$AN$249,37,FALSE))</f>
        <v/>
      </c>
      <c r="AO10" s="136" t="str">
        <f t="shared" ref="AO10" si="0">IF(AM10="",AN10,AM10)</f>
        <v>SUBS</v>
      </c>
      <c r="AP10" s="132"/>
      <c r="AQ10" s="129"/>
      <c r="AR10" s="129"/>
      <c r="AS10" s="354"/>
      <c r="AT10" s="131"/>
      <c r="AU10" s="131"/>
      <c r="AV10" s="354"/>
      <c r="AW10" s="132"/>
      <c r="AX10" s="354"/>
      <c r="AY10" s="132"/>
      <c r="AZ10" s="132"/>
      <c r="BA10" s="132"/>
      <c r="BB10" s="132"/>
    </row>
    <row r="11" spans="1:54">
      <c r="A11" s="132"/>
      <c r="B11" s="133" t="s">
        <v>3369</v>
      </c>
      <c r="C11" s="133" t="s">
        <v>1473</v>
      </c>
      <c r="D11" s="133" t="s">
        <v>1877</v>
      </c>
      <c r="E11" s="133" t="s">
        <v>1927</v>
      </c>
      <c r="F11" s="133" t="s">
        <v>1928</v>
      </c>
      <c r="G11" s="133" t="s">
        <v>1930</v>
      </c>
      <c r="H11" s="133" t="s">
        <v>116</v>
      </c>
      <c r="I11" s="133" t="s">
        <v>1931</v>
      </c>
      <c r="J11" s="133">
        <v>33.15</v>
      </c>
      <c r="K11" s="133">
        <v>441.74</v>
      </c>
      <c r="L11" s="133">
        <v>132.63</v>
      </c>
      <c r="M11" s="133">
        <v>53.1</v>
      </c>
      <c r="N11" s="133">
        <v>61.72</v>
      </c>
      <c r="O11" s="133">
        <v>72.010000000000005</v>
      </c>
      <c r="P11" s="133">
        <v>130.97999999999999</v>
      </c>
      <c r="Q11" s="133">
        <v>131.41999999999999</v>
      </c>
      <c r="R11" s="133">
        <v>57.07</v>
      </c>
      <c r="S11" s="133">
        <v>92.16</v>
      </c>
      <c r="T11" s="133">
        <v>234.7</v>
      </c>
      <c r="U11" s="133">
        <v>17.79</v>
      </c>
      <c r="V11" s="133">
        <v>112.04</v>
      </c>
      <c r="W11" s="133">
        <v>262.29000000000002</v>
      </c>
      <c r="X11" s="133">
        <v>89.8</v>
      </c>
      <c r="Y11" s="133">
        <v>12.17</v>
      </c>
      <c r="Z11" s="133">
        <v>11.93</v>
      </c>
      <c r="AA11" s="133">
        <v>11.93</v>
      </c>
      <c r="AB11" s="133">
        <v>14.59</v>
      </c>
      <c r="AC11" s="133">
        <v>7.96</v>
      </c>
      <c r="AD11" s="133">
        <v>0</v>
      </c>
      <c r="AE11" s="133">
        <v>7.96</v>
      </c>
      <c r="AF11" s="133">
        <v>0</v>
      </c>
      <c r="AG11" s="133">
        <v>0</v>
      </c>
      <c r="AH11" s="133">
        <v>0</v>
      </c>
      <c r="AI11" s="133">
        <v>0</v>
      </c>
      <c r="AJ11" s="133">
        <v>0</v>
      </c>
      <c r="AK11" s="133">
        <v>0</v>
      </c>
      <c r="AL11" s="133">
        <v>0</v>
      </c>
      <c r="AM11" s="136" t="str">
        <f>IF(ISERROR(VLOOKUP(D11,'Woodmac profile - Oil'!$D$9:$AN$266,37,FALSE)),"",VLOOKUP(D11,'Woodmac profile - Oil'!$D$9:$AN$266,37,FALSE))</f>
        <v/>
      </c>
      <c r="AN11" s="136" t="str">
        <f>IF(ISERROR(VLOOKUP(D11,'Woodmac profile - Gas'!$D$9:$AN$249,37,FALSE)),"",VLOOKUP(D11,'Woodmac profile - Gas'!$D$9:$AN$249,37,FALSE))</f>
        <v>SUBS</v>
      </c>
      <c r="AO11" s="136" t="str">
        <f t="shared" ref="AO11:AO76" si="1">IF(AM11="",AN11,AM11)</f>
        <v>SUBS</v>
      </c>
      <c r="AP11" s="132"/>
      <c r="AQ11" s="129"/>
      <c r="AR11" s="129"/>
      <c r="AS11" s="354"/>
      <c r="AT11" s="131"/>
      <c r="AU11" s="131"/>
      <c r="AV11" s="354"/>
      <c r="AW11" s="132"/>
      <c r="AX11" s="354"/>
      <c r="AY11" s="132"/>
      <c r="AZ11" s="132"/>
      <c r="BA11" s="132"/>
      <c r="BB11" s="132"/>
    </row>
    <row r="12" spans="1:54">
      <c r="A12" s="132"/>
      <c r="B12" s="133" t="s">
        <v>3369</v>
      </c>
      <c r="C12" s="133" t="s">
        <v>1934</v>
      </c>
      <c r="D12" s="133" t="s">
        <v>2572</v>
      </c>
      <c r="E12" s="133" t="s">
        <v>1927</v>
      </c>
      <c r="F12" s="133" t="s">
        <v>3373</v>
      </c>
      <c r="G12" s="133" t="s">
        <v>3374</v>
      </c>
      <c r="H12" s="133" t="s">
        <v>1930</v>
      </c>
      <c r="I12" s="133" t="s">
        <v>2971</v>
      </c>
      <c r="J12" s="133">
        <v>26.67</v>
      </c>
      <c r="K12" s="133">
        <v>0</v>
      </c>
      <c r="L12" s="133">
        <v>0</v>
      </c>
      <c r="M12" s="133">
        <v>0</v>
      </c>
      <c r="N12" s="133">
        <v>0</v>
      </c>
      <c r="O12" s="133">
        <v>0</v>
      </c>
      <c r="P12" s="133">
        <v>433.9</v>
      </c>
      <c r="Q12" s="133">
        <v>561.01</v>
      </c>
      <c r="R12" s="133">
        <v>552.17999999999995</v>
      </c>
      <c r="S12" s="133">
        <v>709.45</v>
      </c>
      <c r="T12" s="133">
        <v>675.85</v>
      </c>
      <c r="U12" s="133">
        <v>457.1</v>
      </c>
      <c r="V12" s="133">
        <v>328.09</v>
      </c>
      <c r="W12" s="133">
        <v>90.19</v>
      </c>
      <c r="X12" s="133">
        <v>100.48</v>
      </c>
      <c r="Y12" s="133">
        <v>57.22</v>
      </c>
      <c r="Z12" s="133">
        <v>18.309999999999999</v>
      </c>
      <c r="AA12" s="133">
        <v>18.309999999999999</v>
      </c>
      <c r="AB12" s="133">
        <v>24.41</v>
      </c>
      <c r="AC12" s="133">
        <v>24.41</v>
      </c>
      <c r="AD12" s="133">
        <v>24.41</v>
      </c>
      <c r="AE12" s="133">
        <v>24.41</v>
      </c>
      <c r="AF12" s="133">
        <v>19.52</v>
      </c>
      <c r="AG12" s="133">
        <v>15.62</v>
      </c>
      <c r="AH12" s="133">
        <v>12.49</v>
      </c>
      <c r="AI12" s="133">
        <v>10</v>
      </c>
      <c r="AJ12" s="133">
        <v>8</v>
      </c>
      <c r="AK12" s="133">
        <v>6.4</v>
      </c>
      <c r="AL12" s="133">
        <v>5.12</v>
      </c>
      <c r="AM12" s="136" t="str">
        <f>IF(ISERROR(VLOOKUP(D12,'Woodmac profile - Oil'!$D$9:$AN$266,37,FALSE)),"",VLOOKUP(D12,'Woodmac profile - Oil'!$D$9:$AN$266,37,FALSE))</f>
        <v>SUBS</v>
      </c>
      <c r="AN12" s="136" t="str">
        <f>IF(ISERROR(VLOOKUP(D12,'Woodmac profile - Gas'!$D$9:$AN$249,37,FALSE)),"",VLOOKUP(D12,'Woodmac profile - Gas'!$D$9:$AN$249,37,FALSE))</f>
        <v/>
      </c>
      <c r="AO12" s="136" t="str">
        <f t="shared" si="1"/>
        <v>SUBS</v>
      </c>
      <c r="AP12" s="132"/>
      <c r="AQ12" s="129"/>
      <c r="AR12" s="129"/>
      <c r="AS12" s="354"/>
      <c r="AT12" s="131"/>
      <c r="AU12" s="131"/>
      <c r="AV12" s="354"/>
      <c r="AW12" s="132"/>
      <c r="AX12" s="354"/>
      <c r="AY12" s="132"/>
      <c r="AZ12" s="132"/>
      <c r="BA12" s="132"/>
      <c r="BB12" s="132"/>
    </row>
    <row r="13" spans="1:54">
      <c r="A13" s="132"/>
      <c r="B13" s="133" t="s">
        <v>3369</v>
      </c>
      <c r="C13" s="133" t="s">
        <v>1934</v>
      </c>
      <c r="D13" s="133" t="s">
        <v>2972</v>
      </c>
      <c r="E13" s="133" t="s">
        <v>1927</v>
      </c>
      <c r="F13" s="133" t="s">
        <v>2973</v>
      </c>
      <c r="G13" s="133" t="s">
        <v>3374</v>
      </c>
      <c r="H13" s="133" t="s">
        <v>1930</v>
      </c>
      <c r="I13" s="133" t="s">
        <v>2971</v>
      </c>
      <c r="J13" s="133">
        <v>16.670000000000002</v>
      </c>
      <c r="K13" s="133">
        <v>0</v>
      </c>
      <c r="L13" s="133">
        <v>0</v>
      </c>
      <c r="M13" s="133">
        <v>0</v>
      </c>
      <c r="N13" s="133">
        <v>0</v>
      </c>
      <c r="O13" s="133">
        <v>0</v>
      </c>
      <c r="P13" s="133">
        <v>0</v>
      </c>
      <c r="Q13" s="133">
        <v>0</v>
      </c>
      <c r="R13" s="133">
        <v>68.680000000000007</v>
      </c>
      <c r="S13" s="133">
        <v>228.02</v>
      </c>
      <c r="T13" s="133">
        <v>348.26</v>
      </c>
      <c r="U13" s="133">
        <v>383.9</v>
      </c>
      <c r="V13" s="133">
        <v>355.67</v>
      </c>
      <c r="W13" s="133">
        <v>227.04</v>
      </c>
      <c r="X13" s="133">
        <v>81.510000000000005</v>
      </c>
      <c r="Y13" s="133">
        <v>5.0999999999999996</v>
      </c>
      <c r="Z13" s="133">
        <v>1.7</v>
      </c>
      <c r="AA13" s="133">
        <v>13.6</v>
      </c>
      <c r="AB13" s="133">
        <v>20.78</v>
      </c>
      <c r="AC13" s="133">
        <v>4.62</v>
      </c>
      <c r="AD13" s="133">
        <v>4.62</v>
      </c>
      <c r="AE13" s="133">
        <v>4.22</v>
      </c>
      <c r="AF13" s="133">
        <v>4.22</v>
      </c>
      <c r="AG13" s="133">
        <v>4.3499999999999996</v>
      </c>
      <c r="AH13" s="133">
        <v>4.3499999999999996</v>
      </c>
      <c r="AI13" s="133">
        <v>0</v>
      </c>
      <c r="AJ13" s="133">
        <v>0</v>
      </c>
      <c r="AK13" s="133">
        <v>0</v>
      </c>
      <c r="AL13" s="133">
        <v>0</v>
      </c>
      <c r="AM13" s="136" t="str">
        <f>IF(ISERROR(VLOOKUP(D13,'Woodmac profile - Oil'!$D$9:$AN$266,37,FALSE)),"",VLOOKUP(D13,'Woodmac profile - Oil'!$D$9:$AN$266,37,FALSE))</f>
        <v>SUBS</v>
      </c>
      <c r="AN13" s="136" t="str">
        <f>IF(ISERROR(VLOOKUP(D13,'Woodmac profile - Gas'!$D$9:$AN$249,37,FALSE)),"",VLOOKUP(D13,'Woodmac profile - Gas'!$D$9:$AN$249,37,FALSE))</f>
        <v/>
      </c>
      <c r="AO13" s="136" t="str">
        <f t="shared" si="1"/>
        <v>SUBS</v>
      </c>
      <c r="AP13" s="132"/>
      <c r="AQ13" s="129"/>
      <c r="AR13" s="129"/>
      <c r="AS13" s="354"/>
      <c r="AT13" s="131"/>
      <c r="AU13" s="131"/>
      <c r="AV13" s="354"/>
      <c r="AW13" s="132"/>
      <c r="AX13" s="354"/>
      <c r="AY13" s="132"/>
      <c r="AZ13" s="132"/>
      <c r="BA13" s="132"/>
      <c r="BB13" s="132"/>
    </row>
    <row r="14" spans="1:54">
      <c r="A14" s="132"/>
      <c r="B14" s="133" t="s">
        <v>3369</v>
      </c>
      <c r="C14" s="133" t="s">
        <v>1934</v>
      </c>
      <c r="D14" s="133" t="s">
        <v>2974</v>
      </c>
      <c r="E14" s="133" t="s">
        <v>1927</v>
      </c>
      <c r="F14" s="133" t="s">
        <v>2973</v>
      </c>
      <c r="G14" s="133" t="s">
        <v>3374</v>
      </c>
      <c r="H14" s="133" t="s">
        <v>1930</v>
      </c>
      <c r="I14" s="133" t="s">
        <v>2971</v>
      </c>
      <c r="J14" s="133">
        <v>16.670000000000002</v>
      </c>
      <c r="K14" s="133">
        <v>0</v>
      </c>
      <c r="L14" s="133">
        <v>180.54</v>
      </c>
      <c r="M14" s="133">
        <v>301.72000000000003</v>
      </c>
      <c r="N14" s="133">
        <v>322.79000000000002</v>
      </c>
      <c r="O14" s="133">
        <v>166.48</v>
      </c>
      <c r="P14" s="133">
        <v>94.73</v>
      </c>
      <c r="Q14" s="133">
        <v>61.23</v>
      </c>
      <c r="R14" s="133">
        <v>124.55</v>
      </c>
      <c r="S14" s="133">
        <v>167.41</v>
      </c>
      <c r="T14" s="133">
        <v>137.06</v>
      </c>
      <c r="U14" s="133">
        <v>179.45</v>
      </c>
      <c r="V14" s="133">
        <v>158.01</v>
      </c>
      <c r="W14" s="133">
        <v>59.44</v>
      </c>
      <c r="X14" s="133">
        <v>108.35</v>
      </c>
      <c r="Y14" s="133">
        <v>100.21</v>
      </c>
      <c r="Z14" s="133">
        <v>33.42</v>
      </c>
      <c r="AA14" s="133">
        <v>35.83</v>
      </c>
      <c r="AB14" s="133">
        <v>17.97</v>
      </c>
      <c r="AC14" s="133">
        <v>14.51</v>
      </c>
      <c r="AD14" s="133">
        <v>11.38</v>
      </c>
      <c r="AE14" s="133">
        <v>5.69</v>
      </c>
      <c r="AF14" s="133">
        <v>2.7</v>
      </c>
      <c r="AG14" s="133">
        <v>0</v>
      </c>
      <c r="AH14" s="133">
        <v>0</v>
      </c>
      <c r="AI14" s="133">
        <v>0</v>
      </c>
      <c r="AJ14" s="133">
        <v>0</v>
      </c>
      <c r="AK14" s="133">
        <v>0</v>
      </c>
      <c r="AL14" s="133">
        <v>0</v>
      </c>
      <c r="AM14" s="136" t="str">
        <f>IF(ISERROR(VLOOKUP(D14,'Woodmac profile - Oil'!$D$9:$AN$266,37,FALSE)),"",VLOOKUP(D14,'Woodmac profile - Oil'!$D$9:$AN$266,37,FALSE))</f>
        <v>SUBS</v>
      </c>
      <c r="AN14" s="136" t="str">
        <f>IF(ISERROR(VLOOKUP(D14,'Woodmac profile - Gas'!$D$9:$AN$249,37,FALSE)),"",VLOOKUP(D14,'Woodmac profile - Gas'!$D$9:$AN$249,37,FALSE))</f>
        <v/>
      </c>
      <c r="AO14" s="136" t="str">
        <f t="shared" si="1"/>
        <v>SUBS</v>
      </c>
      <c r="AP14" s="132"/>
      <c r="AQ14" s="129"/>
      <c r="AR14" s="129"/>
      <c r="AS14" s="354"/>
      <c r="AT14" s="131"/>
      <c r="AU14" s="131"/>
      <c r="AV14" s="354"/>
      <c r="AW14" s="132"/>
      <c r="AX14" s="354"/>
      <c r="AY14" s="132"/>
      <c r="AZ14" s="132"/>
      <c r="BA14" s="132"/>
      <c r="BB14" s="132"/>
    </row>
    <row r="15" spans="1:54">
      <c r="A15" s="132"/>
      <c r="B15" s="133" t="s">
        <v>3369</v>
      </c>
      <c r="C15" s="133" t="s">
        <v>1934</v>
      </c>
      <c r="D15" s="133" t="s">
        <v>2107</v>
      </c>
      <c r="E15" s="133" t="s">
        <v>1927</v>
      </c>
      <c r="F15" s="133" t="s">
        <v>2973</v>
      </c>
      <c r="G15" s="133" t="s">
        <v>3374</v>
      </c>
      <c r="H15" s="133" t="s">
        <v>1930</v>
      </c>
      <c r="I15" s="133" t="s">
        <v>2971</v>
      </c>
      <c r="J15" s="133">
        <v>16.670000000000002</v>
      </c>
      <c r="K15" s="133">
        <v>169.96</v>
      </c>
      <c r="L15" s="133">
        <v>69.569999999999993</v>
      </c>
      <c r="M15" s="133">
        <v>38.450000000000003</v>
      </c>
      <c r="N15" s="133">
        <v>74.489999999999995</v>
      </c>
      <c r="O15" s="133">
        <v>50.3</v>
      </c>
      <c r="P15" s="133">
        <v>22.28</v>
      </c>
      <c r="Q15" s="133">
        <v>99.13</v>
      </c>
      <c r="R15" s="133">
        <v>82.65</v>
      </c>
      <c r="S15" s="133">
        <v>42.64</v>
      </c>
      <c r="T15" s="133">
        <v>100.77</v>
      </c>
      <c r="U15" s="133">
        <v>47.63</v>
      </c>
      <c r="V15" s="133">
        <v>41.71</v>
      </c>
      <c r="W15" s="133">
        <v>18.98</v>
      </c>
      <c r="X15" s="133">
        <v>25.54</v>
      </c>
      <c r="Y15" s="133">
        <v>24.09</v>
      </c>
      <c r="Z15" s="133">
        <v>23.26</v>
      </c>
      <c r="AA15" s="133">
        <v>6.13</v>
      </c>
      <c r="AB15" s="133">
        <v>5.0599999999999996</v>
      </c>
      <c r="AC15" s="133">
        <v>4.2</v>
      </c>
      <c r="AD15" s="133">
        <v>2.62</v>
      </c>
      <c r="AE15" s="133">
        <v>1.06</v>
      </c>
      <c r="AF15" s="133">
        <v>0.96</v>
      </c>
      <c r="AG15" s="133">
        <v>0.86</v>
      </c>
      <c r="AH15" s="133">
        <v>0.78</v>
      </c>
      <c r="AI15" s="133">
        <v>0</v>
      </c>
      <c r="AJ15" s="133">
        <v>0</v>
      </c>
      <c r="AK15" s="133">
        <v>0</v>
      </c>
      <c r="AL15" s="133">
        <v>0</v>
      </c>
      <c r="AM15" s="136" t="str">
        <f>IF(ISERROR(VLOOKUP(D15,'Woodmac profile - Oil'!$D$9:$AN$266,37,FALSE)),"",VLOOKUP(D15,'Woodmac profile - Oil'!$D$9:$AN$266,37,FALSE))</f>
        <v>SUBS</v>
      </c>
      <c r="AN15" s="136" t="str">
        <f>IF(ISERROR(VLOOKUP(D15,'Woodmac profile - Gas'!$D$9:$AN$249,37,FALSE)),"",VLOOKUP(D15,'Woodmac profile - Gas'!$D$9:$AN$249,37,FALSE))</f>
        <v/>
      </c>
      <c r="AO15" s="136" t="str">
        <f t="shared" si="1"/>
        <v>SUBS</v>
      </c>
      <c r="AP15" s="132"/>
      <c r="AQ15" s="129"/>
      <c r="AR15" s="129"/>
      <c r="AS15" s="354"/>
      <c r="AT15" s="131"/>
      <c r="AU15" s="131"/>
      <c r="AV15" s="354"/>
      <c r="AW15" s="132"/>
      <c r="AX15" s="354"/>
      <c r="AY15" s="132"/>
      <c r="AZ15" s="132"/>
      <c r="BA15" s="132"/>
      <c r="BB15" s="132"/>
    </row>
    <row r="16" spans="1:54">
      <c r="A16" s="132"/>
      <c r="B16" s="133" t="s">
        <v>3369</v>
      </c>
      <c r="C16" s="133" t="s">
        <v>1934</v>
      </c>
      <c r="D16" s="133" t="s">
        <v>2108</v>
      </c>
      <c r="E16" s="133" t="s">
        <v>1927</v>
      </c>
      <c r="F16" s="133" t="s">
        <v>2973</v>
      </c>
      <c r="G16" s="133" t="s">
        <v>3374</v>
      </c>
      <c r="H16" s="133" t="s">
        <v>1930</v>
      </c>
      <c r="I16" s="133" t="s">
        <v>2971</v>
      </c>
      <c r="J16" s="133">
        <v>50</v>
      </c>
      <c r="K16" s="133">
        <v>135.94</v>
      </c>
      <c r="L16" s="133">
        <v>231.84</v>
      </c>
      <c r="M16" s="133">
        <v>684.39</v>
      </c>
      <c r="N16" s="133">
        <v>930.93</v>
      </c>
      <c r="O16" s="133">
        <v>693.95</v>
      </c>
      <c r="P16" s="133">
        <v>331.49</v>
      </c>
      <c r="Q16" s="133">
        <v>411.61</v>
      </c>
      <c r="R16" s="133">
        <v>248.5</v>
      </c>
      <c r="S16" s="133">
        <v>600.35</v>
      </c>
      <c r="T16" s="133">
        <v>519.84</v>
      </c>
      <c r="U16" s="133">
        <v>245.36</v>
      </c>
      <c r="V16" s="133">
        <v>349.81</v>
      </c>
      <c r="W16" s="133">
        <v>163.77000000000001</v>
      </c>
      <c r="X16" s="133">
        <v>69.37</v>
      </c>
      <c r="Y16" s="133">
        <v>67.92</v>
      </c>
      <c r="Z16" s="133">
        <v>67.92</v>
      </c>
      <c r="AA16" s="133">
        <v>67.92</v>
      </c>
      <c r="AB16" s="133">
        <v>67.92</v>
      </c>
      <c r="AC16" s="133">
        <v>67.92</v>
      </c>
      <c r="AD16" s="133">
        <v>67.92</v>
      </c>
      <c r="AE16" s="133">
        <v>50.94</v>
      </c>
      <c r="AF16" s="133">
        <v>25.47</v>
      </c>
      <c r="AG16" s="133">
        <v>5.09</v>
      </c>
      <c r="AH16" s="133">
        <v>0</v>
      </c>
      <c r="AI16" s="133">
        <v>0</v>
      </c>
      <c r="AJ16" s="133">
        <v>0</v>
      </c>
      <c r="AK16" s="133">
        <v>0</v>
      </c>
      <c r="AL16" s="133">
        <v>0</v>
      </c>
      <c r="AM16" s="136" t="str">
        <f>IF(ISERROR(VLOOKUP(D16,'Woodmac profile - Oil'!$D$9:$AN$266,37,FALSE)),"",VLOOKUP(D16,'Woodmac profile - Oil'!$D$9:$AN$266,37,FALSE))</f>
        <v>SUBS</v>
      </c>
      <c r="AN16" s="136" t="str">
        <f>IF(ISERROR(VLOOKUP(D16,'Woodmac profile - Gas'!$D$9:$AN$249,37,FALSE)),"",VLOOKUP(D16,'Woodmac profile - Gas'!$D$9:$AN$249,37,FALSE))</f>
        <v/>
      </c>
      <c r="AO16" s="136" t="str">
        <f t="shared" si="1"/>
        <v>SUBS</v>
      </c>
      <c r="AP16" s="132"/>
      <c r="AQ16" s="129"/>
      <c r="AR16" s="129"/>
      <c r="AS16" s="354"/>
      <c r="AT16" s="131"/>
      <c r="AU16" s="131"/>
      <c r="AV16" s="354"/>
      <c r="AW16" s="132"/>
      <c r="AX16" s="354"/>
      <c r="AY16" s="132"/>
      <c r="AZ16" s="132"/>
      <c r="BA16" s="132"/>
      <c r="BB16" s="132"/>
    </row>
    <row r="17" spans="1:54">
      <c r="A17" s="132"/>
      <c r="B17" s="133" t="s">
        <v>3369</v>
      </c>
      <c r="C17" s="133" t="s">
        <v>1934</v>
      </c>
      <c r="D17" s="133" t="s">
        <v>2109</v>
      </c>
      <c r="E17" s="133" t="s">
        <v>1927</v>
      </c>
      <c r="F17" s="133" t="s">
        <v>2973</v>
      </c>
      <c r="G17" s="133" t="s">
        <v>3374</v>
      </c>
      <c r="H17" s="133" t="s">
        <v>1930</v>
      </c>
      <c r="I17" s="133" t="s">
        <v>2599</v>
      </c>
      <c r="J17" s="133">
        <v>26.67</v>
      </c>
      <c r="K17" s="133">
        <v>518.45000000000005</v>
      </c>
      <c r="L17" s="133">
        <v>237.44</v>
      </c>
      <c r="M17" s="133">
        <v>64.930000000000007</v>
      </c>
      <c r="N17" s="133">
        <v>66.209999999999994</v>
      </c>
      <c r="O17" s="133">
        <v>170.59</v>
      </c>
      <c r="P17" s="133">
        <v>195.26</v>
      </c>
      <c r="Q17" s="133">
        <v>179.75</v>
      </c>
      <c r="R17" s="133">
        <v>66.73</v>
      </c>
      <c r="S17" s="133">
        <v>0</v>
      </c>
      <c r="T17" s="133">
        <v>116.2</v>
      </c>
      <c r="U17" s="133">
        <v>60.1</v>
      </c>
      <c r="V17" s="133">
        <v>61.97</v>
      </c>
      <c r="W17" s="133">
        <v>51.77</v>
      </c>
      <c r="X17" s="133">
        <v>0</v>
      </c>
      <c r="Y17" s="133">
        <v>0</v>
      </c>
      <c r="Z17" s="133">
        <v>0</v>
      </c>
      <c r="AA17" s="133">
        <v>26.32</v>
      </c>
      <c r="AB17" s="133">
        <v>25.91</v>
      </c>
      <c r="AC17" s="133">
        <v>0</v>
      </c>
      <c r="AD17" s="133">
        <v>0</v>
      </c>
      <c r="AE17" s="133">
        <v>0</v>
      </c>
      <c r="AF17" s="133">
        <v>0</v>
      </c>
      <c r="AG17" s="133">
        <v>0</v>
      </c>
      <c r="AH17" s="133">
        <v>0</v>
      </c>
      <c r="AI17" s="133">
        <v>0</v>
      </c>
      <c r="AJ17" s="133">
        <v>0</v>
      </c>
      <c r="AK17" s="133">
        <v>0</v>
      </c>
      <c r="AL17" s="133">
        <v>0</v>
      </c>
      <c r="AM17" s="136" t="str">
        <f>IF(ISERROR(VLOOKUP(D17,'Woodmac profile - Oil'!$D$9:$AN$266,37,FALSE)),"",VLOOKUP(D17,'Woodmac profile - Oil'!$D$9:$AN$266,37,FALSE))</f>
        <v>SUBS</v>
      </c>
      <c r="AN17" s="136" t="str">
        <f>IF(ISERROR(VLOOKUP(D17,'Woodmac profile - Gas'!$D$9:$AN$249,37,FALSE)),"",VLOOKUP(D17,'Woodmac profile - Gas'!$D$9:$AN$249,37,FALSE))</f>
        <v/>
      </c>
      <c r="AO17" s="136" t="str">
        <f t="shared" si="1"/>
        <v>SUBS</v>
      </c>
      <c r="AP17" s="132"/>
      <c r="AQ17" s="129"/>
      <c r="AR17" s="129"/>
      <c r="AS17" s="354"/>
      <c r="AT17" s="131"/>
      <c r="AU17" s="131"/>
      <c r="AV17" s="354"/>
      <c r="AW17" s="132"/>
      <c r="AX17" s="354"/>
      <c r="AY17" s="132"/>
      <c r="AZ17" s="132"/>
      <c r="BA17" s="132"/>
      <c r="BB17" s="132"/>
    </row>
    <row r="18" spans="1:54">
      <c r="A18" s="132"/>
      <c r="B18" s="133" t="s">
        <v>3369</v>
      </c>
      <c r="C18" s="133" t="s">
        <v>1934</v>
      </c>
      <c r="D18" s="133" t="s">
        <v>2110</v>
      </c>
      <c r="E18" s="133" t="s">
        <v>1927</v>
      </c>
      <c r="F18" s="133" t="s">
        <v>2973</v>
      </c>
      <c r="G18" s="133" t="s">
        <v>3374</v>
      </c>
      <c r="H18" s="133" t="s">
        <v>1930</v>
      </c>
      <c r="I18" s="133" t="s">
        <v>2599</v>
      </c>
      <c r="J18" s="133">
        <v>26.67</v>
      </c>
      <c r="K18" s="133">
        <v>271.92</v>
      </c>
      <c r="L18" s="133">
        <v>530</v>
      </c>
      <c r="M18" s="133">
        <v>308.94</v>
      </c>
      <c r="N18" s="133">
        <v>132.41</v>
      </c>
      <c r="O18" s="133">
        <v>115.87</v>
      </c>
      <c r="P18" s="133">
        <v>167.36</v>
      </c>
      <c r="Q18" s="133">
        <v>243.65</v>
      </c>
      <c r="R18" s="133">
        <v>169.42</v>
      </c>
      <c r="S18" s="133">
        <v>166.09</v>
      </c>
      <c r="T18" s="133">
        <v>81.34</v>
      </c>
      <c r="U18" s="133">
        <v>51.52</v>
      </c>
      <c r="V18" s="133">
        <v>50.71</v>
      </c>
      <c r="W18" s="133">
        <v>59.76</v>
      </c>
      <c r="X18" s="133">
        <v>0</v>
      </c>
      <c r="Y18" s="133">
        <v>0</v>
      </c>
      <c r="Z18" s="133">
        <v>23.11</v>
      </c>
      <c r="AA18" s="133">
        <v>0</v>
      </c>
      <c r="AB18" s="133">
        <v>24.08</v>
      </c>
      <c r="AC18" s="133">
        <v>0</v>
      </c>
      <c r="AD18" s="133">
        <v>0</v>
      </c>
      <c r="AE18" s="133">
        <v>0</v>
      </c>
      <c r="AF18" s="133">
        <v>0</v>
      </c>
      <c r="AG18" s="133">
        <v>0</v>
      </c>
      <c r="AH18" s="133">
        <v>0</v>
      </c>
      <c r="AI18" s="133">
        <v>0</v>
      </c>
      <c r="AJ18" s="133">
        <v>0</v>
      </c>
      <c r="AK18" s="133">
        <v>0</v>
      </c>
      <c r="AL18" s="133">
        <v>0</v>
      </c>
      <c r="AM18" s="136" t="str">
        <f>IF(ISERROR(VLOOKUP(D18,'Woodmac profile - Oil'!$D$9:$AN$266,37,FALSE)),"",VLOOKUP(D18,'Woodmac profile - Oil'!$D$9:$AN$266,37,FALSE))</f>
        <v>SUBS</v>
      </c>
      <c r="AN18" s="136" t="str">
        <f>IF(ISERROR(VLOOKUP(D18,'Woodmac profile - Gas'!$D$9:$AN$249,37,FALSE)),"",VLOOKUP(D18,'Woodmac profile - Gas'!$D$9:$AN$249,37,FALSE))</f>
        <v/>
      </c>
      <c r="AO18" s="136" t="str">
        <f t="shared" si="1"/>
        <v>SUBS</v>
      </c>
      <c r="AP18" s="132"/>
      <c r="AQ18" s="129"/>
      <c r="AR18" s="129"/>
      <c r="AS18" s="354"/>
      <c r="AT18" s="131"/>
      <c r="AU18" s="131"/>
      <c r="AV18" s="354"/>
      <c r="AW18" s="132"/>
      <c r="AX18" s="354"/>
      <c r="AY18" s="132"/>
      <c r="AZ18" s="132"/>
      <c r="BA18" s="132"/>
      <c r="BB18" s="132"/>
    </row>
    <row r="19" spans="1:54">
      <c r="A19" s="132"/>
      <c r="B19" s="133" t="s">
        <v>3369</v>
      </c>
      <c r="C19" s="133" t="s">
        <v>1934</v>
      </c>
      <c r="D19" s="133" t="s">
        <v>2111</v>
      </c>
      <c r="E19" s="133" t="s">
        <v>1927</v>
      </c>
      <c r="F19" s="133" t="s">
        <v>2973</v>
      </c>
      <c r="G19" s="133" t="s">
        <v>3374</v>
      </c>
      <c r="H19" s="133" t="s">
        <v>1930</v>
      </c>
      <c r="I19" s="133" t="s">
        <v>2971</v>
      </c>
      <c r="J19" s="133">
        <v>26.67</v>
      </c>
      <c r="K19" s="133">
        <v>0</v>
      </c>
      <c r="L19" s="133">
        <v>0</v>
      </c>
      <c r="M19" s="133">
        <v>0</v>
      </c>
      <c r="N19" s="133">
        <v>240.33</v>
      </c>
      <c r="O19" s="133">
        <v>414.88</v>
      </c>
      <c r="P19" s="133">
        <v>284.52</v>
      </c>
      <c r="Q19" s="133">
        <v>196.85</v>
      </c>
      <c r="R19" s="133">
        <v>208.44</v>
      </c>
      <c r="S19" s="133">
        <v>199.31</v>
      </c>
      <c r="T19" s="133">
        <v>209.16</v>
      </c>
      <c r="U19" s="133">
        <v>180.31</v>
      </c>
      <c r="V19" s="133">
        <v>133.1</v>
      </c>
      <c r="W19" s="133">
        <v>95.21</v>
      </c>
      <c r="X19" s="133">
        <v>64.209999999999994</v>
      </c>
      <c r="Y19" s="133">
        <v>0</v>
      </c>
      <c r="Z19" s="133">
        <v>0</v>
      </c>
      <c r="AA19" s="133">
        <v>0</v>
      </c>
      <c r="AB19" s="133">
        <v>0</v>
      </c>
      <c r="AC19" s="133">
        <v>0</v>
      </c>
      <c r="AD19" s="133">
        <v>0</v>
      </c>
      <c r="AE19" s="133">
        <v>0</v>
      </c>
      <c r="AF19" s="133">
        <v>0</v>
      </c>
      <c r="AG19" s="133">
        <v>0</v>
      </c>
      <c r="AH19" s="133">
        <v>0</v>
      </c>
      <c r="AI19" s="133">
        <v>0</v>
      </c>
      <c r="AJ19" s="133">
        <v>0</v>
      </c>
      <c r="AK19" s="133">
        <v>0</v>
      </c>
      <c r="AL19" s="133">
        <v>0</v>
      </c>
      <c r="AM19" s="136" t="str">
        <f>IF(ISERROR(VLOOKUP(D19,'Woodmac profile - Oil'!$D$9:$AN$266,37,FALSE)),"",VLOOKUP(D19,'Woodmac profile - Oil'!$D$9:$AN$266,37,FALSE))</f>
        <v>SUBS</v>
      </c>
      <c r="AN19" s="136" t="str">
        <f>IF(ISERROR(VLOOKUP(D19,'Woodmac profile - Gas'!$D$9:$AN$249,37,FALSE)),"",VLOOKUP(D19,'Woodmac profile - Gas'!$D$9:$AN$249,37,FALSE))</f>
        <v/>
      </c>
      <c r="AO19" s="136" t="str">
        <f t="shared" si="1"/>
        <v>SUBS</v>
      </c>
      <c r="AP19" s="132"/>
      <c r="AQ19" s="129"/>
      <c r="AR19" s="129"/>
      <c r="AS19" s="354"/>
      <c r="AT19" s="131"/>
      <c r="AU19" s="131"/>
      <c r="AV19" s="354"/>
      <c r="AW19" s="132"/>
      <c r="AX19" s="354"/>
      <c r="AY19" s="132"/>
      <c r="AZ19" s="132"/>
      <c r="BA19" s="132"/>
      <c r="BB19" s="132"/>
    </row>
    <row r="20" spans="1:54">
      <c r="A20" s="132"/>
      <c r="B20" s="133" t="s">
        <v>3369</v>
      </c>
      <c r="C20" s="133" t="s">
        <v>1934</v>
      </c>
      <c r="D20" s="133" t="s">
        <v>2916</v>
      </c>
      <c r="E20" s="133" t="s">
        <v>1927</v>
      </c>
      <c r="F20" s="133" t="s">
        <v>2973</v>
      </c>
      <c r="G20" s="133" t="s">
        <v>3374</v>
      </c>
      <c r="H20" s="133" t="s">
        <v>1930</v>
      </c>
      <c r="I20" s="133" t="s">
        <v>2971</v>
      </c>
      <c r="J20" s="133">
        <v>26.67</v>
      </c>
      <c r="K20" s="133">
        <v>0</v>
      </c>
      <c r="L20" s="133">
        <v>0</v>
      </c>
      <c r="M20" s="133">
        <v>0</v>
      </c>
      <c r="N20" s="133">
        <v>0</v>
      </c>
      <c r="O20" s="133">
        <v>0</v>
      </c>
      <c r="P20" s="133">
        <v>0</v>
      </c>
      <c r="Q20" s="133">
        <v>31.1</v>
      </c>
      <c r="R20" s="133">
        <v>266.29000000000002</v>
      </c>
      <c r="S20" s="133">
        <v>434.51</v>
      </c>
      <c r="T20" s="133">
        <v>371.83</v>
      </c>
      <c r="U20" s="133">
        <v>115.91</v>
      </c>
      <c r="V20" s="133">
        <v>76.06</v>
      </c>
      <c r="W20" s="133">
        <v>0</v>
      </c>
      <c r="X20" s="133">
        <v>0</v>
      </c>
      <c r="Y20" s="133">
        <v>0</v>
      </c>
      <c r="Z20" s="133">
        <v>29.38</v>
      </c>
      <c r="AA20" s="133">
        <v>30.6</v>
      </c>
      <c r="AB20" s="133">
        <v>30.6</v>
      </c>
      <c r="AC20" s="133">
        <v>30.6</v>
      </c>
      <c r="AD20" s="133">
        <v>0</v>
      </c>
      <c r="AE20" s="133">
        <v>0</v>
      </c>
      <c r="AF20" s="133">
        <v>0</v>
      </c>
      <c r="AG20" s="133">
        <v>0</v>
      </c>
      <c r="AH20" s="133">
        <v>0</v>
      </c>
      <c r="AI20" s="133">
        <v>0</v>
      </c>
      <c r="AJ20" s="133">
        <v>0</v>
      </c>
      <c r="AK20" s="133">
        <v>0</v>
      </c>
      <c r="AL20" s="133">
        <v>0</v>
      </c>
      <c r="AM20" s="136" t="str">
        <f>IF(ISERROR(VLOOKUP(D20,'Woodmac profile - Oil'!$D$9:$AN$266,37,FALSE)),"",VLOOKUP(D20,'Woodmac profile - Oil'!$D$9:$AN$266,37,FALSE))</f>
        <v>SUBS</v>
      </c>
      <c r="AN20" s="136" t="str">
        <f>IF(ISERROR(VLOOKUP(D20,'Woodmac profile - Gas'!$D$9:$AN$249,37,FALSE)),"",VLOOKUP(D20,'Woodmac profile - Gas'!$D$9:$AN$249,37,FALSE))</f>
        <v/>
      </c>
      <c r="AO20" s="136" t="str">
        <f t="shared" si="1"/>
        <v>SUBS</v>
      </c>
      <c r="AP20" s="132"/>
      <c r="AQ20" s="129"/>
      <c r="AR20" s="129"/>
      <c r="AS20" s="354"/>
      <c r="AT20" s="131"/>
      <c r="AU20" s="131"/>
      <c r="AV20" s="354"/>
      <c r="AW20" s="132"/>
      <c r="AX20" s="354"/>
      <c r="AY20" s="132"/>
      <c r="AZ20" s="132"/>
      <c r="BA20" s="132"/>
      <c r="BB20" s="132"/>
    </row>
    <row r="21" spans="1:54">
      <c r="A21" s="132"/>
      <c r="B21" s="133" t="s">
        <v>3369</v>
      </c>
      <c r="C21" s="133" t="s">
        <v>1934</v>
      </c>
      <c r="D21" s="133" t="s">
        <v>2917</v>
      </c>
      <c r="E21" s="133" t="s">
        <v>1927</v>
      </c>
      <c r="F21" s="133" t="s">
        <v>2973</v>
      </c>
      <c r="G21" s="133" t="s">
        <v>3374</v>
      </c>
      <c r="H21" s="133" t="s">
        <v>1930</v>
      </c>
      <c r="I21" s="133" t="s">
        <v>2971</v>
      </c>
      <c r="J21" s="133">
        <v>26.67</v>
      </c>
      <c r="K21" s="133">
        <v>0</v>
      </c>
      <c r="L21" s="133">
        <v>0</v>
      </c>
      <c r="M21" s="133">
        <v>0</v>
      </c>
      <c r="N21" s="133">
        <v>0</v>
      </c>
      <c r="O21" s="133">
        <v>0</v>
      </c>
      <c r="P21" s="133">
        <v>0</v>
      </c>
      <c r="Q21" s="133">
        <v>0</v>
      </c>
      <c r="R21" s="133">
        <v>0</v>
      </c>
      <c r="S21" s="133">
        <v>0</v>
      </c>
      <c r="T21" s="133">
        <v>14.52</v>
      </c>
      <c r="U21" s="133">
        <v>28.62</v>
      </c>
      <c r="V21" s="133">
        <v>432.68</v>
      </c>
      <c r="W21" s="133">
        <v>354.24</v>
      </c>
      <c r="X21" s="133">
        <v>132.37</v>
      </c>
      <c r="Y21" s="133">
        <v>90.71</v>
      </c>
      <c r="Z21" s="133">
        <v>0</v>
      </c>
      <c r="AA21" s="133">
        <v>0</v>
      </c>
      <c r="AB21" s="133">
        <v>0</v>
      </c>
      <c r="AC21" s="133">
        <v>0</v>
      </c>
      <c r="AD21" s="133">
        <v>0</v>
      </c>
      <c r="AE21" s="133">
        <v>0</v>
      </c>
      <c r="AF21" s="133">
        <v>0</v>
      </c>
      <c r="AG21" s="133">
        <v>0</v>
      </c>
      <c r="AH21" s="133">
        <v>0</v>
      </c>
      <c r="AI21" s="133">
        <v>0</v>
      </c>
      <c r="AJ21" s="133">
        <v>0</v>
      </c>
      <c r="AK21" s="133">
        <v>0</v>
      </c>
      <c r="AL21" s="133">
        <v>0</v>
      </c>
      <c r="AM21" s="136" t="str">
        <f>IF(ISERROR(VLOOKUP(D21,'Woodmac profile - Oil'!$D$9:$AN$266,37,FALSE)),"",VLOOKUP(D21,'Woodmac profile - Oil'!$D$9:$AN$266,37,FALSE))</f>
        <v>SUBS</v>
      </c>
      <c r="AN21" s="136" t="str">
        <f>IF(ISERROR(VLOOKUP(D21,'Woodmac profile - Gas'!$D$9:$AN$249,37,FALSE)),"",VLOOKUP(D21,'Woodmac profile - Gas'!$D$9:$AN$249,37,FALSE))</f>
        <v/>
      </c>
      <c r="AO21" s="136" t="str">
        <f t="shared" si="1"/>
        <v>SUBS</v>
      </c>
      <c r="AP21" s="132"/>
      <c r="AQ21" s="129"/>
      <c r="AR21" s="129"/>
      <c r="AS21" s="354"/>
      <c r="AT21" s="131"/>
      <c r="AU21" s="131"/>
      <c r="AV21" s="354"/>
      <c r="AW21" s="132"/>
      <c r="AX21" s="354"/>
      <c r="AY21" s="132"/>
      <c r="AZ21" s="132"/>
      <c r="BA21" s="132"/>
      <c r="BB21" s="132"/>
    </row>
    <row r="22" spans="1:54">
      <c r="A22" s="132"/>
      <c r="B22" s="133" t="s">
        <v>3369</v>
      </c>
      <c r="C22" s="133" t="s">
        <v>1934</v>
      </c>
      <c r="D22" s="133" t="s">
        <v>2918</v>
      </c>
      <c r="E22" s="133" t="s">
        <v>1927</v>
      </c>
      <c r="F22" s="133" t="s">
        <v>2973</v>
      </c>
      <c r="G22" s="133" t="s">
        <v>3374</v>
      </c>
      <c r="H22" s="133" t="s">
        <v>1930</v>
      </c>
      <c r="I22" s="133" t="s">
        <v>2971</v>
      </c>
      <c r="J22" s="133">
        <v>26.67</v>
      </c>
      <c r="K22" s="133">
        <v>0</v>
      </c>
      <c r="L22" s="133">
        <v>0</v>
      </c>
      <c r="M22" s="133">
        <v>0</v>
      </c>
      <c r="N22" s="133">
        <v>132.41</v>
      </c>
      <c r="O22" s="133">
        <v>77.25</v>
      </c>
      <c r="P22" s="133">
        <v>37.19</v>
      </c>
      <c r="Q22" s="133">
        <v>37.32</v>
      </c>
      <c r="R22" s="133">
        <v>0</v>
      </c>
      <c r="S22" s="133">
        <v>0</v>
      </c>
      <c r="T22" s="133">
        <v>24.69</v>
      </c>
      <c r="U22" s="133">
        <v>0</v>
      </c>
      <c r="V22" s="133">
        <v>0</v>
      </c>
      <c r="W22" s="133">
        <v>18.989999999999998</v>
      </c>
      <c r="X22" s="133">
        <v>0</v>
      </c>
      <c r="Y22" s="133">
        <v>0</v>
      </c>
      <c r="Z22" s="133">
        <v>0</v>
      </c>
      <c r="AA22" s="133">
        <v>0</v>
      </c>
      <c r="AB22" s="133">
        <v>0</v>
      </c>
      <c r="AC22" s="133">
        <v>0</v>
      </c>
      <c r="AD22" s="133">
        <v>0</v>
      </c>
      <c r="AE22" s="133">
        <v>0</v>
      </c>
      <c r="AF22" s="133">
        <v>0</v>
      </c>
      <c r="AG22" s="133">
        <v>0</v>
      </c>
      <c r="AH22" s="133">
        <v>0</v>
      </c>
      <c r="AI22" s="133">
        <v>0</v>
      </c>
      <c r="AJ22" s="133">
        <v>0</v>
      </c>
      <c r="AK22" s="133">
        <v>0</v>
      </c>
      <c r="AL22" s="133">
        <v>0</v>
      </c>
      <c r="AM22" s="136" t="str">
        <f>IF(ISERROR(VLOOKUP(D22,'Woodmac profile - Oil'!$D$9:$AN$266,37,FALSE)),"",VLOOKUP(D22,'Woodmac profile - Oil'!$D$9:$AN$266,37,FALSE))</f>
        <v>SUBS</v>
      </c>
      <c r="AN22" s="136" t="str">
        <f>IF(ISERROR(VLOOKUP(D22,'Woodmac profile - Gas'!$D$9:$AN$249,37,FALSE)),"",VLOOKUP(D22,'Woodmac profile - Gas'!$D$9:$AN$249,37,FALSE))</f>
        <v/>
      </c>
      <c r="AO22" s="136" t="str">
        <f t="shared" si="1"/>
        <v>SUBS</v>
      </c>
      <c r="AP22" s="132"/>
      <c r="AQ22" s="129"/>
      <c r="AR22" s="129"/>
      <c r="AS22" s="354"/>
      <c r="AT22" s="131"/>
      <c r="AU22" s="131"/>
      <c r="AV22" s="354"/>
      <c r="AW22" s="132"/>
      <c r="AX22" s="354"/>
      <c r="AY22" s="132"/>
      <c r="AZ22" s="132"/>
      <c r="BA22" s="132"/>
      <c r="BB22" s="132"/>
    </row>
    <row r="23" spans="1:54">
      <c r="A23" s="132"/>
      <c r="B23" s="133" t="s">
        <v>3369</v>
      </c>
      <c r="C23" s="133" t="s">
        <v>1934</v>
      </c>
      <c r="D23" s="133" t="s">
        <v>2919</v>
      </c>
      <c r="E23" s="133" t="s">
        <v>1927</v>
      </c>
      <c r="F23" s="133" t="s">
        <v>2973</v>
      </c>
      <c r="G23" s="133" t="s">
        <v>3374</v>
      </c>
      <c r="H23" s="133" t="s">
        <v>1930</v>
      </c>
      <c r="I23" s="133" t="s">
        <v>2971</v>
      </c>
      <c r="J23" s="133">
        <v>16.670000000000002</v>
      </c>
      <c r="K23" s="133">
        <v>0</v>
      </c>
      <c r="L23" s="133">
        <v>0</v>
      </c>
      <c r="M23" s="133">
        <v>0</v>
      </c>
      <c r="N23" s="133">
        <v>0</v>
      </c>
      <c r="O23" s="133">
        <v>10.06</v>
      </c>
      <c r="P23" s="133">
        <v>309.95</v>
      </c>
      <c r="Q23" s="133">
        <v>510.25</v>
      </c>
      <c r="R23" s="133">
        <v>502.21</v>
      </c>
      <c r="S23" s="133">
        <v>377.26</v>
      </c>
      <c r="T23" s="133">
        <v>160.69</v>
      </c>
      <c r="U23" s="133">
        <v>199.93</v>
      </c>
      <c r="V23" s="133">
        <v>170.96</v>
      </c>
      <c r="W23" s="133">
        <v>17.64</v>
      </c>
      <c r="X23" s="133">
        <v>8.74</v>
      </c>
      <c r="Y23" s="133">
        <v>8.5500000000000007</v>
      </c>
      <c r="Z23" s="133">
        <v>37.21</v>
      </c>
      <c r="AA23" s="133">
        <v>52.7</v>
      </c>
      <c r="AB23" s="133">
        <v>29.15</v>
      </c>
      <c r="AC23" s="133">
        <v>6.11</v>
      </c>
      <c r="AD23" s="133">
        <v>5.38</v>
      </c>
      <c r="AE23" s="133">
        <v>4.63</v>
      </c>
      <c r="AF23" s="133">
        <v>3.99</v>
      </c>
      <c r="AG23" s="133">
        <v>3.44</v>
      </c>
      <c r="AH23" s="133">
        <v>2.84</v>
      </c>
      <c r="AI23" s="133">
        <v>2.35</v>
      </c>
      <c r="AJ23" s="133">
        <v>1.31</v>
      </c>
      <c r="AK23" s="133">
        <v>1.05</v>
      </c>
      <c r="AL23" s="133">
        <v>0</v>
      </c>
      <c r="AM23" s="136" t="str">
        <f>IF(ISERROR(VLOOKUP(D23,'Woodmac profile - Oil'!$D$9:$AN$266,37,FALSE)),"",VLOOKUP(D23,'Woodmac profile - Oil'!$D$9:$AN$266,37,FALSE))</f>
        <v>SUBS</v>
      </c>
      <c r="AN23" s="136" t="str">
        <f>IF(ISERROR(VLOOKUP(D23,'Woodmac profile - Gas'!$D$9:$AN$249,37,FALSE)),"",VLOOKUP(D23,'Woodmac profile - Gas'!$D$9:$AN$249,37,FALSE))</f>
        <v/>
      </c>
      <c r="AO23" s="136" t="str">
        <f t="shared" si="1"/>
        <v>SUBS</v>
      </c>
      <c r="AP23" s="132"/>
      <c r="AQ23" s="129"/>
      <c r="AR23" s="129"/>
      <c r="AS23" s="354"/>
      <c r="AT23" s="131"/>
      <c r="AU23" s="131"/>
      <c r="AV23" s="354"/>
      <c r="AW23" s="132"/>
      <c r="AX23" s="354"/>
      <c r="AY23" s="132"/>
      <c r="AZ23" s="132"/>
      <c r="BA23" s="132"/>
      <c r="BB23" s="132"/>
    </row>
    <row r="24" spans="1:54">
      <c r="A24" s="132"/>
      <c r="B24" s="133" t="s">
        <v>3369</v>
      </c>
      <c r="C24" s="133" t="s">
        <v>1934</v>
      </c>
      <c r="D24" s="133" t="s">
        <v>2920</v>
      </c>
      <c r="E24" s="133" t="s">
        <v>1927</v>
      </c>
      <c r="F24" s="133" t="s">
        <v>2973</v>
      </c>
      <c r="G24" s="133" t="s">
        <v>3374</v>
      </c>
      <c r="H24" s="133" t="s">
        <v>1930</v>
      </c>
      <c r="I24" s="133" t="s">
        <v>2971</v>
      </c>
      <c r="J24" s="133">
        <v>16.670000000000002</v>
      </c>
      <c r="K24" s="133">
        <v>0</v>
      </c>
      <c r="L24" s="133">
        <v>30.37</v>
      </c>
      <c r="M24" s="133">
        <v>178.36</v>
      </c>
      <c r="N24" s="133">
        <v>203.81</v>
      </c>
      <c r="O24" s="133">
        <v>143.84</v>
      </c>
      <c r="P24" s="133">
        <v>51.34</v>
      </c>
      <c r="Q24" s="133">
        <v>51.03</v>
      </c>
      <c r="R24" s="133">
        <v>20.09</v>
      </c>
      <c r="S24" s="133">
        <v>5.56</v>
      </c>
      <c r="T24" s="133">
        <v>84.43</v>
      </c>
      <c r="U24" s="133">
        <v>65.290000000000006</v>
      </c>
      <c r="V24" s="133">
        <v>83.46</v>
      </c>
      <c r="W24" s="133">
        <v>4.4000000000000004</v>
      </c>
      <c r="X24" s="133">
        <v>36.68</v>
      </c>
      <c r="Y24" s="133">
        <v>20.079999999999998</v>
      </c>
      <c r="Z24" s="133">
        <v>2.5499999999999998</v>
      </c>
      <c r="AA24" s="133">
        <v>2.5499999999999998</v>
      </c>
      <c r="AB24" s="133">
        <v>2.5499999999999998</v>
      </c>
      <c r="AC24" s="133">
        <v>2.5499999999999998</v>
      </c>
      <c r="AD24" s="133">
        <v>1.91</v>
      </c>
      <c r="AE24" s="133">
        <v>1.44</v>
      </c>
      <c r="AF24" s="133">
        <v>1.08</v>
      </c>
      <c r="AG24" s="133">
        <v>0.81</v>
      </c>
      <c r="AH24" s="133">
        <v>0.61</v>
      </c>
      <c r="AI24" s="133">
        <v>0</v>
      </c>
      <c r="AJ24" s="133">
        <v>0</v>
      </c>
      <c r="AK24" s="133">
        <v>0</v>
      </c>
      <c r="AL24" s="133">
        <v>0</v>
      </c>
      <c r="AM24" s="136" t="str">
        <f>IF(ISERROR(VLOOKUP(D24,'Woodmac profile - Oil'!$D$9:$AN$266,37,FALSE)),"",VLOOKUP(D24,'Woodmac profile - Oil'!$D$9:$AN$266,37,FALSE))</f>
        <v>SUBS</v>
      </c>
      <c r="AN24" s="136" t="str">
        <f>IF(ISERROR(VLOOKUP(D24,'Woodmac profile - Gas'!$D$9:$AN$249,37,FALSE)),"",VLOOKUP(D24,'Woodmac profile - Gas'!$D$9:$AN$249,37,FALSE))</f>
        <v/>
      </c>
      <c r="AO24" s="136" t="str">
        <f t="shared" si="1"/>
        <v>SUBS</v>
      </c>
      <c r="AP24" s="132"/>
      <c r="AQ24" s="129"/>
      <c r="AR24" s="129"/>
      <c r="AS24" s="354"/>
      <c r="AT24" s="131"/>
      <c r="AU24" s="131"/>
      <c r="AV24" s="354"/>
      <c r="AW24" s="132"/>
      <c r="AX24" s="354"/>
      <c r="AY24" s="132"/>
      <c r="AZ24" s="132"/>
      <c r="BA24" s="132"/>
      <c r="BB24" s="132"/>
    </row>
    <row r="25" spans="1:54">
      <c r="A25" s="132"/>
      <c r="B25" s="133" t="s">
        <v>3369</v>
      </c>
      <c r="C25" s="133" t="s">
        <v>1934</v>
      </c>
      <c r="D25" s="133" t="s">
        <v>3735</v>
      </c>
      <c r="E25" s="133" t="s">
        <v>3372</v>
      </c>
      <c r="F25" s="133" t="s">
        <v>2973</v>
      </c>
      <c r="G25" s="133" t="s">
        <v>3374</v>
      </c>
      <c r="H25" s="133" t="s">
        <v>1930</v>
      </c>
      <c r="I25" s="133" t="s">
        <v>2571</v>
      </c>
      <c r="J25" s="133">
        <v>16.670000000000002</v>
      </c>
      <c r="K25" s="133">
        <v>0</v>
      </c>
      <c r="L25" s="133">
        <v>0</v>
      </c>
      <c r="M25" s="133">
        <v>0</v>
      </c>
      <c r="N25" s="133">
        <v>0</v>
      </c>
      <c r="O25" s="133">
        <v>0</v>
      </c>
      <c r="P25" s="133">
        <v>0</v>
      </c>
      <c r="Q25" s="133">
        <v>0</v>
      </c>
      <c r="R25" s="133">
        <v>0</v>
      </c>
      <c r="S25" s="133">
        <v>0</v>
      </c>
      <c r="T25" s="133">
        <v>0</v>
      </c>
      <c r="U25" s="133">
        <v>0</v>
      </c>
      <c r="V25" s="133">
        <v>0</v>
      </c>
      <c r="W25" s="133">
        <v>0</v>
      </c>
      <c r="X25" s="133">
        <v>0</v>
      </c>
      <c r="Y25" s="133">
        <v>0</v>
      </c>
      <c r="Z25" s="133">
        <v>66.599999999999994</v>
      </c>
      <c r="AA25" s="133">
        <v>91.3</v>
      </c>
      <c r="AB25" s="133">
        <v>46.87</v>
      </c>
      <c r="AC25" s="133">
        <v>2.5299999999999998</v>
      </c>
      <c r="AD25" s="133">
        <v>2.5299999999999998</v>
      </c>
      <c r="AE25" s="133">
        <v>2.2799999999999998</v>
      </c>
      <c r="AF25" s="133">
        <v>2.0499999999999998</v>
      </c>
      <c r="AG25" s="133">
        <v>1.84</v>
      </c>
      <c r="AH25" s="133">
        <v>1.66</v>
      </c>
      <c r="AI25" s="133">
        <v>1.49</v>
      </c>
      <c r="AJ25" s="133">
        <v>1.34</v>
      </c>
      <c r="AK25" s="133">
        <v>0</v>
      </c>
      <c r="AL25" s="133">
        <v>0</v>
      </c>
      <c r="AM25" s="136" t="str">
        <f>IF(ISERROR(VLOOKUP(D25,'Woodmac profile - Oil'!$D$9:$AN$266,37,FALSE)),"",VLOOKUP(D25,'Woodmac profile - Oil'!$D$9:$AN$266,37,FALSE))</f>
        <v>SUBS</v>
      </c>
      <c r="AN25" s="136" t="str">
        <f>IF(ISERROR(VLOOKUP(D25,'Woodmac profile - Gas'!$D$9:$AN$249,37,FALSE)),"",VLOOKUP(D25,'Woodmac profile - Gas'!$D$9:$AN$249,37,FALSE))</f>
        <v/>
      </c>
      <c r="AO25" s="136" t="str">
        <f t="shared" ref="AO25" si="2">IF(AM25="",AN25,AM25)</f>
        <v>SUBS</v>
      </c>
      <c r="AP25" s="132"/>
      <c r="AQ25" s="129"/>
      <c r="AR25" s="129"/>
      <c r="AS25" s="354"/>
      <c r="AT25" s="131"/>
      <c r="AU25" s="131"/>
      <c r="AV25" s="354"/>
      <c r="AW25" s="132"/>
      <c r="AX25" s="354"/>
      <c r="AY25" s="132"/>
      <c r="AZ25" s="132"/>
      <c r="BA25" s="132"/>
      <c r="BB25" s="132"/>
    </row>
    <row r="26" spans="1:54">
      <c r="A26" s="132"/>
      <c r="B26" s="133" t="s">
        <v>3369</v>
      </c>
      <c r="C26" s="133" t="s">
        <v>2921</v>
      </c>
      <c r="D26" s="133" t="s">
        <v>2922</v>
      </c>
      <c r="E26" s="133" t="s">
        <v>1927</v>
      </c>
      <c r="F26" s="133" t="s">
        <v>1928</v>
      </c>
      <c r="G26" s="133" t="s">
        <v>1931</v>
      </c>
      <c r="H26" s="133" t="s">
        <v>116</v>
      </c>
      <c r="I26" s="133" t="s">
        <v>1931</v>
      </c>
      <c r="J26" s="133">
        <v>26</v>
      </c>
      <c r="K26" s="133">
        <v>14.843999999999999</v>
      </c>
      <c r="L26" s="133">
        <v>36.786000000000001</v>
      </c>
      <c r="M26" s="133">
        <v>5.9939999999999998</v>
      </c>
      <c r="N26" s="133">
        <v>65.063999999999993</v>
      </c>
      <c r="O26" s="133">
        <v>33.96</v>
      </c>
      <c r="P26" s="133">
        <v>31.71</v>
      </c>
      <c r="Q26" s="133">
        <v>3.6360000000000001</v>
      </c>
      <c r="R26" s="133">
        <v>3.5819999999999999</v>
      </c>
      <c r="S26" s="133">
        <v>43.374000000000002</v>
      </c>
      <c r="T26" s="133">
        <v>5.0999999999999996</v>
      </c>
      <c r="U26" s="133">
        <v>11.718</v>
      </c>
      <c r="V26" s="133">
        <v>44.49</v>
      </c>
      <c r="W26" s="133">
        <v>11.52</v>
      </c>
      <c r="X26" s="133">
        <v>3.2519999999999998</v>
      </c>
      <c r="Y26" s="133">
        <v>3.0169999999999999</v>
      </c>
      <c r="Z26" s="133">
        <v>2.65</v>
      </c>
      <c r="AA26" s="133">
        <v>2.65</v>
      </c>
      <c r="AB26" s="133">
        <v>2.65</v>
      </c>
      <c r="AC26" s="133">
        <v>2.65</v>
      </c>
      <c r="AD26" s="133">
        <v>1.325</v>
      </c>
      <c r="AE26" s="133">
        <v>1.325</v>
      </c>
      <c r="AF26" s="133">
        <v>1.325</v>
      </c>
      <c r="AG26" s="133">
        <v>1.325</v>
      </c>
      <c r="AH26" s="133">
        <v>1.325</v>
      </c>
      <c r="AI26" s="133">
        <v>1.325</v>
      </c>
      <c r="AJ26" s="133">
        <v>1.325</v>
      </c>
      <c r="AK26" s="133">
        <v>1.325</v>
      </c>
      <c r="AL26" s="133">
        <v>1.325</v>
      </c>
      <c r="AM26" s="136" t="str">
        <f>IF(ISERROR(VLOOKUP(D26,'Woodmac profile - Oil'!$D$9:$AN$266,37,FALSE)),"",VLOOKUP(D26,'Woodmac profile - Oil'!$D$9:$AN$266,37,FALSE))</f>
        <v>EAI</v>
      </c>
      <c r="AN26" s="136" t="str">
        <f>IF(ISERROR(VLOOKUP(D26,'Woodmac profile - Gas'!$D$9:$AN$249,37,FALSE)),"",VLOOKUP(D26,'Woodmac profile - Gas'!$D$9:$AN$249,37,FALSE))</f>
        <v>EAI</v>
      </c>
      <c r="AO26" s="136" t="str">
        <f t="shared" si="1"/>
        <v>EAI</v>
      </c>
      <c r="AP26" s="132"/>
      <c r="AQ26" s="129"/>
      <c r="AR26" s="129"/>
      <c r="AS26" s="354"/>
      <c r="AT26" s="131"/>
      <c r="AU26" s="131"/>
      <c r="AV26" s="354"/>
      <c r="AW26" s="132"/>
      <c r="AX26" s="354"/>
      <c r="AY26" s="132"/>
      <c r="AZ26" s="132"/>
      <c r="BA26" s="132"/>
      <c r="BB26" s="132"/>
    </row>
    <row r="27" spans="1:54">
      <c r="A27" s="132"/>
      <c r="B27" s="133" t="s">
        <v>3369</v>
      </c>
      <c r="C27" s="133" t="s">
        <v>2921</v>
      </c>
      <c r="D27" s="133" t="s">
        <v>3727</v>
      </c>
      <c r="E27" s="133" t="s">
        <v>3372</v>
      </c>
      <c r="F27" s="133" t="s">
        <v>1928</v>
      </c>
      <c r="G27" s="133" t="s">
        <v>1930</v>
      </c>
      <c r="H27" s="133" t="s">
        <v>2962</v>
      </c>
      <c r="I27" s="133" t="s">
        <v>1931</v>
      </c>
      <c r="J27" s="133">
        <v>22.5</v>
      </c>
      <c r="K27" s="133">
        <v>0</v>
      </c>
      <c r="L27" s="133">
        <v>0</v>
      </c>
      <c r="M27" s="133">
        <v>0</v>
      </c>
      <c r="N27" s="133">
        <v>0</v>
      </c>
      <c r="O27" s="133">
        <v>0</v>
      </c>
      <c r="P27" s="133">
        <v>0</v>
      </c>
      <c r="Q27" s="133">
        <v>0</v>
      </c>
      <c r="R27" s="133">
        <v>0</v>
      </c>
      <c r="S27" s="133">
        <v>0</v>
      </c>
      <c r="T27" s="133">
        <v>0</v>
      </c>
      <c r="U27" s="133">
        <v>0</v>
      </c>
      <c r="V27" s="133">
        <v>0</v>
      </c>
      <c r="W27" s="133">
        <v>0</v>
      </c>
      <c r="X27" s="133">
        <v>0</v>
      </c>
      <c r="Y27" s="133">
        <v>18.292000000000002</v>
      </c>
      <c r="Z27" s="133">
        <v>19.510000000000002</v>
      </c>
      <c r="AA27" s="133">
        <v>5.51</v>
      </c>
      <c r="AB27" s="133">
        <v>5.5149999999999997</v>
      </c>
      <c r="AC27" s="133">
        <v>5.2649999999999997</v>
      </c>
      <c r="AD27" s="133">
        <v>1.4999999999999999E-2</v>
      </c>
      <c r="AE27" s="133">
        <v>1.4999999999999999E-2</v>
      </c>
      <c r="AF27" s="133">
        <v>1.4999999999999999E-2</v>
      </c>
      <c r="AG27" s="133">
        <v>1.4999999999999999E-2</v>
      </c>
      <c r="AH27" s="133">
        <v>1.4999999999999999E-2</v>
      </c>
      <c r="AI27" s="133">
        <v>1.4999999999999999E-2</v>
      </c>
      <c r="AJ27" s="133">
        <v>1.4999999999999999E-2</v>
      </c>
      <c r="AK27" s="133">
        <v>1.4999999999999999E-2</v>
      </c>
      <c r="AL27" s="133">
        <v>1.4999999999999999E-2</v>
      </c>
      <c r="AM27" s="136" t="str">
        <f>IF(ISERROR(VLOOKUP(D27,'Woodmac profile - Oil'!$D$9:$AN$266,37,FALSE)),"",VLOOKUP(D27,'Woodmac profile - Oil'!$D$9:$AN$266,37,FALSE))</f>
        <v/>
      </c>
      <c r="AN27" s="136" t="str">
        <f>IF(ISERROR(VLOOKUP(D27,'Woodmac profile - Gas'!$D$9:$AN$249,37,FALSE)),"",VLOOKUP(D27,'Woodmac profile - Gas'!$D$9:$AN$249,37,FALSE))</f>
        <v>EAI</v>
      </c>
      <c r="AO27" s="136" t="str">
        <f t="shared" ref="AO27:AO30" si="3">IF(AM27="",AN27,AM27)</f>
        <v>EAI</v>
      </c>
      <c r="AP27" s="132"/>
      <c r="AQ27" s="129"/>
      <c r="AR27" s="129"/>
      <c r="AS27" s="354"/>
      <c r="AT27" s="131"/>
      <c r="AU27" s="131"/>
      <c r="AV27" s="354"/>
      <c r="AW27" s="132"/>
      <c r="AX27" s="354"/>
      <c r="AY27" s="132"/>
      <c r="AZ27" s="132"/>
      <c r="BA27" s="132"/>
      <c r="BB27" s="132"/>
    </row>
    <row r="28" spans="1:54">
      <c r="A28" s="132"/>
      <c r="B28" s="133" t="s">
        <v>3369</v>
      </c>
      <c r="C28" s="133" t="s">
        <v>2921</v>
      </c>
      <c r="D28" s="133" t="s">
        <v>3723</v>
      </c>
      <c r="E28" s="133" t="s">
        <v>1927</v>
      </c>
      <c r="F28" s="133" t="s">
        <v>1928</v>
      </c>
      <c r="G28" s="133" t="s">
        <v>1931</v>
      </c>
      <c r="H28" s="133" t="s">
        <v>117</v>
      </c>
      <c r="I28" s="133" t="s">
        <v>1931</v>
      </c>
      <c r="J28" s="133">
        <v>7</v>
      </c>
      <c r="K28" s="133">
        <v>3.7080000000000002</v>
      </c>
      <c r="L28" s="133">
        <v>2.4900000000000002</v>
      </c>
      <c r="M28" s="133">
        <v>8.3879999999999999</v>
      </c>
      <c r="N28" s="133">
        <v>11.784000000000001</v>
      </c>
      <c r="O28" s="133">
        <v>14.7</v>
      </c>
      <c r="P28" s="133">
        <v>14.837999999999999</v>
      </c>
      <c r="Q28" s="133">
        <v>13.62</v>
      </c>
      <c r="R28" s="133">
        <v>15.288</v>
      </c>
      <c r="S28" s="133">
        <v>12.444000000000001</v>
      </c>
      <c r="T28" s="133">
        <v>12.804</v>
      </c>
      <c r="U28" s="133">
        <v>19.085999999999999</v>
      </c>
      <c r="V28" s="133">
        <v>30.558</v>
      </c>
      <c r="W28" s="133">
        <v>25.277999999999999</v>
      </c>
      <c r="X28" s="133">
        <v>16.655999999999999</v>
      </c>
      <c r="Y28" s="133">
        <v>9.2059999999999995</v>
      </c>
      <c r="Z28" s="133">
        <v>28.21</v>
      </c>
      <c r="AA28" s="133">
        <v>25.29</v>
      </c>
      <c r="AB28" s="133">
        <v>21.81</v>
      </c>
      <c r="AC28" s="133">
        <v>12.27</v>
      </c>
      <c r="AD28" s="133">
        <v>16.45</v>
      </c>
      <c r="AE28" s="133">
        <v>20.47</v>
      </c>
      <c r="AF28" s="133">
        <v>20.484999999999999</v>
      </c>
      <c r="AG28" s="133">
        <v>16.32</v>
      </c>
      <c r="AH28" s="133">
        <v>16.309999999999999</v>
      </c>
      <c r="AI28" s="133">
        <v>16.21</v>
      </c>
      <c r="AJ28" s="133">
        <v>16.225000000000001</v>
      </c>
      <c r="AK28" s="133">
        <v>12.23</v>
      </c>
      <c r="AL28" s="133">
        <v>16.25</v>
      </c>
      <c r="AM28" s="136" t="str">
        <f>IF(ISERROR(VLOOKUP(D28,'Woodmac profile - Oil'!$D$9:$AN$266,37,FALSE)),"",VLOOKUP(D28,'Woodmac profile - Oil'!$D$9:$AN$266,37,FALSE))</f>
        <v>EAI</v>
      </c>
      <c r="AN28" s="136" t="str">
        <f>IF(ISERROR(VLOOKUP(D28,'Woodmac profile - Gas'!$D$9:$AN$249,37,FALSE)),"",VLOOKUP(D28,'Woodmac profile - Gas'!$D$9:$AN$249,37,FALSE))</f>
        <v>EAI</v>
      </c>
      <c r="AO28" s="136" t="str">
        <f t="shared" si="3"/>
        <v>EAI</v>
      </c>
      <c r="AP28" s="132"/>
      <c r="AQ28" s="129"/>
      <c r="AR28" s="129"/>
      <c r="AS28" s="354"/>
      <c r="AT28" s="131"/>
      <c r="AU28" s="131"/>
      <c r="AV28" s="354"/>
      <c r="AW28" s="132"/>
      <c r="AX28" s="354"/>
      <c r="AY28" s="132"/>
      <c r="AZ28" s="132"/>
      <c r="BA28" s="132"/>
      <c r="BB28" s="132"/>
    </row>
    <row r="29" spans="1:54">
      <c r="A29" s="132"/>
      <c r="B29" s="133" t="s">
        <v>3369</v>
      </c>
      <c r="C29" s="133" t="s">
        <v>2921</v>
      </c>
      <c r="D29" s="133" t="s">
        <v>3728</v>
      </c>
      <c r="E29" s="133" t="s">
        <v>2970</v>
      </c>
      <c r="F29" s="133" t="s">
        <v>1928</v>
      </c>
      <c r="G29" s="133" t="s">
        <v>1930</v>
      </c>
      <c r="H29" s="133" t="s">
        <v>2962</v>
      </c>
      <c r="I29" s="133" t="s">
        <v>1931</v>
      </c>
      <c r="J29" s="133">
        <v>22.5</v>
      </c>
      <c r="K29" s="133">
        <v>0</v>
      </c>
      <c r="L29" s="133">
        <v>0</v>
      </c>
      <c r="M29" s="133">
        <v>0</v>
      </c>
      <c r="N29" s="133">
        <v>0</v>
      </c>
      <c r="O29" s="133">
        <v>0</v>
      </c>
      <c r="P29" s="133">
        <v>0</v>
      </c>
      <c r="Q29" s="133">
        <v>0</v>
      </c>
      <c r="R29" s="133">
        <v>0</v>
      </c>
      <c r="S29" s="133">
        <v>0</v>
      </c>
      <c r="T29" s="133">
        <v>0</v>
      </c>
      <c r="U29" s="133">
        <v>0</v>
      </c>
      <c r="V29" s="133">
        <v>0</v>
      </c>
      <c r="W29" s="133">
        <v>0</v>
      </c>
      <c r="X29" s="133">
        <v>0</v>
      </c>
      <c r="Y29" s="133">
        <v>11.762</v>
      </c>
      <c r="Z29" s="133">
        <v>25.245000000000001</v>
      </c>
      <c r="AA29" s="133">
        <v>15.145</v>
      </c>
      <c r="AB29" s="133">
        <v>13.8</v>
      </c>
      <c r="AC29" s="133">
        <v>13.17</v>
      </c>
      <c r="AD29" s="133">
        <v>0.04</v>
      </c>
      <c r="AE29" s="133">
        <v>0.04</v>
      </c>
      <c r="AF29" s="133">
        <v>0.04</v>
      </c>
      <c r="AG29" s="133">
        <v>0.04</v>
      </c>
      <c r="AH29" s="133">
        <v>0.04</v>
      </c>
      <c r="AI29" s="133">
        <v>0.04</v>
      </c>
      <c r="AJ29" s="133">
        <v>0.04</v>
      </c>
      <c r="AK29" s="133">
        <v>0.04</v>
      </c>
      <c r="AL29" s="133">
        <v>0.04</v>
      </c>
      <c r="AM29" s="136" t="str">
        <f>IF(ISERROR(VLOOKUP(D29,'Woodmac profile - Oil'!$D$9:$AN$266,37,FALSE)),"",VLOOKUP(D29,'Woodmac profile - Oil'!$D$9:$AN$266,37,FALSE))</f>
        <v/>
      </c>
      <c r="AN29" s="136" t="str">
        <f>IF(ISERROR(VLOOKUP(D29,'Woodmac profile - Gas'!$D$9:$AN$249,37,FALSE)),"",VLOOKUP(D29,'Woodmac profile - Gas'!$D$9:$AN$249,37,FALSE))</f>
        <v>EAI</v>
      </c>
      <c r="AO29" s="136" t="str">
        <f t="shared" si="3"/>
        <v>EAI</v>
      </c>
      <c r="AP29" s="132"/>
      <c r="AQ29" s="129"/>
      <c r="AR29" s="129"/>
      <c r="AS29" s="354"/>
      <c r="AT29" s="131"/>
      <c r="AU29" s="131"/>
      <c r="AV29" s="354"/>
      <c r="AW29" s="132"/>
      <c r="AX29" s="354"/>
      <c r="AY29" s="132"/>
      <c r="AZ29" s="132"/>
      <c r="BA29" s="132"/>
      <c r="BB29" s="132"/>
    </row>
    <row r="30" spans="1:54">
      <c r="A30" s="132"/>
      <c r="B30" s="133" t="s">
        <v>3369</v>
      </c>
      <c r="C30" s="133" t="s">
        <v>2921</v>
      </c>
      <c r="D30" s="133" t="s">
        <v>3724</v>
      </c>
      <c r="E30" s="133" t="s">
        <v>1927</v>
      </c>
      <c r="F30" s="133" t="s">
        <v>1928</v>
      </c>
      <c r="G30" s="133" t="s">
        <v>1932</v>
      </c>
      <c r="H30" s="133" t="s">
        <v>116</v>
      </c>
      <c r="I30" s="133" t="s">
        <v>1931</v>
      </c>
      <c r="J30" s="133">
        <v>50</v>
      </c>
      <c r="K30" s="133">
        <v>0</v>
      </c>
      <c r="L30" s="133">
        <v>0</v>
      </c>
      <c r="M30" s="133">
        <v>0</v>
      </c>
      <c r="N30" s="133">
        <v>0</v>
      </c>
      <c r="O30" s="133">
        <v>0</v>
      </c>
      <c r="P30" s="133">
        <v>0</v>
      </c>
      <c r="Q30" s="133">
        <v>0</v>
      </c>
      <c r="R30" s="133">
        <v>0</v>
      </c>
      <c r="S30" s="133">
        <v>0</v>
      </c>
      <c r="T30" s="133">
        <v>0</v>
      </c>
      <c r="U30" s="133">
        <v>0</v>
      </c>
      <c r="V30" s="133">
        <v>0</v>
      </c>
      <c r="W30" s="133">
        <v>0</v>
      </c>
      <c r="X30" s="133">
        <v>9.3780000000000001</v>
      </c>
      <c r="Y30" s="133">
        <v>31.358000000000001</v>
      </c>
      <c r="Z30" s="133">
        <v>52.274999999999999</v>
      </c>
      <c r="AA30" s="133">
        <v>61.53</v>
      </c>
      <c r="AB30" s="133">
        <v>67.094999999999999</v>
      </c>
      <c r="AC30" s="133">
        <v>67.094999999999999</v>
      </c>
      <c r="AD30" s="133">
        <v>67.094999999999999</v>
      </c>
      <c r="AE30" s="133">
        <v>36.1</v>
      </c>
      <c r="AF30" s="133">
        <v>5.0999999999999996</v>
      </c>
      <c r="AG30" s="133">
        <v>5.0999999999999996</v>
      </c>
      <c r="AH30" s="133">
        <v>2.5499999999999998</v>
      </c>
      <c r="AI30" s="133">
        <v>2.5499999999999998</v>
      </c>
      <c r="AJ30" s="133">
        <v>2.5499999999999998</v>
      </c>
      <c r="AK30" s="133">
        <v>2.5499999999999998</v>
      </c>
      <c r="AL30" s="133">
        <v>2.5499999999999998</v>
      </c>
      <c r="AM30" s="136" t="str">
        <f>IF(ISERROR(VLOOKUP(D30,'Woodmac profile - Oil'!$D$9:$AN$266,37,FALSE)),"",VLOOKUP(D30,'Woodmac profile - Oil'!$D$9:$AN$266,37,FALSE))</f>
        <v>EAI</v>
      </c>
      <c r="AN30" s="136" t="str">
        <f>IF(ISERROR(VLOOKUP(D30,'Woodmac profile - Gas'!$D$9:$AN$249,37,FALSE)),"",VLOOKUP(D30,'Woodmac profile - Gas'!$D$9:$AN$249,37,FALSE))</f>
        <v>EAI</v>
      </c>
      <c r="AO30" s="136" t="str">
        <f t="shared" si="3"/>
        <v>EAI</v>
      </c>
      <c r="AP30" s="132"/>
      <c r="AQ30" s="129"/>
      <c r="AR30" s="129"/>
      <c r="AS30" s="354"/>
      <c r="AT30" s="131"/>
      <c r="AU30" s="131"/>
      <c r="AV30" s="354"/>
      <c r="AW30" s="132"/>
      <c r="AX30" s="354"/>
      <c r="AY30" s="132"/>
      <c r="AZ30" s="132"/>
      <c r="BA30" s="132"/>
      <c r="BB30" s="132"/>
    </row>
    <row r="31" spans="1:54">
      <c r="A31" s="132"/>
      <c r="B31" s="133" t="s">
        <v>3369</v>
      </c>
      <c r="C31" s="133" t="s">
        <v>2921</v>
      </c>
      <c r="D31" s="133" t="s">
        <v>280</v>
      </c>
      <c r="E31" s="133" t="s">
        <v>1927</v>
      </c>
      <c r="F31" s="133" t="s">
        <v>1928</v>
      </c>
      <c r="G31" s="133" t="s">
        <v>3374</v>
      </c>
      <c r="H31" s="133" t="s">
        <v>116</v>
      </c>
      <c r="I31" s="133" t="s">
        <v>1933</v>
      </c>
      <c r="J31" s="133">
        <v>50</v>
      </c>
      <c r="K31" s="133">
        <v>313.84199999999998</v>
      </c>
      <c r="L31" s="133">
        <v>351.32400000000001</v>
      </c>
      <c r="M31" s="133">
        <v>339.98399999999998</v>
      </c>
      <c r="N31" s="133">
        <v>368.358</v>
      </c>
      <c r="O31" s="133">
        <v>346.79399999999998</v>
      </c>
      <c r="P31" s="133">
        <v>528.04200000000003</v>
      </c>
      <c r="Q31" s="133">
        <v>542.274</v>
      </c>
      <c r="R31" s="133">
        <v>548.74199999999996</v>
      </c>
      <c r="S31" s="133">
        <v>601.00199999999995</v>
      </c>
      <c r="T31" s="133">
        <v>587.93399999999997</v>
      </c>
      <c r="U31" s="133">
        <v>602.38800000000003</v>
      </c>
      <c r="V31" s="133">
        <v>785.14800000000002</v>
      </c>
      <c r="W31" s="133">
        <v>694.53</v>
      </c>
      <c r="X31" s="133">
        <v>549.22799999999995</v>
      </c>
      <c r="Y31" s="133">
        <v>605.47799999999995</v>
      </c>
      <c r="Z31" s="133">
        <v>531.76</v>
      </c>
      <c r="AA31" s="133">
        <v>531.76</v>
      </c>
      <c r="AB31" s="133">
        <v>531.76</v>
      </c>
      <c r="AC31" s="133">
        <v>531.76</v>
      </c>
      <c r="AD31" s="133">
        <v>531.76</v>
      </c>
      <c r="AE31" s="133">
        <v>531.76</v>
      </c>
      <c r="AF31" s="133">
        <v>531.76</v>
      </c>
      <c r="AG31" s="133">
        <v>531.76</v>
      </c>
      <c r="AH31" s="133">
        <v>475.255</v>
      </c>
      <c r="AI31" s="133">
        <v>440.57</v>
      </c>
      <c r="AJ31" s="133">
        <v>386.75</v>
      </c>
      <c r="AK31" s="133">
        <v>368.9</v>
      </c>
      <c r="AL31" s="133">
        <v>334.21499999999997</v>
      </c>
      <c r="AM31" s="136" t="str">
        <f>IF(ISERROR(VLOOKUP(D31,'Woodmac profile - Oil'!$D$9:$AN$266,37,FALSE)),"",VLOOKUP(D31,'Woodmac profile - Oil'!$D$9:$AN$266,37,FALSE))</f>
        <v>EAI</v>
      </c>
      <c r="AN31" s="136" t="str">
        <f>IF(ISERROR(VLOOKUP(D31,'Woodmac profile - Gas'!$D$9:$AN$249,37,FALSE)),"",VLOOKUP(D31,'Woodmac profile - Gas'!$D$9:$AN$249,37,FALSE))</f>
        <v>EAI</v>
      </c>
      <c r="AO31" s="136" t="str">
        <f t="shared" si="1"/>
        <v>EAI</v>
      </c>
      <c r="AP31" s="132"/>
      <c r="AQ31" s="129"/>
      <c r="AR31" s="129"/>
      <c r="AS31" s="354"/>
      <c r="AT31" s="131"/>
      <c r="AU31" s="131"/>
      <c r="AV31" s="354"/>
      <c r="AW31" s="132"/>
      <c r="AX31" s="354"/>
      <c r="AY31" s="132"/>
      <c r="AZ31" s="132"/>
      <c r="BA31" s="132"/>
      <c r="BB31" s="132"/>
    </row>
    <row r="32" spans="1:54">
      <c r="A32" s="132"/>
      <c r="B32" s="133" t="s">
        <v>3369</v>
      </c>
      <c r="C32" s="133" t="s">
        <v>2921</v>
      </c>
      <c r="D32" s="133" t="s">
        <v>2959</v>
      </c>
      <c r="E32" s="133" t="s">
        <v>1927</v>
      </c>
      <c r="F32" s="133" t="s">
        <v>2960</v>
      </c>
      <c r="G32" s="133" t="s">
        <v>1932</v>
      </c>
      <c r="H32" s="133" t="s">
        <v>116</v>
      </c>
      <c r="I32" s="133" t="s">
        <v>2600</v>
      </c>
      <c r="J32" s="133">
        <v>12.5</v>
      </c>
      <c r="K32" s="133">
        <v>19.373999999999999</v>
      </c>
      <c r="L32" s="133">
        <v>47.802</v>
      </c>
      <c r="M32" s="133">
        <v>49.475999999999999</v>
      </c>
      <c r="N32" s="133">
        <v>17.898</v>
      </c>
      <c r="O32" s="133">
        <v>8.1479999999999997</v>
      </c>
      <c r="P32" s="133">
        <v>7.8419999999999996</v>
      </c>
      <c r="Q32" s="133">
        <v>7.8719999999999999</v>
      </c>
      <c r="R32" s="133">
        <v>10.055999999999999</v>
      </c>
      <c r="S32" s="133">
        <v>15.444000000000001</v>
      </c>
      <c r="T32" s="133">
        <v>8.1720000000000006</v>
      </c>
      <c r="U32" s="133">
        <v>8.0519999999999996</v>
      </c>
      <c r="V32" s="133">
        <v>63.018000000000001</v>
      </c>
      <c r="W32" s="133">
        <v>72.197999999999993</v>
      </c>
      <c r="X32" s="133">
        <v>48.774000000000001</v>
      </c>
      <c r="Y32" s="133">
        <v>16.698</v>
      </c>
      <c r="Z32" s="133">
        <v>1.915</v>
      </c>
      <c r="AA32" s="133">
        <v>24.13</v>
      </c>
      <c r="AB32" s="133">
        <v>33.6</v>
      </c>
      <c r="AC32" s="133">
        <v>1.2749999999999999</v>
      </c>
      <c r="AD32" s="133">
        <v>1.2749999999999999</v>
      </c>
      <c r="AE32" s="133">
        <v>1.2749999999999999</v>
      </c>
      <c r="AF32" s="133">
        <v>1.2749999999999999</v>
      </c>
      <c r="AG32" s="133">
        <v>1.2749999999999999</v>
      </c>
      <c r="AH32" s="133">
        <v>1.2749999999999999</v>
      </c>
      <c r="AI32" s="133">
        <v>1.2749999999999999</v>
      </c>
      <c r="AJ32" s="133">
        <v>1.2749999999999999</v>
      </c>
      <c r="AK32" s="133">
        <v>1.2749999999999999</v>
      </c>
      <c r="AL32" s="133">
        <v>1.2749999999999999</v>
      </c>
      <c r="AM32" s="136" t="str">
        <f>IF(ISERROR(VLOOKUP(D32,'Woodmac profile - Oil'!$D$9:$AN$266,37,FALSE)),"",VLOOKUP(D32,'Woodmac profile - Oil'!$D$9:$AN$266,37,FALSE))</f>
        <v>EAI</v>
      </c>
      <c r="AN32" s="136" t="str">
        <f>IF(ISERROR(VLOOKUP(D32,'Woodmac profile - Gas'!$D$9:$AN$249,37,FALSE)),"",VLOOKUP(D32,'Woodmac profile - Gas'!$D$9:$AN$249,37,FALSE))</f>
        <v>EAI</v>
      </c>
      <c r="AO32" s="136" t="str">
        <f t="shared" si="1"/>
        <v>EAI</v>
      </c>
      <c r="AP32" s="132"/>
      <c r="AQ32" s="129"/>
      <c r="AR32" s="129"/>
      <c r="AS32" s="354"/>
      <c r="AT32" s="131"/>
      <c r="AU32" s="131"/>
      <c r="AV32" s="354"/>
      <c r="AW32" s="132"/>
      <c r="AX32" s="354"/>
      <c r="AY32" s="132"/>
      <c r="AZ32" s="132"/>
      <c r="BA32" s="132"/>
      <c r="BB32" s="132"/>
    </row>
    <row r="33" spans="1:54">
      <c r="A33" s="132"/>
      <c r="B33" s="133" t="s">
        <v>3369</v>
      </c>
      <c r="C33" s="133" t="s">
        <v>2921</v>
      </c>
      <c r="D33" s="133" t="s">
        <v>3547</v>
      </c>
      <c r="E33" s="133" t="s">
        <v>1927</v>
      </c>
      <c r="F33" s="133" t="s">
        <v>1928</v>
      </c>
      <c r="G33" s="133" t="s">
        <v>3374</v>
      </c>
      <c r="H33" s="133" t="s">
        <v>1930</v>
      </c>
      <c r="I33" s="133" t="s">
        <v>1931</v>
      </c>
      <c r="J33" s="133">
        <v>50</v>
      </c>
      <c r="K33" s="133">
        <v>12.894</v>
      </c>
      <c r="L33" s="133">
        <v>16.026</v>
      </c>
      <c r="M33" s="133">
        <v>11.448</v>
      </c>
      <c r="N33" s="133">
        <v>9.7620000000000005</v>
      </c>
      <c r="O33" s="133">
        <v>10.734</v>
      </c>
      <c r="P33" s="133">
        <v>19.812000000000001</v>
      </c>
      <c r="Q33" s="133">
        <v>26.166</v>
      </c>
      <c r="R33" s="133">
        <v>41.316000000000003</v>
      </c>
      <c r="S33" s="133">
        <v>31.026</v>
      </c>
      <c r="T33" s="133">
        <v>29.405999999999999</v>
      </c>
      <c r="U33" s="133">
        <v>26.513999999999999</v>
      </c>
      <c r="V33" s="133">
        <v>40.182000000000002</v>
      </c>
      <c r="W33" s="133">
        <v>37.698</v>
      </c>
      <c r="X33" s="133">
        <v>11.37</v>
      </c>
      <c r="Y33" s="133">
        <v>7.7309999999999999</v>
      </c>
      <c r="Z33" s="133">
        <v>6.79</v>
      </c>
      <c r="AA33" s="133">
        <v>6.79</v>
      </c>
      <c r="AB33" s="133">
        <v>6.25</v>
      </c>
      <c r="AC33" s="133">
        <v>4.1849999999999996</v>
      </c>
      <c r="AD33" s="133">
        <v>3.9849999999999999</v>
      </c>
      <c r="AE33" s="133">
        <v>3.27</v>
      </c>
      <c r="AF33" s="133">
        <v>2.2999999999999998</v>
      </c>
      <c r="AG33" s="133">
        <v>2.0950000000000002</v>
      </c>
      <c r="AH33" s="133">
        <v>0.255</v>
      </c>
      <c r="AI33" s="133">
        <v>0.255</v>
      </c>
      <c r="AJ33" s="133">
        <v>0</v>
      </c>
      <c r="AK33" s="133">
        <v>0</v>
      </c>
      <c r="AL33" s="133">
        <v>0</v>
      </c>
      <c r="AM33" s="136" t="str">
        <f>IF(ISERROR(VLOOKUP(D33,'Woodmac profile - Oil'!$D$9:$AN$266,37,FALSE)),"",VLOOKUP(D33,'Woodmac profile - Oil'!$D$9:$AN$266,37,FALSE))</f>
        <v>EAI</v>
      </c>
      <c r="AN33" s="136" t="str">
        <f>IF(ISERROR(VLOOKUP(D33,'Woodmac profile - Gas'!$D$9:$AN$249,37,FALSE)),"",VLOOKUP(D33,'Woodmac profile - Gas'!$D$9:$AN$249,37,FALSE))</f>
        <v/>
      </c>
      <c r="AO33" s="136" t="str">
        <f t="shared" si="1"/>
        <v>EAI</v>
      </c>
      <c r="AP33" s="132"/>
      <c r="AQ33" s="129"/>
      <c r="AR33" s="129"/>
      <c r="AS33" s="354"/>
      <c r="AT33" s="131"/>
      <c r="AU33" s="131"/>
      <c r="AV33" s="354"/>
      <c r="AW33" s="132"/>
      <c r="AX33" s="354"/>
      <c r="AY33" s="132"/>
      <c r="AZ33" s="132"/>
      <c r="BA33" s="132"/>
      <c r="BB33" s="132"/>
    </row>
    <row r="34" spans="1:54">
      <c r="A34" s="132"/>
      <c r="B34" s="133" t="s">
        <v>3369</v>
      </c>
      <c r="C34" s="133" t="s">
        <v>2921</v>
      </c>
      <c r="D34" s="133" t="s">
        <v>2961</v>
      </c>
      <c r="E34" s="133" t="s">
        <v>1927</v>
      </c>
      <c r="F34" s="133" t="s">
        <v>1928</v>
      </c>
      <c r="G34" s="133" t="s">
        <v>1931</v>
      </c>
      <c r="H34" s="133" t="s">
        <v>116</v>
      </c>
      <c r="I34" s="133" t="s">
        <v>1931</v>
      </c>
      <c r="J34" s="133">
        <v>31.25</v>
      </c>
      <c r="K34" s="133">
        <v>2.496</v>
      </c>
      <c r="L34" s="133">
        <v>0.89400000000000002</v>
      </c>
      <c r="M34" s="133">
        <v>0.72</v>
      </c>
      <c r="N34" s="133">
        <v>10.007999999999999</v>
      </c>
      <c r="O34" s="133">
        <v>10.68</v>
      </c>
      <c r="P34" s="133">
        <v>3.8340000000000001</v>
      </c>
      <c r="Q34" s="133">
        <v>3.282</v>
      </c>
      <c r="R34" s="133">
        <v>4.3079999999999998</v>
      </c>
      <c r="S34" s="133">
        <v>9.798</v>
      </c>
      <c r="T34" s="133">
        <v>6.33</v>
      </c>
      <c r="U34" s="133">
        <v>105.23399999999999</v>
      </c>
      <c r="V34" s="133">
        <v>126.744</v>
      </c>
      <c r="W34" s="133">
        <v>155.934</v>
      </c>
      <c r="X34" s="133">
        <v>116.42400000000001</v>
      </c>
      <c r="Y34" s="133">
        <v>50.088000000000001</v>
      </c>
      <c r="Z34" s="133">
        <v>35.645000000000003</v>
      </c>
      <c r="AA34" s="133">
        <v>39.594999999999999</v>
      </c>
      <c r="AB34" s="133">
        <v>39.659999999999997</v>
      </c>
      <c r="AC34" s="133">
        <v>39.72</v>
      </c>
      <c r="AD34" s="133">
        <v>39.78</v>
      </c>
      <c r="AE34" s="133">
        <v>39.82</v>
      </c>
      <c r="AF34" s="133">
        <v>39.83</v>
      </c>
      <c r="AG34" s="133">
        <v>39.89</v>
      </c>
      <c r="AH34" s="133">
        <v>39.945</v>
      </c>
      <c r="AI34" s="133">
        <v>36.115000000000002</v>
      </c>
      <c r="AJ34" s="133">
        <v>1.115</v>
      </c>
      <c r="AK34" s="133">
        <v>1.1000000000000001</v>
      </c>
      <c r="AL34" s="133">
        <v>1.085</v>
      </c>
      <c r="AM34" s="136" t="str">
        <f>IF(ISERROR(VLOOKUP(D34,'Woodmac profile - Oil'!$D$9:$AN$266,37,FALSE)),"",VLOOKUP(D34,'Woodmac profile - Oil'!$D$9:$AN$266,37,FALSE))</f>
        <v>EAI</v>
      </c>
      <c r="AN34" s="136" t="str">
        <f>IF(ISERROR(VLOOKUP(D34,'Woodmac profile - Gas'!$D$9:$AN$249,37,FALSE)),"",VLOOKUP(D34,'Woodmac profile - Gas'!$D$9:$AN$249,37,FALSE))</f>
        <v>EAI</v>
      </c>
      <c r="AO34" s="136" t="str">
        <f t="shared" si="1"/>
        <v>EAI</v>
      </c>
      <c r="AP34" s="132"/>
      <c r="AQ34" s="129"/>
      <c r="AR34" s="129"/>
      <c r="AS34" s="354"/>
      <c r="AT34" s="131"/>
      <c r="AU34" s="131"/>
      <c r="AV34" s="354"/>
      <c r="AW34" s="132"/>
      <c r="AX34" s="354"/>
      <c r="AY34" s="132"/>
      <c r="AZ34" s="132"/>
      <c r="BA34" s="132"/>
      <c r="BB34" s="132"/>
    </row>
    <row r="35" spans="1:54">
      <c r="A35" s="132"/>
      <c r="B35" s="133" t="s">
        <v>3369</v>
      </c>
      <c r="C35" s="133" t="s">
        <v>2921</v>
      </c>
      <c r="D35" s="133" t="s">
        <v>2963</v>
      </c>
      <c r="E35" s="133" t="s">
        <v>1927</v>
      </c>
      <c r="F35" s="133" t="s">
        <v>1928</v>
      </c>
      <c r="G35" s="133" t="s">
        <v>1929</v>
      </c>
      <c r="H35" s="133" t="s">
        <v>117</v>
      </c>
      <c r="I35" s="133" t="s">
        <v>1931</v>
      </c>
      <c r="J35" s="133">
        <v>8.2349999999999994</v>
      </c>
      <c r="K35" s="133">
        <v>2.4239999999999999</v>
      </c>
      <c r="L35" s="133">
        <v>5.97</v>
      </c>
      <c r="M35" s="133">
        <v>2.76</v>
      </c>
      <c r="N35" s="133">
        <v>5.8440000000000003</v>
      </c>
      <c r="O35" s="133">
        <v>6.45</v>
      </c>
      <c r="P35" s="133">
        <v>5.0940000000000003</v>
      </c>
      <c r="Q35" s="133">
        <v>3.012</v>
      </c>
      <c r="R35" s="133">
        <v>3.12</v>
      </c>
      <c r="S35" s="133">
        <v>4.62</v>
      </c>
      <c r="T35" s="133">
        <v>2.0099999999999998</v>
      </c>
      <c r="U35" s="133">
        <v>1.776</v>
      </c>
      <c r="V35" s="133">
        <v>3.5459999999999998</v>
      </c>
      <c r="W35" s="133">
        <v>1.6559999999999999</v>
      </c>
      <c r="X35" s="133">
        <v>0.59399999999999997</v>
      </c>
      <c r="Y35" s="133">
        <v>0.36399999999999999</v>
      </c>
      <c r="Z35" s="133">
        <v>3.5350000000000001</v>
      </c>
      <c r="AA35" s="133">
        <v>3.8450000000000002</v>
      </c>
      <c r="AB35" s="133">
        <v>0.255</v>
      </c>
      <c r="AC35" s="133">
        <v>0.255</v>
      </c>
      <c r="AD35" s="133">
        <v>0.255</v>
      </c>
      <c r="AE35" s="133">
        <v>0.255</v>
      </c>
      <c r="AF35" s="133">
        <v>0.255</v>
      </c>
      <c r="AG35" s="133">
        <v>0.255</v>
      </c>
      <c r="AH35" s="133">
        <v>0.255</v>
      </c>
      <c r="AI35" s="133">
        <v>0.255</v>
      </c>
      <c r="AJ35" s="133">
        <v>0.255</v>
      </c>
      <c r="AK35" s="133">
        <v>0</v>
      </c>
      <c r="AL35" s="133">
        <v>0</v>
      </c>
      <c r="AM35" s="136" t="str">
        <f>IF(ISERROR(VLOOKUP(D35,'Woodmac profile - Oil'!$D$9:$AN$266,37,FALSE)),"",VLOOKUP(D35,'Woodmac profile - Oil'!$D$9:$AN$266,37,FALSE))</f>
        <v>EAI</v>
      </c>
      <c r="AN35" s="136" t="str">
        <f>IF(ISERROR(VLOOKUP(D35,'Woodmac profile - Gas'!$D$9:$AN$249,37,FALSE)),"",VLOOKUP(D35,'Woodmac profile - Gas'!$D$9:$AN$249,37,FALSE))</f>
        <v>EAI</v>
      </c>
      <c r="AO35" s="136" t="str">
        <f t="shared" si="1"/>
        <v>EAI</v>
      </c>
      <c r="AP35" s="132"/>
      <c r="AQ35" s="129"/>
      <c r="AR35" s="129"/>
      <c r="AS35" s="354"/>
      <c r="AT35" s="131"/>
      <c r="AU35" s="131"/>
      <c r="AV35" s="354"/>
      <c r="AW35" s="132"/>
      <c r="AX35" s="354"/>
      <c r="AY35" s="132"/>
      <c r="AZ35" s="132"/>
      <c r="BA35" s="132"/>
      <c r="BB35" s="132"/>
    </row>
    <row r="36" spans="1:54">
      <c r="A36" s="132"/>
      <c r="B36" s="133" t="s">
        <v>3369</v>
      </c>
      <c r="C36" s="133" t="s">
        <v>2921</v>
      </c>
      <c r="D36" s="133" t="s">
        <v>2964</v>
      </c>
      <c r="E36" s="133" t="s">
        <v>1927</v>
      </c>
      <c r="F36" s="133" t="s">
        <v>1928</v>
      </c>
      <c r="G36" s="133" t="s">
        <v>1932</v>
      </c>
      <c r="H36" s="133" t="s">
        <v>116</v>
      </c>
      <c r="I36" s="133" t="s">
        <v>1931</v>
      </c>
      <c r="J36" s="133">
        <v>17.5</v>
      </c>
      <c r="K36" s="133">
        <v>0</v>
      </c>
      <c r="L36" s="133">
        <v>6.444</v>
      </c>
      <c r="M36" s="133">
        <v>8.7420000000000009</v>
      </c>
      <c r="N36" s="133">
        <v>7.8179999999999996</v>
      </c>
      <c r="O36" s="133">
        <v>0</v>
      </c>
      <c r="P36" s="133">
        <v>0</v>
      </c>
      <c r="Q36" s="133">
        <v>0</v>
      </c>
      <c r="R36" s="133">
        <v>0</v>
      </c>
      <c r="S36" s="133">
        <v>0</v>
      </c>
      <c r="T36" s="133">
        <v>0</v>
      </c>
      <c r="U36" s="133">
        <v>0</v>
      </c>
      <c r="V36" s="133">
        <v>0</v>
      </c>
      <c r="W36" s="133">
        <v>0</v>
      </c>
      <c r="X36" s="133">
        <v>0</v>
      </c>
      <c r="Y36" s="133">
        <v>0</v>
      </c>
      <c r="Z36" s="133">
        <v>0</v>
      </c>
      <c r="AA36" s="133">
        <v>0</v>
      </c>
      <c r="AB36" s="133">
        <v>0</v>
      </c>
      <c r="AC36" s="133">
        <v>0</v>
      </c>
      <c r="AD36" s="133">
        <v>0</v>
      </c>
      <c r="AE36" s="133">
        <v>0</v>
      </c>
      <c r="AF36" s="133">
        <v>0</v>
      </c>
      <c r="AG36" s="133">
        <v>0</v>
      </c>
      <c r="AH36" s="133">
        <v>0</v>
      </c>
      <c r="AI36" s="133">
        <v>0</v>
      </c>
      <c r="AJ36" s="133">
        <v>0</v>
      </c>
      <c r="AK36" s="133">
        <v>0</v>
      </c>
      <c r="AL36" s="133">
        <v>0</v>
      </c>
      <c r="AM36" s="136" t="str">
        <f>IF(ISERROR(VLOOKUP(D36,'Woodmac profile - Oil'!$D$9:$AN$266,37,FALSE)),"",VLOOKUP(D36,'Woodmac profile - Oil'!$D$9:$AN$266,37,FALSE))</f>
        <v>EAI</v>
      </c>
      <c r="AN36" s="136" t="str">
        <f>IF(ISERROR(VLOOKUP(D36,'Woodmac profile - Gas'!$D$9:$AN$249,37,FALSE)),"",VLOOKUP(D36,'Woodmac profile - Gas'!$D$9:$AN$249,37,FALSE))</f>
        <v>EAI</v>
      </c>
      <c r="AO36" s="136" t="str">
        <f t="shared" si="1"/>
        <v>EAI</v>
      </c>
      <c r="AP36" s="132"/>
      <c r="AQ36" s="129"/>
      <c r="AR36" s="129"/>
      <c r="AS36" s="354"/>
      <c r="AT36" s="131"/>
      <c r="AU36" s="131"/>
      <c r="AV36" s="354"/>
      <c r="AW36" s="132"/>
      <c r="AX36" s="354"/>
      <c r="AY36" s="132"/>
      <c r="AZ36" s="132"/>
      <c r="BA36" s="132"/>
      <c r="BB36" s="132"/>
    </row>
    <row r="37" spans="1:54">
      <c r="A37" s="132"/>
      <c r="B37" s="133" t="s">
        <v>3369</v>
      </c>
      <c r="C37" s="133" t="s">
        <v>2965</v>
      </c>
      <c r="D37" s="133" t="s">
        <v>2967</v>
      </c>
      <c r="E37" s="133" t="s">
        <v>1927</v>
      </c>
      <c r="F37" s="133" t="s">
        <v>2960</v>
      </c>
      <c r="G37" s="133" t="s">
        <v>1929</v>
      </c>
      <c r="H37" s="133" t="s">
        <v>116</v>
      </c>
      <c r="I37" s="133" t="s">
        <v>2600</v>
      </c>
      <c r="J37" s="133">
        <v>16.667000000000002</v>
      </c>
      <c r="K37" s="133">
        <v>14.67</v>
      </c>
      <c r="L37" s="133">
        <v>9.0399999999999991</v>
      </c>
      <c r="M37" s="133">
        <v>4.16</v>
      </c>
      <c r="N37" s="133">
        <v>47.69</v>
      </c>
      <c r="O37" s="133">
        <v>30.67</v>
      </c>
      <c r="P37" s="133">
        <v>40.479999999999997</v>
      </c>
      <c r="Q37" s="133">
        <v>31.1</v>
      </c>
      <c r="R37" s="133">
        <v>9.44</v>
      </c>
      <c r="S37" s="133">
        <v>37.090000000000003</v>
      </c>
      <c r="T37" s="133">
        <v>26.2</v>
      </c>
      <c r="U37" s="133">
        <v>25.25</v>
      </c>
      <c r="V37" s="133">
        <v>27.87</v>
      </c>
      <c r="W37" s="133">
        <v>15.06</v>
      </c>
      <c r="X37" s="133">
        <v>23.27</v>
      </c>
      <c r="Y37" s="133">
        <v>0</v>
      </c>
      <c r="Z37" s="133">
        <v>0</v>
      </c>
      <c r="AA37" s="133">
        <v>0</v>
      </c>
      <c r="AB37" s="133">
        <v>0</v>
      </c>
      <c r="AC37" s="133">
        <v>0</v>
      </c>
      <c r="AD37" s="133">
        <v>0</v>
      </c>
      <c r="AE37" s="133">
        <v>0</v>
      </c>
      <c r="AF37" s="133">
        <v>0</v>
      </c>
      <c r="AG37" s="133">
        <v>0</v>
      </c>
      <c r="AH37" s="133">
        <v>0</v>
      </c>
      <c r="AI37" s="133">
        <v>0</v>
      </c>
      <c r="AJ37" s="133">
        <v>0</v>
      </c>
      <c r="AK37" s="133">
        <v>0</v>
      </c>
      <c r="AL37" s="133">
        <v>0</v>
      </c>
      <c r="AM37" s="136" t="str">
        <f>IF(ISERROR(VLOOKUP(D37,'Woodmac profile - Oil'!$D$9:$AN$266,37,FALSE)),"",VLOOKUP(D37,'Woodmac profile - Oil'!$D$9:$AN$266,37,FALSE))</f>
        <v>SUBS</v>
      </c>
      <c r="AN37" s="136" t="str">
        <f>IF(ISERROR(VLOOKUP(D37,'Woodmac profile - Gas'!$D$9:$AN$249,37,FALSE)),"",VLOOKUP(D37,'Woodmac profile - Gas'!$D$9:$AN$249,37,FALSE))</f>
        <v>SUBS</v>
      </c>
      <c r="AO37" s="136" t="str">
        <f t="shared" si="1"/>
        <v>SUBS</v>
      </c>
      <c r="AP37" s="132"/>
      <c r="AQ37" s="129"/>
      <c r="AR37" s="129"/>
      <c r="AS37" s="354"/>
      <c r="AT37" s="131"/>
      <c r="AU37" s="131"/>
      <c r="AV37" s="354"/>
      <c r="AW37" s="132"/>
      <c r="AX37" s="354"/>
      <c r="AY37" s="132"/>
      <c r="AZ37" s="132"/>
      <c r="BA37" s="132"/>
      <c r="BB37" s="132"/>
    </row>
    <row r="38" spans="1:54">
      <c r="A38" s="132"/>
      <c r="B38" s="133" t="s">
        <v>3369</v>
      </c>
      <c r="C38" s="133" t="s">
        <v>2965</v>
      </c>
      <c r="D38" s="133" t="s">
        <v>723</v>
      </c>
      <c r="E38" s="133" t="s">
        <v>1927</v>
      </c>
      <c r="F38" s="133" t="s">
        <v>2960</v>
      </c>
      <c r="G38" s="133" t="s">
        <v>1931</v>
      </c>
      <c r="H38" s="133" t="s">
        <v>116</v>
      </c>
      <c r="I38" s="133" t="s">
        <v>2600</v>
      </c>
      <c r="J38" s="133">
        <v>16.667000000000002</v>
      </c>
      <c r="K38" s="133">
        <v>1.43</v>
      </c>
      <c r="L38" s="133">
        <v>0.09</v>
      </c>
      <c r="M38" s="133">
        <v>0.43</v>
      </c>
      <c r="N38" s="133">
        <v>1.1599999999999999</v>
      </c>
      <c r="O38" s="133">
        <v>5.5</v>
      </c>
      <c r="P38" s="133">
        <v>22.49</v>
      </c>
      <c r="Q38" s="133">
        <v>14.81</v>
      </c>
      <c r="R38" s="133">
        <v>3.77</v>
      </c>
      <c r="S38" s="133">
        <v>14.45</v>
      </c>
      <c r="T38" s="133">
        <v>6.39</v>
      </c>
      <c r="U38" s="133">
        <v>5.67</v>
      </c>
      <c r="V38" s="133">
        <v>2.5099999999999998</v>
      </c>
      <c r="W38" s="133">
        <v>2.68</v>
      </c>
      <c r="X38" s="133">
        <v>3.71</v>
      </c>
      <c r="Y38" s="133">
        <v>18.79</v>
      </c>
      <c r="Z38" s="133">
        <v>17.440000000000001</v>
      </c>
      <c r="AA38" s="133">
        <v>14.59</v>
      </c>
      <c r="AB38" s="133">
        <v>13.89</v>
      </c>
      <c r="AC38" s="133">
        <v>1.66</v>
      </c>
      <c r="AD38" s="133">
        <v>1.41</v>
      </c>
      <c r="AE38" s="133">
        <v>1.2</v>
      </c>
      <c r="AF38" s="133">
        <v>1.53</v>
      </c>
      <c r="AG38" s="133">
        <v>2.86</v>
      </c>
      <c r="AH38" s="133">
        <v>3.56</v>
      </c>
      <c r="AI38" s="133">
        <v>2.96</v>
      </c>
      <c r="AJ38" s="133">
        <v>1.88</v>
      </c>
      <c r="AK38" s="133">
        <v>1.69</v>
      </c>
      <c r="AL38" s="133">
        <v>2.78</v>
      </c>
      <c r="AM38" s="136" t="str">
        <f>IF(ISERROR(VLOOKUP(D38,'Woodmac profile - Oil'!$D$9:$AN$266,37,FALSE)),"",VLOOKUP(D38,'Woodmac profile - Oil'!$D$9:$AN$266,37,FALSE))</f>
        <v>SUBS</v>
      </c>
      <c r="AN38" s="136" t="str">
        <f>IF(ISERROR(VLOOKUP(D38,'Woodmac profile - Gas'!$D$9:$AN$249,37,FALSE)),"",VLOOKUP(D38,'Woodmac profile - Gas'!$D$9:$AN$249,37,FALSE))</f>
        <v>SUBS</v>
      </c>
      <c r="AO38" s="136" t="str">
        <f t="shared" si="1"/>
        <v>SUBS</v>
      </c>
      <c r="AP38" s="132"/>
      <c r="AQ38" s="129"/>
      <c r="AR38" s="129"/>
      <c r="AS38" s="354"/>
      <c r="AT38" s="131"/>
      <c r="AU38" s="131"/>
      <c r="AV38" s="354"/>
      <c r="AW38" s="132"/>
      <c r="AX38" s="354"/>
      <c r="AY38" s="132"/>
      <c r="AZ38" s="132"/>
      <c r="BA38" s="132"/>
      <c r="BB38" s="132"/>
    </row>
    <row r="39" spans="1:54">
      <c r="A39" s="132"/>
      <c r="B39" s="133" t="s">
        <v>3369</v>
      </c>
      <c r="C39" s="133" t="s">
        <v>2965</v>
      </c>
      <c r="D39" s="133" t="s">
        <v>724</v>
      </c>
      <c r="E39" s="133" t="s">
        <v>1927</v>
      </c>
      <c r="F39" s="133" t="s">
        <v>2960</v>
      </c>
      <c r="G39" s="133" t="s">
        <v>1929</v>
      </c>
      <c r="H39" s="133" t="s">
        <v>2966</v>
      </c>
      <c r="I39" s="133" t="s">
        <v>2600</v>
      </c>
      <c r="J39" s="133">
        <v>16.667000000000002</v>
      </c>
      <c r="K39" s="133">
        <v>160.6</v>
      </c>
      <c r="L39" s="133">
        <v>58.16</v>
      </c>
      <c r="M39" s="133">
        <v>193.61</v>
      </c>
      <c r="N39" s="133">
        <v>320.02</v>
      </c>
      <c r="O39" s="133">
        <v>250.05</v>
      </c>
      <c r="P39" s="133">
        <v>326.20999999999998</v>
      </c>
      <c r="Q39" s="133">
        <v>237.68</v>
      </c>
      <c r="R39" s="133">
        <v>72</v>
      </c>
      <c r="S39" s="133">
        <v>243.32</v>
      </c>
      <c r="T39" s="133">
        <v>192.1</v>
      </c>
      <c r="U39" s="133">
        <v>221.32</v>
      </c>
      <c r="V39" s="133">
        <v>164.19</v>
      </c>
      <c r="W39" s="133">
        <v>154.61000000000001</v>
      </c>
      <c r="X39" s="133">
        <v>226.73</v>
      </c>
      <c r="Y39" s="133">
        <v>194.94</v>
      </c>
      <c r="Z39" s="133">
        <v>187.01</v>
      </c>
      <c r="AA39" s="133">
        <v>166.21</v>
      </c>
      <c r="AB39" s="133">
        <v>233.68</v>
      </c>
      <c r="AC39" s="133">
        <v>91.01</v>
      </c>
      <c r="AD39" s="133">
        <v>82.75</v>
      </c>
      <c r="AE39" s="133">
        <v>25.16</v>
      </c>
      <c r="AF39" s="133">
        <v>31.29</v>
      </c>
      <c r="AG39" s="133">
        <v>52.4</v>
      </c>
      <c r="AH39" s="133">
        <v>90.81</v>
      </c>
      <c r="AI39" s="133">
        <v>42.95</v>
      </c>
      <c r="AJ39" s="133">
        <v>27.88</v>
      </c>
      <c r="AK39" s="133">
        <v>17.86</v>
      </c>
      <c r="AL39" s="133">
        <v>67.790000000000006</v>
      </c>
      <c r="AM39" s="136" t="str">
        <f>IF(ISERROR(VLOOKUP(D39,'Woodmac profile - Oil'!$D$9:$AN$266,37,FALSE)),"",VLOOKUP(D39,'Woodmac profile - Oil'!$D$9:$AN$266,37,FALSE))</f>
        <v>SUBS</v>
      </c>
      <c r="AN39" s="136" t="str">
        <f>IF(ISERROR(VLOOKUP(D39,'Woodmac profile - Gas'!$D$9:$AN$249,37,FALSE)),"",VLOOKUP(D39,'Woodmac profile - Gas'!$D$9:$AN$249,37,FALSE))</f>
        <v>SUBS</v>
      </c>
      <c r="AO39" s="136" t="str">
        <f t="shared" si="1"/>
        <v>SUBS</v>
      </c>
      <c r="AP39" s="132"/>
      <c r="AQ39" s="129"/>
      <c r="AR39" s="129"/>
      <c r="AS39" s="354"/>
      <c r="AT39" s="131"/>
      <c r="AU39" s="131"/>
      <c r="AV39" s="354"/>
      <c r="AW39" s="132"/>
      <c r="AX39" s="354"/>
      <c r="AY39" s="132"/>
      <c r="AZ39" s="132"/>
      <c r="BA39" s="132"/>
      <c r="BB39" s="132"/>
    </row>
    <row r="40" spans="1:54">
      <c r="A40" s="132"/>
      <c r="B40" s="133" t="s">
        <v>3369</v>
      </c>
      <c r="C40" s="133" t="s">
        <v>2965</v>
      </c>
      <c r="D40" s="133" t="s">
        <v>725</v>
      </c>
      <c r="E40" s="133" t="s">
        <v>1927</v>
      </c>
      <c r="F40" s="133" t="s">
        <v>2960</v>
      </c>
      <c r="G40" s="133" t="s">
        <v>1932</v>
      </c>
      <c r="H40" s="133" t="s">
        <v>1930</v>
      </c>
      <c r="I40" s="133" t="s">
        <v>2971</v>
      </c>
      <c r="J40" s="133">
        <v>16.667000000000002</v>
      </c>
      <c r="K40" s="133">
        <v>0.44</v>
      </c>
      <c r="L40" s="133">
        <v>6.18</v>
      </c>
      <c r="M40" s="133">
        <v>4.71</v>
      </c>
      <c r="N40" s="133">
        <v>15.58</v>
      </c>
      <c r="O40" s="133">
        <v>9.42</v>
      </c>
      <c r="P40" s="133">
        <v>3.87</v>
      </c>
      <c r="Q40" s="133">
        <v>117.75</v>
      </c>
      <c r="R40" s="133">
        <v>179.76</v>
      </c>
      <c r="S40" s="133">
        <v>51.38</v>
      </c>
      <c r="T40" s="133">
        <v>2.1800000000000002</v>
      </c>
      <c r="U40" s="133">
        <v>2.2000000000000002</v>
      </c>
      <c r="V40" s="133">
        <v>2.2200000000000002</v>
      </c>
      <c r="W40" s="133">
        <v>4.42</v>
      </c>
      <c r="X40" s="133">
        <v>2.09</v>
      </c>
      <c r="Y40" s="133">
        <v>49.98</v>
      </c>
      <c r="Z40" s="133">
        <v>8.73</v>
      </c>
      <c r="AA40" s="133">
        <v>16.420000000000002</v>
      </c>
      <c r="AB40" s="133">
        <v>2.57</v>
      </c>
      <c r="AC40" s="133">
        <v>2.64</v>
      </c>
      <c r="AD40" s="133">
        <v>8.98</v>
      </c>
      <c r="AE40" s="133">
        <v>2.77</v>
      </c>
      <c r="AF40" s="133">
        <v>2.84</v>
      </c>
      <c r="AG40" s="133">
        <v>2.91</v>
      </c>
      <c r="AH40" s="133">
        <v>2.98</v>
      </c>
      <c r="AI40" s="133">
        <v>0</v>
      </c>
      <c r="AJ40" s="133">
        <v>0</v>
      </c>
      <c r="AK40" s="133">
        <v>0</v>
      </c>
      <c r="AL40" s="133">
        <v>0</v>
      </c>
      <c r="AM40" s="136" t="str">
        <f>IF(ISERROR(VLOOKUP(D40,'Woodmac profile - Oil'!$D$9:$AN$266,37,FALSE)),"",VLOOKUP(D40,'Woodmac profile - Oil'!$D$9:$AN$266,37,FALSE))</f>
        <v>SUBS</v>
      </c>
      <c r="AN40" s="136" t="str">
        <f>IF(ISERROR(VLOOKUP(D40,'Woodmac profile - Gas'!$D$9:$AN$249,37,FALSE)),"",VLOOKUP(D40,'Woodmac profile - Gas'!$D$9:$AN$249,37,FALSE))</f>
        <v/>
      </c>
      <c r="AO40" s="136" t="str">
        <f t="shared" si="1"/>
        <v>SUBS</v>
      </c>
      <c r="AP40" s="132"/>
      <c r="AQ40" s="129"/>
      <c r="AR40" s="129"/>
      <c r="AS40" s="354"/>
      <c r="AT40" s="131"/>
      <c r="AU40" s="131"/>
      <c r="AV40" s="354"/>
      <c r="AW40" s="132"/>
      <c r="AX40" s="354"/>
      <c r="AY40" s="132"/>
      <c r="AZ40" s="132"/>
      <c r="BA40" s="132"/>
      <c r="BB40" s="132"/>
    </row>
    <row r="41" spans="1:54">
      <c r="A41" s="132"/>
      <c r="B41" s="133" t="s">
        <v>3369</v>
      </c>
      <c r="C41" s="133" t="s">
        <v>726</v>
      </c>
      <c r="D41" s="133" t="s">
        <v>783</v>
      </c>
      <c r="E41" s="133" t="s">
        <v>1927</v>
      </c>
      <c r="F41" s="133" t="s">
        <v>2960</v>
      </c>
      <c r="G41" s="133" t="s">
        <v>3374</v>
      </c>
      <c r="H41" s="133" t="s">
        <v>1930</v>
      </c>
      <c r="I41" s="133" t="s">
        <v>2600</v>
      </c>
      <c r="J41" s="133">
        <v>30.374500000000001</v>
      </c>
      <c r="K41" s="133">
        <v>988.54</v>
      </c>
      <c r="L41" s="133">
        <v>1155.6199999999999</v>
      </c>
      <c r="M41" s="133">
        <v>1181.1600000000001</v>
      </c>
      <c r="N41" s="133">
        <v>1044.56</v>
      </c>
      <c r="O41" s="133">
        <v>1162.71</v>
      </c>
      <c r="P41" s="133">
        <v>752.62</v>
      </c>
      <c r="Q41" s="133">
        <v>418.39</v>
      </c>
      <c r="R41" s="133">
        <v>707.94</v>
      </c>
      <c r="S41" s="133">
        <v>778.34</v>
      </c>
      <c r="T41" s="133">
        <v>972.36</v>
      </c>
      <c r="U41" s="133">
        <v>1087.77</v>
      </c>
      <c r="V41" s="133">
        <v>869.21</v>
      </c>
      <c r="W41" s="133">
        <v>717.18</v>
      </c>
      <c r="X41" s="133">
        <v>540.51</v>
      </c>
      <c r="Y41" s="133">
        <v>398.32</v>
      </c>
      <c r="Z41" s="133">
        <v>424.72</v>
      </c>
      <c r="AA41" s="133">
        <v>557.08000000000004</v>
      </c>
      <c r="AB41" s="133">
        <v>549.84</v>
      </c>
      <c r="AC41" s="133">
        <v>702.08</v>
      </c>
      <c r="AD41" s="133">
        <v>538.23</v>
      </c>
      <c r="AE41" s="133">
        <v>427.08</v>
      </c>
      <c r="AF41" s="133">
        <v>330.91</v>
      </c>
      <c r="AG41" s="133">
        <v>310.31</v>
      </c>
      <c r="AH41" s="133">
        <v>227.08</v>
      </c>
      <c r="AI41" s="133">
        <v>215.02</v>
      </c>
      <c r="AJ41" s="133">
        <v>192.59</v>
      </c>
      <c r="AK41" s="133">
        <v>189.08</v>
      </c>
      <c r="AL41" s="133">
        <v>183.5</v>
      </c>
      <c r="AM41" s="136" t="str">
        <f>IF(ISERROR(VLOOKUP(D41,'Woodmac profile - Oil'!$D$9:$AN$266,37,FALSE)),"",VLOOKUP(D41,'Woodmac profile - Oil'!$D$9:$AN$266,37,FALSE))</f>
        <v>SUBS</v>
      </c>
      <c r="AN41" s="136" t="str">
        <f>IF(ISERROR(VLOOKUP(D41,'Woodmac profile - Gas'!$D$9:$AN$249,37,FALSE)),"",VLOOKUP(D41,'Woodmac profile - Gas'!$D$9:$AN$249,37,FALSE))</f>
        <v/>
      </c>
      <c r="AO41" s="136" t="str">
        <f t="shared" si="1"/>
        <v>SUBS</v>
      </c>
      <c r="AP41" s="132"/>
      <c r="AQ41" s="129"/>
      <c r="AR41" s="129"/>
      <c r="AS41" s="354"/>
      <c r="AT41" s="131"/>
      <c r="AU41" s="131"/>
      <c r="AV41" s="354"/>
      <c r="AW41" s="132"/>
      <c r="AX41" s="354"/>
      <c r="AY41" s="132"/>
      <c r="AZ41" s="132"/>
      <c r="BA41" s="132"/>
      <c r="BB41" s="132"/>
    </row>
    <row r="42" spans="1:54">
      <c r="A42" s="132"/>
      <c r="B42" s="133" t="s">
        <v>3369</v>
      </c>
      <c r="C42" s="133" t="s">
        <v>726</v>
      </c>
      <c r="D42" s="133" t="s">
        <v>784</v>
      </c>
      <c r="E42" s="133" t="s">
        <v>1927</v>
      </c>
      <c r="F42" s="133" t="s">
        <v>2960</v>
      </c>
      <c r="G42" s="133" t="s">
        <v>1929</v>
      </c>
      <c r="H42" s="133" t="s">
        <v>116</v>
      </c>
      <c r="I42" s="133" t="s">
        <v>2600</v>
      </c>
      <c r="J42" s="133">
        <v>28.83</v>
      </c>
      <c r="K42" s="133">
        <v>189.62</v>
      </c>
      <c r="L42" s="133">
        <v>340.64</v>
      </c>
      <c r="M42" s="133">
        <v>312.7</v>
      </c>
      <c r="N42" s="133">
        <v>205.1</v>
      </c>
      <c r="O42" s="133">
        <v>112.02</v>
      </c>
      <c r="P42" s="133">
        <v>139.57</v>
      </c>
      <c r="Q42" s="133">
        <v>85.93</v>
      </c>
      <c r="R42" s="133">
        <v>114.02</v>
      </c>
      <c r="S42" s="133">
        <v>191.39</v>
      </c>
      <c r="T42" s="133">
        <v>305.25</v>
      </c>
      <c r="U42" s="133">
        <v>465.2</v>
      </c>
      <c r="V42" s="133">
        <v>1187.58</v>
      </c>
      <c r="W42" s="133">
        <v>1329.11</v>
      </c>
      <c r="X42" s="133">
        <v>1111.33</v>
      </c>
      <c r="Y42" s="133">
        <v>814.74</v>
      </c>
      <c r="Z42" s="133">
        <v>478.13</v>
      </c>
      <c r="AA42" s="133">
        <v>286.01</v>
      </c>
      <c r="AB42" s="133">
        <v>215.86</v>
      </c>
      <c r="AC42" s="133">
        <v>182.01</v>
      </c>
      <c r="AD42" s="133">
        <v>131.29</v>
      </c>
      <c r="AE42" s="133">
        <v>97.53</v>
      </c>
      <c r="AF42" s="133">
        <v>133.47999999999999</v>
      </c>
      <c r="AG42" s="133">
        <v>116.29</v>
      </c>
      <c r="AH42" s="133">
        <v>116.03</v>
      </c>
      <c r="AI42" s="133">
        <v>98.87</v>
      </c>
      <c r="AJ42" s="133">
        <v>65.69</v>
      </c>
      <c r="AK42" s="133">
        <v>65.47</v>
      </c>
      <c r="AL42" s="133">
        <v>65.25</v>
      </c>
      <c r="AM42" s="136" t="str">
        <f>IF(ISERROR(VLOOKUP(D42,'Woodmac profile - Oil'!$D$9:$AN$266,37,FALSE)),"",VLOOKUP(D42,'Woodmac profile - Oil'!$D$9:$AN$266,37,FALSE))</f>
        <v>SUBS</v>
      </c>
      <c r="AN42" s="136" t="str">
        <f>IF(ISERROR(VLOOKUP(D42,'Woodmac profile - Gas'!$D$9:$AN$249,37,FALSE)),"",VLOOKUP(D42,'Woodmac profile - Gas'!$D$9:$AN$249,37,FALSE))</f>
        <v>SUBS</v>
      </c>
      <c r="AO42" s="136" t="str">
        <f t="shared" si="1"/>
        <v>SUBS</v>
      </c>
      <c r="AP42" s="132"/>
      <c r="AQ42" s="129"/>
      <c r="AR42" s="129"/>
      <c r="AS42" s="354"/>
      <c r="AT42" s="131"/>
      <c r="AU42" s="131"/>
      <c r="AV42" s="354"/>
      <c r="AW42" s="132"/>
      <c r="AX42" s="354"/>
      <c r="AY42" s="132"/>
      <c r="AZ42" s="132"/>
      <c r="BA42" s="132"/>
      <c r="BB42" s="132"/>
    </row>
    <row r="43" spans="1:54">
      <c r="A43" s="132"/>
      <c r="B43" s="133" t="s">
        <v>3369</v>
      </c>
      <c r="C43" s="133" t="s">
        <v>785</v>
      </c>
      <c r="D43" s="133" t="s">
        <v>2499</v>
      </c>
      <c r="E43" s="133" t="s">
        <v>1927</v>
      </c>
      <c r="F43" s="133" t="s">
        <v>1928</v>
      </c>
      <c r="G43" s="133" t="s">
        <v>1929</v>
      </c>
      <c r="H43" s="133" t="s">
        <v>116</v>
      </c>
      <c r="I43" s="133" t="s">
        <v>1931</v>
      </c>
      <c r="J43" s="133">
        <v>12.5</v>
      </c>
      <c r="K43" s="133">
        <v>8.8680000000000003</v>
      </c>
      <c r="L43" s="133">
        <v>9.66</v>
      </c>
      <c r="M43" s="133">
        <v>0.57599999999999996</v>
      </c>
      <c r="N43" s="133">
        <v>0.55800000000000005</v>
      </c>
      <c r="O43" s="133">
        <v>1.0860000000000001</v>
      </c>
      <c r="P43" s="133">
        <v>1.044</v>
      </c>
      <c r="Q43" s="133">
        <v>25.361999999999998</v>
      </c>
      <c r="R43" s="133">
        <v>43.212000000000003</v>
      </c>
      <c r="S43" s="133">
        <v>49.212000000000003</v>
      </c>
      <c r="T43" s="133">
        <v>13.89</v>
      </c>
      <c r="U43" s="133">
        <v>23.34</v>
      </c>
      <c r="V43" s="133">
        <v>37.548000000000002</v>
      </c>
      <c r="W43" s="133">
        <v>0.79200000000000004</v>
      </c>
      <c r="X43" s="133">
        <v>0.78</v>
      </c>
      <c r="Y43" s="133">
        <v>0.72899999999999998</v>
      </c>
      <c r="Z43" s="133">
        <v>21.04</v>
      </c>
      <c r="AA43" s="133">
        <v>18.489999999999998</v>
      </c>
      <c r="AB43" s="133">
        <v>18.489999999999998</v>
      </c>
      <c r="AC43" s="133">
        <v>13.39</v>
      </c>
      <c r="AD43" s="133">
        <v>3.19</v>
      </c>
      <c r="AE43" s="133">
        <v>0.64</v>
      </c>
      <c r="AF43" s="133">
        <v>0.64</v>
      </c>
      <c r="AG43" s="133">
        <v>0.64</v>
      </c>
      <c r="AH43" s="133">
        <v>3.19</v>
      </c>
      <c r="AI43" s="133">
        <v>0.64</v>
      </c>
      <c r="AJ43" s="133">
        <v>0.64</v>
      </c>
      <c r="AK43" s="133">
        <v>0.64</v>
      </c>
      <c r="AL43" s="133">
        <v>3.19</v>
      </c>
      <c r="AM43" s="136" t="str">
        <f>IF(ISERROR(VLOOKUP(D43,'Woodmac profile - Oil'!$D$9:$AN$266,37,FALSE)),"",VLOOKUP(D43,'Woodmac profile - Oil'!$D$9:$AN$266,37,FALSE))</f>
        <v>EAI</v>
      </c>
      <c r="AN43" s="136" t="str">
        <f>IF(ISERROR(VLOOKUP(D43,'Woodmac profile - Gas'!$D$9:$AN$249,37,FALSE)),"",VLOOKUP(D43,'Woodmac profile - Gas'!$D$9:$AN$249,37,FALSE))</f>
        <v>EAI</v>
      </c>
      <c r="AO43" s="136" t="str">
        <f t="shared" si="1"/>
        <v>EAI</v>
      </c>
      <c r="AP43" s="132"/>
      <c r="AQ43" s="129"/>
      <c r="AR43" s="129"/>
      <c r="AS43" s="354"/>
      <c r="AT43" s="131"/>
      <c r="AU43" s="131"/>
      <c r="AV43" s="354"/>
      <c r="AW43" s="132"/>
      <c r="AX43" s="354"/>
      <c r="AY43" s="132"/>
      <c r="AZ43" s="132"/>
      <c r="BA43" s="132"/>
      <c r="BB43" s="132"/>
    </row>
    <row r="44" spans="1:54">
      <c r="A44" s="132"/>
      <c r="B44" s="133" t="s">
        <v>3369</v>
      </c>
      <c r="C44" s="133" t="s">
        <v>2428</v>
      </c>
      <c r="D44" s="133" t="s">
        <v>376</v>
      </c>
      <c r="E44" s="133" t="s">
        <v>1927</v>
      </c>
      <c r="F44" s="133" t="s">
        <v>2960</v>
      </c>
      <c r="G44" s="133" t="s">
        <v>3374</v>
      </c>
      <c r="H44" s="133" t="s">
        <v>1930</v>
      </c>
      <c r="I44" s="133" t="s">
        <v>2600</v>
      </c>
      <c r="J44" s="133">
        <v>60</v>
      </c>
      <c r="K44" s="133">
        <v>0</v>
      </c>
      <c r="L44" s="133">
        <v>0</v>
      </c>
      <c r="M44" s="133">
        <v>0</v>
      </c>
      <c r="N44" s="133">
        <v>0</v>
      </c>
      <c r="O44" s="133">
        <v>0</v>
      </c>
      <c r="P44" s="133">
        <v>0</v>
      </c>
      <c r="Q44" s="133">
        <v>0</v>
      </c>
      <c r="R44" s="133">
        <v>0</v>
      </c>
      <c r="S44" s="133">
        <v>4.45</v>
      </c>
      <c r="T44" s="133">
        <v>10.33</v>
      </c>
      <c r="U44" s="133">
        <v>0</v>
      </c>
      <c r="V44" s="133">
        <v>0</v>
      </c>
      <c r="W44" s="133">
        <v>0</v>
      </c>
      <c r="X44" s="133">
        <v>0</v>
      </c>
      <c r="Y44" s="133">
        <v>0</v>
      </c>
      <c r="Z44" s="133">
        <v>0</v>
      </c>
      <c r="AA44" s="133">
        <v>0</v>
      </c>
      <c r="AB44" s="133">
        <v>0</v>
      </c>
      <c r="AC44" s="133">
        <v>0</v>
      </c>
      <c r="AD44" s="133">
        <v>0</v>
      </c>
      <c r="AE44" s="133">
        <v>0</v>
      </c>
      <c r="AF44" s="133">
        <v>0</v>
      </c>
      <c r="AG44" s="133">
        <v>0</v>
      </c>
      <c r="AH44" s="133">
        <v>0</v>
      </c>
      <c r="AI44" s="133">
        <v>0</v>
      </c>
      <c r="AJ44" s="133">
        <v>0</v>
      </c>
      <c r="AK44" s="133">
        <v>0</v>
      </c>
      <c r="AL44" s="133">
        <v>0</v>
      </c>
      <c r="AM44" s="136" t="str">
        <f>IF(ISERROR(VLOOKUP(D44,'Woodmac profile - Oil'!$D$9:$AN$266,37,FALSE)),"",VLOOKUP(D44,'Woodmac profile - Oil'!$D$9:$AN$266,37,FALSE))</f>
        <v>SUBS</v>
      </c>
      <c r="AN44" s="136" t="str">
        <f>IF(ISERROR(VLOOKUP(D44,'Woodmac profile - Gas'!$D$9:$AN$249,37,FALSE)),"",VLOOKUP(D44,'Woodmac profile - Gas'!$D$9:$AN$249,37,FALSE))</f>
        <v/>
      </c>
      <c r="AO44" s="136" t="str">
        <f t="shared" si="1"/>
        <v>SUBS</v>
      </c>
      <c r="AP44" s="132"/>
      <c r="AQ44" s="129"/>
      <c r="AR44" s="129"/>
      <c r="AS44" s="354"/>
      <c r="AT44" s="131"/>
      <c r="AU44" s="131"/>
      <c r="AV44" s="354"/>
      <c r="AW44" s="132"/>
      <c r="AX44" s="354"/>
      <c r="AY44" s="132"/>
      <c r="AZ44" s="132"/>
      <c r="BA44" s="132"/>
      <c r="BB44" s="132"/>
    </row>
    <row r="45" spans="1:54">
      <c r="A45" s="132"/>
      <c r="B45" s="133" t="s">
        <v>3369</v>
      </c>
      <c r="C45" s="133" t="s">
        <v>1880</v>
      </c>
      <c r="D45" s="133" t="s">
        <v>2425</v>
      </c>
      <c r="E45" s="133" t="s">
        <v>1927</v>
      </c>
      <c r="F45" s="133" t="s">
        <v>1928</v>
      </c>
      <c r="G45" s="133" t="s">
        <v>3374</v>
      </c>
      <c r="H45" s="133" t="s">
        <v>116</v>
      </c>
      <c r="I45" s="133" t="s">
        <v>1931</v>
      </c>
      <c r="J45" s="133">
        <v>100</v>
      </c>
      <c r="K45" s="133">
        <v>176.65</v>
      </c>
      <c r="L45" s="133">
        <v>214.21</v>
      </c>
      <c r="M45" s="133">
        <v>289.57</v>
      </c>
      <c r="N45" s="133">
        <v>281.58999999999997</v>
      </c>
      <c r="O45" s="133">
        <v>298.55</v>
      </c>
      <c r="P45" s="133">
        <v>241.56</v>
      </c>
      <c r="Q45" s="133">
        <v>235.07</v>
      </c>
      <c r="R45" s="133">
        <v>197.57</v>
      </c>
      <c r="S45" s="133">
        <v>96.06</v>
      </c>
      <c r="T45" s="133">
        <v>21.64</v>
      </c>
      <c r="U45" s="133">
        <v>11.24</v>
      </c>
      <c r="V45" s="133">
        <v>9.31</v>
      </c>
      <c r="W45" s="133">
        <v>7.91</v>
      </c>
      <c r="X45" s="133">
        <v>7.51</v>
      </c>
      <c r="Y45" s="133">
        <v>7.19</v>
      </c>
      <c r="Z45" s="133">
        <v>7.07</v>
      </c>
      <c r="AA45" s="133">
        <v>6.54</v>
      </c>
      <c r="AB45" s="133">
        <v>6.1</v>
      </c>
      <c r="AC45" s="133">
        <v>5.84</v>
      </c>
      <c r="AD45" s="133">
        <v>5.41</v>
      </c>
      <c r="AE45" s="133">
        <v>5</v>
      </c>
      <c r="AF45" s="133">
        <v>4.62</v>
      </c>
      <c r="AG45" s="133">
        <v>4.2300000000000004</v>
      </c>
      <c r="AH45" s="133">
        <v>3.88</v>
      </c>
      <c r="AI45" s="133">
        <v>3.52</v>
      </c>
      <c r="AJ45" s="133">
        <v>3.17</v>
      </c>
      <c r="AK45" s="133">
        <v>2.83</v>
      </c>
      <c r="AL45" s="133">
        <v>2.52</v>
      </c>
      <c r="AM45" s="136" t="str">
        <f>IF(ISERROR(VLOOKUP(D45,'Woodmac profile - Oil'!$D$9:$AN$266,37,FALSE)),"",VLOOKUP(D45,'Woodmac profile - Oil'!$D$9:$AN$266,37,FALSE))</f>
        <v>SUBS</v>
      </c>
      <c r="AN45" s="136" t="str">
        <f>IF(ISERROR(VLOOKUP(D45,'Woodmac profile - Gas'!$D$9:$AN$249,37,FALSE)),"",VLOOKUP(D45,'Woodmac profile - Gas'!$D$9:$AN$249,37,FALSE))</f>
        <v>SUBS</v>
      </c>
      <c r="AO45" s="136" t="str">
        <f t="shared" si="1"/>
        <v>SUBS</v>
      </c>
      <c r="AP45" s="132"/>
      <c r="AQ45" s="129"/>
      <c r="AR45" s="129"/>
      <c r="AS45" s="354"/>
      <c r="AT45" s="131"/>
      <c r="AU45" s="131"/>
      <c r="AV45" s="354"/>
      <c r="AW45" s="132"/>
      <c r="AX45" s="354"/>
      <c r="AY45" s="132"/>
      <c r="AZ45" s="132"/>
      <c r="BA45" s="132"/>
      <c r="BB45" s="132"/>
    </row>
    <row r="46" spans="1:54">
      <c r="A46" s="132"/>
      <c r="B46" s="133" t="s">
        <v>3369</v>
      </c>
      <c r="C46" s="133" t="s">
        <v>1878</v>
      </c>
      <c r="D46" s="133" t="s">
        <v>1879</v>
      </c>
      <c r="E46" s="133" t="s">
        <v>1927</v>
      </c>
      <c r="F46" s="133" t="s">
        <v>1928</v>
      </c>
      <c r="G46" s="133" t="s">
        <v>1930</v>
      </c>
      <c r="H46" s="133" t="s">
        <v>106</v>
      </c>
      <c r="I46" s="133" t="s">
        <v>1931</v>
      </c>
      <c r="J46" s="133">
        <v>15.73</v>
      </c>
      <c r="K46" s="133">
        <v>0</v>
      </c>
      <c r="L46" s="133">
        <v>10.26</v>
      </c>
      <c r="M46" s="133">
        <v>5.85</v>
      </c>
      <c r="N46" s="133">
        <v>0.17</v>
      </c>
      <c r="O46" s="133">
        <v>0.87</v>
      </c>
      <c r="P46" s="133">
        <v>0</v>
      </c>
      <c r="Q46" s="133">
        <v>0</v>
      </c>
      <c r="R46" s="133">
        <v>0</v>
      </c>
      <c r="S46" s="133">
        <v>0</v>
      </c>
      <c r="T46" s="133">
        <v>0.28999999999999998</v>
      </c>
      <c r="U46" s="133">
        <v>0</v>
      </c>
      <c r="V46" s="133">
        <v>0</v>
      </c>
      <c r="W46" s="133">
        <v>0</v>
      </c>
      <c r="X46" s="133">
        <v>0</v>
      </c>
      <c r="Y46" s="133">
        <v>0</v>
      </c>
      <c r="Z46" s="133">
        <v>0</v>
      </c>
      <c r="AA46" s="133">
        <v>0</v>
      </c>
      <c r="AB46" s="133">
        <v>0</v>
      </c>
      <c r="AC46" s="133">
        <v>0</v>
      </c>
      <c r="AD46" s="133">
        <v>0</v>
      </c>
      <c r="AE46" s="133">
        <v>0</v>
      </c>
      <c r="AF46" s="133">
        <v>0</v>
      </c>
      <c r="AG46" s="133">
        <v>0</v>
      </c>
      <c r="AH46" s="133">
        <v>0</v>
      </c>
      <c r="AI46" s="133">
        <v>0</v>
      </c>
      <c r="AJ46" s="133">
        <v>0</v>
      </c>
      <c r="AK46" s="133">
        <v>0</v>
      </c>
      <c r="AL46" s="133">
        <v>0</v>
      </c>
      <c r="AM46" s="136" t="str">
        <f>IF(ISERROR(VLOOKUP(D46,'Woodmac profile - Oil'!$D$9:$AN$266,37,FALSE)),"",VLOOKUP(D46,'Woodmac profile - Oil'!$D$9:$AN$266,37,FALSE))</f>
        <v/>
      </c>
      <c r="AN46" s="136" t="str">
        <f>IF(ISERROR(VLOOKUP(D46,'Woodmac profile - Gas'!$D$9:$AN$249,37,FALSE)),"",VLOOKUP(D46,'Woodmac profile - Gas'!$D$9:$AN$249,37,FALSE))</f>
        <v>SUBS</v>
      </c>
      <c r="AO46" s="136" t="str">
        <f t="shared" si="1"/>
        <v>SUBS</v>
      </c>
      <c r="AP46" s="132"/>
      <c r="AQ46" s="129"/>
      <c r="AR46" s="129"/>
      <c r="AS46" s="354"/>
      <c r="AT46" s="131"/>
      <c r="AU46" s="131"/>
      <c r="AV46" s="354"/>
      <c r="AW46" s="132"/>
      <c r="AX46" s="354"/>
      <c r="AY46" s="132"/>
      <c r="AZ46" s="132"/>
      <c r="BA46" s="132"/>
      <c r="BB46" s="132"/>
    </row>
    <row r="47" spans="1:54">
      <c r="A47" s="132"/>
      <c r="B47" s="133" t="s">
        <v>3369</v>
      </c>
      <c r="C47" s="133" t="s">
        <v>2426</v>
      </c>
      <c r="D47" s="133" t="s">
        <v>212</v>
      </c>
      <c r="E47" s="133" t="s">
        <v>2254</v>
      </c>
      <c r="F47" s="133" t="s">
        <v>1928</v>
      </c>
      <c r="G47" s="133" t="s">
        <v>1931</v>
      </c>
      <c r="H47" s="133" t="s">
        <v>116</v>
      </c>
      <c r="I47" s="133" t="s">
        <v>1931</v>
      </c>
      <c r="J47" s="133">
        <v>100</v>
      </c>
      <c r="K47" s="133">
        <v>12.9</v>
      </c>
      <c r="L47" s="133">
        <v>22.24</v>
      </c>
      <c r="M47" s="133">
        <v>36.36</v>
      </c>
      <c r="N47" s="133">
        <v>37.630000000000003</v>
      </c>
      <c r="O47" s="133">
        <v>42.55</v>
      </c>
      <c r="P47" s="133">
        <v>35.85</v>
      </c>
      <c r="Q47" s="133">
        <v>71.099999999999994</v>
      </c>
      <c r="R47" s="133">
        <v>36.24</v>
      </c>
      <c r="S47" s="133">
        <v>0</v>
      </c>
      <c r="T47" s="133">
        <v>0</v>
      </c>
      <c r="U47" s="133">
        <v>0</v>
      </c>
      <c r="V47" s="133">
        <v>0</v>
      </c>
      <c r="W47" s="133">
        <v>0</v>
      </c>
      <c r="X47" s="133">
        <v>0</v>
      </c>
      <c r="Y47" s="133">
        <v>0</v>
      </c>
      <c r="Z47" s="133">
        <v>0</v>
      </c>
      <c r="AA47" s="133">
        <v>0</v>
      </c>
      <c r="AB47" s="133">
        <v>0</v>
      </c>
      <c r="AC47" s="133">
        <v>0</v>
      </c>
      <c r="AD47" s="133">
        <v>0</v>
      </c>
      <c r="AE47" s="133">
        <v>0</v>
      </c>
      <c r="AF47" s="133">
        <v>0</v>
      </c>
      <c r="AG47" s="133">
        <v>0</v>
      </c>
      <c r="AH47" s="133">
        <v>0</v>
      </c>
      <c r="AI47" s="133">
        <v>0</v>
      </c>
      <c r="AJ47" s="133">
        <v>0</v>
      </c>
      <c r="AK47" s="133">
        <v>0</v>
      </c>
      <c r="AL47" s="133">
        <v>0</v>
      </c>
      <c r="AM47" s="136" t="str">
        <f>IF(ISERROR(VLOOKUP(D47,'Woodmac profile - Oil'!$D$9:$AN$266,37,FALSE)),"",VLOOKUP(D47,'Woodmac profile - Oil'!$D$9:$AN$266,37,FALSE))</f>
        <v>SUBS</v>
      </c>
      <c r="AN47" s="136" t="str">
        <f>IF(ISERROR(VLOOKUP(D47,'Woodmac profile - Gas'!$D$9:$AN$249,37,FALSE)),"",VLOOKUP(D47,'Woodmac profile - Gas'!$D$9:$AN$249,37,FALSE))</f>
        <v>SUBS</v>
      </c>
      <c r="AO47" s="136" t="str">
        <f t="shared" si="1"/>
        <v>SUBS</v>
      </c>
      <c r="AP47" s="132"/>
      <c r="AQ47" s="129"/>
      <c r="AR47" s="129"/>
      <c r="AS47" s="354"/>
      <c r="AT47" s="131"/>
      <c r="AU47" s="131"/>
      <c r="AV47" s="354"/>
      <c r="AW47" s="132"/>
      <c r="AX47" s="354"/>
      <c r="AY47" s="132"/>
      <c r="AZ47" s="132"/>
      <c r="BA47" s="132"/>
      <c r="BB47" s="132"/>
    </row>
    <row r="48" spans="1:54">
      <c r="A48" s="132"/>
      <c r="B48" s="133" t="s">
        <v>3369</v>
      </c>
      <c r="C48" s="133" t="s">
        <v>213</v>
      </c>
      <c r="D48" s="133" t="s">
        <v>214</v>
      </c>
      <c r="E48" s="133" t="s">
        <v>1927</v>
      </c>
      <c r="F48" s="133" t="s">
        <v>1928</v>
      </c>
      <c r="G48" s="133" t="s">
        <v>215</v>
      </c>
      <c r="H48" s="133" t="s">
        <v>1930</v>
      </c>
      <c r="I48" s="133" t="s">
        <v>1933</v>
      </c>
      <c r="J48" s="133">
        <v>50</v>
      </c>
      <c r="K48" s="133">
        <v>0</v>
      </c>
      <c r="L48" s="133">
        <v>0</v>
      </c>
      <c r="M48" s="133">
        <v>0</v>
      </c>
      <c r="N48" s="133">
        <v>0</v>
      </c>
      <c r="O48" s="133">
        <v>0</v>
      </c>
      <c r="P48" s="133">
        <v>156.26</v>
      </c>
      <c r="Q48" s="133">
        <v>30.58</v>
      </c>
      <c r="R48" s="133">
        <v>58.79</v>
      </c>
      <c r="S48" s="133">
        <v>154.19999999999999</v>
      </c>
      <c r="T48" s="133">
        <v>610.24</v>
      </c>
      <c r="U48" s="133">
        <v>329.21</v>
      </c>
      <c r="V48" s="133">
        <v>386.63</v>
      </c>
      <c r="W48" s="133">
        <v>216.86</v>
      </c>
      <c r="X48" s="133">
        <v>21.93</v>
      </c>
      <c r="Y48" s="133">
        <v>74.510000000000005</v>
      </c>
      <c r="Z48" s="133">
        <v>75.88</v>
      </c>
      <c r="AA48" s="133">
        <v>169.39</v>
      </c>
      <c r="AB48" s="133">
        <v>211.11</v>
      </c>
      <c r="AC48" s="133">
        <v>189.57</v>
      </c>
      <c r="AD48" s="133">
        <v>163.85</v>
      </c>
      <c r="AE48" s="133">
        <v>50.51</v>
      </c>
      <c r="AF48" s="133">
        <v>111.54</v>
      </c>
      <c r="AG48" s="133">
        <v>149.96</v>
      </c>
      <c r="AH48" s="133">
        <v>22.19</v>
      </c>
      <c r="AI48" s="133">
        <v>22.19</v>
      </c>
      <c r="AJ48" s="133">
        <v>58.59</v>
      </c>
      <c r="AK48" s="133">
        <v>75.31</v>
      </c>
      <c r="AL48" s="133">
        <v>75.31</v>
      </c>
      <c r="AM48" s="136" t="str">
        <f>IF(ISERROR(VLOOKUP(D48,'Woodmac profile - Oil'!$D$9:$AN$266,37,FALSE)),"",VLOOKUP(D48,'Woodmac profile - Oil'!$D$9:$AN$266,37,FALSE))</f>
        <v>SUBS</v>
      </c>
      <c r="AN48" s="136" t="str">
        <f>IF(ISERROR(VLOOKUP(D48,'Woodmac profile - Gas'!$D$9:$AN$249,37,FALSE)),"",VLOOKUP(D48,'Woodmac profile - Gas'!$D$9:$AN$249,37,FALSE))</f>
        <v/>
      </c>
      <c r="AO48" s="136" t="str">
        <f t="shared" si="1"/>
        <v>SUBS</v>
      </c>
      <c r="AP48" s="132"/>
      <c r="AQ48" s="129"/>
      <c r="AR48" s="129"/>
      <c r="AS48" s="354"/>
      <c r="AT48" s="131"/>
      <c r="AU48" s="131"/>
      <c r="AV48" s="354"/>
      <c r="AW48" s="132"/>
      <c r="AX48" s="354"/>
      <c r="AY48" s="132"/>
      <c r="AZ48" s="132"/>
      <c r="BA48" s="132"/>
      <c r="BB48" s="132"/>
    </row>
    <row r="49" spans="1:54">
      <c r="A49" s="132"/>
      <c r="B49" s="133" t="s">
        <v>3369</v>
      </c>
      <c r="C49" s="133" t="s">
        <v>216</v>
      </c>
      <c r="D49" s="133" t="s">
        <v>3548</v>
      </c>
      <c r="E49" s="133" t="s">
        <v>1927</v>
      </c>
      <c r="F49" s="133" t="s">
        <v>2960</v>
      </c>
      <c r="G49" s="133" t="s">
        <v>217</v>
      </c>
      <c r="H49" s="133" t="s">
        <v>1930</v>
      </c>
      <c r="I49" s="133" t="s">
        <v>2971</v>
      </c>
      <c r="J49" s="133">
        <v>24.5</v>
      </c>
      <c r="K49" s="133">
        <v>8.33</v>
      </c>
      <c r="L49" s="133">
        <v>0</v>
      </c>
      <c r="M49" s="133">
        <v>0</v>
      </c>
      <c r="N49" s="133">
        <v>0</v>
      </c>
      <c r="O49" s="133">
        <v>0</v>
      </c>
      <c r="P49" s="133">
        <v>0</v>
      </c>
      <c r="Q49" s="133">
        <v>0</v>
      </c>
      <c r="R49" s="133">
        <v>0</v>
      </c>
      <c r="S49" s="133">
        <v>0</v>
      </c>
      <c r="T49" s="133">
        <v>0</v>
      </c>
      <c r="U49" s="133">
        <v>0</v>
      </c>
      <c r="V49" s="133">
        <v>0</v>
      </c>
      <c r="W49" s="133">
        <v>0</v>
      </c>
      <c r="X49" s="133">
        <v>0</v>
      </c>
      <c r="Y49" s="133">
        <v>0</v>
      </c>
      <c r="Z49" s="133">
        <v>0</v>
      </c>
      <c r="AA49" s="133">
        <v>0</v>
      </c>
      <c r="AB49" s="133">
        <v>0</v>
      </c>
      <c r="AC49" s="133">
        <v>0</v>
      </c>
      <c r="AD49" s="133">
        <v>0</v>
      </c>
      <c r="AE49" s="133">
        <v>0</v>
      </c>
      <c r="AF49" s="133">
        <v>0</v>
      </c>
      <c r="AG49" s="133">
        <v>0</v>
      </c>
      <c r="AH49" s="133">
        <v>0</v>
      </c>
      <c r="AI49" s="133">
        <v>0</v>
      </c>
      <c r="AJ49" s="133">
        <v>0</v>
      </c>
      <c r="AK49" s="133">
        <v>0</v>
      </c>
      <c r="AL49" s="133">
        <v>0</v>
      </c>
      <c r="AM49" s="136" t="str">
        <f>IF(ISERROR(VLOOKUP(D49,'Woodmac profile - Oil'!$D$9:$AN$266,37,FALSE)),"",VLOOKUP(D49,'Woodmac profile - Oil'!$D$9:$AN$266,37,FALSE))</f>
        <v>EAI</v>
      </c>
      <c r="AN49" s="136" t="str">
        <f>IF(ISERROR(VLOOKUP(D49,'Woodmac profile - Gas'!$D$9:$AN$249,37,FALSE)),"",VLOOKUP(D49,'Woodmac profile - Gas'!$D$9:$AN$249,37,FALSE))</f>
        <v/>
      </c>
      <c r="AO49" s="136" t="str">
        <f t="shared" si="1"/>
        <v>EAI</v>
      </c>
      <c r="AP49" s="132"/>
      <c r="AQ49" s="129"/>
      <c r="AR49" s="129"/>
      <c r="AS49" s="354"/>
      <c r="AT49" s="131"/>
      <c r="AU49" s="131"/>
      <c r="AV49" s="354"/>
      <c r="AW49" s="132"/>
      <c r="AX49" s="354"/>
      <c r="AY49" s="132"/>
      <c r="AZ49" s="132"/>
      <c r="BA49" s="132"/>
      <c r="BB49" s="132"/>
    </row>
    <row r="50" spans="1:54">
      <c r="A50" s="132"/>
      <c r="B50" s="133" t="s">
        <v>3369</v>
      </c>
      <c r="C50" s="133" t="s">
        <v>216</v>
      </c>
      <c r="D50" s="133" t="s">
        <v>218</v>
      </c>
      <c r="E50" s="133" t="s">
        <v>1927</v>
      </c>
      <c r="F50" s="133" t="s">
        <v>2960</v>
      </c>
      <c r="G50" s="133" t="s">
        <v>217</v>
      </c>
      <c r="H50" s="133" t="s">
        <v>1930</v>
      </c>
      <c r="I50" s="133" t="s">
        <v>2971</v>
      </c>
      <c r="J50" s="133">
        <v>24.5</v>
      </c>
      <c r="K50" s="133">
        <v>29.97</v>
      </c>
      <c r="L50" s="133">
        <v>0</v>
      </c>
      <c r="M50" s="133">
        <v>0</v>
      </c>
      <c r="N50" s="133">
        <v>0</v>
      </c>
      <c r="O50" s="133">
        <v>0</v>
      </c>
      <c r="P50" s="133">
        <v>0</v>
      </c>
      <c r="Q50" s="133">
        <v>0</v>
      </c>
      <c r="R50" s="133">
        <v>0</v>
      </c>
      <c r="S50" s="133">
        <v>0</v>
      </c>
      <c r="T50" s="133">
        <v>0</v>
      </c>
      <c r="U50" s="133">
        <v>0</v>
      </c>
      <c r="V50" s="133">
        <v>0</v>
      </c>
      <c r="W50" s="133">
        <v>0</v>
      </c>
      <c r="X50" s="133">
        <v>0</v>
      </c>
      <c r="Y50" s="133">
        <v>0</v>
      </c>
      <c r="Z50" s="133">
        <v>0</v>
      </c>
      <c r="AA50" s="133">
        <v>0</v>
      </c>
      <c r="AB50" s="133">
        <v>0</v>
      </c>
      <c r="AC50" s="133">
        <v>0</v>
      </c>
      <c r="AD50" s="133">
        <v>0</v>
      </c>
      <c r="AE50" s="133">
        <v>0</v>
      </c>
      <c r="AF50" s="133">
        <v>0</v>
      </c>
      <c r="AG50" s="133">
        <v>0</v>
      </c>
      <c r="AH50" s="133">
        <v>0</v>
      </c>
      <c r="AI50" s="133">
        <v>0</v>
      </c>
      <c r="AJ50" s="133">
        <v>0</v>
      </c>
      <c r="AK50" s="133">
        <v>0</v>
      </c>
      <c r="AL50" s="133">
        <v>0</v>
      </c>
      <c r="AM50" s="136" t="str">
        <f>IF(ISERROR(VLOOKUP(D50,'Woodmac profile - Oil'!$D$9:$AN$266,37,FALSE)),"",VLOOKUP(D50,'Woodmac profile - Oil'!$D$9:$AN$266,37,FALSE))</f>
        <v>EAI</v>
      </c>
      <c r="AN50" s="136" t="str">
        <f>IF(ISERROR(VLOOKUP(D50,'Woodmac profile - Gas'!$D$9:$AN$249,37,FALSE)),"",VLOOKUP(D50,'Woodmac profile - Gas'!$D$9:$AN$249,37,FALSE))</f>
        <v/>
      </c>
      <c r="AO50" s="136" t="str">
        <f t="shared" si="1"/>
        <v>EAI</v>
      </c>
      <c r="AP50" s="132"/>
      <c r="AQ50" s="129"/>
      <c r="AR50" s="129"/>
      <c r="AS50" s="354"/>
      <c r="AT50" s="131"/>
      <c r="AU50" s="131"/>
      <c r="AV50" s="354"/>
      <c r="AW50" s="132"/>
      <c r="AX50" s="354"/>
      <c r="AY50" s="132"/>
      <c r="AZ50" s="132"/>
      <c r="BA50" s="132"/>
      <c r="BB50" s="132"/>
    </row>
    <row r="51" spans="1:54">
      <c r="A51" s="132"/>
      <c r="B51" s="133" t="s">
        <v>3369</v>
      </c>
      <c r="C51" s="133" t="s">
        <v>216</v>
      </c>
      <c r="D51" s="133" t="s">
        <v>2246</v>
      </c>
      <c r="E51" s="133" t="s">
        <v>1927</v>
      </c>
      <c r="F51" s="133" t="s">
        <v>2960</v>
      </c>
      <c r="G51" s="133" t="s">
        <v>1931</v>
      </c>
      <c r="H51" s="133" t="s">
        <v>116</v>
      </c>
      <c r="I51" s="133" t="s">
        <v>2600</v>
      </c>
      <c r="J51" s="133">
        <v>34.299999999999997</v>
      </c>
      <c r="K51" s="133">
        <v>0</v>
      </c>
      <c r="L51" s="133">
        <v>22.72</v>
      </c>
      <c r="M51" s="133">
        <v>10.99</v>
      </c>
      <c r="N51" s="133">
        <v>19.16</v>
      </c>
      <c r="O51" s="133">
        <v>10.35</v>
      </c>
      <c r="P51" s="133">
        <v>7.97</v>
      </c>
      <c r="Q51" s="133">
        <v>10</v>
      </c>
      <c r="R51" s="133">
        <v>39.369999999999997</v>
      </c>
      <c r="S51" s="133">
        <v>32.42</v>
      </c>
      <c r="T51" s="133">
        <v>0</v>
      </c>
      <c r="U51" s="133">
        <v>0</v>
      </c>
      <c r="V51" s="133">
        <v>0</v>
      </c>
      <c r="W51" s="133">
        <v>0</v>
      </c>
      <c r="X51" s="133">
        <v>0</v>
      </c>
      <c r="Y51" s="133">
        <v>0</v>
      </c>
      <c r="Z51" s="133">
        <v>0</v>
      </c>
      <c r="AA51" s="133">
        <v>0</v>
      </c>
      <c r="AB51" s="133">
        <v>0</v>
      </c>
      <c r="AC51" s="133">
        <v>0</v>
      </c>
      <c r="AD51" s="133">
        <v>0</v>
      </c>
      <c r="AE51" s="133">
        <v>0</v>
      </c>
      <c r="AF51" s="133">
        <v>0</v>
      </c>
      <c r="AG51" s="133">
        <v>0</v>
      </c>
      <c r="AH51" s="133">
        <v>0</v>
      </c>
      <c r="AI51" s="133">
        <v>0</v>
      </c>
      <c r="AJ51" s="133">
        <v>0</v>
      </c>
      <c r="AK51" s="133">
        <v>0</v>
      </c>
      <c r="AL51" s="133">
        <v>0</v>
      </c>
      <c r="AM51" s="136" t="str">
        <f>IF(ISERROR(VLOOKUP(D51,'Woodmac profile - Oil'!$D$9:$AN$266,37,FALSE)),"",VLOOKUP(D51,'Woodmac profile - Oil'!$D$9:$AN$266,37,FALSE))</f>
        <v>EAI</v>
      </c>
      <c r="AN51" s="136" t="str">
        <f>IF(ISERROR(VLOOKUP(D51,'Woodmac profile - Gas'!$D$9:$AN$249,37,FALSE)),"",VLOOKUP(D51,'Woodmac profile - Gas'!$D$9:$AN$249,37,FALSE))</f>
        <v>SUBS</v>
      </c>
      <c r="AO51" s="136" t="str">
        <f t="shared" si="1"/>
        <v>EAI</v>
      </c>
      <c r="AP51" s="132"/>
      <c r="AQ51" s="129"/>
      <c r="AR51" s="129"/>
      <c r="AS51" s="354"/>
      <c r="AT51" s="131"/>
      <c r="AU51" s="131"/>
      <c r="AV51" s="354"/>
      <c r="AW51" s="132"/>
      <c r="AX51" s="354"/>
      <c r="AY51" s="132"/>
      <c r="AZ51" s="132"/>
      <c r="BA51" s="132"/>
      <c r="BB51" s="132"/>
    </row>
    <row r="52" spans="1:54">
      <c r="A52" s="132"/>
      <c r="B52" s="133" t="s">
        <v>3369</v>
      </c>
      <c r="C52" s="133" t="s">
        <v>2247</v>
      </c>
      <c r="D52" s="133" t="s">
        <v>3549</v>
      </c>
      <c r="E52" s="133" t="s">
        <v>1927</v>
      </c>
      <c r="F52" s="133" t="s">
        <v>1928</v>
      </c>
      <c r="G52" s="133" t="s">
        <v>1929</v>
      </c>
      <c r="H52" s="133" t="s">
        <v>116</v>
      </c>
      <c r="I52" s="133" t="s">
        <v>1931</v>
      </c>
      <c r="J52" s="133">
        <v>31</v>
      </c>
      <c r="K52" s="133">
        <v>11.42</v>
      </c>
      <c r="L52" s="133">
        <v>9.4499999999999993</v>
      </c>
      <c r="M52" s="133">
        <v>8.74</v>
      </c>
      <c r="N52" s="133">
        <v>21.16</v>
      </c>
      <c r="O52" s="133">
        <v>23.94</v>
      </c>
      <c r="P52" s="133">
        <v>27.02</v>
      </c>
      <c r="Q52" s="133">
        <v>57.84</v>
      </c>
      <c r="R52" s="133">
        <v>8.89</v>
      </c>
      <c r="S52" s="133">
        <v>0</v>
      </c>
      <c r="T52" s="133">
        <v>0</v>
      </c>
      <c r="U52" s="133">
        <v>0</v>
      </c>
      <c r="V52" s="133">
        <v>0</v>
      </c>
      <c r="W52" s="133">
        <v>0</v>
      </c>
      <c r="X52" s="133">
        <v>0</v>
      </c>
      <c r="Y52" s="133">
        <v>0</v>
      </c>
      <c r="Z52" s="133">
        <v>0</v>
      </c>
      <c r="AA52" s="133">
        <v>0</v>
      </c>
      <c r="AB52" s="133">
        <v>0</v>
      </c>
      <c r="AC52" s="133">
        <v>0</v>
      </c>
      <c r="AD52" s="133">
        <v>0</v>
      </c>
      <c r="AE52" s="133">
        <v>0</v>
      </c>
      <c r="AF52" s="133">
        <v>0</v>
      </c>
      <c r="AG52" s="133">
        <v>0</v>
      </c>
      <c r="AH52" s="133">
        <v>0</v>
      </c>
      <c r="AI52" s="133">
        <v>0</v>
      </c>
      <c r="AJ52" s="133">
        <v>0</v>
      </c>
      <c r="AK52" s="133">
        <v>0</v>
      </c>
      <c r="AL52" s="133">
        <v>0</v>
      </c>
      <c r="AM52" s="136" t="str">
        <f>IF(ISERROR(VLOOKUP(D52,'Woodmac profile - Oil'!$D$9:$AN$266,37,FALSE)),"",VLOOKUP(D52,'Woodmac profile - Oil'!$D$9:$AN$266,37,FALSE))</f>
        <v>SUBS</v>
      </c>
      <c r="AN52" s="136" t="str">
        <f>IF(ISERROR(VLOOKUP(D52,'Woodmac profile - Gas'!$D$9:$AN$249,37,FALSE)),"",VLOOKUP(D52,'Woodmac profile - Gas'!$D$9:$AN$249,37,FALSE))</f>
        <v>SUBS</v>
      </c>
      <c r="AO52" s="136" t="str">
        <f t="shared" si="1"/>
        <v>SUBS</v>
      </c>
      <c r="AP52" s="132"/>
      <c r="AQ52" s="129"/>
      <c r="AR52" s="129"/>
      <c r="AS52" s="354"/>
      <c r="AT52" s="131"/>
      <c r="AU52" s="131"/>
      <c r="AV52" s="354"/>
      <c r="AW52" s="132"/>
      <c r="AX52" s="354"/>
      <c r="AY52" s="132"/>
      <c r="AZ52" s="132"/>
      <c r="BA52" s="132"/>
      <c r="BB52" s="132"/>
    </row>
    <row r="53" spans="1:54">
      <c r="A53" s="132"/>
      <c r="B53" s="133" t="s">
        <v>3369</v>
      </c>
      <c r="C53" s="133" t="s">
        <v>2247</v>
      </c>
      <c r="D53" s="133" t="s">
        <v>2248</v>
      </c>
      <c r="E53" s="133" t="s">
        <v>1927</v>
      </c>
      <c r="F53" s="133" t="s">
        <v>1928</v>
      </c>
      <c r="G53" s="133" t="s">
        <v>1929</v>
      </c>
      <c r="H53" s="133" t="s">
        <v>1930</v>
      </c>
      <c r="I53" s="133" t="s">
        <v>1931</v>
      </c>
      <c r="J53" s="133">
        <v>50</v>
      </c>
      <c r="K53" s="133">
        <v>34.76</v>
      </c>
      <c r="L53" s="133">
        <v>33.119999999999997</v>
      </c>
      <c r="M53" s="133">
        <v>37.159999999999997</v>
      </c>
      <c r="N53" s="133">
        <v>24.83</v>
      </c>
      <c r="O53" s="133">
        <v>66.38</v>
      </c>
      <c r="P53" s="133">
        <v>43.58</v>
      </c>
      <c r="Q53" s="133">
        <v>29.15</v>
      </c>
      <c r="R53" s="133">
        <v>28.69</v>
      </c>
      <c r="S53" s="133">
        <v>0</v>
      </c>
      <c r="T53" s="133">
        <v>0</v>
      </c>
      <c r="U53" s="133">
        <v>0</v>
      </c>
      <c r="V53" s="133">
        <v>0</v>
      </c>
      <c r="W53" s="133">
        <v>0</v>
      </c>
      <c r="X53" s="133">
        <v>0</v>
      </c>
      <c r="Y53" s="133">
        <v>0</v>
      </c>
      <c r="Z53" s="133">
        <v>0</v>
      </c>
      <c r="AA53" s="133">
        <v>0</v>
      </c>
      <c r="AB53" s="133">
        <v>0</v>
      </c>
      <c r="AC53" s="133">
        <v>0</v>
      </c>
      <c r="AD53" s="133">
        <v>0</v>
      </c>
      <c r="AE53" s="133">
        <v>0</v>
      </c>
      <c r="AF53" s="133">
        <v>0</v>
      </c>
      <c r="AG53" s="133">
        <v>0</v>
      </c>
      <c r="AH53" s="133">
        <v>0</v>
      </c>
      <c r="AI53" s="133">
        <v>0</v>
      </c>
      <c r="AJ53" s="133">
        <v>0</v>
      </c>
      <c r="AK53" s="133">
        <v>0</v>
      </c>
      <c r="AL53" s="133">
        <v>0</v>
      </c>
      <c r="AM53" s="136" t="str">
        <f>IF(ISERROR(VLOOKUP(D53,'Woodmac profile - Oil'!$D$9:$AN$266,37,FALSE)),"",VLOOKUP(D53,'Woodmac profile - Oil'!$D$9:$AN$266,37,FALSE))</f>
        <v>SUBS</v>
      </c>
      <c r="AN53" s="136" t="str">
        <f>IF(ISERROR(VLOOKUP(D53,'Woodmac profile - Gas'!$D$9:$AN$249,37,FALSE)),"",VLOOKUP(D53,'Woodmac profile - Gas'!$D$9:$AN$249,37,FALSE))</f>
        <v/>
      </c>
      <c r="AO53" s="136" t="str">
        <f t="shared" si="1"/>
        <v>SUBS</v>
      </c>
      <c r="AP53" s="132"/>
      <c r="AQ53" s="129"/>
      <c r="AR53" s="129"/>
      <c r="AS53" s="354"/>
      <c r="AT53" s="131"/>
      <c r="AU53" s="131"/>
      <c r="AV53" s="354"/>
      <c r="AW53" s="132"/>
      <c r="AX53" s="354"/>
      <c r="AY53" s="132"/>
      <c r="AZ53" s="132"/>
      <c r="BA53" s="132"/>
      <c r="BB53" s="132"/>
    </row>
    <row r="54" spans="1:54">
      <c r="A54" s="132"/>
      <c r="B54" s="133" t="s">
        <v>3369</v>
      </c>
      <c r="C54" s="133" t="s">
        <v>2247</v>
      </c>
      <c r="D54" s="133" t="s">
        <v>2249</v>
      </c>
      <c r="E54" s="133" t="s">
        <v>1927</v>
      </c>
      <c r="F54" s="133" t="s">
        <v>1928</v>
      </c>
      <c r="G54" s="133" t="s">
        <v>3374</v>
      </c>
      <c r="H54" s="133" t="s">
        <v>116</v>
      </c>
      <c r="I54" s="133" t="s">
        <v>1931</v>
      </c>
      <c r="J54" s="133">
        <v>31</v>
      </c>
      <c r="K54" s="133">
        <v>7.75</v>
      </c>
      <c r="L54" s="133">
        <v>0.41</v>
      </c>
      <c r="M54" s="133">
        <v>6.36</v>
      </c>
      <c r="N54" s="133">
        <v>0.38</v>
      </c>
      <c r="O54" s="133">
        <v>0.75</v>
      </c>
      <c r="P54" s="133">
        <v>0.72</v>
      </c>
      <c r="Q54" s="133">
        <v>0.72</v>
      </c>
      <c r="R54" s="133">
        <v>0.36</v>
      </c>
      <c r="S54" s="133">
        <v>0</v>
      </c>
      <c r="T54" s="133">
        <v>0</v>
      </c>
      <c r="U54" s="133">
        <v>0</v>
      </c>
      <c r="V54" s="133">
        <v>0</v>
      </c>
      <c r="W54" s="133">
        <v>0</v>
      </c>
      <c r="X54" s="133">
        <v>0</v>
      </c>
      <c r="Y54" s="133">
        <v>0</v>
      </c>
      <c r="Z54" s="133">
        <v>0</v>
      </c>
      <c r="AA54" s="133">
        <v>0</v>
      </c>
      <c r="AB54" s="133">
        <v>0</v>
      </c>
      <c r="AC54" s="133">
        <v>0</v>
      </c>
      <c r="AD54" s="133">
        <v>0</v>
      </c>
      <c r="AE54" s="133">
        <v>0</v>
      </c>
      <c r="AF54" s="133">
        <v>0</v>
      </c>
      <c r="AG54" s="133">
        <v>0</v>
      </c>
      <c r="AH54" s="133">
        <v>0</v>
      </c>
      <c r="AI54" s="133">
        <v>0</v>
      </c>
      <c r="AJ54" s="133">
        <v>0</v>
      </c>
      <c r="AK54" s="133">
        <v>0</v>
      </c>
      <c r="AL54" s="133">
        <v>0</v>
      </c>
      <c r="AM54" s="136" t="str">
        <f>IF(ISERROR(VLOOKUP(D54,'Woodmac profile - Oil'!$D$9:$AN$266,37,FALSE)),"",VLOOKUP(D54,'Woodmac profile - Oil'!$D$9:$AN$266,37,FALSE))</f>
        <v>SUBS</v>
      </c>
      <c r="AN54" s="136" t="str">
        <f>IF(ISERROR(VLOOKUP(D54,'Woodmac profile - Gas'!$D$9:$AN$249,37,FALSE)),"",VLOOKUP(D54,'Woodmac profile - Gas'!$D$9:$AN$249,37,FALSE))</f>
        <v>SUBS</v>
      </c>
      <c r="AO54" s="136" t="str">
        <f t="shared" si="1"/>
        <v>SUBS</v>
      </c>
      <c r="AP54" s="132"/>
      <c r="AQ54" s="129"/>
      <c r="AR54" s="129"/>
      <c r="AS54" s="354"/>
      <c r="AT54" s="131"/>
      <c r="AU54" s="131"/>
      <c r="AV54" s="354"/>
      <c r="AW54" s="132"/>
      <c r="AX54" s="354"/>
      <c r="AY54" s="132"/>
      <c r="AZ54" s="132"/>
      <c r="BA54" s="132"/>
      <c r="BB54" s="132"/>
    </row>
    <row r="55" spans="1:54">
      <c r="A55" s="132"/>
      <c r="B55" s="133" t="s">
        <v>3369</v>
      </c>
      <c r="C55" s="133" t="s">
        <v>2247</v>
      </c>
      <c r="D55" s="133" t="s">
        <v>3657</v>
      </c>
      <c r="E55" s="133" t="s">
        <v>1927</v>
      </c>
      <c r="F55" s="133" t="s">
        <v>1928</v>
      </c>
      <c r="G55" s="133" t="s">
        <v>1931</v>
      </c>
      <c r="H55" s="133" t="s">
        <v>116</v>
      </c>
      <c r="I55" s="133" t="s">
        <v>1931</v>
      </c>
      <c r="J55" s="133">
        <v>31</v>
      </c>
      <c r="K55" s="133">
        <v>1.19</v>
      </c>
      <c r="L55" s="133">
        <v>3.17</v>
      </c>
      <c r="M55" s="133">
        <v>1.1599999999999999</v>
      </c>
      <c r="N55" s="133">
        <v>0.82</v>
      </c>
      <c r="O55" s="133">
        <v>2.37</v>
      </c>
      <c r="P55" s="133">
        <v>3.79</v>
      </c>
      <c r="Q55" s="133">
        <v>1.92</v>
      </c>
      <c r="R55" s="133">
        <v>0.36</v>
      </c>
      <c r="S55" s="133">
        <v>0</v>
      </c>
      <c r="T55" s="133">
        <v>0</v>
      </c>
      <c r="U55" s="133">
        <v>0</v>
      </c>
      <c r="V55" s="133">
        <v>0</v>
      </c>
      <c r="W55" s="133">
        <v>0</v>
      </c>
      <c r="X55" s="133">
        <v>0</v>
      </c>
      <c r="Y55" s="133">
        <v>0</v>
      </c>
      <c r="Z55" s="133">
        <v>0</v>
      </c>
      <c r="AA55" s="133">
        <v>0</v>
      </c>
      <c r="AB55" s="133">
        <v>0</v>
      </c>
      <c r="AC55" s="133">
        <v>0</v>
      </c>
      <c r="AD55" s="133">
        <v>0</v>
      </c>
      <c r="AE55" s="133">
        <v>0</v>
      </c>
      <c r="AF55" s="133">
        <v>0</v>
      </c>
      <c r="AG55" s="133">
        <v>0</v>
      </c>
      <c r="AH55" s="133">
        <v>0</v>
      </c>
      <c r="AI55" s="133">
        <v>0</v>
      </c>
      <c r="AJ55" s="133">
        <v>0</v>
      </c>
      <c r="AK55" s="133">
        <v>0</v>
      </c>
      <c r="AL55" s="133">
        <v>0</v>
      </c>
      <c r="AM55" s="136" t="str">
        <f>IF(ISERROR(VLOOKUP(D55,'Woodmac profile - Oil'!$D$9:$AN$266,37,FALSE)),"",VLOOKUP(D55,'Woodmac profile - Oil'!$D$9:$AN$266,37,FALSE))</f>
        <v>SUBS</v>
      </c>
      <c r="AN55" s="136" t="str">
        <f>IF(ISERROR(VLOOKUP(D55,'Woodmac profile - Gas'!$D$9:$AN$249,37,FALSE)),"",VLOOKUP(D55,'Woodmac profile - Gas'!$D$9:$AN$249,37,FALSE))</f>
        <v>SUBS</v>
      </c>
      <c r="AO55" s="136" t="str">
        <f t="shared" si="1"/>
        <v>SUBS</v>
      </c>
      <c r="AP55" s="132"/>
      <c r="AQ55" s="129"/>
      <c r="AR55" s="129"/>
      <c r="AS55" s="354"/>
      <c r="AT55" s="131"/>
      <c r="AU55" s="131"/>
      <c r="AV55" s="354"/>
      <c r="AW55" s="132"/>
      <c r="AX55" s="354"/>
      <c r="AY55" s="132"/>
      <c r="AZ55" s="132"/>
      <c r="BA55" s="132"/>
      <c r="BB55" s="132"/>
    </row>
    <row r="56" spans="1:54">
      <c r="A56" s="132"/>
      <c r="B56" s="133" t="s">
        <v>3369</v>
      </c>
      <c r="C56" s="133" t="s">
        <v>2247</v>
      </c>
      <c r="D56" s="133" t="s">
        <v>3658</v>
      </c>
      <c r="E56" s="133" t="s">
        <v>1927</v>
      </c>
      <c r="F56" s="133" t="s">
        <v>1928</v>
      </c>
      <c r="G56" s="133" t="s">
        <v>3374</v>
      </c>
      <c r="H56" s="133" t="s">
        <v>116</v>
      </c>
      <c r="I56" s="133" t="s">
        <v>1931</v>
      </c>
      <c r="J56" s="133">
        <v>18</v>
      </c>
      <c r="K56" s="133">
        <v>16.37</v>
      </c>
      <c r="L56" s="133">
        <v>43.6</v>
      </c>
      <c r="M56" s="133">
        <v>15.95</v>
      </c>
      <c r="N56" s="133">
        <v>11.22</v>
      </c>
      <c r="O56" s="133">
        <v>32.51</v>
      </c>
      <c r="P56" s="133">
        <v>52.11</v>
      </c>
      <c r="Q56" s="133">
        <v>26.44</v>
      </c>
      <c r="R56" s="133">
        <v>82.92</v>
      </c>
      <c r="S56" s="133">
        <v>0</v>
      </c>
      <c r="T56" s="133">
        <v>0</v>
      </c>
      <c r="U56" s="133">
        <v>0</v>
      </c>
      <c r="V56" s="133">
        <v>0</v>
      </c>
      <c r="W56" s="133">
        <v>0</v>
      </c>
      <c r="X56" s="133">
        <v>0</v>
      </c>
      <c r="Y56" s="133">
        <v>0</v>
      </c>
      <c r="Z56" s="133">
        <v>0</v>
      </c>
      <c r="AA56" s="133">
        <v>0</v>
      </c>
      <c r="AB56" s="133">
        <v>0</v>
      </c>
      <c r="AC56" s="133">
        <v>0</v>
      </c>
      <c r="AD56" s="133">
        <v>0</v>
      </c>
      <c r="AE56" s="133">
        <v>0</v>
      </c>
      <c r="AF56" s="133">
        <v>0</v>
      </c>
      <c r="AG56" s="133">
        <v>0</v>
      </c>
      <c r="AH56" s="133">
        <v>0</v>
      </c>
      <c r="AI56" s="133">
        <v>0</v>
      </c>
      <c r="AJ56" s="133">
        <v>0</v>
      </c>
      <c r="AK56" s="133">
        <v>0</v>
      </c>
      <c r="AL56" s="133">
        <v>0</v>
      </c>
      <c r="AM56" s="136" t="str">
        <f>IF(ISERROR(VLOOKUP(D56,'Woodmac profile - Oil'!$D$9:$AN$266,37,FALSE)),"",VLOOKUP(D56,'Woodmac profile - Oil'!$D$9:$AN$266,37,FALSE))</f>
        <v>SUBS</v>
      </c>
      <c r="AN56" s="136" t="str">
        <f>IF(ISERROR(VLOOKUP(D56,'Woodmac profile - Gas'!$D$9:$AN$249,37,FALSE)),"",VLOOKUP(D56,'Woodmac profile - Gas'!$D$9:$AN$249,37,FALSE))</f>
        <v>SUBS</v>
      </c>
      <c r="AO56" s="136" t="str">
        <f t="shared" ref="AO56:AO66" si="4">IF(AM56="",AN56,AM56)</f>
        <v>SUBS</v>
      </c>
      <c r="AP56" s="132"/>
      <c r="AQ56" s="129"/>
      <c r="AR56" s="129"/>
      <c r="AS56" s="354"/>
      <c r="AT56" s="131"/>
      <c r="AU56" s="131"/>
      <c r="AV56" s="354"/>
      <c r="AW56" s="132"/>
      <c r="AX56" s="354"/>
      <c r="AY56" s="132"/>
      <c r="AZ56" s="132"/>
      <c r="BA56" s="132"/>
      <c r="BB56" s="132"/>
    </row>
    <row r="57" spans="1:54">
      <c r="A57" s="132"/>
      <c r="B57" s="133" t="s">
        <v>3369</v>
      </c>
      <c r="C57" s="133" t="s">
        <v>2247</v>
      </c>
      <c r="D57" s="133" t="s">
        <v>3659</v>
      </c>
      <c r="E57" s="133" t="s">
        <v>1927</v>
      </c>
      <c r="F57" s="133" t="s">
        <v>1928</v>
      </c>
      <c r="G57" s="133" t="s">
        <v>1932</v>
      </c>
      <c r="H57" s="133" t="s">
        <v>116</v>
      </c>
      <c r="I57" s="133" t="s">
        <v>1931</v>
      </c>
      <c r="J57" s="133">
        <v>31</v>
      </c>
      <c r="K57" s="133">
        <v>12.21</v>
      </c>
      <c r="L57" s="133">
        <v>32.5</v>
      </c>
      <c r="M57" s="133">
        <v>11.89</v>
      </c>
      <c r="N57" s="133">
        <v>8.36</v>
      </c>
      <c r="O57" s="133">
        <v>24.24</v>
      </c>
      <c r="P57" s="133">
        <v>38.85</v>
      </c>
      <c r="Q57" s="133">
        <v>19.71</v>
      </c>
      <c r="R57" s="133">
        <v>27.71</v>
      </c>
      <c r="S57" s="133">
        <v>0</v>
      </c>
      <c r="T57" s="133">
        <v>0</v>
      </c>
      <c r="U57" s="133">
        <v>0</v>
      </c>
      <c r="V57" s="133">
        <v>0</v>
      </c>
      <c r="W57" s="133">
        <v>0</v>
      </c>
      <c r="X57" s="133">
        <v>0</v>
      </c>
      <c r="Y57" s="133">
        <v>0</v>
      </c>
      <c r="Z57" s="133">
        <v>0</v>
      </c>
      <c r="AA57" s="133">
        <v>0</v>
      </c>
      <c r="AB57" s="133">
        <v>0</v>
      </c>
      <c r="AC57" s="133">
        <v>0</v>
      </c>
      <c r="AD57" s="133">
        <v>0</v>
      </c>
      <c r="AE57" s="133">
        <v>0</v>
      </c>
      <c r="AF57" s="133">
        <v>0</v>
      </c>
      <c r="AG57" s="133">
        <v>0</v>
      </c>
      <c r="AH57" s="133">
        <v>0</v>
      </c>
      <c r="AI57" s="133">
        <v>0</v>
      </c>
      <c r="AJ57" s="133">
        <v>0</v>
      </c>
      <c r="AK57" s="133">
        <v>0</v>
      </c>
      <c r="AL57" s="133">
        <v>0</v>
      </c>
      <c r="AM57" s="136" t="str">
        <f>IF(ISERROR(VLOOKUP(D57,'Woodmac profile - Oil'!$D$9:$AN$266,37,FALSE)),"",VLOOKUP(D57,'Woodmac profile - Oil'!$D$9:$AN$266,37,FALSE))</f>
        <v>SUBS</v>
      </c>
      <c r="AN57" s="136" t="str">
        <f>IF(ISERROR(VLOOKUP(D57,'Woodmac profile - Gas'!$D$9:$AN$249,37,FALSE)),"",VLOOKUP(D57,'Woodmac profile - Gas'!$D$9:$AN$249,37,FALSE))</f>
        <v>SUBS</v>
      </c>
      <c r="AO57" s="136" t="str">
        <f t="shared" si="4"/>
        <v>SUBS</v>
      </c>
      <c r="AP57" s="132"/>
      <c r="AQ57" s="129"/>
      <c r="AR57" s="129"/>
      <c r="AS57" s="354"/>
      <c r="AT57" s="131"/>
      <c r="AU57" s="131"/>
      <c r="AV57" s="354"/>
      <c r="AW57" s="132"/>
      <c r="AX57" s="354"/>
      <c r="AY57" s="132"/>
      <c r="AZ57" s="132"/>
      <c r="BA57" s="132"/>
      <c r="BB57" s="132"/>
    </row>
    <row r="58" spans="1:54">
      <c r="A58" s="132"/>
      <c r="B58" s="133" t="s">
        <v>3369</v>
      </c>
      <c r="C58" s="133" t="s">
        <v>2247</v>
      </c>
      <c r="D58" s="133" t="s">
        <v>2250</v>
      </c>
      <c r="E58" s="133" t="s">
        <v>1927</v>
      </c>
      <c r="F58" s="133" t="s">
        <v>1928</v>
      </c>
      <c r="G58" s="133" t="s">
        <v>1929</v>
      </c>
      <c r="H58" s="133" t="s">
        <v>116</v>
      </c>
      <c r="I58" s="133" t="s">
        <v>1931</v>
      </c>
      <c r="J58" s="133">
        <v>50</v>
      </c>
      <c r="K58" s="133">
        <v>40.78</v>
      </c>
      <c r="L58" s="133">
        <v>24.51</v>
      </c>
      <c r="M58" s="133">
        <v>7.69</v>
      </c>
      <c r="N58" s="133">
        <v>63.31</v>
      </c>
      <c r="O58" s="133">
        <v>72.61</v>
      </c>
      <c r="P58" s="133">
        <v>83.88</v>
      </c>
      <c r="Q58" s="133">
        <v>148.91</v>
      </c>
      <c r="R58" s="133">
        <v>164.41</v>
      </c>
      <c r="S58" s="133">
        <v>0</v>
      </c>
      <c r="T58" s="133">
        <v>0</v>
      </c>
      <c r="U58" s="133">
        <v>0</v>
      </c>
      <c r="V58" s="133">
        <v>0</v>
      </c>
      <c r="W58" s="133">
        <v>0</v>
      </c>
      <c r="X58" s="133">
        <v>0</v>
      </c>
      <c r="Y58" s="133">
        <v>0</v>
      </c>
      <c r="Z58" s="133">
        <v>0</v>
      </c>
      <c r="AA58" s="133">
        <v>0</v>
      </c>
      <c r="AB58" s="133">
        <v>0</v>
      </c>
      <c r="AC58" s="133">
        <v>0</v>
      </c>
      <c r="AD58" s="133">
        <v>0</v>
      </c>
      <c r="AE58" s="133">
        <v>0</v>
      </c>
      <c r="AF58" s="133">
        <v>0</v>
      </c>
      <c r="AG58" s="133">
        <v>0</v>
      </c>
      <c r="AH58" s="133">
        <v>0</v>
      </c>
      <c r="AI58" s="133">
        <v>0</v>
      </c>
      <c r="AJ58" s="133">
        <v>0</v>
      </c>
      <c r="AK58" s="133">
        <v>0</v>
      </c>
      <c r="AL58" s="133">
        <v>0</v>
      </c>
      <c r="AM58" s="136" t="str">
        <f>IF(ISERROR(VLOOKUP(D58,'Woodmac profile - Oil'!$D$9:$AN$266,37,FALSE)),"",VLOOKUP(D58,'Woodmac profile - Oil'!$D$9:$AN$266,37,FALSE))</f>
        <v>SUBS</v>
      </c>
      <c r="AN58" s="136" t="str">
        <f>IF(ISERROR(VLOOKUP(D58,'Woodmac profile - Gas'!$D$9:$AN$249,37,FALSE)),"",VLOOKUP(D58,'Woodmac profile - Gas'!$D$9:$AN$249,37,FALSE))</f>
        <v>SUBS</v>
      </c>
      <c r="AO58" s="136" t="str">
        <f t="shared" si="4"/>
        <v>SUBS</v>
      </c>
      <c r="AP58" s="132"/>
      <c r="AQ58" s="129"/>
      <c r="AR58" s="129"/>
      <c r="AS58" s="354"/>
      <c r="AT58" s="131"/>
      <c r="AU58" s="131"/>
      <c r="AV58" s="354"/>
      <c r="AW58" s="132"/>
      <c r="AX58" s="354"/>
      <c r="AY58" s="132"/>
      <c r="AZ58" s="132"/>
      <c r="BA58" s="132"/>
      <c r="BB58" s="132"/>
    </row>
    <row r="59" spans="1:54">
      <c r="A59" s="132"/>
      <c r="B59" s="133" t="s">
        <v>3369</v>
      </c>
      <c r="C59" s="133" t="s">
        <v>2251</v>
      </c>
      <c r="D59" s="133" t="s">
        <v>2929</v>
      </c>
      <c r="E59" s="133" t="s">
        <v>1927</v>
      </c>
      <c r="F59" s="133" t="s">
        <v>1928</v>
      </c>
      <c r="G59" s="133" t="s">
        <v>3374</v>
      </c>
      <c r="H59" s="133" t="s">
        <v>116</v>
      </c>
      <c r="I59" s="133" t="s">
        <v>1931</v>
      </c>
      <c r="J59" s="133">
        <v>100</v>
      </c>
      <c r="K59" s="133">
        <v>6.8</v>
      </c>
      <c r="L59" s="133">
        <v>0</v>
      </c>
      <c r="M59" s="133">
        <v>52.54</v>
      </c>
      <c r="N59" s="133">
        <v>68.27</v>
      </c>
      <c r="O59" s="133">
        <v>113.44</v>
      </c>
      <c r="P59" s="133">
        <v>4.6500000000000004</v>
      </c>
      <c r="Q59" s="133">
        <v>9.33</v>
      </c>
      <c r="R59" s="133">
        <v>5.74</v>
      </c>
      <c r="S59" s="133">
        <v>0</v>
      </c>
      <c r="T59" s="133">
        <v>0</v>
      </c>
      <c r="U59" s="133">
        <v>0</v>
      </c>
      <c r="V59" s="133">
        <v>0</v>
      </c>
      <c r="W59" s="133">
        <v>0</v>
      </c>
      <c r="X59" s="133">
        <v>0</v>
      </c>
      <c r="Y59" s="133">
        <v>0</v>
      </c>
      <c r="Z59" s="133">
        <v>0</v>
      </c>
      <c r="AA59" s="133">
        <v>0</v>
      </c>
      <c r="AB59" s="133">
        <v>0</v>
      </c>
      <c r="AC59" s="133">
        <v>0</v>
      </c>
      <c r="AD59" s="133">
        <v>0</v>
      </c>
      <c r="AE59" s="133">
        <v>0</v>
      </c>
      <c r="AF59" s="133">
        <v>0</v>
      </c>
      <c r="AG59" s="133">
        <v>0</v>
      </c>
      <c r="AH59" s="133">
        <v>0</v>
      </c>
      <c r="AI59" s="133">
        <v>0</v>
      </c>
      <c r="AJ59" s="133">
        <v>0</v>
      </c>
      <c r="AK59" s="133">
        <v>0</v>
      </c>
      <c r="AL59" s="133">
        <v>0</v>
      </c>
      <c r="AM59" s="136" t="str">
        <f>IF(ISERROR(VLOOKUP(D59,'Woodmac profile - Oil'!$D$9:$AN$266,37,FALSE)),"",VLOOKUP(D59,'Woodmac profile - Oil'!$D$9:$AN$266,37,FALSE))</f>
        <v>SUBS</v>
      </c>
      <c r="AN59" s="136" t="str">
        <f>IF(ISERROR(VLOOKUP(D59,'Woodmac profile - Gas'!$D$9:$AN$249,37,FALSE)),"",VLOOKUP(D59,'Woodmac profile - Gas'!$D$9:$AN$249,37,FALSE))</f>
        <v>SUBS</v>
      </c>
      <c r="AO59" s="136" t="str">
        <f t="shared" si="4"/>
        <v>SUBS</v>
      </c>
      <c r="AP59" s="132"/>
      <c r="AQ59" s="129"/>
      <c r="AR59" s="129"/>
      <c r="AS59" s="354"/>
      <c r="AT59" s="131"/>
      <c r="AU59" s="131"/>
      <c r="AV59" s="354"/>
      <c r="AW59" s="132"/>
      <c r="AX59" s="354"/>
      <c r="AY59" s="132"/>
      <c r="AZ59" s="132"/>
      <c r="BA59" s="132"/>
      <c r="BB59" s="132"/>
    </row>
    <row r="60" spans="1:54">
      <c r="A60" s="132"/>
      <c r="B60" s="133" t="s">
        <v>3369</v>
      </c>
      <c r="C60" s="133" t="s">
        <v>2251</v>
      </c>
      <c r="D60" s="133" t="s">
        <v>3611</v>
      </c>
      <c r="E60" s="133" t="s">
        <v>1927</v>
      </c>
      <c r="F60" s="133" t="s">
        <v>2973</v>
      </c>
      <c r="G60" s="133" t="s">
        <v>1931</v>
      </c>
      <c r="H60" s="133" t="s">
        <v>116</v>
      </c>
      <c r="I60" s="133" t="s">
        <v>2571</v>
      </c>
      <c r="J60" s="133">
        <v>100</v>
      </c>
      <c r="K60" s="133">
        <v>0</v>
      </c>
      <c r="L60" s="133">
        <v>0</v>
      </c>
      <c r="M60" s="133">
        <v>0</v>
      </c>
      <c r="N60" s="133">
        <v>0</v>
      </c>
      <c r="O60" s="133">
        <v>0</v>
      </c>
      <c r="P60" s="133">
        <v>0</v>
      </c>
      <c r="Q60" s="133">
        <v>0</v>
      </c>
      <c r="R60" s="133">
        <v>0</v>
      </c>
      <c r="S60" s="133">
        <v>0</v>
      </c>
      <c r="T60" s="133">
        <v>0</v>
      </c>
      <c r="U60" s="133">
        <v>0</v>
      </c>
      <c r="V60" s="133">
        <v>0</v>
      </c>
      <c r="W60" s="133">
        <v>0</v>
      </c>
      <c r="X60" s="133">
        <v>116.68</v>
      </c>
      <c r="Y60" s="133">
        <v>775.2</v>
      </c>
      <c r="Z60" s="133">
        <v>428.4</v>
      </c>
      <c r="AA60" s="133">
        <v>91.8</v>
      </c>
      <c r="AB60" s="133">
        <v>734.4</v>
      </c>
      <c r="AC60" s="133">
        <v>530.4</v>
      </c>
      <c r="AD60" s="133">
        <v>10.199999999999999</v>
      </c>
      <c r="AE60" s="133">
        <v>20.399999999999999</v>
      </c>
      <c r="AF60" s="133">
        <v>10.199999999999999</v>
      </c>
      <c r="AG60" s="133">
        <v>20.399999999999999</v>
      </c>
      <c r="AH60" s="133">
        <v>10.199999999999999</v>
      </c>
      <c r="AI60" s="133">
        <v>0</v>
      </c>
      <c r="AJ60" s="133">
        <v>0</v>
      </c>
      <c r="AK60" s="133">
        <v>0</v>
      </c>
      <c r="AL60" s="133">
        <v>0</v>
      </c>
      <c r="AM60" s="136" t="str">
        <f>IF(ISERROR(VLOOKUP(D60,'Woodmac profile - Oil'!$D$9:$AN$266,37,FALSE)),"",VLOOKUP(D60,'Woodmac profile - Oil'!$D$9:$AN$266,37,FALSE))</f>
        <v>SUBS</v>
      </c>
      <c r="AN60" s="136" t="str">
        <f>IF(ISERROR(VLOOKUP(D60,'Woodmac profile - Gas'!$D$9:$AN$249,37,FALSE)),"",VLOOKUP(D60,'Woodmac profile - Gas'!$D$9:$AN$249,37,FALSE))</f>
        <v>SUBS</v>
      </c>
      <c r="AO60" s="136" t="str">
        <f t="shared" si="4"/>
        <v>SUBS</v>
      </c>
      <c r="AP60" s="132"/>
      <c r="AQ60" s="129"/>
      <c r="AR60" s="129"/>
      <c r="AS60" s="354"/>
      <c r="AT60" s="131"/>
      <c r="AU60" s="131"/>
      <c r="AV60" s="354"/>
      <c r="AW60" s="132"/>
      <c r="AX60" s="354"/>
      <c r="AY60" s="132"/>
      <c r="AZ60" s="132"/>
      <c r="BA60" s="132"/>
      <c r="BB60" s="132"/>
    </row>
    <row r="61" spans="1:54">
      <c r="A61" s="132"/>
      <c r="B61" s="133" t="s">
        <v>3369</v>
      </c>
      <c r="C61" s="133" t="s">
        <v>2251</v>
      </c>
      <c r="D61" s="133" t="s">
        <v>2252</v>
      </c>
      <c r="E61" s="133" t="s">
        <v>1927</v>
      </c>
      <c r="F61" s="133" t="s">
        <v>2960</v>
      </c>
      <c r="G61" s="133" t="s">
        <v>1929</v>
      </c>
      <c r="H61" s="133" t="s">
        <v>116</v>
      </c>
      <c r="I61" s="133" t="s">
        <v>2600</v>
      </c>
      <c r="J61" s="133">
        <v>50</v>
      </c>
      <c r="K61" s="133">
        <v>0</v>
      </c>
      <c r="L61" s="133">
        <v>64.92</v>
      </c>
      <c r="M61" s="133">
        <v>81.37</v>
      </c>
      <c r="N61" s="133">
        <v>43.45</v>
      </c>
      <c r="O61" s="133">
        <v>24.14</v>
      </c>
      <c r="P61" s="133">
        <v>34.869999999999997</v>
      </c>
      <c r="Q61" s="133">
        <v>8.75</v>
      </c>
      <c r="R61" s="133">
        <v>17.22</v>
      </c>
      <c r="S61" s="133">
        <v>44.49</v>
      </c>
      <c r="T61" s="133">
        <v>5.45</v>
      </c>
      <c r="U61" s="133">
        <v>19.21</v>
      </c>
      <c r="V61" s="133">
        <v>0</v>
      </c>
      <c r="W61" s="133">
        <v>18.89</v>
      </c>
      <c r="X61" s="133">
        <v>78.14</v>
      </c>
      <c r="Y61" s="133">
        <v>225.78</v>
      </c>
      <c r="Z61" s="133">
        <v>25.5</v>
      </c>
      <c r="AA61" s="133">
        <v>0</v>
      </c>
      <c r="AB61" s="133">
        <v>0</v>
      </c>
      <c r="AC61" s="133">
        <v>0</v>
      </c>
      <c r="AD61" s="133">
        <v>0</v>
      </c>
      <c r="AE61" s="133">
        <v>0</v>
      </c>
      <c r="AF61" s="133">
        <v>0</v>
      </c>
      <c r="AG61" s="133">
        <v>0</v>
      </c>
      <c r="AH61" s="133">
        <v>0</v>
      </c>
      <c r="AI61" s="133">
        <v>0</v>
      </c>
      <c r="AJ61" s="133">
        <v>0</v>
      </c>
      <c r="AK61" s="133">
        <v>0</v>
      </c>
      <c r="AL61" s="133">
        <v>0</v>
      </c>
      <c r="AM61" s="136" t="str">
        <f>IF(ISERROR(VLOOKUP(D61,'Woodmac profile - Oil'!$D$9:$AN$266,37,FALSE)),"",VLOOKUP(D61,'Woodmac profile - Oil'!$D$9:$AN$266,37,FALSE))</f>
        <v>SUBS</v>
      </c>
      <c r="AN61" s="136" t="str">
        <f>IF(ISERROR(VLOOKUP(D61,'Woodmac profile - Gas'!$D$9:$AN$249,37,FALSE)),"",VLOOKUP(D61,'Woodmac profile - Gas'!$D$9:$AN$249,37,FALSE))</f>
        <v>SUBS</v>
      </c>
      <c r="AO61" s="136" t="str">
        <f t="shared" si="4"/>
        <v>SUBS</v>
      </c>
      <c r="AP61" s="132"/>
      <c r="AQ61" s="129"/>
      <c r="AR61" s="129"/>
      <c r="AS61" s="354"/>
      <c r="AT61" s="131"/>
      <c r="AU61" s="131"/>
      <c r="AV61" s="354"/>
      <c r="AW61" s="132"/>
      <c r="AX61" s="354"/>
      <c r="AY61" s="132"/>
      <c r="AZ61" s="132"/>
      <c r="BA61" s="132"/>
      <c r="BB61" s="132"/>
    </row>
    <row r="62" spans="1:54">
      <c r="A62" s="132"/>
      <c r="B62" s="133" t="s">
        <v>3369</v>
      </c>
      <c r="C62" s="133" t="s">
        <v>2251</v>
      </c>
      <c r="D62" s="133" t="s">
        <v>2253</v>
      </c>
      <c r="E62" s="133" t="s">
        <v>2254</v>
      </c>
      <c r="F62" s="133" t="s">
        <v>2960</v>
      </c>
      <c r="G62" s="133" t="s">
        <v>3374</v>
      </c>
      <c r="H62" s="133" t="s">
        <v>1930</v>
      </c>
      <c r="I62" s="133" t="s">
        <v>2600</v>
      </c>
      <c r="J62" s="133">
        <v>100</v>
      </c>
      <c r="K62" s="133">
        <v>0</v>
      </c>
      <c r="L62" s="133">
        <v>1.32</v>
      </c>
      <c r="M62" s="133">
        <v>0</v>
      </c>
      <c r="N62" s="133">
        <v>1.24</v>
      </c>
      <c r="O62" s="133">
        <v>0</v>
      </c>
      <c r="P62" s="133">
        <v>0</v>
      </c>
      <c r="Q62" s="133">
        <v>0</v>
      </c>
      <c r="R62" s="133">
        <v>6.89</v>
      </c>
      <c r="S62" s="133">
        <v>0</v>
      </c>
      <c r="T62" s="133">
        <v>0</v>
      </c>
      <c r="U62" s="133">
        <v>0</v>
      </c>
      <c r="V62" s="133">
        <v>0</v>
      </c>
      <c r="W62" s="133">
        <v>0</v>
      </c>
      <c r="X62" s="133">
        <v>0</v>
      </c>
      <c r="Y62" s="133">
        <v>0</v>
      </c>
      <c r="Z62" s="133">
        <v>0</v>
      </c>
      <c r="AA62" s="133">
        <v>0</v>
      </c>
      <c r="AB62" s="133">
        <v>0</v>
      </c>
      <c r="AC62" s="133">
        <v>0</v>
      </c>
      <c r="AD62" s="133">
        <v>0</v>
      </c>
      <c r="AE62" s="133">
        <v>0</v>
      </c>
      <c r="AF62" s="133">
        <v>0</v>
      </c>
      <c r="AG62" s="133">
        <v>0</v>
      </c>
      <c r="AH62" s="133">
        <v>0</v>
      </c>
      <c r="AI62" s="133">
        <v>0</v>
      </c>
      <c r="AJ62" s="133">
        <v>0</v>
      </c>
      <c r="AK62" s="133">
        <v>0</v>
      </c>
      <c r="AL62" s="133">
        <v>0</v>
      </c>
      <c r="AM62" s="136" t="str">
        <f>IF(ISERROR(VLOOKUP(D62,'Woodmac profile - Oil'!$D$9:$AN$266,37,FALSE)),"",VLOOKUP(D62,'Woodmac profile - Oil'!$D$9:$AN$266,37,FALSE))</f>
        <v>SUBS</v>
      </c>
      <c r="AN62" s="136" t="str">
        <f>IF(ISERROR(VLOOKUP(D62,'Woodmac profile - Gas'!$D$9:$AN$249,37,FALSE)),"",VLOOKUP(D62,'Woodmac profile - Gas'!$D$9:$AN$249,37,FALSE))</f>
        <v/>
      </c>
      <c r="AO62" s="136" t="str">
        <f t="shared" si="4"/>
        <v>SUBS</v>
      </c>
      <c r="AP62" s="132"/>
      <c r="AQ62" s="129"/>
      <c r="AR62" s="129"/>
      <c r="AS62" s="354"/>
      <c r="AT62" s="131"/>
      <c r="AU62" s="131"/>
      <c r="AV62" s="354"/>
      <c r="AW62" s="132"/>
      <c r="AX62" s="354"/>
      <c r="AY62" s="132"/>
      <c r="AZ62" s="132"/>
      <c r="BA62" s="132"/>
      <c r="BB62" s="132"/>
    </row>
    <row r="63" spans="1:54">
      <c r="A63" s="132"/>
      <c r="B63" s="133" t="s">
        <v>3369</v>
      </c>
      <c r="C63" s="133" t="s">
        <v>2251</v>
      </c>
      <c r="D63" s="133" t="s">
        <v>2255</v>
      </c>
      <c r="E63" s="133" t="s">
        <v>2254</v>
      </c>
      <c r="F63" s="133" t="s">
        <v>2960</v>
      </c>
      <c r="G63" s="133" t="s">
        <v>3374</v>
      </c>
      <c r="H63" s="133" t="s">
        <v>116</v>
      </c>
      <c r="I63" s="133" t="s">
        <v>2571</v>
      </c>
      <c r="J63" s="133">
        <v>100</v>
      </c>
      <c r="K63" s="133">
        <v>0</v>
      </c>
      <c r="L63" s="133">
        <v>0</v>
      </c>
      <c r="M63" s="133">
        <v>3.84</v>
      </c>
      <c r="N63" s="133">
        <v>0</v>
      </c>
      <c r="O63" s="133">
        <v>0</v>
      </c>
      <c r="P63" s="133">
        <v>3.49</v>
      </c>
      <c r="Q63" s="133">
        <v>0</v>
      </c>
      <c r="R63" s="133">
        <v>0</v>
      </c>
      <c r="S63" s="133">
        <v>0</v>
      </c>
      <c r="T63" s="133">
        <v>0</v>
      </c>
      <c r="U63" s="133">
        <v>0</v>
      </c>
      <c r="V63" s="133">
        <v>0</v>
      </c>
      <c r="W63" s="133">
        <v>0</v>
      </c>
      <c r="X63" s="133">
        <v>0</v>
      </c>
      <c r="Y63" s="133">
        <v>0</v>
      </c>
      <c r="Z63" s="133">
        <v>0</v>
      </c>
      <c r="AA63" s="133">
        <v>0</v>
      </c>
      <c r="AB63" s="133">
        <v>0</v>
      </c>
      <c r="AC63" s="133">
        <v>0</v>
      </c>
      <c r="AD63" s="133">
        <v>0</v>
      </c>
      <c r="AE63" s="133">
        <v>0</v>
      </c>
      <c r="AF63" s="133">
        <v>0</v>
      </c>
      <c r="AG63" s="133">
        <v>0</v>
      </c>
      <c r="AH63" s="133">
        <v>0</v>
      </c>
      <c r="AI63" s="133">
        <v>0</v>
      </c>
      <c r="AJ63" s="133">
        <v>0</v>
      </c>
      <c r="AK63" s="133">
        <v>0</v>
      </c>
      <c r="AL63" s="133">
        <v>0</v>
      </c>
      <c r="AM63" s="136" t="str">
        <f>IF(ISERROR(VLOOKUP(D63,'Woodmac profile - Oil'!$D$9:$AN$266,37,FALSE)),"",VLOOKUP(D63,'Woodmac profile - Oil'!$D$9:$AN$266,37,FALSE))</f>
        <v>SUBS</v>
      </c>
      <c r="AN63" s="136" t="str">
        <f>IF(ISERROR(VLOOKUP(D63,'Woodmac profile - Gas'!$D$9:$AN$249,37,FALSE)),"",VLOOKUP(D63,'Woodmac profile - Gas'!$D$9:$AN$249,37,FALSE))</f>
        <v>SUBS</v>
      </c>
      <c r="AO63" s="136" t="str">
        <f t="shared" si="4"/>
        <v>SUBS</v>
      </c>
      <c r="AP63" s="132"/>
      <c r="AQ63" s="129"/>
      <c r="AR63" s="129"/>
      <c r="AS63" s="354"/>
      <c r="AT63" s="131"/>
      <c r="AU63" s="131"/>
      <c r="AV63" s="354"/>
      <c r="AW63" s="132"/>
      <c r="AX63" s="354"/>
      <c r="AY63" s="132"/>
      <c r="AZ63" s="132"/>
      <c r="BA63" s="132"/>
      <c r="BB63" s="132"/>
    </row>
    <row r="64" spans="1:54">
      <c r="A64" s="132"/>
      <c r="B64" s="133" t="s">
        <v>3369</v>
      </c>
      <c r="C64" s="133" t="s">
        <v>2251</v>
      </c>
      <c r="D64" s="133" t="s">
        <v>2256</v>
      </c>
      <c r="E64" s="133" t="s">
        <v>1927</v>
      </c>
      <c r="F64" s="133" t="s">
        <v>2960</v>
      </c>
      <c r="G64" s="133" t="s">
        <v>3374</v>
      </c>
      <c r="H64" s="133" t="s">
        <v>116</v>
      </c>
      <c r="I64" s="133" t="s">
        <v>2600</v>
      </c>
      <c r="J64" s="133">
        <v>100</v>
      </c>
      <c r="K64" s="133">
        <v>163.13</v>
      </c>
      <c r="L64" s="133">
        <v>192.1</v>
      </c>
      <c r="M64" s="133">
        <v>306.25</v>
      </c>
      <c r="N64" s="133">
        <v>358.72</v>
      </c>
      <c r="O64" s="133">
        <v>668.59</v>
      </c>
      <c r="P64" s="133">
        <v>257.41000000000003</v>
      </c>
      <c r="Q64" s="133">
        <v>223.88</v>
      </c>
      <c r="R64" s="133">
        <v>211.17</v>
      </c>
      <c r="S64" s="133">
        <v>140.12</v>
      </c>
      <c r="T64" s="133">
        <v>135.06</v>
      </c>
      <c r="U64" s="133">
        <v>140.58000000000001</v>
      </c>
      <c r="V64" s="133">
        <v>578.80999999999995</v>
      </c>
      <c r="W64" s="133">
        <v>143.47</v>
      </c>
      <c r="X64" s="133">
        <v>114.6</v>
      </c>
      <c r="Y64" s="133">
        <v>62.51</v>
      </c>
      <c r="Z64" s="133">
        <v>45.84</v>
      </c>
      <c r="AA64" s="133">
        <v>43.76</v>
      </c>
      <c r="AB64" s="133">
        <v>45.84</v>
      </c>
      <c r="AC64" s="133">
        <v>27.09</v>
      </c>
      <c r="AD64" s="133">
        <v>37.51</v>
      </c>
      <c r="AE64" s="133">
        <v>18.75</v>
      </c>
      <c r="AF64" s="133">
        <v>10.42</v>
      </c>
      <c r="AG64" s="133">
        <v>5.21</v>
      </c>
      <c r="AH64" s="133">
        <v>7.29</v>
      </c>
      <c r="AI64" s="133">
        <v>5.21</v>
      </c>
      <c r="AJ64" s="133">
        <v>10.42</v>
      </c>
      <c r="AK64" s="133">
        <v>2.08</v>
      </c>
      <c r="AL64" s="133">
        <v>10.42</v>
      </c>
      <c r="AM64" s="136" t="str">
        <f>IF(ISERROR(VLOOKUP(D64,'Woodmac profile - Oil'!$D$9:$AN$266,37,FALSE)),"",VLOOKUP(D64,'Woodmac profile - Oil'!$D$9:$AN$266,37,FALSE))</f>
        <v>SUBS</v>
      </c>
      <c r="AN64" s="136" t="str">
        <f>IF(ISERROR(VLOOKUP(D64,'Woodmac profile - Gas'!$D$9:$AN$249,37,FALSE)),"",VLOOKUP(D64,'Woodmac profile - Gas'!$D$9:$AN$249,37,FALSE))</f>
        <v>SUBS</v>
      </c>
      <c r="AO64" s="136" t="str">
        <f t="shared" si="4"/>
        <v>SUBS</v>
      </c>
      <c r="AP64" s="132"/>
      <c r="AQ64" s="129"/>
      <c r="AR64" s="129"/>
      <c r="AS64" s="354"/>
      <c r="AT64" s="131"/>
      <c r="AU64" s="131"/>
      <c r="AV64" s="354"/>
      <c r="AW64" s="132"/>
      <c r="AX64" s="354"/>
      <c r="AY64" s="132"/>
      <c r="AZ64" s="132"/>
      <c r="BA64" s="132"/>
      <c r="BB64" s="132"/>
    </row>
    <row r="65" spans="1:54">
      <c r="A65" s="132"/>
      <c r="B65" s="133" t="s">
        <v>3369</v>
      </c>
      <c r="C65" s="133" t="s">
        <v>2251</v>
      </c>
      <c r="D65" s="133" t="s">
        <v>2257</v>
      </c>
      <c r="E65" s="133" t="s">
        <v>1927</v>
      </c>
      <c r="F65" s="133" t="s">
        <v>2960</v>
      </c>
      <c r="G65" s="133" t="s">
        <v>1929</v>
      </c>
      <c r="H65" s="133" t="s">
        <v>2966</v>
      </c>
      <c r="I65" s="133" t="s">
        <v>2600</v>
      </c>
      <c r="J65" s="133">
        <v>50</v>
      </c>
      <c r="K65" s="133">
        <v>0</v>
      </c>
      <c r="L65" s="133">
        <v>33.119999999999997</v>
      </c>
      <c r="M65" s="133">
        <v>16.02</v>
      </c>
      <c r="N65" s="133">
        <v>12.41</v>
      </c>
      <c r="O65" s="133">
        <v>217.23</v>
      </c>
      <c r="P65" s="133">
        <v>23.24</v>
      </c>
      <c r="Q65" s="133">
        <v>0</v>
      </c>
      <c r="R65" s="133">
        <v>120.51</v>
      </c>
      <c r="S65" s="133">
        <v>258.01</v>
      </c>
      <c r="T65" s="133">
        <v>114.37</v>
      </c>
      <c r="U65" s="133">
        <v>64.62</v>
      </c>
      <c r="V65" s="133">
        <v>89.78</v>
      </c>
      <c r="W65" s="133">
        <v>216.27</v>
      </c>
      <c r="X65" s="133">
        <v>101.58</v>
      </c>
      <c r="Y65" s="133">
        <v>38.25</v>
      </c>
      <c r="Z65" s="133">
        <v>0</v>
      </c>
      <c r="AA65" s="133">
        <v>12.75</v>
      </c>
      <c r="AB65" s="133">
        <v>0</v>
      </c>
      <c r="AC65" s="133">
        <v>0</v>
      </c>
      <c r="AD65" s="133">
        <v>12.75</v>
      </c>
      <c r="AE65" s="133">
        <v>12.75</v>
      </c>
      <c r="AF65" s="133">
        <v>0</v>
      </c>
      <c r="AG65" s="133">
        <v>0</v>
      </c>
      <c r="AH65" s="133">
        <v>0</v>
      </c>
      <c r="AI65" s="133">
        <v>0</v>
      </c>
      <c r="AJ65" s="133">
        <v>0</v>
      </c>
      <c r="AK65" s="133">
        <v>0</v>
      </c>
      <c r="AL65" s="133">
        <v>0</v>
      </c>
      <c r="AM65" s="136" t="str">
        <f>IF(ISERROR(VLOOKUP(D65,'Woodmac profile - Oil'!$D$9:$AN$266,37,FALSE)),"",VLOOKUP(D65,'Woodmac profile - Oil'!$D$9:$AN$266,37,FALSE))</f>
        <v>SUBS</v>
      </c>
      <c r="AN65" s="136" t="str">
        <f>IF(ISERROR(VLOOKUP(D65,'Woodmac profile - Gas'!$D$9:$AN$249,37,FALSE)),"",VLOOKUP(D65,'Woodmac profile - Gas'!$D$9:$AN$249,37,FALSE))</f>
        <v>SUBS</v>
      </c>
      <c r="AO65" s="136" t="str">
        <f t="shared" si="4"/>
        <v>SUBS</v>
      </c>
      <c r="AP65" s="132"/>
      <c r="AQ65" s="129"/>
      <c r="AR65" s="129"/>
      <c r="AS65" s="354"/>
      <c r="AT65" s="131"/>
      <c r="AU65" s="131"/>
      <c r="AV65" s="354"/>
      <c r="AW65" s="132"/>
      <c r="AX65" s="354"/>
      <c r="AY65" s="132"/>
      <c r="AZ65" s="132"/>
      <c r="BA65" s="132"/>
      <c r="BB65" s="132"/>
    </row>
    <row r="66" spans="1:54">
      <c r="A66" s="132"/>
      <c r="B66" s="133" t="s">
        <v>3369</v>
      </c>
      <c r="C66" s="133" t="s">
        <v>2251</v>
      </c>
      <c r="D66" s="133" t="s">
        <v>3716</v>
      </c>
      <c r="E66" s="133" t="s">
        <v>1927</v>
      </c>
      <c r="F66" s="133" t="s">
        <v>1928</v>
      </c>
      <c r="G66" s="133" t="s">
        <v>1929</v>
      </c>
      <c r="H66" s="133" t="s">
        <v>116</v>
      </c>
      <c r="I66" s="133" t="s">
        <v>2600</v>
      </c>
      <c r="J66" s="133">
        <v>25</v>
      </c>
      <c r="K66" s="133">
        <v>1.02</v>
      </c>
      <c r="L66" s="133">
        <v>0.17</v>
      </c>
      <c r="M66" s="133">
        <v>0.16</v>
      </c>
      <c r="N66" s="133">
        <v>0.47</v>
      </c>
      <c r="O66" s="133">
        <v>0.91</v>
      </c>
      <c r="P66" s="133">
        <v>0.87</v>
      </c>
      <c r="Q66" s="133">
        <v>0.73</v>
      </c>
      <c r="R66" s="133">
        <v>0.14000000000000001</v>
      </c>
      <c r="S66" s="133">
        <v>2.09</v>
      </c>
      <c r="T66" s="133">
        <v>2.59</v>
      </c>
      <c r="U66" s="133">
        <v>0.14000000000000001</v>
      </c>
      <c r="V66" s="133">
        <v>0.93</v>
      </c>
      <c r="W66" s="133">
        <v>19.12</v>
      </c>
      <c r="X66" s="133">
        <v>58.47</v>
      </c>
      <c r="Y66" s="133">
        <v>36.590000000000003</v>
      </c>
      <c r="Z66" s="133">
        <v>9.82</v>
      </c>
      <c r="AA66" s="133">
        <v>0.13</v>
      </c>
      <c r="AB66" s="133">
        <v>6.25</v>
      </c>
      <c r="AC66" s="133">
        <v>0.13</v>
      </c>
      <c r="AD66" s="133">
        <v>3.06</v>
      </c>
      <c r="AE66" s="133">
        <v>0</v>
      </c>
      <c r="AF66" s="133">
        <v>0</v>
      </c>
      <c r="AG66" s="133">
        <v>0</v>
      </c>
      <c r="AH66" s="133">
        <v>0</v>
      </c>
      <c r="AI66" s="133">
        <v>0</v>
      </c>
      <c r="AJ66" s="133">
        <v>0</v>
      </c>
      <c r="AK66" s="133">
        <v>0</v>
      </c>
      <c r="AL66" s="133">
        <v>0</v>
      </c>
      <c r="AM66" s="136" t="str">
        <f>IF(ISERROR(VLOOKUP(D66,'Woodmac profile - Oil'!$D$9:$AN$266,37,FALSE)),"",VLOOKUP(D66,'Woodmac profile - Oil'!$D$9:$AN$266,37,FALSE))</f>
        <v>SUBS</v>
      </c>
      <c r="AN66" s="136" t="str">
        <f>IF(ISERROR(VLOOKUP(D66,'Woodmac profile - Gas'!$D$9:$AN$249,37,FALSE)),"",VLOOKUP(D66,'Woodmac profile - Gas'!$D$9:$AN$249,37,FALSE))</f>
        <v>SUBS</v>
      </c>
      <c r="AO66" s="136" t="str">
        <f t="shared" si="4"/>
        <v>SUBS</v>
      </c>
      <c r="AP66" s="132"/>
      <c r="AQ66" s="129"/>
      <c r="AR66" s="129"/>
      <c r="AS66" s="354"/>
      <c r="AT66" s="131"/>
      <c r="AU66" s="131"/>
      <c r="AV66" s="354"/>
      <c r="AW66" s="132"/>
      <c r="AX66" s="354"/>
      <c r="AY66" s="132"/>
      <c r="AZ66" s="132"/>
      <c r="BA66" s="132"/>
      <c r="BB66" s="132"/>
    </row>
    <row r="67" spans="1:54">
      <c r="A67" s="132"/>
      <c r="B67" s="133" t="s">
        <v>3369</v>
      </c>
      <c r="C67" s="133" t="s">
        <v>2251</v>
      </c>
      <c r="D67" s="133" t="s">
        <v>778</v>
      </c>
      <c r="E67" s="133" t="s">
        <v>3372</v>
      </c>
      <c r="F67" s="133" t="s">
        <v>2960</v>
      </c>
      <c r="G67" s="133" t="s">
        <v>1929</v>
      </c>
      <c r="H67" s="133" t="s">
        <v>116</v>
      </c>
      <c r="I67" s="133" t="s">
        <v>2600</v>
      </c>
      <c r="J67" s="133">
        <v>50</v>
      </c>
      <c r="K67" s="133">
        <v>0</v>
      </c>
      <c r="L67" s="133">
        <v>0</v>
      </c>
      <c r="M67" s="133">
        <v>0</v>
      </c>
      <c r="N67" s="133">
        <v>0</v>
      </c>
      <c r="O67" s="133">
        <v>0</v>
      </c>
      <c r="P67" s="133">
        <v>0</v>
      </c>
      <c r="Q67" s="133">
        <v>0</v>
      </c>
      <c r="R67" s="133">
        <v>0</v>
      </c>
      <c r="S67" s="133">
        <v>0</v>
      </c>
      <c r="T67" s="133">
        <v>0</v>
      </c>
      <c r="U67" s="133">
        <v>0</v>
      </c>
      <c r="V67" s="133">
        <v>0</v>
      </c>
      <c r="W67" s="133">
        <v>0</v>
      </c>
      <c r="X67" s="133">
        <v>0</v>
      </c>
      <c r="Y67" s="133">
        <v>0</v>
      </c>
      <c r="Z67" s="133">
        <v>0</v>
      </c>
      <c r="AA67" s="133">
        <v>49.73</v>
      </c>
      <c r="AB67" s="133">
        <v>307.27999999999997</v>
      </c>
      <c r="AC67" s="133">
        <v>389.13</v>
      </c>
      <c r="AD67" s="133">
        <v>107.1</v>
      </c>
      <c r="AE67" s="133">
        <v>0</v>
      </c>
      <c r="AF67" s="133">
        <v>0</v>
      </c>
      <c r="AG67" s="133">
        <v>0</v>
      </c>
      <c r="AH67" s="133">
        <v>0</v>
      </c>
      <c r="AI67" s="133">
        <v>0</v>
      </c>
      <c r="AJ67" s="133">
        <v>0</v>
      </c>
      <c r="AK67" s="133">
        <v>0</v>
      </c>
      <c r="AL67" s="133">
        <v>0</v>
      </c>
      <c r="AM67" s="136" t="str">
        <f>IF(ISERROR(VLOOKUP(D67,'Woodmac profile - Oil'!$D$9:$AN$266,37,FALSE)),"",VLOOKUP(D67,'Woodmac profile - Oil'!$D$9:$AN$266,37,FALSE))</f>
        <v>SUBS</v>
      </c>
      <c r="AN67" s="136" t="str">
        <f>IF(ISERROR(VLOOKUP(D67,'Woodmac profile - Gas'!$D$9:$AN$249,37,FALSE)),"",VLOOKUP(D67,'Woodmac profile - Gas'!$D$9:$AN$249,37,FALSE))</f>
        <v>SUBS</v>
      </c>
      <c r="AO67" s="136" t="str">
        <f t="shared" si="1"/>
        <v>SUBS</v>
      </c>
      <c r="AP67" s="132"/>
      <c r="AQ67" s="129"/>
      <c r="AR67" s="129"/>
      <c r="AS67" s="354"/>
      <c r="AT67" s="131"/>
      <c r="AU67" s="131"/>
      <c r="AV67" s="354"/>
      <c r="AW67" s="132"/>
      <c r="AX67" s="354"/>
      <c r="AY67" s="132"/>
      <c r="AZ67" s="132"/>
      <c r="BA67" s="132"/>
      <c r="BB67" s="132"/>
    </row>
    <row r="68" spans="1:54">
      <c r="A68" s="132"/>
      <c r="B68" s="133" t="s">
        <v>3369</v>
      </c>
      <c r="C68" s="133" t="s">
        <v>2251</v>
      </c>
      <c r="D68" s="133" t="s">
        <v>328</v>
      </c>
      <c r="E68" s="133" t="s">
        <v>1927</v>
      </c>
      <c r="F68" s="133" t="s">
        <v>2960</v>
      </c>
      <c r="G68" s="133" t="s">
        <v>3374</v>
      </c>
      <c r="H68" s="133" t="s">
        <v>1930</v>
      </c>
      <c r="I68" s="133" t="s">
        <v>2600</v>
      </c>
      <c r="J68" s="133">
        <v>100</v>
      </c>
      <c r="K68" s="133">
        <v>2.04</v>
      </c>
      <c r="L68" s="133">
        <v>0</v>
      </c>
      <c r="M68" s="133">
        <v>0</v>
      </c>
      <c r="N68" s="133">
        <v>1.24</v>
      </c>
      <c r="O68" s="133">
        <v>0</v>
      </c>
      <c r="P68" s="133">
        <v>0</v>
      </c>
      <c r="Q68" s="133">
        <v>0</v>
      </c>
      <c r="R68" s="133">
        <v>0</v>
      </c>
      <c r="S68" s="133">
        <v>0</v>
      </c>
      <c r="T68" s="133">
        <v>0</v>
      </c>
      <c r="U68" s="133">
        <v>0</v>
      </c>
      <c r="V68" s="133">
        <v>0</v>
      </c>
      <c r="W68" s="133">
        <v>0</v>
      </c>
      <c r="X68" s="133">
        <v>0</v>
      </c>
      <c r="Y68" s="133">
        <v>0</v>
      </c>
      <c r="Z68" s="133">
        <v>0</v>
      </c>
      <c r="AA68" s="133">
        <v>0</v>
      </c>
      <c r="AB68" s="133">
        <v>0</v>
      </c>
      <c r="AC68" s="133">
        <v>0</v>
      </c>
      <c r="AD68" s="133">
        <v>0</v>
      </c>
      <c r="AE68" s="133">
        <v>0</v>
      </c>
      <c r="AF68" s="133">
        <v>0</v>
      </c>
      <c r="AG68" s="133">
        <v>0</v>
      </c>
      <c r="AH68" s="133">
        <v>0</v>
      </c>
      <c r="AI68" s="133">
        <v>0</v>
      </c>
      <c r="AJ68" s="133">
        <v>0</v>
      </c>
      <c r="AK68" s="133">
        <v>0</v>
      </c>
      <c r="AL68" s="133">
        <v>0</v>
      </c>
      <c r="AM68" s="136" t="str">
        <f>IF(ISERROR(VLOOKUP(D68,'Woodmac profile - Oil'!$D$9:$AN$266,37,FALSE)),"",VLOOKUP(D68,'Woodmac profile - Oil'!$D$9:$AN$266,37,FALSE))</f>
        <v>SUBS</v>
      </c>
      <c r="AN68" s="136" t="str">
        <f>IF(ISERROR(VLOOKUP(D68,'Woodmac profile - Gas'!$D$9:$AN$249,37,FALSE)),"",VLOOKUP(D68,'Woodmac profile - Gas'!$D$9:$AN$249,37,FALSE))</f>
        <v/>
      </c>
      <c r="AO68" s="136" t="str">
        <f t="shared" si="1"/>
        <v>SUBS</v>
      </c>
      <c r="AP68" s="132"/>
      <c r="AQ68" s="129"/>
      <c r="AR68" s="129"/>
      <c r="AS68" s="354"/>
      <c r="AT68" s="131"/>
      <c r="AU68" s="131"/>
      <c r="AV68" s="354"/>
      <c r="AW68" s="132"/>
      <c r="AX68" s="354"/>
      <c r="AY68" s="132"/>
      <c r="AZ68" s="132"/>
      <c r="BA68" s="132"/>
      <c r="BB68" s="132"/>
    </row>
    <row r="69" spans="1:54">
      <c r="A69" s="132"/>
      <c r="B69" s="133" t="s">
        <v>3369</v>
      </c>
      <c r="C69" s="133" t="s">
        <v>2251</v>
      </c>
      <c r="D69" s="133" t="s">
        <v>329</v>
      </c>
      <c r="E69" s="133" t="s">
        <v>1927</v>
      </c>
      <c r="F69" s="133" t="s">
        <v>2960</v>
      </c>
      <c r="G69" s="133" t="s">
        <v>3374</v>
      </c>
      <c r="H69" s="133" t="s">
        <v>1930</v>
      </c>
      <c r="I69" s="133" t="s">
        <v>2571</v>
      </c>
      <c r="J69" s="133">
        <v>50</v>
      </c>
      <c r="K69" s="133">
        <v>0</v>
      </c>
      <c r="L69" s="133">
        <v>0</v>
      </c>
      <c r="M69" s="133">
        <v>0</v>
      </c>
      <c r="N69" s="133">
        <v>0</v>
      </c>
      <c r="O69" s="133">
        <v>0</v>
      </c>
      <c r="P69" s="133">
        <v>0</v>
      </c>
      <c r="Q69" s="133">
        <v>7</v>
      </c>
      <c r="R69" s="133">
        <v>9.76</v>
      </c>
      <c r="S69" s="133">
        <v>0</v>
      </c>
      <c r="T69" s="133">
        <v>10.89</v>
      </c>
      <c r="U69" s="133">
        <v>2.69</v>
      </c>
      <c r="V69" s="133">
        <v>0</v>
      </c>
      <c r="W69" s="133">
        <v>15.83</v>
      </c>
      <c r="X69" s="133">
        <v>0</v>
      </c>
      <c r="Y69" s="133">
        <v>0</v>
      </c>
      <c r="Z69" s="133">
        <v>0</v>
      </c>
      <c r="AA69" s="133">
        <v>0</v>
      </c>
      <c r="AB69" s="133">
        <v>0</v>
      </c>
      <c r="AC69" s="133">
        <v>0</v>
      </c>
      <c r="AD69" s="133">
        <v>0</v>
      </c>
      <c r="AE69" s="133">
        <v>0</v>
      </c>
      <c r="AF69" s="133">
        <v>0</v>
      </c>
      <c r="AG69" s="133">
        <v>0</v>
      </c>
      <c r="AH69" s="133">
        <v>0</v>
      </c>
      <c r="AI69" s="133">
        <v>0</v>
      </c>
      <c r="AJ69" s="133">
        <v>0</v>
      </c>
      <c r="AK69" s="133">
        <v>0</v>
      </c>
      <c r="AL69" s="133">
        <v>0</v>
      </c>
      <c r="AM69" s="136" t="str">
        <f>IF(ISERROR(VLOOKUP(D69,'Woodmac profile - Oil'!$D$9:$AN$266,37,FALSE)),"",VLOOKUP(D69,'Woodmac profile - Oil'!$D$9:$AN$266,37,FALSE))</f>
        <v>SUBS</v>
      </c>
      <c r="AN69" s="136" t="str">
        <f>IF(ISERROR(VLOOKUP(D69,'Woodmac profile - Gas'!$D$9:$AN$249,37,FALSE)),"",VLOOKUP(D69,'Woodmac profile - Gas'!$D$9:$AN$249,37,FALSE))</f>
        <v/>
      </c>
      <c r="AO69" s="136" t="str">
        <f t="shared" si="1"/>
        <v>SUBS</v>
      </c>
      <c r="AP69" s="132"/>
      <c r="AQ69" s="129"/>
      <c r="AR69" s="129"/>
      <c r="AS69" s="354"/>
      <c r="AT69" s="131"/>
      <c r="AU69" s="131"/>
      <c r="AV69" s="354"/>
      <c r="AW69" s="132"/>
      <c r="AX69" s="354"/>
      <c r="AY69" s="132"/>
      <c r="AZ69" s="132"/>
      <c r="BA69" s="132"/>
      <c r="BB69" s="132"/>
    </row>
    <row r="70" spans="1:54">
      <c r="A70" s="132"/>
      <c r="B70" s="133" t="s">
        <v>3369</v>
      </c>
      <c r="C70" s="133" t="s">
        <v>2251</v>
      </c>
      <c r="D70" s="133" t="s">
        <v>330</v>
      </c>
      <c r="E70" s="133" t="s">
        <v>1927</v>
      </c>
      <c r="F70" s="133" t="s">
        <v>2960</v>
      </c>
      <c r="G70" s="133" t="s">
        <v>3374</v>
      </c>
      <c r="H70" s="133" t="s">
        <v>1930</v>
      </c>
      <c r="I70" s="133" t="s">
        <v>2600</v>
      </c>
      <c r="J70" s="133">
        <v>100</v>
      </c>
      <c r="K70" s="133">
        <v>0</v>
      </c>
      <c r="L70" s="133">
        <v>0</v>
      </c>
      <c r="M70" s="133">
        <v>3.84</v>
      </c>
      <c r="N70" s="133">
        <v>0</v>
      </c>
      <c r="O70" s="133">
        <v>0</v>
      </c>
      <c r="P70" s="133">
        <v>3.95</v>
      </c>
      <c r="Q70" s="133">
        <v>0</v>
      </c>
      <c r="R70" s="133">
        <v>0</v>
      </c>
      <c r="S70" s="133">
        <v>5.78</v>
      </c>
      <c r="T70" s="133">
        <v>0</v>
      </c>
      <c r="U70" s="133">
        <v>0</v>
      </c>
      <c r="V70" s="133">
        <v>0</v>
      </c>
      <c r="W70" s="133">
        <v>0</v>
      </c>
      <c r="X70" s="133">
        <v>0</v>
      </c>
      <c r="Y70" s="133">
        <v>0</v>
      </c>
      <c r="Z70" s="133">
        <v>0</v>
      </c>
      <c r="AA70" s="133">
        <v>0</v>
      </c>
      <c r="AB70" s="133">
        <v>0</v>
      </c>
      <c r="AC70" s="133">
        <v>0</v>
      </c>
      <c r="AD70" s="133">
        <v>0</v>
      </c>
      <c r="AE70" s="133">
        <v>0</v>
      </c>
      <c r="AF70" s="133">
        <v>0</v>
      </c>
      <c r="AG70" s="133">
        <v>0</v>
      </c>
      <c r="AH70" s="133">
        <v>0</v>
      </c>
      <c r="AI70" s="133">
        <v>0</v>
      </c>
      <c r="AJ70" s="133">
        <v>0</v>
      </c>
      <c r="AK70" s="133">
        <v>0</v>
      </c>
      <c r="AL70" s="133">
        <v>0</v>
      </c>
      <c r="AM70" s="136" t="str">
        <f>IF(ISERROR(VLOOKUP(D70,'Woodmac profile - Oil'!$D$9:$AN$266,37,FALSE)),"",VLOOKUP(D70,'Woodmac profile - Oil'!$D$9:$AN$266,37,FALSE))</f>
        <v>SUBS</v>
      </c>
      <c r="AN70" s="136" t="str">
        <f>IF(ISERROR(VLOOKUP(D70,'Woodmac profile - Gas'!$D$9:$AN$249,37,FALSE)),"",VLOOKUP(D70,'Woodmac profile - Gas'!$D$9:$AN$249,37,FALSE))</f>
        <v/>
      </c>
      <c r="AO70" s="136" t="str">
        <f t="shared" si="1"/>
        <v>SUBS</v>
      </c>
      <c r="AP70" s="132"/>
      <c r="AQ70" s="129"/>
      <c r="AR70" s="129"/>
      <c r="AS70" s="354"/>
      <c r="AT70" s="131"/>
      <c r="AU70" s="131"/>
      <c r="AV70" s="354"/>
      <c r="AW70" s="132"/>
      <c r="AX70" s="354"/>
      <c r="AY70" s="132"/>
      <c r="AZ70" s="132"/>
      <c r="BA70" s="132"/>
      <c r="BB70" s="132"/>
    </row>
    <row r="71" spans="1:54">
      <c r="A71" s="132"/>
      <c r="B71" s="133" t="s">
        <v>3369</v>
      </c>
      <c r="C71" s="133" t="s">
        <v>2251</v>
      </c>
      <c r="D71" s="133" t="s">
        <v>132</v>
      </c>
      <c r="E71" s="133" t="s">
        <v>1927</v>
      </c>
      <c r="F71" s="133" t="s">
        <v>2960</v>
      </c>
      <c r="G71" s="133" t="s">
        <v>3374</v>
      </c>
      <c r="H71" s="133" t="s">
        <v>1930</v>
      </c>
      <c r="I71" s="133" t="s">
        <v>2600</v>
      </c>
      <c r="J71" s="133">
        <v>75</v>
      </c>
      <c r="K71" s="133">
        <v>0</v>
      </c>
      <c r="L71" s="133">
        <v>0</v>
      </c>
      <c r="M71" s="133">
        <v>6.73</v>
      </c>
      <c r="N71" s="133">
        <v>0</v>
      </c>
      <c r="O71" s="133">
        <v>0</v>
      </c>
      <c r="P71" s="133">
        <v>0</v>
      </c>
      <c r="Q71" s="133">
        <v>1.75</v>
      </c>
      <c r="R71" s="133">
        <v>6.89</v>
      </c>
      <c r="S71" s="133">
        <v>4.17</v>
      </c>
      <c r="T71" s="133">
        <v>147.05000000000001</v>
      </c>
      <c r="U71" s="133">
        <v>49.1</v>
      </c>
      <c r="V71" s="133">
        <v>57.04</v>
      </c>
      <c r="W71" s="133">
        <v>19.39</v>
      </c>
      <c r="X71" s="133">
        <v>1.56</v>
      </c>
      <c r="Y71" s="133">
        <v>1.53</v>
      </c>
      <c r="Z71" s="133">
        <v>1.5</v>
      </c>
      <c r="AA71" s="133">
        <v>1.5</v>
      </c>
      <c r="AB71" s="133">
        <v>5.25</v>
      </c>
      <c r="AC71" s="133">
        <v>1.5</v>
      </c>
      <c r="AD71" s="133">
        <v>0</v>
      </c>
      <c r="AE71" s="133">
        <v>0</v>
      </c>
      <c r="AF71" s="133">
        <v>0</v>
      </c>
      <c r="AG71" s="133">
        <v>0</v>
      </c>
      <c r="AH71" s="133">
        <v>0</v>
      </c>
      <c r="AI71" s="133">
        <v>0</v>
      </c>
      <c r="AJ71" s="133">
        <v>0</v>
      </c>
      <c r="AK71" s="133">
        <v>0</v>
      </c>
      <c r="AL71" s="133">
        <v>0</v>
      </c>
      <c r="AM71" s="136" t="str">
        <f>IF(ISERROR(VLOOKUP(D71,'Woodmac profile - Oil'!$D$9:$AN$266,37,FALSE)),"",VLOOKUP(D71,'Woodmac profile - Oil'!$D$9:$AN$266,37,FALSE))</f>
        <v>SUBS</v>
      </c>
      <c r="AN71" s="136" t="str">
        <f>IF(ISERROR(VLOOKUP(D71,'Woodmac profile - Gas'!$D$9:$AN$249,37,FALSE)),"",VLOOKUP(D71,'Woodmac profile - Gas'!$D$9:$AN$249,37,FALSE))</f>
        <v/>
      </c>
      <c r="AO71" s="136" t="str">
        <f t="shared" si="1"/>
        <v>SUBS</v>
      </c>
      <c r="AP71" s="132"/>
      <c r="AQ71" s="129"/>
      <c r="AR71" s="129"/>
      <c r="AS71" s="354"/>
      <c r="AT71" s="131"/>
      <c r="AU71" s="131"/>
      <c r="AV71" s="354"/>
      <c r="AW71" s="132"/>
      <c r="AX71" s="354"/>
      <c r="AY71" s="132"/>
      <c r="AZ71" s="132"/>
      <c r="BA71" s="132"/>
      <c r="BB71" s="132"/>
    </row>
    <row r="72" spans="1:54">
      <c r="A72" s="132"/>
      <c r="B72" s="133" t="s">
        <v>3369</v>
      </c>
      <c r="C72" s="133" t="s">
        <v>2251</v>
      </c>
      <c r="D72" s="133" t="s">
        <v>133</v>
      </c>
      <c r="E72" s="133" t="s">
        <v>1927</v>
      </c>
      <c r="F72" s="133" t="s">
        <v>2960</v>
      </c>
      <c r="G72" s="133" t="s">
        <v>3374</v>
      </c>
      <c r="H72" s="133" t="s">
        <v>1930</v>
      </c>
      <c r="I72" s="133" t="s">
        <v>2600</v>
      </c>
      <c r="J72" s="133">
        <v>100</v>
      </c>
      <c r="K72" s="133">
        <v>0</v>
      </c>
      <c r="L72" s="133">
        <v>5.3</v>
      </c>
      <c r="M72" s="133">
        <v>0</v>
      </c>
      <c r="N72" s="133">
        <v>0</v>
      </c>
      <c r="O72" s="133">
        <v>0</v>
      </c>
      <c r="P72" s="133">
        <v>3.49</v>
      </c>
      <c r="Q72" s="133">
        <v>7</v>
      </c>
      <c r="R72" s="133">
        <v>0</v>
      </c>
      <c r="S72" s="133">
        <v>0</v>
      </c>
      <c r="T72" s="133">
        <v>0</v>
      </c>
      <c r="U72" s="133">
        <v>0</v>
      </c>
      <c r="V72" s="133">
        <v>0</v>
      </c>
      <c r="W72" s="133">
        <v>6.33</v>
      </c>
      <c r="X72" s="133">
        <v>0</v>
      </c>
      <c r="Y72" s="133">
        <v>0</v>
      </c>
      <c r="Z72" s="133">
        <v>0</v>
      </c>
      <c r="AA72" s="133">
        <v>0</v>
      </c>
      <c r="AB72" s="133">
        <v>0</v>
      </c>
      <c r="AC72" s="133">
        <v>0</v>
      </c>
      <c r="AD72" s="133">
        <v>0</v>
      </c>
      <c r="AE72" s="133">
        <v>0</v>
      </c>
      <c r="AF72" s="133">
        <v>0</v>
      </c>
      <c r="AG72" s="133">
        <v>0</v>
      </c>
      <c r="AH72" s="133">
        <v>0</v>
      </c>
      <c r="AI72" s="133">
        <v>0</v>
      </c>
      <c r="AJ72" s="133">
        <v>0</v>
      </c>
      <c r="AK72" s="133">
        <v>0</v>
      </c>
      <c r="AL72" s="133">
        <v>0</v>
      </c>
      <c r="AM72" s="136" t="str">
        <f>IF(ISERROR(VLOOKUP(D72,'Woodmac profile - Oil'!$D$9:$AN$266,37,FALSE)),"",VLOOKUP(D72,'Woodmac profile - Oil'!$D$9:$AN$266,37,FALSE))</f>
        <v>SUBS</v>
      </c>
      <c r="AN72" s="136" t="str">
        <f>IF(ISERROR(VLOOKUP(D72,'Woodmac profile - Gas'!$D$9:$AN$249,37,FALSE)),"",VLOOKUP(D72,'Woodmac profile - Gas'!$D$9:$AN$249,37,FALSE))</f>
        <v/>
      </c>
      <c r="AO72" s="136" t="str">
        <f t="shared" si="1"/>
        <v>SUBS</v>
      </c>
      <c r="AP72" s="132"/>
      <c r="AQ72" s="129"/>
      <c r="AR72" s="129"/>
      <c r="AS72" s="354"/>
      <c r="AT72" s="131"/>
      <c r="AU72" s="131"/>
      <c r="AV72" s="354"/>
      <c r="AW72" s="132"/>
      <c r="AX72" s="354"/>
      <c r="AY72" s="132"/>
      <c r="AZ72" s="132"/>
      <c r="BA72" s="132"/>
      <c r="BB72" s="132"/>
    </row>
    <row r="73" spans="1:54">
      <c r="A73" s="132"/>
      <c r="B73" s="133" t="s">
        <v>3369</v>
      </c>
      <c r="C73" s="133" t="s">
        <v>2251</v>
      </c>
      <c r="D73" s="133" t="s">
        <v>134</v>
      </c>
      <c r="E73" s="133" t="s">
        <v>1927</v>
      </c>
      <c r="F73" s="133" t="s">
        <v>2960</v>
      </c>
      <c r="G73" s="133" t="s">
        <v>1931</v>
      </c>
      <c r="H73" s="133" t="s">
        <v>2966</v>
      </c>
      <c r="I73" s="133" t="s">
        <v>2600</v>
      </c>
      <c r="J73" s="133">
        <v>50</v>
      </c>
      <c r="K73" s="133">
        <v>3.4</v>
      </c>
      <c r="L73" s="133">
        <v>99.36</v>
      </c>
      <c r="M73" s="133">
        <v>98.67</v>
      </c>
      <c r="N73" s="133">
        <v>262.52</v>
      </c>
      <c r="O73" s="133">
        <v>202.75</v>
      </c>
      <c r="P73" s="133">
        <v>168.8</v>
      </c>
      <c r="Q73" s="133">
        <v>160.33000000000001</v>
      </c>
      <c r="R73" s="133">
        <v>182.04</v>
      </c>
      <c r="S73" s="133">
        <v>123.38</v>
      </c>
      <c r="T73" s="133">
        <v>94.76</v>
      </c>
      <c r="U73" s="133">
        <v>234.82</v>
      </c>
      <c r="V73" s="133">
        <v>153.68</v>
      </c>
      <c r="W73" s="133">
        <v>13.19</v>
      </c>
      <c r="X73" s="133">
        <v>2.61</v>
      </c>
      <c r="Y73" s="133">
        <v>21.93</v>
      </c>
      <c r="Z73" s="133">
        <v>21.93</v>
      </c>
      <c r="AA73" s="133">
        <v>21.93</v>
      </c>
      <c r="AB73" s="133">
        <v>21.93</v>
      </c>
      <c r="AC73" s="133">
        <v>1.02</v>
      </c>
      <c r="AD73" s="133">
        <v>1.02</v>
      </c>
      <c r="AE73" s="133">
        <v>1.02</v>
      </c>
      <c r="AF73" s="133">
        <v>1.02</v>
      </c>
      <c r="AG73" s="133">
        <v>0</v>
      </c>
      <c r="AH73" s="133">
        <v>0</v>
      </c>
      <c r="AI73" s="133">
        <v>0</v>
      </c>
      <c r="AJ73" s="133">
        <v>0</v>
      </c>
      <c r="AK73" s="133">
        <v>0</v>
      </c>
      <c r="AL73" s="133">
        <v>0</v>
      </c>
      <c r="AM73" s="136" t="str">
        <f>IF(ISERROR(VLOOKUP(D73,'Woodmac profile - Oil'!$D$9:$AN$266,37,FALSE)),"",VLOOKUP(D73,'Woodmac profile - Oil'!$D$9:$AN$266,37,FALSE))</f>
        <v>SUBS</v>
      </c>
      <c r="AN73" s="136" t="str">
        <f>IF(ISERROR(VLOOKUP(D73,'Woodmac profile - Gas'!$D$9:$AN$249,37,FALSE)),"",VLOOKUP(D73,'Woodmac profile - Gas'!$D$9:$AN$249,37,FALSE))</f>
        <v>SUBS</v>
      </c>
      <c r="AO73" s="136" t="str">
        <f t="shared" si="1"/>
        <v>SUBS</v>
      </c>
      <c r="AP73" s="132"/>
      <c r="AQ73" s="129"/>
      <c r="AR73" s="129"/>
      <c r="AS73" s="354"/>
      <c r="AT73" s="131"/>
      <c r="AU73" s="131"/>
      <c r="AV73" s="354"/>
      <c r="AW73" s="132"/>
      <c r="AX73" s="354"/>
      <c r="AY73" s="132"/>
      <c r="AZ73" s="132"/>
      <c r="BA73" s="132"/>
      <c r="BB73" s="132"/>
    </row>
    <row r="74" spans="1:54">
      <c r="A74" s="132"/>
      <c r="B74" s="133" t="s">
        <v>3369</v>
      </c>
      <c r="C74" s="133" t="s">
        <v>2251</v>
      </c>
      <c r="D74" s="133" t="s">
        <v>2609</v>
      </c>
      <c r="E74" s="133" t="s">
        <v>3372</v>
      </c>
      <c r="F74" s="133" t="s">
        <v>2960</v>
      </c>
      <c r="G74" s="133" t="s">
        <v>1930</v>
      </c>
      <c r="H74" s="133" t="s">
        <v>116</v>
      </c>
      <c r="I74" s="133" t="s">
        <v>2600</v>
      </c>
      <c r="J74" s="133">
        <v>50</v>
      </c>
      <c r="K74" s="133">
        <v>0</v>
      </c>
      <c r="L74" s="133">
        <v>0</v>
      </c>
      <c r="M74" s="133">
        <v>0</v>
      </c>
      <c r="N74" s="133">
        <v>0</v>
      </c>
      <c r="O74" s="133">
        <v>0</v>
      </c>
      <c r="P74" s="133">
        <v>0</v>
      </c>
      <c r="Q74" s="133">
        <v>0</v>
      </c>
      <c r="R74" s="133">
        <v>0</v>
      </c>
      <c r="S74" s="133">
        <v>0</v>
      </c>
      <c r="T74" s="133">
        <v>0</v>
      </c>
      <c r="U74" s="133">
        <v>0</v>
      </c>
      <c r="V74" s="133">
        <v>0</v>
      </c>
      <c r="W74" s="133">
        <v>0</v>
      </c>
      <c r="X74" s="133">
        <v>0</v>
      </c>
      <c r="Y74" s="133">
        <v>0</v>
      </c>
      <c r="Z74" s="133">
        <v>0</v>
      </c>
      <c r="AA74" s="133">
        <v>0</v>
      </c>
      <c r="AB74" s="133">
        <v>0</v>
      </c>
      <c r="AC74" s="133">
        <v>130.22999999999999</v>
      </c>
      <c r="AD74" s="133">
        <v>143.25</v>
      </c>
      <c r="AE74" s="133">
        <v>104.19</v>
      </c>
      <c r="AF74" s="133">
        <v>1.04</v>
      </c>
      <c r="AG74" s="133">
        <v>1.04</v>
      </c>
      <c r="AH74" s="133">
        <v>1.04</v>
      </c>
      <c r="AI74" s="133">
        <v>1.04</v>
      </c>
      <c r="AJ74" s="133">
        <v>1.04</v>
      </c>
      <c r="AK74" s="133">
        <v>1.04</v>
      </c>
      <c r="AL74" s="133">
        <v>0</v>
      </c>
      <c r="AM74" s="136" t="str">
        <f>IF(ISERROR(VLOOKUP(D74,'Woodmac profile - Oil'!$D$9:$AN$266,37,FALSE)),"",VLOOKUP(D74,'Woodmac profile - Oil'!$D$9:$AN$266,37,FALSE))</f>
        <v/>
      </c>
      <c r="AN74" s="136" t="str">
        <f>IF(ISERROR(VLOOKUP(D74,'Woodmac profile - Gas'!$D$9:$AN$249,37,FALSE)),"",VLOOKUP(D74,'Woodmac profile - Gas'!$D$9:$AN$249,37,FALSE))</f>
        <v>SUBS</v>
      </c>
      <c r="AO74" s="136" t="str">
        <f t="shared" si="1"/>
        <v>SUBS</v>
      </c>
      <c r="AP74" s="132"/>
      <c r="AQ74" s="129"/>
      <c r="AR74" s="129"/>
      <c r="AS74" s="354"/>
      <c r="AT74" s="131"/>
      <c r="AU74" s="131"/>
      <c r="AV74" s="354"/>
      <c r="AW74" s="132"/>
      <c r="AX74" s="354"/>
      <c r="AY74" s="132"/>
      <c r="AZ74" s="132"/>
      <c r="BA74" s="132"/>
      <c r="BB74" s="132"/>
    </row>
    <row r="75" spans="1:54">
      <c r="A75" s="132"/>
      <c r="B75" s="133" t="s">
        <v>3369</v>
      </c>
      <c r="C75" s="133" t="s">
        <v>2251</v>
      </c>
      <c r="D75" s="133" t="s">
        <v>815</v>
      </c>
      <c r="E75" s="133" t="s">
        <v>3372</v>
      </c>
      <c r="F75" s="133" t="s">
        <v>2973</v>
      </c>
      <c r="G75" s="133" t="s">
        <v>1930</v>
      </c>
      <c r="H75" s="133" t="s">
        <v>116</v>
      </c>
      <c r="I75" s="133" t="s">
        <v>2571</v>
      </c>
      <c r="J75" s="133">
        <v>82.75</v>
      </c>
      <c r="K75" s="133">
        <v>0</v>
      </c>
      <c r="L75" s="133">
        <v>0</v>
      </c>
      <c r="M75" s="133">
        <v>0</v>
      </c>
      <c r="N75" s="133">
        <v>0</v>
      </c>
      <c r="O75" s="133">
        <v>0</v>
      </c>
      <c r="P75" s="133">
        <v>0</v>
      </c>
      <c r="Q75" s="133">
        <v>0</v>
      </c>
      <c r="R75" s="133">
        <v>0</v>
      </c>
      <c r="S75" s="133">
        <v>0</v>
      </c>
      <c r="T75" s="133">
        <v>0</v>
      </c>
      <c r="U75" s="133">
        <v>0</v>
      </c>
      <c r="V75" s="133">
        <v>0</v>
      </c>
      <c r="W75" s="133">
        <v>0</v>
      </c>
      <c r="X75" s="133">
        <v>0</v>
      </c>
      <c r="Y75" s="133">
        <v>0</v>
      </c>
      <c r="Z75" s="133">
        <v>0</v>
      </c>
      <c r="AA75" s="133">
        <v>0</v>
      </c>
      <c r="AB75" s="133">
        <v>0</v>
      </c>
      <c r="AC75" s="133">
        <v>0</v>
      </c>
      <c r="AD75" s="133">
        <v>45.51</v>
      </c>
      <c r="AE75" s="133">
        <v>24.83</v>
      </c>
      <c r="AF75" s="133">
        <v>157.22999999999999</v>
      </c>
      <c r="AG75" s="133">
        <v>74.48</v>
      </c>
      <c r="AH75" s="133">
        <v>256.52999999999997</v>
      </c>
      <c r="AI75" s="133">
        <v>534.57000000000005</v>
      </c>
      <c r="AJ75" s="133">
        <v>0</v>
      </c>
      <c r="AK75" s="133">
        <v>50.89</v>
      </c>
      <c r="AL75" s="133">
        <v>183.29</v>
      </c>
      <c r="AM75" s="136" t="str">
        <f>IF(ISERROR(VLOOKUP(D75,'Woodmac profile - Oil'!$D$9:$AN$266,37,FALSE)),"",VLOOKUP(D75,'Woodmac profile - Oil'!$D$9:$AN$266,37,FALSE))</f>
        <v/>
      </c>
      <c r="AN75" s="136" t="str">
        <f>IF(ISERROR(VLOOKUP(D75,'Woodmac profile - Gas'!$D$9:$AN$249,37,FALSE)),"",VLOOKUP(D75,'Woodmac profile - Gas'!$D$9:$AN$249,37,FALSE))</f>
        <v>SUBS</v>
      </c>
      <c r="AO75" s="136" t="str">
        <f t="shared" si="1"/>
        <v>SUBS</v>
      </c>
      <c r="AP75" s="132"/>
      <c r="AQ75" s="129"/>
      <c r="AR75" s="129"/>
      <c r="AS75" s="354"/>
      <c r="AT75" s="131"/>
      <c r="AU75" s="131"/>
      <c r="AV75" s="354"/>
      <c r="AW75" s="132"/>
      <c r="AX75" s="354"/>
      <c r="AY75" s="132"/>
      <c r="AZ75" s="132"/>
      <c r="BA75" s="132"/>
      <c r="BB75" s="132"/>
    </row>
    <row r="76" spans="1:54">
      <c r="A76" s="132"/>
      <c r="B76" s="133" t="s">
        <v>3369</v>
      </c>
      <c r="C76" s="133" t="s">
        <v>2251</v>
      </c>
      <c r="D76" s="133" t="s">
        <v>3550</v>
      </c>
      <c r="E76" s="133" t="s">
        <v>1927</v>
      </c>
      <c r="F76" s="133" t="s">
        <v>2973</v>
      </c>
      <c r="G76" s="133" t="s">
        <v>1929</v>
      </c>
      <c r="H76" s="133" t="s">
        <v>116</v>
      </c>
      <c r="I76" s="133" t="s">
        <v>2571</v>
      </c>
      <c r="J76" s="133">
        <v>82.75</v>
      </c>
      <c r="K76" s="133">
        <v>0</v>
      </c>
      <c r="L76" s="133">
        <v>0</v>
      </c>
      <c r="M76" s="133">
        <v>0</v>
      </c>
      <c r="N76" s="133">
        <v>0</v>
      </c>
      <c r="O76" s="133">
        <v>0</v>
      </c>
      <c r="P76" s="133">
        <v>0</v>
      </c>
      <c r="Q76" s="133">
        <v>0</v>
      </c>
      <c r="R76" s="133">
        <v>0</v>
      </c>
      <c r="S76" s="133">
        <v>0</v>
      </c>
      <c r="T76" s="133">
        <v>0</v>
      </c>
      <c r="U76" s="133">
        <v>0</v>
      </c>
      <c r="V76" s="133">
        <v>19.77</v>
      </c>
      <c r="W76" s="133">
        <v>555.57000000000005</v>
      </c>
      <c r="X76" s="133">
        <v>1200.8699999999999</v>
      </c>
      <c r="Y76" s="133">
        <v>1329.99</v>
      </c>
      <c r="Z76" s="133">
        <v>1541.04</v>
      </c>
      <c r="AA76" s="133">
        <v>1559.95</v>
      </c>
      <c r="AB76" s="133">
        <v>405.58</v>
      </c>
      <c r="AC76" s="133">
        <v>84.41</v>
      </c>
      <c r="AD76" s="133">
        <v>67.52</v>
      </c>
      <c r="AE76" s="133">
        <v>16.88</v>
      </c>
      <c r="AF76" s="133">
        <v>0</v>
      </c>
      <c r="AG76" s="133">
        <v>0</v>
      </c>
      <c r="AH76" s="133">
        <v>0</v>
      </c>
      <c r="AI76" s="133">
        <v>0</v>
      </c>
      <c r="AJ76" s="133">
        <v>0</v>
      </c>
      <c r="AK76" s="133">
        <v>0</v>
      </c>
      <c r="AL76" s="133">
        <v>0</v>
      </c>
      <c r="AM76" s="136" t="str">
        <f>IF(ISERROR(VLOOKUP(D76,'Woodmac profile - Oil'!$D$9:$AN$266,37,FALSE)),"",VLOOKUP(D76,'Woodmac profile - Oil'!$D$9:$AN$266,37,FALSE))</f>
        <v>SUBS</v>
      </c>
      <c r="AN76" s="136" t="str">
        <f>IF(ISERROR(VLOOKUP(D76,'Woodmac profile - Gas'!$D$9:$AN$249,37,FALSE)),"",VLOOKUP(D76,'Woodmac profile - Gas'!$D$9:$AN$249,37,FALSE))</f>
        <v>SUBS</v>
      </c>
      <c r="AO76" s="136" t="str">
        <f t="shared" si="1"/>
        <v>SUBS</v>
      </c>
      <c r="AP76" s="132"/>
      <c r="AQ76" s="129"/>
      <c r="AR76" s="129"/>
      <c r="AS76" s="354"/>
      <c r="AT76" s="131"/>
      <c r="AU76" s="131"/>
      <c r="AV76" s="354"/>
      <c r="AW76" s="132"/>
      <c r="AX76" s="354"/>
      <c r="AY76" s="132"/>
      <c r="AZ76" s="132"/>
      <c r="BA76" s="132"/>
      <c r="BB76" s="132"/>
    </row>
    <row r="77" spans="1:54">
      <c r="A77" s="132"/>
      <c r="B77" s="133" t="s">
        <v>3369</v>
      </c>
      <c r="C77" s="133" t="s">
        <v>2251</v>
      </c>
      <c r="D77" s="133" t="s">
        <v>3688</v>
      </c>
      <c r="E77" s="133" t="s">
        <v>1927</v>
      </c>
      <c r="F77" s="133" t="s">
        <v>2973</v>
      </c>
      <c r="G77" s="133" t="s">
        <v>1930</v>
      </c>
      <c r="H77" s="133" t="s">
        <v>116</v>
      </c>
      <c r="I77" s="133" t="s">
        <v>2571</v>
      </c>
      <c r="J77" s="133">
        <v>10</v>
      </c>
      <c r="K77" s="133">
        <v>0</v>
      </c>
      <c r="L77" s="133">
        <v>0</v>
      </c>
      <c r="M77" s="133">
        <v>0</v>
      </c>
      <c r="N77" s="133">
        <v>0</v>
      </c>
      <c r="O77" s="133">
        <v>0</v>
      </c>
      <c r="P77" s="133">
        <v>0</v>
      </c>
      <c r="Q77" s="133">
        <v>0</v>
      </c>
      <c r="R77" s="133">
        <v>0</v>
      </c>
      <c r="S77" s="133">
        <v>0</v>
      </c>
      <c r="T77" s="133">
        <v>0</v>
      </c>
      <c r="U77" s="133">
        <v>0</v>
      </c>
      <c r="V77" s="133">
        <v>0</v>
      </c>
      <c r="W77" s="133">
        <v>0</v>
      </c>
      <c r="X77" s="133">
        <v>15.37</v>
      </c>
      <c r="Y77" s="133">
        <v>465.83</v>
      </c>
      <c r="Z77" s="133">
        <v>309.67</v>
      </c>
      <c r="AA77" s="133">
        <v>172.79</v>
      </c>
      <c r="AB77" s="133">
        <v>50.5</v>
      </c>
      <c r="AC77" s="133">
        <v>39.75</v>
      </c>
      <c r="AD77" s="133">
        <v>50.55</v>
      </c>
      <c r="AE77" s="133">
        <v>38.75</v>
      </c>
      <c r="AF77" s="133">
        <v>14.75</v>
      </c>
      <c r="AG77" s="133">
        <v>13.75</v>
      </c>
      <c r="AH77" s="133">
        <v>14.75</v>
      </c>
      <c r="AI77" s="133">
        <v>13.75</v>
      </c>
      <c r="AJ77" s="133">
        <v>14.75</v>
      </c>
      <c r="AK77" s="133">
        <v>13.75</v>
      </c>
      <c r="AL77" s="133">
        <v>2</v>
      </c>
      <c r="AM77" s="136" t="str">
        <f>IF(ISERROR(VLOOKUP(D77,'Woodmac profile - Oil'!$D$9:$AN$266,37,FALSE)),"",VLOOKUP(D77,'Woodmac profile - Oil'!$D$9:$AN$266,37,FALSE))</f>
        <v/>
      </c>
      <c r="AN77" s="136" t="str">
        <f>IF(ISERROR(VLOOKUP(D77,'Woodmac profile - Gas'!$D$9:$AN$249,37,FALSE)),"",VLOOKUP(D77,'Woodmac profile - Gas'!$D$9:$AN$249,37,FALSE))</f>
        <v>SUBS</v>
      </c>
      <c r="AO77" s="136" t="str">
        <f t="shared" ref="AO77" si="5">IF(AM77="",AN77,AM77)</f>
        <v>SUBS</v>
      </c>
      <c r="AP77" s="132"/>
      <c r="AQ77" s="129"/>
      <c r="AR77" s="129"/>
      <c r="AS77" s="354"/>
      <c r="AT77" s="131"/>
      <c r="AU77" s="131"/>
      <c r="AV77" s="354"/>
      <c r="AW77" s="132"/>
      <c r="AX77" s="354"/>
      <c r="AY77" s="132"/>
      <c r="AZ77" s="132"/>
      <c r="BA77" s="132"/>
      <c r="BB77" s="132"/>
    </row>
    <row r="78" spans="1:54">
      <c r="A78" s="132"/>
      <c r="B78" s="133" t="s">
        <v>3369</v>
      </c>
      <c r="C78" s="133" t="s">
        <v>3007</v>
      </c>
      <c r="D78" s="133" t="s">
        <v>3006</v>
      </c>
      <c r="E78" s="133" t="s">
        <v>1927</v>
      </c>
      <c r="F78" s="133" t="s">
        <v>2973</v>
      </c>
      <c r="G78" s="133" t="s">
        <v>1931</v>
      </c>
      <c r="H78" s="133" t="s">
        <v>116</v>
      </c>
      <c r="I78" s="133" t="s">
        <v>2571</v>
      </c>
      <c r="J78" s="133">
        <v>30</v>
      </c>
      <c r="K78" s="133">
        <v>0</v>
      </c>
      <c r="L78" s="133">
        <v>0</v>
      </c>
      <c r="M78" s="133">
        <v>0</v>
      </c>
      <c r="N78" s="133">
        <v>0</v>
      </c>
      <c r="O78" s="133">
        <v>0</v>
      </c>
      <c r="P78" s="133">
        <v>0</v>
      </c>
      <c r="Q78" s="133">
        <v>0</v>
      </c>
      <c r="R78" s="133">
        <v>0</v>
      </c>
      <c r="S78" s="133">
        <v>31.7</v>
      </c>
      <c r="T78" s="133">
        <v>0</v>
      </c>
      <c r="U78" s="133">
        <v>74.05</v>
      </c>
      <c r="V78" s="133">
        <v>122</v>
      </c>
      <c r="W78" s="133">
        <v>61.72</v>
      </c>
      <c r="X78" s="133">
        <v>53.13</v>
      </c>
      <c r="Y78" s="133">
        <v>33.659999999999997</v>
      </c>
      <c r="Z78" s="133">
        <v>100.8</v>
      </c>
      <c r="AA78" s="133">
        <v>319.5</v>
      </c>
      <c r="AB78" s="133">
        <v>435</v>
      </c>
      <c r="AC78" s="133">
        <v>343.8</v>
      </c>
      <c r="AD78" s="133">
        <v>253.2</v>
      </c>
      <c r="AE78" s="133">
        <v>70.5</v>
      </c>
      <c r="AF78" s="133">
        <v>70.2</v>
      </c>
      <c r="AG78" s="133">
        <v>9</v>
      </c>
      <c r="AH78" s="133">
        <v>42</v>
      </c>
      <c r="AI78" s="133">
        <v>57</v>
      </c>
      <c r="AJ78" s="133">
        <v>28.5</v>
      </c>
      <c r="AK78" s="133">
        <v>3</v>
      </c>
      <c r="AL78" s="133">
        <v>84</v>
      </c>
      <c r="AM78" s="136" t="str">
        <f>IF(ISERROR(VLOOKUP(D78,'Woodmac profile - Oil'!$D$9:$AN$266,37,FALSE)),"",VLOOKUP(D78,'Woodmac profile - Oil'!$D$9:$AN$266,37,FALSE))</f>
        <v>SUBS</v>
      </c>
      <c r="AN78" s="136" t="str">
        <f>IF(ISERROR(VLOOKUP(D78,'Woodmac profile - Gas'!$D$9:$AN$249,37,FALSE)),"",VLOOKUP(D78,'Woodmac profile - Gas'!$D$9:$AN$249,37,FALSE))</f>
        <v>SUBS</v>
      </c>
      <c r="AO78" s="136" t="str">
        <f t="shared" ref="AO78:AO89" si="6">IF(AM78="",AN78,AM78)</f>
        <v>SUBS</v>
      </c>
      <c r="AP78" s="132"/>
      <c r="AQ78" s="129"/>
      <c r="AR78" s="129"/>
      <c r="AS78" s="354"/>
      <c r="AT78" s="131"/>
      <c r="AU78" s="131"/>
      <c r="AV78" s="354"/>
      <c r="AW78" s="132"/>
      <c r="AX78" s="354"/>
      <c r="AY78" s="132"/>
      <c r="AZ78" s="132"/>
      <c r="BA78" s="132"/>
      <c r="BB78" s="132"/>
    </row>
    <row r="79" spans="1:54">
      <c r="A79" s="132"/>
      <c r="B79" s="133" t="s">
        <v>3369</v>
      </c>
      <c r="C79" s="133" t="s">
        <v>3007</v>
      </c>
      <c r="D79" s="133" t="s">
        <v>3049</v>
      </c>
      <c r="E79" s="133" t="s">
        <v>3372</v>
      </c>
      <c r="F79" s="133" t="s">
        <v>2960</v>
      </c>
      <c r="G79" s="133" t="s">
        <v>1930</v>
      </c>
      <c r="H79" s="133" t="s">
        <v>116</v>
      </c>
      <c r="I79" s="133" t="s">
        <v>2571</v>
      </c>
      <c r="J79" s="133">
        <v>30</v>
      </c>
      <c r="K79" s="133">
        <v>0</v>
      </c>
      <c r="L79" s="133">
        <v>0</v>
      </c>
      <c r="M79" s="133">
        <v>0</v>
      </c>
      <c r="N79" s="133">
        <v>0</v>
      </c>
      <c r="O79" s="133">
        <v>0</v>
      </c>
      <c r="P79" s="133">
        <v>0</v>
      </c>
      <c r="Q79" s="133">
        <v>0</v>
      </c>
      <c r="R79" s="133">
        <v>0</v>
      </c>
      <c r="S79" s="133">
        <v>0</v>
      </c>
      <c r="T79" s="133">
        <v>0</v>
      </c>
      <c r="U79" s="133">
        <v>0</v>
      </c>
      <c r="V79" s="133">
        <v>0</v>
      </c>
      <c r="W79" s="133">
        <v>0</v>
      </c>
      <c r="X79" s="133">
        <v>0</v>
      </c>
      <c r="Y79" s="133">
        <v>0</v>
      </c>
      <c r="Z79" s="133">
        <v>0</v>
      </c>
      <c r="AA79" s="133">
        <v>0</v>
      </c>
      <c r="AB79" s="133">
        <v>0</v>
      </c>
      <c r="AC79" s="133">
        <v>0</v>
      </c>
      <c r="AD79" s="133">
        <v>160.65</v>
      </c>
      <c r="AE79" s="133">
        <v>247.86</v>
      </c>
      <c r="AF79" s="133">
        <v>93.33</v>
      </c>
      <c r="AG79" s="133">
        <v>39.78</v>
      </c>
      <c r="AH79" s="133">
        <v>55.08</v>
      </c>
      <c r="AI79" s="133">
        <v>41.31</v>
      </c>
      <c r="AJ79" s="133">
        <v>3.06</v>
      </c>
      <c r="AK79" s="133">
        <v>15.3</v>
      </c>
      <c r="AL79" s="133">
        <v>0</v>
      </c>
      <c r="AM79" s="136" t="str">
        <f>IF(ISERROR(VLOOKUP(D79,'Woodmac profile - Oil'!$D$9:$AN$266,37,FALSE)),"",VLOOKUP(D79,'Woodmac profile - Oil'!$D$9:$AN$266,37,FALSE))</f>
        <v/>
      </c>
      <c r="AN79" s="136" t="str">
        <f>IF(ISERROR(VLOOKUP(D79,'Woodmac profile - Gas'!$D$9:$AN$249,37,FALSE)),"",VLOOKUP(D79,'Woodmac profile - Gas'!$D$9:$AN$249,37,FALSE))</f>
        <v>SUBS</v>
      </c>
      <c r="AO79" s="136" t="str">
        <f t="shared" si="6"/>
        <v>SUBS</v>
      </c>
      <c r="AP79" s="132"/>
      <c r="AQ79" s="129"/>
      <c r="AR79" s="129"/>
      <c r="AS79" s="354"/>
      <c r="AT79" s="131"/>
      <c r="AU79" s="131"/>
      <c r="AV79" s="354"/>
      <c r="AW79" s="132"/>
      <c r="AX79" s="354"/>
      <c r="AY79" s="132"/>
      <c r="AZ79" s="132"/>
      <c r="BA79" s="132"/>
      <c r="BB79" s="132"/>
    </row>
    <row r="80" spans="1:54">
      <c r="A80" s="132"/>
      <c r="B80" s="133" t="s">
        <v>3369</v>
      </c>
      <c r="C80" s="133" t="s">
        <v>135</v>
      </c>
      <c r="D80" s="133" t="s">
        <v>2596</v>
      </c>
      <c r="E80" s="133" t="s">
        <v>1927</v>
      </c>
      <c r="F80" s="133" t="s">
        <v>2960</v>
      </c>
      <c r="G80" s="133" t="s">
        <v>1931</v>
      </c>
      <c r="H80" s="133" t="s">
        <v>116</v>
      </c>
      <c r="I80" s="133" t="s">
        <v>2600</v>
      </c>
      <c r="J80" s="133">
        <v>100</v>
      </c>
      <c r="K80" s="133">
        <v>0</v>
      </c>
      <c r="L80" s="133">
        <v>0.66</v>
      </c>
      <c r="M80" s="133">
        <v>0</v>
      </c>
      <c r="N80" s="133">
        <v>0</v>
      </c>
      <c r="O80" s="133">
        <v>0</v>
      </c>
      <c r="P80" s="133">
        <v>0</v>
      </c>
      <c r="Q80" s="133">
        <v>0</v>
      </c>
      <c r="R80" s="133">
        <v>0</v>
      </c>
      <c r="S80" s="133">
        <v>0</v>
      </c>
      <c r="T80" s="133">
        <v>0</v>
      </c>
      <c r="U80" s="133">
        <v>0</v>
      </c>
      <c r="V80" s="133">
        <v>0</v>
      </c>
      <c r="W80" s="133">
        <v>0</v>
      </c>
      <c r="X80" s="133">
        <v>0</v>
      </c>
      <c r="Y80" s="133">
        <v>0</v>
      </c>
      <c r="Z80" s="133">
        <v>0</v>
      </c>
      <c r="AA80" s="133">
        <v>0</v>
      </c>
      <c r="AB80" s="133">
        <v>0</v>
      </c>
      <c r="AC80" s="133">
        <v>0</v>
      </c>
      <c r="AD80" s="133">
        <v>0</v>
      </c>
      <c r="AE80" s="133">
        <v>0</v>
      </c>
      <c r="AF80" s="133">
        <v>0</v>
      </c>
      <c r="AG80" s="133">
        <v>0</v>
      </c>
      <c r="AH80" s="133">
        <v>0</v>
      </c>
      <c r="AI80" s="133">
        <v>0</v>
      </c>
      <c r="AJ80" s="133">
        <v>0</v>
      </c>
      <c r="AK80" s="133">
        <v>0</v>
      </c>
      <c r="AL80" s="133">
        <v>0</v>
      </c>
      <c r="AM80" s="136" t="str">
        <f>IF(ISERROR(VLOOKUP(D80,'Woodmac profile - Oil'!$D$9:$AN$266,37,FALSE)),"",VLOOKUP(D80,'Woodmac profile - Oil'!$D$9:$AN$266,37,FALSE))</f>
        <v>SUBS</v>
      </c>
      <c r="AN80" s="136" t="str">
        <f>IF(ISERROR(VLOOKUP(D80,'Woodmac profile - Gas'!$D$9:$AN$249,37,FALSE)),"",VLOOKUP(D80,'Woodmac profile - Gas'!$D$9:$AN$249,37,FALSE))</f>
        <v>SUBS</v>
      </c>
      <c r="AO80" s="136" t="str">
        <f t="shared" si="6"/>
        <v>SUBS</v>
      </c>
      <c r="AP80" s="132"/>
      <c r="AQ80" s="129"/>
      <c r="AR80" s="129"/>
      <c r="AS80" s="354"/>
      <c r="AT80" s="131"/>
      <c r="AU80" s="131"/>
      <c r="AV80" s="354"/>
      <c r="AW80" s="132"/>
      <c r="AX80" s="354"/>
      <c r="AY80" s="132"/>
      <c r="AZ80" s="132"/>
      <c r="BA80" s="132"/>
      <c r="BB80" s="132"/>
    </row>
    <row r="81" spans="1:54">
      <c r="A81" s="132"/>
      <c r="B81" s="133" t="s">
        <v>3369</v>
      </c>
      <c r="C81" s="133" t="s">
        <v>135</v>
      </c>
      <c r="D81" s="133" t="s">
        <v>136</v>
      </c>
      <c r="E81" s="133" t="s">
        <v>1927</v>
      </c>
      <c r="F81" s="133" t="s">
        <v>2960</v>
      </c>
      <c r="G81" s="133" t="s">
        <v>3374</v>
      </c>
      <c r="H81" s="133" t="s">
        <v>116</v>
      </c>
      <c r="I81" s="133" t="s">
        <v>2600</v>
      </c>
      <c r="J81" s="133">
        <v>46</v>
      </c>
      <c r="K81" s="133">
        <v>25.01</v>
      </c>
      <c r="L81" s="133">
        <v>27.43</v>
      </c>
      <c r="M81" s="133">
        <v>86.06</v>
      </c>
      <c r="N81" s="133">
        <v>83.36</v>
      </c>
      <c r="O81" s="133">
        <v>41.63</v>
      </c>
      <c r="P81" s="133">
        <v>69.489999999999995</v>
      </c>
      <c r="Q81" s="133">
        <v>17.88</v>
      </c>
      <c r="R81" s="133">
        <v>0</v>
      </c>
      <c r="S81" s="133">
        <v>0</v>
      </c>
      <c r="T81" s="133">
        <v>0</v>
      </c>
      <c r="U81" s="133">
        <v>0</v>
      </c>
      <c r="V81" s="133">
        <v>0</v>
      </c>
      <c r="W81" s="133">
        <v>0</v>
      </c>
      <c r="X81" s="133">
        <v>0</v>
      </c>
      <c r="Y81" s="133">
        <v>0</v>
      </c>
      <c r="Z81" s="133">
        <v>0</v>
      </c>
      <c r="AA81" s="133">
        <v>0</v>
      </c>
      <c r="AB81" s="133">
        <v>0</v>
      </c>
      <c r="AC81" s="133">
        <v>0</v>
      </c>
      <c r="AD81" s="133">
        <v>0</v>
      </c>
      <c r="AE81" s="133">
        <v>0</v>
      </c>
      <c r="AF81" s="133">
        <v>0</v>
      </c>
      <c r="AG81" s="133">
        <v>0</v>
      </c>
      <c r="AH81" s="133">
        <v>0</v>
      </c>
      <c r="AI81" s="133">
        <v>0</v>
      </c>
      <c r="AJ81" s="133">
        <v>0</v>
      </c>
      <c r="AK81" s="133">
        <v>0</v>
      </c>
      <c r="AL81" s="133">
        <v>0</v>
      </c>
      <c r="AM81" s="136" t="str">
        <f>IF(ISERROR(VLOOKUP(D81,'Woodmac profile - Oil'!$D$9:$AN$266,37,FALSE)),"",VLOOKUP(D81,'Woodmac profile - Oil'!$D$9:$AN$266,37,FALSE))</f>
        <v>SUBS</v>
      </c>
      <c r="AN81" s="136" t="str">
        <f>IF(ISERROR(VLOOKUP(D81,'Woodmac profile - Gas'!$D$9:$AN$249,37,FALSE)),"",VLOOKUP(D81,'Woodmac profile - Gas'!$D$9:$AN$249,37,FALSE))</f>
        <v>SUBS</v>
      </c>
      <c r="AO81" s="136" t="str">
        <f t="shared" si="6"/>
        <v>SUBS</v>
      </c>
      <c r="AP81" s="132"/>
      <c r="AQ81" s="129"/>
      <c r="AR81" s="129"/>
      <c r="AS81" s="354"/>
      <c r="AT81" s="131"/>
      <c r="AU81" s="131"/>
      <c r="AV81" s="354"/>
      <c r="AW81" s="132"/>
      <c r="AX81" s="354"/>
      <c r="AY81" s="132"/>
      <c r="AZ81" s="132"/>
      <c r="BA81" s="132"/>
      <c r="BB81" s="132"/>
    </row>
    <row r="82" spans="1:54">
      <c r="A82" s="132"/>
      <c r="B82" s="133" t="s">
        <v>3369</v>
      </c>
      <c r="C82" s="133" t="s">
        <v>135</v>
      </c>
      <c r="D82" s="133" t="s">
        <v>688</v>
      </c>
      <c r="E82" s="133" t="s">
        <v>1927</v>
      </c>
      <c r="F82" s="133" t="s">
        <v>1928</v>
      </c>
      <c r="G82" s="133" t="s">
        <v>1931</v>
      </c>
      <c r="H82" s="133" t="s">
        <v>2966</v>
      </c>
      <c r="I82" s="133" t="s">
        <v>1931</v>
      </c>
      <c r="J82" s="133">
        <v>26.25</v>
      </c>
      <c r="K82" s="133">
        <v>8.92</v>
      </c>
      <c r="L82" s="133">
        <v>8</v>
      </c>
      <c r="M82" s="133">
        <v>4.04</v>
      </c>
      <c r="N82" s="133">
        <v>4.5599999999999996</v>
      </c>
      <c r="O82" s="133">
        <v>6.02</v>
      </c>
      <c r="P82" s="133">
        <v>5.19</v>
      </c>
      <c r="Q82" s="133">
        <v>3.67</v>
      </c>
      <c r="R82" s="133">
        <v>2.41</v>
      </c>
      <c r="S82" s="133">
        <v>0</v>
      </c>
      <c r="T82" s="133">
        <v>0</v>
      </c>
      <c r="U82" s="133">
        <v>0</v>
      </c>
      <c r="V82" s="133">
        <v>0</v>
      </c>
      <c r="W82" s="133">
        <v>0</v>
      </c>
      <c r="X82" s="133">
        <v>0</v>
      </c>
      <c r="Y82" s="133">
        <v>0</v>
      </c>
      <c r="Z82" s="133">
        <v>0</v>
      </c>
      <c r="AA82" s="133">
        <v>0</v>
      </c>
      <c r="AB82" s="133">
        <v>0</v>
      </c>
      <c r="AC82" s="133">
        <v>0</v>
      </c>
      <c r="AD82" s="133">
        <v>0</v>
      </c>
      <c r="AE82" s="133">
        <v>0</v>
      </c>
      <c r="AF82" s="133">
        <v>0</v>
      </c>
      <c r="AG82" s="133">
        <v>0</v>
      </c>
      <c r="AH82" s="133">
        <v>0</v>
      </c>
      <c r="AI82" s="133">
        <v>0</v>
      </c>
      <c r="AJ82" s="133">
        <v>0</v>
      </c>
      <c r="AK82" s="133">
        <v>0</v>
      </c>
      <c r="AL82" s="133">
        <v>0</v>
      </c>
      <c r="AM82" s="136" t="str">
        <f>IF(ISERROR(VLOOKUP(D82,'Woodmac profile - Oil'!$D$9:$AN$266,37,FALSE)),"",VLOOKUP(D82,'Woodmac profile - Oil'!$D$9:$AN$266,37,FALSE))</f>
        <v>SUBS</v>
      </c>
      <c r="AN82" s="136" t="str">
        <f>IF(ISERROR(VLOOKUP(D82,'Woodmac profile - Gas'!$D$9:$AN$249,37,FALSE)),"",VLOOKUP(D82,'Woodmac profile - Gas'!$D$9:$AN$249,37,FALSE))</f>
        <v>SUBS</v>
      </c>
      <c r="AO82" s="136" t="str">
        <f t="shared" si="6"/>
        <v>SUBS</v>
      </c>
      <c r="AP82" s="132"/>
      <c r="AQ82" s="129"/>
      <c r="AR82" s="129"/>
      <c r="AS82" s="354"/>
      <c r="AT82" s="131"/>
      <c r="AU82" s="131"/>
      <c r="AV82" s="354"/>
      <c r="AW82" s="132"/>
      <c r="AX82" s="354"/>
      <c r="AY82" s="132"/>
      <c r="AZ82" s="132"/>
      <c r="BA82" s="132"/>
      <c r="BB82" s="132"/>
    </row>
    <row r="83" spans="1:54">
      <c r="A83" s="132"/>
      <c r="B83" s="133" t="s">
        <v>3369</v>
      </c>
      <c r="C83" s="133" t="s">
        <v>135</v>
      </c>
      <c r="D83" s="133" t="s">
        <v>137</v>
      </c>
      <c r="E83" s="133" t="s">
        <v>1927</v>
      </c>
      <c r="F83" s="133" t="s">
        <v>1928</v>
      </c>
      <c r="G83" s="133" t="s">
        <v>3374</v>
      </c>
      <c r="H83" s="133" t="s">
        <v>2966</v>
      </c>
      <c r="I83" s="133" t="s">
        <v>1931</v>
      </c>
      <c r="J83" s="133">
        <v>26.25</v>
      </c>
      <c r="K83" s="133">
        <v>39.61</v>
      </c>
      <c r="L83" s="133">
        <v>35.130000000000003</v>
      </c>
      <c r="M83" s="133">
        <v>31.62</v>
      </c>
      <c r="N83" s="133">
        <v>42.68</v>
      </c>
      <c r="O83" s="133">
        <v>54.49</v>
      </c>
      <c r="P83" s="133">
        <v>86.33</v>
      </c>
      <c r="Q83" s="133">
        <v>82.03</v>
      </c>
      <c r="R83" s="133">
        <v>72.91</v>
      </c>
      <c r="S83" s="133">
        <v>70.06</v>
      </c>
      <c r="T83" s="133">
        <v>85.78</v>
      </c>
      <c r="U83" s="133">
        <v>63.38</v>
      </c>
      <c r="V83" s="133">
        <v>83.18</v>
      </c>
      <c r="W83" s="133">
        <v>62.31</v>
      </c>
      <c r="X83" s="133">
        <v>26.21</v>
      </c>
      <c r="Y83" s="133">
        <v>0</v>
      </c>
      <c r="Z83" s="133">
        <v>0</v>
      </c>
      <c r="AA83" s="133">
        <v>0</v>
      </c>
      <c r="AB83" s="133">
        <v>0</v>
      </c>
      <c r="AC83" s="133">
        <v>0</v>
      </c>
      <c r="AD83" s="133">
        <v>0</v>
      </c>
      <c r="AE83" s="133">
        <v>0</v>
      </c>
      <c r="AF83" s="133">
        <v>0</v>
      </c>
      <c r="AG83" s="133">
        <v>0</v>
      </c>
      <c r="AH83" s="133">
        <v>0</v>
      </c>
      <c r="AI83" s="133">
        <v>0</v>
      </c>
      <c r="AJ83" s="133">
        <v>0</v>
      </c>
      <c r="AK83" s="133">
        <v>0</v>
      </c>
      <c r="AL83" s="133">
        <v>0</v>
      </c>
      <c r="AM83" s="136" t="str">
        <f>IF(ISERROR(VLOOKUP(D83,'Woodmac profile - Oil'!$D$9:$AN$266,37,FALSE)),"",VLOOKUP(D83,'Woodmac profile - Oil'!$D$9:$AN$266,37,FALSE))</f>
        <v>SUBS</v>
      </c>
      <c r="AN83" s="136" t="str">
        <f>IF(ISERROR(VLOOKUP(D83,'Woodmac profile - Gas'!$D$9:$AN$249,37,FALSE)),"",VLOOKUP(D83,'Woodmac profile - Gas'!$D$9:$AN$249,37,FALSE))</f>
        <v>SUBS</v>
      </c>
      <c r="AO83" s="136" t="str">
        <f t="shared" si="6"/>
        <v>SUBS</v>
      </c>
      <c r="AP83" s="132"/>
      <c r="AQ83" s="129"/>
      <c r="AR83" s="129"/>
      <c r="AS83" s="354"/>
      <c r="AT83" s="131"/>
      <c r="AU83" s="131"/>
      <c r="AV83" s="354"/>
      <c r="AW83" s="132"/>
      <c r="AX83" s="354"/>
      <c r="AY83" s="132"/>
      <c r="AZ83" s="132"/>
      <c r="BA83" s="132"/>
      <c r="BB83" s="132"/>
    </row>
    <row r="84" spans="1:54">
      <c r="A84" s="132"/>
      <c r="B84" s="133" t="s">
        <v>3369</v>
      </c>
      <c r="C84" s="133" t="s">
        <v>135</v>
      </c>
      <c r="D84" s="133" t="s">
        <v>689</v>
      </c>
      <c r="E84" s="133" t="s">
        <v>2970</v>
      </c>
      <c r="F84" s="133" t="s">
        <v>2960</v>
      </c>
      <c r="G84" s="133" t="s">
        <v>1931</v>
      </c>
      <c r="H84" s="133" t="s">
        <v>2966</v>
      </c>
      <c r="I84" s="133" t="s">
        <v>2600</v>
      </c>
      <c r="J84" s="133">
        <v>40.22</v>
      </c>
      <c r="K84" s="133">
        <v>0</v>
      </c>
      <c r="L84" s="133">
        <v>0</v>
      </c>
      <c r="M84" s="133">
        <v>0</v>
      </c>
      <c r="N84" s="133">
        <v>0</v>
      </c>
      <c r="O84" s="133">
        <v>0</v>
      </c>
      <c r="P84" s="133">
        <v>0</v>
      </c>
      <c r="Q84" s="133">
        <v>0</v>
      </c>
      <c r="R84" s="133">
        <v>0</v>
      </c>
      <c r="S84" s="133">
        <v>0</v>
      </c>
      <c r="T84" s="133">
        <v>0</v>
      </c>
      <c r="U84" s="133">
        <v>0</v>
      </c>
      <c r="V84" s="133">
        <v>0</v>
      </c>
      <c r="W84" s="133">
        <v>0</v>
      </c>
      <c r="X84" s="133">
        <v>21.75</v>
      </c>
      <c r="Y84" s="133">
        <v>151.07</v>
      </c>
      <c r="Z84" s="133">
        <v>270.76</v>
      </c>
      <c r="AA84" s="133">
        <v>151.79</v>
      </c>
      <c r="AB84" s="133">
        <v>131.28</v>
      </c>
      <c r="AC84" s="133">
        <v>104.61</v>
      </c>
      <c r="AD84" s="133">
        <v>86.15</v>
      </c>
      <c r="AE84" s="133">
        <v>0</v>
      </c>
      <c r="AF84" s="133">
        <v>30.77</v>
      </c>
      <c r="AG84" s="133">
        <v>0</v>
      </c>
      <c r="AH84" s="133">
        <v>98.46</v>
      </c>
      <c r="AI84" s="133">
        <v>137.43</v>
      </c>
      <c r="AJ84" s="133">
        <v>164.1</v>
      </c>
      <c r="AK84" s="133">
        <v>100.51</v>
      </c>
      <c r="AL84" s="133">
        <v>0</v>
      </c>
      <c r="AM84" s="136" t="str">
        <f>IF(ISERROR(VLOOKUP(D84,'Woodmac profile - Oil'!$D$9:$AN$266,37,FALSE)),"",VLOOKUP(D84,'Woodmac profile - Oil'!$D$9:$AN$266,37,FALSE))</f>
        <v>SUBS</v>
      </c>
      <c r="AN84" s="136" t="str">
        <f>IF(ISERROR(VLOOKUP(D84,'Woodmac profile - Gas'!$D$9:$AN$249,37,FALSE)),"",VLOOKUP(D84,'Woodmac profile - Gas'!$D$9:$AN$249,37,FALSE))</f>
        <v>SUBS</v>
      </c>
      <c r="AO84" s="136" t="str">
        <f t="shared" si="6"/>
        <v>SUBS</v>
      </c>
      <c r="AP84" s="132"/>
      <c r="AQ84" s="129"/>
      <c r="AR84" s="129"/>
      <c r="AS84" s="354"/>
      <c r="AT84" s="131"/>
      <c r="AU84" s="131"/>
      <c r="AV84" s="354"/>
      <c r="AW84" s="132"/>
      <c r="AX84" s="354"/>
      <c r="AY84" s="132"/>
      <c r="AZ84" s="132"/>
      <c r="BA84" s="132"/>
      <c r="BB84" s="132"/>
    </row>
    <row r="85" spans="1:54">
      <c r="A85" s="132"/>
      <c r="B85" s="133" t="s">
        <v>3369</v>
      </c>
      <c r="C85" s="133" t="s">
        <v>135</v>
      </c>
      <c r="D85" s="133" t="s">
        <v>690</v>
      </c>
      <c r="E85" s="133" t="s">
        <v>1927</v>
      </c>
      <c r="F85" s="133" t="s">
        <v>2960</v>
      </c>
      <c r="G85" s="133" t="s">
        <v>1931</v>
      </c>
      <c r="H85" s="133" t="s">
        <v>2966</v>
      </c>
      <c r="I85" s="133" t="s">
        <v>2600</v>
      </c>
      <c r="J85" s="133">
        <v>40.22</v>
      </c>
      <c r="K85" s="133">
        <v>0</v>
      </c>
      <c r="L85" s="133">
        <v>0</v>
      </c>
      <c r="M85" s="133">
        <v>23.81</v>
      </c>
      <c r="N85" s="133">
        <v>50.74</v>
      </c>
      <c r="O85" s="133">
        <v>304.95</v>
      </c>
      <c r="P85" s="133">
        <v>215.92</v>
      </c>
      <c r="Q85" s="133">
        <v>86.66</v>
      </c>
      <c r="R85" s="133">
        <v>0</v>
      </c>
      <c r="S85" s="133">
        <v>41.33</v>
      </c>
      <c r="T85" s="133">
        <v>60.71</v>
      </c>
      <c r="U85" s="133">
        <v>19.940000000000001</v>
      </c>
      <c r="V85" s="133">
        <v>15.7</v>
      </c>
      <c r="W85" s="133">
        <v>0</v>
      </c>
      <c r="X85" s="133">
        <v>3.51</v>
      </c>
      <c r="Y85" s="133">
        <v>16.41</v>
      </c>
      <c r="Z85" s="133">
        <v>61.54</v>
      </c>
      <c r="AA85" s="133">
        <v>50.46</v>
      </c>
      <c r="AB85" s="133">
        <v>0</v>
      </c>
      <c r="AC85" s="133">
        <v>0</v>
      </c>
      <c r="AD85" s="133">
        <v>0</v>
      </c>
      <c r="AE85" s="133">
        <v>88.53</v>
      </c>
      <c r="AF85" s="133">
        <v>143.38</v>
      </c>
      <c r="AG85" s="133">
        <v>275.45999999999998</v>
      </c>
      <c r="AH85" s="133">
        <v>228.82</v>
      </c>
      <c r="AI85" s="133">
        <v>65.64</v>
      </c>
      <c r="AJ85" s="133">
        <v>45.13</v>
      </c>
      <c r="AK85" s="133">
        <v>0</v>
      </c>
      <c r="AL85" s="133">
        <v>0</v>
      </c>
      <c r="AM85" s="136" t="str">
        <f>IF(ISERROR(VLOOKUP(D85,'Woodmac profile - Oil'!$D$9:$AN$266,37,FALSE)),"",VLOOKUP(D85,'Woodmac profile - Oil'!$D$9:$AN$266,37,FALSE))</f>
        <v>SUBS</v>
      </c>
      <c r="AN85" s="136" t="str">
        <f>IF(ISERROR(VLOOKUP(D85,'Woodmac profile - Gas'!$D$9:$AN$249,37,FALSE)),"",VLOOKUP(D85,'Woodmac profile - Gas'!$D$9:$AN$249,37,FALSE))</f>
        <v>SUBS</v>
      </c>
      <c r="AO85" s="136" t="str">
        <f t="shared" si="6"/>
        <v>SUBS</v>
      </c>
      <c r="AP85" s="132"/>
      <c r="AQ85" s="129"/>
      <c r="AR85" s="129"/>
      <c r="AS85" s="354"/>
      <c r="AT85" s="131"/>
      <c r="AU85" s="131"/>
      <c r="AV85" s="354"/>
      <c r="AW85" s="132"/>
      <c r="AX85" s="354"/>
      <c r="AY85" s="132"/>
      <c r="AZ85" s="132"/>
      <c r="BA85" s="132"/>
      <c r="BB85" s="132"/>
    </row>
    <row r="86" spans="1:54">
      <c r="A86" s="132"/>
      <c r="B86" s="133" t="s">
        <v>3369</v>
      </c>
      <c r="C86" s="133" t="s">
        <v>138</v>
      </c>
      <c r="D86" s="133" t="s">
        <v>1641</v>
      </c>
      <c r="E86" s="133" t="s">
        <v>1927</v>
      </c>
      <c r="F86" s="133" t="s">
        <v>1928</v>
      </c>
      <c r="G86" s="133" t="s">
        <v>3374</v>
      </c>
      <c r="H86" s="133" t="s">
        <v>1930</v>
      </c>
      <c r="I86" s="133" t="s">
        <v>1931</v>
      </c>
      <c r="J86" s="133">
        <v>47.6267</v>
      </c>
      <c r="K86" s="133">
        <v>0</v>
      </c>
      <c r="L86" s="133">
        <v>0</v>
      </c>
      <c r="M86" s="133">
        <v>0</v>
      </c>
      <c r="N86" s="133">
        <v>0</v>
      </c>
      <c r="O86" s="133">
        <v>0</v>
      </c>
      <c r="P86" s="133">
        <v>0</v>
      </c>
      <c r="Q86" s="133">
        <v>0</v>
      </c>
      <c r="R86" s="133">
        <v>414.31</v>
      </c>
      <c r="S86" s="133">
        <v>528.24</v>
      </c>
      <c r="T86" s="133">
        <v>672.59</v>
      </c>
      <c r="U86" s="133">
        <v>978.69</v>
      </c>
      <c r="V86" s="133">
        <v>1042.47</v>
      </c>
      <c r="W86" s="133">
        <v>746.18</v>
      </c>
      <c r="X86" s="133">
        <v>728.21</v>
      </c>
      <c r="Y86" s="133">
        <v>655.87</v>
      </c>
      <c r="Z86" s="133">
        <v>668.01</v>
      </c>
      <c r="AA86" s="133">
        <v>570.85</v>
      </c>
      <c r="AB86" s="133">
        <v>460.81</v>
      </c>
      <c r="AC86" s="133">
        <v>351.74</v>
      </c>
      <c r="AD86" s="133">
        <v>291.25</v>
      </c>
      <c r="AE86" s="133">
        <v>241.94</v>
      </c>
      <c r="AF86" s="133">
        <v>241.94</v>
      </c>
      <c r="AG86" s="133">
        <v>241.94</v>
      </c>
      <c r="AH86" s="133">
        <v>205.5</v>
      </c>
      <c r="AI86" s="133">
        <v>200.65</v>
      </c>
      <c r="AJ86" s="133">
        <v>170.52</v>
      </c>
      <c r="AK86" s="133">
        <v>182.43</v>
      </c>
      <c r="AL86" s="133">
        <v>182.43</v>
      </c>
      <c r="AM86" s="136" t="str">
        <f>IF(ISERROR(VLOOKUP(D86,'Woodmac profile - Oil'!$D$9:$AN$266,37,FALSE)),"",VLOOKUP(D86,'Woodmac profile - Oil'!$D$9:$AN$266,37,FALSE))</f>
        <v>SUBS</v>
      </c>
      <c r="AN86" s="136" t="str">
        <f>IF(ISERROR(VLOOKUP(D86,'Woodmac profile - Gas'!$D$9:$AN$249,37,FALSE)),"",VLOOKUP(D86,'Woodmac profile - Gas'!$D$9:$AN$249,37,FALSE))</f>
        <v/>
      </c>
      <c r="AO86" s="136" t="str">
        <f t="shared" si="6"/>
        <v>SUBS</v>
      </c>
      <c r="AP86" s="132"/>
      <c r="AQ86" s="129"/>
      <c r="AR86" s="129"/>
      <c r="AS86" s="354"/>
      <c r="AT86" s="131"/>
      <c r="AU86" s="131"/>
      <c r="AV86" s="354"/>
      <c r="AW86" s="132"/>
      <c r="AX86" s="354"/>
      <c r="AY86" s="132"/>
      <c r="AZ86" s="132"/>
      <c r="BA86" s="132"/>
      <c r="BB86" s="132"/>
    </row>
    <row r="87" spans="1:54">
      <c r="A87" s="132"/>
      <c r="B87" s="133" t="s">
        <v>3369</v>
      </c>
      <c r="C87" s="133" t="s">
        <v>3704</v>
      </c>
      <c r="D87" s="133" t="s">
        <v>3703</v>
      </c>
      <c r="E87" s="133" t="s">
        <v>3372</v>
      </c>
      <c r="F87" s="133" t="s">
        <v>3373</v>
      </c>
      <c r="G87" s="133" t="s">
        <v>1930</v>
      </c>
      <c r="H87" s="133" t="s">
        <v>2966</v>
      </c>
      <c r="I87" s="133" t="s">
        <v>3705</v>
      </c>
      <c r="J87" s="133">
        <v>62</v>
      </c>
      <c r="K87" s="133">
        <v>0</v>
      </c>
      <c r="L87" s="133">
        <v>0</v>
      </c>
      <c r="M87" s="133">
        <v>0</v>
      </c>
      <c r="N87" s="133">
        <v>0</v>
      </c>
      <c r="O87" s="133">
        <v>0</v>
      </c>
      <c r="P87" s="133">
        <v>0</v>
      </c>
      <c r="Q87" s="133">
        <v>0</v>
      </c>
      <c r="R87" s="133">
        <v>0</v>
      </c>
      <c r="S87" s="133">
        <v>0</v>
      </c>
      <c r="T87" s="133">
        <v>0</v>
      </c>
      <c r="U87" s="133">
        <v>0</v>
      </c>
      <c r="V87" s="133">
        <v>0</v>
      </c>
      <c r="W87" s="133">
        <v>0</v>
      </c>
      <c r="X87" s="133">
        <v>0</v>
      </c>
      <c r="Y87" s="133">
        <v>15.81</v>
      </c>
      <c r="Z87" s="133">
        <v>15.81</v>
      </c>
      <c r="AA87" s="133">
        <v>126.48</v>
      </c>
      <c r="AB87" s="133">
        <v>163.47999999999999</v>
      </c>
      <c r="AC87" s="133">
        <v>204.58</v>
      </c>
      <c r="AD87" s="133">
        <v>115.1</v>
      </c>
      <c r="AE87" s="133">
        <v>156.19999999999999</v>
      </c>
      <c r="AF87" s="133">
        <v>156.19999999999999</v>
      </c>
      <c r="AG87" s="133">
        <v>82.21</v>
      </c>
      <c r="AH87" s="133">
        <v>0</v>
      </c>
      <c r="AI87" s="133">
        <v>0</v>
      </c>
      <c r="AJ87" s="133">
        <v>0</v>
      </c>
      <c r="AK87" s="133">
        <v>0</v>
      </c>
      <c r="AL87" s="133">
        <v>0</v>
      </c>
      <c r="AM87" s="136" t="str">
        <f>IF(ISERROR(VLOOKUP(D87,'Woodmac profile - Oil'!$D$9:$AN$266,37,FALSE)),"",VLOOKUP(D87,'Woodmac profile - Oil'!$D$9:$AN$266,37,FALSE))</f>
        <v/>
      </c>
      <c r="AN87" s="136" t="str">
        <f>IF(ISERROR(VLOOKUP(D87,'Woodmac profile - Gas'!$D$9:$AN$249,37,FALSE)),"",VLOOKUP(D87,'Woodmac profile - Gas'!$D$9:$AN$249,37,FALSE))</f>
        <v>SUBS</v>
      </c>
      <c r="AO87" s="136" t="str">
        <f t="shared" ref="AO87" si="7">IF(AM87="",AN87,AM87)</f>
        <v>SUBS</v>
      </c>
      <c r="AP87" s="132"/>
      <c r="AQ87" s="129"/>
      <c r="AR87" s="129"/>
      <c r="AS87" s="354"/>
      <c r="AT87" s="131"/>
      <c r="AU87" s="131"/>
      <c r="AV87" s="354"/>
      <c r="AW87" s="132"/>
      <c r="AX87" s="354"/>
      <c r="AY87" s="132"/>
      <c r="AZ87" s="132"/>
      <c r="BA87" s="132"/>
      <c r="BB87" s="132"/>
    </row>
    <row r="88" spans="1:54">
      <c r="A88" s="132"/>
      <c r="B88" s="133" t="s">
        <v>3369</v>
      </c>
      <c r="C88" s="133" t="s">
        <v>3565</v>
      </c>
      <c r="D88" s="133" t="s">
        <v>3702</v>
      </c>
      <c r="E88" s="133" t="s">
        <v>2970</v>
      </c>
      <c r="F88" s="133" t="s">
        <v>2960</v>
      </c>
      <c r="G88" s="133" t="s">
        <v>3374</v>
      </c>
      <c r="H88" s="133" t="s">
        <v>116</v>
      </c>
      <c r="I88" s="133" t="s">
        <v>2600</v>
      </c>
      <c r="J88" s="133">
        <v>25</v>
      </c>
      <c r="K88" s="133">
        <v>0</v>
      </c>
      <c r="L88" s="133">
        <v>0</v>
      </c>
      <c r="M88" s="133">
        <v>0</v>
      </c>
      <c r="N88" s="133">
        <v>0</v>
      </c>
      <c r="O88" s="133">
        <v>0</v>
      </c>
      <c r="P88" s="133">
        <v>0</v>
      </c>
      <c r="Q88" s="133">
        <v>0</v>
      </c>
      <c r="R88" s="133">
        <v>0</v>
      </c>
      <c r="S88" s="133">
        <v>0</v>
      </c>
      <c r="T88" s="133">
        <v>0</v>
      </c>
      <c r="U88" s="133">
        <v>0</v>
      </c>
      <c r="V88" s="133">
        <v>0</v>
      </c>
      <c r="W88" s="133">
        <v>0</v>
      </c>
      <c r="X88" s="133">
        <v>19.05</v>
      </c>
      <c r="Y88" s="133">
        <v>30.617999999999999</v>
      </c>
      <c r="Z88" s="133">
        <v>27.06</v>
      </c>
      <c r="AA88" s="133">
        <v>28.355</v>
      </c>
      <c r="AB88" s="133">
        <v>19.97</v>
      </c>
      <c r="AC88" s="133">
        <v>24.715</v>
      </c>
      <c r="AD88" s="133">
        <v>22.355</v>
      </c>
      <c r="AE88" s="133">
        <v>22.355</v>
      </c>
      <c r="AF88" s="133">
        <v>22.355</v>
      </c>
      <c r="AG88" s="133">
        <v>1.2749999999999999</v>
      </c>
      <c r="AH88" s="133">
        <v>1.2749999999999999</v>
      </c>
      <c r="AI88" s="133">
        <v>1.2749999999999999</v>
      </c>
      <c r="AJ88" s="133">
        <v>1.2749999999999999</v>
      </c>
      <c r="AK88" s="133">
        <v>1.2749999999999999</v>
      </c>
      <c r="AL88" s="133">
        <v>1.2749999999999999</v>
      </c>
      <c r="AM88" s="136" t="str">
        <f>IF(ISERROR(VLOOKUP(D88,'Woodmac profile - Oil'!$D$9:$AN$266,37,FALSE)),"",VLOOKUP(D88,'Woodmac profile - Oil'!$D$9:$AN$266,37,FALSE))</f>
        <v>SUBS</v>
      </c>
      <c r="AN88" s="136" t="str">
        <f>IF(ISERROR(VLOOKUP(D88,'Woodmac profile - Gas'!$D$9:$AN$249,37,FALSE)),"",VLOOKUP(D88,'Woodmac profile - Gas'!$D$9:$AN$249,37,FALSE))</f>
        <v>SUBS</v>
      </c>
      <c r="AO88" s="136" t="str">
        <f t="shared" si="6"/>
        <v>SUBS</v>
      </c>
      <c r="AP88" s="132"/>
      <c r="AQ88" s="129"/>
      <c r="AR88" s="129"/>
      <c r="AS88" s="354"/>
      <c r="AT88" s="131"/>
      <c r="AU88" s="131"/>
      <c r="AV88" s="354"/>
      <c r="AW88" s="132"/>
      <c r="AX88" s="354"/>
      <c r="AY88" s="132"/>
      <c r="AZ88" s="132"/>
      <c r="BA88" s="132"/>
      <c r="BB88" s="132"/>
    </row>
    <row r="89" spans="1:54">
      <c r="A89" s="132"/>
      <c r="B89" s="133" t="s">
        <v>3369</v>
      </c>
      <c r="C89" s="133" t="s">
        <v>139</v>
      </c>
      <c r="D89" s="133" t="s">
        <v>140</v>
      </c>
      <c r="E89" s="133" t="s">
        <v>1927</v>
      </c>
      <c r="F89" s="133" t="s">
        <v>1928</v>
      </c>
      <c r="G89" s="133" t="s">
        <v>1931</v>
      </c>
      <c r="H89" s="133" t="s">
        <v>116</v>
      </c>
      <c r="I89" s="133" t="s">
        <v>1931</v>
      </c>
      <c r="J89" s="133">
        <v>36</v>
      </c>
      <c r="K89" s="133">
        <v>3.78</v>
      </c>
      <c r="L89" s="133">
        <v>0.55000000000000004</v>
      </c>
      <c r="M89" s="133">
        <v>2.96</v>
      </c>
      <c r="N89" s="133">
        <v>6.15</v>
      </c>
      <c r="O89" s="133">
        <v>0</v>
      </c>
      <c r="P89" s="133">
        <v>0</v>
      </c>
      <c r="Q89" s="133">
        <v>0</v>
      </c>
      <c r="R89" s="133">
        <v>0</v>
      </c>
      <c r="S89" s="133">
        <v>0</v>
      </c>
      <c r="T89" s="133">
        <v>0</v>
      </c>
      <c r="U89" s="133">
        <v>0</v>
      </c>
      <c r="V89" s="133">
        <v>0</v>
      </c>
      <c r="W89" s="133">
        <v>0</v>
      </c>
      <c r="X89" s="133">
        <v>0</v>
      </c>
      <c r="Y89" s="133">
        <v>0</v>
      </c>
      <c r="Z89" s="133">
        <v>0</v>
      </c>
      <c r="AA89" s="133">
        <v>0</v>
      </c>
      <c r="AB89" s="133">
        <v>0</v>
      </c>
      <c r="AC89" s="133">
        <v>0</v>
      </c>
      <c r="AD89" s="133">
        <v>0</v>
      </c>
      <c r="AE89" s="133">
        <v>0</v>
      </c>
      <c r="AF89" s="133">
        <v>0</v>
      </c>
      <c r="AG89" s="133">
        <v>0</v>
      </c>
      <c r="AH89" s="133">
        <v>0</v>
      </c>
      <c r="AI89" s="133">
        <v>0</v>
      </c>
      <c r="AJ89" s="133">
        <v>0</v>
      </c>
      <c r="AK89" s="133">
        <v>0</v>
      </c>
      <c r="AL89" s="133">
        <v>0</v>
      </c>
      <c r="AM89" s="136" t="str">
        <f>IF(ISERROR(VLOOKUP(D89,'Woodmac profile - Oil'!$D$9:$AN$266,37,FALSE)),"",VLOOKUP(D89,'Woodmac profile - Oil'!$D$9:$AN$266,37,FALSE))</f>
        <v>SUBS</v>
      </c>
      <c r="AN89" s="136" t="str">
        <f>IF(ISERROR(VLOOKUP(D89,'Woodmac profile - Gas'!$D$9:$AN$249,37,FALSE)),"",VLOOKUP(D89,'Woodmac profile - Gas'!$D$9:$AN$249,37,FALSE))</f>
        <v>SUBS</v>
      </c>
      <c r="AO89" s="136" t="str">
        <f t="shared" si="6"/>
        <v>SUBS</v>
      </c>
      <c r="AP89" s="132"/>
      <c r="AQ89" s="129"/>
      <c r="AR89" s="129"/>
      <c r="AS89" s="354"/>
      <c r="AT89" s="131"/>
      <c r="AU89" s="131"/>
      <c r="AV89" s="354"/>
      <c r="AW89" s="132"/>
      <c r="AX89" s="354"/>
      <c r="AY89" s="132"/>
      <c r="AZ89" s="132"/>
      <c r="BA89" s="132"/>
      <c r="BB89" s="132"/>
    </row>
    <row r="90" spans="1:54">
      <c r="A90" s="132"/>
      <c r="B90" s="133" t="s">
        <v>3369</v>
      </c>
      <c r="C90" s="133" t="s">
        <v>139</v>
      </c>
      <c r="D90" s="133" t="s">
        <v>942</v>
      </c>
      <c r="E90" s="133" t="s">
        <v>2254</v>
      </c>
      <c r="F90" s="133" t="s">
        <v>1928</v>
      </c>
      <c r="G90" s="133" t="s">
        <v>1931</v>
      </c>
      <c r="H90" s="133" t="s">
        <v>116</v>
      </c>
      <c r="I90" s="133" t="s">
        <v>1931</v>
      </c>
      <c r="J90" s="133">
        <v>80</v>
      </c>
      <c r="K90" s="133">
        <v>0</v>
      </c>
      <c r="L90" s="133">
        <v>0</v>
      </c>
      <c r="M90" s="133">
        <v>0</v>
      </c>
      <c r="N90" s="133">
        <v>16.399999999999999</v>
      </c>
      <c r="O90" s="133">
        <v>0</v>
      </c>
      <c r="P90" s="133">
        <v>0</v>
      </c>
      <c r="Q90" s="133">
        <v>0</v>
      </c>
      <c r="R90" s="133">
        <v>0</v>
      </c>
      <c r="S90" s="133">
        <v>0</v>
      </c>
      <c r="T90" s="133">
        <v>0</v>
      </c>
      <c r="U90" s="133">
        <v>0</v>
      </c>
      <c r="V90" s="133">
        <v>0</v>
      </c>
      <c r="W90" s="133">
        <v>0</v>
      </c>
      <c r="X90" s="133">
        <v>0</v>
      </c>
      <c r="Y90" s="133">
        <v>0</v>
      </c>
      <c r="Z90" s="133">
        <v>0</v>
      </c>
      <c r="AA90" s="133">
        <v>0</v>
      </c>
      <c r="AB90" s="133">
        <v>0</v>
      </c>
      <c r="AC90" s="133">
        <v>0</v>
      </c>
      <c r="AD90" s="133">
        <v>0</v>
      </c>
      <c r="AE90" s="133">
        <v>0</v>
      </c>
      <c r="AF90" s="133">
        <v>0</v>
      </c>
      <c r="AG90" s="133">
        <v>0</v>
      </c>
      <c r="AH90" s="133">
        <v>0</v>
      </c>
      <c r="AI90" s="133">
        <v>0</v>
      </c>
      <c r="AJ90" s="133">
        <v>0</v>
      </c>
      <c r="AK90" s="133">
        <v>0</v>
      </c>
      <c r="AL90" s="133">
        <v>0</v>
      </c>
      <c r="AM90" s="136" t="str">
        <f>IF(ISERROR(VLOOKUP(D90,'Woodmac profile - Oil'!$D$9:$AN$266,37,FALSE)),"",VLOOKUP(D90,'Woodmac profile - Oil'!$D$9:$AN$266,37,FALSE))</f>
        <v/>
      </c>
      <c r="AN90" s="136" t="str">
        <f>IF(ISERROR(VLOOKUP(D90,'Woodmac profile - Gas'!$D$9:$AN$249,37,FALSE)),"",VLOOKUP(D90,'Woodmac profile - Gas'!$D$9:$AN$249,37,FALSE))</f>
        <v/>
      </c>
      <c r="AO90" s="136" t="str">
        <f t="shared" ref="AO90" si="8">IF(AM90="",AN90,AM90)</f>
        <v/>
      </c>
      <c r="AP90" s="132"/>
      <c r="AQ90" s="129"/>
      <c r="AR90" s="129"/>
      <c r="AS90" s="354"/>
      <c r="AT90" s="131"/>
      <c r="AU90" s="131"/>
      <c r="AV90" s="354"/>
      <c r="AW90" s="132"/>
      <c r="AX90" s="354"/>
      <c r="AY90" s="132"/>
      <c r="AZ90" s="132"/>
      <c r="BA90" s="132"/>
      <c r="BB90" s="132"/>
    </row>
    <row r="91" spans="1:54">
      <c r="A91" s="132"/>
      <c r="B91" s="133" t="s">
        <v>3369</v>
      </c>
      <c r="C91" s="133" t="s">
        <v>139</v>
      </c>
      <c r="D91" s="133" t="s">
        <v>141</v>
      </c>
      <c r="E91" s="133" t="s">
        <v>2254</v>
      </c>
      <c r="F91" s="133" t="s">
        <v>2960</v>
      </c>
      <c r="G91" s="133" t="s">
        <v>1931</v>
      </c>
      <c r="H91" s="133" t="s">
        <v>116</v>
      </c>
      <c r="I91" s="133" t="s">
        <v>2601</v>
      </c>
      <c r="J91" s="133">
        <v>60</v>
      </c>
      <c r="K91" s="133">
        <v>9.44</v>
      </c>
      <c r="L91" s="133">
        <v>0</v>
      </c>
      <c r="M91" s="133">
        <v>0</v>
      </c>
      <c r="N91" s="133">
        <v>0</v>
      </c>
      <c r="O91" s="133">
        <v>0</v>
      </c>
      <c r="P91" s="133">
        <v>0</v>
      </c>
      <c r="Q91" s="133">
        <v>0</v>
      </c>
      <c r="R91" s="133">
        <v>0</v>
      </c>
      <c r="S91" s="133">
        <v>0</v>
      </c>
      <c r="T91" s="133">
        <v>0</v>
      </c>
      <c r="U91" s="133">
        <v>0</v>
      </c>
      <c r="V91" s="133">
        <v>0</v>
      </c>
      <c r="W91" s="133">
        <v>0</v>
      </c>
      <c r="X91" s="133">
        <v>0</v>
      </c>
      <c r="Y91" s="133">
        <v>0</v>
      </c>
      <c r="Z91" s="133">
        <v>0</v>
      </c>
      <c r="AA91" s="133">
        <v>0</v>
      </c>
      <c r="AB91" s="133">
        <v>0</v>
      </c>
      <c r="AC91" s="133">
        <v>0</v>
      </c>
      <c r="AD91" s="133">
        <v>0</v>
      </c>
      <c r="AE91" s="133">
        <v>0</v>
      </c>
      <c r="AF91" s="133">
        <v>0</v>
      </c>
      <c r="AG91" s="133">
        <v>0</v>
      </c>
      <c r="AH91" s="133">
        <v>0</v>
      </c>
      <c r="AI91" s="133">
        <v>0</v>
      </c>
      <c r="AJ91" s="133">
        <v>0</v>
      </c>
      <c r="AK91" s="133">
        <v>0</v>
      </c>
      <c r="AL91" s="133">
        <v>0</v>
      </c>
      <c r="AM91" s="136" t="str">
        <f>IF(ISERROR(VLOOKUP(D91,'Woodmac profile - Oil'!$D$9:$AN$266,37,FALSE)),"",VLOOKUP(D91,'Woodmac profile - Oil'!$D$9:$AN$266,37,FALSE))</f>
        <v>SUBS</v>
      </c>
      <c r="AN91" s="136" t="str">
        <f>IF(ISERROR(VLOOKUP(D91,'Woodmac profile - Gas'!$D$9:$AN$249,37,FALSE)),"",VLOOKUP(D91,'Woodmac profile - Gas'!$D$9:$AN$249,37,FALSE))</f>
        <v>SUBS</v>
      </c>
      <c r="AO91" s="136" t="str">
        <f t="shared" ref="AO91:AO110" si="9">IF(AM91="",AN91,AM91)</f>
        <v>SUBS</v>
      </c>
      <c r="AP91" s="132"/>
      <c r="AQ91" s="129"/>
      <c r="AR91" s="129"/>
      <c r="AS91" s="354"/>
      <c r="AT91" s="131"/>
      <c r="AU91" s="131"/>
      <c r="AV91" s="354"/>
      <c r="AW91" s="132"/>
      <c r="AX91" s="354"/>
      <c r="AY91" s="132"/>
      <c r="AZ91" s="132"/>
      <c r="BA91" s="132"/>
      <c r="BB91" s="132"/>
    </row>
    <row r="92" spans="1:54">
      <c r="A92" s="132"/>
      <c r="B92" s="133" t="s">
        <v>3369</v>
      </c>
      <c r="C92" s="133" t="s">
        <v>139</v>
      </c>
      <c r="D92" s="133" t="s">
        <v>142</v>
      </c>
      <c r="E92" s="133" t="s">
        <v>2254</v>
      </c>
      <c r="F92" s="133" t="s">
        <v>2960</v>
      </c>
      <c r="G92" s="133" t="s">
        <v>1931</v>
      </c>
      <c r="H92" s="133" t="s">
        <v>116</v>
      </c>
      <c r="I92" s="133" t="s">
        <v>2601</v>
      </c>
      <c r="J92" s="133">
        <v>53.833399999999997</v>
      </c>
      <c r="K92" s="133">
        <v>1.85</v>
      </c>
      <c r="L92" s="133">
        <v>0</v>
      </c>
      <c r="M92" s="133">
        <v>0</v>
      </c>
      <c r="N92" s="133">
        <v>0</v>
      </c>
      <c r="O92" s="133">
        <v>0</v>
      </c>
      <c r="P92" s="133">
        <v>0</v>
      </c>
      <c r="Q92" s="133">
        <v>0</v>
      </c>
      <c r="R92" s="133">
        <v>0</v>
      </c>
      <c r="S92" s="133">
        <v>0</v>
      </c>
      <c r="T92" s="133">
        <v>0</v>
      </c>
      <c r="U92" s="133">
        <v>0</v>
      </c>
      <c r="V92" s="133">
        <v>0</v>
      </c>
      <c r="W92" s="133">
        <v>0</v>
      </c>
      <c r="X92" s="133">
        <v>0</v>
      </c>
      <c r="Y92" s="133">
        <v>0</v>
      </c>
      <c r="Z92" s="133">
        <v>0</v>
      </c>
      <c r="AA92" s="133">
        <v>0</v>
      </c>
      <c r="AB92" s="133">
        <v>0</v>
      </c>
      <c r="AC92" s="133">
        <v>0</v>
      </c>
      <c r="AD92" s="133">
        <v>0</v>
      </c>
      <c r="AE92" s="133">
        <v>0</v>
      </c>
      <c r="AF92" s="133">
        <v>0</v>
      </c>
      <c r="AG92" s="133">
        <v>0</v>
      </c>
      <c r="AH92" s="133">
        <v>0</v>
      </c>
      <c r="AI92" s="133">
        <v>0</v>
      </c>
      <c r="AJ92" s="133">
        <v>0</v>
      </c>
      <c r="AK92" s="133">
        <v>0</v>
      </c>
      <c r="AL92" s="133">
        <v>0</v>
      </c>
      <c r="AM92" s="136" t="str">
        <f>IF(ISERROR(VLOOKUP(D92,'Woodmac profile - Oil'!$D$9:$AN$266,37,FALSE)),"",VLOOKUP(D92,'Woodmac profile - Oil'!$D$9:$AN$266,37,FALSE))</f>
        <v>SUBS</v>
      </c>
      <c r="AN92" s="136" t="str">
        <f>IF(ISERROR(VLOOKUP(D92,'Woodmac profile - Gas'!$D$9:$AN$249,37,FALSE)),"",VLOOKUP(D92,'Woodmac profile - Gas'!$D$9:$AN$249,37,FALSE))</f>
        <v>SUBS</v>
      </c>
      <c r="AO92" s="136" t="str">
        <f t="shared" si="9"/>
        <v>SUBS</v>
      </c>
      <c r="AP92" s="132"/>
      <c r="AQ92" s="129"/>
      <c r="AR92" s="129"/>
      <c r="AS92" s="354"/>
      <c r="AT92" s="131"/>
      <c r="AU92" s="131"/>
      <c r="AV92" s="354"/>
      <c r="AW92" s="132"/>
      <c r="AX92" s="354"/>
      <c r="AY92" s="132"/>
      <c r="AZ92" s="132"/>
      <c r="BA92" s="132"/>
      <c r="BB92" s="132"/>
    </row>
    <row r="93" spans="1:54">
      <c r="A93" s="132"/>
      <c r="B93" s="133" t="s">
        <v>3369</v>
      </c>
      <c r="C93" s="133" t="s">
        <v>139</v>
      </c>
      <c r="D93" s="133" t="s">
        <v>3011</v>
      </c>
      <c r="E93" s="133" t="s">
        <v>1927</v>
      </c>
      <c r="F93" s="133" t="s">
        <v>2960</v>
      </c>
      <c r="G93" s="133" t="s">
        <v>1931</v>
      </c>
      <c r="H93" s="133" t="s">
        <v>116</v>
      </c>
      <c r="I93" s="133" t="s">
        <v>2600</v>
      </c>
      <c r="J93" s="133">
        <v>18.82</v>
      </c>
      <c r="K93" s="133">
        <v>0</v>
      </c>
      <c r="L93" s="133">
        <v>2.95</v>
      </c>
      <c r="M93" s="133">
        <v>0</v>
      </c>
      <c r="N93" s="133">
        <v>0.51</v>
      </c>
      <c r="O93" s="133">
        <v>0</v>
      </c>
      <c r="P93" s="133">
        <v>0</v>
      </c>
      <c r="Q93" s="133">
        <v>0</v>
      </c>
      <c r="R93" s="133">
        <v>0</v>
      </c>
      <c r="S93" s="133">
        <v>0</v>
      </c>
      <c r="T93" s="133">
        <v>0</v>
      </c>
      <c r="U93" s="133">
        <v>0</v>
      </c>
      <c r="V93" s="133">
        <v>0</v>
      </c>
      <c r="W93" s="133">
        <v>0</v>
      </c>
      <c r="X93" s="133">
        <v>0</v>
      </c>
      <c r="Y93" s="133">
        <v>0</v>
      </c>
      <c r="Z93" s="133">
        <v>0</v>
      </c>
      <c r="AA93" s="133">
        <v>0</v>
      </c>
      <c r="AB93" s="133">
        <v>0</v>
      </c>
      <c r="AC93" s="133">
        <v>0</v>
      </c>
      <c r="AD93" s="133">
        <v>0</v>
      </c>
      <c r="AE93" s="133">
        <v>0</v>
      </c>
      <c r="AF93" s="133">
        <v>0</v>
      </c>
      <c r="AG93" s="133">
        <v>0</v>
      </c>
      <c r="AH93" s="133">
        <v>0</v>
      </c>
      <c r="AI93" s="133">
        <v>0</v>
      </c>
      <c r="AJ93" s="133">
        <v>0</v>
      </c>
      <c r="AK93" s="133">
        <v>0</v>
      </c>
      <c r="AL93" s="133">
        <v>0</v>
      </c>
      <c r="AM93" s="136" t="str">
        <f>IF(ISERROR(VLOOKUP(D93,'Woodmac profile - Oil'!$D$9:$AN$266,37,FALSE)),"",VLOOKUP(D93,'Woodmac profile - Oil'!$D$9:$AN$266,37,FALSE))</f>
        <v>SUBS</v>
      </c>
      <c r="AN93" s="136" t="str">
        <f>IF(ISERROR(VLOOKUP(D93,'Woodmac profile - Gas'!$D$9:$AN$249,37,FALSE)),"",VLOOKUP(D93,'Woodmac profile - Gas'!$D$9:$AN$249,37,FALSE))</f>
        <v>SUBS</v>
      </c>
      <c r="AO93" s="136" t="str">
        <f t="shared" si="9"/>
        <v>SUBS</v>
      </c>
      <c r="AP93" s="132"/>
      <c r="AQ93" s="129"/>
      <c r="AR93" s="129"/>
      <c r="AS93" s="354"/>
      <c r="AT93" s="131"/>
      <c r="AU93" s="131"/>
      <c r="AV93" s="354"/>
      <c r="AW93" s="132"/>
      <c r="AX93" s="354"/>
      <c r="AY93" s="132"/>
      <c r="AZ93" s="132"/>
      <c r="BA93" s="132"/>
      <c r="BB93" s="132"/>
    </row>
    <row r="94" spans="1:54">
      <c r="A94" s="132"/>
      <c r="B94" s="133" t="s">
        <v>3369</v>
      </c>
      <c r="C94" s="133" t="s">
        <v>139</v>
      </c>
      <c r="D94" s="133" t="s">
        <v>1741</v>
      </c>
      <c r="E94" s="133" t="s">
        <v>2254</v>
      </c>
      <c r="F94" s="133" t="s">
        <v>2960</v>
      </c>
      <c r="G94" s="133" t="s">
        <v>1931</v>
      </c>
      <c r="H94" s="133" t="s">
        <v>116</v>
      </c>
      <c r="I94" s="133" t="s">
        <v>2571</v>
      </c>
      <c r="J94" s="133">
        <v>14.94</v>
      </c>
      <c r="K94" s="133">
        <v>0.21</v>
      </c>
      <c r="L94" s="133">
        <v>0.23</v>
      </c>
      <c r="M94" s="133">
        <v>0</v>
      </c>
      <c r="N94" s="133">
        <v>0</v>
      </c>
      <c r="O94" s="133">
        <v>0</v>
      </c>
      <c r="P94" s="133">
        <v>0</v>
      </c>
      <c r="Q94" s="133">
        <v>0</v>
      </c>
      <c r="R94" s="133">
        <v>0</v>
      </c>
      <c r="S94" s="133">
        <v>0</v>
      </c>
      <c r="T94" s="133">
        <v>0</v>
      </c>
      <c r="U94" s="133">
        <v>0</v>
      </c>
      <c r="V94" s="133">
        <v>0</v>
      </c>
      <c r="W94" s="133">
        <v>0</v>
      </c>
      <c r="X94" s="133">
        <v>0</v>
      </c>
      <c r="Y94" s="133">
        <v>0</v>
      </c>
      <c r="Z94" s="133">
        <v>0</v>
      </c>
      <c r="AA94" s="133">
        <v>0</v>
      </c>
      <c r="AB94" s="133">
        <v>0</v>
      </c>
      <c r="AC94" s="133">
        <v>0</v>
      </c>
      <c r="AD94" s="133">
        <v>0</v>
      </c>
      <c r="AE94" s="133">
        <v>0</v>
      </c>
      <c r="AF94" s="133">
        <v>0</v>
      </c>
      <c r="AG94" s="133">
        <v>0</v>
      </c>
      <c r="AH94" s="133">
        <v>0</v>
      </c>
      <c r="AI94" s="133">
        <v>0</v>
      </c>
      <c r="AJ94" s="133">
        <v>0</v>
      </c>
      <c r="AK94" s="133">
        <v>0</v>
      </c>
      <c r="AL94" s="133">
        <v>0</v>
      </c>
      <c r="AM94" s="136" t="str">
        <f>IF(ISERROR(VLOOKUP(D94,'Woodmac profile - Oil'!$D$9:$AN$266,37,FALSE)),"",VLOOKUP(D94,'Woodmac profile - Oil'!$D$9:$AN$266,37,FALSE))</f>
        <v>SUBS</v>
      </c>
      <c r="AN94" s="136" t="str">
        <f>IF(ISERROR(VLOOKUP(D94,'Woodmac profile - Gas'!$D$9:$AN$249,37,FALSE)),"",VLOOKUP(D94,'Woodmac profile - Gas'!$D$9:$AN$249,37,FALSE))</f>
        <v>SUBS</v>
      </c>
      <c r="AO94" s="136" t="str">
        <f t="shared" si="9"/>
        <v>SUBS</v>
      </c>
      <c r="AP94" s="132"/>
      <c r="AQ94" s="129"/>
      <c r="AR94" s="129"/>
      <c r="AS94" s="354"/>
      <c r="AT94" s="131"/>
      <c r="AU94" s="131"/>
      <c r="AV94" s="354"/>
      <c r="AW94" s="132"/>
      <c r="AX94" s="354"/>
      <c r="AY94" s="132"/>
      <c r="AZ94" s="132"/>
      <c r="BA94" s="132"/>
      <c r="BB94" s="132"/>
    </row>
    <row r="95" spans="1:54">
      <c r="A95" s="132"/>
      <c r="B95" s="133" t="s">
        <v>3369</v>
      </c>
      <c r="C95" s="133" t="s">
        <v>139</v>
      </c>
      <c r="D95" s="133" t="s">
        <v>1742</v>
      </c>
      <c r="E95" s="133" t="s">
        <v>1927</v>
      </c>
      <c r="F95" s="133" t="s">
        <v>2960</v>
      </c>
      <c r="G95" s="133" t="s">
        <v>1931</v>
      </c>
      <c r="H95" s="133" t="s">
        <v>116</v>
      </c>
      <c r="I95" s="133" t="s">
        <v>2600</v>
      </c>
      <c r="J95" s="133">
        <v>42.5</v>
      </c>
      <c r="K95" s="133">
        <v>1.43</v>
      </c>
      <c r="L95" s="133">
        <v>0</v>
      </c>
      <c r="M95" s="133">
        <v>0</v>
      </c>
      <c r="N95" s="133">
        <v>0</v>
      </c>
      <c r="O95" s="133">
        <v>0</v>
      </c>
      <c r="P95" s="133">
        <v>0</v>
      </c>
      <c r="Q95" s="133">
        <v>0</v>
      </c>
      <c r="R95" s="133">
        <v>0</v>
      </c>
      <c r="S95" s="133">
        <v>0</v>
      </c>
      <c r="T95" s="133">
        <v>0</v>
      </c>
      <c r="U95" s="133">
        <v>0</v>
      </c>
      <c r="V95" s="133">
        <v>0</v>
      </c>
      <c r="W95" s="133">
        <v>0</v>
      </c>
      <c r="X95" s="133">
        <v>0</v>
      </c>
      <c r="Y95" s="133">
        <v>0</v>
      </c>
      <c r="Z95" s="133">
        <v>0</v>
      </c>
      <c r="AA95" s="133">
        <v>0</v>
      </c>
      <c r="AB95" s="133">
        <v>0</v>
      </c>
      <c r="AC95" s="133">
        <v>0</v>
      </c>
      <c r="AD95" s="133">
        <v>0</v>
      </c>
      <c r="AE95" s="133">
        <v>0</v>
      </c>
      <c r="AF95" s="133">
        <v>0</v>
      </c>
      <c r="AG95" s="133">
        <v>0</v>
      </c>
      <c r="AH95" s="133">
        <v>0</v>
      </c>
      <c r="AI95" s="133">
        <v>0</v>
      </c>
      <c r="AJ95" s="133">
        <v>0</v>
      </c>
      <c r="AK95" s="133">
        <v>0</v>
      </c>
      <c r="AL95" s="133">
        <v>0</v>
      </c>
      <c r="AM95" s="136" t="str">
        <f>IF(ISERROR(VLOOKUP(D95,'Woodmac profile - Oil'!$D$9:$AN$266,37,FALSE)),"",VLOOKUP(D95,'Woodmac profile - Oil'!$D$9:$AN$266,37,FALSE))</f>
        <v>SUBS</v>
      </c>
      <c r="AN95" s="136" t="str">
        <f>IF(ISERROR(VLOOKUP(D95,'Woodmac profile - Gas'!$D$9:$AN$249,37,FALSE)),"",VLOOKUP(D95,'Woodmac profile - Gas'!$D$9:$AN$249,37,FALSE))</f>
        <v>SUBS</v>
      </c>
      <c r="AO95" s="136" t="str">
        <f t="shared" si="9"/>
        <v>SUBS</v>
      </c>
      <c r="AP95" s="132"/>
      <c r="AQ95" s="129"/>
      <c r="AR95" s="129"/>
      <c r="AS95" s="354"/>
      <c r="AT95" s="131"/>
      <c r="AU95" s="131"/>
      <c r="AV95" s="354"/>
      <c r="AW95" s="132"/>
      <c r="AX95" s="354"/>
      <c r="AY95" s="132"/>
      <c r="AZ95" s="132"/>
      <c r="BA95" s="132"/>
      <c r="BB95" s="132"/>
    </row>
    <row r="96" spans="1:54">
      <c r="A96" s="132"/>
      <c r="B96" s="133" t="s">
        <v>3369</v>
      </c>
      <c r="C96" s="133" t="s">
        <v>139</v>
      </c>
      <c r="D96" s="133" t="s">
        <v>1743</v>
      </c>
      <c r="E96" s="133" t="s">
        <v>1927</v>
      </c>
      <c r="F96" s="133" t="s">
        <v>2960</v>
      </c>
      <c r="G96" s="133" t="s">
        <v>1931</v>
      </c>
      <c r="H96" s="133" t="s">
        <v>116</v>
      </c>
      <c r="I96" s="133" t="s">
        <v>2601</v>
      </c>
      <c r="J96" s="133">
        <v>26.36</v>
      </c>
      <c r="K96" s="133">
        <v>1.84</v>
      </c>
      <c r="L96" s="133">
        <v>0</v>
      </c>
      <c r="M96" s="133">
        <v>0</v>
      </c>
      <c r="N96" s="133">
        <v>0</v>
      </c>
      <c r="O96" s="133">
        <v>0</v>
      </c>
      <c r="P96" s="133">
        <v>0</v>
      </c>
      <c r="Q96" s="133">
        <v>0</v>
      </c>
      <c r="R96" s="133">
        <v>0</v>
      </c>
      <c r="S96" s="133">
        <v>0</v>
      </c>
      <c r="T96" s="133">
        <v>0</v>
      </c>
      <c r="U96" s="133">
        <v>0</v>
      </c>
      <c r="V96" s="133">
        <v>0</v>
      </c>
      <c r="W96" s="133">
        <v>0</v>
      </c>
      <c r="X96" s="133">
        <v>0</v>
      </c>
      <c r="Y96" s="133">
        <v>0</v>
      </c>
      <c r="Z96" s="133">
        <v>0</v>
      </c>
      <c r="AA96" s="133">
        <v>0</v>
      </c>
      <c r="AB96" s="133">
        <v>0</v>
      </c>
      <c r="AC96" s="133">
        <v>0</v>
      </c>
      <c r="AD96" s="133">
        <v>0</v>
      </c>
      <c r="AE96" s="133">
        <v>0</v>
      </c>
      <c r="AF96" s="133">
        <v>0</v>
      </c>
      <c r="AG96" s="133">
        <v>0</v>
      </c>
      <c r="AH96" s="133">
        <v>0</v>
      </c>
      <c r="AI96" s="133">
        <v>0</v>
      </c>
      <c r="AJ96" s="133">
        <v>0</v>
      </c>
      <c r="AK96" s="133">
        <v>0</v>
      </c>
      <c r="AL96" s="133">
        <v>0</v>
      </c>
      <c r="AM96" s="136" t="str">
        <f>IF(ISERROR(VLOOKUP(D96,'Woodmac profile - Oil'!$D$9:$AN$266,37,FALSE)),"",VLOOKUP(D96,'Woodmac profile - Oil'!$D$9:$AN$266,37,FALSE))</f>
        <v>SUBS</v>
      </c>
      <c r="AN96" s="136" t="str">
        <f>IF(ISERROR(VLOOKUP(D96,'Woodmac profile - Gas'!$D$9:$AN$249,37,FALSE)),"",VLOOKUP(D96,'Woodmac profile - Gas'!$D$9:$AN$249,37,FALSE))</f>
        <v>SUBS</v>
      </c>
      <c r="AO96" s="136" t="str">
        <f t="shared" si="9"/>
        <v>SUBS</v>
      </c>
      <c r="AP96" s="132"/>
      <c r="AQ96" s="129"/>
      <c r="AR96" s="129"/>
      <c r="AS96" s="354"/>
      <c r="AT96" s="131"/>
      <c r="AU96" s="131"/>
      <c r="AV96" s="354"/>
      <c r="AW96" s="132"/>
      <c r="AX96" s="354"/>
      <c r="AY96" s="132"/>
      <c r="AZ96" s="132"/>
      <c r="BA96" s="132"/>
      <c r="BB96" s="132"/>
    </row>
    <row r="97" spans="1:54">
      <c r="A97" s="132"/>
      <c r="B97" s="133" t="s">
        <v>3369</v>
      </c>
      <c r="C97" s="133" t="s">
        <v>139</v>
      </c>
      <c r="D97" s="133" t="s">
        <v>1744</v>
      </c>
      <c r="E97" s="133" t="s">
        <v>1927</v>
      </c>
      <c r="F97" s="133" t="s">
        <v>2960</v>
      </c>
      <c r="G97" s="133" t="s">
        <v>1931</v>
      </c>
      <c r="H97" s="133" t="s">
        <v>116</v>
      </c>
      <c r="I97" s="133" t="s">
        <v>2600</v>
      </c>
      <c r="J97" s="133">
        <v>50</v>
      </c>
      <c r="K97" s="133">
        <v>7.69</v>
      </c>
      <c r="L97" s="133">
        <v>5.46</v>
      </c>
      <c r="M97" s="133">
        <v>0</v>
      </c>
      <c r="N97" s="133">
        <v>0</v>
      </c>
      <c r="O97" s="133">
        <v>0</v>
      </c>
      <c r="P97" s="133">
        <v>0</v>
      </c>
      <c r="Q97" s="133">
        <v>0</v>
      </c>
      <c r="R97" s="133">
        <v>0</v>
      </c>
      <c r="S97" s="133">
        <v>0</v>
      </c>
      <c r="T97" s="133">
        <v>0</v>
      </c>
      <c r="U97" s="133">
        <v>0</v>
      </c>
      <c r="V97" s="133">
        <v>0</v>
      </c>
      <c r="W97" s="133">
        <v>0</v>
      </c>
      <c r="X97" s="133">
        <v>0</v>
      </c>
      <c r="Y97" s="133">
        <v>0</v>
      </c>
      <c r="Z97" s="133">
        <v>0</v>
      </c>
      <c r="AA97" s="133">
        <v>0</v>
      </c>
      <c r="AB97" s="133">
        <v>0</v>
      </c>
      <c r="AC97" s="133">
        <v>0</v>
      </c>
      <c r="AD97" s="133">
        <v>0</v>
      </c>
      <c r="AE97" s="133">
        <v>0</v>
      </c>
      <c r="AF97" s="133">
        <v>0</v>
      </c>
      <c r="AG97" s="133">
        <v>0</v>
      </c>
      <c r="AH97" s="133">
        <v>0</v>
      </c>
      <c r="AI97" s="133">
        <v>0</v>
      </c>
      <c r="AJ97" s="133">
        <v>0</v>
      </c>
      <c r="AK97" s="133">
        <v>0</v>
      </c>
      <c r="AL97" s="133">
        <v>0</v>
      </c>
      <c r="AM97" s="136" t="str">
        <f>IF(ISERROR(VLOOKUP(D97,'Woodmac profile - Oil'!$D$9:$AN$266,37,FALSE)),"",VLOOKUP(D97,'Woodmac profile - Oil'!$D$9:$AN$266,37,FALSE))</f>
        <v>SUBS</v>
      </c>
      <c r="AN97" s="136" t="str">
        <f>IF(ISERROR(VLOOKUP(D97,'Woodmac profile - Gas'!$D$9:$AN$249,37,FALSE)),"",VLOOKUP(D97,'Woodmac profile - Gas'!$D$9:$AN$249,37,FALSE))</f>
        <v>SUBS</v>
      </c>
      <c r="AO97" s="136" t="str">
        <f t="shared" si="9"/>
        <v>SUBS</v>
      </c>
      <c r="AP97" s="132"/>
      <c r="AQ97" s="129"/>
      <c r="AR97" s="129"/>
      <c r="AS97" s="354"/>
      <c r="AT97" s="131"/>
      <c r="AU97" s="131"/>
      <c r="AV97" s="354"/>
      <c r="AW97" s="132"/>
      <c r="AX97" s="354"/>
      <c r="AY97" s="132"/>
      <c r="AZ97" s="132"/>
      <c r="BA97" s="132"/>
      <c r="BB97" s="132"/>
    </row>
    <row r="98" spans="1:54">
      <c r="A98" s="132"/>
      <c r="B98" s="133" t="s">
        <v>3369</v>
      </c>
      <c r="C98" s="133" t="s">
        <v>139</v>
      </c>
      <c r="D98" s="133" t="s">
        <v>3531</v>
      </c>
      <c r="E98" s="133" t="s">
        <v>1927</v>
      </c>
      <c r="F98" s="133" t="s">
        <v>2960</v>
      </c>
      <c r="G98" s="133" t="s">
        <v>3374</v>
      </c>
      <c r="H98" s="133" t="s">
        <v>116</v>
      </c>
      <c r="I98" s="133" t="s">
        <v>2600</v>
      </c>
      <c r="J98" s="133">
        <v>31.36</v>
      </c>
      <c r="K98" s="133">
        <v>2.19</v>
      </c>
      <c r="L98" s="133">
        <v>0</v>
      </c>
      <c r="M98" s="133">
        <v>0</v>
      </c>
      <c r="N98" s="133">
        <v>0</v>
      </c>
      <c r="O98" s="133">
        <v>0</v>
      </c>
      <c r="P98" s="133">
        <v>0</v>
      </c>
      <c r="Q98" s="133">
        <v>0</v>
      </c>
      <c r="R98" s="133">
        <v>0</v>
      </c>
      <c r="S98" s="133">
        <v>0</v>
      </c>
      <c r="T98" s="133">
        <v>0</v>
      </c>
      <c r="U98" s="133">
        <v>0</v>
      </c>
      <c r="V98" s="133">
        <v>0</v>
      </c>
      <c r="W98" s="133">
        <v>0</v>
      </c>
      <c r="X98" s="133">
        <v>0</v>
      </c>
      <c r="Y98" s="133">
        <v>0</v>
      </c>
      <c r="Z98" s="133">
        <v>0</v>
      </c>
      <c r="AA98" s="133">
        <v>0</v>
      </c>
      <c r="AB98" s="133">
        <v>0</v>
      </c>
      <c r="AC98" s="133">
        <v>0</v>
      </c>
      <c r="AD98" s="133">
        <v>0</v>
      </c>
      <c r="AE98" s="133">
        <v>0</v>
      </c>
      <c r="AF98" s="133">
        <v>0</v>
      </c>
      <c r="AG98" s="133">
        <v>0</v>
      </c>
      <c r="AH98" s="133">
        <v>0</v>
      </c>
      <c r="AI98" s="133">
        <v>0</v>
      </c>
      <c r="AJ98" s="133">
        <v>0</v>
      </c>
      <c r="AK98" s="133">
        <v>0</v>
      </c>
      <c r="AL98" s="133">
        <v>0</v>
      </c>
      <c r="AM98" s="136" t="str">
        <f>IF(ISERROR(VLOOKUP(D98,'Woodmac profile - Oil'!$D$9:$AN$266,37,FALSE)),"",VLOOKUP(D98,'Woodmac profile - Oil'!$D$9:$AN$266,37,FALSE))</f>
        <v/>
      </c>
      <c r="AN98" s="136" t="str">
        <f>IF(ISERROR(VLOOKUP(D98,'Woodmac profile - Gas'!$D$9:$AN$249,37,FALSE)),"",VLOOKUP(D98,'Woodmac profile - Gas'!$D$9:$AN$249,37,FALSE))</f>
        <v/>
      </c>
      <c r="AO98" s="136" t="str">
        <f t="shared" ref="AO98" si="10">IF(AM98="",AN98,AM98)</f>
        <v/>
      </c>
      <c r="AP98" s="132"/>
      <c r="AQ98" s="129"/>
      <c r="AR98" s="129"/>
      <c r="AS98" s="354"/>
      <c r="AT98" s="131"/>
      <c r="AU98" s="131"/>
      <c r="AV98" s="354"/>
      <c r="AW98" s="132"/>
      <c r="AX98" s="354"/>
      <c r="AY98" s="132"/>
      <c r="AZ98" s="132"/>
      <c r="BA98" s="132"/>
      <c r="BB98" s="132"/>
    </row>
    <row r="99" spans="1:54">
      <c r="A99" s="132"/>
      <c r="B99" s="133" t="s">
        <v>3369</v>
      </c>
      <c r="C99" s="133" t="s">
        <v>1745</v>
      </c>
      <c r="D99" s="133" t="s">
        <v>3573</v>
      </c>
      <c r="E99" s="133" t="s">
        <v>1927</v>
      </c>
      <c r="F99" s="133" t="s">
        <v>2960</v>
      </c>
      <c r="G99" s="133" t="s">
        <v>3374</v>
      </c>
      <c r="H99" s="133" t="s">
        <v>116</v>
      </c>
      <c r="I99" s="133" t="s">
        <v>2971</v>
      </c>
      <c r="J99" s="133">
        <v>19.5</v>
      </c>
      <c r="K99" s="133">
        <v>0</v>
      </c>
      <c r="L99" s="133">
        <v>0</v>
      </c>
      <c r="M99" s="133">
        <v>0</v>
      </c>
      <c r="N99" s="133">
        <v>0</v>
      </c>
      <c r="O99" s="133">
        <v>0</v>
      </c>
      <c r="P99" s="133">
        <v>0</v>
      </c>
      <c r="Q99" s="133">
        <v>0</v>
      </c>
      <c r="R99" s="133">
        <v>0</v>
      </c>
      <c r="S99" s="133">
        <v>0</v>
      </c>
      <c r="T99" s="133">
        <v>0</v>
      </c>
      <c r="U99" s="133">
        <v>0</v>
      </c>
      <c r="V99" s="133">
        <v>0</v>
      </c>
      <c r="W99" s="133">
        <v>0</v>
      </c>
      <c r="X99" s="133">
        <v>66.992999999999995</v>
      </c>
      <c r="Y99" s="133">
        <v>47.694000000000003</v>
      </c>
      <c r="Z99" s="133">
        <v>23.327999999999999</v>
      </c>
      <c r="AA99" s="133">
        <v>10.929</v>
      </c>
      <c r="AB99" s="133">
        <v>0</v>
      </c>
      <c r="AC99" s="133">
        <v>0</v>
      </c>
      <c r="AD99" s="133">
        <v>0</v>
      </c>
      <c r="AE99" s="133">
        <v>0</v>
      </c>
      <c r="AF99" s="133">
        <v>15.342000000000001</v>
      </c>
      <c r="AG99" s="133">
        <v>15.321</v>
      </c>
      <c r="AH99" s="133">
        <v>0</v>
      </c>
      <c r="AI99" s="133">
        <v>0</v>
      </c>
      <c r="AJ99" s="133">
        <v>0</v>
      </c>
      <c r="AK99" s="133">
        <v>0</v>
      </c>
      <c r="AL99" s="133">
        <v>0</v>
      </c>
      <c r="AM99" s="136" t="str">
        <f>IF(ISERROR(VLOOKUP(D99,'Woodmac profile - Oil'!$D$9:$AN$266,37,FALSE)),"",VLOOKUP(D99,'Woodmac profile - Oil'!$D$9:$AN$266,37,FALSE))</f>
        <v>EAI</v>
      </c>
      <c r="AN99" s="136" t="str">
        <f>IF(ISERROR(VLOOKUP(D99,'Woodmac profile - Gas'!$D$9:$AN$249,37,FALSE)),"",VLOOKUP(D99,'Woodmac profile - Gas'!$D$9:$AN$249,37,FALSE))</f>
        <v>EAI</v>
      </c>
      <c r="AO99" s="136" t="str">
        <f t="shared" si="9"/>
        <v>EAI</v>
      </c>
      <c r="AP99" s="132"/>
      <c r="AQ99" s="129"/>
      <c r="AR99" s="129"/>
      <c r="AS99" s="354"/>
      <c r="AT99" s="131"/>
      <c r="AU99" s="131"/>
      <c r="AV99" s="354"/>
      <c r="AW99" s="132"/>
      <c r="AX99" s="354"/>
      <c r="AY99" s="132"/>
      <c r="AZ99" s="132"/>
      <c r="BA99" s="132"/>
      <c r="BB99" s="132"/>
    </row>
    <row r="100" spans="1:54">
      <c r="A100" s="132"/>
      <c r="B100" s="133" t="s">
        <v>3369</v>
      </c>
      <c r="C100" s="133" t="s">
        <v>1745</v>
      </c>
      <c r="D100" s="133" t="s">
        <v>3574</v>
      </c>
      <c r="E100" s="133" t="s">
        <v>1927</v>
      </c>
      <c r="F100" s="133" t="s">
        <v>2960</v>
      </c>
      <c r="G100" s="133" t="s">
        <v>1929</v>
      </c>
      <c r="H100" s="133" t="s">
        <v>116</v>
      </c>
      <c r="I100" s="133" t="s">
        <v>2571</v>
      </c>
      <c r="J100" s="133">
        <v>3</v>
      </c>
      <c r="K100" s="133">
        <v>0</v>
      </c>
      <c r="L100" s="133">
        <v>0</v>
      </c>
      <c r="M100" s="133">
        <v>0</v>
      </c>
      <c r="N100" s="133">
        <v>0</v>
      </c>
      <c r="O100" s="133">
        <v>0</v>
      </c>
      <c r="P100" s="133">
        <v>0</v>
      </c>
      <c r="Q100" s="133">
        <v>0</v>
      </c>
      <c r="R100" s="133">
        <v>0</v>
      </c>
      <c r="S100" s="133">
        <v>0</v>
      </c>
      <c r="T100" s="133">
        <v>0</v>
      </c>
      <c r="U100" s="133">
        <v>0</v>
      </c>
      <c r="V100" s="133">
        <v>0</v>
      </c>
      <c r="W100" s="133">
        <v>0</v>
      </c>
      <c r="X100" s="133">
        <v>1.7999999999999999E-2</v>
      </c>
      <c r="Y100" s="133">
        <v>0</v>
      </c>
      <c r="Z100" s="133">
        <v>0</v>
      </c>
      <c r="AA100" s="133">
        <v>0</v>
      </c>
      <c r="AB100" s="133">
        <v>0</v>
      </c>
      <c r="AC100" s="133">
        <v>0</v>
      </c>
      <c r="AD100" s="133">
        <v>0</v>
      </c>
      <c r="AE100" s="133">
        <v>0</v>
      </c>
      <c r="AF100" s="133">
        <v>0</v>
      </c>
      <c r="AG100" s="133">
        <v>0</v>
      </c>
      <c r="AH100" s="133">
        <v>0</v>
      </c>
      <c r="AI100" s="133">
        <v>0</v>
      </c>
      <c r="AJ100" s="133">
        <v>0</v>
      </c>
      <c r="AK100" s="133">
        <v>0</v>
      </c>
      <c r="AL100" s="133">
        <v>0</v>
      </c>
      <c r="AM100" s="136" t="str">
        <f>IF(ISERROR(VLOOKUP(D100,'Woodmac profile - Oil'!$D$9:$AN$266,37,FALSE)),"",VLOOKUP(D100,'Woodmac profile - Oil'!$D$9:$AN$266,37,FALSE))</f>
        <v>EAI</v>
      </c>
      <c r="AN100" s="136" t="str">
        <f>IF(ISERROR(VLOOKUP(D100,'Woodmac profile - Gas'!$D$9:$AN$249,37,FALSE)),"",VLOOKUP(D100,'Woodmac profile - Gas'!$D$9:$AN$249,37,FALSE))</f>
        <v>EAI</v>
      </c>
      <c r="AO100" s="136" t="str">
        <f t="shared" si="9"/>
        <v>EAI</v>
      </c>
      <c r="AP100" s="132"/>
      <c r="AQ100" s="129"/>
      <c r="AR100" s="129"/>
      <c r="AS100" s="354"/>
      <c r="AT100" s="131"/>
      <c r="AU100" s="131"/>
      <c r="AV100" s="354"/>
      <c r="AW100" s="132"/>
      <c r="AX100" s="354"/>
      <c r="AY100" s="132"/>
      <c r="AZ100" s="132"/>
      <c r="BA100" s="132"/>
      <c r="BB100" s="132"/>
    </row>
    <row r="101" spans="1:54">
      <c r="A101" s="132"/>
      <c r="B101" s="133" t="s">
        <v>3369</v>
      </c>
      <c r="C101" s="133" t="s">
        <v>1745</v>
      </c>
      <c r="D101" s="133" t="s">
        <v>3460</v>
      </c>
      <c r="E101" s="133" t="s">
        <v>1927</v>
      </c>
      <c r="F101" s="133" t="s">
        <v>2960</v>
      </c>
      <c r="G101" s="133" t="s">
        <v>1932</v>
      </c>
      <c r="H101" s="133" t="s">
        <v>116</v>
      </c>
      <c r="I101" s="133" t="s">
        <v>2600</v>
      </c>
      <c r="J101" s="133">
        <v>18.36</v>
      </c>
      <c r="K101" s="133">
        <v>2.59</v>
      </c>
      <c r="L101" s="133">
        <v>15.55</v>
      </c>
      <c r="M101" s="133">
        <v>7.08</v>
      </c>
      <c r="N101" s="133">
        <v>14.59</v>
      </c>
      <c r="O101" s="133">
        <v>24.71</v>
      </c>
      <c r="P101" s="133">
        <v>47.58</v>
      </c>
      <c r="Q101" s="133">
        <v>26.99</v>
      </c>
      <c r="R101" s="133">
        <v>25.06</v>
      </c>
      <c r="S101" s="133">
        <v>40.69</v>
      </c>
      <c r="T101" s="133">
        <v>0</v>
      </c>
      <c r="U101" s="133">
        <v>0</v>
      </c>
      <c r="V101" s="133">
        <v>0</v>
      </c>
      <c r="W101" s="133">
        <v>0</v>
      </c>
      <c r="X101" s="133">
        <v>0</v>
      </c>
      <c r="Y101" s="133">
        <v>0</v>
      </c>
      <c r="Z101" s="133">
        <v>0</v>
      </c>
      <c r="AA101" s="133">
        <v>0</v>
      </c>
      <c r="AB101" s="133">
        <v>0</v>
      </c>
      <c r="AC101" s="133">
        <v>0</v>
      </c>
      <c r="AD101" s="133">
        <v>0</v>
      </c>
      <c r="AE101" s="133">
        <v>0</v>
      </c>
      <c r="AF101" s="133">
        <v>0</v>
      </c>
      <c r="AG101" s="133">
        <v>0</v>
      </c>
      <c r="AH101" s="133">
        <v>0</v>
      </c>
      <c r="AI101" s="133">
        <v>0</v>
      </c>
      <c r="AJ101" s="133">
        <v>0</v>
      </c>
      <c r="AK101" s="133">
        <v>0</v>
      </c>
      <c r="AL101" s="133">
        <v>0</v>
      </c>
      <c r="AM101" s="136" t="str">
        <f>IF(ISERROR(VLOOKUP(D101,'Woodmac profile - Oil'!$D$9:$AN$266,37,FALSE)),"",VLOOKUP(D101,'Woodmac profile - Oil'!$D$9:$AN$266,37,FALSE))</f>
        <v>SUBS</v>
      </c>
      <c r="AN101" s="136" t="str">
        <f>IF(ISERROR(VLOOKUP(D101,'Woodmac profile - Gas'!$D$9:$AN$249,37,FALSE)),"",VLOOKUP(D101,'Woodmac profile - Gas'!$D$9:$AN$249,37,FALSE))</f>
        <v>EAI</v>
      </c>
      <c r="AO101" s="136" t="str">
        <f t="shared" si="9"/>
        <v>SUBS</v>
      </c>
      <c r="AP101" s="132"/>
      <c r="AQ101" s="129"/>
      <c r="AR101" s="129"/>
      <c r="AS101" s="354"/>
      <c r="AT101" s="131"/>
      <c r="AU101" s="131"/>
      <c r="AV101" s="354"/>
      <c r="AW101" s="132"/>
      <c r="AX101" s="354"/>
      <c r="AY101" s="132"/>
      <c r="AZ101" s="132"/>
      <c r="BA101" s="132"/>
      <c r="BB101" s="132"/>
    </row>
    <row r="102" spans="1:54">
      <c r="A102" s="132"/>
      <c r="B102" s="133" t="s">
        <v>3369</v>
      </c>
      <c r="C102" s="133" t="s">
        <v>1745</v>
      </c>
      <c r="D102" s="133" t="s">
        <v>3577</v>
      </c>
      <c r="E102" s="133" t="s">
        <v>3372</v>
      </c>
      <c r="F102" s="133" t="s">
        <v>2960</v>
      </c>
      <c r="G102" s="133" t="s">
        <v>3374</v>
      </c>
      <c r="H102" s="133" t="s">
        <v>116</v>
      </c>
      <c r="I102" s="133" t="s">
        <v>2971</v>
      </c>
      <c r="J102" s="133">
        <v>9</v>
      </c>
      <c r="K102" s="133">
        <v>0</v>
      </c>
      <c r="L102" s="133">
        <v>0</v>
      </c>
      <c r="M102" s="133">
        <v>0</v>
      </c>
      <c r="N102" s="133">
        <v>0</v>
      </c>
      <c r="O102" s="133">
        <v>0</v>
      </c>
      <c r="P102" s="133">
        <v>0</v>
      </c>
      <c r="Q102" s="133">
        <v>0</v>
      </c>
      <c r="R102" s="133">
        <v>0</v>
      </c>
      <c r="S102" s="133">
        <v>0</v>
      </c>
      <c r="T102" s="133">
        <v>0</v>
      </c>
      <c r="U102" s="133">
        <v>0</v>
      </c>
      <c r="V102" s="133">
        <v>0</v>
      </c>
      <c r="W102" s="133">
        <v>0</v>
      </c>
      <c r="X102" s="133">
        <v>0</v>
      </c>
      <c r="Y102" s="133">
        <v>0</v>
      </c>
      <c r="Z102" s="133">
        <v>1.4039999999999999</v>
      </c>
      <c r="AA102" s="133">
        <v>23.954999999999998</v>
      </c>
      <c r="AB102" s="133">
        <v>40.061999999999998</v>
      </c>
      <c r="AC102" s="133">
        <v>15.768000000000001</v>
      </c>
      <c r="AD102" s="133">
        <v>0</v>
      </c>
      <c r="AE102" s="133">
        <v>0</v>
      </c>
      <c r="AF102" s="133">
        <v>0</v>
      </c>
      <c r="AG102" s="133">
        <v>0</v>
      </c>
      <c r="AH102" s="133">
        <v>0</v>
      </c>
      <c r="AI102" s="133">
        <v>0</v>
      </c>
      <c r="AJ102" s="133">
        <v>0</v>
      </c>
      <c r="AK102" s="133">
        <v>0</v>
      </c>
      <c r="AL102" s="133">
        <v>0</v>
      </c>
      <c r="AM102" s="136" t="str">
        <f>IF(ISERROR(VLOOKUP(D102,'Woodmac profile - Oil'!$D$9:$AN$266,37,FALSE)),"",VLOOKUP(D102,'Woodmac profile - Oil'!$D$9:$AN$266,37,FALSE))</f>
        <v>EAI</v>
      </c>
      <c r="AN102" s="136" t="str">
        <f>IF(ISERROR(VLOOKUP(D102,'Woodmac profile - Gas'!$D$9:$AN$249,37,FALSE)),"",VLOOKUP(D102,'Woodmac profile - Gas'!$D$9:$AN$249,37,FALSE))</f>
        <v>EAI</v>
      </c>
      <c r="AO102" s="136" t="str">
        <f t="shared" si="9"/>
        <v>EAI</v>
      </c>
      <c r="AP102" s="132"/>
      <c r="AQ102" s="129"/>
      <c r="AR102" s="129"/>
      <c r="AS102" s="354"/>
      <c r="AT102" s="131"/>
      <c r="AU102" s="131"/>
      <c r="AV102" s="354"/>
      <c r="AW102" s="132"/>
      <c r="AX102" s="354"/>
      <c r="AY102" s="132"/>
      <c r="AZ102" s="132"/>
      <c r="BA102" s="132"/>
      <c r="BB102" s="132"/>
    </row>
    <row r="103" spans="1:54">
      <c r="A103" s="132"/>
      <c r="B103" s="133" t="s">
        <v>3369</v>
      </c>
      <c r="C103" s="133" t="s">
        <v>1745</v>
      </c>
      <c r="D103" s="133" t="s">
        <v>3578</v>
      </c>
      <c r="E103" s="133" t="s">
        <v>1927</v>
      </c>
      <c r="F103" s="133" t="s">
        <v>2960</v>
      </c>
      <c r="G103" s="133" t="s">
        <v>3374</v>
      </c>
      <c r="H103" s="133" t="s">
        <v>116</v>
      </c>
      <c r="I103" s="133" t="s">
        <v>2600</v>
      </c>
      <c r="J103" s="133">
        <v>0.99</v>
      </c>
      <c r="K103" s="133">
        <v>0</v>
      </c>
      <c r="L103" s="133">
        <v>0</v>
      </c>
      <c r="M103" s="133">
        <v>0</v>
      </c>
      <c r="N103" s="133">
        <v>0</v>
      </c>
      <c r="O103" s="133">
        <v>0</v>
      </c>
      <c r="P103" s="133">
        <v>0</v>
      </c>
      <c r="Q103" s="133">
        <v>0</v>
      </c>
      <c r="R103" s="133">
        <v>0</v>
      </c>
      <c r="S103" s="133">
        <v>0</v>
      </c>
      <c r="T103" s="133">
        <v>0</v>
      </c>
      <c r="U103" s="133">
        <v>0</v>
      </c>
      <c r="V103" s="133">
        <v>0</v>
      </c>
      <c r="W103" s="133">
        <v>0</v>
      </c>
      <c r="X103" s="133">
        <v>8.8740000000000006</v>
      </c>
      <c r="Y103" s="133">
        <v>6.1050000000000004</v>
      </c>
      <c r="Z103" s="133">
        <v>3.8639999999999999</v>
      </c>
      <c r="AA103" s="133">
        <v>2.5289999999999999</v>
      </c>
      <c r="AB103" s="133">
        <v>0</v>
      </c>
      <c r="AC103" s="133">
        <v>0</v>
      </c>
      <c r="AD103" s="133">
        <v>0.71099999999999997</v>
      </c>
      <c r="AE103" s="133">
        <v>0</v>
      </c>
      <c r="AF103" s="133">
        <v>0</v>
      </c>
      <c r="AG103" s="133">
        <v>0.70799999999999996</v>
      </c>
      <c r="AH103" s="133">
        <v>0</v>
      </c>
      <c r="AI103" s="133">
        <v>0</v>
      </c>
      <c r="AJ103" s="133">
        <v>0</v>
      </c>
      <c r="AK103" s="133">
        <v>0</v>
      </c>
      <c r="AL103" s="133">
        <v>0</v>
      </c>
      <c r="AM103" s="136" t="str">
        <f>IF(ISERROR(VLOOKUP(D103,'Woodmac profile - Oil'!$D$9:$AN$266,37,FALSE)),"",VLOOKUP(D103,'Woodmac profile - Oil'!$D$9:$AN$266,37,FALSE))</f>
        <v>EAI</v>
      </c>
      <c r="AN103" s="136" t="str">
        <f>IF(ISERROR(VLOOKUP(D103,'Woodmac profile - Gas'!$D$9:$AN$249,37,FALSE)),"",VLOOKUP(D103,'Woodmac profile - Gas'!$D$9:$AN$249,37,FALSE))</f>
        <v>EAI</v>
      </c>
      <c r="AO103" s="136" t="str">
        <f t="shared" si="9"/>
        <v>EAI</v>
      </c>
      <c r="AP103" s="132"/>
      <c r="AQ103" s="129"/>
      <c r="AR103" s="129"/>
      <c r="AS103" s="354"/>
      <c r="AT103" s="131"/>
      <c r="AU103" s="131"/>
      <c r="AV103" s="354"/>
      <c r="AW103" s="132"/>
      <c r="AX103" s="354"/>
      <c r="AY103" s="132"/>
      <c r="AZ103" s="132"/>
      <c r="BA103" s="132"/>
      <c r="BB103" s="132"/>
    </row>
    <row r="104" spans="1:54">
      <c r="A104" s="132"/>
      <c r="B104" s="133" t="s">
        <v>3369</v>
      </c>
      <c r="C104" s="133" t="s">
        <v>1745</v>
      </c>
      <c r="D104" s="133" t="s">
        <v>3579</v>
      </c>
      <c r="E104" s="133" t="s">
        <v>3372</v>
      </c>
      <c r="F104" s="133" t="s">
        <v>2960</v>
      </c>
      <c r="G104" s="133" t="s">
        <v>3374</v>
      </c>
      <c r="H104" s="133" t="s">
        <v>116</v>
      </c>
      <c r="I104" s="133" t="s">
        <v>2571</v>
      </c>
      <c r="J104" s="133">
        <v>10.5</v>
      </c>
      <c r="K104" s="133">
        <v>0</v>
      </c>
      <c r="L104" s="133">
        <v>0</v>
      </c>
      <c r="M104" s="133">
        <v>0</v>
      </c>
      <c r="N104" s="133">
        <v>0</v>
      </c>
      <c r="O104" s="133">
        <v>0</v>
      </c>
      <c r="P104" s="133">
        <v>0</v>
      </c>
      <c r="Q104" s="133">
        <v>0</v>
      </c>
      <c r="R104" s="133">
        <v>0</v>
      </c>
      <c r="S104" s="133">
        <v>0</v>
      </c>
      <c r="T104" s="133">
        <v>0</v>
      </c>
      <c r="U104" s="133">
        <v>0</v>
      </c>
      <c r="V104" s="133">
        <v>0</v>
      </c>
      <c r="W104" s="133">
        <v>0</v>
      </c>
      <c r="X104" s="133">
        <v>6.6000000000000003E-2</v>
      </c>
      <c r="Y104" s="133">
        <v>6.6000000000000003E-2</v>
      </c>
      <c r="Z104" s="133">
        <v>0</v>
      </c>
      <c r="AA104" s="133">
        <v>0</v>
      </c>
      <c r="AB104" s="133">
        <v>0</v>
      </c>
      <c r="AC104" s="133">
        <v>11.696999999999999</v>
      </c>
      <c r="AD104" s="133">
        <v>25.646999999999998</v>
      </c>
      <c r="AE104" s="133">
        <v>0</v>
      </c>
      <c r="AF104" s="133">
        <v>0</v>
      </c>
      <c r="AG104" s="133">
        <v>0</v>
      </c>
      <c r="AH104" s="133">
        <v>0</v>
      </c>
      <c r="AI104" s="133">
        <v>0</v>
      </c>
      <c r="AJ104" s="133">
        <v>0</v>
      </c>
      <c r="AK104" s="133">
        <v>0</v>
      </c>
      <c r="AL104" s="133">
        <v>0</v>
      </c>
      <c r="AM104" s="136" t="str">
        <f>IF(ISERROR(VLOOKUP(D104,'Woodmac profile - Oil'!$D$9:$AN$266,37,FALSE)),"",VLOOKUP(D104,'Woodmac profile - Oil'!$D$9:$AN$266,37,FALSE))</f>
        <v>EAI</v>
      </c>
      <c r="AN104" s="136" t="str">
        <f>IF(ISERROR(VLOOKUP(D104,'Woodmac profile - Gas'!$D$9:$AN$249,37,FALSE)),"",VLOOKUP(D104,'Woodmac profile - Gas'!$D$9:$AN$249,37,FALSE))</f>
        <v>EAI</v>
      </c>
      <c r="AO104" s="136" t="str">
        <f t="shared" si="9"/>
        <v>EAI</v>
      </c>
      <c r="AP104" s="132"/>
      <c r="AQ104" s="129"/>
      <c r="AR104" s="129"/>
      <c r="AS104" s="354"/>
      <c r="AT104" s="131"/>
      <c r="AU104" s="131"/>
      <c r="AV104" s="354"/>
      <c r="AW104" s="132"/>
      <c r="AX104" s="354"/>
      <c r="AY104" s="132"/>
      <c r="AZ104" s="132"/>
      <c r="BA104" s="132"/>
      <c r="BB104" s="132"/>
    </row>
    <row r="105" spans="1:54">
      <c r="A105" s="132"/>
      <c r="B105" s="133" t="s">
        <v>3369</v>
      </c>
      <c r="C105" s="133" t="s">
        <v>1745</v>
      </c>
      <c r="D105" s="133" t="s">
        <v>1746</v>
      </c>
      <c r="E105" s="133" t="s">
        <v>1927</v>
      </c>
      <c r="F105" s="133" t="s">
        <v>2960</v>
      </c>
      <c r="G105" s="133" t="s">
        <v>1932</v>
      </c>
      <c r="H105" s="133" t="s">
        <v>116</v>
      </c>
      <c r="I105" s="133" t="s">
        <v>2600</v>
      </c>
      <c r="J105" s="133">
        <v>37.5</v>
      </c>
      <c r="K105" s="133">
        <v>0.24</v>
      </c>
      <c r="L105" s="133">
        <v>0.79</v>
      </c>
      <c r="M105" s="133">
        <v>7.61</v>
      </c>
      <c r="N105" s="133">
        <v>8.32</v>
      </c>
      <c r="O105" s="133">
        <v>0.27</v>
      </c>
      <c r="P105" s="133">
        <v>1.08</v>
      </c>
      <c r="Q105" s="133">
        <v>4.99</v>
      </c>
      <c r="R105" s="133">
        <v>6.59</v>
      </c>
      <c r="S105" s="133">
        <v>11.91</v>
      </c>
      <c r="T105" s="133">
        <v>6.47</v>
      </c>
      <c r="U105" s="133">
        <v>10.039999999999999</v>
      </c>
      <c r="V105" s="133">
        <v>0.06</v>
      </c>
      <c r="W105" s="133">
        <v>0</v>
      </c>
      <c r="X105" s="133">
        <v>0</v>
      </c>
      <c r="Y105" s="133">
        <v>0</v>
      </c>
      <c r="Z105" s="133">
        <v>0</v>
      </c>
      <c r="AA105" s="133">
        <v>0</v>
      </c>
      <c r="AB105" s="133">
        <v>0</v>
      </c>
      <c r="AC105" s="133">
        <v>0</v>
      </c>
      <c r="AD105" s="133">
        <v>0</v>
      </c>
      <c r="AE105" s="133">
        <v>0</v>
      </c>
      <c r="AF105" s="133">
        <v>0</v>
      </c>
      <c r="AG105" s="133">
        <v>0</v>
      </c>
      <c r="AH105" s="133">
        <v>0</v>
      </c>
      <c r="AI105" s="133">
        <v>0</v>
      </c>
      <c r="AJ105" s="133">
        <v>0</v>
      </c>
      <c r="AK105" s="133">
        <v>0</v>
      </c>
      <c r="AL105" s="133">
        <v>0</v>
      </c>
      <c r="AM105" s="136" t="str">
        <f>IF(ISERROR(VLOOKUP(D105,'Woodmac profile - Oil'!$D$9:$AN$266,37,FALSE)),"",VLOOKUP(D105,'Woodmac profile - Oil'!$D$9:$AN$266,37,FALSE))</f>
        <v>SUBS</v>
      </c>
      <c r="AN105" s="136" t="str">
        <f>IF(ISERROR(VLOOKUP(D105,'Woodmac profile - Gas'!$D$9:$AN$249,37,FALSE)),"",VLOOKUP(D105,'Woodmac profile - Gas'!$D$9:$AN$249,37,FALSE))</f>
        <v>SUBS</v>
      </c>
      <c r="AO105" s="136" t="str">
        <f t="shared" si="9"/>
        <v>SUBS</v>
      </c>
      <c r="AP105" s="132"/>
      <c r="AQ105" s="129"/>
      <c r="AR105" s="129"/>
      <c r="AS105" s="354"/>
      <c r="AT105" s="131"/>
      <c r="AU105" s="131"/>
      <c r="AV105" s="354"/>
      <c r="AW105" s="132"/>
      <c r="AX105" s="354"/>
      <c r="AY105" s="132"/>
      <c r="AZ105" s="132"/>
      <c r="BA105" s="132"/>
      <c r="BB105" s="132"/>
    </row>
    <row r="106" spans="1:54">
      <c r="A106" s="132"/>
      <c r="B106" s="133" t="s">
        <v>3369</v>
      </c>
      <c r="C106" s="133" t="s">
        <v>1745</v>
      </c>
      <c r="D106" s="133" t="s">
        <v>1746</v>
      </c>
      <c r="E106" s="133" t="s">
        <v>1927</v>
      </c>
      <c r="F106" s="133" t="s">
        <v>2960</v>
      </c>
      <c r="G106" s="133" t="s">
        <v>1932</v>
      </c>
      <c r="H106" s="133" t="s">
        <v>116</v>
      </c>
      <c r="I106" s="133" t="s">
        <v>2600</v>
      </c>
      <c r="J106" s="133">
        <v>27</v>
      </c>
      <c r="K106" s="133">
        <v>0</v>
      </c>
      <c r="L106" s="133">
        <v>0</v>
      </c>
      <c r="M106" s="133">
        <v>0</v>
      </c>
      <c r="N106" s="133">
        <v>0</v>
      </c>
      <c r="O106" s="133">
        <v>0</v>
      </c>
      <c r="P106" s="133">
        <v>0</v>
      </c>
      <c r="Q106" s="133">
        <v>0</v>
      </c>
      <c r="R106" s="133">
        <v>0</v>
      </c>
      <c r="S106" s="133">
        <v>0</v>
      </c>
      <c r="T106" s="133">
        <v>0</v>
      </c>
      <c r="U106" s="133">
        <v>0</v>
      </c>
      <c r="V106" s="133">
        <v>0</v>
      </c>
      <c r="W106" s="133">
        <v>0</v>
      </c>
      <c r="X106" s="133">
        <v>2.7E-2</v>
      </c>
      <c r="Y106" s="133">
        <v>6.9000000000000006E-2</v>
      </c>
      <c r="Z106" s="133">
        <v>6.9000000000000006E-2</v>
      </c>
      <c r="AA106" s="133">
        <v>0</v>
      </c>
      <c r="AB106" s="133">
        <v>55.77</v>
      </c>
      <c r="AC106" s="133">
        <v>58.62</v>
      </c>
      <c r="AD106" s="133">
        <v>88.986000000000004</v>
      </c>
      <c r="AE106" s="133">
        <v>27.341999999999999</v>
      </c>
      <c r="AF106" s="133">
        <v>0</v>
      </c>
      <c r="AG106" s="133">
        <v>0</v>
      </c>
      <c r="AH106" s="133">
        <v>0</v>
      </c>
      <c r="AI106" s="133">
        <v>0</v>
      </c>
      <c r="AJ106" s="133">
        <v>0.753</v>
      </c>
      <c r="AK106" s="133">
        <v>0.75</v>
      </c>
      <c r="AL106" s="133">
        <v>0.747</v>
      </c>
      <c r="AM106" s="136" t="str">
        <f>IF(ISERROR(VLOOKUP(D106,'Woodmac profile - Oil'!$D$9:$AN$266,37,FALSE)),"",VLOOKUP(D106,'Woodmac profile - Oil'!$D$9:$AN$266,37,FALSE))</f>
        <v>SUBS</v>
      </c>
      <c r="AN106" s="136" t="str">
        <f>IF(ISERROR(VLOOKUP(D106,'Woodmac profile - Gas'!$D$9:$AN$249,37,FALSE)),"",VLOOKUP(D106,'Woodmac profile - Gas'!$D$9:$AN$249,37,FALSE))</f>
        <v>SUBS</v>
      </c>
      <c r="AO106" s="136" t="str">
        <f t="shared" si="9"/>
        <v>SUBS</v>
      </c>
      <c r="AP106" s="132"/>
      <c r="AQ106" s="129"/>
      <c r="AR106" s="129"/>
      <c r="AS106" s="354"/>
      <c r="AT106" s="131"/>
      <c r="AU106" s="131"/>
      <c r="AV106" s="354"/>
      <c r="AW106" s="132"/>
      <c r="AX106" s="354"/>
      <c r="AY106" s="132"/>
      <c r="AZ106" s="132"/>
      <c r="BA106" s="132"/>
      <c r="BB106" s="132"/>
    </row>
    <row r="107" spans="1:54">
      <c r="A107" s="132"/>
      <c r="B107" s="133" t="s">
        <v>3369</v>
      </c>
      <c r="C107" s="133" t="s">
        <v>1745</v>
      </c>
      <c r="D107" s="133" t="s">
        <v>3580</v>
      </c>
      <c r="E107" s="133" t="s">
        <v>1927</v>
      </c>
      <c r="F107" s="133" t="s">
        <v>2960</v>
      </c>
      <c r="G107" s="133" t="s">
        <v>3374</v>
      </c>
      <c r="H107" s="133" t="s">
        <v>116</v>
      </c>
      <c r="I107" s="133" t="s">
        <v>2600</v>
      </c>
      <c r="J107" s="133">
        <v>10.4358</v>
      </c>
      <c r="K107" s="133">
        <v>0</v>
      </c>
      <c r="L107" s="133">
        <v>0</v>
      </c>
      <c r="M107" s="133">
        <v>0</v>
      </c>
      <c r="N107" s="133">
        <v>0</v>
      </c>
      <c r="O107" s="133">
        <v>0</v>
      </c>
      <c r="P107" s="133">
        <v>0</v>
      </c>
      <c r="Q107" s="133">
        <v>0</v>
      </c>
      <c r="R107" s="133">
        <v>0</v>
      </c>
      <c r="S107" s="133">
        <v>0</v>
      </c>
      <c r="T107" s="133">
        <v>0</v>
      </c>
      <c r="U107" s="133">
        <v>0</v>
      </c>
      <c r="V107" s="133">
        <v>0</v>
      </c>
      <c r="W107" s="133">
        <v>0</v>
      </c>
      <c r="X107" s="133">
        <v>122.319</v>
      </c>
      <c r="Y107" s="133">
        <v>29.091000000000001</v>
      </c>
      <c r="Z107" s="133">
        <v>11.598000000000001</v>
      </c>
      <c r="AA107" s="133">
        <v>0</v>
      </c>
      <c r="AB107" s="133">
        <v>0</v>
      </c>
      <c r="AC107" s="133">
        <v>0.33300000000000002</v>
      </c>
      <c r="AD107" s="133">
        <v>0.73499999999999999</v>
      </c>
      <c r="AE107" s="133">
        <v>0</v>
      </c>
      <c r="AF107" s="133">
        <v>0</v>
      </c>
      <c r="AG107" s="133">
        <v>0</v>
      </c>
      <c r="AH107" s="133">
        <v>0</v>
      </c>
      <c r="AI107" s="133">
        <v>0</v>
      </c>
      <c r="AJ107" s="133">
        <v>0</v>
      </c>
      <c r="AK107" s="133">
        <v>0</v>
      </c>
      <c r="AL107" s="133">
        <v>0</v>
      </c>
      <c r="AM107" s="136" t="str">
        <f>IF(ISERROR(VLOOKUP(D107,'Woodmac profile - Oil'!$D$9:$AN$266,37,FALSE)),"",VLOOKUP(D107,'Woodmac profile - Oil'!$D$9:$AN$266,37,FALSE))</f>
        <v>EAI</v>
      </c>
      <c r="AN107" s="136" t="str">
        <f>IF(ISERROR(VLOOKUP(D107,'Woodmac profile - Gas'!$D$9:$AN$249,37,FALSE)),"",VLOOKUP(D107,'Woodmac profile - Gas'!$D$9:$AN$249,37,FALSE))</f>
        <v>EAI</v>
      </c>
      <c r="AO107" s="136" t="str">
        <f t="shared" si="9"/>
        <v>EAI</v>
      </c>
      <c r="AP107" s="132"/>
      <c r="AQ107" s="129"/>
      <c r="AR107" s="129"/>
      <c r="AS107" s="354"/>
      <c r="AT107" s="131"/>
      <c r="AU107" s="131"/>
      <c r="AV107" s="354"/>
      <c r="AW107" s="132"/>
      <c r="AX107" s="354"/>
      <c r="AY107" s="132"/>
      <c r="AZ107" s="132"/>
      <c r="BA107" s="132"/>
      <c r="BB107" s="132"/>
    </row>
    <row r="108" spans="1:54">
      <c r="A108" s="132"/>
      <c r="B108" s="133" t="s">
        <v>3369</v>
      </c>
      <c r="C108" s="133" t="s">
        <v>1745</v>
      </c>
      <c r="D108" s="133" t="s">
        <v>3582</v>
      </c>
      <c r="E108" s="133" t="s">
        <v>2970</v>
      </c>
      <c r="F108" s="133" t="s">
        <v>2960</v>
      </c>
      <c r="G108" s="133" t="s">
        <v>3374</v>
      </c>
      <c r="H108" s="133" t="s">
        <v>116</v>
      </c>
      <c r="I108" s="133" t="s">
        <v>2600</v>
      </c>
      <c r="J108" s="133">
        <v>3.4719000000000002</v>
      </c>
      <c r="K108" s="133">
        <v>0</v>
      </c>
      <c r="L108" s="133">
        <v>0</v>
      </c>
      <c r="M108" s="133">
        <v>0</v>
      </c>
      <c r="N108" s="133">
        <v>0</v>
      </c>
      <c r="O108" s="133">
        <v>0</v>
      </c>
      <c r="P108" s="133">
        <v>0</v>
      </c>
      <c r="Q108" s="133">
        <v>0</v>
      </c>
      <c r="R108" s="133">
        <v>0</v>
      </c>
      <c r="S108" s="133">
        <v>0</v>
      </c>
      <c r="T108" s="133">
        <v>0</v>
      </c>
      <c r="U108" s="133">
        <v>0</v>
      </c>
      <c r="V108" s="133">
        <v>0</v>
      </c>
      <c r="W108" s="133">
        <v>0</v>
      </c>
      <c r="X108" s="133">
        <v>98.213999999999999</v>
      </c>
      <c r="Y108" s="133">
        <v>115.113</v>
      </c>
      <c r="Z108" s="133">
        <v>101.208</v>
      </c>
      <c r="AA108" s="133">
        <v>86.421000000000006</v>
      </c>
      <c r="AB108" s="133">
        <v>45.152999999999999</v>
      </c>
      <c r="AC108" s="133">
        <v>55.758000000000003</v>
      </c>
      <c r="AD108" s="133">
        <v>31.68</v>
      </c>
      <c r="AE108" s="133">
        <v>29.292000000000002</v>
      </c>
      <c r="AF108" s="133">
        <v>4.8689999999999998</v>
      </c>
      <c r="AG108" s="133">
        <v>0</v>
      </c>
      <c r="AH108" s="133">
        <v>0</v>
      </c>
      <c r="AI108" s="133">
        <v>0</v>
      </c>
      <c r="AJ108" s="133">
        <v>0</v>
      </c>
      <c r="AK108" s="133">
        <v>0</v>
      </c>
      <c r="AL108" s="133">
        <v>0</v>
      </c>
      <c r="AM108" s="136" t="str">
        <f>IF(ISERROR(VLOOKUP(D108,'Woodmac profile - Oil'!$D$9:$AN$266,37,FALSE)),"",VLOOKUP(D108,'Woodmac profile - Oil'!$D$9:$AN$266,37,FALSE))</f>
        <v>EAI</v>
      </c>
      <c r="AN108" s="136" t="str">
        <f>IF(ISERROR(VLOOKUP(D108,'Woodmac profile - Gas'!$D$9:$AN$249,37,FALSE)),"",VLOOKUP(D108,'Woodmac profile - Gas'!$D$9:$AN$249,37,FALSE))</f>
        <v>EAI</v>
      </c>
      <c r="AO108" s="136" t="str">
        <f t="shared" si="9"/>
        <v>EAI</v>
      </c>
      <c r="AP108" s="132"/>
      <c r="AQ108" s="129"/>
      <c r="AR108" s="129"/>
      <c r="AS108" s="354"/>
      <c r="AT108" s="131"/>
      <c r="AU108" s="131"/>
      <c r="AV108" s="354"/>
      <c r="AW108" s="132"/>
      <c r="AX108" s="354"/>
      <c r="AY108" s="132"/>
      <c r="AZ108" s="132"/>
      <c r="BA108" s="132"/>
      <c r="BB108" s="132"/>
    </row>
    <row r="109" spans="1:54">
      <c r="A109" s="132"/>
      <c r="B109" s="133" t="s">
        <v>3369</v>
      </c>
      <c r="C109" s="133" t="s">
        <v>1745</v>
      </c>
      <c r="D109" s="133" t="s">
        <v>3736</v>
      </c>
      <c r="E109" s="133" t="s">
        <v>3372</v>
      </c>
      <c r="F109" s="133" t="s">
        <v>2960</v>
      </c>
      <c r="G109" s="133" t="s">
        <v>3374</v>
      </c>
      <c r="H109" s="133" t="s">
        <v>116</v>
      </c>
      <c r="I109" s="133" t="s">
        <v>2971</v>
      </c>
      <c r="J109" s="133">
        <v>15.3</v>
      </c>
      <c r="K109" s="133">
        <v>0</v>
      </c>
      <c r="L109" s="133">
        <v>0</v>
      </c>
      <c r="M109" s="133">
        <v>0</v>
      </c>
      <c r="N109" s="133">
        <v>0</v>
      </c>
      <c r="O109" s="133">
        <v>0</v>
      </c>
      <c r="P109" s="133">
        <v>0</v>
      </c>
      <c r="Q109" s="133">
        <v>0</v>
      </c>
      <c r="R109" s="133">
        <v>0</v>
      </c>
      <c r="S109" s="133">
        <v>0</v>
      </c>
      <c r="T109" s="133">
        <v>0</v>
      </c>
      <c r="U109" s="133">
        <v>0</v>
      </c>
      <c r="V109" s="133">
        <v>0</v>
      </c>
      <c r="W109" s="133">
        <v>0</v>
      </c>
      <c r="X109" s="133">
        <v>0</v>
      </c>
      <c r="Y109" s="133">
        <v>0</v>
      </c>
      <c r="Z109" s="133">
        <v>0</v>
      </c>
      <c r="AA109" s="133">
        <v>111.111</v>
      </c>
      <c r="AB109" s="133">
        <v>145.46100000000001</v>
      </c>
      <c r="AC109" s="133">
        <v>257.62799999999999</v>
      </c>
      <c r="AD109" s="133">
        <v>192.92099999999999</v>
      </c>
      <c r="AE109" s="133">
        <v>52.131</v>
      </c>
      <c r="AF109" s="133">
        <v>79.257000000000005</v>
      </c>
      <c r="AG109" s="133">
        <v>0</v>
      </c>
      <c r="AH109" s="133">
        <v>0</v>
      </c>
      <c r="AI109" s="133">
        <v>0</v>
      </c>
      <c r="AJ109" s="133">
        <v>0</v>
      </c>
      <c r="AK109" s="133">
        <v>0</v>
      </c>
      <c r="AL109" s="133">
        <v>0</v>
      </c>
      <c r="AM109" s="136" t="str">
        <f>IF(ISERROR(VLOOKUP(D109,'Woodmac profile - Oil'!$D$9:$AN$266,37,FALSE)),"",VLOOKUP(D109,'Woodmac profile - Oil'!$D$9:$AN$266,37,FALSE))</f>
        <v>EAI</v>
      </c>
      <c r="AN109" s="136" t="str">
        <f>IF(ISERROR(VLOOKUP(D109,'Woodmac profile - Gas'!$D$9:$AN$249,37,FALSE)),"",VLOOKUP(D109,'Woodmac profile - Gas'!$D$9:$AN$249,37,FALSE))</f>
        <v>EAI</v>
      </c>
      <c r="AO109" s="136" t="str">
        <f t="shared" si="9"/>
        <v>EAI</v>
      </c>
      <c r="AP109" s="132"/>
      <c r="AQ109" s="129"/>
      <c r="AR109" s="129"/>
      <c r="AS109" s="354"/>
      <c r="AT109" s="131"/>
      <c r="AU109" s="131"/>
      <c r="AV109" s="354"/>
      <c r="AW109" s="132"/>
      <c r="AX109" s="354"/>
      <c r="AY109" s="132"/>
      <c r="AZ109" s="132"/>
      <c r="BA109" s="132"/>
      <c r="BB109" s="132"/>
    </row>
    <row r="110" spans="1:54">
      <c r="A110" s="132"/>
      <c r="B110" s="133" t="s">
        <v>3369</v>
      </c>
      <c r="C110" s="133" t="s">
        <v>1745</v>
      </c>
      <c r="D110" s="133" t="s">
        <v>3667</v>
      </c>
      <c r="E110" s="133" t="s">
        <v>2970</v>
      </c>
      <c r="F110" s="133" t="s">
        <v>2960</v>
      </c>
      <c r="G110" s="133" t="s">
        <v>1932</v>
      </c>
      <c r="H110" s="133" t="s">
        <v>116</v>
      </c>
      <c r="I110" s="133" t="s">
        <v>2571</v>
      </c>
      <c r="J110" s="133">
        <v>4.5</v>
      </c>
      <c r="K110" s="133">
        <v>0</v>
      </c>
      <c r="L110" s="133">
        <v>0</v>
      </c>
      <c r="M110" s="133">
        <v>0</v>
      </c>
      <c r="N110" s="133">
        <v>0</v>
      </c>
      <c r="O110" s="133">
        <v>0</v>
      </c>
      <c r="P110" s="133">
        <v>0</v>
      </c>
      <c r="Q110" s="133">
        <v>0</v>
      </c>
      <c r="R110" s="133">
        <v>0</v>
      </c>
      <c r="S110" s="133">
        <v>0</v>
      </c>
      <c r="T110" s="133">
        <v>0</v>
      </c>
      <c r="U110" s="133">
        <v>0</v>
      </c>
      <c r="V110" s="133">
        <v>0</v>
      </c>
      <c r="W110" s="133">
        <v>0</v>
      </c>
      <c r="X110" s="133">
        <v>1.113</v>
      </c>
      <c r="Y110" s="133">
        <v>6.1050000000000004</v>
      </c>
      <c r="Z110" s="133">
        <v>14.733000000000001</v>
      </c>
      <c r="AA110" s="133">
        <v>8.4060000000000006</v>
      </c>
      <c r="AB110" s="133">
        <v>0</v>
      </c>
      <c r="AC110" s="133">
        <v>0</v>
      </c>
      <c r="AD110" s="133">
        <v>0</v>
      </c>
      <c r="AE110" s="133">
        <v>0</v>
      </c>
      <c r="AF110" s="133">
        <v>0</v>
      </c>
      <c r="AG110" s="133">
        <v>0</v>
      </c>
      <c r="AH110" s="133">
        <v>0</v>
      </c>
      <c r="AI110" s="133">
        <v>0</v>
      </c>
      <c r="AJ110" s="133">
        <v>0</v>
      </c>
      <c r="AK110" s="133">
        <v>0</v>
      </c>
      <c r="AL110" s="133">
        <v>0</v>
      </c>
      <c r="AM110" s="136" t="str">
        <f>IF(ISERROR(VLOOKUP(D110,'Woodmac profile - Oil'!$D$9:$AN$266,37,FALSE)),"",VLOOKUP(D110,'Woodmac profile - Oil'!$D$9:$AN$266,37,FALSE))</f>
        <v>EAI</v>
      </c>
      <c r="AN110" s="136" t="str">
        <f>IF(ISERROR(VLOOKUP(D110,'Woodmac profile - Gas'!$D$9:$AN$249,37,FALSE)),"",VLOOKUP(D110,'Woodmac profile - Gas'!$D$9:$AN$249,37,FALSE))</f>
        <v>EAI</v>
      </c>
      <c r="AO110" s="136" t="str">
        <f t="shared" si="9"/>
        <v>EAI</v>
      </c>
      <c r="AP110" s="132"/>
      <c r="AQ110" s="129"/>
      <c r="AR110" s="129"/>
      <c r="AS110" s="354"/>
      <c r="AT110" s="131"/>
      <c r="AU110" s="131"/>
      <c r="AV110" s="354"/>
      <c r="AW110" s="132"/>
      <c r="AX110" s="354"/>
      <c r="AY110" s="132"/>
      <c r="AZ110" s="132"/>
      <c r="BA110" s="132"/>
      <c r="BB110" s="132"/>
    </row>
    <row r="111" spans="1:54">
      <c r="A111" s="132"/>
      <c r="B111" s="133" t="s">
        <v>3369</v>
      </c>
      <c r="C111" s="133" t="s">
        <v>1745</v>
      </c>
      <c r="D111" s="133" t="s">
        <v>943</v>
      </c>
      <c r="E111" s="133" t="s">
        <v>1927</v>
      </c>
      <c r="F111" s="133" t="s">
        <v>2973</v>
      </c>
      <c r="G111" s="133" t="s">
        <v>1931</v>
      </c>
      <c r="H111" s="133" t="s">
        <v>116</v>
      </c>
      <c r="I111" s="133" t="s">
        <v>2571</v>
      </c>
      <c r="J111" s="133">
        <v>10.342000000000001</v>
      </c>
      <c r="K111" s="133">
        <v>0.14000000000000001</v>
      </c>
      <c r="L111" s="133">
        <v>65.87</v>
      </c>
      <c r="M111" s="133">
        <v>0</v>
      </c>
      <c r="N111" s="133">
        <v>0</v>
      </c>
      <c r="O111" s="133">
        <v>0</v>
      </c>
      <c r="P111" s="133">
        <v>0</v>
      </c>
      <c r="Q111" s="133">
        <v>0</v>
      </c>
      <c r="R111" s="133">
        <v>0</v>
      </c>
      <c r="S111" s="133">
        <v>0</v>
      </c>
      <c r="T111" s="133">
        <v>0</v>
      </c>
      <c r="U111" s="133">
        <v>0</v>
      </c>
      <c r="V111" s="133">
        <v>0</v>
      </c>
      <c r="W111" s="133">
        <v>0</v>
      </c>
      <c r="X111" s="133">
        <v>0</v>
      </c>
      <c r="Y111" s="133">
        <v>0</v>
      </c>
      <c r="Z111" s="133">
        <v>0</v>
      </c>
      <c r="AA111" s="133">
        <v>0</v>
      </c>
      <c r="AB111" s="133">
        <v>0</v>
      </c>
      <c r="AC111" s="133">
        <v>0</v>
      </c>
      <c r="AD111" s="133">
        <v>0</v>
      </c>
      <c r="AE111" s="133">
        <v>0</v>
      </c>
      <c r="AF111" s="133">
        <v>0</v>
      </c>
      <c r="AG111" s="133">
        <v>0</v>
      </c>
      <c r="AH111" s="133">
        <v>0</v>
      </c>
      <c r="AI111" s="133">
        <v>0</v>
      </c>
      <c r="AJ111" s="133">
        <v>0</v>
      </c>
      <c r="AK111" s="133">
        <v>0</v>
      </c>
      <c r="AL111" s="133">
        <v>0</v>
      </c>
      <c r="AM111" s="136" t="str">
        <f>IF(ISERROR(VLOOKUP(D111,'Woodmac profile - Oil'!$D$9:$AN$266,37,FALSE)),"",VLOOKUP(D111,'Woodmac profile - Oil'!$D$9:$AN$266,37,FALSE))</f>
        <v/>
      </c>
      <c r="AN111" s="136" t="str">
        <f>IF(ISERROR(VLOOKUP(D111,'Woodmac profile - Gas'!$D$9:$AN$249,37,FALSE)),"",VLOOKUP(D111,'Woodmac profile - Gas'!$D$9:$AN$249,37,FALSE))</f>
        <v/>
      </c>
      <c r="AO111" s="136" t="str">
        <f t="shared" ref="AO111" si="11">IF(AM111="",AN111,AM111)</f>
        <v/>
      </c>
      <c r="AP111" s="132"/>
      <c r="AQ111" s="129"/>
      <c r="AR111" s="129"/>
      <c r="AS111" s="354"/>
      <c r="AT111" s="131"/>
      <c r="AU111" s="131"/>
      <c r="AV111" s="354"/>
      <c r="AW111" s="132"/>
      <c r="AX111" s="354"/>
      <c r="AY111" s="132"/>
      <c r="AZ111" s="132"/>
      <c r="BA111" s="132"/>
      <c r="BB111" s="132"/>
    </row>
    <row r="112" spans="1:54">
      <c r="A112" s="132"/>
      <c r="B112" s="133" t="s">
        <v>3369</v>
      </c>
      <c r="C112" s="133" t="s">
        <v>1745</v>
      </c>
      <c r="D112" s="133" t="s">
        <v>1747</v>
      </c>
      <c r="E112" s="133" t="s">
        <v>1927</v>
      </c>
      <c r="F112" s="133" t="s">
        <v>2960</v>
      </c>
      <c r="G112" s="133" t="s">
        <v>3374</v>
      </c>
      <c r="H112" s="133" t="s">
        <v>116</v>
      </c>
      <c r="I112" s="133" t="s">
        <v>2971</v>
      </c>
      <c r="J112" s="133">
        <v>23.835000000000001</v>
      </c>
      <c r="K112" s="133">
        <v>0</v>
      </c>
      <c r="L112" s="133">
        <v>0</v>
      </c>
      <c r="M112" s="133">
        <v>0</v>
      </c>
      <c r="N112" s="133">
        <v>0</v>
      </c>
      <c r="O112" s="133">
        <v>79.67</v>
      </c>
      <c r="P112" s="133">
        <v>356.51</v>
      </c>
      <c r="Q112" s="133">
        <v>540.51</v>
      </c>
      <c r="R112" s="133">
        <v>360.14</v>
      </c>
      <c r="S112" s="133">
        <v>435.26</v>
      </c>
      <c r="T112" s="133">
        <v>250.96</v>
      </c>
      <c r="U112" s="133">
        <v>160.5</v>
      </c>
      <c r="V112" s="133">
        <v>13.66</v>
      </c>
      <c r="W112" s="133">
        <v>4.26</v>
      </c>
      <c r="X112" s="133">
        <v>0</v>
      </c>
      <c r="Y112" s="133">
        <v>0</v>
      </c>
      <c r="Z112" s="133">
        <v>0</v>
      </c>
      <c r="AA112" s="133">
        <v>0</v>
      </c>
      <c r="AB112" s="133">
        <v>0</v>
      </c>
      <c r="AC112" s="133">
        <v>0</v>
      </c>
      <c r="AD112" s="133">
        <v>0</v>
      </c>
      <c r="AE112" s="133">
        <v>0</v>
      </c>
      <c r="AF112" s="133">
        <v>0</v>
      </c>
      <c r="AG112" s="133">
        <v>0</v>
      </c>
      <c r="AH112" s="133">
        <v>0</v>
      </c>
      <c r="AI112" s="133">
        <v>0</v>
      </c>
      <c r="AJ112" s="133">
        <v>0</v>
      </c>
      <c r="AK112" s="133">
        <v>0</v>
      </c>
      <c r="AL112" s="133">
        <v>0</v>
      </c>
      <c r="AM112" s="136" t="str">
        <f>IF(ISERROR(VLOOKUP(D112,'Woodmac profile - Oil'!$D$9:$AN$266,37,FALSE)),"",VLOOKUP(D112,'Woodmac profile - Oil'!$D$9:$AN$266,37,FALSE))</f>
        <v>SUBS</v>
      </c>
      <c r="AN112" s="136" t="str">
        <f>IF(ISERROR(VLOOKUP(D112,'Woodmac profile - Gas'!$D$9:$AN$249,37,FALSE)),"",VLOOKUP(D112,'Woodmac profile - Gas'!$D$9:$AN$249,37,FALSE))</f>
        <v>SUBS</v>
      </c>
      <c r="AO112" s="136" t="str">
        <f t="shared" ref="AO112:AO174" si="12">IF(AM112="",AN112,AM112)</f>
        <v>SUBS</v>
      </c>
      <c r="AP112" s="132"/>
      <c r="AQ112" s="129"/>
      <c r="AR112" s="129"/>
      <c r="AS112" s="354"/>
      <c r="AT112" s="131"/>
      <c r="AU112" s="131"/>
      <c r="AV112" s="354"/>
      <c r="AW112" s="132"/>
      <c r="AX112" s="354"/>
      <c r="AY112" s="132"/>
      <c r="AZ112" s="132"/>
      <c r="BA112" s="132"/>
      <c r="BB112" s="132"/>
    </row>
    <row r="113" spans="1:54">
      <c r="A113" s="132"/>
      <c r="B113" s="133" t="s">
        <v>3369</v>
      </c>
      <c r="C113" s="133" t="s">
        <v>1745</v>
      </c>
      <c r="D113" s="133" t="s">
        <v>1747</v>
      </c>
      <c r="E113" s="133" t="s">
        <v>1927</v>
      </c>
      <c r="F113" s="133" t="s">
        <v>2960</v>
      </c>
      <c r="G113" s="133" t="s">
        <v>3374</v>
      </c>
      <c r="H113" s="133" t="s">
        <v>116</v>
      </c>
      <c r="I113" s="133" t="s">
        <v>2971</v>
      </c>
      <c r="J113" s="133">
        <v>7.1505000000000001</v>
      </c>
      <c r="K113" s="133">
        <v>0</v>
      </c>
      <c r="L113" s="133">
        <v>0</v>
      </c>
      <c r="M113" s="133">
        <v>0</v>
      </c>
      <c r="N113" s="133">
        <v>0</v>
      </c>
      <c r="O113" s="133">
        <v>0</v>
      </c>
      <c r="P113" s="133">
        <v>0</v>
      </c>
      <c r="Q113" s="133">
        <v>0</v>
      </c>
      <c r="R113" s="133">
        <v>0</v>
      </c>
      <c r="S113" s="133">
        <v>0</v>
      </c>
      <c r="T113" s="133">
        <v>0</v>
      </c>
      <c r="U113" s="133">
        <v>0</v>
      </c>
      <c r="V113" s="133">
        <v>0</v>
      </c>
      <c r="W113" s="133">
        <v>0</v>
      </c>
      <c r="X113" s="133">
        <v>0.88500000000000001</v>
      </c>
      <c r="Y113" s="133">
        <v>1.95</v>
      </c>
      <c r="Z113" s="133">
        <v>11.475</v>
      </c>
      <c r="AA113" s="133">
        <v>23.117999999999999</v>
      </c>
      <c r="AB113" s="133">
        <v>8.6280000000000001</v>
      </c>
      <c r="AC113" s="133">
        <v>9.3089999999999993</v>
      </c>
      <c r="AD113" s="133">
        <v>23.943000000000001</v>
      </c>
      <c r="AE113" s="133">
        <v>13.757999999999999</v>
      </c>
      <c r="AF113" s="133">
        <v>5.3159999999999998</v>
      </c>
      <c r="AG113" s="133">
        <v>8.1120000000000001</v>
      </c>
      <c r="AH113" s="133">
        <v>0</v>
      </c>
      <c r="AI113" s="133">
        <v>0</v>
      </c>
      <c r="AJ113" s="133">
        <v>0</v>
      </c>
      <c r="AK113" s="133">
        <v>0</v>
      </c>
      <c r="AL113" s="133">
        <v>0</v>
      </c>
      <c r="AM113" s="136" t="str">
        <f>IF(ISERROR(VLOOKUP(D113,'Woodmac profile - Oil'!$D$9:$AN$266,37,FALSE)),"",VLOOKUP(D113,'Woodmac profile - Oil'!$D$9:$AN$266,37,FALSE))</f>
        <v>SUBS</v>
      </c>
      <c r="AN113" s="136" t="str">
        <f>IF(ISERROR(VLOOKUP(D113,'Woodmac profile - Gas'!$D$9:$AN$249,37,FALSE)),"",VLOOKUP(D113,'Woodmac profile - Gas'!$D$9:$AN$249,37,FALSE))</f>
        <v>SUBS</v>
      </c>
      <c r="AO113" s="136" t="str">
        <f t="shared" si="12"/>
        <v>SUBS</v>
      </c>
      <c r="AP113" s="132"/>
      <c r="AQ113" s="129"/>
      <c r="AR113" s="129"/>
      <c r="AS113" s="354"/>
      <c r="AT113" s="131"/>
      <c r="AU113" s="131"/>
      <c r="AV113" s="354"/>
      <c r="AW113" s="132"/>
      <c r="AX113" s="354"/>
      <c r="AY113" s="132"/>
      <c r="AZ113" s="132"/>
      <c r="BA113" s="132"/>
      <c r="BB113" s="132"/>
    </row>
    <row r="114" spans="1:54">
      <c r="A114" s="132"/>
      <c r="B114" s="133" t="s">
        <v>3369</v>
      </c>
      <c r="C114" s="133" t="s">
        <v>1745</v>
      </c>
      <c r="D114" s="133" t="s">
        <v>3737</v>
      </c>
      <c r="E114" s="133" t="s">
        <v>2970</v>
      </c>
      <c r="F114" s="133" t="s">
        <v>2960</v>
      </c>
      <c r="G114" s="133" t="s">
        <v>1932</v>
      </c>
      <c r="H114" s="133" t="s">
        <v>1930</v>
      </c>
      <c r="I114" s="133" t="s">
        <v>2571</v>
      </c>
      <c r="J114" s="133">
        <v>19.5</v>
      </c>
      <c r="K114" s="133">
        <v>0</v>
      </c>
      <c r="L114" s="133">
        <v>0</v>
      </c>
      <c r="M114" s="133">
        <v>0</v>
      </c>
      <c r="N114" s="133">
        <v>0</v>
      </c>
      <c r="O114" s="133">
        <v>0</v>
      </c>
      <c r="P114" s="133">
        <v>0</v>
      </c>
      <c r="Q114" s="133">
        <v>0</v>
      </c>
      <c r="R114" s="133">
        <v>0</v>
      </c>
      <c r="S114" s="133">
        <v>0</v>
      </c>
      <c r="T114" s="133">
        <v>0</v>
      </c>
      <c r="U114" s="133">
        <v>0</v>
      </c>
      <c r="V114" s="133">
        <v>0</v>
      </c>
      <c r="W114" s="133">
        <v>0</v>
      </c>
      <c r="X114" s="133">
        <v>0</v>
      </c>
      <c r="Y114" s="133">
        <v>1.2030000000000001</v>
      </c>
      <c r="Z114" s="133">
        <v>9.8219999999999992</v>
      </c>
      <c r="AA114" s="133">
        <v>21.858000000000001</v>
      </c>
      <c r="AB114" s="133">
        <v>3.6240000000000001</v>
      </c>
      <c r="AC114" s="133">
        <v>0</v>
      </c>
      <c r="AD114" s="133">
        <v>0</v>
      </c>
      <c r="AE114" s="133">
        <v>0</v>
      </c>
      <c r="AF114" s="133">
        <v>0</v>
      </c>
      <c r="AG114" s="133">
        <v>0</v>
      </c>
      <c r="AH114" s="133">
        <v>0</v>
      </c>
      <c r="AI114" s="133">
        <v>0</v>
      </c>
      <c r="AJ114" s="133">
        <v>0</v>
      </c>
      <c r="AK114" s="133">
        <v>0</v>
      </c>
      <c r="AL114" s="133">
        <v>0</v>
      </c>
      <c r="AM114" s="136" t="str">
        <f>IF(ISERROR(VLOOKUP(D114,'Woodmac profile - Oil'!$D$9:$AN$266,37,FALSE)),"",VLOOKUP(D114,'Woodmac profile - Oil'!$D$9:$AN$266,37,FALSE))</f>
        <v>EAI</v>
      </c>
      <c r="AN114" s="136" t="str">
        <f>IF(ISERROR(VLOOKUP(D114,'Woodmac profile - Gas'!$D$9:$AN$249,37,FALSE)),"",VLOOKUP(D114,'Woodmac profile - Gas'!$D$9:$AN$249,37,FALSE))</f>
        <v/>
      </c>
      <c r="AO114" s="136" t="str">
        <f t="shared" si="12"/>
        <v>EAI</v>
      </c>
      <c r="AP114" s="132"/>
      <c r="AQ114" s="129"/>
      <c r="AR114" s="129"/>
      <c r="AS114" s="354"/>
      <c r="AT114" s="131"/>
      <c r="AU114" s="131"/>
      <c r="AV114" s="354"/>
      <c r="AW114" s="132"/>
      <c r="AX114" s="354"/>
      <c r="AY114" s="132"/>
      <c r="AZ114" s="132"/>
      <c r="BA114" s="132"/>
      <c r="BB114" s="132"/>
    </row>
    <row r="115" spans="1:54">
      <c r="A115" s="132"/>
      <c r="B115" s="133" t="s">
        <v>3369</v>
      </c>
      <c r="C115" s="133" t="s">
        <v>1745</v>
      </c>
      <c r="D115" s="133" t="s">
        <v>1748</v>
      </c>
      <c r="E115" s="133" t="s">
        <v>1927</v>
      </c>
      <c r="F115" s="133" t="s">
        <v>2960</v>
      </c>
      <c r="G115" s="133" t="s">
        <v>1932</v>
      </c>
      <c r="H115" s="133" t="s">
        <v>116</v>
      </c>
      <c r="I115" s="133" t="s">
        <v>2600</v>
      </c>
      <c r="J115" s="133">
        <v>55</v>
      </c>
      <c r="K115" s="133">
        <v>1.56</v>
      </c>
      <c r="L115" s="133">
        <v>4.33</v>
      </c>
      <c r="M115" s="133">
        <v>7.81</v>
      </c>
      <c r="N115" s="133">
        <v>26.29</v>
      </c>
      <c r="O115" s="133">
        <v>46.66</v>
      </c>
      <c r="P115" s="133">
        <v>10.71</v>
      </c>
      <c r="Q115" s="133">
        <v>0</v>
      </c>
      <c r="R115" s="133">
        <v>0</v>
      </c>
      <c r="S115" s="133">
        <v>1.24</v>
      </c>
      <c r="T115" s="133">
        <v>4.0999999999999996</v>
      </c>
      <c r="U115" s="133">
        <v>0.31</v>
      </c>
      <c r="V115" s="133">
        <v>11.2</v>
      </c>
      <c r="W115" s="133">
        <v>3.5</v>
      </c>
      <c r="X115" s="133">
        <v>0</v>
      </c>
      <c r="Y115" s="133">
        <v>0</v>
      </c>
      <c r="Z115" s="133">
        <v>0</v>
      </c>
      <c r="AA115" s="133">
        <v>0</v>
      </c>
      <c r="AB115" s="133">
        <v>0</v>
      </c>
      <c r="AC115" s="133">
        <v>0</v>
      </c>
      <c r="AD115" s="133">
        <v>0</v>
      </c>
      <c r="AE115" s="133">
        <v>0</v>
      </c>
      <c r="AF115" s="133">
        <v>0</v>
      </c>
      <c r="AG115" s="133">
        <v>0</v>
      </c>
      <c r="AH115" s="133">
        <v>0</v>
      </c>
      <c r="AI115" s="133">
        <v>0</v>
      </c>
      <c r="AJ115" s="133">
        <v>0</v>
      </c>
      <c r="AK115" s="133">
        <v>0</v>
      </c>
      <c r="AL115" s="133">
        <v>0</v>
      </c>
      <c r="AM115" s="136" t="str">
        <f>IF(ISERROR(VLOOKUP(D115,'Woodmac profile - Oil'!$D$9:$AN$266,37,FALSE)),"",VLOOKUP(D115,'Woodmac profile - Oil'!$D$9:$AN$266,37,FALSE))</f>
        <v>SUBS</v>
      </c>
      <c r="AN115" s="136" t="str">
        <f>IF(ISERROR(VLOOKUP(D115,'Woodmac profile - Gas'!$D$9:$AN$249,37,FALSE)),"",VLOOKUP(D115,'Woodmac profile - Gas'!$D$9:$AN$249,37,FALSE))</f>
        <v>SUBS</v>
      </c>
      <c r="AO115" s="136" t="str">
        <f t="shared" si="12"/>
        <v>SUBS</v>
      </c>
      <c r="AP115" s="132"/>
      <c r="AQ115" s="129"/>
      <c r="AR115" s="129"/>
      <c r="AS115" s="354"/>
      <c r="AT115" s="131"/>
      <c r="AU115" s="131"/>
      <c r="AV115" s="354"/>
      <c r="AW115" s="132"/>
      <c r="AX115" s="354"/>
      <c r="AY115" s="132"/>
      <c r="AZ115" s="132"/>
      <c r="BA115" s="132"/>
      <c r="BB115" s="132"/>
    </row>
    <row r="116" spans="1:54">
      <c r="A116" s="132"/>
      <c r="B116" s="133" t="s">
        <v>3369</v>
      </c>
      <c r="C116" s="133" t="s">
        <v>1745</v>
      </c>
      <c r="D116" s="133" t="s">
        <v>1748</v>
      </c>
      <c r="E116" s="133" t="s">
        <v>1927</v>
      </c>
      <c r="F116" s="133" t="s">
        <v>2960</v>
      </c>
      <c r="G116" s="133" t="s">
        <v>1932</v>
      </c>
      <c r="H116" s="133" t="s">
        <v>116</v>
      </c>
      <c r="I116" s="133" t="s">
        <v>2600</v>
      </c>
      <c r="J116" s="133">
        <v>16.5</v>
      </c>
      <c r="K116" s="133">
        <v>0</v>
      </c>
      <c r="L116" s="133">
        <v>0</v>
      </c>
      <c r="M116" s="133">
        <v>0</v>
      </c>
      <c r="N116" s="133">
        <v>0</v>
      </c>
      <c r="O116" s="133">
        <v>0</v>
      </c>
      <c r="P116" s="133">
        <v>0</v>
      </c>
      <c r="Q116" s="133">
        <v>0</v>
      </c>
      <c r="R116" s="133">
        <v>0</v>
      </c>
      <c r="S116" s="133">
        <v>0</v>
      </c>
      <c r="T116" s="133">
        <v>0</v>
      </c>
      <c r="U116" s="133">
        <v>0</v>
      </c>
      <c r="V116" s="133">
        <v>0</v>
      </c>
      <c r="W116" s="133">
        <v>0</v>
      </c>
      <c r="X116" s="133">
        <v>0.16200000000000001</v>
      </c>
      <c r="Y116" s="133">
        <v>9.3420000000000005</v>
      </c>
      <c r="Z116" s="133">
        <v>26.492999999999999</v>
      </c>
      <c r="AA116" s="133">
        <v>0</v>
      </c>
      <c r="AB116" s="133">
        <v>0</v>
      </c>
      <c r="AC116" s="133">
        <v>0</v>
      </c>
      <c r="AD116" s="133">
        <v>0</v>
      </c>
      <c r="AE116" s="133">
        <v>0</v>
      </c>
      <c r="AF116" s="133">
        <v>0</v>
      </c>
      <c r="AG116" s="133">
        <v>0</v>
      </c>
      <c r="AH116" s="133">
        <v>0</v>
      </c>
      <c r="AI116" s="133">
        <v>0</v>
      </c>
      <c r="AJ116" s="133">
        <v>0</v>
      </c>
      <c r="AK116" s="133">
        <v>0</v>
      </c>
      <c r="AL116" s="133">
        <v>0</v>
      </c>
      <c r="AM116" s="136" t="str">
        <f>IF(ISERROR(VLOOKUP(D116,'Woodmac profile - Oil'!$D$9:$AN$266,37,FALSE)),"",VLOOKUP(D116,'Woodmac profile - Oil'!$D$9:$AN$266,37,FALSE))</f>
        <v>SUBS</v>
      </c>
      <c r="AN116" s="136" t="str">
        <f>IF(ISERROR(VLOOKUP(D116,'Woodmac profile - Gas'!$D$9:$AN$249,37,FALSE)),"",VLOOKUP(D116,'Woodmac profile - Gas'!$D$9:$AN$249,37,FALSE))</f>
        <v>SUBS</v>
      </c>
      <c r="AO116" s="136" t="str">
        <f t="shared" si="12"/>
        <v>SUBS</v>
      </c>
      <c r="AP116" s="132"/>
      <c r="AQ116" s="129"/>
      <c r="AR116" s="129"/>
      <c r="AS116" s="354"/>
      <c r="AT116" s="131"/>
      <c r="AU116" s="131"/>
      <c r="AV116" s="354"/>
      <c r="AW116" s="132"/>
      <c r="AX116" s="354"/>
      <c r="AY116" s="132"/>
      <c r="AZ116" s="132"/>
      <c r="BA116" s="132"/>
      <c r="BB116" s="132"/>
    </row>
    <row r="117" spans="1:54">
      <c r="A117" s="132"/>
      <c r="B117" s="133" t="s">
        <v>3369</v>
      </c>
      <c r="C117" s="133" t="s">
        <v>1745</v>
      </c>
      <c r="D117" s="133" t="s">
        <v>3274</v>
      </c>
      <c r="E117" s="133" t="s">
        <v>1927</v>
      </c>
      <c r="F117" s="133" t="s">
        <v>2960</v>
      </c>
      <c r="G117" s="133" t="s">
        <v>1932</v>
      </c>
      <c r="H117" s="133" t="s">
        <v>116</v>
      </c>
      <c r="I117" s="133" t="s">
        <v>2601</v>
      </c>
      <c r="J117" s="133">
        <v>46.2</v>
      </c>
      <c r="K117" s="133">
        <v>0</v>
      </c>
      <c r="L117" s="133">
        <v>0</v>
      </c>
      <c r="M117" s="133">
        <v>0</v>
      </c>
      <c r="N117" s="133">
        <v>0</v>
      </c>
      <c r="O117" s="133">
        <v>87.38</v>
      </c>
      <c r="P117" s="133">
        <v>15.99</v>
      </c>
      <c r="Q117" s="133">
        <v>0</v>
      </c>
      <c r="R117" s="133">
        <v>0</v>
      </c>
      <c r="S117" s="133">
        <v>0</v>
      </c>
      <c r="T117" s="133">
        <v>0.18</v>
      </c>
      <c r="U117" s="133">
        <v>0</v>
      </c>
      <c r="V117" s="133">
        <v>0.8</v>
      </c>
      <c r="W117" s="133">
        <v>0</v>
      </c>
      <c r="X117" s="133">
        <v>0</v>
      </c>
      <c r="Y117" s="133">
        <v>0</v>
      </c>
      <c r="Z117" s="133">
        <v>0</v>
      </c>
      <c r="AA117" s="133">
        <v>0</v>
      </c>
      <c r="AB117" s="133">
        <v>0</v>
      </c>
      <c r="AC117" s="133">
        <v>0</v>
      </c>
      <c r="AD117" s="133">
        <v>0</v>
      </c>
      <c r="AE117" s="133">
        <v>0</v>
      </c>
      <c r="AF117" s="133">
        <v>0</v>
      </c>
      <c r="AG117" s="133">
        <v>0</v>
      </c>
      <c r="AH117" s="133">
        <v>0</v>
      </c>
      <c r="AI117" s="133">
        <v>0</v>
      </c>
      <c r="AJ117" s="133">
        <v>0</v>
      </c>
      <c r="AK117" s="133">
        <v>0</v>
      </c>
      <c r="AL117" s="133">
        <v>0</v>
      </c>
      <c r="AM117" s="136" t="str">
        <f>IF(ISERROR(VLOOKUP(D117,'Woodmac profile - Oil'!$D$9:$AN$266,37,FALSE)),"",VLOOKUP(D117,'Woodmac profile - Oil'!$D$9:$AN$266,37,FALSE))</f>
        <v>SUBS</v>
      </c>
      <c r="AN117" s="136" t="str">
        <f>IF(ISERROR(VLOOKUP(D117,'Woodmac profile - Gas'!$D$9:$AN$249,37,FALSE)),"",VLOOKUP(D117,'Woodmac profile - Gas'!$D$9:$AN$249,37,FALSE))</f>
        <v>SUBS</v>
      </c>
      <c r="AO117" s="136" t="str">
        <f t="shared" si="12"/>
        <v>SUBS</v>
      </c>
      <c r="AP117" s="132"/>
      <c r="AQ117" s="129"/>
      <c r="AR117" s="129"/>
      <c r="AS117" s="354"/>
      <c r="AT117" s="131"/>
      <c r="AU117" s="131"/>
      <c r="AV117" s="354"/>
      <c r="AW117" s="132"/>
      <c r="AX117" s="354"/>
      <c r="AY117" s="132"/>
      <c r="AZ117" s="132"/>
      <c r="BA117" s="132"/>
      <c r="BB117" s="132"/>
    </row>
    <row r="118" spans="1:54">
      <c r="A118" s="132"/>
      <c r="B118" s="133" t="s">
        <v>3369</v>
      </c>
      <c r="C118" s="133" t="s">
        <v>1745</v>
      </c>
      <c r="D118" s="133" t="s">
        <v>3275</v>
      </c>
      <c r="E118" s="133" t="s">
        <v>1927</v>
      </c>
      <c r="F118" s="133" t="s">
        <v>2960</v>
      </c>
      <c r="G118" s="133" t="s">
        <v>1932</v>
      </c>
      <c r="H118" s="133" t="s">
        <v>116</v>
      </c>
      <c r="I118" s="133" t="s">
        <v>2600</v>
      </c>
      <c r="J118" s="133">
        <v>80</v>
      </c>
      <c r="K118" s="133">
        <v>55.02</v>
      </c>
      <c r="L118" s="133">
        <v>20.02</v>
      </c>
      <c r="M118" s="133">
        <v>92.49</v>
      </c>
      <c r="N118" s="133">
        <v>79.66</v>
      </c>
      <c r="O118" s="133">
        <v>75.48</v>
      </c>
      <c r="P118" s="133">
        <v>74.41</v>
      </c>
      <c r="Q118" s="133">
        <v>111.51</v>
      </c>
      <c r="R118" s="133">
        <v>114.14</v>
      </c>
      <c r="S118" s="133">
        <v>29.66</v>
      </c>
      <c r="T118" s="133">
        <v>75.900000000000006</v>
      </c>
      <c r="U118" s="133">
        <v>86.6</v>
      </c>
      <c r="V118" s="133">
        <v>96.68</v>
      </c>
      <c r="W118" s="133">
        <v>44.51</v>
      </c>
      <c r="X118" s="133">
        <v>0</v>
      </c>
      <c r="Y118" s="133">
        <v>0</v>
      </c>
      <c r="Z118" s="133">
        <v>0</v>
      </c>
      <c r="AA118" s="133">
        <v>0</v>
      </c>
      <c r="AB118" s="133">
        <v>0</v>
      </c>
      <c r="AC118" s="133">
        <v>0</v>
      </c>
      <c r="AD118" s="133">
        <v>0</v>
      </c>
      <c r="AE118" s="133">
        <v>0</v>
      </c>
      <c r="AF118" s="133">
        <v>0</v>
      </c>
      <c r="AG118" s="133">
        <v>0</v>
      </c>
      <c r="AH118" s="133">
        <v>0</v>
      </c>
      <c r="AI118" s="133">
        <v>0</v>
      </c>
      <c r="AJ118" s="133">
        <v>0</v>
      </c>
      <c r="AK118" s="133">
        <v>0</v>
      </c>
      <c r="AL118" s="133">
        <v>0</v>
      </c>
      <c r="AM118" s="136" t="str">
        <f>IF(ISERROR(VLOOKUP(D118,'Woodmac profile - Oil'!$D$9:$AN$266,37,FALSE)),"",VLOOKUP(D118,'Woodmac profile - Oil'!$D$9:$AN$266,37,FALSE))</f>
        <v>SUBS</v>
      </c>
      <c r="AN118" s="136" t="str">
        <f>IF(ISERROR(VLOOKUP(D118,'Woodmac profile - Gas'!$D$9:$AN$249,37,FALSE)),"",VLOOKUP(D118,'Woodmac profile - Gas'!$D$9:$AN$249,37,FALSE))</f>
        <v>SUBS</v>
      </c>
      <c r="AO118" s="136" t="str">
        <f t="shared" si="12"/>
        <v>SUBS</v>
      </c>
      <c r="AP118" s="132"/>
      <c r="AQ118" s="129"/>
      <c r="AR118" s="129"/>
      <c r="AS118" s="354"/>
      <c r="AT118" s="131"/>
      <c r="AU118" s="131"/>
      <c r="AV118" s="354"/>
      <c r="AW118" s="132"/>
      <c r="AX118" s="354"/>
      <c r="AY118" s="132"/>
      <c r="AZ118" s="132"/>
      <c r="BA118" s="132"/>
      <c r="BB118" s="132"/>
    </row>
    <row r="119" spans="1:54">
      <c r="A119" s="132"/>
      <c r="B119" s="133" t="s">
        <v>3369</v>
      </c>
      <c r="C119" s="133" t="s">
        <v>1745</v>
      </c>
      <c r="D119" s="133" t="s">
        <v>3275</v>
      </c>
      <c r="E119" s="133" t="s">
        <v>1927</v>
      </c>
      <c r="F119" s="133" t="s">
        <v>2960</v>
      </c>
      <c r="G119" s="133" t="s">
        <v>1932</v>
      </c>
      <c r="H119" s="133" t="s">
        <v>116</v>
      </c>
      <c r="I119" s="133" t="s">
        <v>2600</v>
      </c>
      <c r="J119" s="133">
        <v>24</v>
      </c>
      <c r="K119" s="133">
        <v>0</v>
      </c>
      <c r="L119" s="133">
        <v>0</v>
      </c>
      <c r="M119" s="133">
        <v>0</v>
      </c>
      <c r="N119" s="133">
        <v>0</v>
      </c>
      <c r="O119" s="133">
        <v>0</v>
      </c>
      <c r="P119" s="133">
        <v>0</v>
      </c>
      <c r="Q119" s="133">
        <v>0</v>
      </c>
      <c r="R119" s="133">
        <v>0</v>
      </c>
      <c r="S119" s="133">
        <v>0</v>
      </c>
      <c r="T119" s="133">
        <v>0</v>
      </c>
      <c r="U119" s="133">
        <v>0</v>
      </c>
      <c r="V119" s="133">
        <v>0</v>
      </c>
      <c r="W119" s="133">
        <v>0</v>
      </c>
      <c r="X119" s="133">
        <v>6.6449999999999996</v>
      </c>
      <c r="Y119" s="133">
        <v>5.9219999999999997</v>
      </c>
      <c r="Z119" s="133">
        <v>41.036999999999999</v>
      </c>
      <c r="AA119" s="133">
        <v>71.796000000000006</v>
      </c>
      <c r="AB119" s="133">
        <v>34.994999999999997</v>
      </c>
      <c r="AC119" s="133">
        <v>36.783000000000001</v>
      </c>
      <c r="AD119" s="133">
        <v>0</v>
      </c>
      <c r="AE119" s="133">
        <v>40.506</v>
      </c>
      <c r="AF119" s="133">
        <v>3.3660000000000001</v>
      </c>
      <c r="AG119" s="133">
        <v>0</v>
      </c>
      <c r="AH119" s="133">
        <v>0</v>
      </c>
      <c r="AI119" s="133">
        <v>0</v>
      </c>
      <c r="AJ119" s="133">
        <v>0</v>
      </c>
      <c r="AK119" s="133">
        <v>0</v>
      </c>
      <c r="AL119" s="133">
        <v>0</v>
      </c>
      <c r="AM119" s="136" t="str">
        <f>IF(ISERROR(VLOOKUP(D119,'Woodmac profile - Oil'!$D$9:$AN$266,37,FALSE)),"",VLOOKUP(D119,'Woodmac profile - Oil'!$D$9:$AN$266,37,FALSE))</f>
        <v>SUBS</v>
      </c>
      <c r="AN119" s="136" t="str">
        <f>IF(ISERROR(VLOOKUP(D119,'Woodmac profile - Gas'!$D$9:$AN$249,37,FALSE)),"",VLOOKUP(D119,'Woodmac profile - Gas'!$D$9:$AN$249,37,FALSE))</f>
        <v>SUBS</v>
      </c>
      <c r="AO119" s="136" t="str">
        <f t="shared" si="12"/>
        <v>SUBS</v>
      </c>
      <c r="AP119" s="132"/>
      <c r="AQ119" s="129"/>
      <c r="AR119" s="129"/>
      <c r="AS119" s="354"/>
      <c r="AT119" s="131"/>
      <c r="AU119" s="131"/>
      <c r="AV119" s="354"/>
      <c r="AW119" s="132"/>
      <c r="AX119" s="354"/>
      <c r="AY119" s="132"/>
      <c r="AZ119" s="132"/>
      <c r="BA119" s="132"/>
      <c r="BB119" s="132"/>
    </row>
    <row r="120" spans="1:54">
      <c r="A120" s="132"/>
      <c r="B120" s="133" t="s">
        <v>3369</v>
      </c>
      <c r="C120" s="133" t="s">
        <v>1745</v>
      </c>
      <c r="D120" s="133" t="s">
        <v>3276</v>
      </c>
      <c r="E120" s="133" t="s">
        <v>1927</v>
      </c>
      <c r="F120" s="133" t="s">
        <v>2960</v>
      </c>
      <c r="G120" s="133" t="s">
        <v>3374</v>
      </c>
      <c r="H120" s="133" t="s">
        <v>116</v>
      </c>
      <c r="I120" s="133" t="s">
        <v>2600</v>
      </c>
      <c r="J120" s="133">
        <v>35.953099999999999</v>
      </c>
      <c r="K120" s="133">
        <v>234.49</v>
      </c>
      <c r="L120" s="133">
        <v>115.21</v>
      </c>
      <c r="M120" s="133">
        <v>110.71</v>
      </c>
      <c r="N120" s="133">
        <v>144.29</v>
      </c>
      <c r="O120" s="133">
        <v>221.41</v>
      </c>
      <c r="P120" s="133">
        <v>391.65</v>
      </c>
      <c r="Q120" s="133">
        <v>434.92</v>
      </c>
      <c r="R120" s="133">
        <v>490.29</v>
      </c>
      <c r="S120" s="133">
        <v>358.32</v>
      </c>
      <c r="T120" s="133">
        <v>434.86</v>
      </c>
      <c r="U120" s="133">
        <v>245.27</v>
      </c>
      <c r="V120" s="133">
        <v>134.16</v>
      </c>
      <c r="W120" s="133">
        <v>37.68</v>
      </c>
      <c r="X120" s="133">
        <v>0</v>
      </c>
      <c r="Y120" s="133">
        <v>0</v>
      </c>
      <c r="Z120" s="133">
        <v>0</v>
      </c>
      <c r="AA120" s="133">
        <v>0</v>
      </c>
      <c r="AB120" s="133">
        <v>0</v>
      </c>
      <c r="AC120" s="133">
        <v>0</v>
      </c>
      <c r="AD120" s="133">
        <v>0</v>
      </c>
      <c r="AE120" s="133">
        <v>0</v>
      </c>
      <c r="AF120" s="133">
        <v>0</v>
      </c>
      <c r="AG120" s="133">
        <v>0</v>
      </c>
      <c r="AH120" s="133">
        <v>0</v>
      </c>
      <c r="AI120" s="133">
        <v>0</v>
      </c>
      <c r="AJ120" s="133">
        <v>0</v>
      </c>
      <c r="AK120" s="133">
        <v>0</v>
      </c>
      <c r="AL120" s="133">
        <v>0</v>
      </c>
      <c r="AM120" s="136" t="str">
        <f>IF(ISERROR(VLOOKUP(D120,'Woodmac profile - Oil'!$D$9:$AN$266,37,FALSE)),"",VLOOKUP(D120,'Woodmac profile - Oil'!$D$9:$AN$266,37,FALSE))</f>
        <v>SUBS</v>
      </c>
      <c r="AN120" s="136" t="str">
        <f>IF(ISERROR(VLOOKUP(D120,'Woodmac profile - Gas'!$D$9:$AN$249,37,FALSE)),"",VLOOKUP(D120,'Woodmac profile - Gas'!$D$9:$AN$249,37,FALSE))</f>
        <v>SUBS</v>
      </c>
      <c r="AO120" s="136" t="str">
        <f t="shared" si="12"/>
        <v>SUBS</v>
      </c>
      <c r="AP120" s="132"/>
      <c r="AQ120" s="129"/>
      <c r="AR120" s="129"/>
      <c r="AS120" s="354"/>
      <c r="AT120" s="131"/>
      <c r="AU120" s="131"/>
      <c r="AV120" s="354"/>
      <c r="AW120" s="132"/>
      <c r="AX120" s="354"/>
      <c r="AY120" s="132"/>
      <c r="AZ120" s="132"/>
      <c r="BA120" s="132"/>
      <c r="BB120" s="132"/>
    </row>
    <row r="121" spans="1:54">
      <c r="A121" s="132"/>
      <c r="B121" s="133" t="s">
        <v>3369</v>
      </c>
      <c r="C121" s="133" t="s">
        <v>1745</v>
      </c>
      <c r="D121" s="133" t="s">
        <v>3276</v>
      </c>
      <c r="E121" s="133" t="s">
        <v>1927</v>
      </c>
      <c r="F121" s="133" t="s">
        <v>2960</v>
      </c>
      <c r="G121" s="133" t="s">
        <v>3374</v>
      </c>
      <c r="H121" s="133" t="s">
        <v>116</v>
      </c>
      <c r="I121" s="133" t="s">
        <v>2600</v>
      </c>
      <c r="J121" s="133">
        <v>27</v>
      </c>
      <c r="K121" s="133">
        <v>0</v>
      </c>
      <c r="L121" s="133">
        <v>0</v>
      </c>
      <c r="M121" s="133">
        <v>0</v>
      </c>
      <c r="N121" s="133">
        <v>0</v>
      </c>
      <c r="O121" s="133">
        <v>0</v>
      </c>
      <c r="P121" s="133">
        <v>0</v>
      </c>
      <c r="Q121" s="133">
        <v>0</v>
      </c>
      <c r="R121" s="133">
        <v>0</v>
      </c>
      <c r="S121" s="133">
        <v>0</v>
      </c>
      <c r="T121" s="133">
        <v>0</v>
      </c>
      <c r="U121" s="133">
        <v>0</v>
      </c>
      <c r="V121" s="133">
        <v>0</v>
      </c>
      <c r="W121" s="133">
        <v>0</v>
      </c>
      <c r="X121" s="133">
        <v>2.0009999999999999</v>
      </c>
      <c r="Y121" s="133">
        <v>76.593000000000004</v>
      </c>
      <c r="Z121" s="133">
        <v>69.021000000000001</v>
      </c>
      <c r="AA121" s="133">
        <v>120.381</v>
      </c>
      <c r="AB121" s="133">
        <v>167.982</v>
      </c>
      <c r="AC121" s="133">
        <v>102.702</v>
      </c>
      <c r="AD121" s="133">
        <v>62.838000000000001</v>
      </c>
      <c r="AE121" s="133">
        <v>62.750999999999998</v>
      </c>
      <c r="AF121" s="133">
        <v>41.715000000000003</v>
      </c>
      <c r="AG121" s="133">
        <v>62.487000000000002</v>
      </c>
      <c r="AH121" s="133">
        <v>41.597999999999999</v>
      </c>
      <c r="AI121" s="133">
        <v>0</v>
      </c>
      <c r="AJ121" s="133">
        <v>57.533999999999999</v>
      </c>
      <c r="AK121" s="133">
        <v>76.5</v>
      </c>
      <c r="AL121" s="133">
        <v>57.296999999999997</v>
      </c>
      <c r="AM121" s="136" t="str">
        <f>IF(ISERROR(VLOOKUP(D121,'Woodmac profile - Oil'!$D$9:$AN$266,37,FALSE)),"",VLOOKUP(D121,'Woodmac profile - Oil'!$D$9:$AN$266,37,FALSE))</f>
        <v>SUBS</v>
      </c>
      <c r="AN121" s="136" t="str">
        <f>IF(ISERROR(VLOOKUP(D121,'Woodmac profile - Gas'!$D$9:$AN$249,37,FALSE)),"",VLOOKUP(D121,'Woodmac profile - Gas'!$D$9:$AN$249,37,FALSE))</f>
        <v>SUBS</v>
      </c>
      <c r="AO121" s="136" t="str">
        <f t="shared" si="12"/>
        <v>SUBS</v>
      </c>
      <c r="AP121" s="132"/>
      <c r="AQ121" s="129"/>
      <c r="AR121" s="129"/>
      <c r="AS121" s="354"/>
      <c r="AT121" s="131"/>
      <c r="AU121" s="131"/>
      <c r="AV121" s="354"/>
      <c r="AW121" s="132"/>
      <c r="AX121" s="354"/>
      <c r="AY121" s="132"/>
      <c r="AZ121" s="132"/>
      <c r="BA121" s="132"/>
      <c r="BB121" s="132"/>
    </row>
    <row r="122" spans="1:54">
      <c r="A122" s="132"/>
      <c r="B122" s="133" t="s">
        <v>3369</v>
      </c>
      <c r="C122" s="133" t="s">
        <v>1745</v>
      </c>
      <c r="D122" s="133" t="s">
        <v>3585</v>
      </c>
      <c r="E122" s="133" t="s">
        <v>1927</v>
      </c>
      <c r="F122" s="133" t="s">
        <v>2960</v>
      </c>
      <c r="G122" s="133" t="s">
        <v>3374</v>
      </c>
      <c r="H122" s="133" t="s">
        <v>116</v>
      </c>
      <c r="I122" s="133" t="s">
        <v>2571</v>
      </c>
      <c r="J122" s="133">
        <v>19.5</v>
      </c>
      <c r="K122" s="133">
        <v>0</v>
      </c>
      <c r="L122" s="133">
        <v>0</v>
      </c>
      <c r="M122" s="133">
        <v>0</v>
      </c>
      <c r="N122" s="133">
        <v>0</v>
      </c>
      <c r="O122" s="133">
        <v>0</v>
      </c>
      <c r="P122" s="133">
        <v>0</v>
      </c>
      <c r="Q122" s="133">
        <v>0</v>
      </c>
      <c r="R122" s="133">
        <v>0</v>
      </c>
      <c r="S122" s="133">
        <v>0</v>
      </c>
      <c r="T122" s="133">
        <v>0</v>
      </c>
      <c r="U122" s="133">
        <v>0</v>
      </c>
      <c r="V122" s="133">
        <v>0</v>
      </c>
      <c r="W122" s="133">
        <v>0</v>
      </c>
      <c r="X122" s="133">
        <v>10.512</v>
      </c>
      <c r="Y122" s="133">
        <v>21.309000000000001</v>
      </c>
      <c r="Z122" s="133">
        <v>8.5950000000000006</v>
      </c>
      <c r="AA122" s="133">
        <v>0</v>
      </c>
      <c r="AB122" s="133">
        <v>0</v>
      </c>
      <c r="AC122" s="133">
        <v>0</v>
      </c>
      <c r="AD122" s="133">
        <v>0</v>
      </c>
      <c r="AE122" s="133">
        <v>0</v>
      </c>
      <c r="AF122" s="133">
        <v>0</v>
      </c>
      <c r="AG122" s="133">
        <v>0</v>
      </c>
      <c r="AH122" s="133">
        <v>0</v>
      </c>
      <c r="AI122" s="133">
        <v>0</v>
      </c>
      <c r="AJ122" s="133">
        <v>0</v>
      </c>
      <c r="AK122" s="133">
        <v>0</v>
      </c>
      <c r="AL122" s="133">
        <v>0</v>
      </c>
      <c r="AM122" s="136" t="str">
        <f>IF(ISERROR(VLOOKUP(D122,'Woodmac profile - Oil'!$D$9:$AN$266,37,FALSE)),"",VLOOKUP(D122,'Woodmac profile - Oil'!$D$9:$AN$266,37,FALSE))</f>
        <v>EAI</v>
      </c>
      <c r="AN122" s="136" t="str">
        <f>IF(ISERROR(VLOOKUP(D122,'Woodmac profile - Gas'!$D$9:$AN$249,37,FALSE)),"",VLOOKUP(D122,'Woodmac profile - Gas'!$D$9:$AN$249,37,FALSE))</f>
        <v>EAI</v>
      </c>
      <c r="AO122" s="136" t="str">
        <f t="shared" si="12"/>
        <v>EAI</v>
      </c>
      <c r="AP122" s="132"/>
      <c r="AQ122" s="129"/>
      <c r="AR122" s="129"/>
      <c r="AS122" s="354"/>
      <c r="AT122" s="131"/>
      <c r="AU122" s="131"/>
      <c r="AV122" s="354"/>
      <c r="AW122" s="132"/>
      <c r="AX122" s="354"/>
      <c r="AY122" s="132"/>
      <c r="AZ122" s="132"/>
      <c r="BA122" s="132"/>
      <c r="BB122" s="132"/>
    </row>
    <row r="123" spans="1:54">
      <c r="A123" s="132"/>
      <c r="B123" s="133" t="s">
        <v>3369</v>
      </c>
      <c r="C123" s="133" t="s">
        <v>3277</v>
      </c>
      <c r="D123" s="133" t="s">
        <v>3725</v>
      </c>
      <c r="E123" s="133" t="s">
        <v>1927</v>
      </c>
      <c r="F123" s="133" t="s">
        <v>1928</v>
      </c>
      <c r="G123" s="133" t="s">
        <v>1929</v>
      </c>
      <c r="H123" s="133" t="s">
        <v>117</v>
      </c>
      <c r="I123" s="133" t="s">
        <v>1931</v>
      </c>
      <c r="J123" s="133">
        <v>60</v>
      </c>
      <c r="K123" s="133">
        <v>0</v>
      </c>
      <c r="L123" s="133">
        <v>0</v>
      </c>
      <c r="M123" s="133">
        <v>0</v>
      </c>
      <c r="N123" s="133">
        <v>0</v>
      </c>
      <c r="O123" s="133">
        <v>0</v>
      </c>
      <c r="P123" s="133">
        <v>0</v>
      </c>
      <c r="Q123" s="133">
        <v>0</v>
      </c>
      <c r="R123" s="133">
        <v>0</v>
      </c>
      <c r="S123" s="133">
        <v>0</v>
      </c>
      <c r="T123" s="133">
        <v>0</v>
      </c>
      <c r="U123" s="133">
        <v>461.44</v>
      </c>
      <c r="V123" s="133">
        <v>982.28</v>
      </c>
      <c r="W123" s="133">
        <v>599.11</v>
      </c>
      <c r="X123" s="133">
        <v>650.1</v>
      </c>
      <c r="Y123" s="133">
        <v>654.04</v>
      </c>
      <c r="Z123" s="133">
        <v>776.39</v>
      </c>
      <c r="AA123" s="133">
        <v>832.36</v>
      </c>
      <c r="AB123" s="133">
        <v>690.41</v>
      </c>
      <c r="AC123" s="133">
        <v>499.97</v>
      </c>
      <c r="AD123" s="133">
        <v>428.26</v>
      </c>
      <c r="AE123" s="133">
        <v>387</v>
      </c>
      <c r="AF123" s="133">
        <v>373.48</v>
      </c>
      <c r="AG123" s="133">
        <v>366.15</v>
      </c>
      <c r="AH123" s="133">
        <v>355.82</v>
      </c>
      <c r="AI123" s="133">
        <v>277.88</v>
      </c>
      <c r="AJ123" s="133">
        <v>200.77</v>
      </c>
      <c r="AK123" s="133">
        <v>161.9</v>
      </c>
      <c r="AL123" s="133">
        <v>102.29</v>
      </c>
      <c r="AM123" s="136" t="str">
        <f>IF(ISERROR(VLOOKUP(D123,'Woodmac profile - Oil'!$D$9:$AN$266,37,FALSE)),"",VLOOKUP(D123,'Woodmac profile - Oil'!$D$9:$AN$266,37,FALSE))</f>
        <v>EAI</v>
      </c>
      <c r="AN123" s="136" t="str">
        <f>IF(ISERROR(VLOOKUP(D123,'Woodmac profile - Gas'!$D$9:$AN$249,37,FALSE)),"",VLOOKUP(D123,'Woodmac profile - Gas'!$D$9:$AN$249,37,FALSE))</f>
        <v>SUBS</v>
      </c>
      <c r="AO123" s="136" t="str">
        <f t="shared" si="12"/>
        <v>EAI</v>
      </c>
      <c r="AP123" s="132"/>
      <c r="AQ123" s="129"/>
      <c r="AR123" s="129"/>
      <c r="AS123" s="354"/>
      <c r="AT123" s="131"/>
      <c r="AU123" s="131"/>
      <c r="AV123" s="354"/>
      <c r="AW123" s="132"/>
      <c r="AX123" s="354"/>
      <c r="AY123" s="132"/>
      <c r="AZ123" s="132"/>
      <c r="BA123" s="132"/>
      <c r="BB123" s="132"/>
    </row>
    <row r="124" spans="1:54">
      <c r="A124" s="132"/>
      <c r="B124" s="133" t="s">
        <v>3369</v>
      </c>
      <c r="C124" s="133" t="s">
        <v>3278</v>
      </c>
      <c r="D124" s="133" t="s">
        <v>3279</v>
      </c>
      <c r="E124" s="133" t="s">
        <v>1927</v>
      </c>
      <c r="F124" s="133" t="s">
        <v>1928</v>
      </c>
      <c r="G124" s="133" t="s">
        <v>1932</v>
      </c>
      <c r="H124" s="133" t="s">
        <v>116</v>
      </c>
      <c r="I124" s="133" t="s">
        <v>1933</v>
      </c>
      <c r="J124" s="133">
        <v>100</v>
      </c>
      <c r="K124" s="133">
        <v>13.6</v>
      </c>
      <c r="L124" s="133">
        <v>17.23</v>
      </c>
      <c r="M124" s="133">
        <v>7.05</v>
      </c>
      <c r="N124" s="133">
        <v>11.79</v>
      </c>
      <c r="O124" s="133">
        <v>23.62</v>
      </c>
      <c r="P124" s="133">
        <v>42.74</v>
      </c>
      <c r="Q124" s="133">
        <v>137.24</v>
      </c>
      <c r="R124" s="133">
        <v>51.97</v>
      </c>
      <c r="S124" s="133">
        <v>14.09</v>
      </c>
      <c r="T124" s="133">
        <v>0</v>
      </c>
      <c r="U124" s="133">
        <v>0</v>
      </c>
      <c r="V124" s="133">
        <v>0</v>
      </c>
      <c r="W124" s="133">
        <v>0</v>
      </c>
      <c r="X124" s="133">
        <v>0</v>
      </c>
      <c r="Y124" s="133">
        <v>0</v>
      </c>
      <c r="Z124" s="133">
        <v>0</v>
      </c>
      <c r="AA124" s="133">
        <v>0</v>
      </c>
      <c r="AB124" s="133">
        <v>0</v>
      </c>
      <c r="AC124" s="133">
        <v>0</v>
      </c>
      <c r="AD124" s="133">
        <v>0</v>
      </c>
      <c r="AE124" s="133">
        <v>0</v>
      </c>
      <c r="AF124" s="133">
        <v>0</v>
      </c>
      <c r="AG124" s="133">
        <v>0</v>
      </c>
      <c r="AH124" s="133">
        <v>0</v>
      </c>
      <c r="AI124" s="133">
        <v>0</v>
      </c>
      <c r="AJ124" s="133">
        <v>0</v>
      </c>
      <c r="AK124" s="133">
        <v>0</v>
      </c>
      <c r="AL124" s="133">
        <v>0</v>
      </c>
      <c r="AM124" s="136" t="str">
        <f>IF(ISERROR(VLOOKUP(D124,'Woodmac profile - Oil'!$D$9:$AN$266,37,FALSE)),"",VLOOKUP(D124,'Woodmac profile - Oil'!$D$9:$AN$266,37,FALSE))</f>
        <v>EAI</v>
      </c>
      <c r="AN124" s="136" t="str">
        <f>IF(ISERROR(VLOOKUP(D124,'Woodmac profile - Gas'!$D$9:$AN$249,37,FALSE)),"",VLOOKUP(D124,'Woodmac profile - Gas'!$D$9:$AN$249,37,FALSE))</f>
        <v>SUBS</v>
      </c>
      <c r="AO124" s="136" t="str">
        <f t="shared" si="12"/>
        <v>EAI</v>
      </c>
      <c r="AP124" s="132"/>
      <c r="AQ124" s="129"/>
      <c r="AR124" s="129"/>
      <c r="AS124" s="354"/>
      <c r="AT124" s="131"/>
      <c r="AU124" s="131"/>
      <c r="AV124" s="354"/>
      <c r="AW124" s="132"/>
      <c r="AX124" s="354"/>
      <c r="AY124" s="132"/>
      <c r="AZ124" s="132"/>
      <c r="BA124" s="132"/>
      <c r="BB124" s="132"/>
    </row>
    <row r="125" spans="1:54">
      <c r="A125" s="132"/>
      <c r="B125" s="133" t="s">
        <v>3369</v>
      </c>
      <c r="C125" s="133" t="s">
        <v>3278</v>
      </c>
      <c r="D125" s="133" t="s">
        <v>3280</v>
      </c>
      <c r="E125" s="133" t="s">
        <v>1927</v>
      </c>
      <c r="F125" s="133" t="s">
        <v>1928</v>
      </c>
      <c r="G125" s="133" t="s">
        <v>1932</v>
      </c>
      <c r="H125" s="133" t="s">
        <v>116</v>
      </c>
      <c r="I125" s="133" t="s">
        <v>1931</v>
      </c>
      <c r="J125" s="133">
        <v>76</v>
      </c>
      <c r="K125" s="133">
        <v>0.78</v>
      </c>
      <c r="L125" s="133">
        <v>0.13</v>
      </c>
      <c r="M125" s="133">
        <v>0</v>
      </c>
      <c r="N125" s="133">
        <v>1.53</v>
      </c>
      <c r="O125" s="133">
        <v>2.1800000000000002</v>
      </c>
      <c r="P125" s="133">
        <v>3.09</v>
      </c>
      <c r="Q125" s="133">
        <v>0</v>
      </c>
      <c r="R125" s="133">
        <v>7.93</v>
      </c>
      <c r="S125" s="133">
        <v>1.1200000000000001</v>
      </c>
      <c r="T125" s="133">
        <v>0</v>
      </c>
      <c r="U125" s="133">
        <v>0</v>
      </c>
      <c r="V125" s="133">
        <v>0</v>
      </c>
      <c r="W125" s="133">
        <v>0</v>
      </c>
      <c r="X125" s="133">
        <v>0</v>
      </c>
      <c r="Y125" s="133">
        <v>0</v>
      </c>
      <c r="Z125" s="133">
        <v>0</v>
      </c>
      <c r="AA125" s="133">
        <v>0</v>
      </c>
      <c r="AB125" s="133">
        <v>0</v>
      </c>
      <c r="AC125" s="133">
        <v>0</v>
      </c>
      <c r="AD125" s="133">
        <v>0</v>
      </c>
      <c r="AE125" s="133">
        <v>0</v>
      </c>
      <c r="AF125" s="133">
        <v>0</v>
      </c>
      <c r="AG125" s="133">
        <v>0</v>
      </c>
      <c r="AH125" s="133">
        <v>0</v>
      </c>
      <c r="AI125" s="133">
        <v>0</v>
      </c>
      <c r="AJ125" s="133">
        <v>0</v>
      </c>
      <c r="AK125" s="133">
        <v>0</v>
      </c>
      <c r="AL125" s="133">
        <v>0</v>
      </c>
      <c r="AM125" s="136" t="str">
        <f>IF(ISERROR(VLOOKUP(D125,'Woodmac profile - Oil'!$D$9:$AN$266,37,FALSE)),"",VLOOKUP(D125,'Woodmac profile - Oil'!$D$9:$AN$266,37,FALSE))</f>
        <v>EAI</v>
      </c>
      <c r="AN125" s="136" t="str">
        <f>IF(ISERROR(VLOOKUP(D125,'Woodmac profile - Gas'!$D$9:$AN$249,37,FALSE)),"",VLOOKUP(D125,'Woodmac profile - Gas'!$D$9:$AN$249,37,FALSE))</f>
        <v>SUBS</v>
      </c>
      <c r="AO125" s="136" t="str">
        <f t="shared" si="12"/>
        <v>EAI</v>
      </c>
      <c r="AP125" s="132"/>
      <c r="AQ125" s="129"/>
      <c r="AR125" s="129"/>
      <c r="AS125" s="354"/>
      <c r="AT125" s="131"/>
      <c r="AU125" s="131"/>
      <c r="AV125" s="354"/>
      <c r="AW125" s="132"/>
      <c r="AX125" s="354"/>
      <c r="AY125" s="132"/>
      <c r="AZ125" s="132"/>
      <c r="BA125" s="132"/>
      <c r="BB125" s="132"/>
    </row>
    <row r="126" spans="1:54">
      <c r="A126" s="132"/>
      <c r="B126" s="133" t="s">
        <v>3369</v>
      </c>
      <c r="C126" s="133" t="s">
        <v>3278</v>
      </c>
      <c r="D126" s="133" t="s">
        <v>1699</v>
      </c>
      <c r="E126" s="133" t="s">
        <v>1927</v>
      </c>
      <c r="F126" s="133" t="s">
        <v>1928</v>
      </c>
      <c r="G126" s="133" t="s">
        <v>1931</v>
      </c>
      <c r="H126" s="133" t="s">
        <v>116</v>
      </c>
      <c r="I126" s="133" t="s">
        <v>1931</v>
      </c>
      <c r="J126" s="133">
        <v>51</v>
      </c>
      <c r="K126" s="133">
        <v>3.81</v>
      </c>
      <c r="L126" s="133">
        <v>2.7</v>
      </c>
      <c r="M126" s="133">
        <v>1.96</v>
      </c>
      <c r="N126" s="133">
        <v>1.9</v>
      </c>
      <c r="O126" s="133">
        <v>5.85</v>
      </c>
      <c r="P126" s="133">
        <v>7.71</v>
      </c>
      <c r="Q126" s="133">
        <v>7.73</v>
      </c>
      <c r="R126" s="133">
        <v>0</v>
      </c>
      <c r="S126" s="133">
        <v>3.59</v>
      </c>
      <c r="T126" s="133">
        <v>0</v>
      </c>
      <c r="U126" s="133">
        <v>0</v>
      </c>
      <c r="V126" s="133">
        <v>0</v>
      </c>
      <c r="W126" s="133">
        <v>0</v>
      </c>
      <c r="X126" s="133">
        <v>0</v>
      </c>
      <c r="Y126" s="133">
        <v>0</v>
      </c>
      <c r="Z126" s="133">
        <v>0</v>
      </c>
      <c r="AA126" s="133">
        <v>0</v>
      </c>
      <c r="AB126" s="133">
        <v>0</v>
      </c>
      <c r="AC126" s="133">
        <v>0</v>
      </c>
      <c r="AD126" s="133">
        <v>0</v>
      </c>
      <c r="AE126" s="133">
        <v>0</v>
      </c>
      <c r="AF126" s="133">
        <v>0</v>
      </c>
      <c r="AG126" s="133">
        <v>0</v>
      </c>
      <c r="AH126" s="133">
        <v>0</v>
      </c>
      <c r="AI126" s="133">
        <v>0</v>
      </c>
      <c r="AJ126" s="133">
        <v>0</v>
      </c>
      <c r="AK126" s="133">
        <v>0</v>
      </c>
      <c r="AL126" s="133">
        <v>0</v>
      </c>
      <c r="AM126" s="136" t="str">
        <f>IF(ISERROR(VLOOKUP(D126,'Woodmac profile - Oil'!$D$9:$AN$266,37,FALSE)),"",VLOOKUP(D126,'Woodmac profile - Oil'!$D$9:$AN$266,37,FALSE))</f>
        <v>EAI</v>
      </c>
      <c r="AN126" s="136" t="str">
        <f>IF(ISERROR(VLOOKUP(D126,'Woodmac profile - Gas'!$D$9:$AN$249,37,FALSE)),"",VLOOKUP(D126,'Woodmac profile - Gas'!$D$9:$AN$249,37,FALSE))</f>
        <v>SUBS</v>
      </c>
      <c r="AO126" s="136" t="str">
        <f t="shared" si="12"/>
        <v>EAI</v>
      </c>
      <c r="AP126" s="132"/>
      <c r="AQ126" s="129"/>
      <c r="AR126" s="129"/>
      <c r="AS126" s="354"/>
      <c r="AT126" s="131"/>
      <c r="AU126" s="131"/>
      <c r="AV126" s="354"/>
      <c r="AW126" s="132"/>
      <c r="AX126" s="354"/>
      <c r="AY126" s="132"/>
      <c r="AZ126" s="132"/>
      <c r="BA126" s="132"/>
      <c r="BB126" s="132"/>
    </row>
    <row r="127" spans="1:54">
      <c r="A127" s="132"/>
      <c r="B127" s="133" t="s">
        <v>3369</v>
      </c>
      <c r="C127" s="133" t="s">
        <v>3278</v>
      </c>
      <c r="D127" s="133" t="s">
        <v>1700</v>
      </c>
      <c r="E127" s="133" t="s">
        <v>1927</v>
      </c>
      <c r="F127" s="133" t="s">
        <v>1928</v>
      </c>
      <c r="G127" s="133" t="s">
        <v>1932</v>
      </c>
      <c r="H127" s="133" t="s">
        <v>116</v>
      </c>
      <c r="I127" s="133" t="s">
        <v>1931</v>
      </c>
      <c r="J127" s="133">
        <v>60</v>
      </c>
      <c r="K127" s="133">
        <v>1.22</v>
      </c>
      <c r="L127" s="133">
        <v>0</v>
      </c>
      <c r="M127" s="133">
        <v>0</v>
      </c>
      <c r="N127" s="133">
        <v>0</v>
      </c>
      <c r="O127" s="133">
        <v>1.72</v>
      </c>
      <c r="P127" s="133">
        <v>2.79</v>
      </c>
      <c r="Q127" s="133">
        <v>0</v>
      </c>
      <c r="R127" s="133">
        <v>0</v>
      </c>
      <c r="S127" s="133">
        <v>0.89</v>
      </c>
      <c r="T127" s="133">
        <v>0</v>
      </c>
      <c r="U127" s="133">
        <v>0</v>
      </c>
      <c r="V127" s="133">
        <v>0</v>
      </c>
      <c r="W127" s="133">
        <v>0</v>
      </c>
      <c r="X127" s="133">
        <v>0</v>
      </c>
      <c r="Y127" s="133">
        <v>0</v>
      </c>
      <c r="Z127" s="133">
        <v>0</v>
      </c>
      <c r="AA127" s="133">
        <v>0</v>
      </c>
      <c r="AB127" s="133">
        <v>0</v>
      </c>
      <c r="AC127" s="133">
        <v>0</v>
      </c>
      <c r="AD127" s="133">
        <v>0</v>
      </c>
      <c r="AE127" s="133">
        <v>0</v>
      </c>
      <c r="AF127" s="133">
        <v>0</v>
      </c>
      <c r="AG127" s="133">
        <v>0</v>
      </c>
      <c r="AH127" s="133">
        <v>0</v>
      </c>
      <c r="AI127" s="133">
        <v>0</v>
      </c>
      <c r="AJ127" s="133">
        <v>0</v>
      </c>
      <c r="AK127" s="133">
        <v>0</v>
      </c>
      <c r="AL127" s="133">
        <v>0</v>
      </c>
      <c r="AM127" s="136" t="str">
        <f>IF(ISERROR(VLOOKUP(D127,'Woodmac profile - Oil'!$D$9:$AN$266,37,FALSE)),"",VLOOKUP(D127,'Woodmac profile - Oil'!$D$9:$AN$266,37,FALSE))</f>
        <v>EAI</v>
      </c>
      <c r="AN127" s="136" t="str">
        <f>IF(ISERROR(VLOOKUP(D127,'Woodmac profile - Gas'!$D$9:$AN$249,37,FALSE)),"",VLOOKUP(D127,'Woodmac profile - Gas'!$D$9:$AN$249,37,FALSE))</f>
        <v>SUBS</v>
      </c>
      <c r="AO127" s="136" t="str">
        <f t="shared" si="12"/>
        <v>EAI</v>
      </c>
      <c r="AP127" s="132"/>
      <c r="AQ127" s="129"/>
      <c r="AR127" s="129"/>
      <c r="AS127" s="354"/>
      <c r="AT127" s="131"/>
      <c r="AU127" s="131"/>
      <c r="AV127" s="354"/>
      <c r="AW127" s="132"/>
      <c r="AX127" s="354"/>
      <c r="AY127" s="132"/>
      <c r="AZ127" s="132"/>
      <c r="BA127" s="132"/>
      <c r="BB127" s="132"/>
    </row>
    <row r="128" spans="1:54">
      <c r="A128" s="132"/>
      <c r="B128" s="133" t="s">
        <v>3369</v>
      </c>
      <c r="C128" s="133" t="s">
        <v>3278</v>
      </c>
      <c r="D128" s="133" t="s">
        <v>818</v>
      </c>
      <c r="E128" s="133" t="s">
        <v>1927</v>
      </c>
      <c r="F128" s="133" t="s">
        <v>1928</v>
      </c>
      <c r="G128" s="133" t="s">
        <v>1930</v>
      </c>
      <c r="H128" s="133" t="s">
        <v>116</v>
      </c>
      <c r="I128" s="133" t="s">
        <v>1931</v>
      </c>
      <c r="J128" s="133">
        <v>75</v>
      </c>
      <c r="K128" s="133">
        <v>0</v>
      </c>
      <c r="L128" s="133">
        <v>0</v>
      </c>
      <c r="M128" s="133">
        <v>0</v>
      </c>
      <c r="N128" s="133">
        <v>1.4</v>
      </c>
      <c r="O128" s="133">
        <v>0</v>
      </c>
      <c r="P128" s="133">
        <v>0</v>
      </c>
      <c r="Q128" s="133">
        <v>0</v>
      </c>
      <c r="R128" s="133">
        <v>0</v>
      </c>
      <c r="S128" s="133">
        <v>0</v>
      </c>
      <c r="T128" s="133">
        <v>0</v>
      </c>
      <c r="U128" s="133">
        <v>0</v>
      </c>
      <c r="V128" s="133">
        <v>0</v>
      </c>
      <c r="W128" s="133">
        <v>0</v>
      </c>
      <c r="X128" s="133">
        <v>0</v>
      </c>
      <c r="Y128" s="133">
        <v>0</v>
      </c>
      <c r="Z128" s="133">
        <v>0</v>
      </c>
      <c r="AA128" s="133">
        <v>0</v>
      </c>
      <c r="AB128" s="133">
        <v>0</v>
      </c>
      <c r="AC128" s="133">
        <v>0</v>
      </c>
      <c r="AD128" s="133">
        <v>0</v>
      </c>
      <c r="AE128" s="133">
        <v>0</v>
      </c>
      <c r="AF128" s="133">
        <v>0</v>
      </c>
      <c r="AG128" s="133">
        <v>0</v>
      </c>
      <c r="AH128" s="133">
        <v>0</v>
      </c>
      <c r="AI128" s="133">
        <v>0</v>
      </c>
      <c r="AJ128" s="133">
        <v>0</v>
      </c>
      <c r="AK128" s="133">
        <v>0</v>
      </c>
      <c r="AL128" s="133">
        <v>0</v>
      </c>
      <c r="AM128" s="136" t="str">
        <f>IF(ISERROR(VLOOKUP(D128,'Woodmac profile - Oil'!$D$9:$AN$266,37,FALSE)),"",VLOOKUP(D128,'Woodmac profile - Oil'!$D$9:$AN$266,37,FALSE))</f>
        <v/>
      </c>
      <c r="AN128" s="136" t="str">
        <f>IF(ISERROR(VLOOKUP(D128,'Woodmac profile - Gas'!$D$9:$AN$249,37,FALSE)),"",VLOOKUP(D128,'Woodmac profile - Gas'!$D$9:$AN$249,37,FALSE))</f>
        <v>SUBS</v>
      </c>
      <c r="AO128" s="136" t="str">
        <f t="shared" si="12"/>
        <v>SUBS</v>
      </c>
      <c r="AP128" s="132"/>
      <c r="AQ128" s="129"/>
      <c r="AR128" s="129"/>
      <c r="AS128" s="354"/>
      <c r="AT128" s="131"/>
      <c r="AU128" s="131"/>
      <c r="AV128" s="354"/>
      <c r="AW128" s="132"/>
      <c r="AX128" s="354"/>
      <c r="AY128" s="132"/>
      <c r="AZ128" s="132"/>
      <c r="BA128" s="132"/>
      <c r="BB128" s="132"/>
    </row>
    <row r="129" spans="1:54">
      <c r="A129" s="132"/>
      <c r="B129" s="133" t="s">
        <v>3369</v>
      </c>
      <c r="C129" s="133" t="s">
        <v>1701</v>
      </c>
      <c r="D129" s="133" t="s">
        <v>1702</v>
      </c>
      <c r="E129" s="133" t="s">
        <v>1927</v>
      </c>
      <c r="F129" s="133" t="s">
        <v>2960</v>
      </c>
      <c r="G129" s="133" t="s">
        <v>1932</v>
      </c>
      <c r="H129" s="133" t="s">
        <v>1930</v>
      </c>
      <c r="I129" s="133" t="s">
        <v>2600</v>
      </c>
      <c r="J129" s="133">
        <v>3</v>
      </c>
      <c r="K129" s="133">
        <v>0.4</v>
      </c>
      <c r="L129" s="133">
        <v>0.83</v>
      </c>
      <c r="M129" s="133">
        <v>2.73</v>
      </c>
      <c r="N129" s="133">
        <v>0.69</v>
      </c>
      <c r="O129" s="133">
        <v>0.44</v>
      </c>
      <c r="P129" s="133">
        <v>0.32</v>
      </c>
      <c r="Q129" s="133">
        <v>0.92</v>
      </c>
      <c r="R129" s="133">
        <v>0.43</v>
      </c>
      <c r="S129" s="133">
        <v>1.24</v>
      </c>
      <c r="T129" s="133">
        <v>1.75</v>
      </c>
      <c r="U129" s="133">
        <v>0.72</v>
      </c>
      <c r="V129" s="133">
        <v>0.41</v>
      </c>
      <c r="W129" s="133">
        <v>0</v>
      </c>
      <c r="X129" s="133">
        <v>0</v>
      </c>
      <c r="Y129" s="133">
        <v>0</v>
      </c>
      <c r="Z129" s="133">
        <v>0</v>
      </c>
      <c r="AA129" s="133">
        <v>0</v>
      </c>
      <c r="AB129" s="133">
        <v>0</v>
      </c>
      <c r="AC129" s="133">
        <v>0</v>
      </c>
      <c r="AD129" s="133">
        <v>0</v>
      </c>
      <c r="AE129" s="133">
        <v>0</v>
      </c>
      <c r="AF129" s="133">
        <v>0</v>
      </c>
      <c r="AG129" s="133">
        <v>0</v>
      </c>
      <c r="AH129" s="133">
        <v>0</v>
      </c>
      <c r="AI129" s="133">
        <v>0</v>
      </c>
      <c r="AJ129" s="133">
        <v>0</v>
      </c>
      <c r="AK129" s="133">
        <v>0</v>
      </c>
      <c r="AL129" s="133">
        <v>0</v>
      </c>
      <c r="AM129" s="136" t="str">
        <f>IF(ISERROR(VLOOKUP(D129,'Woodmac profile - Oil'!$D$9:$AN$266,37,FALSE)),"",VLOOKUP(D129,'Woodmac profile - Oil'!$D$9:$AN$266,37,FALSE))</f>
        <v>EAI</v>
      </c>
      <c r="AN129" s="136" t="str">
        <f>IF(ISERROR(VLOOKUP(D129,'Woodmac profile - Gas'!$D$9:$AN$249,37,FALSE)),"",VLOOKUP(D129,'Woodmac profile - Gas'!$D$9:$AN$249,37,FALSE))</f>
        <v/>
      </c>
      <c r="AO129" s="136" t="str">
        <f t="shared" si="12"/>
        <v>EAI</v>
      </c>
      <c r="AP129" s="132"/>
      <c r="AQ129" s="129"/>
      <c r="AR129" s="129"/>
      <c r="AS129" s="354"/>
      <c r="AT129" s="131"/>
      <c r="AU129" s="131"/>
      <c r="AV129" s="354"/>
      <c r="AW129" s="132"/>
      <c r="AX129" s="354"/>
      <c r="AY129" s="132"/>
      <c r="AZ129" s="132"/>
      <c r="BA129" s="132"/>
      <c r="BB129" s="132"/>
    </row>
    <row r="130" spans="1:54">
      <c r="A130" s="132"/>
      <c r="B130" s="133" t="s">
        <v>3369</v>
      </c>
      <c r="C130" s="133" t="s">
        <v>1703</v>
      </c>
      <c r="D130" s="133" t="s">
        <v>3468</v>
      </c>
      <c r="E130" s="133" t="s">
        <v>1927</v>
      </c>
      <c r="F130" s="133" t="s">
        <v>1928</v>
      </c>
      <c r="G130" s="133" t="s">
        <v>3374</v>
      </c>
      <c r="H130" s="133" t="s">
        <v>1930</v>
      </c>
      <c r="I130" s="133" t="s">
        <v>1931</v>
      </c>
      <c r="J130" s="133">
        <v>20</v>
      </c>
      <c r="K130" s="133">
        <v>0</v>
      </c>
      <c r="L130" s="133">
        <v>0</v>
      </c>
      <c r="M130" s="133">
        <v>0</v>
      </c>
      <c r="N130" s="133">
        <v>0</v>
      </c>
      <c r="O130" s="133">
        <v>0</v>
      </c>
      <c r="P130" s="133">
        <v>0</v>
      </c>
      <c r="Q130" s="133">
        <v>0</v>
      </c>
      <c r="R130" s="133">
        <v>0</v>
      </c>
      <c r="S130" s="133">
        <v>0</v>
      </c>
      <c r="T130" s="133">
        <v>0</v>
      </c>
      <c r="U130" s="133">
        <v>0</v>
      </c>
      <c r="V130" s="133">
        <v>0</v>
      </c>
      <c r="W130" s="133">
        <v>0</v>
      </c>
      <c r="X130" s="133">
        <v>69.28</v>
      </c>
      <c r="Y130" s="133">
        <v>80.11</v>
      </c>
      <c r="Z130" s="133">
        <v>81.760000000000005</v>
      </c>
      <c r="AA130" s="133">
        <v>69.849999999999994</v>
      </c>
      <c r="AB130" s="133">
        <v>40.96</v>
      </c>
      <c r="AC130" s="133">
        <v>31.45</v>
      </c>
      <c r="AD130" s="133">
        <v>51.96</v>
      </c>
      <c r="AE130" s="133">
        <v>46.25</v>
      </c>
      <c r="AF130" s="133">
        <v>51.23</v>
      </c>
      <c r="AG130" s="133">
        <v>47.39</v>
      </c>
      <c r="AH130" s="133">
        <v>47.39</v>
      </c>
      <c r="AI130" s="133">
        <v>29.22</v>
      </c>
      <c r="AJ130" s="133">
        <v>26.19</v>
      </c>
      <c r="AK130" s="133">
        <v>21.39</v>
      </c>
      <c r="AL130" s="133">
        <v>18.57</v>
      </c>
      <c r="AM130" s="136" t="str">
        <f>IF(ISERROR(VLOOKUP(D130,'Woodmac profile - Oil'!$D$9:$AN$266,37,FALSE)),"",VLOOKUP(D130,'Woodmac profile - Oil'!$D$9:$AN$266,37,FALSE))</f>
        <v>EAI</v>
      </c>
      <c r="AN130" s="136" t="str">
        <f>IF(ISERROR(VLOOKUP(D130,'Woodmac profile - Gas'!$D$9:$AN$249,37,FALSE)),"",VLOOKUP(D130,'Woodmac profile - Gas'!$D$9:$AN$249,37,FALSE))</f>
        <v/>
      </c>
      <c r="AO130" s="136" t="str">
        <f t="shared" si="12"/>
        <v>EAI</v>
      </c>
      <c r="AP130" s="132"/>
      <c r="AQ130" s="129"/>
      <c r="AR130" s="129"/>
      <c r="AS130" s="354"/>
      <c r="AT130" s="131"/>
      <c r="AU130" s="131"/>
      <c r="AV130" s="354"/>
      <c r="AW130" s="132"/>
      <c r="AX130" s="354"/>
      <c r="AY130" s="132"/>
      <c r="AZ130" s="132"/>
      <c r="BA130" s="132"/>
      <c r="BB130" s="132"/>
    </row>
    <row r="131" spans="1:54">
      <c r="A131" s="132"/>
      <c r="B131" s="133" t="s">
        <v>3369</v>
      </c>
      <c r="C131" s="133" t="s">
        <v>1703</v>
      </c>
      <c r="D131" s="133" t="s">
        <v>2048</v>
      </c>
      <c r="E131" s="133" t="s">
        <v>1927</v>
      </c>
      <c r="F131" s="133" t="s">
        <v>1928</v>
      </c>
      <c r="G131" s="133" t="s">
        <v>3374</v>
      </c>
      <c r="H131" s="133" t="s">
        <v>1930</v>
      </c>
      <c r="I131" s="133" t="s">
        <v>1931</v>
      </c>
      <c r="J131" s="133">
        <v>12.5</v>
      </c>
      <c r="K131" s="133">
        <v>2.57</v>
      </c>
      <c r="L131" s="133">
        <v>0</v>
      </c>
      <c r="M131" s="133">
        <v>0</v>
      </c>
      <c r="N131" s="133">
        <v>0</v>
      </c>
      <c r="O131" s="133">
        <v>0</v>
      </c>
      <c r="P131" s="133">
        <v>0</v>
      </c>
      <c r="Q131" s="133">
        <v>0</v>
      </c>
      <c r="R131" s="133">
        <v>0</v>
      </c>
      <c r="S131" s="133">
        <v>0</v>
      </c>
      <c r="T131" s="133">
        <v>0</v>
      </c>
      <c r="U131" s="133">
        <v>0</v>
      </c>
      <c r="V131" s="133">
        <v>0</v>
      </c>
      <c r="W131" s="133">
        <v>0</v>
      </c>
      <c r="X131" s="133">
        <v>0</v>
      </c>
      <c r="Y131" s="133">
        <v>0</v>
      </c>
      <c r="Z131" s="133">
        <v>0</v>
      </c>
      <c r="AA131" s="133">
        <v>0</v>
      </c>
      <c r="AB131" s="133">
        <v>0</v>
      </c>
      <c r="AC131" s="133">
        <v>0</v>
      </c>
      <c r="AD131" s="133">
        <v>0</v>
      </c>
      <c r="AE131" s="133">
        <v>0</v>
      </c>
      <c r="AF131" s="133">
        <v>0</v>
      </c>
      <c r="AG131" s="133">
        <v>0</v>
      </c>
      <c r="AH131" s="133">
        <v>0</v>
      </c>
      <c r="AI131" s="133">
        <v>0</v>
      </c>
      <c r="AJ131" s="133">
        <v>0</v>
      </c>
      <c r="AK131" s="133">
        <v>0</v>
      </c>
      <c r="AL131" s="133">
        <v>0</v>
      </c>
      <c r="AM131" s="136" t="str">
        <f>IF(ISERROR(VLOOKUP(D131,'Woodmac profile - Oil'!$D$9:$AN$266,37,FALSE)),"",VLOOKUP(D131,'Woodmac profile - Oil'!$D$9:$AN$266,37,FALSE))</f>
        <v>EAI</v>
      </c>
      <c r="AN131" s="136" t="str">
        <f>IF(ISERROR(VLOOKUP(D131,'Woodmac profile - Gas'!$D$9:$AN$249,37,FALSE)),"",VLOOKUP(D131,'Woodmac profile - Gas'!$D$9:$AN$249,37,FALSE))</f>
        <v/>
      </c>
      <c r="AO131" s="136" t="str">
        <f t="shared" si="12"/>
        <v>EAI</v>
      </c>
      <c r="AP131" s="132"/>
      <c r="AQ131" s="129"/>
      <c r="AR131" s="129"/>
      <c r="AS131" s="354"/>
      <c r="AT131" s="131"/>
      <c r="AU131" s="131"/>
      <c r="AV131" s="354"/>
      <c r="AW131" s="132"/>
      <c r="AX131" s="354"/>
      <c r="AY131" s="132"/>
      <c r="AZ131" s="132"/>
      <c r="BA131" s="132"/>
      <c r="BB131" s="132"/>
    </row>
    <row r="132" spans="1:54">
      <c r="A132" s="132"/>
      <c r="B132" s="133" t="s">
        <v>3369</v>
      </c>
      <c r="C132" s="133" t="s">
        <v>3706</v>
      </c>
      <c r="D132" s="133" t="s">
        <v>3703</v>
      </c>
      <c r="E132" s="133" t="s">
        <v>3372</v>
      </c>
      <c r="F132" s="133" t="s">
        <v>3373</v>
      </c>
      <c r="G132" s="133" t="s">
        <v>1930</v>
      </c>
      <c r="H132" s="133" t="s">
        <v>2966</v>
      </c>
      <c r="I132" s="133" t="s">
        <v>3705</v>
      </c>
      <c r="J132" s="133">
        <v>60</v>
      </c>
      <c r="K132" s="133">
        <v>0</v>
      </c>
      <c r="L132" s="133">
        <v>0</v>
      </c>
      <c r="M132" s="133">
        <v>0</v>
      </c>
      <c r="N132" s="133">
        <v>0</v>
      </c>
      <c r="O132" s="133">
        <v>0</v>
      </c>
      <c r="P132" s="133">
        <v>0</v>
      </c>
      <c r="Q132" s="133">
        <v>0</v>
      </c>
      <c r="R132" s="133">
        <v>0</v>
      </c>
      <c r="S132" s="133">
        <v>0</v>
      </c>
      <c r="T132" s="133">
        <v>0</v>
      </c>
      <c r="U132" s="133">
        <v>0</v>
      </c>
      <c r="V132" s="133">
        <v>0</v>
      </c>
      <c r="W132" s="133">
        <v>0</v>
      </c>
      <c r="X132" s="133">
        <v>0</v>
      </c>
      <c r="Y132" s="133">
        <v>7.65</v>
      </c>
      <c r="Z132" s="133">
        <v>15.3</v>
      </c>
      <c r="AA132" s="133">
        <v>122.4</v>
      </c>
      <c r="AB132" s="133">
        <v>158.19999999999999</v>
      </c>
      <c r="AC132" s="133">
        <v>197.98</v>
      </c>
      <c r="AD132" s="133">
        <v>111.38</v>
      </c>
      <c r="AE132" s="133">
        <v>151.16</v>
      </c>
      <c r="AF132" s="133">
        <v>151.16</v>
      </c>
      <c r="AG132" s="133">
        <v>79.56</v>
      </c>
      <c r="AH132" s="133">
        <v>0</v>
      </c>
      <c r="AI132" s="133">
        <v>0</v>
      </c>
      <c r="AJ132" s="133">
        <v>0</v>
      </c>
      <c r="AK132" s="133">
        <v>0</v>
      </c>
      <c r="AL132" s="133">
        <v>0</v>
      </c>
      <c r="AM132" s="136" t="str">
        <f>IF(ISERROR(VLOOKUP(D132,'Woodmac profile - Oil'!$D$9:$AN$266,37,FALSE)),"",VLOOKUP(D132,'Woodmac profile - Oil'!$D$9:$AN$266,37,FALSE))</f>
        <v/>
      </c>
      <c r="AN132" s="136" t="str">
        <f>IF(ISERROR(VLOOKUP(D132,'Woodmac profile - Gas'!$D$9:$AN$249,37,FALSE)),"",VLOOKUP(D132,'Woodmac profile - Gas'!$D$9:$AN$249,37,FALSE))</f>
        <v>SUBS</v>
      </c>
      <c r="AO132" s="136" t="str">
        <f t="shared" si="12"/>
        <v>SUBS</v>
      </c>
      <c r="AP132" s="132"/>
      <c r="AQ132" s="129"/>
      <c r="AR132" s="129"/>
      <c r="AS132" s="354"/>
      <c r="AT132" s="131"/>
      <c r="AU132" s="131"/>
      <c r="AV132" s="354"/>
      <c r="AW132" s="132"/>
      <c r="AX132" s="354"/>
      <c r="AY132" s="132"/>
      <c r="AZ132" s="132"/>
      <c r="BA132" s="132"/>
      <c r="BB132" s="132"/>
    </row>
    <row r="133" spans="1:54">
      <c r="A133" s="132"/>
      <c r="B133" s="133" t="s">
        <v>3369</v>
      </c>
      <c r="C133" s="133" t="s">
        <v>1280</v>
      </c>
      <c r="D133" s="133" t="s">
        <v>680</v>
      </c>
      <c r="E133" s="133" t="s">
        <v>1927</v>
      </c>
      <c r="F133" s="133" t="s">
        <v>2960</v>
      </c>
      <c r="G133" s="133" t="s">
        <v>1931</v>
      </c>
      <c r="H133" s="133" t="s">
        <v>2966</v>
      </c>
      <c r="I133" s="133" t="s">
        <v>2600</v>
      </c>
      <c r="J133" s="133">
        <v>70</v>
      </c>
      <c r="K133" s="133">
        <v>459.14</v>
      </c>
      <c r="L133" s="133">
        <v>503.1</v>
      </c>
      <c r="M133" s="133">
        <v>433.96</v>
      </c>
      <c r="N133" s="133">
        <v>564.76</v>
      </c>
      <c r="O133" s="133">
        <v>511.1</v>
      </c>
      <c r="P133" s="133">
        <v>610.91999999999996</v>
      </c>
      <c r="Q133" s="133">
        <v>392.2</v>
      </c>
      <c r="R133" s="133">
        <v>466.76</v>
      </c>
      <c r="S133" s="133">
        <v>356.54</v>
      </c>
      <c r="T133" s="133">
        <v>271.43</v>
      </c>
      <c r="U133" s="133">
        <v>546.91999999999996</v>
      </c>
      <c r="V133" s="133">
        <v>641.48</v>
      </c>
      <c r="W133" s="133">
        <v>1079.78</v>
      </c>
      <c r="X133" s="133">
        <v>1042.17</v>
      </c>
      <c r="Y133" s="133">
        <v>689.4</v>
      </c>
      <c r="Z133" s="133">
        <v>831.48</v>
      </c>
      <c r="AA133" s="133">
        <v>395.61</v>
      </c>
      <c r="AB133" s="133">
        <v>74.97</v>
      </c>
      <c r="AC133" s="133">
        <v>74.97</v>
      </c>
      <c r="AD133" s="133">
        <v>71.400000000000006</v>
      </c>
      <c r="AE133" s="133">
        <v>62.83</v>
      </c>
      <c r="AF133" s="133">
        <v>45.7</v>
      </c>
      <c r="AG133" s="133">
        <v>37.130000000000003</v>
      </c>
      <c r="AH133" s="133">
        <v>29.27</v>
      </c>
      <c r="AI133" s="133">
        <v>29.27</v>
      </c>
      <c r="AJ133" s="133">
        <v>29.27</v>
      </c>
      <c r="AK133" s="133">
        <v>22.13</v>
      </c>
      <c r="AL133" s="133">
        <v>22.13</v>
      </c>
      <c r="AM133" s="136" t="str">
        <f>IF(ISERROR(VLOOKUP(D133,'Woodmac profile - Oil'!$D$9:$AN$266,37,FALSE)),"",VLOOKUP(D133,'Woodmac profile - Oil'!$D$9:$AN$266,37,FALSE))</f>
        <v>SUBS</v>
      </c>
      <c r="AN133" s="136" t="str">
        <f>IF(ISERROR(VLOOKUP(D133,'Woodmac profile - Gas'!$D$9:$AN$249,37,FALSE)),"",VLOOKUP(D133,'Woodmac profile - Gas'!$D$9:$AN$249,37,FALSE))</f>
        <v>SUBS</v>
      </c>
      <c r="AO133" s="136" t="str">
        <f t="shared" si="12"/>
        <v>SUBS</v>
      </c>
      <c r="AP133" s="132"/>
      <c r="AQ133" s="129"/>
      <c r="AR133" s="129"/>
      <c r="AS133" s="354"/>
      <c r="AT133" s="131"/>
      <c r="AU133" s="131"/>
      <c r="AV133" s="354"/>
      <c r="AW133" s="132"/>
      <c r="AX133" s="354"/>
      <c r="AY133" s="132"/>
      <c r="AZ133" s="132"/>
      <c r="BA133" s="132"/>
      <c r="BB133" s="132"/>
    </row>
    <row r="134" spans="1:54">
      <c r="A134" s="132"/>
      <c r="B134" s="133" t="s">
        <v>3369</v>
      </c>
      <c r="C134" s="133" t="s">
        <v>1280</v>
      </c>
      <c r="D134" s="133" t="s">
        <v>3730</v>
      </c>
      <c r="E134" s="133" t="s">
        <v>1927</v>
      </c>
      <c r="F134" s="133" t="s">
        <v>2960</v>
      </c>
      <c r="G134" s="133" t="s">
        <v>1930</v>
      </c>
      <c r="H134" s="133" t="s">
        <v>116</v>
      </c>
      <c r="I134" s="133" t="s">
        <v>2600</v>
      </c>
      <c r="J134" s="133">
        <v>50</v>
      </c>
      <c r="K134" s="133">
        <v>0</v>
      </c>
      <c r="L134" s="133">
        <v>0</v>
      </c>
      <c r="M134" s="133">
        <v>0</v>
      </c>
      <c r="N134" s="133">
        <v>0</v>
      </c>
      <c r="O134" s="133">
        <v>0</v>
      </c>
      <c r="P134" s="133">
        <v>0</v>
      </c>
      <c r="Q134" s="133">
        <v>0</v>
      </c>
      <c r="R134" s="133">
        <v>0</v>
      </c>
      <c r="S134" s="133">
        <v>0</v>
      </c>
      <c r="T134" s="133">
        <v>0.11</v>
      </c>
      <c r="U134" s="133">
        <v>1.72</v>
      </c>
      <c r="V134" s="133">
        <v>6.45</v>
      </c>
      <c r="W134" s="133">
        <v>12.24</v>
      </c>
      <c r="X134" s="133">
        <v>36.68</v>
      </c>
      <c r="Y134" s="133">
        <v>17.54</v>
      </c>
      <c r="Z134" s="133">
        <v>0.67</v>
      </c>
      <c r="AA134" s="133">
        <v>0.67</v>
      </c>
      <c r="AB134" s="133">
        <v>0.67</v>
      </c>
      <c r="AC134" s="133">
        <v>0.67</v>
      </c>
      <c r="AD134" s="133">
        <v>0.1</v>
      </c>
      <c r="AE134" s="133">
        <v>0</v>
      </c>
      <c r="AF134" s="133">
        <v>0</v>
      </c>
      <c r="AG134" s="133">
        <v>0</v>
      </c>
      <c r="AH134" s="133">
        <v>0</v>
      </c>
      <c r="AI134" s="133">
        <v>0</v>
      </c>
      <c r="AJ134" s="133">
        <v>0</v>
      </c>
      <c r="AK134" s="133">
        <v>0</v>
      </c>
      <c r="AL134" s="133">
        <v>0</v>
      </c>
      <c r="AM134" s="136" t="str">
        <f>IF(ISERROR(VLOOKUP(D134,'Woodmac profile - Oil'!$D$9:$AN$266,37,FALSE)),"",VLOOKUP(D134,'Woodmac profile - Oil'!$D$9:$AN$266,37,FALSE))</f>
        <v/>
      </c>
      <c r="AN134" s="136" t="str">
        <f>IF(ISERROR(VLOOKUP(D134,'Woodmac profile - Gas'!$D$9:$AN$249,37,FALSE)),"",VLOOKUP(D134,'Woodmac profile - Gas'!$D$9:$AN$249,37,FALSE))</f>
        <v>SUBS</v>
      </c>
      <c r="AO134" s="136" t="str">
        <f t="shared" ref="AO134" si="13">IF(AM134="",AN134,AM134)</f>
        <v>SUBS</v>
      </c>
      <c r="AP134" s="132"/>
      <c r="AQ134" s="129"/>
      <c r="AR134" s="129"/>
      <c r="AS134" s="354"/>
      <c r="AT134" s="131"/>
      <c r="AU134" s="131"/>
      <c r="AV134" s="354"/>
      <c r="AW134" s="132"/>
      <c r="AX134" s="354"/>
      <c r="AY134" s="132"/>
      <c r="AZ134" s="132"/>
      <c r="BA134" s="132"/>
      <c r="BB134" s="132"/>
    </row>
    <row r="135" spans="1:54">
      <c r="A135" s="132"/>
      <c r="B135" s="133" t="s">
        <v>3369</v>
      </c>
      <c r="C135" s="133" t="s">
        <v>1280</v>
      </c>
      <c r="D135" s="133" t="s">
        <v>681</v>
      </c>
      <c r="E135" s="133" t="s">
        <v>1927</v>
      </c>
      <c r="F135" s="133" t="s">
        <v>2960</v>
      </c>
      <c r="G135" s="133" t="s">
        <v>3374</v>
      </c>
      <c r="H135" s="133" t="s">
        <v>116</v>
      </c>
      <c r="I135" s="133" t="s">
        <v>2600</v>
      </c>
      <c r="J135" s="133">
        <v>70</v>
      </c>
      <c r="K135" s="133">
        <v>9.51</v>
      </c>
      <c r="L135" s="133">
        <v>9.2799999999999994</v>
      </c>
      <c r="M135" s="133">
        <v>7.47</v>
      </c>
      <c r="N135" s="133">
        <v>0</v>
      </c>
      <c r="O135" s="133">
        <v>0</v>
      </c>
      <c r="P135" s="133">
        <v>0</v>
      </c>
      <c r="Q135" s="133">
        <v>0</v>
      </c>
      <c r="R135" s="133">
        <v>0</v>
      </c>
      <c r="S135" s="133">
        <v>0</v>
      </c>
      <c r="T135" s="133">
        <v>0</v>
      </c>
      <c r="U135" s="133">
        <v>0</v>
      </c>
      <c r="V135" s="133">
        <v>0</v>
      </c>
      <c r="W135" s="133">
        <v>0</v>
      </c>
      <c r="X135" s="133">
        <v>0</v>
      </c>
      <c r="Y135" s="133">
        <v>0</v>
      </c>
      <c r="Z135" s="133">
        <v>0</v>
      </c>
      <c r="AA135" s="133">
        <v>0</v>
      </c>
      <c r="AB135" s="133">
        <v>0</v>
      </c>
      <c r="AC135" s="133">
        <v>0</v>
      </c>
      <c r="AD135" s="133">
        <v>0</v>
      </c>
      <c r="AE135" s="133">
        <v>0</v>
      </c>
      <c r="AF135" s="133">
        <v>0</v>
      </c>
      <c r="AG135" s="133">
        <v>0</v>
      </c>
      <c r="AH135" s="133">
        <v>0</v>
      </c>
      <c r="AI135" s="133">
        <v>0</v>
      </c>
      <c r="AJ135" s="133">
        <v>0</v>
      </c>
      <c r="AK135" s="133">
        <v>0</v>
      </c>
      <c r="AL135" s="133">
        <v>0</v>
      </c>
      <c r="AM135" s="136" t="str">
        <f>IF(ISERROR(VLOOKUP(D135,'Woodmac profile - Oil'!$D$9:$AN$266,37,FALSE)),"",VLOOKUP(D135,'Woodmac profile - Oil'!$D$9:$AN$266,37,FALSE))</f>
        <v>SUBS</v>
      </c>
      <c r="AN135" s="136" t="str">
        <f>IF(ISERROR(VLOOKUP(D135,'Woodmac profile - Gas'!$D$9:$AN$249,37,FALSE)),"",VLOOKUP(D135,'Woodmac profile - Gas'!$D$9:$AN$249,37,FALSE))</f>
        <v>SUBS</v>
      </c>
      <c r="AO135" s="136" t="str">
        <f t="shared" si="12"/>
        <v>SUBS</v>
      </c>
      <c r="AP135" s="132"/>
      <c r="AQ135" s="129"/>
      <c r="AR135" s="129"/>
      <c r="AS135" s="354"/>
      <c r="AT135" s="131"/>
      <c r="AU135" s="131"/>
      <c r="AV135" s="354"/>
      <c r="AW135" s="132"/>
      <c r="AX135" s="354"/>
      <c r="AY135" s="132"/>
      <c r="AZ135" s="132"/>
      <c r="BA135" s="132"/>
      <c r="BB135" s="132"/>
    </row>
    <row r="136" spans="1:54">
      <c r="A136" s="132"/>
      <c r="B136" s="133" t="s">
        <v>3369</v>
      </c>
      <c r="C136" s="133" t="s">
        <v>1281</v>
      </c>
      <c r="D136" s="133" t="s">
        <v>1282</v>
      </c>
      <c r="E136" s="133" t="s">
        <v>1927</v>
      </c>
      <c r="F136" s="133" t="s">
        <v>2960</v>
      </c>
      <c r="G136" s="133" t="s">
        <v>217</v>
      </c>
      <c r="H136" s="133" t="s">
        <v>1930</v>
      </c>
      <c r="I136" s="133" t="s">
        <v>2600</v>
      </c>
      <c r="J136" s="133">
        <v>13.3</v>
      </c>
      <c r="K136" s="133">
        <v>24.42</v>
      </c>
      <c r="L136" s="133">
        <v>31.38</v>
      </c>
      <c r="M136" s="133">
        <v>16.82</v>
      </c>
      <c r="N136" s="133">
        <v>19.25</v>
      </c>
      <c r="O136" s="133">
        <v>13.73</v>
      </c>
      <c r="P136" s="133">
        <v>6.13</v>
      </c>
      <c r="Q136" s="133">
        <v>7.61</v>
      </c>
      <c r="R136" s="133">
        <v>10.130000000000001</v>
      </c>
      <c r="S136" s="133">
        <v>37.53</v>
      </c>
      <c r="T136" s="133">
        <v>0</v>
      </c>
      <c r="U136" s="133">
        <v>0</v>
      </c>
      <c r="V136" s="133">
        <v>0</v>
      </c>
      <c r="W136" s="133">
        <v>0</v>
      </c>
      <c r="X136" s="133">
        <v>0</v>
      </c>
      <c r="Y136" s="133">
        <v>0</v>
      </c>
      <c r="Z136" s="133">
        <v>0</v>
      </c>
      <c r="AA136" s="133">
        <v>0</v>
      </c>
      <c r="AB136" s="133">
        <v>0</v>
      </c>
      <c r="AC136" s="133">
        <v>0</v>
      </c>
      <c r="AD136" s="133">
        <v>0</v>
      </c>
      <c r="AE136" s="133">
        <v>0</v>
      </c>
      <c r="AF136" s="133">
        <v>0</v>
      </c>
      <c r="AG136" s="133">
        <v>0</v>
      </c>
      <c r="AH136" s="133">
        <v>0</v>
      </c>
      <c r="AI136" s="133">
        <v>0</v>
      </c>
      <c r="AJ136" s="133">
        <v>0</v>
      </c>
      <c r="AK136" s="133">
        <v>0</v>
      </c>
      <c r="AL136" s="133">
        <v>0</v>
      </c>
      <c r="AM136" s="136" t="str">
        <f>IF(ISERROR(VLOOKUP(D136,'Woodmac profile - Oil'!$D$9:$AN$266,37,FALSE)),"",VLOOKUP(D136,'Woodmac profile - Oil'!$D$9:$AN$266,37,FALSE))</f>
        <v>SUBS</v>
      </c>
      <c r="AN136" s="136" t="str">
        <f>IF(ISERROR(VLOOKUP(D136,'Woodmac profile - Gas'!$D$9:$AN$249,37,FALSE)),"",VLOOKUP(D136,'Woodmac profile - Gas'!$D$9:$AN$249,37,FALSE))</f>
        <v/>
      </c>
      <c r="AO136" s="136" t="str">
        <f t="shared" si="12"/>
        <v>SUBS</v>
      </c>
      <c r="AP136" s="132"/>
      <c r="AQ136" s="129"/>
      <c r="AR136" s="129"/>
      <c r="AS136" s="354"/>
      <c r="AT136" s="131"/>
      <c r="AU136" s="131"/>
      <c r="AV136" s="354"/>
      <c r="AW136" s="132"/>
      <c r="AX136" s="354"/>
      <c r="AY136" s="132"/>
      <c r="AZ136" s="132"/>
      <c r="BA136" s="132"/>
      <c r="BB136" s="132"/>
    </row>
    <row r="137" spans="1:54">
      <c r="A137" s="132"/>
      <c r="B137" s="133" t="s">
        <v>3369</v>
      </c>
      <c r="C137" s="133" t="s">
        <v>1281</v>
      </c>
      <c r="D137" s="133" t="s">
        <v>2930</v>
      </c>
      <c r="E137" s="133" t="s">
        <v>3372</v>
      </c>
      <c r="F137" s="133" t="s">
        <v>2973</v>
      </c>
      <c r="G137" s="133" t="s">
        <v>217</v>
      </c>
      <c r="H137" s="133" t="s">
        <v>1930</v>
      </c>
      <c r="I137" s="133" t="s">
        <v>2571</v>
      </c>
      <c r="J137" s="133">
        <v>50</v>
      </c>
      <c r="K137" s="133">
        <v>0</v>
      </c>
      <c r="L137" s="133">
        <v>0</v>
      </c>
      <c r="M137" s="133">
        <v>0</v>
      </c>
      <c r="N137" s="133">
        <v>0</v>
      </c>
      <c r="O137" s="133">
        <v>0</v>
      </c>
      <c r="P137" s="133">
        <v>0</v>
      </c>
      <c r="Q137" s="133">
        <v>0</v>
      </c>
      <c r="R137" s="133">
        <v>0</v>
      </c>
      <c r="S137" s="133">
        <v>0</v>
      </c>
      <c r="T137" s="133">
        <v>0</v>
      </c>
      <c r="U137" s="133">
        <v>0</v>
      </c>
      <c r="V137" s="133">
        <v>0</v>
      </c>
      <c r="W137" s="133">
        <v>0</v>
      </c>
      <c r="X137" s="133">
        <v>0</v>
      </c>
      <c r="Y137" s="133">
        <v>0</v>
      </c>
      <c r="Z137" s="133">
        <v>0</v>
      </c>
      <c r="AA137" s="133">
        <v>128.76</v>
      </c>
      <c r="AB137" s="133">
        <v>14.35</v>
      </c>
      <c r="AC137" s="133">
        <v>0</v>
      </c>
      <c r="AD137" s="133">
        <v>0</v>
      </c>
      <c r="AE137" s="133">
        <v>0</v>
      </c>
      <c r="AF137" s="133">
        <v>0</v>
      </c>
      <c r="AG137" s="133">
        <v>0</v>
      </c>
      <c r="AH137" s="133">
        <v>0</v>
      </c>
      <c r="AI137" s="133">
        <v>0</v>
      </c>
      <c r="AJ137" s="133">
        <v>0</v>
      </c>
      <c r="AK137" s="133">
        <v>0</v>
      </c>
      <c r="AL137" s="133">
        <v>0</v>
      </c>
      <c r="AM137" s="136" t="str">
        <f>IF(ISERROR(VLOOKUP(D137,'Woodmac profile - Oil'!$D$9:$AN$266,37,FALSE)),"",VLOOKUP(D137,'Woodmac profile - Oil'!$D$9:$AN$266,37,FALSE))</f>
        <v>SUBS</v>
      </c>
      <c r="AN137" s="136" t="str">
        <f>IF(ISERROR(VLOOKUP(D137,'Woodmac profile - Gas'!$D$9:$AN$249,37,FALSE)),"",VLOOKUP(D137,'Woodmac profile - Gas'!$D$9:$AN$249,37,FALSE))</f>
        <v/>
      </c>
      <c r="AO137" s="136" t="str">
        <f t="shared" si="12"/>
        <v>SUBS</v>
      </c>
      <c r="AP137" s="132"/>
      <c r="AQ137" s="129"/>
      <c r="AR137" s="129"/>
      <c r="AS137" s="354"/>
      <c r="AT137" s="131"/>
      <c r="AU137" s="131"/>
      <c r="AV137" s="354"/>
      <c r="AW137" s="132"/>
      <c r="AX137" s="354"/>
      <c r="AY137" s="132"/>
      <c r="AZ137" s="132"/>
      <c r="BA137" s="132"/>
      <c r="BB137" s="132"/>
    </row>
    <row r="138" spans="1:54">
      <c r="A138" s="132"/>
      <c r="B138" s="133" t="s">
        <v>3369</v>
      </c>
      <c r="C138" s="133" t="s">
        <v>1281</v>
      </c>
      <c r="D138" s="133" t="s">
        <v>2597</v>
      </c>
      <c r="E138" s="133" t="s">
        <v>1927</v>
      </c>
      <c r="F138" s="133" t="s">
        <v>2960</v>
      </c>
      <c r="G138" s="133" t="s">
        <v>1931</v>
      </c>
      <c r="H138" s="133" t="s">
        <v>116</v>
      </c>
      <c r="I138" s="133" t="s">
        <v>2600</v>
      </c>
      <c r="J138" s="133">
        <v>83.65</v>
      </c>
      <c r="K138" s="133">
        <v>0</v>
      </c>
      <c r="L138" s="133">
        <v>0</v>
      </c>
      <c r="M138" s="133">
        <v>0</v>
      </c>
      <c r="N138" s="133">
        <v>0</v>
      </c>
      <c r="O138" s="133">
        <v>122.83</v>
      </c>
      <c r="P138" s="133">
        <v>32.78</v>
      </c>
      <c r="Q138" s="133">
        <v>4.78</v>
      </c>
      <c r="R138" s="133">
        <v>0</v>
      </c>
      <c r="S138" s="133">
        <v>0</v>
      </c>
      <c r="T138" s="133">
        <v>0</v>
      </c>
      <c r="U138" s="133">
        <v>0</v>
      </c>
      <c r="V138" s="133">
        <v>0</v>
      </c>
      <c r="W138" s="133">
        <v>0</v>
      </c>
      <c r="X138" s="133">
        <v>0</v>
      </c>
      <c r="Y138" s="133">
        <v>0</v>
      </c>
      <c r="Z138" s="133">
        <v>0</v>
      </c>
      <c r="AA138" s="133">
        <v>0</v>
      </c>
      <c r="AB138" s="133">
        <v>0</v>
      </c>
      <c r="AC138" s="133">
        <v>0</v>
      </c>
      <c r="AD138" s="133">
        <v>0</v>
      </c>
      <c r="AE138" s="133">
        <v>0</v>
      </c>
      <c r="AF138" s="133">
        <v>0</v>
      </c>
      <c r="AG138" s="133">
        <v>0</v>
      </c>
      <c r="AH138" s="133">
        <v>0</v>
      </c>
      <c r="AI138" s="133">
        <v>0</v>
      </c>
      <c r="AJ138" s="133">
        <v>0</v>
      </c>
      <c r="AK138" s="133">
        <v>0</v>
      </c>
      <c r="AL138" s="133">
        <v>0</v>
      </c>
      <c r="AM138" s="136" t="str">
        <f>IF(ISERROR(VLOOKUP(D138,'Woodmac profile - Oil'!$D$9:$AN$266,37,FALSE)),"",VLOOKUP(D138,'Woodmac profile - Oil'!$D$9:$AN$266,37,FALSE))</f>
        <v>SUBS</v>
      </c>
      <c r="AN138" s="136" t="str">
        <f>IF(ISERROR(VLOOKUP(D138,'Woodmac profile - Gas'!$D$9:$AN$249,37,FALSE)),"",VLOOKUP(D138,'Woodmac profile - Gas'!$D$9:$AN$249,37,FALSE))</f>
        <v>SUBS</v>
      </c>
      <c r="AO138" s="136" t="str">
        <f t="shared" si="12"/>
        <v>SUBS</v>
      </c>
      <c r="AP138" s="132"/>
      <c r="AQ138" s="129"/>
      <c r="AR138" s="129"/>
      <c r="AS138" s="354"/>
      <c r="AT138" s="131"/>
      <c r="AU138" s="131"/>
      <c r="AV138" s="354"/>
      <c r="AW138" s="132"/>
      <c r="AX138" s="354"/>
      <c r="AY138" s="132"/>
      <c r="AZ138" s="132"/>
      <c r="BA138" s="132"/>
      <c r="BB138" s="132"/>
    </row>
    <row r="139" spans="1:54">
      <c r="A139" s="132"/>
      <c r="B139" s="133" t="s">
        <v>3369</v>
      </c>
      <c r="C139" s="133" t="s">
        <v>1281</v>
      </c>
      <c r="D139" s="133" t="s">
        <v>1283</v>
      </c>
      <c r="E139" s="133" t="s">
        <v>1927</v>
      </c>
      <c r="F139" s="133" t="s">
        <v>2960</v>
      </c>
      <c r="G139" s="133" t="s">
        <v>1932</v>
      </c>
      <c r="H139" s="133" t="s">
        <v>116</v>
      </c>
      <c r="I139" s="133" t="s">
        <v>2600</v>
      </c>
      <c r="J139" s="133">
        <v>62.75</v>
      </c>
      <c r="K139" s="133">
        <v>15.04</v>
      </c>
      <c r="L139" s="133">
        <v>10.3</v>
      </c>
      <c r="M139" s="133">
        <v>30.82</v>
      </c>
      <c r="N139" s="133">
        <v>35.08</v>
      </c>
      <c r="O139" s="133">
        <v>0</v>
      </c>
      <c r="P139" s="133">
        <v>43.39</v>
      </c>
      <c r="Q139" s="133">
        <v>0</v>
      </c>
      <c r="R139" s="133">
        <v>25.04</v>
      </c>
      <c r="S139" s="133">
        <v>106.24</v>
      </c>
      <c r="T139" s="133">
        <v>229.62</v>
      </c>
      <c r="U139" s="133">
        <v>199.38</v>
      </c>
      <c r="V139" s="133">
        <v>173.62</v>
      </c>
      <c r="W139" s="133">
        <v>0</v>
      </c>
      <c r="X139" s="133">
        <v>0</v>
      </c>
      <c r="Y139" s="133">
        <v>3.28</v>
      </c>
      <c r="Z139" s="133">
        <v>8.5299999999999994</v>
      </c>
      <c r="AA139" s="133">
        <v>0</v>
      </c>
      <c r="AB139" s="133">
        <v>0</v>
      </c>
      <c r="AC139" s="133">
        <v>0</v>
      </c>
      <c r="AD139" s="133">
        <v>0</v>
      </c>
      <c r="AE139" s="133">
        <v>0</v>
      </c>
      <c r="AF139" s="133">
        <v>0</v>
      </c>
      <c r="AG139" s="133">
        <v>0</v>
      </c>
      <c r="AH139" s="133">
        <v>0</v>
      </c>
      <c r="AI139" s="133">
        <v>0</v>
      </c>
      <c r="AJ139" s="133">
        <v>0</v>
      </c>
      <c r="AK139" s="133">
        <v>0</v>
      </c>
      <c r="AL139" s="133">
        <v>0</v>
      </c>
      <c r="AM139" s="136" t="str">
        <f>IF(ISERROR(VLOOKUP(D139,'Woodmac profile - Oil'!$D$9:$AN$266,37,FALSE)),"",VLOOKUP(D139,'Woodmac profile - Oil'!$D$9:$AN$266,37,FALSE))</f>
        <v>SUBS</v>
      </c>
      <c r="AN139" s="136" t="str">
        <f>IF(ISERROR(VLOOKUP(D139,'Woodmac profile - Gas'!$D$9:$AN$249,37,FALSE)),"",VLOOKUP(D139,'Woodmac profile - Gas'!$D$9:$AN$249,37,FALSE))</f>
        <v>SUBS</v>
      </c>
      <c r="AO139" s="136" t="str">
        <f t="shared" si="12"/>
        <v>SUBS</v>
      </c>
      <c r="AP139" s="132"/>
      <c r="AQ139" s="129"/>
      <c r="AR139" s="129"/>
      <c r="AS139" s="354"/>
      <c r="AT139" s="131"/>
      <c r="AU139" s="131"/>
      <c r="AV139" s="354"/>
      <c r="AW139" s="132"/>
      <c r="AX139" s="354"/>
      <c r="AY139" s="132"/>
      <c r="AZ139" s="132"/>
      <c r="BA139" s="132"/>
      <c r="BB139" s="132"/>
    </row>
    <row r="140" spans="1:54">
      <c r="A140" s="132"/>
      <c r="B140" s="133" t="s">
        <v>3369</v>
      </c>
      <c r="C140" s="133" t="s">
        <v>1281</v>
      </c>
      <c r="D140" s="133" t="s">
        <v>3668</v>
      </c>
      <c r="E140" s="133" t="s">
        <v>1927</v>
      </c>
      <c r="F140" s="133" t="s">
        <v>2960</v>
      </c>
      <c r="G140" s="133" t="s">
        <v>1932</v>
      </c>
      <c r="H140" s="133" t="s">
        <v>116</v>
      </c>
      <c r="I140" s="133" t="s">
        <v>2571</v>
      </c>
      <c r="J140" s="133">
        <v>100</v>
      </c>
      <c r="K140" s="133">
        <v>0</v>
      </c>
      <c r="L140" s="133">
        <v>0</v>
      </c>
      <c r="M140" s="133">
        <v>0</v>
      </c>
      <c r="N140" s="133">
        <v>0</v>
      </c>
      <c r="O140" s="133">
        <v>0</v>
      </c>
      <c r="P140" s="133">
        <v>0</v>
      </c>
      <c r="Q140" s="133">
        <v>0</v>
      </c>
      <c r="R140" s="133">
        <v>0</v>
      </c>
      <c r="S140" s="133">
        <v>0</v>
      </c>
      <c r="T140" s="133">
        <v>0</v>
      </c>
      <c r="U140" s="133">
        <v>0</v>
      </c>
      <c r="V140" s="133">
        <v>0</v>
      </c>
      <c r="W140" s="133">
        <v>0</v>
      </c>
      <c r="X140" s="133">
        <v>0</v>
      </c>
      <c r="Y140" s="133">
        <v>130.77000000000001</v>
      </c>
      <c r="Z140" s="133">
        <v>0</v>
      </c>
      <c r="AA140" s="133">
        <v>0</v>
      </c>
      <c r="AB140" s="133">
        <v>0</v>
      </c>
      <c r="AC140" s="133">
        <v>0</v>
      </c>
      <c r="AD140" s="133">
        <v>0</v>
      </c>
      <c r="AE140" s="133">
        <v>0</v>
      </c>
      <c r="AF140" s="133">
        <v>0</v>
      </c>
      <c r="AG140" s="133">
        <v>0</v>
      </c>
      <c r="AH140" s="133">
        <v>0</v>
      </c>
      <c r="AI140" s="133">
        <v>0</v>
      </c>
      <c r="AJ140" s="133">
        <v>0</v>
      </c>
      <c r="AK140" s="133">
        <v>0</v>
      </c>
      <c r="AL140" s="133">
        <v>0</v>
      </c>
      <c r="AM140" s="136" t="str">
        <f>IF(ISERROR(VLOOKUP(D140,'Woodmac profile - Oil'!$D$9:$AN$266,37,FALSE)),"",VLOOKUP(D140,'Woodmac profile - Oil'!$D$9:$AN$266,37,FALSE))</f>
        <v>SUBS</v>
      </c>
      <c r="AN140" s="136" t="str">
        <f>IF(ISERROR(VLOOKUP(D140,'Woodmac profile - Gas'!$D$9:$AN$249,37,FALSE)),"",VLOOKUP(D140,'Woodmac profile - Gas'!$D$9:$AN$249,37,FALSE))</f>
        <v>SUBS</v>
      </c>
      <c r="AO140" s="136" t="str">
        <f t="shared" si="12"/>
        <v>SUBS</v>
      </c>
      <c r="AP140" s="132"/>
      <c r="AQ140" s="129"/>
      <c r="AR140" s="129"/>
      <c r="AS140" s="354"/>
      <c r="AT140" s="131"/>
      <c r="AU140" s="131"/>
      <c r="AV140" s="354"/>
      <c r="AW140" s="132"/>
      <c r="AX140" s="354"/>
      <c r="AY140" s="132"/>
      <c r="AZ140" s="132"/>
      <c r="BA140" s="132"/>
      <c r="BB140" s="132"/>
    </row>
    <row r="141" spans="1:54">
      <c r="A141" s="132"/>
      <c r="B141" s="133" t="s">
        <v>3369</v>
      </c>
      <c r="C141" s="133" t="s">
        <v>1281</v>
      </c>
      <c r="D141" s="133" t="s">
        <v>3682</v>
      </c>
      <c r="E141" s="133" t="s">
        <v>1927</v>
      </c>
      <c r="F141" s="133" t="s">
        <v>2960</v>
      </c>
      <c r="G141" s="133" t="s">
        <v>1929</v>
      </c>
      <c r="H141" s="133" t="s">
        <v>116</v>
      </c>
      <c r="I141" s="133" t="s">
        <v>3687</v>
      </c>
      <c r="J141" s="133">
        <v>27.5</v>
      </c>
      <c r="K141" s="133">
        <v>0</v>
      </c>
      <c r="L141" s="133">
        <v>0</v>
      </c>
      <c r="M141" s="133">
        <v>0</v>
      </c>
      <c r="N141" s="133">
        <v>0</v>
      </c>
      <c r="O141" s="133">
        <v>0</v>
      </c>
      <c r="P141" s="133">
        <v>0</v>
      </c>
      <c r="Q141" s="133">
        <v>0</v>
      </c>
      <c r="R141" s="133">
        <v>0</v>
      </c>
      <c r="S141" s="133">
        <v>0</v>
      </c>
      <c r="T141" s="133">
        <v>0</v>
      </c>
      <c r="U141" s="133">
        <v>0</v>
      </c>
      <c r="V141" s="133">
        <v>0</v>
      </c>
      <c r="W141" s="133">
        <v>31.23</v>
      </c>
      <c r="X141" s="133">
        <v>13.24</v>
      </c>
      <c r="Y141" s="133">
        <v>0.36</v>
      </c>
      <c r="Z141" s="133">
        <v>0</v>
      </c>
      <c r="AA141" s="133">
        <v>0.38</v>
      </c>
      <c r="AB141" s="133">
        <v>0</v>
      </c>
      <c r="AC141" s="133">
        <v>0</v>
      </c>
      <c r="AD141" s="133">
        <v>0</v>
      </c>
      <c r="AE141" s="133">
        <v>0</v>
      </c>
      <c r="AF141" s="133">
        <v>0</v>
      </c>
      <c r="AG141" s="133">
        <v>0</v>
      </c>
      <c r="AH141" s="133">
        <v>0</v>
      </c>
      <c r="AI141" s="133">
        <v>0</v>
      </c>
      <c r="AJ141" s="133">
        <v>0</v>
      </c>
      <c r="AK141" s="133">
        <v>0</v>
      </c>
      <c r="AL141" s="133">
        <v>0</v>
      </c>
      <c r="AM141" s="136" t="str">
        <f>IF(ISERROR(VLOOKUP(D141,'Woodmac profile - Oil'!$D$9:$AN$266,37,FALSE)),"",VLOOKUP(D141,'Woodmac profile - Oil'!$D$9:$AN$266,37,FALSE))</f>
        <v>SUBS</v>
      </c>
      <c r="AN141" s="136" t="str">
        <f>IF(ISERROR(VLOOKUP(D141,'Woodmac profile - Gas'!$D$9:$AN$249,37,FALSE)),"",VLOOKUP(D141,'Woodmac profile - Gas'!$D$9:$AN$249,37,FALSE))</f>
        <v>SUBS</v>
      </c>
      <c r="AO141" s="136" t="str">
        <f t="shared" si="12"/>
        <v>SUBS</v>
      </c>
      <c r="AP141" s="132"/>
      <c r="AQ141" s="129"/>
      <c r="AR141" s="129"/>
      <c r="AS141" s="354"/>
      <c r="AT141" s="131"/>
      <c r="AU141" s="131"/>
      <c r="AV141" s="354"/>
      <c r="AW141" s="132"/>
      <c r="AX141" s="354"/>
      <c r="AY141" s="132"/>
      <c r="AZ141" s="132"/>
      <c r="BA141" s="132"/>
      <c r="BB141" s="132"/>
    </row>
    <row r="142" spans="1:54">
      <c r="A142" s="132"/>
      <c r="B142" s="133" t="s">
        <v>3369</v>
      </c>
      <c r="C142" s="133" t="s">
        <v>1281</v>
      </c>
      <c r="D142" s="133" t="s">
        <v>1284</v>
      </c>
      <c r="E142" s="133" t="s">
        <v>1927</v>
      </c>
      <c r="F142" s="133" t="s">
        <v>2960</v>
      </c>
      <c r="G142" s="133" t="s">
        <v>1929</v>
      </c>
      <c r="H142" s="133" t="s">
        <v>116</v>
      </c>
      <c r="I142" s="133" t="s">
        <v>2601</v>
      </c>
      <c r="J142" s="133">
        <v>27.7</v>
      </c>
      <c r="K142" s="133">
        <v>0</v>
      </c>
      <c r="L142" s="133">
        <v>0</v>
      </c>
      <c r="M142" s="133">
        <v>6.8</v>
      </c>
      <c r="N142" s="133">
        <v>3.03</v>
      </c>
      <c r="O142" s="133">
        <v>16.23</v>
      </c>
      <c r="P142" s="133">
        <v>0.53</v>
      </c>
      <c r="Q142" s="133">
        <v>0.79</v>
      </c>
      <c r="R142" s="133">
        <v>0.49</v>
      </c>
      <c r="S142" s="133">
        <v>0</v>
      </c>
      <c r="T142" s="133">
        <v>0</v>
      </c>
      <c r="U142" s="133">
        <v>0</v>
      </c>
      <c r="V142" s="133">
        <v>0</v>
      </c>
      <c r="W142" s="133">
        <v>0</v>
      </c>
      <c r="X142" s="133">
        <v>0</v>
      </c>
      <c r="Y142" s="133">
        <v>0</v>
      </c>
      <c r="Z142" s="133">
        <v>0</v>
      </c>
      <c r="AA142" s="133">
        <v>0</v>
      </c>
      <c r="AB142" s="133">
        <v>0</v>
      </c>
      <c r="AC142" s="133">
        <v>0</v>
      </c>
      <c r="AD142" s="133">
        <v>0</v>
      </c>
      <c r="AE142" s="133">
        <v>0</v>
      </c>
      <c r="AF142" s="133">
        <v>0</v>
      </c>
      <c r="AG142" s="133">
        <v>0</v>
      </c>
      <c r="AH142" s="133">
        <v>0</v>
      </c>
      <c r="AI142" s="133">
        <v>0</v>
      </c>
      <c r="AJ142" s="133">
        <v>0</v>
      </c>
      <c r="AK142" s="133">
        <v>0</v>
      </c>
      <c r="AL142" s="133">
        <v>0</v>
      </c>
      <c r="AM142" s="136" t="str">
        <f>IF(ISERROR(VLOOKUP(D142,'Woodmac profile - Oil'!$D$9:$AN$266,37,FALSE)),"",VLOOKUP(D142,'Woodmac profile - Oil'!$D$9:$AN$266,37,FALSE))</f>
        <v>SUBS</v>
      </c>
      <c r="AN142" s="136" t="str">
        <f>IF(ISERROR(VLOOKUP(D142,'Woodmac profile - Gas'!$D$9:$AN$249,37,FALSE)),"",VLOOKUP(D142,'Woodmac profile - Gas'!$D$9:$AN$249,37,FALSE))</f>
        <v>SUBS</v>
      </c>
      <c r="AO142" s="136" t="str">
        <f t="shared" si="12"/>
        <v>SUBS</v>
      </c>
      <c r="AP142" s="132"/>
      <c r="AQ142" s="129"/>
      <c r="AR142" s="129"/>
      <c r="AS142" s="354"/>
      <c r="AT142" s="131"/>
      <c r="AU142" s="131"/>
      <c r="AV142" s="354"/>
      <c r="AW142" s="132"/>
      <c r="AX142" s="354"/>
      <c r="AY142" s="132"/>
      <c r="AZ142" s="132"/>
      <c r="BA142" s="132"/>
      <c r="BB142" s="132"/>
    </row>
    <row r="143" spans="1:54">
      <c r="A143" s="132"/>
      <c r="B143" s="133" t="s">
        <v>3369</v>
      </c>
      <c r="C143" s="133" t="s">
        <v>1281</v>
      </c>
      <c r="D143" s="133" t="s">
        <v>1285</v>
      </c>
      <c r="E143" s="133" t="s">
        <v>1927</v>
      </c>
      <c r="F143" s="133" t="s">
        <v>2960</v>
      </c>
      <c r="G143" s="133" t="s">
        <v>1932</v>
      </c>
      <c r="H143" s="133" t="s">
        <v>116</v>
      </c>
      <c r="I143" s="133" t="s">
        <v>2600</v>
      </c>
      <c r="J143" s="133">
        <v>27.7</v>
      </c>
      <c r="K143" s="133">
        <v>3.79</v>
      </c>
      <c r="L143" s="133">
        <v>12.59</v>
      </c>
      <c r="M143" s="133">
        <v>3.4</v>
      </c>
      <c r="N143" s="133">
        <v>17.5</v>
      </c>
      <c r="O143" s="133">
        <v>8.08</v>
      </c>
      <c r="P143" s="133">
        <v>6.38</v>
      </c>
      <c r="Q143" s="133">
        <v>9.1</v>
      </c>
      <c r="R143" s="133">
        <v>29.26</v>
      </c>
      <c r="S143" s="133">
        <v>7.56</v>
      </c>
      <c r="T143" s="133">
        <v>0</v>
      </c>
      <c r="U143" s="133">
        <v>0</v>
      </c>
      <c r="V143" s="133">
        <v>0</v>
      </c>
      <c r="W143" s="133">
        <v>0</v>
      </c>
      <c r="X143" s="133">
        <v>0</v>
      </c>
      <c r="Y143" s="133">
        <v>0</v>
      </c>
      <c r="Z143" s="133">
        <v>0</v>
      </c>
      <c r="AA143" s="133">
        <v>0</v>
      </c>
      <c r="AB143" s="133">
        <v>0</v>
      </c>
      <c r="AC143" s="133">
        <v>0</v>
      </c>
      <c r="AD143" s="133">
        <v>0</v>
      </c>
      <c r="AE143" s="133">
        <v>0</v>
      </c>
      <c r="AF143" s="133">
        <v>0</v>
      </c>
      <c r="AG143" s="133">
        <v>0</v>
      </c>
      <c r="AH143" s="133">
        <v>0</v>
      </c>
      <c r="AI143" s="133">
        <v>0</v>
      </c>
      <c r="AJ143" s="133">
        <v>0</v>
      </c>
      <c r="AK143" s="133">
        <v>0</v>
      </c>
      <c r="AL143" s="133">
        <v>0</v>
      </c>
      <c r="AM143" s="136" t="str">
        <f>IF(ISERROR(VLOOKUP(D143,'Woodmac profile - Oil'!$D$9:$AN$266,37,FALSE)),"",VLOOKUP(D143,'Woodmac profile - Oil'!$D$9:$AN$266,37,FALSE))</f>
        <v>SUBS</v>
      </c>
      <c r="AN143" s="136" t="str">
        <f>IF(ISERROR(VLOOKUP(D143,'Woodmac profile - Gas'!$D$9:$AN$249,37,FALSE)),"",VLOOKUP(D143,'Woodmac profile - Gas'!$D$9:$AN$249,37,FALSE))</f>
        <v>SUBS</v>
      </c>
      <c r="AO143" s="136" t="str">
        <f t="shared" si="12"/>
        <v>SUBS</v>
      </c>
      <c r="AP143" s="132"/>
      <c r="AQ143" s="129"/>
      <c r="AR143" s="129"/>
      <c r="AS143" s="354"/>
      <c r="AT143" s="131"/>
      <c r="AU143" s="131"/>
      <c r="AV143" s="354"/>
      <c r="AW143" s="132"/>
      <c r="AX143" s="354"/>
      <c r="AY143" s="132"/>
      <c r="AZ143" s="132"/>
      <c r="BA143" s="132"/>
      <c r="BB143" s="132"/>
    </row>
    <row r="144" spans="1:54">
      <c r="A144" s="132"/>
      <c r="B144" s="133" t="s">
        <v>3369</v>
      </c>
      <c r="C144" s="133" t="s">
        <v>1281</v>
      </c>
      <c r="D144" s="133" t="s">
        <v>1286</v>
      </c>
      <c r="E144" s="133" t="s">
        <v>1927</v>
      </c>
      <c r="F144" s="133" t="s">
        <v>2960</v>
      </c>
      <c r="G144" s="133" t="s">
        <v>1932</v>
      </c>
      <c r="H144" s="133" t="s">
        <v>116</v>
      </c>
      <c r="I144" s="133" t="s">
        <v>2600</v>
      </c>
      <c r="J144" s="133">
        <v>33.21</v>
      </c>
      <c r="K144" s="133">
        <v>0</v>
      </c>
      <c r="L144" s="133">
        <v>0</v>
      </c>
      <c r="M144" s="133">
        <v>1.63</v>
      </c>
      <c r="N144" s="133">
        <v>14.53</v>
      </c>
      <c r="O144" s="133">
        <v>10.54</v>
      </c>
      <c r="P144" s="133">
        <v>26.6</v>
      </c>
      <c r="Q144" s="133">
        <v>23</v>
      </c>
      <c r="R144" s="133">
        <v>11.96</v>
      </c>
      <c r="S144" s="133">
        <v>0</v>
      </c>
      <c r="T144" s="133">
        <v>0</v>
      </c>
      <c r="U144" s="133">
        <v>0</v>
      </c>
      <c r="V144" s="133">
        <v>0</v>
      </c>
      <c r="W144" s="133">
        <v>0</v>
      </c>
      <c r="X144" s="133">
        <v>0</v>
      </c>
      <c r="Y144" s="133">
        <v>0</v>
      </c>
      <c r="Z144" s="133">
        <v>0</v>
      </c>
      <c r="AA144" s="133">
        <v>0</v>
      </c>
      <c r="AB144" s="133">
        <v>0</v>
      </c>
      <c r="AC144" s="133">
        <v>0</v>
      </c>
      <c r="AD144" s="133">
        <v>0</v>
      </c>
      <c r="AE144" s="133">
        <v>0</v>
      </c>
      <c r="AF144" s="133">
        <v>0</v>
      </c>
      <c r="AG144" s="133">
        <v>0</v>
      </c>
      <c r="AH144" s="133">
        <v>0</v>
      </c>
      <c r="AI144" s="133">
        <v>0</v>
      </c>
      <c r="AJ144" s="133">
        <v>0</v>
      </c>
      <c r="AK144" s="133">
        <v>0</v>
      </c>
      <c r="AL144" s="133">
        <v>0</v>
      </c>
      <c r="AM144" s="136" t="str">
        <f>IF(ISERROR(VLOOKUP(D144,'Woodmac profile - Oil'!$D$9:$AN$266,37,FALSE)),"",VLOOKUP(D144,'Woodmac profile - Oil'!$D$9:$AN$266,37,FALSE))</f>
        <v>SUBS</v>
      </c>
      <c r="AN144" s="136" t="str">
        <f>IF(ISERROR(VLOOKUP(D144,'Woodmac profile - Gas'!$D$9:$AN$249,37,FALSE)),"",VLOOKUP(D144,'Woodmac profile - Gas'!$D$9:$AN$249,37,FALSE))</f>
        <v>SUBS</v>
      </c>
      <c r="AO144" s="136" t="str">
        <f t="shared" si="12"/>
        <v>SUBS</v>
      </c>
      <c r="AP144" s="132"/>
      <c r="AQ144" s="129"/>
      <c r="AR144" s="129"/>
      <c r="AS144" s="354"/>
      <c r="AT144" s="131"/>
      <c r="AU144" s="131"/>
      <c r="AV144" s="354"/>
      <c r="AW144" s="132"/>
      <c r="AX144" s="354"/>
      <c r="AY144" s="132"/>
      <c r="AZ144" s="132"/>
      <c r="BA144" s="132"/>
      <c r="BB144" s="132"/>
    </row>
    <row r="145" spans="1:54">
      <c r="A145" s="132"/>
      <c r="B145" s="133" t="s">
        <v>3369</v>
      </c>
      <c r="C145" s="133" t="s">
        <v>1281</v>
      </c>
      <c r="D145" s="133" t="s">
        <v>1287</v>
      </c>
      <c r="E145" s="133" t="s">
        <v>1927</v>
      </c>
      <c r="F145" s="133" t="s">
        <v>2960</v>
      </c>
      <c r="G145" s="133" t="s">
        <v>3374</v>
      </c>
      <c r="H145" s="133" t="s">
        <v>1930</v>
      </c>
      <c r="I145" s="133" t="s">
        <v>2571</v>
      </c>
      <c r="J145" s="133">
        <v>27.7</v>
      </c>
      <c r="K145" s="133">
        <v>0</v>
      </c>
      <c r="L145" s="133">
        <v>0</v>
      </c>
      <c r="M145" s="133">
        <v>8.16</v>
      </c>
      <c r="N145" s="133">
        <v>0</v>
      </c>
      <c r="O145" s="133">
        <v>1.86</v>
      </c>
      <c r="P145" s="133">
        <v>1.87</v>
      </c>
      <c r="Q145" s="133">
        <v>2.85</v>
      </c>
      <c r="R145" s="133">
        <v>1.73</v>
      </c>
      <c r="S145" s="133">
        <v>27.74</v>
      </c>
      <c r="T145" s="133">
        <v>0</v>
      </c>
      <c r="U145" s="133">
        <v>0</v>
      </c>
      <c r="V145" s="133">
        <v>0</v>
      </c>
      <c r="W145" s="133">
        <v>0</v>
      </c>
      <c r="X145" s="133">
        <v>0</v>
      </c>
      <c r="Y145" s="133">
        <v>0</v>
      </c>
      <c r="Z145" s="133">
        <v>0</v>
      </c>
      <c r="AA145" s="133">
        <v>0</v>
      </c>
      <c r="AB145" s="133">
        <v>0</v>
      </c>
      <c r="AC145" s="133">
        <v>0</v>
      </c>
      <c r="AD145" s="133">
        <v>0</v>
      </c>
      <c r="AE145" s="133">
        <v>0</v>
      </c>
      <c r="AF145" s="133">
        <v>0</v>
      </c>
      <c r="AG145" s="133">
        <v>0</v>
      </c>
      <c r="AH145" s="133">
        <v>0</v>
      </c>
      <c r="AI145" s="133">
        <v>0</v>
      </c>
      <c r="AJ145" s="133">
        <v>0</v>
      </c>
      <c r="AK145" s="133">
        <v>0</v>
      </c>
      <c r="AL145" s="133">
        <v>0</v>
      </c>
      <c r="AM145" s="136" t="str">
        <f>IF(ISERROR(VLOOKUP(D145,'Woodmac profile - Oil'!$D$9:$AN$266,37,FALSE)),"",VLOOKUP(D145,'Woodmac profile - Oil'!$D$9:$AN$266,37,FALSE))</f>
        <v>SUBS</v>
      </c>
      <c r="AN145" s="136" t="str">
        <f>IF(ISERROR(VLOOKUP(D145,'Woodmac profile - Gas'!$D$9:$AN$249,37,FALSE)),"",VLOOKUP(D145,'Woodmac profile - Gas'!$D$9:$AN$249,37,FALSE))</f>
        <v/>
      </c>
      <c r="AO145" s="136" t="str">
        <f t="shared" si="12"/>
        <v>SUBS</v>
      </c>
      <c r="AP145" s="132"/>
      <c r="AQ145" s="129"/>
      <c r="AR145" s="129"/>
      <c r="AS145" s="354"/>
      <c r="AT145" s="131"/>
      <c r="AU145" s="131"/>
      <c r="AV145" s="354"/>
      <c r="AW145" s="132"/>
      <c r="AX145" s="354"/>
      <c r="AY145" s="132"/>
      <c r="AZ145" s="132"/>
      <c r="BA145" s="132"/>
      <c r="BB145" s="132"/>
    </row>
    <row r="146" spans="1:54">
      <c r="A146" s="132"/>
      <c r="B146" s="133" t="s">
        <v>3369</v>
      </c>
      <c r="C146" s="133" t="s">
        <v>1281</v>
      </c>
      <c r="D146" s="133" t="s">
        <v>1288</v>
      </c>
      <c r="E146" s="133" t="s">
        <v>1927</v>
      </c>
      <c r="F146" s="133" t="s">
        <v>2960</v>
      </c>
      <c r="G146" s="133" t="s">
        <v>1929</v>
      </c>
      <c r="H146" s="133" t="s">
        <v>116</v>
      </c>
      <c r="I146" s="133" t="s">
        <v>2571</v>
      </c>
      <c r="J146" s="133">
        <v>52</v>
      </c>
      <c r="K146" s="133">
        <v>61.73</v>
      </c>
      <c r="L146" s="133">
        <v>0</v>
      </c>
      <c r="M146" s="133">
        <v>0</v>
      </c>
      <c r="N146" s="133">
        <v>0</v>
      </c>
      <c r="O146" s="133">
        <v>0</v>
      </c>
      <c r="P146" s="133">
        <v>0</v>
      </c>
      <c r="Q146" s="133">
        <v>0</v>
      </c>
      <c r="R146" s="133">
        <v>0</v>
      </c>
      <c r="S146" s="133">
        <v>0</v>
      </c>
      <c r="T146" s="133">
        <v>0</v>
      </c>
      <c r="U146" s="133">
        <v>0</v>
      </c>
      <c r="V146" s="133">
        <v>0</v>
      </c>
      <c r="W146" s="133">
        <v>0</v>
      </c>
      <c r="X146" s="133">
        <v>0</v>
      </c>
      <c r="Y146" s="133">
        <v>0</v>
      </c>
      <c r="Z146" s="133">
        <v>0</v>
      </c>
      <c r="AA146" s="133">
        <v>0</v>
      </c>
      <c r="AB146" s="133">
        <v>0</v>
      </c>
      <c r="AC146" s="133">
        <v>0</v>
      </c>
      <c r="AD146" s="133">
        <v>0</v>
      </c>
      <c r="AE146" s="133">
        <v>0</v>
      </c>
      <c r="AF146" s="133">
        <v>0</v>
      </c>
      <c r="AG146" s="133">
        <v>0</v>
      </c>
      <c r="AH146" s="133">
        <v>0</v>
      </c>
      <c r="AI146" s="133">
        <v>0</v>
      </c>
      <c r="AJ146" s="133">
        <v>0</v>
      </c>
      <c r="AK146" s="133">
        <v>0</v>
      </c>
      <c r="AL146" s="133">
        <v>0</v>
      </c>
      <c r="AM146" s="136" t="str">
        <f>IF(ISERROR(VLOOKUP(D146,'Woodmac profile - Oil'!$D$9:$AN$266,37,FALSE)),"",VLOOKUP(D146,'Woodmac profile - Oil'!$D$9:$AN$266,37,FALSE))</f>
        <v>SUBS</v>
      </c>
      <c r="AN146" s="136" t="str">
        <f>IF(ISERROR(VLOOKUP(D146,'Woodmac profile - Gas'!$D$9:$AN$249,37,FALSE)),"",VLOOKUP(D146,'Woodmac profile - Gas'!$D$9:$AN$249,37,FALSE))</f>
        <v>SUBS</v>
      </c>
      <c r="AO146" s="136" t="str">
        <f t="shared" si="12"/>
        <v>SUBS</v>
      </c>
      <c r="AP146" s="132"/>
      <c r="AQ146" s="129"/>
      <c r="AR146" s="129"/>
      <c r="AS146" s="354"/>
      <c r="AT146" s="131"/>
      <c r="AU146" s="131"/>
      <c r="AV146" s="354"/>
      <c r="AW146" s="132"/>
      <c r="AX146" s="354"/>
      <c r="AY146" s="132"/>
      <c r="AZ146" s="132"/>
      <c r="BA146" s="132"/>
      <c r="BB146" s="132"/>
    </row>
    <row r="147" spans="1:54">
      <c r="A147" s="132"/>
      <c r="B147" s="133" t="s">
        <v>3369</v>
      </c>
      <c r="C147" s="133" t="s">
        <v>1281</v>
      </c>
      <c r="D147" s="133" t="s">
        <v>1289</v>
      </c>
      <c r="E147" s="133" t="s">
        <v>1927</v>
      </c>
      <c r="F147" s="133" t="s">
        <v>2960</v>
      </c>
      <c r="G147" s="133" t="s">
        <v>1931</v>
      </c>
      <c r="H147" s="133" t="s">
        <v>116</v>
      </c>
      <c r="I147" s="133" t="s">
        <v>2600</v>
      </c>
      <c r="J147" s="133">
        <v>8.9700000000000006</v>
      </c>
      <c r="K147" s="133">
        <v>11.26</v>
      </c>
      <c r="L147" s="133">
        <v>13.59</v>
      </c>
      <c r="M147" s="133">
        <v>12.33</v>
      </c>
      <c r="N147" s="133">
        <v>4.58</v>
      </c>
      <c r="O147" s="133">
        <v>9.49</v>
      </c>
      <c r="P147" s="133">
        <v>0.21</v>
      </c>
      <c r="Q147" s="133">
        <v>5.47</v>
      </c>
      <c r="R147" s="133">
        <v>6.02</v>
      </c>
      <c r="S147" s="133">
        <v>1.1399999999999999</v>
      </c>
      <c r="T147" s="133">
        <v>0</v>
      </c>
      <c r="U147" s="133">
        <v>0</v>
      </c>
      <c r="V147" s="133">
        <v>0</v>
      </c>
      <c r="W147" s="133">
        <v>0</v>
      </c>
      <c r="X147" s="133">
        <v>0</v>
      </c>
      <c r="Y147" s="133">
        <v>0</v>
      </c>
      <c r="Z147" s="133">
        <v>0</v>
      </c>
      <c r="AA147" s="133">
        <v>0</v>
      </c>
      <c r="AB147" s="133">
        <v>0</v>
      </c>
      <c r="AC147" s="133">
        <v>0</v>
      </c>
      <c r="AD147" s="133">
        <v>0</v>
      </c>
      <c r="AE147" s="133">
        <v>0</v>
      </c>
      <c r="AF147" s="133">
        <v>0</v>
      </c>
      <c r="AG147" s="133">
        <v>0</v>
      </c>
      <c r="AH147" s="133">
        <v>0</v>
      </c>
      <c r="AI147" s="133">
        <v>0</v>
      </c>
      <c r="AJ147" s="133">
        <v>0</v>
      </c>
      <c r="AK147" s="133">
        <v>0</v>
      </c>
      <c r="AL147" s="133">
        <v>0</v>
      </c>
      <c r="AM147" s="136" t="str">
        <f>IF(ISERROR(VLOOKUP(D147,'Woodmac profile - Oil'!$D$9:$AN$266,37,FALSE)),"",VLOOKUP(D147,'Woodmac profile - Oil'!$D$9:$AN$266,37,FALSE))</f>
        <v>SUBS</v>
      </c>
      <c r="AN147" s="136" t="str">
        <f>IF(ISERROR(VLOOKUP(D147,'Woodmac profile - Gas'!$D$9:$AN$249,37,FALSE)),"",VLOOKUP(D147,'Woodmac profile - Gas'!$D$9:$AN$249,37,FALSE))</f>
        <v>SUBS</v>
      </c>
      <c r="AO147" s="136" t="str">
        <f t="shared" si="12"/>
        <v>SUBS</v>
      </c>
      <c r="AP147" s="132"/>
      <c r="AQ147" s="129"/>
      <c r="AR147" s="129"/>
      <c r="AS147" s="354"/>
      <c r="AT147" s="131"/>
      <c r="AU147" s="131"/>
      <c r="AV147" s="354"/>
      <c r="AW147" s="132"/>
      <c r="AX147" s="354"/>
      <c r="AY147" s="132"/>
      <c r="AZ147" s="132"/>
      <c r="BA147" s="132"/>
      <c r="BB147" s="132"/>
    </row>
    <row r="148" spans="1:54">
      <c r="A148" s="132"/>
      <c r="B148" s="133" t="s">
        <v>3369</v>
      </c>
      <c r="C148" s="133" t="s">
        <v>1281</v>
      </c>
      <c r="D148" s="133" t="s">
        <v>3738</v>
      </c>
      <c r="E148" s="133" t="s">
        <v>1927</v>
      </c>
      <c r="F148" s="133" t="s">
        <v>2960</v>
      </c>
      <c r="G148" s="133" t="s">
        <v>1929</v>
      </c>
      <c r="H148" s="133" t="s">
        <v>116</v>
      </c>
      <c r="I148" s="133" t="s">
        <v>2600</v>
      </c>
      <c r="J148" s="133">
        <v>1</v>
      </c>
      <c r="K148" s="133">
        <v>16.89</v>
      </c>
      <c r="L148" s="133">
        <v>50.43</v>
      </c>
      <c r="M148" s="133">
        <v>13.63</v>
      </c>
      <c r="N148" s="133">
        <v>18.88</v>
      </c>
      <c r="O148" s="133">
        <v>40.1</v>
      </c>
      <c r="P148" s="133">
        <v>44.35</v>
      </c>
      <c r="Q148" s="133">
        <v>38.799999999999997</v>
      </c>
      <c r="R148" s="133">
        <v>20.14</v>
      </c>
      <c r="S148" s="133">
        <v>50.52</v>
      </c>
      <c r="T148" s="133">
        <v>32.24</v>
      </c>
      <c r="U148" s="133">
        <v>18.559999999999999</v>
      </c>
      <c r="V148" s="133">
        <v>6.4</v>
      </c>
      <c r="W148" s="133">
        <v>12</v>
      </c>
      <c r="X148" s="133">
        <v>10.47</v>
      </c>
      <c r="Y148" s="133">
        <v>18.39</v>
      </c>
      <c r="Z148" s="133">
        <v>0</v>
      </c>
      <c r="AA148" s="133">
        <v>0</v>
      </c>
      <c r="AB148" s="133">
        <v>0</v>
      </c>
      <c r="AC148" s="133">
        <v>0</v>
      </c>
      <c r="AD148" s="133">
        <v>0</v>
      </c>
      <c r="AE148" s="133">
        <v>0</v>
      </c>
      <c r="AF148" s="133">
        <v>0</v>
      </c>
      <c r="AG148" s="133">
        <v>0</v>
      </c>
      <c r="AH148" s="133">
        <v>0</v>
      </c>
      <c r="AI148" s="133">
        <v>0</v>
      </c>
      <c r="AJ148" s="133">
        <v>0</v>
      </c>
      <c r="AK148" s="133">
        <v>0</v>
      </c>
      <c r="AL148" s="133">
        <v>0</v>
      </c>
      <c r="AM148" s="136" t="str">
        <f>IF(ISERROR(VLOOKUP(D148,'Woodmac profile - Oil'!$D$9:$AN$266,37,FALSE)),"",VLOOKUP(D148,'Woodmac profile - Oil'!$D$9:$AN$266,37,FALSE))</f>
        <v>SUBS</v>
      </c>
      <c r="AN148" s="136" t="str">
        <f>IF(ISERROR(VLOOKUP(D148,'Woodmac profile - Gas'!$D$9:$AN$249,37,FALSE)),"",VLOOKUP(D148,'Woodmac profile - Gas'!$D$9:$AN$249,37,FALSE))</f>
        <v>SUBS</v>
      </c>
      <c r="AO148" s="136" t="str">
        <f t="shared" si="12"/>
        <v>SUBS</v>
      </c>
      <c r="AP148" s="132"/>
      <c r="AQ148" s="129"/>
      <c r="AR148" s="129"/>
      <c r="AS148" s="354"/>
      <c r="AT148" s="131"/>
      <c r="AU148" s="131"/>
      <c r="AV148" s="354"/>
      <c r="AW148" s="132"/>
      <c r="AX148" s="354"/>
      <c r="AY148" s="132"/>
      <c r="AZ148" s="132"/>
      <c r="BA148" s="132"/>
      <c r="BB148" s="132"/>
    </row>
    <row r="149" spans="1:54">
      <c r="A149" s="132"/>
      <c r="B149" s="133" t="s">
        <v>3369</v>
      </c>
      <c r="C149" s="133" t="s">
        <v>1281</v>
      </c>
      <c r="D149" s="133" t="s">
        <v>1125</v>
      </c>
      <c r="E149" s="133" t="s">
        <v>1927</v>
      </c>
      <c r="F149" s="133" t="s">
        <v>2960</v>
      </c>
      <c r="G149" s="133" t="s">
        <v>3374</v>
      </c>
      <c r="H149" s="133" t="s">
        <v>116</v>
      </c>
      <c r="I149" s="133" t="s">
        <v>2600</v>
      </c>
      <c r="J149" s="133">
        <v>28.601500000000001</v>
      </c>
      <c r="K149" s="133">
        <v>143.66</v>
      </c>
      <c r="L149" s="133">
        <v>97.47</v>
      </c>
      <c r="M149" s="133">
        <v>42.14</v>
      </c>
      <c r="N149" s="133">
        <v>31.28</v>
      </c>
      <c r="O149" s="133">
        <v>40.590000000000003</v>
      </c>
      <c r="P149" s="133">
        <v>49.45</v>
      </c>
      <c r="Q149" s="133">
        <v>40.9</v>
      </c>
      <c r="R149" s="133">
        <v>36.32</v>
      </c>
      <c r="S149" s="133">
        <v>156.21</v>
      </c>
      <c r="T149" s="133">
        <v>448.55</v>
      </c>
      <c r="U149" s="133">
        <v>550.05999999999995</v>
      </c>
      <c r="V149" s="133">
        <v>242.36</v>
      </c>
      <c r="W149" s="133">
        <v>354.92</v>
      </c>
      <c r="X149" s="133">
        <v>353.91</v>
      </c>
      <c r="Y149" s="133">
        <v>162.69999999999999</v>
      </c>
      <c r="Z149" s="133">
        <v>123.11</v>
      </c>
      <c r="AA149" s="133">
        <v>77.069999999999993</v>
      </c>
      <c r="AB149" s="133">
        <v>113.3</v>
      </c>
      <c r="AC149" s="133">
        <v>190.45</v>
      </c>
      <c r="AD149" s="133">
        <v>213.72</v>
      </c>
      <c r="AE149" s="133">
        <v>213.72</v>
      </c>
      <c r="AF149" s="133">
        <v>247.32</v>
      </c>
      <c r="AG149" s="133">
        <v>194.27</v>
      </c>
      <c r="AH149" s="133">
        <v>59.01</v>
      </c>
      <c r="AI149" s="133">
        <v>59.01</v>
      </c>
      <c r="AJ149" s="133">
        <v>2.4300000000000002</v>
      </c>
      <c r="AK149" s="133">
        <v>2.4300000000000002</v>
      </c>
      <c r="AL149" s="133">
        <v>2.4300000000000002</v>
      </c>
      <c r="AM149" s="136" t="str">
        <f>IF(ISERROR(VLOOKUP(D149,'Woodmac profile - Oil'!$D$9:$AN$266,37,FALSE)),"",VLOOKUP(D149,'Woodmac profile - Oil'!$D$9:$AN$266,37,FALSE))</f>
        <v>SUBS</v>
      </c>
      <c r="AN149" s="136" t="str">
        <f>IF(ISERROR(VLOOKUP(D149,'Woodmac profile - Gas'!$D$9:$AN$249,37,FALSE)),"",VLOOKUP(D149,'Woodmac profile - Gas'!$D$9:$AN$249,37,FALSE))</f>
        <v>SUBS</v>
      </c>
      <c r="AO149" s="136" t="str">
        <f t="shared" si="12"/>
        <v>SUBS</v>
      </c>
      <c r="AP149" s="132"/>
      <c r="AQ149" s="129"/>
      <c r="AR149" s="129"/>
      <c r="AS149" s="354"/>
      <c r="AT149" s="131"/>
      <c r="AU149" s="131"/>
      <c r="AV149" s="354"/>
      <c r="AW149" s="132"/>
      <c r="AX149" s="354"/>
      <c r="AY149" s="132"/>
      <c r="AZ149" s="132"/>
      <c r="BA149" s="132"/>
      <c r="BB149" s="132"/>
    </row>
    <row r="150" spans="1:54">
      <c r="A150" s="132"/>
      <c r="B150" s="133" t="s">
        <v>3369</v>
      </c>
      <c r="C150" s="133" t="s">
        <v>1281</v>
      </c>
      <c r="D150" s="133" t="s">
        <v>2167</v>
      </c>
      <c r="E150" s="133" t="s">
        <v>1927</v>
      </c>
      <c r="F150" s="133" t="s">
        <v>2960</v>
      </c>
      <c r="G150" s="133" t="s">
        <v>1930</v>
      </c>
      <c r="H150" s="133" t="s">
        <v>116</v>
      </c>
      <c r="I150" s="133" t="s">
        <v>2600</v>
      </c>
      <c r="J150" s="133">
        <v>100</v>
      </c>
      <c r="K150" s="133">
        <v>5.71</v>
      </c>
      <c r="L150" s="133">
        <v>10.1</v>
      </c>
      <c r="M150" s="133">
        <v>0</v>
      </c>
      <c r="N150" s="133">
        <v>14.58</v>
      </c>
      <c r="O150" s="133">
        <v>0</v>
      </c>
      <c r="P150" s="133">
        <v>1.1499999999999999</v>
      </c>
      <c r="Q150" s="133">
        <v>0.95</v>
      </c>
      <c r="R150" s="133">
        <v>0.91</v>
      </c>
      <c r="S150" s="133">
        <v>0</v>
      </c>
      <c r="T150" s="133">
        <v>0</v>
      </c>
      <c r="U150" s="133">
        <v>0</v>
      </c>
      <c r="V150" s="133">
        <v>0</v>
      </c>
      <c r="W150" s="133">
        <v>0</v>
      </c>
      <c r="X150" s="133">
        <v>0</v>
      </c>
      <c r="Y150" s="133">
        <v>0</v>
      </c>
      <c r="Z150" s="133">
        <v>0</v>
      </c>
      <c r="AA150" s="133">
        <v>0</v>
      </c>
      <c r="AB150" s="133">
        <v>0</v>
      </c>
      <c r="AC150" s="133">
        <v>0</v>
      </c>
      <c r="AD150" s="133">
        <v>0</v>
      </c>
      <c r="AE150" s="133">
        <v>0</v>
      </c>
      <c r="AF150" s="133">
        <v>0</v>
      </c>
      <c r="AG150" s="133">
        <v>0</v>
      </c>
      <c r="AH150" s="133">
        <v>0</v>
      </c>
      <c r="AI150" s="133">
        <v>0</v>
      </c>
      <c r="AJ150" s="133">
        <v>0</v>
      </c>
      <c r="AK150" s="133">
        <v>0</v>
      </c>
      <c r="AL150" s="133">
        <v>0</v>
      </c>
      <c r="AM150" s="136" t="str">
        <f>IF(ISERROR(VLOOKUP(D150,'Woodmac profile - Oil'!$D$9:$AN$266,37,FALSE)),"",VLOOKUP(D150,'Woodmac profile - Oil'!$D$9:$AN$266,37,FALSE))</f>
        <v/>
      </c>
      <c r="AN150" s="136" t="str">
        <f>IF(ISERROR(VLOOKUP(D150,'Woodmac profile - Gas'!$D$9:$AN$249,37,FALSE)),"",VLOOKUP(D150,'Woodmac profile - Gas'!$D$9:$AN$249,37,FALSE))</f>
        <v>SUBS</v>
      </c>
      <c r="AO150" s="136" t="str">
        <f t="shared" si="12"/>
        <v>SUBS</v>
      </c>
      <c r="AP150" s="132"/>
      <c r="AQ150" s="129"/>
      <c r="AR150" s="129"/>
      <c r="AS150" s="354"/>
      <c r="AT150" s="131"/>
      <c r="AU150" s="131"/>
      <c r="AV150" s="354"/>
      <c r="AW150" s="132"/>
      <c r="AX150" s="354"/>
      <c r="AY150" s="132"/>
      <c r="AZ150" s="132"/>
      <c r="BA150" s="132"/>
      <c r="BB150" s="132"/>
    </row>
    <row r="151" spans="1:54">
      <c r="A151" s="132"/>
      <c r="B151" s="133" t="s">
        <v>3369</v>
      </c>
      <c r="C151" s="133" t="s">
        <v>1281</v>
      </c>
      <c r="D151" s="133" t="s">
        <v>682</v>
      </c>
      <c r="E151" s="133" t="s">
        <v>2970</v>
      </c>
      <c r="F151" s="133" t="s">
        <v>2960</v>
      </c>
      <c r="G151" s="133" t="s">
        <v>1931</v>
      </c>
      <c r="H151" s="133" t="s">
        <v>116</v>
      </c>
      <c r="I151" s="133" t="s">
        <v>2602</v>
      </c>
      <c r="J151" s="133">
        <v>32</v>
      </c>
      <c r="K151" s="133">
        <v>0</v>
      </c>
      <c r="L151" s="133">
        <v>0</v>
      </c>
      <c r="M151" s="133">
        <v>0</v>
      </c>
      <c r="N151" s="133">
        <v>0</v>
      </c>
      <c r="O151" s="133">
        <v>0</v>
      </c>
      <c r="P151" s="133">
        <v>0</v>
      </c>
      <c r="Q151" s="133">
        <v>0</v>
      </c>
      <c r="R151" s="133">
        <v>0</v>
      </c>
      <c r="S151" s="133">
        <v>0</v>
      </c>
      <c r="T151" s="133">
        <v>0</v>
      </c>
      <c r="U151" s="133">
        <v>0</v>
      </c>
      <c r="V151" s="133">
        <v>8.3000000000000007</v>
      </c>
      <c r="W151" s="133">
        <v>57.36</v>
      </c>
      <c r="X151" s="133">
        <v>282.39</v>
      </c>
      <c r="Y151" s="133">
        <v>357.16</v>
      </c>
      <c r="Z151" s="133">
        <v>181.48</v>
      </c>
      <c r="AA151" s="133">
        <v>136.36000000000001</v>
      </c>
      <c r="AB151" s="133">
        <v>78.069999999999993</v>
      </c>
      <c r="AC151" s="133">
        <v>77.91</v>
      </c>
      <c r="AD151" s="133">
        <v>83.81</v>
      </c>
      <c r="AE151" s="133">
        <v>2.54</v>
      </c>
      <c r="AF151" s="133">
        <v>2.54</v>
      </c>
      <c r="AG151" s="133">
        <v>2.54</v>
      </c>
      <c r="AH151" s="133">
        <v>2.54</v>
      </c>
      <c r="AI151" s="133">
        <v>2.54</v>
      </c>
      <c r="AJ151" s="133">
        <v>2.54</v>
      </c>
      <c r="AK151" s="133">
        <v>2.54</v>
      </c>
      <c r="AL151" s="133">
        <v>2.54</v>
      </c>
      <c r="AM151" s="136" t="str">
        <f>IF(ISERROR(VLOOKUP(D151,'Woodmac profile - Oil'!$D$9:$AN$266,37,FALSE)),"",VLOOKUP(D151,'Woodmac profile - Oil'!$D$9:$AN$266,37,FALSE))</f>
        <v>SUBS</v>
      </c>
      <c r="AN151" s="136" t="str">
        <f>IF(ISERROR(VLOOKUP(D151,'Woodmac profile - Gas'!$D$9:$AN$249,37,FALSE)),"",VLOOKUP(D151,'Woodmac profile - Gas'!$D$9:$AN$249,37,FALSE))</f>
        <v>SUBS</v>
      </c>
      <c r="AO151" s="136" t="str">
        <f t="shared" si="12"/>
        <v>SUBS</v>
      </c>
      <c r="AP151" s="132"/>
      <c r="AQ151" s="129"/>
      <c r="AR151" s="129"/>
      <c r="AS151" s="354"/>
      <c r="AT151" s="131"/>
      <c r="AU151" s="131"/>
      <c r="AV151" s="354"/>
      <c r="AW151" s="132"/>
      <c r="AX151" s="354"/>
      <c r="AY151" s="132"/>
      <c r="AZ151" s="132"/>
      <c r="BA151" s="132"/>
      <c r="BB151" s="132"/>
    </row>
    <row r="152" spans="1:54">
      <c r="A152" s="132"/>
      <c r="B152" s="133" t="s">
        <v>3369</v>
      </c>
      <c r="C152" s="133" t="s">
        <v>1281</v>
      </c>
      <c r="D152" s="133" t="s">
        <v>1126</v>
      </c>
      <c r="E152" s="133" t="s">
        <v>1927</v>
      </c>
      <c r="F152" s="133" t="s">
        <v>2960</v>
      </c>
      <c r="G152" s="133" t="s">
        <v>3374</v>
      </c>
      <c r="H152" s="133" t="s">
        <v>1930</v>
      </c>
      <c r="I152" s="133" t="s">
        <v>2571</v>
      </c>
      <c r="J152" s="133">
        <v>100</v>
      </c>
      <c r="K152" s="133">
        <v>0</v>
      </c>
      <c r="L152" s="133">
        <v>17.670000000000002</v>
      </c>
      <c r="M152" s="133">
        <v>0</v>
      </c>
      <c r="N152" s="133">
        <v>0</v>
      </c>
      <c r="O152" s="133">
        <v>0</v>
      </c>
      <c r="P152" s="133">
        <v>0</v>
      </c>
      <c r="Q152" s="133">
        <v>0</v>
      </c>
      <c r="R152" s="133">
        <v>36.28</v>
      </c>
      <c r="S152" s="133">
        <v>0</v>
      </c>
      <c r="T152" s="133">
        <v>0</v>
      </c>
      <c r="U152" s="133">
        <v>0</v>
      </c>
      <c r="V152" s="133">
        <v>0</v>
      </c>
      <c r="W152" s="133">
        <v>0</v>
      </c>
      <c r="X152" s="133">
        <v>5.66</v>
      </c>
      <c r="Y152" s="133">
        <v>0</v>
      </c>
      <c r="Z152" s="133">
        <v>0</v>
      </c>
      <c r="AA152" s="133">
        <v>0</v>
      </c>
      <c r="AB152" s="133">
        <v>0</v>
      </c>
      <c r="AC152" s="133">
        <v>0</v>
      </c>
      <c r="AD152" s="133">
        <v>0</v>
      </c>
      <c r="AE152" s="133">
        <v>0</v>
      </c>
      <c r="AF152" s="133">
        <v>0</v>
      </c>
      <c r="AG152" s="133">
        <v>0</v>
      </c>
      <c r="AH152" s="133">
        <v>0</v>
      </c>
      <c r="AI152" s="133">
        <v>0</v>
      </c>
      <c r="AJ152" s="133">
        <v>0</v>
      </c>
      <c r="AK152" s="133">
        <v>0</v>
      </c>
      <c r="AL152" s="133">
        <v>0</v>
      </c>
      <c r="AM152" s="136" t="str">
        <f>IF(ISERROR(VLOOKUP(D152,'Woodmac profile - Oil'!$D$9:$AN$266,37,FALSE)),"",VLOOKUP(D152,'Woodmac profile - Oil'!$D$9:$AN$266,37,FALSE))</f>
        <v>SUBS</v>
      </c>
      <c r="AN152" s="136" t="str">
        <f>IF(ISERROR(VLOOKUP(D152,'Woodmac profile - Gas'!$D$9:$AN$249,37,FALSE)),"",VLOOKUP(D152,'Woodmac profile - Gas'!$D$9:$AN$249,37,FALSE))</f>
        <v/>
      </c>
      <c r="AO152" s="136" t="str">
        <f t="shared" si="12"/>
        <v>SUBS</v>
      </c>
      <c r="AP152" s="132"/>
      <c r="AQ152" s="129"/>
      <c r="AR152" s="129"/>
      <c r="AS152" s="354"/>
      <c r="AT152" s="131"/>
      <c r="AU152" s="131"/>
      <c r="AV152" s="354"/>
      <c r="AW152" s="132"/>
      <c r="AX152" s="354"/>
      <c r="AY152" s="132"/>
      <c r="AZ152" s="132"/>
      <c r="BA152" s="132"/>
      <c r="BB152" s="132"/>
    </row>
    <row r="153" spans="1:54">
      <c r="A153" s="132"/>
      <c r="B153" s="133" t="s">
        <v>3369</v>
      </c>
      <c r="C153" s="133" t="s">
        <v>1281</v>
      </c>
      <c r="D153" s="133" t="s">
        <v>2931</v>
      </c>
      <c r="E153" s="133" t="s">
        <v>1927</v>
      </c>
      <c r="F153" s="133" t="s">
        <v>2960</v>
      </c>
      <c r="G153" s="133" t="s">
        <v>1929</v>
      </c>
      <c r="H153" s="133" t="s">
        <v>116</v>
      </c>
      <c r="I153" s="133" t="s">
        <v>2571</v>
      </c>
      <c r="J153" s="133">
        <v>88.7</v>
      </c>
      <c r="K153" s="133">
        <v>0</v>
      </c>
      <c r="L153" s="133">
        <v>0</v>
      </c>
      <c r="M153" s="133">
        <v>0</v>
      </c>
      <c r="N153" s="133">
        <v>0</v>
      </c>
      <c r="O153" s="133">
        <v>0</v>
      </c>
      <c r="P153" s="133">
        <v>0</v>
      </c>
      <c r="Q153" s="133">
        <v>0</v>
      </c>
      <c r="R153" s="133">
        <v>160.9</v>
      </c>
      <c r="S153" s="133">
        <v>726.67</v>
      </c>
      <c r="T153" s="133">
        <v>154.56</v>
      </c>
      <c r="U153" s="133">
        <v>0</v>
      </c>
      <c r="V153" s="133">
        <v>0</v>
      </c>
      <c r="W153" s="133">
        <v>0</v>
      </c>
      <c r="X153" s="133">
        <v>0</v>
      </c>
      <c r="Y153" s="133">
        <v>0</v>
      </c>
      <c r="Z153" s="133">
        <v>0</v>
      </c>
      <c r="AA153" s="133">
        <v>0</v>
      </c>
      <c r="AB153" s="133">
        <v>0</v>
      </c>
      <c r="AC153" s="133">
        <v>0</v>
      </c>
      <c r="AD153" s="133">
        <v>0</v>
      </c>
      <c r="AE153" s="133">
        <v>0</v>
      </c>
      <c r="AF153" s="133">
        <v>0</v>
      </c>
      <c r="AG153" s="133">
        <v>0</v>
      </c>
      <c r="AH153" s="133">
        <v>0</v>
      </c>
      <c r="AI153" s="133">
        <v>0</v>
      </c>
      <c r="AJ153" s="133">
        <v>0</v>
      </c>
      <c r="AK153" s="133">
        <v>0</v>
      </c>
      <c r="AL153" s="133">
        <v>0</v>
      </c>
      <c r="AM153" s="136" t="str">
        <f>IF(ISERROR(VLOOKUP(D153,'Woodmac profile - Oil'!$D$9:$AN$266,37,FALSE)),"",VLOOKUP(D153,'Woodmac profile - Oil'!$D$9:$AN$266,37,FALSE))</f>
        <v>SUBS</v>
      </c>
      <c r="AN153" s="136" t="str">
        <f>IF(ISERROR(VLOOKUP(D153,'Woodmac profile - Gas'!$D$9:$AN$249,37,FALSE)),"",VLOOKUP(D153,'Woodmac profile - Gas'!$D$9:$AN$249,37,FALSE))</f>
        <v>SUBS</v>
      </c>
      <c r="AO153" s="136" t="str">
        <f t="shared" si="12"/>
        <v>SUBS</v>
      </c>
      <c r="AP153" s="132"/>
      <c r="AQ153" s="129"/>
      <c r="AR153" s="129"/>
      <c r="AS153" s="354"/>
      <c r="AT153" s="131"/>
      <c r="AU153" s="131"/>
      <c r="AV153" s="354"/>
      <c r="AW153" s="132"/>
      <c r="AX153" s="354"/>
      <c r="AY153" s="132"/>
      <c r="AZ153" s="132"/>
      <c r="BA153" s="132"/>
      <c r="BB153" s="132"/>
    </row>
    <row r="154" spans="1:54">
      <c r="A154" s="132"/>
      <c r="B154" s="133" t="s">
        <v>3369</v>
      </c>
      <c r="C154" s="133" t="s">
        <v>1281</v>
      </c>
      <c r="D154" s="133" t="s">
        <v>1127</v>
      </c>
      <c r="E154" s="133" t="s">
        <v>1927</v>
      </c>
      <c r="F154" s="133" t="s">
        <v>2960</v>
      </c>
      <c r="G154" s="133" t="s">
        <v>1929</v>
      </c>
      <c r="H154" s="133" t="s">
        <v>116</v>
      </c>
      <c r="I154" s="133" t="s">
        <v>2600</v>
      </c>
      <c r="J154" s="133">
        <v>18.2</v>
      </c>
      <c r="K154" s="133">
        <v>0</v>
      </c>
      <c r="L154" s="133">
        <v>0</v>
      </c>
      <c r="M154" s="133">
        <v>3.13</v>
      </c>
      <c r="N154" s="133">
        <v>0</v>
      </c>
      <c r="O154" s="133">
        <v>0</v>
      </c>
      <c r="P154" s="133">
        <v>0</v>
      </c>
      <c r="Q154" s="133">
        <v>0</v>
      </c>
      <c r="R154" s="133">
        <v>0</v>
      </c>
      <c r="S154" s="133">
        <v>0</v>
      </c>
      <c r="T154" s="133">
        <v>0</v>
      </c>
      <c r="U154" s="133">
        <v>0</v>
      </c>
      <c r="V154" s="133">
        <v>0</v>
      </c>
      <c r="W154" s="133">
        <v>0</v>
      </c>
      <c r="X154" s="133">
        <v>0</v>
      </c>
      <c r="Y154" s="133">
        <v>0</v>
      </c>
      <c r="Z154" s="133">
        <v>0</v>
      </c>
      <c r="AA154" s="133">
        <v>0</v>
      </c>
      <c r="AB154" s="133">
        <v>0</v>
      </c>
      <c r="AC154" s="133">
        <v>0</v>
      </c>
      <c r="AD154" s="133">
        <v>0</v>
      </c>
      <c r="AE154" s="133">
        <v>0</v>
      </c>
      <c r="AF154" s="133">
        <v>0</v>
      </c>
      <c r="AG154" s="133">
        <v>0</v>
      </c>
      <c r="AH154" s="133">
        <v>0</v>
      </c>
      <c r="AI154" s="133">
        <v>0</v>
      </c>
      <c r="AJ154" s="133">
        <v>0</v>
      </c>
      <c r="AK154" s="133">
        <v>0</v>
      </c>
      <c r="AL154" s="133">
        <v>0</v>
      </c>
      <c r="AM154" s="136" t="str">
        <f>IF(ISERROR(VLOOKUP(D154,'Woodmac profile - Oil'!$D$9:$AN$266,37,FALSE)),"",VLOOKUP(D154,'Woodmac profile - Oil'!$D$9:$AN$266,37,FALSE))</f>
        <v>SUBS</v>
      </c>
      <c r="AN154" s="136" t="str">
        <f>IF(ISERROR(VLOOKUP(D154,'Woodmac profile - Gas'!$D$9:$AN$249,37,FALSE)),"",VLOOKUP(D154,'Woodmac profile - Gas'!$D$9:$AN$249,37,FALSE))</f>
        <v>SUBS</v>
      </c>
      <c r="AO154" s="136" t="str">
        <f t="shared" si="12"/>
        <v>SUBS</v>
      </c>
      <c r="AP154" s="132"/>
      <c r="AQ154" s="129"/>
      <c r="AR154" s="129"/>
      <c r="AS154" s="354"/>
      <c r="AT154" s="131"/>
      <c r="AU154" s="131"/>
      <c r="AV154" s="354"/>
      <c r="AW154" s="132"/>
      <c r="AX154" s="354"/>
      <c r="AY154" s="132"/>
      <c r="AZ154" s="132"/>
      <c r="BA154" s="132"/>
      <c r="BB154" s="132"/>
    </row>
    <row r="155" spans="1:54">
      <c r="A155" s="132"/>
      <c r="B155" s="133" t="s">
        <v>3369</v>
      </c>
      <c r="C155" s="133" t="s">
        <v>1281</v>
      </c>
      <c r="D155" s="133" t="s">
        <v>1128</v>
      </c>
      <c r="E155" s="133" t="s">
        <v>1927</v>
      </c>
      <c r="F155" s="133" t="s">
        <v>2960</v>
      </c>
      <c r="G155" s="133" t="s">
        <v>1929</v>
      </c>
      <c r="H155" s="133" t="s">
        <v>116</v>
      </c>
      <c r="I155" s="133" t="s">
        <v>2602</v>
      </c>
      <c r="J155" s="133">
        <v>18</v>
      </c>
      <c r="K155" s="133">
        <v>0</v>
      </c>
      <c r="L155" s="133">
        <v>3.03</v>
      </c>
      <c r="M155" s="133">
        <v>0</v>
      </c>
      <c r="N155" s="133">
        <v>0</v>
      </c>
      <c r="O155" s="133">
        <v>19.36</v>
      </c>
      <c r="P155" s="133">
        <v>0.83</v>
      </c>
      <c r="Q155" s="133">
        <v>1.72</v>
      </c>
      <c r="R155" s="133">
        <v>3.92</v>
      </c>
      <c r="S155" s="133">
        <v>3.28</v>
      </c>
      <c r="T155" s="133">
        <v>3.14</v>
      </c>
      <c r="U155" s="133">
        <v>2.41</v>
      </c>
      <c r="V155" s="133">
        <v>0</v>
      </c>
      <c r="W155" s="133">
        <v>0</v>
      </c>
      <c r="X155" s="133">
        <v>0</v>
      </c>
      <c r="Y155" s="133">
        <v>0</v>
      </c>
      <c r="Z155" s="133">
        <v>0</v>
      </c>
      <c r="AA155" s="133">
        <v>0</v>
      </c>
      <c r="AB155" s="133">
        <v>0</v>
      </c>
      <c r="AC155" s="133">
        <v>0</v>
      </c>
      <c r="AD155" s="133">
        <v>0</v>
      </c>
      <c r="AE155" s="133">
        <v>0</v>
      </c>
      <c r="AF155" s="133">
        <v>0</v>
      </c>
      <c r="AG155" s="133">
        <v>0</v>
      </c>
      <c r="AH155" s="133">
        <v>0</v>
      </c>
      <c r="AI155" s="133">
        <v>0</v>
      </c>
      <c r="AJ155" s="133">
        <v>0</v>
      </c>
      <c r="AK155" s="133">
        <v>0</v>
      </c>
      <c r="AL155" s="133">
        <v>0</v>
      </c>
      <c r="AM155" s="136" t="str">
        <f>IF(ISERROR(VLOOKUP(D155,'Woodmac profile - Oil'!$D$9:$AN$266,37,FALSE)),"",VLOOKUP(D155,'Woodmac profile - Oil'!$D$9:$AN$266,37,FALSE))</f>
        <v>SUBS</v>
      </c>
      <c r="AN155" s="136" t="str">
        <f>IF(ISERROR(VLOOKUP(D155,'Woodmac profile - Gas'!$D$9:$AN$249,37,FALSE)),"",VLOOKUP(D155,'Woodmac profile - Gas'!$D$9:$AN$249,37,FALSE))</f>
        <v>SUBS</v>
      </c>
      <c r="AO155" s="136" t="str">
        <f t="shared" si="12"/>
        <v>SUBS</v>
      </c>
      <c r="AP155" s="132"/>
      <c r="AQ155" s="129"/>
      <c r="AR155" s="129"/>
      <c r="AS155" s="354"/>
      <c r="AT155" s="131"/>
      <c r="AU155" s="131"/>
      <c r="AV155" s="354"/>
      <c r="AW155" s="132"/>
      <c r="AX155" s="354"/>
      <c r="AY155" s="132"/>
      <c r="AZ155" s="132"/>
      <c r="BA155" s="132"/>
      <c r="BB155" s="132"/>
    </row>
    <row r="156" spans="1:54">
      <c r="A156" s="132"/>
      <c r="B156" s="133" t="s">
        <v>3369</v>
      </c>
      <c r="C156" s="133" t="s">
        <v>1281</v>
      </c>
      <c r="D156" s="133" t="s">
        <v>69</v>
      </c>
      <c r="E156" s="133" t="s">
        <v>1927</v>
      </c>
      <c r="F156" s="133" t="s">
        <v>2960</v>
      </c>
      <c r="G156" s="133" t="s">
        <v>1931</v>
      </c>
      <c r="H156" s="133" t="s">
        <v>116</v>
      </c>
      <c r="I156" s="133" t="s">
        <v>2600</v>
      </c>
      <c r="J156" s="133">
        <v>21.14</v>
      </c>
      <c r="K156" s="133">
        <v>0</v>
      </c>
      <c r="L156" s="133">
        <v>0</v>
      </c>
      <c r="M156" s="133">
        <v>0</v>
      </c>
      <c r="N156" s="133">
        <v>25.69</v>
      </c>
      <c r="O156" s="133">
        <v>27.28</v>
      </c>
      <c r="P156" s="133">
        <v>0</v>
      </c>
      <c r="Q156" s="133">
        <v>0</v>
      </c>
      <c r="R156" s="133">
        <v>0</v>
      </c>
      <c r="S156" s="133">
        <v>0</v>
      </c>
      <c r="T156" s="133">
        <v>0</v>
      </c>
      <c r="U156" s="133">
        <v>0</v>
      </c>
      <c r="V156" s="133">
        <v>0</v>
      </c>
      <c r="W156" s="133">
        <v>0</v>
      </c>
      <c r="X156" s="133">
        <v>0</v>
      </c>
      <c r="Y156" s="133">
        <v>0</v>
      </c>
      <c r="Z156" s="133">
        <v>0</v>
      </c>
      <c r="AA156" s="133">
        <v>0</v>
      </c>
      <c r="AB156" s="133">
        <v>0</v>
      </c>
      <c r="AC156" s="133">
        <v>0</v>
      </c>
      <c r="AD156" s="133">
        <v>0</v>
      </c>
      <c r="AE156" s="133">
        <v>0</v>
      </c>
      <c r="AF156" s="133">
        <v>0</v>
      </c>
      <c r="AG156" s="133">
        <v>0</v>
      </c>
      <c r="AH156" s="133">
        <v>0</v>
      </c>
      <c r="AI156" s="133">
        <v>0</v>
      </c>
      <c r="AJ156" s="133">
        <v>0</v>
      </c>
      <c r="AK156" s="133">
        <v>0</v>
      </c>
      <c r="AL156" s="133">
        <v>0</v>
      </c>
      <c r="AM156" s="136" t="str">
        <f>IF(ISERROR(VLOOKUP(D156,'Woodmac profile - Oil'!$D$9:$AN$266,37,FALSE)),"",VLOOKUP(D156,'Woodmac profile - Oil'!$D$9:$AN$266,37,FALSE))</f>
        <v>SUBS</v>
      </c>
      <c r="AN156" s="136" t="str">
        <f>IF(ISERROR(VLOOKUP(D156,'Woodmac profile - Gas'!$D$9:$AN$249,37,FALSE)),"",VLOOKUP(D156,'Woodmac profile - Gas'!$D$9:$AN$249,37,FALSE))</f>
        <v>SUBS</v>
      </c>
      <c r="AO156" s="136" t="str">
        <f t="shared" si="12"/>
        <v>SUBS</v>
      </c>
      <c r="AP156" s="132"/>
      <c r="AQ156" s="129"/>
      <c r="AR156" s="129"/>
      <c r="AS156" s="354"/>
      <c r="AT156" s="131"/>
      <c r="AU156" s="131"/>
      <c r="AV156" s="354"/>
      <c r="AW156" s="132"/>
      <c r="AX156" s="354"/>
      <c r="AY156" s="132"/>
      <c r="AZ156" s="132"/>
      <c r="BA156" s="132"/>
      <c r="BB156" s="132"/>
    </row>
    <row r="157" spans="1:54">
      <c r="A157" s="132"/>
      <c r="B157" s="133" t="s">
        <v>3369</v>
      </c>
      <c r="C157" s="133" t="s">
        <v>1281</v>
      </c>
      <c r="D157" s="133" t="s">
        <v>70</v>
      </c>
      <c r="E157" s="133" t="s">
        <v>1927</v>
      </c>
      <c r="F157" s="133" t="s">
        <v>2960</v>
      </c>
      <c r="G157" s="133" t="s">
        <v>3374</v>
      </c>
      <c r="H157" s="133" t="s">
        <v>1930</v>
      </c>
      <c r="I157" s="133" t="s">
        <v>2571</v>
      </c>
      <c r="J157" s="133">
        <v>67</v>
      </c>
      <c r="K157" s="133">
        <v>0</v>
      </c>
      <c r="L157" s="133">
        <v>0</v>
      </c>
      <c r="M157" s="133">
        <v>92.08</v>
      </c>
      <c r="N157" s="133">
        <v>0</v>
      </c>
      <c r="O157" s="133">
        <v>0</v>
      </c>
      <c r="P157" s="133">
        <v>0</v>
      </c>
      <c r="Q157" s="133">
        <v>0</v>
      </c>
      <c r="R157" s="133">
        <v>0</v>
      </c>
      <c r="S157" s="133">
        <v>0</v>
      </c>
      <c r="T157" s="133">
        <v>0</v>
      </c>
      <c r="U157" s="133">
        <v>0</v>
      </c>
      <c r="V157" s="133">
        <v>0</v>
      </c>
      <c r="W157" s="133">
        <v>0</v>
      </c>
      <c r="X157" s="133">
        <v>2.83</v>
      </c>
      <c r="Y157" s="133">
        <v>0</v>
      </c>
      <c r="Z157" s="133">
        <v>0</v>
      </c>
      <c r="AA157" s="133">
        <v>0</v>
      </c>
      <c r="AB157" s="133">
        <v>0</v>
      </c>
      <c r="AC157" s="133">
        <v>0</v>
      </c>
      <c r="AD157" s="133">
        <v>0</v>
      </c>
      <c r="AE157" s="133">
        <v>0</v>
      </c>
      <c r="AF157" s="133">
        <v>0</v>
      </c>
      <c r="AG157" s="133">
        <v>0</v>
      </c>
      <c r="AH157" s="133">
        <v>0</v>
      </c>
      <c r="AI157" s="133">
        <v>0</v>
      </c>
      <c r="AJ157" s="133">
        <v>0</v>
      </c>
      <c r="AK157" s="133">
        <v>0</v>
      </c>
      <c r="AL157" s="133">
        <v>0</v>
      </c>
      <c r="AM157" s="136" t="str">
        <f>IF(ISERROR(VLOOKUP(D157,'Woodmac profile - Oil'!$D$9:$AN$266,37,FALSE)),"",VLOOKUP(D157,'Woodmac profile - Oil'!$D$9:$AN$266,37,FALSE))</f>
        <v>SUBS</v>
      </c>
      <c r="AN157" s="136" t="str">
        <f>IF(ISERROR(VLOOKUP(D157,'Woodmac profile - Gas'!$D$9:$AN$249,37,FALSE)),"",VLOOKUP(D157,'Woodmac profile - Gas'!$D$9:$AN$249,37,FALSE))</f>
        <v/>
      </c>
      <c r="AO157" s="136" t="str">
        <f t="shared" si="12"/>
        <v>SUBS</v>
      </c>
      <c r="AP157" s="132"/>
      <c r="AQ157" s="129"/>
      <c r="AR157" s="129"/>
      <c r="AS157" s="354"/>
      <c r="AT157" s="131"/>
      <c r="AU157" s="131"/>
      <c r="AV157" s="354"/>
      <c r="AW157" s="132"/>
      <c r="AX157" s="354"/>
      <c r="AY157" s="132"/>
      <c r="AZ157" s="132"/>
      <c r="BA157" s="132"/>
      <c r="BB157" s="132"/>
    </row>
    <row r="158" spans="1:54">
      <c r="A158" s="132"/>
      <c r="B158" s="133" t="s">
        <v>3369</v>
      </c>
      <c r="C158" s="133" t="s">
        <v>1281</v>
      </c>
      <c r="D158" s="133" t="s">
        <v>71</v>
      </c>
      <c r="E158" s="133" t="s">
        <v>1927</v>
      </c>
      <c r="F158" s="133" t="s">
        <v>2960</v>
      </c>
      <c r="G158" s="133" t="s">
        <v>1929</v>
      </c>
      <c r="H158" s="133" t="s">
        <v>116</v>
      </c>
      <c r="I158" s="133" t="s">
        <v>2600</v>
      </c>
      <c r="J158" s="133">
        <v>18.2</v>
      </c>
      <c r="K158" s="133">
        <v>0</v>
      </c>
      <c r="L158" s="133">
        <v>0</v>
      </c>
      <c r="M158" s="133">
        <v>9.83</v>
      </c>
      <c r="N158" s="133">
        <v>0</v>
      </c>
      <c r="O158" s="133">
        <v>0</v>
      </c>
      <c r="P158" s="133">
        <v>0</v>
      </c>
      <c r="Q158" s="133">
        <v>0</v>
      </c>
      <c r="R158" s="133">
        <v>0</v>
      </c>
      <c r="S158" s="133">
        <v>0</v>
      </c>
      <c r="T158" s="133">
        <v>0</v>
      </c>
      <c r="U158" s="133">
        <v>0</v>
      </c>
      <c r="V158" s="133">
        <v>0</v>
      </c>
      <c r="W158" s="133">
        <v>0</v>
      </c>
      <c r="X158" s="133">
        <v>0</v>
      </c>
      <c r="Y158" s="133">
        <v>0</v>
      </c>
      <c r="Z158" s="133">
        <v>0</v>
      </c>
      <c r="AA158" s="133">
        <v>0</v>
      </c>
      <c r="AB158" s="133">
        <v>0</v>
      </c>
      <c r="AC158" s="133">
        <v>0</v>
      </c>
      <c r="AD158" s="133">
        <v>0</v>
      </c>
      <c r="AE158" s="133">
        <v>0</v>
      </c>
      <c r="AF158" s="133">
        <v>0</v>
      </c>
      <c r="AG158" s="133">
        <v>0</v>
      </c>
      <c r="AH158" s="133">
        <v>0</v>
      </c>
      <c r="AI158" s="133">
        <v>0</v>
      </c>
      <c r="AJ158" s="133">
        <v>0</v>
      </c>
      <c r="AK158" s="133">
        <v>0</v>
      </c>
      <c r="AL158" s="133">
        <v>0</v>
      </c>
      <c r="AM158" s="136" t="str">
        <f>IF(ISERROR(VLOOKUP(D158,'Woodmac profile - Oil'!$D$9:$AN$266,37,FALSE)),"",VLOOKUP(D158,'Woodmac profile - Oil'!$D$9:$AN$266,37,FALSE))</f>
        <v>SUBS</v>
      </c>
      <c r="AN158" s="136" t="str">
        <f>IF(ISERROR(VLOOKUP(D158,'Woodmac profile - Gas'!$D$9:$AN$249,37,FALSE)),"",VLOOKUP(D158,'Woodmac profile - Gas'!$D$9:$AN$249,37,FALSE))</f>
        <v>SUBS</v>
      </c>
      <c r="AO158" s="136" t="str">
        <f t="shared" si="12"/>
        <v>SUBS</v>
      </c>
      <c r="AP158" s="132"/>
      <c r="AQ158" s="129"/>
      <c r="AR158" s="129"/>
      <c r="AS158" s="354"/>
      <c r="AT158" s="131"/>
      <c r="AU158" s="131"/>
      <c r="AV158" s="354"/>
      <c r="AW158" s="132"/>
      <c r="AX158" s="354"/>
      <c r="AY158" s="132"/>
      <c r="AZ158" s="132"/>
      <c r="BA158" s="132"/>
      <c r="BB158" s="132"/>
    </row>
    <row r="159" spans="1:54">
      <c r="A159" s="132"/>
      <c r="B159" s="133" t="s">
        <v>3369</v>
      </c>
      <c r="C159" s="133" t="s">
        <v>1281</v>
      </c>
      <c r="D159" s="133" t="s">
        <v>72</v>
      </c>
      <c r="E159" s="133" t="s">
        <v>1927</v>
      </c>
      <c r="F159" s="133" t="s">
        <v>2973</v>
      </c>
      <c r="G159" s="133" t="s">
        <v>3374</v>
      </c>
      <c r="H159" s="133" t="s">
        <v>116</v>
      </c>
      <c r="I159" s="133" t="s">
        <v>2971</v>
      </c>
      <c r="J159" s="133">
        <v>72</v>
      </c>
      <c r="K159" s="133">
        <v>72.319999999999993</v>
      </c>
      <c r="L159" s="133">
        <v>65.430000000000007</v>
      </c>
      <c r="M159" s="133">
        <v>42.43</v>
      </c>
      <c r="N159" s="133">
        <v>0</v>
      </c>
      <c r="O159" s="133">
        <v>0</v>
      </c>
      <c r="P159" s="133">
        <v>152.69</v>
      </c>
      <c r="Q159" s="133">
        <v>243</v>
      </c>
      <c r="R159" s="133">
        <v>222.03</v>
      </c>
      <c r="S159" s="133">
        <v>0</v>
      </c>
      <c r="T159" s="133">
        <v>64.989999999999995</v>
      </c>
      <c r="U159" s="133">
        <v>31.31</v>
      </c>
      <c r="V159" s="133">
        <v>33.619999999999997</v>
      </c>
      <c r="W159" s="133">
        <v>42.04</v>
      </c>
      <c r="X159" s="133">
        <v>8.16</v>
      </c>
      <c r="Y159" s="133">
        <v>16.010000000000002</v>
      </c>
      <c r="Z159" s="133">
        <v>7.83</v>
      </c>
      <c r="AA159" s="133">
        <v>28.78</v>
      </c>
      <c r="AB159" s="133">
        <v>0</v>
      </c>
      <c r="AC159" s="133">
        <v>0</v>
      </c>
      <c r="AD159" s="133">
        <v>0</v>
      </c>
      <c r="AE159" s="133">
        <v>0</v>
      </c>
      <c r="AF159" s="133">
        <v>0</v>
      </c>
      <c r="AG159" s="133">
        <v>0</v>
      </c>
      <c r="AH159" s="133">
        <v>0</v>
      </c>
      <c r="AI159" s="133">
        <v>0</v>
      </c>
      <c r="AJ159" s="133">
        <v>0</v>
      </c>
      <c r="AK159" s="133">
        <v>0</v>
      </c>
      <c r="AL159" s="133">
        <v>0</v>
      </c>
      <c r="AM159" s="136" t="str">
        <f>IF(ISERROR(VLOOKUP(D159,'Woodmac profile - Oil'!$D$9:$AN$266,37,FALSE)),"",VLOOKUP(D159,'Woodmac profile - Oil'!$D$9:$AN$266,37,FALSE))</f>
        <v>SUBS</v>
      </c>
      <c r="AN159" s="136" t="str">
        <f>IF(ISERROR(VLOOKUP(D159,'Woodmac profile - Gas'!$D$9:$AN$249,37,FALSE)),"",VLOOKUP(D159,'Woodmac profile - Gas'!$D$9:$AN$249,37,FALSE))</f>
        <v>SUBS</v>
      </c>
      <c r="AO159" s="136" t="str">
        <f t="shared" si="12"/>
        <v>SUBS</v>
      </c>
      <c r="AP159" s="132"/>
      <c r="AQ159" s="129"/>
      <c r="AR159" s="129"/>
      <c r="AS159" s="354"/>
      <c r="AT159" s="131"/>
      <c r="AU159" s="131"/>
      <c r="AV159" s="354"/>
      <c r="AW159" s="132"/>
      <c r="AX159" s="354"/>
      <c r="AY159" s="132"/>
      <c r="AZ159" s="132"/>
      <c r="BA159" s="132"/>
      <c r="BB159" s="132"/>
    </row>
    <row r="160" spans="1:54">
      <c r="A160" s="132"/>
      <c r="B160" s="133" t="s">
        <v>3369</v>
      </c>
      <c r="C160" s="133" t="s">
        <v>1281</v>
      </c>
      <c r="D160" s="133" t="s">
        <v>73</v>
      </c>
      <c r="E160" s="133" t="s">
        <v>1927</v>
      </c>
      <c r="F160" s="133" t="s">
        <v>2960</v>
      </c>
      <c r="G160" s="133" t="s">
        <v>3374</v>
      </c>
      <c r="H160" s="133" t="s">
        <v>1930</v>
      </c>
      <c r="I160" s="133" t="s">
        <v>2571</v>
      </c>
      <c r="J160" s="133">
        <v>43</v>
      </c>
      <c r="K160" s="133">
        <v>0</v>
      </c>
      <c r="L160" s="133">
        <v>0</v>
      </c>
      <c r="M160" s="133">
        <v>0</v>
      </c>
      <c r="N160" s="133">
        <v>0</v>
      </c>
      <c r="O160" s="133">
        <v>0</v>
      </c>
      <c r="P160" s="133">
        <v>0</v>
      </c>
      <c r="Q160" s="133">
        <v>76.25</v>
      </c>
      <c r="R160" s="133">
        <v>0</v>
      </c>
      <c r="S160" s="133">
        <v>0</v>
      </c>
      <c r="T160" s="133">
        <v>5.84</v>
      </c>
      <c r="U160" s="133">
        <v>2.8</v>
      </c>
      <c r="V160" s="133">
        <v>2.98</v>
      </c>
      <c r="W160" s="133">
        <v>5.58</v>
      </c>
      <c r="X160" s="133">
        <v>1.22</v>
      </c>
      <c r="Y160" s="133">
        <v>2.25</v>
      </c>
      <c r="Z160" s="133">
        <v>1.17</v>
      </c>
      <c r="AA160" s="133">
        <v>1.19</v>
      </c>
      <c r="AB160" s="133">
        <v>0</v>
      </c>
      <c r="AC160" s="133">
        <v>0</v>
      </c>
      <c r="AD160" s="133">
        <v>0</v>
      </c>
      <c r="AE160" s="133">
        <v>0</v>
      </c>
      <c r="AF160" s="133">
        <v>0</v>
      </c>
      <c r="AG160" s="133">
        <v>0</v>
      </c>
      <c r="AH160" s="133">
        <v>0</v>
      </c>
      <c r="AI160" s="133">
        <v>0</v>
      </c>
      <c r="AJ160" s="133">
        <v>0</v>
      </c>
      <c r="AK160" s="133">
        <v>0</v>
      </c>
      <c r="AL160" s="133">
        <v>0</v>
      </c>
      <c r="AM160" s="136" t="str">
        <f>IF(ISERROR(VLOOKUP(D160,'Woodmac profile - Oil'!$D$9:$AN$266,37,FALSE)),"",VLOOKUP(D160,'Woodmac profile - Oil'!$D$9:$AN$266,37,FALSE))</f>
        <v>SUBS</v>
      </c>
      <c r="AN160" s="136" t="str">
        <f>IF(ISERROR(VLOOKUP(D160,'Woodmac profile - Gas'!$D$9:$AN$249,37,FALSE)),"",VLOOKUP(D160,'Woodmac profile - Gas'!$D$9:$AN$249,37,FALSE))</f>
        <v/>
      </c>
      <c r="AO160" s="136" t="str">
        <f t="shared" si="12"/>
        <v>SUBS</v>
      </c>
      <c r="AP160" s="132"/>
      <c r="AQ160" s="129"/>
      <c r="AR160" s="129"/>
      <c r="AS160" s="354"/>
      <c r="AT160" s="131"/>
      <c r="AU160" s="131"/>
      <c r="AV160" s="354"/>
      <c r="AW160" s="132"/>
      <c r="AX160" s="354"/>
      <c r="AY160" s="132"/>
      <c r="AZ160" s="132"/>
      <c r="BA160" s="132"/>
      <c r="BB160" s="132"/>
    </row>
    <row r="161" spans="1:54">
      <c r="A161" s="132"/>
      <c r="B161" s="133" t="s">
        <v>3369</v>
      </c>
      <c r="C161" s="133" t="s">
        <v>1281</v>
      </c>
      <c r="D161" s="133" t="s">
        <v>2598</v>
      </c>
      <c r="E161" s="133" t="s">
        <v>1927</v>
      </c>
      <c r="F161" s="133" t="s">
        <v>2960</v>
      </c>
      <c r="G161" s="133" t="s">
        <v>3374</v>
      </c>
      <c r="H161" s="133" t="s">
        <v>1930</v>
      </c>
      <c r="I161" s="133" t="s">
        <v>2603</v>
      </c>
      <c r="J161" s="133">
        <v>70</v>
      </c>
      <c r="K161" s="133">
        <v>15.98</v>
      </c>
      <c r="L161" s="133">
        <v>0</v>
      </c>
      <c r="M161" s="133">
        <v>34.380000000000003</v>
      </c>
      <c r="N161" s="133">
        <v>34.03</v>
      </c>
      <c r="O161" s="133">
        <v>0</v>
      </c>
      <c r="P161" s="133">
        <v>0</v>
      </c>
      <c r="Q161" s="133">
        <v>46.72</v>
      </c>
      <c r="R161" s="133">
        <v>76.19</v>
      </c>
      <c r="S161" s="133">
        <v>25.49</v>
      </c>
      <c r="T161" s="133">
        <v>0</v>
      </c>
      <c r="U161" s="133">
        <v>0</v>
      </c>
      <c r="V161" s="133">
        <v>0</v>
      </c>
      <c r="W161" s="133">
        <v>0</v>
      </c>
      <c r="X161" s="133">
        <v>0</v>
      </c>
      <c r="Y161" s="133">
        <v>0</v>
      </c>
      <c r="Z161" s="133">
        <v>0</v>
      </c>
      <c r="AA161" s="133">
        <v>0</v>
      </c>
      <c r="AB161" s="133">
        <v>0</v>
      </c>
      <c r="AC161" s="133">
        <v>0</v>
      </c>
      <c r="AD161" s="133">
        <v>0</v>
      </c>
      <c r="AE161" s="133">
        <v>0</v>
      </c>
      <c r="AF161" s="133">
        <v>0</v>
      </c>
      <c r="AG161" s="133">
        <v>0</v>
      </c>
      <c r="AH161" s="133">
        <v>0</v>
      </c>
      <c r="AI161" s="133">
        <v>0</v>
      </c>
      <c r="AJ161" s="133">
        <v>0</v>
      </c>
      <c r="AK161" s="133">
        <v>0</v>
      </c>
      <c r="AL161" s="133">
        <v>0</v>
      </c>
      <c r="AM161" s="136" t="str">
        <f>IF(ISERROR(VLOOKUP(D161,'Woodmac profile - Oil'!$D$9:$AN$266,37,FALSE)),"",VLOOKUP(D161,'Woodmac profile - Oil'!$D$9:$AN$266,37,FALSE))</f>
        <v>SUBS</v>
      </c>
      <c r="AN161" s="136" t="str">
        <f>IF(ISERROR(VLOOKUP(D161,'Woodmac profile - Gas'!$D$9:$AN$249,37,FALSE)),"",VLOOKUP(D161,'Woodmac profile - Gas'!$D$9:$AN$249,37,FALSE))</f>
        <v/>
      </c>
      <c r="AO161" s="136" t="str">
        <f t="shared" si="12"/>
        <v>SUBS</v>
      </c>
      <c r="AP161" s="132"/>
      <c r="AQ161" s="129"/>
      <c r="AR161" s="129"/>
      <c r="AS161" s="354"/>
      <c r="AT161" s="131"/>
      <c r="AU161" s="131"/>
      <c r="AV161" s="354"/>
      <c r="AW161" s="132"/>
      <c r="AX161" s="354"/>
      <c r="AY161" s="132"/>
      <c r="AZ161" s="132"/>
      <c r="BA161" s="132"/>
      <c r="BB161" s="132"/>
    </row>
    <row r="162" spans="1:54">
      <c r="A162" s="132"/>
      <c r="B162" s="133" t="s">
        <v>3369</v>
      </c>
      <c r="C162" s="133" t="s">
        <v>1281</v>
      </c>
      <c r="D162" s="133" t="s">
        <v>74</v>
      </c>
      <c r="E162" s="133" t="s">
        <v>1927</v>
      </c>
      <c r="F162" s="133" t="s">
        <v>2960</v>
      </c>
      <c r="G162" s="133" t="s">
        <v>1929</v>
      </c>
      <c r="H162" s="133" t="s">
        <v>116</v>
      </c>
      <c r="I162" s="133" t="s">
        <v>2600</v>
      </c>
      <c r="J162" s="133">
        <v>18.2</v>
      </c>
      <c r="K162" s="133">
        <v>0</v>
      </c>
      <c r="L162" s="133">
        <v>0</v>
      </c>
      <c r="M162" s="133">
        <v>0.45</v>
      </c>
      <c r="N162" s="133">
        <v>0</v>
      </c>
      <c r="O162" s="133">
        <v>0</v>
      </c>
      <c r="P162" s="133">
        <v>0</v>
      </c>
      <c r="Q162" s="133">
        <v>0</v>
      </c>
      <c r="R162" s="133">
        <v>0</v>
      </c>
      <c r="S162" s="133">
        <v>0</v>
      </c>
      <c r="T162" s="133">
        <v>0</v>
      </c>
      <c r="U162" s="133">
        <v>0</v>
      </c>
      <c r="V162" s="133">
        <v>0</v>
      </c>
      <c r="W162" s="133">
        <v>0</v>
      </c>
      <c r="X162" s="133">
        <v>0</v>
      </c>
      <c r="Y162" s="133">
        <v>0</v>
      </c>
      <c r="Z162" s="133">
        <v>0</v>
      </c>
      <c r="AA162" s="133">
        <v>0</v>
      </c>
      <c r="AB162" s="133">
        <v>0</v>
      </c>
      <c r="AC162" s="133">
        <v>0</v>
      </c>
      <c r="AD162" s="133">
        <v>0</v>
      </c>
      <c r="AE162" s="133">
        <v>0</v>
      </c>
      <c r="AF162" s="133">
        <v>0</v>
      </c>
      <c r="AG162" s="133">
        <v>0</v>
      </c>
      <c r="AH162" s="133">
        <v>0</v>
      </c>
      <c r="AI162" s="133">
        <v>0</v>
      </c>
      <c r="AJ162" s="133">
        <v>0</v>
      </c>
      <c r="AK162" s="133">
        <v>0</v>
      </c>
      <c r="AL162" s="133">
        <v>0</v>
      </c>
      <c r="AM162" s="136" t="str">
        <f>IF(ISERROR(VLOOKUP(D162,'Woodmac profile - Oil'!$D$9:$AN$266,37,FALSE)),"",VLOOKUP(D162,'Woodmac profile - Oil'!$D$9:$AN$266,37,FALSE))</f>
        <v>SUBS</v>
      </c>
      <c r="AN162" s="136" t="str">
        <f>IF(ISERROR(VLOOKUP(D162,'Woodmac profile - Gas'!$D$9:$AN$249,37,FALSE)),"",VLOOKUP(D162,'Woodmac profile - Gas'!$D$9:$AN$249,37,FALSE))</f>
        <v>SUBS</v>
      </c>
      <c r="AO162" s="136" t="str">
        <f t="shared" si="12"/>
        <v>SUBS</v>
      </c>
      <c r="AP162" s="132"/>
      <c r="AQ162" s="129"/>
      <c r="AR162" s="129"/>
      <c r="AS162" s="354"/>
      <c r="AT162" s="131"/>
      <c r="AU162" s="131"/>
      <c r="AV162" s="354"/>
      <c r="AW162" s="132"/>
      <c r="AX162" s="354"/>
      <c r="AY162" s="132"/>
      <c r="AZ162" s="132"/>
      <c r="BA162" s="132"/>
      <c r="BB162" s="132"/>
    </row>
    <row r="163" spans="1:54">
      <c r="A163" s="132"/>
      <c r="B163" s="133" t="s">
        <v>3369</v>
      </c>
      <c r="C163" s="133" t="s">
        <v>1281</v>
      </c>
      <c r="D163" s="133" t="s">
        <v>3560</v>
      </c>
      <c r="E163" s="133" t="s">
        <v>1927</v>
      </c>
      <c r="F163" s="133" t="s">
        <v>2960</v>
      </c>
      <c r="G163" s="133" t="s">
        <v>1932</v>
      </c>
      <c r="H163" s="133" t="s">
        <v>116</v>
      </c>
      <c r="I163" s="133" t="s">
        <v>2571</v>
      </c>
      <c r="J163" s="133">
        <v>34.832999999999998</v>
      </c>
      <c r="K163" s="133">
        <v>0</v>
      </c>
      <c r="L163" s="133">
        <v>1.76</v>
      </c>
      <c r="M163" s="133">
        <v>0</v>
      </c>
      <c r="N163" s="133">
        <v>0</v>
      </c>
      <c r="O163" s="133">
        <v>0</v>
      </c>
      <c r="P163" s="133">
        <v>0</v>
      </c>
      <c r="Q163" s="133">
        <v>0</v>
      </c>
      <c r="R163" s="133">
        <v>0</v>
      </c>
      <c r="S163" s="133">
        <v>0</v>
      </c>
      <c r="T163" s="133">
        <v>0</v>
      </c>
      <c r="U163" s="133">
        <v>0</v>
      </c>
      <c r="V163" s="133">
        <v>0</v>
      </c>
      <c r="W163" s="133">
        <v>0</v>
      </c>
      <c r="X163" s="133">
        <v>0</v>
      </c>
      <c r="Y163" s="133">
        <v>0</v>
      </c>
      <c r="Z163" s="133">
        <v>0</v>
      </c>
      <c r="AA163" s="133">
        <v>0</v>
      </c>
      <c r="AB163" s="133">
        <v>0</v>
      </c>
      <c r="AC163" s="133">
        <v>0</v>
      </c>
      <c r="AD163" s="133">
        <v>0</v>
      </c>
      <c r="AE163" s="133">
        <v>0</v>
      </c>
      <c r="AF163" s="133">
        <v>0</v>
      </c>
      <c r="AG163" s="133">
        <v>0</v>
      </c>
      <c r="AH163" s="133">
        <v>0</v>
      </c>
      <c r="AI163" s="133">
        <v>0</v>
      </c>
      <c r="AJ163" s="133">
        <v>0</v>
      </c>
      <c r="AK163" s="133">
        <v>0</v>
      </c>
      <c r="AL163" s="133">
        <v>0</v>
      </c>
      <c r="AM163" s="136" t="str">
        <f>IF(ISERROR(VLOOKUP(D163,'Woodmac profile - Oil'!$D$9:$AN$266,37,FALSE)),"",VLOOKUP(D163,'Woodmac profile - Oil'!$D$9:$AN$266,37,FALSE))</f>
        <v>SUBS</v>
      </c>
      <c r="AN163" s="136" t="str">
        <f>IF(ISERROR(VLOOKUP(D163,'Woodmac profile - Gas'!$D$9:$AN$249,37,FALSE)),"",VLOOKUP(D163,'Woodmac profile - Gas'!$D$9:$AN$249,37,FALSE))</f>
        <v>SUBS</v>
      </c>
      <c r="AO163" s="136" t="str">
        <f t="shared" si="12"/>
        <v>SUBS</v>
      </c>
      <c r="AP163" s="132"/>
      <c r="AQ163" s="129"/>
      <c r="AR163" s="129"/>
      <c r="AS163" s="354"/>
      <c r="AT163" s="131"/>
      <c r="AU163" s="131"/>
      <c r="AV163" s="354"/>
      <c r="AW163" s="132"/>
      <c r="AX163" s="354"/>
      <c r="AY163" s="132"/>
      <c r="AZ163" s="132"/>
      <c r="BA163" s="132"/>
      <c r="BB163" s="132"/>
    </row>
    <row r="164" spans="1:54">
      <c r="A164" s="132"/>
      <c r="B164" s="133" t="s">
        <v>3369</v>
      </c>
      <c r="C164" s="133" t="s">
        <v>1281</v>
      </c>
      <c r="D164" s="133" t="s">
        <v>1182</v>
      </c>
      <c r="E164" s="133" t="s">
        <v>1927</v>
      </c>
      <c r="F164" s="133" t="s">
        <v>2960</v>
      </c>
      <c r="G164" s="133" t="s">
        <v>1932</v>
      </c>
      <c r="H164" s="133" t="s">
        <v>116</v>
      </c>
      <c r="I164" s="133" t="s">
        <v>2571</v>
      </c>
      <c r="J164" s="133">
        <v>77.063299999999998</v>
      </c>
      <c r="K164" s="133">
        <v>0</v>
      </c>
      <c r="L164" s="133">
        <v>0</v>
      </c>
      <c r="M164" s="133">
        <v>0</v>
      </c>
      <c r="N164" s="133">
        <v>0</v>
      </c>
      <c r="O164" s="133">
        <v>0</v>
      </c>
      <c r="P164" s="133">
        <v>0</v>
      </c>
      <c r="Q164" s="133">
        <v>0</v>
      </c>
      <c r="R164" s="133">
        <v>272.58</v>
      </c>
      <c r="S164" s="133">
        <v>505.05</v>
      </c>
      <c r="T164" s="133">
        <v>328.98</v>
      </c>
      <c r="U164" s="133">
        <v>277.07</v>
      </c>
      <c r="V164" s="133">
        <v>173.24</v>
      </c>
      <c r="W164" s="133">
        <v>6.25</v>
      </c>
      <c r="X164" s="133">
        <v>5.46</v>
      </c>
      <c r="Y164" s="133">
        <v>5.04</v>
      </c>
      <c r="Z164" s="133">
        <v>5.24</v>
      </c>
      <c r="AA164" s="133">
        <v>0</v>
      </c>
      <c r="AB164" s="133">
        <v>0</v>
      </c>
      <c r="AC164" s="133">
        <v>0</v>
      </c>
      <c r="AD164" s="133">
        <v>0</v>
      </c>
      <c r="AE164" s="133">
        <v>0</v>
      </c>
      <c r="AF164" s="133">
        <v>0</v>
      </c>
      <c r="AG164" s="133">
        <v>0</v>
      </c>
      <c r="AH164" s="133">
        <v>0</v>
      </c>
      <c r="AI164" s="133">
        <v>0</v>
      </c>
      <c r="AJ164" s="133">
        <v>0</v>
      </c>
      <c r="AK164" s="133">
        <v>0</v>
      </c>
      <c r="AL164" s="133">
        <v>0</v>
      </c>
      <c r="AM164" s="136" t="str">
        <f>IF(ISERROR(VLOOKUP(D164,'Woodmac profile - Oil'!$D$9:$AN$266,37,FALSE)),"",VLOOKUP(D164,'Woodmac profile - Oil'!$D$9:$AN$266,37,FALSE))</f>
        <v>SUBS</v>
      </c>
      <c r="AN164" s="136" t="str">
        <f>IF(ISERROR(VLOOKUP(D164,'Woodmac profile - Gas'!$D$9:$AN$249,37,FALSE)),"",VLOOKUP(D164,'Woodmac profile - Gas'!$D$9:$AN$249,37,FALSE))</f>
        <v>SUBS</v>
      </c>
      <c r="AO164" s="136" t="str">
        <f t="shared" si="12"/>
        <v>SUBS</v>
      </c>
      <c r="AP164" s="132"/>
      <c r="AQ164" s="129"/>
      <c r="AR164" s="129"/>
      <c r="AS164" s="354"/>
      <c r="AT164" s="131"/>
      <c r="AU164" s="131"/>
      <c r="AV164" s="354"/>
      <c r="AW164" s="132"/>
      <c r="AX164" s="354"/>
      <c r="AY164" s="132"/>
      <c r="AZ164" s="132"/>
      <c r="BA164" s="132"/>
      <c r="BB164" s="132"/>
    </row>
    <row r="165" spans="1:54">
      <c r="A165" s="132"/>
      <c r="B165" s="133" t="s">
        <v>3369</v>
      </c>
      <c r="C165" s="133" t="s">
        <v>1281</v>
      </c>
      <c r="D165" s="133" t="s">
        <v>2168</v>
      </c>
      <c r="E165" s="133" t="s">
        <v>2254</v>
      </c>
      <c r="F165" s="133" t="s">
        <v>2960</v>
      </c>
      <c r="G165" s="133" t="s">
        <v>1930</v>
      </c>
      <c r="H165" s="133" t="s">
        <v>116</v>
      </c>
      <c r="I165" s="133" t="s">
        <v>2571</v>
      </c>
      <c r="J165" s="133">
        <v>50</v>
      </c>
      <c r="K165" s="133">
        <v>0</v>
      </c>
      <c r="L165" s="133">
        <v>0</v>
      </c>
      <c r="M165" s="133">
        <v>0</v>
      </c>
      <c r="N165" s="133">
        <v>0.12</v>
      </c>
      <c r="O165" s="133">
        <v>0</v>
      </c>
      <c r="P165" s="133">
        <v>0.23</v>
      </c>
      <c r="Q165" s="133">
        <v>0</v>
      </c>
      <c r="R165" s="133">
        <v>0</v>
      </c>
      <c r="S165" s="133">
        <v>0</v>
      </c>
      <c r="T165" s="133">
        <v>0</v>
      </c>
      <c r="U165" s="133">
        <v>0</v>
      </c>
      <c r="V165" s="133">
        <v>0</v>
      </c>
      <c r="W165" s="133">
        <v>0</v>
      </c>
      <c r="X165" s="133">
        <v>0</v>
      </c>
      <c r="Y165" s="133">
        <v>0</v>
      </c>
      <c r="Z165" s="133">
        <v>0</v>
      </c>
      <c r="AA165" s="133">
        <v>0</v>
      </c>
      <c r="AB165" s="133">
        <v>0</v>
      </c>
      <c r="AC165" s="133">
        <v>0</v>
      </c>
      <c r="AD165" s="133">
        <v>0</v>
      </c>
      <c r="AE165" s="133">
        <v>0</v>
      </c>
      <c r="AF165" s="133">
        <v>0</v>
      </c>
      <c r="AG165" s="133">
        <v>0</v>
      </c>
      <c r="AH165" s="133">
        <v>0</v>
      </c>
      <c r="AI165" s="133">
        <v>0</v>
      </c>
      <c r="AJ165" s="133">
        <v>0</v>
      </c>
      <c r="AK165" s="133">
        <v>0</v>
      </c>
      <c r="AL165" s="133">
        <v>0</v>
      </c>
      <c r="AM165" s="136" t="str">
        <f>IF(ISERROR(VLOOKUP(D165,'Woodmac profile - Oil'!$D$9:$AN$266,37,FALSE)),"",VLOOKUP(D165,'Woodmac profile - Oil'!$D$9:$AN$266,37,FALSE))</f>
        <v/>
      </c>
      <c r="AN165" s="136" t="str">
        <f>IF(ISERROR(VLOOKUP(D165,'Woodmac profile - Gas'!$D$9:$AN$249,37,FALSE)),"",VLOOKUP(D165,'Woodmac profile - Gas'!$D$9:$AN$249,37,FALSE))</f>
        <v>SUBS</v>
      </c>
      <c r="AO165" s="136" t="str">
        <f t="shared" si="12"/>
        <v>SUBS</v>
      </c>
      <c r="AP165" s="132"/>
      <c r="AQ165" s="129"/>
      <c r="AR165" s="129"/>
      <c r="AS165" s="354"/>
      <c r="AT165" s="131"/>
      <c r="AU165" s="131"/>
      <c r="AV165" s="354"/>
      <c r="AW165" s="132"/>
      <c r="AX165" s="354"/>
      <c r="AY165" s="132"/>
      <c r="AZ165" s="132"/>
      <c r="BA165" s="132"/>
      <c r="BB165" s="132"/>
    </row>
    <row r="166" spans="1:54">
      <c r="A166" s="132"/>
      <c r="B166" s="133" t="s">
        <v>3369</v>
      </c>
      <c r="C166" s="133" t="s">
        <v>1281</v>
      </c>
      <c r="D166" s="133" t="s">
        <v>1183</v>
      </c>
      <c r="E166" s="133" t="s">
        <v>1927</v>
      </c>
      <c r="F166" s="133" t="s">
        <v>2960</v>
      </c>
      <c r="G166" s="133" t="s">
        <v>1931</v>
      </c>
      <c r="H166" s="133" t="s">
        <v>116</v>
      </c>
      <c r="I166" s="133" t="s">
        <v>2600</v>
      </c>
      <c r="J166" s="133">
        <v>22.22</v>
      </c>
      <c r="K166" s="133">
        <v>0</v>
      </c>
      <c r="L166" s="133">
        <v>12.9</v>
      </c>
      <c r="M166" s="133">
        <v>4.3600000000000003</v>
      </c>
      <c r="N166" s="133">
        <v>1.62</v>
      </c>
      <c r="O166" s="133">
        <v>1.1499999999999999</v>
      </c>
      <c r="P166" s="133">
        <v>0</v>
      </c>
      <c r="Q166" s="133">
        <v>0</v>
      </c>
      <c r="R166" s="133">
        <v>0</v>
      </c>
      <c r="S166" s="133">
        <v>0</v>
      </c>
      <c r="T166" s="133">
        <v>0</v>
      </c>
      <c r="U166" s="133">
        <v>0</v>
      </c>
      <c r="V166" s="133">
        <v>0</v>
      </c>
      <c r="W166" s="133">
        <v>0</v>
      </c>
      <c r="X166" s="133">
        <v>0</v>
      </c>
      <c r="Y166" s="133">
        <v>0</v>
      </c>
      <c r="Z166" s="133">
        <v>0</v>
      </c>
      <c r="AA166" s="133">
        <v>0</v>
      </c>
      <c r="AB166" s="133">
        <v>0</v>
      </c>
      <c r="AC166" s="133">
        <v>0</v>
      </c>
      <c r="AD166" s="133">
        <v>0</v>
      </c>
      <c r="AE166" s="133">
        <v>0</v>
      </c>
      <c r="AF166" s="133">
        <v>0</v>
      </c>
      <c r="AG166" s="133">
        <v>0</v>
      </c>
      <c r="AH166" s="133">
        <v>0</v>
      </c>
      <c r="AI166" s="133">
        <v>0</v>
      </c>
      <c r="AJ166" s="133">
        <v>0</v>
      </c>
      <c r="AK166" s="133">
        <v>0</v>
      </c>
      <c r="AL166" s="133">
        <v>0</v>
      </c>
      <c r="AM166" s="136" t="str">
        <f>IF(ISERROR(VLOOKUP(D166,'Woodmac profile - Oil'!$D$9:$AN$266,37,FALSE)),"",VLOOKUP(D166,'Woodmac profile - Oil'!$D$9:$AN$266,37,FALSE))</f>
        <v>SUBS</v>
      </c>
      <c r="AN166" s="136" t="str">
        <f>IF(ISERROR(VLOOKUP(D166,'Woodmac profile - Gas'!$D$9:$AN$249,37,FALSE)),"",VLOOKUP(D166,'Woodmac profile - Gas'!$D$9:$AN$249,37,FALSE))</f>
        <v>SUBS</v>
      </c>
      <c r="AO166" s="136" t="str">
        <f t="shared" si="12"/>
        <v>SUBS</v>
      </c>
      <c r="AP166" s="132"/>
      <c r="AQ166" s="129"/>
      <c r="AR166" s="129"/>
      <c r="AS166" s="354"/>
      <c r="AT166" s="131"/>
      <c r="AU166" s="131"/>
      <c r="AV166" s="354"/>
      <c r="AW166" s="132"/>
      <c r="AX166" s="354"/>
      <c r="AY166" s="132"/>
      <c r="AZ166" s="132"/>
      <c r="BA166" s="132"/>
      <c r="BB166" s="132"/>
    </row>
    <row r="167" spans="1:54">
      <c r="A167" s="132"/>
      <c r="B167" s="133" t="s">
        <v>3369</v>
      </c>
      <c r="C167" s="133" t="s">
        <v>1281</v>
      </c>
      <c r="D167" s="133" t="s">
        <v>1184</v>
      </c>
      <c r="E167" s="133" t="s">
        <v>1927</v>
      </c>
      <c r="F167" s="133" t="s">
        <v>2973</v>
      </c>
      <c r="G167" s="133" t="s">
        <v>3374</v>
      </c>
      <c r="H167" s="133" t="s">
        <v>116</v>
      </c>
      <c r="I167" s="133" t="s">
        <v>2571</v>
      </c>
      <c r="J167" s="133">
        <v>50</v>
      </c>
      <c r="K167" s="133">
        <v>0</v>
      </c>
      <c r="L167" s="133">
        <v>15.15</v>
      </c>
      <c r="M167" s="133">
        <v>0</v>
      </c>
      <c r="N167" s="133">
        <v>1.22</v>
      </c>
      <c r="O167" s="133">
        <v>1.29</v>
      </c>
      <c r="P167" s="133">
        <v>1.1599999999999999</v>
      </c>
      <c r="Q167" s="133">
        <v>4.78</v>
      </c>
      <c r="R167" s="133">
        <v>0.91</v>
      </c>
      <c r="S167" s="133">
        <v>55.98</v>
      </c>
      <c r="T167" s="133">
        <v>10.46</v>
      </c>
      <c r="U167" s="133">
        <v>161.38</v>
      </c>
      <c r="V167" s="133">
        <v>170.43</v>
      </c>
      <c r="W167" s="133">
        <v>225.15</v>
      </c>
      <c r="X167" s="133">
        <v>88.56</v>
      </c>
      <c r="Y167" s="133">
        <v>20.34</v>
      </c>
      <c r="Z167" s="133">
        <v>112.27</v>
      </c>
      <c r="AA167" s="133">
        <v>2.14</v>
      </c>
      <c r="AB167" s="133">
        <v>0.77</v>
      </c>
      <c r="AC167" s="133">
        <v>0.79</v>
      </c>
      <c r="AD167" s="133">
        <v>0.85</v>
      </c>
      <c r="AE167" s="133">
        <v>0</v>
      </c>
      <c r="AF167" s="133">
        <v>0</v>
      </c>
      <c r="AG167" s="133">
        <v>0.85</v>
      </c>
      <c r="AH167" s="133">
        <v>0</v>
      </c>
      <c r="AI167" s="133">
        <v>0</v>
      </c>
      <c r="AJ167" s="133">
        <v>0</v>
      </c>
      <c r="AK167" s="133">
        <v>0</v>
      </c>
      <c r="AL167" s="133">
        <v>0.85</v>
      </c>
      <c r="AM167" s="136" t="str">
        <f>IF(ISERROR(VLOOKUP(D167,'Woodmac profile - Oil'!$D$9:$AN$266,37,FALSE)),"",VLOOKUP(D167,'Woodmac profile - Oil'!$D$9:$AN$266,37,FALSE))</f>
        <v>SUBS</v>
      </c>
      <c r="AN167" s="136" t="str">
        <f>IF(ISERROR(VLOOKUP(D167,'Woodmac profile - Gas'!$D$9:$AN$249,37,FALSE)),"",VLOOKUP(D167,'Woodmac profile - Gas'!$D$9:$AN$249,37,FALSE))</f>
        <v>SUBS</v>
      </c>
      <c r="AO167" s="136" t="str">
        <f t="shared" si="12"/>
        <v>SUBS</v>
      </c>
      <c r="AP167" s="132"/>
      <c r="AQ167" s="129"/>
      <c r="AR167" s="129"/>
      <c r="AS167" s="354"/>
      <c r="AT167" s="131"/>
      <c r="AU167" s="131"/>
      <c r="AV167" s="354"/>
      <c r="AW167" s="132"/>
      <c r="AX167" s="354"/>
      <c r="AY167" s="132"/>
      <c r="AZ167" s="132"/>
      <c r="BA167" s="132"/>
      <c r="BB167" s="132"/>
    </row>
    <row r="168" spans="1:54">
      <c r="A168" s="132"/>
      <c r="B168" s="133" t="s">
        <v>3369</v>
      </c>
      <c r="C168" s="133" t="s">
        <v>1281</v>
      </c>
      <c r="D168" s="133" t="s">
        <v>1185</v>
      </c>
      <c r="E168" s="133" t="s">
        <v>1927</v>
      </c>
      <c r="F168" s="133" t="s">
        <v>2960</v>
      </c>
      <c r="G168" s="133" t="s">
        <v>1932</v>
      </c>
      <c r="H168" s="133" t="s">
        <v>116</v>
      </c>
      <c r="I168" s="133" t="s">
        <v>2571</v>
      </c>
      <c r="J168" s="133">
        <v>100</v>
      </c>
      <c r="K168" s="133">
        <v>68.489999999999995</v>
      </c>
      <c r="L168" s="133">
        <v>50.49</v>
      </c>
      <c r="M168" s="133">
        <v>42.97</v>
      </c>
      <c r="N168" s="133">
        <v>58.33</v>
      </c>
      <c r="O168" s="133">
        <v>12.9</v>
      </c>
      <c r="P168" s="133">
        <v>104.88</v>
      </c>
      <c r="Q168" s="133">
        <v>98.2</v>
      </c>
      <c r="R168" s="133">
        <v>93.42</v>
      </c>
      <c r="S168" s="133">
        <v>2.73</v>
      </c>
      <c r="T168" s="133">
        <v>20.91</v>
      </c>
      <c r="U168" s="133">
        <v>118.73</v>
      </c>
      <c r="V168" s="133">
        <v>65.19</v>
      </c>
      <c r="W168" s="133">
        <v>234.55</v>
      </c>
      <c r="X168" s="133">
        <v>115.38</v>
      </c>
      <c r="Y168" s="133">
        <v>2.62</v>
      </c>
      <c r="Z168" s="133">
        <v>2.72</v>
      </c>
      <c r="AA168" s="133">
        <v>2.76</v>
      </c>
      <c r="AB168" s="133">
        <v>2.79</v>
      </c>
      <c r="AC168" s="133">
        <v>2.87</v>
      </c>
      <c r="AD168" s="133">
        <v>3.09</v>
      </c>
      <c r="AE168" s="133">
        <v>3.09</v>
      </c>
      <c r="AF168" s="133">
        <v>3.09</v>
      </c>
      <c r="AG168" s="133">
        <v>3.09</v>
      </c>
      <c r="AH168" s="133">
        <v>3.09</v>
      </c>
      <c r="AI168" s="133">
        <v>3.09</v>
      </c>
      <c r="AJ168" s="133">
        <v>0</v>
      </c>
      <c r="AK168" s="133">
        <v>0</v>
      </c>
      <c r="AL168" s="133">
        <v>0</v>
      </c>
      <c r="AM168" s="136" t="str">
        <f>IF(ISERROR(VLOOKUP(D168,'Woodmac profile - Oil'!$D$9:$AN$266,37,FALSE)),"",VLOOKUP(D168,'Woodmac profile - Oil'!$D$9:$AN$266,37,FALSE))</f>
        <v>SUBS</v>
      </c>
      <c r="AN168" s="136" t="str">
        <f>IF(ISERROR(VLOOKUP(D168,'Woodmac profile - Gas'!$D$9:$AN$249,37,FALSE)),"",VLOOKUP(D168,'Woodmac profile - Gas'!$D$9:$AN$249,37,FALSE))</f>
        <v>SUBS</v>
      </c>
      <c r="AO168" s="136" t="str">
        <f t="shared" si="12"/>
        <v>SUBS</v>
      </c>
      <c r="AP168" s="132"/>
      <c r="AQ168" s="129"/>
      <c r="AR168" s="129"/>
      <c r="AS168" s="354"/>
      <c r="AT168" s="131"/>
      <c r="AU168" s="131"/>
      <c r="AV168" s="354"/>
      <c r="AW168" s="132"/>
      <c r="AX168" s="354"/>
      <c r="AY168" s="132"/>
      <c r="AZ168" s="132"/>
      <c r="BA168" s="132"/>
      <c r="BB168" s="132"/>
    </row>
    <row r="169" spans="1:54">
      <c r="A169" s="132"/>
      <c r="B169" s="133" t="s">
        <v>3369</v>
      </c>
      <c r="C169" s="133" t="s">
        <v>1281</v>
      </c>
      <c r="D169" s="133" t="s">
        <v>1186</v>
      </c>
      <c r="E169" s="133" t="s">
        <v>1927</v>
      </c>
      <c r="F169" s="133" t="s">
        <v>2960</v>
      </c>
      <c r="G169" s="133" t="s">
        <v>3374</v>
      </c>
      <c r="H169" s="133" t="s">
        <v>116</v>
      </c>
      <c r="I169" s="133" t="s">
        <v>2571</v>
      </c>
      <c r="J169" s="133">
        <v>33.33</v>
      </c>
      <c r="K169" s="133">
        <v>0</v>
      </c>
      <c r="L169" s="133">
        <v>0</v>
      </c>
      <c r="M169" s="133">
        <v>0</v>
      </c>
      <c r="N169" s="133">
        <v>0</v>
      </c>
      <c r="O169" s="133">
        <v>6.88</v>
      </c>
      <c r="P169" s="133">
        <v>26.89</v>
      </c>
      <c r="Q169" s="133">
        <v>0.22</v>
      </c>
      <c r="R169" s="133">
        <v>0.06</v>
      </c>
      <c r="S169" s="133">
        <v>0.06</v>
      </c>
      <c r="T169" s="133">
        <v>0</v>
      </c>
      <c r="U169" s="133">
        <v>0</v>
      </c>
      <c r="V169" s="133">
        <v>0</v>
      </c>
      <c r="W169" s="133">
        <v>0</v>
      </c>
      <c r="X169" s="133">
        <v>0</v>
      </c>
      <c r="Y169" s="133">
        <v>0</v>
      </c>
      <c r="Z169" s="133">
        <v>0</v>
      </c>
      <c r="AA169" s="133">
        <v>0</v>
      </c>
      <c r="AB169" s="133">
        <v>0</v>
      </c>
      <c r="AC169" s="133">
        <v>0</v>
      </c>
      <c r="AD169" s="133">
        <v>0</v>
      </c>
      <c r="AE169" s="133">
        <v>0</v>
      </c>
      <c r="AF169" s="133">
        <v>0</v>
      </c>
      <c r="AG169" s="133">
        <v>0</v>
      </c>
      <c r="AH169" s="133">
        <v>0</v>
      </c>
      <c r="AI169" s="133">
        <v>0</v>
      </c>
      <c r="AJ169" s="133">
        <v>0</v>
      </c>
      <c r="AK169" s="133">
        <v>0</v>
      </c>
      <c r="AL169" s="133">
        <v>0</v>
      </c>
      <c r="AM169" s="136" t="str">
        <f>IF(ISERROR(VLOOKUP(D169,'Woodmac profile - Oil'!$D$9:$AN$266,37,FALSE)),"",VLOOKUP(D169,'Woodmac profile - Oil'!$D$9:$AN$266,37,FALSE))</f>
        <v>SUBS</v>
      </c>
      <c r="AN169" s="136" t="str">
        <f>IF(ISERROR(VLOOKUP(D169,'Woodmac profile - Gas'!$D$9:$AN$249,37,FALSE)),"",VLOOKUP(D169,'Woodmac profile - Gas'!$D$9:$AN$249,37,FALSE))</f>
        <v/>
      </c>
      <c r="AO169" s="136" t="str">
        <f t="shared" si="12"/>
        <v>SUBS</v>
      </c>
      <c r="AP169" s="132"/>
      <c r="AQ169" s="129"/>
      <c r="AR169" s="129"/>
      <c r="AS169" s="354"/>
      <c r="AT169" s="131"/>
      <c r="AU169" s="131"/>
      <c r="AV169" s="354"/>
      <c r="AW169" s="132"/>
      <c r="AX169" s="354"/>
      <c r="AY169" s="132"/>
      <c r="AZ169" s="132"/>
      <c r="BA169" s="132"/>
      <c r="BB169" s="132"/>
    </row>
    <row r="170" spans="1:54">
      <c r="A170" s="132"/>
      <c r="B170" s="133" t="s">
        <v>3369</v>
      </c>
      <c r="C170" s="133" t="s">
        <v>1281</v>
      </c>
      <c r="D170" s="133" t="s">
        <v>1187</v>
      </c>
      <c r="E170" s="133" t="s">
        <v>1927</v>
      </c>
      <c r="F170" s="133" t="s">
        <v>2960</v>
      </c>
      <c r="G170" s="133" t="s">
        <v>1932</v>
      </c>
      <c r="H170" s="133" t="s">
        <v>116</v>
      </c>
      <c r="I170" s="133" t="s">
        <v>2571</v>
      </c>
      <c r="J170" s="133">
        <v>50</v>
      </c>
      <c r="K170" s="133">
        <v>0</v>
      </c>
      <c r="L170" s="133">
        <v>0</v>
      </c>
      <c r="M170" s="133">
        <v>0</v>
      </c>
      <c r="N170" s="133">
        <v>0</v>
      </c>
      <c r="O170" s="133">
        <v>0</v>
      </c>
      <c r="P170" s="133">
        <v>1.66</v>
      </c>
      <c r="Q170" s="133">
        <v>3.61</v>
      </c>
      <c r="R170" s="133">
        <v>0</v>
      </c>
      <c r="S170" s="133">
        <v>0</v>
      </c>
      <c r="T170" s="133">
        <v>3.3</v>
      </c>
      <c r="U170" s="133">
        <v>0</v>
      </c>
      <c r="V170" s="133">
        <v>2.95</v>
      </c>
      <c r="W170" s="133">
        <v>4.3600000000000003</v>
      </c>
      <c r="X170" s="133">
        <v>3.54</v>
      </c>
      <c r="Y170" s="133">
        <v>0</v>
      </c>
      <c r="Z170" s="133">
        <v>0</v>
      </c>
      <c r="AA170" s="133">
        <v>0</v>
      </c>
      <c r="AB170" s="133">
        <v>0</v>
      </c>
      <c r="AC170" s="133">
        <v>0</v>
      </c>
      <c r="AD170" s="133">
        <v>0</v>
      </c>
      <c r="AE170" s="133">
        <v>0</v>
      </c>
      <c r="AF170" s="133">
        <v>0</v>
      </c>
      <c r="AG170" s="133">
        <v>0</v>
      </c>
      <c r="AH170" s="133">
        <v>0</v>
      </c>
      <c r="AI170" s="133">
        <v>0</v>
      </c>
      <c r="AJ170" s="133">
        <v>0</v>
      </c>
      <c r="AK170" s="133">
        <v>0</v>
      </c>
      <c r="AL170" s="133">
        <v>0</v>
      </c>
      <c r="AM170" s="136" t="str">
        <f>IF(ISERROR(VLOOKUP(D170,'Woodmac profile - Oil'!$D$9:$AN$266,37,FALSE)),"",VLOOKUP(D170,'Woodmac profile - Oil'!$D$9:$AN$266,37,FALSE))</f>
        <v>SUBS</v>
      </c>
      <c r="AN170" s="136" t="str">
        <f>IF(ISERROR(VLOOKUP(D170,'Woodmac profile - Gas'!$D$9:$AN$249,37,FALSE)),"",VLOOKUP(D170,'Woodmac profile - Gas'!$D$9:$AN$249,37,FALSE))</f>
        <v>SUBS</v>
      </c>
      <c r="AO170" s="136" t="str">
        <f t="shared" si="12"/>
        <v>SUBS</v>
      </c>
      <c r="AP170" s="132"/>
      <c r="AQ170" s="129"/>
      <c r="AR170" s="129"/>
      <c r="AS170" s="354"/>
      <c r="AT170" s="131"/>
      <c r="AU170" s="131"/>
      <c r="AV170" s="354"/>
      <c r="AW170" s="132"/>
      <c r="AX170" s="354"/>
      <c r="AY170" s="132"/>
      <c r="AZ170" s="132"/>
      <c r="BA170" s="132"/>
      <c r="BB170" s="132"/>
    </row>
    <row r="171" spans="1:54">
      <c r="A171" s="132"/>
      <c r="B171" s="133" t="s">
        <v>3369</v>
      </c>
      <c r="C171" s="133" t="s">
        <v>1281</v>
      </c>
      <c r="D171" s="133" t="s">
        <v>1188</v>
      </c>
      <c r="E171" s="133" t="s">
        <v>1927</v>
      </c>
      <c r="F171" s="133" t="s">
        <v>2960</v>
      </c>
      <c r="G171" s="133" t="s">
        <v>1932</v>
      </c>
      <c r="H171" s="133" t="s">
        <v>116</v>
      </c>
      <c r="I171" s="133" t="s">
        <v>2604</v>
      </c>
      <c r="J171" s="133">
        <v>75</v>
      </c>
      <c r="K171" s="133">
        <v>124.2</v>
      </c>
      <c r="L171" s="133">
        <v>62.22</v>
      </c>
      <c r="M171" s="133">
        <v>114.79</v>
      </c>
      <c r="N171" s="133">
        <v>66.11</v>
      </c>
      <c r="O171" s="133">
        <v>48.25</v>
      </c>
      <c r="P171" s="133">
        <v>146.96</v>
      </c>
      <c r="Q171" s="133">
        <v>153.97999999999999</v>
      </c>
      <c r="R171" s="133">
        <v>72.47</v>
      </c>
      <c r="S171" s="133">
        <v>20.12</v>
      </c>
      <c r="T171" s="133">
        <v>63.69</v>
      </c>
      <c r="U171" s="133">
        <v>18.48</v>
      </c>
      <c r="V171" s="133">
        <v>122.44</v>
      </c>
      <c r="W171" s="133">
        <v>132.77000000000001</v>
      </c>
      <c r="X171" s="133">
        <v>14.14</v>
      </c>
      <c r="Y171" s="133">
        <v>9.81</v>
      </c>
      <c r="Z171" s="133">
        <v>77.010000000000005</v>
      </c>
      <c r="AA171" s="133">
        <v>10.34</v>
      </c>
      <c r="AB171" s="133">
        <v>6.29</v>
      </c>
      <c r="AC171" s="133">
        <v>5.39</v>
      </c>
      <c r="AD171" s="133">
        <v>12.17</v>
      </c>
      <c r="AE171" s="133">
        <v>5.8</v>
      </c>
      <c r="AF171" s="133">
        <v>5.8</v>
      </c>
      <c r="AG171" s="133">
        <v>0</v>
      </c>
      <c r="AH171" s="133">
        <v>0</v>
      </c>
      <c r="AI171" s="133">
        <v>0</v>
      </c>
      <c r="AJ171" s="133">
        <v>0</v>
      </c>
      <c r="AK171" s="133">
        <v>0</v>
      </c>
      <c r="AL171" s="133">
        <v>0</v>
      </c>
      <c r="AM171" s="136" t="str">
        <f>IF(ISERROR(VLOOKUP(D171,'Woodmac profile - Oil'!$D$9:$AN$266,37,FALSE)),"",VLOOKUP(D171,'Woodmac profile - Oil'!$D$9:$AN$266,37,FALSE))</f>
        <v>SUBS</v>
      </c>
      <c r="AN171" s="136" t="str">
        <f>IF(ISERROR(VLOOKUP(D171,'Woodmac profile - Gas'!$D$9:$AN$249,37,FALSE)),"",VLOOKUP(D171,'Woodmac profile - Gas'!$D$9:$AN$249,37,FALSE))</f>
        <v>SUBS</v>
      </c>
      <c r="AO171" s="136" t="str">
        <f t="shared" si="12"/>
        <v>SUBS</v>
      </c>
      <c r="AP171" s="132"/>
      <c r="AQ171" s="129"/>
      <c r="AR171" s="129"/>
      <c r="AS171" s="354"/>
      <c r="AT171" s="131"/>
      <c r="AU171" s="131"/>
      <c r="AV171" s="354"/>
      <c r="AW171" s="132"/>
      <c r="AX171" s="354"/>
      <c r="AY171" s="132"/>
      <c r="AZ171" s="132"/>
      <c r="BA171" s="132"/>
      <c r="BB171" s="132"/>
    </row>
    <row r="172" spans="1:54">
      <c r="A172" s="132"/>
      <c r="B172" s="133" t="s">
        <v>3369</v>
      </c>
      <c r="C172" s="133" t="s">
        <v>1281</v>
      </c>
      <c r="D172" s="133" t="s">
        <v>1189</v>
      </c>
      <c r="E172" s="133" t="s">
        <v>1927</v>
      </c>
      <c r="F172" s="133" t="s">
        <v>2960</v>
      </c>
      <c r="G172" s="133" t="s">
        <v>1929</v>
      </c>
      <c r="H172" s="133" t="s">
        <v>116</v>
      </c>
      <c r="I172" s="133" t="s">
        <v>2600</v>
      </c>
      <c r="J172" s="133">
        <v>70</v>
      </c>
      <c r="K172" s="133">
        <v>0</v>
      </c>
      <c r="L172" s="133">
        <v>0</v>
      </c>
      <c r="M172" s="133">
        <v>3.81</v>
      </c>
      <c r="N172" s="133">
        <v>12.82</v>
      </c>
      <c r="O172" s="133">
        <v>8</v>
      </c>
      <c r="P172" s="133">
        <v>6.01</v>
      </c>
      <c r="Q172" s="133">
        <v>1.77</v>
      </c>
      <c r="R172" s="133">
        <v>1.69</v>
      </c>
      <c r="S172" s="133">
        <v>1.69</v>
      </c>
      <c r="T172" s="133">
        <v>2.5499999999999998</v>
      </c>
      <c r="U172" s="133">
        <v>2.44</v>
      </c>
      <c r="V172" s="133">
        <v>11.36</v>
      </c>
      <c r="W172" s="133">
        <v>27.12</v>
      </c>
      <c r="X172" s="133">
        <v>33.28</v>
      </c>
      <c r="Y172" s="133">
        <v>1.85</v>
      </c>
      <c r="Z172" s="133">
        <v>1.9</v>
      </c>
      <c r="AA172" s="133">
        <v>1.93</v>
      </c>
      <c r="AB172" s="133">
        <v>1.95</v>
      </c>
      <c r="AC172" s="133">
        <v>2.0099999999999998</v>
      </c>
      <c r="AD172" s="133">
        <v>2.16</v>
      </c>
      <c r="AE172" s="133">
        <v>2.16</v>
      </c>
      <c r="AF172" s="133">
        <v>2.16</v>
      </c>
      <c r="AG172" s="133">
        <v>2.16</v>
      </c>
      <c r="AH172" s="133">
        <v>2.16</v>
      </c>
      <c r="AI172" s="133">
        <v>0</v>
      </c>
      <c r="AJ172" s="133">
        <v>0</v>
      </c>
      <c r="AK172" s="133">
        <v>0</v>
      </c>
      <c r="AL172" s="133">
        <v>0</v>
      </c>
      <c r="AM172" s="136" t="str">
        <f>IF(ISERROR(VLOOKUP(D172,'Woodmac profile - Oil'!$D$9:$AN$266,37,FALSE)),"",VLOOKUP(D172,'Woodmac profile - Oil'!$D$9:$AN$266,37,FALSE))</f>
        <v>SUBS</v>
      </c>
      <c r="AN172" s="136" t="str">
        <f>IF(ISERROR(VLOOKUP(D172,'Woodmac profile - Gas'!$D$9:$AN$249,37,FALSE)),"",VLOOKUP(D172,'Woodmac profile - Gas'!$D$9:$AN$249,37,FALSE))</f>
        <v>SUBS</v>
      </c>
      <c r="AO172" s="136" t="str">
        <f t="shared" si="12"/>
        <v>SUBS</v>
      </c>
      <c r="AP172" s="132"/>
      <c r="AQ172" s="129"/>
      <c r="AR172" s="129"/>
      <c r="AS172" s="354"/>
      <c r="AT172" s="131"/>
      <c r="AU172" s="131"/>
      <c r="AV172" s="354"/>
      <c r="AW172" s="132"/>
      <c r="AX172" s="354"/>
      <c r="AY172" s="132"/>
      <c r="AZ172" s="132"/>
      <c r="BA172" s="132"/>
      <c r="BB172" s="132"/>
    </row>
    <row r="173" spans="1:54">
      <c r="A173" s="132"/>
      <c r="B173" s="133" t="s">
        <v>3369</v>
      </c>
      <c r="C173" s="133" t="s">
        <v>1281</v>
      </c>
      <c r="D173" s="133" t="s">
        <v>1191</v>
      </c>
      <c r="E173" s="133" t="s">
        <v>2254</v>
      </c>
      <c r="F173" s="133" t="s">
        <v>2960</v>
      </c>
      <c r="G173" s="133" t="s">
        <v>3374</v>
      </c>
      <c r="H173" s="133" t="s">
        <v>116</v>
      </c>
      <c r="I173" s="133" t="s">
        <v>2600</v>
      </c>
      <c r="J173" s="133">
        <v>52</v>
      </c>
      <c r="K173" s="133">
        <v>11.87</v>
      </c>
      <c r="L173" s="133">
        <v>0</v>
      </c>
      <c r="M173" s="133">
        <v>0</v>
      </c>
      <c r="N173" s="133">
        <v>0</v>
      </c>
      <c r="O173" s="133">
        <v>0</v>
      </c>
      <c r="P173" s="133">
        <v>0</v>
      </c>
      <c r="Q173" s="133">
        <v>0</v>
      </c>
      <c r="R173" s="133">
        <v>0</v>
      </c>
      <c r="S173" s="133">
        <v>0</v>
      </c>
      <c r="T173" s="133">
        <v>0</v>
      </c>
      <c r="U173" s="133">
        <v>0</v>
      </c>
      <c r="V173" s="133">
        <v>0</v>
      </c>
      <c r="W173" s="133">
        <v>0</v>
      </c>
      <c r="X173" s="133">
        <v>0</v>
      </c>
      <c r="Y173" s="133">
        <v>0</v>
      </c>
      <c r="Z173" s="133">
        <v>0</v>
      </c>
      <c r="AA173" s="133">
        <v>0</v>
      </c>
      <c r="AB173" s="133">
        <v>0</v>
      </c>
      <c r="AC173" s="133">
        <v>0</v>
      </c>
      <c r="AD173" s="133">
        <v>0</v>
      </c>
      <c r="AE173" s="133">
        <v>0</v>
      </c>
      <c r="AF173" s="133">
        <v>0</v>
      </c>
      <c r="AG173" s="133">
        <v>0</v>
      </c>
      <c r="AH173" s="133">
        <v>0</v>
      </c>
      <c r="AI173" s="133">
        <v>0</v>
      </c>
      <c r="AJ173" s="133">
        <v>0</v>
      </c>
      <c r="AK173" s="133">
        <v>0</v>
      </c>
      <c r="AL173" s="133">
        <v>0</v>
      </c>
      <c r="AM173" s="136" t="str">
        <f>IF(ISERROR(VLOOKUP(D173,'Woodmac profile - Oil'!$D$9:$AN$266,37,FALSE)),"",VLOOKUP(D173,'Woodmac profile - Oil'!$D$9:$AN$266,37,FALSE))</f>
        <v>SUBS</v>
      </c>
      <c r="AN173" s="136" t="str">
        <f>IF(ISERROR(VLOOKUP(D173,'Woodmac profile - Gas'!$D$9:$AN$249,37,FALSE)),"",VLOOKUP(D173,'Woodmac profile - Gas'!$D$9:$AN$249,37,FALSE))</f>
        <v>SUBS</v>
      </c>
      <c r="AO173" s="136" t="str">
        <f t="shared" si="12"/>
        <v>SUBS</v>
      </c>
      <c r="AP173" s="132"/>
      <c r="AQ173" s="129"/>
      <c r="AR173" s="129"/>
      <c r="AS173" s="354"/>
      <c r="AT173" s="131"/>
      <c r="AU173" s="131"/>
      <c r="AV173" s="354"/>
      <c r="AW173" s="132"/>
      <c r="AX173" s="354"/>
      <c r="AY173" s="132"/>
      <c r="AZ173" s="132"/>
      <c r="BA173" s="132"/>
      <c r="BB173" s="132"/>
    </row>
    <row r="174" spans="1:54">
      <c r="A174" s="132"/>
      <c r="B174" s="133" t="s">
        <v>3369</v>
      </c>
      <c r="C174" s="133" t="s">
        <v>1281</v>
      </c>
      <c r="D174" s="133" t="s">
        <v>2169</v>
      </c>
      <c r="E174" s="133" t="s">
        <v>1927</v>
      </c>
      <c r="F174" s="133" t="s">
        <v>2960</v>
      </c>
      <c r="G174" s="133" t="s">
        <v>1930</v>
      </c>
      <c r="H174" s="133" t="s">
        <v>116</v>
      </c>
      <c r="I174" s="133" t="s">
        <v>2600</v>
      </c>
      <c r="J174" s="133">
        <v>65</v>
      </c>
      <c r="K174" s="133">
        <v>0</v>
      </c>
      <c r="L174" s="133">
        <v>0</v>
      </c>
      <c r="M174" s="133">
        <v>0</v>
      </c>
      <c r="N174" s="133">
        <v>0</v>
      </c>
      <c r="O174" s="133">
        <v>0</v>
      </c>
      <c r="P174" s="133">
        <v>37.46</v>
      </c>
      <c r="Q174" s="133">
        <v>0</v>
      </c>
      <c r="R174" s="133">
        <v>0</v>
      </c>
      <c r="S174" s="133">
        <v>0</v>
      </c>
      <c r="T174" s="133">
        <v>0</v>
      </c>
      <c r="U174" s="133">
        <v>0</v>
      </c>
      <c r="V174" s="133">
        <v>0</v>
      </c>
      <c r="W174" s="133">
        <v>0</v>
      </c>
      <c r="X174" s="133">
        <v>0</v>
      </c>
      <c r="Y174" s="133">
        <v>0</v>
      </c>
      <c r="Z174" s="133">
        <v>0</v>
      </c>
      <c r="AA174" s="133">
        <v>0</v>
      </c>
      <c r="AB174" s="133">
        <v>0</v>
      </c>
      <c r="AC174" s="133">
        <v>0</v>
      </c>
      <c r="AD174" s="133">
        <v>0</v>
      </c>
      <c r="AE174" s="133">
        <v>0</v>
      </c>
      <c r="AF174" s="133">
        <v>0</v>
      </c>
      <c r="AG174" s="133">
        <v>0</v>
      </c>
      <c r="AH174" s="133">
        <v>0</v>
      </c>
      <c r="AI174" s="133">
        <v>0</v>
      </c>
      <c r="AJ174" s="133">
        <v>0</v>
      </c>
      <c r="AK174" s="133">
        <v>0</v>
      </c>
      <c r="AL174" s="133">
        <v>0</v>
      </c>
      <c r="AM174" s="136" t="str">
        <f>IF(ISERROR(VLOOKUP(D174,'Woodmac profile - Oil'!$D$9:$AN$266,37,FALSE)),"",VLOOKUP(D174,'Woodmac profile - Oil'!$D$9:$AN$266,37,FALSE))</f>
        <v/>
      </c>
      <c r="AN174" s="136" t="str">
        <f>IF(ISERROR(VLOOKUP(D174,'Woodmac profile - Gas'!$D$9:$AN$249,37,FALSE)),"",VLOOKUP(D174,'Woodmac profile - Gas'!$D$9:$AN$249,37,FALSE))</f>
        <v>SUBS</v>
      </c>
      <c r="AO174" s="136" t="str">
        <f t="shared" si="12"/>
        <v>SUBS</v>
      </c>
      <c r="AP174" s="132"/>
      <c r="AQ174" s="129"/>
      <c r="AR174" s="129"/>
      <c r="AS174" s="354"/>
      <c r="AT174" s="131"/>
      <c r="AU174" s="131"/>
      <c r="AV174" s="354"/>
      <c r="AW174" s="132"/>
      <c r="AX174" s="354"/>
      <c r="AY174" s="132"/>
      <c r="AZ174" s="132"/>
      <c r="BA174" s="132"/>
      <c r="BB174" s="132"/>
    </row>
    <row r="175" spans="1:54">
      <c r="A175" s="132"/>
      <c r="B175" s="133" t="s">
        <v>3369</v>
      </c>
      <c r="C175" s="133" t="s">
        <v>1281</v>
      </c>
      <c r="D175" s="133" t="s">
        <v>1192</v>
      </c>
      <c r="E175" s="133" t="s">
        <v>1927</v>
      </c>
      <c r="F175" s="133" t="s">
        <v>2960</v>
      </c>
      <c r="G175" s="133" t="s">
        <v>1932</v>
      </c>
      <c r="H175" s="133" t="s">
        <v>116</v>
      </c>
      <c r="I175" s="133" t="s">
        <v>2571</v>
      </c>
      <c r="J175" s="133">
        <v>58</v>
      </c>
      <c r="K175" s="133">
        <v>0</v>
      </c>
      <c r="L175" s="133">
        <v>0</v>
      </c>
      <c r="M175" s="133">
        <v>0</v>
      </c>
      <c r="N175" s="133">
        <v>27.15</v>
      </c>
      <c r="O175" s="133">
        <v>0</v>
      </c>
      <c r="P175" s="133">
        <v>2.78</v>
      </c>
      <c r="Q175" s="133">
        <v>0</v>
      </c>
      <c r="R175" s="133">
        <v>0</v>
      </c>
      <c r="S175" s="133">
        <v>0</v>
      </c>
      <c r="T175" s="133">
        <v>3.89</v>
      </c>
      <c r="U175" s="133">
        <v>0</v>
      </c>
      <c r="V175" s="133">
        <v>2.78</v>
      </c>
      <c r="W175" s="133">
        <v>4.0599999999999996</v>
      </c>
      <c r="X175" s="133">
        <v>3.29</v>
      </c>
      <c r="Y175" s="133">
        <v>0</v>
      </c>
      <c r="Z175" s="133">
        <v>0</v>
      </c>
      <c r="AA175" s="133">
        <v>0</v>
      </c>
      <c r="AB175" s="133">
        <v>0</v>
      </c>
      <c r="AC175" s="133">
        <v>0</v>
      </c>
      <c r="AD175" s="133">
        <v>0</v>
      </c>
      <c r="AE175" s="133">
        <v>0</v>
      </c>
      <c r="AF175" s="133">
        <v>0</v>
      </c>
      <c r="AG175" s="133">
        <v>0</v>
      </c>
      <c r="AH175" s="133">
        <v>0</v>
      </c>
      <c r="AI175" s="133">
        <v>0</v>
      </c>
      <c r="AJ175" s="133">
        <v>0</v>
      </c>
      <c r="AK175" s="133">
        <v>0</v>
      </c>
      <c r="AL175" s="133">
        <v>0</v>
      </c>
      <c r="AM175" s="136" t="str">
        <f>IF(ISERROR(VLOOKUP(D175,'Woodmac profile - Oil'!$D$9:$AN$266,37,FALSE)),"",VLOOKUP(D175,'Woodmac profile - Oil'!$D$9:$AN$266,37,FALSE))</f>
        <v>SUBS</v>
      </c>
      <c r="AN175" s="136" t="str">
        <f>IF(ISERROR(VLOOKUP(D175,'Woodmac profile - Gas'!$D$9:$AN$249,37,FALSE)),"",VLOOKUP(D175,'Woodmac profile - Gas'!$D$9:$AN$249,37,FALSE))</f>
        <v>SUBS</v>
      </c>
      <c r="AO175" s="136" t="str">
        <f t="shared" ref="AO175:AO236" si="14">IF(AM175="",AN175,AM175)</f>
        <v>SUBS</v>
      </c>
      <c r="AP175" s="132"/>
      <c r="AQ175" s="129"/>
      <c r="AR175" s="129"/>
      <c r="AS175" s="354"/>
      <c r="AT175" s="131"/>
      <c r="AU175" s="131"/>
      <c r="AV175" s="354"/>
      <c r="AW175" s="132"/>
      <c r="AX175" s="354"/>
      <c r="AY175" s="132"/>
      <c r="AZ175" s="132"/>
      <c r="BA175" s="132"/>
      <c r="BB175" s="132"/>
    </row>
    <row r="176" spans="1:54">
      <c r="A176" s="132"/>
      <c r="B176" s="133" t="s">
        <v>3369</v>
      </c>
      <c r="C176" s="133" t="s">
        <v>1281</v>
      </c>
      <c r="D176" s="133" t="s">
        <v>1193</v>
      </c>
      <c r="E176" s="133" t="s">
        <v>1927</v>
      </c>
      <c r="F176" s="133" t="s">
        <v>2960</v>
      </c>
      <c r="G176" s="133" t="s">
        <v>1932</v>
      </c>
      <c r="H176" s="133" t="s">
        <v>116</v>
      </c>
      <c r="I176" s="133" t="s">
        <v>2571</v>
      </c>
      <c r="J176" s="133">
        <v>87.354900000000001</v>
      </c>
      <c r="K176" s="133">
        <v>0</v>
      </c>
      <c r="L176" s="133">
        <v>0</v>
      </c>
      <c r="M176" s="133">
        <v>0</v>
      </c>
      <c r="N176" s="133">
        <v>0</v>
      </c>
      <c r="O176" s="133">
        <v>0</v>
      </c>
      <c r="P176" s="133">
        <v>2.58</v>
      </c>
      <c r="Q176" s="133">
        <v>0</v>
      </c>
      <c r="R176" s="133">
        <v>0</v>
      </c>
      <c r="S176" s="133">
        <v>0</v>
      </c>
      <c r="T176" s="133">
        <v>0</v>
      </c>
      <c r="U176" s="133">
        <v>0</v>
      </c>
      <c r="V176" s="133">
        <v>139.13999999999999</v>
      </c>
      <c r="W176" s="133">
        <v>9.75</v>
      </c>
      <c r="X176" s="133">
        <v>7.93</v>
      </c>
      <c r="Y176" s="133">
        <v>0</v>
      </c>
      <c r="Z176" s="133">
        <v>0</v>
      </c>
      <c r="AA176" s="133">
        <v>0</v>
      </c>
      <c r="AB176" s="133">
        <v>0</v>
      </c>
      <c r="AC176" s="133">
        <v>0</v>
      </c>
      <c r="AD176" s="133">
        <v>0</v>
      </c>
      <c r="AE176" s="133">
        <v>0</v>
      </c>
      <c r="AF176" s="133">
        <v>0</v>
      </c>
      <c r="AG176" s="133">
        <v>0</v>
      </c>
      <c r="AH176" s="133">
        <v>0</v>
      </c>
      <c r="AI176" s="133">
        <v>0</v>
      </c>
      <c r="AJ176" s="133">
        <v>0</v>
      </c>
      <c r="AK176" s="133">
        <v>0</v>
      </c>
      <c r="AL176" s="133">
        <v>0</v>
      </c>
      <c r="AM176" s="136" t="str">
        <f>IF(ISERROR(VLOOKUP(D176,'Woodmac profile - Oil'!$D$9:$AN$266,37,FALSE)),"",VLOOKUP(D176,'Woodmac profile - Oil'!$D$9:$AN$266,37,FALSE))</f>
        <v>SUBS</v>
      </c>
      <c r="AN176" s="136" t="str">
        <f>IF(ISERROR(VLOOKUP(D176,'Woodmac profile - Gas'!$D$9:$AN$249,37,FALSE)),"",VLOOKUP(D176,'Woodmac profile - Gas'!$D$9:$AN$249,37,FALSE))</f>
        <v>SUBS</v>
      </c>
      <c r="AO176" s="136" t="str">
        <f t="shared" si="14"/>
        <v>SUBS</v>
      </c>
      <c r="AP176" s="132"/>
      <c r="AQ176" s="129"/>
      <c r="AR176" s="129"/>
      <c r="AS176" s="354"/>
      <c r="AT176" s="131"/>
      <c r="AU176" s="131"/>
      <c r="AV176" s="354"/>
      <c r="AW176" s="132"/>
      <c r="AX176" s="354"/>
      <c r="AY176" s="132"/>
      <c r="AZ176" s="132"/>
      <c r="BA176" s="132"/>
      <c r="BB176" s="132"/>
    </row>
    <row r="177" spans="1:54">
      <c r="A177" s="132"/>
      <c r="B177" s="133" t="s">
        <v>3369</v>
      </c>
      <c r="C177" s="133" t="s">
        <v>1281</v>
      </c>
      <c r="D177" s="133" t="s">
        <v>1194</v>
      </c>
      <c r="E177" s="133" t="s">
        <v>1927</v>
      </c>
      <c r="F177" s="133" t="s">
        <v>2960</v>
      </c>
      <c r="G177" s="133" t="s">
        <v>3374</v>
      </c>
      <c r="H177" s="133" t="s">
        <v>116</v>
      </c>
      <c r="I177" s="133" t="s">
        <v>2600</v>
      </c>
      <c r="J177" s="133">
        <v>87.354900000000001</v>
      </c>
      <c r="K177" s="133">
        <v>0</v>
      </c>
      <c r="L177" s="133">
        <v>0</v>
      </c>
      <c r="M177" s="133">
        <v>0</v>
      </c>
      <c r="N177" s="133">
        <v>0</v>
      </c>
      <c r="O177" s="133">
        <v>0</v>
      </c>
      <c r="P177" s="133">
        <v>0</v>
      </c>
      <c r="Q177" s="133">
        <v>0</v>
      </c>
      <c r="R177" s="133">
        <v>0</v>
      </c>
      <c r="S177" s="133">
        <v>1.5</v>
      </c>
      <c r="T177" s="133">
        <v>3.59</v>
      </c>
      <c r="U177" s="133">
        <v>3.44</v>
      </c>
      <c r="V177" s="133">
        <v>81.89</v>
      </c>
      <c r="W177" s="133">
        <v>133.18</v>
      </c>
      <c r="X177" s="133">
        <v>192.14</v>
      </c>
      <c r="Y177" s="133">
        <v>14.42</v>
      </c>
      <c r="Z177" s="133">
        <v>3.56</v>
      </c>
      <c r="AA177" s="133">
        <v>3.62</v>
      </c>
      <c r="AB177" s="133">
        <v>3.66</v>
      </c>
      <c r="AC177" s="133">
        <v>3.76</v>
      </c>
      <c r="AD177" s="133">
        <v>4.05</v>
      </c>
      <c r="AE177" s="133">
        <v>4.05</v>
      </c>
      <c r="AF177" s="133">
        <v>4.05</v>
      </c>
      <c r="AG177" s="133">
        <v>4.05</v>
      </c>
      <c r="AH177" s="133">
        <v>4.05</v>
      </c>
      <c r="AI177" s="133">
        <v>4.05</v>
      </c>
      <c r="AJ177" s="133">
        <v>0</v>
      </c>
      <c r="AK177" s="133">
        <v>0</v>
      </c>
      <c r="AL177" s="133">
        <v>0</v>
      </c>
      <c r="AM177" s="136" t="str">
        <f>IF(ISERROR(VLOOKUP(D177,'Woodmac profile - Oil'!$D$9:$AN$266,37,FALSE)),"",VLOOKUP(D177,'Woodmac profile - Oil'!$D$9:$AN$266,37,FALSE))</f>
        <v>SUBS</v>
      </c>
      <c r="AN177" s="136" t="str">
        <f>IF(ISERROR(VLOOKUP(D177,'Woodmac profile - Gas'!$D$9:$AN$249,37,FALSE)),"",VLOOKUP(D177,'Woodmac profile - Gas'!$D$9:$AN$249,37,FALSE))</f>
        <v>SUBS</v>
      </c>
      <c r="AO177" s="136" t="str">
        <f t="shared" si="14"/>
        <v>SUBS</v>
      </c>
      <c r="AP177" s="132"/>
      <c r="AQ177" s="129"/>
      <c r="AR177" s="129"/>
      <c r="AS177" s="354"/>
      <c r="AT177" s="131"/>
      <c r="AU177" s="131"/>
      <c r="AV177" s="354"/>
      <c r="AW177" s="132"/>
      <c r="AX177" s="354"/>
      <c r="AY177" s="132"/>
      <c r="AZ177" s="132"/>
      <c r="BA177" s="132"/>
      <c r="BB177" s="132"/>
    </row>
    <row r="178" spans="1:54">
      <c r="A178" s="132"/>
      <c r="B178" s="133" t="s">
        <v>3369</v>
      </c>
      <c r="C178" s="133" t="s">
        <v>1281</v>
      </c>
      <c r="D178" s="133" t="s">
        <v>2550</v>
      </c>
      <c r="E178" s="133" t="s">
        <v>1927</v>
      </c>
      <c r="F178" s="133" t="s">
        <v>2960</v>
      </c>
      <c r="G178" s="133" t="s">
        <v>1930</v>
      </c>
      <c r="H178" s="133" t="s">
        <v>116</v>
      </c>
      <c r="I178" s="133" t="s">
        <v>2600</v>
      </c>
      <c r="J178" s="133">
        <v>53.503999999999998</v>
      </c>
      <c r="K178" s="133">
        <v>2.25</v>
      </c>
      <c r="L178" s="133">
        <v>2.46</v>
      </c>
      <c r="M178" s="133">
        <v>1.05</v>
      </c>
      <c r="N178" s="133">
        <v>3.64</v>
      </c>
      <c r="O178" s="133">
        <v>0.83</v>
      </c>
      <c r="P178" s="133">
        <v>6.66</v>
      </c>
      <c r="Q178" s="133">
        <v>5.51</v>
      </c>
      <c r="R178" s="133">
        <v>0.19</v>
      </c>
      <c r="S178" s="133">
        <v>0</v>
      </c>
      <c r="T178" s="133">
        <v>0</v>
      </c>
      <c r="U178" s="133">
        <v>0</v>
      </c>
      <c r="V178" s="133">
        <v>0</v>
      </c>
      <c r="W178" s="133">
        <v>0</v>
      </c>
      <c r="X178" s="133">
        <v>0</v>
      </c>
      <c r="Y178" s="133">
        <v>0</v>
      </c>
      <c r="Z178" s="133">
        <v>0</v>
      </c>
      <c r="AA178" s="133">
        <v>0</v>
      </c>
      <c r="AB178" s="133">
        <v>0</v>
      </c>
      <c r="AC178" s="133">
        <v>0</v>
      </c>
      <c r="AD178" s="133">
        <v>0</v>
      </c>
      <c r="AE178" s="133">
        <v>0</v>
      </c>
      <c r="AF178" s="133">
        <v>0</v>
      </c>
      <c r="AG178" s="133">
        <v>0</v>
      </c>
      <c r="AH178" s="133">
        <v>0</v>
      </c>
      <c r="AI178" s="133">
        <v>0</v>
      </c>
      <c r="AJ178" s="133">
        <v>0</v>
      </c>
      <c r="AK178" s="133">
        <v>0</v>
      </c>
      <c r="AL178" s="133">
        <v>0</v>
      </c>
      <c r="AM178" s="136" t="str">
        <f>IF(ISERROR(VLOOKUP(D178,'Woodmac profile - Oil'!$D$9:$AN$266,37,FALSE)),"",VLOOKUP(D178,'Woodmac profile - Oil'!$D$9:$AN$266,37,FALSE))</f>
        <v/>
      </c>
      <c r="AN178" s="136" t="str">
        <f>IF(ISERROR(VLOOKUP(D178,'Woodmac profile - Gas'!$D$9:$AN$249,37,FALSE)),"",VLOOKUP(D178,'Woodmac profile - Gas'!$D$9:$AN$249,37,FALSE))</f>
        <v>SUBS</v>
      </c>
      <c r="AO178" s="136" t="str">
        <f t="shared" si="14"/>
        <v>SUBS</v>
      </c>
      <c r="AP178" s="132"/>
      <c r="AQ178" s="129"/>
      <c r="AR178" s="129"/>
      <c r="AS178" s="354"/>
      <c r="AT178" s="131"/>
      <c r="AU178" s="131"/>
      <c r="AV178" s="354"/>
      <c r="AW178" s="132"/>
      <c r="AX178" s="354"/>
      <c r="AY178" s="132"/>
      <c r="AZ178" s="132"/>
      <c r="BA178" s="132"/>
      <c r="BB178" s="132"/>
    </row>
    <row r="179" spans="1:54">
      <c r="A179" s="132"/>
      <c r="B179" s="133" t="s">
        <v>3369</v>
      </c>
      <c r="C179" s="133" t="s">
        <v>1281</v>
      </c>
      <c r="D179" s="133" t="s">
        <v>1851</v>
      </c>
      <c r="E179" s="133" t="s">
        <v>1927</v>
      </c>
      <c r="F179" s="133" t="s">
        <v>2960</v>
      </c>
      <c r="G179" s="133" t="s">
        <v>1931</v>
      </c>
      <c r="H179" s="133" t="s">
        <v>116</v>
      </c>
      <c r="I179" s="133" t="s">
        <v>1181</v>
      </c>
      <c r="J179" s="133">
        <v>50</v>
      </c>
      <c r="K179" s="133">
        <v>45.66</v>
      </c>
      <c r="L179" s="133">
        <v>145.15</v>
      </c>
      <c r="M179" s="133">
        <v>208.72</v>
      </c>
      <c r="N179" s="133">
        <v>30.38</v>
      </c>
      <c r="O179" s="133">
        <v>0</v>
      </c>
      <c r="P179" s="133">
        <v>0</v>
      </c>
      <c r="Q179" s="133">
        <v>0</v>
      </c>
      <c r="R179" s="133">
        <v>0</v>
      </c>
      <c r="S179" s="133">
        <v>0</v>
      </c>
      <c r="T179" s="133">
        <v>0</v>
      </c>
      <c r="U179" s="133">
        <v>0</v>
      </c>
      <c r="V179" s="133">
        <v>56.2</v>
      </c>
      <c r="W179" s="133">
        <v>0</v>
      </c>
      <c r="X179" s="133">
        <v>0</v>
      </c>
      <c r="Y179" s="133">
        <v>0</v>
      </c>
      <c r="Z179" s="133">
        <v>0</v>
      </c>
      <c r="AA179" s="133">
        <v>0</v>
      </c>
      <c r="AB179" s="133">
        <v>0</v>
      </c>
      <c r="AC179" s="133">
        <v>0</v>
      </c>
      <c r="AD179" s="133">
        <v>0</v>
      </c>
      <c r="AE179" s="133">
        <v>0</v>
      </c>
      <c r="AF179" s="133">
        <v>0</v>
      </c>
      <c r="AG179" s="133">
        <v>0</v>
      </c>
      <c r="AH179" s="133">
        <v>0</v>
      </c>
      <c r="AI179" s="133">
        <v>0</v>
      </c>
      <c r="AJ179" s="133">
        <v>0</v>
      </c>
      <c r="AK179" s="133">
        <v>0</v>
      </c>
      <c r="AL179" s="133">
        <v>0</v>
      </c>
      <c r="AM179" s="136" t="str">
        <f>IF(ISERROR(VLOOKUP(D179,'Woodmac profile - Oil'!$D$9:$AN$266,37,FALSE)),"",VLOOKUP(D179,'Woodmac profile - Oil'!$D$9:$AN$266,37,FALSE))</f>
        <v>SUBS</v>
      </c>
      <c r="AN179" s="136" t="str">
        <f>IF(ISERROR(VLOOKUP(D179,'Woodmac profile - Gas'!$D$9:$AN$249,37,FALSE)),"",VLOOKUP(D179,'Woodmac profile - Gas'!$D$9:$AN$249,37,FALSE))</f>
        <v>SUBS</v>
      </c>
      <c r="AO179" s="136" t="str">
        <f t="shared" si="14"/>
        <v>SUBS</v>
      </c>
      <c r="AP179" s="132"/>
      <c r="AQ179" s="129"/>
      <c r="AR179" s="129"/>
      <c r="AS179" s="354"/>
      <c r="AT179" s="131"/>
      <c r="AU179" s="131"/>
      <c r="AV179" s="354"/>
      <c r="AW179" s="132"/>
      <c r="AX179" s="354"/>
      <c r="AY179" s="132"/>
      <c r="AZ179" s="132"/>
      <c r="BA179" s="132"/>
      <c r="BB179" s="132"/>
    </row>
    <row r="180" spans="1:54">
      <c r="A180" s="132"/>
      <c r="B180" s="133" t="s">
        <v>3369</v>
      </c>
      <c r="C180" s="133" t="s">
        <v>1281</v>
      </c>
      <c r="D180" s="133" t="s">
        <v>1852</v>
      </c>
      <c r="E180" s="133" t="s">
        <v>1927</v>
      </c>
      <c r="F180" s="133" t="s">
        <v>2960</v>
      </c>
      <c r="G180" s="133" t="s">
        <v>3374</v>
      </c>
      <c r="H180" s="133" t="s">
        <v>116</v>
      </c>
      <c r="I180" s="133" t="s">
        <v>2971</v>
      </c>
      <c r="J180" s="133">
        <v>33.35</v>
      </c>
      <c r="K180" s="133">
        <v>52.92</v>
      </c>
      <c r="L180" s="133">
        <v>0</v>
      </c>
      <c r="M180" s="133">
        <v>49.13</v>
      </c>
      <c r="N180" s="133">
        <v>104.57</v>
      </c>
      <c r="O180" s="133">
        <v>36.14</v>
      </c>
      <c r="P180" s="133">
        <v>20.22</v>
      </c>
      <c r="Q180" s="133">
        <v>88.2</v>
      </c>
      <c r="R180" s="133">
        <v>3.02</v>
      </c>
      <c r="S180" s="133">
        <v>0</v>
      </c>
      <c r="T180" s="133">
        <v>34.29</v>
      </c>
      <c r="U180" s="133">
        <v>390.96</v>
      </c>
      <c r="V180" s="133">
        <v>458.49</v>
      </c>
      <c r="W180" s="133">
        <v>239.65</v>
      </c>
      <c r="X180" s="133">
        <v>388.95</v>
      </c>
      <c r="Y180" s="133">
        <v>235.63</v>
      </c>
      <c r="Z180" s="133">
        <v>100.24</v>
      </c>
      <c r="AA180" s="133">
        <v>93.96</v>
      </c>
      <c r="AB180" s="133">
        <v>94.32</v>
      </c>
      <c r="AC180" s="133">
        <v>158.35</v>
      </c>
      <c r="AD180" s="133">
        <v>7.73</v>
      </c>
      <c r="AE180" s="133">
        <v>0</v>
      </c>
      <c r="AF180" s="133">
        <v>0</v>
      </c>
      <c r="AG180" s="133">
        <v>5.15</v>
      </c>
      <c r="AH180" s="133">
        <v>0</v>
      </c>
      <c r="AI180" s="133">
        <v>0</v>
      </c>
      <c r="AJ180" s="133">
        <v>0</v>
      </c>
      <c r="AK180" s="133">
        <v>0</v>
      </c>
      <c r="AL180" s="133">
        <v>5.15</v>
      </c>
      <c r="AM180" s="136" t="str">
        <f>IF(ISERROR(VLOOKUP(D180,'Woodmac profile - Oil'!$D$9:$AN$266,37,FALSE)),"",VLOOKUP(D180,'Woodmac profile - Oil'!$D$9:$AN$266,37,FALSE))</f>
        <v>SUBS</v>
      </c>
      <c r="AN180" s="136" t="str">
        <f>IF(ISERROR(VLOOKUP(D180,'Woodmac profile - Gas'!$D$9:$AN$249,37,FALSE)),"",VLOOKUP(D180,'Woodmac profile - Gas'!$D$9:$AN$249,37,FALSE))</f>
        <v>SUBS</v>
      </c>
      <c r="AO180" s="136" t="str">
        <f t="shared" si="14"/>
        <v>SUBS</v>
      </c>
      <c r="AP180" s="132"/>
      <c r="AQ180" s="129"/>
      <c r="AR180" s="129"/>
      <c r="AS180" s="354"/>
      <c r="AT180" s="131"/>
      <c r="AU180" s="131"/>
      <c r="AV180" s="354"/>
      <c r="AW180" s="132"/>
      <c r="AX180" s="354"/>
      <c r="AY180" s="132"/>
      <c r="AZ180" s="132"/>
      <c r="BA180" s="132"/>
      <c r="BB180" s="132"/>
    </row>
    <row r="181" spans="1:54">
      <c r="A181" s="132"/>
      <c r="B181" s="133" t="s">
        <v>3369</v>
      </c>
      <c r="C181" s="133" t="s">
        <v>1281</v>
      </c>
      <c r="D181" s="133" t="s">
        <v>3739</v>
      </c>
      <c r="E181" s="133" t="s">
        <v>3372</v>
      </c>
      <c r="F181" s="133" t="s">
        <v>2960</v>
      </c>
      <c r="G181" s="133" t="s">
        <v>1932</v>
      </c>
      <c r="H181" s="133" t="s">
        <v>116</v>
      </c>
      <c r="I181" s="133" t="s">
        <v>1181</v>
      </c>
      <c r="J181" s="133">
        <v>50</v>
      </c>
      <c r="K181" s="133">
        <v>0</v>
      </c>
      <c r="L181" s="133">
        <v>0</v>
      </c>
      <c r="M181" s="133">
        <v>0</v>
      </c>
      <c r="N181" s="133">
        <v>0</v>
      </c>
      <c r="O181" s="133">
        <v>0</v>
      </c>
      <c r="P181" s="133">
        <v>0</v>
      </c>
      <c r="Q181" s="133">
        <v>0</v>
      </c>
      <c r="R181" s="133">
        <v>0</v>
      </c>
      <c r="S181" s="133">
        <v>0</v>
      </c>
      <c r="T181" s="133">
        <v>0</v>
      </c>
      <c r="U181" s="133">
        <v>0</v>
      </c>
      <c r="V181" s="133">
        <v>0</v>
      </c>
      <c r="W181" s="133">
        <v>0</v>
      </c>
      <c r="X181" s="133">
        <v>0</v>
      </c>
      <c r="Y181" s="133">
        <v>0</v>
      </c>
      <c r="Z181" s="133">
        <v>0</v>
      </c>
      <c r="AA181" s="133">
        <v>3.38</v>
      </c>
      <c r="AB181" s="133">
        <v>65.069999999999993</v>
      </c>
      <c r="AC181" s="133">
        <v>123.24</v>
      </c>
      <c r="AD181" s="133">
        <v>52.28</v>
      </c>
      <c r="AE181" s="133">
        <v>0</v>
      </c>
      <c r="AF181" s="133">
        <v>0</v>
      </c>
      <c r="AG181" s="133">
        <v>0</v>
      </c>
      <c r="AH181" s="133">
        <v>0</v>
      </c>
      <c r="AI181" s="133">
        <v>0</v>
      </c>
      <c r="AJ181" s="133">
        <v>0</v>
      </c>
      <c r="AK181" s="133">
        <v>0</v>
      </c>
      <c r="AL181" s="133">
        <v>0</v>
      </c>
      <c r="AM181" s="136" t="str">
        <f>IF(ISERROR(VLOOKUP(D181,'Woodmac profile - Oil'!$D$9:$AN$266,37,FALSE)),"",VLOOKUP(D181,'Woodmac profile - Oil'!$D$9:$AN$266,37,FALSE))</f>
        <v>SUBS</v>
      </c>
      <c r="AN181" s="136" t="str">
        <f>IF(ISERROR(VLOOKUP(D181,'Woodmac profile - Gas'!$D$9:$AN$249,37,FALSE)),"",VLOOKUP(D181,'Woodmac profile - Gas'!$D$9:$AN$249,37,FALSE))</f>
        <v>SUBS</v>
      </c>
      <c r="AO181" s="136" t="str">
        <f t="shared" si="14"/>
        <v>SUBS</v>
      </c>
      <c r="AP181" s="132"/>
      <c r="AQ181" s="129"/>
      <c r="AR181" s="129"/>
      <c r="AS181" s="354"/>
      <c r="AT181" s="131"/>
      <c r="AU181" s="131"/>
      <c r="AV181" s="354"/>
      <c r="AW181" s="132"/>
      <c r="AX181" s="354"/>
      <c r="AY181" s="132"/>
      <c r="AZ181" s="132"/>
      <c r="BA181" s="132"/>
      <c r="BB181" s="132"/>
    </row>
    <row r="182" spans="1:54">
      <c r="A182" s="132"/>
      <c r="B182" s="133" t="s">
        <v>3369</v>
      </c>
      <c r="C182" s="133" t="s">
        <v>1281</v>
      </c>
      <c r="D182" s="133" t="s">
        <v>1853</v>
      </c>
      <c r="E182" s="133" t="s">
        <v>1927</v>
      </c>
      <c r="F182" s="133" t="s">
        <v>2960</v>
      </c>
      <c r="G182" s="133" t="s">
        <v>1931</v>
      </c>
      <c r="H182" s="133" t="s">
        <v>116</v>
      </c>
      <c r="I182" s="133" t="s">
        <v>2600</v>
      </c>
      <c r="J182" s="133">
        <v>50</v>
      </c>
      <c r="K182" s="133">
        <v>3.2</v>
      </c>
      <c r="L182" s="133">
        <v>1.26</v>
      </c>
      <c r="M182" s="133">
        <v>30.7</v>
      </c>
      <c r="N182" s="133">
        <v>72.31</v>
      </c>
      <c r="O182" s="133">
        <v>31.61</v>
      </c>
      <c r="P182" s="133">
        <v>21.9</v>
      </c>
      <c r="Q182" s="133">
        <v>0</v>
      </c>
      <c r="R182" s="133">
        <v>0</v>
      </c>
      <c r="S182" s="133">
        <v>0</v>
      </c>
      <c r="T182" s="133">
        <v>0</v>
      </c>
      <c r="U182" s="133">
        <v>0</v>
      </c>
      <c r="V182" s="133">
        <v>0</v>
      </c>
      <c r="W182" s="133">
        <v>0</v>
      </c>
      <c r="X182" s="133">
        <v>0</v>
      </c>
      <c r="Y182" s="133">
        <v>0</v>
      </c>
      <c r="Z182" s="133">
        <v>0</v>
      </c>
      <c r="AA182" s="133">
        <v>0</v>
      </c>
      <c r="AB182" s="133">
        <v>0</v>
      </c>
      <c r="AC182" s="133">
        <v>0</v>
      </c>
      <c r="AD182" s="133">
        <v>0</v>
      </c>
      <c r="AE182" s="133">
        <v>0</v>
      </c>
      <c r="AF182" s="133">
        <v>0</v>
      </c>
      <c r="AG182" s="133">
        <v>0</v>
      </c>
      <c r="AH182" s="133">
        <v>0</v>
      </c>
      <c r="AI182" s="133">
        <v>0</v>
      </c>
      <c r="AJ182" s="133">
        <v>0</v>
      </c>
      <c r="AK182" s="133">
        <v>0</v>
      </c>
      <c r="AL182" s="133">
        <v>0</v>
      </c>
      <c r="AM182" s="136" t="str">
        <f>IF(ISERROR(VLOOKUP(D182,'Woodmac profile - Oil'!$D$9:$AN$266,37,FALSE)),"",VLOOKUP(D182,'Woodmac profile - Oil'!$D$9:$AN$266,37,FALSE))</f>
        <v>SUBS</v>
      </c>
      <c r="AN182" s="136" t="str">
        <f>IF(ISERROR(VLOOKUP(D182,'Woodmac profile - Gas'!$D$9:$AN$249,37,FALSE)),"",VLOOKUP(D182,'Woodmac profile - Gas'!$D$9:$AN$249,37,FALSE))</f>
        <v>SUBS</v>
      </c>
      <c r="AO182" s="136" t="str">
        <f t="shared" si="14"/>
        <v>SUBS</v>
      </c>
      <c r="AP182" s="132"/>
      <c r="AQ182" s="129"/>
      <c r="AR182" s="129"/>
      <c r="AS182" s="354"/>
      <c r="AT182" s="131"/>
      <c r="AU182" s="131"/>
      <c r="AV182" s="354"/>
      <c r="AW182" s="132"/>
      <c r="AX182" s="354"/>
      <c r="AY182" s="132"/>
      <c r="AZ182" s="132"/>
      <c r="BA182" s="132"/>
      <c r="BB182" s="132"/>
    </row>
    <row r="183" spans="1:54">
      <c r="A183" s="132"/>
      <c r="B183" s="133" t="s">
        <v>3369</v>
      </c>
      <c r="C183" s="133" t="s">
        <v>1281</v>
      </c>
      <c r="D183" s="133" t="s">
        <v>3683</v>
      </c>
      <c r="E183" s="133" t="s">
        <v>1927</v>
      </c>
      <c r="F183" s="133" t="s">
        <v>2960</v>
      </c>
      <c r="G183" s="133" t="s">
        <v>1929</v>
      </c>
      <c r="H183" s="133" t="s">
        <v>116</v>
      </c>
      <c r="I183" s="133" t="s">
        <v>2602</v>
      </c>
      <c r="J183" s="133">
        <v>27.5</v>
      </c>
      <c r="K183" s="133">
        <v>31.39</v>
      </c>
      <c r="L183" s="133">
        <v>5.55</v>
      </c>
      <c r="M183" s="133">
        <v>6.75</v>
      </c>
      <c r="N183" s="133">
        <v>9.36</v>
      </c>
      <c r="O183" s="133">
        <v>35.479999999999997</v>
      </c>
      <c r="P183" s="133">
        <v>4.4400000000000004</v>
      </c>
      <c r="Q183" s="133">
        <v>5.24</v>
      </c>
      <c r="R183" s="133">
        <v>16.760000000000002</v>
      </c>
      <c r="S183" s="133">
        <v>0</v>
      </c>
      <c r="T183" s="133">
        <v>0</v>
      </c>
      <c r="U183" s="133">
        <v>13.8</v>
      </c>
      <c r="V183" s="133">
        <v>74.66</v>
      </c>
      <c r="W183" s="133">
        <v>46.84</v>
      </c>
      <c r="X183" s="133">
        <v>19.47</v>
      </c>
      <c r="Y183" s="133">
        <v>7.19</v>
      </c>
      <c r="Z183" s="133">
        <v>1.87</v>
      </c>
      <c r="AA183" s="133">
        <v>1.89</v>
      </c>
      <c r="AB183" s="133">
        <v>27.28</v>
      </c>
      <c r="AC183" s="133">
        <v>1.97</v>
      </c>
      <c r="AD183" s="133">
        <v>2.13</v>
      </c>
      <c r="AE183" s="133">
        <v>2.13</v>
      </c>
      <c r="AF183" s="133">
        <v>2.13</v>
      </c>
      <c r="AG183" s="133">
        <v>2.13</v>
      </c>
      <c r="AH183" s="133">
        <v>33.57</v>
      </c>
      <c r="AI183" s="133">
        <v>0</v>
      </c>
      <c r="AJ183" s="133">
        <v>0</v>
      </c>
      <c r="AK183" s="133">
        <v>0</v>
      </c>
      <c r="AL183" s="133">
        <v>0</v>
      </c>
      <c r="AM183" s="136" t="str">
        <f>IF(ISERROR(VLOOKUP(D183,'Woodmac profile - Oil'!$D$9:$AN$266,37,FALSE)),"",VLOOKUP(D183,'Woodmac profile - Oil'!$D$9:$AN$266,37,FALSE))</f>
        <v>SUBS</v>
      </c>
      <c r="AN183" s="136" t="str">
        <f>IF(ISERROR(VLOOKUP(D183,'Woodmac profile - Gas'!$D$9:$AN$249,37,FALSE)),"",VLOOKUP(D183,'Woodmac profile - Gas'!$D$9:$AN$249,37,FALSE))</f>
        <v>SUBS</v>
      </c>
      <c r="AO183" s="136" t="str">
        <f t="shared" si="14"/>
        <v>SUBS</v>
      </c>
      <c r="AP183" s="132"/>
      <c r="AQ183" s="129"/>
      <c r="AR183" s="129"/>
      <c r="AS183" s="354"/>
      <c r="AT183" s="131"/>
      <c r="AU183" s="131"/>
      <c r="AV183" s="354"/>
      <c r="AW183" s="132"/>
      <c r="AX183" s="354"/>
      <c r="AY183" s="132"/>
      <c r="AZ183" s="132"/>
      <c r="BA183" s="132"/>
      <c r="BB183" s="132"/>
    </row>
    <row r="184" spans="1:54">
      <c r="A184" s="132"/>
      <c r="B184" s="133" t="s">
        <v>3369</v>
      </c>
      <c r="C184" s="133" t="s">
        <v>1281</v>
      </c>
      <c r="D184" s="133" t="s">
        <v>1854</v>
      </c>
      <c r="E184" s="133" t="s">
        <v>1927</v>
      </c>
      <c r="F184" s="133" t="s">
        <v>2960</v>
      </c>
      <c r="G184" s="133" t="s">
        <v>1932</v>
      </c>
      <c r="H184" s="133" t="s">
        <v>116</v>
      </c>
      <c r="I184" s="133" t="s">
        <v>2600</v>
      </c>
      <c r="J184" s="133">
        <v>33.333300000000001</v>
      </c>
      <c r="K184" s="133">
        <v>9.2799999999999994</v>
      </c>
      <c r="L184" s="133">
        <v>17.670000000000002</v>
      </c>
      <c r="M184" s="133">
        <v>12.28</v>
      </c>
      <c r="N184" s="133">
        <v>0</v>
      </c>
      <c r="O184" s="133">
        <v>0</v>
      </c>
      <c r="P184" s="133">
        <v>0</v>
      </c>
      <c r="Q184" s="133">
        <v>0</v>
      </c>
      <c r="R184" s="133">
        <v>0</v>
      </c>
      <c r="S184" s="133">
        <v>0</v>
      </c>
      <c r="T184" s="133">
        <v>0</v>
      </c>
      <c r="U184" s="133">
        <v>0</v>
      </c>
      <c r="V184" s="133">
        <v>0</v>
      </c>
      <c r="W184" s="133">
        <v>0</v>
      </c>
      <c r="X184" s="133">
        <v>0</v>
      </c>
      <c r="Y184" s="133">
        <v>0</v>
      </c>
      <c r="Z184" s="133">
        <v>0</v>
      </c>
      <c r="AA184" s="133">
        <v>0</v>
      </c>
      <c r="AB184" s="133">
        <v>0</v>
      </c>
      <c r="AC184" s="133">
        <v>0</v>
      </c>
      <c r="AD184" s="133">
        <v>0</v>
      </c>
      <c r="AE184" s="133">
        <v>0</v>
      </c>
      <c r="AF184" s="133">
        <v>0</v>
      </c>
      <c r="AG184" s="133">
        <v>0</v>
      </c>
      <c r="AH184" s="133">
        <v>0</v>
      </c>
      <c r="AI184" s="133">
        <v>0</v>
      </c>
      <c r="AJ184" s="133">
        <v>0</v>
      </c>
      <c r="AK184" s="133">
        <v>0</v>
      </c>
      <c r="AL184" s="133">
        <v>0</v>
      </c>
      <c r="AM184" s="136" t="str">
        <f>IF(ISERROR(VLOOKUP(D184,'Woodmac profile - Oil'!$D$9:$AN$266,37,FALSE)),"",VLOOKUP(D184,'Woodmac profile - Oil'!$D$9:$AN$266,37,FALSE))</f>
        <v>SUBS</v>
      </c>
      <c r="AN184" s="136" t="str">
        <f>IF(ISERROR(VLOOKUP(D184,'Woodmac profile - Gas'!$D$9:$AN$249,37,FALSE)),"",VLOOKUP(D184,'Woodmac profile - Gas'!$D$9:$AN$249,37,FALSE))</f>
        <v>SUBS</v>
      </c>
      <c r="AO184" s="136" t="str">
        <f t="shared" si="14"/>
        <v>SUBS</v>
      </c>
      <c r="AP184" s="132"/>
      <c r="AQ184" s="129"/>
      <c r="AR184" s="129"/>
      <c r="AS184" s="354"/>
      <c r="AT184" s="131"/>
      <c r="AU184" s="131"/>
      <c r="AV184" s="354"/>
      <c r="AW184" s="132"/>
      <c r="AX184" s="354"/>
      <c r="AY184" s="132"/>
      <c r="AZ184" s="132"/>
      <c r="BA184" s="132"/>
      <c r="BB184" s="132"/>
    </row>
    <row r="185" spans="1:54">
      <c r="A185" s="132"/>
      <c r="B185" s="133" t="s">
        <v>3369</v>
      </c>
      <c r="C185" s="133" t="s">
        <v>1281</v>
      </c>
      <c r="D185" s="133" t="s">
        <v>1855</v>
      </c>
      <c r="E185" s="133" t="s">
        <v>1927</v>
      </c>
      <c r="F185" s="133" t="s">
        <v>2960</v>
      </c>
      <c r="G185" s="133" t="s">
        <v>1932</v>
      </c>
      <c r="H185" s="133" t="s">
        <v>116</v>
      </c>
      <c r="I185" s="133" t="s">
        <v>2600</v>
      </c>
      <c r="J185" s="133">
        <v>1</v>
      </c>
      <c r="K185" s="133">
        <v>0.11</v>
      </c>
      <c r="L185" s="133">
        <v>0.1</v>
      </c>
      <c r="M185" s="133">
        <v>0.39</v>
      </c>
      <c r="N185" s="133">
        <v>0.1</v>
      </c>
      <c r="O185" s="133">
        <v>0.1</v>
      </c>
      <c r="P185" s="133">
        <v>0.78</v>
      </c>
      <c r="Q185" s="133">
        <v>0.46</v>
      </c>
      <c r="R185" s="133">
        <v>0.27</v>
      </c>
      <c r="S185" s="133">
        <v>1.04</v>
      </c>
      <c r="T185" s="133">
        <v>0.68</v>
      </c>
      <c r="U185" s="133">
        <v>1.81</v>
      </c>
      <c r="V185" s="133">
        <v>1.1399999999999999</v>
      </c>
      <c r="W185" s="133">
        <v>0.84</v>
      </c>
      <c r="X185" s="133">
        <v>7.0000000000000007E-2</v>
      </c>
      <c r="Y185" s="133">
        <v>0.08</v>
      </c>
      <c r="Z185" s="133">
        <v>0.15</v>
      </c>
      <c r="AA185" s="133">
        <v>0.3</v>
      </c>
      <c r="AB185" s="133">
        <v>0.01</v>
      </c>
      <c r="AC185" s="133">
        <v>0.02</v>
      </c>
      <c r="AD185" s="133">
        <v>0.02</v>
      </c>
      <c r="AE185" s="133">
        <v>0.02</v>
      </c>
      <c r="AF185" s="133">
        <v>0</v>
      </c>
      <c r="AG185" s="133">
        <v>0</v>
      </c>
      <c r="AH185" s="133">
        <v>0</v>
      </c>
      <c r="AI185" s="133">
        <v>0</v>
      </c>
      <c r="AJ185" s="133">
        <v>0</v>
      </c>
      <c r="AK185" s="133">
        <v>0</v>
      </c>
      <c r="AL185" s="133">
        <v>0</v>
      </c>
      <c r="AM185" s="136" t="str">
        <f>IF(ISERROR(VLOOKUP(D185,'Woodmac profile - Oil'!$D$9:$AN$266,37,FALSE)),"",VLOOKUP(D185,'Woodmac profile - Oil'!$D$9:$AN$266,37,FALSE))</f>
        <v>SUBS</v>
      </c>
      <c r="AN185" s="136" t="str">
        <f>IF(ISERROR(VLOOKUP(D185,'Woodmac profile - Gas'!$D$9:$AN$249,37,FALSE)),"",VLOOKUP(D185,'Woodmac profile - Gas'!$D$9:$AN$249,37,FALSE))</f>
        <v/>
      </c>
      <c r="AO185" s="136" t="str">
        <f t="shared" si="14"/>
        <v>SUBS</v>
      </c>
      <c r="AP185" s="132"/>
      <c r="AQ185" s="129"/>
      <c r="AR185" s="129"/>
      <c r="AS185" s="354"/>
      <c r="AT185" s="131"/>
      <c r="AU185" s="131"/>
      <c r="AV185" s="354"/>
      <c r="AW185" s="132"/>
      <c r="AX185" s="354"/>
      <c r="AY185" s="132"/>
      <c r="AZ185" s="132"/>
      <c r="BA185" s="132"/>
      <c r="BB185" s="132"/>
    </row>
    <row r="186" spans="1:54">
      <c r="A186" s="132"/>
      <c r="B186" s="133" t="s">
        <v>3369</v>
      </c>
      <c r="C186" s="133" t="s">
        <v>1281</v>
      </c>
      <c r="D186" s="133" t="s">
        <v>2553</v>
      </c>
      <c r="E186" s="133" t="s">
        <v>2254</v>
      </c>
      <c r="F186" s="133" t="s">
        <v>2960</v>
      </c>
      <c r="G186" s="133" t="s">
        <v>1930</v>
      </c>
      <c r="H186" s="133" t="s">
        <v>116</v>
      </c>
      <c r="I186" s="133" t="s">
        <v>2601</v>
      </c>
      <c r="J186" s="133">
        <v>25</v>
      </c>
      <c r="K186" s="133">
        <v>0</v>
      </c>
      <c r="L186" s="133">
        <v>15.15</v>
      </c>
      <c r="M186" s="133">
        <v>0</v>
      </c>
      <c r="N186" s="133">
        <v>0</v>
      </c>
      <c r="O186" s="133">
        <v>0</v>
      </c>
      <c r="P186" s="133">
        <v>0</v>
      </c>
      <c r="Q186" s="133">
        <v>0</v>
      </c>
      <c r="R186" s="133">
        <v>0</v>
      </c>
      <c r="S186" s="133">
        <v>0</v>
      </c>
      <c r="T186" s="133">
        <v>0</v>
      </c>
      <c r="U186" s="133">
        <v>0</v>
      </c>
      <c r="V186" s="133">
        <v>0.34</v>
      </c>
      <c r="W186" s="133">
        <v>0</v>
      </c>
      <c r="X186" s="133">
        <v>0</v>
      </c>
      <c r="Y186" s="133">
        <v>0</v>
      </c>
      <c r="Z186" s="133">
        <v>0</v>
      </c>
      <c r="AA186" s="133">
        <v>0</v>
      </c>
      <c r="AB186" s="133">
        <v>0</v>
      </c>
      <c r="AC186" s="133">
        <v>0</v>
      </c>
      <c r="AD186" s="133">
        <v>0</v>
      </c>
      <c r="AE186" s="133">
        <v>0</v>
      </c>
      <c r="AF186" s="133">
        <v>0</v>
      </c>
      <c r="AG186" s="133">
        <v>0</v>
      </c>
      <c r="AH186" s="133">
        <v>0</v>
      </c>
      <c r="AI186" s="133">
        <v>0</v>
      </c>
      <c r="AJ186" s="133">
        <v>0</v>
      </c>
      <c r="AK186" s="133">
        <v>0</v>
      </c>
      <c r="AL186" s="133">
        <v>0</v>
      </c>
      <c r="AM186" s="136" t="str">
        <f>IF(ISERROR(VLOOKUP(D186,'Woodmac profile - Oil'!$D$9:$AN$266,37,FALSE)),"",VLOOKUP(D186,'Woodmac profile - Oil'!$D$9:$AN$266,37,FALSE))</f>
        <v/>
      </c>
      <c r="AN186" s="136" t="str">
        <f>IF(ISERROR(VLOOKUP(D186,'Woodmac profile - Gas'!$D$9:$AN$249,37,FALSE)),"",VLOOKUP(D186,'Woodmac profile - Gas'!$D$9:$AN$249,37,FALSE))</f>
        <v>SUBS</v>
      </c>
      <c r="AO186" s="136" t="str">
        <f t="shared" si="14"/>
        <v>SUBS</v>
      </c>
      <c r="AP186" s="132"/>
      <c r="AQ186" s="129"/>
      <c r="AR186" s="129"/>
      <c r="AS186" s="354"/>
      <c r="AT186" s="131"/>
      <c r="AU186" s="131"/>
      <c r="AV186" s="354"/>
      <c r="AW186" s="132"/>
      <c r="AX186" s="354"/>
      <c r="AY186" s="132"/>
      <c r="AZ186" s="132"/>
      <c r="BA186" s="132"/>
      <c r="BB186" s="132"/>
    </row>
    <row r="187" spans="1:54">
      <c r="A187" s="132"/>
      <c r="B187" s="133" t="s">
        <v>3369</v>
      </c>
      <c r="C187" s="133" t="s">
        <v>1281</v>
      </c>
      <c r="D187" s="133" t="s">
        <v>2465</v>
      </c>
      <c r="E187" s="133" t="s">
        <v>2254</v>
      </c>
      <c r="F187" s="133" t="s">
        <v>2960</v>
      </c>
      <c r="G187" s="133" t="s">
        <v>1930</v>
      </c>
      <c r="H187" s="133" t="s">
        <v>116</v>
      </c>
      <c r="I187" s="133" t="s">
        <v>2571</v>
      </c>
      <c r="J187" s="133">
        <v>25</v>
      </c>
      <c r="K187" s="133">
        <v>0</v>
      </c>
      <c r="L187" s="133">
        <v>0</v>
      </c>
      <c r="M187" s="133">
        <v>0</v>
      </c>
      <c r="N187" s="133">
        <v>0</v>
      </c>
      <c r="O187" s="133">
        <v>1.29</v>
      </c>
      <c r="P187" s="133">
        <v>24.78</v>
      </c>
      <c r="Q187" s="133">
        <v>0</v>
      </c>
      <c r="R187" s="133">
        <v>0</v>
      </c>
      <c r="S187" s="133">
        <v>0</v>
      </c>
      <c r="T187" s="133">
        <v>0</v>
      </c>
      <c r="U187" s="133">
        <v>0</v>
      </c>
      <c r="V187" s="133">
        <v>0</v>
      </c>
      <c r="W187" s="133">
        <v>0</v>
      </c>
      <c r="X187" s="133">
        <v>0</v>
      </c>
      <c r="Y187" s="133">
        <v>0</v>
      </c>
      <c r="Z187" s="133">
        <v>0</v>
      </c>
      <c r="AA187" s="133">
        <v>0</v>
      </c>
      <c r="AB187" s="133">
        <v>0</v>
      </c>
      <c r="AC187" s="133">
        <v>0</v>
      </c>
      <c r="AD187" s="133">
        <v>0</v>
      </c>
      <c r="AE187" s="133">
        <v>0</v>
      </c>
      <c r="AF187" s="133">
        <v>0</v>
      </c>
      <c r="AG187" s="133">
        <v>0</v>
      </c>
      <c r="AH187" s="133">
        <v>0</v>
      </c>
      <c r="AI187" s="133">
        <v>0</v>
      </c>
      <c r="AJ187" s="133">
        <v>0</v>
      </c>
      <c r="AK187" s="133">
        <v>0</v>
      </c>
      <c r="AL187" s="133">
        <v>0</v>
      </c>
      <c r="AM187" s="136" t="str">
        <f>IF(ISERROR(VLOOKUP(D187,'Woodmac profile - Oil'!$D$9:$AN$266,37,FALSE)),"",VLOOKUP(D187,'Woodmac profile - Oil'!$D$9:$AN$266,37,FALSE))</f>
        <v/>
      </c>
      <c r="AN187" s="136" t="str">
        <f>IF(ISERROR(VLOOKUP(D187,'Woodmac profile - Gas'!$D$9:$AN$249,37,FALSE)),"",VLOOKUP(D187,'Woodmac profile - Gas'!$D$9:$AN$249,37,FALSE))</f>
        <v>SUBS</v>
      </c>
      <c r="AO187" s="136" t="str">
        <f t="shared" si="14"/>
        <v>SUBS</v>
      </c>
      <c r="AP187" s="132"/>
      <c r="AQ187" s="129"/>
      <c r="AR187" s="129"/>
      <c r="AS187" s="354"/>
      <c r="AT187" s="131"/>
      <c r="AU187" s="131"/>
      <c r="AV187" s="354"/>
      <c r="AW187" s="132"/>
      <c r="AX187" s="354"/>
      <c r="AY187" s="132"/>
      <c r="AZ187" s="132"/>
      <c r="BA187" s="132"/>
      <c r="BB187" s="132"/>
    </row>
    <row r="188" spans="1:54">
      <c r="A188" s="132"/>
      <c r="B188" s="133" t="s">
        <v>3369</v>
      </c>
      <c r="C188" s="133" t="s">
        <v>1281</v>
      </c>
      <c r="D188" s="133" t="s">
        <v>2466</v>
      </c>
      <c r="E188" s="133" t="s">
        <v>2254</v>
      </c>
      <c r="F188" s="133" t="s">
        <v>2960</v>
      </c>
      <c r="G188" s="133" t="s">
        <v>1931</v>
      </c>
      <c r="H188" s="133" t="s">
        <v>116</v>
      </c>
      <c r="I188" s="133" t="s">
        <v>2600</v>
      </c>
      <c r="J188" s="133">
        <v>50</v>
      </c>
      <c r="K188" s="133">
        <v>0</v>
      </c>
      <c r="L188" s="133">
        <v>4.42</v>
      </c>
      <c r="M188" s="133">
        <v>1.23</v>
      </c>
      <c r="N188" s="133">
        <v>0</v>
      </c>
      <c r="O188" s="133">
        <v>0</v>
      </c>
      <c r="P188" s="133">
        <v>17.29</v>
      </c>
      <c r="Q188" s="133">
        <v>71.510000000000005</v>
      </c>
      <c r="R188" s="133">
        <v>0</v>
      </c>
      <c r="S188" s="133">
        <v>0</v>
      </c>
      <c r="T188" s="133">
        <v>0</v>
      </c>
      <c r="U188" s="133">
        <v>0</v>
      </c>
      <c r="V188" s="133">
        <v>0</v>
      </c>
      <c r="W188" s="133">
        <v>0</v>
      </c>
      <c r="X188" s="133">
        <v>0</v>
      </c>
      <c r="Y188" s="133">
        <v>0</v>
      </c>
      <c r="Z188" s="133">
        <v>0</v>
      </c>
      <c r="AA188" s="133">
        <v>0</v>
      </c>
      <c r="AB188" s="133">
        <v>0</v>
      </c>
      <c r="AC188" s="133">
        <v>0</v>
      </c>
      <c r="AD188" s="133">
        <v>0</v>
      </c>
      <c r="AE188" s="133">
        <v>0</v>
      </c>
      <c r="AF188" s="133">
        <v>0</v>
      </c>
      <c r="AG188" s="133">
        <v>0</v>
      </c>
      <c r="AH188" s="133">
        <v>0</v>
      </c>
      <c r="AI188" s="133">
        <v>0</v>
      </c>
      <c r="AJ188" s="133">
        <v>0</v>
      </c>
      <c r="AK188" s="133">
        <v>0</v>
      </c>
      <c r="AL188" s="133">
        <v>0</v>
      </c>
      <c r="AM188" s="136" t="str">
        <f>IF(ISERROR(VLOOKUP(D188,'Woodmac profile - Oil'!$D$9:$AN$266,37,FALSE)),"",VLOOKUP(D188,'Woodmac profile - Oil'!$D$9:$AN$266,37,FALSE))</f>
        <v/>
      </c>
      <c r="AN188" s="136" t="str">
        <f>IF(ISERROR(VLOOKUP(D188,'Woodmac profile - Gas'!$D$9:$AN$249,37,FALSE)),"",VLOOKUP(D188,'Woodmac profile - Gas'!$D$9:$AN$249,37,FALSE))</f>
        <v>SUBS</v>
      </c>
      <c r="AO188" s="136" t="str">
        <f t="shared" si="14"/>
        <v>SUBS</v>
      </c>
      <c r="AP188" s="132"/>
      <c r="AQ188" s="129"/>
      <c r="AR188" s="129"/>
      <c r="AS188" s="354"/>
      <c r="AT188" s="131"/>
      <c r="AU188" s="131"/>
      <c r="AV188" s="354"/>
      <c r="AW188" s="132"/>
      <c r="AX188" s="354"/>
      <c r="AY188" s="132"/>
      <c r="AZ188" s="132"/>
      <c r="BA188" s="132"/>
      <c r="BB188" s="132"/>
    </row>
    <row r="189" spans="1:54">
      <c r="A189" s="132"/>
      <c r="B189" s="133" t="s">
        <v>3369</v>
      </c>
      <c r="C189" s="133" t="s">
        <v>1281</v>
      </c>
      <c r="D189" s="133" t="s">
        <v>2467</v>
      </c>
      <c r="E189" s="133" t="s">
        <v>2254</v>
      </c>
      <c r="F189" s="133" t="s">
        <v>2960</v>
      </c>
      <c r="G189" s="133" t="s">
        <v>1930</v>
      </c>
      <c r="H189" s="133" t="s">
        <v>116</v>
      </c>
      <c r="I189" s="133" t="s">
        <v>2600</v>
      </c>
      <c r="J189" s="133">
        <v>50</v>
      </c>
      <c r="K189" s="133">
        <v>14.27</v>
      </c>
      <c r="L189" s="133">
        <v>0</v>
      </c>
      <c r="M189" s="133">
        <v>0</v>
      </c>
      <c r="N189" s="133">
        <v>0</v>
      </c>
      <c r="O189" s="133">
        <v>0</v>
      </c>
      <c r="P189" s="133">
        <v>0</v>
      </c>
      <c r="Q189" s="133">
        <v>0</v>
      </c>
      <c r="R189" s="133">
        <v>0</v>
      </c>
      <c r="S189" s="133">
        <v>0</v>
      </c>
      <c r="T189" s="133">
        <v>0</v>
      </c>
      <c r="U189" s="133">
        <v>0</v>
      </c>
      <c r="V189" s="133">
        <v>0</v>
      </c>
      <c r="W189" s="133">
        <v>0</v>
      </c>
      <c r="X189" s="133">
        <v>0</v>
      </c>
      <c r="Y189" s="133">
        <v>0</v>
      </c>
      <c r="Z189" s="133">
        <v>0</v>
      </c>
      <c r="AA189" s="133">
        <v>0</v>
      </c>
      <c r="AB189" s="133">
        <v>0</v>
      </c>
      <c r="AC189" s="133">
        <v>0</v>
      </c>
      <c r="AD189" s="133">
        <v>0</v>
      </c>
      <c r="AE189" s="133">
        <v>0</v>
      </c>
      <c r="AF189" s="133">
        <v>0</v>
      </c>
      <c r="AG189" s="133">
        <v>0</v>
      </c>
      <c r="AH189" s="133">
        <v>0</v>
      </c>
      <c r="AI189" s="133">
        <v>0</v>
      </c>
      <c r="AJ189" s="133">
        <v>0</v>
      </c>
      <c r="AK189" s="133">
        <v>0</v>
      </c>
      <c r="AL189" s="133">
        <v>0</v>
      </c>
      <c r="AM189" s="136" t="str">
        <f>IF(ISERROR(VLOOKUP(D189,'Woodmac profile - Oil'!$D$9:$AN$266,37,FALSE)),"",VLOOKUP(D189,'Woodmac profile - Oil'!$D$9:$AN$266,37,FALSE))</f>
        <v/>
      </c>
      <c r="AN189" s="136" t="str">
        <f>IF(ISERROR(VLOOKUP(D189,'Woodmac profile - Gas'!$D$9:$AN$249,37,FALSE)),"",VLOOKUP(D189,'Woodmac profile - Gas'!$D$9:$AN$249,37,FALSE))</f>
        <v>SUBS</v>
      </c>
      <c r="AO189" s="136" t="str">
        <f t="shared" si="14"/>
        <v>SUBS</v>
      </c>
      <c r="AP189" s="132"/>
      <c r="AQ189" s="129"/>
      <c r="AR189" s="129"/>
      <c r="AS189" s="354"/>
      <c r="AT189" s="131"/>
      <c r="AU189" s="131"/>
      <c r="AV189" s="354"/>
      <c r="AW189" s="132"/>
      <c r="AX189" s="354"/>
      <c r="AY189" s="132"/>
      <c r="AZ189" s="132"/>
      <c r="BA189" s="132"/>
      <c r="BB189" s="132"/>
    </row>
    <row r="190" spans="1:54">
      <c r="A190" s="132"/>
      <c r="B190" s="133" t="s">
        <v>3369</v>
      </c>
      <c r="C190" s="133" t="s">
        <v>1281</v>
      </c>
      <c r="D190" s="133" t="s">
        <v>3669</v>
      </c>
      <c r="E190" s="133" t="s">
        <v>3372</v>
      </c>
      <c r="F190" s="133" t="s">
        <v>2960</v>
      </c>
      <c r="G190" s="133" t="s">
        <v>3374</v>
      </c>
      <c r="H190" s="133" t="s">
        <v>116</v>
      </c>
      <c r="I190" s="133" t="s">
        <v>2571</v>
      </c>
      <c r="J190" s="133">
        <v>68</v>
      </c>
      <c r="K190" s="133">
        <v>0</v>
      </c>
      <c r="L190" s="133">
        <v>0</v>
      </c>
      <c r="M190" s="133">
        <v>0</v>
      </c>
      <c r="N190" s="133">
        <v>0</v>
      </c>
      <c r="O190" s="133">
        <v>0</v>
      </c>
      <c r="P190" s="133">
        <v>0</v>
      </c>
      <c r="Q190" s="133">
        <v>0</v>
      </c>
      <c r="R190" s="133">
        <v>0</v>
      </c>
      <c r="S190" s="133">
        <v>0</v>
      </c>
      <c r="T190" s="133">
        <v>0</v>
      </c>
      <c r="U190" s="133">
        <v>0</v>
      </c>
      <c r="V190" s="133">
        <v>0</v>
      </c>
      <c r="W190" s="133">
        <v>0</v>
      </c>
      <c r="X190" s="133">
        <v>0</v>
      </c>
      <c r="Y190" s="133">
        <v>0</v>
      </c>
      <c r="Z190" s="133">
        <v>0</v>
      </c>
      <c r="AA190" s="133">
        <v>142.94</v>
      </c>
      <c r="AB190" s="133">
        <v>10.93</v>
      </c>
      <c r="AC190" s="133">
        <v>0</v>
      </c>
      <c r="AD190" s="133">
        <v>0</v>
      </c>
      <c r="AE190" s="133">
        <v>0</v>
      </c>
      <c r="AF190" s="133">
        <v>0</v>
      </c>
      <c r="AG190" s="133">
        <v>0</v>
      </c>
      <c r="AH190" s="133">
        <v>0</v>
      </c>
      <c r="AI190" s="133">
        <v>0</v>
      </c>
      <c r="AJ190" s="133">
        <v>0</v>
      </c>
      <c r="AK190" s="133">
        <v>0</v>
      </c>
      <c r="AL190" s="133">
        <v>0</v>
      </c>
      <c r="AM190" s="136" t="str">
        <f>IF(ISERROR(VLOOKUP(D190,'Woodmac profile - Oil'!$D$9:$AN$266,37,FALSE)),"",VLOOKUP(D190,'Woodmac profile - Oil'!$D$9:$AN$266,37,FALSE))</f>
        <v>SUBS</v>
      </c>
      <c r="AN190" s="136" t="str">
        <f>IF(ISERROR(VLOOKUP(D190,'Woodmac profile - Gas'!$D$9:$AN$249,37,FALSE)),"",VLOOKUP(D190,'Woodmac profile - Gas'!$D$9:$AN$249,37,FALSE))</f>
        <v>SUBS</v>
      </c>
      <c r="AO190" s="136" t="str">
        <f t="shared" si="14"/>
        <v>SUBS</v>
      </c>
      <c r="AP190" s="132"/>
      <c r="AQ190" s="129"/>
      <c r="AR190" s="129"/>
      <c r="AS190" s="354"/>
      <c r="AT190" s="131"/>
      <c r="AU190" s="131"/>
      <c r="AV190" s="354"/>
      <c r="AW190" s="132"/>
      <c r="AX190" s="354"/>
      <c r="AY190" s="132"/>
      <c r="AZ190" s="132"/>
      <c r="BA190" s="132"/>
      <c r="BB190" s="132"/>
    </row>
    <row r="191" spans="1:54">
      <c r="A191" s="132"/>
      <c r="B191" s="133" t="s">
        <v>3369</v>
      </c>
      <c r="C191" s="133" t="s">
        <v>1281</v>
      </c>
      <c r="D191" s="133" t="s">
        <v>297</v>
      </c>
      <c r="E191" s="133" t="s">
        <v>1927</v>
      </c>
      <c r="F191" s="133" t="s">
        <v>2960</v>
      </c>
      <c r="G191" s="133" t="s">
        <v>1930</v>
      </c>
      <c r="H191" s="133" t="s">
        <v>116</v>
      </c>
      <c r="I191" s="133" t="s">
        <v>2600</v>
      </c>
      <c r="J191" s="133">
        <v>50</v>
      </c>
      <c r="K191" s="133">
        <v>0</v>
      </c>
      <c r="L191" s="133">
        <v>0</v>
      </c>
      <c r="M191" s="133">
        <v>14.74</v>
      </c>
      <c r="N191" s="133">
        <v>0</v>
      </c>
      <c r="O191" s="133">
        <v>0</v>
      </c>
      <c r="P191" s="133">
        <v>0</v>
      </c>
      <c r="Q191" s="133">
        <v>0</v>
      </c>
      <c r="R191" s="133">
        <v>0</v>
      </c>
      <c r="S191" s="133">
        <v>0</v>
      </c>
      <c r="T191" s="133">
        <v>0</v>
      </c>
      <c r="U191" s="133">
        <v>0</v>
      </c>
      <c r="V191" s="133">
        <v>0</v>
      </c>
      <c r="W191" s="133">
        <v>0</v>
      </c>
      <c r="X191" s="133">
        <v>0</v>
      </c>
      <c r="Y191" s="133">
        <v>0</v>
      </c>
      <c r="Z191" s="133">
        <v>0</v>
      </c>
      <c r="AA191" s="133">
        <v>0</v>
      </c>
      <c r="AB191" s="133">
        <v>0</v>
      </c>
      <c r="AC191" s="133">
        <v>0</v>
      </c>
      <c r="AD191" s="133">
        <v>0</v>
      </c>
      <c r="AE191" s="133">
        <v>0</v>
      </c>
      <c r="AF191" s="133">
        <v>0</v>
      </c>
      <c r="AG191" s="133">
        <v>0</v>
      </c>
      <c r="AH191" s="133">
        <v>0</v>
      </c>
      <c r="AI191" s="133">
        <v>0</v>
      </c>
      <c r="AJ191" s="133">
        <v>0</v>
      </c>
      <c r="AK191" s="133">
        <v>0</v>
      </c>
      <c r="AL191" s="133">
        <v>0</v>
      </c>
      <c r="AM191" s="136" t="str">
        <f>IF(ISERROR(VLOOKUP(D191,'Woodmac profile - Oil'!$D$9:$AN$266,37,FALSE)),"",VLOOKUP(D191,'Woodmac profile - Oil'!$D$9:$AN$266,37,FALSE))</f>
        <v/>
      </c>
      <c r="AN191" s="136" t="str">
        <f>IF(ISERROR(VLOOKUP(D191,'Woodmac profile - Gas'!$D$9:$AN$249,37,FALSE)),"",VLOOKUP(D191,'Woodmac profile - Gas'!$D$9:$AN$249,37,FALSE))</f>
        <v>SUBS</v>
      </c>
      <c r="AO191" s="136" t="str">
        <f t="shared" si="14"/>
        <v>SUBS</v>
      </c>
      <c r="AP191" s="132"/>
      <c r="AQ191" s="129"/>
      <c r="AR191" s="129"/>
      <c r="AS191" s="354"/>
      <c r="AT191" s="131"/>
      <c r="AU191" s="131"/>
      <c r="AV191" s="354"/>
      <c r="AW191" s="132"/>
      <c r="AX191" s="354"/>
      <c r="AY191" s="132"/>
      <c r="AZ191" s="132"/>
      <c r="BA191" s="132"/>
      <c r="BB191" s="132"/>
    </row>
    <row r="192" spans="1:54">
      <c r="A192" s="132"/>
      <c r="B192" s="133" t="s">
        <v>3369</v>
      </c>
      <c r="C192" s="133" t="s">
        <v>1281</v>
      </c>
      <c r="D192" s="133" t="s">
        <v>298</v>
      </c>
      <c r="E192" s="133" t="s">
        <v>1927</v>
      </c>
      <c r="F192" s="133" t="s">
        <v>2960</v>
      </c>
      <c r="G192" s="133" t="s">
        <v>1930</v>
      </c>
      <c r="H192" s="133" t="s">
        <v>117</v>
      </c>
      <c r="I192" s="133" t="s">
        <v>2600</v>
      </c>
      <c r="J192" s="133">
        <v>100</v>
      </c>
      <c r="K192" s="133">
        <v>4.57</v>
      </c>
      <c r="L192" s="133">
        <v>5.05</v>
      </c>
      <c r="M192" s="133">
        <v>4.91</v>
      </c>
      <c r="N192" s="133">
        <v>4.8600000000000003</v>
      </c>
      <c r="O192" s="133">
        <v>4.9000000000000004</v>
      </c>
      <c r="P192" s="133">
        <v>176.81</v>
      </c>
      <c r="Q192" s="133">
        <v>50.72</v>
      </c>
      <c r="R192" s="133">
        <v>2.9</v>
      </c>
      <c r="S192" s="133">
        <v>0</v>
      </c>
      <c r="T192" s="133">
        <v>0</v>
      </c>
      <c r="U192" s="133">
        <v>0</v>
      </c>
      <c r="V192" s="133">
        <v>0</v>
      </c>
      <c r="W192" s="133">
        <v>0</v>
      </c>
      <c r="X192" s="133">
        <v>0</v>
      </c>
      <c r="Y192" s="133">
        <v>0</v>
      </c>
      <c r="Z192" s="133">
        <v>0</v>
      </c>
      <c r="AA192" s="133">
        <v>0</v>
      </c>
      <c r="AB192" s="133">
        <v>0</v>
      </c>
      <c r="AC192" s="133">
        <v>0</v>
      </c>
      <c r="AD192" s="133">
        <v>0</v>
      </c>
      <c r="AE192" s="133">
        <v>0</v>
      </c>
      <c r="AF192" s="133">
        <v>0</v>
      </c>
      <c r="AG192" s="133">
        <v>0</v>
      </c>
      <c r="AH192" s="133">
        <v>0</v>
      </c>
      <c r="AI192" s="133">
        <v>0</v>
      </c>
      <c r="AJ192" s="133">
        <v>0</v>
      </c>
      <c r="AK192" s="133">
        <v>0</v>
      </c>
      <c r="AL192" s="133">
        <v>0</v>
      </c>
      <c r="AM192" s="136" t="str">
        <f>IF(ISERROR(VLOOKUP(D192,'Woodmac profile - Oil'!$D$9:$AN$266,37,FALSE)),"",VLOOKUP(D192,'Woodmac profile - Oil'!$D$9:$AN$266,37,FALSE))</f>
        <v/>
      </c>
      <c r="AN192" s="136" t="str">
        <f>IF(ISERROR(VLOOKUP(D192,'Woodmac profile - Gas'!$D$9:$AN$249,37,FALSE)),"",VLOOKUP(D192,'Woodmac profile - Gas'!$D$9:$AN$249,37,FALSE))</f>
        <v>SUBS</v>
      </c>
      <c r="AO192" s="136" t="str">
        <f t="shared" si="14"/>
        <v>SUBS</v>
      </c>
      <c r="AP192" s="132"/>
      <c r="AQ192" s="129"/>
      <c r="AR192" s="129"/>
      <c r="AS192" s="354"/>
      <c r="AT192" s="131"/>
      <c r="AU192" s="131"/>
      <c r="AV192" s="354"/>
      <c r="AW192" s="132"/>
      <c r="AX192" s="354"/>
      <c r="AY192" s="132"/>
      <c r="AZ192" s="132"/>
      <c r="BA192" s="132"/>
      <c r="BB192" s="132"/>
    </row>
    <row r="193" spans="1:54">
      <c r="A193" s="132"/>
      <c r="B193" s="133" t="s">
        <v>3369</v>
      </c>
      <c r="C193" s="133" t="s">
        <v>1281</v>
      </c>
      <c r="D193" s="133" t="s">
        <v>299</v>
      </c>
      <c r="E193" s="133" t="s">
        <v>1927</v>
      </c>
      <c r="F193" s="133" t="s">
        <v>2960</v>
      </c>
      <c r="G193" s="133" t="s">
        <v>1930</v>
      </c>
      <c r="H193" s="133" t="s">
        <v>116</v>
      </c>
      <c r="I193" s="133" t="s">
        <v>2571</v>
      </c>
      <c r="J193" s="133">
        <v>66.27</v>
      </c>
      <c r="K193" s="133">
        <v>0</v>
      </c>
      <c r="L193" s="133">
        <v>0</v>
      </c>
      <c r="M193" s="133">
        <v>0</v>
      </c>
      <c r="N193" s="133">
        <v>0</v>
      </c>
      <c r="O193" s="133">
        <v>1.56</v>
      </c>
      <c r="P193" s="133">
        <v>0</v>
      </c>
      <c r="Q193" s="133">
        <v>0</v>
      </c>
      <c r="R193" s="133">
        <v>0</v>
      </c>
      <c r="S193" s="133">
        <v>0</v>
      </c>
      <c r="T193" s="133">
        <v>0</v>
      </c>
      <c r="U193" s="133">
        <v>0</v>
      </c>
      <c r="V193" s="133">
        <v>0</v>
      </c>
      <c r="W193" s="133">
        <v>0</v>
      </c>
      <c r="X193" s="133">
        <v>0</v>
      </c>
      <c r="Y193" s="133">
        <v>0</v>
      </c>
      <c r="Z193" s="133">
        <v>0</v>
      </c>
      <c r="AA193" s="133">
        <v>0</v>
      </c>
      <c r="AB193" s="133">
        <v>0</v>
      </c>
      <c r="AC193" s="133">
        <v>0</v>
      </c>
      <c r="AD193" s="133">
        <v>0</v>
      </c>
      <c r="AE193" s="133">
        <v>0</v>
      </c>
      <c r="AF193" s="133">
        <v>0</v>
      </c>
      <c r="AG193" s="133">
        <v>0</v>
      </c>
      <c r="AH193" s="133">
        <v>0</v>
      </c>
      <c r="AI193" s="133">
        <v>0</v>
      </c>
      <c r="AJ193" s="133">
        <v>0</v>
      </c>
      <c r="AK193" s="133">
        <v>0</v>
      </c>
      <c r="AL193" s="133">
        <v>0</v>
      </c>
      <c r="AM193" s="136" t="str">
        <f>IF(ISERROR(VLOOKUP(D193,'Woodmac profile - Oil'!$D$9:$AN$266,37,FALSE)),"",VLOOKUP(D193,'Woodmac profile - Oil'!$D$9:$AN$266,37,FALSE))</f>
        <v/>
      </c>
      <c r="AN193" s="136" t="str">
        <f>IF(ISERROR(VLOOKUP(D193,'Woodmac profile - Gas'!$D$9:$AN$249,37,FALSE)),"",VLOOKUP(D193,'Woodmac profile - Gas'!$D$9:$AN$249,37,FALSE))</f>
        <v>SUBS</v>
      </c>
      <c r="AO193" s="136" t="str">
        <f t="shared" si="14"/>
        <v>SUBS</v>
      </c>
      <c r="AP193" s="132"/>
      <c r="AQ193" s="129"/>
      <c r="AR193" s="129"/>
      <c r="AS193" s="354"/>
      <c r="AT193" s="131"/>
      <c r="AU193" s="131"/>
      <c r="AV193" s="354"/>
      <c r="AW193" s="132"/>
      <c r="AX193" s="354"/>
      <c r="AY193" s="132"/>
      <c r="AZ193" s="132"/>
      <c r="BA193" s="132"/>
      <c r="BB193" s="132"/>
    </row>
    <row r="194" spans="1:54">
      <c r="A194" s="132"/>
      <c r="B194" s="133" t="s">
        <v>3369</v>
      </c>
      <c r="C194" s="133" t="s">
        <v>1281</v>
      </c>
      <c r="D194" s="133" t="s">
        <v>300</v>
      </c>
      <c r="E194" s="133" t="s">
        <v>1927</v>
      </c>
      <c r="F194" s="133" t="s">
        <v>2960</v>
      </c>
      <c r="G194" s="133" t="s">
        <v>1930</v>
      </c>
      <c r="H194" s="133" t="s">
        <v>116</v>
      </c>
      <c r="I194" s="133" t="s">
        <v>2571</v>
      </c>
      <c r="J194" s="133">
        <v>66.27</v>
      </c>
      <c r="K194" s="133">
        <v>0</v>
      </c>
      <c r="L194" s="133">
        <v>0</v>
      </c>
      <c r="M194" s="133">
        <v>0</v>
      </c>
      <c r="N194" s="133">
        <v>0</v>
      </c>
      <c r="O194" s="133">
        <v>0.37</v>
      </c>
      <c r="P194" s="133">
        <v>0</v>
      </c>
      <c r="Q194" s="133">
        <v>0</v>
      </c>
      <c r="R194" s="133">
        <v>0</v>
      </c>
      <c r="S194" s="133">
        <v>0</v>
      </c>
      <c r="T194" s="133">
        <v>0</v>
      </c>
      <c r="U194" s="133">
        <v>0</v>
      </c>
      <c r="V194" s="133">
        <v>0</v>
      </c>
      <c r="W194" s="133">
        <v>0</v>
      </c>
      <c r="X194" s="133">
        <v>0</v>
      </c>
      <c r="Y194" s="133">
        <v>0</v>
      </c>
      <c r="Z194" s="133">
        <v>0</v>
      </c>
      <c r="AA194" s="133">
        <v>0</v>
      </c>
      <c r="AB194" s="133">
        <v>0</v>
      </c>
      <c r="AC194" s="133">
        <v>0</v>
      </c>
      <c r="AD194" s="133">
        <v>0</v>
      </c>
      <c r="AE194" s="133">
        <v>0</v>
      </c>
      <c r="AF194" s="133">
        <v>0</v>
      </c>
      <c r="AG194" s="133">
        <v>0</v>
      </c>
      <c r="AH194" s="133">
        <v>0</v>
      </c>
      <c r="AI194" s="133">
        <v>0</v>
      </c>
      <c r="AJ194" s="133">
        <v>0</v>
      </c>
      <c r="AK194" s="133">
        <v>0</v>
      </c>
      <c r="AL194" s="133">
        <v>0</v>
      </c>
      <c r="AM194" s="136" t="str">
        <f>IF(ISERROR(VLOOKUP(D194,'Woodmac profile - Oil'!$D$9:$AN$266,37,FALSE)),"",VLOOKUP(D194,'Woodmac profile - Oil'!$D$9:$AN$266,37,FALSE))</f>
        <v/>
      </c>
      <c r="AN194" s="136" t="str">
        <f>IF(ISERROR(VLOOKUP(D194,'Woodmac profile - Gas'!$D$9:$AN$249,37,FALSE)),"",VLOOKUP(D194,'Woodmac profile - Gas'!$D$9:$AN$249,37,FALSE))</f>
        <v>SUBS</v>
      </c>
      <c r="AO194" s="136" t="str">
        <f t="shared" si="14"/>
        <v>SUBS</v>
      </c>
      <c r="AP194" s="132"/>
      <c r="AQ194" s="129"/>
      <c r="AR194" s="129"/>
      <c r="AS194" s="354"/>
      <c r="AT194" s="131"/>
      <c r="AU194" s="131"/>
      <c r="AV194" s="354"/>
      <c r="AW194" s="132"/>
      <c r="AX194" s="354"/>
      <c r="AY194" s="132"/>
      <c r="AZ194" s="132"/>
      <c r="BA194" s="132"/>
      <c r="BB194" s="132"/>
    </row>
    <row r="195" spans="1:54">
      <c r="A195" s="132"/>
      <c r="B195" s="133" t="s">
        <v>3369</v>
      </c>
      <c r="C195" s="133" t="s">
        <v>1281</v>
      </c>
      <c r="D195" s="133" t="s">
        <v>1856</v>
      </c>
      <c r="E195" s="133" t="s">
        <v>1927</v>
      </c>
      <c r="F195" s="133" t="s">
        <v>2960</v>
      </c>
      <c r="G195" s="133" t="s">
        <v>1932</v>
      </c>
      <c r="H195" s="133" t="s">
        <v>116</v>
      </c>
      <c r="I195" s="133" t="s">
        <v>1931</v>
      </c>
      <c r="J195" s="133">
        <v>67.81</v>
      </c>
      <c r="K195" s="133">
        <v>30.96</v>
      </c>
      <c r="L195" s="133">
        <v>34.24</v>
      </c>
      <c r="M195" s="133">
        <v>49.96</v>
      </c>
      <c r="N195" s="133">
        <v>52.74</v>
      </c>
      <c r="O195" s="133">
        <v>59.5</v>
      </c>
      <c r="P195" s="133">
        <v>45.33</v>
      </c>
      <c r="Q195" s="133">
        <v>41.38</v>
      </c>
      <c r="R195" s="133">
        <v>15.75</v>
      </c>
      <c r="S195" s="133">
        <v>0</v>
      </c>
      <c r="T195" s="133">
        <v>0</v>
      </c>
      <c r="U195" s="133">
        <v>0</v>
      </c>
      <c r="V195" s="133">
        <v>0</v>
      </c>
      <c r="W195" s="133">
        <v>0</v>
      </c>
      <c r="X195" s="133">
        <v>0</v>
      </c>
      <c r="Y195" s="133">
        <v>0</v>
      </c>
      <c r="Z195" s="133">
        <v>0</v>
      </c>
      <c r="AA195" s="133">
        <v>0</v>
      </c>
      <c r="AB195" s="133">
        <v>0</v>
      </c>
      <c r="AC195" s="133">
        <v>0</v>
      </c>
      <c r="AD195" s="133">
        <v>0</v>
      </c>
      <c r="AE195" s="133">
        <v>0</v>
      </c>
      <c r="AF195" s="133">
        <v>0</v>
      </c>
      <c r="AG195" s="133">
        <v>0</v>
      </c>
      <c r="AH195" s="133">
        <v>0</v>
      </c>
      <c r="AI195" s="133">
        <v>0</v>
      </c>
      <c r="AJ195" s="133">
        <v>0</v>
      </c>
      <c r="AK195" s="133">
        <v>0</v>
      </c>
      <c r="AL195" s="133">
        <v>0</v>
      </c>
      <c r="AM195" s="136" t="str">
        <f>IF(ISERROR(VLOOKUP(D195,'Woodmac profile - Oil'!$D$9:$AN$266,37,FALSE)),"",VLOOKUP(D195,'Woodmac profile - Oil'!$D$9:$AN$266,37,FALSE))</f>
        <v>SUBS</v>
      </c>
      <c r="AN195" s="136" t="str">
        <f>IF(ISERROR(VLOOKUP(D195,'Woodmac profile - Gas'!$D$9:$AN$249,37,FALSE)),"",VLOOKUP(D195,'Woodmac profile - Gas'!$D$9:$AN$249,37,FALSE))</f>
        <v>SUBS</v>
      </c>
      <c r="AO195" s="136" t="str">
        <f t="shared" si="14"/>
        <v>SUBS</v>
      </c>
      <c r="AP195" s="132"/>
      <c r="AQ195" s="129"/>
      <c r="AR195" s="129"/>
      <c r="AS195" s="354"/>
      <c r="AT195" s="131"/>
      <c r="AU195" s="131"/>
      <c r="AV195" s="354"/>
      <c r="AW195" s="132"/>
      <c r="AX195" s="354"/>
      <c r="AY195" s="132"/>
      <c r="AZ195" s="132"/>
      <c r="BA195" s="132"/>
      <c r="BB195" s="132"/>
    </row>
    <row r="196" spans="1:54">
      <c r="A196" s="132"/>
      <c r="B196" s="133" t="s">
        <v>3369</v>
      </c>
      <c r="C196" s="133" t="s">
        <v>2924</v>
      </c>
      <c r="D196" s="133" t="s">
        <v>3528</v>
      </c>
      <c r="E196" s="133" t="s">
        <v>1927</v>
      </c>
      <c r="F196" s="133" t="s">
        <v>1928</v>
      </c>
      <c r="G196" s="133" t="s">
        <v>1932</v>
      </c>
      <c r="H196" s="133" t="s">
        <v>1930</v>
      </c>
      <c r="I196" s="133" t="s">
        <v>1933</v>
      </c>
      <c r="J196" s="133">
        <v>9.5</v>
      </c>
      <c r="K196" s="133">
        <v>85.23</v>
      </c>
      <c r="L196" s="133">
        <v>127.43</v>
      </c>
      <c r="M196" s="133">
        <v>131.47</v>
      </c>
      <c r="N196" s="133">
        <v>80.48</v>
      </c>
      <c r="O196" s="133">
        <v>177.71</v>
      </c>
      <c r="P196" s="133">
        <v>77.28</v>
      </c>
      <c r="Q196" s="133">
        <v>174.47</v>
      </c>
      <c r="R196" s="133">
        <v>222.15</v>
      </c>
      <c r="S196" s="133">
        <v>267.29000000000002</v>
      </c>
      <c r="T196" s="133">
        <v>218.33</v>
      </c>
      <c r="U196" s="133">
        <v>242.38</v>
      </c>
      <c r="V196" s="133">
        <v>18.22</v>
      </c>
      <c r="W196" s="133">
        <v>0</v>
      </c>
      <c r="X196" s="133">
        <v>0</v>
      </c>
      <c r="Y196" s="133">
        <v>0</v>
      </c>
      <c r="Z196" s="133">
        <v>0</v>
      </c>
      <c r="AA196" s="133">
        <v>0</v>
      </c>
      <c r="AB196" s="133">
        <v>0</v>
      </c>
      <c r="AC196" s="133">
        <v>0</v>
      </c>
      <c r="AD196" s="133">
        <v>0</v>
      </c>
      <c r="AE196" s="133">
        <v>0</v>
      </c>
      <c r="AF196" s="133">
        <v>0</v>
      </c>
      <c r="AG196" s="133">
        <v>0</v>
      </c>
      <c r="AH196" s="133">
        <v>0</v>
      </c>
      <c r="AI196" s="133">
        <v>0</v>
      </c>
      <c r="AJ196" s="133">
        <v>0</v>
      </c>
      <c r="AK196" s="133">
        <v>0</v>
      </c>
      <c r="AL196" s="133">
        <v>0</v>
      </c>
      <c r="AM196" s="136" t="str">
        <f>IF(ISERROR(VLOOKUP(D196,'Woodmac profile - Oil'!$D$9:$AN$266,37,FALSE)),"",VLOOKUP(D196,'Woodmac profile - Oil'!$D$9:$AN$266,37,FALSE))</f>
        <v>EAI</v>
      </c>
      <c r="AN196" s="136" t="str">
        <f>IF(ISERROR(VLOOKUP(D196,'Woodmac profile - Gas'!$D$9:$AN$249,37,FALSE)),"",VLOOKUP(D196,'Woodmac profile - Gas'!$D$9:$AN$249,37,FALSE))</f>
        <v/>
      </c>
      <c r="AO196" s="136" t="str">
        <f t="shared" si="14"/>
        <v>EAI</v>
      </c>
      <c r="AP196" s="132"/>
      <c r="AQ196" s="129"/>
      <c r="AR196" s="129"/>
      <c r="AS196" s="354"/>
      <c r="AT196" s="131"/>
      <c r="AU196" s="131"/>
      <c r="AV196" s="354"/>
      <c r="AW196" s="132"/>
      <c r="AX196" s="354"/>
      <c r="AY196" s="132"/>
      <c r="AZ196" s="132"/>
      <c r="BA196" s="132"/>
      <c r="BB196" s="132"/>
    </row>
    <row r="197" spans="1:54">
      <c r="A197" s="132"/>
      <c r="B197" s="133" t="s">
        <v>3369</v>
      </c>
      <c r="C197" s="133" t="s">
        <v>2924</v>
      </c>
      <c r="D197" s="133" t="s">
        <v>3676</v>
      </c>
      <c r="E197" s="133" t="s">
        <v>1927</v>
      </c>
      <c r="F197" s="133" t="s">
        <v>1928</v>
      </c>
      <c r="G197" s="133" t="s">
        <v>1932</v>
      </c>
      <c r="H197" s="133" t="s">
        <v>1930</v>
      </c>
      <c r="I197" s="133" t="s">
        <v>1933</v>
      </c>
      <c r="J197" s="133">
        <v>10</v>
      </c>
      <c r="K197" s="133">
        <v>0</v>
      </c>
      <c r="L197" s="133">
        <v>0</v>
      </c>
      <c r="M197" s="133">
        <v>0</v>
      </c>
      <c r="N197" s="133">
        <v>0</v>
      </c>
      <c r="O197" s="133">
        <v>0</v>
      </c>
      <c r="P197" s="133">
        <v>0</v>
      </c>
      <c r="Q197" s="133">
        <v>0</v>
      </c>
      <c r="R197" s="133">
        <v>0</v>
      </c>
      <c r="S197" s="133">
        <v>0</v>
      </c>
      <c r="T197" s="133">
        <v>0</v>
      </c>
      <c r="U197" s="133">
        <v>0</v>
      </c>
      <c r="V197" s="133">
        <v>0</v>
      </c>
      <c r="W197" s="133">
        <v>244.52</v>
      </c>
      <c r="X197" s="133">
        <v>229.88</v>
      </c>
      <c r="Y197" s="133">
        <v>207.62</v>
      </c>
      <c r="Z197" s="133">
        <v>237.12</v>
      </c>
      <c r="AA197" s="133">
        <v>250.74</v>
      </c>
      <c r="AB197" s="133">
        <v>202.34</v>
      </c>
      <c r="AC197" s="133">
        <v>194.8</v>
      </c>
      <c r="AD197" s="133">
        <v>205.16</v>
      </c>
      <c r="AE197" s="133">
        <v>213.04</v>
      </c>
      <c r="AF197" s="133">
        <v>208.23</v>
      </c>
      <c r="AG197" s="133">
        <v>195.82</v>
      </c>
      <c r="AH197" s="133">
        <v>200.32</v>
      </c>
      <c r="AI197" s="133">
        <v>209.46</v>
      </c>
      <c r="AJ197" s="133">
        <v>202.36</v>
      </c>
      <c r="AK197" s="133">
        <v>228.47</v>
      </c>
      <c r="AL197" s="133">
        <v>205.9</v>
      </c>
      <c r="AM197" s="136" t="str">
        <f>IF(ISERROR(VLOOKUP(D197,'Woodmac profile - Oil'!$D$9:$AN$266,37,FALSE)),"",VLOOKUP(D197,'Woodmac profile - Oil'!$D$9:$AN$266,37,FALSE))</f>
        <v>SUBS</v>
      </c>
      <c r="AN197" s="136" t="str">
        <f>IF(ISERROR(VLOOKUP(D197,'Woodmac profile - Gas'!$D$9:$AN$249,37,FALSE)),"",VLOOKUP(D197,'Woodmac profile - Gas'!$D$9:$AN$249,37,FALSE))</f>
        <v/>
      </c>
      <c r="AO197" s="136" t="str">
        <f t="shared" si="14"/>
        <v>SUBS</v>
      </c>
      <c r="AP197" s="132"/>
      <c r="AQ197" s="129"/>
      <c r="AR197" s="129"/>
      <c r="AS197" s="354"/>
      <c r="AT197" s="131"/>
      <c r="AU197" s="131"/>
      <c r="AV197" s="354"/>
      <c r="AW197" s="132"/>
      <c r="AX197" s="354"/>
      <c r="AY197" s="132"/>
      <c r="AZ197" s="132"/>
      <c r="BA197" s="132"/>
      <c r="BB197" s="132"/>
    </row>
    <row r="198" spans="1:54">
      <c r="A198" s="132"/>
      <c r="B198" s="133" t="s">
        <v>3369</v>
      </c>
      <c r="C198" s="133" t="s">
        <v>2924</v>
      </c>
      <c r="D198" s="133" t="s">
        <v>2932</v>
      </c>
      <c r="E198" s="133" t="s">
        <v>1927</v>
      </c>
      <c r="F198" s="133" t="s">
        <v>2960</v>
      </c>
      <c r="G198" s="133" t="s">
        <v>1932</v>
      </c>
      <c r="H198" s="133" t="s">
        <v>2966</v>
      </c>
      <c r="I198" s="133" t="s">
        <v>2600</v>
      </c>
      <c r="J198" s="133">
        <v>14.66</v>
      </c>
      <c r="K198" s="133">
        <v>48.58</v>
      </c>
      <c r="L198" s="133">
        <v>43.68</v>
      </c>
      <c r="M198" s="133">
        <v>50.87</v>
      </c>
      <c r="N198" s="133">
        <v>72.97</v>
      </c>
      <c r="O198" s="133">
        <v>153.91999999999999</v>
      </c>
      <c r="P198" s="133">
        <v>236.65</v>
      </c>
      <c r="Q198" s="133">
        <v>185.7</v>
      </c>
      <c r="R198" s="133">
        <v>130.38999999999999</v>
      </c>
      <c r="S198" s="133">
        <v>126.35</v>
      </c>
      <c r="T198" s="133">
        <v>142.11000000000001</v>
      </c>
      <c r="U198" s="133">
        <v>163.22</v>
      </c>
      <c r="V198" s="133">
        <v>301.17</v>
      </c>
      <c r="W198" s="133">
        <v>407.13</v>
      </c>
      <c r="X198" s="133">
        <v>377.63</v>
      </c>
      <c r="Y198" s="133">
        <v>480.37</v>
      </c>
      <c r="Z198" s="133">
        <v>87.52</v>
      </c>
      <c r="AA198" s="133">
        <v>0</v>
      </c>
      <c r="AB198" s="133">
        <v>0</v>
      </c>
      <c r="AC198" s="133">
        <v>0</v>
      </c>
      <c r="AD198" s="133">
        <v>0</v>
      </c>
      <c r="AE198" s="133">
        <v>0</v>
      </c>
      <c r="AF198" s="133">
        <v>0</v>
      </c>
      <c r="AG198" s="133">
        <v>0</v>
      </c>
      <c r="AH198" s="133">
        <v>0</v>
      </c>
      <c r="AI198" s="133">
        <v>0</v>
      </c>
      <c r="AJ198" s="133">
        <v>0</v>
      </c>
      <c r="AK198" s="133">
        <v>0</v>
      </c>
      <c r="AL198" s="133">
        <v>0</v>
      </c>
      <c r="AM198" s="136" t="str">
        <f>IF(ISERROR(VLOOKUP(D198,'Woodmac profile - Oil'!$D$9:$AN$266,37,FALSE)),"",VLOOKUP(D198,'Woodmac profile - Oil'!$D$9:$AN$266,37,FALSE))</f>
        <v>EAI</v>
      </c>
      <c r="AN198" s="136" t="str">
        <f>IF(ISERROR(VLOOKUP(D198,'Woodmac profile - Gas'!$D$9:$AN$249,37,FALSE)),"",VLOOKUP(D198,'Woodmac profile - Gas'!$D$9:$AN$249,37,FALSE))</f>
        <v/>
      </c>
      <c r="AO198" s="136" t="str">
        <f t="shared" si="14"/>
        <v>EAI</v>
      </c>
      <c r="AP198" s="132"/>
      <c r="AQ198" s="129"/>
      <c r="AR198" s="129"/>
      <c r="AS198" s="354"/>
      <c r="AT198" s="131"/>
      <c r="AU198" s="131"/>
      <c r="AV198" s="354"/>
      <c r="AW198" s="132"/>
      <c r="AX198" s="354"/>
      <c r="AY198" s="132"/>
      <c r="AZ198" s="132"/>
      <c r="BA198" s="132"/>
      <c r="BB198" s="132"/>
    </row>
    <row r="199" spans="1:54">
      <c r="A199" s="132"/>
      <c r="B199" s="133" t="s">
        <v>3369</v>
      </c>
      <c r="C199" s="133" t="s">
        <v>2924</v>
      </c>
      <c r="D199" s="133" t="s">
        <v>1702</v>
      </c>
      <c r="E199" s="133" t="s">
        <v>1927</v>
      </c>
      <c r="F199" s="133" t="s">
        <v>2960</v>
      </c>
      <c r="G199" s="133" t="s">
        <v>1932</v>
      </c>
      <c r="H199" s="133" t="s">
        <v>1930</v>
      </c>
      <c r="I199" s="133" t="s">
        <v>2600</v>
      </c>
      <c r="J199" s="133">
        <v>3</v>
      </c>
      <c r="K199" s="133">
        <v>0.4</v>
      </c>
      <c r="L199" s="133">
        <v>0.83</v>
      </c>
      <c r="M199" s="133">
        <v>2.73</v>
      </c>
      <c r="N199" s="133">
        <v>0.69</v>
      </c>
      <c r="O199" s="133">
        <v>0.44</v>
      </c>
      <c r="P199" s="133">
        <v>0.32</v>
      </c>
      <c r="Q199" s="133">
        <v>0.92</v>
      </c>
      <c r="R199" s="133">
        <v>0.43</v>
      </c>
      <c r="S199" s="133">
        <v>1.24</v>
      </c>
      <c r="T199" s="133">
        <v>1.75</v>
      </c>
      <c r="U199" s="133">
        <v>0.72</v>
      </c>
      <c r="V199" s="133">
        <v>0.41</v>
      </c>
      <c r="W199" s="133">
        <v>0</v>
      </c>
      <c r="X199" s="133">
        <v>0</v>
      </c>
      <c r="Y199" s="133">
        <v>0</v>
      </c>
      <c r="Z199" s="133">
        <v>0</v>
      </c>
      <c r="AA199" s="133">
        <v>0</v>
      </c>
      <c r="AB199" s="133">
        <v>0</v>
      </c>
      <c r="AC199" s="133">
        <v>0</v>
      </c>
      <c r="AD199" s="133">
        <v>0</v>
      </c>
      <c r="AE199" s="133">
        <v>0</v>
      </c>
      <c r="AF199" s="133">
        <v>0</v>
      </c>
      <c r="AG199" s="133">
        <v>0</v>
      </c>
      <c r="AH199" s="133">
        <v>0</v>
      </c>
      <c r="AI199" s="133">
        <v>0</v>
      </c>
      <c r="AJ199" s="133">
        <v>0</v>
      </c>
      <c r="AK199" s="133">
        <v>0</v>
      </c>
      <c r="AL199" s="133">
        <v>0</v>
      </c>
      <c r="AM199" s="136" t="str">
        <f>IF(ISERROR(VLOOKUP(D199,'Woodmac profile - Oil'!$D$9:$AN$266,37,FALSE)),"",VLOOKUP(D199,'Woodmac profile - Oil'!$D$9:$AN$266,37,FALSE))</f>
        <v>EAI</v>
      </c>
      <c r="AN199" s="136" t="str">
        <f>IF(ISERROR(VLOOKUP(D199,'Woodmac profile - Gas'!$D$9:$AN$249,37,FALSE)),"",VLOOKUP(D199,'Woodmac profile - Gas'!$D$9:$AN$249,37,FALSE))</f>
        <v/>
      </c>
      <c r="AO199" s="136" t="str">
        <f t="shared" si="14"/>
        <v>EAI</v>
      </c>
      <c r="AP199" s="132"/>
      <c r="AQ199" s="129"/>
      <c r="AR199" s="129"/>
      <c r="AS199" s="354"/>
      <c r="AT199" s="131"/>
      <c r="AU199" s="131"/>
      <c r="AV199" s="354"/>
      <c r="AW199" s="132"/>
      <c r="AX199" s="354"/>
      <c r="AY199" s="132"/>
      <c r="AZ199" s="132"/>
      <c r="BA199" s="132"/>
      <c r="BB199" s="132"/>
    </row>
    <row r="200" spans="1:54">
      <c r="A200" s="132"/>
      <c r="B200" s="133" t="s">
        <v>3369</v>
      </c>
      <c r="C200" s="133" t="s">
        <v>2924</v>
      </c>
      <c r="D200" s="133" t="s">
        <v>2925</v>
      </c>
      <c r="E200" s="133" t="s">
        <v>1927</v>
      </c>
      <c r="F200" s="133" t="s">
        <v>1928</v>
      </c>
      <c r="G200" s="133" t="s">
        <v>1929</v>
      </c>
      <c r="H200" s="133" t="s">
        <v>116</v>
      </c>
      <c r="I200" s="133" t="s">
        <v>1931</v>
      </c>
      <c r="J200" s="133">
        <v>40</v>
      </c>
      <c r="K200" s="133">
        <v>17.940000000000001</v>
      </c>
      <c r="L200" s="133">
        <v>17.489999999999998</v>
      </c>
      <c r="M200" s="133">
        <v>21.02</v>
      </c>
      <c r="N200" s="133">
        <v>10.18</v>
      </c>
      <c r="O200" s="133">
        <v>6.04</v>
      </c>
      <c r="P200" s="133">
        <v>5.81</v>
      </c>
      <c r="Q200" s="133">
        <v>7.23</v>
      </c>
      <c r="R200" s="133">
        <v>4.59</v>
      </c>
      <c r="S200" s="133">
        <v>7.41</v>
      </c>
      <c r="T200" s="133">
        <v>0</v>
      </c>
      <c r="U200" s="133">
        <v>0</v>
      </c>
      <c r="V200" s="133">
        <v>0</v>
      </c>
      <c r="W200" s="133">
        <v>0</v>
      </c>
      <c r="X200" s="133">
        <v>0</v>
      </c>
      <c r="Y200" s="133">
        <v>0</v>
      </c>
      <c r="Z200" s="133">
        <v>0</v>
      </c>
      <c r="AA200" s="133">
        <v>0</v>
      </c>
      <c r="AB200" s="133">
        <v>0</v>
      </c>
      <c r="AC200" s="133">
        <v>0</v>
      </c>
      <c r="AD200" s="133">
        <v>0</v>
      </c>
      <c r="AE200" s="133">
        <v>0</v>
      </c>
      <c r="AF200" s="133">
        <v>0</v>
      </c>
      <c r="AG200" s="133">
        <v>0</v>
      </c>
      <c r="AH200" s="133">
        <v>0</v>
      </c>
      <c r="AI200" s="133">
        <v>0</v>
      </c>
      <c r="AJ200" s="133">
        <v>0</v>
      </c>
      <c r="AK200" s="133">
        <v>0</v>
      </c>
      <c r="AL200" s="133">
        <v>0</v>
      </c>
      <c r="AM200" s="136" t="str">
        <f>IF(ISERROR(VLOOKUP(D200,'Woodmac profile - Oil'!$D$9:$AN$266,37,FALSE)),"",VLOOKUP(D200,'Woodmac profile - Oil'!$D$9:$AN$266,37,FALSE))</f>
        <v>EAI</v>
      </c>
      <c r="AN200" s="136" t="str">
        <f>IF(ISERROR(VLOOKUP(D200,'Woodmac profile - Gas'!$D$9:$AN$249,37,FALSE)),"",VLOOKUP(D200,'Woodmac profile - Gas'!$D$9:$AN$249,37,FALSE))</f>
        <v>SUBS</v>
      </c>
      <c r="AO200" s="136" t="str">
        <f t="shared" si="14"/>
        <v>EAI</v>
      </c>
      <c r="AP200" s="132"/>
      <c r="AQ200" s="129"/>
      <c r="AR200" s="129"/>
      <c r="AS200" s="354"/>
      <c r="AT200" s="131"/>
      <c r="AU200" s="131"/>
      <c r="AV200" s="354"/>
      <c r="AW200" s="132"/>
      <c r="AX200" s="354"/>
      <c r="AY200" s="132"/>
      <c r="AZ200" s="132"/>
      <c r="BA200" s="132"/>
      <c r="BB200" s="132"/>
    </row>
    <row r="201" spans="1:54">
      <c r="A201" s="132"/>
      <c r="B201" s="133" t="s">
        <v>3369</v>
      </c>
      <c r="C201" s="133" t="s">
        <v>2926</v>
      </c>
      <c r="D201" s="133" t="s">
        <v>2927</v>
      </c>
      <c r="E201" s="133" t="s">
        <v>1927</v>
      </c>
      <c r="F201" s="133" t="s">
        <v>1928</v>
      </c>
      <c r="G201" s="133" t="s">
        <v>3374</v>
      </c>
      <c r="H201" s="133" t="s">
        <v>1930</v>
      </c>
      <c r="I201" s="133" t="s">
        <v>1931</v>
      </c>
      <c r="J201" s="133">
        <v>100</v>
      </c>
      <c r="K201" s="133">
        <v>0.14000000000000001</v>
      </c>
      <c r="L201" s="133">
        <v>0</v>
      </c>
      <c r="M201" s="133">
        <v>0.19</v>
      </c>
      <c r="N201" s="133">
        <v>0.31</v>
      </c>
      <c r="O201" s="133">
        <v>0.3</v>
      </c>
      <c r="P201" s="133">
        <v>0</v>
      </c>
      <c r="Q201" s="133">
        <v>0</v>
      </c>
      <c r="R201" s="133">
        <v>13.09</v>
      </c>
      <c r="S201" s="133">
        <v>0</v>
      </c>
      <c r="T201" s="133">
        <v>0</v>
      </c>
      <c r="U201" s="133">
        <v>0</v>
      </c>
      <c r="V201" s="133">
        <v>0</v>
      </c>
      <c r="W201" s="133">
        <v>0</v>
      </c>
      <c r="X201" s="133">
        <v>0</v>
      </c>
      <c r="Y201" s="133">
        <v>0</v>
      </c>
      <c r="Z201" s="133">
        <v>0</v>
      </c>
      <c r="AA201" s="133">
        <v>0</v>
      </c>
      <c r="AB201" s="133">
        <v>0</v>
      </c>
      <c r="AC201" s="133">
        <v>0</v>
      </c>
      <c r="AD201" s="133">
        <v>0</v>
      </c>
      <c r="AE201" s="133">
        <v>0</v>
      </c>
      <c r="AF201" s="133">
        <v>0</v>
      </c>
      <c r="AG201" s="133">
        <v>0</v>
      </c>
      <c r="AH201" s="133">
        <v>0</v>
      </c>
      <c r="AI201" s="133">
        <v>0</v>
      </c>
      <c r="AJ201" s="133">
        <v>0</v>
      </c>
      <c r="AK201" s="133">
        <v>0</v>
      </c>
      <c r="AL201" s="133">
        <v>0</v>
      </c>
      <c r="AM201" s="136" t="str">
        <f>IF(ISERROR(VLOOKUP(D201,'Woodmac profile - Oil'!$D$9:$AN$266,37,FALSE)),"",VLOOKUP(D201,'Woodmac profile - Oil'!$D$9:$AN$266,37,FALSE))</f>
        <v>SUBS</v>
      </c>
      <c r="AN201" s="136" t="str">
        <f>IF(ISERROR(VLOOKUP(D201,'Woodmac profile - Gas'!$D$9:$AN$249,37,FALSE)),"",VLOOKUP(D201,'Woodmac profile - Gas'!$D$9:$AN$249,37,FALSE))</f>
        <v/>
      </c>
      <c r="AO201" s="136" t="str">
        <f t="shared" si="14"/>
        <v>SUBS</v>
      </c>
      <c r="AP201" s="132"/>
      <c r="AQ201" s="129"/>
      <c r="AR201" s="129"/>
      <c r="AS201" s="354"/>
      <c r="AT201" s="131"/>
      <c r="AU201" s="131"/>
      <c r="AV201" s="354"/>
      <c r="AW201" s="132"/>
      <c r="AX201" s="354"/>
      <c r="AY201" s="132"/>
      <c r="AZ201" s="132"/>
      <c r="BA201" s="132"/>
      <c r="BB201" s="132"/>
    </row>
    <row r="202" spans="1:54">
      <c r="A202" s="132"/>
      <c r="B202" s="133" t="s">
        <v>3369</v>
      </c>
      <c r="C202" s="133" t="s">
        <v>2926</v>
      </c>
      <c r="D202" s="133" t="s">
        <v>2928</v>
      </c>
      <c r="E202" s="133" t="s">
        <v>1927</v>
      </c>
      <c r="F202" s="133" t="s">
        <v>2960</v>
      </c>
      <c r="G202" s="133" t="s">
        <v>3374</v>
      </c>
      <c r="H202" s="133" t="s">
        <v>1930</v>
      </c>
      <c r="I202" s="133" t="s">
        <v>2605</v>
      </c>
      <c r="J202" s="133">
        <v>100</v>
      </c>
      <c r="K202" s="133">
        <v>0.34</v>
      </c>
      <c r="L202" s="133">
        <v>0.13</v>
      </c>
      <c r="M202" s="133">
        <v>0.77</v>
      </c>
      <c r="N202" s="133">
        <v>0.12</v>
      </c>
      <c r="O202" s="133">
        <v>0.06</v>
      </c>
      <c r="P202" s="133">
        <v>0.06</v>
      </c>
      <c r="Q202" s="133">
        <v>5.95</v>
      </c>
      <c r="R202" s="133">
        <v>0.11</v>
      </c>
      <c r="S202" s="133">
        <v>0.11</v>
      </c>
      <c r="T202" s="133">
        <v>0.11</v>
      </c>
      <c r="U202" s="133">
        <v>0.64</v>
      </c>
      <c r="V202" s="133">
        <v>0.09</v>
      </c>
      <c r="W202" s="133">
        <v>0</v>
      </c>
      <c r="X202" s="133">
        <v>0</v>
      </c>
      <c r="Y202" s="133">
        <v>0</v>
      </c>
      <c r="Z202" s="133">
        <v>0</v>
      </c>
      <c r="AA202" s="133">
        <v>0</v>
      </c>
      <c r="AB202" s="133">
        <v>0</v>
      </c>
      <c r="AC202" s="133">
        <v>0</v>
      </c>
      <c r="AD202" s="133">
        <v>0</v>
      </c>
      <c r="AE202" s="133">
        <v>0</v>
      </c>
      <c r="AF202" s="133">
        <v>0</v>
      </c>
      <c r="AG202" s="133">
        <v>0</v>
      </c>
      <c r="AH202" s="133">
        <v>0</v>
      </c>
      <c r="AI202" s="133">
        <v>0</v>
      </c>
      <c r="AJ202" s="133">
        <v>0</v>
      </c>
      <c r="AK202" s="133">
        <v>0</v>
      </c>
      <c r="AL202" s="133">
        <v>0</v>
      </c>
      <c r="AM202" s="136" t="str">
        <f>IF(ISERROR(VLOOKUP(D202,'Woodmac profile - Oil'!$D$9:$AN$266,37,FALSE)),"",VLOOKUP(D202,'Woodmac profile - Oil'!$D$9:$AN$266,37,FALSE))</f>
        <v>SUBS</v>
      </c>
      <c r="AN202" s="136" t="str">
        <f>IF(ISERROR(VLOOKUP(D202,'Woodmac profile - Gas'!$D$9:$AN$249,37,FALSE)),"",VLOOKUP(D202,'Woodmac profile - Gas'!$D$9:$AN$249,37,FALSE))</f>
        <v/>
      </c>
      <c r="AO202" s="136" t="str">
        <f t="shared" si="14"/>
        <v>SUBS</v>
      </c>
      <c r="AP202" s="132"/>
      <c r="AQ202" s="129"/>
      <c r="AR202" s="129"/>
      <c r="AS202" s="354"/>
      <c r="AT202" s="131"/>
      <c r="AU202" s="131"/>
      <c r="AV202" s="354"/>
      <c r="AW202" s="132"/>
      <c r="AX202" s="354"/>
      <c r="AY202" s="132"/>
      <c r="AZ202" s="132"/>
      <c r="BA202" s="132"/>
      <c r="BB202" s="132"/>
    </row>
    <row r="203" spans="1:54">
      <c r="A203" s="132"/>
      <c r="B203" s="133" t="s">
        <v>3369</v>
      </c>
      <c r="C203" s="133" t="s">
        <v>2926</v>
      </c>
      <c r="D203" s="133" t="s">
        <v>2984</v>
      </c>
      <c r="E203" s="133" t="s">
        <v>1927</v>
      </c>
      <c r="F203" s="133" t="s">
        <v>2960</v>
      </c>
      <c r="G203" s="133" t="s">
        <v>3374</v>
      </c>
      <c r="H203" s="133" t="s">
        <v>1930</v>
      </c>
      <c r="I203" s="133" t="s">
        <v>2605</v>
      </c>
      <c r="J203" s="133">
        <v>67.92</v>
      </c>
      <c r="K203" s="133">
        <v>20.309999999999999</v>
      </c>
      <c r="L203" s="133">
        <v>18.899999999999999</v>
      </c>
      <c r="M203" s="133">
        <v>11.32</v>
      </c>
      <c r="N203" s="133">
        <v>18.55</v>
      </c>
      <c r="O203" s="133">
        <v>15.98</v>
      </c>
      <c r="P203" s="133">
        <v>22.89</v>
      </c>
      <c r="Q203" s="133">
        <v>17.420000000000002</v>
      </c>
      <c r="R203" s="133">
        <v>15.98</v>
      </c>
      <c r="S203" s="133">
        <v>8.31</v>
      </c>
      <c r="T203" s="133">
        <v>11.84</v>
      </c>
      <c r="U203" s="133">
        <v>13.48</v>
      </c>
      <c r="V203" s="133">
        <v>5.98</v>
      </c>
      <c r="W203" s="133">
        <v>0</v>
      </c>
      <c r="X203" s="133">
        <v>0</v>
      </c>
      <c r="Y203" s="133">
        <v>0</v>
      </c>
      <c r="Z203" s="133">
        <v>0</v>
      </c>
      <c r="AA203" s="133">
        <v>0</v>
      </c>
      <c r="AB203" s="133">
        <v>0</v>
      </c>
      <c r="AC203" s="133">
        <v>0</v>
      </c>
      <c r="AD203" s="133">
        <v>0</v>
      </c>
      <c r="AE203" s="133">
        <v>0</v>
      </c>
      <c r="AF203" s="133">
        <v>0</v>
      </c>
      <c r="AG203" s="133">
        <v>0</v>
      </c>
      <c r="AH203" s="133">
        <v>0</v>
      </c>
      <c r="AI203" s="133">
        <v>0</v>
      </c>
      <c r="AJ203" s="133">
        <v>0</v>
      </c>
      <c r="AK203" s="133">
        <v>0</v>
      </c>
      <c r="AL203" s="133">
        <v>0</v>
      </c>
      <c r="AM203" s="136" t="str">
        <f>IF(ISERROR(VLOOKUP(D203,'Woodmac profile - Oil'!$D$9:$AN$266,37,FALSE)),"",VLOOKUP(D203,'Woodmac profile - Oil'!$D$9:$AN$266,37,FALSE))</f>
        <v>SUBS</v>
      </c>
      <c r="AN203" s="136" t="str">
        <f>IF(ISERROR(VLOOKUP(D203,'Woodmac profile - Gas'!$D$9:$AN$249,37,FALSE)),"",VLOOKUP(D203,'Woodmac profile - Gas'!$D$9:$AN$249,37,FALSE))</f>
        <v/>
      </c>
      <c r="AO203" s="136" t="str">
        <f t="shared" si="14"/>
        <v>SUBS</v>
      </c>
      <c r="AP203" s="132"/>
      <c r="AQ203" s="129"/>
      <c r="AR203" s="129"/>
      <c r="AS203" s="354"/>
      <c r="AT203" s="131"/>
      <c r="AU203" s="131"/>
      <c r="AV203" s="354"/>
      <c r="AW203" s="132"/>
      <c r="AX203" s="354"/>
      <c r="AY203" s="132"/>
      <c r="AZ203" s="132"/>
      <c r="BA203" s="132"/>
      <c r="BB203" s="132"/>
    </row>
    <row r="204" spans="1:54">
      <c r="A204" s="132"/>
      <c r="B204" s="133" t="s">
        <v>3369</v>
      </c>
      <c r="C204" s="133" t="s">
        <v>2926</v>
      </c>
      <c r="D204" s="133" t="s">
        <v>2985</v>
      </c>
      <c r="E204" s="133" t="s">
        <v>1927</v>
      </c>
      <c r="F204" s="133" t="s">
        <v>1928</v>
      </c>
      <c r="G204" s="133" t="s">
        <v>3374</v>
      </c>
      <c r="H204" s="133" t="s">
        <v>1930</v>
      </c>
      <c r="I204" s="133" t="s">
        <v>1933</v>
      </c>
      <c r="J204" s="133">
        <v>39.200000000000003</v>
      </c>
      <c r="K204" s="133">
        <v>55.95</v>
      </c>
      <c r="L204" s="133">
        <v>67.510000000000005</v>
      </c>
      <c r="M204" s="133">
        <v>59.27</v>
      </c>
      <c r="N204" s="133">
        <v>40.869999999999997</v>
      </c>
      <c r="O204" s="133">
        <v>80.900000000000006</v>
      </c>
      <c r="P204" s="133">
        <v>132.56</v>
      </c>
      <c r="Q204" s="133">
        <v>173.7</v>
      </c>
      <c r="R204" s="133">
        <v>143.97</v>
      </c>
      <c r="S204" s="133">
        <v>71.930000000000007</v>
      </c>
      <c r="T204" s="133">
        <v>162.25</v>
      </c>
      <c r="U204" s="133">
        <v>119.89</v>
      </c>
      <c r="V204" s="133">
        <v>322.95</v>
      </c>
      <c r="W204" s="133">
        <v>186.09</v>
      </c>
      <c r="X204" s="133">
        <v>208.84</v>
      </c>
      <c r="Y204" s="133">
        <v>161.28</v>
      </c>
      <c r="Z204" s="133">
        <v>107.52</v>
      </c>
      <c r="AA204" s="133">
        <v>53.76</v>
      </c>
      <c r="AB204" s="133">
        <v>59.96</v>
      </c>
      <c r="AC204" s="133">
        <v>53.76</v>
      </c>
      <c r="AD204" s="133">
        <v>59.96</v>
      </c>
      <c r="AE204" s="133">
        <v>53.76</v>
      </c>
      <c r="AF204" s="133">
        <v>26.88</v>
      </c>
      <c r="AG204" s="133">
        <v>16.54</v>
      </c>
      <c r="AH204" s="133">
        <v>43.42</v>
      </c>
      <c r="AI204" s="133">
        <v>37.22</v>
      </c>
      <c r="AJ204" s="133">
        <v>37.22</v>
      </c>
      <c r="AK204" s="133">
        <v>28.95</v>
      </c>
      <c r="AL204" s="133">
        <v>16.54</v>
      </c>
      <c r="AM204" s="136" t="str">
        <f>IF(ISERROR(VLOOKUP(D204,'Woodmac profile - Oil'!$D$9:$AN$266,37,FALSE)),"",VLOOKUP(D204,'Woodmac profile - Oil'!$D$9:$AN$266,37,FALSE))</f>
        <v>SUBS</v>
      </c>
      <c r="AN204" s="136" t="str">
        <f>IF(ISERROR(VLOOKUP(D204,'Woodmac profile - Gas'!$D$9:$AN$249,37,FALSE)),"",VLOOKUP(D204,'Woodmac profile - Gas'!$D$9:$AN$249,37,FALSE))</f>
        <v/>
      </c>
      <c r="AO204" s="136" t="str">
        <f t="shared" si="14"/>
        <v>SUBS</v>
      </c>
      <c r="AP204" s="132"/>
      <c r="AQ204" s="129"/>
      <c r="AR204" s="129"/>
      <c r="AS204" s="354"/>
      <c r="AT204" s="131"/>
      <c r="AU204" s="131"/>
      <c r="AV204" s="354"/>
      <c r="AW204" s="132"/>
      <c r="AX204" s="354"/>
      <c r="AY204" s="132"/>
      <c r="AZ204" s="132"/>
      <c r="BA204" s="132"/>
      <c r="BB204" s="132"/>
    </row>
    <row r="205" spans="1:54">
      <c r="A205" s="132"/>
      <c r="B205" s="133" t="s">
        <v>3369</v>
      </c>
      <c r="C205" s="133" t="s">
        <v>2926</v>
      </c>
      <c r="D205" s="133" t="s">
        <v>3529</v>
      </c>
      <c r="E205" s="133" t="s">
        <v>3372</v>
      </c>
      <c r="F205" s="133" t="s">
        <v>2960</v>
      </c>
      <c r="G205" s="133" t="s">
        <v>3374</v>
      </c>
      <c r="H205" s="133" t="s">
        <v>1930</v>
      </c>
      <c r="I205" s="133" t="s">
        <v>2605</v>
      </c>
      <c r="J205" s="133">
        <v>50</v>
      </c>
      <c r="K205" s="133">
        <v>0</v>
      </c>
      <c r="L205" s="133">
        <v>0</v>
      </c>
      <c r="M205" s="133">
        <v>0</v>
      </c>
      <c r="N205" s="133">
        <v>0</v>
      </c>
      <c r="O205" s="133">
        <v>0</v>
      </c>
      <c r="P205" s="133">
        <v>133.63999999999999</v>
      </c>
      <c r="Q205" s="133">
        <v>157.41999999999999</v>
      </c>
      <c r="R205" s="133">
        <v>131.97999999999999</v>
      </c>
      <c r="S205" s="133">
        <v>16.68</v>
      </c>
      <c r="T205" s="133">
        <v>10.89</v>
      </c>
      <c r="U205" s="133">
        <v>0</v>
      </c>
      <c r="V205" s="133">
        <v>0</v>
      </c>
      <c r="W205" s="133">
        <v>0</v>
      </c>
      <c r="X205" s="133">
        <v>0</v>
      </c>
      <c r="Y205" s="133">
        <v>0</v>
      </c>
      <c r="Z205" s="133">
        <v>0</v>
      </c>
      <c r="AA205" s="133">
        <v>270.88</v>
      </c>
      <c r="AB205" s="133">
        <v>229.2</v>
      </c>
      <c r="AC205" s="133">
        <v>278.69</v>
      </c>
      <c r="AD205" s="133">
        <v>67.72</v>
      </c>
      <c r="AE205" s="133">
        <v>5.21</v>
      </c>
      <c r="AF205" s="133">
        <v>5.21</v>
      </c>
      <c r="AG205" s="133">
        <v>7.82</v>
      </c>
      <c r="AH205" s="133">
        <v>10.42</v>
      </c>
      <c r="AI205" s="133">
        <v>10.42</v>
      </c>
      <c r="AJ205" s="133">
        <v>25.53</v>
      </c>
      <c r="AK205" s="133">
        <v>13.03</v>
      </c>
      <c r="AL205" s="133">
        <v>13.03</v>
      </c>
      <c r="AM205" s="136" t="str">
        <f>IF(ISERROR(VLOOKUP(D205,'Woodmac profile - Oil'!$D$9:$AN$266,37,FALSE)),"",VLOOKUP(D205,'Woodmac profile - Oil'!$D$9:$AN$266,37,FALSE))</f>
        <v>SUBS</v>
      </c>
      <c r="AN205" s="136" t="str">
        <f>IF(ISERROR(VLOOKUP(D205,'Woodmac profile - Gas'!$D$9:$AN$249,37,FALSE)),"",VLOOKUP(D205,'Woodmac profile - Gas'!$D$9:$AN$249,37,FALSE))</f>
        <v/>
      </c>
      <c r="AO205" s="136" t="str">
        <f t="shared" si="14"/>
        <v>SUBS</v>
      </c>
      <c r="AP205" s="132"/>
      <c r="AQ205" s="129"/>
      <c r="AR205" s="129"/>
      <c r="AS205" s="354"/>
      <c r="AT205" s="131"/>
      <c r="AU205" s="131"/>
      <c r="AV205" s="354"/>
      <c r="AW205" s="132"/>
      <c r="AX205" s="354"/>
      <c r="AY205" s="132"/>
      <c r="AZ205" s="132"/>
      <c r="BA205" s="132"/>
      <c r="BB205" s="132"/>
    </row>
    <row r="206" spans="1:54">
      <c r="A206" s="132"/>
      <c r="B206" s="133" t="s">
        <v>3369</v>
      </c>
      <c r="C206" s="133" t="s">
        <v>2926</v>
      </c>
      <c r="D206" s="133" t="s">
        <v>2986</v>
      </c>
      <c r="E206" s="133" t="s">
        <v>1927</v>
      </c>
      <c r="F206" s="133" t="s">
        <v>1928</v>
      </c>
      <c r="G206" s="133" t="s">
        <v>3374</v>
      </c>
      <c r="H206" s="133" t="s">
        <v>1930</v>
      </c>
      <c r="I206" s="133" t="s">
        <v>1933</v>
      </c>
      <c r="J206" s="133">
        <v>39.4</v>
      </c>
      <c r="K206" s="133">
        <v>12.05</v>
      </c>
      <c r="L206" s="133">
        <v>17.489999999999998</v>
      </c>
      <c r="M206" s="133">
        <v>5.3</v>
      </c>
      <c r="N206" s="133">
        <v>4.8899999999999997</v>
      </c>
      <c r="O206" s="133">
        <v>4.28</v>
      </c>
      <c r="P206" s="133">
        <v>3.55</v>
      </c>
      <c r="Q206" s="133">
        <v>1.03</v>
      </c>
      <c r="R206" s="133">
        <v>3.16</v>
      </c>
      <c r="S206" s="133">
        <v>0.87</v>
      </c>
      <c r="T206" s="133">
        <v>0.86</v>
      </c>
      <c r="U206" s="133">
        <v>0.85</v>
      </c>
      <c r="V206" s="133">
        <v>0.83</v>
      </c>
      <c r="W206" s="133">
        <v>0.62</v>
      </c>
      <c r="X206" s="133">
        <v>0.62</v>
      </c>
      <c r="Y206" s="133">
        <v>0.41</v>
      </c>
      <c r="Z206" s="133">
        <v>0.41</v>
      </c>
      <c r="AA206" s="133">
        <v>0.21</v>
      </c>
      <c r="AB206" s="133">
        <v>0.19</v>
      </c>
      <c r="AC206" s="133">
        <v>0.15</v>
      </c>
      <c r="AD206" s="133">
        <v>0.15</v>
      </c>
      <c r="AE206" s="133">
        <v>0</v>
      </c>
      <c r="AF206" s="133">
        <v>0</v>
      </c>
      <c r="AG206" s="133">
        <v>0</v>
      </c>
      <c r="AH206" s="133">
        <v>0</v>
      </c>
      <c r="AI206" s="133">
        <v>0</v>
      </c>
      <c r="AJ206" s="133">
        <v>0</v>
      </c>
      <c r="AK206" s="133">
        <v>0</v>
      </c>
      <c r="AL206" s="133">
        <v>0</v>
      </c>
      <c r="AM206" s="136" t="str">
        <f>IF(ISERROR(VLOOKUP(D206,'Woodmac profile - Oil'!$D$9:$AN$266,37,FALSE)),"",VLOOKUP(D206,'Woodmac profile - Oil'!$D$9:$AN$266,37,FALSE))</f>
        <v>SUBS</v>
      </c>
      <c r="AN206" s="136" t="str">
        <f>IF(ISERROR(VLOOKUP(D206,'Woodmac profile - Gas'!$D$9:$AN$249,37,FALSE)),"",VLOOKUP(D206,'Woodmac profile - Gas'!$D$9:$AN$249,37,FALSE))</f>
        <v/>
      </c>
      <c r="AO206" s="136" t="str">
        <f t="shared" si="14"/>
        <v>SUBS</v>
      </c>
      <c r="AP206" s="132"/>
      <c r="AQ206" s="129"/>
      <c r="AR206" s="129"/>
      <c r="AS206" s="354"/>
      <c r="AT206" s="131"/>
      <c r="AU206" s="131"/>
      <c r="AV206" s="354"/>
      <c r="AW206" s="132"/>
      <c r="AX206" s="354"/>
      <c r="AY206" s="132"/>
      <c r="AZ206" s="132"/>
      <c r="BA206" s="132"/>
      <c r="BB206" s="132"/>
    </row>
    <row r="207" spans="1:54">
      <c r="A207" s="132"/>
      <c r="B207" s="133" t="s">
        <v>3369</v>
      </c>
      <c r="C207" s="133" t="s">
        <v>2926</v>
      </c>
      <c r="D207" s="133" t="s">
        <v>3684</v>
      </c>
      <c r="E207" s="133" t="s">
        <v>1927</v>
      </c>
      <c r="F207" s="133" t="s">
        <v>1928</v>
      </c>
      <c r="G207" s="133" t="s">
        <v>3374</v>
      </c>
      <c r="H207" s="133" t="s">
        <v>1930</v>
      </c>
      <c r="I207" s="133" t="s">
        <v>1931</v>
      </c>
      <c r="J207" s="133">
        <v>50</v>
      </c>
      <c r="K207" s="133">
        <v>99.24</v>
      </c>
      <c r="L207" s="133">
        <v>119.23</v>
      </c>
      <c r="M207" s="133">
        <v>123.01</v>
      </c>
      <c r="N207" s="133">
        <v>44.68</v>
      </c>
      <c r="O207" s="133">
        <v>85.69</v>
      </c>
      <c r="P207" s="133">
        <v>29.05</v>
      </c>
      <c r="Q207" s="133">
        <v>65.3</v>
      </c>
      <c r="R207" s="133">
        <v>45.91</v>
      </c>
      <c r="S207" s="133">
        <v>25.58</v>
      </c>
      <c r="T207" s="133">
        <v>21.78</v>
      </c>
      <c r="U207" s="133">
        <v>25.75</v>
      </c>
      <c r="V207" s="133">
        <v>67.290000000000006</v>
      </c>
      <c r="W207" s="133">
        <v>35.340000000000003</v>
      </c>
      <c r="X207" s="133">
        <v>100.54</v>
      </c>
      <c r="Y207" s="133">
        <v>50.53</v>
      </c>
      <c r="Z207" s="133">
        <v>21.88</v>
      </c>
      <c r="AA207" s="133">
        <v>15.63</v>
      </c>
      <c r="AB207" s="133">
        <v>15.63</v>
      </c>
      <c r="AC207" s="133">
        <v>13.03</v>
      </c>
      <c r="AD207" s="133">
        <v>13.03</v>
      </c>
      <c r="AE207" s="133">
        <v>13.03</v>
      </c>
      <c r="AF207" s="133">
        <v>13.03</v>
      </c>
      <c r="AG207" s="133">
        <v>13.03</v>
      </c>
      <c r="AH207" s="133">
        <v>8.86</v>
      </c>
      <c r="AI207" s="133">
        <v>8.86</v>
      </c>
      <c r="AJ207" s="133">
        <v>7.82</v>
      </c>
      <c r="AK207" s="133">
        <v>7.82</v>
      </c>
      <c r="AL207" s="133">
        <v>4.17</v>
      </c>
      <c r="AM207" s="136" t="str">
        <f>IF(ISERROR(VLOOKUP(D207,'Woodmac profile - Oil'!$D$9:$AN$266,37,FALSE)),"",VLOOKUP(D207,'Woodmac profile - Oil'!$D$9:$AN$266,37,FALSE))</f>
        <v>SUBS</v>
      </c>
      <c r="AN207" s="136" t="str">
        <f>IF(ISERROR(VLOOKUP(D207,'Woodmac profile - Gas'!$D$9:$AN$249,37,FALSE)),"",VLOOKUP(D207,'Woodmac profile - Gas'!$D$9:$AN$249,37,FALSE))</f>
        <v/>
      </c>
      <c r="AO207" s="136" t="str">
        <f t="shared" si="14"/>
        <v>SUBS</v>
      </c>
      <c r="AP207" s="132"/>
      <c r="AQ207" s="129"/>
      <c r="AR207" s="129"/>
      <c r="AS207" s="354"/>
      <c r="AT207" s="131"/>
      <c r="AU207" s="131"/>
      <c r="AV207" s="354"/>
      <c r="AW207" s="132"/>
      <c r="AX207" s="354"/>
      <c r="AY207" s="132"/>
      <c r="AZ207" s="132"/>
      <c r="BA207" s="132"/>
      <c r="BB207" s="132"/>
    </row>
    <row r="208" spans="1:54">
      <c r="A208" s="132"/>
      <c r="B208" s="133" t="s">
        <v>3369</v>
      </c>
      <c r="C208" s="133" t="s">
        <v>2926</v>
      </c>
      <c r="D208" s="133" t="s">
        <v>2987</v>
      </c>
      <c r="E208" s="133" t="s">
        <v>1927</v>
      </c>
      <c r="F208" s="133" t="s">
        <v>2960</v>
      </c>
      <c r="G208" s="133" t="s">
        <v>1932</v>
      </c>
      <c r="H208" s="133" t="s">
        <v>1930</v>
      </c>
      <c r="I208" s="133" t="s">
        <v>2606</v>
      </c>
      <c r="J208" s="133">
        <v>99.84</v>
      </c>
      <c r="K208" s="133">
        <v>113.93</v>
      </c>
      <c r="L208" s="133">
        <v>114.34</v>
      </c>
      <c r="M208" s="133">
        <v>50.54</v>
      </c>
      <c r="N208" s="133">
        <v>45.29</v>
      </c>
      <c r="O208" s="133">
        <v>32.729999999999997</v>
      </c>
      <c r="P208" s="133">
        <v>31.22</v>
      </c>
      <c r="Q208" s="133">
        <v>31.62</v>
      </c>
      <c r="R208" s="133">
        <v>6.93</v>
      </c>
      <c r="S208" s="133">
        <v>24.76</v>
      </c>
      <c r="T208" s="133">
        <v>24.66</v>
      </c>
      <c r="U208" s="133">
        <v>40.72</v>
      </c>
      <c r="V208" s="133">
        <v>33.75</v>
      </c>
      <c r="W208" s="133">
        <v>0</v>
      </c>
      <c r="X208" s="133">
        <v>0</v>
      </c>
      <c r="Y208" s="133">
        <v>0</v>
      </c>
      <c r="Z208" s="133">
        <v>0</v>
      </c>
      <c r="AA208" s="133">
        <v>0</v>
      </c>
      <c r="AB208" s="133">
        <v>0</v>
      </c>
      <c r="AC208" s="133">
        <v>0</v>
      </c>
      <c r="AD208" s="133">
        <v>0</v>
      </c>
      <c r="AE208" s="133">
        <v>0</v>
      </c>
      <c r="AF208" s="133">
        <v>0</v>
      </c>
      <c r="AG208" s="133">
        <v>0</v>
      </c>
      <c r="AH208" s="133">
        <v>0</v>
      </c>
      <c r="AI208" s="133">
        <v>0</v>
      </c>
      <c r="AJ208" s="133">
        <v>0</v>
      </c>
      <c r="AK208" s="133">
        <v>0</v>
      </c>
      <c r="AL208" s="133">
        <v>0</v>
      </c>
      <c r="AM208" s="136" t="str">
        <f>IF(ISERROR(VLOOKUP(D208,'Woodmac profile - Oil'!$D$9:$AN$266,37,FALSE)),"",VLOOKUP(D208,'Woodmac profile - Oil'!$D$9:$AN$266,37,FALSE))</f>
        <v>SUBS</v>
      </c>
      <c r="AN208" s="136" t="str">
        <f>IF(ISERROR(VLOOKUP(D208,'Woodmac profile - Gas'!$D$9:$AN$249,37,FALSE)),"",VLOOKUP(D208,'Woodmac profile - Gas'!$D$9:$AN$249,37,FALSE))</f>
        <v/>
      </c>
      <c r="AO208" s="136" t="str">
        <f t="shared" si="14"/>
        <v>SUBS</v>
      </c>
      <c r="AP208" s="132"/>
      <c r="AQ208" s="129"/>
      <c r="AR208" s="129"/>
      <c r="AS208" s="354"/>
      <c r="AT208" s="131"/>
      <c r="AU208" s="131"/>
      <c r="AV208" s="354"/>
      <c r="AW208" s="132"/>
      <c r="AX208" s="354"/>
      <c r="AY208" s="132"/>
      <c r="AZ208" s="132"/>
      <c r="BA208" s="132"/>
      <c r="BB208" s="132"/>
    </row>
    <row r="209" spans="1:54">
      <c r="A209" s="132"/>
      <c r="B209" s="133" t="s">
        <v>3369</v>
      </c>
      <c r="C209" s="133" t="s">
        <v>2926</v>
      </c>
      <c r="D209" s="133" t="s">
        <v>2933</v>
      </c>
      <c r="E209" s="133" t="s">
        <v>1927</v>
      </c>
      <c r="F209" s="133" t="s">
        <v>1928</v>
      </c>
      <c r="G209" s="133" t="s">
        <v>1929</v>
      </c>
      <c r="H209" s="133" t="s">
        <v>2966</v>
      </c>
      <c r="I209" s="133" t="s">
        <v>1931</v>
      </c>
      <c r="J209" s="133">
        <v>31.92</v>
      </c>
      <c r="K209" s="133">
        <v>0</v>
      </c>
      <c r="L209" s="133">
        <v>0</v>
      </c>
      <c r="M209" s="133">
        <v>0</v>
      </c>
      <c r="N209" s="133">
        <v>0</v>
      </c>
      <c r="O209" s="133">
        <v>0</v>
      </c>
      <c r="P209" s="133">
        <v>0</v>
      </c>
      <c r="Q209" s="133">
        <v>17.41</v>
      </c>
      <c r="R209" s="133">
        <v>18.7</v>
      </c>
      <c r="S209" s="133">
        <v>30.19</v>
      </c>
      <c r="T209" s="133">
        <v>29.57</v>
      </c>
      <c r="U209" s="133">
        <v>277.33</v>
      </c>
      <c r="V209" s="133">
        <v>464.59</v>
      </c>
      <c r="W209" s="133">
        <v>424.29</v>
      </c>
      <c r="X209" s="133">
        <v>36.58</v>
      </c>
      <c r="Y209" s="133">
        <v>35.81</v>
      </c>
      <c r="Z209" s="133">
        <v>3.26</v>
      </c>
      <c r="AA209" s="133">
        <v>3.26</v>
      </c>
      <c r="AB209" s="133">
        <v>100.93</v>
      </c>
      <c r="AC209" s="133">
        <v>589.30999999999995</v>
      </c>
      <c r="AD209" s="133">
        <v>595.82000000000005</v>
      </c>
      <c r="AE209" s="133">
        <v>179.07</v>
      </c>
      <c r="AF209" s="133">
        <v>29.3</v>
      </c>
      <c r="AG209" s="133">
        <v>32.56</v>
      </c>
      <c r="AH209" s="133">
        <v>32.56</v>
      </c>
      <c r="AI209" s="133">
        <v>29.3</v>
      </c>
      <c r="AJ209" s="133">
        <v>29.3</v>
      </c>
      <c r="AK209" s="133">
        <v>29.3</v>
      </c>
      <c r="AL209" s="133">
        <v>29.3</v>
      </c>
      <c r="AM209" s="136" t="str">
        <f>IF(ISERROR(VLOOKUP(D209,'Woodmac profile - Oil'!$D$9:$AN$266,37,FALSE)),"",VLOOKUP(D209,'Woodmac profile - Oil'!$D$9:$AN$266,37,FALSE))</f>
        <v>SUBS</v>
      </c>
      <c r="AN209" s="136" t="str">
        <f>IF(ISERROR(VLOOKUP(D209,'Woodmac profile - Gas'!$D$9:$AN$249,37,FALSE)),"",VLOOKUP(D209,'Woodmac profile - Gas'!$D$9:$AN$249,37,FALSE))</f>
        <v>SUBS</v>
      </c>
      <c r="AO209" s="136" t="str">
        <f t="shared" si="14"/>
        <v>SUBS</v>
      </c>
      <c r="AP209" s="132"/>
      <c r="AQ209" s="129"/>
      <c r="AR209" s="129"/>
      <c r="AS209" s="354"/>
      <c r="AT209" s="131"/>
      <c r="AU209" s="131"/>
      <c r="AV209" s="354"/>
      <c r="AW209" s="132"/>
      <c r="AX209" s="354"/>
      <c r="AY209" s="132"/>
      <c r="AZ209" s="132"/>
      <c r="BA209" s="132"/>
      <c r="BB209" s="132"/>
    </row>
    <row r="210" spans="1:54">
      <c r="A210" s="132"/>
      <c r="B210" s="133" t="s">
        <v>3369</v>
      </c>
      <c r="C210" s="133" t="s">
        <v>2926</v>
      </c>
      <c r="D210" s="133" t="s">
        <v>3685</v>
      </c>
      <c r="E210" s="133" t="s">
        <v>1927</v>
      </c>
      <c r="F210" s="133" t="s">
        <v>1928</v>
      </c>
      <c r="G210" s="133" t="s">
        <v>3374</v>
      </c>
      <c r="H210" s="133" t="s">
        <v>116</v>
      </c>
      <c r="I210" s="133" t="s">
        <v>1931</v>
      </c>
      <c r="J210" s="133">
        <v>26.360600000000002</v>
      </c>
      <c r="K210" s="133">
        <v>179.46</v>
      </c>
      <c r="L210" s="133">
        <v>180.31</v>
      </c>
      <c r="M210" s="133">
        <v>186.38</v>
      </c>
      <c r="N210" s="133">
        <v>189.15</v>
      </c>
      <c r="O210" s="133">
        <v>143.32</v>
      </c>
      <c r="P210" s="133">
        <v>187.02</v>
      </c>
      <c r="Q210" s="133">
        <v>157.38</v>
      </c>
      <c r="R210" s="133">
        <v>138.34</v>
      </c>
      <c r="S210" s="133">
        <v>128.04</v>
      </c>
      <c r="T210" s="133">
        <v>138.61000000000001</v>
      </c>
      <c r="U210" s="133">
        <v>239.39</v>
      </c>
      <c r="V210" s="133">
        <v>265.01</v>
      </c>
      <c r="W210" s="133">
        <v>214.55</v>
      </c>
      <c r="X210" s="133">
        <v>126.28</v>
      </c>
      <c r="Y210" s="133">
        <v>104.54</v>
      </c>
      <c r="Z210" s="133">
        <v>109.45</v>
      </c>
      <c r="AA210" s="133">
        <v>94.66</v>
      </c>
      <c r="AB210" s="133">
        <v>93.65</v>
      </c>
      <c r="AC210" s="133">
        <v>96.27</v>
      </c>
      <c r="AD210" s="133">
        <v>84.7</v>
      </c>
      <c r="AE210" s="133">
        <v>82.49</v>
      </c>
      <c r="AF210" s="133">
        <v>82.76</v>
      </c>
      <c r="AG210" s="133">
        <v>76.03</v>
      </c>
      <c r="AH210" s="133">
        <v>75.89</v>
      </c>
      <c r="AI210" s="133">
        <v>70.25</v>
      </c>
      <c r="AJ210" s="133">
        <v>69.930000000000007</v>
      </c>
      <c r="AK210" s="133">
        <v>137.93</v>
      </c>
      <c r="AL210" s="133">
        <v>140.88999999999999</v>
      </c>
      <c r="AM210" s="136" t="str">
        <f>IF(ISERROR(VLOOKUP(D210,'Woodmac profile - Oil'!$D$9:$AN$266,37,FALSE)),"",VLOOKUP(D210,'Woodmac profile - Oil'!$D$9:$AN$266,37,FALSE))</f>
        <v>SUBS</v>
      </c>
      <c r="AN210" s="136" t="str">
        <f>IF(ISERROR(VLOOKUP(D210,'Woodmac profile - Gas'!$D$9:$AN$249,37,FALSE)),"",VLOOKUP(D210,'Woodmac profile - Gas'!$D$9:$AN$249,37,FALSE))</f>
        <v>SUBS</v>
      </c>
      <c r="AO210" s="136" t="str">
        <f t="shared" si="14"/>
        <v>SUBS</v>
      </c>
      <c r="AP210" s="132"/>
      <c r="AQ210" s="129"/>
      <c r="AR210" s="129"/>
      <c r="AS210" s="354"/>
      <c r="AT210" s="131"/>
      <c r="AU210" s="131"/>
      <c r="AV210" s="354"/>
      <c r="AW210" s="132"/>
      <c r="AX210" s="354"/>
      <c r="AY210" s="132"/>
      <c r="AZ210" s="132"/>
      <c r="BA210" s="132"/>
      <c r="BB210" s="132"/>
    </row>
    <row r="211" spans="1:54">
      <c r="A211" s="132"/>
      <c r="B211" s="133" t="s">
        <v>3369</v>
      </c>
      <c r="C211" s="133" t="s">
        <v>2926</v>
      </c>
      <c r="D211" s="133" t="s">
        <v>2988</v>
      </c>
      <c r="E211" s="133" t="s">
        <v>1927</v>
      </c>
      <c r="F211" s="133" t="s">
        <v>2960</v>
      </c>
      <c r="G211" s="133" t="s">
        <v>3374</v>
      </c>
      <c r="H211" s="133" t="s">
        <v>1930</v>
      </c>
      <c r="I211" s="133" t="s">
        <v>2605</v>
      </c>
      <c r="J211" s="133">
        <v>98.1</v>
      </c>
      <c r="K211" s="133">
        <v>7.0000000000000007E-2</v>
      </c>
      <c r="L211" s="133">
        <v>0.26</v>
      </c>
      <c r="M211" s="133">
        <v>0.06</v>
      </c>
      <c r="N211" s="133">
        <v>0.06</v>
      </c>
      <c r="O211" s="133">
        <v>0.06</v>
      </c>
      <c r="P211" s="133">
        <v>2.9</v>
      </c>
      <c r="Q211" s="133">
        <v>0.06</v>
      </c>
      <c r="R211" s="133">
        <v>0.06</v>
      </c>
      <c r="S211" s="133">
        <v>0.06</v>
      </c>
      <c r="T211" s="133">
        <v>0.05</v>
      </c>
      <c r="U211" s="133">
        <v>0.05</v>
      </c>
      <c r="V211" s="133">
        <v>0.04</v>
      </c>
      <c r="W211" s="133">
        <v>0</v>
      </c>
      <c r="X211" s="133">
        <v>0</v>
      </c>
      <c r="Y211" s="133">
        <v>0</v>
      </c>
      <c r="Z211" s="133">
        <v>0</v>
      </c>
      <c r="AA211" s="133">
        <v>0</v>
      </c>
      <c r="AB211" s="133">
        <v>0</v>
      </c>
      <c r="AC211" s="133">
        <v>0</v>
      </c>
      <c r="AD211" s="133">
        <v>0</v>
      </c>
      <c r="AE211" s="133">
        <v>0</v>
      </c>
      <c r="AF211" s="133">
        <v>0</v>
      </c>
      <c r="AG211" s="133">
        <v>0</v>
      </c>
      <c r="AH211" s="133">
        <v>0</v>
      </c>
      <c r="AI211" s="133">
        <v>0</v>
      </c>
      <c r="AJ211" s="133">
        <v>0</v>
      </c>
      <c r="AK211" s="133">
        <v>0</v>
      </c>
      <c r="AL211" s="133">
        <v>0</v>
      </c>
      <c r="AM211" s="136" t="str">
        <f>IF(ISERROR(VLOOKUP(D211,'Woodmac profile - Oil'!$D$9:$AN$266,37,FALSE)),"",VLOOKUP(D211,'Woodmac profile - Oil'!$D$9:$AN$266,37,FALSE))</f>
        <v>SUBS</v>
      </c>
      <c r="AN211" s="136" t="str">
        <f>IF(ISERROR(VLOOKUP(D211,'Woodmac profile - Gas'!$D$9:$AN$249,37,FALSE)),"",VLOOKUP(D211,'Woodmac profile - Gas'!$D$9:$AN$249,37,FALSE))</f>
        <v/>
      </c>
      <c r="AO211" s="136" t="str">
        <f t="shared" si="14"/>
        <v>SUBS</v>
      </c>
      <c r="AP211" s="132"/>
      <c r="AQ211" s="129"/>
      <c r="AR211" s="129"/>
      <c r="AS211" s="354"/>
      <c r="AT211" s="131"/>
      <c r="AU211" s="131"/>
      <c r="AV211" s="354"/>
      <c r="AW211" s="132"/>
      <c r="AX211" s="354"/>
      <c r="AY211" s="132"/>
      <c r="AZ211" s="132"/>
      <c r="BA211" s="132"/>
      <c r="BB211" s="132"/>
    </row>
    <row r="212" spans="1:54">
      <c r="A212" s="132"/>
      <c r="B212" s="133" t="s">
        <v>3369</v>
      </c>
      <c r="C212" s="133" t="s">
        <v>2926</v>
      </c>
      <c r="D212" s="133" t="s">
        <v>2989</v>
      </c>
      <c r="E212" s="133" t="s">
        <v>1927</v>
      </c>
      <c r="F212" s="133" t="s">
        <v>1928</v>
      </c>
      <c r="G212" s="133" t="s">
        <v>217</v>
      </c>
      <c r="H212" s="133" t="s">
        <v>1930</v>
      </c>
      <c r="I212" s="133" t="s">
        <v>1933</v>
      </c>
      <c r="J212" s="133">
        <v>39.299999999999997</v>
      </c>
      <c r="K212" s="133">
        <v>2.81</v>
      </c>
      <c r="L212" s="133">
        <v>1.56</v>
      </c>
      <c r="M212" s="133">
        <v>15.36</v>
      </c>
      <c r="N212" s="133">
        <v>10.73</v>
      </c>
      <c r="O212" s="133">
        <v>8.7799999999999994</v>
      </c>
      <c r="P212" s="133">
        <v>2.5099999999999998</v>
      </c>
      <c r="Q212" s="133">
        <v>1.38</v>
      </c>
      <c r="R212" s="133">
        <v>1.35</v>
      </c>
      <c r="S212" s="133">
        <v>4.59</v>
      </c>
      <c r="T212" s="133">
        <v>11.99</v>
      </c>
      <c r="U212" s="133">
        <v>1.27</v>
      </c>
      <c r="V212" s="133">
        <v>1.25</v>
      </c>
      <c r="W212" s="133">
        <v>1.24</v>
      </c>
      <c r="X212" s="133">
        <v>0.83</v>
      </c>
      <c r="Y212" s="133">
        <v>0.83</v>
      </c>
      <c r="Z212" s="133">
        <v>0.41</v>
      </c>
      <c r="AA212" s="133">
        <v>0.41</v>
      </c>
      <c r="AB212" s="133">
        <v>0.41</v>
      </c>
      <c r="AC212" s="133">
        <v>0</v>
      </c>
      <c r="AD212" s="133">
        <v>0</v>
      </c>
      <c r="AE212" s="133">
        <v>0</v>
      </c>
      <c r="AF212" s="133">
        <v>0</v>
      </c>
      <c r="AG212" s="133">
        <v>0</v>
      </c>
      <c r="AH212" s="133">
        <v>0</v>
      </c>
      <c r="AI212" s="133">
        <v>0</v>
      </c>
      <c r="AJ212" s="133">
        <v>0</v>
      </c>
      <c r="AK212" s="133">
        <v>0</v>
      </c>
      <c r="AL212" s="133">
        <v>0</v>
      </c>
      <c r="AM212" s="136" t="str">
        <f>IF(ISERROR(VLOOKUP(D212,'Woodmac profile - Oil'!$D$9:$AN$266,37,FALSE)),"",VLOOKUP(D212,'Woodmac profile - Oil'!$D$9:$AN$266,37,FALSE))</f>
        <v>SUBS</v>
      </c>
      <c r="AN212" s="136" t="str">
        <f>IF(ISERROR(VLOOKUP(D212,'Woodmac profile - Gas'!$D$9:$AN$249,37,FALSE)),"",VLOOKUP(D212,'Woodmac profile - Gas'!$D$9:$AN$249,37,FALSE))</f>
        <v/>
      </c>
      <c r="AO212" s="136" t="str">
        <f t="shared" si="14"/>
        <v>SUBS</v>
      </c>
      <c r="AP212" s="132"/>
      <c r="AQ212" s="129"/>
      <c r="AR212" s="129"/>
      <c r="AS212" s="354"/>
      <c r="AT212" s="131"/>
      <c r="AU212" s="131"/>
      <c r="AV212" s="354"/>
      <c r="AW212" s="132"/>
      <c r="AX212" s="354"/>
      <c r="AY212" s="132"/>
      <c r="AZ212" s="132"/>
      <c r="BA212" s="132"/>
      <c r="BB212" s="132"/>
    </row>
    <row r="213" spans="1:54">
      <c r="A213" s="132"/>
      <c r="B213" s="133" t="s">
        <v>3369</v>
      </c>
      <c r="C213" s="133" t="s">
        <v>2926</v>
      </c>
      <c r="D213" s="133" t="s">
        <v>2990</v>
      </c>
      <c r="E213" s="133" t="s">
        <v>1927</v>
      </c>
      <c r="F213" s="133" t="s">
        <v>1928</v>
      </c>
      <c r="G213" s="133" t="s">
        <v>3374</v>
      </c>
      <c r="H213" s="133" t="s">
        <v>1930</v>
      </c>
      <c r="I213" s="133" t="s">
        <v>1933</v>
      </c>
      <c r="J213" s="133">
        <v>39.299999999999997</v>
      </c>
      <c r="K213" s="133">
        <v>8.01</v>
      </c>
      <c r="L213" s="133">
        <v>15.88</v>
      </c>
      <c r="M213" s="133">
        <v>25.18</v>
      </c>
      <c r="N213" s="133">
        <v>15.85</v>
      </c>
      <c r="O213" s="133">
        <v>28.46</v>
      </c>
      <c r="P213" s="133">
        <v>25.12</v>
      </c>
      <c r="Q213" s="133">
        <v>29.79</v>
      </c>
      <c r="R213" s="133">
        <v>23.68</v>
      </c>
      <c r="S213" s="133">
        <v>31.69</v>
      </c>
      <c r="T213" s="133">
        <v>14.98</v>
      </c>
      <c r="U213" s="133">
        <v>12.65</v>
      </c>
      <c r="V213" s="133">
        <v>16.600000000000001</v>
      </c>
      <c r="W213" s="133">
        <v>16.579999999999998</v>
      </c>
      <c r="X213" s="133">
        <v>9.33</v>
      </c>
      <c r="Y213" s="133">
        <v>4.1500000000000004</v>
      </c>
      <c r="Z213" s="133">
        <v>4.1500000000000004</v>
      </c>
      <c r="AA213" s="133">
        <v>6.22</v>
      </c>
      <c r="AB213" s="133">
        <v>6.22</v>
      </c>
      <c r="AC213" s="133">
        <v>4.1500000000000004</v>
      </c>
      <c r="AD213" s="133">
        <v>4.1500000000000004</v>
      </c>
      <c r="AE213" s="133">
        <v>4.1500000000000004</v>
      </c>
      <c r="AF213" s="133">
        <v>2.0699999999999998</v>
      </c>
      <c r="AG213" s="133">
        <v>2.0699999999999998</v>
      </c>
      <c r="AH213" s="133">
        <v>2.0699999999999998</v>
      </c>
      <c r="AI213" s="133">
        <v>2.0699999999999998</v>
      </c>
      <c r="AJ213" s="133">
        <v>0</v>
      </c>
      <c r="AK213" s="133">
        <v>0</v>
      </c>
      <c r="AL213" s="133">
        <v>0</v>
      </c>
      <c r="AM213" s="136" t="str">
        <f>IF(ISERROR(VLOOKUP(D213,'Woodmac profile - Oil'!$D$9:$AN$266,37,FALSE)),"",VLOOKUP(D213,'Woodmac profile - Oil'!$D$9:$AN$266,37,FALSE))</f>
        <v>SUBS</v>
      </c>
      <c r="AN213" s="136" t="str">
        <f>IF(ISERROR(VLOOKUP(D213,'Woodmac profile - Gas'!$D$9:$AN$249,37,FALSE)),"",VLOOKUP(D213,'Woodmac profile - Gas'!$D$9:$AN$249,37,FALSE))</f>
        <v/>
      </c>
      <c r="AO213" s="136" t="str">
        <f t="shared" si="14"/>
        <v>SUBS</v>
      </c>
      <c r="AP213" s="132"/>
      <c r="AQ213" s="129"/>
      <c r="AR213" s="129"/>
      <c r="AS213" s="354"/>
      <c r="AT213" s="131"/>
      <c r="AU213" s="131"/>
      <c r="AV213" s="354"/>
      <c r="AW213" s="132"/>
      <c r="AX213" s="354"/>
      <c r="AY213" s="132"/>
      <c r="AZ213" s="132"/>
      <c r="BA213" s="132"/>
      <c r="BB213" s="132"/>
    </row>
    <row r="214" spans="1:54">
      <c r="A214" s="132"/>
      <c r="B214" s="133" t="s">
        <v>3369</v>
      </c>
      <c r="C214" s="133" t="s">
        <v>2926</v>
      </c>
      <c r="D214" s="133" t="s">
        <v>159</v>
      </c>
      <c r="E214" s="133" t="s">
        <v>1927</v>
      </c>
      <c r="F214" s="133" t="s">
        <v>1928</v>
      </c>
      <c r="G214" s="133" t="s">
        <v>217</v>
      </c>
      <c r="H214" s="133" t="s">
        <v>1930</v>
      </c>
      <c r="I214" s="133" t="s">
        <v>1931</v>
      </c>
      <c r="J214" s="133">
        <v>38.299999999999997</v>
      </c>
      <c r="K214" s="133">
        <v>24.04</v>
      </c>
      <c r="L214" s="133">
        <v>40.090000000000003</v>
      </c>
      <c r="M214" s="133">
        <v>105.97</v>
      </c>
      <c r="N214" s="133">
        <v>83.86</v>
      </c>
      <c r="O214" s="133">
        <v>40.659999999999997</v>
      </c>
      <c r="P214" s="133">
        <v>17.21</v>
      </c>
      <c r="Q214" s="133">
        <v>10.79</v>
      </c>
      <c r="R214" s="133">
        <v>12.75</v>
      </c>
      <c r="S214" s="133">
        <v>14.41</v>
      </c>
      <c r="T214" s="133">
        <v>12.1</v>
      </c>
      <c r="U214" s="133">
        <v>14.15</v>
      </c>
      <c r="V214" s="133">
        <v>12.54</v>
      </c>
      <c r="W214" s="133">
        <v>12.52</v>
      </c>
      <c r="X214" s="133">
        <v>34.549999999999997</v>
      </c>
      <c r="Y214" s="133">
        <v>110.1</v>
      </c>
      <c r="Z214" s="133">
        <v>97.78</v>
      </c>
      <c r="AA214" s="133">
        <v>27.48</v>
      </c>
      <c r="AB214" s="133">
        <v>23.84</v>
      </c>
      <c r="AC214" s="133">
        <v>12.93</v>
      </c>
      <c r="AD214" s="133">
        <v>13.33</v>
      </c>
      <c r="AE214" s="133">
        <v>13.33</v>
      </c>
      <c r="AF214" s="133">
        <v>13.33</v>
      </c>
      <c r="AG214" s="133">
        <v>13.33</v>
      </c>
      <c r="AH214" s="133">
        <v>13.74</v>
      </c>
      <c r="AI214" s="133">
        <v>13.74</v>
      </c>
      <c r="AJ214" s="133">
        <v>13.74</v>
      </c>
      <c r="AK214" s="133">
        <v>13.74</v>
      </c>
      <c r="AL214" s="133">
        <v>8.08</v>
      </c>
      <c r="AM214" s="136" t="str">
        <f>IF(ISERROR(VLOOKUP(D214,'Woodmac profile - Oil'!$D$9:$AN$266,37,FALSE)),"",VLOOKUP(D214,'Woodmac profile - Oil'!$D$9:$AN$266,37,FALSE))</f>
        <v>SUBS</v>
      </c>
      <c r="AN214" s="136" t="str">
        <f>IF(ISERROR(VLOOKUP(D214,'Woodmac profile - Gas'!$D$9:$AN$249,37,FALSE)),"",VLOOKUP(D214,'Woodmac profile - Gas'!$D$9:$AN$249,37,FALSE))</f>
        <v/>
      </c>
      <c r="AO214" s="136" t="str">
        <f t="shared" si="14"/>
        <v>SUBS</v>
      </c>
      <c r="AP214" s="132"/>
      <c r="AQ214" s="129"/>
      <c r="AR214" s="129"/>
      <c r="AS214" s="354"/>
      <c r="AT214" s="131"/>
      <c r="AU214" s="131"/>
      <c r="AV214" s="354"/>
      <c r="AW214" s="132"/>
      <c r="AX214" s="354"/>
      <c r="AY214" s="132"/>
      <c r="AZ214" s="132"/>
      <c r="BA214" s="132"/>
      <c r="BB214" s="132"/>
    </row>
    <row r="215" spans="1:54">
      <c r="A215" s="132"/>
      <c r="B215" s="133" t="s">
        <v>3369</v>
      </c>
      <c r="C215" s="133" t="s">
        <v>160</v>
      </c>
      <c r="D215" s="133" t="s">
        <v>161</v>
      </c>
      <c r="E215" s="133" t="s">
        <v>1927</v>
      </c>
      <c r="F215" s="133" t="s">
        <v>3373</v>
      </c>
      <c r="G215" s="133" t="s">
        <v>3374</v>
      </c>
      <c r="H215" s="133" t="s">
        <v>116</v>
      </c>
      <c r="I215" s="133" t="s">
        <v>2607</v>
      </c>
      <c r="J215" s="133">
        <v>56</v>
      </c>
      <c r="K215" s="133">
        <v>456.76</v>
      </c>
      <c r="L215" s="133">
        <v>652.88</v>
      </c>
      <c r="M215" s="133">
        <v>315.73</v>
      </c>
      <c r="N215" s="133">
        <v>396.2</v>
      </c>
      <c r="O215" s="133">
        <v>395.36</v>
      </c>
      <c r="P215" s="133">
        <v>257.06</v>
      </c>
      <c r="Q215" s="133">
        <v>333.02</v>
      </c>
      <c r="R215" s="133">
        <v>263.51</v>
      </c>
      <c r="S215" s="133">
        <v>230.42</v>
      </c>
      <c r="T215" s="133">
        <v>603.86</v>
      </c>
      <c r="U215" s="133">
        <v>615.97</v>
      </c>
      <c r="V215" s="133">
        <v>402.21</v>
      </c>
      <c r="W215" s="133">
        <v>372.19</v>
      </c>
      <c r="X215" s="133">
        <v>192.53</v>
      </c>
      <c r="Y215" s="133">
        <v>145.66</v>
      </c>
      <c r="Z215" s="133">
        <v>97.1</v>
      </c>
      <c r="AA215" s="133">
        <v>79.97</v>
      </c>
      <c r="AB215" s="133">
        <v>148.51</v>
      </c>
      <c r="AC215" s="133">
        <v>137.09</v>
      </c>
      <c r="AD215" s="133">
        <v>177.07</v>
      </c>
      <c r="AE215" s="133">
        <v>131.38</v>
      </c>
      <c r="AF215" s="133">
        <v>165.65</v>
      </c>
      <c r="AG215" s="133">
        <v>85.68</v>
      </c>
      <c r="AH215" s="133">
        <v>39.979999999999997</v>
      </c>
      <c r="AI215" s="133">
        <v>39.979999999999997</v>
      </c>
      <c r="AJ215" s="133">
        <v>39.979999999999997</v>
      </c>
      <c r="AK215" s="133">
        <v>0</v>
      </c>
      <c r="AL215" s="133">
        <v>0</v>
      </c>
      <c r="AM215" s="136" t="str">
        <f>IF(ISERROR(VLOOKUP(D215,'Woodmac profile - Oil'!$D$9:$AN$266,37,FALSE)),"",VLOOKUP(D215,'Woodmac profile - Oil'!$D$9:$AN$266,37,FALSE))</f>
        <v>SUBS</v>
      </c>
      <c r="AN215" s="136" t="str">
        <f>IF(ISERROR(VLOOKUP(D215,'Woodmac profile - Gas'!$D$9:$AN$249,37,FALSE)),"",VLOOKUP(D215,'Woodmac profile - Gas'!$D$9:$AN$249,37,FALSE))</f>
        <v>SUBS</v>
      </c>
      <c r="AO215" s="136" t="str">
        <f t="shared" si="14"/>
        <v>SUBS</v>
      </c>
      <c r="AP215" s="132"/>
      <c r="AQ215" s="129"/>
      <c r="AR215" s="129"/>
      <c r="AS215" s="354"/>
      <c r="AT215" s="131"/>
      <c r="AU215" s="131"/>
      <c r="AV215" s="354"/>
      <c r="AW215" s="132"/>
      <c r="AX215" s="354"/>
      <c r="AY215" s="132"/>
      <c r="AZ215" s="132"/>
      <c r="BA215" s="132"/>
      <c r="BB215" s="132"/>
    </row>
    <row r="216" spans="1:54">
      <c r="A216" s="132"/>
      <c r="B216" s="133" t="s">
        <v>3369</v>
      </c>
      <c r="C216" s="133" t="s">
        <v>160</v>
      </c>
      <c r="D216" s="133" t="s">
        <v>2301</v>
      </c>
      <c r="E216" s="133" t="s">
        <v>1927</v>
      </c>
      <c r="F216" s="133" t="s">
        <v>2960</v>
      </c>
      <c r="G216" s="133" t="s">
        <v>3374</v>
      </c>
      <c r="H216" s="133" t="s">
        <v>116</v>
      </c>
      <c r="I216" s="133" t="s">
        <v>2600</v>
      </c>
      <c r="J216" s="133">
        <v>24.09</v>
      </c>
      <c r="K216" s="133">
        <v>9.82</v>
      </c>
      <c r="L216" s="133">
        <v>11.17</v>
      </c>
      <c r="M216" s="133">
        <v>9.26</v>
      </c>
      <c r="N216" s="133">
        <v>1.5</v>
      </c>
      <c r="O216" s="133">
        <v>0</v>
      </c>
      <c r="P216" s="133">
        <v>0</v>
      </c>
      <c r="Q216" s="133">
        <v>0</v>
      </c>
      <c r="R216" s="133">
        <v>0</v>
      </c>
      <c r="S216" s="133">
        <v>0</v>
      </c>
      <c r="T216" s="133">
        <v>0</v>
      </c>
      <c r="U216" s="133">
        <v>0</v>
      </c>
      <c r="V216" s="133">
        <v>0</v>
      </c>
      <c r="W216" s="133">
        <v>0</v>
      </c>
      <c r="X216" s="133">
        <v>0</v>
      </c>
      <c r="Y216" s="133">
        <v>0</v>
      </c>
      <c r="Z216" s="133">
        <v>0</v>
      </c>
      <c r="AA216" s="133">
        <v>0</v>
      </c>
      <c r="AB216" s="133">
        <v>0</v>
      </c>
      <c r="AC216" s="133">
        <v>0</v>
      </c>
      <c r="AD216" s="133">
        <v>0</v>
      </c>
      <c r="AE216" s="133">
        <v>0</v>
      </c>
      <c r="AF216" s="133">
        <v>0</v>
      </c>
      <c r="AG216" s="133">
        <v>0</v>
      </c>
      <c r="AH216" s="133">
        <v>0</v>
      </c>
      <c r="AI216" s="133">
        <v>0</v>
      </c>
      <c r="AJ216" s="133">
        <v>0</v>
      </c>
      <c r="AK216" s="133">
        <v>0</v>
      </c>
      <c r="AL216" s="133">
        <v>0</v>
      </c>
      <c r="AM216" s="136" t="str">
        <f>IF(ISERROR(VLOOKUP(D216,'Woodmac profile - Oil'!$D$9:$AN$266,37,FALSE)),"",VLOOKUP(D216,'Woodmac profile - Oil'!$D$9:$AN$266,37,FALSE))</f>
        <v>SUBS</v>
      </c>
      <c r="AN216" s="136" t="str">
        <f>IF(ISERROR(VLOOKUP(D216,'Woodmac profile - Gas'!$D$9:$AN$249,37,FALSE)),"",VLOOKUP(D216,'Woodmac profile - Gas'!$D$9:$AN$249,37,FALSE))</f>
        <v>SUBS</v>
      </c>
      <c r="AO216" s="136" t="str">
        <f t="shared" si="14"/>
        <v>SUBS</v>
      </c>
      <c r="AP216" s="132"/>
      <c r="AQ216" s="129"/>
      <c r="AR216" s="129"/>
      <c r="AS216" s="354"/>
      <c r="AT216" s="131"/>
      <c r="AU216" s="131"/>
      <c r="AV216" s="354"/>
      <c r="AW216" s="132"/>
      <c r="AX216" s="354"/>
      <c r="AY216" s="132"/>
      <c r="AZ216" s="132"/>
      <c r="BA216" s="132"/>
      <c r="BB216" s="132"/>
    </row>
    <row r="217" spans="1:54">
      <c r="A217" s="132"/>
      <c r="B217" s="133" t="s">
        <v>3369</v>
      </c>
      <c r="C217" s="133" t="s">
        <v>160</v>
      </c>
      <c r="D217" s="133" t="s">
        <v>3686</v>
      </c>
      <c r="E217" s="133" t="s">
        <v>2970</v>
      </c>
      <c r="F217" s="133" t="s">
        <v>2973</v>
      </c>
      <c r="G217" s="133" t="s">
        <v>3374</v>
      </c>
      <c r="H217" s="133" t="s">
        <v>116</v>
      </c>
      <c r="I217" s="133" t="s">
        <v>2571</v>
      </c>
      <c r="J217" s="133">
        <v>66.67</v>
      </c>
      <c r="K217" s="133">
        <v>0</v>
      </c>
      <c r="L217" s="133">
        <v>0</v>
      </c>
      <c r="M217" s="133">
        <v>0</v>
      </c>
      <c r="N217" s="133">
        <v>0</v>
      </c>
      <c r="O217" s="133">
        <v>0</v>
      </c>
      <c r="P217" s="133">
        <v>0</v>
      </c>
      <c r="Q217" s="133">
        <v>0</v>
      </c>
      <c r="R217" s="133">
        <v>0</v>
      </c>
      <c r="S217" s="133">
        <v>0</v>
      </c>
      <c r="T217" s="133">
        <v>0</v>
      </c>
      <c r="U217" s="133">
        <v>0</v>
      </c>
      <c r="V217" s="133">
        <v>0</v>
      </c>
      <c r="W217" s="133">
        <v>0</v>
      </c>
      <c r="X217" s="133">
        <v>60.78</v>
      </c>
      <c r="Y217" s="133">
        <v>51</v>
      </c>
      <c r="Z217" s="133">
        <v>57.8</v>
      </c>
      <c r="AA217" s="133">
        <v>40.799999999999997</v>
      </c>
      <c r="AB217" s="133">
        <v>0</v>
      </c>
      <c r="AC217" s="133">
        <v>0</v>
      </c>
      <c r="AD217" s="133">
        <v>0</v>
      </c>
      <c r="AE217" s="133">
        <v>0</v>
      </c>
      <c r="AF217" s="133">
        <v>0</v>
      </c>
      <c r="AG217" s="133">
        <v>0</v>
      </c>
      <c r="AH217" s="133">
        <v>0</v>
      </c>
      <c r="AI217" s="133">
        <v>0</v>
      </c>
      <c r="AJ217" s="133">
        <v>23.8</v>
      </c>
      <c r="AK217" s="133">
        <v>0</v>
      </c>
      <c r="AL217" s="133">
        <v>0</v>
      </c>
      <c r="AM217" s="136" t="str">
        <f>IF(ISERROR(VLOOKUP(D217,'Woodmac profile - Oil'!$D$9:$AN$266,37,FALSE)),"",VLOOKUP(D217,'Woodmac profile - Oil'!$D$9:$AN$266,37,FALSE))</f>
        <v>SUBS</v>
      </c>
      <c r="AN217" s="136" t="str">
        <f>IF(ISERROR(VLOOKUP(D217,'Woodmac profile - Gas'!$D$9:$AN$249,37,FALSE)),"",VLOOKUP(D217,'Woodmac profile - Gas'!$D$9:$AN$249,37,FALSE))</f>
        <v>SUBS</v>
      </c>
      <c r="AO217" s="136" t="str">
        <f t="shared" si="14"/>
        <v>SUBS</v>
      </c>
      <c r="AP217" s="132"/>
      <c r="AQ217" s="129"/>
      <c r="AR217" s="129"/>
      <c r="AS217" s="354"/>
      <c r="AT217" s="131"/>
      <c r="AU217" s="131"/>
      <c r="AV217" s="354"/>
      <c r="AW217" s="132"/>
      <c r="AX217" s="354"/>
      <c r="AY217" s="132"/>
      <c r="AZ217" s="132"/>
      <c r="BA217" s="132"/>
      <c r="BB217" s="132"/>
    </row>
    <row r="218" spans="1:54">
      <c r="A218" s="132"/>
      <c r="B218" s="133" t="s">
        <v>3369</v>
      </c>
      <c r="C218" s="133" t="s">
        <v>160</v>
      </c>
      <c r="D218" s="133" t="s">
        <v>2303</v>
      </c>
      <c r="E218" s="133" t="s">
        <v>1927</v>
      </c>
      <c r="F218" s="133" t="s">
        <v>2973</v>
      </c>
      <c r="G218" s="133" t="s">
        <v>1932</v>
      </c>
      <c r="H218" s="133" t="s">
        <v>116</v>
      </c>
      <c r="I218" s="133" t="s">
        <v>2571</v>
      </c>
      <c r="J218" s="133">
        <v>100</v>
      </c>
      <c r="K218" s="133">
        <v>0</v>
      </c>
      <c r="L218" s="133">
        <v>0</v>
      </c>
      <c r="M218" s="133">
        <v>0</v>
      </c>
      <c r="N218" s="133">
        <v>0</v>
      </c>
      <c r="O218" s="133">
        <v>31.68</v>
      </c>
      <c r="P218" s="133">
        <v>213.53</v>
      </c>
      <c r="Q218" s="133">
        <v>91.82</v>
      </c>
      <c r="R218" s="133">
        <v>0</v>
      </c>
      <c r="S218" s="133">
        <v>0</v>
      </c>
      <c r="T218" s="133">
        <v>0</v>
      </c>
      <c r="U218" s="133">
        <v>0</v>
      </c>
      <c r="V218" s="133">
        <v>0</v>
      </c>
      <c r="W218" s="133">
        <v>0</v>
      </c>
      <c r="X218" s="133">
        <v>0</v>
      </c>
      <c r="Y218" s="133">
        <v>0</v>
      </c>
      <c r="Z218" s="133">
        <v>0</v>
      </c>
      <c r="AA218" s="133">
        <v>0</v>
      </c>
      <c r="AB218" s="133">
        <v>0</v>
      </c>
      <c r="AC218" s="133">
        <v>0</v>
      </c>
      <c r="AD218" s="133">
        <v>0</v>
      </c>
      <c r="AE218" s="133">
        <v>0</v>
      </c>
      <c r="AF218" s="133">
        <v>0</v>
      </c>
      <c r="AG218" s="133">
        <v>0</v>
      </c>
      <c r="AH218" s="133">
        <v>0</v>
      </c>
      <c r="AI218" s="133">
        <v>0</v>
      </c>
      <c r="AJ218" s="133">
        <v>0</v>
      </c>
      <c r="AK218" s="133">
        <v>0</v>
      </c>
      <c r="AL218" s="133">
        <v>0</v>
      </c>
      <c r="AM218" s="136" t="str">
        <f>IF(ISERROR(VLOOKUP(D218,'Woodmac profile - Oil'!$D$9:$AN$266,37,FALSE)),"",VLOOKUP(D218,'Woodmac profile - Oil'!$D$9:$AN$266,37,FALSE))</f>
        <v>SUBS</v>
      </c>
      <c r="AN218" s="136" t="str">
        <f>IF(ISERROR(VLOOKUP(D218,'Woodmac profile - Gas'!$D$9:$AN$249,37,FALSE)),"",VLOOKUP(D218,'Woodmac profile - Gas'!$D$9:$AN$249,37,FALSE))</f>
        <v>SUBS</v>
      </c>
      <c r="AO218" s="136" t="str">
        <f t="shared" si="14"/>
        <v>SUBS</v>
      </c>
      <c r="AP218" s="132"/>
      <c r="AQ218" s="129"/>
      <c r="AR218" s="129"/>
      <c r="AS218" s="354"/>
      <c r="AT218" s="131"/>
      <c r="AU218" s="131"/>
      <c r="AV218" s="354"/>
      <c r="AW218" s="132"/>
      <c r="AX218" s="354"/>
      <c r="AY218" s="132"/>
      <c r="AZ218" s="132"/>
      <c r="BA218" s="132"/>
      <c r="BB218" s="132"/>
    </row>
    <row r="219" spans="1:54">
      <c r="A219" s="132"/>
      <c r="B219" s="133" t="s">
        <v>3369</v>
      </c>
      <c r="C219" s="133" t="s">
        <v>160</v>
      </c>
      <c r="D219" s="133" t="s">
        <v>324</v>
      </c>
      <c r="E219" s="133" t="s">
        <v>1927</v>
      </c>
      <c r="F219" s="133" t="s">
        <v>2973</v>
      </c>
      <c r="G219" s="133" t="s">
        <v>3374</v>
      </c>
      <c r="H219" s="133" t="s">
        <v>116</v>
      </c>
      <c r="I219" s="133" t="s">
        <v>3558</v>
      </c>
      <c r="J219" s="133">
        <v>33.33</v>
      </c>
      <c r="K219" s="133">
        <v>0</v>
      </c>
      <c r="L219" s="133">
        <v>0</v>
      </c>
      <c r="M219" s="133">
        <v>54.24</v>
      </c>
      <c r="N219" s="133">
        <v>16.55</v>
      </c>
      <c r="O219" s="133">
        <v>0</v>
      </c>
      <c r="P219" s="133">
        <v>0</v>
      </c>
      <c r="Q219" s="133">
        <v>0</v>
      </c>
      <c r="R219" s="133">
        <v>0</v>
      </c>
      <c r="S219" s="133">
        <v>51.89</v>
      </c>
      <c r="T219" s="133">
        <v>47.2</v>
      </c>
      <c r="U219" s="133">
        <v>53.65</v>
      </c>
      <c r="V219" s="133">
        <v>88.01</v>
      </c>
      <c r="W219" s="133">
        <v>1.76</v>
      </c>
      <c r="X219" s="133">
        <v>0</v>
      </c>
      <c r="Y219" s="133">
        <v>0</v>
      </c>
      <c r="Z219" s="133">
        <v>0</v>
      </c>
      <c r="AA219" s="133">
        <v>0</v>
      </c>
      <c r="AB219" s="133">
        <v>0</v>
      </c>
      <c r="AC219" s="133">
        <v>0</v>
      </c>
      <c r="AD219" s="133">
        <v>0</v>
      </c>
      <c r="AE219" s="133">
        <v>0</v>
      </c>
      <c r="AF219" s="133">
        <v>0</v>
      </c>
      <c r="AG219" s="133">
        <v>0</v>
      </c>
      <c r="AH219" s="133">
        <v>0</v>
      </c>
      <c r="AI219" s="133">
        <v>0</v>
      </c>
      <c r="AJ219" s="133">
        <v>0</v>
      </c>
      <c r="AK219" s="133">
        <v>0</v>
      </c>
      <c r="AL219" s="133">
        <v>0</v>
      </c>
      <c r="AM219" s="136" t="str">
        <f>IF(ISERROR(VLOOKUP(D219,'Woodmac profile - Oil'!$D$9:$AN$266,37,FALSE)),"",VLOOKUP(D219,'Woodmac profile - Oil'!$D$9:$AN$266,37,FALSE))</f>
        <v>SUBS</v>
      </c>
      <c r="AN219" s="136" t="str">
        <f>IF(ISERROR(VLOOKUP(D219,'Woodmac profile - Gas'!$D$9:$AN$249,37,FALSE)),"",VLOOKUP(D219,'Woodmac profile - Gas'!$D$9:$AN$249,37,FALSE))</f>
        <v>SUBS</v>
      </c>
      <c r="AO219" s="136" t="str">
        <f t="shared" si="14"/>
        <v>SUBS</v>
      </c>
      <c r="AP219" s="132"/>
      <c r="AQ219" s="129"/>
      <c r="AR219" s="129"/>
      <c r="AS219" s="354"/>
      <c r="AT219" s="131"/>
      <c r="AU219" s="131"/>
      <c r="AV219" s="354"/>
      <c r="AW219" s="132"/>
      <c r="AX219" s="354"/>
      <c r="AY219" s="132"/>
      <c r="AZ219" s="132"/>
      <c r="BA219" s="132"/>
      <c r="BB219" s="132"/>
    </row>
    <row r="220" spans="1:54">
      <c r="A220" s="132"/>
      <c r="B220" s="133" t="s">
        <v>3369</v>
      </c>
      <c r="C220" s="133" t="s">
        <v>160</v>
      </c>
      <c r="D220" s="133" t="s">
        <v>325</v>
      </c>
      <c r="E220" s="133" t="s">
        <v>1927</v>
      </c>
      <c r="F220" s="133" t="s">
        <v>3373</v>
      </c>
      <c r="G220" s="133" t="s">
        <v>3374</v>
      </c>
      <c r="H220" s="133" t="s">
        <v>116</v>
      </c>
      <c r="I220" s="133" t="s">
        <v>2608</v>
      </c>
      <c r="J220" s="133">
        <v>33.33</v>
      </c>
      <c r="K220" s="133">
        <v>0</v>
      </c>
      <c r="L220" s="133">
        <v>0</v>
      </c>
      <c r="M220" s="133">
        <v>0</v>
      </c>
      <c r="N220" s="133">
        <v>51.71</v>
      </c>
      <c r="O220" s="133">
        <v>315.76</v>
      </c>
      <c r="P220" s="133">
        <v>300.18</v>
      </c>
      <c r="Q220" s="133">
        <v>342.01</v>
      </c>
      <c r="R220" s="133">
        <v>107.11</v>
      </c>
      <c r="S220" s="133">
        <v>131.58000000000001</v>
      </c>
      <c r="T220" s="133">
        <v>96.2</v>
      </c>
      <c r="U220" s="133">
        <v>125.18</v>
      </c>
      <c r="V220" s="133">
        <v>123.21</v>
      </c>
      <c r="W220" s="133">
        <v>88.61</v>
      </c>
      <c r="X220" s="133">
        <v>149.32</v>
      </c>
      <c r="Y220" s="133">
        <v>86.69</v>
      </c>
      <c r="Z220" s="133">
        <v>62.89</v>
      </c>
      <c r="AA220" s="133">
        <v>62.89</v>
      </c>
      <c r="AB220" s="133">
        <v>57.79</v>
      </c>
      <c r="AC220" s="133">
        <v>57.79</v>
      </c>
      <c r="AD220" s="133">
        <v>54.39</v>
      </c>
      <c r="AE220" s="133">
        <v>0</v>
      </c>
      <c r="AF220" s="133">
        <v>0</v>
      </c>
      <c r="AG220" s="133">
        <v>0</v>
      </c>
      <c r="AH220" s="133">
        <v>0</v>
      </c>
      <c r="AI220" s="133">
        <v>0</v>
      </c>
      <c r="AJ220" s="133">
        <v>0</v>
      </c>
      <c r="AK220" s="133">
        <v>0</v>
      </c>
      <c r="AL220" s="133">
        <v>0</v>
      </c>
      <c r="AM220" s="136" t="str">
        <f>IF(ISERROR(VLOOKUP(D220,'Woodmac profile - Oil'!$D$9:$AN$266,37,FALSE)),"",VLOOKUP(D220,'Woodmac profile - Oil'!$D$9:$AN$266,37,FALSE))</f>
        <v>SUBS</v>
      </c>
      <c r="AN220" s="136" t="str">
        <f>IF(ISERROR(VLOOKUP(D220,'Woodmac profile - Gas'!$D$9:$AN$249,37,FALSE)),"",VLOOKUP(D220,'Woodmac profile - Gas'!$D$9:$AN$249,37,FALSE))</f>
        <v>SUBS</v>
      </c>
      <c r="AO220" s="136" t="str">
        <f t="shared" si="14"/>
        <v>SUBS</v>
      </c>
      <c r="AP220" s="132"/>
      <c r="AQ220" s="129"/>
      <c r="AR220" s="129"/>
      <c r="AS220" s="354"/>
      <c r="AT220" s="131"/>
      <c r="AU220" s="131"/>
      <c r="AV220" s="354"/>
      <c r="AW220" s="132"/>
      <c r="AX220" s="354"/>
      <c r="AY220" s="132"/>
      <c r="AZ220" s="132"/>
      <c r="BA220" s="132"/>
      <c r="BB220" s="132"/>
    </row>
    <row r="221" spans="1:54">
      <c r="A221" s="132"/>
      <c r="B221" s="133" t="s">
        <v>3369</v>
      </c>
      <c r="C221" s="133" t="s">
        <v>160</v>
      </c>
      <c r="D221" s="133" t="s">
        <v>326</v>
      </c>
      <c r="E221" s="133" t="s">
        <v>1927</v>
      </c>
      <c r="F221" s="133" t="s">
        <v>2973</v>
      </c>
      <c r="G221" s="133" t="s">
        <v>3374</v>
      </c>
      <c r="H221" s="133" t="s">
        <v>116</v>
      </c>
      <c r="I221" s="133" t="s">
        <v>2608</v>
      </c>
      <c r="J221" s="133">
        <v>33.33</v>
      </c>
      <c r="K221" s="133">
        <v>13.59</v>
      </c>
      <c r="L221" s="133">
        <v>11.04</v>
      </c>
      <c r="M221" s="133">
        <v>8.5399999999999991</v>
      </c>
      <c r="N221" s="133">
        <v>0</v>
      </c>
      <c r="O221" s="133">
        <v>0</v>
      </c>
      <c r="P221" s="133">
        <v>0</v>
      </c>
      <c r="Q221" s="133">
        <v>7.77</v>
      </c>
      <c r="R221" s="133">
        <v>15.3</v>
      </c>
      <c r="S221" s="133">
        <v>12.97</v>
      </c>
      <c r="T221" s="133">
        <v>9.5299999999999994</v>
      </c>
      <c r="U221" s="133">
        <v>0</v>
      </c>
      <c r="V221" s="133">
        <v>0</v>
      </c>
      <c r="W221" s="133">
        <v>0</v>
      </c>
      <c r="X221" s="133">
        <v>0</v>
      </c>
      <c r="Y221" s="133">
        <v>0</v>
      </c>
      <c r="Z221" s="133">
        <v>0</v>
      </c>
      <c r="AA221" s="133">
        <v>0</v>
      </c>
      <c r="AB221" s="133">
        <v>0</v>
      </c>
      <c r="AC221" s="133">
        <v>0</v>
      </c>
      <c r="AD221" s="133">
        <v>0</v>
      </c>
      <c r="AE221" s="133">
        <v>0</v>
      </c>
      <c r="AF221" s="133">
        <v>0</v>
      </c>
      <c r="AG221" s="133">
        <v>0</v>
      </c>
      <c r="AH221" s="133">
        <v>0</v>
      </c>
      <c r="AI221" s="133">
        <v>0</v>
      </c>
      <c r="AJ221" s="133">
        <v>0</v>
      </c>
      <c r="AK221" s="133">
        <v>0</v>
      </c>
      <c r="AL221" s="133">
        <v>0</v>
      </c>
      <c r="AM221" s="136" t="str">
        <f>IF(ISERROR(VLOOKUP(D221,'Woodmac profile - Oil'!$D$9:$AN$266,37,FALSE)),"",VLOOKUP(D221,'Woodmac profile - Oil'!$D$9:$AN$266,37,FALSE))</f>
        <v>SUBS</v>
      </c>
      <c r="AN221" s="136" t="str">
        <f>IF(ISERROR(VLOOKUP(D221,'Woodmac profile - Gas'!$D$9:$AN$249,37,FALSE)),"",VLOOKUP(D221,'Woodmac profile - Gas'!$D$9:$AN$249,37,FALSE))</f>
        <v>SUBS</v>
      </c>
      <c r="AO221" s="136" t="str">
        <f t="shared" si="14"/>
        <v>SUBS</v>
      </c>
      <c r="AP221" s="132"/>
      <c r="AQ221" s="129"/>
      <c r="AR221" s="129"/>
      <c r="AS221" s="354"/>
      <c r="AT221" s="131"/>
      <c r="AU221" s="131"/>
      <c r="AV221" s="354"/>
      <c r="AW221" s="132"/>
      <c r="AX221" s="354"/>
      <c r="AY221" s="132"/>
      <c r="AZ221" s="132"/>
      <c r="BA221" s="132"/>
      <c r="BB221" s="132"/>
    </row>
    <row r="222" spans="1:54">
      <c r="A222" s="132"/>
      <c r="B222" s="133" t="s">
        <v>3369</v>
      </c>
      <c r="C222" s="133" t="s">
        <v>160</v>
      </c>
      <c r="D222" s="133" t="s">
        <v>327</v>
      </c>
      <c r="E222" s="133" t="s">
        <v>1927</v>
      </c>
      <c r="F222" s="133" t="s">
        <v>3373</v>
      </c>
      <c r="G222" s="133" t="s">
        <v>3374</v>
      </c>
      <c r="H222" s="133" t="s">
        <v>116</v>
      </c>
      <c r="I222" s="133" t="s">
        <v>2608</v>
      </c>
      <c r="J222" s="133">
        <v>100</v>
      </c>
      <c r="K222" s="133">
        <v>18.13</v>
      </c>
      <c r="L222" s="133">
        <v>0</v>
      </c>
      <c r="M222" s="133">
        <v>0</v>
      </c>
      <c r="N222" s="133">
        <v>0</v>
      </c>
      <c r="O222" s="133">
        <v>9.65</v>
      </c>
      <c r="P222" s="133">
        <v>9.3000000000000007</v>
      </c>
      <c r="Q222" s="133">
        <v>0</v>
      </c>
      <c r="R222" s="133">
        <v>0</v>
      </c>
      <c r="S222" s="133">
        <v>0</v>
      </c>
      <c r="T222" s="133">
        <v>0</v>
      </c>
      <c r="U222" s="133">
        <v>0</v>
      </c>
      <c r="V222" s="133">
        <v>0</v>
      </c>
      <c r="W222" s="133">
        <v>0</v>
      </c>
      <c r="X222" s="133">
        <v>0</v>
      </c>
      <c r="Y222" s="133">
        <v>0</v>
      </c>
      <c r="Z222" s="133">
        <v>0</v>
      </c>
      <c r="AA222" s="133">
        <v>0</v>
      </c>
      <c r="AB222" s="133">
        <v>0</v>
      </c>
      <c r="AC222" s="133">
        <v>0</v>
      </c>
      <c r="AD222" s="133">
        <v>0</v>
      </c>
      <c r="AE222" s="133">
        <v>0</v>
      </c>
      <c r="AF222" s="133">
        <v>0</v>
      </c>
      <c r="AG222" s="133">
        <v>0</v>
      </c>
      <c r="AH222" s="133">
        <v>0</v>
      </c>
      <c r="AI222" s="133">
        <v>0</v>
      </c>
      <c r="AJ222" s="133">
        <v>0</v>
      </c>
      <c r="AK222" s="133">
        <v>0</v>
      </c>
      <c r="AL222" s="133">
        <v>0</v>
      </c>
      <c r="AM222" s="136" t="str">
        <f>IF(ISERROR(VLOOKUP(D222,'Woodmac profile - Oil'!$D$9:$AN$266,37,FALSE)),"",VLOOKUP(D222,'Woodmac profile - Oil'!$D$9:$AN$266,37,FALSE))</f>
        <v>SUBS</v>
      </c>
      <c r="AN222" s="136" t="str">
        <f>IF(ISERROR(VLOOKUP(D222,'Woodmac profile - Gas'!$D$9:$AN$249,37,FALSE)),"",VLOOKUP(D222,'Woodmac profile - Gas'!$D$9:$AN$249,37,FALSE))</f>
        <v>SUBS</v>
      </c>
      <c r="AO222" s="136" t="str">
        <f t="shared" si="14"/>
        <v>SUBS</v>
      </c>
      <c r="AP222" s="132"/>
      <c r="AQ222" s="129"/>
      <c r="AR222" s="129"/>
      <c r="AS222" s="354"/>
      <c r="AT222" s="131"/>
      <c r="AU222" s="131"/>
      <c r="AV222" s="354"/>
      <c r="AW222" s="132"/>
      <c r="AX222" s="354"/>
      <c r="AY222" s="132"/>
      <c r="AZ222" s="132"/>
      <c r="BA222" s="132"/>
      <c r="BB222" s="132"/>
    </row>
    <row r="223" spans="1:54">
      <c r="A223" s="132"/>
      <c r="B223" s="133" t="s">
        <v>3369</v>
      </c>
      <c r="C223" s="133" t="s">
        <v>160</v>
      </c>
      <c r="D223" s="133" t="s">
        <v>1511</v>
      </c>
      <c r="E223" s="133" t="s">
        <v>1927</v>
      </c>
      <c r="F223" s="133" t="s">
        <v>3373</v>
      </c>
      <c r="G223" s="133" t="s">
        <v>3374</v>
      </c>
      <c r="H223" s="133" t="s">
        <v>116</v>
      </c>
      <c r="I223" s="133" t="s">
        <v>2571</v>
      </c>
      <c r="J223" s="133">
        <v>66.67</v>
      </c>
      <c r="K223" s="133">
        <v>0</v>
      </c>
      <c r="L223" s="133">
        <v>0</v>
      </c>
      <c r="M223" s="133">
        <v>0</v>
      </c>
      <c r="N223" s="133">
        <v>0</v>
      </c>
      <c r="O223" s="133">
        <v>0</v>
      </c>
      <c r="P223" s="133">
        <v>0</v>
      </c>
      <c r="Q223" s="133">
        <v>0</v>
      </c>
      <c r="R223" s="133">
        <v>72.69</v>
      </c>
      <c r="S223" s="133">
        <v>7.41</v>
      </c>
      <c r="T223" s="133">
        <v>0</v>
      </c>
      <c r="U223" s="133">
        <v>0</v>
      </c>
      <c r="V223" s="133">
        <v>0</v>
      </c>
      <c r="W223" s="133">
        <v>0</v>
      </c>
      <c r="X223" s="133">
        <v>38.200000000000003</v>
      </c>
      <c r="Y223" s="133">
        <v>0</v>
      </c>
      <c r="Z223" s="133">
        <v>0</v>
      </c>
      <c r="AA223" s="133">
        <v>0</v>
      </c>
      <c r="AB223" s="133">
        <v>0</v>
      </c>
      <c r="AC223" s="133">
        <v>0</v>
      </c>
      <c r="AD223" s="133">
        <v>0</v>
      </c>
      <c r="AE223" s="133">
        <v>0</v>
      </c>
      <c r="AF223" s="133">
        <v>0</v>
      </c>
      <c r="AG223" s="133">
        <v>0</v>
      </c>
      <c r="AH223" s="133">
        <v>0</v>
      </c>
      <c r="AI223" s="133">
        <v>0</v>
      </c>
      <c r="AJ223" s="133">
        <v>0</v>
      </c>
      <c r="AK223" s="133">
        <v>0</v>
      </c>
      <c r="AL223" s="133">
        <v>0</v>
      </c>
      <c r="AM223" s="136" t="str">
        <f>IF(ISERROR(VLOOKUP(D223,'Woodmac profile - Oil'!$D$9:$AN$266,37,FALSE)),"",VLOOKUP(D223,'Woodmac profile - Oil'!$D$9:$AN$266,37,FALSE))</f>
        <v>SUBS</v>
      </c>
      <c r="AN223" s="136" t="str">
        <f>IF(ISERROR(VLOOKUP(D223,'Woodmac profile - Gas'!$D$9:$AN$249,37,FALSE)),"",VLOOKUP(D223,'Woodmac profile - Gas'!$D$9:$AN$249,37,FALSE))</f>
        <v>SUBS</v>
      </c>
      <c r="AO223" s="136" t="str">
        <f t="shared" si="14"/>
        <v>SUBS</v>
      </c>
      <c r="AP223" s="132"/>
      <c r="AQ223" s="129"/>
      <c r="AR223" s="129"/>
      <c r="AS223" s="354"/>
      <c r="AT223" s="131"/>
      <c r="AU223" s="131"/>
      <c r="AV223" s="354"/>
      <c r="AW223" s="132"/>
      <c r="AX223" s="354"/>
      <c r="AY223" s="132"/>
      <c r="AZ223" s="132"/>
      <c r="BA223" s="132"/>
      <c r="BB223" s="132"/>
    </row>
    <row r="224" spans="1:54">
      <c r="A224" s="132"/>
      <c r="B224" s="133" t="s">
        <v>3369</v>
      </c>
      <c r="C224" s="133" t="s">
        <v>160</v>
      </c>
      <c r="D224" s="133" t="s">
        <v>505</v>
      </c>
      <c r="E224" s="133" t="s">
        <v>1927</v>
      </c>
      <c r="F224" s="133" t="s">
        <v>2973</v>
      </c>
      <c r="G224" s="133" t="s">
        <v>3374</v>
      </c>
      <c r="H224" s="133" t="s">
        <v>116</v>
      </c>
      <c r="I224" s="133" t="s">
        <v>2571</v>
      </c>
      <c r="J224" s="133">
        <v>28.5</v>
      </c>
      <c r="K224" s="133">
        <v>0</v>
      </c>
      <c r="L224" s="133">
        <v>0</v>
      </c>
      <c r="M224" s="133">
        <v>4.2699999999999996</v>
      </c>
      <c r="N224" s="133">
        <v>4.1399999999999997</v>
      </c>
      <c r="O224" s="133">
        <v>0</v>
      </c>
      <c r="P224" s="133">
        <v>0</v>
      </c>
      <c r="Q224" s="133">
        <v>0</v>
      </c>
      <c r="R224" s="133">
        <v>2.5499999999999998</v>
      </c>
      <c r="S224" s="133">
        <v>16.8</v>
      </c>
      <c r="T224" s="133">
        <v>0</v>
      </c>
      <c r="U224" s="133">
        <v>0</v>
      </c>
      <c r="V224" s="133">
        <v>0</v>
      </c>
      <c r="W224" s="133">
        <v>0</v>
      </c>
      <c r="X224" s="133">
        <v>0</v>
      </c>
      <c r="Y224" s="133">
        <v>0</v>
      </c>
      <c r="Z224" s="133">
        <v>0</v>
      </c>
      <c r="AA224" s="133">
        <v>0</v>
      </c>
      <c r="AB224" s="133">
        <v>0</v>
      </c>
      <c r="AC224" s="133">
        <v>0</v>
      </c>
      <c r="AD224" s="133">
        <v>0</v>
      </c>
      <c r="AE224" s="133">
        <v>0</v>
      </c>
      <c r="AF224" s="133">
        <v>0</v>
      </c>
      <c r="AG224" s="133">
        <v>0</v>
      </c>
      <c r="AH224" s="133">
        <v>0</v>
      </c>
      <c r="AI224" s="133">
        <v>0</v>
      </c>
      <c r="AJ224" s="133">
        <v>0</v>
      </c>
      <c r="AK224" s="133">
        <v>0</v>
      </c>
      <c r="AL224" s="133">
        <v>0</v>
      </c>
      <c r="AM224" s="136" t="str">
        <f>IF(ISERROR(VLOOKUP(D224,'Woodmac profile - Oil'!$D$9:$AN$266,37,FALSE)),"",VLOOKUP(D224,'Woodmac profile - Oil'!$D$9:$AN$266,37,FALSE))</f>
        <v>SUBS</v>
      </c>
      <c r="AN224" s="136" t="str">
        <f>IF(ISERROR(VLOOKUP(D224,'Woodmac profile - Gas'!$D$9:$AN$249,37,FALSE)),"",VLOOKUP(D224,'Woodmac profile - Gas'!$D$9:$AN$249,37,FALSE))</f>
        <v>SUBS</v>
      </c>
      <c r="AO224" s="136" t="str">
        <f t="shared" si="14"/>
        <v>SUBS</v>
      </c>
      <c r="AP224" s="132"/>
      <c r="AQ224" s="129"/>
      <c r="AR224" s="129"/>
      <c r="AS224" s="354"/>
      <c r="AT224" s="131"/>
      <c r="AU224" s="131"/>
      <c r="AV224" s="354"/>
      <c r="AW224" s="132"/>
      <c r="AX224" s="354"/>
      <c r="AY224" s="132"/>
      <c r="AZ224" s="132"/>
      <c r="BA224" s="132"/>
      <c r="BB224" s="132"/>
    </row>
    <row r="225" spans="1:54">
      <c r="A225" s="132"/>
      <c r="B225" s="133" t="s">
        <v>3369</v>
      </c>
      <c r="C225" s="133" t="s">
        <v>160</v>
      </c>
      <c r="D225" s="133" t="s">
        <v>615</v>
      </c>
      <c r="E225" s="133" t="s">
        <v>1927</v>
      </c>
      <c r="F225" s="133" t="s">
        <v>3373</v>
      </c>
      <c r="G225" s="133" t="s">
        <v>3374</v>
      </c>
      <c r="H225" s="133" t="s">
        <v>116</v>
      </c>
      <c r="I225" s="133" t="s">
        <v>2571</v>
      </c>
      <c r="J225" s="133">
        <v>100</v>
      </c>
      <c r="K225" s="133">
        <v>57.1</v>
      </c>
      <c r="L225" s="133">
        <v>0</v>
      </c>
      <c r="M225" s="133">
        <v>6.41</v>
      </c>
      <c r="N225" s="133">
        <v>31.03</v>
      </c>
      <c r="O225" s="133">
        <v>168.96</v>
      </c>
      <c r="P225" s="133">
        <v>127.83</v>
      </c>
      <c r="Q225" s="133">
        <v>17.489999999999998</v>
      </c>
      <c r="R225" s="133">
        <v>0</v>
      </c>
      <c r="S225" s="133">
        <v>0</v>
      </c>
      <c r="T225" s="133">
        <v>0</v>
      </c>
      <c r="U225" s="133">
        <v>0</v>
      </c>
      <c r="V225" s="133">
        <v>0</v>
      </c>
      <c r="W225" s="133">
        <v>0</v>
      </c>
      <c r="X225" s="133">
        <v>0</v>
      </c>
      <c r="Y225" s="133">
        <v>0</v>
      </c>
      <c r="Z225" s="133">
        <v>0</v>
      </c>
      <c r="AA225" s="133">
        <v>0</v>
      </c>
      <c r="AB225" s="133">
        <v>0</v>
      </c>
      <c r="AC225" s="133">
        <v>0</v>
      </c>
      <c r="AD225" s="133">
        <v>0</v>
      </c>
      <c r="AE225" s="133">
        <v>0</v>
      </c>
      <c r="AF225" s="133">
        <v>0</v>
      </c>
      <c r="AG225" s="133">
        <v>0</v>
      </c>
      <c r="AH225" s="133">
        <v>0</v>
      </c>
      <c r="AI225" s="133">
        <v>0</v>
      </c>
      <c r="AJ225" s="133">
        <v>0</v>
      </c>
      <c r="AK225" s="133">
        <v>0</v>
      </c>
      <c r="AL225" s="133">
        <v>0</v>
      </c>
      <c r="AM225" s="136" t="str">
        <f>IF(ISERROR(VLOOKUP(D225,'Woodmac profile - Oil'!$D$9:$AN$266,37,FALSE)),"",VLOOKUP(D225,'Woodmac profile - Oil'!$D$9:$AN$266,37,FALSE))</f>
        <v>SUBS</v>
      </c>
      <c r="AN225" s="136" t="str">
        <f>IF(ISERROR(VLOOKUP(D225,'Woodmac profile - Gas'!$D$9:$AN$249,37,FALSE)),"",VLOOKUP(D225,'Woodmac profile - Gas'!$D$9:$AN$249,37,FALSE))</f>
        <v>SUBS</v>
      </c>
      <c r="AO225" s="136" t="str">
        <f t="shared" si="14"/>
        <v>SUBS</v>
      </c>
      <c r="AP225" s="132"/>
      <c r="AQ225" s="129"/>
      <c r="AR225" s="129"/>
      <c r="AS225" s="354"/>
      <c r="AT225" s="131"/>
      <c r="AU225" s="131"/>
      <c r="AV225" s="354"/>
      <c r="AW225" s="132"/>
      <c r="AX225" s="354"/>
      <c r="AY225" s="132"/>
      <c r="AZ225" s="132"/>
      <c r="BA225" s="132"/>
      <c r="BB225" s="132"/>
    </row>
    <row r="226" spans="1:54">
      <c r="A226" s="132"/>
      <c r="B226" s="133" t="s">
        <v>3369</v>
      </c>
      <c r="C226" s="133" t="s">
        <v>160</v>
      </c>
      <c r="D226" s="133" t="s">
        <v>3530</v>
      </c>
      <c r="E226" s="133" t="s">
        <v>1927</v>
      </c>
      <c r="F226" s="133" t="s">
        <v>3373</v>
      </c>
      <c r="G226" s="133" t="s">
        <v>3374</v>
      </c>
      <c r="H226" s="133" t="s">
        <v>116</v>
      </c>
      <c r="I226" s="133" t="s">
        <v>2608</v>
      </c>
      <c r="J226" s="133">
        <v>60.5</v>
      </c>
      <c r="K226" s="133">
        <v>431.78</v>
      </c>
      <c r="L226" s="133">
        <v>569.08000000000004</v>
      </c>
      <c r="M226" s="133">
        <v>186.06</v>
      </c>
      <c r="N226" s="133">
        <v>101.38</v>
      </c>
      <c r="O226" s="133">
        <v>98.57</v>
      </c>
      <c r="P226" s="133">
        <v>87.88</v>
      </c>
      <c r="Q226" s="133">
        <v>42.33</v>
      </c>
      <c r="R226" s="133">
        <v>0</v>
      </c>
      <c r="S226" s="133">
        <v>67.28</v>
      </c>
      <c r="T226" s="133">
        <v>49.42</v>
      </c>
      <c r="U226" s="133">
        <v>194.77</v>
      </c>
      <c r="V226" s="133">
        <v>185.31</v>
      </c>
      <c r="W226" s="133">
        <v>223.38</v>
      </c>
      <c r="X226" s="133">
        <v>208</v>
      </c>
      <c r="Y226" s="133">
        <v>303.75</v>
      </c>
      <c r="Z226" s="133">
        <v>525.80999999999995</v>
      </c>
      <c r="AA226" s="133">
        <v>689.34</v>
      </c>
      <c r="AB226" s="133">
        <v>775.73</v>
      </c>
      <c r="AC226" s="133">
        <v>837.44</v>
      </c>
      <c r="AD226" s="133">
        <v>320.89</v>
      </c>
      <c r="AE226" s="133">
        <v>320.89</v>
      </c>
      <c r="AF226" s="133">
        <v>431.97</v>
      </c>
      <c r="AG226" s="133">
        <v>376.43</v>
      </c>
      <c r="AH226" s="133">
        <v>320.89</v>
      </c>
      <c r="AI226" s="133">
        <v>234.5</v>
      </c>
      <c r="AJ226" s="133">
        <v>234.5</v>
      </c>
      <c r="AK226" s="133">
        <v>154.28</v>
      </c>
      <c r="AL226" s="133">
        <v>154.28</v>
      </c>
      <c r="AM226" s="136" t="str">
        <f>IF(ISERROR(VLOOKUP(D226,'Woodmac profile - Oil'!$D$9:$AN$266,37,FALSE)),"",VLOOKUP(D226,'Woodmac profile - Oil'!$D$9:$AN$266,37,FALSE))</f>
        <v>SUBS</v>
      </c>
      <c r="AN226" s="136" t="str">
        <f>IF(ISERROR(VLOOKUP(D226,'Woodmac profile - Gas'!$D$9:$AN$249,37,FALSE)),"",VLOOKUP(D226,'Woodmac profile - Gas'!$D$9:$AN$249,37,FALSE))</f>
        <v>SUBS</v>
      </c>
      <c r="AO226" s="136" t="str">
        <f t="shared" si="14"/>
        <v>SUBS</v>
      </c>
      <c r="AP226" s="132"/>
      <c r="AQ226" s="129"/>
      <c r="AR226" s="129"/>
      <c r="AS226" s="354"/>
      <c r="AT226" s="131"/>
      <c r="AU226" s="131"/>
      <c r="AV226" s="354"/>
      <c r="AW226" s="132"/>
      <c r="AX226" s="354"/>
      <c r="AY226" s="132"/>
      <c r="AZ226" s="132"/>
      <c r="BA226" s="132"/>
      <c r="BB226" s="132"/>
    </row>
    <row r="227" spans="1:54">
      <c r="A227" s="132"/>
      <c r="B227" s="133" t="s">
        <v>3369</v>
      </c>
      <c r="C227" s="133" t="s">
        <v>160</v>
      </c>
      <c r="D227" s="133" t="s">
        <v>617</v>
      </c>
      <c r="E227" s="133" t="s">
        <v>1927</v>
      </c>
      <c r="F227" s="133" t="s">
        <v>2973</v>
      </c>
      <c r="G227" s="133" t="s">
        <v>1929</v>
      </c>
      <c r="H227" s="133" t="s">
        <v>116</v>
      </c>
      <c r="I227" s="133" t="s">
        <v>2599</v>
      </c>
      <c r="J227" s="133">
        <v>100</v>
      </c>
      <c r="K227" s="133">
        <v>1.02</v>
      </c>
      <c r="L227" s="133">
        <v>29.81</v>
      </c>
      <c r="M227" s="133">
        <v>0</v>
      </c>
      <c r="N227" s="133">
        <v>0</v>
      </c>
      <c r="O227" s="133">
        <v>0</v>
      </c>
      <c r="P227" s="133">
        <v>91.52</v>
      </c>
      <c r="Q227" s="133">
        <v>0</v>
      </c>
      <c r="R227" s="133">
        <v>0</v>
      </c>
      <c r="S227" s="133">
        <v>0</v>
      </c>
      <c r="T227" s="133">
        <v>9.8000000000000007</v>
      </c>
      <c r="U227" s="133">
        <v>0</v>
      </c>
      <c r="V227" s="133">
        <v>0</v>
      </c>
      <c r="W227" s="133">
        <v>0</v>
      </c>
      <c r="X227" s="133">
        <v>0</v>
      </c>
      <c r="Y227" s="133">
        <v>0</v>
      </c>
      <c r="Z227" s="133">
        <v>0</v>
      </c>
      <c r="AA227" s="133">
        <v>0</v>
      </c>
      <c r="AB227" s="133">
        <v>0</v>
      </c>
      <c r="AC227" s="133">
        <v>0</v>
      </c>
      <c r="AD227" s="133">
        <v>0</v>
      </c>
      <c r="AE227" s="133">
        <v>0</v>
      </c>
      <c r="AF227" s="133">
        <v>0</v>
      </c>
      <c r="AG227" s="133">
        <v>0</v>
      </c>
      <c r="AH227" s="133">
        <v>0</v>
      </c>
      <c r="AI227" s="133">
        <v>0</v>
      </c>
      <c r="AJ227" s="133">
        <v>0</v>
      </c>
      <c r="AK227" s="133">
        <v>0</v>
      </c>
      <c r="AL227" s="133">
        <v>0</v>
      </c>
      <c r="AM227" s="136" t="str">
        <f>IF(ISERROR(VLOOKUP(D227,'Woodmac profile - Oil'!$D$9:$AN$266,37,FALSE)),"",VLOOKUP(D227,'Woodmac profile - Oil'!$D$9:$AN$266,37,FALSE))</f>
        <v>SUBS</v>
      </c>
      <c r="AN227" s="136" t="str">
        <f>IF(ISERROR(VLOOKUP(D227,'Woodmac profile - Gas'!$D$9:$AN$249,37,FALSE)),"",VLOOKUP(D227,'Woodmac profile - Gas'!$D$9:$AN$249,37,FALSE))</f>
        <v>SUBS</v>
      </c>
      <c r="AO227" s="136" t="str">
        <f t="shared" si="14"/>
        <v>SUBS</v>
      </c>
      <c r="AP227" s="132"/>
      <c r="AQ227" s="129"/>
      <c r="AR227" s="129"/>
      <c r="AS227" s="354"/>
      <c r="AT227" s="131"/>
      <c r="AU227" s="131"/>
      <c r="AV227" s="354"/>
      <c r="AW227" s="132"/>
      <c r="AX227" s="354"/>
      <c r="AY227" s="132"/>
      <c r="AZ227" s="132"/>
      <c r="BA227" s="132"/>
      <c r="BB227" s="132"/>
    </row>
    <row r="228" spans="1:54">
      <c r="A228" s="132"/>
      <c r="B228" s="133" t="s">
        <v>3369</v>
      </c>
      <c r="C228" s="133" t="s">
        <v>160</v>
      </c>
      <c r="D228" s="133" t="s">
        <v>618</v>
      </c>
      <c r="E228" s="133" t="s">
        <v>1927</v>
      </c>
      <c r="F228" s="133" t="s">
        <v>2973</v>
      </c>
      <c r="G228" s="133" t="s">
        <v>3374</v>
      </c>
      <c r="H228" s="133" t="s">
        <v>116</v>
      </c>
      <c r="I228" s="133" t="s">
        <v>2599</v>
      </c>
      <c r="J228" s="133">
        <v>28.5</v>
      </c>
      <c r="K228" s="133">
        <v>81.36</v>
      </c>
      <c r="L228" s="133">
        <v>60.41</v>
      </c>
      <c r="M228" s="133">
        <v>80.34</v>
      </c>
      <c r="N228" s="133">
        <v>137.96</v>
      </c>
      <c r="O228" s="133">
        <v>146.18</v>
      </c>
      <c r="P228" s="133">
        <v>87.77</v>
      </c>
      <c r="Q228" s="133">
        <v>59.82</v>
      </c>
      <c r="R228" s="133">
        <v>19.63</v>
      </c>
      <c r="S228" s="133">
        <v>133.12</v>
      </c>
      <c r="T228" s="133">
        <v>209.54</v>
      </c>
      <c r="U228" s="133">
        <v>298.19</v>
      </c>
      <c r="V228" s="133">
        <v>352.2</v>
      </c>
      <c r="W228" s="133">
        <v>93.21</v>
      </c>
      <c r="X228" s="133">
        <v>112.83</v>
      </c>
      <c r="Y228" s="133">
        <v>81.400000000000006</v>
      </c>
      <c r="Z228" s="133">
        <v>159.88999999999999</v>
      </c>
      <c r="AA228" s="133">
        <v>61.05</v>
      </c>
      <c r="AB228" s="133">
        <v>81.400000000000006</v>
      </c>
      <c r="AC228" s="133">
        <v>61.05</v>
      </c>
      <c r="AD228" s="133">
        <v>61.05</v>
      </c>
      <c r="AE228" s="133">
        <v>81.400000000000006</v>
      </c>
      <c r="AF228" s="133">
        <v>52.33</v>
      </c>
      <c r="AG228" s="133">
        <v>20.350000000000001</v>
      </c>
      <c r="AH228" s="133">
        <v>26.16</v>
      </c>
      <c r="AI228" s="133">
        <v>46.51</v>
      </c>
      <c r="AJ228" s="133">
        <v>0</v>
      </c>
      <c r="AK228" s="133">
        <v>0</v>
      </c>
      <c r="AL228" s="133">
        <v>34.880000000000003</v>
      </c>
      <c r="AM228" s="136" t="str">
        <f>IF(ISERROR(VLOOKUP(D228,'Woodmac profile - Oil'!$D$9:$AN$266,37,FALSE)),"",VLOOKUP(D228,'Woodmac profile - Oil'!$D$9:$AN$266,37,FALSE))</f>
        <v>SUBS</v>
      </c>
      <c r="AN228" s="136" t="str">
        <f>IF(ISERROR(VLOOKUP(D228,'Woodmac profile - Gas'!$D$9:$AN$249,37,FALSE)),"",VLOOKUP(D228,'Woodmac profile - Gas'!$D$9:$AN$249,37,FALSE))</f>
        <v>SUBS</v>
      </c>
      <c r="AO228" s="136" t="str">
        <f t="shared" si="14"/>
        <v>SUBS</v>
      </c>
      <c r="AP228" s="132"/>
      <c r="AQ228" s="129"/>
      <c r="AR228" s="129"/>
      <c r="AS228" s="354"/>
      <c r="AT228" s="131"/>
      <c r="AU228" s="131"/>
      <c r="AV228" s="354"/>
      <c r="AW228" s="132"/>
      <c r="AX228" s="354"/>
      <c r="AY228" s="132"/>
      <c r="AZ228" s="132"/>
      <c r="BA228" s="132"/>
      <c r="BB228" s="132"/>
    </row>
    <row r="229" spans="1:54">
      <c r="A229" s="132"/>
      <c r="B229" s="133" t="s">
        <v>3369</v>
      </c>
      <c r="C229" s="133" t="s">
        <v>160</v>
      </c>
      <c r="D229" s="133" t="s">
        <v>301</v>
      </c>
      <c r="E229" s="133" t="s">
        <v>2254</v>
      </c>
      <c r="F229" s="133" t="s">
        <v>3373</v>
      </c>
      <c r="G229" s="133" t="s">
        <v>1930</v>
      </c>
      <c r="H229" s="133" t="s">
        <v>116</v>
      </c>
      <c r="I229" s="133" t="s">
        <v>2571</v>
      </c>
      <c r="J229" s="133">
        <v>50</v>
      </c>
      <c r="K229" s="133">
        <v>0</v>
      </c>
      <c r="L229" s="133">
        <v>0</v>
      </c>
      <c r="M229" s="133">
        <v>0</v>
      </c>
      <c r="N229" s="133">
        <v>0</v>
      </c>
      <c r="O229" s="133">
        <v>0</v>
      </c>
      <c r="P229" s="133">
        <v>0</v>
      </c>
      <c r="Q229" s="133">
        <v>0</v>
      </c>
      <c r="R229" s="133">
        <v>21.52</v>
      </c>
      <c r="S229" s="133">
        <v>0</v>
      </c>
      <c r="T229" s="133">
        <v>0</v>
      </c>
      <c r="U229" s="133">
        <v>0</v>
      </c>
      <c r="V229" s="133">
        <v>0</v>
      </c>
      <c r="W229" s="133">
        <v>0</v>
      </c>
      <c r="X229" s="133">
        <v>0</v>
      </c>
      <c r="Y229" s="133">
        <v>0</v>
      </c>
      <c r="Z229" s="133">
        <v>0</v>
      </c>
      <c r="AA229" s="133">
        <v>0</v>
      </c>
      <c r="AB229" s="133">
        <v>0</v>
      </c>
      <c r="AC229" s="133">
        <v>0</v>
      </c>
      <c r="AD229" s="133">
        <v>0</v>
      </c>
      <c r="AE229" s="133">
        <v>0</v>
      </c>
      <c r="AF229" s="133">
        <v>0</v>
      </c>
      <c r="AG229" s="133">
        <v>0</v>
      </c>
      <c r="AH229" s="133">
        <v>0</v>
      </c>
      <c r="AI229" s="133">
        <v>0</v>
      </c>
      <c r="AJ229" s="133">
        <v>0</v>
      </c>
      <c r="AK229" s="133">
        <v>0</v>
      </c>
      <c r="AL229" s="133">
        <v>0</v>
      </c>
      <c r="AM229" s="136" t="str">
        <f>IF(ISERROR(VLOOKUP(D229,'Woodmac profile - Oil'!$D$9:$AN$266,37,FALSE)),"",VLOOKUP(D229,'Woodmac profile - Oil'!$D$9:$AN$266,37,FALSE))</f>
        <v/>
      </c>
      <c r="AN229" s="136" t="str">
        <f>IF(ISERROR(VLOOKUP(D229,'Woodmac profile - Gas'!$D$9:$AN$249,37,FALSE)),"",VLOOKUP(D229,'Woodmac profile - Gas'!$D$9:$AN$249,37,FALSE))</f>
        <v>SUBS</v>
      </c>
      <c r="AO229" s="136" t="str">
        <f t="shared" si="14"/>
        <v>SUBS</v>
      </c>
      <c r="AP229" s="132"/>
      <c r="AQ229" s="129"/>
      <c r="AR229" s="129"/>
      <c r="AS229" s="354"/>
      <c r="AT229" s="131"/>
      <c r="AU229" s="131"/>
      <c r="AV229" s="354"/>
      <c r="AW229" s="132"/>
      <c r="AX229" s="354"/>
      <c r="AY229" s="132"/>
      <c r="AZ229" s="132"/>
      <c r="BA229" s="132"/>
      <c r="BB229" s="132"/>
    </row>
    <row r="230" spans="1:54">
      <c r="A230" s="132"/>
      <c r="B230" s="133" t="s">
        <v>3369</v>
      </c>
      <c r="C230" s="133" t="s">
        <v>160</v>
      </c>
      <c r="D230" s="133" t="s">
        <v>519</v>
      </c>
      <c r="E230" s="133" t="s">
        <v>1927</v>
      </c>
      <c r="F230" s="133" t="s">
        <v>2973</v>
      </c>
      <c r="G230" s="133" t="s">
        <v>1931</v>
      </c>
      <c r="H230" s="133" t="s">
        <v>116</v>
      </c>
      <c r="I230" s="133" t="s">
        <v>2571</v>
      </c>
      <c r="J230" s="133">
        <v>50</v>
      </c>
      <c r="K230" s="133">
        <v>0</v>
      </c>
      <c r="L230" s="133">
        <v>26.5</v>
      </c>
      <c r="M230" s="133">
        <v>0</v>
      </c>
      <c r="N230" s="133">
        <v>24.83</v>
      </c>
      <c r="O230" s="133">
        <v>12.07</v>
      </c>
      <c r="P230" s="133">
        <v>0</v>
      </c>
      <c r="Q230" s="133">
        <v>0</v>
      </c>
      <c r="R230" s="133">
        <v>22.96</v>
      </c>
      <c r="S230" s="133">
        <v>0</v>
      </c>
      <c r="T230" s="133">
        <v>0</v>
      </c>
      <c r="U230" s="133">
        <v>0</v>
      </c>
      <c r="V230" s="133">
        <v>0</v>
      </c>
      <c r="W230" s="133">
        <v>0</v>
      </c>
      <c r="X230" s="133">
        <v>0</v>
      </c>
      <c r="Y230" s="133">
        <v>0</v>
      </c>
      <c r="Z230" s="133">
        <v>0</v>
      </c>
      <c r="AA230" s="133">
        <v>0</v>
      </c>
      <c r="AB230" s="133">
        <v>0</v>
      </c>
      <c r="AC230" s="133">
        <v>0</v>
      </c>
      <c r="AD230" s="133">
        <v>0</v>
      </c>
      <c r="AE230" s="133">
        <v>0</v>
      </c>
      <c r="AF230" s="133">
        <v>0</v>
      </c>
      <c r="AG230" s="133">
        <v>0</v>
      </c>
      <c r="AH230" s="133">
        <v>0</v>
      </c>
      <c r="AI230" s="133">
        <v>0</v>
      </c>
      <c r="AJ230" s="133">
        <v>0</v>
      </c>
      <c r="AK230" s="133">
        <v>0</v>
      </c>
      <c r="AL230" s="133">
        <v>0</v>
      </c>
      <c r="AM230" s="136" t="str">
        <f>IF(ISERROR(VLOOKUP(D230,'Woodmac profile - Oil'!$D$9:$AN$266,37,FALSE)),"",VLOOKUP(D230,'Woodmac profile - Oil'!$D$9:$AN$266,37,FALSE))</f>
        <v>SUBS</v>
      </c>
      <c r="AN230" s="136" t="str">
        <f>IF(ISERROR(VLOOKUP(D230,'Woodmac profile - Gas'!$D$9:$AN$249,37,FALSE)),"",VLOOKUP(D230,'Woodmac profile - Gas'!$D$9:$AN$249,37,FALSE))</f>
        <v>SUBS</v>
      </c>
      <c r="AO230" s="136" t="str">
        <f t="shared" si="14"/>
        <v>SUBS</v>
      </c>
      <c r="AP230" s="132"/>
      <c r="AQ230" s="129"/>
      <c r="AR230" s="129"/>
      <c r="AS230" s="354"/>
      <c r="AT230" s="131"/>
      <c r="AU230" s="131"/>
      <c r="AV230" s="354"/>
      <c r="AW230" s="132"/>
      <c r="AX230" s="354"/>
      <c r="AY230" s="132"/>
      <c r="AZ230" s="132"/>
      <c r="BA230" s="132"/>
      <c r="BB230" s="132"/>
    </row>
    <row r="231" spans="1:54">
      <c r="A231" s="132"/>
      <c r="B231" s="133" t="s">
        <v>3369</v>
      </c>
      <c r="C231" s="133" t="s">
        <v>160</v>
      </c>
      <c r="D231" s="133" t="s">
        <v>520</v>
      </c>
      <c r="E231" s="133" t="s">
        <v>1927</v>
      </c>
      <c r="F231" s="133" t="s">
        <v>3373</v>
      </c>
      <c r="G231" s="133" t="s">
        <v>3374</v>
      </c>
      <c r="H231" s="133" t="s">
        <v>116</v>
      </c>
      <c r="I231" s="133" t="s">
        <v>2607</v>
      </c>
      <c r="J231" s="133">
        <v>50</v>
      </c>
      <c r="K231" s="133">
        <v>248.09</v>
      </c>
      <c r="L231" s="133">
        <v>46.37</v>
      </c>
      <c r="M231" s="133">
        <v>0</v>
      </c>
      <c r="N231" s="133">
        <v>71.37</v>
      </c>
      <c r="O231" s="133">
        <v>178.01</v>
      </c>
      <c r="P231" s="133">
        <v>107.5</v>
      </c>
      <c r="Q231" s="133">
        <v>107.86</v>
      </c>
      <c r="R231" s="133">
        <v>5.74</v>
      </c>
      <c r="S231" s="133">
        <v>0</v>
      </c>
      <c r="T231" s="133">
        <v>59.91</v>
      </c>
      <c r="U231" s="133">
        <v>324.62</v>
      </c>
      <c r="V231" s="133">
        <v>73.94</v>
      </c>
      <c r="W231" s="133">
        <v>76.489999999999995</v>
      </c>
      <c r="X231" s="133">
        <v>15.63</v>
      </c>
      <c r="Y231" s="133">
        <v>0</v>
      </c>
      <c r="Z231" s="133">
        <v>0</v>
      </c>
      <c r="AA231" s="133">
        <v>0</v>
      </c>
      <c r="AB231" s="133">
        <v>0</v>
      </c>
      <c r="AC231" s="133">
        <v>0</v>
      </c>
      <c r="AD231" s="133">
        <v>0</v>
      </c>
      <c r="AE231" s="133">
        <v>0</v>
      </c>
      <c r="AF231" s="133">
        <v>0</v>
      </c>
      <c r="AG231" s="133">
        <v>0</v>
      </c>
      <c r="AH231" s="133">
        <v>0</v>
      </c>
      <c r="AI231" s="133">
        <v>0</v>
      </c>
      <c r="AJ231" s="133">
        <v>0</v>
      </c>
      <c r="AK231" s="133">
        <v>0</v>
      </c>
      <c r="AL231" s="133">
        <v>0</v>
      </c>
      <c r="AM231" s="136" t="str">
        <f>IF(ISERROR(VLOOKUP(D231,'Woodmac profile - Oil'!$D$9:$AN$266,37,FALSE)),"",VLOOKUP(D231,'Woodmac profile - Oil'!$D$9:$AN$266,37,FALSE))</f>
        <v>SUBS</v>
      </c>
      <c r="AN231" s="136" t="str">
        <f>IF(ISERROR(VLOOKUP(D231,'Woodmac profile - Gas'!$D$9:$AN$249,37,FALSE)),"",VLOOKUP(D231,'Woodmac profile - Gas'!$D$9:$AN$249,37,FALSE))</f>
        <v>SUBS</v>
      </c>
      <c r="AO231" s="136" t="str">
        <f t="shared" si="14"/>
        <v>SUBS</v>
      </c>
      <c r="AP231" s="132"/>
      <c r="AQ231" s="129"/>
      <c r="AR231" s="129"/>
      <c r="AS231" s="354"/>
      <c r="AT231" s="131"/>
      <c r="AU231" s="131"/>
      <c r="AV231" s="354"/>
      <c r="AW231" s="132"/>
      <c r="AX231" s="354"/>
      <c r="AY231" s="132"/>
      <c r="AZ231" s="132"/>
      <c r="BA231" s="132"/>
      <c r="BB231" s="132"/>
    </row>
    <row r="232" spans="1:54">
      <c r="A232" s="132"/>
      <c r="B232" s="133" t="s">
        <v>3369</v>
      </c>
      <c r="C232" s="133" t="s">
        <v>160</v>
      </c>
      <c r="D232" s="133" t="s">
        <v>521</v>
      </c>
      <c r="E232" s="133" t="s">
        <v>1927</v>
      </c>
      <c r="F232" s="133" t="s">
        <v>2973</v>
      </c>
      <c r="G232" s="133" t="s">
        <v>3374</v>
      </c>
      <c r="H232" s="133" t="s">
        <v>116</v>
      </c>
      <c r="I232" s="133" t="s">
        <v>2608</v>
      </c>
      <c r="J232" s="133">
        <v>50</v>
      </c>
      <c r="K232" s="133">
        <v>0</v>
      </c>
      <c r="L232" s="133">
        <v>0</v>
      </c>
      <c r="M232" s="133">
        <v>0</v>
      </c>
      <c r="N232" s="133">
        <v>0</v>
      </c>
      <c r="O232" s="133">
        <v>0</v>
      </c>
      <c r="P232" s="133">
        <v>0</v>
      </c>
      <c r="Q232" s="133">
        <v>0</v>
      </c>
      <c r="R232" s="133">
        <v>12.43</v>
      </c>
      <c r="S232" s="133">
        <v>0</v>
      </c>
      <c r="T232" s="133">
        <v>0</v>
      </c>
      <c r="U232" s="133">
        <v>0</v>
      </c>
      <c r="V232" s="133">
        <v>0</v>
      </c>
      <c r="W232" s="133">
        <v>0</v>
      </c>
      <c r="X232" s="133">
        <v>0</v>
      </c>
      <c r="Y232" s="133">
        <v>0</v>
      </c>
      <c r="Z232" s="133">
        <v>0</v>
      </c>
      <c r="AA232" s="133">
        <v>0</v>
      </c>
      <c r="AB232" s="133">
        <v>0</v>
      </c>
      <c r="AC232" s="133">
        <v>0</v>
      </c>
      <c r="AD232" s="133">
        <v>0</v>
      </c>
      <c r="AE232" s="133">
        <v>0</v>
      </c>
      <c r="AF232" s="133">
        <v>0</v>
      </c>
      <c r="AG232" s="133">
        <v>0</v>
      </c>
      <c r="AH232" s="133">
        <v>0</v>
      </c>
      <c r="AI232" s="133">
        <v>0</v>
      </c>
      <c r="AJ232" s="133">
        <v>0</v>
      </c>
      <c r="AK232" s="133">
        <v>0</v>
      </c>
      <c r="AL232" s="133">
        <v>0</v>
      </c>
      <c r="AM232" s="136" t="str">
        <f>IF(ISERROR(VLOOKUP(D232,'Woodmac profile - Oil'!$D$9:$AN$266,37,FALSE)),"",VLOOKUP(D232,'Woodmac profile - Oil'!$D$9:$AN$266,37,FALSE))</f>
        <v>SUBS</v>
      </c>
      <c r="AN232" s="136" t="str">
        <f>IF(ISERROR(VLOOKUP(D232,'Woodmac profile - Gas'!$D$9:$AN$249,37,FALSE)),"",VLOOKUP(D232,'Woodmac profile - Gas'!$D$9:$AN$249,37,FALSE))</f>
        <v>SUBS</v>
      </c>
      <c r="AO232" s="136" t="str">
        <f t="shared" si="14"/>
        <v>SUBS</v>
      </c>
      <c r="AP232" s="132"/>
      <c r="AQ232" s="129"/>
      <c r="AR232" s="129"/>
      <c r="AS232" s="354"/>
      <c r="AT232" s="131"/>
      <c r="AU232" s="131"/>
      <c r="AV232" s="354"/>
      <c r="AW232" s="132"/>
      <c r="AX232" s="354"/>
      <c r="AY232" s="132"/>
      <c r="AZ232" s="132"/>
      <c r="BA232" s="132"/>
      <c r="BB232" s="132"/>
    </row>
    <row r="233" spans="1:54">
      <c r="A233" s="132"/>
      <c r="B233" s="133" t="s">
        <v>3369</v>
      </c>
      <c r="C233" s="133" t="s">
        <v>160</v>
      </c>
      <c r="D233" s="133" t="s">
        <v>3065</v>
      </c>
      <c r="E233" s="133" t="s">
        <v>1927</v>
      </c>
      <c r="F233" s="133" t="s">
        <v>2973</v>
      </c>
      <c r="G233" s="133" t="s">
        <v>3374</v>
      </c>
      <c r="H233" s="133" t="s">
        <v>116</v>
      </c>
      <c r="I233" s="133" t="s">
        <v>2600</v>
      </c>
      <c r="J233" s="133">
        <v>75</v>
      </c>
      <c r="K233" s="133">
        <v>20.39</v>
      </c>
      <c r="L233" s="133">
        <v>24.84</v>
      </c>
      <c r="M233" s="133">
        <v>48.05</v>
      </c>
      <c r="N233" s="133">
        <v>13.97</v>
      </c>
      <c r="O233" s="133">
        <v>49.79</v>
      </c>
      <c r="P233" s="133">
        <v>52.3</v>
      </c>
      <c r="Q233" s="133">
        <v>8.75</v>
      </c>
      <c r="R233" s="133">
        <v>0</v>
      </c>
      <c r="S233" s="133">
        <v>0</v>
      </c>
      <c r="T233" s="133">
        <v>0</v>
      </c>
      <c r="U233" s="133">
        <v>0</v>
      </c>
      <c r="V233" s="133">
        <v>0</v>
      </c>
      <c r="W233" s="133">
        <v>0</v>
      </c>
      <c r="X233" s="133">
        <v>0</v>
      </c>
      <c r="Y233" s="133">
        <v>0</v>
      </c>
      <c r="Z233" s="133">
        <v>0</v>
      </c>
      <c r="AA233" s="133">
        <v>0</v>
      </c>
      <c r="AB233" s="133">
        <v>0</v>
      </c>
      <c r="AC233" s="133">
        <v>0</v>
      </c>
      <c r="AD233" s="133">
        <v>0</v>
      </c>
      <c r="AE233" s="133">
        <v>0</v>
      </c>
      <c r="AF233" s="133">
        <v>0</v>
      </c>
      <c r="AG233" s="133">
        <v>0</v>
      </c>
      <c r="AH233" s="133">
        <v>0</v>
      </c>
      <c r="AI233" s="133">
        <v>0</v>
      </c>
      <c r="AJ233" s="133">
        <v>0</v>
      </c>
      <c r="AK233" s="133">
        <v>0</v>
      </c>
      <c r="AL233" s="133">
        <v>0</v>
      </c>
      <c r="AM233" s="136" t="str">
        <f>IF(ISERROR(VLOOKUP(D233,'Woodmac profile - Oil'!$D$9:$AN$266,37,FALSE)),"",VLOOKUP(D233,'Woodmac profile - Oil'!$D$9:$AN$266,37,FALSE))</f>
        <v>SUBS</v>
      </c>
      <c r="AN233" s="136" t="str">
        <f>IF(ISERROR(VLOOKUP(D233,'Woodmac profile - Gas'!$D$9:$AN$249,37,FALSE)),"",VLOOKUP(D233,'Woodmac profile - Gas'!$D$9:$AN$249,37,FALSE))</f>
        <v>SUBS</v>
      </c>
      <c r="AO233" s="136" t="str">
        <f t="shared" si="14"/>
        <v>SUBS</v>
      </c>
      <c r="AP233" s="132"/>
      <c r="AQ233" s="129"/>
      <c r="AR233" s="129"/>
      <c r="AS233" s="354"/>
      <c r="AT233" s="131"/>
      <c r="AU233" s="131"/>
      <c r="AV233" s="354"/>
      <c r="AW233" s="132"/>
      <c r="AX233" s="354"/>
      <c r="AY233" s="132"/>
      <c r="AZ233" s="132"/>
      <c r="BA233" s="132"/>
      <c r="BB233" s="132"/>
    </row>
    <row r="234" spans="1:54">
      <c r="A234" s="132"/>
      <c r="B234" s="133" t="s">
        <v>3369</v>
      </c>
      <c r="C234" s="133" t="s">
        <v>160</v>
      </c>
      <c r="D234" s="133" t="s">
        <v>3066</v>
      </c>
      <c r="E234" s="133" t="s">
        <v>1927</v>
      </c>
      <c r="F234" s="133" t="s">
        <v>2973</v>
      </c>
      <c r="G234" s="133" t="s">
        <v>3374</v>
      </c>
      <c r="H234" s="133" t="s">
        <v>116</v>
      </c>
      <c r="I234" s="133" t="s">
        <v>2571</v>
      </c>
      <c r="J234" s="133">
        <v>22.69</v>
      </c>
      <c r="K234" s="133">
        <v>58.61</v>
      </c>
      <c r="L234" s="133">
        <v>21.04</v>
      </c>
      <c r="M234" s="133">
        <v>0</v>
      </c>
      <c r="N234" s="133">
        <v>22.53</v>
      </c>
      <c r="O234" s="133">
        <v>34.229999999999997</v>
      </c>
      <c r="P234" s="133">
        <v>61.96</v>
      </c>
      <c r="Q234" s="133">
        <v>55.56</v>
      </c>
      <c r="R234" s="133">
        <v>0</v>
      </c>
      <c r="S234" s="133">
        <v>0</v>
      </c>
      <c r="T234" s="133">
        <v>0</v>
      </c>
      <c r="U234" s="133">
        <v>82.79</v>
      </c>
      <c r="V234" s="133">
        <v>15.58</v>
      </c>
      <c r="W234" s="133">
        <v>39.5</v>
      </c>
      <c r="X234" s="133">
        <v>0</v>
      </c>
      <c r="Y234" s="133">
        <v>9.26</v>
      </c>
      <c r="Z234" s="133">
        <v>28.93</v>
      </c>
      <c r="AA234" s="133">
        <v>28.93</v>
      </c>
      <c r="AB234" s="133">
        <v>28.93</v>
      </c>
      <c r="AC234" s="133">
        <v>19.670000000000002</v>
      </c>
      <c r="AD234" s="133">
        <v>0</v>
      </c>
      <c r="AE234" s="133">
        <v>0</v>
      </c>
      <c r="AF234" s="133">
        <v>0</v>
      </c>
      <c r="AG234" s="133">
        <v>0</v>
      </c>
      <c r="AH234" s="133">
        <v>0</v>
      </c>
      <c r="AI234" s="133">
        <v>0</v>
      </c>
      <c r="AJ234" s="133">
        <v>0</v>
      </c>
      <c r="AK234" s="133">
        <v>0</v>
      </c>
      <c r="AL234" s="133">
        <v>0</v>
      </c>
      <c r="AM234" s="136" t="str">
        <f>IF(ISERROR(VLOOKUP(D234,'Woodmac profile - Oil'!$D$9:$AN$266,37,FALSE)),"",VLOOKUP(D234,'Woodmac profile - Oil'!$D$9:$AN$266,37,FALSE))</f>
        <v>SUBS</v>
      </c>
      <c r="AN234" s="136" t="str">
        <f>IF(ISERROR(VLOOKUP(D234,'Woodmac profile - Gas'!$D$9:$AN$249,37,FALSE)),"",VLOOKUP(D234,'Woodmac profile - Gas'!$D$9:$AN$249,37,FALSE))</f>
        <v>SUBS</v>
      </c>
      <c r="AO234" s="136" t="str">
        <f t="shared" si="14"/>
        <v>SUBS</v>
      </c>
      <c r="AP234" s="132"/>
      <c r="AQ234" s="129"/>
      <c r="AR234" s="129"/>
      <c r="AS234" s="354"/>
      <c r="AT234" s="131"/>
      <c r="AU234" s="131"/>
      <c r="AV234" s="354"/>
      <c r="AW234" s="132"/>
      <c r="AX234" s="354"/>
      <c r="AY234" s="132"/>
      <c r="AZ234" s="132"/>
      <c r="BA234" s="132"/>
      <c r="BB234" s="132"/>
    </row>
    <row r="235" spans="1:54">
      <c r="A235" s="132"/>
      <c r="B235" s="133" t="s">
        <v>3369</v>
      </c>
      <c r="C235" s="133" t="s">
        <v>160</v>
      </c>
      <c r="D235" s="133" t="s">
        <v>3067</v>
      </c>
      <c r="E235" s="133" t="s">
        <v>1927</v>
      </c>
      <c r="F235" s="133" t="s">
        <v>2973</v>
      </c>
      <c r="G235" s="133" t="s">
        <v>3374</v>
      </c>
      <c r="H235" s="133" t="s">
        <v>116</v>
      </c>
      <c r="I235" s="133" t="s">
        <v>2599</v>
      </c>
      <c r="J235" s="133">
        <v>31</v>
      </c>
      <c r="K235" s="133">
        <v>2.11</v>
      </c>
      <c r="L235" s="133">
        <v>32.86</v>
      </c>
      <c r="M235" s="133">
        <v>23.83</v>
      </c>
      <c r="N235" s="133">
        <v>19.239999999999998</v>
      </c>
      <c r="O235" s="133">
        <v>0</v>
      </c>
      <c r="P235" s="133">
        <v>1.8</v>
      </c>
      <c r="Q235" s="133">
        <v>18.07</v>
      </c>
      <c r="R235" s="133">
        <v>30.24</v>
      </c>
      <c r="S235" s="133">
        <v>0</v>
      </c>
      <c r="T235" s="133">
        <v>0</v>
      </c>
      <c r="U235" s="133">
        <v>0</v>
      </c>
      <c r="V235" s="133">
        <v>0</v>
      </c>
      <c r="W235" s="133">
        <v>0</v>
      </c>
      <c r="X235" s="133">
        <v>0</v>
      </c>
      <c r="Y235" s="133">
        <v>0</v>
      </c>
      <c r="Z235" s="133">
        <v>0</v>
      </c>
      <c r="AA235" s="133">
        <v>0</v>
      </c>
      <c r="AB235" s="133">
        <v>0</v>
      </c>
      <c r="AC235" s="133">
        <v>0</v>
      </c>
      <c r="AD235" s="133">
        <v>0</v>
      </c>
      <c r="AE235" s="133">
        <v>0</v>
      </c>
      <c r="AF235" s="133">
        <v>0</v>
      </c>
      <c r="AG235" s="133">
        <v>0</v>
      </c>
      <c r="AH235" s="133">
        <v>0</v>
      </c>
      <c r="AI235" s="133">
        <v>0</v>
      </c>
      <c r="AJ235" s="133">
        <v>0</v>
      </c>
      <c r="AK235" s="133">
        <v>0</v>
      </c>
      <c r="AL235" s="133">
        <v>0</v>
      </c>
      <c r="AM235" s="136" t="str">
        <f>IF(ISERROR(VLOOKUP(D235,'Woodmac profile - Oil'!$D$9:$AN$266,37,FALSE)),"",VLOOKUP(D235,'Woodmac profile - Oil'!$D$9:$AN$266,37,FALSE))</f>
        <v>SUBS</v>
      </c>
      <c r="AN235" s="136" t="str">
        <f>IF(ISERROR(VLOOKUP(D235,'Woodmac profile - Gas'!$D$9:$AN$249,37,FALSE)),"",VLOOKUP(D235,'Woodmac profile - Gas'!$D$9:$AN$249,37,FALSE))</f>
        <v>SUBS</v>
      </c>
      <c r="AO235" s="136" t="str">
        <f t="shared" si="14"/>
        <v>SUBS</v>
      </c>
      <c r="AP235" s="132"/>
      <c r="AQ235" s="129"/>
      <c r="AR235" s="129"/>
      <c r="AS235" s="354"/>
      <c r="AT235" s="131"/>
      <c r="AU235" s="131"/>
      <c r="AV235" s="354"/>
      <c r="AW235" s="132"/>
      <c r="AX235" s="354"/>
      <c r="AY235" s="132"/>
      <c r="AZ235" s="132"/>
      <c r="BA235" s="132"/>
      <c r="BB235" s="132"/>
    </row>
    <row r="236" spans="1:54">
      <c r="A236" s="132"/>
      <c r="B236" s="133" t="s">
        <v>3369</v>
      </c>
      <c r="C236" s="133" t="s">
        <v>160</v>
      </c>
      <c r="D236" s="133" t="s">
        <v>2051</v>
      </c>
      <c r="E236" s="133" t="s">
        <v>1927</v>
      </c>
      <c r="F236" s="133" t="s">
        <v>3373</v>
      </c>
      <c r="G236" s="133" t="s">
        <v>3374</v>
      </c>
      <c r="H236" s="133" t="s">
        <v>116</v>
      </c>
      <c r="I236" s="133" t="s">
        <v>2571</v>
      </c>
      <c r="J236" s="133">
        <v>46.5</v>
      </c>
      <c r="K236" s="133">
        <v>0</v>
      </c>
      <c r="L236" s="133">
        <v>0</v>
      </c>
      <c r="M236" s="133">
        <v>0</v>
      </c>
      <c r="N236" s="133">
        <v>0</v>
      </c>
      <c r="O236" s="133">
        <v>0</v>
      </c>
      <c r="P236" s="133">
        <v>0</v>
      </c>
      <c r="Q236" s="133">
        <v>0</v>
      </c>
      <c r="R236" s="133">
        <v>34.69</v>
      </c>
      <c r="S236" s="133">
        <v>111.18</v>
      </c>
      <c r="T236" s="133">
        <v>35.46</v>
      </c>
      <c r="U236" s="133">
        <v>0</v>
      </c>
      <c r="V236" s="133">
        <v>0</v>
      </c>
      <c r="W236" s="133">
        <v>0</v>
      </c>
      <c r="X236" s="133">
        <v>0</v>
      </c>
      <c r="Y236" s="133">
        <v>0</v>
      </c>
      <c r="Z236" s="133">
        <v>0</v>
      </c>
      <c r="AA236" s="133">
        <v>0</v>
      </c>
      <c r="AB236" s="133">
        <v>0</v>
      </c>
      <c r="AC236" s="133">
        <v>0</v>
      </c>
      <c r="AD236" s="133">
        <v>0</v>
      </c>
      <c r="AE236" s="133">
        <v>0</v>
      </c>
      <c r="AF236" s="133">
        <v>0</v>
      </c>
      <c r="AG236" s="133">
        <v>0</v>
      </c>
      <c r="AH236" s="133">
        <v>0</v>
      </c>
      <c r="AI236" s="133">
        <v>0</v>
      </c>
      <c r="AJ236" s="133">
        <v>0</v>
      </c>
      <c r="AK236" s="133">
        <v>0</v>
      </c>
      <c r="AL236" s="133">
        <v>0</v>
      </c>
      <c r="AM236" s="136" t="str">
        <f>IF(ISERROR(VLOOKUP(D236,'Woodmac profile - Oil'!$D$9:$AN$266,37,FALSE)),"",VLOOKUP(D236,'Woodmac profile - Oil'!$D$9:$AN$266,37,FALSE))</f>
        <v>SUBS</v>
      </c>
      <c r="AN236" s="136" t="str">
        <f>IF(ISERROR(VLOOKUP(D236,'Woodmac profile - Gas'!$D$9:$AN$249,37,FALSE)),"",VLOOKUP(D236,'Woodmac profile - Gas'!$D$9:$AN$249,37,FALSE))</f>
        <v>SUBS</v>
      </c>
      <c r="AO236" s="136" t="str">
        <f t="shared" si="14"/>
        <v>SUBS</v>
      </c>
      <c r="AP236" s="132"/>
      <c r="AQ236" s="129"/>
      <c r="AR236" s="129"/>
      <c r="AS236" s="354"/>
      <c r="AT236" s="131"/>
      <c r="AU236" s="131"/>
      <c r="AV236" s="354"/>
      <c r="AW236" s="132"/>
      <c r="AX236" s="354"/>
      <c r="AY236" s="132"/>
      <c r="AZ236" s="132"/>
      <c r="BA236" s="132"/>
      <c r="BB236" s="132"/>
    </row>
    <row r="237" spans="1:54">
      <c r="A237" s="132"/>
      <c r="B237" s="133" t="s">
        <v>3369</v>
      </c>
      <c r="C237" s="133" t="s">
        <v>160</v>
      </c>
      <c r="D237" s="133" t="s">
        <v>944</v>
      </c>
      <c r="E237" s="133" t="s">
        <v>1927</v>
      </c>
      <c r="F237" s="133" t="s">
        <v>2973</v>
      </c>
      <c r="G237" s="133" t="s">
        <v>3374</v>
      </c>
      <c r="H237" s="133" t="s">
        <v>116</v>
      </c>
      <c r="I237" s="133" t="s">
        <v>2599</v>
      </c>
      <c r="J237" s="133">
        <v>28</v>
      </c>
      <c r="K237" s="133">
        <v>0</v>
      </c>
      <c r="L237" s="133">
        <v>0</v>
      </c>
      <c r="M237" s="133">
        <v>0</v>
      </c>
      <c r="N237" s="133">
        <v>88.62</v>
      </c>
      <c r="O237" s="133">
        <v>0</v>
      </c>
      <c r="P237" s="133">
        <v>0</v>
      </c>
      <c r="Q237" s="133">
        <v>0</v>
      </c>
      <c r="R237" s="133">
        <v>0</v>
      </c>
      <c r="S237" s="133">
        <v>0</v>
      </c>
      <c r="T237" s="133">
        <v>0</v>
      </c>
      <c r="U237" s="133">
        <v>0</v>
      </c>
      <c r="V237" s="133">
        <v>0</v>
      </c>
      <c r="W237" s="133">
        <v>0</v>
      </c>
      <c r="X237" s="133">
        <v>0</v>
      </c>
      <c r="Y237" s="133">
        <v>0</v>
      </c>
      <c r="Z237" s="133">
        <v>0</v>
      </c>
      <c r="AA237" s="133">
        <v>0</v>
      </c>
      <c r="AB237" s="133">
        <v>0</v>
      </c>
      <c r="AC237" s="133">
        <v>0</v>
      </c>
      <c r="AD237" s="133">
        <v>0</v>
      </c>
      <c r="AE237" s="133">
        <v>0</v>
      </c>
      <c r="AF237" s="133">
        <v>0</v>
      </c>
      <c r="AG237" s="133">
        <v>0</v>
      </c>
      <c r="AH237" s="133">
        <v>0</v>
      </c>
      <c r="AI237" s="133">
        <v>0</v>
      </c>
      <c r="AJ237" s="133">
        <v>0</v>
      </c>
      <c r="AK237" s="133">
        <v>0</v>
      </c>
      <c r="AL237" s="133">
        <v>0</v>
      </c>
      <c r="AM237" s="136" t="str">
        <f>IF(ISERROR(VLOOKUP(D237,'Woodmac profile - Oil'!$D$9:$AN$266,37,FALSE)),"",VLOOKUP(D237,'Woodmac profile - Oil'!$D$9:$AN$266,37,FALSE))</f>
        <v/>
      </c>
      <c r="AN237" s="136" t="str">
        <f>IF(ISERROR(VLOOKUP(D237,'Woodmac profile - Gas'!$D$9:$AN$249,37,FALSE)),"",VLOOKUP(D237,'Woodmac profile - Gas'!$D$9:$AN$249,37,FALSE))</f>
        <v/>
      </c>
      <c r="AO237" s="136" t="str">
        <f t="shared" ref="AO237:AO238" si="15">IF(AM237="",AN237,AM237)</f>
        <v/>
      </c>
      <c r="AP237" s="132"/>
      <c r="AQ237" s="129"/>
      <c r="AR237" s="129"/>
      <c r="AS237" s="354"/>
      <c r="AT237" s="131"/>
      <c r="AU237" s="131"/>
      <c r="AV237" s="354"/>
      <c r="AW237" s="132"/>
      <c r="AX237" s="354"/>
      <c r="AY237" s="132"/>
      <c r="AZ237" s="132"/>
      <c r="BA237" s="132"/>
      <c r="BB237" s="132"/>
    </row>
    <row r="238" spans="1:54">
      <c r="A238" s="132"/>
      <c r="B238" s="133" t="s">
        <v>3369</v>
      </c>
      <c r="C238" s="133" t="s">
        <v>160</v>
      </c>
      <c r="D238" s="133" t="s">
        <v>945</v>
      </c>
      <c r="E238" s="133" t="s">
        <v>1927</v>
      </c>
      <c r="F238" s="133" t="s">
        <v>2973</v>
      </c>
      <c r="G238" s="133" t="s">
        <v>3374</v>
      </c>
      <c r="H238" s="133" t="s">
        <v>116</v>
      </c>
      <c r="I238" s="133" t="s">
        <v>2571</v>
      </c>
      <c r="J238" s="133">
        <v>50</v>
      </c>
      <c r="K238" s="133">
        <v>0</v>
      </c>
      <c r="L238" s="133">
        <v>26.06</v>
      </c>
      <c r="M238" s="133">
        <v>0</v>
      </c>
      <c r="N238" s="133">
        <v>0</v>
      </c>
      <c r="O238" s="133">
        <v>0</v>
      </c>
      <c r="P238" s="133">
        <v>0</v>
      </c>
      <c r="Q238" s="133">
        <v>0</v>
      </c>
      <c r="R238" s="133">
        <v>0</v>
      </c>
      <c r="S238" s="133">
        <v>0</v>
      </c>
      <c r="T238" s="133">
        <v>0</v>
      </c>
      <c r="U238" s="133">
        <v>0</v>
      </c>
      <c r="V238" s="133">
        <v>0</v>
      </c>
      <c r="W238" s="133">
        <v>0</v>
      </c>
      <c r="X238" s="133">
        <v>0</v>
      </c>
      <c r="Y238" s="133">
        <v>0</v>
      </c>
      <c r="Z238" s="133">
        <v>0</v>
      </c>
      <c r="AA238" s="133">
        <v>0</v>
      </c>
      <c r="AB238" s="133">
        <v>0</v>
      </c>
      <c r="AC238" s="133">
        <v>0</v>
      </c>
      <c r="AD238" s="133">
        <v>0</v>
      </c>
      <c r="AE238" s="133">
        <v>0</v>
      </c>
      <c r="AF238" s="133">
        <v>0</v>
      </c>
      <c r="AG238" s="133">
        <v>0</v>
      </c>
      <c r="AH238" s="133">
        <v>0</v>
      </c>
      <c r="AI238" s="133">
        <v>0</v>
      </c>
      <c r="AJ238" s="133">
        <v>0</v>
      </c>
      <c r="AK238" s="133">
        <v>0</v>
      </c>
      <c r="AL238" s="133">
        <v>0</v>
      </c>
      <c r="AM238" s="136" t="str">
        <f>IF(ISERROR(VLOOKUP(D238,'Woodmac profile - Oil'!$D$9:$AN$266,37,FALSE)),"",VLOOKUP(D238,'Woodmac profile - Oil'!$D$9:$AN$266,37,FALSE))</f>
        <v/>
      </c>
      <c r="AN238" s="136" t="str">
        <f>IF(ISERROR(VLOOKUP(D238,'Woodmac profile - Gas'!$D$9:$AN$249,37,FALSE)),"",VLOOKUP(D238,'Woodmac profile - Gas'!$D$9:$AN$249,37,FALSE))</f>
        <v/>
      </c>
      <c r="AO238" s="136" t="str">
        <f t="shared" si="15"/>
        <v/>
      </c>
      <c r="AP238" s="132"/>
      <c r="AQ238" s="129"/>
      <c r="AR238" s="129"/>
      <c r="AS238" s="354"/>
      <c r="AT238" s="131"/>
      <c r="AU238" s="131"/>
      <c r="AV238" s="354"/>
      <c r="AW238" s="132"/>
      <c r="AX238" s="354"/>
      <c r="AY238" s="132"/>
      <c r="AZ238" s="132"/>
      <c r="BA238" s="132"/>
      <c r="BB238" s="132"/>
    </row>
    <row r="239" spans="1:54">
      <c r="A239" s="132"/>
      <c r="B239" s="133" t="s">
        <v>3369</v>
      </c>
      <c r="C239" s="133" t="s">
        <v>160</v>
      </c>
      <c r="D239" s="133" t="s">
        <v>3068</v>
      </c>
      <c r="E239" s="133" t="s">
        <v>1927</v>
      </c>
      <c r="F239" s="133" t="s">
        <v>3373</v>
      </c>
      <c r="G239" s="133" t="s">
        <v>3374</v>
      </c>
      <c r="H239" s="133" t="s">
        <v>116</v>
      </c>
      <c r="I239" s="133" t="s">
        <v>2607</v>
      </c>
      <c r="J239" s="133">
        <v>75</v>
      </c>
      <c r="K239" s="133">
        <v>1090.93</v>
      </c>
      <c r="L239" s="133">
        <v>1172.48</v>
      </c>
      <c r="M239" s="133">
        <v>821.69</v>
      </c>
      <c r="N239" s="133">
        <v>572.52</v>
      </c>
      <c r="O239" s="133">
        <v>760.31</v>
      </c>
      <c r="P239" s="133">
        <v>771.35</v>
      </c>
      <c r="Q239" s="133">
        <v>568.45000000000005</v>
      </c>
      <c r="R239" s="133">
        <v>400.25</v>
      </c>
      <c r="S239" s="133">
        <v>8.34</v>
      </c>
      <c r="T239" s="133">
        <v>265.5</v>
      </c>
      <c r="U239" s="133">
        <v>704.24</v>
      </c>
      <c r="V239" s="133">
        <v>1085.27</v>
      </c>
      <c r="W239" s="133">
        <v>743.75</v>
      </c>
      <c r="X239" s="133">
        <v>843.88</v>
      </c>
      <c r="Y239" s="133">
        <v>283.05</v>
      </c>
      <c r="Z239" s="133">
        <v>275.39999999999998</v>
      </c>
      <c r="AA239" s="133">
        <v>137.69999999999999</v>
      </c>
      <c r="AB239" s="133">
        <v>107.1</v>
      </c>
      <c r="AC239" s="133">
        <v>214.2</v>
      </c>
      <c r="AD239" s="133">
        <v>214.2</v>
      </c>
      <c r="AE239" s="133">
        <v>214.2</v>
      </c>
      <c r="AF239" s="133">
        <v>183.6</v>
      </c>
      <c r="AG239" s="133">
        <v>153</v>
      </c>
      <c r="AH239" s="133">
        <v>153</v>
      </c>
      <c r="AI239" s="133">
        <v>153</v>
      </c>
      <c r="AJ239" s="133">
        <v>153</v>
      </c>
      <c r="AK239" s="133">
        <v>0</v>
      </c>
      <c r="AL239" s="133">
        <v>0</v>
      </c>
      <c r="AM239" s="136" t="str">
        <f>IF(ISERROR(VLOOKUP(D239,'Woodmac profile - Oil'!$D$9:$AN$266,37,FALSE)),"",VLOOKUP(D239,'Woodmac profile - Oil'!$D$9:$AN$266,37,FALSE))</f>
        <v>SUBS</v>
      </c>
      <c r="AN239" s="136" t="str">
        <f>IF(ISERROR(VLOOKUP(D239,'Woodmac profile - Gas'!$D$9:$AN$249,37,FALSE)),"",VLOOKUP(D239,'Woodmac profile - Gas'!$D$9:$AN$249,37,FALSE))</f>
        <v>SUBS</v>
      </c>
      <c r="AO239" s="136" t="str">
        <f t="shared" ref="AO239:AO289" si="16">IF(AM239="",AN239,AM239)</f>
        <v>SUBS</v>
      </c>
      <c r="AP239" s="132"/>
      <c r="AQ239" s="129"/>
      <c r="AR239" s="129"/>
      <c r="AS239" s="354"/>
      <c r="AT239" s="131"/>
      <c r="AU239" s="131"/>
      <c r="AV239" s="354"/>
      <c r="AW239" s="132"/>
      <c r="AX239" s="354"/>
      <c r="AY239" s="132"/>
      <c r="AZ239" s="132"/>
      <c r="BA239" s="132"/>
      <c r="BB239" s="132"/>
    </row>
    <row r="240" spans="1:54">
      <c r="A240" s="132"/>
      <c r="B240" s="133" t="s">
        <v>3369</v>
      </c>
      <c r="C240" s="133" t="s">
        <v>160</v>
      </c>
      <c r="D240" s="133" t="s">
        <v>3069</v>
      </c>
      <c r="E240" s="133" t="s">
        <v>1927</v>
      </c>
      <c r="F240" s="133" t="s">
        <v>2973</v>
      </c>
      <c r="G240" s="133" t="s">
        <v>3374</v>
      </c>
      <c r="H240" s="133" t="s">
        <v>116</v>
      </c>
      <c r="I240" s="133" t="s">
        <v>2571</v>
      </c>
      <c r="J240" s="133">
        <v>33.340000000000003</v>
      </c>
      <c r="K240" s="133">
        <v>0.45</v>
      </c>
      <c r="L240" s="133">
        <v>0.44</v>
      </c>
      <c r="M240" s="133">
        <v>0</v>
      </c>
      <c r="N240" s="133">
        <v>0</v>
      </c>
      <c r="O240" s="133">
        <v>0</v>
      </c>
      <c r="P240" s="133">
        <v>0</v>
      </c>
      <c r="Q240" s="133">
        <v>0</v>
      </c>
      <c r="R240" s="133">
        <v>0</v>
      </c>
      <c r="S240" s="133">
        <v>0</v>
      </c>
      <c r="T240" s="133">
        <v>0</v>
      </c>
      <c r="U240" s="133">
        <v>0</v>
      </c>
      <c r="V240" s="133">
        <v>0</v>
      </c>
      <c r="W240" s="133">
        <v>0</v>
      </c>
      <c r="X240" s="133">
        <v>0</v>
      </c>
      <c r="Y240" s="133">
        <v>0</v>
      </c>
      <c r="Z240" s="133">
        <v>0</v>
      </c>
      <c r="AA240" s="133">
        <v>0</v>
      </c>
      <c r="AB240" s="133">
        <v>0</v>
      </c>
      <c r="AC240" s="133">
        <v>0</v>
      </c>
      <c r="AD240" s="133">
        <v>0</v>
      </c>
      <c r="AE240" s="133">
        <v>0</v>
      </c>
      <c r="AF240" s="133">
        <v>0</v>
      </c>
      <c r="AG240" s="133">
        <v>0</v>
      </c>
      <c r="AH240" s="133">
        <v>0</v>
      </c>
      <c r="AI240" s="133">
        <v>0</v>
      </c>
      <c r="AJ240" s="133">
        <v>0</v>
      </c>
      <c r="AK240" s="133">
        <v>0</v>
      </c>
      <c r="AL240" s="133">
        <v>0</v>
      </c>
      <c r="AM240" s="136" t="str">
        <f>IF(ISERROR(VLOOKUP(D240,'Woodmac profile - Oil'!$D$9:$AN$266,37,FALSE)),"",VLOOKUP(D240,'Woodmac profile - Oil'!$D$9:$AN$266,37,FALSE))</f>
        <v>SUBS</v>
      </c>
      <c r="AN240" s="136" t="str">
        <f>IF(ISERROR(VLOOKUP(D240,'Woodmac profile - Gas'!$D$9:$AN$249,37,FALSE)),"",VLOOKUP(D240,'Woodmac profile - Gas'!$D$9:$AN$249,37,FALSE))</f>
        <v>SUBS</v>
      </c>
      <c r="AO240" s="136" t="str">
        <f t="shared" si="16"/>
        <v>SUBS</v>
      </c>
      <c r="AP240" s="132"/>
      <c r="AQ240" s="129"/>
      <c r="AR240" s="129"/>
      <c r="AS240" s="354"/>
      <c r="AT240" s="131"/>
      <c r="AU240" s="131"/>
      <c r="AV240" s="354"/>
      <c r="AW240" s="132"/>
      <c r="AX240" s="354"/>
      <c r="AY240" s="132"/>
      <c r="AZ240" s="132"/>
      <c r="BA240" s="132"/>
      <c r="BB240" s="132"/>
    </row>
    <row r="241" spans="1:54">
      <c r="A241" s="132"/>
      <c r="B241" s="133" t="s">
        <v>3369</v>
      </c>
      <c r="C241" s="133" t="s">
        <v>160</v>
      </c>
      <c r="D241" s="133" t="s">
        <v>3070</v>
      </c>
      <c r="E241" s="133" t="s">
        <v>1927</v>
      </c>
      <c r="F241" s="133" t="s">
        <v>2973</v>
      </c>
      <c r="G241" s="133" t="s">
        <v>3374</v>
      </c>
      <c r="H241" s="133" t="s">
        <v>116</v>
      </c>
      <c r="I241" s="133" t="s">
        <v>2599</v>
      </c>
      <c r="J241" s="133">
        <v>22.69</v>
      </c>
      <c r="K241" s="133">
        <v>29.3</v>
      </c>
      <c r="L241" s="133">
        <v>7.51</v>
      </c>
      <c r="M241" s="133">
        <v>4.3600000000000003</v>
      </c>
      <c r="N241" s="133">
        <v>35.200000000000003</v>
      </c>
      <c r="O241" s="133">
        <v>79.41</v>
      </c>
      <c r="P241" s="133">
        <v>108.11</v>
      </c>
      <c r="Q241" s="133">
        <v>52.92</v>
      </c>
      <c r="R241" s="133">
        <v>11.72</v>
      </c>
      <c r="S241" s="133">
        <v>29.02</v>
      </c>
      <c r="T241" s="133">
        <v>30.89</v>
      </c>
      <c r="U241" s="133">
        <v>12.18</v>
      </c>
      <c r="V241" s="133">
        <v>19.170000000000002</v>
      </c>
      <c r="W241" s="133">
        <v>35.9</v>
      </c>
      <c r="X241" s="133">
        <v>0</v>
      </c>
      <c r="Y241" s="133">
        <v>0</v>
      </c>
      <c r="Z241" s="133">
        <v>13.89</v>
      </c>
      <c r="AA241" s="133">
        <v>53.23</v>
      </c>
      <c r="AB241" s="133">
        <v>0</v>
      </c>
      <c r="AC241" s="133">
        <v>0</v>
      </c>
      <c r="AD241" s="133">
        <v>13.89</v>
      </c>
      <c r="AE241" s="133">
        <v>27.77</v>
      </c>
      <c r="AF241" s="133">
        <v>13.89</v>
      </c>
      <c r="AG241" s="133">
        <v>13.89</v>
      </c>
      <c r="AH241" s="133">
        <v>0</v>
      </c>
      <c r="AI241" s="133">
        <v>0</v>
      </c>
      <c r="AJ241" s="133">
        <v>0</v>
      </c>
      <c r="AK241" s="133">
        <v>0</v>
      </c>
      <c r="AL241" s="133">
        <v>0</v>
      </c>
      <c r="AM241" s="136" t="str">
        <f>IF(ISERROR(VLOOKUP(D241,'Woodmac profile - Oil'!$D$9:$AN$266,37,FALSE)),"",VLOOKUP(D241,'Woodmac profile - Oil'!$D$9:$AN$266,37,FALSE))</f>
        <v>SUBS</v>
      </c>
      <c r="AN241" s="136" t="str">
        <f>IF(ISERROR(VLOOKUP(D241,'Woodmac profile - Gas'!$D$9:$AN$249,37,FALSE)),"",VLOOKUP(D241,'Woodmac profile - Gas'!$D$9:$AN$249,37,FALSE))</f>
        <v>SUBS</v>
      </c>
      <c r="AO241" s="136" t="str">
        <f t="shared" si="16"/>
        <v>SUBS</v>
      </c>
      <c r="AP241" s="132"/>
      <c r="AQ241" s="129"/>
      <c r="AR241" s="129"/>
      <c r="AS241" s="354"/>
      <c r="AT241" s="131"/>
      <c r="AU241" s="131"/>
      <c r="AV241" s="354"/>
      <c r="AW241" s="132"/>
      <c r="AX241" s="354"/>
      <c r="AY241" s="132"/>
      <c r="AZ241" s="132"/>
      <c r="BA241" s="132"/>
      <c r="BB241" s="132"/>
    </row>
    <row r="242" spans="1:54">
      <c r="A242" s="132"/>
      <c r="B242" s="133" t="s">
        <v>3369</v>
      </c>
      <c r="C242" s="133" t="s">
        <v>3072</v>
      </c>
      <c r="D242" s="133" t="s">
        <v>3073</v>
      </c>
      <c r="E242" s="133" t="s">
        <v>1927</v>
      </c>
      <c r="F242" s="133" t="s">
        <v>2960</v>
      </c>
      <c r="G242" s="133" t="s">
        <v>1929</v>
      </c>
      <c r="H242" s="133" t="s">
        <v>116</v>
      </c>
      <c r="I242" s="133" t="s">
        <v>1931</v>
      </c>
      <c r="J242" s="133">
        <v>100</v>
      </c>
      <c r="K242" s="133">
        <v>78.680000000000007</v>
      </c>
      <c r="L242" s="133">
        <v>94.04</v>
      </c>
      <c r="M242" s="133">
        <v>68.67</v>
      </c>
      <c r="N242" s="133">
        <v>28.25</v>
      </c>
      <c r="O242" s="133">
        <v>0.27</v>
      </c>
      <c r="P242" s="133">
        <v>0</v>
      </c>
      <c r="Q242" s="133">
        <v>0</v>
      </c>
      <c r="R242" s="133">
        <v>0</v>
      </c>
      <c r="S242" s="133">
        <v>0</v>
      </c>
      <c r="T242" s="133">
        <v>0</v>
      </c>
      <c r="U242" s="133">
        <v>0</v>
      </c>
      <c r="V242" s="133">
        <v>0</v>
      </c>
      <c r="W242" s="133">
        <v>0</v>
      </c>
      <c r="X242" s="133">
        <v>0</v>
      </c>
      <c r="Y242" s="133">
        <v>0</v>
      </c>
      <c r="Z242" s="133">
        <v>0</v>
      </c>
      <c r="AA242" s="133">
        <v>0</v>
      </c>
      <c r="AB242" s="133">
        <v>0</v>
      </c>
      <c r="AC242" s="133">
        <v>0</v>
      </c>
      <c r="AD242" s="133">
        <v>0</v>
      </c>
      <c r="AE242" s="133">
        <v>0</v>
      </c>
      <c r="AF242" s="133">
        <v>0</v>
      </c>
      <c r="AG242" s="133">
        <v>0</v>
      </c>
      <c r="AH242" s="133">
        <v>0</v>
      </c>
      <c r="AI242" s="133">
        <v>0</v>
      </c>
      <c r="AJ242" s="133">
        <v>0</v>
      </c>
      <c r="AK242" s="133">
        <v>0</v>
      </c>
      <c r="AL242" s="133">
        <v>0</v>
      </c>
      <c r="AM242" s="136" t="str">
        <f>IF(ISERROR(VLOOKUP(D242,'Woodmac profile - Oil'!$D$9:$AN$266,37,FALSE)),"",VLOOKUP(D242,'Woodmac profile - Oil'!$D$9:$AN$266,37,FALSE))</f>
        <v>SUBS</v>
      </c>
      <c r="AN242" s="136" t="str">
        <f>IF(ISERROR(VLOOKUP(D242,'Woodmac profile - Gas'!$D$9:$AN$249,37,FALSE)),"",VLOOKUP(D242,'Woodmac profile - Gas'!$D$9:$AN$249,37,FALSE))</f>
        <v>SUBS</v>
      </c>
      <c r="AO242" s="136" t="str">
        <f t="shared" si="16"/>
        <v>SUBS</v>
      </c>
      <c r="AP242" s="132"/>
      <c r="AQ242" s="129"/>
      <c r="AR242" s="129"/>
      <c r="AS242" s="354"/>
      <c r="AT242" s="131"/>
      <c r="AU242" s="131"/>
      <c r="AV242" s="354"/>
      <c r="AW242" s="132"/>
      <c r="AX242" s="354"/>
      <c r="AY242" s="132"/>
      <c r="AZ242" s="132"/>
      <c r="BA242" s="132"/>
      <c r="BB242" s="132"/>
    </row>
    <row r="243" spans="1:54">
      <c r="A243" s="132"/>
      <c r="B243" s="133" t="s">
        <v>3369</v>
      </c>
      <c r="C243" s="133" t="s">
        <v>3072</v>
      </c>
      <c r="D243" s="133" t="s">
        <v>3074</v>
      </c>
      <c r="E243" s="133" t="s">
        <v>1927</v>
      </c>
      <c r="F243" s="133" t="s">
        <v>2960</v>
      </c>
      <c r="G243" s="133" t="s">
        <v>1931</v>
      </c>
      <c r="H243" s="133" t="s">
        <v>116</v>
      </c>
      <c r="I243" s="133" t="s">
        <v>1931</v>
      </c>
      <c r="J243" s="133">
        <v>100</v>
      </c>
      <c r="K243" s="133">
        <v>66.69</v>
      </c>
      <c r="L243" s="133">
        <v>66.290000000000006</v>
      </c>
      <c r="M243" s="133">
        <v>46.41</v>
      </c>
      <c r="N243" s="133">
        <v>9.7799999999999994</v>
      </c>
      <c r="O243" s="133">
        <v>0</v>
      </c>
      <c r="P243" s="133">
        <v>0</v>
      </c>
      <c r="Q243" s="133">
        <v>0</v>
      </c>
      <c r="R243" s="133">
        <v>0</v>
      </c>
      <c r="S243" s="133">
        <v>0</v>
      </c>
      <c r="T243" s="133">
        <v>0</v>
      </c>
      <c r="U243" s="133">
        <v>0</v>
      </c>
      <c r="V243" s="133">
        <v>0</v>
      </c>
      <c r="W243" s="133">
        <v>0</v>
      </c>
      <c r="X243" s="133">
        <v>0</v>
      </c>
      <c r="Y243" s="133">
        <v>0</v>
      </c>
      <c r="Z243" s="133">
        <v>0</v>
      </c>
      <c r="AA243" s="133">
        <v>0</v>
      </c>
      <c r="AB243" s="133">
        <v>0</v>
      </c>
      <c r="AC243" s="133">
        <v>0</v>
      </c>
      <c r="AD243" s="133">
        <v>0</v>
      </c>
      <c r="AE243" s="133">
        <v>0</v>
      </c>
      <c r="AF243" s="133">
        <v>0</v>
      </c>
      <c r="AG243" s="133">
        <v>0</v>
      </c>
      <c r="AH243" s="133">
        <v>0</v>
      </c>
      <c r="AI243" s="133">
        <v>0</v>
      </c>
      <c r="AJ243" s="133">
        <v>0</v>
      </c>
      <c r="AK243" s="133">
        <v>0</v>
      </c>
      <c r="AL243" s="133">
        <v>0</v>
      </c>
      <c r="AM243" s="136" t="str">
        <f>IF(ISERROR(VLOOKUP(D243,'Woodmac profile - Oil'!$D$9:$AN$266,37,FALSE)),"",VLOOKUP(D243,'Woodmac profile - Oil'!$D$9:$AN$266,37,FALSE))</f>
        <v>SUBS</v>
      </c>
      <c r="AN243" s="136" t="str">
        <f>IF(ISERROR(VLOOKUP(D243,'Woodmac profile - Gas'!$D$9:$AN$249,37,FALSE)),"",VLOOKUP(D243,'Woodmac profile - Gas'!$D$9:$AN$249,37,FALSE))</f>
        <v/>
      </c>
      <c r="AO243" s="136" t="str">
        <f t="shared" si="16"/>
        <v>SUBS</v>
      </c>
      <c r="AP243" s="132"/>
      <c r="AQ243" s="129"/>
      <c r="AR243" s="129"/>
      <c r="AS243" s="354"/>
      <c r="AT243" s="131"/>
      <c r="AU243" s="131"/>
      <c r="AV243" s="354"/>
      <c r="AW243" s="132"/>
      <c r="AX243" s="354"/>
      <c r="AY243" s="132"/>
      <c r="AZ243" s="132"/>
      <c r="BA243" s="132"/>
      <c r="BB243" s="132"/>
    </row>
    <row r="244" spans="1:54">
      <c r="A244" s="132"/>
      <c r="B244" s="133" t="s">
        <v>3369</v>
      </c>
      <c r="C244" s="133" t="s">
        <v>3072</v>
      </c>
      <c r="D244" s="133" t="s">
        <v>674</v>
      </c>
      <c r="E244" s="133" t="s">
        <v>1927</v>
      </c>
      <c r="F244" s="133" t="s">
        <v>2960</v>
      </c>
      <c r="G244" s="133" t="s">
        <v>1929</v>
      </c>
      <c r="H244" s="133" t="s">
        <v>116</v>
      </c>
      <c r="I244" s="133" t="s">
        <v>1931</v>
      </c>
      <c r="J244" s="133">
        <v>100</v>
      </c>
      <c r="K244" s="133">
        <v>124.87</v>
      </c>
      <c r="L244" s="133">
        <v>48.56</v>
      </c>
      <c r="M244" s="133">
        <v>69.2</v>
      </c>
      <c r="N244" s="133">
        <v>0.45</v>
      </c>
      <c r="O244" s="133">
        <v>0</v>
      </c>
      <c r="P244" s="133">
        <v>0</v>
      </c>
      <c r="Q244" s="133">
        <v>0</v>
      </c>
      <c r="R244" s="133">
        <v>0</v>
      </c>
      <c r="S244" s="133">
        <v>0</v>
      </c>
      <c r="T244" s="133">
        <v>0</v>
      </c>
      <c r="U244" s="133">
        <v>0</v>
      </c>
      <c r="V244" s="133">
        <v>0</v>
      </c>
      <c r="W244" s="133">
        <v>0</v>
      </c>
      <c r="X244" s="133">
        <v>0</v>
      </c>
      <c r="Y244" s="133">
        <v>0</v>
      </c>
      <c r="Z244" s="133">
        <v>0</v>
      </c>
      <c r="AA244" s="133">
        <v>0</v>
      </c>
      <c r="AB244" s="133">
        <v>0</v>
      </c>
      <c r="AC244" s="133">
        <v>0</v>
      </c>
      <c r="AD244" s="133">
        <v>0</v>
      </c>
      <c r="AE244" s="133">
        <v>0</v>
      </c>
      <c r="AF244" s="133">
        <v>0</v>
      </c>
      <c r="AG244" s="133">
        <v>0</v>
      </c>
      <c r="AH244" s="133">
        <v>0</v>
      </c>
      <c r="AI244" s="133">
        <v>0</v>
      </c>
      <c r="AJ244" s="133">
        <v>0</v>
      </c>
      <c r="AK244" s="133">
        <v>0</v>
      </c>
      <c r="AL244" s="133">
        <v>0</v>
      </c>
      <c r="AM244" s="136" t="str">
        <f>IF(ISERROR(VLOOKUP(D244,'Woodmac profile - Oil'!$D$9:$AN$266,37,FALSE)),"",VLOOKUP(D244,'Woodmac profile - Oil'!$D$9:$AN$266,37,FALSE))</f>
        <v>SUBS</v>
      </c>
      <c r="AN244" s="136" t="str">
        <f>IF(ISERROR(VLOOKUP(D244,'Woodmac profile - Gas'!$D$9:$AN$249,37,FALSE)),"",VLOOKUP(D244,'Woodmac profile - Gas'!$D$9:$AN$249,37,FALSE))</f>
        <v>SUBS</v>
      </c>
      <c r="AO244" s="136" t="str">
        <f t="shared" si="16"/>
        <v>SUBS</v>
      </c>
      <c r="AP244" s="132"/>
      <c r="AQ244" s="129"/>
      <c r="AR244" s="129"/>
      <c r="AS244" s="354"/>
      <c r="AT244" s="131"/>
      <c r="AU244" s="131"/>
      <c r="AV244" s="354"/>
      <c r="AW244" s="132"/>
      <c r="AX244" s="354"/>
      <c r="AY244" s="132"/>
      <c r="AZ244" s="132"/>
      <c r="BA244" s="132"/>
      <c r="BB244" s="132"/>
    </row>
    <row r="245" spans="1:54">
      <c r="A245" s="132"/>
      <c r="B245" s="133" t="s">
        <v>3369</v>
      </c>
      <c r="C245" s="133" t="s">
        <v>3072</v>
      </c>
      <c r="D245" s="133" t="s">
        <v>1343</v>
      </c>
      <c r="E245" s="133" t="s">
        <v>1927</v>
      </c>
      <c r="F245" s="133" t="s">
        <v>2960</v>
      </c>
      <c r="G245" s="133" t="s">
        <v>1929</v>
      </c>
      <c r="H245" s="133" t="s">
        <v>116</v>
      </c>
      <c r="I245" s="133" t="s">
        <v>1931</v>
      </c>
      <c r="J245" s="133">
        <v>100</v>
      </c>
      <c r="K245" s="133">
        <v>37.630000000000003</v>
      </c>
      <c r="L245" s="133">
        <v>9.33</v>
      </c>
      <c r="M245" s="133">
        <v>17.53</v>
      </c>
      <c r="N245" s="133">
        <v>0.32</v>
      </c>
      <c r="O245" s="133">
        <v>0.24</v>
      </c>
      <c r="P245" s="133">
        <v>0</v>
      </c>
      <c r="Q245" s="133">
        <v>0</v>
      </c>
      <c r="R245" s="133">
        <v>0</v>
      </c>
      <c r="S245" s="133">
        <v>0</v>
      </c>
      <c r="T245" s="133">
        <v>0</v>
      </c>
      <c r="U245" s="133">
        <v>0</v>
      </c>
      <c r="V245" s="133">
        <v>0</v>
      </c>
      <c r="W245" s="133">
        <v>0</v>
      </c>
      <c r="X245" s="133">
        <v>0</v>
      </c>
      <c r="Y245" s="133">
        <v>0</v>
      </c>
      <c r="Z245" s="133">
        <v>0</v>
      </c>
      <c r="AA245" s="133">
        <v>0</v>
      </c>
      <c r="AB245" s="133">
        <v>0</v>
      </c>
      <c r="AC245" s="133">
        <v>0</v>
      </c>
      <c r="AD245" s="133">
        <v>0</v>
      </c>
      <c r="AE245" s="133">
        <v>0</v>
      </c>
      <c r="AF245" s="133">
        <v>0</v>
      </c>
      <c r="AG245" s="133">
        <v>0</v>
      </c>
      <c r="AH245" s="133">
        <v>0</v>
      </c>
      <c r="AI245" s="133">
        <v>0</v>
      </c>
      <c r="AJ245" s="133">
        <v>0</v>
      </c>
      <c r="AK245" s="133">
        <v>0</v>
      </c>
      <c r="AL245" s="133">
        <v>0</v>
      </c>
      <c r="AM245" s="136" t="str">
        <f>IF(ISERROR(VLOOKUP(D245,'Woodmac profile - Oil'!$D$9:$AN$266,37,FALSE)),"",VLOOKUP(D245,'Woodmac profile - Oil'!$D$9:$AN$266,37,FALSE))</f>
        <v>SUBS</v>
      </c>
      <c r="AN245" s="136" t="str">
        <f>IF(ISERROR(VLOOKUP(D245,'Woodmac profile - Gas'!$D$9:$AN$249,37,FALSE)),"",VLOOKUP(D245,'Woodmac profile - Gas'!$D$9:$AN$249,37,FALSE))</f>
        <v>SUBS</v>
      </c>
      <c r="AO245" s="136" t="str">
        <f t="shared" si="16"/>
        <v>SUBS</v>
      </c>
      <c r="AP245" s="132"/>
      <c r="AQ245" s="129"/>
      <c r="AR245" s="129"/>
      <c r="AS245" s="354"/>
      <c r="AT245" s="131"/>
      <c r="AU245" s="131"/>
      <c r="AV245" s="354"/>
      <c r="AW245" s="132"/>
      <c r="AX245" s="354"/>
      <c r="AY245" s="132"/>
      <c r="AZ245" s="132"/>
      <c r="BA245" s="132"/>
      <c r="BB245" s="132"/>
    </row>
    <row r="246" spans="1:54">
      <c r="A246" s="132"/>
      <c r="B246" s="133" t="s">
        <v>3369</v>
      </c>
      <c r="C246" s="133" t="s">
        <v>3072</v>
      </c>
      <c r="D246" s="133" t="s">
        <v>1344</v>
      </c>
      <c r="E246" s="133" t="s">
        <v>1927</v>
      </c>
      <c r="F246" s="133" t="s">
        <v>2960</v>
      </c>
      <c r="G246" s="133" t="s">
        <v>1931</v>
      </c>
      <c r="H246" s="133" t="s">
        <v>116</v>
      </c>
      <c r="I246" s="133" t="s">
        <v>1931</v>
      </c>
      <c r="J246" s="133">
        <v>100</v>
      </c>
      <c r="K246" s="133">
        <v>9.42</v>
      </c>
      <c r="L246" s="133">
        <v>9.14</v>
      </c>
      <c r="M246" s="133">
        <v>8.73</v>
      </c>
      <c r="N246" s="133">
        <v>0.13</v>
      </c>
      <c r="O246" s="133">
        <v>0.1</v>
      </c>
      <c r="P246" s="133">
        <v>0</v>
      </c>
      <c r="Q246" s="133">
        <v>0</v>
      </c>
      <c r="R246" s="133">
        <v>0</v>
      </c>
      <c r="S246" s="133">
        <v>0</v>
      </c>
      <c r="T246" s="133">
        <v>0</v>
      </c>
      <c r="U246" s="133">
        <v>0</v>
      </c>
      <c r="V246" s="133">
        <v>0</v>
      </c>
      <c r="W246" s="133">
        <v>0</v>
      </c>
      <c r="X246" s="133">
        <v>0</v>
      </c>
      <c r="Y246" s="133">
        <v>0</v>
      </c>
      <c r="Z246" s="133">
        <v>0</v>
      </c>
      <c r="AA246" s="133">
        <v>0</v>
      </c>
      <c r="AB246" s="133">
        <v>0</v>
      </c>
      <c r="AC246" s="133">
        <v>0</v>
      </c>
      <c r="AD246" s="133">
        <v>0</v>
      </c>
      <c r="AE246" s="133">
        <v>0</v>
      </c>
      <c r="AF246" s="133">
        <v>0</v>
      </c>
      <c r="AG246" s="133">
        <v>0</v>
      </c>
      <c r="AH246" s="133">
        <v>0</v>
      </c>
      <c r="AI246" s="133">
        <v>0</v>
      </c>
      <c r="AJ246" s="133">
        <v>0</v>
      </c>
      <c r="AK246" s="133">
        <v>0</v>
      </c>
      <c r="AL246" s="133">
        <v>0</v>
      </c>
      <c r="AM246" s="136" t="str">
        <f>IF(ISERROR(VLOOKUP(D246,'Woodmac profile - Oil'!$D$9:$AN$266,37,FALSE)),"",VLOOKUP(D246,'Woodmac profile - Oil'!$D$9:$AN$266,37,FALSE))</f>
        <v>SUBS</v>
      </c>
      <c r="AN246" s="136" t="str">
        <f>IF(ISERROR(VLOOKUP(D246,'Woodmac profile - Gas'!$D$9:$AN$249,37,FALSE)),"",VLOOKUP(D246,'Woodmac profile - Gas'!$D$9:$AN$249,37,FALSE))</f>
        <v>SUBS</v>
      </c>
      <c r="AO246" s="136" t="str">
        <f t="shared" si="16"/>
        <v>SUBS</v>
      </c>
      <c r="AP246" s="132"/>
      <c r="AQ246" s="129"/>
      <c r="AR246" s="129"/>
      <c r="AS246" s="354"/>
      <c r="AT246" s="131"/>
      <c r="AU246" s="131"/>
      <c r="AV246" s="354"/>
      <c r="AW246" s="132"/>
      <c r="AX246" s="354"/>
      <c r="AY246" s="132"/>
      <c r="AZ246" s="132"/>
      <c r="BA246" s="132"/>
      <c r="BB246" s="132"/>
    </row>
    <row r="247" spans="1:54">
      <c r="A247" s="132"/>
      <c r="B247" s="133" t="s">
        <v>3369</v>
      </c>
      <c r="C247" s="133" t="s">
        <v>3072</v>
      </c>
      <c r="D247" s="133" t="s">
        <v>1345</v>
      </c>
      <c r="E247" s="133" t="s">
        <v>1927</v>
      </c>
      <c r="F247" s="133" t="s">
        <v>2960</v>
      </c>
      <c r="G247" s="133" t="s">
        <v>1929</v>
      </c>
      <c r="H247" s="133" t="s">
        <v>116</v>
      </c>
      <c r="I247" s="133" t="s">
        <v>1931</v>
      </c>
      <c r="J247" s="133">
        <v>100</v>
      </c>
      <c r="K247" s="133">
        <v>0.08</v>
      </c>
      <c r="L247" s="133">
        <v>0.04</v>
      </c>
      <c r="M247" s="133">
        <v>0.04</v>
      </c>
      <c r="N247" s="133">
        <v>0.03</v>
      </c>
      <c r="O247" s="133">
        <v>0</v>
      </c>
      <c r="P247" s="133">
        <v>0</v>
      </c>
      <c r="Q247" s="133">
        <v>0</v>
      </c>
      <c r="R247" s="133">
        <v>0</v>
      </c>
      <c r="S247" s="133">
        <v>0</v>
      </c>
      <c r="T247" s="133">
        <v>0</v>
      </c>
      <c r="U247" s="133">
        <v>0</v>
      </c>
      <c r="V247" s="133">
        <v>0</v>
      </c>
      <c r="W247" s="133">
        <v>0</v>
      </c>
      <c r="X247" s="133">
        <v>0</v>
      </c>
      <c r="Y247" s="133">
        <v>0</v>
      </c>
      <c r="Z247" s="133">
        <v>0</v>
      </c>
      <c r="AA247" s="133">
        <v>0</v>
      </c>
      <c r="AB247" s="133">
        <v>0</v>
      </c>
      <c r="AC247" s="133">
        <v>0</v>
      </c>
      <c r="AD247" s="133">
        <v>0</v>
      </c>
      <c r="AE247" s="133">
        <v>0</v>
      </c>
      <c r="AF247" s="133">
        <v>0</v>
      </c>
      <c r="AG247" s="133">
        <v>0</v>
      </c>
      <c r="AH247" s="133">
        <v>0</v>
      </c>
      <c r="AI247" s="133">
        <v>0</v>
      </c>
      <c r="AJ247" s="133">
        <v>0</v>
      </c>
      <c r="AK247" s="133">
        <v>0</v>
      </c>
      <c r="AL247" s="133">
        <v>0</v>
      </c>
      <c r="AM247" s="136" t="str">
        <f>IF(ISERROR(VLOOKUP(D247,'Woodmac profile - Oil'!$D$9:$AN$266,37,FALSE)),"",VLOOKUP(D247,'Woodmac profile - Oil'!$D$9:$AN$266,37,FALSE))</f>
        <v>SUBS</v>
      </c>
      <c r="AN247" s="136" t="str">
        <f>IF(ISERROR(VLOOKUP(D247,'Woodmac profile - Gas'!$D$9:$AN$249,37,FALSE)),"",VLOOKUP(D247,'Woodmac profile - Gas'!$D$9:$AN$249,37,FALSE))</f>
        <v>SUBS</v>
      </c>
      <c r="AO247" s="136" t="str">
        <f t="shared" si="16"/>
        <v>SUBS</v>
      </c>
      <c r="AP247" s="132"/>
      <c r="AQ247" s="129"/>
      <c r="AR247" s="129"/>
      <c r="AS247" s="354"/>
      <c r="AT247" s="131"/>
      <c r="AU247" s="131"/>
      <c r="AV247" s="354"/>
      <c r="AW247" s="132"/>
      <c r="AX247" s="354"/>
      <c r="AY247" s="132"/>
      <c r="AZ247" s="132"/>
      <c r="BA247" s="132"/>
      <c r="BB247" s="132"/>
    </row>
    <row r="248" spans="1:54">
      <c r="A248" s="132"/>
      <c r="B248" s="133" t="s">
        <v>3369</v>
      </c>
      <c r="C248" s="133" t="s">
        <v>1346</v>
      </c>
      <c r="D248" s="133" t="s">
        <v>1347</v>
      </c>
      <c r="E248" s="133" t="s">
        <v>1927</v>
      </c>
      <c r="F248" s="133" t="s">
        <v>1928</v>
      </c>
      <c r="G248" s="133" t="s">
        <v>1929</v>
      </c>
      <c r="H248" s="133" t="s">
        <v>117</v>
      </c>
      <c r="I248" s="133" t="s">
        <v>1931</v>
      </c>
      <c r="J248" s="133">
        <v>100</v>
      </c>
      <c r="K248" s="133">
        <v>0</v>
      </c>
      <c r="L248" s="133">
        <v>0</v>
      </c>
      <c r="M248" s="133">
        <v>0</v>
      </c>
      <c r="N248" s="133">
        <v>0</v>
      </c>
      <c r="O248" s="133">
        <v>14.8</v>
      </c>
      <c r="P248" s="133">
        <v>23.21</v>
      </c>
      <c r="Q248" s="133">
        <v>50.64</v>
      </c>
      <c r="R248" s="133">
        <v>45.08</v>
      </c>
      <c r="S248" s="133">
        <v>46.83</v>
      </c>
      <c r="T248" s="133">
        <v>45.93</v>
      </c>
      <c r="U248" s="133">
        <v>45.36</v>
      </c>
      <c r="V248" s="133">
        <v>45.4</v>
      </c>
      <c r="W248" s="133">
        <v>19.350000000000001</v>
      </c>
      <c r="X248" s="133">
        <v>0.75</v>
      </c>
      <c r="Y248" s="133">
        <v>0.73</v>
      </c>
      <c r="Z248" s="133">
        <v>0.72</v>
      </c>
      <c r="AA248" s="133">
        <v>0.69</v>
      </c>
      <c r="AB248" s="133">
        <v>0.66</v>
      </c>
      <c r="AC248" s="133">
        <v>0.63</v>
      </c>
      <c r="AD248" s="133">
        <v>0.61</v>
      </c>
      <c r="AE248" s="133">
        <v>0.57999999999999996</v>
      </c>
      <c r="AF248" s="133">
        <v>0.55000000000000004</v>
      </c>
      <c r="AG248" s="133">
        <v>0.52</v>
      </c>
      <c r="AH248" s="133">
        <v>0.5</v>
      </c>
      <c r="AI248" s="133">
        <v>0.47</v>
      </c>
      <c r="AJ248" s="133">
        <v>0.44</v>
      </c>
      <c r="AK248" s="133">
        <v>0.41</v>
      </c>
      <c r="AL248" s="133">
        <v>0.39</v>
      </c>
      <c r="AM248" s="136" t="str">
        <f>IF(ISERROR(VLOOKUP(D248,'Woodmac profile - Oil'!$D$9:$AN$266,37,FALSE)),"",VLOOKUP(D248,'Woodmac profile - Oil'!$D$9:$AN$266,37,FALSE))</f>
        <v>SUBS</v>
      </c>
      <c r="AN248" s="136" t="str">
        <f>IF(ISERROR(VLOOKUP(D248,'Woodmac profile - Gas'!$D$9:$AN$249,37,FALSE)),"",VLOOKUP(D248,'Woodmac profile - Gas'!$D$9:$AN$249,37,FALSE))</f>
        <v>SUBS</v>
      </c>
      <c r="AO248" s="136" t="str">
        <f t="shared" si="16"/>
        <v>SUBS</v>
      </c>
      <c r="AP248" s="132"/>
      <c r="AQ248" s="129"/>
      <c r="AR248" s="129"/>
      <c r="AS248" s="354"/>
      <c r="AT248" s="131"/>
      <c r="AU248" s="131"/>
      <c r="AV248" s="354"/>
      <c r="AW248" s="132"/>
      <c r="AX248" s="354"/>
      <c r="AY248" s="132"/>
      <c r="AZ248" s="132"/>
      <c r="BA248" s="132"/>
      <c r="BB248" s="132"/>
    </row>
    <row r="249" spans="1:54">
      <c r="A249" s="132"/>
      <c r="B249" s="133" t="s">
        <v>3369</v>
      </c>
      <c r="C249" s="133" t="s">
        <v>1346</v>
      </c>
      <c r="D249" s="133" t="s">
        <v>1348</v>
      </c>
      <c r="E249" s="133" t="s">
        <v>1927</v>
      </c>
      <c r="F249" s="133" t="s">
        <v>1928</v>
      </c>
      <c r="G249" s="133" t="s">
        <v>1929</v>
      </c>
      <c r="H249" s="133" t="s">
        <v>117</v>
      </c>
      <c r="I249" s="133" t="s">
        <v>1931</v>
      </c>
      <c r="J249" s="133">
        <v>100</v>
      </c>
      <c r="K249" s="133">
        <v>100.45</v>
      </c>
      <c r="L249" s="133">
        <v>65.05</v>
      </c>
      <c r="M249" s="133">
        <v>59.51</v>
      </c>
      <c r="N249" s="133">
        <v>70.28</v>
      </c>
      <c r="O249" s="133">
        <v>79.69</v>
      </c>
      <c r="P249" s="133">
        <v>86.74</v>
      </c>
      <c r="Q249" s="133">
        <v>27.98</v>
      </c>
      <c r="R249" s="133">
        <v>28.2</v>
      </c>
      <c r="S249" s="133">
        <v>28.08</v>
      </c>
      <c r="T249" s="133">
        <v>31.42</v>
      </c>
      <c r="U249" s="133">
        <v>34.590000000000003</v>
      </c>
      <c r="V249" s="133">
        <v>40.57</v>
      </c>
      <c r="W249" s="133">
        <v>21.74</v>
      </c>
      <c r="X249" s="133">
        <v>12.34</v>
      </c>
      <c r="Y249" s="133">
        <v>12.08</v>
      </c>
      <c r="Z249" s="133">
        <v>11.84</v>
      </c>
      <c r="AA249" s="133">
        <v>11.39</v>
      </c>
      <c r="AB249" s="133">
        <v>10.93</v>
      </c>
      <c r="AC249" s="133">
        <v>10.48</v>
      </c>
      <c r="AD249" s="133">
        <v>10.02</v>
      </c>
      <c r="AE249" s="133">
        <v>9.57</v>
      </c>
      <c r="AF249" s="133">
        <v>9.11</v>
      </c>
      <c r="AG249" s="133">
        <v>8.66</v>
      </c>
      <c r="AH249" s="133">
        <v>8.1999999999999993</v>
      </c>
      <c r="AI249" s="133">
        <v>7.74</v>
      </c>
      <c r="AJ249" s="133">
        <v>7.29</v>
      </c>
      <c r="AK249" s="133">
        <v>6.83</v>
      </c>
      <c r="AL249" s="133">
        <v>6.38</v>
      </c>
      <c r="AM249" s="136" t="str">
        <f>IF(ISERROR(VLOOKUP(D249,'Woodmac profile - Oil'!$D$9:$AN$266,37,FALSE)),"",VLOOKUP(D249,'Woodmac profile - Oil'!$D$9:$AN$266,37,FALSE))</f>
        <v>SUBS</v>
      </c>
      <c r="AN249" s="136" t="str">
        <f>IF(ISERROR(VLOOKUP(D249,'Woodmac profile - Gas'!$D$9:$AN$249,37,FALSE)),"",VLOOKUP(D249,'Woodmac profile - Gas'!$D$9:$AN$249,37,FALSE))</f>
        <v>SUBS</v>
      </c>
      <c r="AO249" s="136" t="str">
        <f t="shared" si="16"/>
        <v>SUBS</v>
      </c>
      <c r="AP249" s="132"/>
      <c r="AQ249" s="129"/>
      <c r="AR249" s="129"/>
      <c r="AS249" s="354"/>
      <c r="AT249" s="131"/>
      <c r="AU249" s="131"/>
      <c r="AV249" s="354"/>
      <c r="AW249" s="132"/>
      <c r="AX249" s="354"/>
      <c r="AY249" s="132"/>
      <c r="AZ249" s="132"/>
      <c r="BA249" s="132"/>
      <c r="BB249" s="132"/>
    </row>
    <row r="250" spans="1:54">
      <c r="A250" s="132"/>
      <c r="B250" s="133" t="s">
        <v>3369</v>
      </c>
      <c r="C250" s="133" t="s">
        <v>1346</v>
      </c>
      <c r="D250" s="133" t="s">
        <v>3564</v>
      </c>
      <c r="E250" s="133" t="s">
        <v>1927</v>
      </c>
      <c r="F250" s="133" t="s">
        <v>1928</v>
      </c>
      <c r="G250" s="133" t="s">
        <v>1930</v>
      </c>
      <c r="H250" s="133" t="s">
        <v>2962</v>
      </c>
      <c r="I250" s="133" t="s">
        <v>1931</v>
      </c>
      <c r="J250" s="133">
        <v>100</v>
      </c>
      <c r="K250" s="133">
        <v>0</v>
      </c>
      <c r="L250" s="133">
        <v>0</v>
      </c>
      <c r="M250" s="133">
        <v>0</v>
      </c>
      <c r="N250" s="133">
        <v>0</v>
      </c>
      <c r="O250" s="133">
        <v>0</v>
      </c>
      <c r="P250" s="133">
        <v>0</v>
      </c>
      <c r="Q250" s="133">
        <v>36.159999999999997</v>
      </c>
      <c r="R250" s="133">
        <v>55.1</v>
      </c>
      <c r="S250" s="133">
        <v>53.57</v>
      </c>
      <c r="T250" s="133">
        <v>52.54</v>
      </c>
      <c r="U250" s="133">
        <v>51.91</v>
      </c>
      <c r="V250" s="133">
        <v>0.6</v>
      </c>
      <c r="W250" s="133">
        <v>0.53</v>
      </c>
      <c r="X250" s="133">
        <v>0.59</v>
      </c>
      <c r="Y250" s="133">
        <v>0.57999999999999996</v>
      </c>
      <c r="Z250" s="133">
        <v>0.56999999999999995</v>
      </c>
      <c r="AA250" s="133">
        <v>0.55000000000000004</v>
      </c>
      <c r="AB250" s="133">
        <v>0.53</v>
      </c>
      <c r="AC250" s="133">
        <v>0.51</v>
      </c>
      <c r="AD250" s="133">
        <v>0.5</v>
      </c>
      <c r="AE250" s="133">
        <v>0.48</v>
      </c>
      <c r="AF250" s="133">
        <v>0.46</v>
      </c>
      <c r="AG250" s="133">
        <v>0.44</v>
      </c>
      <c r="AH250" s="133">
        <v>0.42</v>
      </c>
      <c r="AI250" s="133">
        <v>0.4</v>
      </c>
      <c r="AJ250" s="133">
        <v>0.39</v>
      </c>
      <c r="AK250" s="133">
        <v>0.37</v>
      </c>
      <c r="AL250" s="133">
        <v>0.35</v>
      </c>
      <c r="AM250" s="136" t="str">
        <f>IF(ISERROR(VLOOKUP(D250,'Woodmac profile - Oil'!$D$9:$AN$266,37,FALSE)),"",VLOOKUP(D250,'Woodmac profile - Oil'!$D$9:$AN$266,37,FALSE))</f>
        <v>SUBS</v>
      </c>
      <c r="AN250" s="136" t="str">
        <f>IF(ISERROR(VLOOKUP(D250,'Woodmac profile - Gas'!$D$9:$AN$249,37,FALSE)),"",VLOOKUP(D250,'Woodmac profile - Gas'!$D$9:$AN$249,37,FALSE))</f>
        <v>SUBS</v>
      </c>
      <c r="AO250" s="136" t="str">
        <f t="shared" si="16"/>
        <v>SUBS</v>
      </c>
      <c r="AP250" s="132"/>
      <c r="AQ250" s="129"/>
      <c r="AR250" s="129"/>
      <c r="AS250" s="354"/>
      <c r="AT250" s="131"/>
      <c r="AU250" s="131"/>
      <c r="AV250" s="354"/>
      <c r="AW250" s="132"/>
      <c r="AX250" s="354"/>
      <c r="AY250" s="132"/>
      <c r="AZ250" s="132"/>
      <c r="BA250" s="132"/>
      <c r="BB250" s="132"/>
    </row>
    <row r="251" spans="1:54" s="11" customFormat="1">
      <c r="A251" s="678"/>
      <c r="B251" s="133" t="s">
        <v>3369</v>
      </c>
      <c r="C251" s="133" t="s">
        <v>1346</v>
      </c>
      <c r="D251" s="133" t="s">
        <v>3566</v>
      </c>
      <c r="E251" s="133" t="s">
        <v>1927</v>
      </c>
      <c r="F251" s="133" t="s">
        <v>1928</v>
      </c>
      <c r="G251" s="133" t="s">
        <v>1930</v>
      </c>
      <c r="H251" s="133" t="s">
        <v>2962</v>
      </c>
      <c r="I251" s="133" t="s">
        <v>1931</v>
      </c>
      <c r="J251" s="133">
        <v>100</v>
      </c>
      <c r="K251" s="133">
        <v>0</v>
      </c>
      <c r="L251" s="133">
        <v>0</v>
      </c>
      <c r="M251" s="133">
        <v>0</v>
      </c>
      <c r="N251" s="133">
        <v>0</v>
      </c>
      <c r="O251" s="133">
        <v>0</v>
      </c>
      <c r="P251" s="133">
        <v>0</v>
      </c>
      <c r="Q251" s="133">
        <v>36.159999999999997</v>
      </c>
      <c r="R251" s="133">
        <v>55.1</v>
      </c>
      <c r="S251" s="133">
        <v>53.57</v>
      </c>
      <c r="T251" s="133">
        <v>52.54</v>
      </c>
      <c r="U251" s="133">
        <v>51.91</v>
      </c>
      <c r="V251" s="133">
        <v>0.6</v>
      </c>
      <c r="W251" s="133">
        <v>0.54</v>
      </c>
      <c r="X251" s="133">
        <v>76.540000000000006</v>
      </c>
      <c r="Y251" s="133">
        <v>298.22000000000003</v>
      </c>
      <c r="Z251" s="133">
        <v>293.17</v>
      </c>
      <c r="AA251" s="133">
        <v>293.93</v>
      </c>
      <c r="AB251" s="133">
        <v>294.69</v>
      </c>
      <c r="AC251" s="133">
        <v>295.45</v>
      </c>
      <c r="AD251" s="133">
        <v>296.20999999999998</v>
      </c>
      <c r="AE251" s="133">
        <v>296.97000000000003</v>
      </c>
      <c r="AF251" s="133">
        <v>297.73</v>
      </c>
      <c r="AG251" s="133">
        <v>298.49</v>
      </c>
      <c r="AH251" s="133">
        <v>7.65</v>
      </c>
      <c r="AI251" s="133">
        <v>7.61</v>
      </c>
      <c r="AJ251" s="133">
        <v>7.57</v>
      </c>
      <c r="AK251" s="133">
        <v>7.53</v>
      </c>
      <c r="AL251" s="133">
        <v>7.49</v>
      </c>
      <c r="AM251" s="136" t="str">
        <f>IF(ISERROR(VLOOKUP(D251,'Woodmac profile - Oil'!$D$9:$AN$266,37,FALSE)),"",VLOOKUP(D251,'Woodmac profile - Oil'!$D$9:$AN$266,37,FALSE))</f>
        <v/>
      </c>
      <c r="AN251" s="136" t="str">
        <f>IF(ISERROR(VLOOKUP(D251,'Woodmac profile - Gas'!$D$9:$AN$249,37,FALSE)),"",VLOOKUP(D251,'Woodmac profile - Gas'!$D$9:$AN$249,37,FALSE))</f>
        <v>SUBS</v>
      </c>
      <c r="AO251" s="136" t="str">
        <f t="shared" si="16"/>
        <v>SUBS</v>
      </c>
      <c r="AP251" s="678"/>
      <c r="AQ251" s="129"/>
      <c r="AR251" s="129"/>
      <c r="AS251" s="354"/>
      <c r="AT251" s="131"/>
      <c r="AU251" s="131"/>
      <c r="AV251" s="471"/>
      <c r="AW251" s="678"/>
      <c r="AX251" s="471"/>
      <c r="AY251" s="678"/>
      <c r="AZ251" s="678"/>
      <c r="BA251" s="678"/>
      <c r="BB251" s="678"/>
    </row>
    <row r="252" spans="1:54">
      <c r="A252" s="132"/>
      <c r="B252" s="133" t="s">
        <v>3369</v>
      </c>
      <c r="C252" s="133" t="s">
        <v>1346</v>
      </c>
      <c r="D252" s="133" t="s">
        <v>1349</v>
      </c>
      <c r="E252" s="133" t="s">
        <v>1927</v>
      </c>
      <c r="F252" s="133" t="s">
        <v>1928</v>
      </c>
      <c r="G252" s="133" t="s">
        <v>1929</v>
      </c>
      <c r="H252" s="133" t="s">
        <v>117</v>
      </c>
      <c r="I252" s="133" t="s">
        <v>1931</v>
      </c>
      <c r="J252" s="133">
        <v>100</v>
      </c>
      <c r="K252" s="133">
        <v>3.93</v>
      </c>
      <c r="L252" s="133">
        <v>3.86</v>
      </c>
      <c r="M252" s="133">
        <v>3.47</v>
      </c>
      <c r="N252" s="133">
        <v>3.28</v>
      </c>
      <c r="O252" s="133">
        <v>3.67</v>
      </c>
      <c r="P252" s="133">
        <v>3.15</v>
      </c>
      <c r="Q252" s="133">
        <v>2.9</v>
      </c>
      <c r="R252" s="133">
        <v>1.93</v>
      </c>
      <c r="S252" s="133">
        <v>2.13</v>
      </c>
      <c r="T252" s="133">
        <v>2.1</v>
      </c>
      <c r="U252" s="133">
        <v>2.0699999999999998</v>
      </c>
      <c r="V252" s="133">
        <v>0.81</v>
      </c>
      <c r="W252" s="133">
        <v>0.81</v>
      </c>
      <c r="X252" s="133">
        <v>0.8</v>
      </c>
      <c r="Y252" s="133">
        <v>0.78</v>
      </c>
      <c r="Z252" s="133">
        <v>0.77</v>
      </c>
      <c r="AA252" s="133">
        <v>0.74</v>
      </c>
      <c r="AB252" s="133">
        <v>0.71</v>
      </c>
      <c r="AC252" s="133">
        <v>0.68</v>
      </c>
      <c r="AD252" s="133">
        <v>0.65</v>
      </c>
      <c r="AE252" s="133">
        <v>0.62</v>
      </c>
      <c r="AF252" s="133">
        <v>0.59</v>
      </c>
      <c r="AG252" s="133">
        <v>0.56000000000000005</v>
      </c>
      <c r="AH252" s="133">
        <v>0.53</v>
      </c>
      <c r="AI252" s="133">
        <v>0.5</v>
      </c>
      <c r="AJ252" s="133">
        <v>0.47</v>
      </c>
      <c r="AK252" s="133">
        <v>0.44</v>
      </c>
      <c r="AL252" s="133">
        <v>0.41</v>
      </c>
      <c r="AM252" s="136" t="str">
        <f>IF(ISERROR(VLOOKUP(D252,'Woodmac profile - Oil'!$D$9:$AN$266,37,FALSE)),"",VLOOKUP(D252,'Woodmac profile - Oil'!$D$9:$AN$266,37,FALSE))</f>
        <v>SUBS</v>
      </c>
      <c r="AN252" s="136" t="str">
        <f>IF(ISERROR(VLOOKUP(D252,'Woodmac profile - Gas'!$D$9:$AN$249,37,FALSE)),"",VLOOKUP(D252,'Woodmac profile - Gas'!$D$9:$AN$249,37,FALSE))</f>
        <v>SUBS</v>
      </c>
      <c r="AO252" s="136" t="str">
        <f t="shared" si="16"/>
        <v>SUBS</v>
      </c>
      <c r="AP252" s="132"/>
      <c r="AQ252" s="129"/>
      <c r="AR252" s="129"/>
      <c r="AS252" s="354"/>
      <c r="AT252" s="131"/>
      <c r="AU252" s="131"/>
      <c r="AV252" s="354"/>
      <c r="AW252" s="132"/>
      <c r="AX252" s="354"/>
      <c r="AY252" s="132"/>
      <c r="AZ252" s="132"/>
      <c r="BA252" s="132"/>
      <c r="BB252" s="132"/>
    </row>
    <row r="253" spans="1:54">
      <c r="A253" s="132"/>
      <c r="B253" s="133" t="s">
        <v>3369</v>
      </c>
      <c r="C253" s="133" t="s">
        <v>1346</v>
      </c>
      <c r="D253" s="133" t="s">
        <v>2549</v>
      </c>
      <c r="E253" s="133" t="s">
        <v>1927</v>
      </c>
      <c r="F253" s="133" t="s">
        <v>1928</v>
      </c>
      <c r="G253" s="133" t="s">
        <v>1929</v>
      </c>
      <c r="H253" s="133" t="s">
        <v>117</v>
      </c>
      <c r="I253" s="133" t="s">
        <v>1931</v>
      </c>
      <c r="J253" s="133">
        <v>100</v>
      </c>
      <c r="K253" s="133">
        <v>21.23</v>
      </c>
      <c r="L253" s="133">
        <v>15.51</v>
      </c>
      <c r="M253" s="133">
        <v>15.48</v>
      </c>
      <c r="N253" s="133">
        <v>15.24</v>
      </c>
      <c r="O253" s="133">
        <v>11.67</v>
      </c>
      <c r="P253" s="133">
        <v>10.44</v>
      </c>
      <c r="Q253" s="133">
        <v>9.49</v>
      </c>
      <c r="R253" s="133">
        <v>7.54</v>
      </c>
      <c r="S253" s="133">
        <v>4.79</v>
      </c>
      <c r="T253" s="133">
        <v>4.6900000000000004</v>
      </c>
      <c r="U253" s="133">
        <v>4.54</v>
      </c>
      <c r="V253" s="133">
        <v>3.33</v>
      </c>
      <c r="W253" s="133">
        <v>3.33</v>
      </c>
      <c r="X253" s="133">
        <v>3.28</v>
      </c>
      <c r="Y253" s="133">
        <v>3.21</v>
      </c>
      <c r="Z253" s="133">
        <v>3.15</v>
      </c>
      <c r="AA253" s="133">
        <v>3.03</v>
      </c>
      <c r="AB253" s="133">
        <v>2.91</v>
      </c>
      <c r="AC253" s="133">
        <v>2.79</v>
      </c>
      <c r="AD253" s="133">
        <v>2.67</v>
      </c>
      <c r="AE253" s="133">
        <v>2.54</v>
      </c>
      <c r="AF253" s="133">
        <v>2.42</v>
      </c>
      <c r="AG253" s="133">
        <v>2.2999999999999998</v>
      </c>
      <c r="AH253" s="133">
        <v>2.1800000000000002</v>
      </c>
      <c r="AI253" s="133">
        <v>2.06</v>
      </c>
      <c r="AJ253" s="133">
        <v>1.94</v>
      </c>
      <c r="AK253" s="133">
        <v>1.82</v>
      </c>
      <c r="AL253" s="133">
        <v>1.7</v>
      </c>
      <c r="AM253" s="136" t="str">
        <f>IF(ISERROR(VLOOKUP(D253,'Woodmac profile - Oil'!$D$9:$AN$266,37,FALSE)),"",VLOOKUP(D253,'Woodmac profile - Oil'!$D$9:$AN$266,37,FALSE))</f>
        <v>SUBS</v>
      </c>
      <c r="AN253" s="136" t="str">
        <f>IF(ISERROR(VLOOKUP(D253,'Woodmac profile - Gas'!$D$9:$AN$249,37,FALSE)),"",VLOOKUP(D253,'Woodmac profile - Gas'!$D$9:$AN$249,37,FALSE))</f>
        <v>SUBS</v>
      </c>
      <c r="AO253" s="136" t="str">
        <f t="shared" si="16"/>
        <v>SUBS</v>
      </c>
      <c r="AP253" s="132"/>
      <c r="AQ253" s="129"/>
      <c r="AR253" s="129"/>
      <c r="AS253" s="354"/>
      <c r="AT253" s="131"/>
      <c r="AU253" s="131"/>
      <c r="AV253" s="354"/>
      <c r="AW253" s="132"/>
      <c r="AX253" s="354"/>
      <c r="AY253" s="132"/>
      <c r="AZ253" s="132"/>
      <c r="BA253" s="132"/>
      <c r="BB253" s="132"/>
    </row>
    <row r="254" spans="1:54">
      <c r="A254" s="132"/>
      <c r="B254" s="133" t="s">
        <v>3369</v>
      </c>
      <c r="C254" s="133" t="s">
        <v>1346</v>
      </c>
      <c r="D254" s="133" t="s">
        <v>3612</v>
      </c>
      <c r="E254" s="133" t="s">
        <v>1927</v>
      </c>
      <c r="F254" s="133" t="s">
        <v>1928</v>
      </c>
      <c r="G254" s="133" t="s">
        <v>1930</v>
      </c>
      <c r="H254" s="133" t="s">
        <v>116</v>
      </c>
      <c r="I254" s="133" t="s">
        <v>1931</v>
      </c>
      <c r="J254" s="133">
        <v>100</v>
      </c>
      <c r="K254" s="133">
        <v>280.73</v>
      </c>
      <c r="L254" s="133">
        <v>216.09</v>
      </c>
      <c r="M254" s="133">
        <v>181.97</v>
      </c>
      <c r="N254" s="133">
        <v>113.36</v>
      </c>
      <c r="O254" s="133">
        <v>80.400000000000006</v>
      </c>
      <c r="P254" s="133">
        <v>112.4</v>
      </c>
      <c r="Q254" s="133">
        <v>82.52</v>
      </c>
      <c r="R254" s="133">
        <v>28.1</v>
      </c>
      <c r="S254" s="133">
        <v>18.600000000000001</v>
      </c>
      <c r="T254" s="133">
        <v>0.85</v>
      </c>
      <c r="U254" s="133">
        <v>0.77</v>
      </c>
      <c r="V254" s="133">
        <v>0.83</v>
      </c>
      <c r="W254" s="133">
        <v>0.8</v>
      </c>
      <c r="X254" s="133">
        <v>0</v>
      </c>
      <c r="Y254" s="133">
        <v>0</v>
      </c>
      <c r="Z254" s="133">
        <v>0</v>
      </c>
      <c r="AA254" s="133">
        <v>0</v>
      </c>
      <c r="AB254" s="133">
        <v>0</v>
      </c>
      <c r="AC254" s="133">
        <v>0</v>
      </c>
      <c r="AD254" s="133">
        <v>0</v>
      </c>
      <c r="AE254" s="133">
        <v>0</v>
      </c>
      <c r="AF254" s="133">
        <v>0</v>
      </c>
      <c r="AG254" s="133">
        <v>0</v>
      </c>
      <c r="AH254" s="133">
        <v>0</v>
      </c>
      <c r="AI254" s="133">
        <v>0</v>
      </c>
      <c r="AJ254" s="133">
        <v>0</v>
      </c>
      <c r="AK254" s="133">
        <v>0</v>
      </c>
      <c r="AL254" s="133">
        <v>0</v>
      </c>
      <c r="AM254" s="136" t="str">
        <f>IF(ISERROR(VLOOKUP(D254,'Woodmac profile - Oil'!$D$9:$AN$266,37,FALSE)),"",VLOOKUP(D254,'Woodmac profile - Oil'!$D$9:$AN$266,37,FALSE))</f>
        <v>SUBS</v>
      </c>
      <c r="AN254" s="136" t="str">
        <f>IF(ISERROR(VLOOKUP(D254,'Woodmac profile - Gas'!$D$9:$AN$249,37,FALSE)),"",VLOOKUP(D254,'Woodmac profile - Gas'!$D$9:$AN$249,37,FALSE))</f>
        <v>SUBS</v>
      </c>
      <c r="AO254" s="136" t="str">
        <f t="shared" si="16"/>
        <v>SUBS</v>
      </c>
      <c r="AP254" s="132"/>
      <c r="AQ254" s="129"/>
      <c r="AR254" s="129"/>
      <c r="AS254" s="354"/>
      <c r="AT254" s="131"/>
      <c r="AU254" s="131"/>
      <c r="AV254" s="354"/>
      <c r="AW254" s="132"/>
      <c r="AX254" s="354"/>
      <c r="AY254" s="132"/>
      <c r="AZ254" s="132"/>
      <c r="BA254" s="132"/>
      <c r="BB254" s="132"/>
    </row>
    <row r="255" spans="1:54">
      <c r="A255" s="132"/>
      <c r="B255" s="133" t="s">
        <v>3369</v>
      </c>
      <c r="C255" s="133" t="s">
        <v>1346</v>
      </c>
      <c r="D255" s="133" t="s">
        <v>3461</v>
      </c>
      <c r="E255" s="133" t="s">
        <v>1927</v>
      </c>
      <c r="F255" s="133" t="s">
        <v>1928</v>
      </c>
      <c r="G255" s="133" t="s">
        <v>1931</v>
      </c>
      <c r="H255" s="133" t="s">
        <v>2962</v>
      </c>
      <c r="I255" s="133" t="s">
        <v>1931</v>
      </c>
      <c r="J255" s="133">
        <v>100</v>
      </c>
      <c r="K255" s="133">
        <v>0</v>
      </c>
      <c r="L255" s="133">
        <v>0</v>
      </c>
      <c r="M255" s="133">
        <v>0</v>
      </c>
      <c r="N255" s="133">
        <v>0</v>
      </c>
      <c r="O255" s="133">
        <v>0</v>
      </c>
      <c r="P255" s="133">
        <v>0</v>
      </c>
      <c r="Q255" s="133">
        <v>0</v>
      </c>
      <c r="R255" s="133">
        <v>16.87</v>
      </c>
      <c r="S255" s="133">
        <v>30.36</v>
      </c>
      <c r="T255" s="133">
        <v>95.2</v>
      </c>
      <c r="U255" s="133">
        <v>51.31</v>
      </c>
      <c r="V255" s="133">
        <v>120.51</v>
      </c>
      <c r="W255" s="133">
        <v>55.87</v>
      </c>
      <c r="X255" s="133">
        <v>0.94</v>
      </c>
      <c r="Y255" s="133">
        <v>0.92</v>
      </c>
      <c r="Z255" s="133">
        <v>0.9</v>
      </c>
      <c r="AA255" s="133">
        <v>0.87</v>
      </c>
      <c r="AB255" s="133">
        <v>0.83</v>
      </c>
      <c r="AC255" s="133">
        <v>0.8</v>
      </c>
      <c r="AD255" s="133">
        <v>0.76</v>
      </c>
      <c r="AE255" s="133">
        <v>0.73</v>
      </c>
      <c r="AF255" s="133">
        <v>0.69</v>
      </c>
      <c r="AG255" s="133">
        <v>0.66</v>
      </c>
      <c r="AH255" s="133">
        <v>0.62</v>
      </c>
      <c r="AI255" s="133">
        <v>0.59</v>
      </c>
      <c r="AJ255" s="133">
        <v>0.55000000000000004</v>
      </c>
      <c r="AK255" s="133">
        <v>0.52</v>
      </c>
      <c r="AL255" s="133">
        <v>0.48</v>
      </c>
      <c r="AM255" s="136" t="str">
        <f>IF(ISERROR(VLOOKUP(D255,'Woodmac profile - Oil'!$D$9:$AN$266,37,FALSE)),"",VLOOKUP(D255,'Woodmac profile - Oil'!$D$9:$AN$266,37,FALSE))</f>
        <v>SUBS</v>
      </c>
      <c r="AN255" s="136" t="str">
        <f>IF(ISERROR(VLOOKUP(D255,'Woodmac profile - Gas'!$D$9:$AN$249,37,FALSE)),"",VLOOKUP(D255,'Woodmac profile - Gas'!$D$9:$AN$249,37,FALSE))</f>
        <v>SUBS</v>
      </c>
      <c r="AO255" s="136" t="str">
        <f t="shared" si="16"/>
        <v>SUBS</v>
      </c>
      <c r="AP255" s="132"/>
      <c r="AQ255" s="129"/>
      <c r="AR255" s="129"/>
      <c r="AS255" s="354"/>
      <c r="AT255" s="131"/>
      <c r="AU255" s="131"/>
      <c r="AV255" s="354"/>
      <c r="AW255" s="132"/>
      <c r="AX255" s="354"/>
      <c r="AY255" s="132"/>
      <c r="AZ255" s="132"/>
      <c r="BA255" s="132"/>
      <c r="BB255" s="132"/>
    </row>
    <row r="256" spans="1:54">
      <c r="A256" s="132"/>
      <c r="B256" s="133" t="s">
        <v>3369</v>
      </c>
      <c r="C256" s="133" t="s">
        <v>1346</v>
      </c>
      <c r="D256" s="133" t="s">
        <v>3462</v>
      </c>
      <c r="E256" s="133" t="s">
        <v>1927</v>
      </c>
      <c r="F256" s="133" t="s">
        <v>1928</v>
      </c>
      <c r="G256" s="133" t="s">
        <v>1931</v>
      </c>
      <c r="H256" s="133" t="s">
        <v>2962</v>
      </c>
      <c r="I256" s="133" t="s">
        <v>1931</v>
      </c>
      <c r="J256" s="133">
        <v>100</v>
      </c>
      <c r="K256" s="133">
        <v>0</v>
      </c>
      <c r="L256" s="133">
        <v>0</v>
      </c>
      <c r="M256" s="133">
        <v>0</v>
      </c>
      <c r="N256" s="133">
        <v>0</v>
      </c>
      <c r="O256" s="133">
        <v>0</v>
      </c>
      <c r="P256" s="133">
        <v>0</v>
      </c>
      <c r="Q256" s="133">
        <v>0</v>
      </c>
      <c r="R256" s="133">
        <v>28.23</v>
      </c>
      <c r="S256" s="133">
        <v>42.7</v>
      </c>
      <c r="T256" s="133">
        <v>303.02</v>
      </c>
      <c r="U256" s="133">
        <v>240.33</v>
      </c>
      <c r="V256" s="133">
        <v>246.42</v>
      </c>
      <c r="W256" s="133">
        <v>110.98</v>
      </c>
      <c r="X256" s="133">
        <v>2.2799999999999998</v>
      </c>
      <c r="Y256" s="133">
        <v>2.23</v>
      </c>
      <c r="Z256" s="133">
        <v>2.19</v>
      </c>
      <c r="AA256" s="133">
        <v>2.14</v>
      </c>
      <c r="AB256" s="133">
        <v>2.1</v>
      </c>
      <c r="AC256" s="133">
        <v>2.0499999999999998</v>
      </c>
      <c r="AD256" s="133">
        <v>2.0099999999999998</v>
      </c>
      <c r="AE256" s="133">
        <v>1.96</v>
      </c>
      <c r="AF256" s="133">
        <v>1.92</v>
      </c>
      <c r="AG256" s="133">
        <v>1.87</v>
      </c>
      <c r="AH256" s="133">
        <v>1.83</v>
      </c>
      <c r="AI256" s="133">
        <v>1.78</v>
      </c>
      <c r="AJ256" s="133">
        <v>1.73</v>
      </c>
      <c r="AK256" s="133">
        <v>1.69</v>
      </c>
      <c r="AL256" s="133">
        <v>1.64</v>
      </c>
      <c r="AM256" s="136" t="str">
        <f>IF(ISERROR(VLOOKUP(D256,'Woodmac profile - Oil'!$D$9:$AN$266,37,FALSE)),"",VLOOKUP(D256,'Woodmac profile - Oil'!$D$9:$AN$266,37,FALSE))</f>
        <v>SUBS</v>
      </c>
      <c r="AN256" s="136" t="str">
        <f>IF(ISERROR(VLOOKUP(D256,'Woodmac profile - Gas'!$D$9:$AN$249,37,FALSE)),"",VLOOKUP(D256,'Woodmac profile - Gas'!$D$9:$AN$249,37,FALSE))</f>
        <v>SUBS</v>
      </c>
      <c r="AO256" s="136" t="str">
        <f t="shared" si="16"/>
        <v>SUBS</v>
      </c>
      <c r="AP256" s="132"/>
      <c r="AQ256" s="129"/>
      <c r="AR256" s="129"/>
      <c r="AS256" s="354"/>
      <c r="AT256" s="131"/>
      <c r="AU256" s="131"/>
      <c r="AV256" s="354"/>
      <c r="AW256" s="132"/>
      <c r="AX256" s="354"/>
      <c r="AY256" s="132"/>
      <c r="AZ256" s="132"/>
      <c r="BA256" s="132"/>
      <c r="BB256" s="132"/>
    </row>
    <row r="257" spans="1:54">
      <c r="A257" s="132"/>
      <c r="B257" s="133" t="s">
        <v>3369</v>
      </c>
      <c r="C257" s="133" t="s">
        <v>1346</v>
      </c>
      <c r="D257" s="133" t="s">
        <v>3463</v>
      </c>
      <c r="E257" s="133" t="s">
        <v>1927</v>
      </c>
      <c r="F257" s="133" t="s">
        <v>1928</v>
      </c>
      <c r="G257" s="133" t="s">
        <v>1931</v>
      </c>
      <c r="H257" s="133" t="s">
        <v>2962</v>
      </c>
      <c r="I257" s="133" t="s">
        <v>1931</v>
      </c>
      <c r="J257" s="133">
        <v>100</v>
      </c>
      <c r="K257" s="133">
        <v>0</v>
      </c>
      <c r="L257" s="133">
        <v>0</v>
      </c>
      <c r="M257" s="133">
        <v>0</v>
      </c>
      <c r="N257" s="133">
        <v>0</v>
      </c>
      <c r="O257" s="133">
        <v>0</v>
      </c>
      <c r="P257" s="133">
        <v>0</v>
      </c>
      <c r="Q257" s="133">
        <v>0</v>
      </c>
      <c r="R257" s="133">
        <v>87.34</v>
      </c>
      <c r="S257" s="133">
        <v>106.76</v>
      </c>
      <c r="T257" s="133">
        <v>129.83000000000001</v>
      </c>
      <c r="U257" s="133">
        <v>54.01</v>
      </c>
      <c r="V257" s="133">
        <v>121.57</v>
      </c>
      <c r="W257" s="133">
        <v>138.41999999999999</v>
      </c>
      <c r="X257" s="133">
        <v>100.29</v>
      </c>
      <c r="Y257" s="133">
        <v>98.47</v>
      </c>
      <c r="Z257" s="133">
        <v>96.81</v>
      </c>
      <c r="AA257" s="133">
        <v>97.03</v>
      </c>
      <c r="AB257" s="133">
        <v>97.25</v>
      </c>
      <c r="AC257" s="133">
        <v>97.46</v>
      </c>
      <c r="AD257" s="133">
        <v>97.68</v>
      </c>
      <c r="AE257" s="133">
        <v>97.9</v>
      </c>
      <c r="AF257" s="133">
        <v>98.11</v>
      </c>
      <c r="AG257" s="133">
        <v>98.33</v>
      </c>
      <c r="AH257" s="133">
        <v>98.55</v>
      </c>
      <c r="AI257" s="133">
        <v>98.76</v>
      </c>
      <c r="AJ257" s="133">
        <v>98.98</v>
      </c>
      <c r="AK257" s="133">
        <v>99.2</v>
      </c>
      <c r="AL257" s="133">
        <v>99.41</v>
      </c>
      <c r="AM257" s="136" t="str">
        <f>IF(ISERROR(VLOOKUP(D257,'Woodmac profile - Oil'!$D$9:$AN$266,37,FALSE)),"",VLOOKUP(D257,'Woodmac profile - Oil'!$D$9:$AN$266,37,FALSE))</f>
        <v>SUBS</v>
      </c>
      <c r="AN257" s="136" t="str">
        <f>IF(ISERROR(VLOOKUP(D257,'Woodmac profile - Gas'!$D$9:$AN$249,37,FALSE)),"",VLOOKUP(D257,'Woodmac profile - Gas'!$D$9:$AN$249,37,FALSE))</f>
        <v>SUBS</v>
      </c>
      <c r="AO257" s="136" t="str">
        <f t="shared" si="16"/>
        <v>SUBS</v>
      </c>
      <c r="AP257" s="132"/>
      <c r="AQ257" s="129"/>
      <c r="AR257" s="129"/>
      <c r="AS257" s="354"/>
      <c r="AT257" s="131"/>
      <c r="AU257" s="131"/>
      <c r="AV257" s="354"/>
      <c r="AW257" s="132"/>
      <c r="AX257" s="354"/>
      <c r="AY257" s="132"/>
      <c r="AZ257" s="132"/>
      <c r="BA257" s="132"/>
      <c r="BB257" s="132"/>
    </row>
    <row r="258" spans="1:54">
      <c r="A258" s="132"/>
      <c r="B258" s="133" t="s">
        <v>3369</v>
      </c>
      <c r="C258" s="133" t="s">
        <v>2463</v>
      </c>
      <c r="D258" s="133" t="s">
        <v>3670</v>
      </c>
      <c r="E258" s="133" t="s">
        <v>1927</v>
      </c>
      <c r="F258" s="133" t="s">
        <v>1928</v>
      </c>
      <c r="G258" s="133" t="s">
        <v>1931</v>
      </c>
      <c r="H258" s="133" t="s">
        <v>116</v>
      </c>
      <c r="I258" s="133" t="s">
        <v>1931</v>
      </c>
      <c r="J258" s="133">
        <v>100</v>
      </c>
      <c r="K258" s="133">
        <v>0</v>
      </c>
      <c r="L258" s="133">
        <v>0</v>
      </c>
      <c r="M258" s="133">
        <v>0</v>
      </c>
      <c r="N258" s="133">
        <v>0</v>
      </c>
      <c r="O258" s="133">
        <v>0</v>
      </c>
      <c r="P258" s="133">
        <v>0</v>
      </c>
      <c r="Q258" s="133">
        <v>0</v>
      </c>
      <c r="R258" s="133">
        <v>0</v>
      </c>
      <c r="S258" s="133">
        <v>0</v>
      </c>
      <c r="T258" s="133">
        <v>0</v>
      </c>
      <c r="U258" s="133">
        <v>0</v>
      </c>
      <c r="V258" s="133">
        <v>0</v>
      </c>
      <c r="W258" s="133">
        <v>0</v>
      </c>
      <c r="X258" s="133">
        <v>31.89</v>
      </c>
      <c r="Y258" s="133">
        <v>26.05</v>
      </c>
      <c r="Z258" s="133">
        <v>25.56</v>
      </c>
      <c r="AA258" s="133">
        <v>25.58</v>
      </c>
      <c r="AB258" s="133">
        <v>25.6</v>
      </c>
      <c r="AC258" s="133">
        <v>25.63</v>
      </c>
      <c r="AD258" s="133">
        <v>25.65</v>
      </c>
      <c r="AE258" s="133">
        <v>25.67</v>
      </c>
      <c r="AF258" s="133">
        <v>25.69</v>
      </c>
      <c r="AG258" s="133">
        <v>25.71</v>
      </c>
      <c r="AH258" s="133">
        <v>25.73</v>
      </c>
      <c r="AI258" s="133">
        <v>25.75</v>
      </c>
      <c r="AJ258" s="133">
        <v>25.78</v>
      </c>
      <c r="AK258" s="133">
        <v>25.8</v>
      </c>
      <c r="AL258" s="133">
        <v>25.82</v>
      </c>
      <c r="AM258" s="136" t="str">
        <f>IF(ISERROR(VLOOKUP(D258,'Woodmac profile - Oil'!$D$9:$AN$266,37,FALSE)),"",VLOOKUP(D258,'Woodmac profile - Oil'!$D$9:$AN$266,37,FALSE))</f>
        <v>SUBS</v>
      </c>
      <c r="AN258" s="136" t="str">
        <f>IF(ISERROR(VLOOKUP(D258,'Woodmac profile - Gas'!$D$9:$AN$249,37,FALSE)),"",VLOOKUP(D258,'Woodmac profile - Gas'!$D$9:$AN$249,37,FALSE))</f>
        <v>SUBS</v>
      </c>
      <c r="AO258" s="136" t="str">
        <f t="shared" si="16"/>
        <v>SUBS</v>
      </c>
      <c r="AP258" s="132"/>
      <c r="AQ258" s="129"/>
      <c r="AR258" s="129"/>
      <c r="AS258" s="354"/>
      <c r="AT258" s="131"/>
      <c r="AU258" s="131"/>
      <c r="AV258" s="354"/>
      <c r="AW258" s="132"/>
      <c r="AX258" s="354"/>
      <c r="AY258" s="132"/>
      <c r="AZ258" s="132"/>
      <c r="BA258" s="132"/>
      <c r="BB258" s="132"/>
    </row>
    <row r="259" spans="1:54">
      <c r="A259" s="132"/>
      <c r="B259" s="133" t="s">
        <v>3369</v>
      </c>
      <c r="C259" s="133" t="s">
        <v>2463</v>
      </c>
      <c r="D259" s="133" t="s">
        <v>3613</v>
      </c>
      <c r="E259" s="133" t="s">
        <v>1927</v>
      </c>
      <c r="F259" s="133" t="s">
        <v>1928</v>
      </c>
      <c r="G259" s="133" t="s">
        <v>1930</v>
      </c>
      <c r="H259" s="133" t="s">
        <v>116</v>
      </c>
      <c r="I259" s="133" t="s">
        <v>1931</v>
      </c>
      <c r="J259" s="133">
        <v>100</v>
      </c>
      <c r="K259" s="133">
        <v>196.02</v>
      </c>
      <c r="L259" s="133">
        <v>198.92</v>
      </c>
      <c r="M259" s="133">
        <v>144.22</v>
      </c>
      <c r="N259" s="133">
        <v>191.74</v>
      </c>
      <c r="O259" s="133">
        <v>172.54</v>
      </c>
      <c r="P259" s="133">
        <v>123.44</v>
      </c>
      <c r="Q259" s="133">
        <v>97.32</v>
      </c>
      <c r="R259" s="133">
        <v>89.38</v>
      </c>
      <c r="S259" s="133">
        <v>74.37</v>
      </c>
      <c r="T259" s="133">
        <v>70.790000000000006</v>
      </c>
      <c r="U259" s="133">
        <v>69.540000000000006</v>
      </c>
      <c r="V259" s="133">
        <v>87.24</v>
      </c>
      <c r="W259" s="133">
        <v>63.74</v>
      </c>
      <c r="X259" s="133">
        <v>12.06</v>
      </c>
      <c r="Y259" s="133">
        <v>11.81</v>
      </c>
      <c r="Z259" s="133">
        <v>11.57</v>
      </c>
      <c r="AA259" s="133">
        <v>11.02</v>
      </c>
      <c r="AB259" s="133">
        <v>10.47</v>
      </c>
      <c r="AC259" s="133">
        <v>9.92</v>
      </c>
      <c r="AD259" s="133">
        <v>9.3699999999999992</v>
      </c>
      <c r="AE259" s="133">
        <v>8.82</v>
      </c>
      <c r="AF259" s="133">
        <v>8.27</v>
      </c>
      <c r="AG259" s="133">
        <v>7.72</v>
      </c>
      <c r="AH259" s="133">
        <v>7.16</v>
      </c>
      <c r="AI259" s="133">
        <v>6.61</v>
      </c>
      <c r="AJ259" s="133">
        <v>6.06</v>
      </c>
      <c r="AK259" s="133">
        <v>5.51</v>
      </c>
      <c r="AL259" s="133">
        <v>4.96</v>
      </c>
      <c r="AM259" s="136" t="str">
        <f>IF(ISERROR(VLOOKUP(D259,'Woodmac profile - Oil'!$D$9:$AN$266,37,FALSE)),"",VLOOKUP(D259,'Woodmac profile - Oil'!$D$9:$AN$266,37,FALSE))</f>
        <v>SUBS</v>
      </c>
      <c r="AN259" s="136" t="str">
        <f>IF(ISERROR(VLOOKUP(D259,'Woodmac profile - Gas'!$D$9:$AN$249,37,FALSE)),"",VLOOKUP(D259,'Woodmac profile - Gas'!$D$9:$AN$249,37,FALSE))</f>
        <v>SUBS</v>
      </c>
      <c r="AO259" s="136" t="str">
        <f t="shared" si="16"/>
        <v>SUBS</v>
      </c>
      <c r="AP259" s="132"/>
      <c r="AQ259" s="129"/>
      <c r="AR259" s="129"/>
      <c r="AS259" s="354"/>
      <c r="AT259" s="131"/>
      <c r="AU259" s="131"/>
      <c r="AV259" s="354"/>
      <c r="AW259" s="132"/>
      <c r="AX259" s="354"/>
      <c r="AY259" s="132"/>
      <c r="AZ259" s="132"/>
      <c r="BA259" s="132"/>
      <c r="BB259" s="132"/>
    </row>
    <row r="260" spans="1:54">
      <c r="A260" s="132"/>
      <c r="B260" s="133" t="s">
        <v>3369</v>
      </c>
      <c r="C260" s="133" t="s">
        <v>2463</v>
      </c>
      <c r="D260" s="133" t="s">
        <v>3614</v>
      </c>
      <c r="E260" s="133" t="s">
        <v>1927</v>
      </c>
      <c r="F260" s="133" t="s">
        <v>1928</v>
      </c>
      <c r="G260" s="133" t="s">
        <v>1930</v>
      </c>
      <c r="H260" s="133" t="s">
        <v>116</v>
      </c>
      <c r="I260" s="133" t="s">
        <v>1931</v>
      </c>
      <c r="J260" s="133">
        <v>100</v>
      </c>
      <c r="K260" s="133">
        <v>135.4</v>
      </c>
      <c r="L260" s="133">
        <v>86.53</v>
      </c>
      <c r="M260" s="133">
        <v>74.569999999999993</v>
      </c>
      <c r="N260" s="133">
        <v>116.77</v>
      </c>
      <c r="O260" s="133">
        <v>101.75</v>
      </c>
      <c r="P260" s="133">
        <v>48.52</v>
      </c>
      <c r="Q260" s="133">
        <v>35.94</v>
      </c>
      <c r="R260" s="133">
        <v>9.9600000000000009</v>
      </c>
      <c r="S260" s="133">
        <v>9.9</v>
      </c>
      <c r="T260" s="133">
        <v>9.6999999999999993</v>
      </c>
      <c r="U260" s="133">
        <v>9.52</v>
      </c>
      <c r="V260" s="133">
        <v>2.33</v>
      </c>
      <c r="W260" s="133">
        <v>2.33</v>
      </c>
      <c r="X260" s="133">
        <v>2.2999999999999998</v>
      </c>
      <c r="Y260" s="133">
        <v>2.25</v>
      </c>
      <c r="Z260" s="133">
        <v>2.21</v>
      </c>
      <c r="AA260" s="133">
        <v>2.1</v>
      </c>
      <c r="AB260" s="133">
        <v>2</v>
      </c>
      <c r="AC260" s="133">
        <v>1.89</v>
      </c>
      <c r="AD260" s="133">
        <v>1.79</v>
      </c>
      <c r="AE260" s="133">
        <v>1.68</v>
      </c>
      <c r="AF260" s="133">
        <v>1.58</v>
      </c>
      <c r="AG260" s="133">
        <v>1.47</v>
      </c>
      <c r="AH260" s="133">
        <v>1.37</v>
      </c>
      <c r="AI260" s="133">
        <v>1.26</v>
      </c>
      <c r="AJ260" s="133">
        <v>1.1599999999999999</v>
      </c>
      <c r="AK260" s="133">
        <v>1.05</v>
      </c>
      <c r="AL260" s="133">
        <v>0.95</v>
      </c>
      <c r="AM260" s="136" t="str">
        <f>IF(ISERROR(VLOOKUP(D260,'Woodmac profile - Oil'!$D$9:$AN$266,37,FALSE)),"",VLOOKUP(D260,'Woodmac profile - Oil'!$D$9:$AN$266,37,FALSE))</f>
        <v>SUBS</v>
      </c>
      <c r="AN260" s="136" t="str">
        <f>IF(ISERROR(VLOOKUP(D260,'Woodmac profile - Gas'!$D$9:$AN$249,37,FALSE)),"",VLOOKUP(D260,'Woodmac profile - Gas'!$D$9:$AN$249,37,FALSE))</f>
        <v>SUBS</v>
      </c>
      <c r="AO260" s="136" t="str">
        <f t="shared" si="16"/>
        <v>SUBS</v>
      </c>
      <c r="AP260" s="132"/>
      <c r="AQ260" s="129"/>
      <c r="AR260" s="129"/>
      <c r="AS260" s="354"/>
      <c r="AT260" s="131"/>
      <c r="AU260" s="131"/>
      <c r="AV260" s="354"/>
      <c r="AW260" s="132"/>
      <c r="AX260" s="354"/>
      <c r="AY260" s="132"/>
      <c r="AZ260" s="132"/>
      <c r="BA260" s="132"/>
      <c r="BB260" s="132"/>
    </row>
    <row r="261" spans="1:54">
      <c r="A261" s="132"/>
      <c r="B261" s="133" t="s">
        <v>3369</v>
      </c>
      <c r="C261" s="133" t="s">
        <v>2463</v>
      </c>
      <c r="D261" s="133" t="s">
        <v>3661</v>
      </c>
      <c r="E261" s="133" t="s">
        <v>1927</v>
      </c>
      <c r="F261" s="133" t="s">
        <v>1928</v>
      </c>
      <c r="G261" s="133" t="s">
        <v>1930</v>
      </c>
      <c r="H261" s="133" t="s">
        <v>2962</v>
      </c>
      <c r="I261" s="133" t="s">
        <v>1931</v>
      </c>
      <c r="J261" s="133">
        <v>100</v>
      </c>
      <c r="K261" s="133">
        <v>0</v>
      </c>
      <c r="L261" s="133">
        <v>0</v>
      </c>
      <c r="M261" s="133">
        <v>0</v>
      </c>
      <c r="N261" s="133">
        <v>0</v>
      </c>
      <c r="O261" s="133">
        <v>0</v>
      </c>
      <c r="P261" s="133">
        <v>0</v>
      </c>
      <c r="Q261" s="133">
        <v>0</v>
      </c>
      <c r="R261" s="133">
        <v>0</v>
      </c>
      <c r="S261" s="133">
        <v>3.46</v>
      </c>
      <c r="T261" s="133">
        <v>3.3</v>
      </c>
      <c r="U261" s="133">
        <v>0.61</v>
      </c>
      <c r="V261" s="133">
        <v>1.18</v>
      </c>
      <c r="W261" s="133">
        <v>0.57999999999999996</v>
      </c>
      <c r="X261" s="133">
        <v>0.02</v>
      </c>
      <c r="Y261" s="133">
        <v>0.02</v>
      </c>
      <c r="Z261" s="133">
        <v>0.02</v>
      </c>
      <c r="AA261" s="133">
        <v>0.02</v>
      </c>
      <c r="AB261" s="133">
        <v>0.02</v>
      </c>
      <c r="AC261" s="133">
        <v>0.02</v>
      </c>
      <c r="AD261" s="133">
        <v>0.02</v>
      </c>
      <c r="AE261" s="133">
        <v>0.02</v>
      </c>
      <c r="AF261" s="133">
        <v>0.02</v>
      </c>
      <c r="AG261" s="133">
        <v>0.01</v>
      </c>
      <c r="AH261" s="133">
        <v>0.01</v>
      </c>
      <c r="AI261" s="133">
        <v>0.01</v>
      </c>
      <c r="AJ261" s="133">
        <v>0.01</v>
      </c>
      <c r="AK261" s="133">
        <v>0.01</v>
      </c>
      <c r="AL261" s="133">
        <v>0.01</v>
      </c>
      <c r="AM261" s="136" t="str">
        <f>IF(ISERROR(VLOOKUP(D261,'Woodmac profile - Oil'!$D$9:$AN$266,37,FALSE)),"",VLOOKUP(D261,'Woodmac profile - Oil'!$D$9:$AN$266,37,FALSE))</f>
        <v/>
      </c>
      <c r="AN261" s="136" t="str">
        <f>IF(ISERROR(VLOOKUP(D261,'Woodmac profile - Gas'!$D$9:$AN$249,37,FALSE)),"",VLOOKUP(D261,'Woodmac profile - Gas'!$D$9:$AN$249,37,FALSE))</f>
        <v>SUBS</v>
      </c>
      <c r="AO261" s="136" t="str">
        <f t="shared" si="16"/>
        <v>SUBS</v>
      </c>
      <c r="AP261" s="132"/>
      <c r="AQ261" s="129"/>
      <c r="AR261" s="129"/>
      <c r="AS261" s="354"/>
      <c r="AT261" s="131"/>
      <c r="AU261" s="131"/>
      <c r="AV261" s="354"/>
      <c r="AW261" s="132"/>
      <c r="AX261" s="354"/>
      <c r="AY261" s="132"/>
      <c r="AZ261" s="132"/>
      <c r="BA261" s="132"/>
      <c r="BB261" s="132"/>
    </row>
    <row r="262" spans="1:54">
      <c r="A262" s="132"/>
      <c r="B262" s="133" t="s">
        <v>3369</v>
      </c>
      <c r="C262" s="133" t="s">
        <v>2463</v>
      </c>
      <c r="D262" s="133" t="s">
        <v>3662</v>
      </c>
      <c r="E262" s="133" t="s">
        <v>1927</v>
      </c>
      <c r="F262" s="133" t="s">
        <v>1928</v>
      </c>
      <c r="G262" s="133" t="s">
        <v>1930</v>
      </c>
      <c r="H262" s="133" t="s">
        <v>2962</v>
      </c>
      <c r="I262" s="133" t="s">
        <v>1931</v>
      </c>
      <c r="J262" s="133">
        <v>100</v>
      </c>
      <c r="K262" s="133">
        <v>0</v>
      </c>
      <c r="L262" s="133">
        <v>0</v>
      </c>
      <c r="M262" s="133">
        <v>0</v>
      </c>
      <c r="N262" s="133">
        <v>0</v>
      </c>
      <c r="O262" s="133">
        <v>0</v>
      </c>
      <c r="P262" s="133">
        <v>0</v>
      </c>
      <c r="Q262" s="133">
        <v>0</v>
      </c>
      <c r="R262" s="133">
        <v>0</v>
      </c>
      <c r="S262" s="133">
        <v>166.36</v>
      </c>
      <c r="T262" s="133">
        <v>157.99</v>
      </c>
      <c r="U262" s="133">
        <v>29.03</v>
      </c>
      <c r="V262" s="133">
        <v>57.37</v>
      </c>
      <c r="W262" s="133">
        <v>28.44</v>
      </c>
      <c r="X262" s="133">
        <v>0.93</v>
      </c>
      <c r="Y262" s="133">
        <v>0.91</v>
      </c>
      <c r="Z262" s="133">
        <v>0.89</v>
      </c>
      <c r="AA262" s="133">
        <v>0.86</v>
      </c>
      <c r="AB262" s="133">
        <v>0.83</v>
      </c>
      <c r="AC262" s="133">
        <v>0.8</v>
      </c>
      <c r="AD262" s="133">
        <v>0.78</v>
      </c>
      <c r="AE262" s="133">
        <v>0.75</v>
      </c>
      <c r="AF262" s="133">
        <v>0.72</v>
      </c>
      <c r="AG262" s="133">
        <v>0.69</v>
      </c>
      <c r="AH262" s="133">
        <v>0.66</v>
      </c>
      <c r="AI262" s="133">
        <v>0.63</v>
      </c>
      <c r="AJ262" s="133">
        <v>0.6</v>
      </c>
      <c r="AK262" s="133">
        <v>0.56999999999999995</v>
      </c>
      <c r="AL262" s="133">
        <v>0.55000000000000004</v>
      </c>
      <c r="AM262" s="136" t="str">
        <f>IF(ISERROR(VLOOKUP(D262,'Woodmac profile - Oil'!$D$9:$AN$266,37,FALSE)),"",VLOOKUP(D262,'Woodmac profile - Oil'!$D$9:$AN$266,37,FALSE))</f>
        <v/>
      </c>
      <c r="AN262" s="136" t="str">
        <f>IF(ISERROR(VLOOKUP(D262,'Woodmac profile - Gas'!$D$9:$AN$249,37,FALSE)),"",VLOOKUP(D262,'Woodmac profile - Gas'!$D$9:$AN$249,37,FALSE))</f>
        <v>SUBS</v>
      </c>
      <c r="AO262" s="136" t="str">
        <f t="shared" si="16"/>
        <v>SUBS</v>
      </c>
      <c r="AP262" s="132"/>
      <c r="AQ262" s="129"/>
      <c r="AR262" s="129"/>
      <c r="AS262" s="354"/>
      <c r="AT262" s="131"/>
      <c r="AU262" s="131"/>
      <c r="AV262" s="354"/>
      <c r="AW262" s="132"/>
      <c r="AX262" s="354"/>
      <c r="AY262" s="132"/>
      <c r="AZ262" s="132"/>
      <c r="BA262" s="132"/>
      <c r="BB262" s="132"/>
    </row>
    <row r="263" spans="1:54">
      <c r="A263" s="132"/>
      <c r="B263" s="133" t="s">
        <v>3369</v>
      </c>
      <c r="C263" s="133" t="s">
        <v>2463</v>
      </c>
      <c r="D263" s="133" t="s">
        <v>3663</v>
      </c>
      <c r="E263" s="133" t="s">
        <v>1927</v>
      </c>
      <c r="F263" s="133" t="s">
        <v>1928</v>
      </c>
      <c r="G263" s="133" t="s">
        <v>1930</v>
      </c>
      <c r="H263" s="133" t="s">
        <v>2962</v>
      </c>
      <c r="I263" s="133" t="s">
        <v>1931</v>
      </c>
      <c r="J263" s="133">
        <v>100</v>
      </c>
      <c r="K263" s="133">
        <v>0</v>
      </c>
      <c r="L263" s="133">
        <v>0</v>
      </c>
      <c r="M263" s="133">
        <v>0</v>
      </c>
      <c r="N263" s="133">
        <v>0</v>
      </c>
      <c r="O263" s="133">
        <v>0</v>
      </c>
      <c r="P263" s="133">
        <v>0</v>
      </c>
      <c r="Q263" s="133">
        <v>0</v>
      </c>
      <c r="R263" s="133">
        <v>0</v>
      </c>
      <c r="S263" s="133">
        <v>271.13</v>
      </c>
      <c r="T263" s="133">
        <v>257.45999999999998</v>
      </c>
      <c r="U263" s="133">
        <v>47.29</v>
      </c>
      <c r="V263" s="133">
        <v>93.5</v>
      </c>
      <c r="W263" s="133">
        <v>46.37</v>
      </c>
      <c r="X263" s="133">
        <v>1.51</v>
      </c>
      <c r="Y263" s="133">
        <v>1.48</v>
      </c>
      <c r="Z263" s="133">
        <v>1.45</v>
      </c>
      <c r="AA263" s="133">
        <v>1.4</v>
      </c>
      <c r="AB263" s="133">
        <v>1.36</v>
      </c>
      <c r="AC263" s="133">
        <v>1.31</v>
      </c>
      <c r="AD263" s="133">
        <v>1.26</v>
      </c>
      <c r="AE263" s="133">
        <v>1.22</v>
      </c>
      <c r="AF263" s="133">
        <v>1.17</v>
      </c>
      <c r="AG263" s="133">
        <v>1.1200000000000001</v>
      </c>
      <c r="AH263" s="133">
        <v>1.08</v>
      </c>
      <c r="AI263" s="133">
        <v>1.03</v>
      </c>
      <c r="AJ263" s="133">
        <v>0.98</v>
      </c>
      <c r="AK263" s="133">
        <v>0.94</v>
      </c>
      <c r="AL263" s="133">
        <v>0.89</v>
      </c>
      <c r="AM263" s="136" t="str">
        <f>IF(ISERROR(VLOOKUP(D263,'Woodmac profile - Oil'!$D$9:$AN$266,37,FALSE)),"",VLOOKUP(D263,'Woodmac profile - Oil'!$D$9:$AN$266,37,FALSE))</f>
        <v/>
      </c>
      <c r="AN263" s="136" t="str">
        <f>IF(ISERROR(VLOOKUP(D263,'Woodmac profile - Gas'!$D$9:$AN$249,37,FALSE)),"",VLOOKUP(D263,'Woodmac profile - Gas'!$D$9:$AN$249,37,FALSE))</f>
        <v>SUBS</v>
      </c>
      <c r="AO263" s="136" t="str">
        <f t="shared" si="16"/>
        <v>SUBS</v>
      </c>
      <c r="AP263" s="132"/>
      <c r="AQ263" s="129"/>
      <c r="AR263" s="129"/>
      <c r="AS263" s="354"/>
      <c r="AT263" s="131"/>
      <c r="AU263" s="131"/>
      <c r="AV263" s="354"/>
      <c r="AW263" s="132"/>
      <c r="AX263" s="354"/>
      <c r="AY263" s="132"/>
      <c r="AZ263" s="132"/>
      <c r="BA263" s="132"/>
      <c r="BB263" s="132"/>
    </row>
    <row r="264" spans="1:54">
      <c r="A264" s="132"/>
      <c r="B264" s="133" t="s">
        <v>3369</v>
      </c>
      <c r="C264" s="133" t="s">
        <v>2463</v>
      </c>
      <c r="D264" s="133" t="s">
        <v>3664</v>
      </c>
      <c r="E264" s="133" t="s">
        <v>1927</v>
      </c>
      <c r="F264" s="133" t="s">
        <v>1928</v>
      </c>
      <c r="G264" s="133" t="s">
        <v>1930</v>
      </c>
      <c r="H264" s="133" t="s">
        <v>2962</v>
      </c>
      <c r="I264" s="133" t="s">
        <v>1931</v>
      </c>
      <c r="J264" s="133">
        <v>100</v>
      </c>
      <c r="K264" s="133">
        <v>0</v>
      </c>
      <c r="L264" s="133">
        <v>0</v>
      </c>
      <c r="M264" s="133">
        <v>0</v>
      </c>
      <c r="N264" s="133">
        <v>0</v>
      </c>
      <c r="O264" s="133">
        <v>0</v>
      </c>
      <c r="P264" s="133">
        <v>0</v>
      </c>
      <c r="Q264" s="133">
        <v>0</v>
      </c>
      <c r="R264" s="133">
        <v>0</v>
      </c>
      <c r="S264" s="133">
        <v>35.130000000000003</v>
      </c>
      <c r="T264" s="133">
        <v>33.36</v>
      </c>
      <c r="U264" s="133">
        <v>6.12</v>
      </c>
      <c r="V264" s="133">
        <v>12.09</v>
      </c>
      <c r="W264" s="133">
        <v>5.99</v>
      </c>
      <c r="X264" s="133">
        <v>0.2</v>
      </c>
      <c r="Y264" s="133">
        <v>0.19</v>
      </c>
      <c r="Z264" s="133">
        <v>0.19</v>
      </c>
      <c r="AA264" s="133">
        <v>0.18</v>
      </c>
      <c r="AB264" s="133">
        <v>0.18</v>
      </c>
      <c r="AC264" s="133">
        <v>0.17</v>
      </c>
      <c r="AD264" s="133">
        <v>0.16</v>
      </c>
      <c r="AE264" s="133">
        <v>0.16</v>
      </c>
      <c r="AF264" s="133">
        <v>0.15</v>
      </c>
      <c r="AG264" s="133">
        <v>0.15</v>
      </c>
      <c r="AH264" s="133">
        <v>0.14000000000000001</v>
      </c>
      <c r="AI264" s="133">
        <v>0.13</v>
      </c>
      <c r="AJ264" s="133">
        <v>0.13</v>
      </c>
      <c r="AK264" s="133">
        <v>0.12</v>
      </c>
      <c r="AL264" s="133">
        <v>0.12</v>
      </c>
      <c r="AM264" s="136" t="str">
        <f>IF(ISERROR(VLOOKUP(D264,'Woodmac profile - Oil'!$D$9:$AN$266,37,FALSE)),"",VLOOKUP(D264,'Woodmac profile - Oil'!$D$9:$AN$266,37,FALSE))</f>
        <v/>
      </c>
      <c r="AN264" s="136" t="str">
        <f>IF(ISERROR(VLOOKUP(D264,'Woodmac profile - Gas'!$D$9:$AN$249,37,FALSE)),"",VLOOKUP(D264,'Woodmac profile - Gas'!$D$9:$AN$249,37,FALSE))</f>
        <v>SUBS</v>
      </c>
      <c r="AO264" s="136" t="str">
        <f t="shared" si="16"/>
        <v>SUBS</v>
      </c>
      <c r="AP264" s="132"/>
      <c r="AQ264" s="129"/>
      <c r="AR264" s="129"/>
      <c r="AS264" s="354"/>
      <c r="AT264" s="131"/>
      <c r="AU264" s="131"/>
      <c r="AV264" s="354"/>
      <c r="AW264" s="132"/>
      <c r="AX264" s="354"/>
      <c r="AY264" s="132"/>
      <c r="AZ264" s="132"/>
      <c r="BA264" s="132"/>
      <c r="BB264" s="132"/>
    </row>
    <row r="265" spans="1:54">
      <c r="A265" s="132"/>
      <c r="B265" s="133" t="s">
        <v>3369</v>
      </c>
      <c r="C265" s="133" t="s">
        <v>2463</v>
      </c>
      <c r="D265" s="133" t="s">
        <v>3665</v>
      </c>
      <c r="E265" s="133" t="s">
        <v>1927</v>
      </c>
      <c r="F265" s="133" t="s">
        <v>1928</v>
      </c>
      <c r="G265" s="133" t="s">
        <v>1930</v>
      </c>
      <c r="H265" s="133" t="s">
        <v>2962</v>
      </c>
      <c r="I265" s="133" t="s">
        <v>1931</v>
      </c>
      <c r="J265" s="133">
        <v>100</v>
      </c>
      <c r="K265" s="133">
        <v>0</v>
      </c>
      <c r="L265" s="133">
        <v>0</v>
      </c>
      <c r="M265" s="133">
        <v>0</v>
      </c>
      <c r="N265" s="133">
        <v>0</v>
      </c>
      <c r="O265" s="133">
        <v>0</v>
      </c>
      <c r="P265" s="133">
        <v>0</v>
      </c>
      <c r="Q265" s="133">
        <v>0</v>
      </c>
      <c r="R265" s="133">
        <v>0</v>
      </c>
      <c r="S265" s="133">
        <v>16.13</v>
      </c>
      <c r="T265" s="133">
        <v>15.28</v>
      </c>
      <c r="U265" s="133">
        <v>2.82</v>
      </c>
      <c r="V265" s="133">
        <v>5.55</v>
      </c>
      <c r="W265" s="133">
        <v>2.76</v>
      </c>
      <c r="X265" s="133">
        <v>0.09</v>
      </c>
      <c r="Y265" s="133">
        <v>0.09</v>
      </c>
      <c r="Z265" s="133">
        <v>0.09</v>
      </c>
      <c r="AA265" s="133">
        <v>0.08</v>
      </c>
      <c r="AB265" s="133">
        <v>0.08</v>
      </c>
      <c r="AC265" s="133">
        <v>0.08</v>
      </c>
      <c r="AD265" s="133">
        <v>7.0000000000000007E-2</v>
      </c>
      <c r="AE265" s="133">
        <v>7.0000000000000007E-2</v>
      </c>
      <c r="AF265" s="133">
        <v>7.0000000000000007E-2</v>
      </c>
      <c r="AG265" s="133">
        <v>7.0000000000000007E-2</v>
      </c>
      <c r="AH265" s="133">
        <v>0.06</v>
      </c>
      <c r="AI265" s="133">
        <v>0.06</v>
      </c>
      <c r="AJ265" s="133">
        <v>0.06</v>
      </c>
      <c r="AK265" s="133">
        <v>0.06</v>
      </c>
      <c r="AL265" s="133">
        <v>0.05</v>
      </c>
      <c r="AM265" s="136" t="str">
        <f>IF(ISERROR(VLOOKUP(D265,'Woodmac profile - Oil'!$D$9:$AN$266,37,FALSE)),"",VLOOKUP(D265,'Woodmac profile - Oil'!$D$9:$AN$266,37,FALSE))</f>
        <v/>
      </c>
      <c r="AN265" s="136" t="str">
        <f>IF(ISERROR(VLOOKUP(D265,'Woodmac profile - Gas'!$D$9:$AN$249,37,FALSE)),"",VLOOKUP(D265,'Woodmac profile - Gas'!$D$9:$AN$249,37,FALSE))</f>
        <v>SUBS</v>
      </c>
      <c r="AO265" s="136" t="str">
        <f t="shared" si="16"/>
        <v>SUBS</v>
      </c>
      <c r="AP265" s="132"/>
      <c r="AQ265" s="129"/>
      <c r="AR265" s="129"/>
      <c r="AS265" s="354"/>
      <c r="AT265" s="131"/>
      <c r="AU265" s="131"/>
      <c r="AV265" s="354"/>
      <c r="AW265" s="132"/>
      <c r="AX265" s="354"/>
      <c r="AY265" s="132"/>
      <c r="AZ265" s="132"/>
      <c r="BA265" s="132"/>
      <c r="BB265" s="132"/>
    </row>
    <row r="266" spans="1:54">
      <c r="A266" s="132"/>
      <c r="B266" s="133" t="s">
        <v>3369</v>
      </c>
      <c r="C266" s="133" t="s">
        <v>2463</v>
      </c>
      <c r="D266" s="133" t="s">
        <v>3666</v>
      </c>
      <c r="E266" s="133" t="s">
        <v>1927</v>
      </c>
      <c r="F266" s="133" t="s">
        <v>1928</v>
      </c>
      <c r="G266" s="133" t="s">
        <v>1930</v>
      </c>
      <c r="H266" s="133" t="s">
        <v>2962</v>
      </c>
      <c r="I266" s="133" t="s">
        <v>1931</v>
      </c>
      <c r="J266" s="133">
        <v>100</v>
      </c>
      <c r="K266" s="133">
        <v>0</v>
      </c>
      <c r="L266" s="133">
        <v>0</v>
      </c>
      <c r="M266" s="133">
        <v>0</v>
      </c>
      <c r="N266" s="133">
        <v>0</v>
      </c>
      <c r="O266" s="133">
        <v>0</v>
      </c>
      <c r="P266" s="133">
        <v>0</v>
      </c>
      <c r="Q266" s="133">
        <v>0</v>
      </c>
      <c r="R266" s="133">
        <v>0</v>
      </c>
      <c r="S266" s="133">
        <v>116.28</v>
      </c>
      <c r="T266" s="133">
        <v>110.41</v>
      </c>
      <c r="U266" s="133">
        <v>20.27</v>
      </c>
      <c r="V266" s="133">
        <v>40.090000000000003</v>
      </c>
      <c r="W266" s="133">
        <v>19.89</v>
      </c>
      <c r="X266" s="133">
        <v>0.65</v>
      </c>
      <c r="Y266" s="133">
        <v>0.63</v>
      </c>
      <c r="Z266" s="133">
        <v>0.62</v>
      </c>
      <c r="AA266" s="133">
        <v>0.6</v>
      </c>
      <c r="AB266" s="133">
        <v>0.57999999999999996</v>
      </c>
      <c r="AC266" s="133">
        <v>0.56000000000000005</v>
      </c>
      <c r="AD266" s="133">
        <v>0.54</v>
      </c>
      <c r="AE266" s="133">
        <v>0.52</v>
      </c>
      <c r="AF266" s="133">
        <v>0.5</v>
      </c>
      <c r="AG266" s="133">
        <v>0.48</v>
      </c>
      <c r="AH266" s="133">
        <v>0.46</v>
      </c>
      <c r="AI266" s="133">
        <v>0.44</v>
      </c>
      <c r="AJ266" s="133">
        <v>0.42</v>
      </c>
      <c r="AK266" s="133">
        <v>0.4</v>
      </c>
      <c r="AL266" s="133">
        <v>0.38</v>
      </c>
      <c r="AM266" s="136" t="str">
        <f>IF(ISERROR(VLOOKUP(D266,'Woodmac profile - Oil'!$D$9:$AN$266,37,FALSE)),"",VLOOKUP(D266,'Woodmac profile - Oil'!$D$9:$AN$266,37,FALSE))</f>
        <v/>
      </c>
      <c r="AN266" s="136" t="str">
        <f>IF(ISERROR(VLOOKUP(D266,'Woodmac profile - Gas'!$D$9:$AN$249,37,FALSE)),"",VLOOKUP(D266,'Woodmac profile - Gas'!$D$9:$AN$249,37,FALSE))</f>
        <v>SUBS</v>
      </c>
      <c r="AO266" s="136" t="str">
        <f t="shared" si="16"/>
        <v>SUBS</v>
      </c>
      <c r="AP266" s="132"/>
      <c r="AQ266" s="129"/>
      <c r="AR266" s="129"/>
      <c r="AS266" s="354"/>
      <c r="AT266" s="131"/>
      <c r="AU266" s="131"/>
      <c r="AV266" s="354"/>
      <c r="AW266" s="132"/>
      <c r="AX266" s="354"/>
      <c r="AY266" s="132"/>
      <c r="AZ266" s="132"/>
      <c r="BA266" s="132"/>
      <c r="BB266" s="132"/>
    </row>
    <row r="267" spans="1:54">
      <c r="A267" s="132"/>
      <c r="B267" s="133" t="s">
        <v>3369</v>
      </c>
      <c r="C267" s="133" t="s">
        <v>2463</v>
      </c>
      <c r="D267" s="133" t="s">
        <v>2618</v>
      </c>
      <c r="E267" s="133" t="s">
        <v>1927</v>
      </c>
      <c r="F267" s="133" t="s">
        <v>1928</v>
      </c>
      <c r="G267" s="133" t="s">
        <v>1929</v>
      </c>
      <c r="H267" s="133" t="s">
        <v>2962</v>
      </c>
      <c r="I267" s="133" t="s">
        <v>1931</v>
      </c>
      <c r="J267" s="133">
        <v>100</v>
      </c>
      <c r="K267" s="133">
        <v>0</v>
      </c>
      <c r="L267" s="133">
        <v>0</v>
      </c>
      <c r="M267" s="133">
        <v>0</v>
      </c>
      <c r="N267" s="133">
        <v>0</v>
      </c>
      <c r="O267" s="133">
        <v>0</v>
      </c>
      <c r="P267" s="133">
        <v>41.36</v>
      </c>
      <c r="Q267" s="133">
        <v>150.72999999999999</v>
      </c>
      <c r="R267" s="133">
        <v>159.75</v>
      </c>
      <c r="S267" s="133">
        <v>157.51</v>
      </c>
      <c r="T267" s="133">
        <v>259.07</v>
      </c>
      <c r="U267" s="133">
        <v>182.56</v>
      </c>
      <c r="V267" s="133">
        <v>242.27</v>
      </c>
      <c r="W267" s="133">
        <v>242.15</v>
      </c>
      <c r="X267" s="133">
        <v>110.85</v>
      </c>
      <c r="Y267" s="133">
        <v>62.46</v>
      </c>
      <c r="Z267" s="133">
        <v>61.27</v>
      </c>
      <c r="AA267" s="133">
        <v>61.29</v>
      </c>
      <c r="AB267" s="133">
        <v>61.31</v>
      </c>
      <c r="AC267" s="133">
        <v>61.33</v>
      </c>
      <c r="AD267" s="133">
        <v>61.35</v>
      </c>
      <c r="AE267" s="133">
        <v>61.37</v>
      </c>
      <c r="AF267" s="133">
        <v>61.39</v>
      </c>
      <c r="AG267" s="133">
        <v>61.41</v>
      </c>
      <c r="AH267" s="133">
        <v>61.42</v>
      </c>
      <c r="AI267" s="133">
        <v>61.44</v>
      </c>
      <c r="AJ267" s="133">
        <v>61.46</v>
      </c>
      <c r="AK267" s="133">
        <v>61.48</v>
      </c>
      <c r="AL267" s="133">
        <v>61.5</v>
      </c>
      <c r="AM267" s="136" t="str">
        <f>IF(ISERROR(VLOOKUP(D267,'Woodmac profile - Oil'!$D$9:$AN$266,37,FALSE)),"",VLOOKUP(D267,'Woodmac profile - Oil'!$D$9:$AN$266,37,FALSE))</f>
        <v>SUBS</v>
      </c>
      <c r="AN267" s="136" t="str">
        <f>IF(ISERROR(VLOOKUP(D267,'Woodmac profile - Gas'!$D$9:$AN$249,37,FALSE)),"",VLOOKUP(D267,'Woodmac profile - Gas'!$D$9:$AN$249,37,FALSE))</f>
        <v>SUBS</v>
      </c>
      <c r="AO267" s="136" t="str">
        <f t="shared" si="16"/>
        <v>SUBS</v>
      </c>
      <c r="AP267" s="132"/>
      <c r="AQ267" s="129"/>
      <c r="AR267" s="129"/>
      <c r="AS267" s="354"/>
      <c r="AT267" s="131"/>
      <c r="AU267" s="131"/>
      <c r="AV267" s="354"/>
      <c r="AW267" s="132"/>
      <c r="AX267" s="354"/>
      <c r="AY267" s="132"/>
      <c r="AZ267" s="132"/>
      <c r="BA267" s="132"/>
      <c r="BB267" s="132"/>
    </row>
    <row r="268" spans="1:54">
      <c r="A268" s="132"/>
      <c r="B268" s="133" t="s">
        <v>3369</v>
      </c>
      <c r="C268" s="133" t="s">
        <v>2463</v>
      </c>
      <c r="D268" s="133" t="s">
        <v>3615</v>
      </c>
      <c r="E268" s="133" t="s">
        <v>1927</v>
      </c>
      <c r="F268" s="133" t="s">
        <v>1928</v>
      </c>
      <c r="G268" s="133" t="s">
        <v>1930</v>
      </c>
      <c r="H268" s="133" t="s">
        <v>116</v>
      </c>
      <c r="I268" s="133" t="s">
        <v>1931</v>
      </c>
      <c r="J268" s="133">
        <v>100</v>
      </c>
      <c r="K268" s="133">
        <v>181.32</v>
      </c>
      <c r="L268" s="133">
        <v>191.1</v>
      </c>
      <c r="M268" s="133">
        <v>138.22</v>
      </c>
      <c r="N268" s="133">
        <v>131.79</v>
      </c>
      <c r="O268" s="133">
        <v>119.02</v>
      </c>
      <c r="P268" s="133">
        <v>66.52</v>
      </c>
      <c r="Q268" s="133">
        <v>62.1</v>
      </c>
      <c r="R268" s="133">
        <v>9.6</v>
      </c>
      <c r="S268" s="133">
        <v>9.27</v>
      </c>
      <c r="T268" s="133">
        <v>0</v>
      </c>
      <c r="U268" s="133">
        <v>0</v>
      </c>
      <c r="V268" s="133">
        <v>0</v>
      </c>
      <c r="W268" s="133">
        <v>0</v>
      </c>
      <c r="X268" s="133">
        <v>0</v>
      </c>
      <c r="Y268" s="133">
        <v>0</v>
      </c>
      <c r="Z268" s="133">
        <v>0</v>
      </c>
      <c r="AA268" s="133">
        <v>0</v>
      </c>
      <c r="AB268" s="133">
        <v>0</v>
      </c>
      <c r="AC268" s="133">
        <v>0</v>
      </c>
      <c r="AD268" s="133">
        <v>0</v>
      </c>
      <c r="AE268" s="133">
        <v>0</v>
      </c>
      <c r="AF268" s="133">
        <v>0</v>
      </c>
      <c r="AG268" s="133">
        <v>0</v>
      </c>
      <c r="AH268" s="133">
        <v>0</v>
      </c>
      <c r="AI268" s="133">
        <v>0</v>
      </c>
      <c r="AJ268" s="133">
        <v>0</v>
      </c>
      <c r="AK268" s="133">
        <v>0</v>
      </c>
      <c r="AL268" s="133">
        <v>0</v>
      </c>
      <c r="AM268" s="136" t="str">
        <f>IF(ISERROR(VLOOKUP(D268,'Woodmac profile - Oil'!$D$9:$AN$266,37,FALSE)),"",VLOOKUP(D268,'Woodmac profile - Oil'!$D$9:$AN$266,37,FALSE))</f>
        <v>SUBS</v>
      </c>
      <c r="AN268" s="136" t="str">
        <f>IF(ISERROR(VLOOKUP(D268,'Woodmac profile - Gas'!$D$9:$AN$249,37,FALSE)),"",VLOOKUP(D268,'Woodmac profile - Gas'!$D$9:$AN$249,37,FALSE))</f>
        <v>SUBS</v>
      </c>
      <c r="AO268" s="136" t="str">
        <f t="shared" si="16"/>
        <v>SUBS</v>
      </c>
      <c r="AP268" s="132"/>
      <c r="AQ268" s="129"/>
      <c r="AR268" s="129"/>
      <c r="AS268" s="354"/>
      <c r="AT268" s="131"/>
      <c r="AU268" s="131"/>
      <c r="AV268" s="354"/>
      <c r="AW268" s="132"/>
      <c r="AX268" s="354"/>
      <c r="AY268" s="132"/>
      <c r="AZ268" s="132"/>
      <c r="BA268" s="132"/>
      <c r="BB268" s="132"/>
    </row>
    <row r="269" spans="1:54">
      <c r="A269" s="132"/>
      <c r="B269" s="133" t="s">
        <v>3369</v>
      </c>
      <c r="C269" s="133" t="s">
        <v>664</v>
      </c>
      <c r="D269" s="133" t="s">
        <v>146</v>
      </c>
      <c r="E269" s="133" t="s">
        <v>1927</v>
      </c>
      <c r="F269" s="133" t="s">
        <v>1928</v>
      </c>
      <c r="G269" s="133" t="s">
        <v>1929</v>
      </c>
      <c r="H269" s="133" t="s">
        <v>117</v>
      </c>
      <c r="I269" s="133" t="s">
        <v>1931</v>
      </c>
      <c r="J269" s="133">
        <v>100</v>
      </c>
      <c r="K269" s="133">
        <v>42.25</v>
      </c>
      <c r="L269" s="133">
        <v>36.33</v>
      </c>
      <c r="M269" s="133">
        <v>18.66</v>
      </c>
      <c r="N269" s="133">
        <v>36.21</v>
      </c>
      <c r="O269" s="133">
        <v>30.56</v>
      </c>
      <c r="P269" s="133">
        <v>29.68</v>
      </c>
      <c r="Q269" s="133">
        <v>24.38</v>
      </c>
      <c r="R269" s="133">
        <v>12.23</v>
      </c>
      <c r="S269" s="133">
        <v>0</v>
      </c>
      <c r="T269" s="133">
        <v>0</v>
      </c>
      <c r="U269" s="133">
        <v>0</v>
      </c>
      <c r="V269" s="133">
        <v>0</v>
      </c>
      <c r="W269" s="133">
        <v>0</v>
      </c>
      <c r="X269" s="133">
        <v>0</v>
      </c>
      <c r="Y269" s="133">
        <v>0</v>
      </c>
      <c r="Z269" s="133">
        <v>0</v>
      </c>
      <c r="AA269" s="133">
        <v>0</v>
      </c>
      <c r="AB269" s="133">
        <v>0</v>
      </c>
      <c r="AC269" s="133">
        <v>0</v>
      </c>
      <c r="AD269" s="133">
        <v>0</v>
      </c>
      <c r="AE269" s="133">
        <v>0</v>
      </c>
      <c r="AF269" s="133">
        <v>0</v>
      </c>
      <c r="AG269" s="133">
        <v>0</v>
      </c>
      <c r="AH269" s="133">
        <v>0</v>
      </c>
      <c r="AI269" s="133">
        <v>0</v>
      </c>
      <c r="AJ269" s="133">
        <v>0</v>
      </c>
      <c r="AK269" s="133">
        <v>0</v>
      </c>
      <c r="AL269" s="133">
        <v>0</v>
      </c>
      <c r="AM269" s="136" t="str">
        <f>IF(ISERROR(VLOOKUP(D269,'Woodmac profile - Oil'!$D$9:$AN$266,37,FALSE)),"",VLOOKUP(D269,'Woodmac profile - Oil'!$D$9:$AN$266,37,FALSE))</f>
        <v>SUBS</v>
      </c>
      <c r="AN269" s="136" t="str">
        <f>IF(ISERROR(VLOOKUP(D269,'Woodmac profile - Gas'!$D$9:$AN$249,37,FALSE)),"",VLOOKUP(D269,'Woodmac profile - Gas'!$D$9:$AN$249,37,FALSE))</f>
        <v>SUBS</v>
      </c>
      <c r="AO269" s="136" t="str">
        <f t="shared" si="16"/>
        <v>SUBS</v>
      </c>
      <c r="AP269" s="132"/>
      <c r="AQ269" s="129"/>
      <c r="AR269" s="129"/>
      <c r="AS269" s="354"/>
      <c r="AT269" s="131"/>
      <c r="AU269" s="131"/>
      <c r="AV269" s="354"/>
      <c r="AW269" s="132"/>
      <c r="AX269" s="354"/>
      <c r="AY269" s="132"/>
      <c r="AZ269" s="132"/>
      <c r="BA269" s="132"/>
      <c r="BB269" s="132"/>
    </row>
    <row r="270" spans="1:54">
      <c r="A270" s="132"/>
      <c r="B270" s="133" t="s">
        <v>3369</v>
      </c>
      <c r="C270" s="133" t="s">
        <v>664</v>
      </c>
      <c r="D270" s="133" t="s">
        <v>147</v>
      </c>
      <c r="E270" s="133" t="s">
        <v>1927</v>
      </c>
      <c r="F270" s="133" t="s">
        <v>1928</v>
      </c>
      <c r="G270" s="133" t="s">
        <v>1931</v>
      </c>
      <c r="H270" s="133" t="s">
        <v>116</v>
      </c>
      <c r="I270" s="133" t="s">
        <v>1931</v>
      </c>
      <c r="J270" s="133">
        <v>100</v>
      </c>
      <c r="K270" s="133">
        <v>26.37</v>
      </c>
      <c r="L270" s="133">
        <v>28.5</v>
      </c>
      <c r="M270" s="133">
        <v>22.8</v>
      </c>
      <c r="N270" s="133">
        <v>27.44</v>
      </c>
      <c r="O270" s="133">
        <v>13.72</v>
      </c>
      <c r="P270" s="133">
        <v>7.96</v>
      </c>
      <c r="Q270" s="133">
        <v>2.97</v>
      </c>
      <c r="R270" s="133">
        <v>1.34</v>
      </c>
      <c r="S270" s="133">
        <v>0</v>
      </c>
      <c r="T270" s="133">
        <v>0</v>
      </c>
      <c r="U270" s="133">
        <v>0</v>
      </c>
      <c r="V270" s="133">
        <v>0</v>
      </c>
      <c r="W270" s="133">
        <v>0</v>
      </c>
      <c r="X270" s="133">
        <v>0</v>
      </c>
      <c r="Y270" s="133">
        <v>0</v>
      </c>
      <c r="Z270" s="133">
        <v>0</v>
      </c>
      <c r="AA270" s="133">
        <v>0</v>
      </c>
      <c r="AB270" s="133">
        <v>0</v>
      </c>
      <c r="AC270" s="133">
        <v>0</v>
      </c>
      <c r="AD270" s="133">
        <v>0</v>
      </c>
      <c r="AE270" s="133">
        <v>0</v>
      </c>
      <c r="AF270" s="133">
        <v>0</v>
      </c>
      <c r="AG270" s="133">
        <v>0</v>
      </c>
      <c r="AH270" s="133">
        <v>0</v>
      </c>
      <c r="AI270" s="133">
        <v>0</v>
      </c>
      <c r="AJ270" s="133">
        <v>0</v>
      </c>
      <c r="AK270" s="133">
        <v>0</v>
      </c>
      <c r="AL270" s="133">
        <v>0</v>
      </c>
      <c r="AM270" s="136" t="str">
        <f>IF(ISERROR(VLOOKUP(D270,'Woodmac profile - Oil'!$D$9:$AN$266,37,FALSE)),"",VLOOKUP(D270,'Woodmac profile - Oil'!$D$9:$AN$266,37,FALSE))</f>
        <v>SUBS</v>
      </c>
      <c r="AN270" s="136" t="str">
        <f>IF(ISERROR(VLOOKUP(D270,'Woodmac profile - Gas'!$D$9:$AN$249,37,FALSE)),"",VLOOKUP(D270,'Woodmac profile - Gas'!$D$9:$AN$249,37,FALSE))</f>
        <v/>
      </c>
      <c r="AO270" s="136" t="str">
        <f t="shared" si="16"/>
        <v>SUBS</v>
      </c>
      <c r="AP270" s="132"/>
      <c r="AQ270" s="129"/>
      <c r="AR270" s="129"/>
      <c r="AS270" s="354"/>
      <c r="AT270" s="131"/>
      <c r="AU270" s="131"/>
      <c r="AV270" s="354"/>
      <c r="AW270" s="132"/>
      <c r="AX270" s="354"/>
      <c r="AY270" s="132"/>
      <c r="AZ270" s="132"/>
      <c r="BA270" s="132"/>
      <c r="BB270" s="132"/>
    </row>
    <row r="271" spans="1:54">
      <c r="A271" s="132"/>
      <c r="B271" s="133" t="s">
        <v>3369</v>
      </c>
      <c r="C271" s="133" t="s">
        <v>664</v>
      </c>
      <c r="D271" s="133" t="s">
        <v>1765</v>
      </c>
      <c r="E271" s="133" t="s">
        <v>1927</v>
      </c>
      <c r="F271" s="133" t="s">
        <v>1928</v>
      </c>
      <c r="G271" s="133" t="s">
        <v>1929</v>
      </c>
      <c r="H271" s="133" t="s">
        <v>117</v>
      </c>
      <c r="I271" s="133" t="s">
        <v>1931</v>
      </c>
      <c r="J271" s="133">
        <v>100</v>
      </c>
      <c r="K271" s="133">
        <v>20.49</v>
      </c>
      <c r="L271" s="133">
        <v>17.39</v>
      </c>
      <c r="M271" s="133">
        <v>12.27</v>
      </c>
      <c r="N271" s="133">
        <v>18.5</v>
      </c>
      <c r="O271" s="133">
        <v>15.87</v>
      </c>
      <c r="P271" s="133">
        <v>10.75</v>
      </c>
      <c r="Q271" s="133">
        <v>10.5</v>
      </c>
      <c r="R271" s="133">
        <v>4.28</v>
      </c>
      <c r="S271" s="133">
        <v>0</v>
      </c>
      <c r="T271" s="133">
        <v>0</v>
      </c>
      <c r="U271" s="133">
        <v>0</v>
      </c>
      <c r="V271" s="133">
        <v>0</v>
      </c>
      <c r="W271" s="133">
        <v>0</v>
      </c>
      <c r="X271" s="133">
        <v>0</v>
      </c>
      <c r="Y271" s="133">
        <v>0</v>
      </c>
      <c r="Z271" s="133">
        <v>0</v>
      </c>
      <c r="AA271" s="133">
        <v>0</v>
      </c>
      <c r="AB271" s="133">
        <v>0</v>
      </c>
      <c r="AC271" s="133">
        <v>0</v>
      </c>
      <c r="AD271" s="133">
        <v>0</v>
      </c>
      <c r="AE271" s="133">
        <v>0</v>
      </c>
      <c r="AF271" s="133">
        <v>0</v>
      </c>
      <c r="AG271" s="133">
        <v>0</v>
      </c>
      <c r="AH271" s="133">
        <v>0</v>
      </c>
      <c r="AI271" s="133">
        <v>0</v>
      </c>
      <c r="AJ271" s="133">
        <v>0</v>
      </c>
      <c r="AK271" s="133">
        <v>0</v>
      </c>
      <c r="AL271" s="133">
        <v>0</v>
      </c>
      <c r="AM271" s="136" t="str">
        <f>IF(ISERROR(VLOOKUP(D271,'Woodmac profile - Oil'!$D$9:$AN$266,37,FALSE)),"",VLOOKUP(D271,'Woodmac profile - Oil'!$D$9:$AN$266,37,FALSE))</f>
        <v>SUBS</v>
      </c>
      <c r="AN271" s="136" t="str">
        <f>IF(ISERROR(VLOOKUP(D271,'Woodmac profile - Gas'!$D$9:$AN$249,37,FALSE)),"",VLOOKUP(D271,'Woodmac profile - Gas'!$D$9:$AN$249,37,FALSE))</f>
        <v>SUBS</v>
      </c>
      <c r="AO271" s="136" t="str">
        <f t="shared" si="16"/>
        <v>SUBS</v>
      </c>
      <c r="AP271" s="132"/>
      <c r="AQ271" s="129"/>
      <c r="AR271" s="129"/>
      <c r="AS271" s="354"/>
      <c r="AT271" s="131"/>
      <c r="AU271" s="131"/>
      <c r="AV271" s="354"/>
      <c r="AW271" s="132"/>
      <c r="AX271" s="354"/>
      <c r="AY271" s="132"/>
      <c r="AZ271" s="132"/>
      <c r="BA271" s="132"/>
      <c r="BB271" s="132"/>
    </row>
    <row r="272" spans="1:54">
      <c r="A272" s="132"/>
      <c r="B272" s="133" t="s">
        <v>3369</v>
      </c>
      <c r="C272" s="133" t="s">
        <v>664</v>
      </c>
      <c r="D272" s="133" t="s">
        <v>1766</v>
      </c>
      <c r="E272" s="133" t="s">
        <v>1927</v>
      </c>
      <c r="F272" s="133" t="s">
        <v>1928</v>
      </c>
      <c r="G272" s="133" t="s">
        <v>1929</v>
      </c>
      <c r="H272" s="133" t="s">
        <v>117</v>
      </c>
      <c r="I272" s="133" t="s">
        <v>1931</v>
      </c>
      <c r="J272" s="133">
        <v>100</v>
      </c>
      <c r="K272" s="133">
        <v>57.77</v>
      </c>
      <c r="L272" s="133">
        <v>32</v>
      </c>
      <c r="M272" s="133">
        <v>6.42</v>
      </c>
      <c r="N272" s="133">
        <v>47.77</v>
      </c>
      <c r="O272" s="133">
        <v>25.61</v>
      </c>
      <c r="P272" s="133">
        <v>16.14</v>
      </c>
      <c r="Q272" s="133">
        <v>16.54</v>
      </c>
      <c r="R272" s="133">
        <v>10.08</v>
      </c>
      <c r="S272" s="133">
        <v>0</v>
      </c>
      <c r="T272" s="133">
        <v>0</v>
      </c>
      <c r="U272" s="133">
        <v>0</v>
      </c>
      <c r="V272" s="133">
        <v>0</v>
      </c>
      <c r="W272" s="133">
        <v>0</v>
      </c>
      <c r="X272" s="133">
        <v>0</v>
      </c>
      <c r="Y272" s="133">
        <v>0</v>
      </c>
      <c r="Z272" s="133">
        <v>0</v>
      </c>
      <c r="AA272" s="133">
        <v>0</v>
      </c>
      <c r="AB272" s="133">
        <v>0</v>
      </c>
      <c r="AC272" s="133">
        <v>0</v>
      </c>
      <c r="AD272" s="133">
        <v>0</v>
      </c>
      <c r="AE272" s="133">
        <v>0</v>
      </c>
      <c r="AF272" s="133">
        <v>0</v>
      </c>
      <c r="AG272" s="133">
        <v>0</v>
      </c>
      <c r="AH272" s="133">
        <v>0</v>
      </c>
      <c r="AI272" s="133">
        <v>0</v>
      </c>
      <c r="AJ272" s="133">
        <v>0</v>
      </c>
      <c r="AK272" s="133">
        <v>0</v>
      </c>
      <c r="AL272" s="133">
        <v>0</v>
      </c>
      <c r="AM272" s="136" t="str">
        <f>IF(ISERROR(VLOOKUP(D272,'Woodmac profile - Oil'!$D$9:$AN$266,37,FALSE)),"",VLOOKUP(D272,'Woodmac profile - Oil'!$D$9:$AN$266,37,FALSE))</f>
        <v>SUBS</v>
      </c>
      <c r="AN272" s="136" t="str">
        <f>IF(ISERROR(VLOOKUP(D272,'Woodmac profile - Gas'!$D$9:$AN$249,37,FALSE)),"",VLOOKUP(D272,'Woodmac profile - Gas'!$D$9:$AN$249,37,FALSE))</f>
        <v>SUBS</v>
      </c>
      <c r="AO272" s="136" t="str">
        <f t="shared" si="16"/>
        <v>SUBS</v>
      </c>
      <c r="AP272" s="132"/>
      <c r="AQ272" s="129"/>
      <c r="AR272" s="129"/>
      <c r="AS272" s="354"/>
      <c r="AT272" s="131"/>
      <c r="AU272" s="131"/>
      <c r="AV272" s="354"/>
      <c r="AW272" s="132"/>
      <c r="AX272" s="354"/>
      <c r="AY272" s="132"/>
      <c r="AZ272" s="132"/>
      <c r="BA272" s="132"/>
      <c r="BB272" s="132"/>
    </row>
    <row r="273" spans="1:54">
      <c r="A273" s="132"/>
      <c r="B273" s="133" t="s">
        <v>3369</v>
      </c>
      <c r="C273" s="133" t="s">
        <v>664</v>
      </c>
      <c r="D273" s="133" t="s">
        <v>3616</v>
      </c>
      <c r="E273" s="133" t="s">
        <v>1927</v>
      </c>
      <c r="F273" s="133" t="s">
        <v>1928</v>
      </c>
      <c r="G273" s="133" t="s">
        <v>1931</v>
      </c>
      <c r="H273" s="133" t="s">
        <v>1930</v>
      </c>
      <c r="I273" s="133" t="s">
        <v>1931</v>
      </c>
      <c r="J273" s="133">
        <v>100</v>
      </c>
      <c r="K273" s="133">
        <v>77.63</v>
      </c>
      <c r="L273" s="133">
        <v>46.94</v>
      </c>
      <c r="M273" s="133">
        <v>14.35</v>
      </c>
      <c r="N273" s="133">
        <v>65.19</v>
      </c>
      <c r="O273" s="133">
        <v>39.299999999999997</v>
      </c>
      <c r="P273" s="133">
        <v>26.95</v>
      </c>
      <c r="Q273" s="133">
        <v>27.76</v>
      </c>
      <c r="R273" s="133">
        <v>15.78</v>
      </c>
      <c r="S273" s="133">
        <v>0</v>
      </c>
      <c r="T273" s="133">
        <v>0</v>
      </c>
      <c r="U273" s="133">
        <v>0</v>
      </c>
      <c r="V273" s="133">
        <v>0</v>
      </c>
      <c r="W273" s="133">
        <v>0</v>
      </c>
      <c r="X273" s="133">
        <v>0</v>
      </c>
      <c r="Y273" s="133">
        <v>0</v>
      </c>
      <c r="Z273" s="133">
        <v>0</v>
      </c>
      <c r="AA273" s="133">
        <v>0</v>
      </c>
      <c r="AB273" s="133">
        <v>0</v>
      </c>
      <c r="AC273" s="133">
        <v>0</v>
      </c>
      <c r="AD273" s="133">
        <v>0</v>
      </c>
      <c r="AE273" s="133">
        <v>0</v>
      </c>
      <c r="AF273" s="133">
        <v>0</v>
      </c>
      <c r="AG273" s="133">
        <v>0</v>
      </c>
      <c r="AH273" s="133">
        <v>0</v>
      </c>
      <c r="AI273" s="133">
        <v>0</v>
      </c>
      <c r="AJ273" s="133">
        <v>0</v>
      </c>
      <c r="AK273" s="133">
        <v>0</v>
      </c>
      <c r="AL273" s="133">
        <v>0</v>
      </c>
      <c r="AM273" s="136" t="str">
        <f>IF(ISERROR(VLOOKUP(D273,'Woodmac profile - Oil'!$D$9:$AN$266,37,FALSE)),"",VLOOKUP(D273,'Woodmac profile - Oil'!$D$9:$AN$266,37,FALSE))</f>
        <v>SUBS</v>
      </c>
      <c r="AN273" s="136" t="str">
        <f>IF(ISERROR(VLOOKUP(D273,'Woodmac profile - Gas'!$D$9:$AN$249,37,FALSE)),"",VLOOKUP(D273,'Woodmac profile - Gas'!$D$9:$AN$249,37,FALSE))</f>
        <v>SUBS</v>
      </c>
      <c r="AO273" s="136" t="str">
        <f t="shared" si="16"/>
        <v>SUBS</v>
      </c>
      <c r="AP273" s="132"/>
      <c r="AQ273" s="129"/>
      <c r="AR273" s="129"/>
      <c r="AS273" s="354"/>
      <c r="AT273" s="131"/>
      <c r="AU273" s="131"/>
      <c r="AV273" s="354"/>
      <c r="AW273" s="132"/>
      <c r="AX273" s="354"/>
      <c r="AY273" s="132"/>
      <c r="AZ273" s="132"/>
      <c r="BA273" s="132"/>
      <c r="BB273" s="132"/>
    </row>
    <row r="274" spans="1:54">
      <c r="A274" s="132"/>
      <c r="B274" s="133" t="s">
        <v>3369</v>
      </c>
      <c r="C274" s="133" t="s">
        <v>1767</v>
      </c>
      <c r="D274" s="133" t="s">
        <v>3671</v>
      </c>
      <c r="E274" s="133" t="s">
        <v>1927</v>
      </c>
      <c r="F274" s="133" t="s">
        <v>1928</v>
      </c>
      <c r="G274" s="133" t="s">
        <v>1929</v>
      </c>
      <c r="H274" s="133" t="s">
        <v>117</v>
      </c>
      <c r="I274" s="133" t="s">
        <v>1931</v>
      </c>
      <c r="J274" s="133">
        <v>100</v>
      </c>
      <c r="K274" s="133">
        <v>0</v>
      </c>
      <c r="L274" s="133">
        <v>0</v>
      </c>
      <c r="M274" s="133">
        <v>0</v>
      </c>
      <c r="N274" s="133">
        <v>0</v>
      </c>
      <c r="O274" s="133">
        <v>0</v>
      </c>
      <c r="P274" s="133">
        <v>0</v>
      </c>
      <c r="Q274" s="133">
        <v>0</v>
      </c>
      <c r="R274" s="133">
        <v>0</v>
      </c>
      <c r="S274" s="133">
        <v>0</v>
      </c>
      <c r="T274" s="133">
        <v>0</v>
      </c>
      <c r="U274" s="133">
        <v>0</v>
      </c>
      <c r="V274" s="133">
        <v>0</v>
      </c>
      <c r="W274" s="133">
        <v>0</v>
      </c>
      <c r="X274" s="133">
        <v>51.92</v>
      </c>
      <c r="Y274" s="133">
        <v>25.79</v>
      </c>
      <c r="Z274" s="133">
        <v>25.32</v>
      </c>
      <c r="AA274" s="133">
        <v>50.56</v>
      </c>
      <c r="AB274" s="133">
        <v>50.63</v>
      </c>
      <c r="AC274" s="133">
        <v>50.69</v>
      </c>
      <c r="AD274" s="133">
        <v>50.76</v>
      </c>
      <c r="AE274" s="133">
        <v>50.83</v>
      </c>
      <c r="AF274" s="133">
        <v>50.89</v>
      </c>
      <c r="AG274" s="133">
        <v>50.96</v>
      </c>
      <c r="AH274" s="133">
        <v>51.02</v>
      </c>
      <c r="AI274" s="133">
        <v>51.09</v>
      </c>
      <c r="AJ274" s="133">
        <v>51.15</v>
      </c>
      <c r="AK274" s="133">
        <v>51.22</v>
      </c>
      <c r="AL274" s="133">
        <v>51.28</v>
      </c>
      <c r="AM274" s="136" t="str">
        <f>IF(ISERROR(VLOOKUP(D274,'Woodmac profile - Oil'!$D$9:$AN$266,37,FALSE)),"",VLOOKUP(D274,'Woodmac profile - Oil'!$D$9:$AN$266,37,FALSE))</f>
        <v>SUBS</v>
      </c>
      <c r="AN274" s="136" t="str">
        <f>IF(ISERROR(VLOOKUP(D274,'Woodmac profile - Gas'!$D$9:$AN$249,37,FALSE)),"",VLOOKUP(D274,'Woodmac profile - Gas'!$D$9:$AN$249,37,FALSE))</f>
        <v>SUBS</v>
      </c>
      <c r="AO274" s="136" t="str">
        <f t="shared" si="16"/>
        <v>SUBS</v>
      </c>
      <c r="AP274" s="132"/>
      <c r="AQ274" s="129"/>
      <c r="AR274" s="129"/>
      <c r="AS274" s="354"/>
      <c r="AT274" s="131"/>
      <c r="AU274" s="131"/>
      <c r="AV274" s="354"/>
      <c r="AW274" s="132"/>
      <c r="AX274" s="354"/>
      <c r="AY274" s="132"/>
      <c r="AZ274" s="132"/>
      <c r="BA274" s="132"/>
      <c r="BB274" s="132"/>
    </row>
    <row r="275" spans="1:54">
      <c r="A275" s="132"/>
      <c r="B275" s="133" t="s">
        <v>3369</v>
      </c>
      <c r="C275" s="133" t="s">
        <v>1767</v>
      </c>
      <c r="D275" s="133" t="s">
        <v>1768</v>
      </c>
      <c r="E275" s="133" t="s">
        <v>1927</v>
      </c>
      <c r="F275" s="133" t="s">
        <v>1928</v>
      </c>
      <c r="G275" s="133" t="s">
        <v>1929</v>
      </c>
      <c r="H275" s="133" t="s">
        <v>117</v>
      </c>
      <c r="I275" s="133" t="s">
        <v>1931</v>
      </c>
      <c r="J275" s="133">
        <v>100</v>
      </c>
      <c r="K275" s="133">
        <v>173.2</v>
      </c>
      <c r="L275" s="133">
        <v>177.28</v>
      </c>
      <c r="M275" s="133">
        <v>313.61</v>
      </c>
      <c r="N275" s="133">
        <v>342.21</v>
      </c>
      <c r="O275" s="133">
        <v>386.64</v>
      </c>
      <c r="P275" s="133">
        <v>424.27</v>
      </c>
      <c r="Q275" s="133">
        <v>388.15</v>
      </c>
      <c r="R275" s="133">
        <v>362.94</v>
      </c>
      <c r="S275" s="133">
        <v>170.19</v>
      </c>
      <c r="T275" s="133">
        <v>166.86</v>
      </c>
      <c r="U275" s="133">
        <v>164.57</v>
      </c>
      <c r="V275" s="133">
        <v>140.05000000000001</v>
      </c>
      <c r="W275" s="133">
        <v>109.92</v>
      </c>
      <c r="X275" s="133">
        <v>5.0999999999999996</v>
      </c>
      <c r="Y275" s="133">
        <v>4.99</v>
      </c>
      <c r="Z275" s="133">
        <v>4.9000000000000004</v>
      </c>
      <c r="AA275" s="133">
        <v>4.71</v>
      </c>
      <c r="AB275" s="133">
        <v>4.5199999999999996</v>
      </c>
      <c r="AC275" s="133">
        <v>4.33</v>
      </c>
      <c r="AD275" s="133">
        <v>4.1399999999999997</v>
      </c>
      <c r="AE275" s="133">
        <v>3.95</v>
      </c>
      <c r="AF275" s="133">
        <v>3.77</v>
      </c>
      <c r="AG275" s="133">
        <v>3.58</v>
      </c>
      <c r="AH275" s="133">
        <v>3.39</v>
      </c>
      <c r="AI275" s="133">
        <v>3.2</v>
      </c>
      <c r="AJ275" s="133">
        <v>3.01</v>
      </c>
      <c r="AK275" s="133">
        <v>2.82</v>
      </c>
      <c r="AL275" s="133">
        <v>2.64</v>
      </c>
      <c r="AM275" s="136" t="str">
        <f>IF(ISERROR(VLOOKUP(D275,'Woodmac profile - Oil'!$D$9:$AN$266,37,FALSE)),"",VLOOKUP(D275,'Woodmac profile - Oil'!$D$9:$AN$266,37,FALSE))</f>
        <v>SUBS</v>
      </c>
      <c r="AN275" s="136" t="str">
        <f>IF(ISERROR(VLOOKUP(D275,'Woodmac profile - Gas'!$D$9:$AN$249,37,FALSE)),"",VLOOKUP(D275,'Woodmac profile - Gas'!$D$9:$AN$249,37,FALSE))</f>
        <v>SUBS</v>
      </c>
      <c r="AO275" s="136" t="str">
        <f t="shared" si="16"/>
        <v>SUBS</v>
      </c>
      <c r="AP275" s="132"/>
      <c r="AQ275" s="129"/>
      <c r="AR275" s="129"/>
      <c r="AS275" s="354"/>
      <c r="AT275" s="131"/>
      <c r="AU275" s="131"/>
      <c r="AV275" s="354"/>
      <c r="AW275" s="132"/>
      <c r="AX275" s="354"/>
      <c r="AY275" s="132"/>
      <c r="AZ275" s="132"/>
      <c r="BA275" s="132"/>
      <c r="BB275" s="132"/>
    </row>
    <row r="276" spans="1:54">
      <c r="A276" s="132"/>
      <c r="B276" s="133" t="s">
        <v>3369</v>
      </c>
      <c r="C276" s="133" t="s">
        <v>1767</v>
      </c>
      <c r="D276" s="133" t="s">
        <v>3617</v>
      </c>
      <c r="E276" s="133" t="s">
        <v>1927</v>
      </c>
      <c r="F276" s="133" t="s">
        <v>1928</v>
      </c>
      <c r="G276" s="133" t="s">
        <v>1930</v>
      </c>
      <c r="H276" s="133" t="s">
        <v>116</v>
      </c>
      <c r="I276" s="133" t="s">
        <v>1931</v>
      </c>
      <c r="J276" s="133">
        <v>100</v>
      </c>
      <c r="K276" s="133">
        <v>1.48</v>
      </c>
      <c r="L276" s="133">
        <v>3.87</v>
      </c>
      <c r="M276" s="133">
        <v>13.25</v>
      </c>
      <c r="N276" s="133">
        <v>12.52</v>
      </c>
      <c r="O276" s="133">
        <v>3.95</v>
      </c>
      <c r="P276" s="133">
        <v>4.68</v>
      </c>
      <c r="Q276" s="133">
        <v>2.44</v>
      </c>
      <c r="R276" s="133">
        <v>3.27</v>
      </c>
      <c r="S276" s="133">
        <v>6.42</v>
      </c>
      <c r="T276" s="133">
        <v>6.29</v>
      </c>
      <c r="U276" s="133">
        <v>6.21</v>
      </c>
      <c r="V276" s="133">
        <v>6.12</v>
      </c>
      <c r="W276" s="133">
        <v>0.52</v>
      </c>
      <c r="X276" s="133">
        <v>0.51</v>
      </c>
      <c r="Y276" s="133">
        <v>0.5</v>
      </c>
      <c r="Z276" s="133">
        <v>0.49</v>
      </c>
      <c r="AA276" s="133">
        <v>0.47</v>
      </c>
      <c r="AB276" s="133">
        <v>0.44</v>
      </c>
      <c r="AC276" s="133">
        <v>0.42</v>
      </c>
      <c r="AD276" s="133">
        <v>0.4</v>
      </c>
      <c r="AE276" s="133">
        <v>0.37</v>
      </c>
      <c r="AF276" s="133">
        <v>0.35</v>
      </c>
      <c r="AG276" s="133">
        <v>0.33</v>
      </c>
      <c r="AH276" s="133">
        <v>0.3</v>
      </c>
      <c r="AI276" s="133">
        <v>0.28000000000000003</v>
      </c>
      <c r="AJ276" s="133">
        <v>0.26</v>
      </c>
      <c r="AK276" s="133">
        <v>0.23</v>
      </c>
      <c r="AL276" s="133">
        <v>0.21</v>
      </c>
      <c r="AM276" s="136" t="str">
        <f>IF(ISERROR(VLOOKUP(D276,'Woodmac profile - Oil'!$D$9:$AN$266,37,FALSE)),"",VLOOKUP(D276,'Woodmac profile - Oil'!$D$9:$AN$266,37,FALSE))</f>
        <v>SUBS</v>
      </c>
      <c r="AN276" s="136" t="str">
        <f>IF(ISERROR(VLOOKUP(D276,'Woodmac profile - Gas'!$D$9:$AN$249,37,FALSE)),"",VLOOKUP(D276,'Woodmac profile - Gas'!$D$9:$AN$249,37,FALSE))</f>
        <v>SUBS</v>
      </c>
      <c r="AO276" s="136" t="str">
        <f t="shared" si="16"/>
        <v>SUBS</v>
      </c>
      <c r="AP276" s="132"/>
      <c r="AQ276" s="129"/>
      <c r="AR276" s="129"/>
      <c r="AS276" s="354"/>
      <c r="AT276" s="131"/>
      <c r="AU276" s="131"/>
      <c r="AV276" s="354"/>
      <c r="AW276" s="132"/>
      <c r="AX276" s="354"/>
      <c r="AY276" s="132"/>
      <c r="AZ276" s="132"/>
      <c r="BA276" s="132"/>
      <c r="BB276" s="132"/>
    </row>
    <row r="277" spans="1:54">
      <c r="A277" s="132"/>
      <c r="B277" s="133" t="s">
        <v>3369</v>
      </c>
      <c r="C277" s="133" t="s">
        <v>1767</v>
      </c>
      <c r="D277" s="133" t="s">
        <v>1769</v>
      </c>
      <c r="E277" s="133" t="s">
        <v>1927</v>
      </c>
      <c r="F277" s="133" t="s">
        <v>1928</v>
      </c>
      <c r="G277" s="133" t="s">
        <v>1929</v>
      </c>
      <c r="H277" s="133" t="s">
        <v>117</v>
      </c>
      <c r="I277" s="133" t="s">
        <v>1931</v>
      </c>
      <c r="J277" s="133">
        <v>100</v>
      </c>
      <c r="K277" s="133">
        <v>34.49</v>
      </c>
      <c r="L277" s="133">
        <v>25.61</v>
      </c>
      <c r="M277" s="133">
        <v>10.74</v>
      </c>
      <c r="N277" s="133">
        <v>10.79</v>
      </c>
      <c r="O277" s="133">
        <v>10.87</v>
      </c>
      <c r="P277" s="133">
        <v>10.73</v>
      </c>
      <c r="Q277" s="133">
        <v>6.04</v>
      </c>
      <c r="R277" s="133">
        <v>9.1199999999999992</v>
      </c>
      <c r="S277" s="133">
        <v>9.06</v>
      </c>
      <c r="T277" s="133">
        <v>8.8800000000000008</v>
      </c>
      <c r="U277" s="133">
        <v>8.7799999999999994</v>
      </c>
      <c r="V277" s="133">
        <v>0.62</v>
      </c>
      <c r="W277" s="133">
        <v>0.62</v>
      </c>
      <c r="X277" s="133">
        <v>0.61</v>
      </c>
      <c r="Y277" s="133">
        <v>0.59</v>
      </c>
      <c r="Z277" s="133">
        <v>0.57999999999999996</v>
      </c>
      <c r="AA277" s="133">
        <v>0.56000000000000005</v>
      </c>
      <c r="AB277" s="133">
        <v>0.54</v>
      </c>
      <c r="AC277" s="133">
        <v>0.52</v>
      </c>
      <c r="AD277" s="133">
        <v>0.49</v>
      </c>
      <c r="AE277" s="133">
        <v>0.47</v>
      </c>
      <c r="AF277" s="133">
        <v>0.45</v>
      </c>
      <c r="AG277" s="133">
        <v>0.43</v>
      </c>
      <c r="AH277" s="133">
        <v>0.4</v>
      </c>
      <c r="AI277" s="133">
        <v>0.38</v>
      </c>
      <c r="AJ277" s="133">
        <v>0.36</v>
      </c>
      <c r="AK277" s="133">
        <v>0.34</v>
      </c>
      <c r="AL277" s="133">
        <v>0.31</v>
      </c>
      <c r="AM277" s="136" t="str">
        <f>IF(ISERROR(VLOOKUP(D277,'Woodmac profile - Oil'!$D$9:$AN$266,37,FALSE)),"",VLOOKUP(D277,'Woodmac profile - Oil'!$D$9:$AN$266,37,FALSE))</f>
        <v>SUBS</v>
      </c>
      <c r="AN277" s="136" t="str">
        <f>IF(ISERROR(VLOOKUP(D277,'Woodmac profile - Gas'!$D$9:$AN$249,37,FALSE)),"",VLOOKUP(D277,'Woodmac profile - Gas'!$D$9:$AN$249,37,FALSE))</f>
        <v>SUBS</v>
      </c>
      <c r="AO277" s="136" t="str">
        <f t="shared" si="16"/>
        <v>SUBS</v>
      </c>
      <c r="AP277" s="132"/>
      <c r="AQ277" s="129"/>
      <c r="AR277" s="129"/>
      <c r="AS277" s="354"/>
      <c r="AT277" s="131"/>
      <c r="AU277" s="131"/>
      <c r="AV277" s="354"/>
      <c r="AW277" s="132"/>
      <c r="AX277" s="354"/>
      <c r="AY277" s="132"/>
      <c r="AZ277" s="132"/>
      <c r="BA277" s="132"/>
      <c r="BB277" s="132"/>
    </row>
    <row r="278" spans="1:54">
      <c r="A278" s="132"/>
      <c r="B278" s="133" t="s">
        <v>3369</v>
      </c>
      <c r="C278" s="133" t="s">
        <v>1767</v>
      </c>
      <c r="D278" s="133" t="s">
        <v>2016</v>
      </c>
      <c r="E278" s="133" t="s">
        <v>1927</v>
      </c>
      <c r="F278" s="133" t="s">
        <v>1928</v>
      </c>
      <c r="G278" s="133" t="s">
        <v>1929</v>
      </c>
      <c r="H278" s="133" t="s">
        <v>117</v>
      </c>
      <c r="I278" s="133" t="s">
        <v>1931</v>
      </c>
      <c r="J278" s="133">
        <v>100</v>
      </c>
      <c r="K278" s="133">
        <v>39.450000000000003</v>
      </c>
      <c r="L278" s="133">
        <v>26.52</v>
      </c>
      <c r="M278" s="133">
        <v>96.81</v>
      </c>
      <c r="N278" s="133">
        <v>270.29000000000002</v>
      </c>
      <c r="O278" s="133">
        <v>291.26</v>
      </c>
      <c r="P278" s="133">
        <v>319.88</v>
      </c>
      <c r="Q278" s="133">
        <v>261.3</v>
      </c>
      <c r="R278" s="133">
        <v>231.46</v>
      </c>
      <c r="S278" s="133">
        <v>140.44</v>
      </c>
      <c r="T278" s="133">
        <v>0</v>
      </c>
      <c r="U278" s="133">
        <v>0</v>
      </c>
      <c r="V278" s="133">
        <v>0</v>
      </c>
      <c r="W278" s="133">
        <v>0</v>
      </c>
      <c r="X278" s="133">
        <v>0</v>
      </c>
      <c r="Y278" s="133">
        <v>0</v>
      </c>
      <c r="Z278" s="133">
        <v>0</v>
      </c>
      <c r="AA278" s="133">
        <v>0</v>
      </c>
      <c r="AB278" s="133">
        <v>0</v>
      </c>
      <c r="AC278" s="133">
        <v>0</v>
      </c>
      <c r="AD278" s="133">
        <v>0</v>
      </c>
      <c r="AE278" s="133">
        <v>0</v>
      </c>
      <c r="AF278" s="133">
        <v>0</v>
      </c>
      <c r="AG278" s="133">
        <v>0</v>
      </c>
      <c r="AH278" s="133">
        <v>0</v>
      </c>
      <c r="AI278" s="133">
        <v>0</v>
      </c>
      <c r="AJ278" s="133">
        <v>0</v>
      </c>
      <c r="AK278" s="133">
        <v>0</v>
      </c>
      <c r="AL278" s="133">
        <v>0</v>
      </c>
      <c r="AM278" s="136" t="str">
        <f>IF(ISERROR(VLOOKUP(D278,'Woodmac profile - Oil'!$D$9:$AN$266,37,FALSE)),"",VLOOKUP(D278,'Woodmac profile - Oil'!$D$9:$AN$266,37,FALSE))</f>
        <v>SUBS</v>
      </c>
      <c r="AN278" s="136" t="str">
        <f>IF(ISERROR(VLOOKUP(D278,'Woodmac profile - Gas'!$D$9:$AN$249,37,FALSE)),"",VLOOKUP(D278,'Woodmac profile - Gas'!$D$9:$AN$249,37,FALSE))</f>
        <v>SUBS</v>
      </c>
      <c r="AO278" s="136" t="str">
        <f t="shared" si="16"/>
        <v>SUBS</v>
      </c>
      <c r="AP278" s="132"/>
      <c r="AQ278" s="129"/>
      <c r="AR278" s="129"/>
      <c r="AS278" s="354"/>
      <c r="AT278" s="131"/>
      <c r="AU278" s="131"/>
      <c r="AV278" s="354"/>
      <c r="AW278" s="132"/>
      <c r="AX278" s="354"/>
      <c r="AY278" s="132"/>
      <c r="AZ278" s="132"/>
      <c r="BA278" s="132"/>
      <c r="BB278" s="132"/>
    </row>
    <row r="279" spans="1:54">
      <c r="A279" s="132"/>
      <c r="B279" s="133" t="s">
        <v>3369</v>
      </c>
      <c r="C279" s="133" t="s">
        <v>1767</v>
      </c>
      <c r="D279" s="133" t="s">
        <v>3672</v>
      </c>
      <c r="E279" s="133" t="s">
        <v>1927</v>
      </c>
      <c r="F279" s="133" t="s">
        <v>1928</v>
      </c>
      <c r="G279" s="133" t="s">
        <v>1931</v>
      </c>
      <c r="H279" s="133" t="s">
        <v>1930</v>
      </c>
      <c r="I279" s="133" t="s">
        <v>1931</v>
      </c>
      <c r="J279" s="133">
        <v>100</v>
      </c>
      <c r="K279" s="133">
        <v>0</v>
      </c>
      <c r="L279" s="133">
        <v>0</v>
      </c>
      <c r="M279" s="133">
        <v>0</v>
      </c>
      <c r="N279" s="133">
        <v>0</v>
      </c>
      <c r="O279" s="133">
        <v>0</v>
      </c>
      <c r="P279" s="133">
        <v>0</v>
      </c>
      <c r="Q279" s="133">
        <v>0</v>
      </c>
      <c r="R279" s="133">
        <v>0</v>
      </c>
      <c r="S279" s="133">
        <v>0</v>
      </c>
      <c r="T279" s="133">
        <v>0</v>
      </c>
      <c r="U279" s="133">
        <v>0</v>
      </c>
      <c r="V279" s="133">
        <v>0</v>
      </c>
      <c r="W279" s="133">
        <v>0</v>
      </c>
      <c r="X279" s="133">
        <v>51.92</v>
      </c>
      <c r="Y279" s="133">
        <v>25.79</v>
      </c>
      <c r="Z279" s="133">
        <v>25.32</v>
      </c>
      <c r="AA279" s="133">
        <v>50.56</v>
      </c>
      <c r="AB279" s="133">
        <v>50.63</v>
      </c>
      <c r="AC279" s="133">
        <v>50.69</v>
      </c>
      <c r="AD279" s="133">
        <v>50.76</v>
      </c>
      <c r="AE279" s="133">
        <v>50.82</v>
      </c>
      <c r="AF279" s="133">
        <v>50.89</v>
      </c>
      <c r="AG279" s="133">
        <v>50.95</v>
      </c>
      <c r="AH279" s="133">
        <v>51.02</v>
      </c>
      <c r="AI279" s="133">
        <v>51.08</v>
      </c>
      <c r="AJ279" s="133">
        <v>0.71</v>
      </c>
      <c r="AK279" s="133">
        <v>0.71</v>
      </c>
      <c r="AL279" s="133">
        <v>0.7</v>
      </c>
      <c r="AM279" s="136" t="str">
        <f>IF(ISERROR(VLOOKUP(D279,'Woodmac profile - Oil'!$D$9:$AN$266,37,FALSE)),"",VLOOKUP(D279,'Woodmac profile - Oil'!$D$9:$AN$266,37,FALSE))</f>
        <v>SUBS</v>
      </c>
      <c r="AN279" s="136" t="str">
        <f>IF(ISERROR(VLOOKUP(D279,'Woodmac profile - Gas'!$D$9:$AN$249,37,FALSE)),"",VLOOKUP(D279,'Woodmac profile - Gas'!$D$9:$AN$249,37,FALSE))</f>
        <v>SUBS</v>
      </c>
      <c r="AO279" s="136" t="str">
        <f t="shared" si="16"/>
        <v>SUBS</v>
      </c>
      <c r="AP279" s="132"/>
      <c r="AQ279" s="129"/>
      <c r="AR279" s="129"/>
      <c r="AS279" s="354"/>
      <c r="AT279" s="131"/>
      <c r="AU279" s="131"/>
      <c r="AV279" s="354"/>
      <c r="AW279" s="132"/>
      <c r="AX279" s="354"/>
      <c r="AY279" s="132"/>
      <c r="AZ279" s="132"/>
      <c r="BA279" s="132"/>
      <c r="BB279" s="132"/>
    </row>
    <row r="280" spans="1:54">
      <c r="A280" s="132"/>
      <c r="B280" s="133" t="s">
        <v>3369</v>
      </c>
      <c r="C280" s="133" t="s">
        <v>1767</v>
      </c>
      <c r="D280" s="133" t="s">
        <v>302</v>
      </c>
      <c r="E280" s="133" t="s">
        <v>1927</v>
      </c>
      <c r="F280" s="133" t="s">
        <v>1928</v>
      </c>
      <c r="G280" s="133" t="s">
        <v>1930</v>
      </c>
      <c r="H280" s="133" t="s">
        <v>2610</v>
      </c>
      <c r="I280" s="133" t="s">
        <v>1931</v>
      </c>
      <c r="J280" s="133">
        <v>100</v>
      </c>
      <c r="K280" s="133">
        <v>98.23</v>
      </c>
      <c r="L280" s="133">
        <v>92.33</v>
      </c>
      <c r="M280" s="133">
        <v>116.31</v>
      </c>
      <c r="N280" s="133">
        <v>133.36000000000001</v>
      </c>
      <c r="O280" s="133">
        <v>140.25</v>
      </c>
      <c r="P280" s="133">
        <v>144.80000000000001</v>
      </c>
      <c r="Q280" s="133">
        <v>179.05</v>
      </c>
      <c r="R280" s="133">
        <v>132.13999999999999</v>
      </c>
      <c r="S280" s="133">
        <v>37.08</v>
      </c>
      <c r="T280" s="133">
        <v>36.369999999999997</v>
      </c>
      <c r="U280" s="133">
        <v>35.9</v>
      </c>
      <c r="V280" s="133">
        <v>36.76</v>
      </c>
      <c r="W280" s="133">
        <v>26.48</v>
      </c>
      <c r="X280" s="133">
        <v>8.66</v>
      </c>
      <c r="Y280" s="133">
        <v>3.97</v>
      </c>
      <c r="Z280" s="133">
        <v>3.9</v>
      </c>
      <c r="AA280" s="133">
        <v>3.75</v>
      </c>
      <c r="AB280" s="133">
        <v>3.6</v>
      </c>
      <c r="AC280" s="133">
        <v>3.45</v>
      </c>
      <c r="AD280" s="133">
        <v>3.3</v>
      </c>
      <c r="AE280" s="133">
        <v>3.15</v>
      </c>
      <c r="AF280" s="133">
        <v>3</v>
      </c>
      <c r="AG280" s="133">
        <v>2.85</v>
      </c>
      <c r="AH280" s="133">
        <v>2.7</v>
      </c>
      <c r="AI280" s="133">
        <v>2.5499999999999998</v>
      </c>
      <c r="AJ280" s="133">
        <v>2.4</v>
      </c>
      <c r="AK280" s="133">
        <v>2.25</v>
      </c>
      <c r="AL280" s="133">
        <v>2.1</v>
      </c>
      <c r="AM280" s="136" t="str">
        <f>IF(ISERROR(VLOOKUP(D280,'Woodmac profile - Oil'!$D$9:$AN$266,37,FALSE)),"",VLOOKUP(D280,'Woodmac profile - Oil'!$D$9:$AN$266,37,FALSE))</f>
        <v/>
      </c>
      <c r="AN280" s="136" t="str">
        <f>IF(ISERROR(VLOOKUP(D280,'Woodmac profile - Gas'!$D$9:$AN$249,37,FALSE)),"",VLOOKUP(D280,'Woodmac profile - Gas'!$D$9:$AN$249,37,FALSE))</f>
        <v>SUBS</v>
      </c>
      <c r="AO280" s="136" t="str">
        <f t="shared" si="16"/>
        <v>SUBS</v>
      </c>
      <c r="AP280" s="132"/>
      <c r="AQ280" s="129"/>
      <c r="AR280" s="129"/>
      <c r="AS280" s="354"/>
      <c r="AT280" s="131"/>
      <c r="AU280" s="131"/>
      <c r="AV280" s="354"/>
      <c r="AW280" s="132"/>
      <c r="AX280" s="354"/>
      <c r="AY280" s="132"/>
      <c r="AZ280" s="132"/>
      <c r="BA280" s="132"/>
      <c r="BB280" s="132"/>
    </row>
    <row r="281" spans="1:54">
      <c r="A281" s="132"/>
      <c r="B281" s="133" t="s">
        <v>3369</v>
      </c>
      <c r="C281" s="133" t="s">
        <v>1767</v>
      </c>
      <c r="D281" s="133" t="s">
        <v>3673</v>
      </c>
      <c r="E281" s="133" t="s">
        <v>1927</v>
      </c>
      <c r="F281" s="133" t="s">
        <v>1928</v>
      </c>
      <c r="G281" s="133" t="s">
        <v>1930</v>
      </c>
      <c r="H281" s="133" t="s">
        <v>2610</v>
      </c>
      <c r="I281" s="133" t="s">
        <v>1931</v>
      </c>
      <c r="J281" s="133">
        <v>100</v>
      </c>
      <c r="K281" s="133">
        <v>0</v>
      </c>
      <c r="L281" s="133">
        <v>0</v>
      </c>
      <c r="M281" s="133">
        <v>0</v>
      </c>
      <c r="N281" s="133">
        <v>0</v>
      </c>
      <c r="O281" s="133">
        <v>0</v>
      </c>
      <c r="P281" s="133">
        <v>0</v>
      </c>
      <c r="Q281" s="133">
        <v>0</v>
      </c>
      <c r="R281" s="133">
        <v>0</v>
      </c>
      <c r="S281" s="133">
        <v>0</v>
      </c>
      <c r="T281" s="133">
        <v>0</v>
      </c>
      <c r="U281" s="133">
        <v>0</v>
      </c>
      <c r="V281" s="133">
        <v>0</v>
      </c>
      <c r="W281" s="133">
        <v>0</v>
      </c>
      <c r="X281" s="133">
        <v>21.27</v>
      </c>
      <c r="Y281" s="133">
        <v>6.56</v>
      </c>
      <c r="Z281" s="133">
        <v>24.06</v>
      </c>
      <c r="AA281" s="133">
        <v>24.09</v>
      </c>
      <c r="AB281" s="133">
        <v>24.13</v>
      </c>
      <c r="AC281" s="133">
        <v>48.18</v>
      </c>
      <c r="AD281" s="133">
        <v>48.25</v>
      </c>
      <c r="AE281" s="133">
        <v>48.32</v>
      </c>
      <c r="AF281" s="133">
        <v>0.36</v>
      </c>
      <c r="AG281" s="133">
        <v>0.36</v>
      </c>
      <c r="AH281" s="133">
        <v>0.35</v>
      </c>
      <c r="AI281" s="133">
        <v>0.35</v>
      </c>
      <c r="AJ281" s="133">
        <v>0.35</v>
      </c>
      <c r="AK281" s="133">
        <v>0.35</v>
      </c>
      <c r="AL281" s="133">
        <v>0.35</v>
      </c>
      <c r="AM281" s="136" t="str">
        <f>IF(ISERROR(VLOOKUP(D281,'Woodmac profile - Oil'!$D$9:$AN$266,37,FALSE)),"",VLOOKUP(D281,'Woodmac profile - Oil'!$D$9:$AN$266,37,FALSE))</f>
        <v/>
      </c>
      <c r="AN281" s="136" t="str">
        <f>IF(ISERROR(VLOOKUP(D281,'Woodmac profile - Gas'!$D$9:$AN$249,37,FALSE)),"",VLOOKUP(D281,'Woodmac profile - Gas'!$D$9:$AN$249,37,FALSE))</f>
        <v>SUBS</v>
      </c>
      <c r="AO281" s="136" t="str">
        <f t="shared" si="16"/>
        <v>SUBS</v>
      </c>
      <c r="AP281" s="132"/>
      <c r="AQ281" s="129"/>
      <c r="AR281" s="129"/>
      <c r="AS281" s="354"/>
      <c r="AT281" s="131"/>
      <c r="AU281" s="131"/>
      <c r="AV281" s="354"/>
      <c r="AW281" s="132"/>
      <c r="AX281" s="354"/>
      <c r="AY281" s="132"/>
      <c r="AZ281" s="132"/>
      <c r="BA281" s="132"/>
      <c r="BB281" s="132"/>
    </row>
    <row r="282" spans="1:54">
      <c r="A282" s="132"/>
      <c r="B282" s="133" t="s">
        <v>3369</v>
      </c>
      <c r="C282" s="133" t="s">
        <v>1767</v>
      </c>
      <c r="D282" s="133" t="s">
        <v>12</v>
      </c>
      <c r="E282" s="133" t="s">
        <v>1927</v>
      </c>
      <c r="F282" s="133" t="s">
        <v>1928</v>
      </c>
      <c r="G282" s="133" t="s">
        <v>1930</v>
      </c>
      <c r="H282" s="133" t="s">
        <v>2610</v>
      </c>
      <c r="I282" s="133" t="s">
        <v>1931</v>
      </c>
      <c r="J282" s="133">
        <v>100</v>
      </c>
      <c r="K282" s="133">
        <v>14.76</v>
      </c>
      <c r="L282" s="133">
        <v>16.72</v>
      </c>
      <c r="M282" s="133">
        <v>21.51</v>
      </c>
      <c r="N282" s="133">
        <v>13.95</v>
      </c>
      <c r="O282" s="133">
        <v>11.16</v>
      </c>
      <c r="P282" s="133">
        <v>9.17</v>
      </c>
      <c r="Q282" s="133">
        <v>7.51</v>
      </c>
      <c r="R282" s="133">
        <v>9.59</v>
      </c>
      <c r="S282" s="133">
        <v>6.04</v>
      </c>
      <c r="T282" s="133">
        <v>5.92</v>
      </c>
      <c r="U282" s="133">
        <v>5.85</v>
      </c>
      <c r="V282" s="133">
        <v>18.38</v>
      </c>
      <c r="W282" s="133">
        <v>18.18</v>
      </c>
      <c r="X282" s="133">
        <v>1.1100000000000001</v>
      </c>
      <c r="Y282" s="133">
        <v>1.08</v>
      </c>
      <c r="Z282" s="133">
        <v>1.06</v>
      </c>
      <c r="AA282" s="133">
        <v>1</v>
      </c>
      <c r="AB282" s="133">
        <v>0.93</v>
      </c>
      <c r="AC282" s="133">
        <v>0.86</v>
      </c>
      <c r="AD282" s="133">
        <v>0.8</v>
      </c>
      <c r="AE282" s="133">
        <v>0.73</v>
      </c>
      <c r="AF282" s="133">
        <v>0.66</v>
      </c>
      <c r="AG282" s="133">
        <v>0.6</v>
      </c>
      <c r="AH282" s="133">
        <v>0.53</v>
      </c>
      <c r="AI282" s="133">
        <v>0.46</v>
      </c>
      <c r="AJ282" s="133">
        <v>0.4</v>
      </c>
      <c r="AK282" s="133">
        <v>0.33</v>
      </c>
      <c r="AL282" s="133">
        <v>0.27</v>
      </c>
      <c r="AM282" s="136" t="str">
        <f>IF(ISERROR(VLOOKUP(D282,'Woodmac profile - Oil'!$D$9:$AN$266,37,FALSE)),"",VLOOKUP(D282,'Woodmac profile - Oil'!$D$9:$AN$266,37,FALSE))</f>
        <v/>
      </c>
      <c r="AN282" s="136" t="str">
        <f>IF(ISERROR(VLOOKUP(D282,'Woodmac profile - Gas'!$D$9:$AN$249,37,FALSE)),"",VLOOKUP(D282,'Woodmac profile - Gas'!$D$9:$AN$249,37,FALSE))</f>
        <v>SUBS</v>
      </c>
      <c r="AO282" s="136" t="str">
        <f t="shared" si="16"/>
        <v>SUBS</v>
      </c>
      <c r="AP282" s="132"/>
      <c r="AQ282" s="129"/>
      <c r="AR282" s="129"/>
      <c r="AS282" s="354"/>
      <c r="AT282" s="131"/>
      <c r="AU282" s="131"/>
      <c r="AV282" s="354"/>
      <c r="AW282" s="132"/>
      <c r="AX282" s="354"/>
      <c r="AY282" s="132"/>
      <c r="AZ282" s="132"/>
      <c r="BA282" s="132"/>
      <c r="BB282" s="132"/>
    </row>
    <row r="283" spans="1:54">
      <c r="A283" s="132"/>
      <c r="B283" s="133" t="s">
        <v>3369</v>
      </c>
      <c r="C283" s="133" t="s">
        <v>1767</v>
      </c>
      <c r="D283" s="133" t="s">
        <v>3674</v>
      </c>
      <c r="E283" s="133" t="s">
        <v>1927</v>
      </c>
      <c r="F283" s="133" t="s">
        <v>1928</v>
      </c>
      <c r="G283" s="133" t="s">
        <v>1931</v>
      </c>
      <c r="H283" s="133" t="s">
        <v>117</v>
      </c>
      <c r="I283" s="133" t="s">
        <v>1931</v>
      </c>
      <c r="J283" s="133">
        <v>100</v>
      </c>
      <c r="K283" s="133">
        <v>0</v>
      </c>
      <c r="L283" s="133">
        <v>0</v>
      </c>
      <c r="M283" s="133">
        <v>0</v>
      </c>
      <c r="N283" s="133">
        <v>0</v>
      </c>
      <c r="O283" s="133">
        <v>0</v>
      </c>
      <c r="P283" s="133">
        <v>0</v>
      </c>
      <c r="Q283" s="133">
        <v>0</v>
      </c>
      <c r="R283" s="133">
        <v>0</v>
      </c>
      <c r="S283" s="133">
        <v>0</v>
      </c>
      <c r="T283" s="133">
        <v>0</v>
      </c>
      <c r="U283" s="133">
        <v>0</v>
      </c>
      <c r="V283" s="133">
        <v>0</v>
      </c>
      <c r="W283" s="133">
        <v>0</v>
      </c>
      <c r="X283" s="133">
        <v>8.75</v>
      </c>
      <c r="Y283" s="133">
        <v>6.54</v>
      </c>
      <c r="Z283" s="133">
        <v>12.82</v>
      </c>
      <c r="AA283" s="133">
        <v>12.83</v>
      </c>
      <c r="AB283" s="133">
        <v>25.64</v>
      </c>
      <c r="AC283" s="133">
        <v>25.66</v>
      </c>
      <c r="AD283" s="133">
        <v>25.68</v>
      </c>
      <c r="AE283" s="133">
        <v>25.7</v>
      </c>
      <c r="AF283" s="133">
        <v>25.72</v>
      </c>
      <c r="AG283" s="133">
        <v>51.34</v>
      </c>
      <c r="AH283" s="133">
        <v>51.38</v>
      </c>
      <c r="AI283" s="133">
        <v>51.42</v>
      </c>
      <c r="AJ283" s="133">
        <v>51.46</v>
      </c>
      <c r="AK283" s="133">
        <v>51.5</v>
      </c>
      <c r="AL283" s="133">
        <v>51.53</v>
      </c>
      <c r="AM283" s="136" t="str">
        <f>IF(ISERROR(VLOOKUP(D283,'Woodmac profile - Oil'!$D$9:$AN$266,37,FALSE)),"",VLOOKUP(D283,'Woodmac profile - Oil'!$D$9:$AN$266,37,FALSE))</f>
        <v/>
      </c>
      <c r="AN283" s="136" t="str">
        <f>IF(ISERROR(VLOOKUP(D283,'Woodmac profile - Gas'!$D$9:$AN$249,37,FALSE)),"",VLOOKUP(D283,'Woodmac profile - Gas'!$D$9:$AN$249,37,FALSE))</f>
        <v>SUBS</v>
      </c>
      <c r="AO283" s="136" t="str">
        <f t="shared" si="16"/>
        <v>SUBS</v>
      </c>
      <c r="AP283" s="132"/>
      <c r="AQ283" s="129"/>
      <c r="AR283" s="129"/>
      <c r="AS283" s="354"/>
      <c r="AT283" s="131"/>
      <c r="AU283" s="131"/>
      <c r="AV283" s="354"/>
      <c r="AW283" s="132"/>
      <c r="AX283" s="354"/>
      <c r="AY283" s="132"/>
      <c r="AZ283" s="132"/>
      <c r="BA283" s="132"/>
      <c r="BB283" s="132"/>
    </row>
    <row r="284" spans="1:54">
      <c r="A284" s="132"/>
      <c r="B284" s="133" t="s">
        <v>3369</v>
      </c>
      <c r="C284" s="133" t="s">
        <v>1767</v>
      </c>
      <c r="D284" s="133" t="s">
        <v>13</v>
      </c>
      <c r="E284" s="133" t="s">
        <v>1927</v>
      </c>
      <c r="F284" s="133" t="s">
        <v>1928</v>
      </c>
      <c r="G284" s="133" t="s">
        <v>1929</v>
      </c>
      <c r="H284" s="133" t="s">
        <v>117</v>
      </c>
      <c r="I284" s="133" t="s">
        <v>1931</v>
      </c>
      <c r="J284" s="133">
        <v>100</v>
      </c>
      <c r="K284" s="133">
        <v>19.52</v>
      </c>
      <c r="L284" s="133">
        <v>18.45</v>
      </c>
      <c r="M284" s="133">
        <v>19.55</v>
      </c>
      <c r="N284" s="133">
        <v>19.7</v>
      </c>
      <c r="O284" s="133">
        <v>19.899999999999999</v>
      </c>
      <c r="P284" s="133">
        <v>19.739999999999998</v>
      </c>
      <c r="Q284" s="133">
        <v>23.17</v>
      </c>
      <c r="R284" s="133">
        <v>18.23</v>
      </c>
      <c r="S284" s="133">
        <v>15.26</v>
      </c>
      <c r="T284" s="133">
        <v>14.96</v>
      </c>
      <c r="U284" s="133">
        <v>14.78</v>
      </c>
      <c r="V284" s="133">
        <v>0.94</v>
      </c>
      <c r="W284" s="133">
        <v>0.94</v>
      </c>
      <c r="X284" s="133">
        <v>0.93</v>
      </c>
      <c r="Y284" s="133">
        <v>0.91</v>
      </c>
      <c r="Z284" s="133">
        <v>0.89</v>
      </c>
      <c r="AA284" s="133">
        <v>0.86</v>
      </c>
      <c r="AB284" s="133">
        <v>0.83</v>
      </c>
      <c r="AC284" s="133">
        <v>0.79</v>
      </c>
      <c r="AD284" s="133">
        <v>0.76</v>
      </c>
      <c r="AE284" s="133">
        <v>0.72</v>
      </c>
      <c r="AF284" s="133">
        <v>0.69</v>
      </c>
      <c r="AG284" s="133">
        <v>0.65</v>
      </c>
      <c r="AH284" s="133">
        <v>0.62</v>
      </c>
      <c r="AI284" s="133">
        <v>0.57999999999999996</v>
      </c>
      <c r="AJ284" s="133">
        <v>0.55000000000000004</v>
      </c>
      <c r="AK284" s="133">
        <v>0.52</v>
      </c>
      <c r="AL284" s="133">
        <v>0.48</v>
      </c>
      <c r="AM284" s="136" t="str">
        <f>IF(ISERROR(VLOOKUP(D284,'Woodmac profile - Oil'!$D$9:$AN$266,37,FALSE)),"",VLOOKUP(D284,'Woodmac profile - Oil'!$D$9:$AN$266,37,FALSE))</f>
        <v>SUBS</v>
      </c>
      <c r="AN284" s="136" t="str">
        <f>IF(ISERROR(VLOOKUP(D284,'Woodmac profile - Gas'!$D$9:$AN$249,37,FALSE)),"",VLOOKUP(D284,'Woodmac profile - Gas'!$D$9:$AN$249,37,FALSE))</f>
        <v>SUBS</v>
      </c>
      <c r="AO284" s="136" t="str">
        <f t="shared" si="16"/>
        <v>SUBS</v>
      </c>
      <c r="AP284" s="132"/>
      <c r="AQ284" s="129"/>
      <c r="AR284" s="129"/>
      <c r="AS284" s="354"/>
      <c r="AT284" s="131"/>
      <c r="AU284" s="131"/>
      <c r="AV284" s="354"/>
      <c r="AW284" s="132"/>
      <c r="AX284" s="354"/>
      <c r="AY284" s="132"/>
      <c r="AZ284" s="132"/>
      <c r="BA284" s="132"/>
      <c r="BB284" s="132"/>
    </row>
    <row r="285" spans="1:54">
      <c r="A285" s="132"/>
      <c r="B285" s="133" t="s">
        <v>3369</v>
      </c>
      <c r="C285" s="133" t="s">
        <v>1036</v>
      </c>
      <c r="D285" s="133" t="s">
        <v>1037</v>
      </c>
      <c r="E285" s="133" t="s">
        <v>1927</v>
      </c>
      <c r="F285" s="133" t="s">
        <v>1928</v>
      </c>
      <c r="G285" s="133" t="s">
        <v>3374</v>
      </c>
      <c r="H285" s="133" t="s">
        <v>1930</v>
      </c>
      <c r="I285" s="133" t="s">
        <v>1931</v>
      </c>
      <c r="J285" s="133">
        <v>26.67</v>
      </c>
      <c r="K285" s="133">
        <v>0</v>
      </c>
      <c r="L285" s="133">
        <v>9.5399999999999991</v>
      </c>
      <c r="M285" s="133">
        <v>3.85</v>
      </c>
      <c r="N285" s="133">
        <v>4.78</v>
      </c>
      <c r="O285" s="133">
        <v>5.73</v>
      </c>
      <c r="P285" s="133">
        <v>3.1</v>
      </c>
      <c r="Q285" s="133">
        <v>4.08</v>
      </c>
      <c r="R285" s="133">
        <v>8.0399999999999991</v>
      </c>
      <c r="S285" s="133">
        <v>2.4700000000000002</v>
      </c>
      <c r="T285" s="133">
        <v>0</v>
      </c>
      <c r="U285" s="133">
        <v>0</v>
      </c>
      <c r="V285" s="133">
        <v>0</v>
      </c>
      <c r="W285" s="133">
        <v>0</v>
      </c>
      <c r="X285" s="133">
        <v>0</v>
      </c>
      <c r="Y285" s="133">
        <v>0</v>
      </c>
      <c r="Z285" s="133">
        <v>0</v>
      </c>
      <c r="AA285" s="133">
        <v>0</v>
      </c>
      <c r="AB285" s="133">
        <v>0</v>
      </c>
      <c r="AC285" s="133">
        <v>0</v>
      </c>
      <c r="AD285" s="133">
        <v>0</v>
      </c>
      <c r="AE285" s="133">
        <v>0</v>
      </c>
      <c r="AF285" s="133">
        <v>0</v>
      </c>
      <c r="AG285" s="133">
        <v>0</v>
      </c>
      <c r="AH285" s="133">
        <v>0</v>
      </c>
      <c r="AI285" s="133">
        <v>0</v>
      </c>
      <c r="AJ285" s="133">
        <v>0</v>
      </c>
      <c r="AK285" s="133">
        <v>0</v>
      </c>
      <c r="AL285" s="133">
        <v>0</v>
      </c>
      <c r="AM285" s="136" t="str">
        <f>IF(ISERROR(VLOOKUP(D285,'Woodmac profile - Oil'!$D$9:$AN$266,37,FALSE)),"",VLOOKUP(D285,'Woodmac profile - Oil'!$D$9:$AN$266,37,FALSE))</f>
        <v>EAI</v>
      </c>
      <c r="AN285" s="136" t="str">
        <f>IF(ISERROR(VLOOKUP(D285,'Woodmac profile - Gas'!$D$9:$AN$249,37,FALSE)),"",VLOOKUP(D285,'Woodmac profile - Gas'!$D$9:$AN$249,37,FALSE))</f>
        <v/>
      </c>
      <c r="AO285" s="136" t="str">
        <f t="shared" si="16"/>
        <v>EAI</v>
      </c>
      <c r="AP285" s="132"/>
      <c r="AQ285" s="129"/>
      <c r="AR285" s="129"/>
      <c r="AS285" s="354"/>
      <c r="AT285" s="131"/>
      <c r="AU285" s="131"/>
      <c r="AV285" s="354"/>
      <c r="AW285" s="132"/>
      <c r="AX285" s="354"/>
      <c r="AY285" s="132"/>
      <c r="AZ285" s="132"/>
      <c r="BA285" s="132"/>
      <c r="BB285" s="132"/>
    </row>
    <row r="286" spans="1:54">
      <c r="A286" s="132"/>
      <c r="B286" s="133" t="s">
        <v>3369</v>
      </c>
      <c r="C286" s="133" t="s">
        <v>1036</v>
      </c>
      <c r="D286" s="133" t="s">
        <v>1038</v>
      </c>
      <c r="E286" s="133" t="s">
        <v>1927</v>
      </c>
      <c r="F286" s="133" t="s">
        <v>1928</v>
      </c>
      <c r="G286" s="133" t="s">
        <v>3374</v>
      </c>
      <c r="H286" s="133" t="s">
        <v>1930</v>
      </c>
      <c r="I286" s="133" t="s">
        <v>1931</v>
      </c>
      <c r="J286" s="133">
        <v>45</v>
      </c>
      <c r="K286" s="133">
        <v>20.8</v>
      </c>
      <c r="L286" s="133">
        <v>5.36</v>
      </c>
      <c r="M286" s="133">
        <v>5.19</v>
      </c>
      <c r="N286" s="133">
        <v>2.5099999999999998</v>
      </c>
      <c r="O286" s="133">
        <v>0</v>
      </c>
      <c r="P286" s="133">
        <v>0</v>
      </c>
      <c r="Q286" s="133">
        <v>0</v>
      </c>
      <c r="R286" s="133">
        <v>0</v>
      </c>
      <c r="S286" s="133">
        <v>0</v>
      </c>
      <c r="T286" s="133">
        <v>0</v>
      </c>
      <c r="U286" s="133">
        <v>0</v>
      </c>
      <c r="V286" s="133">
        <v>0</v>
      </c>
      <c r="W286" s="133">
        <v>0</v>
      </c>
      <c r="X286" s="133">
        <v>0</v>
      </c>
      <c r="Y286" s="133">
        <v>0</v>
      </c>
      <c r="Z286" s="133">
        <v>0</v>
      </c>
      <c r="AA286" s="133">
        <v>0</v>
      </c>
      <c r="AB286" s="133">
        <v>0</v>
      </c>
      <c r="AC286" s="133">
        <v>0</v>
      </c>
      <c r="AD286" s="133">
        <v>0</v>
      </c>
      <c r="AE286" s="133">
        <v>0</v>
      </c>
      <c r="AF286" s="133">
        <v>0</v>
      </c>
      <c r="AG286" s="133">
        <v>0</v>
      </c>
      <c r="AH286" s="133">
        <v>0</v>
      </c>
      <c r="AI286" s="133">
        <v>0</v>
      </c>
      <c r="AJ286" s="133">
        <v>0</v>
      </c>
      <c r="AK286" s="133">
        <v>0</v>
      </c>
      <c r="AL286" s="133">
        <v>0</v>
      </c>
      <c r="AM286" s="136" t="str">
        <f>IF(ISERROR(VLOOKUP(D286,'Woodmac profile - Oil'!$D$9:$AN$266,37,FALSE)),"",VLOOKUP(D286,'Woodmac profile - Oil'!$D$9:$AN$266,37,FALSE))</f>
        <v>EAI</v>
      </c>
      <c r="AN286" s="136" t="str">
        <f>IF(ISERROR(VLOOKUP(D286,'Woodmac profile - Gas'!$D$9:$AN$249,37,FALSE)),"",VLOOKUP(D286,'Woodmac profile - Gas'!$D$9:$AN$249,37,FALSE))</f>
        <v/>
      </c>
      <c r="AO286" s="136" t="str">
        <f t="shared" si="16"/>
        <v>EAI</v>
      </c>
      <c r="AP286" s="132"/>
      <c r="AQ286" s="129"/>
      <c r="AR286" s="129"/>
      <c r="AS286" s="354"/>
      <c r="AT286" s="131"/>
      <c r="AU286" s="131"/>
      <c r="AV286" s="354"/>
      <c r="AW286" s="132"/>
      <c r="AX286" s="354"/>
      <c r="AY286" s="132"/>
      <c r="AZ286" s="132"/>
      <c r="BA286" s="132"/>
      <c r="BB286" s="132"/>
    </row>
    <row r="287" spans="1:54">
      <c r="A287" s="132"/>
      <c r="B287" s="133" t="s">
        <v>3369</v>
      </c>
      <c r="C287" s="133" t="s">
        <v>1036</v>
      </c>
      <c r="D287" s="133" t="s">
        <v>1039</v>
      </c>
      <c r="E287" s="133" t="s">
        <v>1927</v>
      </c>
      <c r="F287" s="133" t="s">
        <v>2960</v>
      </c>
      <c r="G287" s="133" t="s">
        <v>3374</v>
      </c>
      <c r="H287" s="133" t="s">
        <v>116</v>
      </c>
      <c r="I287" s="133" t="s">
        <v>2600</v>
      </c>
      <c r="J287" s="133">
        <v>36</v>
      </c>
      <c r="K287" s="133">
        <v>6.36</v>
      </c>
      <c r="L287" s="133">
        <v>0</v>
      </c>
      <c r="M287" s="133">
        <v>0</v>
      </c>
      <c r="N287" s="133">
        <v>0</v>
      </c>
      <c r="O287" s="133">
        <v>0</v>
      </c>
      <c r="P287" s="133">
        <v>0</v>
      </c>
      <c r="Q287" s="133">
        <v>0</v>
      </c>
      <c r="R287" s="133">
        <v>0</v>
      </c>
      <c r="S287" s="133">
        <v>0</v>
      </c>
      <c r="T287" s="133">
        <v>0</v>
      </c>
      <c r="U287" s="133">
        <v>0</v>
      </c>
      <c r="V287" s="133">
        <v>0</v>
      </c>
      <c r="W287" s="133">
        <v>0</v>
      </c>
      <c r="X287" s="133">
        <v>0</v>
      </c>
      <c r="Y287" s="133">
        <v>0</v>
      </c>
      <c r="Z287" s="133">
        <v>0</v>
      </c>
      <c r="AA287" s="133">
        <v>0</v>
      </c>
      <c r="AB287" s="133">
        <v>0</v>
      </c>
      <c r="AC287" s="133">
        <v>0</v>
      </c>
      <c r="AD287" s="133">
        <v>0</v>
      </c>
      <c r="AE287" s="133">
        <v>0</v>
      </c>
      <c r="AF287" s="133">
        <v>0</v>
      </c>
      <c r="AG287" s="133">
        <v>0</v>
      </c>
      <c r="AH287" s="133">
        <v>0</v>
      </c>
      <c r="AI287" s="133">
        <v>0</v>
      </c>
      <c r="AJ287" s="133">
        <v>0</v>
      </c>
      <c r="AK287" s="133">
        <v>0</v>
      </c>
      <c r="AL287" s="133">
        <v>0</v>
      </c>
      <c r="AM287" s="136" t="str">
        <f>IF(ISERROR(VLOOKUP(D287,'Woodmac profile - Oil'!$D$9:$AN$266,37,FALSE)),"",VLOOKUP(D287,'Woodmac profile - Oil'!$D$9:$AN$266,37,FALSE))</f>
        <v>EAI</v>
      </c>
      <c r="AN287" s="136" t="str">
        <f>IF(ISERROR(VLOOKUP(D287,'Woodmac profile - Gas'!$D$9:$AN$249,37,FALSE)),"",VLOOKUP(D287,'Woodmac profile - Gas'!$D$9:$AN$249,37,FALSE))</f>
        <v>EAI</v>
      </c>
      <c r="AO287" s="136" t="str">
        <f t="shared" si="16"/>
        <v>EAI</v>
      </c>
      <c r="AP287" s="132"/>
      <c r="AQ287" s="129"/>
      <c r="AR287" s="129"/>
      <c r="AS287" s="354"/>
      <c r="AT287" s="131"/>
      <c r="AU287" s="131"/>
      <c r="AV287" s="354"/>
      <c r="AW287" s="132"/>
      <c r="AX287" s="354"/>
      <c r="AY287" s="132"/>
      <c r="AZ287" s="132"/>
      <c r="BA287" s="132"/>
      <c r="BB287" s="132"/>
    </row>
    <row r="288" spans="1:54">
      <c r="A288" s="132"/>
      <c r="B288" s="133" t="s">
        <v>3369</v>
      </c>
      <c r="C288" s="133" t="s">
        <v>1036</v>
      </c>
      <c r="D288" s="133" t="s">
        <v>1373</v>
      </c>
      <c r="E288" s="133" t="s">
        <v>1927</v>
      </c>
      <c r="F288" s="133" t="s">
        <v>1928</v>
      </c>
      <c r="G288" s="133" t="s">
        <v>217</v>
      </c>
      <c r="H288" s="133" t="s">
        <v>116</v>
      </c>
      <c r="I288" s="133" t="s">
        <v>1933</v>
      </c>
      <c r="J288" s="133">
        <v>16.66</v>
      </c>
      <c r="K288" s="133">
        <v>29.94</v>
      </c>
      <c r="L288" s="133">
        <v>45.69</v>
      </c>
      <c r="M288" s="133">
        <v>40.76</v>
      </c>
      <c r="N288" s="133">
        <v>62.14</v>
      </c>
      <c r="O288" s="133">
        <v>3.02</v>
      </c>
      <c r="P288" s="133">
        <v>9</v>
      </c>
      <c r="Q288" s="133">
        <v>41.77</v>
      </c>
      <c r="R288" s="133">
        <v>2.87</v>
      </c>
      <c r="S288" s="133">
        <v>15.02</v>
      </c>
      <c r="T288" s="133">
        <v>0</v>
      </c>
      <c r="U288" s="133">
        <v>0</v>
      </c>
      <c r="V288" s="133">
        <v>0</v>
      </c>
      <c r="W288" s="133">
        <v>0</v>
      </c>
      <c r="X288" s="133">
        <v>0</v>
      </c>
      <c r="Y288" s="133">
        <v>0</v>
      </c>
      <c r="Z288" s="133">
        <v>0</v>
      </c>
      <c r="AA288" s="133">
        <v>0</v>
      </c>
      <c r="AB288" s="133">
        <v>0</v>
      </c>
      <c r="AC288" s="133">
        <v>0</v>
      </c>
      <c r="AD288" s="133">
        <v>0</v>
      </c>
      <c r="AE288" s="133">
        <v>0</v>
      </c>
      <c r="AF288" s="133">
        <v>0</v>
      </c>
      <c r="AG288" s="133">
        <v>0</v>
      </c>
      <c r="AH288" s="133">
        <v>0</v>
      </c>
      <c r="AI288" s="133">
        <v>0</v>
      </c>
      <c r="AJ288" s="133">
        <v>0</v>
      </c>
      <c r="AK288" s="133">
        <v>0</v>
      </c>
      <c r="AL288" s="133">
        <v>0</v>
      </c>
      <c r="AM288" s="136" t="str">
        <f>IF(ISERROR(VLOOKUP(D288,'Woodmac profile - Oil'!$D$9:$AN$266,37,FALSE)),"",VLOOKUP(D288,'Woodmac profile - Oil'!$D$9:$AN$266,37,FALSE))</f>
        <v>EAI</v>
      </c>
      <c r="AN288" s="136" t="str">
        <f>IF(ISERROR(VLOOKUP(D288,'Woodmac profile - Gas'!$D$9:$AN$249,37,FALSE)),"",VLOOKUP(D288,'Woodmac profile - Gas'!$D$9:$AN$249,37,FALSE))</f>
        <v>EAI</v>
      </c>
      <c r="AO288" s="136" t="str">
        <f t="shared" si="16"/>
        <v>EAI</v>
      </c>
      <c r="AP288" s="132"/>
      <c r="AQ288" s="129"/>
      <c r="AR288" s="129"/>
      <c r="AS288" s="354"/>
      <c r="AT288" s="131"/>
      <c r="AU288" s="131"/>
      <c r="AV288" s="354"/>
      <c r="AW288" s="132"/>
      <c r="AX288" s="354"/>
      <c r="AY288" s="132"/>
      <c r="AZ288" s="132"/>
      <c r="BA288" s="132"/>
      <c r="BB288" s="132"/>
    </row>
    <row r="289" spans="1:54">
      <c r="A289" s="132"/>
      <c r="B289" s="133" t="s">
        <v>3369</v>
      </c>
      <c r="C289" s="133" t="s">
        <v>1374</v>
      </c>
      <c r="D289" s="133" t="s">
        <v>1375</v>
      </c>
      <c r="E289" s="133" t="s">
        <v>1927</v>
      </c>
      <c r="F289" s="133" t="s">
        <v>2960</v>
      </c>
      <c r="G289" s="133" t="s">
        <v>1931</v>
      </c>
      <c r="H289" s="133" t="s">
        <v>116</v>
      </c>
      <c r="I289" s="133" t="s">
        <v>2600</v>
      </c>
      <c r="J289" s="133">
        <v>35</v>
      </c>
      <c r="K289" s="133">
        <v>14.27</v>
      </c>
      <c r="L289" s="133">
        <v>4.6399999999999997</v>
      </c>
      <c r="M289" s="133">
        <v>0</v>
      </c>
      <c r="N289" s="133">
        <v>21.72</v>
      </c>
      <c r="O289" s="133">
        <v>29.57</v>
      </c>
      <c r="P289" s="133">
        <v>0</v>
      </c>
      <c r="Q289" s="133">
        <v>0.82</v>
      </c>
      <c r="R289" s="133">
        <v>0</v>
      </c>
      <c r="S289" s="133">
        <v>0</v>
      </c>
      <c r="T289" s="133">
        <v>0</v>
      </c>
      <c r="U289" s="133">
        <v>0</v>
      </c>
      <c r="V289" s="133">
        <v>0</v>
      </c>
      <c r="W289" s="133">
        <v>0</v>
      </c>
      <c r="X289" s="133">
        <v>0</v>
      </c>
      <c r="Y289" s="133">
        <v>0</v>
      </c>
      <c r="Z289" s="133">
        <v>0</v>
      </c>
      <c r="AA289" s="133">
        <v>0</v>
      </c>
      <c r="AB289" s="133">
        <v>0</v>
      </c>
      <c r="AC289" s="133">
        <v>0</v>
      </c>
      <c r="AD289" s="133">
        <v>0</v>
      </c>
      <c r="AE289" s="133">
        <v>0</v>
      </c>
      <c r="AF289" s="133">
        <v>0</v>
      </c>
      <c r="AG289" s="133">
        <v>0</v>
      </c>
      <c r="AH289" s="133">
        <v>0</v>
      </c>
      <c r="AI289" s="133">
        <v>0</v>
      </c>
      <c r="AJ289" s="133">
        <v>0</v>
      </c>
      <c r="AK289" s="133">
        <v>0</v>
      </c>
      <c r="AL289" s="133">
        <v>0</v>
      </c>
      <c r="AM289" s="136" t="str">
        <f>IF(ISERROR(VLOOKUP(D289,'Woodmac profile - Oil'!$D$9:$AN$266,37,FALSE)),"",VLOOKUP(D289,'Woodmac profile - Oil'!$D$9:$AN$266,37,FALSE))</f>
        <v>EAI</v>
      </c>
      <c r="AN289" s="136" t="str">
        <f>IF(ISERROR(VLOOKUP(D289,'Woodmac profile - Gas'!$D$9:$AN$249,37,FALSE)),"",VLOOKUP(D289,'Woodmac profile - Gas'!$D$9:$AN$249,37,FALSE))</f>
        <v>EAI</v>
      </c>
      <c r="AO289" s="136" t="str">
        <f t="shared" si="16"/>
        <v>EAI</v>
      </c>
      <c r="AP289" s="132"/>
      <c r="AQ289" s="129"/>
      <c r="AR289" s="129"/>
      <c r="AS289" s="354"/>
      <c r="AT289" s="131"/>
      <c r="AU289" s="131"/>
      <c r="AV289" s="354"/>
      <c r="AW289" s="132"/>
      <c r="AX289" s="354"/>
      <c r="AY289" s="132"/>
      <c r="AZ289" s="132"/>
      <c r="BA289" s="132"/>
      <c r="BB289" s="132"/>
    </row>
    <row r="290" spans="1:54">
      <c r="A290" s="132"/>
      <c r="B290" s="133"/>
      <c r="C290" s="133"/>
      <c r="D290" s="133"/>
      <c r="E290" s="133"/>
      <c r="F290" s="133"/>
      <c r="G290" s="133"/>
      <c r="H290" s="133"/>
      <c r="I290" s="133"/>
      <c r="J290" s="133"/>
      <c r="K290" s="133"/>
      <c r="L290" s="133"/>
      <c r="M290" s="133"/>
      <c r="N290" s="133"/>
      <c r="O290" s="133"/>
      <c r="P290" s="133"/>
      <c r="Q290" s="133"/>
      <c r="R290" s="133"/>
      <c r="S290" s="133"/>
      <c r="T290" s="133"/>
      <c r="U290" s="133"/>
      <c r="V290" s="133"/>
      <c r="W290" s="133"/>
      <c r="X290" s="133"/>
      <c r="Y290" s="133"/>
      <c r="Z290" s="133"/>
      <c r="AA290" s="133"/>
      <c r="AB290" s="133"/>
      <c r="AC290" s="133"/>
      <c r="AD290" s="133"/>
      <c r="AE290" s="133"/>
      <c r="AF290" s="133"/>
      <c r="AG290" s="133"/>
      <c r="AH290" s="133"/>
      <c r="AI290" s="133"/>
      <c r="AJ290" s="133"/>
      <c r="AK290" s="133"/>
      <c r="AL290" s="133"/>
      <c r="AM290" s="136"/>
      <c r="AN290" s="136"/>
      <c r="AO290" s="136"/>
      <c r="AP290" s="132"/>
      <c r="AQ290" s="129"/>
      <c r="AR290" s="129"/>
      <c r="AS290" s="354"/>
      <c r="AT290" s="131"/>
      <c r="AU290" s="131"/>
      <c r="AV290" s="354"/>
      <c r="AW290" s="132"/>
      <c r="AX290" s="354"/>
      <c r="AY290" s="132"/>
      <c r="AZ290" s="132"/>
      <c r="BA290" s="132"/>
      <c r="BB290" s="132"/>
    </row>
    <row r="291" spans="1:54">
      <c r="A291" s="132"/>
      <c r="B291" s="133"/>
      <c r="C291" s="133"/>
      <c r="D291" s="133"/>
      <c r="E291" s="133"/>
      <c r="F291" s="133"/>
      <c r="G291" s="133"/>
      <c r="H291" s="133"/>
      <c r="I291" s="133"/>
      <c r="J291" s="133"/>
      <c r="K291" s="133"/>
      <c r="L291" s="133"/>
      <c r="M291" s="133"/>
      <c r="N291" s="133"/>
      <c r="O291" s="133"/>
      <c r="P291" s="133"/>
      <c r="Q291" s="133"/>
      <c r="R291" s="133"/>
      <c r="S291" s="133"/>
      <c r="T291" s="133"/>
      <c r="U291" s="133"/>
      <c r="V291" s="133"/>
      <c r="W291" s="133"/>
      <c r="X291" s="133"/>
      <c r="Y291" s="133"/>
      <c r="Z291" s="133"/>
      <c r="AA291" s="133"/>
      <c r="AB291" s="133"/>
      <c r="AC291" s="133"/>
      <c r="AD291" s="133"/>
      <c r="AE291" s="133"/>
      <c r="AF291" s="133"/>
      <c r="AG291" s="133"/>
      <c r="AH291" s="133"/>
      <c r="AI291" s="133"/>
      <c r="AJ291" s="133"/>
      <c r="AK291" s="133"/>
      <c r="AL291" s="133"/>
      <c r="AM291" s="136"/>
      <c r="AN291" s="136"/>
      <c r="AO291" s="136"/>
      <c r="AP291" s="132"/>
      <c r="AQ291" s="129"/>
      <c r="AR291" s="129"/>
      <c r="AS291" s="354"/>
      <c r="AT291" s="131"/>
      <c r="AU291" s="131"/>
      <c r="AV291" s="354"/>
      <c r="AW291" s="132"/>
      <c r="AX291" s="354"/>
      <c r="AY291" s="132"/>
      <c r="AZ291" s="132"/>
      <c r="BA291" s="132"/>
      <c r="BB291" s="132"/>
    </row>
    <row r="292" spans="1:54">
      <c r="A292" s="132"/>
      <c r="B292" s="133"/>
      <c r="C292" s="133"/>
      <c r="D292" s="133"/>
      <c r="E292" s="133"/>
      <c r="F292" s="133"/>
      <c r="G292" s="133"/>
      <c r="H292" s="133"/>
      <c r="I292" s="133"/>
      <c r="J292" s="133"/>
      <c r="K292" s="133"/>
      <c r="L292" s="133"/>
      <c r="M292" s="133"/>
      <c r="N292" s="133"/>
      <c r="O292" s="133"/>
      <c r="P292" s="133"/>
      <c r="Q292" s="133"/>
      <c r="R292" s="133"/>
      <c r="S292" s="133"/>
      <c r="T292" s="133"/>
      <c r="U292" s="133"/>
      <c r="V292" s="133"/>
      <c r="W292" s="133"/>
      <c r="X292" s="133"/>
      <c r="Y292" s="133"/>
      <c r="Z292" s="133"/>
      <c r="AA292" s="133"/>
      <c r="AB292" s="133"/>
      <c r="AC292" s="133"/>
      <c r="AD292" s="133"/>
      <c r="AE292" s="133"/>
      <c r="AF292" s="133"/>
      <c r="AG292" s="133"/>
      <c r="AH292" s="133"/>
      <c r="AI292" s="133"/>
      <c r="AJ292" s="133"/>
      <c r="AK292" s="133"/>
      <c r="AL292" s="133"/>
      <c r="AM292" s="136"/>
      <c r="AN292" s="136"/>
      <c r="AO292" s="136"/>
      <c r="AP292" s="132"/>
      <c r="AQ292" s="129"/>
      <c r="AR292" s="129"/>
      <c r="AS292" s="354"/>
      <c r="AT292" s="131"/>
      <c r="AU292" s="131"/>
      <c r="AV292" s="354"/>
      <c r="AW292" s="132"/>
      <c r="AX292" s="354"/>
      <c r="AY292" s="132"/>
      <c r="AZ292" s="132"/>
      <c r="BA292" s="132"/>
      <c r="BB292" s="132"/>
    </row>
    <row r="293" spans="1:54">
      <c r="A293" s="273"/>
      <c r="B293" s="273"/>
      <c r="C293" s="273"/>
      <c r="D293" s="273"/>
      <c r="E293" s="273"/>
      <c r="F293" s="273"/>
      <c r="G293" s="273"/>
      <c r="H293" s="273"/>
      <c r="I293" s="273"/>
      <c r="J293" s="273"/>
      <c r="K293" s="273"/>
      <c r="L293" s="273"/>
      <c r="M293" s="273"/>
      <c r="N293" s="273"/>
      <c r="O293" s="273"/>
      <c r="P293" s="273"/>
      <c r="Q293" s="273"/>
      <c r="R293" s="273"/>
      <c r="S293" s="273"/>
      <c r="T293" s="273"/>
      <c r="U293" s="273"/>
      <c r="V293" s="273"/>
      <c r="W293" s="273"/>
      <c r="X293" s="273"/>
      <c r="Y293" s="273"/>
      <c r="Z293" s="273"/>
      <c r="AA293" s="273"/>
      <c r="AB293" s="273"/>
      <c r="AC293" s="273"/>
      <c r="AD293" s="273"/>
      <c r="AE293" s="273"/>
      <c r="AF293" s="273"/>
      <c r="AG293" s="273"/>
      <c r="AH293" s="273"/>
      <c r="AI293" s="273"/>
      <c r="AJ293" s="273"/>
      <c r="AK293" s="273"/>
      <c r="AL293" s="273"/>
      <c r="AM293" s="274"/>
      <c r="AN293" s="274"/>
      <c r="AO293" s="274"/>
      <c r="AP293" s="273"/>
      <c r="AQ293" s="129"/>
      <c r="AR293" s="129"/>
      <c r="AS293" s="273"/>
      <c r="AT293" s="131"/>
      <c r="AU293" s="131"/>
      <c r="AV293" s="273"/>
      <c r="AW293" s="273"/>
      <c r="AX293" s="354"/>
      <c r="AY293" s="132"/>
      <c r="AZ293" s="273"/>
      <c r="BA293" s="273"/>
      <c r="BB293" s="273"/>
    </row>
    <row r="294" spans="1:54">
      <c r="A294" s="273"/>
      <c r="B294" s="57" t="s">
        <v>3677</v>
      </c>
      <c r="C294" s="57" t="s">
        <v>2251</v>
      </c>
      <c r="D294" s="57" t="s">
        <v>3678</v>
      </c>
      <c r="E294" s="57" t="s">
        <v>2970</v>
      </c>
      <c r="F294" s="57" t="s">
        <v>2973</v>
      </c>
      <c r="G294" s="57" t="s">
        <v>1930</v>
      </c>
      <c r="H294" s="57" t="s">
        <v>116</v>
      </c>
      <c r="I294" s="57" t="s">
        <v>2571</v>
      </c>
      <c r="J294" s="682">
        <v>100</v>
      </c>
      <c r="K294" s="57">
        <v>0</v>
      </c>
      <c r="L294" s="57">
        <v>0</v>
      </c>
      <c r="M294" s="57">
        <v>0</v>
      </c>
      <c r="N294" s="57">
        <v>0</v>
      </c>
      <c r="O294" s="57">
        <v>0</v>
      </c>
      <c r="P294" s="57">
        <v>0</v>
      </c>
      <c r="Q294" s="57">
        <v>0</v>
      </c>
      <c r="R294" s="57">
        <v>0</v>
      </c>
      <c r="S294" s="57">
        <v>0</v>
      </c>
      <c r="T294" s="57">
        <v>0</v>
      </c>
      <c r="U294" s="57">
        <v>0</v>
      </c>
      <c r="V294" s="57">
        <v>0</v>
      </c>
      <c r="W294" s="57">
        <v>0</v>
      </c>
      <c r="X294" s="57"/>
      <c r="Y294" s="57"/>
      <c r="Z294" s="57"/>
      <c r="AA294" s="57"/>
      <c r="AB294" s="57"/>
      <c r="AC294" s="57"/>
      <c r="AD294" s="57"/>
      <c r="AE294" s="57"/>
      <c r="AF294" s="57"/>
      <c r="AG294" s="57"/>
      <c r="AH294" s="57"/>
      <c r="AI294" s="57"/>
      <c r="AJ294" s="57"/>
      <c r="AK294" s="57"/>
      <c r="AL294" s="57"/>
      <c r="AM294" s="22"/>
      <c r="AN294" s="22"/>
      <c r="AO294" s="22"/>
      <c r="AP294" s="273"/>
      <c r="AQ294" s="129"/>
      <c r="AR294" s="129"/>
      <c r="AS294" s="273"/>
      <c r="AT294" s="131"/>
      <c r="AU294" s="131"/>
      <c r="AV294" s="273"/>
      <c r="AW294" s="273"/>
      <c r="AX294" s="354"/>
      <c r="AY294" s="132"/>
      <c r="AZ294" s="273"/>
      <c r="BA294" s="273"/>
      <c r="BB294" s="273"/>
    </row>
    <row r="295" spans="1:54">
      <c r="A295" s="273"/>
      <c r="B295" s="273"/>
      <c r="C295" s="273"/>
      <c r="D295" s="273"/>
      <c r="E295" s="273"/>
      <c r="F295" s="273"/>
      <c r="G295" s="273"/>
      <c r="H295" s="273"/>
      <c r="I295" s="273"/>
      <c r="J295" s="273"/>
      <c r="K295" s="273"/>
      <c r="L295" s="273"/>
      <c r="M295" s="273"/>
      <c r="N295" s="273"/>
      <c r="O295" s="273"/>
      <c r="P295" s="273"/>
      <c r="Q295" s="273"/>
      <c r="R295" s="273"/>
      <c r="S295" s="273"/>
      <c r="T295" s="273"/>
      <c r="U295" s="273"/>
      <c r="V295" s="273"/>
      <c r="W295" s="273"/>
      <c r="X295" s="273"/>
      <c r="Y295" s="273"/>
      <c r="Z295" s="273"/>
      <c r="AA295" s="273"/>
      <c r="AB295" s="273"/>
      <c r="AC295" s="273"/>
      <c r="AD295" s="273"/>
      <c r="AE295" s="273"/>
      <c r="AF295" s="273"/>
      <c r="AG295" s="273"/>
      <c r="AH295" s="273"/>
      <c r="AI295" s="273"/>
      <c r="AJ295" s="273"/>
      <c r="AK295" s="273"/>
      <c r="AL295" s="273"/>
      <c r="AM295" s="274"/>
      <c r="AN295" s="274"/>
      <c r="AO295" s="274"/>
      <c r="AP295" s="273"/>
      <c r="AQ295" s="129"/>
      <c r="AR295" s="129"/>
      <c r="AS295" s="273"/>
      <c r="AT295" s="131"/>
      <c r="AU295" s="131"/>
      <c r="AV295" s="273"/>
      <c r="AW295" s="273"/>
      <c r="AX295" s="354"/>
      <c r="AY295" s="132"/>
      <c r="AZ295" s="273"/>
      <c r="BA295" s="273"/>
      <c r="BB295" s="273"/>
    </row>
    <row r="296" spans="1:54">
      <c r="A296" s="273"/>
      <c r="B296" s="681" t="s">
        <v>2691</v>
      </c>
      <c r="C296" s="273"/>
      <c r="D296" s="273"/>
      <c r="E296" s="273"/>
      <c r="F296" s="273"/>
      <c r="G296" s="273"/>
      <c r="H296" s="273"/>
      <c r="I296" s="273"/>
      <c r="J296" s="273"/>
      <c r="K296" s="273"/>
      <c r="L296" s="273"/>
      <c r="M296" s="273"/>
      <c r="N296" s="273"/>
      <c r="O296" s="273"/>
      <c r="P296" s="273"/>
      <c r="Q296" s="273"/>
      <c r="R296" s="273"/>
      <c r="S296" s="273"/>
      <c r="T296" s="273"/>
      <c r="U296" s="273"/>
      <c r="V296" s="273"/>
      <c r="W296" s="273"/>
      <c r="X296" s="273"/>
      <c r="Y296" s="273"/>
      <c r="Z296" s="273"/>
      <c r="AA296" s="273"/>
      <c r="AB296" s="273"/>
      <c r="AC296" s="273"/>
      <c r="AD296" s="273"/>
      <c r="AE296" s="273"/>
      <c r="AF296" s="273"/>
      <c r="AG296" s="273"/>
      <c r="AH296" s="273"/>
      <c r="AI296" s="273"/>
      <c r="AJ296" s="273"/>
      <c r="AK296" s="273"/>
      <c r="AL296" s="273"/>
      <c r="AM296" s="274"/>
      <c r="AN296" s="274"/>
      <c r="AO296" s="274"/>
      <c r="AP296" s="273"/>
      <c r="AQ296" s="129"/>
      <c r="AR296" s="129"/>
      <c r="AS296" s="273"/>
      <c r="AT296" s="131"/>
      <c r="AU296" s="131"/>
      <c r="AV296" s="273"/>
      <c r="AW296" s="273"/>
      <c r="AX296" s="354"/>
      <c r="AY296" s="132"/>
      <c r="AZ296" s="273"/>
      <c r="BA296" s="273"/>
      <c r="BB296" s="273"/>
    </row>
    <row r="297" spans="1:54">
      <c r="A297" s="273"/>
      <c r="B297" s="44" t="s">
        <v>3369</v>
      </c>
      <c r="C297" s="44" t="s">
        <v>135</v>
      </c>
      <c r="D297" s="44" t="s">
        <v>690</v>
      </c>
      <c r="E297" s="273"/>
      <c r="F297" s="273"/>
      <c r="G297" s="273"/>
      <c r="H297" s="273"/>
      <c r="I297" s="273"/>
      <c r="J297" s="273"/>
      <c r="K297" s="273"/>
      <c r="L297" s="273"/>
      <c r="M297" s="273"/>
      <c r="N297" s="273"/>
      <c r="O297" s="273"/>
      <c r="P297" s="273"/>
      <c r="Q297" s="273"/>
      <c r="R297" s="273"/>
      <c r="S297" s="273"/>
      <c r="T297" s="273"/>
      <c r="U297" s="273"/>
      <c r="V297" s="273"/>
      <c r="W297" s="273"/>
      <c r="X297" s="273"/>
      <c r="Y297" s="330">
        <f t="shared" ref="Y297:AL297" si="17">IF(INDEX($J$10:$J$289,MATCH($D$297,$D$10:$D$289,0))=37.16,INDEX(Y$10:Y$289,MATCH($D$297,$D$10:$D$289,0))/37.16*3.06,0)</f>
        <v>0</v>
      </c>
      <c r="Z297" s="330">
        <f t="shared" si="17"/>
        <v>0</v>
      </c>
      <c r="AA297" s="330">
        <f t="shared" si="17"/>
        <v>0</v>
      </c>
      <c r="AB297" s="330">
        <f t="shared" si="17"/>
        <v>0</v>
      </c>
      <c r="AC297" s="330">
        <f t="shared" si="17"/>
        <v>0</v>
      </c>
      <c r="AD297" s="330">
        <f t="shared" si="17"/>
        <v>0</v>
      </c>
      <c r="AE297" s="330">
        <f t="shared" si="17"/>
        <v>0</v>
      </c>
      <c r="AF297" s="330">
        <f t="shared" si="17"/>
        <v>0</v>
      </c>
      <c r="AG297" s="330">
        <f t="shared" si="17"/>
        <v>0</v>
      </c>
      <c r="AH297" s="330">
        <f t="shared" si="17"/>
        <v>0</v>
      </c>
      <c r="AI297" s="330">
        <f t="shared" si="17"/>
        <v>0</v>
      </c>
      <c r="AJ297" s="330">
        <f t="shared" si="17"/>
        <v>0</v>
      </c>
      <c r="AK297" s="330">
        <f t="shared" si="17"/>
        <v>0</v>
      </c>
      <c r="AL297" s="330">
        <f t="shared" si="17"/>
        <v>0</v>
      </c>
      <c r="AM297" s="136" t="str">
        <f>IF(ISERROR(VLOOKUP(D297,'Woodmac profile - Oil'!$D$9:$AN$266,37,FALSE)),"",VLOOKUP(D297,'Woodmac profile - Oil'!$D$9:$AN$266,37,FALSE))</f>
        <v>SUBS</v>
      </c>
      <c r="AN297" s="136" t="str">
        <f>IF(ISERROR(VLOOKUP(D297,'Woodmac profile - Gas'!$D$9:$AN$249,37,FALSE)),"",VLOOKUP(D297,'Woodmac profile - Gas'!$D$9:$AN$249,37,FALSE))</f>
        <v>SUBS</v>
      </c>
      <c r="AO297" s="136" t="str">
        <f t="shared" ref="AO297:AO299" si="18">IF(AM297="",AN297,AM297)</f>
        <v>SUBS</v>
      </c>
      <c r="AP297" s="273"/>
      <c r="AQ297" s="129"/>
      <c r="AR297" s="129"/>
      <c r="AS297" s="273"/>
      <c r="AT297" s="131"/>
      <c r="AU297" s="131"/>
      <c r="AV297" s="273"/>
      <c r="AW297" s="273"/>
      <c r="AX297" s="354"/>
      <c r="AY297" s="132"/>
      <c r="AZ297" s="273"/>
      <c r="BA297" s="273"/>
      <c r="BB297" s="273"/>
    </row>
    <row r="298" spans="1:54">
      <c r="A298" s="273"/>
      <c r="B298" s="44" t="s">
        <v>3677</v>
      </c>
      <c r="C298" s="44" t="s">
        <v>2251</v>
      </c>
      <c r="D298" s="44" t="s">
        <v>3678</v>
      </c>
      <c r="E298" s="273"/>
      <c r="F298" s="273"/>
      <c r="G298" s="273"/>
      <c r="H298" s="273"/>
      <c r="I298" s="273"/>
      <c r="J298" s="273"/>
      <c r="K298" s="273"/>
      <c r="L298" s="273"/>
      <c r="M298" s="273"/>
      <c r="N298" s="273"/>
      <c r="O298" s="273"/>
      <c r="P298" s="273"/>
      <c r="Q298" s="273"/>
      <c r="R298" s="273"/>
      <c r="S298" s="273"/>
      <c r="T298" s="273"/>
      <c r="U298" s="273"/>
      <c r="V298" s="273"/>
      <c r="W298" s="273"/>
      <c r="X298" s="273"/>
      <c r="Y298" s="330">
        <f>Y294*0.1/2</f>
        <v>0</v>
      </c>
      <c r="Z298" s="330">
        <f>Z294*0.1</f>
        <v>0</v>
      </c>
      <c r="AA298" s="330">
        <f t="shared" ref="AA298:AL298" si="19">AA294*0.1</f>
        <v>0</v>
      </c>
      <c r="AB298" s="330">
        <f t="shared" si="19"/>
        <v>0</v>
      </c>
      <c r="AC298" s="330">
        <f t="shared" si="19"/>
        <v>0</v>
      </c>
      <c r="AD298" s="330">
        <f t="shared" si="19"/>
        <v>0</v>
      </c>
      <c r="AE298" s="330">
        <f t="shared" si="19"/>
        <v>0</v>
      </c>
      <c r="AF298" s="330">
        <f t="shared" si="19"/>
        <v>0</v>
      </c>
      <c r="AG298" s="330">
        <f t="shared" si="19"/>
        <v>0</v>
      </c>
      <c r="AH298" s="330">
        <f t="shared" si="19"/>
        <v>0</v>
      </c>
      <c r="AI298" s="330">
        <f t="shared" si="19"/>
        <v>0</v>
      </c>
      <c r="AJ298" s="330">
        <f t="shared" si="19"/>
        <v>0</v>
      </c>
      <c r="AK298" s="330">
        <f t="shared" si="19"/>
        <v>0</v>
      </c>
      <c r="AL298" s="330">
        <f t="shared" si="19"/>
        <v>0</v>
      </c>
      <c r="AM298" s="136"/>
      <c r="AN298" s="136" t="s">
        <v>543</v>
      </c>
      <c r="AO298" s="136" t="str">
        <f t="shared" si="18"/>
        <v>SUBS</v>
      </c>
      <c r="AP298" s="273"/>
      <c r="AQ298" s="129"/>
      <c r="AR298" s="129"/>
      <c r="AS298" s="273"/>
      <c r="AT298" s="131"/>
      <c r="AU298" s="131"/>
      <c r="AV298" s="273"/>
      <c r="AW298" s="273"/>
      <c r="AX298" s="354"/>
      <c r="AY298" s="132"/>
      <c r="AZ298" s="273"/>
      <c r="BA298" s="273"/>
      <c r="BB298" s="273"/>
    </row>
    <row r="299" spans="1:54">
      <c r="A299" s="273"/>
      <c r="B299" s="57" t="s">
        <v>896</v>
      </c>
      <c r="C299" s="57" t="s">
        <v>2924</v>
      </c>
      <c r="D299" s="57" t="s">
        <v>3676</v>
      </c>
      <c r="E299" s="57" t="s">
        <v>1927</v>
      </c>
      <c r="F299" s="57" t="s">
        <v>1928</v>
      </c>
      <c r="G299" s="57" t="s">
        <v>1932</v>
      </c>
      <c r="H299" s="57" t="s">
        <v>1930</v>
      </c>
      <c r="I299" s="57" t="s">
        <v>1933</v>
      </c>
      <c r="J299" s="682">
        <v>10</v>
      </c>
      <c r="K299" s="57">
        <v>0</v>
      </c>
      <c r="L299" s="57">
        <v>0</v>
      </c>
      <c r="M299" s="57">
        <v>0</v>
      </c>
      <c r="N299" s="57">
        <v>0</v>
      </c>
      <c r="O299" s="57">
        <v>0</v>
      </c>
      <c r="P299" s="57">
        <v>0</v>
      </c>
      <c r="Q299" s="57">
        <v>0</v>
      </c>
      <c r="R299" s="57">
        <v>0</v>
      </c>
      <c r="S299" s="57">
        <v>0</v>
      </c>
      <c r="T299" s="57">
        <v>0</v>
      </c>
      <c r="U299" s="57">
        <v>0</v>
      </c>
      <c r="V299" s="57">
        <v>0</v>
      </c>
      <c r="W299" s="57">
        <v>0</v>
      </c>
      <c r="X299" s="57">
        <v>0</v>
      </c>
      <c r="Y299" s="57"/>
      <c r="Z299" s="57"/>
      <c r="AA299" s="57"/>
      <c r="AB299" s="57"/>
      <c r="AC299" s="57"/>
      <c r="AD299" s="57"/>
      <c r="AE299" s="57"/>
      <c r="AF299" s="57"/>
      <c r="AG299" s="57"/>
      <c r="AH299" s="57"/>
      <c r="AI299" s="57"/>
      <c r="AJ299" s="57"/>
      <c r="AK299" s="57"/>
      <c r="AL299" s="57"/>
      <c r="AM299" s="22" t="s">
        <v>3119</v>
      </c>
      <c r="AN299" s="22"/>
      <c r="AO299" s="136" t="str">
        <f t="shared" si="18"/>
        <v>EAI</v>
      </c>
      <c r="AP299" s="273"/>
      <c r="AQ299" s="129"/>
      <c r="AR299" s="129"/>
      <c r="AS299" s="273"/>
      <c r="AT299" s="131"/>
      <c r="AU299" s="131"/>
      <c r="AV299" s="273"/>
      <c r="AW299" s="273"/>
      <c r="AX299" s="354"/>
      <c r="AY299" s="132"/>
      <c r="AZ299" s="273"/>
      <c r="BA299" s="273"/>
      <c r="BB299" s="273"/>
    </row>
    <row r="300" spans="1:54">
      <c r="A300" s="273"/>
      <c r="B300" s="273"/>
      <c r="C300" s="273"/>
      <c r="D300" s="273"/>
      <c r="E300" s="273"/>
      <c r="F300" s="273"/>
      <c r="G300" s="273"/>
      <c r="H300" s="273"/>
      <c r="I300" s="273"/>
      <c r="J300" s="273"/>
      <c r="K300" s="273"/>
      <c r="L300" s="273"/>
      <c r="M300" s="273"/>
      <c r="N300" s="273"/>
      <c r="O300" s="273"/>
      <c r="P300" s="273"/>
      <c r="Q300" s="273"/>
      <c r="R300" s="273"/>
      <c r="S300" s="273"/>
      <c r="T300" s="273"/>
      <c r="U300" s="273"/>
      <c r="V300" s="273"/>
      <c r="W300" s="273"/>
      <c r="X300" s="273"/>
      <c r="Y300" s="273"/>
      <c r="Z300" s="273"/>
      <c r="AA300" s="273"/>
      <c r="AB300" s="273"/>
      <c r="AC300" s="273"/>
      <c r="AD300" s="273"/>
      <c r="AE300" s="273"/>
      <c r="AF300" s="273"/>
      <c r="AG300" s="273"/>
      <c r="AH300" s="273"/>
      <c r="AI300" s="273"/>
      <c r="AJ300" s="273"/>
      <c r="AK300" s="273"/>
      <c r="AL300" s="273"/>
      <c r="AM300" s="274"/>
      <c r="AN300" s="274"/>
      <c r="AO300" s="274"/>
      <c r="AP300" s="273"/>
      <c r="AQ300" s="129"/>
      <c r="AR300" s="129"/>
      <c r="AS300" s="273"/>
      <c r="AT300" s="131"/>
      <c r="AU300" s="131"/>
      <c r="AV300" s="273"/>
      <c r="AW300" s="273"/>
      <c r="AX300" s="354"/>
      <c r="AY300" s="132"/>
      <c r="AZ300" s="273"/>
      <c r="BA300" s="273"/>
      <c r="BB300" s="273"/>
    </row>
    <row r="301" spans="1:54">
      <c r="A301" s="273"/>
      <c r="B301" s="273"/>
      <c r="C301" s="273"/>
      <c r="D301" s="273"/>
      <c r="E301" s="273"/>
      <c r="F301" s="273"/>
      <c r="G301" s="273"/>
      <c r="H301" s="273"/>
      <c r="I301" s="273"/>
      <c r="J301" s="273"/>
      <c r="K301" s="273"/>
      <c r="L301" s="273"/>
      <c r="M301" s="273"/>
      <c r="N301" s="273"/>
      <c r="O301" s="273"/>
      <c r="P301" s="273"/>
      <c r="Q301" s="273"/>
      <c r="R301" s="273"/>
      <c r="S301" s="273"/>
      <c r="T301" s="273"/>
      <c r="U301" s="273"/>
      <c r="V301" s="273"/>
      <c r="W301" s="273"/>
      <c r="X301" s="273"/>
      <c r="Y301" s="273"/>
      <c r="Z301" s="273"/>
      <c r="AA301" s="273"/>
      <c r="AB301" s="273"/>
      <c r="AC301" s="273"/>
      <c r="AD301" s="273"/>
      <c r="AE301" s="273"/>
      <c r="AF301" s="273"/>
      <c r="AG301" s="273"/>
      <c r="AH301" s="273"/>
      <c r="AI301" s="273"/>
      <c r="AJ301" s="273"/>
      <c r="AK301" s="273"/>
      <c r="AL301" s="273"/>
      <c r="AM301" s="274"/>
      <c r="AN301" s="274"/>
      <c r="AO301" s="274"/>
      <c r="AP301" s="273"/>
      <c r="AQ301" s="129"/>
      <c r="AR301" s="129"/>
      <c r="AS301" s="273"/>
      <c r="AT301" s="131"/>
      <c r="AU301" s="131"/>
      <c r="AV301" s="273"/>
      <c r="AW301" s="273"/>
      <c r="AX301" s="354"/>
      <c r="AY301" s="132"/>
      <c r="AZ301" s="273"/>
      <c r="BA301" s="273"/>
      <c r="BB301" s="273"/>
    </row>
    <row r="302" spans="1:54">
      <c r="A302" s="273"/>
      <c r="B302" s="273"/>
      <c r="C302" s="273"/>
      <c r="D302" s="273"/>
      <c r="E302" s="273"/>
      <c r="F302" s="273"/>
      <c r="G302" s="273"/>
      <c r="H302" s="273"/>
      <c r="I302" s="273"/>
      <c r="J302" s="273"/>
      <c r="K302" s="273"/>
      <c r="L302" s="273"/>
      <c r="M302" s="273"/>
      <c r="N302" s="273"/>
      <c r="O302" s="273"/>
      <c r="P302" s="273"/>
      <c r="Q302" s="273"/>
      <c r="R302" s="273"/>
      <c r="S302" s="273"/>
      <c r="T302" s="273"/>
      <c r="U302" s="273"/>
      <c r="V302" s="273"/>
      <c r="W302" s="273"/>
      <c r="X302" s="273"/>
      <c r="Y302" s="273"/>
      <c r="Z302" s="273"/>
      <c r="AA302" s="273"/>
      <c r="AB302" s="273"/>
      <c r="AC302" s="273"/>
      <c r="AD302" s="273"/>
      <c r="AE302" s="273"/>
      <c r="AF302" s="273"/>
      <c r="AG302" s="273"/>
      <c r="AH302" s="273"/>
      <c r="AI302" s="273"/>
      <c r="AJ302" s="273"/>
      <c r="AK302" s="273"/>
      <c r="AL302" s="273"/>
      <c r="AM302" s="274"/>
      <c r="AN302" s="274"/>
      <c r="AO302" s="274"/>
      <c r="AP302" s="273"/>
      <c r="AQ302" s="129"/>
      <c r="AR302" s="129"/>
      <c r="AS302" s="273"/>
      <c r="AT302" s="131"/>
      <c r="AU302" s="131"/>
      <c r="AV302" s="273"/>
      <c r="AW302" s="273"/>
      <c r="AX302" s="354"/>
      <c r="AY302" s="132"/>
      <c r="AZ302" s="273"/>
      <c r="BA302" s="273"/>
      <c r="BB302" s="273"/>
    </row>
    <row r="303" spans="1:54">
      <c r="A303" s="273"/>
      <c r="B303" s="273"/>
      <c r="C303" s="273"/>
      <c r="D303" s="273"/>
      <c r="E303" s="273"/>
      <c r="F303" s="273"/>
      <c r="G303" s="273"/>
      <c r="H303" s="273"/>
      <c r="I303" s="273"/>
      <c r="J303" s="273"/>
      <c r="K303" s="273"/>
      <c r="L303" s="273"/>
      <c r="M303" s="273"/>
      <c r="N303" s="273"/>
      <c r="O303" s="273"/>
      <c r="P303" s="273"/>
      <c r="Q303" s="273"/>
      <c r="R303" s="273"/>
      <c r="S303" s="273"/>
      <c r="T303" s="273"/>
      <c r="U303" s="273"/>
      <c r="V303" s="273"/>
      <c r="W303" s="273"/>
      <c r="X303" s="273"/>
      <c r="Y303" s="273"/>
      <c r="Z303" s="273"/>
      <c r="AA303" s="273"/>
      <c r="AB303" s="273"/>
      <c r="AC303" s="273"/>
      <c r="AD303" s="273"/>
      <c r="AE303" s="273"/>
      <c r="AF303" s="273"/>
      <c r="AG303" s="273"/>
      <c r="AH303" s="273"/>
      <c r="AI303" s="273"/>
      <c r="AJ303" s="273"/>
      <c r="AK303" s="273"/>
      <c r="AL303" s="273"/>
      <c r="AM303" s="274"/>
      <c r="AN303" s="274"/>
      <c r="AO303" s="274"/>
      <c r="AP303" s="273"/>
      <c r="AQ303" s="129"/>
      <c r="AR303" s="129"/>
      <c r="AS303" s="273"/>
      <c r="AT303" s="131"/>
      <c r="AU303" s="131"/>
      <c r="AV303" s="273"/>
      <c r="AW303" s="273"/>
      <c r="AX303" s="354"/>
      <c r="AY303" s="132"/>
      <c r="AZ303" s="273"/>
      <c r="BA303" s="273"/>
      <c r="BB303" s="273"/>
    </row>
    <row r="304" spans="1:54">
      <c r="A304" s="273"/>
      <c r="B304" s="273"/>
      <c r="C304" s="273"/>
      <c r="D304" s="273"/>
      <c r="E304" s="273"/>
      <c r="F304" s="273"/>
      <c r="G304" s="273"/>
      <c r="H304" s="273"/>
      <c r="I304" s="273"/>
      <c r="J304" s="273"/>
      <c r="K304" s="273"/>
      <c r="L304" s="273"/>
      <c r="M304" s="273"/>
      <c r="N304" s="273"/>
      <c r="O304" s="273"/>
      <c r="P304" s="273"/>
      <c r="Q304" s="273"/>
      <c r="R304" s="273"/>
      <c r="S304" s="273"/>
      <c r="T304" s="273"/>
      <c r="U304" s="273"/>
      <c r="V304" s="273"/>
      <c r="W304" s="273"/>
      <c r="X304" s="273"/>
      <c r="Y304" s="273"/>
      <c r="Z304" s="273"/>
      <c r="AA304" s="273"/>
      <c r="AB304" s="273"/>
      <c r="AC304" s="273"/>
      <c r="AD304" s="273"/>
      <c r="AE304" s="273"/>
      <c r="AF304" s="273"/>
      <c r="AG304" s="273"/>
      <c r="AH304" s="273"/>
      <c r="AI304" s="273"/>
      <c r="AJ304" s="273"/>
      <c r="AK304" s="273"/>
      <c r="AL304" s="273"/>
      <c r="AM304" s="274"/>
      <c r="AN304" s="274"/>
      <c r="AO304" s="274"/>
      <c r="AP304" s="273"/>
      <c r="AQ304" s="129"/>
      <c r="AR304" s="129"/>
      <c r="AS304" s="273"/>
      <c r="AT304" s="131"/>
      <c r="AU304" s="131"/>
      <c r="AV304" s="273"/>
      <c r="AW304" s="273"/>
      <c r="AX304" s="354"/>
      <c r="AY304" s="132"/>
      <c r="AZ304" s="273"/>
      <c r="BA304" s="273"/>
      <c r="BB304" s="273"/>
    </row>
    <row r="305" spans="1:54">
      <c r="A305" s="273"/>
      <c r="B305" s="273"/>
      <c r="C305" s="273"/>
      <c r="D305" s="273"/>
      <c r="E305" s="273"/>
      <c r="F305" s="273"/>
      <c r="G305" s="273"/>
      <c r="H305" s="273"/>
      <c r="I305" s="273"/>
      <c r="J305" s="273"/>
      <c r="K305" s="273"/>
      <c r="L305" s="273"/>
      <c r="M305" s="273"/>
      <c r="N305" s="273"/>
      <c r="O305" s="273"/>
      <c r="P305" s="273"/>
      <c r="Q305" s="273"/>
      <c r="R305" s="273"/>
      <c r="S305" s="273"/>
      <c r="T305" s="273"/>
      <c r="U305" s="273"/>
      <c r="V305" s="273"/>
      <c r="W305" s="273"/>
      <c r="X305" s="273"/>
      <c r="Y305" s="273"/>
      <c r="Z305" s="273"/>
      <c r="AA305" s="273"/>
      <c r="AB305" s="273"/>
      <c r="AC305" s="273"/>
      <c r="AD305" s="273"/>
      <c r="AE305" s="273"/>
      <c r="AF305" s="273"/>
      <c r="AG305" s="273"/>
      <c r="AH305" s="273"/>
      <c r="AI305" s="273"/>
      <c r="AJ305" s="273"/>
      <c r="AK305" s="273"/>
      <c r="AL305" s="273"/>
      <c r="AM305" s="274"/>
      <c r="AN305" s="274"/>
      <c r="AO305" s="274"/>
      <c r="AP305" s="273"/>
      <c r="AQ305" s="129"/>
      <c r="AR305" s="129"/>
      <c r="AS305" s="273"/>
      <c r="AT305" s="131"/>
      <c r="AU305" s="131"/>
      <c r="AV305" s="273"/>
      <c r="AW305" s="273"/>
      <c r="AX305" s="354"/>
      <c r="AY305" s="132"/>
      <c r="AZ305" s="273"/>
      <c r="BA305" s="273"/>
      <c r="BB305" s="273"/>
    </row>
    <row r="306" spans="1:54">
      <c r="A306" s="273"/>
      <c r="B306" s="273"/>
      <c r="C306" s="273"/>
      <c r="D306" s="273"/>
      <c r="E306" s="273"/>
      <c r="F306" s="273"/>
      <c r="G306" s="273"/>
      <c r="H306" s="273"/>
      <c r="I306" s="273"/>
      <c r="J306" s="273"/>
      <c r="K306" s="273"/>
      <c r="L306" s="273"/>
      <c r="M306" s="273"/>
      <c r="N306" s="273"/>
      <c r="O306" s="273"/>
      <c r="P306" s="273"/>
      <c r="Q306" s="273"/>
      <c r="R306" s="273"/>
      <c r="S306" s="273"/>
      <c r="T306" s="273"/>
      <c r="U306" s="273"/>
      <c r="V306" s="273"/>
      <c r="W306" s="273"/>
      <c r="X306" s="273"/>
      <c r="Y306" s="273"/>
      <c r="Z306" s="273"/>
      <c r="AA306" s="273"/>
      <c r="AB306" s="273"/>
      <c r="AC306" s="273"/>
      <c r="AD306" s="273"/>
      <c r="AE306" s="273"/>
      <c r="AF306" s="273"/>
      <c r="AG306" s="273"/>
      <c r="AH306" s="273"/>
      <c r="AI306" s="273"/>
      <c r="AJ306" s="273"/>
      <c r="AK306" s="273"/>
      <c r="AL306" s="273"/>
      <c r="AM306" s="274"/>
      <c r="AN306" s="274"/>
      <c r="AO306" s="274"/>
      <c r="AP306" s="273"/>
      <c r="AQ306" s="129"/>
      <c r="AR306" s="129"/>
      <c r="AS306" s="273"/>
      <c r="AT306" s="131"/>
      <c r="AU306" s="131"/>
      <c r="AV306" s="273"/>
      <c r="AW306" s="273"/>
      <c r="AX306" s="354"/>
      <c r="AY306" s="132"/>
      <c r="AZ306" s="273"/>
      <c r="BA306" s="273"/>
      <c r="BB306" s="273"/>
    </row>
    <row r="307" spans="1:54">
      <c r="A307" s="273"/>
      <c r="B307" s="273"/>
      <c r="C307" s="273"/>
      <c r="D307" s="273"/>
      <c r="E307" s="273"/>
      <c r="F307" s="273"/>
      <c r="G307" s="273"/>
      <c r="H307" s="273"/>
      <c r="I307" s="273"/>
      <c r="J307" s="273"/>
      <c r="K307" s="273"/>
      <c r="L307" s="273"/>
      <c r="M307" s="273"/>
      <c r="N307" s="273"/>
      <c r="O307" s="273"/>
      <c r="P307" s="273"/>
      <c r="Q307" s="273"/>
      <c r="R307" s="273"/>
      <c r="S307" s="273"/>
      <c r="T307" s="273"/>
      <c r="U307" s="273"/>
      <c r="V307" s="273"/>
      <c r="W307" s="273"/>
      <c r="X307" s="273"/>
      <c r="Y307" s="273"/>
      <c r="Z307" s="273"/>
      <c r="AA307" s="273"/>
      <c r="AB307" s="273"/>
      <c r="AC307" s="273"/>
      <c r="AD307" s="273"/>
      <c r="AE307" s="273"/>
      <c r="AF307" s="273"/>
      <c r="AG307" s="273"/>
      <c r="AH307" s="273"/>
      <c r="AI307" s="273"/>
      <c r="AJ307" s="273"/>
      <c r="AK307" s="273"/>
      <c r="AL307" s="273"/>
      <c r="AM307" s="274"/>
      <c r="AN307" s="274"/>
      <c r="AO307" s="274"/>
      <c r="AP307" s="273"/>
      <c r="AQ307" s="129"/>
      <c r="AR307" s="129"/>
      <c r="AS307" s="273"/>
      <c r="AT307" s="131"/>
      <c r="AU307" s="131"/>
      <c r="AV307" s="273"/>
      <c r="AW307" s="273"/>
      <c r="AX307" s="354"/>
      <c r="AY307" s="132"/>
      <c r="AZ307" s="273"/>
      <c r="BA307" s="273"/>
      <c r="BB307" s="273"/>
    </row>
    <row r="308" spans="1:54">
      <c r="A308" s="273"/>
      <c r="B308" s="273"/>
      <c r="C308" s="273"/>
      <c r="D308" s="273"/>
      <c r="E308" s="273"/>
      <c r="F308" s="273"/>
      <c r="G308" s="273"/>
      <c r="H308" s="273"/>
      <c r="I308" s="273"/>
      <c r="J308" s="273"/>
      <c r="K308" s="273"/>
      <c r="L308" s="273"/>
      <c r="M308" s="273"/>
      <c r="N308" s="273"/>
      <c r="O308" s="273"/>
      <c r="P308" s="273"/>
      <c r="Q308" s="273"/>
      <c r="R308" s="273"/>
      <c r="S308" s="273"/>
      <c r="T308" s="273"/>
      <c r="U308" s="273"/>
      <c r="V308" s="273"/>
      <c r="W308" s="273"/>
      <c r="X308" s="273"/>
      <c r="Y308" s="273"/>
      <c r="Z308" s="273"/>
      <c r="AA308" s="273"/>
      <c r="AB308" s="273"/>
      <c r="AC308" s="273"/>
      <c r="AD308" s="273"/>
      <c r="AE308" s="273"/>
      <c r="AF308" s="273"/>
      <c r="AG308" s="273"/>
      <c r="AH308" s="273"/>
      <c r="AI308" s="273"/>
      <c r="AJ308" s="273"/>
      <c r="AK308" s="273"/>
      <c r="AL308" s="273"/>
      <c r="AM308" s="274"/>
      <c r="AN308" s="274"/>
      <c r="AO308" s="274"/>
      <c r="AP308" s="273"/>
      <c r="AQ308" s="129"/>
      <c r="AR308" s="129"/>
      <c r="AS308" s="273"/>
      <c r="AT308" s="131"/>
      <c r="AU308" s="131"/>
      <c r="AV308" s="273"/>
      <c r="AW308" s="273"/>
      <c r="AX308" s="354"/>
      <c r="AY308" s="132"/>
      <c r="AZ308" s="273"/>
      <c r="BA308" s="273"/>
      <c r="BB308" s="273"/>
    </row>
    <row r="309" spans="1:54">
      <c r="A309" s="273"/>
      <c r="B309" s="273"/>
      <c r="C309" s="273"/>
      <c r="D309" s="273"/>
      <c r="E309" s="273"/>
      <c r="F309" s="273"/>
      <c r="G309" s="273"/>
      <c r="H309" s="273"/>
      <c r="I309" s="273"/>
      <c r="J309" s="273"/>
      <c r="K309" s="273"/>
      <c r="L309" s="273"/>
      <c r="M309" s="273"/>
      <c r="N309" s="273"/>
      <c r="O309" s="273"/>
      <c r="P309" s="273"/>
      <c r="Q309" s="273"/>
      <c r="R309" s="273"/>
      <c r="S309" s="273"/>
      <c r="T309" s="273"/>
      <c r="U309" s="273"/>
      <c r="V309" s="273"/>
      <c r="W309" s="273"/>
      <c r="X309" s="273"/>
      <c r="Y309" s="273"/>
      <c r="Z309" s="273"/>
      <c r="AA309" s="273"/>
      <c r="AB309" s="273"/>
      <c r="AC309" s="273"/>
      <c r="AD309" s="273"/>
      <c r="AE309" s="273"/>
      <c r="AF309" s="273"/>
      <c r="AG309" s="273"/>
      <c r="AH309" s="273"/>
      <c r="AI309" s="273"/>
      <c r="AJ309" s="273"/>
      <c r="AK309" s="273"/>
      <c r="AL309" s="273"/>
      <c r="AM309" s="274"/>
      <c r="AN309" s="274"/>
      <c r="AO309" s="274"/>
      <c r="AP309" s="273"/>
      <c r="AQ309" s="129"/>
      <c r="AR309" s="129"/>
      <c r="AS309" s="273"/>
      <c r="AT309" s="131"/>
      <c r="AU309" s="131"/>
      <c r="AV309" s="273"/>
      <c r="AW309" s="273"/>
      <c r="AX309" s="354"/>
      <c r="AY309" s="132"/>
      <c r="AZ309" s="273"/>
      <c r="BA309" s="273"/>
      <c r="BB309" s="273"/>
    </row>
    <row r="310" spans="1:54">
      <c r="A310" s="273"/>
      <c r="B310" s="273"/>
      <c r="C310" s="273"/>
      <c r="D310" s="273"/>
      <c r="E310" s="273"/>
      <c r="F310" s="273"/>
      <c r="G310" s="273"/>
      <c r="H310" s="273"/>
      <c r="I310" s="273"/>
      <c r="J310" s="273"/>
      <c r="K310" s="273"/>
      <c r="L310" s="273"/>
      <c r="M310" s="273"/>
      <c r="N310" s="273"/>
      <c r="O310" s="273"/>
      <c r="P310" s="273"/>
      <c r="Q310" s="273"/>
      <c r="R310" s="273"/>
      <c r="S310" s="273"/>
      <c r="T310" s="273"/>
      <c r="U310" s="273"/>
      <c r="V310" s="273"/>
      <c r="W310" s="273"/>
      <c r="X310" s="273"/>
      <c r="Y310" s="273"/>
      <c r="Z310" s="273"/>
      <c r="AA310" s="273"/>
      <c r="AB310" s="273"/>
      <c r="AC310" s="273"/>
      <c r="AD310" s="273"/>
      <c r="AE310" s="273"/>
      <c r="AF310" s="273"/>
      <c r="AG310" s="273"/>
      <c r="AH310" s="273"/>
      <c r="AI310" s="273"/>
      <c r="AJ310" s="273"/>
      <c r="AK310" s="273"/>
      <c r="AL310" s="273"/>
      <c r="AM310" s="274" t="str">
        <f>IF(ISERROR(VLOOKUP(D310,'Woodmac profile - Oil'!$D$9:$AN$266,37,FALSE)),"",VLOOKUP(D310,'Woodmac profile - Oil'!$D$9:$AN$266,37,FALSE))</f>
        <v/>
      </c>
      <c r="AN310" s="274" t="str">
        <f>IF(ISERROR(VLOOKUP(D310,'Woodmac profile - Gas'!$D$9:$AN$249,37,FALSE)),"",VLOOKUP(D310,'Woodmac profile - Gas'!$D$9:$AN$249,37,FALSE))</f>
        <v/>
      </c>
      <c r="AO310" s="274" t="str">
        <f>IF(AM310="",AN310,AM310)</f>
        <v/>
      </c>
      <c r="AP310" s="273"/>
      <c r="AQ310" s="129"/>
      <c r="AR310" s="129"/>
      <c r="AS310" s="273"/>
      <c r="AT310" s="131"/>
      <c r="AU310" s="131"/>
      <c r="AV310" s="273"/>
      <c r="AW310" s="273"/>
      <c r="AX310" s="354"/>
      <c r="AY310" s="132"/>
      <c r="AZ310" s="273"/>
      <c r="BA310" s="273"/>
      <c r="BB310" s="273"/>
    </row>
    <row r="311" spans="1:54">
      <c r="A311" s="273"/>
      <c r="B311" s="273"/>
      <c r="C311" s="273"/>
      <c r="D311" s="273"/>
      <c r="E311" s="273"/>
      <c r="F311" s="273"/>
      <c r="G311" s="273"/>
      <c r="H311" s="273"/>
      <c r="I311" s="273"/>
      <c r="J311" s="273"/>
      <c r="K311" s="273"/>
      <c r="L311" s="273"/>
      <c r="M311" s="273"/>
      <c r="N311" s="273"/>
      <c r="O311" s="273"/>
      <c r="P311" s="273"/>
      <c r="Q311" s="273"/>
      <c r="R311" s="273"/>
      <c r="S311" s="273"/>
      <c r="T311" s="273"/>
      <c r="U311" s="273"/>
      <c r="V311" s="273"/>
      <c r="W311" s="273"/>
      <c r="X311" s="273"/>
      <c r="Y311" s="273"/>
      <c r="Z311" s="273"/>
      <c r="AA311" s="273"/>
      <c r="AB311" s="273"/>
      <c r="AC311" s="273"/>
      <c r="AD311" s="273"/>
      <c r="AE311" s="273"/>
      <c r="AF311" s="273"/>
      <c r="AG311" s="273"/>
      <c r="AH311" s="273"/>
      <c r="AI311" s="273"/>
      <c r="AJ311" s="273"/>
      <c r="AK311" s="273"/>
      <c r="AL311" s="273"/>
      <c r="AM311" s="274"/>
      <c r="AN311" s="274"/>
      <c r="AO311" s="274"/>
      <c r="AP311" s="273"/>
      <c r="AQ311" s="129"/>
      <c r="AR311" s="129"/>
      <c r="AS311" s="273"/>
      <c r="AT311" s="131"/>
      <c r="AU311" s="131"/>
      <c r="AV311" s="273"/>
      <c r="AW311" s="273"/>
      <c r="AX311" s="354"/>
      <c r="AY311" s="132"/>
      <c r="AZ311" s="273"/>
      <c r="BA311" s="273"/>
      <c r="BB311" s="273"/>
    </row>
    <row r="312" spans="1:54">
      <c r="A312" s="273"/>
      <c r="B312" s="273"/>
      <c r="C312" s="273"/>
      <c r="D312" s="273"/>
      <c r="E312" s="273"/>
      <c r="F312" s="273"/>
      <c r="G312" s="273"/>
      <c r="H312" s="273"/>
      <c r="I312" s="273"/>
      <c r="J312" s="273"/>
      <c r="K312" s="273"/>
      <c r="L312" s="273"/>
      <c r="M312" s="273"/>
      <c r="N312" s="273"/>
      <c r="O312" s="273"/>
      <c r="P312" s="273"/>
      <c r="Q312" s="273"/>
      <c r="R312" s="273"/>
      <c r="S312" s="273"/>
      <c r="T312" s="273"/>
      <c r="U312" s="273"/>
      <c r="V312" s="273"/>
      <c r="W312" s="273"/>
      <c r="X312" s="273"/>
      <c r="Y312" s="273"/>
      <c r="Z312" s="273"/>
      <c r="AA312" s="273"/>
      <c r="AB312" s="273"/>
      <c r="AC312" s="273"/>
      <c r="AD312" s="273"/>
      <c r="AE312" s="273"/>
      <c r="AF312" s="273"/>
      <c r="AG312" s="273"/>
      <c r="AH312" s="273"/>
      <c r="AI312" s="273"/>
      <c r="AJ312" s="273"/>
      <c r="AK312" s="273"/>
      <c r="AL312" s="273"/>
      <c r="AM312" s="274"/>
      <c r="AN312" s="274"/>
      <c r="AO312" s="274"/>
      <c r="AP312" s="273"/>
      <c r="AQ312" s="129"/>
      <c r="AR312" s="129"/>
      <c r="AS312" s="273"/>
      <c r="AT312" s="131"/>
      <c r="AU312" s="131"/>
      <c r="AV312" s="273"/>
      <c r="AW312" s="273"/>
      <c r="AX312" s="354"/>
      <c r="AY312" s="132"/>
      <c r="AZ312" s="273"/>
      <c r="BA312" s="273"/>
      <c r="BB312" s="273"/>
    </row>
    <row r="313" spans="1:54">
      <c r="A313" s="273"/>
      <c r="B313" s="273"/>
      <c r="C313" s="273"/>
      <c r="D313" s="273"/>
      <c r="E313" s="273"/>
      <c r="F313" s="273"/>
      <c r="G313" s="273"/>
      <c r="H313" s="273"/>
      <c r="I313" s="273"/>
      <c r="J313" s="273"/>
      <c r="K313" s="273"/>
      <c r="L313" s="273"/>
      <c r="M313" s="273"/>
      <c r="N313" s="273"/>
      <c r="O313" s="273"/>
      <c r="P313" s="273"/>
      <c r="Q313" s="273"/>
      <c r="R313" s="273"/>
      <c r="S313" s="273"/>
      <c r="T313" s="273"/>
      <c r="U313" s="273"/>
      <c r="V313" s="273"/>
      <c r="W313" s="273"/>
      <c r="X313" s="273"/>
      <c r="Y313" s="273"/>
      <c r="Z313" s="273"/>
      <c r="AA313" s="273"/>
      <c r="AB313" s="273"/>
      <c r="AC313" s="273"/>
      <c r="AD313" s="273"/>
      <c r="AE313" s="273"/>
      <c r="AF313" s="273"/>
      <c r="AG313" s="273"/>
      <c r="AH313" s="273"/>
      <c r="AI313" s="273"/>
      <c r="AJ313" s="273"/>
      <c r="AK313" s="273"/>
      <c r="AL313" s="273"/>
      <c r="AM313" s="274"/>
      <c r="AN313" s="274"/>
      <c r="AO313" s="274"/>
      <c r="AP313" s="273"/>
      <c r="AQ313" s="129"/>
      <c r="AR313" s="129"/>
      <c r="AS313" s="273"/>
      <c r="AT313" s="131"/>
      <c r="AU313" s="131"/>
      <c r="AV313" s="273"/>
      <c r="AW313" s="273"/>
      <c r="AX313" s="354"/>
      <c r="AY313" s="132"/>
      <c r="AZ313" s="273"/>
      <c r="BA313" s="273"/>
      <c r="BB313" s="273"/>
    </row>
    <row r="314" spans="1:54">
      <c r="A314" s="273"/>
      <c r="B314" s="273"/>
      <c r="C314" s="273"/>
      <c r="D314" s="273"/>
      <c r="E314" s="273"/>
      <c r="F314" s="273"/>
      <c r="G314" s="273"/>
      <c r="H314" s="273"/>
      <c r="I314" s="273"/>
      <c r="J314" s="273"/>
      <c r="K314" s="273"/>
      <c r="L314" s="273"/>
      <c r="M314" s="273"/>
      <c r="N314" s="273"/>
      <c r="O314" s="273"/>
      <c r="P314" s="273"/>
      <c r="Q314" s="273"/>
      <c r="R314" s="273"/>
      <c r="S314" s="273"/>
      <c r="T314" s="273"/>
      <c r="U314" s="273"/>
      <c r="V314" s="273"/>
      <c r="W314" s="273"/>
      <c r="X314" s="273"/>
      <c r="Y314" s="273"/>
      <c r="Z314" s="273"/>
      <c r="AA314" s="273"/>
      <c r="AB314" s="273"/>
      <c r="AC314" s="273"/>
      <c r="AD314" s="273"/>
      <c r="AE314" s="273"/>
      <c r="AF314" s="273"/>
      <c r="AG314" s="273"/>
      <c r="AH314" s="273"/>
      <c r="AI314" s="273"/>
      <c r="AJ314" s="273"/>
      <c r="AK314" s="273"/>
      <c r="AL314" s="273"/>
      <c r="AM314" s="274"/>
      <c r="AN314" s="274"/>
      <c r="AO314" s="274"/>
      <c r="AP314" s="273"/>
      <c r="AQ314" s="129"/>
      <c r="AR314" s="129"/>
      <c r="AS314" s="273"/>
      <c r="AT314" s="131"/>
      <c r="AU314" s="131"/>
      <c r="AV314" s="273"/>
      <c r="AW314" s="273"/>
      <c r="AX314" s="354"/>
      <c r="AY314" s="132"/>
      <c r="AZ314" s="273"/>
      <c r="BA314" s="273"/>
      <c r="BB314" s="273"/>
    </row>
    <row r="315" spans="1:54">
      <c r="A315" s="273"/>
      <c r="B315" s="273"/>
      <c r="C315" s="273"/>
      <c r="D315" s="273"/>
      <c r="E315" s="273"/>
      <c r="F315" s="273"/>
      <c r="G315" s="273"/>
      <c r="H315" s="273"/>
      <c r="I315" s="273"/>
      <c r="J315" s="273"/>
      <c r="K315" s="273"/>
      <c r="L315" s="273"/>
      <c r="M315" s="273"/>
      <c r="N315" s="273"/>
      <c r="O315" s="273"/>
      <c r="P315" s="273"/>
      <c r="Q315" s="273"/>
      <c r="R315" s="273"/>
      <c r="S315" s="273"/>
      <c r="T315" s="273"/>
      <c r="U315" s="273"/>
      <c r="V315" s="273"/>
      <c r="W315" s="273"/>
      <c r="X315" s="273"/>
      <c r="Y315" s="273"/>
      <c r="Z315" s="273"/>
      <c r="AA315" s="273"/>
      <c r="AB315" s="273"/>
      <c r="AC315" s="273"/>
      <c r="AD315" s="273"/>
      <c r="AE315" s="273"/>
      <c r="AF315" s="273"/>
      <c r="AG315" s="273"/>
      <c r="AH315" s="273"/>
      <c r="AI315" s="273"/>
      <c r="AJ315" s="273"/>
      <c r="AK315" s="273"/>
      <c r="AL315" s="273"/>
      <c r="AM315" s="274"/>
      <c r="AN315" s="274"/>
      <c r="AO315" s="274"/>
      <c r="AP315" s="273"/>
      <c r="AQ315" s="129"/>
      <c r="AR315" s="129"/>
      <c r="AS315" s="273"/>
      <c r="AT315" s="131"/>
      <c r="AU315" s="131"/>
      <c r="AV315" s="273"/>
      <c r="AW315" s="273"/>
      <c r="AX315" s="354"/>
      <c r="AY315" s="132"/>
      <c r="AZ315" s="273"/>
      <c r="BA315" s="273"/>
      <c r="BB315" s="273"/>
    </row>
    <row r="316" spans="1:54">
      <c r="A316" s="273"/>
      <c r="B316" s="273"/>
      <c r="C316" s="273"/>
      <c r="D316" s="273"/>
      <c r="E316" s="273"/>
      <c r="F316" s="273"/>
      <c r="G316" s="273"/>
      <c r="H316" s="273"/>
      <c r="I316" s="273"/>
      <c r="J316" s="273"/>
      <c r="K316" s="273"/>
      <c r="L316" s="273"/>
      <c r="M316" s="273"/>
      <c r="N316" s="273"/>
      <c r="O316" s="273"/>
      <c r="P316" s="273"/>
      <c r="Q316" s="273"/>
      <c r="R316" s="273"/>
      <c r="S316" s="273"/>
      <c r="T316" s="273"/>
      <c r="U316" s="273"/>
      <c r="V316" s="273"/>
      <c r="W316" s="273"/>
      <c r="X316" s="273"/>
      <c r="Y316" s="273"/>
      <c r="Z316" s="273"/>
      <c r="AA316" s="273"/>
      <c r="AB316" s="273"/>
      <c r="AC316" s="273"/>
      <c r="AD316" s="273"/>
      <c r="AE316" s="273"/>
      <c r="AF316" s="273"/>
      <c r="AG316" s="273"/>
      <c r="AH316" s="273"/>
      <c r="AI316" s="273"/>
      <c r="AJ316" s="273"/>
      <c r="AK316" s="273"/>
      <c r="AL316" s="273"/>
      <c r="AM316" s="274"/>
      <c r="AN316" s="274"/>
      <c r="AO316" s="274"/>
      <c r="AP316" s="273"/>
      <c r="AQ316" s="129"/>
      <c r="AR316" s="129"/>
      <c r="AS316" s="273"/>
      <c r="AT316" s="131"/>
      <c r="AU316" s="131"/>
      <c r="AV316" s="273"/>
      <c r="AW316" s="273"/>
      <c r="AX316" s="354"/>
      <c r="AY316" s="132"/>
      <c r="AZ316" s="273"/>
      <c r="BA316" s="273"/>
      <c r="BB316" s="273"/>
    </row>
    <row r="317" spans="1:54">
      <c r="A317" s="273"/>
      <c r="B317" s="273"/>
      <c r="C317" s="273"/>
      <c r="D317" s="273"/>
      <c r="E317" s="273"/>
      <c r="F317" s="273"/>
      <c r="G317" s="273"/>
      <c r="H317" s="273"/>
      <c r="I317" s="273"/>
      <c r="J317" s="273"/>
      <c r="K317" s="273"/>
      <c r="L317" s="273"/>
      <c r="M317" s="273"/>
      <c r="N317" s="273"/>
      <c r="O317" s="273"/>
      <c r="P317" s="273"/>
      <c r="Q317" s="273"/>
      <c r="R317" s="273"/>
      <c r="S317" s="273"/>
      <c r="T317" s="273"/>
      <c r="U317" s="273"/>
      <c r="V317" s="273"/>
      <c r="W317" s="273"/>
      <c r="X317" s="273"/>
      <c r="Y317" s="273"/>
      <c r="Z317" s="273"/>
      <c r="AA317" s="273"/>
      <c r="AB317" s="273"/>
      <c r="AC317" s="273"/>
      <c r="AD317" s="273"/>
      <c r="AE317" s="273"/>
      <c r="AF317" s="273"/>
      <c r="AG317" s="273"/>
      <c r="AH317" s="273"/>
      <c r="AI317" s="273"/>
      <c r="AJ317" s="273"/>
      <c r="AK317" s="273"/>
      <c r="AL317" s="273"/>
      <c r="AM317" s="274"/>
      <c r="AN317" s="274"/>
      <c r="AO317" s="274"/>
      <c r="AP317" s="273"/>
      <c r="AQ317" s="129"/>
      <c r="AR317" s="129"/>
      <c r="AS317" s="273"/>
      <c r="AT317" s="131"/>
      <c r="AU317" s="131"/>
      <c r="AV317" s="273"/>
      <c r="AW317" s="273"/>
      <c r="AX317" s="354"/>
      <c r="AY317" s="132"/>
      <c r="AZ317" s="273"/>
      <c r="BA317" s="273"/>
      <c r="BB317" s="273"/>
    </row>
    <row r="318" spans="1:54">
      <c r="A318" s="273"/>
      <c r="B318" s="273"/>
      <c r="C318" s="273"/>
      <c r="D318" s="273"/>
      <c r="E318" s="273"/>
      <c r="F318" s="273"/>
      <c r="G318" s="273"/>
      <c r="H318" s="273"/>
      <c r="I318" s="273"/>
      <c r="J318" s="273"/>
      <c r="K318" s="273"/>
      <c r="L318" s="273"/>
      <c r="M318" s="273"/>
      <c r="N318" s="273"/>
      <c r="O318" s="273"/>
      <c r="P318" s="273"/>
      <c r="Q318" s="273"/>
      <c r="R318" s="273"/>
      <c r="S318" s="273"/>
      <c r="T318" s="273"/>
      <c r="U318" s="273"/>
      <c r="V318" s="273"/>
      <c r="W318" s="273"/>
      <c r="X318" s="273"/>
      <c r="Y318" s="273"/>
      <c r="Z318" s="273"/>
      <c r="AA318" s="273"/>
      <c r="AB318" s="273"/>
      <c r="AC318" s="273"/>
      <c r="AD318" s="273"/>
      <c r="AE318" s="273"/>
      <c r="AF318" s="273"/>
      <c r="AG318" s="273"/>
      <c r="AH318" s="273"/>
      <c r="AI318" s="273"/>
      <c r="AJ318" s="273"/>
      <c r="AK318" s="273"/>
      <c r="AL318" s="273"/>
      <c r="AM318" s="274"/>
      <c r="AN318" s="274"/>
      <c r="AO318" s="274"/>
      <c r="AP318" s="273"/>
      <c r="AQ318" s="129"/>
      <c r="AR318" s="129"/>
      <c r="AS318" s="273"/>
      <c r="AT318" s="131"/>
      <c r="AU318" s="131"/>
      <c r="AV318" s="273"/>
      <c r="AW318" s="273"/>
      <c r="AX318" s="273"/>
      <c r="AY318" s="132"/>
      <c r="AZ318" s="273"/>
      <c r="BA318" s="273"/>
      <c r="BB318" s="273"/>
    </row>
    <row r="319" spans="1:54" ht="12.75" customHeight="1">
      <c r="A319" s="276"/>
      <c r="B319" s="275" t="s">
        <v>2215</v>
      </c>
      <c r="C319" s="276"/>
      <c r="D319" s="276"/>
      <c r="E319" s="276"/>
      <c r="F319" s="276"/>
      <c r="G319" s="276"/>
      <c r="H319" s="276"/>
      <c r="I319" s="276"/>
      <c r="J319" s="276"/>
      <c r="K319" s="277"/>
      <c r="L319" s="277"/>
      <c r="M319" s="277"/>
      <c r="N319" s="277"/>
      <c r="O319" s="277"/>
      <c r="P319" s="277"/>
      <c r="Q319" s="277"/>
      <c r="R319" s="277"/>
      <c r="S319" s="277"/>
      <c r="T319" s="277"/>
      <c r="U319" s="277"/>
      <c r="V319" s="277"/>
      <c r="W319" s="277"/>
      <c r="X319" s="277"/>
      <c r="Y319" s="277"/>
      <c r="Z319" s="277"/>
      <c r="AA319" s="277"/>
      <c r="AB319" s="277"/>
      <c r="AC319" s="277"/>
      <c r="AD319" s="277"/>
      <c r="AE319" s="277"/>
      <c r="AF319" s="277"/>
      <c r="AG319" s="277"/>
      <c r="AH319" s="277"/>
      <c r="AI319" s="277"/>
      <c r="AJ319" s="277"/>
      <c r="AK319" s="277"/>
      <c r="AL319" s="277"/>
      <c r="AM319" s="276"/>
      <c r="AN319" s="276"/>
      <c r="AO319" s="276"/>
      <c r="AP319" s="276"/>
      <c r="AQ319" s="129"/>
      <c r="AR319" s="129"/>
      <c r="AS319" s="276"/>
      <c r="AT319" s="131"/>
      <c r="AU319" s="131"/>
      <c r="AV319" s="273"/>
      <c r="AW319" s="276"/>
      <c r="AX319" s="276"/>
      <c r="AY319" s="132"/>
      <c r="AZ319" s="276"/>
      <c r="BA319" s="276"/>
      <c r="BB319" s="276"/>
    </row>
    <row r="320" spans="1:54" ht="12.75" customHeight="1">
      <c r="A320" s="276"/>
      <c r="B320" s="278" t="s">
        <v>308</v>
      </c>
      <c r="C320" s="278"/>
      <c r="D320" s="278"/>
      <c r="E320" s="278"/>
      <c r="F320" s="278"/>
      <c r="G320" s="278"/>
      <c r="H320" s="278"/>
      <c r="I320" s="278"/>
      <c r="J320" s="281"/>
      <c r="K320" s="281">
        <v>2003</v>
      </c>
      <c r="L320" s="281">
        <v>2004</v>
      </c>
      <c r="M320" s="281">
        <v>2005</v>
      </c>
      <c r="N320" s="281">
        <v>2006</v>
      </c>
      <c r="O320" s="281">
        <v>2007</v>
      </c>
      <c r="P320" s="281">
        <v>2008</v>
      </c>
      <c r="Q320" s="281">
        <v>2009</v>
      </c>
      <c r="R320" s="281">
        <v>2010</v>
      </c>
      <c r="S320" s="281">
        <v>2011</v>
      </c>
      <c r="T320" s="281">
        <v>2012</v>
      </c>
      <c r="U320" s="281">
        <v>2013</v>
      </c>
      <c r="V320" s="281">
        <v>2014</v>
      </c>
      <c r="W320" s="281">
        <v>2015</v>
      </c>
      <c r="X320" s="281">
        <v>2016</v>
      </c>
      <c r="Y320" s="281">
        <v>2017</v>
      </c>
      <c r="Z320" s="281">
        <v>2018</v>
      </c>
      <c r="AA320" s="281">
        <v>2019</v>
      </c>
      <c r="AB320" s="281">
        <v>2020</v>
      </c>
      <c r="AC320" s="281">
        <v>2021</v>
      </c>
      <c r="AD320" s="281">
        <v>2022</v>
      </c>
      <c r="AE320" s="281">
        <v>2023</v>
      </c>
      <c r="AF320" s="281">
        <v>2024</v>
      </c>
      <c r="AG320" s="281">
        <v>2025</v>
      </c>
      <c r="AH320" s="281">
        <v>2026</v>
      </c>
      <c r="AI320" s="281">
        <v>2027</v>
      </c>
      <c r="AJ320" s="281">
        <v>2028</v>
      </c>
      <c r="AK320" s="281">
        <v>2029</v>
      </c>
      <c r="AL320" s="281">
        <v>2030</v>
      </c>
      <c r="AM320" s="276"/>
      <c r="AN320" s="276"/>
      <c r="AO320" s="276"/>
      <c r="AP320" s="276"/>
      <c r="AQ320" s="129"/>
      <c r="AR320" s="129"/>
      <c r="AS320" s="276"/>
      <c r="AT320" s="131"/>
      <c r="AU320" s="131"/>
      <c r="AV320" s="273"/>
      <c r="AW320" s="276"/>
      <c r="AX320" s="276"/>
      <c r="AY320" s="132"/>
      <c r="AZ320" s="276"/>
      <c r="BA320" s="276"/>
      <c r="BB320" s="276"/>
    </row>
    <row r="321" spans="1:54">
      <c r="A321" s="283"/>
      <c r="B321" s="283" t="s">
        <v>2946</v>
      </c>
      <c r="C321" s="283" t="s">
        <v>543</v>
      </c>
      <c r="D321" s="283"/>
      <c r="E321" s="283"/>
      <c r="F321" s="283"/>
      <c r="G321" s="283"/>
      <c r="H321" s="283"/>
      <c r="I321" s="283"/>
      <c r="J321" s="283"/>
      <c r="K321" s="342">
        <f t="shared" ref="K321:T322" si="20">SUMIF($AO$10:$AO$316,$C321,K$10:K$316)</f>
        <v>10149.770000000004</v>
      </c>
      <c r="L321" s="342">
        <f t="shared" si="20"/>
        <v>10266.550000000008</v>
      </c>
      <c r="M321" s="342">
        <f t="shared" si="20"/>
        <v>9842.5400000000009</v>
      </c>
      <c r="N321" s="342">
        <f t="shared" si="20"/>
        <v>10350.400000000005</v>
      </c>
      <c r="O321" s="342">
        <f t="shared" si="20"/>
        <v>11624.759999999997</v>
      </c>
      <c r="P321" s="342">
        <f t="shared" si="20"/>
        <v>11867.949999999995</v>
      </c>
      <c r="Q321" s="342">
        <f t="shared" si="20"/>
        <v>11159.489999999998</v>
      </c>
      <c r="R321" s="342">
        <f t="shared" si="20"/>
        <v>10771.460000000003</v>
      </c>
      <c r="S321" s="342">
        <f t="shared" si="20"/>
        <v>11660.970000000007</v>
      </c>
      <c r="T321" s="342">
        <f t="shared" si="20"/>
        <v>12820.610000000004</v>
      </c>
      <c r="U321" s="342">
        <f t="shared" ref="U321:AD322" si="21">SUMIF($AO$10:$AO$316,$C321,U$10:U$316)</f>
        <v>12985.170000000004</v>
      </c>
      <c r="V321" s="342">
        <f t="shared" si="21"/>
        <v>14818.300000000008</v>
      </c>
      <c r="W321" s="342">
        <f t="shared" si="21"/>
        <v>12345.050000000005</v>
      </c>
      <c r="X321" s="342">
        <f t="shared" si="21"/>
        <v>10858.090000000009</v>
      </c>
      <c r="Y321" s="342">
        <f t="shared" si="21"/>
        <v>10057.883999999996</v>
      </c>
      <c r="Z321" s="342">
        <f t="shared" si="21"/>
        <v>9208.1049999999977</v>
      </c>
      <c r="AA321" s="342">
        <f t="shared" si="21"/>
        <v>8792.7100000000028</v>
      </c>
      <c r="AB321" s="342">
        <f t="shared" si="21"/>
        <v>7857.2750000000033</v>
      </c>
      <c r="AC321" s="342">
        <f t="shared" si="21"/>
        <v>7913.0090000000018</v>
      </c>
      <c r="AD321" s="342">
        <f t="shared" si="21"/>
        <v>5783.4720000000016</v>
      </c>
      <c r="AE321" s="342">
        <f t="shared" ref="AE321:AL322" si="22">SUMIF($AO$10:$AO$316,$C321,AE$10:AE$316)</f>
        <v>4414.4620000000004</v>
      </c>
      <c r="AF321" s="342">
        <f t="shared" si="22"/>
        <v>4028.9120000000012</v>
      </c>
      <c r="AG321" s="342">
        <f t="shared" si="22"/>
        <v>3544.3940000000002</v>
      </c>
      <c r="AH321" s="342">
        <f t="shared" si="22"/>
        <v>2893.0829999999996</v>
      </c>
      <c r="AI321" s="342">
        <f t="shared" si="22"/>
        <v>2798.5150000000021</v>
      </c>
      <c r="AJ321" s="342">
        <f t="shared" si="22"/>
        <v>2055.6220000000003</v>
      </c>
      <c r="AK321" s="342">
        <f t="shared" si="22"/>
        <v>1772.8549999999993</v>
      </c>
      <c r="AL321" s="342">
        <f t="shared" si="22"/>
        <v>1887.2490000000005</v>
      </c>
      <c r="AM321" s="283"/>
      <c r="AN321" s="283"/>
      <c r="AO321" s="283"/>
      <c r="AP321" s="283"/>
      <c r="AQ321" s="129"/>
      <c r="AR321" s="129"/>
      <c r="AS321" s="283"/>
      <c r="AT321" s="131"/>
      <c r="AU321" s="131"/>
      <c r="AV321" s="273"/>
      <c r="AW321" s="283"/>
      <c r="AX321" s="283"/>
      <c r="AY321" s="132"/>
      <c r="AZ321" s="283"/>
      <c r="BA321" s="283"/>
      <c r="BB321" s="283"/>
    </row>
    <row r="322" spans="1:54">
      <c r="A322" s="283"/>
      <c r="B322" s="283" t="s">
        <v>2672</v>
      </c>
      <c r="C322" s="283" t="s">
        <v>3119</v>
      </c>
      <c r="D322" s="283"/>
      <c r="E322" s="283"/>
      <c r="F322" s="283"/>
      <c r="G322" s="283"/>
      <c r="H322" s="283"/>
      <c r="I322" s="283"/>
      <c r="J322" s="283"/>
      <c r="K322" s="342">
        <f t="shared" si="20"/>
        <v>662.65000000000009</v>
      </c>
      <c r="L322" s="342">
        <f t="shared" si="20"/>
        <v>775.66600000000005</v>
      </c>
      <c r="M322" s="342">
        <f t="shared" si="20"/>
        <v>706.70800000000008</v>
      </c>
      <c r="N322" s="342">
        <f t="shared" si="20"/>
        <v>787.63400000000001</v>
      </c>
      <c r="O322" s="342">
        <f t="shared" si="20"/>
        <v>853.14200000000005</v>
      </c>
      <c r="P322" s="342">
        <f t="shared" si="20"/>
        <v>1008.9960000000001</v>
      </c>
      <c r="Q322" s="342">
        <f t="shared" si="20"/>
        <v>1196.1039999999998</v>
      </c>
      <c r="R322" s="342">
        <f t="shared" si="20"/>
        <v>1137.7939999999999</v>
      </c>
      <c r="S322" s="342">
        <f t="shared" si="20"/>
        <v>1240.05</v>
      </c>
      <c r="T322" s="342">
        <f t="shared" si="20"/>
        <v>1029.586</v>
      </c>
      <c r="U322" s="342">
        <f t="shared" si="21"/>
        <v>1666.5880000000002</v>
      </c>
      <c r="V322" s="342">
        <f t="shared" si="21"/>
        <v>2433.7239999999997</v>
      </c>
      <c r="W322" s="342">
        <f t="shared" si="21"/>
        <v>2005.846</v>
      </c>
      <c r="X322" s="342">
        <f t="shared" si="21"/>
        <v>2161.5749999999998</v>
      </c>
      <c r="Y322" s="342">
        <f t="shared" si="21"/>
        <v>2195.9289999999996</v>
      </c>
      <c r="Z322" s="342">
        <f t="shared" si="21"/>
        <v>1848.7969999999998</v>
      </c>
      <c r="AA322" s="342">
        <f t="shared" si="21"/>
        <v>1902.154</v>
      </c>
      <c r="AB322" s="342">
        <f t="shared" si="21"/>
        <v>1706.5550000000001</v>
      </c>
      <c r="AC322" s="342">
        <f t="shared" si="21"/>
        <v>1563.6390000000001</v>
      </c>
      <c r="AD322" s="342">
        <f t="shared" si="21"/>
        <v>1397.0840000000001</v>
      </c>
      <c r="AE322" s="342">
        <f t="shared" si="22"/>
        <v>1149.643</v>
      </c>
      <c r="AF322" s="342">
        <f t="shared" si="22"/>
        <v>1127.203</v>
      </c>
      <c r="AG322" s="342">
        <f t="shared" si="22"/>
        <v>1028.2839999999999</v>
      </c>
      <c r="AH322" s="342">
        <f t="shared" si="22"/>
        <v>943.62500000000011</v>
      </c>
      <c r="AI322" s="342">
        <f t="shared" si="22"/>
        <v>806.34999999999991</v>
      </c>
      <c r="AJ322" s="342">
        <f t="shared" si="22"/>
        <v>637.15</v>
      </c>
      <c r="AK322" s="342">
        <f t="shared" si="22"/>
        <v>571.36500000000001</v>
      </c>
      <c r="AL322" s="342">
        <f t="shared" si="22"/>
        <v>480.80499999999995</v>
      </c>
      <c r="AM322" s="283"/>
      <c r="AN322" s="283"/>
      <c r="AO322" s="283"/>
      <c r="AP322" s="283"/>
      <c r="AQ322" s="129"/>
      <c r="AR322" s="129"/>
      <c r="AS322" s="283"/>
      <c r="AT322" s="131"/>
      <c r="AU322" s="131"/>
      <c r="AV322" s="283"/>
      <c r="AW322" s="283"/>
      <c r="AX322" s="283"/>
      <c r="AY322" s="132"/>
      <c r="AZ322" s="283"/>
      <c r="BA322" s="283"/>
      <c r="BB322" s="283"/>
    </row>
    <row r="323" spans="1:54">
      <c r="A323" s="283"/>
      <c r="B323" s="343" t="s">
        <v>896</v>
      </c>
      <c r="C323" s="283"/>
      <c r="D323" s="283"/>
      <c r="E323" s="283"/>
      <c r="F323" s="283"/>
      <c r="G323" s="283"/>
      <c r="H323" s="283"/>
      <c r="I323" s="283"/>
      <c r="J323" s="283"/>
      <c r="K323" s="339">
        <f>SUM(K321:K322)</f>
        <v>10812.420000000004</v>
      </c>
      <c r="L323" s="339">
        <f t="shared" ref="L323:AL323" si="23">SUM(L321:L322)</f>
        <v>11042.216000000008</v>
      </c>
      <c r="M323" s="339">
        <f t="shared" si="23"/>
        <v>10549.248000000001</v>
      </c>
      <c r="N323" s="339">
        <f t="shared" si="23"/>
        <v>11138.034000000005</v>
      </c>
      <c r="O323" s="339">
        <f t="shared" si="23"/>
        <v>12477.901999999996</v>
      </c>
      <c r="P323" s="339">
        <f t="shared" si="23"/>
        <v>12876.945999999996</v>
      </c>
      <c r="Q323" s="339">
        <f t="shared" si="23"/>
        <v>12355.593999999997</v>
      </c>
      <c r="R323" s="339">
        <f t="shared" si="23"/>
        <v>11909.254000000003</v>
      </c>
      <c r="S323" s="339">
        <f t="shared" si="23"/>
        <v>12901.020000000006</v>
      </c>
      <c r="T323" s="339">
        <f t="shared" si="23"/>
        <v>13850.196000000004</v>
      </c>
      <c r="U323" s="339">
        <f t="shared" si="23"/>
        <v>14651.758000000003</v>
      </c>
      <c r="V323" s="339">
        <f t="shared" si="23"/>
        <v>17252.024000000009</v>
      </c>
      <c r="W323" s="339">
        <f t="shared" si="23"/>
        <v>14350.896000000004</v>
      </c>
      <c r="X323" s="339">
        <f t="shared" si="23"/>
        <v>13019.665000000008</v>
      </c>
      <c r="Y323" s="339">
        <f t="shared" si="23"/>
        <v>12253.812999999996</v>
      </c>
      <c r="Z323" s="339">
        <f t="shared" si="23"/>
        <v>11056.901999999998</v>
      </c>
      <c r="AA323" s="339">
        <f t="shared" si="23"/>
        <v>10694.864000000003</v>
      </c>
      <c r="AB323" s="339">
        <f t="shared" si="23"/>
        <v>9563.8300000000036</v>
      </c>
      <c r="AC323" s="339">
        <f t="shared" si="23"/>
        <v>9476.648000000001</v>
      </c>
      <c r="AD323" s="339">
        <f t="shared" si="23"/>
        <v>7180.5560000000014</v>
      </c>
      <c r="AE323" s="339">
        <f t="shared" si="23"/>
        <v>5564.1050000000005</v>
      </c>
      <c r="AF323" s="339">
        <f t="shared" si="23"/>
        <v>5156.1150000000016</v>
      </c>
      <c r="AG323" s="339">
        <f t="shared" si="23"/>
        <v>4572.6779999999999</v>
      </c>
      <c r="AH323" s="339">
        <f t="shared" si="23"/>
        <v>3836.7079999999996</v>
      </c>
      <c r="AI323" s="339">
        <f t="shared" si="23"/>
        <v>3604.8650000000021</v>
      </c>
      <c r="AJ323" s="339">
        <f t="shared" si="23"/>
        <v>2692.7720000000004</v>
      </c>
      <c r="AK323" s="339">
        <f t="shared" si="23"/>
        <v>2344.2199999999993</v>
      </c>
      <c r="AL323" s="339">
        <f t="shared" si="23"/>
        <v>2368.0540000000005</v>
      </c>
      <c r="AM323" s="283"/>
      <c r="AN323" s="283"/>
      <c r="AO323" s="283"/>
      <c r="AP323" s="283"/>
      <c r="AQ323" s="129"/>
      <c r="AR323" s="129"/>
      <c r="AS323" s="283"/>
      <c r="AT323" s="131"/>
      <c r="AU323" s="131"/>
      <c r="AV323" s="283"/>
      <c r="AW323" s="283"/>
      <c r="AX323" s="283"/>
      <c r="AY323" s="132"/>
      <c r="AZ323" s="283"/>
      <c r="BA323" s="283"/>
      <c r="BB323" s="283"/>
    </row>
    <row r="324" spans="1:54">
      <c r="A324" s="273"/>
      <c r="B324" s="273"/>
      <c r="C324" s="273"/>
      <c r="D324" s="273"/>
      <c r="E324" s="273"/>
      <c r="F324" s="273"/>
      <c r="G324" s="273"/>
      <c r="H324" s="273"/>
      <c r="I324" s="273"/>
      <c r="J324" s="273"/>
      <c r="K324" s="344">
        <f t="shared" ref="K324:AL324" si="24">K323-SUM(K10:K316)+K294</f>
        <v>-2.3299999999981083</v>
      </c>
      <c r="L324" s="344">
        <f t="shared" si="24"/>
        <v>-91.93000000000211</v>
      </c>
      <c r="M324" s="344">
        <f t="shared" si="24"/>
        <v>1.8189894035458565E-12</v>
      </c>
      <c r="N324" s="344">
        <f t="shared" si="24"/>
        <v>-105.01999999999862</v>
      </c>
      <c r="O324" s="344">
        <f t="shared" si="24"/>
        <v>-1.8189894035458565E-12</v>
      </c>
      <c r="P324" s="344">
        <f t="shared" si="24"/>
        <v>7.2759576141834259E-12</v>
      </c>
      <c r="Q324" s="344">
        <f t="shared" si="24"/>
        <v>-1.8189894035458565E-12</v>
      </c>
      <c r="R324" s="344">
        <f t="shared" si="24"/>
        <v>-1.8189894035458565E-12</v>
      </c>
      <c r="S324" s="344">
        <f t="shared" si="24"/>
        <v>0</v>
      </c>
      <c r="T324" s="344">
        <f t="shared" si="24"/>
        <v>-1.8189894035458565E-12</v>
      </c>
      <c r="U324" s="344">
        <f t="shared" si="24"/>
        <v>7.2759576141834259E-12</v>
      </c>
      <c r="V324" s="344">
        <f t="shared" si="24"/>
        <v>7.2759576141834259E-12</v>
      </c>
      <c r="W324" s="344">
        <f t="shared" si="24"/>
        <v>-1.8189894035458565E-12</v>
      </c>
      <c r="X324" s="344">
        <f t="shared" si="24"/>
        <v>5.4569682106375694E-12</v>
      </c>
      <c r="Y324" s="344">
        <f t="shared" si="24"/>
        <v>-7.2759576141834259E-12</v>
      </c>
      <c r="Z324" s="344">
        <f t="shared" si="24"/>
        <v>0</v>
      </c>
      <c r="AA324" s="344">
        <f t="shared" si="24"/>
        <v>5.4569682106375694E-12</v>
      </c>
      <c r="AB324" s="344">
        <f t="shared" si="24"/>
        <v>3.637978807091713E-12</v>
      </c>
      <c r="AC324" s="344">
        <f t="shared" si="24"/>
        <v>0</v>
      </c>
      <c r="AD324" s="344">
        <f t="shared" si="24"/>
        <v>0</v>
      </c>
      <c r="AE324" s="344">
        <f t="shared" si="24"/>
        <v>2.7284841053187847E-12</v>
      </c>
      <c r="AF324" s="344">
        <f t="shared" si="24"/>
        <v>-9.0949470177292824E-13</v>
      </c>
      <c r="AG324" s="344">
        <f t="shared" si="24"/>
        <v>0</v>
      </c>
      <c r="AH324" s="344">
        <f t="shared" si="24"/>
        <v>-4.5474735088646412E-13</v>
      </c>
      <c r="AI324" s="344">
        <f t="shared" si="24"/>
        <v>-9.0949470177292824E-13</v>
      </c>
      <c r="AJ324" s="344">
        <f t="shared" si="24"/>
        <v>-9.0949470177292824E-13</v>
      </c>
      <c r="AK324" s="344">
        <f t="shared" si="24"/>
        <v>-1.8189894035458565E-12</v>
      </c>
      <c r="AL324" s="344">
        <f t="shared" si="24"/>
        <v>9.0949470177292824E-13</v>
      </c>
      <c r="AM324" s="274"/>
      <c r="AN324" s="274"/>
      <c r="AO324" s="274"/>
      <c r="AP324" s="273"/>
      <c r="AQ324" s="129"/>
      <c r="AR324" s="129"/>
      <c r="AS324" s="273"/>
      <c r="AT324" s="131"/>
      <c r="AU324" s="131"/>
      <c r="AV324" s="273"/>
      <c r="AW324" s="273"/>
      <c r="AX324" s="273"/>
      <c r="AY324" s="132"/>
      <c r="AZ324" s="273"/>
      <c r="BA324" s="273"/>
      <c r="BB324" s="273"/>
    </row>
    <row r="325" spans="1:54">
      <c r="AQ325" s="129"/>
      <c r="AR325" s="129"/>
      <c r="AT325" s="131"/>
      <c r="AU325" s="131"/>
      <c r="AY325" s="132"/>
    </row>
    <row r="326" spans="1:54">
      <c r="AQ326" s="129"/>
      <c r="AR326" s="129"/>
      <c r="AT326" s="131"/>
      <c r="AU326" s="131"/>
      <c r="AY326" s="132"/>
    </row>
    <row r="327" spans="1:54">
      <c r="AQ327" s="129"/>
      <c r="AR327" s="129"/>
      <c r="AT327" s="131"/>
      <c r="AU327" s="131"/>
      <c r="AY327" s="132"/>
    </row>
    <row r="328" spans="1:54">
      <c r="AQ328" s="129"/>
      <c r="AR328" s="129"/>
      <c r="AT328" s="131"/>
      <c r="AU328" s="131"/>
    </row>
    <row r="329" spans="1:54">
      <c r="AQ329" s="129"/>
      <c r="AR329" s="129"/>
      <c r="AT329" s="131"/>
      <c r="AU329" s="131"/>
    </row>
    <row r="330" spans="1:54">
      <c r="AQ330" s="129"/>
      <c r="AR330" s="129"/>
      <c r="AT330" s="131"/>
      <c r="AU330" s="131"/>
    </row>
    <row r="331" spans="1:54">
      <c r="AQ331" s="129"/>
      <c r="AR331" s="129"/>
      <c r="AT331" s="131"/>
      <c r="AU331" s="131"/>
    </row>
    <row r="332" spans="1:54">
      <c r="AQ332" s="129"/>
      <c r="AR332" s="129"/>
      <c r="AT332" s="131"/>
      <c r="AU332" s="131"/>
    </row>
    <row r="333" spans="1:54">
      <c r="AQ333" s="129"/>
      <c r="AR333" s="129"/>
      <c r="AT333" s="131"/>
      <c r="AU333" s="131"/>
    </row>
    <row r="334" spans="1:54">
      <c r="AQ334" s="129"/>
      <c r="AR334" s="129"/>
      <c r="AT334" s="131"/>
      <c r="AU334" s="131"/>
    </row>
    <row r="335" spans="1:54">
      <c r="AQ335" s="129"/>
      <c r="AR335" s="129"/>
      <c r="AT335" s="131"/>
      <c r="AU335" s="131"/>
    </row>
    <row r="336" spans="1:54">
      <c r="AQ336" s="129"/>
      <c r="AR336" s="129"/>
      <c r="AT336" s="131"/>
      <c r="AU336" s="131"/>
    </row>
    <row r="337" spans="43:47">
      <c r="AQ337" s="129"/>
      <c r="AR337" s="129"/>
      <c r="AT337" s="131"/>
      <c r="AU337" s="131"/>
    </row>
    <row r="338" spans="43:47">
      <c r="AQ338" s="129"/>
      <c r="AR338" s="129"/>
      <c r="AT338" s="131"/>
      <c r="AU338" s="131"/>
    </row>
    <row r="339" spans="43:47">
      <c r="AQ339" s="129"/>
      <c r="AR339" s="129"/>
      <c r="AT339" s="131"/>
      <c r="AU339" s="131"/>
    </row>
    <row r="340" spans="43:47">
      <c r="AQ340" s="129"/>
      <c r="AR340" s="129"/>
      <c r="AT340" s="131"/>
      <c r="AU340" s="131"/>
    </row>
    <row r="341" spans="43:47">
      <c r="AQ341" s="129"/>
      <c r="AR341" s="129"/>
      <c r="AT341" s="131"/>
      <c r="AU341" s="131"/>
    </row>
    <row r="342" spans="43:47">
      <c r="AQ342" s="129"/>
      <c r="AR342" s="129"/>
      <c r="AT342" s="131"/>
      <c r="AU342" s="131"/>
    </row>
    <row r="343" spans="43:47">
      <c r="AQ343" s="129"/>
      <c r="AR343" s="129"/>
      <c r="AT343" s="131"/>
      <c r="AU343" s="131"/>
    </row>
    <row r="344" spans="43:47">
      <c r="AQ344" s="129"/>
      <c r="AR344" s="129"/>
      <c r="AT344" s="131"/>
      <c r="AU344" s="131"/>
    </row>
    <row r="345" spans="43:47">
      <c r="AQ345" s="129"/>
      <c r="AR345" s="129"/>
      <c r="AT345" s="131"/>
      <c r="AU345" s="131"/>
    </row>
    <row r="346" spans="43:47">
      <c r="AQ346" s="129"/>
      <c r="AR346" s="129"/>
      <c r="AT346" s="131"/>
      <c r="AU346" s="131"/>
    </row>
    <row r="347" spans="43:47">
      <c r="AQ347" s="129"/>
      <c r="AR347" s="129"/>
      <c r="AT347" s="131"/>
      <c r="AU347" s="131"/>
    </row>
    <row r="348" spans="43:47">
      <c r="AQ348" s="129"/>
      <c r="AR348" s="129"/>
      <c r="AT348" s="131"/>
      <c r="AU348" s="131"/>
    </row>
    <row r="349" spans="43:47">
      <c r="AQ349" s="129"/>
      <c r="AR349" s="129"/>
      <c r="AT349" s="131"/>
      <c r="AU349" s="131"/>
    </row>
    <row r="350" spans="43:47">
      <c r="AQ350" s="129"/>
      <c r="AR350" s="129"/>
      <c r="AT350" s="131"/>
      <c r="AU350" s="131"/>
    </row>
    <row r="351" spans="43:47">
      <c r="AQ351" s="129"/>
      <c r="AR351" s="129"/>
      <c r="AT351" s="131"/>
      <c r="AU351" s="131"/>
    </row>
    <row r="352" spans="43:47">
      <c r="AQ352" s="129"/>
      <c r="AR352" s="129"/>
      <c r="AT352" s="131"/>
      <c r="AU352" s="131"/>
    </row>
    <row r="353" spans="43:47">
      <c r="AQ353" s="129"/>
      <c r="AR353" s="129"/>
      <c r="AT353" s="131"/>
      <c r="AU353" s="131"/>
    </row>
    <row r="354" spans="43:47">
      <c r="AQ354" s="129"/>
      <c r="AR354" s="129"/>
      <c r="AT354" s="131"/>
      <c r="AU354" s="131"/>
    </row>
    <row r="355" spans="43:47">
      <c r="AQ355" s="129"/>
      <c r="AR355" s="129"/>
      <c r="AT355" s="131"/>
      <c r="AU355" s="131"/>
    </row>
    <row r="356" spans="43:47">
      <c r="AQ356" s="129"/>
      <c r="AR356" s="129"/>
      <c r="AT356" s="131"/>
      <c r="AU356" s="131"/>
    </row>
    <row r="357" spans="43:47">
      <c r="AQ357" s="129"/>
      <c r="AR357" s="129"/>
      <c r="AT357" s="131"/>
      <c r="AU357" s="131"/>
    </row>
    <row r="358" spans="43:47">
      <c r="AQ358" s="129"/>
      <c r="AR358" s="129"/>
      <c r="AT358" s="131"/>
      <c r="AU358" s="131"/>
    </row>
    <row r="359" spans="43:47">
      <c r="AQ359" s="129"/>
      <c r="AR359" s="129"/>
      <c r="AT359" s="131"/>
      <c r="AU359" s="131"/>
    </row>
    <row r="360" spans="43:47">
      <c r="AQ360" s="129"/>
      <c r="AR360" s="129"/>
      <c r="AT360" s="131"/>
      <c r="AU360" s="131"/>
    </row>
    <row r="361" spans="43:47">
      <c r="AQ361" s="129"/>
      <c r="AR361" s="129"/>
      <c r="AT361" s="131"/>
      <c r="AU361" s="131"/>
    </row>
    <row r="362" spans="43:47">
      <c r="AQ362" s="129"/>
      <c r="AR362" s="129"/>
      <c r="AT362" s="131"/>
      <c r="AU362" s="131"/>
    </row>
    <row r="363" spans="43:47">
      <c r="AQ363" s="129"/>
      <c r="AR363" s="129"/>
      <c r="AT363" s="131"/>
      <c r="AU363" s="131"/>
    </row>
    <row r="364" spans="43:47">
      <c r="AQ364" s="129"/>
      <c r="AR364" s="129"/>
      <c r="AT364" s="131"/>
      <c r="AU364" s="131"/>
    </row>
    <row r="365" spans="43:47">
      <c r="AQ365" s="129"/>
      <c r="AR365" s="129"/>
      <c r="AT365" s="131"/>
      <c r="AU365" s="131"/>
    </row>
    <row r="366" spans="43:47">
      <c r="AQ366" s="129"/>
      <c r="AR366" s="129"/>
      <c r="AT366" s="131"/>
      <c r="AU366" s="131"/>
    </row>
    <row r="367" spans="43:47">
      <c r="AQ367" s="129"/>
      <c r="AR367" s="129"/>
      <c r="AT367" s="131"/>
      <c r="AU367" s="131"/>
    </row>
    <row r="368" spans="43:47">
      <c r="AQ368" s="129"/>
      <c r="AR368" s="129"/>
      <c r="AT368" s="131"/>
      <c r="AU368" s="131"/>
    </row>
    <row r="369" spans="43:47">
      <c r="AQ369" s="129"/>
      <c r="AR369" s="129"/>
      <c r="AT369" s="131"/>
      <c r="AU369" s="131"/>
    </row>
    <row r="370" spans="43:47">
      <c r="AQ370" s="129"/>
      <c r="AR370" s="129"/>
      <c r="AT370" s="131"/>
      <c r="AU370" s="131"/>
    </row>
    <row r="371" spans="43:47">
      <c r="AQ371" s="129"/>
      <c r="AR371" s="129"/>
      <c r="AT371" s="131"/>
      <c r="AU371" s="131"/>
    </row>
    <row r="372" spans="43:47">
      <c r="AQ372" s="129"/>
      <c r="AR372" s="129"/>
      <c r="AT372" s="131"/>
      <c r="AU372" s="131"/>
    </row>
    <row r="373" spans="43:47">
      <c r="AQ373" s="129"/>
      <c r="AR373" s="129"/>
      <c r="AT373" s="131"/>
      <c r="AU373" s="131"/>
    </row>
    <row r="374" spans="43:47">
      <c r="AQ374" s="129"/>
      <c r="AR374" s="129"/>
      <c r="AT374" s="131"/>
      <c r="AU374" s="131"/>
    </row>
    <row r="375" spans="43:47">
      <c r="AQ375" s="129"/>
      <c r="AR375" s="129"/>
      <c r="AT375" s="131"/>
      <c r="AU375" s="131"/>
    </row>
    <row r="376" spans="43:47">
      <c r="AQ376" s="129"/>
      <c r="AR376" s="129"/>
      <c r="AT376" s="131"/>
      <c r="AU376" s="131"/>
    </row>
    <row r="377" spans="43:47">
      <c r="AQ377" s="129"/>
      <c r="AR377" s="129"/>
      <c r="AT377" s="131"/>
      <c r="AU377" s="131"/>
    </row>
    <row r="378" spans="43:47">
      <c r="AQ378" s="129"/>
      <c r="AR378" s="129"/>
      <c r="AT378" s="131"/>
      <c r="AU378" s="131"/>
    </row>
    <row r="379" spans="43:47">
      <c r="AQ379" s="129"/>
      <c r="AR379" s="129"/>
      <c r="AT379" s="131"/>
      <c r="AU379" s="131"/>
    </row>
    <row r="380" spans="43:47">
      <c r="AQ380" s="129"/>
      <c r="AR380" s="129"/>
      <c r="AT380" s="131"/>
      <c r="AU380" s="131"/>
    </row>
    <row r="381" spans="43:47">
      <c r="AQ381" s="129"/>
      <c r="AR381" s="129"/>
      <c r="AT381" s="131"/>
      <c r="AU381" s="131"/>
    </row>
    <row r="382" spans="43:47">
      <c r="AQ382" s="129"/>
      <c r="AR382" s="129"/>
      <c r="AT382" s="131"/>
      <c r="AU382" s="131"/>
    </row>
    <row r="383" spans="43:47">
      <c r="AQ383" s="129"/>
      <c r="AR383" s="129"/>
      <c r="AT383" s="131"/>
      <c r="AU383" s="131"/>
    </row>
    <row r="384" spans="43:47">
      <c r="AQ384" s="129"/>
      <c r="AR384" s="129"/>
      <c r="AT384" s="131"/>
      <c r="AU384" s="131"/>
    </row>
    <row r="385" spans="43:47">
      <c r="AQ385" s="129"/>
      <c r="AR385" s="129"/>
      <c r="AT385" s="131"/>
      <c r="AU385" s="131"/>
    </row>
    <row r="386" spans="43:47">
      <c r="AQ386" s="129"/>
      <c r="AR386" s="129"/>
      <c r="AT386" s="131"/>
      <c r="AU386" s="131"/>
    </row>
    <row r="387" spans="43:47">
      <c r="AQ387" s="129"/>
      <c r="AR387" s="129"/>
      <c r="AT387" s="131"/>
      <c r="AU387" s="131"/>
    </row>
    <row r="388" spans="43:47">
      <c r="AQ388" s="129"/>
      <c r="AR388" s="129"/>
      <c r="AT388" s="131"/>
      <c r="AU388" s="131"/>
    </row>
    <row r="389" spans="43:47">
      <c r="AQ389" s="129"/>
      <c r="AR389" s="129"/>
      <c r="AT389" s="131"/>
      <c r="AU389" s="131"/>
    </row>
    <row r="390" spans="43:47">
      <c r="AQ390" s="129"/>
      <c r="AR390" s="129"/>
      <c r="AT390" s="131"/>
      <c r="AU390" s="131"/>
    </row>
    <row r="391" spans="43:47">
      <c r="AQ391" s="129"/>
      <c r="AR391" s="129"/>
      <c r="AT391" s="131"/>
      <c r="AU391" s="131"/>
    </row>
    <row r="392" spans="43:47">
      <c r="AQ392" s="129"/>
      <c r="AR392" s="129"/>
      <c r="AT392" s="131"/>
      <c r="AU392" s="131"/>
    </row>
    <row r="393" spans="43:47">
      <c r="AQ393" s="129"/>
      <c r="AR393" s="129"/>
      <c r="AT393" s="131"/>
      <c r="AU393" s="131"/>
    </row>
    <row r="394" spans="43:47">
      <c r="AQ394" s="129"/>
      <c r="AR394" s="129"/>
      <c r="AT394" s="131"/>
      <c r="AU394" s="131"/>
    </row>
    <row r="395" spans="43:47">
      <c r="AQ395" s="129"/>
      <c r="AR395" s="129"/>
      <c r="AT395" s="131"/>
      <c r="AU395" s="131"/>
    </row>
    <row r="396" spans="43:47">
      <c r="AQ396" s="129"/>
      <c r="AR396" s="129"/>
      <c r="AT396" s="131"/>
      <c r="AU396" s="131"/>
    </row>
    <row r="397" spans="43:47">
      <c r="AQ397" s="129"/>
      <c r="AR397" s="129"/>
      <c r="AT397" s="131"/>
      <c r="AU397" s="131"/>
    </row>
    <row r="398" spans="43:47">
      <c r="AQ398" s="129"/>
      <c r="AR398" s="129"/>
      <c r="AT398" s="131"/>
      <c r="AU398" s="131"/>
    </row>
    <row r="399" spans="43:47">
      <c r="AQ399" s="129"/>
      <c r="AR399" s="129"/>
      <c r="AT399" s="131"/>
      <c r="AU399" s="131"/>
    </row>
    <row r="400" spans="43:47">
      <c r="AQ400" s="129"/>
      <c r="AR400" s="129"/>
      <c r="AT400" s="131"/>
      <c r="AU400" s="131"/>
    </row>
    <row r="401" spans="43:47">
      <c r="AQ401" s="129"/>
      <c r="AR401" s="129"/>
      <c r="AT401" s="131"/>
      <c r="AU401" s="131"/>
    </row>
    <row r="402" spans="43:47">
      <c r="AQ402" s="129"/>
      <c r="AR402" s="129"/>
      <c r="AT402" s="131"/>
      <c r="AU402" s="131"/>
    </row>
    <row r="403" spans="43:47">
      <c r="AQ403" s="129"/>
      <c r="AR403" s="129"/>
      <c r="AT403" s="131"/>
      <c r="AU403" s="131"/>
    </row>
    <row r="404" spans="43:47">
      <c r="AQ404" s="129"/>
      <c r="AR404" s="129"/>
      <c r="AT404" s="131"/>
      <c r="AU404" s="131"/>
    </row>
    <row r="405" spans="43:47">
      <c r="AQ405" s="129"/>
      <c r="AR405" s="129"/>
      <c r="AT405" s="131"/>
      <c r="AU405" s="131"/>
    </row>
    <row r="406" spans="43:47">
      <c r="AQ406" s="129"/>
      <c r="AR406" s="129"/>
      <c r="AT406" s="131"/>
      <c r="AU406" s="131"/>
    </row>
    <row r="407" spans="43:47">
      <c r="AQ407" s="129"/>
      <c r="AR407" s="129"/>
      <c r="AT407" s="131"/>
      <c r="AU407" s="131"/>
    </row>
    <row r="408" spans="43:47">
      <c r="AQ408" s="129"/>
      <c r="AR408" s="129"/>
      <c r="AT408" s="131"/>
      <c r="AU408" s="131"/>
    </row>
    <row r="409" spans="43:47">
      <c r="AQ409" s="129"/>
      <c r="AR409" s="129"/>
      <c r="AT409" s="131"/>
      <c r="AU409" s="131"/>
    </row>
    <row r="410" spans="43:47">
      <c r="AQ410" s="129"/>
      <c r="AR410" s="129"/>
      <c r="AT410" s="131"/>
      <c r="AU410" s="131"/>
    </row>
    <row r="411" spans="43:47">
      <c r="AQ411" s="129"/>
      <c r="AR411" s="129"/>
      <c r="AT411" s="131"/>
      <c r="AU411" s="131"/>
    </row>
    <row r="412" spans="43:47">
      <c r="AQ412" s="129"/>
      <c r="AR412" s="129"/>
      <c r="AT412" s="131"/>
      <c r="AU412" s="131"/>
    </row>
    <row r="413" spans="43:47">
      <c r="AQ413" s="129"/>
      <c r="AR413" s="129"/>
      <c r="AT413" s="131"/>
      <c r="AU413" s="131"/>
    </row>
    <row r="414" spans="43:47">
      <c r="AT414" s="131"/>
      <c r="AU414" s="131"/>
    </row>
    <row r="415" spans="43:47">
      <c r="AT415" s="131"/>
      <c r="AU415" s="131"/>
    </row>
    <row r="416" spans="43:47">
      <c r="AT416" s="131"/>
      <c r="AU416" s="131"/>
    </row>
    <row r="417" spans="46:47">
      <c r="AT417" s="131"/>
      <c r="AU417" s="131"/>
    </row>
    <row r="418" spans="46:47">
      <c r="AT418" s="131"/>
      <c r="AU418" s="131"/>
    </row>
    <row r="419" spans="46:47">
      <c r="AT419" s="131"/>
      <c r="AU419" s="131"/>
    </row>
    <row r="420" spans="46:47">
      <c r="AT420" s="131"/>
      <c r="AU420" s="131"/>
    </row>
    <row r="421" spans="46:47">
      <c r="AT421" s="131"/>
      <c r="AU421" s="131"/>
    </row>
    <row r="422" spans="46:47">
      <c r="AT422" s="131"/>
      <c r="AU422" s="131"/>
    </row>
    <row r="423" spans="46:47">
      <c r="AT423" s="131"/>
      <c r="AU423" s="131"/>
    </row>
    <row r="424" spans="46:47">
      <c r="AT424" s="131"/>
      <c r="AU424" s="131"/>
    </row>
    <row r="425" spans="46:47">
      <c r="AT425" s="131"/>
      <c r="AU425" s="131"/>
    </row>
    <row r="426" spans="46:47">
      <c r="AT426" s="131"/>
      <c r="AU426" s="131"/>
    </row>
    <row r="427" spans="46:47">
      <c r="AT427" s="131"/>
      <c r="AU427" s="131"/>
    </row>
    <row r="428" spans="46:47">
      <c r="AT428" s="131"/>
      <c r="AU428" s="131"/>
    </row>
    <row r="429" spans="46:47">
      <c r="AT429" s="131"/>
      <c r="AU429" s="131"/>
    </row>
    <row r="430" spans="46:47">
      <c r="AT430" s="131"/>
      <c r="AU430" s="131"/>
    </row>
    <row r="431" spans="46:47">
      <c r="AT431" s="131"/>
      <c r="AU431" s="131"/>
    </row>
    <row r="432" spans="46:47">
      <c r="AT432" s="131"/>
      <c r="AU432" s="131"/>
    </row>
    <row r="433" spans="46:47">
      <c r="AT433" s="131"/>
      <c r="AU433" s="131"/>
    </row>
    <row r="434" spans="46:47">
      <c r="AT434" s="131"/>
      <c r="AU434" s="131"/>
    </row>
    <row r="435" spans="46:47">
      <c r="AT435" s="131"/>
      <c r="AU435" s="131"/>
    </row>
    <row r="436" spans="46:47">
      <c r="AT436" s="131"/>
      <c r="AU436" s="131"/>
    </row>
    <row r="437" spans="46:47">
      <c r="AT437" s="131"/>
      <c r="AU437" s="131"/>
    </row>
    <row r="438" spans="46:47">
      <c r="AT438" s="131"/>
      <c r="AU438" s="131"/>
    </row>
    <row r="439" spans="46:47">
      <c r="AT439" s="131"/>
      <c r="AU439" s="131"/>
    </row>
    <row r="440" spans="46:47">
      <c r="AT440" s="131"/>
      <c r="AU440" s="131"/>
    </row>
    <row r="441" spans="46:47">
      <c r="AT441" s="131"/>
      <c r="AU441" s="131"/>
    </row>
    <row r="442" spans="46:47">
      <c r="AT442" s="131"/>
      <c r="AU442" s="131"/>
    </row>
    <row r="443" spans="46:47">
      <c r="AT443" s="131"/>
      <c r="AU443" s="131"/>
    </row>
    <row r="444" spans="46:47">
      <c r="AT444" s="131"/>
      <c r="AU444" s="131"/>
    </row>
    <row r="445" spans="46:47">
      <c r="AT445" s="131"/>
      <c r="AU445" s="131"/>
    </row>
    <row r="446" spans="46:47">
      <c r="AT446" s="131"/>
      <c r="AU446" s="131"/>
    </row>
    <row r="447" spans="46:47">
      <c r="AT447" s="131"/>
      <c r="AU447" s="131"/>
    </row>
    <row r="448" spans="46:47">
      <c r="AT448" s="131"/>
      <c r="AU448" s="131"/>
    </row>
    <row r="449" spans="46:47">
      <c r="AT449" s="131"/>
      <c r="AU449" s="131"/>
    </row>
    <row r="450" spans="46:47">
      <c r="AT450" s="131"/>
      <c r="AU450" s="131"/>
    </row>
    <row r="451" spans="46:47">
      <c r="AT451" s="131"/>
      <c r="AU451" s="131"/>
    </row>
    <row r="452" spans="46:47">
      <c r="AT452" s="131"/>
      <c r="AU452" s="131"/>
    </row>
    <row r="453" spans="46:47">
      <c r="AT453" s="131"/>
      <c r="AU453" s="131"/>
    </row>
    <row r="454" spans="46:47">
      <c r="AT454" s="131"/>
      <c r="AU454" s="131"/>
    </row>
    <row r="455" spans="46:47">
      <c r="AT455" s="131"/>
      <c r="AU455" s="131"/>
    </row>
    <row r="456" spans="46:47">
      <c r="AT456" s="131"/>
      <c r="AU456" s="131"/>
    </row>
    <row r="457" spans="46:47">
      <c r="AT457" s="131"/>
      <c r="AU457" s="131"/>
    </row>
    <row r="458" spans="46:47">
      <c r="AT458" s="131"/>
      <c r="AU458" s="131"/>
    </row>
    <row r="459" spans="46:47">
      <c r="AT459" s="131"/>
      <c r="AU459" s="131"/>
    </row>
    <row r="460" spans="46:47">
      <c r="AT460" s="131"/>
      <c r="AU460" s="131"/>
    </row>
    <row r="461" spans="46:47">
      <c r="AT461" s="131"/>
      <c r="AU461" s="131"/>
    </row>
    <row r="462" spans="46:47">
      <c r="AT462" s="131"/>
      <c r="AU462" s="131"/>
    </row>
    <row r="463" spans="46:47">
      <c r="AT463" s="131"/>
      <c r="AU463" s="131"/>
    </row>
    <row r="464" spans="46:47">
      <c r="AT464" s="131"/>
      <c r="AU464" s="131"/>
    </row>
    <row r="465" spans="46:47">
      <c r="AT465" s="131"/>
      <c r="AU465" s="131"/>
    </row>
    <row r="466" spans="46:47">
      <c r="AT466" s="131"/>
      <c r="AU466" s="131"/>
    </row>
    <row r="467" spans="46:47">
      <c r="AT467" s="131"/>
      <c r="AU467" s="131"/>
    </row>
    <row r="468" spans="46:47">
      <c r="AT468" s="131"/>
      <c r="AU468" s="131"/>
    </row>
    <row r="469" spans="46:47">
      <c r="AT469" s="131"/>
      <c r="AU469" s="131"/>
    </row>
    <row r="470" spans="46:47">
      <c r="AT470" s="131"/>
      <c r="AU470" s="131"/>
    </row>
    <row r="471" spans="46:47">
      <c r="AT471" s="131"/>
      <c r="AU471" s="131"/>
    </row>
    <row r="472" spans="46:47">
      <c r="AT472" s="131"/>
      <c r="AU472" s="131"/>
    </row>
    <row r="473" spans="46:47">
      <c r="AT473" s="131"/>
      <c r="AU473" s="131"/>
    </row>
    <row r="474" spans="46:47">
      <c r="AT474" s="131"/>
      <c r="AU474" s="131"/>
    </row>
    <row r="475" spans="46:47">
      <c r="AT475" s="131"/>
      <c r="AU475" s="131"/>
    </row>
    <row r="476" spans="46:47">
      <c r="AT476" s="131"/>
      <c r="AU476" s="131"/>
    </row>
    <row r="477" spans="46:47">
      <c r="AT477" s="131"/>
      <c r="AU477" s="131"/>
    </row>
    <row r="478" spans="46:47">
      <c r="AT478" s="131"/>
      <c r="AU478" s="131"/>
    </row>
    <row r="479" spans="46:47">
      <c r="AT479" s="131"/>
      <c r="AU479" s="131"/>
    </row>
    <row r="480" spans="46:47">
      <c r="AT480" s="131"/>
      <c r="AU480" s="131"/>
    </row>
    <row r="481" spans="46:47">
      <c r="AT481" s="131"/>
      <c r="AU481" s="131"/>
    </row>
    <row r="482" spans="46:47">
      <c r="AT482" s="131"/>
      <c r="AU482" s="131"/>
    </row>
    <row r="483" spans="46:47">
      <c r="AT483" s="131"/>
      <c r="AU483" s="131"/>
    </row>
    <row r="484" spans="46:47">
      <c r="AT484" s="131"/>
      <c r="AU484" s="131"/>
    </row>
    <row r="485" spans="46:47">
      <c r="AT485" s="131"/>
      <c r="AU485" s="131"/>
    </row>
    <row r="486" spans="46:47">
      <c r="AT486" s="131"/>
      <c r="AU486" s="131"/>
    </row>
    <row r="487" spans="46:47">
      <c r="AT487" s="131"/>
      <c r="AU487" s="131"/>
    </row>
    <row r="488" spans="46:47">
      <c r="AT488" s="131"/>
      <c r="AU488" s="131"/>
    </row>
    <row r="489" spans="46:47">
      <c r="AT489" s="131"/>
      <c r="AU489" s="131"/>
    </row>
    <row r="490" spans="46:47">
      <c r="AT490" s="131"/>
      <c r="AU490" s="131"/>
    </row>
    <row r="491" spans="46:47">
      <c r="AT491" s="131"/>
      <c r="AU491" s="131"/>
    </row>
    <row r="492" spans="46:47">
      <c r="AT492" s="131"/>
      <c r="AU492" s="131"/>
    </row>
    <row r="493" spans="46:47">
      <c r="AT493" s="131"/>
      <c r="AU493" s="131"/>
    </row>
    <row r="494" spans="46:47">
      <c r="AT494" s="131"/>
      <c r="AU494" s="131"/>
    </row>
    <row r="495" spans="46:47">
      <c r="AT495" s="131"/>
      <c r="AU495" s="131"/>
    </row>
    <row r="496" spans="46:47">
      <c r="AT496" s="131"/>
      <c r="AU496" s="131"/>
    </row>
    <row r="497" spans="46:47">
      <c r="AT497" s="131"/>
      <c r="AU497" s="131"/>
    </row>
    <row r="498" spans="46:47">
      <c r="AT498" s="131"/>
      <c r="AU498" s="131"/>
    </row>
    <row r="499" spans="46:47">
      <c r="AT499" s="131"/>
      <c r="AU499" s="131"/>
    </row>
    <row r="500" spans="46:47">
      <c r="AT500" s="131"/>
      <c r="AU500" s="131"/>
    </row>
    <row r="501" spans="46:47">
      <c r="AT501" s="131"/>
      <c r="AU501" s="131"/>
    </row>
    <row r="502" spans="46:47">
      <c r="AT502" s="131"/>
      <c r="AU502" s="131"/>
    </row>
    <row r="503" spans="46:47">
      <c r="AT503" s="131"/>
      <c r="AU503" s="131"/>
    </row>
    <row r="504" spans="46:47">
      <c r="AT504" s="131"/>
      <c r="AU504" s="131"/>
    </row>
    <row r="505" spans="46:47">
      <c r="AT505" s="131"/>
      <c r="AU505" s="131"/>
    </row>
    <row r="506" spans="46:47">
      <c r="AT506" s="131"/>
      <c r="AU506" s="131"/>
    </row>
    <row r="507" spans="46:47">
      <c r="AT507" s="131"/>
      <c r="AU507" s="131"/>
    </row>
    <row r="508" spans="46:47">
      <c r="AT508" s="131"/>
      <c r="AU508" s="131"/>
    </row>
    <row r="509" spans="46:47">
      <c r="AT509" s="131"/>
      <c r="AU509" s="131"/>
    </row>
    <row r="510" spans="46:47">
      <c r="AT510" s="131"/>
      <c r="AU510" s="131"/>
    </row>
    <row r="511" spans="46:47">
      <c r="AT511" s="131"/>
      <c r="AU511" s="131"/>
    </row>
    <row r="512" spans="46:47">
      <c r="AT512" s="131"/>
      <c r="AU512" s="131"/>
    </row>
    <row r="513" spans="46:47">
      <c r="AT513" s="131"/>
      <c r="AU513" s="131"/>
    </row>
    <row r="514" spans="46:47">
      <c r="AT514" s="131"/>
      <c r="AU514" s="131"/>
    </row>
    <row r="515" spans="46:47">
      <c r="AT515" s="131"/>
      <c r="AU515" s="131"/>
    </row>
    <row r="516" spans="46:47">
      <c r="AT516" s="131"/>
      <c r="AU516" s="131"/>
    </row>
    <row r="517" spans="46:47">
      <c r="AT517" s="131"/>
      <c r="AU517" s="131"/>
    </row>
    <row r="518" spans="46:47">
      <c r="AT518" s="131"/>
      <c r="AU518" s="131"/>
    </row>
    <row r="519" spans="46:47">
      <c r="AT519" s="131"/>
      <c r="AU519" s="131"/>
    </row>
    <row r="520" spans="46:47">
      <c r="AT520" s="131"/>
      <c r="AU520" s="131"/>
    </row>
    <row r="521" spans="46:47">
      <c r="AT521" s="131"/>
      <c r="AU521" s="131"/>
    </row>
    <row r="522" spans="46:47">
      <c r="AT522" s="131"/>
      <c r="AU522" s="131"/>
    </row>
    <row r="523" spans="46:47">
      <c r="AT523" s="131"/>
      <c r="AU523" s="131"/>
    </row>
    <row r="524" spans="46:47">
      <c r="AT524" s="131"/>
      <c r="AU524" s="131"/>
    </row>
    <row r="525" spans="46:47">
      <c r="AT525" s="131"/>
      <c r="AU525" s="131"/>
    </row>
    <row r="526" spans="46:47">
      <c r="AT526" s="131"/>
      <c r="AU526" s="131"/>
    </row>
    <row r="527" spans="46:47">
      <c r="AT527" s="131"/>
      <c r="AU527" s="131"/>
    </row>
    <row r="528" spans="46:47">
      <c r="AT528" s="131"/>
      <c r="AU528" s="131"/>
    </row>
    <row r="529" spans="46:47">
      <c r="AT529" s="131"/>
      <c r="AU529" s="131"/>
    </row>
    <row r="530" spans="46:47">
      <c r="AT530" s="131"/>
      <c r="AU530" s="131"/>
    </row>
    <row r="531" spans="46:47">
      <c r="AT531" s="131"/>
      <c r="AU531" s="131"/>
    </row>
    <row r="532" spans="46:47">
      <c r="AT532" s="131"/>
      <c r="AU532" s="131"/>
    </row>
    <row r="533" spans="46:47">
      <c r="AT533" s="131"/>
      <c r="AU533" s="131"/>
    </row>
    <row r="534" spans="46:47">
      <c r="AT534" s="131"/>
      <c r="AU534" s="131"/>
    </row>
    <row r="535" spans="46:47">
      <c r="AT535" s="131"/>
      <c r="AU535" s="131"/>
    </row>
    <row r="536" spans="46:47">
      <c r="AT536" s="131"/>
      <c r="AU536" s="131"/>
    </row>
    <row r="537" spans="46:47">
      <c r="AT537" s="131"/>
      <c r="AU537" s="131"/>
    </row>
    <row r="538" spans="46:47">
      <c r="AT538" s="131"/>
      <c r="AU538" s="131"/>
    </row>
    <row r="539" spans="46:47">
      <c r="AT539" s="131"/>
      <c r="AU539" s="131"/>
    </row>
    <row r="540" spans="46:47">
      <c r="AT540" s="131"/>
      <c r="AU540" s="131"/>
    </row>
    <row r="541" spans="46:47">
      <c r="AT541" s="131"/>
      <c r="AU541" s="131"/>
    </row>
    <row r="542" spans="46:47">
      <c r="AT542" s="131"/>
      <c r="AU542" s="131"/>
    </row>
    <row r="543" spans="46:47">
      <c r="AT543" s="131"/>
      <c r="AU543" s="131"/>
    </row>
    <row r="544" spans="46:47">
      <c r="AT544" s="131"/>
      <c r="AU544" s="131"/>
    </row>
    <row r="545" spans="46:47">
      <c r="AT545" s="131"/>
      <c r="AU545" s="131"/>
    </row>
    <row r="546" spans="46:47">
      <c r="AT546" s="131"/>
      <c r="AU546" s="131"/>
    </row>
    <row r="547" spans="46:47">
      <c r="AT547" s="131"/>
      <c r="AU547" s="131"/>
    </row>
    <row r="548" spans="46:47">
      <c r="AT548" s="131"/>
      <c r="AU548" s="131"/>
    </row>
    <row r="549" spans="46:47">
      <c r="AT549" s="131"/>
      <c r="AU549" s="131"/>
    </row>
    <row r="550" spans="46:47">
      <c r="AT550" s="131"/>
      <c r="AU550" s="131"/>
    </row>
    <row r="551" spans="46:47">
      <c r="AT551" s="131"/>
      <c r="AU551" s="131"/>
    </row>
    <row r="552" spans="46:47">
      <c r="AT552" s="131"/>
      <c r="AU552" s="131"/>
    </row>
    <row r="553" spans="46:47">
      <c r="AT553" s="131"/>
      <c r="AU553" s="131"/>
    </row>
    <row r="554" spans="46:47">
      <c r="AT554" s="131"/>
      <c r="AU554" s="131"/>
    </row>
    <row r="555" spans="46:47">
      <c r="AT555" s="131"/>
      <c r="AU555" s="131"/>
    </row>
    <row r="556" spans="46:47">
      <c r="AT556" s="131"/>
      <c r="AU556" s="131"/>
    </row>
    <row r="557" spans="46:47">
      <c r="AT557" s="131"/>
      <c r="AU557" s="131"/>
    </row>
    <row r="558" spans="46:47">
      <c r="AT558" s="131"/>
      <c r="AU558" s="131"/>
    </row>
    <row r="559" spans="46:47">
      <c r="AT559" s="131"/>
      <c r="AU559" s="131"/>
    </row>
    <row r="560" spans="46:47">
      <c r="AT560" s="131"/>
      <c r="AU560" s="131"/>
    </row>
    <row r="561" spans="46:47">
      <c r="AT561" s="131"/>
      <c r="AU561" s="131"/>
    </row>
    <row r="562" spans="46:47">
      <c r="AT562" s="131"/>
      <c r="AU562" s="131"/>
    </row>
    <row r="563" spans="46:47">
      <c r="AT563" s="131"/>
      <c r="AU563" s="131"/>
    </row>
    <row r="564" spans="46:47">
      <c r="AT564" s="131"/>
      <c r="AU564" s="131"/>
    </row>
    <row r="565" spans="46:47">
      <c r="AT565" s="131"/>
      <c r="AU565" s="131"/>
    </row>
    <row r="566" spans="46:47">
      <c r="AT566" s="131"/>
      <c r="AU566" s="131"/>
    </row>
    <row r="567" spans="46:47">
      <c r="AT567" s="131"/>
      <c r="AU567" s="131"/>
    </row>
    <row r="568" spans="46:47">
      <c r="AT568" s="131"/>
      <c r="AU568" s="131"/>
    </row>
    <row r="569" spans="46:47">
      <c r="AT569" s="131"/>
      <c r="AU569" s="131"/>
    </row>
    <row r="570" spans="46:47">
      <c r="AT570" s="131"/>
      <c r="AU570" s="131"/>
    </row>
    <row r="571" spans="46:47">
      <c r="AT571" s="131"/>
      <c r="AU571" s="131"/>
    </row>
    <row r="572" spans="46:47">
      <c r="AT572" s="131"/>
      <c r="AU572" s="131"/>
    </row>
    <row r="573" spans="46:47">
      <c r="AT573" s="131"/>
      <c r="AU573" s="131"/>
    </row>
    <row r="574" spans="46:47">
      <c r="AT574" s="131"/>
      <c r="AU574" s="131"/>
    </row>
    <row r="575" spans="46:47">
      <c r="AT575" s="131"/>
      <c r="AU575" s="131"/>
    </row>
    <row r="576" spans="46:47">
      <c r="AT576" s="131"/>
      <c r="AU576" s="131"/>
    </row>
    <row r="577" spans="46:47">
      <c r="AT577" s="131"/>
      <c r="AU577" s="131"/>
    </row>
    <row r="578" spans="46:47">
      <c r="AT578" s="131"/>
      <c r="AU578" s="131"/>
    </row>
    <row r="579" spans="46:47">
      <c r="AT579" s="131"/>
      <c r="AU579" s="131"/>
    </row>
    <row r="580" spans="46:47">
      <c r="AT580" s="131"/>
      <c r="AU580" s="131"/>
    </row>
    <row r="581" spans="46:47">
      <c r="AT581" s="131"/>
      <c r="AU581" s="131"/>
    </row>
    <row r="582" spans="46:47">
      <c r="AT582" s="131"/>
      <c r="AU582" s="131"/>
    </row>
    <row r="583" spans="46:47">
      <c r="AT583" s="131"/>
      <c r="AU583" s="131"/>
    </row>
    <row r="584" spans="46:47">
      <c r="AT584" s="131"/>
      <c r="AU584" s="131"/>
    </row>
    <row r="585" spans="46:47">
      <c r="AT585" s="131"/>
      <c r="AU585" s="131"/>
    </row>
    <row r="586" spans="46:47">
      <c r="AT586" s="131"/>
      <c r="AU586" s="131"/>
    </row>
    <row r="587" spans="46:47">
      <c r="AT587" s="131"/>
      <c r="AU587" s="131"/>
    </row>
    <row r="588" spans="46:47">
      <c r="AT588" s="131"/>
      <c r="AU588" s="131"/>
    </row>
    <row r="589" spans="46:47">
      <c r="AT589" s="131"/>
      <c r="AU589" s="131"/>
    </row>
    <row r="590" spans="46:47">
      <c r="AT590" s="131"/>
      <c r="AU590" s="131"/>
    </row>
    <row r="591" spans="46:47">
      <c r="AT591" s="131"/>
      <c r="AU591" s="131"/>
    </row>
    <row r="592" spans="46:47">
      <c r="AT592" s="131"/>
      <c r="AU592" s="131"/>
    </row>
    <row r="593" spans="46:47">
      <c r="AT593" s="131"/>
      <c r="AU593" s="131"/>
    </row>
    <row r="594" spans="46:47">
      <c r="AT594" s="131"/>
      <c r="AU594" s="131"/>
    </row>
    <row r="595" spans="46:47">
      <c r="AT595" s="131"/>
      <c r="AU595" s="131"/>
    </row>
    <row r="596" spans="46:47">
      <c r="AT596" s="131"/>
      <c r="AU596" s="131"/>
    </row>
    <row r="597" spans="46:47">
      <c r="AT597" s="131"/>
      <c r="AU597" s="131"/>
    </row>
    <row r="598" spans="46:47">
      <c r="AT598" s="131"/>
      <c r="AU598" s="131"/>
    </row>
    <row r="599" spans="46:47">
      <c r="AT599" s="131"/>
      <c r="AU599" s="131"/>
    </row>
    <row r="600" spans="46:47">
      <c r="AT600" s="131"/>
      <c r="AU600" s="131"/>
    </row>
    <row r="601" spans="46:47">
      <c r="AT601" s="131"/>
      <c r="AU601" s="131"/>
    </row>
    <row r="602" spans="46:47">
      <c r="AT602" s="131"/>
      <c r="AU602" s="131"/>
    </row>
    <row r="603" spans="46:47">
      <c r="AT603" s="131"/>
      <c r="AU603" s="131"/>
    </row>
    <row r="604" spans="46:47">
      <c r="AT604" s="131"/>
      <c r="AU604" s="131"/>
    </row>
    <row r="605" spans="46:47">
      <c r="AT605" s="131"/>
      <c r="AU605" s="131"/>
    </row>
    <row r="606" spans="46:47">
      <c r="AT606" s="131"/>
      <c r="AU606" s="131"/>
    </row>
    <row r="607" spans="46:47">
      <c r="AT607" s="131"/>
      <c r="AU607" s="131"/>
    </row>
    <row r="608" spans="46:47">
      <c r="AT608" s="131"/>
      <c r="AU608" s="131"/>
    </row>
    <row r="609" spans="46:47">
      <c r="AT609" s="131"/>
      <c r="AU609" s="131"/>
    </row>
    <row r="610" spans="46:47">
      <c r="AT610" s="131"/>
      <c r="AU610" s="131"/>
    </row>
    <row r="611" spans="46:47">
      <c r="AT611" s="131"/>
      <c r="AU611" s="131"/>
    </row>
    <row r="612" spans="46:47">
      <c r="AT612" s="131"/>
      <c r="AU612" s="131"/>
    </row>
    <row r="613" spans="46:47">
      <c r="AT613" s="131"/>
      <c r="AU613" s="131"/>
    </row>
    <row r="614" spans="46:47">
      <c r="AT614" s="131"/>
      <c r="AU614" s="131"/>
    </row>
    <row r="615" spans="46:47">
      <c r="AT615" s="131"/>
      <c r="AU615" s="131"/>
    </row>
    <row r="616" spans="46:47">
      <c r="AT616" s="131"/>
      <c r="AU616" s="131"/>
    </row>
    <row r="617" spans="46:47">
      <c r="AT617" s="131"/>
      <c r="AU617" s="131"/>
    </row>
    <row r="618" spans="46:47">
      <c r="AT618" s="131"/>
      <c r="AU618" s="131"/>
    </row>
    <row r="619" spans="46:47">
      <c r="AT619" s="131"/>
      <c r="AU619" s="131"/>
    </row>
    <row r="620" spans="46:47">
      <c r="AT620" s="131"/>
      <c r="AU620" s="131"/>
    </row>
    <row r="621" spans="46:47">
      <c r="AT621" s="131"/>
      <c r="AU621" s="131"/>
    </row>
    <row r="622" spans="46:47">
      <c r="AT622" s="131"/>
      <c r="AU622" s="131"/>
    </row>
    <row r="623" spans="46:47">
      <c r="AT623" s="131"/>
      <c r="AU623" s="131"/>
    </row>
    <row r="624" spans="46:47">
      <c r="AT624" s="131"/>
      <c r="AU624" s="131"/>
    </row>
    <row r="625" spans="46:47">
      <c r="AT625" s="131"/>
      <c r="AU625" s="131"/>
    </row>
    <row r="626" spans="46:47">
      <c r="AT626" s="131"/>
      <c r="AU626" s="131"/>
    </row>
    <row r="627" spans="46:47">
      <c r="AT627" s="131"/>
      <c r="AU627" s="131"/>
    </row>
    <row r="628" spans="46:47">
      <c r="AT628" s="131"/>
      <c r="AU628" s="131"/>
    </row>
    <row r="629" spans="46:47">
      <c r="AT629" s="131"/>
      <c r="AU629" s="131"/>
    </row>
    <row r="630" spans="46:47">
      <c r="AT630" s="131"/>
      <c r="AU630" s="131"/>
    </row>
    <row r="631" spans="46:47">
      <c r="AT631" s="131"/>
      <c r="AU631" s="131"/>
    </row>
    <row r="632" spans="46:47">
      <c r="AT632" s="131"/>
      <c r="AU632" s="131"/>
    </row>
    <row r="633" spans="46:47">
      <c r="AT633" s="131"/>
      <c r="AU633" s="131"/>
    </row>
    <row r="634" spans="46:47">
      <c r="AT634" s="131"/>
      <c r="AU634" s="131"/>
    </row>
    <row r="635" spans="46:47">
      <c r="AT635" s="131"/>
      <c r="AU635" s="131"/>
    </row>
    <row r="636" spans="46:47">
      <c r="AT636" s="131"/>
      <c r="AU636" s="131"/>
    </row>
    <row r="637" spans="46:47">
      <c r="AT637" s="131"/>
      <c r="AU637" s="131"/>
    </row>
  </sheetData>
  <phoneticPr fontId="0" type="noConversion"/>
  <printOptions gridLines="1" gridLinesSet="0"/>
  <pageMargins left="0.75" right="0.75" top="1" bottom="1" header="0.5" footer="0.5"/>
  <pageSetup fitToWidth="0" fitToHeight="0" orientation="landscape" horizontalDpi="300" verticalDpi="300" r:id="rId1"/>
  <headerFooter alignWithMargins="0">
    <oddHeader>&amp;L&amp;F&amp;C&amp;A&amp;R&amp;D</oddHeader>
    <oddFooter>&amp;L© Wood Mackenzie Limited&amp;C&amp;R&amp;P of &amp;N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3"/>
  <sheetViews>
    <sheetView workbookViewId="0">
      <selection activeCell="B42" sqref="B42"/>
    </sheetView>
  </sheetViews>
  <sheetFormatPr defaultRowHeight="12.75"/>
  <cols>
    <col min="1" max="1" width="29.5703125" style="526" bestFit="1" customWidth="1"/>
    <col min="2" max="2" width="19.85546875" style="766" customWidth="1"/>
    <col min="3" max="3" width="12" style="526" bestFit="1" customWidth="1"/>
    <col min="4" max="256" width="9.140625" style="526"/>
    <col min="257" max="257" width="29.5703125" style="526" bestFit="1" customWidth="1"/>
    <col min="258" max="258" width="19.85546875" style="526" customWidth="1"/>
    <col min="259" max="259" width="12" style="526" bestFit="1" customWidth="1"/>
    <col min="260" max="512" width="9.140625" style="526"/>
    <col min="513" max="513" width="29.5703125" style="526" bestFit="1" customWidth="1"/>
    <col min="514" max="514" width="19.85546875" style="526" customWidth="1"/>
    <col min="515" max="515" width="12" style="526" bestFit="1" customWidth="1"/>
    <col min="516" max="768" width="9.140625" style="526"/>
    <col min="769" max="769" width="29.5703125" style="526" bestFit="1" customWidth="1"/>
    <col min="770" max="770" width="19.85546875" style="526" customWidth="1"/>
    <col min="771" max="771" width="12" style="526" bestFit="1" customWidth="1"/>
    <col min="772" max="1024" width="9.140625" style="526"/>
    <col min="1025" max="1025" width="29.5703125" style="526" bestFit="1" customWidth="1"/>
    <col min="1026" max="1026" width="19.85546875" style="526" customWidth="1"/>
    <col min="1027" max="1027" width="12" style="526" bestFit="1" customWidth="1"/>
    <col min="1028" max="1280" width="9.140625" style="526"/>
    <col min="1281" max="1281" width="29.5703125" style="526" bestFit="1" customWidth="1"/>
    <col min="1282" max="1282" width="19.85546875" style="526" customWidth="1"/>
    <col min="1283" max="1283" width="12" style="526" bestFit="1" customWidth="1"/>
    <col min="1284" max="1536" width="9.140625" style="526"/>
    <col min="1537" max="1537" width="29.5703125" style="526" bestFit="1" customWidth="1"/>
    <col min="1538" max="1538" width="19.85546875" style="526" customWidth="1"/>
    <col min="1539" max="1539" width="12" style="526" bestFit="1" customWidth="1"/>
    <col min="1540" max="1792" width="9.140625" style="526"/>
    <col min="1793" max="1793" width="29.5703125" style="526" bestFit="1" customWidth="1"/>
    <col min="1794" max="1794" width="19.85546875" style="526" customWidth="1"/>
    <col min="1795" max="1795" width="12" style="526" bestFit="1" customWidth="1"/>
    <col min="1796" max="2048" width="9.140625" style="526"/>
    <col min="2049" max="2049" width="29.5703125" style="526" bestFit="1" customWidth="1"/>
    <col min="2050" max="2050" width="19.85546875" style="526" customWidth="1"/>
    <col min="2051" max="2051" width="12" style="526" bestFit="1" customWidth="1"/>
    <col min="2052" max="2304" width="9.140625" style="526"/>
    <col min="2305" max="2305" width="29.5703125" style="526" bestFit="1" customWidth="1"/>
    <col min="2306" max="2306" width="19.85546875" style="526" customWidth="1"/>
    <col min="2307" max="2307" width="12" style="526" bestFit="1" customWidth="1"/>
    <col min="2308" max="2560" width="9.140625" style="526"/>
    <col min="2561" max="2561" width="29.5703125" style="526" bestFit="1" customWidth="1"/>
    <col min="2562" max="2562" width="19.85546875" style="526" customWidth="1"/>
    <col min="2563" max="2563" width="12" style="526" bestFit="1" customWidth="1"/>
    <col min="2564" max="2816" width="9.140625" style="526"/>
    <col min="2817" max="2817" width="29.5703125" style="526" bestFit="1" customWidth="1"/>
    <col min="2818" max="2818" width="19.85546875" style="526" customWidth="1"/>
    <col min="2819" max="2819" width="12" style="526" bestFit="1" customWidth="1"/>
    <col min="2820" max="3072" width="9.140625" style="526"/>
    <col min="3073" max="3073" width="29.5703125" style="526" bestFit="1" customWidth="1"/>
    <col min="3074" max="3074" width="19.85546875" style="526" customWidth="1"/>
    <col min="3075" max="3075" width="12" style="526" bestFit="1" customWidth="1"/>
    <col min="3076" max="3328" width="9.140625" style="526"/>
    <col min="3329" max="3329" width="29.5703125" style="526" bestFit="1" customWidth="1"/>
    <col min="3330" max="3330" width="19.85546875" style="526" customWidth="1"/>
    <col min="3331" max="3331" width="12" style="526" bestFit="1" customWidth="1"/>
    <col min="3332" max="3584" width="9.140625" style="526"/>
    <col min="3585" max="3585" width="29.5703125" style="526" bestFit="1" customWidth="1"/>
    <col min="3586" max="3586" width="19.85546875" style="526" customWidth="1"/>
    <col min="3587" max="3587" width="12" style="526" bestFit="1" customWidth="1"/>
    <col min="3588" max="3840" width="9.140625" style="526"/>
    <col min="3841" max="3841" width="29.5703125" style="526" bestFit="1" customWidth="1"/>
    <col min="3842" max="3842" width="19.85546875" style="526" customWidth="1"/>
    <col min="3843" max="3843" width="12" style="526" bestFit="1" customWidth="1"/>
    <col min="3844" max="4096" width="9.140625" style="526"/>
    <col min="4097" max="4097" width="29.5703125" style="526" bestFit="1" customWidth="1"/>
    <col min="4098" max="4098" width="19.85546875" style="526" customWidth="1"/>
    <col min="4099" max="4099" width="12" style="526" bestFit="1" customWidth="1"/>
    <col min="4100" max="4352" width="9.140625" style="526"/>
    <col min="4353" max="4353" width="29.5703125" style="526" bestFit="1" customWidth="1"/>
    <col min="4354" max="4354" width="19.85546875" style="526" customWidth="1"/>
    <col min="4355" max="4355" width="12" style="526" bestFit="1" customWidth="1"/>
    <col min="4356" max="4608" width="9.140625" style="526"/>
    <col min="4609" max="4609" width="29.5703125" style="526" bestFit="1" customWidth="1"/>
    <col min="4610" max="4610" width="19.85546875" style="526" customWidth="1"/>
    <col min="4611" max="4611" width="12" style="526" bestFit="1" customWidth="1"/>
    <col min="4612" max="4864" width="9.140625" style="526"/>
    <col min="4865" max="4865" width="29.5703125" style="526" bestFit="1" customWidth="1"/>
    <col min="4866" max="4866" width="19.85546875" style="526" customWidth="1"/>
    <col min="4867" max="4867" width="12" style="526" bestFit="1" customWidth="1"/>
    <col min="4868" max="5120" width="9.140625" style="526"/>
    <col min="5121" max="5121" width="29.5703125" style="526" bestFit="1" customWidth="1"/>
    <col min="5122" max="5122" width="19.85546875" style="526" customWidth="1"/>
    <col min="5123" max="5123" width="12" style="526" bestFit="1" customWidth="1"/>
    <col min="5124" max="5376" width="9.140625" style="526"/>
    <col min="5377" max="5377" width="29.5703125" style="526" bestFit="1" customWidth="1"/>
    <col min="5378" max="5378" width="19.85546875" style="526" customWidth="1"/>
    <col min="5379" max="5379" width="12" style="526" bestFit="1" customWidth="1"/>
    <col min="5380" max="5632" width="9.140625" style="526"/>
    <col min="5633" max="5633" width="29.5703125" style="526" bestFit="1" customWidth="1"/>
    <col min="5634" max="5634" width="19.85546875" style="526" customWidth="1"/>
    <col min="5635" max="5635" width="12" style="526" bestFit="1" customWidth="1"/>
    <col min="5636" max="5888" width="9.140625" style="526"/>
    <col min="5889" max="5889" width="29.5703125" style="526" bestFit="1" customWidth="1"/>
    <col min="5890" max="5890" width="19.85546875" style="526" customWidth="1"/>
    <col min="5891" max="5891" width="12" style="526" bestFit="1" customWidth="1"/>
    <col min="5892" max="6144" width="9.140625" style="526"/>
    <col min="6145" max="6145" width="29.5703125" style="526" bestFit="1" customWidth="1"/>
    <col min="6146" max="6146" width="19.85546875" style="526" customWidth="1"/>
    <col min="6147" max="6147" width="12" style="526" bestFit="1" customWidth="1"/>
    <col min="6148" max="6400" width="9.140625" style="526"/>
    <col min="6401" max="6401" width="29.5703125" style="526" bestFit="1" customWidth="1"/>
    <col min="6402" max="6402" width="19.85546875" style="526" customWidth="1"/>
    <col min="6403" max="6403" width="12" style="526" bestFit="1" customWidth="1"/>
    <col min="6404" max="6656" width="9.140625" style="526"/>
    <col min="6657" max="6657" width="29.5703125" style="526" bestFit="1" customWidth="1"/>
    <col min="6658" max="6658" width="19.85546875" style="526" customWidth="1"/>
    <col min="6659" max="6659" width="12" style="526" bestFit="1" customWidth="1"/>
    <col min="6660" max="6912" width="9.140625" style="526"/>
    <col min="6913" max="6913" width="29.5703125" style="526" bestFit="1" customWidth="1"/>
    <col min="6914" max="6914" width="19.85546875" style="526" customWidth="1"/>
    <col min="6915" max="6915" width="12" style="526" bestFit="1" customWidth="1"/>
    <col min="6916" max="7168" width="9.140625" style="526"/>
    <col min="7169" max="7169" width="29.5703125" style="526" bestFit="1" customWidth="1"/>
    <col min="7170" max="7170" width="19.85546875" style="526" customWidth="1"/>
    <col min="7171" max="7171" width="12" style="526" bestFit="1" customWidth="1"/>
    <col min="7172" max="7424" width="9.140625" style="526"/>
    <col min="7425" max="7425" width="29.5703125" style="526" bestFit="1" customWidth="1"/>
    <col min="7426" max="7426" width="19.85546875" style="526" customWidth="1"/>
    <col min="7427" max="7427" width="12" style="526" bestFit="1" customWidth="1"/>
    <col min="7428" max="7680" width="9.140625" style="526"/>
    <col min="7681" max="7681" width="29.5703125" style="526" bestFit="1" customWidth="1"/>
    <col min="7682" max="7682" width="19.85546875" style="526" customWidth="1"/>
    <col min="7683" max="7683" width="12" style="526" bestFit="1" customWidth="1"/>
    <col min="7684" max="7936" width="9.140625" style="526"/>
    <col min="7937" max="7937" width="29.5703125" style="526" bestFit="1" customWidth="1"/>
    <col min="7938" max="7938" width="19.85546875" style="526" customWidth="1"/>
    <col min="7939" max="7939" width="12" style="526" bestFit="1" customWidth="1"/>
    <col min="7940" max="8192" width="9.140625" style="526"/>
    <col min="8193" max="8193" width="29.5703125" style="526" bestFit="1" customWidth="1"/>
    <col min="8194" max="8194" width="19.85546875" style="526" customWidth="1"/>
    <col min="8195" max="8195" width="12" style="526" bestFit="1" customWidth="1"/>
    <col min="8196" max="8448" width="9.140625" style="526"/>
    <col min="8449" max="8449" width="29.5703125" style="526" bestFit="1" customWidth="1"/>
    <col min="8450" max="8450" width="19.85546875" style="526" customWidth="1"/>
    <col min="8451" max="8451" width="12" style="526" bestFit="1" customWidth="1"/>
    <col min="8452" max="8704" width="9.140625" style="526"/>
    <col min="8705" max="8705" width="29.5703125" style="526" bestFit="1" customWidth="1"/>
    <col min="8706" max="8706" width="19.85546875" style="526" customWidth="1"/>
    <col min="8707" max="8707" width="12" style="526" bestFit="1" customWidth="1"/>
    <col min="8708" max="8960" width="9.140625" style="526"/>
    <col min="8961" max="8961" width="29.5703125" style="526" bestFit="1" customWidth="1"/>
    <col min="8962" max="8962" width="19.85546875" style="526" customWidth="1"/>
    <col min="8963" max="8963" width="12" style="526" bestFit="1" customWidth="1"/>
    <col min="8964" max="9216" width="9.140625" style="526"/>
    <col min="9217" max="9217" width="29.5703125" style="526" bestFit="1" customWidth="1"/>
    <col min="9218" max="9218" width="19.85546875" style="526" customWidth="1"/>
    <col min="9219" max="9219" width="12" style="526" bestFit="1" customWidth="1"/>
    <col min="9220" max="9472" width="9.140625" style="526"/>
    <col min="9473" max="9473" width="29.5703125" style="526" bestFit="1" customWidth="1"/>
    <col min="9474" max="9474" width="19.85546875" style="526" customWidth="1"/>
    <col min="9475" max="9475" width="12" style="526" bestFit="1" customWidth="1"/>
    <col min="9476" max="9728" width="9.140625" style="526"/>
    <col min="9729" max="9729" width="29.5703125" style="526" bestFit="1" customWidth="1"/>
    <col min="9730" max="9730" width="19.85546875" style="526" customWidth="1"/>
    <col min="9731" max="9731" width="12" style="526" bestFit="1" customWidth="1"/>
    <col min="9732" max="9984" width="9.140625" style="526"/>
    <col min="9985" max="9985" width="29.5703125" style="526" bestFit="1" customWidth="1"/>
    <col min="9986" max="9986" width="19.85546875" style="526" customWidth="1"/>
    <col min="9987" max="9987" width="12" style="526" bestFit="1" customWidth="1"/>
    <col min="9988" max="10240" width="9.140625" style="526"/>
    <col min="10241" max="10241" width="29.5703125" style="526" bestFit="1" customWidth="1"/>
    <col min="10242" max="10242" width="19.85546875" style="526" customWidth="1"/>
    <col min="10243" max="10243" width="12" style="526" bestFit="1" customWidth="1"/>
    <col min="10244" max="10496" width="9.140625" style="526"/>
    <col min="10497" max="10497" width="29.5703125" style="526" bestFit="1" customWidth="1"/>
    <col min="10498" max="10498" width="19.85546875" style="526" customWidth="1"/>
    <col min="10499" max="10499" width="12" style="526" bestFit="1" customWidth="1"/>
    <col min="10500" max="10752" width="9.140625" style="526"/>
    <col min="10753" max="10753" width="29.5703125" style="526" bestFit="1" customWidth="1"/>
    <col min="10754" max="10754" width="19.85546875" style="526" customWidth="1"/>
    <col min="10755" max="10755" width="12" style="526" bestFit="1" customWidth="1"/>
    <col min="10756" max="11008" width="9.140625" style="526"/>
    <col min="11009" max="11009" width="29.5703125" style="526" bestFit="1" customWidth="1"/>
    <col min="11010" max="11010" width="19.85546875" style="526" customWidth="1"/>
    <col min="11011" max="11011" width="12" style="526" bestFit="1" customWidth="1"/>
    <col min="11012" max="11264" width="9.140625" style="526"/>
    <col min="11265" max="11265" width="29.5703125" style="526" bestFit="1" customWidth="1"/>
    <col min="11266" max="11266" width="19.85546875" style="526" customWidth="1"/>
    <col min="11267" max="11267" width="12" style="526" bestFit="1" customWidth="1"/>
    <col min="11268" max="11520" width="9.140625" style="526"/>
    <col min="11521" max="11521" width="29.5703125" style="526" bestFit="1" customWidth="1"/>
    <col min="11522" max="11522" width="19.85546875" style="526" customWidth="1"/>
    <col min="11523" max="11523" width="12" style="526" bestFit="1" customWidth="1"/>
    <col min="11524" max="11776" width="9.140625" style="526"/>
    <col min="11777" max="11777" width="29.5703125" style="526" bestFit="1" customWidth="1"/>
    <col min="11778" max="11778" width="19.85546875" style="526" customWidth="1"/>
    <col min="11779" max="11779" width="12" style="526" bestFit="1" customWidth="1"/>
    <col min="11780" max="12032" width="9.140625" style="526"/>
    <col min="12033" max="12033" width="29.5703125" style="526" bestFit="1" customWidth="1"/>
    <col min="12034" max="12034" width="19.85546875" style="526" customWidth="1"/>
    <col min="12035" max="12035" width="12" style="526" bestFit="1" customWidth="1"/>
    <col min="12036" max="12288" width="9.140625" style="526"/>
    <col min="12289" max="12289" width="29.5703125" style="526" bestFit="1" customWidth="1"/>
    <col min="12290" max="12290" width="19.85546875" style="526" customWidth="1"/>
    <col min="12291" max="12291" width="12" style="526" bestFit="1" customWidth="1"/>
    <col min="12292" max="12544" width="9.140625" style="526"/>
    <col min="12545" max="12545" width="29.5703125" style="526" bestFit="1" customWidth="1"/>
    <col min="12546" max="12546" width="19.85546875" style="526" customWidth="1"/>
    <col min="12547" max="12547" width="12" style="526" bestFit="1" customWidth="1"/>
    <col min="12548" max="12800" width="9.140625" style="526"/>
    <col min="12801" max="12801" width="29.5703125" style="526" bestFit="1" customWidth="1"/>
    <col min="12802" max="12802" width="19.85546875" style="526" customWidth="1"/>
    <col min="12803" max="12803" width="12" style="526" bestFit="1" customWidth="1"/>
    <col min="12804" max="13056" width="9.140625" style="526"/>
    <col min="13057" max="13057" width="29.5703125" style="526" bestFit="1" customWidth="1"/>
    <col min="13058" max="13058" width="19.85546875" style="526" customWidth="1"/>
    <col min="13059" max="13059" width="12" style="526" bestFit="1" customWidth="1"/>
    <col min="13060" max="13312" width="9.140625" style="526"/>
    <col min="13313" max="13313" width="29.5703125" style="526" bestFit="1" customWidth="1"/>
    <col min="13314" max="13314" width="19.85546875" style="526" customWidth="1"/>
    <col min="13315" max="13315" width="12" style="526" bestFit="1" customWidth="1"/>
    <col min="13316" max="13568" width="9.140625" style="526"/>
    <col min="13569" max="13569" width="29.5703125" style="526" bestFit="1" customWidth="1"/>
    <col min="13570" max="13570" width="19.85546875" style="526" customWidth="1"/>
    <col min="13571" max="13571" width="12" style="526" bestFit="1" customWidth="1"/>
    <col min="13572" max="13824" width="9.140625" style="526"/>
    <col min="13825" max="13825" width="29.5703125" style="526" bestFit="1" customWidth="1"/>
    <col min="13826" max="13826" width="19.85546875" style="526" customWidth="1"/>
    <col min="13827" max="13827" width="12" style="526" bestFit="1" customWidth="1"/>
    <col min="13828" max="14080" width="9.140625" style="526"/>
    <col min="14081" max="14081" width="29.5703125" style="526" bestFit="1" customWidth="1"/>
    <col min="14082" max="14082" width="19.85546875" style="526" customWidth="1"/>
    <col min="14083" max="14083" width="12" style="526" bestFit="1" customWidth="1"/>
    <col min="14084" max="14336" width="9.140625" style="526"/>
    <col min="14337" max="14337" width="29.5703125" style="526" bestFit="1" customWidth="1"/>
    <col min="14338" max="14338" width="19.85546875" style="526" customWidth="1"/>
    <col min="14339" max="14339" width="12" style="526" bestFit="1" customWidth="1"/>
    <col min="14340" max="14592" width="9.140625" style="526"/>
    <col min="14593" max="14593" width="29.5703125" style="526" bestFit="1" customWidth="1"/>
    <col min="14594" max="14594" width="19.85546875" style="526" customWidth="1"/>
    <col min="14595" max="14595" width="12" style="526" bestFit="1" customWidth="1"/>
    <col min="14596" max="14848" width="9.140625" style="526"/>
    <col min="14849" max="14849" width="29.5703125" style="526" bestFit="1" customWidth="1"/>
    <col min="14850" max="14850" width="19.85546875" style="526" customWidth="1"/>
    <col min="14851" max="14851" width="12" style="526" bestFit="1" customWidth="1"/>
    <col min="14852" max="15104" width="9.140625" style="526"/>
    <col min="15105" max="15105" width="29.5703125" style="526" bestFit="1" customWidth="1"/>
    <col min="15106" max="15106" width="19.85546875" style="526" customWidth="1"/>
    <col min="15107" max="15107" width="12" style="526" bestFit="1" customWidth="1"/>
    <col min="15108" max="15360" width="9.140625" style="526"/>
    <col min="15361" max="15361" width="29.5703125" style="526" bestFit="1" customWidth="1"/>
    <col min="15362" max="15362" width="19.85546875" style="526" customWidth="1"/>
    <col min="15363" max="15363" width="12" style="526" bestFit="1" customWidth="1"/>
    <col min="15364" max="15616" width="9.140625" style="526"/>
    <col min="15617" max="15617" width="29.5703125" style="526" bestFit="1" customWidth="1"/>
    <col min="15618" max="15618" width="19.85546875" style="526" customWidth="1"/>
    <col min="15619" max="15619" width="12" style="526" bestFit="1" customWidth="1"/>
    <col min="15620" max="15872" width="9.140625" style="526"/>
    <col min="15873" max="15873" width="29.5703125" style="526" bestFit="1" customWidth="1"/>
    <col min="15874" max="15874" width="19.85546875" style="526" customWidth="1"/>
    <col min="15875" max="15875" width="12" style="526" bestFit="1" customWidth="1"/>
    <col min="15876" max="16128" width="9.140625" style="526"/>
    <col min="16129" max="16129" width="29.5703125" style="526" bestFit="1" customWidth="1"/>
    <col min="16130" max="16130" width="19.85546875" style="526" customWidth="1"/>
    <col min="16131" max="16131" width="12" style="526" bestFit="1" customWidth="1"/>
    <col min="16132" max="16384" width="9.140625" style="526"/>
  </cols>
  <sheetData>
    <row r="1" spans="1:2">
      <c r="A1" s="526" t="s">
        <v>4044</v>
      </c>
      <c r="B1" s="765">
        <v>6.1</v>
      </c>
    </row>
    <row r="2" spans="1:2">
      <c r="A2" s="526" t="s">
        <v>4045</v>
      </c>
      <c r="B2" s="769">
        <v>43206.519259259258</v>
      </c>
    </row>
    <row r="3" spans="1:2">
      <c r="A3" s="526" t="s">
        <v>4046</v>
      </c>
      <c r="B3" s="766" t="s">
        <v>3741</v>
      </c>
    </row>
    <row r="4" spans="1:2">
      <c r="A4" s="526" t="s">
        <v>4047</v>
      </c>
      <c r="B4" s="766" t="s">
        <v>398</v>
      </c>
    </row>
    <row r="5" spans="1:2">
      <c r="A5" s="526" t="s">
        <v>4048</v>
      </c>
      <c r="B5" s="766" t="s">
        <v>2637</v>
      </c>
    </row>
    <row r="6" spans="1:2">
      <c r="A6" s="526" t="s">
        <v>4049</v>
      </c>
    </row>
    <row r="7" spans="1:2">
      <c r="A7" s="526" t="s">
        <v>4050</v>
      </c>
      <c r="B7" s="766" t="s">
        <v>3269</v>
      </c>
    </row>
    <row r="8" spans="1:2">
      <c r="A8" s="526" t="s">
        <v>4051</v>
      </c>
      <c r="B8" s="766" t="s">
        <v>4052</v>
      </c>
    </row>
    <row r="9" spans="1:2">
      <c r="A9" s="526" t="s">
        <v>2650</v>
      </c>
      <c r="B9" s="766" t="s">
        <v>4090</v>
      </c>
    </row>
    <row r="10" spans="1:2">
      <c r="A10" s="526" t="s">
        <v>4053</v>
      </c>
    </row>
    <row r="11" spans="1:2">
      <c r="A11" s="526" t="s">
        <v>4054</v>
      </c>
    </row>
    <row r="12" spans="1:2">
      <c r="A12" s="526" t="s">
        <v>4055</v>
      </c>
    </row>
    <row r="13" spans="1:2">
      <c r="A13" s="526" t="s">
        <v>4056</v>
      </c>
    </row>
    <row r="14" spans="1:2">
      <c r="A14" s="526" t="s">
        <v>4057</v>
      </c>
    </row>
    <row r="15" spans="1:2">
      <c r="A15" s="526" t="s">
        <v>4058</v>
      </c>
    </row>
    <row r="16" spans="1:2">
      <c r="A16" s="526" t="s">
        <v>4059</v>
      </c>
    </row>
    <row r="17" spans="1:4">
      <c r="A17" s="526" t="s">
        <v>4060</v>
      </c>
      <c r="B17" s="766" t="s">
        <v>4091</v>
      </c>
    </row>
    <row r="18" spans="1:4">
      <c r="A18" s="526" t="s">
        <v>4061</v>
      </c>
      <c r="B18" s="766" t="s">
        <v>4093</v>
      </c>
    </row>
    <row r="19" spans="1:4">
      <c r="A19" s="526" t="s">
        <v>4062</v>
      </c>
      <c r="B19" s="766" t="s">
        <v>3268</v>
      </c>
    </row>
    <row r="20" spans="1:4">
      <c r="A20" s="526" t="s">
        <v>4063</v>
      </c>
      <c r="B20" s="767"/>
    </row>
    <row r="21" spans="1:4">
      <c r="A21" s="526" t="s">
        <v>4064</v>
      </c>
      <c r="B21" s="766" t="s">
        <v>3268</v>
      </c>
    </row>
    <row r="22" spans="1:4">
      <c r="A22" s="526" t="s">
        <v>4065</v>
      </c>
      <c r="B22" s="767">
        <v>798059</v>
      </c>
    </row>
    <row r="23" spans="1:4">
      <c r="A23" s="526" t="s">
        <v>2923</v>
      </c>
      <c r="B23" s="765">
        <v>504.3</v>
      </c>
    </row>
    <row r="24" spans="1:4">
      <c r="A24" s="526" t="s">
        <v>700</v>
      </c>
      <c r="B24" s="766" t="s">
        <v>985</v>
      </c>
      <c r="D24" s="526" t="s">
        <v>4066</v>
      </c>
    </row>
    <row r="25" spans="1:4">
      <c r="A25" s="526" t="s">
        <v>4067</v>
      </c>
      <c r="B25" s="766" t="s">
        <v>4094</v>
      </c>
    </row>
    <row r="26" spans="1:4">
      <c r="A26" s="526" t="s">
        <v>4068</v>
      </c>
      <c r="B26" s="766">
        <v>0</v>
      </c>
    </row>
    <row r="27" spans="1:4">
      <c r="A27" s="526" t="s">
        <v>4069</v>
      </c>
      <c r="B27" s="766" t="s">
        <v>4070</v>
      </c>
    </row>
    <row r="28" spans="1:4">
      <c r="A28" s="526" t="s">
        <v>4071</v>
      </c>
      <c r="B28" s="766" t="s">
        <v>4072</v>
      </c>
    </row>
    <row r="29" spans="1:4">
      <c r="A29" s="526" t="s">
        <v>4073</v>
      </c>
    </row>
    <row r="30" spans="1:4">
      <c r="A30" s="526" t="s">
        <v>4074</v>
      </c>
    </row>
    <row r="31" spans="1:4">
      <c r="A31" s="526" t="s">
        <v>4075</v>
      </c>
    </row>
    <row r="32" spans="1:4">
      <c r="A32" s="526" t="s">
        <v>4076</v>
      </c>
      <c r="B32" s="765"/>
    </row>
    <row r="33" spans="1:2">
      <c r="A33" s="526" t="s">
        <v>4077</v>
      </c>
      <c r="B33" s="765"/>
    </row>
    <row r="34" spans="1:2">
      <c r="A34" s="526" t="s">
        <v>4078</v>
      </c>
      <c r="B34" s="765"/>
    </row>
    <row r="35" spans="1:2">
      <c r="A35" s="526" t="s">
        <v>4079</v>
      </c>
      <c r="B35" s="766">
        <v>1000000</v>
      </c>
    </row>
    <row r="36" spans="1:2">
      <c r="A36" s="526" t="s">
        <v>4080</v>
      </c>
      <c r="B36" s="766" t="s">
        <v>305</v>
      </c>
    </row>
    <row r="37" spans="1:2">
      <c r="A37" s="526" t="s">
        <v>4081</v>
      </c>
      <c r="B37" s="766" t="s">
        <v>4082</v>
      </c>
    </row>
    <row r="38" spans="1:2">
      <c r="A38" s="526" t="s">
        <v>4083</v>
      </c>
      <c r="B38" s="766" t="s">
        <v>4084</v>
      </c>
    </row>
    <row r="39" spans="1:2">
      <c r="A39" s="526" t="s">
        <v>4085</v>
      </c>
      <c r="B39" s="766" t="s">
        <v>4092</v>
      </c>
    </row>
    <row r="40" spans="1:2">
      <c r="A40" s="526" t="s">
        <v>4086</v>
      </c>
      <c r="B40" s="766">
        <v>1700001356</v>
      </c>
    </row>
    <row r="41" spans="1:2">
      <c r="A41" s="526" t="s">
        <v>4087</v>
      </c>
      <c r="B41" s="766">
        <v>4</v>
      </c>
    </row>
    <row r="42" spans="1:2">
      <c r="A42" s="768" t="s">
        <v>4088</v>
      </c>
    </row>
    <row r="43" spans="1:2">
      <c r="A43" s="526" t="s">
        <v>4089</v>
      </c>
    </row>
  </sheetData>
  <pageMargins left="0.75" right="0.75" top="1" bottom="1" header="0.5" footer="0.5"/>
  <pageSetup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13"/>
  <sheetViews>
    <sheetView workbookViewId="0">
      <selection activeCell="E11" sqref="E11"/>
    </sheetView>
  </sheetViews>
  <sheetFormatPr defaultRowHeight="12.75"/>
  <cols>
    <col min="1" max="1" width="28.5703125" style="526" bestFit="1" customWidth="1"/>
    <col min="2" max="256" width="9.140625" style="526"/>
    <col min="257" max="257" width="28.5703125" style="526" bestFit="1" customWidth="1"/>
    <col min="258" max="512" width="9.140625" style="526"/>
    <col min="513" max="513" width="28.5703125" style="526" bestFit="1" customWidth="1"/>
    <col min="514" max="768" width="9.140625" style="526"/>
    <col min="769" max="769" width="28.5703125" style="526" bestFit="1" customWidth="1"/>
    <col min="770" max="1024" width="9.140625" style="526"/>
    <col min="1025" max="1025" width="28.5703125" style="526" bestFit="1" customWidth="1"/>
    <col min="1026" max="1280" width="9.140625" style="526"/>
    <col min="1281" max="1281" width="28.5703125" style="526" bestFit="1" customWidth="1"/>
    <col min="1282" max="1536" width="9.140625" style="526"/>
    <col min="1537" max="1537" width="28.5703125" style="526" bestFit="1" customWidth="1"/>
    <col min="1538" max="1792" width="9.140625" style="526"/>
    <col min="1793" max="1793" width="28.5703125" style="526" bestFit="1" customWidth="1"/>
    <col min="1794" max="2048" width="9.140625" style="526"/>
    <col min="2049" max="2049" width="28.5703125" style="526" bestFit="1" customWidth="1"/>
    <col min="2050" max="2304" width="9.140625" style="526"/>
    <col min="2305" max="2305" width="28.5703125" style="526" bestFit="1" customWidth="1"/>
    <col min="2306" max="2560" width="9.140625" style="526"/>
    <col min="2561" max="2561" width="28.5703125" style="526" bestFit="1" customWidth="1"/>
    <col min="2562" max="2816" width="9.140625" style="526"/>
    <col min="2817" max="2817" width="28.5703125" style="526" bestFit="1" customWidth="1"/>
    <col min="2818" max="3072" width="9.140625" style="526"/>
    <col min="3073" max="3073" width="28.5703125" style="526" bestFit="1" customWidth="1"/>
    <col min="3074" max="3328" width="9.140625" style="526"/>
    <col min="3329" max="3329" width="28.5703125" style="526" bestFit="1" customWidth="1"/>
    <col min="3330" max="3584" width="9.140625" style="526"/>
    <col min="3585" max="3585" width="28.5703125" style="526" bestFit="1" customWidth="1"/>
    <col min="3586" max="3840" width="9.140625" style="526"/>
    <col min="3841" max="3841" width="28.5703125" style="526" bestFit="1" customWidth="1"/>
    <col min="3842" max="4096" width="9.140625" style="526"/>
    <col min="4097" max="4097" width="28.5703125" style="526" bestFit="1" customWidth="1"/>
    <col min="4098" max="4352" width="9.140625" style="526"/>
    <col min="4353" max="4353" width="28.5703125" style="526" bestFit="1" customWidth="1"/>
    <col min="4354" max="4608" width="9.140625" style="526"/>
    <col min="4609" max="4609" width="28.5703125" style="526" bestFit="1" customWidth="1"/>
    <col min="4610" max="4864" width="9.140625" style="526"/>
    <col min="4865" max="4865" width="28.5703125" style="526" bestFit="1" customWidth="1"/>
    <col min="4866" max="5120" width="9.140625" style="526"/>
    <col min="5121" max="5121" width="28.5703125" style="526" bestFit="1" customWidth="1"/>
    <col min="5122" max="5376" width="9.140625" style="526"/>
    <col min="5377" max="5377" width="28.5703125" style="526" bestFit="1" customWidth="1"/>
    <col min="5378" max="5632" width="9.140625" style="526"/>
    <col min="5633" max="5633" width="28.5703125" style="526" bestFit="1" customWidth="1"/>
    <col min="5634" max="5888" width="9.140625" style="526"/>
    <col min="5889" max="5889" width="28.5703125" style="526" bestFit="1" customWidth="1"/>
    <col min="5890" max="6144" width="9.140625" style="526"/>
    <col min="6145" max="6145" width="28.5703125" style="526" bestFit="1" customWidth="1"/>
    <col min="6146" max="6400" width="9.140625" style="526"/>
    <col min="6401" max="6401" width="28.5703125" style="526" bestFit="1" customWidth="1"/>
    <col min="6402" max="6656" width="9.140625" style="526"/>
    <col min="6657" max="6657" width="28.5703125" style="526" bestFit="1" customWidth="1"/>
    <col min="6658" max="6912" width="9.140625" style="526"/>
    <col min="6913" max="6913" width="28.5703125" style="526" bestFit="1" customWidth="1"/>
    <col min="6914" max="7168" width="9.140625" style="526"/>
    <col min="7169" max="7169" width="28.5703125" style="526" bestFit="1" customWidth="1"/>
    <col min="7170" max="7424" width="9.140625" style="526"/>
    <col min="7425" max="7425" width="28.5703125" style="526" bestFit="1" customWidth="1"/>
    <col min="7426" max="7680" width="9.140625" style="526"/>
    <col min="7681" max="7681" width="28.5703125" style="526" bestFit="1" customWidth="1"/>
    <col min="7682" max="7936" width="9.140625" style="526"/>
    <col min="7937" max="7937" width="28.5703125" style="526" bestFit="1" customWidth="1"/>
    <col min="7938" max="8192" width="9.140625" style="526"/>
    <col min="8193" max="8193" width="28.5703125" style="526" bestFit="1" customWidth="1"/>
    <col min="8194" max="8448" width="9.140625" style="526"/>
    <col min="8449" max="8449" width="28.5703125" style="526" bestFit="1" customWidth="1"/>
    <col min="8450" max="8704" width="9.140625" style="526"/>
    <col min="8705" max="8705" width="28.5703125" style="526" bestFit="1" customWidth="1"/>
    <col min="8706" max="8960" width="9.140625" style="526"/>
    <col min="8961" max="8961" width="28.5703125" style="526" bestFit="1" customWidth="1"/>
    <col min="8962" max="9216" width="9.140625" style="526"/>
    <col min="9217" max="9217" width="28.5703125" style="526" bestFit="1" customWidth="1"/>
    <col min="9218" max="9472" width="9.140625" style="526"/>
    <col min="9473" max="9473" width="28.5703125" style="526" bestFit="1" customWidth="1"/>
    <col min="9474" max="9728" width="9.140625" style="526"/>
    <col min="9729" max="9729" width="28.5703125" style="526" bestFit="1" customWidth="1"/>
    <col min="9730" max="9984" width="9.140625" style="526"/>
    <col min="9985" max="9985" width="28.5703125" style="526" bestFit="1" customWidth="1"/>
    <col min="9986" max="10240" width="9.140625" style="526"/>
    <col min="10241" max="10241" width="28.5703125" style="526" bestFit="1" customWidth="1"/>
    <col min="10242" max="10496" width="9.140625" style="526"/>
    <col min="10497" max="10497" width="28.5703125" style="526" bestFit="1" customWidth="1"/>
    <col min="10498" max="10752" width="9.140625" style="526"/>
    <col min="10753" max="10753" width="28.5703125" style="526" bestFit="1" customWidth="1"/>
    <col min="10754" max="11008" width="9.140625" style="526"/>
    <col min="11009" max="11009" width="28.5703125" style="526" bestFit="1" customWidth="1"/>
    <col min="11010" max="11264" width="9.140625" style="526"/>
    <col min="11265" max="11265" width="28.5703125" style="526" bestFit="1" customWidth="1"/>
    <col min="11266" max="11520" width="9.140625" style="526"/>
    <col min="11521" max="11521" width="28.5703125" style="526" bestFit="1" customWidth="1"/>
    <col min="11522" max="11776" width="9.140625" style="526"/>
    <col min="11777" max="11777" width="28.5703125" style="526" bestFit="1" customWidth="1"/>
    <col min="11778" max="12032" width="9.140625" style="526"/>
    <col min="12033" max="12033" width="28.5703125" style="526" bestFit="1" customWidth="1"/>
    <col min="12034" max="12288" width="9.140625" style="526"/>
    <col min="12289" max="12289" width="28.5703125" style="526" bestFit="1" customWidth="1"/>
    <col min="12290" max="12544" width="9.140625" style="526"/>
    <col min="12545" max="12545" width="28.5703125" style="526" bestFit="1" customWidth="1"/>
    <col min="12546" max="12800" width="9.140625" style="526"/>
    <col min="12801" max="12801" width="28.5703125" style="526" bestFit="1" customWidth="1"/>
    <col min="12802" max="13056" width="9.140625" style="526"/>
    <col min="13057" max="13057" width="28.5703125" style="526" bestFit="1" customWidth="1"/>
    <col min="13058" max="13312" width="9.140625" style="526"/>
    <col min="13313" max="13313" width="28.5703125" style="526" bestFit="1" customWidth="1"/>
    <col min="13314" max="13568" width="9.140625" style="526"/>
    <col min="13569" max="13569" width="28.5703125" style="526" bestFit="1" customWidth="1"/>
    <col min="13570" max="13824" width="9.140625" style="526"/>
    <col min="13825" max="13825" width="28.5703125" style="526" bestFit="1" customWidth="1"/>
    <col min="13826" max="14080" width="9.140625" style="526"/>
    <col min="14081" max="14081" width="28.5703125" style="526" bestFit="1" customWidth="1"/>
    <col min="14082" max="14336" width="9.140625" style="526"/>
    <col min="14337" max="14337" width="28.5703125" style="526" bestFit="1" customWidth="1"/>
    <col min="14338" max="14592" width="9.140625" style="526"/>
    <col min="14593" max="14593" width="28.5703125" style="526" bestFit="1" customWidth="1"/>
    <col min="14594" max="14848" width="9.140625" style="526"/>
    <col min="14849" max="14849" width="28.5703125" style="526" bestFit="1" customWidth="1"/>
    <col min="14850" max="15104" width="9.140625" style="526"/>
    <col min="15105" max="15105" width="28.5703125" style="526" bestFit="1" customWidth="1"/>
    <col min="15106" max="15360" width="9.140625" style="526"/>
    <col min="15361" max="15361" width="28.5703125" style="526" bestFit="1" customWidth="1"/>
    <col min="15362" max="15616" width="9.140625" style="526"/>
    <col min="15617" max="15617" width="28.5703125" style="526" bestFit="1" customWidth="1"/>
    <col min="15618" max="15872" width="9.140625" style="526"/>
    <col min="15873" max="15873" width="28.5703125" style="526" bestFit="1" customWidth="1"/>
    <col min="15874" max="16128" width="9.140625" style="526"/>
    <col min="16129" max="16129" width="28.5703125" style="526" bestFit="1" customWidth="1"/>
    <col min="16130" max="16384" width="9.140625" style="526"/>
  </cols>
  <sheetData>
    <row r="1" spans="1:1">
      <c r="A1" s="770" t="s">
        <v>4095</v>
      </c>
    </row>
    <row r="2" spans="1:1">
      <c r="A2" s="770" t="s">
        <v>4100</v>
      </c>
    </row>
    <row r="3" spans="1:1">
      <c r="A3" s="770" t="s">
        <v>4101</v>
      </c>
    </row>
    <row r="4" spans="1:1">
      <c r="A4" s="770" t="s">
        <v>4102</v>
      </c>
    </row>
    <row r="5" spans="1:1">
      <c r="A5" s="770" t="s">
        <v>4103</v>
      </c>
    </row>
    <row r="6" spans="1:1">
      <c r="A6" s="770" t="s">
        <v>4096</v>
      </c>
    </row>
    <row r="7" spans="1:1">
      <c r="A7" s="770" t="s">
        <v>4104</v>
      </c>
    </row>
    <row r="8" spans="1:1">
      <c r="A8" s="770" t="s">
        <v>4105</v>
      </c>
    </row>
    <row r="9" spans="1:1">
      <c r="A9" s="770" t="s">
        <v>4106</v>
      </c>
    </row>
    <row r="10" spans="1:1">
      <c r="A10" s="770" t="s">
        <v>4097</v>
      </c>
    </row>
    <row r="11" spans="1:1">
      <c r="A11" s="770" t="s">
        <v>4107</v>
      </c>
    </row>
    <row r="12" spans="1:1">
      <c r="A12" s="770" t="s">
        <v>4098</v>
      </c>
    </row>
    <row r="13" spans="1:1">
      <c r="A13" s="770" t="s">
        <v>4099</v>
      </c>
    </row>
  </sheetData>
  <pageMargins left="0.75" right="0.75" top="1" bottom="1" header="0.5" footer="0.5"/>
  <headerFooter alignWithMargins="0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mtd:Metadata xmlns:lkmtd="thomsonreuters.linking.metadatachange">
  <MetadataChanged>0</MetadataChanged>
</lkmtd:Metadata>
</file>

<file path=customXml/item2.xml><?xml version="1.0" encoding="utf-8"?>
<lk:Links xmlns:lk="thomsonreuters.linking.metadata"/>
</file>

<file path=customXml/itemProps1.xml><?xml version="1.0" encoding="utf-8"?>
<ds:datastoreItem xmlns:ds="http://schemas.openxmlformats.org/officeDocument/2006/customXml" ds:itemID="{FDC099EF-A9C6-4F77-A346-1BAFCC171E8B}">
  <ds:schemaRefs>
    <ds:schemaRef ds:uri="thomsonreuters.linking.metadatachange"/>
  </ds:schemaRefs>
</ds:datastoreItem>
</file>

<file path=customXml/itemProps2.xml><?xml version="1.0" encoding="utf-8"?>
<ds:datastoreItem xmlns:ds="http://schemas.openxmlformats.org/officeDocument/2006/customXml" ds:itemID="{A2F1FA6D-18F5-4F41-947F-B92208173C27}">
  <ds:schemaRefs>
    <ds:schemaRef ds:uri="thomsonreuters.linking.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78</vt:i4>
      </vt:variant>
    </vt:vector>
  </HeadingPairs>
  <TitlesOfParts>
    <vt:vector size="101" baseType="lpstr">
      <vt:lpstr>ImportantDisclosures</vt:lpstr>
      <vt:lpstr>CircularReferenceAlert</vt:lpstr>
      <vt:lpstr>Key assumptions</vt:lpstr>
      <vt:lpstr>Income statement</vt:lpstr>
      <vt:lpstr>Balance sheet</vt:lpstr>
      <vt:lpstr>Cash flow statement</vt:lpstr>
      <vt:lpstr>DDM</vt:lpstr>
      <vt:lpstr>Segments</vt:lpstr>
      <vt:lpstr>Capex</vt:lpstr>
      <vt:lpstr>Assets</vt:lpstr>
      <vt:lpstr>Other</vt:lpstr>
      <vt:lpstr>E&amp;P - FAS69</vt:lpstr>
      <vt:lpstr>GoM oil spill</vt:lpstr>
      <vt:lpstr>R&amp;M</vt:lpstr>
      <vt:lpstr>Reserves</vt:lpstr>
      <vt:lpstr>Production - Total</vt:lpstr>
      <vt:lpstr>Production - Oil</vt:lpstr>
      <vt:lpstr>Production - Gas</vt:lpstr>
      <vt:lpstr>Woodmac profile - Oil</vt:lpstr>
      <vt:lpstr>Woodmac profile - Gas</vt:lpstr>
      <vt:lpstr>Woodmac profile - capex</vt:lpstr>
      <vt:lpstr>IndexInformation</vt:lpstr>
      <vt:lpstr>ModPubIndex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CircularReferenceAlert!Buttons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Linking_Text_2</vt:lpstr>
      <vt:lpstr>IndexInformation!MacroVersion</vt:lpstr>
      <vt:lpstr>CircularReferenceAlert!MaxChange</vt:lpstr>
      <vt:lpstr>CircularReferenceAlert!MaxIterations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'Balance sheet'!Print_Area</vt:lpstr>
      <vt:lpstr>'Cash flow statement'!Print_Area</vt:lpstr>
      <vt:lpstr>DDM!Print_Area</vt:lpstr>
      <vt:lpstr>'Income statement'!Print_Area</vt:lpstr>
      <vt:lpstr>Segments!Print_Area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2011-06-13T11:40:37Z</dcterms:created>
  <dc:creator>sadykoa</dc:creator>
  <cp:lastModifiedBy>Dawes, Katherine (Research)</cp:lastModifiedBy>
  <cp:lastPrinted>2018-02-12T06:49:12Z</cp:lastPrinted>
  <dcterms:modified xsi:type="dcterms:W3CDTF">2018-04-16T07:11:07Z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IsInternalOnly" pid="2">
    <vt:lpwstr>True</vt:lpwstr>
  </property>
  <property fmtid="{D5CDD505-2E9C-101B-9397-08002B2CF9AE}" name="LinkingAutoNameNumberLinking_Text_" pid="3">
    <vt:lpwstr>2</vt:lpwstr>
  </property>
  <property fmtid="{D5CDD505-2E9C-101B-9397-08002B2CF9AE}" name="LinkingAutoNameNumberLinking_Range_" pid="4">
    <vt:lpwstr>27</vt:lpwstr>
  </property>
  <property fmtid="{D5CDD505-2E9C-101B-9397-08002B2CF9AE}" name="ERModPubTicket" pid="5">
    <vt:lpwstr>NA</vt:lpwstr>
  </property>
  <property fmtid="{D5CDD505-2E9C-101B-9397-08002B2CF9AE}" name="ERCompanyUploadState" pid="6">
    <vt:lpwstr>P</vt:lpwstr>
  </property>
  <property fmtid="{D5CDD505-2E9C-101B-9397-08002B2CF9AE}" name="ModelId" pid="7">
    <vt:lpwstr>761783</vt:lpwstr>
  </property>
  <property fmtid="{D5CDD505-2E9C-101B-9397-08002B2CF9AE}" name="ERModPubCompanyName" pid="8">
    <vt:lpwstr>BP plc</vt:lpwstr>
  </property>
  <property fmtid="{D5CDD505-2E9C-101B-9397-08002B2CF9AE}" name="ERModPubMaxIterations" pid="9">
    <vt:i4>100</vt:i4>
  </property>
  <property fmtid="{D5CDD505-2E9C-101B-9397-08002B2CF9AE}" name="ERModPubMaxChange" pid="10">
    <vt:r8>0.001</vt:r8>
  </property>
  <property fmtid="{D5CDD505-2E9C-101B-9397-08002B2CF9AE}" name="MSDH34TAG" pid="11">
    <vt:lpwstr>.TEZUF76X5TAHATHESADREYAK-00-INB160+*94600-06=825716d8/-4143/-11e8/-9695/-5e5c95fbb3b1,MD=20180416033324/-0400,ZZ=000Z-a13b.</vt:lpwstr>
  </property>
</Properties>
</file>